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ctrlProps/ctrlProp1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srvtm\Common\Rate Application\2019 IRM\OEB Questions\"/>
    </mc:Choice>
  </mc:AlternateContent>
  <bookViews>
    <workbookView xWindow="0" yWindow="0" windowWidth="28800" windowHeight="12300" tabRatio="858" firstSheet="20" activeTab="22"/>
  </bookViews>
  <sheets>
    <sheet name="Instructions for Tabs 3 to 7" sheetId="87" r:id="rId1"/>
    <sheet name="1. Information Sheet" sheetId="1" r:id="rId2"/>
    <sheet name="Sheet1" sheetId="58" state="hidden" r:id="rId3"/>
    <sheet name="2. Current Tariff Schedule" sheetId="8" r:id="rId4"/>
    <sheet name="3. Continuity Schedule" sheetId="74" r:id="rId5"/>
    <sheet name="2016 List" sheetId="47" state="hidden" r:id="rId6"/>
    <sheet name="4. Billing Det. for Def-Var" sheetId="13" r:id="rId7"/>
    <sheet name="5. Allocating Def-Var Balances" sheetId="76" r:id="rId8"/>
    <sheet name="6. Class A Consumption Data" sheetId="84" r:id="rId9"/>
    <sheet name="6.1a GA Allocation" sheetId="89" r:id="rId10"/>
    <sheet name="6.1 GA" sheetId="78" r:id="rId11"/>
    <sheet name="6.2a CBR B_Allocation" sheetId="90" r:id="rId12"/>
    <sheet name="6.2 CBR B" sheetId="85" r:id="rId13"/>
    <sheet name="7. Calculation of Def-Var RR" sheetId="15" r:id="rId14"/>
    <sheet name="8. STS - Tax Change" sheetId="31" r:id="rId15"/>
    <sheet name="9. Shared Tax - Rate Rider" sheetId="30" r:id="rId16"/>
    <sheet name="10. RTSR Current Rates" sheetId="33" r:id="rId17"/>
    <sheet name="11. RTSR - UTRs &amp; Sub-Tx" sheetId="77" r:id="rId18"/>
    <sheet name="12. RTSR - Historical Wholesale" sheetId="36" r:id="rId19"/>
    <sheet name="13. RTSR - Current Wholesale" sheetId="37" r:id="rId20"/>
    <sheet name="14. RTSR - Forecast Wholesale" sheetId="38" r:id="rId21"/>
    <sheet name="15. RTSR Rates to Forecast" sheetId="39" r:id="rId22"/>
    <sheet name="16. Rev2Cost_GDPIPI" sheetId="17" r:id="rId23"/>
    <sheet name="17. Regulatory Charges" sheetId="73" r:id="rId24"/>
    <sheet name="18. Additional Rates" sheetId="18" r:id="rId25"/>
    <sheet name="19. Final Tariff Schedule" sheetId="23" r:id="rId26"/>
    <sheet name="20. Bill Impacts" sheetId="56" r:id="rId27"/>
    <sheet name="2 1 5 TotalConsumptionData_Dist" sheetId="64" state="hidden" r:id="rId28"/>
    <sheet name="212_Total_Connection_RollUp" sheetId="81" state="hidden" r:id="rId29"/>
    <sheet name="2.1.7 Filing" sheetId="80" state="hidden" r:id="rId30"/>
    <sheet name="20. HIDDEN" sheetId="62" state="hidden" r:id="rId31"/>
    <sheet name="20. Bill Impacts hidden" sheetId="57" state="hidden" r:id="rId32"/>
    <sheet name="Database" sheetId="48" state="hidden" r:id="rId33"/>
    <sheet name="lists" sheetId="7" state="hidden" r:id="rId34"/>
    <sheet name="Sheet2" sheetId="63" state="hidden" r:id="rId35"/>
    <sheet name="Sheet3" sheetId="82"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7" hidden="1">'2 1 5 TotalConsumptionData_Dist'!$A$4:$T$540</definedName>
    <definedName name="_xlnm._FilterDatabase" localSheetId="29" hidden="1">'2.1.7 Filing'!$A$4:$K$4</definedName>
    <definedName name="_xlnm._FilterDatabase" localSheetId="5" hidden="1">'2016 List'!$AA:$AA</definedName>
    <definedName name="_xlnm._FilterDatabase" localSheetId="28" hidden="1">'212_Total_Connection_RollUp'!$A$5:$C$653</definedName>
    <definedName name="_xlnm._FilterDatabase" localSheetId="32" hidden="1">Database!$A$1:$W$1</definedName>
    <definedName name="_xlnm._FilterDatabase" localSheetId="33" hidden="1">lists!$I$1:$I$123</definedName>
    <definedName name="_xlnm._FilterDatabase" localSheetId="34" hidden="1">Sheet2!#REF!</definedName>
    <definedName name="Alectra_SA">'2016 List'!$C$2:$C$5</definedName>
    <definedName name="BI_LDCLIST" localSheetId="4">#REF!</definedName>
    <definedName name="BI_LDCLIST" localSheetId="10">#REF!</definedName>
    <definedName name="BI_LDCLIST">#REF!</definedName>
    <definedName name="BI_SS" localSheetId="31">'20. Bill Impacts hidden'!$A$2:$L$52</definedName>
    <definedName name="BI_SS" localSheetId="30">'20. HIDDEN'!$A$2:$M$55</definedName>
    <definedName name="BridgeYear" localSheetId="30">'[1]LDC Info'!$E$26</definedName>
    <definedName name="BridgeYear">'[2]LDC Info'!$E$26</definedName>
    <definedName name="contactf" localSheetId="22">#REF!</definedName>
    <definedName name="contactf" localSheetId="24">#REF!</definedName>
    <definedName name="contactf" localSheetId="25">#REF!</definedName>
    <definedName name="contactf" localSheetId="26">#REF!</definedName>
    <definedName name="contactf" localSheetId="31">#REF!</definedName>
    <definedName name="contactf" localSheetId="30">#REF!</definedName>
    <definedName name="contactf" localSheetId="4">#REF!</definedName>
    <definedName name="contactf" localSheetId="10">#REF!</definedName>
    <definedName name="contactf" localSheetId="14">#REF!</definedName>
    <definedName name="contactf" localSheetId="15">#REF!</definedName>
    <definedName name="contactf">#REF!</definedName>
    <definedName name="COS_RES_CUSTOMERS" localSheetId="17">'[3]16. Rev2Cost_GDPIPI'!$F$12</definedName>
    <definedName name="COS_RES_CUSTOMERS" localSheetId="4">'[4]15. Rev2Cost_GDPIPI'!$F$12</definedName>
    <definedName name="COS_RES_CUSTOMERS" localSheetId="7">'[5]16. Rev2Cost_GDPIPI'!$F$12</definedName>
    <definedName name="COS_RES_CUSTOMERS" localSheetId="10">'[6]15. Rev2Cost_GDPIPI'!$F$12</definedName>
    <definedName name="COS_RES_CUSTOMERS">'16. Rev2Cost_GDPIPI'!$F$12</definedName>
    <definedName name="COS_RES_KWH" localSheetId="17">'[3]16. Rev2Cost_GDPIPI'!$F$13</definedName>
    <definedName name="COS_RES_KWH" localSheetId="4">'[4]15. Rev2Cost_GDPIPI'!$F$13</definedName>
    <definedName name="COS_RES_KWH" localSheetId="7">'[5]16. Rev2Cost_GDPIPI'!$F$13</definedName>
    <definedName name="COS_RES_KWH" localSheetId="10">'[6]15. Rev2Cost_GDPIPI'!$F$13</definedName>
    <definedName name="COS_RES_KWH">'16. Rev2Cost_GDPIPI'!$F$13</definedName>
    <definedName name="Cust3a">'6. Class A Consumption Data'!$C$25</definedName>
    <definedName name="Cust3b">'6. Class A Consumption Data'!$C$487</definedName>
    <definedName name="CustomerAdministration" localSheetId="30">[1]lists!$Z$1:$Z$36</definedName>
    <definedName name="CustomerAdministration" localSheetId="9">[7]lists!#REF!</definedName>
    <definedName name="CustomerAdministration" localSheetId="11">[7]lists!#REF!</definedName>
    <definedName name="CustomerAdministration">lists!#REF!</definedName>
    <definedName name="DRC" localSheetId="9">'[7]17. Regulatory Charges'!$D$29</definedName>
    <definedName name="DRC" localSheetId="11">'[7]17. Regulatory Charges'!$D$29</definedName>
    <definedName name="DRC">'17. Regulatory Charges'!$D$29</definedName>
    <definedName name="EBNUMBER" localSheetId="30">'[1]LDC Info'!$E$16</definedName>
    <definedName name="EBNUMBER">'[2]LDC Info'!$E$16</definedName>
    <definedName name="Energy_SA">'2016 List'!$C$17:$C$18</definedName>
    <definedName name="EnergyPlus_SA">'2016 List'!$C$17:$C$18</definedName>
    <definedName name="Entegrus_SA" localSheetId="4">'[4]2016 List'!$C$5:$C$8</definedName>
    <definedName name="Entegrus_SA" localSheetId="7">'[5]2016 List'!$C$5:$C$8</definedName>
    <definedName name="Entegrus_SA" localSheetId="10">'[6]2016 List'!$C$5:$C$8</definedName>
    <definedName name="Entegrus_SA" localSheetId="9">'[7]2016 List'!$C$6:$C$8</definedName>
    <definedName name="Entegrus_SA" localSheetId="11">'[7]2016 List'!$C$6:$C$8</definedName>
    <definedName name="_xlnm.Extract" localSheetId="5">'2016 List'!$X$1</definedName>
    <definedName name="_xlnm.Extract" localSheetId="33">lists!#REF!</definedName>
    <definedName name="fed_sb">'8. STS - Tax Change'!$U$18</definedName>
    <definedName name="fedtax">'8. STS - Tax Change'!$U$9</definedName>
    <definedName name="fifteen" localSheetId="32">Database!#REF!</definedName>
    <definedName name="Fixed_Charges">lists!$I$1:$I$220</definedName>
    <definedName name="forecast_wholesale_lineplus" localSheetId="4">'[4]13. RTSR - Forecast Wholesale'!$P$113</definedName>
    <definedName name="forecast_wholesale_lineplus" localSheetId="10">'[6]13. RTSR - Forecast Wholesale'!$P$113</definedName>
    <definedName name="forecast_wholesale_lineplus" localSheetId="9">'[7]14. RTSR - Forecast Wholesale'!$P$113</definedName>
    <definedName name="forecast_wholesale_lineplus" localSheetId="11">'[7]14. RTSR - Forecast Wholesale'!$P$113</definedName>
    <definedName name="forecast_wholesale_lineplus">'14. RTSR - Forecast Wholesale'!$P$113</definedName>
    <definedName name="forecast_wholesale_network" localSheetId="4">'[4]13. RTSR - Forecast Wholesale'!$F$109</definedName>
    <definedName name="forecast_wholesale_network" localSheetId="10">'[6]13. RTSR - Forecast Wholesale'!$F$109</definedName>
    <definedName name="forecast_wholesale_network" localSheetId="9">'[7]14. RTSR - Forecast Wholesale'!$F$109</definedName>
    <definedName name="forecast_wholesale_network" localSheetId="11">'[7]14. RTSR - Forecast Wholesale'!$F$109</definedName>
    <definedName name="forecast_wholesale_network">'14. RTSR - Forecast Wholesale'!$F$109</definedName>
    <definedName name="G1LD" localSheetId="11">'[7]6. Class A Consumption Data'!$C$14</definedName>
    <definedName name="G1LD">'6. Class A Consumption Data'!$C$14</definedName>
    <definedName name="G1LDCBR" localSheetId="11">'6.2a CBR B_Allocation'!$B$16</definedName>
    <definedName name="G1LDCBR">#REF!</definedName>
    <definedName name="Group1Desposing" localSheetId="9">'[7]4. Billing Det. for Def-Var'!#REF!</definedName>
    <definedName name="Group1Desposing" localSheetId="11">'[7]4. Billing Det. for Def-Var'!#REF!</definedName>
    <definedName name="Group1Desposing">'4. Billing Det. for Def-Var'!#REF!</definedName>
    <definedName name="histdate">[8]Financials!$E$76</definedName>
    <definedName name="HydroOne_SA">'2016 List'!$C$21:$C$23</definedName>
    <definedName name="Incr2000" localSheetId="22">#REF!</definedName>
    <definedName name="Incr2000" localSheetId="24">#REF!</definedName>
    <definedName name="Incr2000" localSheetId="25">#REF!</definedName>
    <definedName name="Incr2000" localSheetId="26">#REF!</definedName>
    <definedName name="Incr2000" localSheetId="31">#REF!</definedName>
    <definedName name="Incr2000" localSheetId="30">#REF!</definedName>
    <definedName name="Incr2000" localSheetId="4">#REF!</definedName>
    <definedName name="Incr2000" localSheetId="10">#REF!</definedName>
    <definedName name="Incr2000" localSheetId="14">#REF!</definedName>
    <definedName name="Incr2000" localSheetId="15">#REF!</definedName>
    <definedName name="Incr2000">#REF!</definedName>
    <definedName name="Lakeland_SA" localSheetId="4">'[4]2016 List'!$C$10:$C$11</definedName>
    <definedName name="Lakeland_SA" localSheetId="7">'[5]2016 List'!$C$10:$C$11</definedName>
    <definedName name="Lakeland_SA" localSheetId="10">'[6]2016 List'!$C$10:$C$11</definedName>
    <definedName name="Lakeland_SA" localSheetId="9">'[7]2016 List'!$C$13:$C$14</definedName>
    <definedName name="Lakeland_SA" localSheetId="11">'[7]2016 List'!$C$13:$C$14</definedName>
    <definedName name="Lakeland_SA">'2016 List'!$C$14:$C$15</definedName>
    <definedName name="LDC_LIST" localSheetId="30">[9]lists!$AM$1:$AM$80</definedName>
    <definedName name="LDC_LIST">lists!$AA$1:$AA$88</definedName>
    <definedName name="LDCLIST" localSheetId="30">'[1]LDC Info'!$AA$3:$AA$99</definedName>
    <definedName name="LDCList" localSheetId="9">OFFSET('[7]2016 List'!$A$1,0,0,COUNTA('[7]2016 List'!$A:$A),1)</definedName>
    <definedName name="LDCList" localSheetId="11">OFFSET('[7]2016 List'!$A$1,0,0,COUNTA('[7]2016 List'!$A:$A),1)</definedName>
    <definedName name="LDCList">OFFSET('2016 List'!$A$1,0,0,COUNTA('2016 List'!$A:$A),1)</definedName>
    <definedName name="LDCNAME1">'1. Information Sheet'!$F$14</definedName>
    <definedName name="LDCNAMES">lists!$Z$1:$Z$78</definedName>
    <definedName name="LIMIT" localSheetId="22">#REF!</definedName>
    <definedName name="LIMIT" localSheetId="24">#REF!</definedName>
    <definedName name="LIMIT" localSheetId="25">#REF!</definedName>
    <definedName name="LIMIT" localSheetId="26">#REF!</definedName>
    <definedName name="LIMIT" localSheetId="31">#REF!</definedName>
    <definedName name="LIMIT" localSheetId="30">#REF!</definedName>
    <definedName name="LIMIT" localSheetId="4">#REF!</definedName>
    <definedName name="LIMIT" localSheetId="10">#REF!</definedName>
    <definedName name="LIMIT" localSheetId="14">#REF!</definedName>
    <definedName name="LIMIT" localSheetId="15">#REF!</definedName>
    <definedName name="LIMIT">#REF!</definedName>
    <definedName name="listdata" localSheetId="9">'[7]4. Billing Det. for Def-Var'!#REF!</definedName>
    <definedName name="listdata" localSheetId="11">'[7]4. Billing Det. for Def-Var'!#REF!</definedName>
    <definedName name="listdata">'4. Billing Det. for Def-Var'!#REF!</definedName>
    <definedName name="LossFactors" localSheetId="30">[1]lists!$L$2:$L$15</definedName>
    <definedName name="LossFactors" localSheetId="9">[7]lists!$L$2:$L$15</definedName>
    <definedName name="LossFactors" localSheetId="11">[7]lists!$L$2:$L$15</definedName>
    <definedName name="LossFactors">lists!$L$2:$L$15</definedName>
    <definedName name="man_beg_bud" localSheetId="22">#REF!</definedName>
    <definedName name="man_beg_bud" localSheetId="24">#REF!</definedName>
    <definedName name="man_beg_bud" localSheetId="25">#REF!</definedName>
    <definedName name="man_beg_bud" localSheetId="26">#REF!</definedName>
    <definedName name="man_beg_bud" localSheetId="31">#REF!</definedName>
    <definedName name="man_beg_bud" localSheetId="30">#REF!</definedName>
    <definedName name="man_beg_bud" localSheetId="4">#REF!</definedName>
    <definedName name="man_beg_bud" localSheetId="10">#REF!</definedName>
    <definedName name="man_beg_bud" localSheetId="14">#REF!</definedName>
    <definedName name="man_beg_bud" localSheetId="15">#REF!</definedName>
    <definedName name="man_beg_bud">#REF!</definedName>
    <definedName name="man_end_bud" localSheetId="22">#REF!</definedName>
    <definedName name="man_end_bud" localSheetId="24">#REF!</definedName>
    <definedName name="man_end_bud" localSheetId="25">#REF!</definedName>
    <definedName name="man_end_bud" localSheetId="26">#REF!</definedName>
    <definedName name="man_end_bud" localSheetId="31">#REF!</definedName>
    <definedName name="man_end_bud" localSheetId="30">#REF!</definedName>
    <definedName name="man_end_bud" localSheetId="4">#REF!</definedName>
    <definedName name="man_end_bud" localSheetId="10">#REF!</definedName>
    <definedName name="man_end_bud" localSheetId="14">#REF!</definedName>
    <definedName name="man_end_bud" localSheetId="15">#REF!</definedName>
    <definedName name="man_end_bud">#REF!</definedName>
    <definedName name="man12ACT" localSheetId="22">#REF!</definedName>
    <definedName name="man12ACT" localSheetId="24">#REF!</definedName>
    <definedName name="man12ACT" localSheetId="25">#REF!</definedName>
    <definedName name="man12ACT" localSheetId="26">#REF!</definedName>
    <definedName name="man12ACT" localSheetId="31">#REF!</definedName>
    <definedName name="man12ACT" localSheetId="30">#REF!</definedName>
    <definedName name="man12ACT" localSheetId="4">#REF!</definedName>
    <definedName name="man12ACT" localSheetId="10">#REF!</definedName>
    <definedName name="man12ACT" localSheetId="14">#REF!</definedName>
    <definedName name="man12ACT" localSheetId="15">#REF!</definedName>
    <definedName name="man12ACT">#REF!</definedName>
    <definedName name="MANBUD" localSheetId="22">#REF!</definedName>
    <definedName name="MANBUD" localSheetId="24">#REF!</definedName>
    <definedName name="MANBUD" localSheetId="25">#REF!</definedName>
    <definedName name="MANBUD" localSheetId="26">#REF!</definedName>
    <definedName name="MANBUD" localSheetId="31">#REF!</definedName>
    <definedName name="MANBUD" localSheetId="30">#REF!</definedName>
    <definedName name="MANBUD" localSheetId="4">#REF!</definedName>
    <definedName name="MANBUD" localSheetId="10">#REF!</definedName>
    <definedName name="MANBUD" localSheetId="14">#REF!</definedName>
    <definedName name="MANBUD" localSheetId="15">#REF!</definedName>
    <definedName name="MANBUD">#REF!</definedName>
    <definedName name="manCYACT" localSheetId="22">#REF!</definedName>
    <definedName name="manCYACT" localSheetId="24">#REF!</definedName>
    <definedName name="manCYACT" localSheetId="25">#REF!</definedName>
    <definedName name="manCYACT" localSheetId="26">#REF!</definedName>
    <definedName name="manCYACT" localSheetId="31">#REF!</definedName>
    <definedName name="manCYACT" localSheetId="30">#REF!</definedName>
    <definedName name="manCYACT" localSheetId="4">#REF!</definedName>
    <definedName name="manCYACT" localSheetId="10">#REF!</definedName>
    <definedName name="manCYACT" localSheetId="14">#REF!</definedName>
    <definedName name="manCYACT" localSheetId="15">#REF!</definedName>
    <definedName name="manCYACT">#REF!</definedName>
    <definedName name="manCYBUD" localSheetId="22">#REF!</definedName>
    <definedName name="manCYBUD" localSheetId="24">#REF!</definedName>
    <definedName name="manCYBUD" localSheetId="25">#REF!</definedName>
    <definedName name="manCYBUD" localSheetId="26">#REF!</definedName>
    <definedName name="manCYBUD" localSheetId="31">#REF!</definedName>
    <definedName name="manCYBUD" localSheetId="30">#REF!</definedName>
    <definedName name="manCYBUD" localSheetId="4">#REF!</definedName>
    <definedName name="manCYBUD" localSheetId="10">#REF!</definedName>
    <definedName name="manCYBUD" localSheetId="14">#REF!</definedName>
    <definedName name="manCYBUD" localSheetId="15">#REF!</definedName>
    <definedName name="manCYBUD">#REF!</definedName>
    <definedName name="manCYF" localSheetId="22">#REF!</definedName>
    <definedName name="manCYF" localSheetId="24">#REF!</definedName>
    <definedName name="manCYF" localSheetId="25">#REF!</definedName>
    <definedName name="manCYF" localSheetId="26">#REF!</definedName>
    <definedName name="manCYF" localSheetId="31">#REF!</definedName>
    <definedName name="manCYF" localSheetId="30">#REF!</definedName>
    <definedName name="manCYF" localSheetId="4">#REF!</definedName>
    <definedName name="manCYF" localSheetId="10">#REF!</definedName>
    <definedName name="manCYF" localSheetId="14">#REF!</definedName>
    <definedName name="manCYF" localSheetId="15">#REF!</definedName>
    <definedName name="manCYF">#REF!</definedName>
    <definedName name="MANEND" localSheetId="22">#REF!</definedName>
    <definedName name="MANEND" localSheetId="24">#REF!</definedName>
    <definedName name="MANEND" localSheetId="25">#REF!</definedName>
    <definedName name="MANEND" localSheetId="26">#REF!</definedName>
    <definedName name="MANEND" localSheetId="31">#REF!</definedName>
    <definedName name="MANEND" localSheetId="30">#REF!</definedName>
    <definedName name="MANEND" localSheetId="4">#REF!</definedName>
    <definedName name="MANEND" localSheetId="10">#REF!</definedName>
    <definedName name="MANEND" localSheetId="14">#REF!</definedName>
    <definedName name="MANEND" localSheetId="15">#REF!</definedName>
    <definedName name="MANEND">#REF!</definedName>
    <definedName name="manNYbud" localSheetId="22">#REF!</definedName>
    <definedName name="manNYbud" localSheetId="24">#REF!</definedName>
    <definedName name="manNYbud" localSheetId="25">#REF!</definedName>
    <definedName name="manNYbud" localSheetId="26">#REF!</definedName>
    <definedName name="manNYbud" localSheetId="31">#REF!</definedName>
    <definedName name="manNYbud" localSheetId="30">#REF!</definedName>
    <definedName name="manNYbud" localSheetId="4">#REF!</definedName>
    <definedName name="manNYbud" localSheetId="10">#REF!</definedName>
    <definedName name="manNYbud" localSheetId="14">#REF!</definedName>
    <definedName name="manNYbud" localSheetId="15">#REF!</definedName>
    <definedName name="manNYbud">#REF!</definedName>
    <definedName name="manpower_costs" localSheetId="22">#REF!</definedName>
    <definedName name="manpower_costs" localSheetId="24">#REF!</definedName>
    <definedName name="manpower_costs" localSheetId="25">#REF!</definedName>
    <definedName name="manpower_costs" localSheetId="26">#REF!</definedName>
    <definedName name="manpower_costs" localSheetId="31">#REF!</definedName>
    <definedName name="manpower_costs" localSheetId="30">#REF!</definedName>
    <definedName name="manpower_costs" localSheetId="4">#REF!</definedName>
    <definedName name="manpower_costs" localSheetId="10">#REF!</definedName>
    <definedName name="manpower_costs" localSheetId="14">#REF!</definedName>
    <definedName name="manpower_costs" localSheetId="15">#REF!</definedName>
    <definedName name="manpower_costs">#REF!</definedName>
    <definedName name="manPYACT" localSheetId="22">#REF!</definedName>
    <definedName name="manPYACT" localSheetId="24">#REF!</definedName>
    <definedName name="manPYACT" localSheetId="25">#REF!</definedName>
    <definedName name="manPYACT" localSheetId="26">#REF!</definedName>
    <definedName name="manPYACT" localSheetId="31">#REF!</definedName>
    <definedName name="manPYACT" localSheetId="30">#REF!</definedName>
    <definedName name="manPYACT" localSheetId="4">#REF!</definedName>
    <definedName name="manPYACT" localSheetId="10">#REF!</definedName>
    <definedName name="manPYACT" localSheetId="14">#REF!</definedName>
    <definedName name="manPYACT" localSheetId="15">#REF!</definedName>
    <definedName name="manPYACT">#REF!</definedName>
    <definedName name="MANSTART" localSheetId="22">#REF!</definedName>
    <definedName name="MANSTART" localSheetId="24">#REF!</definedName>
    <definedName name="MANSTART" localSheetId="25">#REF!</definedName>
    <definedName name="MANSTART" localSheetId="26">#REF!</definedName>
    <definedName name="MANSTART" localSheetId="31">#REF!</definedName>
    <definedName name="MANSTART" localSheetId="30">#REF!</definedName>
    <definedName name="MANSTART" localSheetId="4">#REF!</definedName>
    <definedName name="MANSTART" localSheetId="10">#REF!</definedName>
    <definedName name="MANSTART" localSheetId="14">#REF!</definedName>
    <definedName name="MANSTART" localSheetId="15">#REF!</definedName>
    <definedName name="MANSTART">#REF!</definedName>
    <definedName name="mat_beg_bud" localSheetId="22">#REF!</definedName>
    <definedName name="mat_beg_bud" localSheetId="24">#REF!</definedName>
    <definedName name="mat_beg_bud" localSheetId="25">#REF!</definedName>
    <definedName name="mat_beg_bud" localSheetId="26">#REF!</definedName>
    <definedName name="mat_beg_bud" localSheetId="31">#REF!</definedName>
    <definedName name="mat_beg_bud" localSheetId="30">#REF!</definedName>
    <definedName name="mat_beg_bud" localSheetId="4">#REF!</definedName>
    <definedName name="mat_beg_bud" localSheetId="10">#REF!</definedName>
    <definedName name="mat_beg_bud" localSheetId="14">#REF!</definedName>
    <definedName name="mat_beg_bud" localSheetId="15">#REF!</definedName>
    <definedName name="mat_beg_bud">#REF!</definedName>
    <definedName name="mat_end_bud" localSheetId="22">#REF!</definedName>
    <definedName name="mat_end_bud" localSheetId="24">#REF!</definedName>
    <definedName name="mat_end_bud" localSheetId="25">#REF!</definedName>
    <definedName name="mat_end_bud" localSheetId="26">#REF!</definedName>
    <definedName name="mat_end_bud" localSheetId="31">#REF!</definedName>
    <definedName name="mat_end_bud" localSheetId="30">#REF!</definedName>
    <definedName name="mat_end_bud" localSheetId="4">#REF!</definedName>
    <definedName name="mat_end_bud" localSheetId="10">#REF!</definedName>
    <definedName name="mat_end_bud" localSheetId="14">#REF!</definedName>
    <definedName name="mat_end_bud" localSheetId="15">#REF!</definedName>
    <definedName name="mat_end_bud">#REF!</definedName>
    <definedName name="mat12ACT" localSheetId="22">#REF!</definedName>
    <definedName name="mat12ACT" localSheetId="24">#REF!</definedName>
    <definedName name="mat12ACT" localSheetId="25">#REF!</definedName>
    <definedName name="mat12ACT" localSheetId="26">#REF!</definedName>
    <definedName name="mat12ACT" localSheetId="31">#REF!</definedName>
    <definedName name="mat12ACT" localSheetId="30">#REF!</definedName>
    <definedName name="mat12ACT" localSheetId="4">#REF!</definedName>
    <definedName name="mat12ACT" localSheetId="10">#REF!</definedName>
    <definedName name="mat12ACT" localSheetId="14">#REF!</definedName>
    <definedName name="mat12ACT" localSheetId="15">#REF!</definedName>
    <definedName name="mat12ACT">#REF!</definedName>
    <definedName name="MATBUD" localSheetId="22">#REF!</definedName>
    <definedName name="MATBUD" localSheetId="24">#REF!</definedName>
    <definedName name="MATBUD" localSheetId="25">#REF!</definedName>
    <definedName name="MATBUD" localSheetId="26">#REF!</definedName>
    <definedName name="MATBUD" localSheetId="31">#REF!</definedName>
    <definedName name="MATBUD" localSheetId="30">#REF!</definedName>
    <definedName name="MATBUD" localSheetId="4">#REF!</definedName>
    <definedName name="MATBUD" localSheetId="10">#REF!</definedName>
    <definedName name="MATBUD" localSheetId="14">#REF!</definedName>
    <definedName name="MATBUD" localSheetId="15">#REF!</definedName>
    <definedName name="MATBUD">#REF!</definedName>
    <definedName name="matCYACT" localSheetId="22">#REF!</definedName>
    <definedName name="matCYACT" localSheetId="24">#REF!</definedName>
    <definedName name="matCYACT" localSheetId="25">#REF!</definedName>
    <definedName name="matCYACT" localSheetId="26">#REF!</definedName>
    <definedName name="matCYACT" localSheetId="31">#REF!</definedName>
    <definedName name="matCYACT" localSheetId="30">#REF!</definedName>
    <definedName name="matCYACT" localSheetId="4">#REF!</definedName>
    <definedName name="matCYACT" localSheetId="10">#REF!</definedName>
    <definedName name="matCYACT" localSheetId="14">#REF!</definedName>
    <definedName name="matCYACT" localSheetId="15">#REF!</definedName>
    <definedName name="matCYACT">#REF!</definedName>
    <definedName name="matCYBUD" localSheetId="22">#REF!</definedName>
    <definedName name="matCYBUD" localSheetId="24">#REF!</definedName>
    <definedName name="matCYBUD" localSheetId="25">#REF!</definedName>
    <definedName name="matCYBUD" localSheetId="26">#REF!</definedName>
    <definedName name="matCYBUD" localSheetId="31">#REF!</definedName>
    <definedName name="matCYBUD" localSheetId="30">#REF!</definedName>
    <definedName name="matCYBUD" localSheetId="4">#REF!</definedName>
    <definedName name="matCYBUD" localSheetId="10">#REF!</definedName>
    <definedName name="matCYBUD" localSheetId="14">#REF!</definedName>
    <definedName name="matCYBUD" localSheetId="15">#REF!</definedName>
    <definedName name="matCYBUD">#REF!</definedName>
    <definedName name="matCYF" localSheetId="22">#REF!</definedName>
    <definedName name="matCYF" localSheetId="24">#REF!</definedName>
    <definedName name="matCYF" localSheetId="25">#REF!</definedName>
    <definedName name="matCYF" localSheetId="26">#REF!</definedName>
    <definedName name="matCYF" localSheetId="31">#REF!</definedName>
    <definedName name="matCYF" localSheetId="30">#REF!</definedName>
    <definedName name="matCYF" localSheetId="4">#REF!</definedName>
    <definedName name="matCYF" localSheetId="10">#REF!</definedName>
    <definedName name="matCYF" localSheetId="14">#REF!</definedName>
    <definedName name="matCYF" localSheetId="15">#REF!</definedName>
    <definedName name="matCYF">#REF!</definedName>
    <definedName name="MATEND" localSheetId="22">#REF!</definedName>
    <definedName name="MATEND" localSheetId="24">#REF!</definedName>
    <definedName name="MATEND" localSheetId="25">#REF!</definedName>
    <definedName name="MATEND" localSheetId="26">#REF!</definedName>
    <definedName name="MATEND" localSheetId="31">#REF!</definedName>
    <definedName name="MATEND" localSheetId="30">#REF!</definedName>
    <definedName name="MATEND" localSheetId="4">#REF!</definedName>
    <definedName name="MATEND" localSheetId="10">#REF!</definedName>
    <definedName name="MATEND" localSheetId="14">#REF!</definedName>
    <definedName name="MATEND" localSheetId="15">#REF!</definedName>
    <definedName name="MATEND">#REF!</definedName>
    <definedName name="material_costs" localSheetId="22">#REF!</definedName>
    <definedName name="material_costs" localSheetId="24">#REF!</definedName>
    <definedName name="material_costs" localSheetId="25">#REF!</definedName>
    <definedName name="material_costs" localSheetId="26">#REF!</definedName>
    <definedName name="material_costs" localSheetId="31">#REF!</definedName>
    <definedName name="material_costs" localSheetId="30">#REF!</definedName>
    <definedName name="material_costs" localSheetId="4">#REF!</definedName>
    <definedName name="material_costs" localSheetId="10">#REF!</definedName>
    <definedName name="material_costs" localSheetId="14">#REF!</definedName>
    <definedName name="material_costs" localSheetId="15">#REF!</definedName>
    <definedName name="material_costs">#REF!</definedName>
    <definedName name="matNYbud" localSheetId="22">#REF!</definedName>
    <definedName name="matNYbud" localSheetId="24">#REF!</definedName>
    <definedName name="matNYbud" localSheetId="25">#REF!</definedName>
    <definedName name="matNYbud" localSheetId="26">#REF!</definedName>
    <definedName name="matNYbud" localSheetId="31">#REF!</definedName>
    <definedName name="matNYbud" localSheetId="30">#REF!</definedName>
    <definedName name="matNYbud" localSheetId="4">#REF!</definedName>
    <definedName name="matNYbud" localSheetId="10">#REF!</definedName>
    <definedName name="matNYbud" localSheetId="14">#REF!</definedName>
    <definedName name="matNYbud" localSheetId="15">#REF!</definedName>
    <definedName name="matNYbud">#REF!</definedName>
    <definedName name="matPYACT" localSheetId="22">#REF!</definedName>
    <definedName name="matPYACT" localSheetId="24">#REF!</definedName>
    <definedName name="matPYACT" localSheetId="25">#REF!</definedName>
    <definedName name="matPYACT" localSheetId="26">#REF!</definedName>
    <definedName name="matPYACT" localSheetId="31">#REF!</definedName>
    <definedName name="matPYACT" localSheetId="30">#REF!</definedName>
    <definedName name="matPYACT" localSheetId="4">#REF!</definedName>
    <definedName name="matPYACT" localSheetId="10">#REF!</definedName>
    <definedName name="matPYACT" localSheetId="14">#REF!</definedName>
    <definedName name="matPYACT" localSheetId="15">#REF!</definedName>
    <definedName name="matPYACT">#REF!</definedName>
    <definedName name="MATSTART" localSheetId="22">#REF!</definedName>
    <definedName name="MATSTART" localSheetId="24">#REF!</definedName>
    <definedName name="MATSTART" localSheetId="25">#REF!</definedName>
    <definedName name="MATSTART" localSheetId="26">#REF!</definedName>
    <definedName name="MATSTART" localSheetId="31">#REF!</definedName>
    <definedName name="MATSTART" localSheetId="30">#REF!</definedName>
    <definedName name="MATSTART" localSheetId="4">#REF!</definedName>
    <definedName name="MATSTART" localSheetId="10">#REF!</definedName>
    <definedName name="MATSTART" localSheetId="14">#REF!</definedName>
    <definedName name="MATSTART" localSheetId="15">#REF!</definedName>
    <definedName name="MATSTART">#REF!</definedName>
    <definedName name="maxtax">'8. STS - Tax Change'!$U$12</definedName>
    <definedName name="MidPeak" localSheetId="9">'[7]17. Regulatory Charges'!$D$24</definedName>
    <definedName name="MidPeak" localSheetId="11">'[7]17. Regulatory Charges'!$D$24</definedName>
    <definedName name="MidPeak">'17. Regulatory Charges'!$D$24</definedName>
    <definedName name="NonPayment" localSheetId="30">[1]lists!$AA$1:$AA$71</definedName>
    <definedName name="NonPayment" localSheetId="9">[7]lists!$O$1:$O$71</definedName>
    <definedName name="NonPayment" localSheetId="11">[7]lists!$O$1:$O$71</definedName>
    <definedName name="NonPayment">lists!$O$1:$O$71</definedName>
    <definedName name="OffPeak" localSheetId="9">'[7]17. Regulatory Charges'!$D$23</definedName>
    <definedName name="OffPeak" localSheetId="11">'[7]17. Regulatory Charges'!$D$23</definedName>
    <definedName name="OffPeak">'17. Regulatory Charges'!$D$23</definedName>
    <definedName name="OnPeak" localSheetId="9">'[7]17. Regulatory Charges'!$D$25</definedName>
    <definedName name="OnPeak" localSheetId="11">'[7]17. Regulatory Charges'!$D$25</definedName>
    <definedName name="OnPeak">'17. Regulatory Charges'!$D$25</definedName>
    <definedName name="ontario_sb">'8. STS - Tax Change'!$U$20</definedName>
    <definedName name="ontariotax">'8. STS - Tax Change'!$U$10</definedName>
    <definedName name="oth_beg_bud" localSheetId="22">#REF!</definedName>
    <definedName name="oth_beg_bud" localSheetId="24">#REF!</definedName>
    <definedName name="oth_beg_bud" localSheetId="25">#REF!</definedName>
    <definedName name="oth_beg_bud" localSheetId="26">#REF!</definedName>
    <definedName name="oth_beg_bud" localSheetId="31">#REF!</definedName>
    <definedName name="oth_beg_bud" localSheetId="30">#REF!</definedName>
    <definedName name="oth_beg_bud" localSheetId="4">#REF!</definedName>
    <definedName name="oth_beg_bud" localSheetId="10">#REF!</definedName>
    <definedName name="oth_beg_bud" localSheetId="14">#REF!</definedName>
    <definedName name="oth_beg_bud" localSheetId="15">#REF!</definedName>
    <definedName name="oth_beg_bud">#REF!</definedName>
    <definedName name="oth_end_bud" localSheetId="22">#REF!</definedName>
    <definedName name="oth_end_bud" localSheetId="24">#REF!</definedName>
    <definedName name="oth_end_bud" localSheetId="25">#REF!</definedName>
    <definedName name="oth_end_bud" localSheetId="26">#REF!</definedName>
    <definedName name="oth_end_bud" localSheetId="31">#REF!</definedName>
    <definedName name="oth_end_bud" localSheetId="30">#REF!</definedName>
    <definedName name="oth_end_bud" localSheetId="4">#REF!</definedName>
    <definedName name="oth_end_bud" localSheetId="10">#REF!</definedName>
    <definedName name="oth_end_bud" localSheetId="14">#REF!</definedName>
    <definedName name="oth_end_bud" localSheetId="15">#REF!</definedName>
    <definedName name="oth_end_bud">#REF!</definedName>
    <definedName name="oth12ACT" localSheetId="22">#REF!</definedName>
    <definedName name="oth12ACT" localSheetId="24">#REF!</definedName>
    <definedName name="oth12ACT" localSheetId="25">#REF!</definedName>
    <definedName name="oth12ACT" localSheetId="26">#REF!</definedName>
    <definedName name="oth12ACT" localSheetId="31">#REF!</definedName>
    <definedName name="oth12ACT" localSheetId="30">#REF!</definedName>
    <definedName name="oth12ACT" localSheetId="4">#REF!</definedName>
    <definedName name="oth12ACT" localSheetId="10">#REF!</definedName>
    <definedName name="oth12ACT" localSheetId="14">#REF!</definedName>
    <definedName name="oth12ACT" localSheetId="15">#REF!</definedName>
    <definedName name="oth12ACT">#REF!</definedName>
    <definedName name="othCYACT" localSheetId="22">#REF!</definedName>
    <definedName name="othCYACT" localSheetId="24">#REF!</definedName>
    <definedName name="othCYACT" localSheetId="25">#REF!</definedName>
    <definedName name="othCYACT" localSheetId="26">#REF!</definedName>
    <definedName name="othCYACT" localSheetId="31">#REF!</definedName>
    <definedName name="othCYACT" localSheetId="30">#REF!</definedName>
    <definedName name="othCYACT" localSheetId="4">#REF!</definedName>
    <definedName name="othCYACT" localSheetId="10">#REF!</definedName>
    <definedName name="othCYACT" localSheetId="14">#REF!</definedName>
    <definedName name="othCYACT" localSheetId="15">#REF!</definedName>
    <definedName name="othCYACT">#REF!</definedName>
    <definedName name="othCYBUD" localSheetId="22">#REF!</definedName>
    <definedName name="othCYBUD" localSheetId="24">#REF!</definedName>
    <definedName name="othCYBUD" localSheetId="25">#REF!</definedName>
    <definedName name="othCYBUD" localSheetId="26">#REF!</definedName>
    <definedName name="othCYBUD" localSheetId="31">#REF!</definedName>
    <definedName name="othCYBUD" localSheetId="30">#REF!</definedName>
    <definedName name="othCYBUD" localSheetId="4">#REF!</definedName>
    <definedName name="othCYBUD" localSheetId="10">#REF!</definedName>
    <definedName name="othCYBUD" localSheetId="14">#REF!</definedName>
    <definedName name="othCYBUD" localSheetId="15">#REF!</definedName>
    <definedName name="othCYBUD">#REF!</definedName>
    <definedName name="othCYF" localSheetId="22">#REF!</definedName>
    <definedName name="othCYF" localSheetId="24">#REF!</definedName>
    <definedName name="othCYF" localSheetId="25">#REF!</definedName>
    <definedName name="othCYF" localSheetId="26">#REF!</definedName>
    <definedName name="othCYF" localSheetId="31">#REF!</definedName>
    <definedName name="othCYF" localSheetId="30">#REF!</definedName>
    <definedName name="othCYF" localSheetId="4">#REF!</definedName>
    <definedName name="othCYF" localSheetId="10">#REF!</definedName>
    <definedName name="othCYF" localSheetId="14">#REF!</definedName>
    <definedName name="othCYF" localSheetId="15">#REF!</definedName>
    <definedName name="othCYF">#REF!</definedName>
    <definedName name="OTHEND" localSheetId="22">#REF!</definedName>
    <definedName name="OTHEND" localSheetId="24">#REF!</definedName>
    <definedName name="OTHEND" localSheetId="25">#REF!</definedName>
    <definedName name="OTHEND" localSheetId="26">#REF!</definedName>
    <definedName name="OTHEND" localSheetId="31">#REF!</definedName>
    <definedName name="OTHEND" localSheetId="30">#REF!</definedName>
    <definedName name="OTHEND" localSheetId="4">#REF!</definedName>
    <definedName name="OTHEND" localSheetId="10">#REF!</definedName>
    <definedName name="OTHEND" localSheetId="14">#REF!</definedName>
    <definedName name="OTHEND" localSheetId="15">#REF!</definedName>
    <definedName name="OTHEND">#REF!</definedName>
    <definedName name="other_costs" localSheetId="22">#REF!</definedName>
    <definedName name="other_costs" localSheetId="24">#REF!</definedName>
    <definedName name="other_costs" localSheetId="25">#REF!</definedName>
    <definedName name="other_costs" localSheetId="26">#REF!</definedName>
    <definedName name="other_costs" localSheetId="31">#REF!</definedName>
    <definedName name="other_costs" localSheetId="30">#REF!</definedName>
    <definedName name="other_costs" localSheetId="4">#REF!</definedName>
    <definedName name="other_costs" localSheetId="10">#REF!</definedName>
    <definedName name="other_costs" localSheetId="14">#REF!</definedName>
    <definedName name="other_costs" localSheetId="15">#REF!</definedName>
    <definedName name="other_costs">#REF!</definedName>
    <definedName name="OTHERBUD" localSheetId="22">#REF!</definedName>
    <definedName name="OTHERBUD" localSheetId="24">#REF!</definedName>
    <definedName name="OTHERBUD" localSheetId="25">#REF!</definedName>
    <definedName name="OTHERBUD" localSheetId="26">#REF!</definedName>
    <definedName name="OTHERBUD" localSheetId="31">#REF!</definedName>
    <definedName name="OTHERBUD" localSheetId="30">#REF!</definedName>
    <definedName name="OTHERBUD" localSheetId="4">#REF!</definedName>
    <definedName name="OTHERBUD" localSheetId="10">#REF!</definedName>
    <definedName name="OTHERBUD" localSheetId="14">#REF!</definedName>
    <definedName name="OTHERBUD" localSheetId="15">#REF!</definedName>
    <definedName name="OTHERBUD">#REF!</definedName>
    <definedName name="othNYbud" localSheetId="22">#REF!</definedName>
    <definedName name="othNYbud" localSheetId="24">#REF!</definedName>
    <definedName name="othNYbud" localSheetId="25">#REF!</definedName>
    <definedName name="othNYbud" localSheetId="26">#REF!</definedName>
    <definedName name="othNYbud" localSheetId="31">#REF!</definedName>
    <definedName name="othNYbud" localSheetId="30">#REF!</definedName>
    <definedName name="othNYbud" localSheetId="4">#REF!</definedName>
    <definedName name="othNYbud" localSheetId="10">#REF!</definedName>
    <definedName name="othNYbud" localSheetId="14">#REF!</definedName>
    <definedName name="othNYbud" localSheetId="15">#REF!</definedName>
    <definedName name="othNYbud">#REF!</definedName>
    <definedName name="othPYACT" localSheetId="22">#REF!</definedName>
    <definedName name="othPYACT" localSheetId="24">#REF!</definedName>
    <definedName name="othPYACT" localSheetId="25">#REF!</definedName>
    <definedName name="othPYACT" localSheetId="26">#REF!</definedName>
    <definedName name="othPYACT" localSheetId="31">#REF!</definedName>
    <definedName name="othPYACT" localSheetId="30">#REF!</definedName>
    <definedName name="othPYACT" localSheetId="4">#REF!</definedName>
    <definedName name="othPYACT" localSheetId="10">#REF!</definedName>
    <definedName name="othPYACT" localSheetId="14">#REF!</definedName>
    <definedName name="othPYACT" localSheetId="15">#REF!</definedName>
    <definedName name="othPYACT">#REF!</definedName>
    <definedName name="OTHSTART" localSheetId="22">#REF!</definedName>
    <definedName name="OTHSTART" localSheetId="24">#REF!</definedName>
    <definedName name="OTHSTART" localSheetId="25">#REF!</definedName>
    <definedName name="OTHSTART" localSheetId="26">#REF!</definedName>
    <definedName name="OTHSTART" localSheetId="31">#REF!</definedName>
    <definedName name="OTHSTART" localSheetId="30">#REF!</definedName>
    <definedName name="OTHSTART" localSheetId="4">#REF!</definedName>
    <definedName name="OTHSTART" localSheetId="10">#REF!</definedName>
    <definedName name="OTHSTART" localSheetId="14">#REF!</definedName>
    <definedName name="OTHSTART" localSheetId="15">#REF!</definedName>
    <definedName name="OTHSTART">#REF!</definedName>
    <definedName name="passwordlist">'2016 List'!$A$1:$B$75</definedName>
    <definedName name="_xlnm.Print_Area" localSheetId="1">'1. Information Sheet'!$A$1:$X$37</definedName>
    <definedName name="_xlnm.Print_Area" localSheetId="18">'12. RTSR - Historical Wholesale'!$A$1:$P$112</definedName>
    <definedName name="_xlnm.Print_Area" localSheetId="19">'13. RTSR - Current Wholesale'!$A$1:$P$113</definedName>
    <definedName name="_xlnm.Print_Area" localSheetId="20">'14. RTSR - Forecast Wholesale'!$A$1:$P$114</definedName>
    <definedName name="_xlnm.Print_Area" localSheetId="22">'16. Rev2Cost_GDPIPI'!$A$1:$J$15</definedName>
    <definedName name="_xlnm.Print_Area" localSheetId="24">'18. Additional Rates'!$A$1:$J$8</definedName>
    <definedName name="_xlnm.Print_Area" localSheetId="25">'19. Final Tariff Schedule'!$B$1:$E$289</definedName>
    <definedName name="_xlnm.Print_Area" localSheetId="3">'2. Current Tariff Schedule'!$B$12:$E$322</definedName>
    <definedName name="_xlnm.Print_Area" localSheetId="26">'20. Bill Impacts'!$C$1:$O$650</definedName>
    <definedName name="_xlnm.Print_Area" localSheetId="31">'20. Bill Impacts hidden'!#REF!</definedName>
    <definedName name="_xlnm.Print_Area" localSheetId="30">'20. HIDDEN'!#REF!</definedName>
    <definedName name="_xlnm.Print_Area" localSheetId="4">'3. Continuity Schedule'!$B$1:$BV$43</definedName>
    <definedName name="_xlnm.Print_Area" localSheetId="6">'4. Billing Det. for Def-Var'!$A$1:$X$34</definedName>
    <definedName name="_xlnm.Print_Area" localSheetId="7">'5. Allocating Def-Var Balances'!$A$1:$N$16</definedName>
    <definedName name="_xlnm.Print_Area" localSheetId="13">'7. Calculation of Def-Var RR'!$A$1:$K$16</definedName>
    <definedName name="print_end" localSheetId="22">#REF!</definedName>
    <definedName name="print_end" localSheetId="24">#REF!</definedName>
    <definedName name="print_end" localSheetId="25">#REF!</definedName>
    <definedName name="print_end" localSheetId="26">#REF!</definedName>
    <definedName name="print_end" localSheetId="31">#REF!</definedName>
    <definedName name="print_end" localSheetId="30">#REF!</definedName>
    <definedName name="print_end" localSheetId="4">#REF!</definedName>
    <definedName name="print_end" localSheetId="10">#REF!</definedName>
    <definedName name="print_end" localSheetId="14">#REF!</definedName>
    <definedName name="print_end" localSheetId="15">#REF!</definedName>
    <definedName name="print_end">#REF!</definedName>
    <definedName name="_xlnm.Print_Titles" localSheetId="18">'12. RTSR - Historical Wholesale'!$1:$15</definedName>
    <definedName name="_xlnm.Print_Titles" localSheetId="19">'13. RTSR - Current Wholesale'!$1:$15</definedName>
    <definedName name="_xlnm.Print_Titles" localSheetId="20">'14. RTSR - Forecast Wholesale'!$1:$15</definedName>
    <definedName name="_xlnm.Print_Titles" localSheetId="24">'18. Additional Rates'!$1:$8</definedName>
    <definedName name="_xlnm.Print_Titles" localSheetId="25">'19. Final Tariff Schedule'!$1:$6</definedName>
    <definedName name="_xlnm.Print_Titles" localSheetId="3">'2. Current Tariff Schedule'!$1:$6</definedName>
    <definedName name="Rate_Class">lists!$A$1:$A$104</definedName>
    <definedName name="RATE_CLASSES" localSheetId="4">[10]lists!$A$1:$A$104</definedName>
    <definedName name="RATE_CLASSES" localSheetId="10">[11]lists!$A$1:$A$104</definedName>
    <definedName name="RATE_CLASSES" localSheetId="9">[12]lists!$A$1:$A$104</definedName>
    <definedName name="RATE_CLASSES" localSheetId="11">[12]lists!$A$1:$A$104</definedName>
    <definedName name="RATE_CLASSES">[1]lists!$A$1:$A$104</definedName>
    <definedName name="ratebase" localSheetId="17">'[3]8. STS - Tax Change'!$N$19</definedName>
    <definedName name="ratebase" localSheetId="4">'[4]7. STS - Tax Change'!$N$19</definedName>
    <definedName name="ratebase" localSheetId="7">'[5]8. STS - Tax Change'!$N$19</definedName>
    <definedName name="ratebase" localSheetId="10">'[6]7. STS - Tax Change'!$N$19</definedName>
    <definedName name="ratebase" localSheetId="9">'[7]8. STS - Tax Change'!$N$19</definedName>
    <definedName name="ratebase" localSheetId="11">'[7]8. STS - Tax Change'!$N$19</definedName>
    <definedName name="ratebase">'8. STS - Tax Change'!$N$19</definedName>
    <definedName name="ratedescription" localSheetId="30">[13]hidden1!$D$1:$D$122</definedName>
    <definedName name="ratedescription">[14]hidden1!$D$1:$D$122</definedName>
    <definedName name="RebaseYear" localSheetId="30">'[1]LDC Info'!$E$28</definedName>
    <definedName name="RebaseYear">'[2]LDC Info'!$E$28</definedName>
    <definedName name="SALBENF" localSheetId="22">#REF!</definedName>
    <definedName name="SALBENF" localSheetId="24">#REF!</definedName>
    <definedName name="SALBENF" localSheetId="25">#REF!</definedName>
    <definedName name="SALBENF" localSheetId="26">#REF!</definedName>
    <definedName name="SALBENF" localSheetId="31">#REF!</definedName>
    <definedName name="SALBENF" localSheetId="30">#REF!</definedName>
    <definedName name="SALBENF" localSheetId="4">#REF!</definedName>
    <definedName name="SALBENF" localSheetId="10">#REF!</definedName>
    <definedName name="SALBENF" localSheetId="14">#REF!</definedName>
    <definedName name="SALBENF" localSheetId="15">#REF!</definedName>
    <definedName name="SALBENF">#REF!</definedName>
    <definedName name="salreg" localSheetId="22">#REF!</definedName>
    <definedName name="salreg" localSheetId="24">#REF!</definedName>
    <definedName name="salreg" localSheetId="25">#REF!</definedName>
    <definedName name="salreg" localSheetId="26">#REF!</definedName>
    <definedName name="salreg" localSheetId="31">#REF!</definedName>
    <definedName name="salreg" localSheetId="30">#REF!</definedName>
    <definedName name="salreg" localSheetId="4">#REF!</definedName>
    <definedName name="salreg" localSheetId="10">#REF!</definedName>
    <definedName name="salreg" localSheetId="14">#REF!</definedName>
    <definedName name="salreg" localSheetId="15">#REF!</definedName>
    <definedName name="salreg">#REF!</definedName>
    <definedName name="SALREGF" localSheetId="22">#REF!</definedName>
    <definedName name="SALREGF" localSheetId="24">#REF!</definedName>
    <definedName name="SALREGF" localSheetId="25">#REF!</definedName>
    <definedName name="SALREGF" localSheetId="26">#REF!</definedName>
    <definedName name="SALREGF" localSheetId="31">#REF!</definedName>
    <definedName name="SALREGF" localSheetId="30">#REF!</definedName>
    <definedName name="SALREGF" localSheetId="4">#REF!</definedName>
    <definedName name="SALREGF" localSheetId="10">#REF!</definedName>
    <definedName name="SALREGF" localSheetId="14">#REF!</definedName>
    <definedName name="SALREGF" localSheetId="15">#REF!</definedName>
    <definedName name="SALREGF">#REF!</definedName>
    <definedName name="ServiceTerr">'1. Information Sheet'!$F$16</definedName>
    <definedName name="SME">'17. Regulatory Charges'!$D$33</definedName>
    <definedName name="ss">'2016 List'!$C$10:$C$12</definedName>
    <definedName name="StartEnd" localSheetId="17">'[3]2016 Database'!#REF!</definedName>
    <definedName name="StartEnd" localSheetId="4">'[4]2015 Database'!#REF!</definedName>
    <definedName name="StartEnd" localSheetId="7">'[5]2016 Database'!#REF!</definedName>
    <definedName name="StartEnd" localSheetId="10">'[15]2016 Database'!#REF!</definedName>
    <definedName name="StartEnd" localSheetId="9">[7]Database!#REF!</definedName>
    <definedName name="StartEnd" localSheetId="11">[7]Database!#REF!</definedName>
    <definedName name="StartEnd">Database!#REF!</definedName>
    <definedName name="taxableincome">'8. STS - Tax Change'!$N$30</definedName>
    <definedName name="TEMPA" localSheetId="22">#REF!</definedName>
    <definedName name="TEMPA" localSheetId="24">#REF!</definedName>
    <definedName name="TEMPA" localSheetId="25">#REF!</definedName>
    <definedName name="TEMPA" localSheetId="26">#REF!</definedName>
    <definedName name="TEMPA" localSheetId="31">#REF!</definedName>
    <definedName name="TEMPA" localSheetId="30">#REF!</definedName>
    <definedName name="TEMPA" localSheetId="4">#REF!</definedName>
    <definedName name="TEMPA" localSheetId="10">#REF!</definedName>
    <definedName name="TEMPA" localSheetId="14">#REF!</definedName>
    <definedName name="TEMPA" localSheetId="15">#REF!</definedName>
    <definedName name="TEMPA">#REF!</definedName>
    <definedName name="TestYear" localSheetId="30">'[1]LDC Info'!$E$24</definedName>
    <definedName name="TestYear">'[2]LDC Info'!$E$24</definedName>
    <definedName name="Total_Current_Wholesale_Line">'13. RTSR - Current Wholesale'!$J$109</definedName>
    <definedName name="Total_Current_Wholesale_Lineplus" localSheetId="4">'[4]12. RTSR - Current Wholesale'!$P$113</definedName>
    <definedName name="Total_Current_Wholesale_Lineplus" localSheetId="10">'[6]12. RTSR - Current Wholesale'!$P$113</definedName>
    <definedName name="Total_Current_Wholesale_Lineplus" localSheetId="9">'[7]13. RTSR - Current Wholesale'!$P$113</definedName>
    <definedName name="Total_Current_Wholesale_Lineplus" localSheetId="11">'[7]13. RTSR - Current Wholesale'!$P$113</definedName>
    <definedName name="Total_Current_Wholesale_Lineplus">'13. RTSR - Current Wholesale'!$P$113</definedName>
    <definedName name="total_current_wholesale_network" localSheetId="4">'[4]12. RTSR - Current Wholesale'!$F$109</definedName>
    <definedName name="total_current_wholesale_network" localSheetId="10">'[6]12. RTSR - Current Wholesale'!$F$109</definedName>
    <definedName name="total_current_wholesale_network" localSheetId="9">'[7]13. RTSR - Current Wholesale'!$F$109</definedName>
    <definedName name="total_current_wholesale_network" localSheetId="11">'[7]13. RTSR - Current Wholesale'!$F$109</definedName>
    <definedName name="total_current_wholesale_network">'13. RTSR - Current Wholesale'!$F$109</definedName>
    <definedName name="total_dept" localSheetId="22">#REF!</definedName>
    <definedName name="total_dept" localSheetId="24">#REF!</definedName>
    <definedName name="total_dept" localSheetId="25">#REF!</definedName>
    <definedName name="total_dept" localSheetId="26">#REF!</definedName>
    <definedName name="total_dept" localSheetId="31">#REF!</definedName>
    <definedName name="total_dept" localSheetId="30">#REF!</definedName>
    <definedName name="total_dept" localSheetId="4">#REF!</definedName>
    <definedName name="total_dept" localSheetId="10">#REF!</definedName>
    <definedName name="total_dept" localSheetId="14">#REF!</definedName>
    <definedName name="total_dept" localSheetId="15">#REF!</definedName>
    <definedName name="total_dept">#REF!</definedName>
    <definedName name="total_manpower" localSheetId="22">#REF!</definedName>
    <definedName name="total_manpower" localSheetId="24">#REF!</definedName>
    <definedName name="total_manpower" localSheetId="25">#REF!</definedName>
    <definedName name="total_manpower" localSheetId="26">#REF!</definedName>
    <definedName name="total_manpower" localSheetId="31">#REF!</definedName>
    <definedName name="total_manpower" localSheetId="30">#REF!</definedName>
    <definedName name="total_manpower" localSheetId="4">#REF!</definedName>
    <definedName name="total_manpower" localSheetId="10">#REF!</definedName>
    <definedName name="total_manpower" localSheetId="14">#REF!</definedName>
    <definedName name="total_manpower" localSheetId="15">#REF!</definedName>
    <definedName name="total_manpower">#REF!</definedName>
    <definedName name="total_material" localSheetId="22">#REF!</definedName>
    <definedName name="total_material" localSheetId="24">#REF!</definedName>
    <definedName name="total_material" localSheetId="25">#REF!</definedName>
    <definedName name="total_material" localSheetId="26">#REF!</definedName>
    <definedName name="total_material" localSheetId="31">#REF!</definedName>
    <definedName name="total_material" localSheetId="30">#REF!</definedName>
    <definedName name="total_material" localSheetId="4">#REF!</definedName>
    <definedName name="total_material" localSheetId="10">#REF!</definedName>
    <definedName name="total_material" localSheetId="14">#REF!</definedName>
    <definedName name="total_material" localSheetId="15">#REF!</definedName>
    <definedName name="total_material">#REF!</definedName>
    <definedName name="total_other" localSheetId="22">#REF!</definedName>
    <definedName name="total_other" localSheetId="24">#REF!</definedName>
    <definedName name="total_other" localSheetId="25">#REF!</definedName>
    <definedName name="total_other" localSheetId="26">#REF!</definedName>
    <definedName name="total_other" localSheetId="31">#REF!</definedName>
    <definedName name="total_other" localSheetId="30">#REF!</definedName>
    <definedName name="total_other" localSheetId="4">#REF!</definedName>
    <definedName name="total_other" localSheetId="10">#REF!</definedName>
    <definedName name="total_other" localSheetId="14">#REF!</definedName>
    <definedName name="total_other" localSheetId="15">#REF!</definedName>
    <definedName name="total_other">#REF!</definedName>
    <definedName name="total_transportation" localSheetId="22">#REF!</definedName>
    <definedName name="total_transportation" localSheetId="24">#REF!</definedName>
    <definedName name="total_transportation" localSheetId="25">#REF!</definedName>
    <definedName name="total_transportation" localSheetId="26">#REF!</definedName>
    <definedName name="total_transportation" localSheetId="31">#REF!</definedName>
    <definedName name="total_transportation" localSheetId="30">#REF!</definedName>
    <definedName name="total_transportation" localSheetId="4">#REF!</definedName>
    <definedName name="total_transportation" localSheetId="10">#REF!</definedName>
    <definedName name="total_transportation" localSheetId="14">#REF!</definedName>
    <definedName name="total_transportation" localSheetId="15">#REF!</definedName>
    <definedName name="total_transportation">#REF!</definedName>
    <definedName name="TRANBUD" localSheetId="22">#REF!</definedName>
    <definedName name="TRANBUD" localSheetId="24">#REF!</definedName>
    <definedName name="TRANBUD" localSheetId="25">#REF!</definedName>
    <definedName name="TRANBUD" localSheetId="26">#REF!</definedName>
    <definedName name="TRANBUD" localSheetId="31">#REF!</definedName>
    <definedName name="TRANBUD" localSheetId="30">#REF!</definedName>
    <definedName name="TRANBUD" localSheetId="4">#REF!</definedName>
    <definedName name="TRANBUD" localSheetId="10">#REF!</definedName>
    <definedName name="TRANBUD" localSheetId="14">#REF!</definedName>
    <definedName name="TRANBUD" localSheetId="15">#REF!</definedName>
    <definedName name="TRANBUD">#REF!</definedName>
    <definedName name="TranCust">'6. Class A Consumption Data'!$C$19</definedName>
    <definedName name="TranCustb">'6. Class A Consumption Data'!$C$21</definedName>
    <definedName name="TRANEND" localSheetId="22">#REF!</definedName>
    <definedName name="TRANEND" localSheetId="24">#REF!</definedName>
    <definedName name="TRANEND" localSheetId="25">#REF!</definedName>
    <definedName name="TRANEND" localSheetId="26">#REF!</definedName>
    <definedName name="TRANEND" localSheetId="31">#REF!</definedName>
    <definedName name="TRANEND" localSheetId="30">#REF!</definedName>
    <definedName name="TRANEND" localSheetId="4">#REF!</definedName>
    <definedName name="TRANEND" localSheetId="10">#REF!</definedName>
    <definedName name="TRANEND" localSheetId="14">#REF!</definedName>
    <definedName name="TRANEND" localSheetId="15">#REF!</definedName>
    <definedName name="TRANEND">#REF!</definedName>
    <definedName name="TransCust">'6. Class A Consumption Data'!$C$19</definedName>
    <definedName name="transportation_costs" localSheetId="22">#REF!</definedName>
    <definedName name="transportation_costs" localSheetId="24">#REF!</definedName>
    <definedName name="transportation_costs" localSheetId="25">#REF!</definedName>
    <definedName name="transportation_costs" localSheetId="26">#REF!</definedName>
    <definedName name="transportation_costs" localSheetId="31">#REF!</definedName>
    <definedName name="transportation_costs" localSheetId="30">#REF!</definedName>
    <definedName name="transportation_costs" localSheetId="4">#REF!</definedName>
    <definedName name="transportation_costs" localSheetId="10">#REF!</definedName>
    <definedName name="transportation_costs" localSheetId="14">#REF!</definedName>
    <definedName name="transportation_costs" localSheetId="15">#REF!</definedName>
    <definedName name="transportation_costs">#REF!</definedName>
    <definedName name="TRANSTART" localSheetId="22">#REF!</definedName>
    <definedName name="TRANSTART" localSheetId="24">#REF!</definedName>
    <definedName name="TRANSTART" localSheetId="25">#REF!</definedName>
    <definedName name="TRANSTART" localSheetId="26">#REF!</definedName>
    <definedName name="TRANSTART" localSheetId="31">#REF!</definedName>
    <definedName name="TRANSTART" localSheetId="30">#REF!</definedName>
    <definedName name="TRANSTART" localSheetId="4">#REF!</definedName>
    <definedName name="TRANSTART" localSheetId="10">#REF!</definedName>
    <definedName name="TRANSTART" localSheetId="14">#REF!</definedName>
    <definedName name="TRANSTART" localSheetId="15">#REF!</definedName>
    <definedName name="TRANSTART">#REF!</definedName>
    <definedName name="trn_beg_bud" localSheetId="22">#REF!</definedName>
    <definedName name="trn_beg_bud" localSheetId="24">#REF!</definedName>
    <definedName name="trn_beg_bud" localSheetId="25">#REF!</definedName>
    <definedName name="trn_beg_bud" localSheetId="26">#REF!</definedName>
    <definedName name="trn_beg_bud" localSheetId="31">#REF!</definedName>
    <definedName name="trn_beg_bud" localSheetId="30">#REF!</definedName>
    <definedName name="trn_beg_bud" localSheetId="4">#REF!</definedName>
    <definedName name="trn_beg_bud" localSheetId="10">#REF!</definedName>
    <definedName name="trn_beg_bud" localSheetId="14">#REF!</definedName>
    <definedName name="trn_beg_bud" localSheetId="15">#REF!</definedName>
    <definedName name="trn_beg_bud">#REF!</definedName>
    <definedName name="trn_end_bud" localSheetId="22">#REF!</definedName>
    <definedName name="trn_end_bud" localSheetId="24">#REF!</definedName>
    <definedName name="trn_end_bud" localSheetId="25">#REF!</definedName>
    <definedName name="trn_end_bud" localSheetId="26">#REF!</definedName>
    <definedName name="trn_end_bud" localSheetId="31">#REF!</definedName>
    <definedName name="trn_end_bud" localSheetId="30">#REF!</definedName>
    <definedName name="trn_end_bud" localSheetId="4">#REF!</definedName>
    <definedName name="trn_end_bud" localSheetId="10">#REF!</definedName>
    <definedName name="trn_end_bud" localSheetId="14">#REF!</definedName>
    <definedName name="trn_end_bud" localSheetId="15">#REF!</definedName>
    <definedName name="trn_end_bud">#REF!</definedName>
    <definedName name="trn12ACT" localSheetId="22">#REF!</definedName>
    <definedName name="trn12ACT" localSheetId="24">#REF!</definedName>
    <definedName name="trn12ACT" localSheetId="25">#REF!</definedName>
    <definedName name="trn12ACT" localSheetId="26">#REF!</definedName>
    <definedName name="trn12ACT" localSheetId="31">#REF!</definedName>
    <definedName name="trn12ACT" localSheetId="30">#REF!</definedName>
    <definedName name="trn12ACT" localSheetId="4">#REF!</definedName>
    <definedName name="trn12ACT" localSheetId="10">#REF!</definedName>
    <definedName name="trn12ACT" localSheetId="14">#REF!</definedName>
    <definedName name="trn12ACT" localSheetId="15">#REF!</definedName>
    <definedName name="trn12ACT">#REF!</definedName>
    <definedName name="trnCYACT" localSheetId="22">#REF!</definedName>
    <definedName name="trnCYACT" localSheetId="24">#REF!</definedName>
    <definedName name="trnCYACT" localSheetId="25">#REF!</definedName>
    <definedName name="trnCYACT" localSheetId="26">#REF!</definedName>
    <definedName name="trnCYACT" localSheetId="31">#REF!</definedName>
    <definedName name="trnCYACT" localSheetId="30">#REF!</definedName>
    <definedName name="trnCYACT" localSheetId="4">#REF!</definedName>
    <definedName name="trnCYACT" localSheetId="10">#REF!</definedName>
    <definedName name="trnCYACT" localSheetId="14">#REF!</definedName>
    <definedName name="trnCYACT" localSheetId="15">#REF!</definedName>
    <definedName name="trnCYACT">#REF!</definedName>
    <definedName name="trnCYBUD" localSheetId="22">#REF!</definedName>
    <definedName name="trnCYBUD" localSheetId="24">#REF!</definedName>
    <definedName name="trnCYBUD" localSheetId="25">#REF!</definedName>
    <definedName name="trnCYBUD" localSheetId="26">#REF!</definedName>
    <definedName name="trnCYBUD" localSheetId="31">#REF!</definedName>
    <definedName name="trnCYBUD" localSheetId="30">#REF!</definedName>
    <definedName name="trnCYBUD" localSheetId="4">#REF!</definedName>
    <definedName name="trnCYBUD" localSheetId="10">#REF!</definedName>
    <definedName name="trnCYBUD" localSheetId="14">#REF!</definedName>
    <definedName name="trnCYBUD" localSheetId="15">#REF!</definedName>
    <definedName name="trnCYBUD">#REF!</definedName>
    <definedName name="trnCYF" localSheetId="22">#REF!</definedName>
    <definedName name="trnCYF" localSheetId="24">#REF!</definedName>
    <definedName name="trnCYF" localSheetId="25">#REF!</definedName>
    <definedName name="trnCYF" localSheetId="26">#REF!</definedName>
    <definedName name="trnCYF" localSheetId="31">#REF!</definedName>
    <definedName name="trnCYF" localSheetId="30">#REF!</definedName>
    <definedName name="trnCYF" localSheetId="4">#REF!</definedName>
    <definedName name="trnCYF" localSheetId="10">#REF!</definedName>
    <definedName name="trnCYF" localSheetId="14">#REF!</definedName>
    <definedName name="trnCYF" localSheetId="15">#REF!</definedName>
    <definedName name="trnCYF">#REF!</definedName>
    <definedName name="trnNYbud" localSheetId="22">#REF!</definedName>
    <definedName name="trnNYbud" localSheetId="24">#REF!</definedName>
    <definedName name="trnNYbud" localSheetId="25">#REF!</definedName>
    <definedName name="trnNYbud" localSheetId="26">#REF!</definedName>
    <definedName name="trnNYbud" localSheetId="31">#REF!</definedName>
    <definedName name="trnNYbud" localSheetId="30">#REF!</definedName>
    <definedName name="trnNYbud" localSheetId="4">#REF!</definedName>
    <definedName name="trnNYbud" localSheetId="10">#REF!</definedName>
    <definedName name="trnNYbud" localSheetId="14">#REF!</definedName>
    <definedName name="trnNYbud" localSheetId="15">#REF!</definedName>
    <definedName name="trnNYbud">#REF!</definedName>
    <definedName name="trnPYACT" localSheetId="22">#REF!</definedName>
    <definedName name="trnPYACT" localSheetId="24">#REF!</definedName>
    <definedName name="trnPYACT" localSheetId="25">#REF!</definedName>
    <definedName name="trnPYACT" localSheetId="26">#REF!</definedName>
    <definedName name="trnPYACT" localSheetId="31">#REF!</definedName>
    <definedName name="trnPYACT" localSheetId="30">#REF!</definedName>
    <definedName name="trnPYACT" localSheetId="4">#REF!</definedName>
    <definedName name="trnPYACT" localSheetId="10">#REF!</definedName>
    <definedName name="trnPYACT" localSheetId="14">#REF!</definedName>
    <definedName name="trnPYACT" localSheetId="15">#REF!</definedName>
    <definedName name="trnPYACT">#REF!</definedName>
    <definedName name="Units" localSheetId="30">[1]lists!$N$2:$N$5</definedName>
    <definedName name="units" localSheetId="4">[14]hidden1!$J$3:$J$8</definedName>
    <definedName name="Units">lists!$N$2:$N$5</definedName>
    <definedName name="Units1" localSheetId="9">[7]lists!#REF!</definedName>
    <definedName name="Units1" localSheetId="11">[7]lists!#REF!</definedName>
    <definedName name="Units1">lists!#REF!</definedName>
    <definedName name="Units2" localSheetId="9">[7]lists!#REF!</definedName>
    <definedName name="Units2" localSheetId="11">[7]lists!#REF!</definedName>
    <definedName name="Units2">lists!#REF!</definedName>
    <definedName name="Utility">[8]Financials!$A$1</definedName>
    <definedName name="utitliy1">[16]Financials!$A$1</definedName>
    <definedName name="WAGBENF" localSheetId="22">#REF!</definedName>
    <definedName name="WAGBENF" localSheetId="24">#REF!</definedName>
    <definedName name="WAGBENF" localSheetId="25">#REF!</definedName>
    <definedName name="WAGBENF" localSheetId="26">#REF!</definedName>
    <definedName name="WAGBENF" localSheetId="31">#REF!</definedName>
    <definedName name="WAGBENF" localSheetId="30">#REF!</definedName>
    <definedName name="WAGBENF" localSheetId="4">#REF!</definedName>
    <definedName name="WAGBENF" localSheetId="10">#REF!</definedName>
    <definedName name="WAGBENF" localSheetId="14">#REF!</definedName>
    <definedName name="WAGBENF" localSheetId="15">#REF!</definedName>
    <definedName name="WAGBENF">#REF!</definedName>
    <definedName name="wagdob" localSheetId="22">#REF!</definedName>
    <definedName name="wagdob" localSheetId="24">#REF!</definedName>
    <definedName name="wagdob" localSheetId="25">#REF!</definedName>
    <definedName name="wagdob" localSheetId="26">#REF!</definedName>
    <definedName name="wagdob" localSheetId="31">#REF!</definedName>
    <definedName name="wagdob" localSheetId="30">#REF!</definedName>
    <definedName name="wagdob" localSheetId="4">#REF!</definedName>
    <definedName name="wagdob" localSheetId="10">#REF!</definedName>
    <definedName name="wagdob" localSheetId="14">#REF!</definedName>
    <definedName name="wagdob" localSheetId="15">#REF!</definedName>
    <definedName name="wagdob">#REF!</definedName>
    <definedName name="wagdobf" localSheetId="22">#REF!</definedName>
    <definedName name="wagdobf" localSheetId="24">#REF!</definedName>
    <definedName name="wagdobf" localSheetId="25">#REF!</definedName>
    <definedName name="wagdobf" localSheetId="26">#REF!</definedName>
    <definedName name="wagdobf" localSheetId="31">#REF!</definedName>
    <definedName name="wagdobf" localSheetId="30">#REF!</definedName>
    <definedName name="wagdobf" localSheetId="4">#REF!</definedName>
    <definedName name="wagdobf" localSheetId="10">#REF!</definedName>
    <definedName name="wagdobf" localSheetId="14">#REF!</definedName>
    <definedName name="wagdobf" localSheetId="15">#REF!</definedName>
    <definedName name="wagdobf">#REF!</definedName>
    <definedName name="wagreg" localSheetId="22">#REF!</definedName>
    <definedName name="wagreg" localSheetId="24">#REF!</definedName>
    <definedName name="wagreg" localSheetId="25">#REF!</definedName>
    <definedName name="wagreg" localSheetId="26">#REF!</definedName>
    <definedName name="wagreg" localSheetId="31">#REF!</definedName>
    <definedName name="wagreg" localSheetId="30">#REF!</definedName>
    <definedName name="wagreg" localSheetId="4">#REF!</definedName>
    <definedName name="wagreg" localSheetId="10">#REF!</definedName>
    <definedName name="wagreg" localSheetId="14">#REF!</definedName>
    <definedName name="wagreg" localSheetId="15">#REF!</definedName>
    <definedName name="wagreg">#REF!</definedName>
    <definedName name="wagregf" localSheetId="22">#REF!</definedName>
    <definedName name="wagregf" localSheetId="24">#REF!</definedName>
    <definedName name="wagregf" localSheetId="25">#REF!</definedName>
    <definedName name="wagregf" localSheetId="26">#REF!</definedName>
    <definedName name="wagregf" localSheetId="31">#REF!</definedName>
    <definedName name="wagregf" localSheetId="30">#REF!</definedName>
    <definedName name="wagregf" localSheetId="4">#REF!</definedName>
    <definedName name="wagregf" localSheetId="10">#REF!</definedName>
    <definedName name="wagregf" localSheetId="14">#REF!</definedName>
    <definedName name="wagregf" localSheetId="15">#REF!</definedName>
    <definedName name="wagregf">#REF!</definedName>
    <definedName name="YRS_LEFT" localSheetId="17">'[3]16. Rev2Cost_GDPIPI'!$F$14</definedName>
    <definedName name="YRS_LEFT" localSheetId="4">'[4]15. Rev2Cost_GDPIPI'!$F$14</definedName>
    <definedName name="YRS_LEFT" localSheetId="7">'[5]16. Rev2Cost_GDPIPI'!$F$14</definedName>
    <definedName name="YRS_LEFT" localSheetId="10">'[6]15. Rev2Cost_GDPIPI'!$F$14</definedName>
    <definedName name="YRS_LEFT">'16. Rev2Cost_GDPIPI'!$F$14</definedName>
  </definedNames>
  <calcPr calcId="152511"/>
  <fileRecoveryPr repairLoad="1"/>
</workbook>
</file>

<file path=xl/calcChain.xml><?xml version="1.0" encoding="utf-8"?>
<calcChain xmlns="http://schemas.openxmlformats.org/spreadsheetml/2006/main">
  <c r="B27" i="17" l="1"/>
  <c r="C27" i="17" s="1"/>
  <c r="B26" i="17"/>
  <c r="C26" i="17" s="1"/>
  <c r="G23" i="17"/>
  <c r="H22" i="17"/>
  <c r="G22" i="17"/>
  <c r="F22" i="17"/>
  <c r="H21" i="17"/>
  <c r="G21" i="17"/>
  <c r="F21" i="17"/>
  <c r="H20" i="17"/>
  <c r="G20" i="17"/>
  <c r="F20" i="17"/>
  <c r="H19" i="17"/>
  <c r="G19" i="17"/>
  <c r="F19" i="17"/>
  <c r="H18" i="17"/>
  <c r="G18" i="17"/>
  <c r="F18" i="17"/>
  <c r="F17" i="17"/>
  <c r="C28" i="17" l="1"/>
  <c r="D27" i="17" s="1"/>
  <c r="D33" i="30"/>
  <c r="C33" i="30"/>
  <c r="E33" i="30"/>
  <c r="E31" i="30" s="1"/>
  <c r="E29" i="30"/>
  <c r="E28" i="30"/>
  <c r="E27" i="30"/>
  <c r="K22" i="30"/>
  <c r="K21" i="30"/>
  <c r="K20" i="30"/>
  <c r="K19" i="30"/>
  <c r="K18" i="30"/>
  <c r="K17" i="30"/>
  <c r="K23" i="30" s="1"/>
  <c r="J22" i="30"/>
  <c r="J21" i="30"/>
  <c r="J20" i="30"/>
  <c r="J19" i="30"/>
  <c r="L19" i="30" s="1"/>
  <c r="N19" i="30" s="1"/>
  <c r="J18" i="30"/>
  <c r="J17" i="30"/>
  <c r="I23" i="30"/>
  <c r="E23" i="30"/>
  <c r="D23" i="30"/>
  <c r="C23" i="30"/>
  <c r="I22" i="30"/>
  <c r="I21" i="30"/>
  <c r="I20" i="30"/>
  <c r="I19" i="30"/>
  <c r="I18" i="30"/>
  <c r="I17" i="30"/>
  <c r="D26" i="17" l="1"/>
  <c r="E26" i="17" s="1"/>
  <c r="E30" i="30"/>
  <c r="E32" i="30"/>
  <c r="L20" i="30"/>
  <c r="N20" i="30" s="1"/>
  <c r="L21" i="30"/>
  <c r="O21" i="30" s="1"/>
  <c r="L18" i="30"/>
  <c r="N18" i="30" s="1"/>
  <c r="L17" i="30"/>
  <c r="M17" i="30" s="1"/>
  <c r="M21" i="30"/>
  <c r="M19" i="30"/>
  <c r="L22" i="30"/>
  <c r="N22" i="30" s="1"/>
  <c r="N21" i="30"/>
  <c r="J23" i="30"/>
  <c r="O20" i="30"/>
  <c r="M20" i="30"/>
  <c r="O18" i="30"/>
  <c r="O19" i="30"/>
  <c r="M18" i="30"/>
  <c r="N17" i="30"/>
  <c r="O17" i="30"/>
  <c r="H65" i="56"/>
  <c r="I65" i="56"/>
  <c r="J65" i="56"/>
  <c r="K65" i="56"/>
  <c r="L65" i="56"/>
  <c r="M65" i="56"/>
  <c r="N65" i="56"/>
  <c r="O65" i="56"/>
  <c r="H66" i="56"/>
  <c r="I66" i="56"/>
  <c r="J66" i="56"/>
  <c r="K66" i="56"/>
  <c r="L66" i="56"/>
  <c r="M66" i="56"/>
  <c r="N66" i="56"/>
  <c r="O66" i="56"/>
  <c r="H67" i="56"/>
  <c r="I67" i="56"/>
  <c r="J67" i="56"/>
  <c r="K67" i="56"/>
  <c r="L67" i="56"/>
  <c r="M67" i="56"/>
  <c r="N67" i="56"/>
  <c r="O67" i="56"/>
  <c r="H68" i="56"/>
  <c r="I68" i="56"/>
  <c r="J68" i="56"/>
  <c r="K68" i="56"/>
  <c r="L68" i="56"/>
  <c r="M68" i="56"/>
  <c r="N68" i="56"/>
  <c r="O68" i="56"/>
  <c r="H69" i="56"/>
  <c r="I69" i="56"/>
  <c r="J69" i="56"/>
  <c r="K69" i="56"/>
  <c r="L69" i="56"/>
  <c r="M69" i="56"/>
  <c r="N69" i="56"/>
  <c r="O69" i="56"/>
  <c r="H70" i="56"/>
  <c r="I70" i="56"/>
  <c r="J70" i="56"/>
  <c r="K70" i="56"/>
  <c r="L70" i="56"/>
  <c r="M70" i="56"/>
  <c r="N70" i="56"/>
  <c r="O70" i="56"/>
  <c r="H71" i="56"/>
  <c r="I71" i="56"/>
  <c r="J71" i="56"/>
  <c r="K71" i="56"/>
  <c r="L71" i="56"/>
  <c r="M71" i="56"/>
  <c r="N71" i="56"/>
  <c r="O71" i="56"/>
  <c r="H72" i="56"/>
  <c r="I72" i="56"/>
  <c r="J72" i="56"/>
  <c r="K72" i="56"/>
  <c r="L72" i="56"/>
  <c r="M72" i="56"/>
  <c r="N72" i="56"/>
  <c r="O72" i="56"/>
  <c r="H73" i="56"/>
  <c r="I73" i="56"/>
  <c r="J73" i="56"/>
  <c r="K73" i="56"/>
  <c r="L73" i="56"/>
  <c r="M73" i="56"/>
  <c r="N73" i="56"/>
  <c r="O73" i="56"/>
  <c r="H74" i="56"/>
  <c r="I74" i="56"/>
  <c r="J74" i="56"/>
  <c r="K74" i="56"/>
  <c r="L74" i="56"/>
  <c r="M74" i="56"/>
  <c r="N74" i="56"/>
  <c r="O74" i="56"/>
  <c r="C629" i="56"/>
  <c r="E587" i="56"/>
  <c r="E586" i="56"/>
  <c r="E585" i="56"/>
  <c r="E584" i="56"/>
  <c r="E583" i="56"/>
  <c r="K582" i="56"/>
  <c r="E582" i="56"/>
  <c r="A592" i="56" s="1"/>
  <c r="A593" i="56" s="1"/>
  <c r="A594" i="56" s="1"/>
  <c r="A595" i="56" s="1"/>
  <c r="A596" i="56" s="1"/>
  <c r="A597" i="56" s="1"/>
  <c r="A598" i="56" s="1"/>
  <c r="A599" i="56" s="1"/>
  <c r="A600" i="56" s="1"/>
  <c r="A601" i="56" s="1"/>
  <c r="A602" i="56" s="1"/>
  <c r="A603" i="56" s="1"/>
  <c r="A604" i="56" s="1"/>
  <c r="A605" i="56" s="1"/>
  <c r="A606" i="56" s="1"/>
  <c r="A607" i="56" s="1"/>
  <c r="A608" i="56" s="1"/>
  <c r="A609" i="56" s="1"/>
  <c r="A610" i="56" s="1"/>
  <c r="A611" i="56" s="1"/>
  <c r="A612" i="56" s="1"/>
  <c r="A613" i="56" s="1"/>
  <c r="A614" i="56" s="1"/>
  <c r="A615" i="56" s="1"/>
  <c r="A616" i="56" s="1"/>
  <c r="A617" i="56" s="1"/>
  <c r="A618" i="56" s="1"/>
  <c r="A619" i="56" s="1"/>
  <c r="A620" i="56" s="1"/>
  <c r="A621" i="56" s="1"/>
  <c r="A622" i="56" s="1"/>
  <c r="A623" i="56" s="1"/>
  <c r="A624" i="56" s="1"/>
  <c r="A625" i="56" s="1"/>
  <c r="A626" i="56" s="1"/>
  <c r="A627" i="56" s="1"/>
  <c r="A628" i="56" s="1"/>
  <c r="A629" i="56" s="1"/>
  <c r="A630" i="56" s="1"/>
  <c r="A631" i="56" s="1"/>
  <c r="A632" i="56" s="1"/>
  <c r="A633" i="56" s="1"/>
  <c r="A634" i="56" s="1"/>
  <c r="A635" i="56" s="1"/>
  <c r="C610" i="56"/>
  <c r="C607" i="56"/>
  <c r="C598" i="56"/>
  <c r="J619" i="56"/>
  <c r="I619" i="56"/>
  <c r="I599" i="56" s="1"/>
  <c r="J599" i="56" s="1"/>
  <c r="K599" i="56" s="1"/>
  <c r="G619" i="56"/>
  <c r="H619" i="56" s="1"/>
  <c r="J618" i="56"/>
  <c r="K618" i="56" s="1"/>
  <c r="I618" i="56"/>
  <c r="G618" i="56"/>
  <c r="H618" i="56" s="1"/>
  <c r="J617" i="56"/>
  <c r="I617" i="56"/>
  <c r="G617" i="56"/>
  <c r="F617" i="56"/>
  <c r="J616" i="56"/>
  <c r="I616" i="56"/>
  <c r="G616" i="56"/>
  <c r="F616" i="56"/>
  <c r="J615" i="56"/>
  <c r="I615" i="56"/>
  <c r="G615" i="56"/>
  <c r="H615" i="56" s="1"/>
  <c r="F615" i="56"/>
  <c r="J612" i="56"/>
  <c r="K612" i="56" s="1"/>
  <c r="G612" i="56"/>
  <c r="H612" i="56" s="1"/>
  <c r="F612" i="56"/>
  <c r="J611" i="56"/>
  <c r="K611" i="56" s="1"/>
  <c r="G611" i="56"/>
  <c r="H611" i="56" s="1"/>
  <c r="J609" i="56"/>
  <c r="K609" i="56" s="1"/>
  <c r="G609" i="56"/>
  <c r="H609" i="56" s="1"/>
  <c r="J608" i="56"/>
  <c r="K608" i="56" s="1"/>
  <c r="G608" i="56"/>
  <c r="H608" i="56" s="1"/>
  <c r="J606" i="56"/>
  <c r="K606" i="56" s="1"/>
  <c r="G606" i="56"/>
  <c r="H606" i="56" s="1"/>
  <c r="K605" i="56"/>
  <c r="H605" i="56"/>
  <c r="L605" i="56" s="1"/>
  <c r="M605" i="56" s="1"/>
  <c r="I604" i="56"/>
  <c r="K604" i="56" s="1"/>
  <c r="F604" i="56"/>
  <c r="H604" i="56" s="1"/>
  <c r="J603" i="56"/>
  <c r="K603" i="56" s="1"/>
  <c r="G603" i="56"/>
  <c r="H603" i="56" s="1"/>
  <c r="J602" i="56"/>
  <c r="K602" i="56" s="1"/>
  <c r="G602" i="56"/>
  <c r="H602" i="56" s="1"/>
  <c r="J601" i="56"/>
  <c r="K601" i="56" s="1"/>
  <c r="G601" i="56"/>
  <c r="H601" i="56" s="1"/>
  <c r="J600" i="56"/>
  <c r="K600" i="56" s="1"/>
  <c r="G600" i="56"/>
  <c r="H600" i="56" s="1"/>
  <c r="F599" i="56"/>
  <c r="G599" i="56" s="1"/>
  <c r="H599" i="56" s="1"/>
  <c r="J597" i="56"/>
  <c r="K597" i="56" s="1"/>
  <c r="G597" i="56"/>
  <c r="H597" i="56" s="1"/>
  <c r="J596" i="56"/>
  <c r="K596" i="56" s="1"/>
  <c r="H596" i="56"/>
  <c r="J595" i="56"/>
  <c r="G595" i="56"/>
  <c r="J594" i="56"/>
  <c r="G594" i="56"/>
  <c r="J593" i="56"/>
  <c r="K593" i="56" s="1"/>
  <c r="H593" i="56"/>
  <c r="G593" i="56"/>
  <c r="K592" i="56"/>
  <c r="J592" i="56"/>
  <c r="H592" i="56"/>
  <c r="C573" i="56"/>
  <c r="E531" i="56"/>
  <c r="E530" i="56"/>
  <c r="E529" i="56"/>
  <c r="E528" i="56"/>
  <c r="E527" i="56"/>
  <c r="K526" i="56"/>
  <c r="E526" i="56"/>
  <c r="C554" i="56"/>
  <c r="C551" i="56"/>
  <c r="C542" i="56"/>
  <c r="J563" i="56"/>
  <c r="I563" i="56"/>
  <c r="I543" i="56" s="1"/>
  <c r="J543" i="56" s="1"/>
  <c r="K543" i="56" s="1"/>
  <c r="G563" i="56"/>
  <c r="H563" i="56" s="1"/>
  <c r="J562" i="56"/>
  <c r="K562" i="56" s="1"/>
  <c r="I562" i="56"/>
  <c r="G562" i="56"/>
  <c r="H562" i="56" s="1"/>
  <c r="J561" i="56"/>
  <c r="K561" i="56" s="1"/>
  <c r="I561" i="56"/>
  <c r="G561" i="56"/>
  <c r="H561" i="56" s="1"/>
  <c r="F561" i="56"/>
  <c r="J560" i="56"/>
  <c r="K560" i="56" s="1"/>
  <c r="I560" i="56"/>
  <c r="G560" i="56"/>
  <c r="F560" i="56"/>
  <c r="H560" i="56" s="1"/>
  <c r="J559" i="56"/>
  <c r="I559" i="56"/>
  <c r="G559" i="56"/>
  <c r="F559" i="56"/>
  <c r="J556" i="56"/>
  <c r="K556" i="56" s="1"/>
  <c r="G556" i="56"/>
  <c r="H556" i="56" s="1"/>
  <c r="F556" i="56"/>
  <c r="J555" i="56"/>
  <c r="K555" i="56" s="1"/>
  <c r="G555" i="56"/>
  <c r="H555" i="56" s="1"/>
  <c r="J553" i="56"/>
  <c r="K553" i="56" s="1"/>
  <c r="G553" i="56"/>
  <c r="H553" i="56" s="1"/>
  <c r="J552" i="56"/>
  <c r="K552" i="56" s="1"/>
  <c r="G552" i="56"/>
  <c r="H552" i="56" s="1"/>
  <c r="J550" i="56"/>
  <c r="K550" i="56" s="1"/>
  <c r="G550" i="56"/>
  <c r="H550" i="56" s="1"/>
  <c r="K549" i="56"/>
  <c r="H549" i="56"/>
  <c r="I548" i="56"/>
  <c r="K548" i="56" s="1"/>
  <c r="F548" i="56"/>
  <c r="H548" i="56" s="1"/>
  <c r="J547" i="56"/>
  <c r="K547" i="56" s="1"/>
  <c r="G547" i="56"/>
  <c r="H547" i="56" s="1"/>
  <c r="J546" i="56"/>
  <c r="K546" i="56" s="1"/>
  <c r="G546" i="56"/>
  <c r="H546" i="56" s="1"/>
  <c r="J545" i="56"/>
  <c r="K545" i="56" s="1"/>
  <c r="G545" i="56"/>
  <c r="H545" i="56" s="1"/>
  <c r="J544" i="56"/>
  <c r="K544" i="56" s="1"/>
  <c r="G544" i="56"/>
  <c r="H544" i="56" s="1"/>
  <c r="F543" i="56"/>
  <c r="G543" i="56" s="1"/>
  <c r="H543" i="56" s="1"/>
  <c r="J541" i="56"/>
  <c r="K541" i="56" s="1"/>
  <c r="G541" i="56"/>
  <c r="H541" i="56" s="1"/>
  <c r="J540" i="56"/>
  <c r="K540" i="56" s="1"/>
  <c r="L540" i="56" s="1"/>
  <c r="M540" i="56" s="1"/>
  <c r="H540" i="56"/>
  <c r="J539" i="56"/>
  <c r="G539" i="56"/>
  <c r="J538" i="56"/>
  <c r="G538" i="56"/>
  <c r="J537" i="56"/>
  <c r="K537" i="56" s="1"/>
  <c r="G537" i="56"/>
  <c r="H537" i="56" s="1"/>
  <c r="K536" i="56"/>
  <c r="J536" i="56"/>
  <c r="H536" i="56"/>
  <c r="A536" i="56"/>
  <c r="A537" i="56" s="1"/>
  <c r="A538" i="56" s="1"/>
  <c r="A539" i="56" s="1"/>
  <c r="A540" i="56" s="1"/>
  <c r="A541" i="56" s="1"/>
  <c r="A542" i="56" s="1"/>
  <c r="A543" i="56" s="1"/>
  <c r="A544" i="56" s="1"/>
  <c r="A545" i="56" s="1"/>
  <c r="A546" i="56" s="1"/>
  <c r="A547" i="56" s="1"/>
  <c r="A548" i="56" s="1"/>
  <c r="A549" i="56" s="1"/>
  <c r="A550" i="56" s="1"/>
  <c r="A551" i="56" s="1"/>
  <c r="A552" i="56" s="1"/>
  <c r="A553" i="56" s="1"/>
  <c r="A554" i="56" s="1"/>
  <c r="A555" i="56" s="1"/>
  <c r="A556" i="56" s="1"/>
  <c r="A557" i="56" s="1"/>
  <c r="A558" i="56" s="1"/>
  <c r="A559" i="56" s="1"/>
  <c r="A560" i="56" s="1"/>
  <c r="A561" i="56" s="1"/>
  <c r="A562" i="56" s="1"/>
  <c r="A563" i="56" s="1"/>
  <c r="A564" i="56" s="1"/>
  <c r="A565" i="56" s="1"/>
  <c r="A566" i="56" s="1"/>
  <c r="A567" i="56" s="1"/>
  <c r="A568" i="56" s="1"/>
  <c r="A569" i="56" s="1"/>
  <c r="A570" i="56" s="1"/>
  <c r="A571" i="56" s="1"/>
  <c r="A572" i="56" s="1"/>
  <c r="A573" i="56" s="1"/>
  <c r="A574" i="56" s="1"/>
  <c r="A575" i="56" s="1"/>
  <c r="A576" i="56" s="1"/>
  <c r="A577" i="56" s="1"/>
  <c r="A578" i="56" s="1"/>
  <c r="A579" i="56" s="1"/>
  <c r="C512" i="56"/>
  <c r="E475" i="56"/>
  <c r="E474" i="56"/>
  <c r="E473" i="56"/>
  <c r="E472" i="56"/>
  <c r="E471" i="56"/>
  <c r="K470" i="56"/>
  <c r="E470" i="56"/>
  <c r="C498" i="56"/>
  <c r="C495" i="56"/>
  <c r="C486" i="56"/>
  <c r="J507" i="56"/>
  <c r="I507" i="56"/>
  <c r="G507" i="56"/>
  <c r="H507" i="56" s="1"/>
  <c r="J506" i="56"/>
  <c r="I506" i="56"/>
  <c r="G506" i="56"/>
  <c r="H506" i="56" s="1"/>
  <c r="J505" i="56"/>
  <c r="K505" i="56" s="1"/>
  <c r="I505" i="56"/>
  <c r="G505" i="56"/>
  <c r="F505" i="56"/>
  <c r="J504" i="56"/>
  <c r="I504" i="56"/>
  <c r="G504" i="56"/>
  <c r="F504" i="56"/>
  <c r="F487" i="56" s="1"/>
  <c r="G487" i="56" s="1"/>
  <c r="H487" i="56" s="1"/>
  <c r="J503" i="56"/>
  <c r="K503" i="56" s="1"/>
  <c r="I503" i="56"/>
  <c r="G503" i="56"/>
  <c r="F503" i="56"/>
  <c r="K501" i="56"/>
  <c r="I501" i="56"/>
  <c r="H501" i="56"/>
  <c r="J500" i="56"/>
  <c r="K500" i="56" s="1"/>
  <c r="G500" i="56"/>
  <c r="H500" i="56" s="1"/>
  <c r="F500" i="56"/>
  <c r="J499" i="56"/>
  <c r="K499" i="56" s="1"/>
  <c r="G499" i="56"/>
  <c r="H499" i="56" s="1"/>
  <c r="J497" i="56"/>
  <c r="K497" i="56" s="1"/>
  <c r="G497" i="56"/>
  <c r="H497" i="56" s="1"/>
  <c r="J496" i="56"/>
  <c r="K496" i="56" s="1"/>
  <c r="G496" i="56"/>
  <c r="H496" i="56" s="1"/>
  <c r="J494" i="56"/>
  <c r="K494" i="56" s="1"/>
  <c r="G494" i="56"/>
  <c r="H494" i="56" s="1"/>
  <c r="K493" i="56"/>
  <c r="H493" i="56"/>
  <c r="I492" i="56"/>
  <c r="K492" i="56" s="1"/>
  <c r="F492" i="56"/>
  <c r="H492" i="56" s="1"/>
  <c r="J491" i="56"/>
  <c r="K491" i="56" s="1"/>
  <c r="G491" i="56"/>
  <c r="H491" i="56" s="1"/>
  <c r="J490" i="56"/>
  <c r="K490" i="56" s="1"/>
  <c r="G490" i="56"/>
  <c r="H490" i="56" s="1"/>
  <c r="J489" i="56"/>
  <c r="K489" i="56" s="1"/>
  <c r="G489" i="56"/>
  <c r="H489" i="56" s="1"/>
  <c r="J488" i="56"/>
  <c r="K488" i="56" s="1"/>
  <c r="G488" i="56"/>
  <c r="H488" i="56" s="1"/>
  <c r="J485" i="56"/>
  <c r="K485" i="56" s="1"/>
  <c r="G485" i="56"/>
  <c r="H485" i="56" s="1"/>
  <c r="J484" i="56"/>
  <c r="K484" i="56" s="1"/>
  <c r="H484" i="56"/>
  <c r="J483" i="56"/>
  <c r="G483" i="56"/>
  <c r="J482" i="56"/>
  <c r="G482" i="56"/>
  <c r="J481" i="56"/>
  <c r="K481" i="56" s="1"/>
  <c r="G481" i="56"/>
  <c r="H481" i="56" s="1"/>
  <c r="K480" i="56"/>
  <c r="J480" i="56"/>
  <c r="H480" i="56"/>
  <c r="A480" i="56"/>
  <c r="A481" i="56" s="1"/>
  <c r="A482" i="56" s="1"/>
  <c r="A483" i="56" s="1"/>
  <c r="A484" i="56" s="1"/>
  <c r="A485" i="56" s="1"/>
  <c r="A486" i="56" s="1"/>
  <c r="A487" i="56" s="1"/>
  <c r="A488" i="56" s="1"/>
  <c r="A489" i="56" s="1"/>
  <c r="A490" i="56" s="1"/>
  <c r="A491" i="56" s="1"/>
  <c r="A492" i="56" s="1"/>
  <c r="A493" i="56" s="1"/>
  <c r="A494" i="56" s="1"/>
  <c r="A495" i="56" s="1"/>
  <c r="A496" i="56" s="1"/>
  <c r="A497" i="56" s="1"/>
  <c r="A498" i="56" s="1"/>
  <c r="A499" i="56" s="1"/>
  <c r="A500" i="56" s="1"/>
  <c r="A501" i="56" s="1"/>
  <c r="A502" i="56" s="1"/>
  <c r="A503" i="56" s="1"/>
  <c r="A504" i="56" s="1"/>
  <c r="A505" i="56" s="1"/>
  <c r="A506" i="56" s="1"/>
  <c r="A507" i="56" s="1"/>
  <c r="A508" i="56" s="1"/>
  <c r="A509" i="56" s="1"/>
  <c r="A510" i="56" s="1"/>
  <c r="A511" i="56" s="1"/>
  <c r="A512" i="56" s="1"/>
  <c r="A513" i="56" s="1"/>
  <c r="A514" i="56" s="1"/>
  <c r="A515" i="56" s="1"/>
  <c r="A516" i="56" s="1"/>
  <c r="A517" i="56" s="1"/>
  <c r="A518" i="56" s="1"/>
  <c r="A519" i="56" s="1"/>
  <c r="A520" i="56" s="1"/>
  <c r="A521" i="56" s="1"/>
  <c r="A522" i="56" s="1"/>
  <c r="A523" i="56" s="1"/>
  <c r="C461" i="56"/>
  <c r="E419" i="56"/>
  <c r="E418" i="56"/>
  <c r="E417" i="56"/>
  <c r="E416" i="56"/>
  <c r="E415" i="56"/>
  <c r="K414" i="56"/>
  <c r="E414" i="56"/>
  <c r="C442" i="56"/>
  <c r="C439" i="56"/>
  <c r="C430" i="56"/>
  <c r="J451" i="56"/>
  <c r="I451" i="56"/>
  <c r="G451" i="56"/>
  <c r="H451" i="56" s="1"/>
  <c r="J450" i="56"/>
  <c r="K450" i="56" s="1"/>
  <c r="I450" i="56"/>
  <c r="G450" i="56"/>
  <c r="H450" i="56" s="1"/>
  <c r="J449" i="56"/>
  <c r="I449" i="56"/>
  <c r="G449" i="56"/>
  <c r="H449" i="56" s="1"/>
  <c r="F449" i="56"/>
  <c r="J448" i="56"/>
  <c r="I448" i="56"/>
  <c r="G448" i="56"/>
  <c r="F448" i="56"/>
  <c r="J447" i="56"/>
  <c r="K447" i="56" s="1"/>
  <c r="I447" i="56"/>
  <c r="G447" i="56"/>
  <c r="H447" i="56" s="1"/>
  <c r="F447" i="56"/>
  <c r="J444" i="56"/>
  <c r="K444" i="56" s="1"/>
  <c r="G444" i="56"/>
  <c r="H444" i="56" s="1"/>
  <c r="F444" i="56"/>
  <c r="J443" i="56"/>
  <c r="K443" i="56" s="1"/>
  <c r="G443" i="56"/>
  <c r="H443" i="56" s="1"/>
  <c r="J441" i="56"/>
  <c r="K441" i="56" s="1"/>
  <c r="G441" i="56"/>
  <c r="H441" i="56" s="1"/>
  <c r="J440" i="56"/>
  <c r="K440" i="56" s="1"/>
  <c r="G440" i="56"/>
  <c r="H440" i="56" s="1"/>
  <c r="J438" i="56"/>
  <c r="K438" i="56" s="1"/>
  <c r="G438" i="56"/>
  <c r="H438" i="56" s="1"/>
  <c r="K437" i="56"/>
  <c r="H437" i="56"/>
  <c r="I436" i="56"/>
  <c r="K436" i="56" s="1"/>
  <c r="F436" i="56"/>
  <c r="H436" i="56" s="1"/>
  <c r="J435" i="56"/>
  <c r="K435" i="56" s="1"/>
  <c r="G435" i="56"/>
  <c r="H435" i="56" s="1"/>
  <c r="J434" i="56"/>
  <c r="K434" i="56" s="1"/>
  <c r="G434" i="56"/>
  <c r="H434" i="56" s="1"/>
  <c r="J433" i="56"/>
  <c r="K433" i="56" s="1"/>
  <c r="G433" i="56"/>
  <c r="H433" i="56" s="1"/>
  <c r="J432" i="56"/>
  <c r="K432" i="56" s="1"/>
  <c r="G432" i="56"/>
  <c r="H432" i="56" s="1"/>
  <c r="I431" i="56"/>
  <c r="J431" i="56" s="1"/>
  <c r="K431" i="56" s="1"/>
  <c r="F431" i="56"/>
  <c r="G431" i="56" s="1"/>
  <c r="H431" i="56" s="1"/>
  <c r="J429" i="56"/>
  <c r="K429" i="56" s="1"/>
  <c r="G429" i="56"/>
  <c r="H429" i="56" s="1"/>
  <c r="J428" i="56"/>
  <c r="K428" i="56" s="1"/>
  <c r="H428" i="56"/>
  <c r="J427" i="56"/>
  <c r="G427" i="56"/>
  <c r="J426" i="56"/>
  <c r="G426" i="56"/>
  <c r="J425" i="56"/>
  <c r="K425" i="56" s="1"/>
  <c r="G425" i="56"/>
  <c r="H425" i="56" s="1"/>
  <c r="K424" i="56"/>
  <c r="J424" i="56"/>
  <c r="H424" i="56"/>
  <c r="A424" i="56"/>
  <c r="A425" i="56" s="1"/>
  <c r="A426" i="56" s="1"/>
  <c r="A427" i="56" s="1"/>
  <c r="A428" i="56" s="1"/>
  <c r="A429" i="56" s="1"/>
  <c r="A430" i="56" s="1"/>
  <c r="A431" i="56" s="1"/>
  <c r="A432" i="56" s="1"/>
  <c r="A433" i="56" s="1"/>
  <c r="A434" i="56" s="1"/>
  <c r="A435" i="56" s="1"/>
  <c r="A436" i="56" s="1"/>
  <c r="A437" i="56" s="1"/>
  <c r="A438" i="56" s="1"/>
  <c r="A439" i="56" s="1"/>
  <c r="A440" i="56" s="1"/>
  <c r="A441" i="56" s="1"/>
  <c r="A442" i="56" s="1"/>
  <c r="A443" i="56" s="1"/>
  <c r="A444" i="56" s="1"/>
  <c r="A445" i="56" s="1"/>
  <c r="A446" i="56" s="1"/>
  <c r="A447" i="56" s="1"/>
  <c r="A448" i="56" s="1"/>
  <c r="A449" i="56" s="1"/>
  <c r="A450" i="56" s="1"/>
  <c r="A451" i="56" s="1"/>
  <c r="A452" i="56" s="1"/>
  <c r="A453" i="56" s="1"/>
  <c r="A454" i="56" s="1"/>
  <c r="A455" i="56" s="1"/>
  <c r="A456" i="56" s="1"/>
  <c r="A457" i="56" s="1"/>
  <c r="A458" i="56" s="1"/>
  <c r="A459" i="56" s="1"/>
  <c r="A460" i="56" s="1"/>
  <c r="A461" i="56" s="1"/>
  <c r="A462" i="56" s="1"/>
  <c r="A463" i="56" s="1"/>
  <c r="A464" i="56" s="1"/>
  <c r="A465" i="56" s="1"/>
  <c r="A466" i="56" s="1"/>
  <c r="A467" i="56" s="1"/>
  <c r="C410" i="56"/>
  <c r="E363" i="56"/>
  <c r="E362" i="56"/>
  <c r="E361" i="56"/>
  <c r="E360" i="56"/>
  <c r="E359" i="56"/>
  <c r="K358" i="56"/>
  <c r="E358" i="56"/>
  <c r="C386" i="56"/>
  <c r="C383" i="56"/>
  <c r="C374" i="56"/>
  <c r="J395" i="56"/>
  <c r="I395" i="56"/>
  <c r="G395" i="56"/>
  <c r="H395" i="56" s="1"/>
  <c r="J394" i="56"/>
  <c r="I394" i="56"/>
  <c r="G394" i="56"/>
  <c r="H394" i="56" s="1"/>
  <c r="J393" i="56"/>
  <c r="I393" i="56"/>
  <c r="K393" i="56" s="1"/>
  <c r="G393" i="56"/>
  <c r="H393" i="56" s="1"/>
  <c r="F393" i="56"/>
  <c r="J392" i="56"/>
  <c r="I392" i="56"/>
  <c r="G392" i="56"/>
  <c r="F392" i="56"/>
  <c r="J391" i="56"/>
  <c r="I391" i="56"/>
  <c r="G391" i="56"/>
  <c r="F391" i="56"/>
  <c r="K389" i="56"/>
  <c r="L389" i="56" s="1"/>
  <c r="M389" i="56" s="1"/>
  <c r="I389" i="56"/>
  <c r="H389" i="56"/>
  <c r="J388" i="56"/>
  <c r="K388" i="56" s="1"/>
  <c r="G388" i="56"/>
  <c r="H388" i="56" s="1"/>
  <c r="F388" i="56"/>
  <c r="J387" i="56"/>
  <c r="K387" i="56" s="1"/>
  <c r="G387" i="56"/>
  <c r="H387" i="56" s="1"/>
  <c r="J385" i="56"/>
  <c r="K385" i="56" s="1"/>
  <c r="G385" i="56"/>
  <c r="H385" i="56" s="1"/>
  <c r="J384" i="56"/>
  <c r="K384" i="56" s="1"/>
  <c r="G384" i="56"/>
  <c r="H384" i="56" s="1"/>
  <c r="J382" i="56"/>
  <c r="K382" i="56" s="1"/>
  <c r="G382" i="56"/>
  <c r="H382" i="56" s="1"/>
  <c r="K381" i="56"/>
  <c r="L381" i="56" s="1"/>
  <c r="M381" i="56" s="1"/>
  <c r="H381" i="56"/>
  <c r="I380" i="56"/>
  <c r="K380" i="56" s="1"/>
  <c r="F380" i="56"/>
  <c r="H380" i="56" s="1"/>
  <c r="K379" i="56"/>
  <c r="J379" i="56"/>
  <c r="G379" i="56"/>
  <c r="H379" i="56" s="1"/>
  <c r="J378" i="56"/>
  <c r="K378" i="56" s="1"/>
  <c r="G378" i="56"/>
  <c r="H378" i="56" s="1"/>
  <c r="J377" i="56"/>
  <c r="K377" i="56" s="1"/>
  <c r="G377" i="56"/>
  <c r="H377" i="56" s="1"/>
  <c r="J376" i="56"/>
  <c r="K376" i="56" s="1"/>
  <c r="G376" i="56"/>
  <c r="H376" i="56" s="1"/>
  <c r="I375" i="56"/>
  <c r="J375" i="56" s="1"/>
  <c r="K375" i="56" s="1"/>
  <c r="F375" i="56"/>
  <c r="G375" i="56" s="1"/>
  <c r="H375" i="56" s="1"/>
  <c r="J373" i="56"/>
  <c r="K373" i="56" s="1"/>
  <c r="G373" i="56"/>
  <c r="H373" i="56" s="1"/>
  <c r="J372" i="56"/>
  <c r="K372" i="56" s="1"/>
  <c r="H372" i="56"/>
  <c r="J371" i="56"/>
  <c r="G371" i="56"/>
  <c r="J370" i="56"/>
  <c r="J369" i="56"/>
  <c r="K369" i="56" s="1"/>
  <c r="G369" i="56"/>
  <c r="H369" i="56" s="1"/>
  <c r="A369" i="56"/>
  <c r="A370" i="56" s="1"/>
  <c r="A371" i="56" s="1"/>
  <c r="A372" i="56" s="1"/>
  <c r="A373" i="56" s="1"/>
  <c r="A374" i="56" s="1"/>
  <c r="A375" i="56" s="1"/>
  <c r="A376" i="56" s="1"/>
  <c r="A377" i="56" s="1"/>
  <c r="A378" i="56" s="1"/>
  <c r="A379" i="56" s="1"/>
  <c r="A380" i="56" s="1"/>
  <c r="A381" i="56" s="1"/>
  <c r="A382" i="56" s="1"/>
  <c r="A383" i="56" s="1"/>
  <c r="A384" i="56" s="1"/>
  <c r="A385" i="56" s="1"/>
  <c r="A386" i="56" s="1"/>
  <c r="A387" i="56" s="1"/>
  <c r="A388" i="56" s="1"/>
  <c r="A389" i="56" s="1"/>
  <c r="A390" i="56" s="1"/>
  <c r="A391" i="56" s="1"/>
  <c r="A392" i="56" s="1"/>
  <c r="A393" i="56" s="1"/>
  <c r="A394" i="56" s="1"/>
  <c r="A395" i="56" s="1"/>
  <c r="A396" i="56" s="1"/>
  <c r="A397" i="56" s="1"/>
  <c r="A398" i="56" s="1"/>
  <c r="A399" i="56" s="1"/>
  <c r="A400" i="56" s="1"/>
  <c r="A401" i="56" s="1"/>
  <c r="A402" i="56" s="1"/>
  <c r="A403" i="56" s="1"/>
  <c r="A404" i="56" s="1"/>
  <c r="A405" i="56" s="1"/>
  <c r="A406" i="56" s="1"/>
  <c r="A407" i="56" s="1"/>
  <c r="A408" i="56" s="1"/>
  <c r="A409" i="56" s="1"/>
  <c r="A410" i="56" s="1"/>
  <c r="A411" i="56" s="1"/>
  <c r="J368" i="56"/>
  <c r="K368" i="56" s="1"/>
  <c r="H368" i="56"/>
  <c r="A368" i="56"/>
  <c r="C344" i="56"/>
  <c r="E307" i="56"/>
  <c r="E306" i="56"/>
  <c r="E305" i="56"/>
  <c r="E304" i="56"/>
  <c r="E303" i="56"/>
  <c r="K302" i="56"/>
  <c r="E302" i="56"/>
  <c r="C330" i="56"/>
  <c r="C327" i="56"/>
  <c r="C318" i="56"/>
  <c r="J339" i="56"/>
  <c r="I339" i="56"/>
  <c r="G339" i="56"/>
  <c r="H339" i="56" s="1"/>
  <c r="J338" i="56"/>
  <c r="I338" i="56"/>
  <c r="G338" i="56"/>
  <c r="H338" i="56" s="1"/>
  <c r="J337" i="56"/>
  <c r="I337" i="56"/>
  <c r="G337" i="56"/>
  <c r="H337" i="56" s="1"/>
  <c r="F337" i="56"/>
  <c r="J336" i="56"/>
  <c r="I336" i="56"/>
  <c r="G336" i="56"/>
  <c r="F336" i="56"/>
  <c r="F319" i="56" s="1"/>
  <c r="G319" i="56" s="1"/>
  <c r="H319" i="56" s="1"/>
  <c r="J335" i="56"/>
  <c r="I335" i="56"/>
  <c r="G335" i="56"/>
  <c r="F335" i="56"/>
  <c r="I333" i="56"/>
  <c r="K333" i="56" s="1"/>
  <c r="L333" i="56" s="1"/>
  <c r="M333" i="56" s="1"/>
  <c r="H333" i="56"/>
  <c r="J332" i="56"/>
  <c r="K332" i="56" s="1"/>
  <c r="G332" i="56"/>
  <c r="H332" i="56" s="1"/>
  <c r="F332" i="56"/>
  <c r="J331" i="56"/>
  <c r="K331" i="56" s="1"/>
  <c r="G331" i="56"/>
  <c r="H331" i="56" s="1"/>
  <c r="J329" i="56"/>
  <c r="K329" i="56" s="1"/>
  <c r="G329" i="56"/>
  <c r="H329" i="56" s="1"/>
  <c r="J328" i="56"/>
  <c r="K328" i="56" s="1"/>
  <c r="G328" i="56"/>
  <c r="H328" i="56" s="1"/>
  <c r="K326" i="56"/>
  <c r="J326" i="56"/>
  <c r="G326" i="56"/>
  <c r="H326" i="56" s="1"/>
  <c r="K325" i="56"/>
  <c r="H325" i="56"/>
  <c r="I324" i="56"/>
  <c r="K324" i="56" s="1"/>
  <c r="F324" i="56"/>
  <c r="H324" i="56" s="1"/>
  <c r="J323" i="56"/>
  <c r="K323" i="56" s="1"/>
  <c r="G323" i="56"/>
  <c r="H323" i="56" s="1"/>
  <c r="J322" i="56"/>
  <c r="K322" i="56" s="1"/>
  <c r="G322" i="56"/>
  <c r="H322" i="56" s="1"/>
  <c r="J321" i="56"/>
  <c r="K321" i="56" s="1"/>
  <c r="G321" i="56"/>
  <c r="H321" i="56" s="1"/>
  <c r="J320" i="56"/>
  <c r="K320" i="56" s="1"/>
  <c r="G320" i="56"/>
  <c r="H320" i="56" s="1"/>
  <c r="J317" i="56"/>
  <c r="K317" i="56" s="1"/>
  <c r="G317" i="56"/>
  <c r="H317" i="56" s="1"/>
  <c r="J316" i="56"/>
  <c r="K316" i="56" s="1"/>
  <c r="H316" i="56"/>
  <c r="J315" i="56"/>
  <c r="G315" i="56"/>
  <c r="J314" i="56"/>
  <c r="J313" i="56"/>
  <c r="K313" i="56" s="1"/>
  <c r="G313" i="56"/>
  <c r="H313" i="56" s="1"/>
  <c r="J312" i="56"/>
  <c r="K312" i="56" s="1"/>
  <c r="H312" i="56"/>
  <c r="A312" i="56"/>
  <c r="A313" i="56" s="1"/>
  <c r="A314" i="56" s="1"/>
  <c r="A315" i="56" s="1"/>
  <c r="A316" i="56" s="1"/>
  <c r="A317" i="56" s="1"/>
  <c r="A318" i="56" s="1"/>
  <c r="A319" i="56" s="1"/>
  <c r="A320" i="56" s="1"/>
  <c r="A321" i="56" s="1"/>
  <c r="A322" i="56" s="1"/>
  <c r="A323" i="56" s="1"/>
  <c r="A324" i="56" s="1"/>
  <c r="A325" i="56" s="1"/>
  <c r="A326" i="56" s="1"/>
  <c r="A327" i="56" s="1"/>
  <c r="A328" i="56" s="1"/>
  <c r="A329" i="56" s="1"/>
  <c r="A330" i="56" s="1"/>
  <c r="A331" i="56" s="1"/>
  <c r="A332" i="56" s="1"/>
  <c r="A333" i="56" s="1"/>
  <c r="A334" i="56" s="1"/>
  <c r="A335" i="56" s="1"/>
  <c r="A336" i="56" s="1"/>
  <c r="A337" i="56" s="1"/>
  <c r="A338" i="56" s="1"/>
  <c r="A339" i="56" s="1"/>
  <c r="A340" i="56" s="1"/>
  <c r="A341" i="56" s="1"/>
  <c r="A342" i="56" s="1"/>
  <c r="A343" i="56" s="1"/>
  <c r="A344" i="56" s="1"/>
  <c r="A345" i="56" s="1"/>
  <c r="A346" i="56" s="1"/>
  <c r="A347" i="56" s="1"/>
  <c r="A348" i="56" s="1"/>
  <c r="A349" i="56" s="1"/>
  <c r="A350" i="56" s="1"/>
  <c r="A351" i="56" s="1"/>
  <c r="A352" i="56" s="1"/>
  <c r="A353" i="56" s="1"/>
  <c r="A354" i="56" s="1"/>
  <c r="A355" i="56" s="1"/>
  <c r="C288" i="56"/>
  <c r="E251" i="56"/>
  <c r="E250" i="56"/>
  <c r="E249" i="56"/>
  <c r="E248" i="56"/>
  <c r="E247" i="56"/>
  <c r="K246" i="56"/>
  <c r="E246" i="56"/>
  <c r="C274" i="56"/>
  <c r="C271" i="56"/>
  <c r="C262" i="56"/>
  <c r="J283" i="56"/>
  <c r="I283" i="56"/>
  <c r="G283" i="56"/>
  <c r="H283" i="56" s="1"/>
  <c r="J282" i="56"/>
  <c r="I282" i="56"/>
  <c r="G282" i="56"/>
  <c r="H282" i="56" s="1"/>
  <c r="J281" i="56"/>
  <c r="I281" i="56"/>
  <c r="G281" i="56"/>
  <c r="F281" i="56"/>
  <c r="J280" i="56"/>
  <c r="I280" i="56"/>
  <c r="G280" i="56"/>
  <c r="F280" i="56"/>
  <c r="F263" i="56" s="1"/>
  <c r="G263" i="56" s="1"/>
  <c r="H263" i="56" s="1"/>
  <c r="J279" i="56"/>
  <c r="K279" i="56" s="1"/>
  <c r="I279" i="56"/>
  <c r="G279" i="56"/>
  <c r="H279" i="56" s="1"/>
  <c r="F279" i="56"/>
  <c r="I277" i="56"/>
  <c r="K277" i="56" s="1"/>
  <c r="L277" i="56" s="1"/>
  <c r="M277" i="56" s="1"/>
  <c r="H277" i="56"/>
  <c r="J276" i="56"/>
  <c r="K276" i="56" s="1"/>
  <c r="G276" i="56"/>
  <c r="H276" i="56" s="1"/>
  <c r="F276" i="56"/>
  <c r="J275" i="56"/>
  <c r="K275" i="56" s="1"/>
  <c r="G275" i="56"/>
  <c r="H275" i="56" s="1"/>
  <c r="J273" i="56"/>
  <c r="K273" i="56" s="1"/>
  <c r="G273" i="56"/>
  <c r="H273" i="56" s="1"/>
  <c r="J272" i="56"/>
  <c r="K272" i="56" s="1"/>
  <c r="G272" i="56"/>
  <c r="H272" i="56" s="1"/>
  <c r="J270" i="56"/>
  <c r="K270" i="56" s="1"/>
  <c r="G270" i="56"/>
  <c r="H270" i="56" s="1"/>
  <c r="K269" i="56"/>
  <c r="H269" i="56"/>
  <c r="I268" i="56"/>
  <c r="K268" i="56" s="1"/>
  <c r="F268" i="56"/>
  <c r="H268" i="56" s="1"/>
  <c r="J267" i="56"/>
  <c r="K267" i="56" s="1"/>
  <c r="G267" i="56"/>
  <c r="H267" i="56" s="1"/>
  <c r="J266" i="56"/>
  <c r="K266" i="56" s="1"/>
  <c r="G266" i="56"/>
  <c r="H266" i="56" s="1"/>
  <c r="J265" i="56"/>
  <c r="K265" i="56" s="1"/>
  <c r="G265" i="56"/>
  <c r="H265" i="56" s="1"/>
  <c r="J264" i="56"/>
  <c r="K264" i="56" s="1"/>
  <c r="G264" i="56"/>
  <c r="H264" i="56" s="1"/>
  <c r="J261" i="56"/>
  <c r="K261" i="56" s="1"/>
  <c r="G261" i="56"/>
  <c r="H261" i="56" s="1"/>
  <c r="J260" i="56"/>
  <c r="K260" i="56" s="1"/>
  <c r="H260" i="56"/>
  <c r="J259" i="56"/>
  <c r="G259" i="56"/>
  <c r="J258" i="56"/>
  <c r="J257" i="56"/>
  <c r="K257" i="56" s="1"/>
  <c r="G257" i="56"/>
  <c r="H257" i="56" s="1"/>
  <c r="J256" i="56"/>
  <c r="K256" i="56" s="1"/>
  <c r="H256" i="56"/>
  <c r="A256" i="56"/>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C242" i="56"/>
  <c r="E195" i="56"/>
  <c r="E194" i="56"/>
  <c r="E193" i="56"/>
  <c r="E192" i="56"/>
  <c r="E191" i="56"/>
  <c r="K190" i="56"/>
  <c r="E190" i="56"/>
  <c r="C218" i="56"/>
  <c r="C215" i="56"/>
  <c r="C206" i="56"/>
  <c r="J227" i="56"/>
  <c r="K227" i="56" s="1"/>
  <c r="I227" i="56"/>
  <c r="I207" i="56" s="1"/>
  <c r="J207" i="56" s="1"/>
  <c r="K207" i="56" s="1"/>
  <c r="G227" i="56"/>
  <c r="H227" i="56" s="1"/>
  <c r="J226" i="56"/>
  <c r="I226" i="56"/>
  <c r="G226" i="56"/>
  <c r="H226" i="56" s="1"/>
  <c r="J225" i="56"/>
  <c r="K225" i="56" s="1"/>
  <c r="I225" i="56"/>
  <c r="G225" i="56"/>
  <c r="F225" i="56"/>
  <c r="J224" i="56"/>
  <c r="K224" i="56" s="1"/>
  <c r="I224" i="56"/>
  <c r="G224" i="56"/>
  <c r="F224" i="56"/>
  <c r="H224" i="56" s="1"/>
  <c r="J223" i="56"/>
  <c r="K223" i="56" s="1"/>
  <c r="I223" i="56"/>
  <c r="G223" i="56"/>
  <c r="F223" i="56"/>
  <c r="K221" i="56"/>
  <c r="L221" i="56" s="1"/>
  <c r="M221" i="56" s="1"/>
  <c r="I221" i="56"/>
  <c r="H221" i="56"/>
  <c r="J220" i="56"/>
  <c r="K220" i="56" s="1"/>
  <c r="L220" i="56" s="1"/>
  <c r="M220" i="56" s="1"/>
  <c r="G220" i="56"/>
  <c r="H220" i="56" s="1"/>
  <c r="F220" i="56"/>
  <c r="J219" i="56"/>
  <c r="K219" i="56" s="1"/>
  <c r="G219" i="56"/>
  <c r="H219" i="56" s="1"/>
  <c r="J217" i="56"/>
  <c r="K217" i="56" s="1"/>
  <c r="G217" i="56"/>
  <c r="H217" i="56" s="1"/>
  <c r="J216" i="56"/>
  <c r="K216" i="56" s="1"/>
  <c r="G216" i="56"/>
  <c r="H216" i="56" s="1"/>
  <c r="J214" i="56"/>
  <c r="K214" i="56" s="1"/>
  <c r="G214" i="56"/>
  <c r="H214" i="56" s="1"/>
  <c r="K213" i="56"/>
  <c r="L213" i="56" s="1"/>
  <c r="M213" i="56" s="1"/>
  <c r="H213" i="56"/>
  <c r="I212" i="56"/>
  <c r="K212" i="56" s="1"/>
  <c r="F212" i="56"/>
  <c r="H212" i="56" s="1"/>
  <c r="J211" i="56"/>
  <c r="K211" i="56" s="1"/>
  <c r="G211" i="56"/>
  <c r="H211" i="56" s="1"/>
  <c r="J210" i="56"/>
  <c r="K210" i="56" s="1"/>
  <c r="G210" i="56"/>
  <c r="H210" i="56" s="1"/>
  <c r="J209" i="56"/>
  <c r="K209" i="56" s="1"/>
  <c r="G209" i="56"/>
  <c r="H209" i="56" s="1"/>
  <c r="K208" i="56"/>
  <c r="J208" i="56"/>
  <c r="G208" i="56"/>
  <c r="H208" i="56" s="1"/>
  <c r="F207" i="56"/>
  <c r="G207" i="56" s="1"/>
  <c r="H207" i="56" s="1"/>
  <c r="J205" i="56"/>
  <c r="K205" i="56" s="1"/>
  <c r="G205" i="56"/>
  <c r="H205" i="56" s="1"/>
  <c r="J204" i="56"/>
  <c r="K204" i="56" s="1"/>
  <c r="H204" i="56"/>
  <c r="J203" i="56"/>
  <c r="G203" i="56"/>
  <c r="J202" i="56"/>
  <c r="G202" i="56"/>
  <c r="J201" i="56"/>
  <c r="K201" i="56" s="1"/>
  <c r="G201" i="56"/>
  <c r="H201" i="56" s="1"/>
  <c r="K200" i="56"/>
  <c r="J200" i="56"/>
  <c r="H200" i="56"/>
  <c r="A200" i="56"/>
  <c r="A201" i="56" s="1"/>
  <c r="A202" i="56" s="1"/>
  <c r="A203" i="56" s="1"/>
  <c r="A204" i="56" s="1"/>
  <c r="A205" i="56" s="1"/>
  <c r="A206" i="56" s="1"/>
  <c r="A207" i="56" s="1"/>
  <c r="A208" i="56" s="1"/>
  <c r="A209" i="56" s="1"/>
  <c r="A210" i="56" s="1"/>
  <c r="A211" i="56" s="1"/>
  <c r="A212" i="56" s="1"/>
  <c r="A213" i="56" s="1"/>
  <c r="A214" i="56" s="1"/>
  <c r="A215" i="56" s="1"/>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C176" i="56"/>
  <c r="E139" i="56"/>
  <c r="E138" i="56"/>
  <c r="E137" i="56"/>
  <c r="E136" i="56"/>
  <c r="E135" i="56"/>
  <c r="K134" i="56"/>
  <c r="E134" i="56"/>
  <c r="C162" i="56"/>
  <c r="C159" i="56"/>
  <c r="C150" i="56"/>
  <c r="J171" i="56"/>
  <c r="I171" i="56"/>
  <c r="G171" i="56"/>
  <c r="H171" i="56" s="1"/>
  <c r="J170" i="56"/>
  <c r="I170" i="56"/>
  <c r="G170" i="56"/>
  <c r="H170" i="56" s="1"/>
  <c r="J169" i="56"/>
  <c r="I169" i="56"/>
  <c r="G169" i="56"/>
  <c r="F169" i="56"/>
  <c r="J168" i="56"/>
  <c r="K168" i="56" s="1"/>
  <c r="I168" i="56"/>
  <c r="G168" i="56"/>
  <c r="F168" i="56"/>
  <c r="F151" i="56" s="1"/>
  <c r="G151" i="56" s="1"/>
  <c r="H151" i="56" s="1"/>
  <c r="J167" i="56"/>
  <c r="I167" i="56"/>
  <c r="G167" i="56"/>
  <c r="F167" i="56"/>
  <c r="K165" i="56"/>
  <c r="I165" i="56"/>
  <c r="H165" i="56"/>
  <c r="J164" i="56"/>
  <c r="K164" i="56" s="1"/>
  <c r="G164" i="56"/>
  <c r="H164" i="56" s="1"/>
  <c r="F164" i="56"/>
  <c r="J163" i="56"/>
  <c r="K163" i="56" s="1"/>
  <c r="G163" i="56"/>
  <c r="H163" i="56" s="1"/>
  <c r="J161" i="56"/>
  <c r="K161" i="56" s="1"/>
  <c r="G161" i="56"/>
  <c r="H161" i="56" s="1"/>
  <c r="J160" i="56"/>
  <c r="K160" i="56" s="1"/>
  <c r="G160" i="56"/>
  <c r="H160" i="56" s="1"/>
  <c r="J158" i="56"/>
  <c r="K158" i="56" s="1"/>
  <c r="G158" i="56"/>
  <c r="H158" i="56" s="1"/>
  <c r="K157" i="56"/>
  <c r="H157" i="56"/>
  <c r="I156" i="56"/>
  <c r="K156" i="56" s="1"/>
  <c r="F156" i="56"/>
  <c r="H156" i="56" s="1"/>
  <c r="J155" i="56"/>
  <c r="K155" i="56" s="1"/>
  <c r="G155" i="56"/>
  <c r="H155" i="56" s="1"/>
  <c r="J154" i="56"/>
  <c r="K154" i="56" s="1"/>
  <c r="G154" i="56"/>
  <c r="H154" i="56" s="1"/>
  <c r="J153" i="56"/>
  <c r="K153" i="56" s="1"/>
  <c r="G153" i="56"/>
  <c r="H153" i="56" s="1"/>
  <c r="J152" i="56"/>
  <c r="K152" i="56" s="1"/>
  <c r="G152" i="56"/>
  <c r="H152" i="56" s="1"/>
  <c r="J149" i="56"/>
  <c r="K149" i="56" s="1"/>
  <c r="G149" i="56"/>
  <c r="H149" i="56" s="1"/>
  <c r="J148" i="56"/>
  <c r="K148" i="56" s="1"/>
  <c r="H148" i="56"/>
  <c r="J147" i="56"/>
  <c r="G147" i="56"/>
  <c r="J146" i="56"/>
  <c r="G146" i="56"/>
  <c r="J145" i="56"/>
  <c r="K145" i="56" s="1"/>
  <c r="G145" i="56"/>
  <c r="H145" i="56" s="1"/>
  <c r="K144" i="56"/>
  <c r="J144" i="56"/>
  <c r="H144" i="56"/>
  <c r="A144" i="56"/>
  <c r="A145" i="56" s="1"/>
  <c r="A146" i="56" s="1"/>
  <c r="A147" i="56" s="1"/>
  <c r="A148" i="56" s="1"/>
  <c r="A149" i="56" s="1"/>
  <c r="A150" i="56" s="1"/>
  <c r="A151" i="56" s="1"/>
  <c r="A152" i="56" s="1"/>
  <c r="A153" i="56" s="1"/>
  <c r="A154" i="56" s="1"/>
  <c r="A155" i="56" s="1"/>
  <c r="A156" i="56" s="1"/>
  <c r="A157" i="56" s="1"/>
  <c r="A158" i="56" s="1"/>
  <c r="A159" i="56" s="1"/>
  <c r="A160" i="56" s="1"/>
  <c r="A161" i="56" s="1"/>
  <c r="A162" i="56" s="1"/>
  <c r="A163" i="56" s="1"/>
  <c r="A164" i="56" s="1"/>
  <c r="A165" i="56" s="1"/>
  <c r="A166" i="56" s="1"/>
  <c r="A167" i="56" s="1"/>
  <c r="A168" i="56" s="1"/>
  <c r="A169" i="56" s="1"/>
  <c r="A170" i="56" s="1"/>
  <c r="A171" i="56" s="1"/>
  <c r="A172" i="56" s="1"/>
  <c r="A173" i="56" s="1"/>
  <c r="A174" i="56" s="1"/>
  <c r="A175" i="56" s="1"/>
  <c r="A176" i="56" s="1"/>
  <c r="A177" i="56" s="1"/>
  <c r="A178" i="56" s="1"/>
  <c r="A179" i="56" s="1"/>
  <c r="A180" i="56" s="1"/>
  <c r="A181" i="56" s="1"/>
  <c r="A182" i="56" s="1"/>
  <c r="A183" i="56" s="1"/>
  <c r="A184" i="56" s="1"/>
  <c r="A185" i="56" s="1"/>
  <c r="A186" i="56" s="1"/>
  <c r="A187" i="56" s="1"/>
  <c r="C120" i="56"/>
  <c r="E83" i="56"/>
  <c r="E82" i="56"/>
  <c r="E81" i="56"/>
  <c r="E80" i="56"/>
  <c r="E79" i="56"/>
  <c r="K78" i="56"/>
  <c r="E78" i="56"/>
  <c r="C106" i="56"/>
  <c r="C103" i="56"/>
  <c r="C94" i="56"/>
  <c r="J115" i="56"/>
  <c r="I115" i="56"/>
  <c r="G115" i="56"/>
  <c r="H115" i="56" s="1"/>
  <c r="J114" i="56"/>
  <c r="I114" i="56"/>
  <c r="G114" i="56"/>
  <c r="H114" i="56" s="1"/>
  <c r="J113" i="56"/>
  <c r="I113" i="56"/>
  <c r="G113" i="56"/>
  <c r="F113" i="56"/>
  <c r="J112" i="56"/>
  <c r="I112" i="56"/>
  <c r="G112" i="56"/>
  <c r="F112" i="56"/>
  <c r="F95" i="56" s="1"/>
  <c r="G95" i="56" s="1"/>
  <c r="H95" i="56" s="1"/>
  <c r="J111" i="56"/>
  <c r="I111" i="56"/>
  <c r="G111" i="56"/>
  <c r="F111" i="56"/>
  <c r="I109" i="56"/>
  <c r="K109" i="56" s="1"/>
  <c r="H109" i="56"/>
  <c r="J108" i="56"/>
  <c r="K108" i="56"/>
  <c r="G108" i="56"/>
  <c r="H108" i="56" s="1"/>
  <c r="F108" i="56"/>
  <c r="J107" i="56"/>
  <c r="K107" i="56" s="1"/>
  <c r="G107" i="56"/>
  <c r="H107" i="56" s="1"/>
  <c r="J105" i="56"/>
  <c r="K105" i="56" s="1"/>
  <c r="G105" i="56"/>
  <c r="H105" i="56" s="1"/>
  <c r="J104" i="56"/>
  <c r="K104" i="56" s="1"/>
  <c r="G104" i="56"/>
  <c r="H104" i="56" s="1"/>
  <c r="J102" i="56"/>
  <c r="K102" i="56" s="1"/>
  <c r="G102" i="56"/>
  <c r="H102" i="56" s="1"/>
  <c r="K101" i="56"/>
  <c r="H101" i="56"/>
  <c r="I100" i="56"/>
  <c r="K100" i="56" s="1"/>
  <c r="F100" i="56"/>
  <c r="H100" i="56" s="1"/>
  <c r="J99" i="56"/>
  <c r="K99" i="56" s="1"/>
  <c r="G99" i="56"/>
  <c r="H99" i="56" s="1"/>
  <c r="J98" i="56"/>
  <c r="K98" i="56" s="1"/>
  <c r="G98" i="56"/>
  <c r="H98" i="56" s="1"/>
  <c r="J97" i="56"/>
  <c r="K97" i="56" s="1"/>
  <c r="G97" i="56"/>
  <c r="H97" i="56" s="1"/>
  <c r="J96" i="56"/>
  <c r="K96" i="56" s="1"/>
  <c r="G96" i="56"/>
  <c r="H96" i="56" s="1"/>
  <c r="J93" i="56"/>
  <c r="K93" i="56" s="1"/>
  <c r="G93" i="56"/>
  <c r="H93" i="56" s="1"/>
  <c r="J92" i="56"/>
  <c r="K92" i="56" s="1"/>
  <c r="H92" i="56"/>
  <c r="J91" i="56"/>
  <c r="G91" i="56"/>
  <c r="J90" i="56"/>
  <c r="G90" i="56"/>
  <c r="J89" i="56"/>
  <c r="K89" i="56" s="1"/>
  <c r="G89" i="56"/>
  <c r="H89" i="56" s="1"/>
  <c r="K88" i="56"/>
  <c r="J88" i="56"/>
  <c r="H88" i="56"/>
  <c r="A88" i="56"/>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J49" i="56"/>
  <c r="G49" i="56"/>
  <c r="J48" i="56"/>
  <c r="G48" i="56"/>
  <c r="J47" i="56"/>
  <c r="G47" i="56"/>
  <c r="J46" i="56"/>
  <c r="G46" i="56"/>
  <c r="J45" i="56"/>
  <c r="G45" i="56"/>
  <c r="J44" i="56"/>
  <c r="G44" i="56"/>
  <c r="J43" i="56"/>
  <c r="G43" i="56"/>
  <c r="J42" i="56"/>
  <c r="G42" i="56"/>
  <c r="J41" i="56"/>
  <c r="G41" i="56"/>
  <c r="J40" i="56"/>
  <c r="G40" i="56"/>
  <c r="J39" i="56"/>
  <c r="G39" i="56"/>
  <c r="J38" i="56"/>
  <c r="G38" i="56"/>
  <c r="J37" i="56"/>
  <c r="G37" i="56"/>
  <c r="J36" i="56"/>
  <c r="G36" i="56"/>
  <c r="J35" i="56"/>
  <c r="G35" i="56"/>
  <c r="J34" i="56"/>
  <c r="G34" i="56"/>
  <c r="J33" i="56"/>
  <c r="G33" i="56"/>
  <c r="J32" i="56"/>
  <c r="G32" i="56"/>
  <c r="J31" i="56"/>
  <c r="G31" i="56"/>
  <c r="J30" i="56"/>
  <c r="G30" i="56"/>
  <c r="C49" i="56"/>
  <c r="C48" i="56"/>
  <c r="C47" i="56"/>
  <c r="C46" i="56"/>
  <c r="C45" i="56"/>
  <c r="C44" i="56"/>
  <c r="C43" i="56"/>
  <c r="C42" i="56"/>
  <c r="C41" i="56"/>
  <c r="C40" i="56"/>
  <c r="G26" i="17" l="1"/>
  <c r="F26" i="17"/>
  <c r="M22" i="30"/>
  <c r="O22" i="30"/>
  <c r="L23" i="30"/>
  <c r="P20" i="30" s="1"/>
  <c r="P17" i="30"/>
  <c r="P22" i="30"/>
  <c r="H281" i="56"/>
  <c r="I319" i="56"/>
  <c r="J319" i="56" s="1"/>
  <c r="K319" i="56" s="1"/>
  <c r="H280" i="56"/>
  <c r="H335" i="56"/>
  <c r="H617" i="56"/>
  <c r="I151" i="56"/>
  <c r="J151" i="56" s="1"/>
  <c r="K151" i="56" s="1"/>
  <c r="H225" i="56"/>
  <c r="K448" i="56"/>
  <c r="H503" i="56"/>
  <c r="L503" i="56" s="1"/>
  <c r="M503" i="56" s="1"/>
  <c r="H112" i="56"/>
  <c r="I487" i="56"/>
  <c r="J487" i="56" s="1"/>
  <c r="K487" i="56" s="1"/>
  <c r="L487" i="56" s="1"/>
  <c r="M487" i="56" s="1"/>
  <c r="K112" i="56"/>
  <c r="L112" i="56" s="1"/>
  <c r="M112" i="56" s="1"/>
  <c r="H167" i="56"/>
  <c r="K280" i="56"/>
  <c r="K335" i="56"/>
  <c r="L335" i="56" s="1"/>
  <c r="M335" i="56" s="1"/>
  <c r="K617" i="56"/>
  <c r="K167" i="56"/>
  <c r="H336" i="56"/>
  <c r="L548" i="56"/>
  <c r="M548" i="56" s="1"/>
  <c r="H391" i="56"/>
  <c r="K504" i="56"/>
  <c r="K559" i="56"/>
  <c r="H113" i="56"/>
  <c r="K449" i="56"/>
  <c r="L449" i="56" s="1"/>
  <c r="M449" i="56" s="1"/>
  <c r="K113" i="56"/>
  <c r="L113" i="56" s="1"/>
  <c r="M113" i="56" s="1"/>
  <c r="H169" i="56"/>
  <c r="L169" i="56" s="1"/>
  <c r="M169" i="56" s="1"/>
  <c r="K337" i="56"/>
  <c r="H392" i="56"/>
  <c r="K615" i="56"/>
  <c r="L615" i="56" s="1"/>
  <c r="M615" i="56" s="1"/>
  <c r="I263" i="56"/>
  <c r="J263" i="56" s="1"/>
  <c r="K263" i="56" s="1"/>
  <c r="H559" i="56"/>
  <c r="K391" i="56"/>
  <c r="L391" i="56" s="1"/>
  <c r="M391" i="56" s="1"/>
  <c r="I95" i="56"/>
  <c r="J95" i="56" s="1"/>
  <c r="K95" i="56" s="1"/>
  <c r="H616" i="56"/>
  <c r="H223" i="56"/>
  <c r="H505" i="56"/>
  <c r="H111" i="56"/>
  <c r="K169" i="56"/>
  <c r="K392" i="56"/>
  <c r="L392" i="56" s="1"/>
  <c r="M392" i="56" s="1"/>
  <c r="K281" i="56"/>
  <c r="L281" i="56" s="1"/>
  <c r="M281" i="56" s="1"/>
  <c r="H448" i="56"/>
  <c r="K616" i="56"/>
  <c r="L616" i="56" s="1"/>
  <c r="M616" i="56" s="1"/>
  <c r="K619" i="56"/>
  <c r="L596" i="56"/>
  <c r="M596" i="56" s="1"/>
  <c r="L597" i="56"/>
  <c r="M597" i="56" s="1"/>
  <c r="L608" i="56"/>
  <c r="M608" i="56" s="1"/>
  <c r="H598" i="56"/>
  <c r="H607" i="56" s="1"/>
  <c r="L593" i="56"/>
  <c r="M593" i="56" s="1"/>
  <c r="L601" i="56"/>
  <c r="M601" i="56" s="1"/>
  <c r="L602" i="56"/>
  <c r="M602" i="56" s="1"/>
  <c r="L611" i="56"/>
  <c r="M611" i="56" s="1"/>
  <c r="L603" i="56"/>
  <c r="M603" i="56" s="1"/>
  <c r="L617" i="56"/>
  <c r="M617" i="56" s="1"/>
  <c r="L609" i="56"/>
  <c r="M609" i="56" s="1"/>
  <c r="L604" i="56"/>
  <c r="M604" i="56" s="1"/>
  <c r="L612" i="56"/>
  <c r="M612" i="56" s="1"/>
  <c r="L600" i="56"/>
  <c r="M600" i="56" s="1"/>
  <c r="L618" i="56"/>
  <c r="M618" i="56" s="1"/>
  <c r="L599" i="56"/>
  <c r="M599" i="56" s="1"/>
  <c r="L606" i="56"/>
  <c r="M606" i="56" s="1"/>
  <c r="L619" i="56"/>
  <c r="M619" i="56" s="1"/>
  <c r="L595" i="56"/>
  <c r="M595" i="56" s="1"/>
  <c r="L592" i="56"/>
  <c r="M592" i="56" s="1"/>
  <c r="K563" i="56"/>
  <c r="L549" i="56"/>
  <c r="M549" i="56" s="1"/>
  <c r="L560" i="56"/>
  <c r="M560" i="56" s="1"/>
  <c r="L552" i="56"/>
  <c r="M552" i="56" s="1"/>
  <c r="L545" i="56"/>
  <c r="M545" i="56" s="1"/>
  <c r="L561" i="56"/>
  <c r="M561" i="56" s="1"/>
  <c r="L539" i="56"/>
  <c r="M539" i="56" s="1"/>
  <c r="L546" i="56"/>
  <c r="M546" i="56" s="1"/>
  <c r="H542" i="56"/>
  <c r="H551" i="56" s="1"/>
  <c r="L541" i="56"/>
  <c r="M541" i="56" s="1"/>
  <c r="L547" i="56"/>
  <c r="M547" i="56" s="1"/>
  <c r="L555" i="56"/>
  <c r="M555" i="56" s="1"/>
  <c r="L556" i="56"/>
  <c r="M556" i="56" s="1"/>
  <c r="L537" i="56"/>
  <c r="M537" i="56" s="1"/>
  <c r="L550" i="56"/>
  <c r="M550" i="56" s="1"/>
  <c r="L562" i="56"/>
  <c r="M562" i="56" s="1"/>
  <c r="L544" i="56"/>
  <c r="M544" i="56" s="1"/>
  <c r="L543" i="56"/>
  <c r="M543" i="56" s="1"/>
  <c r="L553" i="56"/>
  <c r="M553" i="56" s="1"/>
  <c r="L563" i="56"/>
  <c r="M563" i="56" s="1"/>
  <c r="L536" i="56"/>
  <c r="M536" i="56" s="1"/>
  <c r="K507" i="56"/>
  <c r="K506" i="56"/>
  <c r="L501" i="56"/>
  <c r="M501" i="56" s="1"/>
  <c r="L493" i="56"/>
  <c r="M493" i="56" s="1"/>
  <c r="L484" i="56"/>
  <c r="M484" i="56" s="1"/>
  <c r="L491" i="56"/>
  <c r="M491" i="56" s="1"/>
  <c r="L489" i="56"/>
  <c r="M489" i="56" s="1"/>
  <c r="L494" i="56"/>
  <c r="M494" i="56" s="1"/>
  <c r="L496" i="56"/>
  <c r="M496" i="56" s="1"/>
  <c r="L481" i="56"/>
  <c r="M481" i="56" s="1"/>
  <c r="H504" i="56"/>
  <c r="L504" i="56" s="1"/>
  <c r="M504" i="56" s="1"/>
  <c r="L488" i="56"/>
  <c r="M488" i="56" s="1"/>
  <c r="L492" i="56"/>
  <c r="M492" i="56" s="1"/>
  <c r="L490" i="56"/>
  <c r="M490" i="56" s="1"/>
  <c r="L499" i="56"/>
  <c r="M499" i="56" s="1"/>
  <c r="L485" i="56"/>
  <c r="M485" i="56" s="1"/>
  <c r="L505" i="56"/>
  <c r="M505" i="56" s="1"/>
  <c r="L500" i="56"/>
  <c r="M500" i="56" s="1"/>
  <c r="L506" i="56"/>
  <c r="M506" i="56" s="1"/>
  <c r="H486" i="56"/>
  <c r="L497" i="56"/>
  <c r="M497" i="56" s="1"/>
  <c r="L507" i="56"/>
  <c r="M507" i="56" s="1"/>
  <c r="L483" i="56"/>
  <c r="M483" i="56" s="1"/>
  <c r="L480" i="56"/>
  <c r="M480" i="56" s="1"/>
  <c r="K451" i="56"/>
  <c r="L427" i="56"/>
  <c r="M427" i="56" s="1"/>
  <c r="L429" i="56"/>
  <c r="M429" i="56" s="1"/>
  <c r="L437" i="56"/>
  <c r="M437" i="56" s="1"/>
  <c r="L428" i="56"/>
  <c r="M428" i="56" s="1"/>
  <c r="L448" i="56"/>
  <c r="M448" i="56" s="1"/>
  <c r="L451" i="56"/>
  <c r="M451" i="56" s="1"/>
  <c r="L440" i="56"/>
  <c r="M440" i="56" s="1"/>
  <c r="L434" i="56"/>
  <c r="M434" i="56" s="1"/>
  <c r="L435" i="56"/>
  <c r="M435" i="56" s="1"/>
  <c r="L436" i="56"/>
  <c r="M436" i="56" s="1"/>
  <c r="L443" i="56"/>
  <c r="M443" i="56" s="1"/>
  <c r="L444" i="56"/>
  <c r="M444" i="56" s="1"/>
  <c r="L438" i="56"/>
  <c r="M438" i="56" s="1"/>
  <c r="L450" i="56"/>
  <c r="M450" i="56" s="1"/>
  <c r="L432" i="56"/>
  <c r="M432" i="56" s="1"/>
  <c r="L447" i="56"/>
  <c r="M447" i="56" s="1"/>
  <c r="H430" i="56"/>
  <c r="L425" i="56"/>
  <c r="M425" i="56" s="1"/>
  <c r="L433" i="56"/>
  <c r="M433" i="56" s="1"/>
  <c r="L441" i="56"/>
  <c r="M441" i="56" s="1"/>
  <c r="L431" i="56"/>
  <c r="M431" i="56" s="1"/>
  <c r="L424" i="56"/>
  <c r="M424" i="56" s="1"/>
  <c r="K394" i="56"/>
  <c r="L372" i="56"/>
  <c r="M372" i="56" s="1"/>
  <c r="L377" i="56"/>
  <c r="M377" i="56" s="1"/>
  <c r="L393" i="56"/>
  <c r="M393" i="56" s="1"/>
  <c r="L371" i="56"/>
  <c r="M371" i="56" s="1"/>
  <c r="K395" i="56"/>
  <c r="L378" i="56"/>
  <c r="M378" i="56" s="1"/>
  <c r="L379" i="56"/>
  <c r="M379" i="56" s="1"/>
  <c r="L380" i="56"/>
  <c r="M380" i="56" s="1"/>
  <c r="L387" i="56"/>
  <c r="M387" i="56" s="1"/>
  <c r="L373" i="56"/>
  <c r="M373" i="56" s="1"/>
  <c r="L375" i="56"/>
  <c r="M375" i="56" s="1"/>
  <c r="L388" i="56"/>
  <c r="M388" i="56" s="1"/>
  <c r="L376" i="56"/>
  <c r="M376" i="56" s="1"/>
  <c r="L382" i="56"/>
  <c r="M382" i="56" s="1"/>
  <c r="L394" i="56"/>
  <c r="M394" i="56" s="1"/>
  <c r="L369" i="56"/>
  <c r="M369" i="56" s="1"/>
  <c r="K374" i="56"/>
  <c r="L384" i="56"/>
  <c r="M384" i="56" s="1"/>
  <c r="L395" i="56"/>
  <c r="M395" i="56" s="1"/>
  <c r="L385" i="56"/>
  <c r="M385" i="56" s="1"/>
  <c r="L368" i="56"/>
  <c r="M368" i="56" s="1"/>
  <c r="K339" i="56"/>
  <c r="K338" i="56"/>
  <c r="L325" i="56"/>
  <c r="M325" i="56" s="1"/>
  <c r="L316" i="56"/>
  <c r="M316" i="56" s="1"/>
  <c r="L323" i="56"/>
  <c r="M323" i="56" s="1"/>
  <c r="L337" i="56"/>
  <c r="M337" i="56" s="1"/>
  <c r="L320" i="56"/>
  <c r="M320" i="56" s="1"/>
  <c r="L321" i="56"/>
  <c r="M321" i="56" s="1"/>
  <c r="L317" i="56"/>
  <c r="M317" i="56" s="1"/>
  <c r="K336" i="56"/>
  <c r="L336" i="56" s="1"/>
  <c r="M336" i="56" s="1"/>
  <c r="L331" i="56"/>
  <c r="M331" i="56" s="1"/>
  <c r="L324" i="56"/>
  <c r="M324" i="56" s="1"/>
  <c r="L313" i="56"/>
  <c r="M313" i="56" s="1"/>
  <c r="L332" i="56"/>
  <c r="M332" i="56" s="1"/>
  <c r="L329" i="56"/>
  <c r="M329" i="56" s="1"/>
  <c r="L338" i="56"/>
  <c r="M338" i="56" s="1"/>
  <c r="L328" i="56"/>
  <c r="M328" i="56" s="1"/>
  <c r="L319" i="56"/>
  <c r="M319" i="56" s="1"/>
  <c r="L322" i="56"/>
  <c r="M322" i="56" s="1"/>
  <c r="H318" i="56"/>
  <c r="L326" i="56"/>
  <c r="M326" i="56" s="1"/>
  <c r="L339" i="56"/>
  <c r="M339" i="56" s="1"/>
  <c r="L312" i="56"/>
  <c r="M312" i="56" s="1"/>
  <c r="L315" i="56"/>
  <c r="M315" i="56" s="1"/>
  <c r="K283" i="56"/>
  <c r="K282" i="56"/>
  <c r="L269" i="56"/>
  <c r="M269" i="56" s="1"/>
  <c r="L260" i="56"/>
  <c r="M260" i="56" s="1"/>
  <c r="L256" i="56"/>
  <c r="M256" i="56" s="1"/>
  <c r="L267" i="56"/>
  <c r="M267" i="56" s="1"/>
  <c r="L261" i="56"/>
  <c r="M261" i="56" s="1"/>
  <c r="L279" i="56"/>
  <c r="M279" i="56" s="1"/>
  <c r="L265" i="56"/>
  <c r="M265" i="56" s="1"/>
  <c r="L263" i="56"/>
  <c r="M263" i="56" s="1"/>
  <c r="L272" i="56"/>
  <c r="M272" i="56" s="1"/>
  <c r="L280" i="56"/>
  <c r="M280" i="56" s="1"/>
  <c r="L266" i="56"/>
  <c r="M266" i="56" s="1"/>
  <c r="L275" i="56"/>
  <c r="M275" i="56" s="1"/>
  <c r="L264" i="56"/>
  <c r="M264" i="56" s="1"/>
  <c r="L273" i="56"/>
  <c r="M273" i="56" s="1"/>
  <c r="L257" i="56"/>
  <c r="M257" i="56" s="1"/>
  <c r="L268" i="56"/>
  <c r="M268" i="56" s="1"/>
  <c r="L276" i="56"/>
  <c r="M276" i="56" s="1"/>
  <c r="L282" i="56"/>
  <c r="M282" i="56" s="1"/>
  <c r="H262" i="56"/>
  <c r="L270" i="56"/>
  <c r="M270" i="56" s="1"/>
  <c r="L283" i="56"/>
  <c r="M283" i="56" s="1"/>
  <c r="K262" i="56"/>
  <c r="K226" i="56"/>
  <c r="L204" i="56"/>
  <c r="M204" i="56" s="1"/>
  <c r="L216" i="56"/>
  <c r="M216" i="56" s="1"/>
  <c r="L225" i="56"/>
  <c r="M225" i="56" s="1"/>
  <c r="L205" i="56"/>
  <c r="M205" i="56" s="1"/>
  <c r="L217" i="56"/>
  <c r="M217" i="56" s="1"/>
  <c r="L210" i="56"/>
  <c r="M210" i="56" s="1"/>
  <c r="L224" i="56"/>
  <c r="M224" i="56" s="1"/>
  <c r="L209" i="56"/>
  <c r="M209" i="56" s="1"/>
  <c r="L212" i="56"/>
  <c r="M212" i="56" s="1"/>
  <c r="L211" i="56"/>
  <c r="M211" i="56" s="1"/>
  <c r="L219" i="56"/>
  <c r="M219" i="56" s="1"/>
  <c r="L226" i="56"/>
  <c r="M226" i="56" s="1"/>
  <c r="L203" i="56"/>
  <c r="M203" i="56" s="1"/>
  <c r="L214" i="56"/>
  <c r="M214" i="56" s="1"/>
  <c r="L208" i="56"/>
  <c r="M208" i="56" s="1"/>
  <c r="L207" i="56"/>
  <c r="M207" i="56" s="1"/>
  <c r="H206" i="56"/>
  <c r="K206" i="56"/>
  <c r="L201" i="56"/>
  <c r="M201" i="56" s="1"/>
  <c r="L223" i="56"/>
  <c r="M223" i="56" s="1"/>
  <c r="L227" i="56"/>
  <c r="M227" i="56" s="1"/>
  <c r="L200" i="56"/>
  <c r="M200" i="56" s="1"/>
  <c r="K171" i="56"/>
  <c r="K170" i="56"/>
  <c r="L165" i="56"/>
  <c r="M165" i="56" s="1"/>
  <c r="L157" i="56"/>
  <c r="M157" i="56" s="1"/>
  <c r="L148" i="56"/>
  <c r="M148" i="56" s="1"/>
  <c r="L155" i="56"/>
  <c r="M155" i="56" s="1"/>
  <c r="K150" i="56"/>
  <c r="L153" i="56"/>
  <c r="M153" i="56" s="1"/>
  <c r="L161" i="56"/>
  <c r="M161" i="56" s="1"/>
  <c r="H168" i="56"/>
  <c r="L168" i="56" s="1"/>
  <c r="M168" i="56" s="1"/>
  <c r="L160" i="56"/>
  <c r="M160" i="56" s="1"/>
  <c r="L154" i="56"/>
  <c r="M154" i="56" s="1"/>
  <c r="L156" i="56"/>
  <c r="M156" i="56" s="1"/>
  <c r="L149" i="56"/>
  <c r="M149" i="56" s="1"/>
  <c r="L163" i="56"/>
  <c r="M163" i="56" s="1"/>
  <c r="L170" i="56"/>
  <c r="M170" i="56" s="1"/>
  <c r="L145" i="56"/>
  <c r="M145" i="56" s="1"/>
  <c r="L158" i="56"/>
  <c r="M158" i="56" s="1"/>
  <c r="L164" i="56"/>
  <c r="M164" i="56" s="1"/>
  <c r="L152" i="56"/>
  <c r="M152" i="56" s="1"/>
  <c r="L151" i="56"/>
  <c r="M151" i="56" s="1"/>
  <c r="L167" i="56"/>
  <c r="M167" i="56" s="1"/>
  <c r="L171" i="56"/>
  <c r="M171" i="56" s="1"/>
  <c r="L144" i="56"/>
  <c r="M144" i="56" s="1"/>
  <c r="K115" i="56"/>
  <c r="K114" i="56"/>
  <c r="L109" i="56"/>
  <c r="M109" i="56" s="1"/>
  <c r="L101" i="56"/>
  <c r="M101" i="56" s="1"/>
  <c r="L92" i="56"/>
  <c r="M92" i="56" s="1"/>
  <c r="K111" i="56"/>
  <c r="L99" i="56"/>
  <c r="M99" i="56" s="1"/>
  <c r="L93" i="56"/>
  <c r="M93" i="56" s="1"/>
  <c r="L104" i="56"/>
  <c r="M104" i="56" s="1"/>
  <c r="L97" i="56"/>
  <c r="M97" i="56" s="1"/>
  <c r="L89" i="56"/>
  <c r="M89" i="56" s="1"/>
  <c r="L98" i="56"/>
  <c r="M98" i="56" s="1"/>
  <c r="L100" i="56"/>
  <c r="M100" i="56" s="1"/>
  <c r="H94" i="56"/>
  <c r="L105" i="56"/>
  <c r="M105" i="56" s="1"/>
  <c r="L114" i="56"/>
  <c r="M114" i="56" s="1"/>
  <c r="L107" i="56"/>
  <c r="M107" i="56" s="1"/>
  <c r="L108" i="56"/>
  <c r="M108" i="56" s="1"/>
  <c r="L95" i="56"/>
  <c r="M95" i="56" s="1"/>
  <c r="L102" i="56"/>
  <c r="M102" i="56" s="1"/>
  <c r="L111" i="56"/>
  <c r="M111" i="56" s="1"/>
  <c r="L96" i="56"/>
  <c r="M96" i="56" s="1"/>
  <c r="L115" i="56"/>
  <c r="M115" i="56" s="1"/>
  <c r="L88" i="56"/>
  <c r="M88" i="56" s="1"/>
  <c r="N60" i="63"/>
  <c r="N59" i="63"/>
  <c r="N58" i="63"/>
  <c r="N57" i="63"/>
  <c r="N56" i="63"/>
  <c r="N55" i="63"/>
  <c r="N54" i="63"/>
  <c r="N53" i="63"/>
  <c r="N52" i="63"/>
  <c r="N51" i="63"/>
  <c r="N50" i="63"/>
  <c r="N49" i="63"/>
  <c r="N48" i="63"/>
  <c r="N47" i="63"/>
  <c r="N46" i="63"/>
  <c r="N45" i="63"/>
  <c r="N44" i="63"/>
  <c r="N43" i="63"/>
  <c r="N42" i="63"/>
  <c r="N41" i="63"/>
  <c r="N40" i="63"/>
  <c r="N39" i="63"/>
  <c r="N38" i="63"/>
  <c r="N37" i="63"/>
  <c r="N36" i="63"/>
  <c r="N35" i="63"/>
  <c r="N34" i="63"/>
  <c r="N33" i="63"/>
  <c r="N32" i="63"/>
  <c r="N31" i="63"/>
  <c r="N30" i="63"/>
  <c r="N29" i="63"/>
  <c r="N28" i="63"/>
  <c r="N27" i="63"/>
  <c r="N26" i="63"/>
  <c r="N25" i="63"/>
  <c r="N24" i="63"/>
  <c r="N23" i="63"/>
  <c r="N22" i="63"/>
  <c r="N21" i="63"/>
  <c r="N20" i="63"/>
  <c r="N19" i="63"/>
  <c r="N18" i="63"/>
  <c r="N17" i="63"/>
  <c r="N16" i="63"/>
  <c r="N15" i="63"/>
  <c r="N14" i="63"/>
  <c r="N13" i="63"/>
  <c r="N12" i="63"/>
  <c r="N11" i="63"/>
  <c r="N10" i="63"/>
  <c r="N9" i="63"/>
  <c r="N8" i="63"/>
  <c r="N7" i="63"/>
  <c r="N6" i="63"/>
  <c r="N5" i="63"/>
  <c r="N4" i="63"/>
  <c r="N3" i="63"/>
  <c r="N2" i="63"/>
  <c r="N1" i="63"/>
  <c r="AQ18" i="7"/>
  <c r="AP18" i="7"/>
  <c r="AN18" i="7"/>
  <c r="AK18" i="7"/>
  <c r="AQ17" i="7"/>
  <c r="AP17" i="7"/>
  <c r="AN17" i="7"/>
  <c r="AM17" i="7"/>
  <c r="AK17" i="7"/>
  <c r="AQ16" i="7"/>
  <c r="AP16" i="7"/>
  <c r="AN16" i="7"/>
  <c r="AK16" i="7"/>
  <c r="AQ15" i="7"/>
  <c r="AP15" i="7"/>
  <c r="AN15" i="7"/>
  <c r="AM15" i="7"/>
  <c r="AK15" i="7"/>
  <c r="AP14" i="7"/>
  <c r="AQ12" i="7"/>
  <c r="AP12" i="7"/>
  <c r="AN12" i="7"/>
  <c r="AK12" i="7"/>
  <c r="AQ11" i="7"/>
  <c r="AP11" i="7"/>
  <c r="AN11" i="7"/>
  <c r="AM11" i="7"/>
  <c r="AK11" i="7"/>
  <c r="AQ10" i="7"/>
  <c r="AP10" i="7"/>
  <c r="AN10" i="7"/>
  <c r="AK10" i="7"/>
  <c r="AQ9" i="7"/>
  <c r="AP9" i="7"/>
  <c r="AN9" i="7"/>
  <c r="AM9" i="7"/>
  <c r="AK9" i="7"/>
  <c r="AP8" i="7"/>
  <c r="AQ6" i="7"/>
  <c r="AP6" i="7"/>
  <c r="AN6" i="7"/>
  <c r="AM6" i="7"/>
  <c r="AL6" i="7"/>
  <c r="AK6" i="7"/>
  <c r="AQ5" i="7"/>
  <c r="AP5" i="7"/>
  <c r="AN5" i="7"/>
  <c r="AK5" i="7"/>
  <c r="AQ4" i="7"/>
  <c r="AP4" i="7"/>
  <c r="AN4" i="7"/>
  <c r="AM4" i="7"/>
  <c r="AL4" i="7"/>
  <c r="AK4" i="7"/>
  <c r="AQ3" i="7"/>
  <c r="AP3" i="7"/>
  <c r="AN3" i="7"/>
  <c r="AM3" i="7"/>
  <c r="AL3" i="7"/>
  <c r="AK3" i="7"/>
  <c r="AQ2" i="7"/>
  <c r="AP2" i="7"/>
  <c r="AN2" i="7"/>
  <c r="AM2" i="7"/>
  <c r="AL2" i="7"/>
  <c r="AK2" i="7"/>
  <c r="C1" i="7"/>
  <c r="I15107" i="48"/>
  <c r="AC15097" i="48"/>
  <c r="I15089" i="48"/>
  <c r="AC15079" i="48"/>
  <c r="I15071" i="48"/>
  <c r="AC15061" i="48"/>
  <c r="I15053" i="48"/>
  <c r="AC15043" i="48"/>
  <c r="I15035" i="48"/>
  <c r="AC15024" i="48"/>
  <c r="I15014" i="48"/>
  <c r="AC15003" i="48"/>
  <c r="I14995" i="48"/>
  <c r="AF14984" i="48"/>
  <c r="AE14984" i="48"/>
  <c r="AD14984" i="48"/>
  <c r="AC14984" i="48"/>
  <c r="I14976" i="48"/>
  <c r="AC14965" i="48"/>
  <c r="I14913" i="48"/>
  <c r="I14895" i="48"/>
  <c r="I14876" i="48"/>
  <c r="I14857" i="48"/>
  <c r="I14836" i="48"/>
  <c r="I14817" i="48"/>
  <c r="I14762" i="48"/>
  <c r="I14692" i="48"/>
  <c r="AC14682" i="48"/>
  <c r="AC14665" i="48"/>
  <c r="I14657" i="48"/>
  <c r="AC14647" i="48"/>
  <c r="I14639" i="48"/>
  <c r="AC14629" i="48"/>
  <c r="I14621" i="48"/>
  <c r="AC14611" i="48"/>
  <c r="I14603" i="48"/>
  <c r="AC14592" i="48"/>
  <c r="I14584" i="48"/>
  <c r="AF14573" i="48"/>
  <c r="AE14573" i="48"/>
  <c r="AD14573" i="48"/>
  <c r="AC14573" i="48"/>
  <c r="I14565" i="48"/>
  <c r="AF14555" i="48"/>
  <c r="AE14555" i="48"/>
  <c r="AD14555" i="48"/>
  <c r="AC14555" i="48"/>
  <c r="I14547" i="48"/>
  <c r="AF14536" i="48"/>
  <c r="AE14536" i="48"/>
  <c r="AD14536" i="48"/>
  <c r="AC14536" i="48"/>
  <c r="I14528" i="48"/>
  <c r="AC14517" i="48"/>
  <c r="I14467" i="48"/>
  <c r="I14450" i="48"/>
  <c r="I14433" i="48"/>
  <c r="I14416" i="48"/>
  <c r="I14399" i="48"/>
  <c r="I14382" i="48"/>
  <c r="I14364" i="48"/>
  <c r="A52" i="57"/>
  <c r="L51" i="57"/>
  <c r="K51" i="57"/>
  <c r="J51" i="57"/>
  <c r="G51" i="57"/>
  <c r="A51" i="57"/>
  <c r="L50" i="57"/>
  <c r="K50" i="57"/>
  <c r="J50" i="57"/>
  <c r="G50" i="57"/>
  <c r="A50" i="57"/>
  <c r="L49" i="57"/>
  <c r="K49" i="57"/>
  <c r="J49" i="57"/>
  <c r="G49" i="57"/>
  <c r="A49" i="57"/>
  <c r="L48" i="57"/>
  <c r="K48" i="57"/>
  <c r="J48" i="57"/>
  <c r="G48" i="57"/>
  <c r="A48" i="57"/>
  <c r="A47" i="57"/>
  <c r="L46" i="57"/>
  <c r="K46" i="57"/>
  <c r="J46" i="57"/>
  <c r="G46" i="57"/>
  <c r="A46" i="57"/>
  <c r="L45" i="57"/>
  <c r="K45" i="57"/>
  <c r="J45" i="57"/>
  <c r="G45" i="57"/>
  <c r="A45" i="57"/>
  <c r="L44" i="57"/>
  <c r="K44" i="57"/>
  <c r="J44" i="57"/>
  <c r="G44" i="57"/>
  <c r="A44" i="57"/>
  <c r="L43" i="57"/>
  <c r="K43" i="57"/>
  <c r="J43" i="57"/>
  <c r="G43" i="57"/>
  <c r="A43" i="57"/>
  <c r="A42" i="57"/>
  <c r="L41" i="57"/>
  <c r="K41" i="57"/>
  <c r="J41" i="57"/>
  <c r="G41" i="57"/>
  <c r="A41" i="57"/>
  <c r="L40" i="57"/>
  <c r="K40" i="57"/>
  <c r="J40" i="57"/>
  <c r="G40" i="57"/>
  <c r="A40" i="57"/>
  <c r="L39" i="57"/>
  <c r="K39" i="57"/>
  <c r="J39" i="57"/>
  <c r="G39" i="57"/>
  <c r="A39" i="57"/>
  <c r="L38" i="57"/>
  <c r="K38" i="57"/>
  <c r="J38" i="57"/>
  <c r="G38" i="57"/>
  <c r="A38" i="57"/>
  <c r="A37" i="57"/>
  <c r="L36" i="57"/>
  <c r="K36" i="57"/>
  <c r="J36" i="57"/>
  <c r="I36" i="57"/>
  <c r="H36" i="57"/>
  <c r="G36" i="57"/>
  <c r="F36" i="57"/>
  <c r="E36" i="57"/>
  <c r="A36" i="57"/>
  <c r="L35" i="57"/>
  <c r="K35" i="57"/>
  <c r="J35" i="57"/>
  <c r="I35" i="57"/>
  <c r="G35" i="57"/>
  <c r="F35" i="57"/>
  <c r="A35" i="57"/>
  <c r="L34" i="57"/>
  <c r="K34" i="57"/>
  <c r="J34" i="57"/>
  <c r="I34" i="57"/>
  <c r="G34" i="57"/>
  <c r="F34" i="57"/>
  <c r="A34" i="57"/>
  <c r="L33" i="57"/>
  <c r="K33" i="57"/>
  <c r="J33" i="57"/>
  <c r="I33" i="57"/>
  <c r="G33" i="57"/>
  <c r="F33" i="57"/>
  <c r="A33" i="57"/>
  <c r="L32" i="57"/>
  <c r="K32" i="57"/>
  <c r="J32" i="57"/>
  <c r="I32" i="57"/>
  <c r="G32" i="57"/>
  <c r="F32" i="57"/>
  <c r="A32" i="57"/>
  <c r="L31" i="57"/>
  <c r="K31" i="57"/>
  <c r="I31" i="57"/>
  <c r="F31" i="57"/>
  <c r="A31" i="57"/>
  <c r="L30" i="57"/>
  <c r="K30" i="57"/>
  <c r="A30" i="57"/>
  <c r="L29" i="57"/>
  <c r="K29" i="57"/>
  <c r="I29" i="57"/>
  <c r="F29" i="57"/>
  <c r="A29" i="57"/>
  <c r="L28" i="57"/>
  <c r="K28" i="57"/>
  <c r="I28" i="57"/>
  <c r="F28" i="57"/>
  <c r="A28" i="57"/>
  <c r="K27" i="57"/>
  <c r="J27" i="57"/>
  <c r="G27" i="57"/>
  <c r="A27" i="57"/>
  <c r="L26" i="57"/>
  <c r="K26" i="57"/>
  <c r="J26" i="57"/>
  <c r="I26" i="57"/>
  <c r="G26" i="57"/>
  <c r="F26" i="57"/>
  <c r="A26" i="57"/>
  <c r="L25" i="57"/>
  <c r="K25" i="57"/>
  <c r="J25" i="57"/>
  <c r="I25" i="57"/>
  <c r="G25" i="57"/>
  <c r="F25" i="57"/>
  <c r="A25" i="57"/>
  <c r="K24" i="57"/>
  <c r="J24" i="57"/>
  <c r="G24" i="57"/>
  <c r="A24" i="57"/>
  <c r="L23" i="57"/>
  <c r="K23" i="57"/>
  <c r="J23" i="57"/>
  <c r="G23" i="57"/>
  <c r="A23" i="57"/>
  <c r="L22" i="57"/>
  <c r="K22" i="57"/>
  <c r="J22" i="57"/>
  <c r="I22" i="57"/>
  <c r="G22" i="57"/>
  <c r="F22" i="57"/>
  <c r="A22" i="57"/>
  <c r="L21" i="57"/>
  <c r="K21" i="57"/>
  <c r="J21" i="57"/>
  <c r="I21" i="57"/>
  <c r="G21" i="57"/>
  <c r="F21" i="57"/>
  <c r="A21" i="57"/>
  <c r="L20" i="57"/>
  <c r="K20" i="57"/>
  <c r="J20" i="57"/>
  <c r="I20" i="57"/>
  <c r="H20" i="57"/>
  <c r="G20" i="57"/>
  <c r="F20" i="57"/>
  <c r="E20" i="57"/>
  <c r="A20" i="57"/>
  <c r="K19" i="57"/>
  <c r="J19" i="57"/>
  <c r="G19" i="57"/>
  <c r="A19" i="57"/>
  <c r="L18" i="57"/>
  <c r="K18" i="57"/>
  <c r="J18" i="57"/>
  <c r="I18" i="57"/>
  <c r="G18" i="57"/>
  <c r="F18" i="57"/>
  <c r="A18" i="57"/>
  <c r="L17" i="57"/>
  <c r="K17" i="57"/>
  <c r="J17" i="57"/>
  <c r="G17" i="57"/>
  <c r="A17" i="57"/>
  <c r="L16" i="57"/>
  <c r="K16" i="57"/>
  <c r="J16" i="57"/>
  <c r="I16" i="57"/>
  <c r="G16" i="57"/>
  <c r="F16" i="57"/>
  <c r="A16" i="57"/>
  <c r="L15" i="57"/>
  <c r="K15" i="57"/>
  <c r="J15" i="57"/>
  <c r="G15" i="57"/>
  <c r="A15" i="57"/>
  <c r="A14" i="57"/>
  <c r="A13" i="57"/>
  <c r="A12" i="57"/>
  <c r="A55" i="62"/>
  <c r="A54" i="62"/>
  <c r="A53" i="62"/>
  <c r="A52" i="62"/>
  <c r="A51" i="62"/>
  <c r="A50" i="62"/>
  <c r="A49" i="62"/>
  <c r="A48" i="62"/>
  <c r="A47" i="62"/>
  <c r="A46" i="62"/>
  <c r="A45" i="62"/>
  <c r="A44" i="62"/>
  <c r="A43" i="62"/>
  <c r="A42" i="62"/>
  <c r="A41" i="62"/>
  <c r="A40" i="62"/>
  <c r="M39" i="62"/>
  <c r="L39" i="62"/>
  <c r="K39" i="62"/>
  <c r="J39" i="62"/>
  <c r="I39" i="62"/>
  <c r="H39" i="62"/>
  <c r="G39" i="62"/>
  <c r="A39" i="62"/>
  <c r="M38" i="62"/>
  <c r="L38" i="62"/>
  <c r="K38" i="62"/>
  <c r="J38" i="62"/>
  <c r="I38" i="62"/>
  <c r="H38" i="62"/>
  <c r="G38" i="62"/>
  <c r="A38" i="62"/>
  <c r="J37" i="62"/>
  <c r="I37" i="62"/>
  <c r="K37" i="62" s="1"/>
  <c r="L37" i="62" s="1"/>
  <c r="M37" i="62" s="1"/>
  <c r="H37" i="62"/>
  <c r="G37" i="62"/>
  <c r="F37" i="62"/>
  <c r="A37" i="62"/>
  <c r="J36" i="62"/>
  <c r="I36" i="62"/>
  <c r="K36" i="62" s="1"/>
  <c r="G36" i="62"/>
  <c r="H36" i="62" s="1"/>
  <c r="F36" i="62"/>
  <c r="A36" i="62"/>
  <c r="J35" i="62"/>
  <c r="I35" i="62"/>
  <c r="K35" i="62" s="1"/>
  <c r="G35" i="62"/>
  <c r="H35" i="62" s="1"/>
  <c r="F35" i="62"/>
  <c r="A35" i="62"/>
  <c r="A34" i="62"/>
  <c r="M33" i="62"/>
  <c r="L33" i="62"/>
  <c r="K33" i="62"/>
  <c r="I33" i="62"/>
  <c r="H33" i="62"/>
  <c r="A33" i="62"/>
  <c r="M32" i="62"/>
  <c r="L32" i="62"/>
  <c r="K32" i="62"/>
  <c r="J32" i="62"/>
  <c r="I32" i="62"/>
  <c r="H32" i="62"/>
  <c r="G32" i="62"/>
  <c r="F32" i="62"/>
  <c r="A32" i="62"/>
  <c r="M31" i="62"/>
  <c r="L31" i="62"/>
  <c r="K31" i="62"/>
  <c r="J31" i="62"/>
  <c r="I31" i="62"/>
  <c r="H31" i="62"/>
  <c r="G31" i="62"/>
  <c r="A31" i="62"/>
  <c r="A30" i="62"/>
  <c r="M29" i="62"/>
  <c r="L29" i="62"/>
  <c r="K29" i="62"/>
  <c r="J29" i="62"/>
  <c r="H29" i="62"/>
  <c r="G29" i="62"/>
  <c r="A29" i="62"/>
  <c r="M28" i="62"/>
  <c r="L28" i="62"/>
  <c r="K28" i="62"/>
  <c r="J28" i="62"/>
  <c r="H28" i="62"/>
  <c r="G28" i="62"/>
  <c r="A28" i="62"/>
  <c r="A27" i="62"/>
  <c r="M26" i="62"/>
  <c r="L26" i="62"/>
  <c r="K26" i="62"/>
  <c r="J26" i="62"/>
  <c r="H26" i="62"/>
  <c r="G26" i="62"/>
  <c r="A26" i="62"/>
  <c r="M25" i="62"/>
  <c r="L25" i="62"/>
  <c r="K25" i="62"/>
  <c r="H25" i="62"/>
  <c r="A25" i="62"/>
  <c r="I24" i="62"/>
  <c r="K24" i="62" s="1"/>
  <c r="F24" i="62"/>
  <c r="H24" i="62" s="1"/>
  <c r="A24" i="62"/>
  <c r="M23" i="62"/>
  <c r="L23" i="62"/>
  <c r="K23" i="62"/>
  <c r="J23" i="62"/>
  <c r="H23" i="62"/>
  <c r="G23" i="62"/>
  <c r="A23" i="62"/>
  <c r="M22" i="62"/>
  <c r="L22" i="62"/>
  <c r="K22" i="62"/>
  <c r="J22" i="62"/>
  <c r="H22" i="62"/>
  <c r="G22" i="62"/>
  <c r="A22" i="62"/>
  <c r="M21" i="62"/>
  <c r="L21" i="62"/>
  <c r="K21" i="62"/>
  <c r="J21" i="62"/>
  <c r="H21" i="62"/>
  <c r="G21" i="62"/>
  <c r="A21" i="62"/>
  <c r="M20" i="62"/>
  <c r="L20" i="62"/>
  <c r="K20" i="62"/>
  <c r="J20" i="62"/>
  <c r="H20" i="62"/>
  <c r="G20" i="62"/>
  <c r="A20" i="62"/>
  <c r="J19" i="62"/>
  <c r="K19" i="62" s="1"/>
  <c r="I19" i="62"/>
  <c r="F19" i="62"/>
  <c r="G19" i="62" s="1"/>
  <c r="H19" i="62" s="1"/>
  <c r="H27" i="62" s="1"/>
  <c r="A19" i="62"/>
  <c r="M18" i="62"/>
  <c r="L18" i="62"/>
  <c r="K18" i="62"/>
  <c r="H18" i="62"/>
  <c r="A18" i="62"/>
  <c r="M17" i="62"/>
  <c r="L17" i="62"/>
  <c r="K17" i="62"/>
  <c r="J17" i="62"/>
  <c r="H17" i="62"/>
  <c r="G17" i="62"/>
  <c r="A17" i="62"/>
  <c r="M16" i="62"/>
  <c r="L16" i="62"/>
  <c r="K16" i="62"/>
  <c r="J16" i="62"/>
  <c r="H16" i="62"/>
  <c r="A16" i="62"/>
  <c r="M15" i="62"/>
  <c r="L15" i="62"/>
  <c r="K15" i="62"/>
  <c r="J15" i="62"/>
  <c r="H15" i="62"/>
  <c r="G15" i="62"/>
  <c r="A15" i="62"/>
  <c r="J14" i="62"/>
  <c r="G14" i="62"/>
  <c r="A14" i="62"/>
  <c r="M13" i="62"/>
  <c r="L13" i="62"/>
  <c r="K13" i="62"/>
  <c r="J13" i="62"/>
  <c r="H13" i="62"/>
  <c r="G13" i="62"/>
  <c r="A13" i="62"/>
  <c r="M12" i="62"/>
  <c r="L12" i="62"/>
  <c r="K12" i="62"/>
  <c r="J12" i="62"/>
  <c r="H12" i="62"/>
  <c r="A12" i="62"/>
  <c r="O2" i="62"/>
  <c r="Q339" i="64"/>
  <c r="P339" i="64"/>
  <c r="O339" i="64"/>
  <c r="N339" i="64"/>
  <c r="M339" i="64"/>
  <c r="L339" i="64"/>
  <c r="K339" i="64"/>
  <c r="J339" i="64"/>
  <c r="I339" i="64"/>
  <c r="H339" i="64"/>
  <c r="G339" i="64"/>
  <c r="F339" i="64"/>
  <c r="D74" i="56"/>
  <c r="B74" i="56"/>
  <c r="D73" i="56"/>
  <c r="B73" i="56"/>
  <c r="D72" i="56"/>
  <c r="B72" i="56"/>
  <c r="D71" i="56"/>
  <c r="B71" i="56"/>
  <c r="G70" i="56"/>
  <c r="D70" i="56"/>
  <c r="B70" i="56"/>
  <c r="G69" i="56"/>
  <c r="D69" i="56"/>
  <c r="B69" i="56"/>
  <c r="D68" i="56"/>
  <c r="B68" i="56"/>
  <c r="G67" i="56"/>
  <c r="D67" i="56"/>
  <c r="B67" i="56"/>
  <c r="G66" i="56"/>
  <c r="D66" i="56"/>
  <c r="B66" i="56"/>
  <c r="D65" i="56"/>
  <c r="B65" i="56"/>
  <c r="G64" i="56"/>
  <c r="D64" i="56"/>
  <c r="B64" i="56"/>
  <c r="G63" i="56"/>
  <c r="D63" i="56"/>
  <c r="B63" i="56"/>
  <c r="G62" i="56"/>
  <c r="D62" i="56"/>
  <c r="B62" i="56"/>
  <c r="G61" i="56"/>
  <c r="D61" i="56"/>
  <c r="B61" i="56"/>
  <c r="D60" i="56"/>
  <c r="B60" i="56"/>
  <c r="G59" i="56"/>
  <c r="D59" i="56"/>
  <c r="B59" i="56"/>
  <c r="D58" i="56"/>
  <c r="B58" i="56"/>
  <c r="D57" i="56"/>
  <c r="B57" i="56"/>
  <c r="G56" i="56"/>
  <c r="D56" i="56"/>
  <c r="B56" i="56"/>
  <c r="D55" i="56"/>
  <c r="B55" i="56"/>
  <c r="T49" i="56"/>
  <c r="G74" i="56"/>
  <c r="T48" i="56"/>
  <c r="G73" i="56"/>
  <c r="T47" i="56"/>
  <c r="G72" i="56"/>
  <c r="T46" i="56"/>
  <c r="G71" i="56"/>
  <c r="T45" i="56"/>
  <c r="T44" i="56"/>
  <c r="T43" i="56"/>
  <c r="G68" i="56"/>
  <c r="T42" i="56"/>
  <c r="T41" i="56"/>
  <c r="T40" i="56"/>
  <c r="G65" i="56"/>
  <c r="K39" i="56"/>
  <c r="T39" i="56" s="1"/>
  <c r="C39" i="56"/>
  <c r="T38" i="56"/>
  <c r="C38" i="56"/>
  <c r="T37" i="56"/>
  <c r="C37" i="56"/>
  <c r="T36" i="56"/>
  <c r="C36" i="56"/>
  <c r="T35" i="56"/>
  <c r="G60" i="56"/>
  <c r="T34" i="56"/>
  <c r="T33" i="56"/>
  <c r="G58" i="56"/>
  <c r="T32" i="56"/>
  <c r="G57" i="56"/>
  <c r="U31" i="56"/>
  <c r="U32" i="56" s="1"/>
  <c r="U33" i="56" s="1"/>
  <c r="U34" i="56" s="1"/>
  <c r="U35" i="56" s="1"/>
  <c r="U36" i="56" s="1"/>
  <c r="U37" i="56" s="1"/>
  <c r="U38" i="56" s="1"/>
  <c r="U39" i="56" s="1"/>
  <c r="U40" i="56" s="1"/>
  <c r="U41" i="56" s="1"/>
  <c r="U42" i="56" s="1"/>
  <c r="U43" i="56" s="1"/>
  <c r="U44" i="56" s="1"/>
  <c r="U45" i="56" s="1"/>
  <c r="U46" i="56" s="1"/>
  <c r="U47" i="56" s="1"/>
  <c r="U48" i="56" s="1"/>
  <c r="U49" i="56" s="1"/>
  <c r="T31" i="56"/>
  <c r="T30" i="56"/>
  <c r="G55" i="56"/>
  <c r="B14" i="17"/>
  <c r="D13" i="17"/>
  <c r="I56" i="39"/>
  <c r="J56" i="39" s="1"/>
  <c r="H56" i="39"/>
  <c r="G56" i="39"/>
  <c r="I55" i="39"/>
  <c r="J55" i="39" s="1"/>
  <c r="H55" i="39"/>
  <c r="G55" i="39"/>
  <c r="I54" i="39"/>
  <c r="J54" i="39" s="1"/>
  <c r="H54" i="39"/>
  <c r="G54" i="39"/>
  <c r="I53" i="39"/>
  <c r="J53" i="39" s="1"/>
  <c r="H53" i="39"/>
  <c r="G53" i="39"/>
  <c r="I52" i="39"/>
  <c r="J52" i="39" s="1"/>
  <c r="H52" i="39"/>
  <c r="G52" i="39"/>
  <c r="I51" i="39"/>
  <c r="J51" i="39" s="1"/>
  <c r="H51" i="39"/>
  <c r="G51" i="39"/>
  <c r="I50" i="39"/>
  <c r="J50" i="39" s="1"/>
  <c r="H50" i="39"/>
  <c r="G50" i="39"/>
  <c r="I45" i="39"/>
  <c r="J45" i="39" s="1"/>
  <c r="H45" i="39"/>
  <c r="G45" i="39"/>
  <c r="I44" i="39"/>
  <c r="J44" i="39" s="1"/>
  <c r="H44" i="39"/>
  <c r="G44" i="39"/>
  <c r="I43" i="39"/>
  <c r="J43" i="39" s="1"/>
  <c r="H43" i="39"/>
  <c r="G43" i="39"/>
  <c r="I42" i="39"/>
  <c r="J42" i="39" s="1"/>
  <c r="H42" i="39"/>
  <c r="G42" i="39"/>
  <c r="I41" i="39"/>
  <c r="J41" i="39" s="1"/>
  <c r="H41" i="39"/>
  <c r="G41" i="39"/>
  <c r="I40" i="39"/>
  <c r="J40" i="39" s="1"/>
  <c r="H40" i="39"/>
  <c r="G40" i="39"/>
  <c r="I39" i="39"/>
  <c r="J39" i="39" s="1"/>
  <c r="H39" i="39"/>
  <c r="G39" i="39"/>
  <c r="I34" i="39"/>
  <c r="J34" i="39" s="1"/>
  <c r="H34" i="39"/>
  <c r="G34" i="39"/>
  <c r="I33" i="39"/>
  <c r="J33" i="39" s="1"/>
  <c r="H33" i="39"/>
  <c r="G33" i="39"/>
  <c r="I32" i="39"/>
  <c r="J32" i="39" s="1"/>
  <c r="H32" i="39"/>
  <c r="G32" i="39"/>
  <c r="I31" i="39"/>
  <c r="J31" i="39" s="1"/>
  <c r="H31" i="39"/>
  <c r="G31" i="39"/>
  <c r="I30" i="39"/>
  <c r="J30" i="39" s="1"/>
  <c r="H30" i="39"/>
  <c r="G30" i="39"/>
  <c r="I29" i="39"/>
  <c r="J29" i="39" s="1"/>
  <c r="H29" i="39"/>
  <c r="G29" i="39"/>
  <c r="I28" i="39"/>
  <c r="J28" i="39" s="1"/>
  <c r="H28" i="39"/>
  <c r="G28" i="39"/>
  <c r="I23" i="39"/>
  <c r="J23" i="39" s="1"/>
  <c r="H23" i="39"/>
  <c r="G23" i="39"/>
  <c r="I22" i="39"/>
  <c r="J22" i="39" s="1"/>
  <c r="H22" i="39"/>
  <c r="G22" i="39"/>
  <c r="I21" i="39"/>
  <c r="J21" i="39" s="1"/>
  <c r="H21" i="39"/>
  <c r="G21" i="39"/>
  <c r="I20" i="39"/>
  <c r="J20" i="39" s="1"/>
  <c r="H20" i="39"/>
  <c r="G20" i="39"/>
  <c r="I19" i="39"/>
  <c r="J19" i="39" s="1"/>
  <c r="H19" i="39"/>
  <c r="G19" i="39"/>
  <c r="I18" i="39"/>
  <c r="J18" i="39" s="1"/>
  <c r="H18" i="39"/>
  <c r="G18" i="39"/>
  <c r="I17" i="39"/>
  <c r="J17" i="39" s="1"/>
  <c r="H17" i="39"/>
  <c r="G17" i="39"/>
  <c r="P113" i="38"/>
  <c r="P111" i="38"/>
  <c r="P109" i="38"/>
  <c r="N109" i="38"/>
  <c r="M109" i="38"/>
  <c r="L109" i="38"/>
  <c r="J109" i="38"/>
  <c r="I109" i="38"/>
  <c r="H109" i="38"/>
  <c r="F109" i="38"/>
  <c r="E109" i="38"/>
  <c r="D109" i="38"/>
  <c r="P107" i="38"/>
  <c r="N107" i="38"/>
  <c r="M107" i="38"/>
  <c r="L107" i="38"/>
  <c r="J107" i="38"/>
  <c r="I107" i="38"/>
  <c r="H107" i="38"/>
  <c r="F107" i="38"/>
  <c r="E107" i="38"/>
  <c r="D107" i="38"/>
  <c r="P106" i="38"/>
  <c r="N106" i="38"/>
  <c r="M106" i="38"/>
  <c r="L106" i="38"/>
  <c r="J106" i="38"/>
  <c r="I106" i="38"/>
  <c r="H106" i="38"/>
  <c r="F106" i="38"/>
  <c r="E106" i="38"/>
  <c r="D106" i="38"/>
  <c r="P105" i="38"/>
  <c r="N105" i="38"/>
  <c r="M105" i="38"/>
  <c r="L105" i="38"/>
  <c r="J105" i="38"/>
  <c r="I105" i="38"/>
  <c r="H105" i="38"/>
  <c r="F105" i="38"/>
  <c r="E105" i="38"/>
  <c r="D105" i="38"/>
  <c r="P104" i="38"/>
  <c r="N104" i="38"/>
  <c r="M104" i="38"/>
  <c r="L104" i="38"/>
  <c r="J104" i="38"/>
  <c r="I104" i="38"/>
  <c r="H104" i="38"/>
  <c r="F104" i="38"/>
  <c r="E104" i="38"/>
  <c r="D104" i="38"/>
  <c r="P103" i="38"/>
  <c r="N103" i="38"/>
  <c r="M103" i="38"/>
  <c r="L103" i="38"/>
  <c r="J103" i="38"/>
  <c r="I103" i="38"/>
  <c r="H103" i="38"/>
  <c r="F103" i="38"/>
  <c r="E103" i="38"/>
  <c r="D103" i="38"/>
  <c r="P102" i="38"/>
  <c r="N102" i="38"/>
  <c r="M102" i="38"/>
  <c r="L102" i="38"/>
  <c r="J102" i="38"/>
  <c r="I102" i="38"/>
  <c r="H102" i="38"/>
  <c r="F102" i="38"/>
  <c r="E102" i="38"/>
  <c r="D102" i="38"/>
  <c r="P101" i="38"/>
  <c r="N101" i="38"/>
  <c r="M101" i="38"/>
  <c r="L101" i="38"/>
  <c r="J101" i="38"/>
  <c r="I101" i="38"/>
  <c r="H101" i="38"/>
  <c r="F101" i="38"/>
  <c r="E101" i="38"/>
  <c r="D101" i="38"/>
  <c r="P100" i="38"/>
  <c r="N100" i="38"/>
  <c r="M100" i="38"/>
  <c r="L100" i="38"/>
  <c r="J100" i="38"/>
  <c r="I100" i="38"/>
  <c r="H100" i="38"/>
  <c r="F100" i="38"/>
  <c r="E100" i="38"/>
  <c r="D100" i="38"/>
  <c r="P99" i="38"/>
  <c r="N99" i="38"/>
  <c r="M99" i="38"/>
  <c r="L99" i="38"/>
  <c r="J99" i="38"/>
  <c r="I99" i="38"/>
  <c r="H99" i="38"/>
  <c r="F99" i="38"/>
  <c r="E99" i="38"/>
  <c r="D99" i="38"/>
  <c r="P98" i="38"/>
  <c r="N98" i="38"/>
  <c r="M98" i="38"/>
  <c r="L98" i="38"/>
  <c r="J98" i="38"/>
  <c r="I98" i="38"/>
  <c r="H98" i="38"/>
  <c r="F98" i="38"/>
  <c r="E98" i="38"/>
  <c r="D98" i="38"/>
  <c r="P97" i="38"/>
  <c r="N97" i="38"/>
  <c r="M97" i="38"/>
  <c r="L97" i="38"/>
  <c r="J97" i="38"/>
  <c r="I97" i="38"/>
  <c r="H97" i="38"/>
  <c r="F97" i="38"/>
  <c r="E97" i="38"/>
  <c r="D97" i="38"/>
  <c r="P96" i="38"/>
  <c r="N96" i="38"/>
  <c r="M96" i="38"/>
  <c r="L96" i="38"/>
  <c r="J96" i="38"/>
  <c r="I96" i="38"/>
  <c r="H96" i="38"/>
  <c r="F96" i="38"/>
  <c r="E96" i="38"/>
  <c r="D96" i="38"/>
  <c r="P90" i="38"/>
  <c r="N90" i="38"/>
  <c r="M90" i="38"/>
  <c r="L90" i="38"/>
  <c r="J90" i="38"/>
  <c r="I90" i="38"/>
  <c r="H90" i="38"/>
  <c r="F90" i="38"/>
  <c r="E90" i="38"/>
  <c r="D90" i="38"/>
  <c r="P88" i="38"/>
  <c r="N88" i="38"/>
  <c r="M88" i="38"/>
  <c r="L88" i="38"/>
  <c r="J88" i="38"/>
  <c r="I88" i="38"/>
  <c r="H88" i="38"/>
  <c r="F88" i="38"/>
  <c r="E88" i="38"/>
  <c r="D88" i="38"/>
  <c r="P87" i="38"/>
  <c r="N87" i="38"/>
  <c r="M87" i="38"/>
  <c r="L87" i="38"/>
  <c r="J87" i="38"/>
  <c r="I87" i="38"/>
  <c r="H87" i="38"/>
  <c r="F87" i="38"/>
  <c r="E87" i="38"/>
  <c r="D87" i="38"/>
  <c r="P86" i="38"/>
  <c r="N86" i="38"/>
  <c r="M86" i="38"/>
  <c r="L86" i="38"/>
  <c r="J86" i="38"/>
  <c r="I86" i="38"/>
  <c r="H86" i="38"/>
  <c r="F86" i="38"/>
  <c r="E86" i="38"/>
  <c r="D86" i="38"/>
  <c r="P85" i="38"/>
  <c r="N85" i="38"/>
  <c r="M85" i="38"/>
  <c r="L85" i="38"/>
  <c r="J85" i="38"/>
  <c r="I85" i="38"/>
  <c r="H85" i="38"/>
  <c r="F85" i="38"/>
  <c r="E85" i="38"/>
  <c r="D85" i="38"/>
  <c r="P84" i="38"/>
  <c r="N84" i="38"/>
  <c r="M84" i="38"/>
  <c r="L84" i="38"/>
  <c r="J84" i="38"/>
  <c r="I84" i="38"/>
  <c r="H84" i="38"/>
  <c r="F84" i="38"/>
  <c r="E84" i="38"/>
  <c r="D84" i="38"/>
  <c r="P83" i="38"/>
  <c r="N83" i="38"/>
  <c r="M83" i="38"/>
  <c r="L83" i="38"/>
  <c r="J83" i="38"/>
  <c r="I83" i="38"/>
  <c r="H83" i="38"/>
  <c r="F83" i="38"/>
  <c r="E83" i="38"/>
  <c r="D83" i="38"/>
  <c r="P82" i="38"/>
  <c r="N82" i="38"/>
  <c r="M82" i="38"/>
  <c r="L82" i="38"/>
  <c r="J82" i="38"/>
  <c r="I82" i="38"/>
  <c r="H82" i="38"/>
  <c r="F82" i="38"/>
  <c r="E82" i="38"/>
  <c r="D82" i="38"/>
  <c r="P81" i="38"/>
  <c r="N81" i="38"/>
  <c r="M81" i="38"/>
  <c r="L81" i="38"/>
  <c r="J81" i="38"/>
  <c r="I81" i="38"/>
  <c r="H81" i="38"/>
  <c r="F81" i="38"/>
  <c r="E81" i="38"/>
  <c r="D81" i="38"/>
  <c r="P80" i="38"/>
  <c r="N80" i="38"/>
  <c r="M80" i="38"/>
  <c r="L80" i="38"/>
  <c r="J80" i="38"/>
  <c r="I80" i="38"/>
  <c r="H80" i="38"/>
  <c r="F80" i="38"/>
  <c r="E80" i="38"/>
  <c r="D80" i="38"/>
  <c r="P79" i="38"/>
  <c r="N79" i="38"/>
  <c r="M79" i="38"/>
  <c r="L79" i="38"/>
  <c r="J79" i="38"/>
  <c r="I79" i="38"/>
  <c r="H79" i="38"/>
  <c r="F79" i="38"/>
  <c r="E79" i="38"/>
  <c r="D79" i="38"/>
  <c r="P78" i="38"/>
  <c r="N78" i="38"/>
  <c r="M78" i="38"/>
  <c r="L78" i="38"/>
  <c r="J78" i="38"/>
  <c r="I78" i="38"/>
  <c r="H78" i="38"/>
  <c r="F78" i="38"/>
  <c r="E78" i="38"/>
  <c r="D78" i="38"/>
  <c r="P77" i="38"/>
  <c r="N77" i="38"/>
  <c r="M77" i="38"/>
  <c r="L77" i="38"/>
  <c r="J77" i="38"/>
  <c r="I77" i="38"/>
  <c r="H77" i="38"/>
  <c r="F77" i="38"/>
  <c r="E77" i="38"/>
  <c r="D77" i="38"/>
  <c r="B73" i="38"/>
  <c r="P71" i="38"/>
  <c r="N71" i="38"/>
  <c r="M71" i="38"/>
  <c r="L71" i="38"/>
  <c r="J71" i="38"/>
  <c r="I71" i="38"/>
  <c r="H71" i="38"/>
  <c r="F71" i="38"/>
  <c r="E71" i="38"/>
  <c r="D71" i="38"/>
  <c r="P69" i="38"/>
  <c r="N69" i="38"/>
  <c r="M69" i="38"/>
  <c r="L69" i="38"/>
  <c r="J69" i="38"/>
  <c r="I69" i="38"/>
  <c r="H69" i="38"/>
  <c r="F69" i="38"/>
  <c r="E69" i="38"/>
  <c r="D69" i="38"/>
  <c r="P68" i="38"/>
  <c r="N68" i="38"/>
  <c r="M68" i="38"/>
  <c r="L68" i="38"/>
  <c r="J68" i="38"/>
  <c r="I68" i="38"/>
  <c r="H68" i="38"/>
  <c r="F68" i="38"/>
  <c r="E68" i="38"/>
  <c r="D68" i="38"/>
  <c r="P67" i="38"/>
  <c r="N67" i="38"/>
  <c r="M67" i="38"/>
  <c r="L67" i="38"/>
  <c r="J67" i="38"/>
  <c r="I67" i="38"/>
  <c r="H67" i="38"/>
  <c r="F67" i="38"/>
  <c r="E67" i="38"/>
  <c r="D67" i="38"/>
  <c r="P66" i="38"/>
  <c r="N66" i="38"/>
  <c r="M66" i="38"/>
  <c r="L66" i="38"/>
  <c r="J66" i="38"/>
  <c r="I66" i="38"/>
  <c r="H66" i="38"/>
  <c r="F66" i="38"/>
  <c r="E66" i="38"/>
  <c r="D66" i="38"/>
  <c r="P65" i="38"/>
  <c r="N65" i="38"/>
  <c r="M65" i="38"/>
  <c r="L65" i="38"/>
  <c r="J65" i="38"/>
  <c r="I65" i="38"/>
  <c r="H65" i="38"/>
  <c r="F65" i="38"/>
  <c r="E65" i="38"/>
  <c r="D65" i="38"/>
  <c r="P64" i="38"/>
  <c r="N64" i="38"/>
  <c r="M64" i="38"/>
  <c r="L64" i="38"/>
  <c r="J64" i="38"/>
  <c r="I64" i="38"/>
  <c r="H64" i="38"/>
  <c r="F64" i="38"/>
  <c r="E64" i="38"/>
  <c r="D64" i="38"/>
  <c r="P63" i="38"/>
  <c r="N63" i="38"/>
  <c r="M63" i="38"/>
  <c r="L63" i="38"/>
  <c r="J63" i="38"/>
  <c r="I63" i="38"/>
  <c r="H63" i="38"/>
  <c r="F63" i="38"/>
  <c r="E63" i="38"/>
  <c r="D63" i="38"/>
  <c r="P62" i="38"/>
  <c r="N62" i="38"/>
  <c r="M62" i="38"/>
  <c r="L62" i="38"/>
  <c r="J62" i="38"/>
  <c r="I62" i="38"/>
  <c r="H62" i="38"/>
  <c r="F62" i="38"/>
  <c r="E62" i="38"/>
  <c r="D62" i="38"/>
  <c r="P61" i="38"/>
  <c r="N61" i="38"/>
  <c r="M61" i="38"/>
  <c r="L61" i="38"/>
  <c r="J61" i="38"/>
  <c r="I61" i="38"/>
  <c r="H61" i="38"/>
  <c r="F61" i="38"/>
  <c r="E61" i="38"/>
  <c r="D61" i="38"/>
  <c r="P60" i="38"/>
  <c r="N60" i="38"/>
  <c r="M60" i="38"/>
  <c r="L60" i="38"/>
  <c r="J60" i="38"/>
  <c r="I60" i="38"/>
  <c r="H60" i="38"/>
  <c r="F60" i="38"/>
  <c r="E60" i="38"/>
  <c r="D60" i="38"/>
  <c r="P59" i="38"/>
  <c r="N59" i="38"/>
  <c r="M59" i="38"/>
  <c r="L59" i="38"/>
  <c r="J59" i="38"/>
  <c r="I59" i="38"/>
  <c r="H59" i="38"/>
  <c r="F59" i="38"/>
  <c r="E59" i="38"/>
  <c r="D59" i="38"/>
  <c r="P58" i="38"/>
  <c r="N58" i="38"/>
  <c r="M58" i="38"/>
  <c r="L58" i="38"/>
  <c r="J58" i="38"/>
  <c r="I58" i="38"/>
  <c r="H58" i="38"/>
  <c r="F58" i="38"/>
  <c r="E58" i="38"/>
  <c r="D58" i="38"/>
  <c r="B54" i="38"/>
  <c r="P52" i="38"/>
  <c r="N52" i="38"/>
  <c r="M52" i="38"/>
  <c r="L52" i="38"/>
  <c r="J52" i="38"/>
  <c r="I52" i="38"/>
  <c r="H52" i="38"/>
  <c r="F52" i="38"/>
  <c r="E52" i="38"/>
  <c r="D52" i="38"/>
  <c r="P50" i="38"/>
  <c r="N50" i="38"/>
  <c r="M50" i="38"/>
  <c r="L50" i="38"/>
  <c r="J50" i="38"/>
  <c r="I50" i="38"/>
  <c r="H50" i="38"/>
  <c r="F50" i="38"/>
  <c r="E50" i="38"/>
  <c r="D50" i="38"/>
  <c r="P49" i="38"/>
  <c r="N49" i="38"/>
  <c r="M49" i="38"/>
  <c r="L49" i="38"/>
  <c r="J49" i="38"/>
  <c r="I49" i="38"/>
  <c r="H49" i="38"/>
  <c r="F49" i="38"/>
  <c r="E49" i="38"/>
  <c r="D49" i="38"/>
  <c r="P48" i="38"/>
  <c r="N48" i="38"/>
  <c r="M48" i="38"/>
  <c r="L48" i="38"/>
  <c r="J48" i="38"/>
  <c r="I48" i="38"/>
  <c r="H48" i="38"/>
  <c r="F48" i="38"/>
  <c r="E48" i="38"/>
  <c r="D48" i="38"/>
  <c r="P47" i="38"/>
  <c r="N47" i="38"/>
  <c r="M47" i="38"/>
  <c r="L47" i="38"/>
  <c r="J47" i="38"/>
  <c r="I47" i="38"/>
  <c r="H47" i="38"/>
  <c r="F47" i="38"/>
  <c r="E47" i="38"/>
  <c r="D47" i="38"/>
  <c r="P46" i="38"/>
  <c r="N46" i="38"/>
  <c r="M46" i="38"/>
  <c r="L46" i="38"/>
  <c r="J46" i="38"/>
  <c r="I46" i="38"/>
  <c r="H46" i="38"/>
  <c r="F46" i="38"/>
  <c r="E46" i="38"/>
  <c r="D46" i="38"/>
  <c r="P45" i="38"/>
  <c r="N45" i="38"/>
  <c r="M45" i="38"/>
  <c r="L45" i="38"/>
  <c r="J45" i="38"/>
  <c r="I45" i="38"/>
  <c r="H45" i="38"/>
  <c r="F45" i="38"/>
  <c r="E45" i="38"/>
  <c r="D45" i="38"/>
  <c r="P44" i="38"/>
  <c r="N44" i="38"/>
  <c r="M44" i="38"/>
  <c r="L44" i="38"/>
  <c r="J44" i="38"/>
  <c r="I44" i="38"/>
  <c r="H44" i="38"/>
  <c r="F44" i="38"/>
  <c r="E44" i="38"/>
  <c r="D44" i="38"/>
  <c r="P43" i="38"/>
  <c r="N43" i="38"/>
  <c r="M43" i="38"/>
  <c r="L43" i="38"/>
  <c r="J43" i="38"/>
  <c r="I43" i="38"/>
  <c r="H43" i="38"/>
  <c r="F43" i="38"/>
  <c r="E43" i="38"/>
  <c r="D43" i="38"/>
  <c r="P42" i="38"/>
  <c r="N42" i="38"/>
  <c r="M42" i="38"/>
  <c r="L42" i="38"/>
  <c r="J42" i="38"/>
  <c r="I42" i="38"/>
  <c r="H42" i="38"/>
  <c r="F42" i="38"/>
  <c r="E42" i="38"/>
  <c r="D42" i="38"/>
  <c r="P41" i="38"/>
  <c r="N41" i="38"/>
  <c r="M41" i="38"/>
  <c r="L41" i="38"/>
  <c r="J41" i="38"/>
  <c r="I41" i="38"/>
  <c r="H41" i="38"/>
  <c r="F41" i="38"/>
  <c r="E41" i="38"/>
  <c r="D41" i="38"/>
  <c r="P40" i="38"/>
  <c r="N40" i="38"/>
  <c r="M40" i="38"/>
  <c r="L40" i="38"/>
  <c r="J40" i="38"/>
  <c r="I40" i="38"/>
  <c r="H40" i="38"/>
  <c r="F40" i="38"/>
  <c r="E40" i="38"/>
  <c r="D40" i="38"/>
  <c r="P39" i="38"/>
  <c r="N39" i="38"/>
  <c r="M39" i="38"/>
  <c r="L39" i="38"/>
  <c r="J39" i="38"/>
  <c r="I39" i="38"/>
  <c r="H39" i="38"/>
  <c r="F39" i="38"/>
  <c r="E39" i="38"/>
  <c r="D39" i="38"/>
  <c r="P33" i="38"/>
  <c r="N33" i="38"/>
  <c r="M33" i="38"/>
  <c r="L33" i="38"/>
  <c r="J33" i="38"/>
  <c r="I33" i="38"/>
  <c r="H33" i="38"/>
  <c r="F33" i="38"/>
  <c r="E33" i="38"/>
  <c r="D33" i="38"/>
  <c r="P31" i="38"/>
  <c r="N31" i="38"/>
  <c r="M31" i="38"/>
  <c r="L31" i="38"/>
  <c r="J31" i="38"/>
  <c r="I31" i="38"/>
  <c r="H31" i="38"/>
  <c r="F31" i="38"/>
  <c r="E31" i="38"/>
  <c r="D31" i="38"/>
  <c r="P30" i="38"/>
  <c r="N30" i="38"/>
  <c r="M30" i="38"/>
  <c r="L30" i="38"/>
  <c r="J30" i="38"/>
  <c r="I30" i="38"/>
  <c r="H30" i="38"/>
  <c r="F30" i="38"/>
  <c r="E30" i="38"/>
  <c r="D30" i="38"/>
  <c r="P29" i="38"/>
  <c r="N29" i="38"/>
  <c r="M29" i="38"/>
  <c r="L29" i="38"/>
  <c r="J29" i="38"/>
  <c r="I29" i="38"/>
  <c r="H29" i="38"/>
  <c r="F29" i="38"/>
  <c r="E29" i="38"/>
  <c r="D29" i="38"/>
  <c r="P28" i="38"/>
  <c r="N28" i="38"/>
  <c r="M28" i="38"/>
  <c r="L28" i="38"/>
  <c r="J28" i="38"/>
  <c r="I28" i="38"/>
  <c r="H28" i="38"/>
  <c r="F28" i="38"/>
  <c r="E28" i="38"/>
  <c r="D28" i="38"/>
  <c r="P27" i="38"/>
  <c r="N27" i="38"/>
  <c r="M27" i="38"/>
  <c r="L27" i="38"/>
  <c r="J27" i="38"/>
  <c r="I27" i="38"/>
  <c r="H27" i="38"/>
  <c r="F27" i="38"/>
  <c r="E27" i="38"/>
  <c r="D27" i="38"/>
  <c r="P26" i="38"/>
  <c r="N26" i="38"/>
  <c r="M26" i="38"/>
  <c r="L26" i="38"/>
  <c r="J26" i="38"/>
  <c r="I26" i="38"/>
  <c r="H26" i="38"/>
  <c r="F26" i="38"/>
  <c r="E26" i="38"/>
  <c r="D26" i="38"/>
  <c r="P25" i="38"/>
  <c r="N25" i="38"/>
  <c r="M25" i="38"/>
  <c r="L25" i="38"/>
  <c r="J25" i="38"/>
  <c r="I25" i="38"/>
  <c r="H25" i="38"/>
  <c r="F25" i="38"/>
  <c r="E25" i="38"/>
  <c r="D25" i="38"/>
  <c r="P24" i="38"/>
  <c r="N24" i="38"/>
  <c r="M24" i="38"/>
  <c r="L24" i="38"/>
  <c r="J24" i="38"/>
  <c r="I24" i="38"/>
  <c r="H24" i="38"/>
  <c r="F24" i="38"/>
  <c r="E24" i="38"/>
  <c r="D24" i="38"/>
  <c r="P23" i="38"/>
  <c r="N23" i="38"/>
  <c r="M23" i="38"/>
  <c r="L23" i="38"/>
  <c r="J23" i="38"/>
  <c r="I23" i="38"/>
  <c r="H23" i="38"/>
  <c r="F23" i="38"/>
  <c r="E23" i="38"/>
  <c r="D23" i="38"/>
  <c r="P22" i="38"/>
  <c r="N22" i="38"/>
  <c r="M22" i="38"/>
  <c r="L22" i="38"/>
  <c r="J22" i="38"/>
  <c r="I22" i="38"/>
  <c r="H22" i="38"/>
  <c r="F22" i="38"/>
  <c r="E22" i="38"/>
  <c r="D22" i="38"/>
  <c r="P21" i="38"/>
  <c r="N21" i="38"/>
  <c r="M21" i="38"/>
  <c r="L21" i="38"/>
  <c r="J21" i="38"/>
  <c r="I21" i="38"/>
  <c r="H21" i="38"/>
  <c r="F21" i="38"/>
  <c r="E21" i="38"/>
  <c r="D21" i="38"/>
  <c r="P20" i="38"/>
  <c r="N20" i="38"/>
  <c r="M20" i="38"/>
  <c r="L20" i="38"/>
  <c r="J20" i="38"/>
  <c r="I20" i="38"/>
  <c r="H20" i="38"/>
  <c r="F20" i="38"/>
  <c r="E20" i="38"/>
  <c r="D20" i="38"/>
  <c r="P113" i="37"/>
  <c r="P111" i="37"/>
  <c r="P109" i="37"/>
  <c r="N109" i="37"/>
  <c r="M109" i="37"/>
  <c r="L109" i="37"/>
  <c r="J109" i="37"/>
  <c r="I109" i="37"/>
  <c r="H109" i="37"/>
  <c r="F109" i="37"/>
  <c r="E109" i="37"/>
  <c r="D109" i="37"/>
  <c r="P107" i="37"/>
  <c r="N107" i="37"/>
  <c r="M107" i="37"/>
  <c r="L107" i="37"/>
  <c r="J107" i="37"/>
  <c r="I107" i="37"/>
  <c r="H107" i="37"/>
  <c r="F107" i="37"/>
  <c r="E107" i="37"/>
  <c r="D107" i="37"/>
  <c r="P106" i="37"/>
  <c r="N106" i="37"/>
  <c r="M106" i="37"/>
  <c r="L106" i="37"/>
  <c r="J106" i="37"/>
  <c r="I106" i="37"/>
  <c r="H106" i="37"/>
  <c r="F106" i="37"/>
  <c r="E106" i="37"/>
  <c r="D106" i="37"/>
  <c r="P105" i="37"/>
  <c r="N105" i="37"/>
  <c r="M105" i="37"/>
  <c r="L105" i="37"/>
  <c r="J105" i="37"/>
  <c r="I105" i="37"/>
  <c r="H105" i="37"/>
  <c r="F105" i="37"/>
  <c r="E105" i="37"/>
  <c r="D105" i="37"/>
  <c r="P104" i="37"/>
  <c r="N104" i="37"/>
  <c r="M104" i="37"/>
  <c r="L104" i="37"/>
  <c r="J104" i="37"/>
  <c r="I104" i="37"/>
  <c r="H104" i="37"/>
  <c r="F104" i="37"/>
  <c r="E104" i="37"/>
  <c r="D104" i="37"/>
  <c r="P103" i="37"/>
  <c r="N103" i="37"/>
  <c r="M103" i="37"/>
  <c r="L103" i="37"/>
  <c r="J103" i="37"/>
  <c r="I103" i="37"/>
  <c r="H103" i="37"/>
  <c r="F103" i="37"/>
  <c r="E103" i="37"/>
  <c r="D103" i="37"/>
  <c r="P102" i="37"/>
  <c r="N102" i="37"/>
  <c r="M102" i="37"/>
  <c r="L102" i="37"/>
  <c r="J102" i="37"/>
  <c r="I102" i="37"/>
  <c r="H102" i="37"/>
  <c r="F102" i="37"/>
  <c r="E102" i="37"/>
  <c r="D102" i="37"/>
  <c r="P101" i="37"/>
  <c r="N101" i="37"/>
  <c r="M101" i="37"/>
  <c r="L101" i="37"/>
  <c r="J101" i="37"/>
  <c r="I101" i="37"/>
  <c r="H101" i="37"/>
  <c r="F101" i="37"/>
  <c r="E101" i="37"/>
  <c r="D101" i="37"/>
  <c r="P100" i="37"/>
  <c r="N100" i="37"/>
  <c r="M100" i="37"/>
  <c r="L100" i="37"/>
  <c r="J100" i="37"/>
  <c r="I100" i="37"/>
  <c r="H100" i="37"/>
  <c r="F100" i="37"/>
  <c r="E100" i="37"/>
  <c r="D100" i="37"/>
  <c r="P99" i="37"/>
  <c r="N99" i="37"/>
  <c r="M99" i="37"/>
  <c r="L99" i="37"/>
  <c r="J99" i="37"/>
  <c r="I99" i="37"/>
  <c r="H99" i="37"/>
  <c r="F99" i="37"/>
  <c r="E99" i="37"/>
  <c r="D99" i="37"/>
  <c r="P98" i="37"/>
  <c r="N98" i="37"/>
  <c r="M98" i="37"/>
  <c r="L98" i="37"/>
  <c r="J98" i="37"/>
  <c r="I98" i="37"/>
  <c r="H98" i="37"/>
  <c r="F98" i="37"/>
  <c r="E98" i="37"/>
  <c r="D98" i="37"/>
  <c r="P97" i="37"/>
  <c r="N97" i="37"/>
  <c r="M97" i="37"/>
  <c r="L97" i="37"/>
  <c r="J97" i="37"/>
  <c r="I97" i="37"/>
  <c r="H97" i="37"/>
  <c r="F97" i="37"/>
  <c r="E97" i="37"/>
  <c r="D97" i="37"/>
  <c r="P96" i="37"/>
  <c r="N96" i="37"/>
  <c r="M96" i="37"/>
  <c r="L96" i="37"/>
  <c r="J96" i="37"/>
  <c r="I96" i="37"/>
  <c r="H96" i="37"/>
  <c r="F96" i="37"/>
  <c r="E96" i="37"/>
  <c r="D96" i="37"/>
  <c r="P90" i="37"/>
  <c r="N90" i="37"/>
  <c r="M90" i="37"/>
  <c r="L90" i="37"/>
  <c r="J90" i="37"/>
  <c r="I90" i="37"/>
  <c r="H90" i="37"/>
  <c r="F90" i="37"/>
  <c r="E90" i="37"/>
  <c r="D90" i="37"/>
  <c r="P88" i="37"/>
  <c r="N88" i="37"/>
  <c r="M88" i="37"/>
  <c r="L88" i="37"/>
  <c r="J88" i="37"/>
  <c r="I88" i="37"/>
  <c r="H88" i="37"/>
  <c r="F88" i="37"/>
  <c r="E88" i="37"/>
  <c r="D88" i="37"/>
  <c r="P87" i="37"/>
  <c r="N87" i="37"/>
  <c r="M87" i="37"/>
  <c r="L87" i="37"/>
  <c r="J87" i="37"/>
  <c r="I87" i="37"/>
  <c r="H87" i="37"/>
  <c r="F87" i="37"/>
  <c r="E87" i="37"/>
  <c r="D87" i="37"/>
  <c r="P86" i="37"/>
  <c r="N86" i="37"/>
  <c r="M86" i="37"/>
  <c r="L86" i="37"/>
  <c r="J86" i="37"/>
  <c r="I86" i="37"/>
  <c r="H86" i="37"/>
  <c r="F86" i="37"/>
  <c r="E86" i="37"/>
  <c r="D86" i="37"/>
  <c r="P85" i="37"/>
  <c r="N85" i="37"/>
  <c r="M85" i="37"/>
  <c r="L85" i="37"/>
  <c r="J85" i="37"/>
  <c r="I85" i="37"/>
  <c r="H85" i="37"/>
  <c r="F85" i="37"/>
  <c r="E85" i="37"/>
  <c r="D85" i="37"/>
  <c r="P84" i="37"/>
  <c r="N84" i="37"/>
  <c r="M84" i="37"/>
  <c r="L84" i="37"/>
  <c r="J84" i="37"/>
  <c r="I84" i="37"/>
  <c r="H84" i="37"/>
  <c r="F84" i="37"/>
  <c r="E84" i="37"/>
  <c r="D84" i="37"/>
  <c r="P83" i="37"/>
  <c r="N83" i="37"/>
  <c r="M83" i="37"/>
  <c r="L83" i="37"/>
  <c r="J83" i="37"/>
  <c r="I83" i="37"/>
  <c r="H83" i="37"/>
  <c r="F83" i="37"/>
  <c r="E83" i="37"/>
  <c r="D83" i="37"/>
  <c r="P82" i="37"/>
  <c r="N82" i="37"/>
  <c r="M82" i="37"/>
  <c r="L82" i="37"/>
  <c r="J82" i="37"/>
  <c r="I82" i="37"/>
  <c r="H82" i="37"/>
  <c r="F82" i="37"/>
  <c r="E82" i="37"/>
  <c r="D82" i="37"/>
  <c r="P81" i="37"/>
  <c r="N81" i="37"/>
  <c r="M81" i="37"/>
  <c r="L81" i="37"/>
  <c r="J81" i="37"/>
  <c r="I81" i="37"/>
  <c r="H81" i="37"/>
  <c r="F81" i="37"/>
  <c r="E81" i="37"/>
  <c r="D81" i="37"/>
  <c r="P80" i="37"/>
  <c r="N80" i="37"/>
  <c r="M80" i="37"/>
  <c r="L80" i="37"/>
  <c r="J80" i="37"/>
  <c r="I80" i="37"/>
  <c r="H80" i="37"/>
  <c r="F80" i="37"/>
  <c r="E80" i="37"/>
  <c r="D80" i="37"/>
  <c r="P79" i="37"/>
  <c r="N79" i="37"/>
  <c r="M79" i="37"/>
  <c r="L79" i="37"/>
  <c r="J79" i="37"/>
  <c r="I79" i="37"/>
  <c r="H79" i="37"/>
  <c r="F79" i="37"/>
  <c r="E79" i="37"/>
  <c r="D79" i="37"/>
  <c r="P78" i="37"/>
  <c r="N78" i="37"/>
  <c r="M78" i="37"/>
  <c r="L78" i="37"/>
  <c r="J78" i="37"/>
  <c r="I78" i="37"/>
  <c r="H78" i="37"/>
  <c r="F78" i="37"/>
  <c r="E78" i="37"/>
  <c r="D78" i="37"/>
  <c r="P77" i="37"/>
  <c r="N77" i="37"/>
  <c r="M77" i="37"/>
  <c r="L77" i="37"/>
  <c r="J77" i="37"/>
  <c r="I77" i="37"/>
  <c r="H77" i="37"/>
  <c r="F77" i="37"/>
  <c r="E77" i="37"/>
  <c r="D77" i="37"/>
  <c r="B73" i="37"/>
  <c r="P71" i="37"/>
  <c r="N71" i="37"/>
  <c r="M71" i="37"/>
  <c r="L71" i="37"/>
  <c r="J71" i="37"/>
  <c r="I71" i="37"/>
  <c r="H71" i="37"/>
  <c r="F71" i="37"/>
  <c r="E71" i="37"/>
  <c r="D71" i="37"/>
  <c r="P69" i="37"/>
  <c r="N69" i="37"/>
  <c r="M69" i="37"/>
  <c r="L69" i="37"/>
  <c r="J69" i="37"/>
  <c r="I69" i="37"/>
  <c r="H69" i="37"/>
  <c r="F69" i="37"/>
  <c r="E69" i="37"/>
  <c r="D69" i="37"/>
  <c r="P68" i="37"/>
  <c r="N68" i="37"/>
  <c r="M68" i="37"/>
  <c r="L68" i="37"/>
  <c r="J68" i="37"/>
  <c r="I68" i="37"/>
  <c r="H68" i="37"/>
  <c r="F68" i="37"/>
  <c r="E68" i="37"/>
  <c r="D68" i="37"/>
  <c r="P67" i="37"/>
  <c r="N67" i="37"/>
  <c r="M67" i="37"/>
  <c r="L67" i="37"/>
  <c r="J67" i="37"/>
  <c r="I67" i="37"/>
  <c r="H67" i="37"/>
  <c r="F67" i="37"/>
  <c r="E67" i="37"/>
  <c r="D67" i="37"/>
  <c r="P66" i="37"/>
  <c r="N66" i="37"/>
  <c r="M66" i="37"/>
  <c r="L66" i="37"/>
  <c r="J66" i="37"/>
  <c r="I66" i="37"/>
  <c r="H66" i="37"/>
  <c r="F66" i="37"/>
  <c r="E66" i="37"/>
  <c r="D66" i="37"/>
  <c r="P65" i="37"/>
  <c r="N65" i="37"/>
  <c r="M65" i="37"/>
  <c r="L65" i="37"/>
  <c r="J65" i="37"/>
  <c r="I65" i="37"/>
  <c r="H65" i="37"/>
  <c r="F65" i="37"/>
  <c r="E65" i="37"/>
  <c r="D65" i="37"/>
  <c r="P64" i="37"/>
  <c r="N64" i="37"/>
  <c r="M64" i="37"/>
  <c r="L64" i="37"/>
  <c r="J64" i="37"/>
  <c r="I64" i="37"/>
  <c r="H64" i="37"/>
  <c r="F64" i="37"/>
  <c r="E64" i="37"/>
  <c r="D64" i="37"/>
  <c r="P63" i="37"/>
  <c r="N63" i="37"/>
  <c r="M63" i="37"/>
  <c r="L63" i="37"/>
  <c r="J63" i="37"/>
  <c r="I63" i="37"/>
  <c r="H63" i="37"/>
  <c r="F63" i="37"/>
  <c r="E63" i="37"/>
  <c r="D63" i="37"/>
  <c r="P62" i="37"/>
  <c r="N62" i="37"/>
  <c r="M62" i="37"/>
  <c r="L62" i="37"/>
  <c r="J62" i="37"/>
  <c r="I62" i="37"/>
  <c r="H62" i="37"/>
  <c r="F62" i="37"/>
  <c r="E62" i="37"/>
  <c r="D62" i="37"/>
  <c r="P61" i="37"/>
  <c r="N61" i="37"/>
  <c r="M61" i="37"/>
  <c r="L61" i="37"/>
  <c r="J61" i="37"/>
  <c r="I61" i="37"/>
  <c r="H61" i="37"/>
  <c r="F61" i="37"/>
  <c r="E61" i="37"/>
  <c r="D61" i="37"/>
  <c r="P60" i="37"/>
  <c r="N60" i="37"/>
  <c r="M60" i="37"/>
  <c r="L60" i="37"/>
  <c r="J60" i="37"/>
  <c r="I60" i="37"/>
  <c r="H60" i="37"/>
  <c r="F60" i="37"/>
  <c r="E60" i="37"/>
  <c r="D60" i="37"/>
  <c r="P59" i="37"/>
  <c r="N59" i="37"/>
  <c r="M59" i="37"/>
  <c r="L59" i="37"/>
  <c r="J59" i="37"/>
  <c r="I59" i="37"/>
  <c r="H59" i="37"/>
  <c r="F59" i="37"/>
  <c r="E59" i="37"/>
  <c r="D59" i="37"/>
  <c r="P58" i="37"/>
  <c r="N58" i="37"/>
  <c r="M58" i="37"/>
  <c r="L58" i="37"/>
  <c r="J58" i="37"/>
  <c r="I58" i="37"/>
  <c r="H58" i="37"/>
  <c r="F58" i="37"/>
  <c r="E58" i="37"/>
  <c r="D58" i="37"/>
  <c r="B54" i="37"/>
  <c r="P52" i="37"/>
  <c r="N52" i="37"/>
  <c r="M52" i="37"/>
  <c r="L52" i="37"/>
  <c r="J52" i="37"/>
  <c r="I52" i="37"/>
  <c r="H52" i="37"/>
  <c r="F52" i="37"/>
  <c r="E52" i="37"/>
  <c r="D52" i="37"/>
  <c r="P50" i="37"/>
  <c r="N50" i="37"/>
  <c r="M50" i="37"/>
  <c r="L50" i="37"/>
  <c r="J50" i="37"/>
  <c r="I50" i="37"/>
  <c r="H50" i="37"/>
  <c r="F50" i="37"/>
  <c r="E50" i="37"/>
  <c r="D50" i="37"/>
  <c r="P49" i="37"/>
  <c r="N49" i="37"/>
  <c r="M49" i="37"/>
  <c r="L49" i="37"/>
  <c r="J49" i="37"/>
  <c r="I49" i="37"/>
  <c r="H49" i="37"/>
  <c r="F49" i="37"/>
  <c r="E49" i="37"/>
  <c r="D49" i="37"/>
  <c r="P48" i="37"/>
  <c r="N48" i="37"/>
  <c r="M48" i="37"/>
  <c r="L48" i="37"/>
  <c r="J48" i="37"/>
  <c r="I48" i="37"/>
  <c r="H48" i="37"/>
  <c r="F48" i="37"/>
  <c r="E48" i="37"/>
  <c r="D48" i="37"/>
  <c r="P47" i="37"/>
  <c r="N47" i="37"/>
  <c r="M47" i="37"/>
  <c r="L47" i="37"/>
  <c r="J47" i="37"/>
  <c r="I47" i="37"/>
  <c r="H47" i="37"/>
  <c r="F47" i="37"/>
  <c r="E47" i="37"/>
  <c r="D47" i="37"/>
  <c r="P46" i="37"/>
  <c r="N46" i="37"/>
  <c r="M46" i="37"/>
  <c r="L46" i="37"/>
  <c r="J46" i="37"/>
  <c r="I46" i="37"/>
  <c r="H46" i="37"/>
  <c r="F46" i="37"/>
  <c r="E46" i="37"/>
  <c r="D46" i="37"/>
  <c r="P45" i="37"/>
  <c r="N45" i="37"/>
  <c r="M45" i="37"/>
  <c r="L45" i="37"/>
  <c r="J45" i="37"/>
  <c r="I45" i="37"/>
  <c r="H45" i="37"/>
  <c r="F45" i="37"/>
  <c r="E45" i="37"/>
  <c r="D45" i="37"/>
  <c r="P44" i="37"/>
  <c r="N44" i="37"/>
  <c r="M44" i="37"/>
  <c r="L44" i="37"/>
  <c r="J44" i="37"/>
  <c r="I44" i="37"/>
  <c r="H44" i="37"/>
  <c r="F44" i="37"/>
  <c r="E44" i="37"/>
  <c r="D44" i="37"/>
  <c r="P43" i="37"/>
  <c r="N43" i="37"/>
  <c r="M43" i="37"/>
  <c r="L43" i="37"/>
  <c r="J43" i="37"/>
  <c r="I43" i="37"/>
  <c r="H43" i="37"/>
  <c r="F43" i="37"/>
  <c r="E43" i="37"/>
  <c r="D43" i="37"/>
  <c r="P42" i="37"/>
  <c r="N42" i="37"/>
  <c r="M42" i="37"/>
  <c r="L42" i="37"/>
  <c r="J42" i="37"/>
  <c r="I42" i="37"/>
  <c r="H42" i="37"/>
  <c r="F42" i="37"/>
  <c r="E42" i="37"/>
  <c r="D42" i="37"/>
  <c r="P41" i="37"/>
  <c r="N41" i="37"/>
  <c r="M41" i="37"/>
  <c r="L41" i="37"/>
  <c r="J41" i="37"/>
  <c r="I41" i="37"/>
  <c r="H41" i="37"/>
  <c r="F41" i="37"/>
  <c r="E41" i="37"/>
  <c r="D41" i="37"/>
  <c r="P40" i="37"/>
  <c r="N40" i="37"/>
  <c r="M40" i="37"/>
  <c r="L40" i="37"/>
  <c r="J40" i="37"/>
  <c r="I40" i="37"/>
  <c r="H40" i="37"/>
  <c r="F40" i="37"/>
  <c r="E40" i="37"/>
  <c r="D40" i="37"/>
  <c r="P39" i="37"/>
  <c r="N39" i="37"/>
  <c r="M39" i="37"/>
  <c r="L39" i="37"/>
  <c r="J39" i="37"/>
  <c r="I39" i="37"/>
  <c r="H39" i="37"/>
  <c r="F39" i="37"/>
  <c r="E39" i="37"/>
  <c r="D39" i="37"/>
  <c r="P33" i="37"/>
  <c r="N33" i="37"/>
  <c r="M33" i="37"/>
  <c r="L33" i="37"/>
  <c r="J33" i="37"/>
  <c r="I33" i="37"/>
  <c r="H33" i="37"/>
  <c r="F33" i="37"/>
  <c r="E33" i="37"/>
  <c r="D33" i="37"/>
  <c r="P31" i="37"/>
  <c r="N31" i="37"/>
  <c r="M31" i="37"/>
  <c r="L31" i="37"/>
  <c r="J31" i="37"/>
  <c r="I31" i="37"/>
  <c r="H31" i="37"/>
  <c r="F31" i="37"/>
  <c r="E31" i="37"/>
  <c r="D31" i="37"/>
  <c r="P30" i="37"/>
  <c r="N30" i="37"/>
  <c r="M30" i="37"/>
  <c r="L30" i="37"/>
  <c r="J30" i="37"/>
  <c r="I30" i="37"/>
  <c r="H30" i="37"/>
  <c r="F30" i="37"/>
  <c r="E30" i="37"/>
  <c r="D30" i="37"/>
  <c r="P29" i="37"/>
  <c r="N29" i="37"/>
  <c r="M29" i="37"/>
  <c r="L29" i="37"/>
  <c r="J29" i="37"/>
  <c r="I29" i="37"/>
  <c r="H29" i="37"/>
  <c r="F29" i="37"/>
  <c r="E29" i="37"/>
  <c r="D29" i="37"/>
  <c r="P28" i="37"/>
  <c r="N28" i="37"/>
  <c r="M28" i="37"/>
  <c r="L28" i="37"/>
  <c r="J28" i="37"/>
  <c r="I28" i="37"/>
  <c r="H28" i="37"/>
  <c r="F28" i="37"/>
  <c r="E28" i="37"/>
  <c r="D28" i="37"/>
  <c r="P27" i="37"/>
  <c r="N27" i="37"/>
  <c r="M27" i="37"/>
  <c r="L27" i="37"/>
  <c r="J27" i="37"/>
  <c r="I27" i="37"/>
  <c r="H27" i="37"/>
  <c r="F27" i="37"/>
  <c r="E27" i="37"/>
  <c r="D27" i="37"/>
  <c r="P26" i="37"/>
  <c r="N26" i="37"/>
  <c r="M26" i="37"/>
  <c r="L26" i="37"/>
  <c r="J26" i="37"/>
  <c r="I26" i="37"/>
  <c r="H26" i="37"/>
  <c r="F26" i="37"/>
  <c r="E26" i="37"/>
  <c r="D26" i="37"/>
  <c r="P25" i="37"/>
  <c r="N25" i="37"/>
  <c r="M25" i="37"/>
  <c r="L25" i="37"/>
  <c r="J25" i="37"/>
  <c r="I25" i="37"/>
  <c r="H25" i="37"/>
  <c r="F25" i="37"/>
  <c r="E25" i="37"/>
  <c r="D25" i="37"/>
  <c r="P24" i="37"/>
  <c r="N24" i="37"/>
  <c r="M24" i="37"/>
  <c r="L24" i="37"/>
  <c r="J24" i="37"/>
  <c r="I24" i="37"/>
  <c r="H24" i="37"/>
  <c r="F24" i="37"/>
  <c r="E24" i="37"/>
  <c r="D24" i="37"/>
  <c r="P23" i="37"/>
  <c r="N23" i="37"/>
  <c r="M23" i="37"/>
  <c r="L23" i="37"/>
  <c r="J23" i="37"/>
  <c r="I23" i="37"/>
  <c r="H23" i="37"/>
  <c r="F23" i="37"/>
  <c r="E23" i="37"/>
  <c r="D23" i="37"/>
  <c r="P22" i="37"/>
  <c r="N22" i="37"/>
  <c r="M22" i="37"/>
  <c r="L22" i="37"/>
  <c r="J22" i="37"/>
  <c r="I22" i="37"/>
  <c r="H22" i="37"/>
  <c r="F22" i="37"/>
  <c r="E22" i="37"/>
  <c r="D22" i="37"/>
  <c r="P21" i="37"/>
  <c r="N21" i="37"/>
  <c r="M21" i="37"/>
  <c r="L21" i="37"/>
  <c r="J21" i="37"/>
  <c r="I21" i="37"/>
  <c r="H21" i="37"/>
  <c r="F21" i="37"/>
  <c r="E21" i="37"/>
  <c r="D21" i="37"/>
  <c r="P20" i="37"/>
  <c r="N20" i="37"/>
  <c r="M20" i="37"/>
  <c r="L20" i="37"/>
  <c r="J20" i="37"/>
  <c r="I20" i="37"/>
  <c r="H20" i="37"/>
  <c r="F20" i="37"/>
  <c r="E20" i="37"/>
  <c r="D20" i="37"/>
  <c r="P112" i="36"/>
  <c r="P110" i="36"/>
  <c r="P108" i="36"/>
  <c r="N108" i="36"/>
  <c r="M108" i="36"/>
  <c r="L108" i="36"/>
  <c r="J108" i="36"/>
  <c r="I108" i="36"/>
  <c r="H108" i="36"/>
  <c r="F108" i="36"/>
  <c r="E108" i="36"/>
  <c r="D108" i="36"/>
  <c r="P106" i="36"/>
  <c r="N106" i="36"/>
  <c r="M106" i="36"/>
  <c r="L106" i="36"/>
  <c r="J106" i="36"/>
  <c r="I106" i="36"/>
  <c r="H106" i="36"/>
  <c r="F106" i="36"/>
  <c r="E106" i="36"/>
  <c r="D106" i="36"/>
  <c r="P105" i="36"/>
  <c r="N105" i="36"/>
  <c r="M105" i="36"/>
  <c r="L105" i="36"/>
  <c r="J105" i="36"/>
  <c r="I105" i="36"/>
  <c r="H105" i="36"/>
  <c r="F105" i="36"/>
  <c r="E105" i="36"/>
  <c r="D105" i="36"/>
  <c r="P104" i="36"/>
  <c r="N104" i="36"/>
  <c r="M104" i="36"/>
  <c r="L104" i="36"/>
  <c r="J104" i="36"/>
  <c r="I104" i="36"/>
  <c r="H104" i="36"/>
  <c r="F104" i="36"/>
  <c r="E104" i="36"/>
  <c r="D104" i="36"/>
  <c r="P103" i="36"/>
  <c r="N103" i="36"/>
  <c r="M103" i="36"/>
  <c r="L103" i="36"/>
  <c r="J103" i="36"/>
  <c r="I103" i="36"/>
  <c r="H103" i="36"/>
  <c r="F103" i="36"/>
  <c r="E103" i="36"/>
  <c r="D103" i="36"/>
  <c r="P102" i="36"/>
  <c r="N102" i="36"/>
  <c r="M102" i="36"/>
  <c r="L102" i="36"/>
  <c r="J102" i="36"/>
  <c r="I102" i="36"/>
  <c r="H102" i="36"/>
  <c r="F102" i="36"/>
  <c r="E102" i="36"/>
  <c r="D102" i="36"/>
  <c r="P101" i="36"/>
  <c r="N101" i="36"/>
  <c r="M101" i="36"/>
  <c r="L101" i="36"/>
  <c r="J101" i="36"/>
  <c r="I101" i="36"/>
  <c r="H101" i="36"/>
  <c r="F101" i="36"/>
  <c r="E101" i="36"/>
  <c r="D101" i="36"/>
  <c r="P100" i="36"/>
  <c r="N100" i="36"/>
  <c r="M100" i="36"/>
  <c r="L100" i="36"/>
  <c r="J100" i="36"/>
  <c r="I100" i="36"/>
  <c r="H100" i="36"/>
  <c r="F100" i="36"/>
  <c r="E100" i="36"/>
  <c r="D100" i="36"/>
  <c r="P99" i="36"/>
  <c r="N99" i="36"/>
  <c r="M99" i="36"/>
  <c r="L99" i="36"/>
  <c r="J99" i="36"/>
  <c r="I99" i="36"/>
  <c r="H99" i="36"/>
  <c r="F99" i="36"/>
  <c r="E99" i="36"/>
  <c r="D99" i="36"/>
  <c r="P98" i="36"/>
  <c r="N98" i="36"/>
  <c r="M98" i="36"/>
  <c r="L98" i="36"/>
  <c r="J98" i="36"/>
  <c r="I98" i="36"/>
  <c r="H98" i="36"/>
  <c r="F98" i="36"/>
  <c r="E98" i="36"/>
  <c r="D98" i="36"/>
  <c r="P97" i="36"/>
  <c r="N97" i="36"/>
  <c r="M97" i="36"/>
  <c r="L97" i="36"/>
  <c r="J97" i="36"/>
  <c r="I97" i="36"/>
  <c r="H97" i="36"/>
  <c r="F97" i="36"/>
  <c r="E97" i="36"/>
  <c r="D97" i="36"/>
  <c r="P96" i="36"/>
  <c r="N96" i="36"/>
  <c r="M96" i="36"/>
  <c r="L96" i="36"/>
  <c r="J96" i="36"/>
  <c r="I96" i="36"/>
  <c r="H96" i="36"/>
  <c r="F96" i="36"/>
  <c r="E96" i="36"/>
  <c r="D96" i="36"/>
  <c r="P95" i="36"/>
  <c r="N95" i="36"/>
  <c r="M95" i="36"/>
  <c r="L95" i="36"/>
  <c r="J95" i="36"/>
  <c r="I95" i="36"/>
  <c r="H95" i="36"/>
  <c r="F95" i="36"/>
  <c r="E95" i="36"/>
  <c r="D95" i="36"/>
  <c r="P89" i="36"/>
  <c r="N89" i="36"/>
  <c r="M89" i="36"/>
  <c r="L89" i="36"/>
  <c r="J89" i="36"/>
  <c r="I89" i="36"/>
  <c r="H89" i="36"/>
  <c r="F89" i="36"/>
  <c r="E89" i="36"/>
  <c r="D89" i="36"/>
  <c r="P87" i="36"/>
  <c r="M87" i="36"/>
  <c r="I87" i="36"/>
  <c r="E87" i="36"/>
  <c r="P86" i="36"/>
  <c r="M86" i="36"/>
  <c r="I86" i="36"/>
  <c r="E86" i="36"/>
  <c r="P85" i="36"/>
  <c r="M85" i="36"/>
  <c r="I85" i="36"/>
  <c r="E85" i="36"/>
  <c r="P84" i="36"/>
  <c r="M84" i="36"/>
  <c r="I84" i="36"/>
  <c r="E84" i="36"/>
  <c r="P83" i="36"/>
  <c r="M83" i="36"/>
  <c r="I83" i="36"/>
  <c r="E83" i="36"/>
  <c r="P82" i="36"/>
  <c r="M82" i="36"/>
  <c r="I82" i="36"/>
  <c r="E82" i="36"/>
  <c r="P81" i="36"/>
  <c r="M81" i="36"/>
  <c r="I81" i="36"/>
  <c r="E81" i="36"/>
  <c r="P80" i="36"/>
  <c r="M80" i="36"/>
  <c r="I80" i="36"/>
  <c r="E80" i="36"/>
  <c r="P79" i="36"/>
  <c r="M79" i="36"/>
  <c r="I79" i="36"/>
  <c r="E79" i="36"/>
  <c r="P78" i="36"/>
  <c r="M78" i="36"/>
  <c r="I78" i="36"/>
  <c r="E78" i="36"/>
  <c r="P77" i="36"/>
  <c r="M77" i="36"/>
  <c r="I77" i="36"/>
  <c r="E77" i="36"/>
  <c r="P76" i="36"/>
  <c r="M76" i="36"/>
  <c r="I76" i="36"/>
  <c r="E76" i="36"/>
  <c r="P70" i="36"/>
  <c r="N70" i="36"/>
  <c r="M70" i="36"/>
  <c r="L70" i="36"/>
  <c r="J70" i="36"/>
  <c r="I70" i="36"/>
  <c r="H70" i="36"/>
  <c r="F70" i="36"/>
  <c r="E70" i="36"/>
  <c r="D70" i="36"/>
  <c r="P68" i="36"/>
  <c r="M68" i="36"/>
  <c r="I68" i="36"/>
  <c r="E68" i="36"/>
  <c r="P67" i="36"/>
  <c r="M67" i="36"/>
  <c r="I67" i="36"/>
  <c r="E67" i="36"/>
  <c r="P66" i="36"/>
  <c r="M66" i="36"/>
  <c r="I66" i="36"/>
  <c r="E66" i="36"/>
  <c r="P65" i="36"/>
  <c r="M65" i="36"/>
  <c r="I65" i="36"/>
  <c r="E65" i="36"/>
  <c r="P64" i="36"/>
  <c r="M64" i="36"/>
  <c r="I64" i="36"/>
  <c r="E64" i="36"/>
  <c r="P63" i="36"/>
  <c r="M63" i="36"/>
  <c r="I63" i="36"/>
  <c r="E63" i="36"/>
  <c r="P62" i="36"/>
  <c r="M62" i="36"/>
  <c r="I62" i="36"/>
  <c r="E62" i="36"/>
  <c r="P61" i="36"/>
  <c r="M61" i="36"/>
  <c r="I61" i="36"/>
  <c r="E61" i="36"/>
  <c r="P60" i="36"/>
  <c r="M60" i="36"/>
  <c r="I60" i="36"/>
  <c r="E60" i="36"/>
  <c r="P59" i="36"/>
  <c r="M59" i="36"/>
  <c r="I59" i="36"/>
  <c r="E59" i="36"/>
  <c r="P58" i="36"/>
  <c r="M58" i="36"/>
  <c r="I58" i="36"/>
  <c r="E58" i="36"/>
  <c r="P57" i="36"/>
  <c r="M57" i="36"/>
  <c r="I57" i="36"/>
  <c r="E57" i="36"/>
  <c r="P51" i="36"/>
  <c r="N51" i="36"/>
  <c r="M51" i="36"/>
  <c r="L51" i="36"/>
  <c r="J51" i="36"/>
  <c r="I51" i="36"/>
  <c r="H51" i="36"/>
  <c r="F51" i="36"/>
  <c r="E51" i="36"/>
  <c r="D51" i="36"/>
  <c r="P49" i="36"/>
  <c r="M49" i="36"/>
  <c r="I49" i="36"/>
  <c r="E49" i="36"/>
  <c r="P48" i="36"/>
  <c r="M48" i="36"/>
  <c r="I48" i="36"/>
  <c r="E48" i="36"/>
  <c r="P47" i="36"/>
  <c r="M47" i="36"/>
  <c r="I47" i="36"/>
  <c r="E47" i="36"/>
  <c r="P46" i="36"/>
  <c r="M46" i="36"/>
  <c r="I46" i="36"/>
  <c r="E46" i="36"/>
  <c r="P45" i="36"/>
  <c r="M45" i="36"/>
  <c r="I45" i="36"/>
  <c r="E45" i="36"/>
  <c r="P44" i="36"/>
  <c r="M44" i="36"/>
  <c r="I44" i="36"/>
  <c r="E44" i="36"/>
  <c r="P43" i="36"/>
  <c r="M43" i="36"/>
  <c r="I43" i="36"/>
  <c r="E43" i="36"/>
  <c r="P42" i="36"/>
  <c r="M42" i="36"/>
  <c r="I42" i="36"/>
  <c r="E42" i="36"/>
  <c r="P41" i="36"/>
  <c r="M41" i="36"/>
  <c r="I41" i="36"/>
  <c r="E41" i="36"/>
  <c r="P40" i="36"/>
  <c r="M40" i="36"/>
  <c r="I40" i="36"/>
  <c r="E40" i="36"/>
  <c r="P39" i="36"/>
  <c r="M39" i="36"/>
  <c r="I39" i="36"/>
  <c r="E39" i="36"/>
  <c r="P38" i="36"/>
  <c r="M38" i="36"/>
  <c r="I38" i="36"/>
  <c r="E38" i="36"/>
  <c r="P32" i="36"/>
  <c r="N32" i="36"/>
  <c r="M32" i="36"/>
  <c r="L32" i="36"/>
  <c r="J32" i="36"/>
  <c r="I32" i="36"/>
  <c r="H32" i="36"/>
  <c r="F32" i="36"/>
  <c r="E32" i="36"/>
  <c r="D32" i="36"/>
  <c r="P30" i="36"/>
  <c r="M30" i="36"/>
  <c r="I30" i="36"/>
  <c r="E30" i="36"/>
  <c r="P29" i="36"/>
  <c r="M29" i="36"/>
  <c r="I29" i="36"/>
  <c r="E29" i="36"/>
  <c r="P28" i="36"/>
  <c r="M28" i="36"/>
  <c r="I28" i="36"/>
  <c r="E28" i="36"/>
  <c r="P27" i="36"/>
  <c r="M27" i="36"/>
  <c r="I27" i="36"/>
  <c r="E27" i="36"/>
  <c r="P26" i="36"/>
  <c r="M26" i="36"/>
  <c r="I26" i="36"/>
  <c r="E26" i="36"/>
  <c r="P25" i="36"/>
  <c r="M25" i="36"/>
  <c r="I25" i="36"/>
  <c r="E25" i="36"/>
  <c r="P24" i="36"/>
  <c r="M24" i="36"/>
  <c r="I24" i="36"/>
  <c r="E24" i="36"/>
  <c r="P23" i="36"/>
  <c r="M23" i="36"/>
  <c r="I23" i="36"/>
  <c r="E23" i="36"/>
  <c r="P22" i="36"/>
  <c r="M22" i="36"/>
  <c r="I22" i="36"/>
  <c r="E22" i="36"/>
  <c r="P21" i="36"/>
  <c r="M21" i="36"/>
  <c r="I21" i="36"/>
  <c r="E21" i="36"/>
  <c r="P20" i="36"/>
  <c r="M20" i="36"/>
  <c r="I20" i="36"/>
  <c r="E20" i="36"/>
  <c r="P19" i="36"/>
  <c r="M19" i="36"/>
  <c r="I19" i="36"/>
  <c r="E19" i="36"/>
  <c r="J71" i="77"/>
  <c r="H71" i="77"/>
  <c r="E71" i="77"/>
  <c r="J56" i="77"/>
  <c r="H56" i="77"/>
  <c r="E56" i="77"/>
  <c r="J41" i="77"/>
  <c r="H41" i="77"/>
  <c r="E41" i="77"/>
  <c r="J39" i="77"/>
  <c r="J37" i="77"/>
  <c r="J35" i="77"/>
  <c r="J26" i="77"/>
  <c r="J24" i="77"/>
  <c r="J22" i="77"/>
  <c r="H26" i="33"/>
  <c r="H25" i="33"/>
  <c r="F24" i="33"/>
  <c r="E24" i="33"/>
  <c r="F22" i="33"/>
  <c r="E22" i="33"/>
  <c r="H20" i="33"/>
  <c r="H19" i="33"/>
  <c r="H18" i="33"/>
  <c r="H17" i="33"/>
  <c r="L42" i="31"/>
  <c r="L40" i="31"/>
  <c r="N38" i="31"/>
  <c r="L38" i="31"/>
  <c r="N32" i="31"/>
  <c r="N34" i="31" s="1"/>
  <c r="N36" i="31" s="1"/>
  <c r="N40" i="31" s="1"/>
  <c r="N42" i="31" s="1"/>
  <c r="N44" i="31" s="1"/>
  <c r="N46" i="31" s="1"/>
  <c r="N30" i="31"/>
  <c r="L27" i="31"/>
  <c r="N23" i="31"/>
  <c r="L23" i="31"/>
  <c r="N21" i="31"/>
  <c r="L21" i="31"/>
  <c r="N19" i="31"/>
  <c r="L18" i="31"/>
  <c r="A15" i="31"/>
  <c r="U12" i="31"/>
  <c r="U9" i="31"/>
  <c r="U7" i="31"/>
  <c r="N23" i="15"/>
  <c r="M23" i="15"/>
  <c r="L23" i="15"/>
  <c r="M22" i="15"/>
  <c r="L22" i="15"/>
  <c r="K22" i="15"/>
  <c r="I22" i="15"/>
  <c r="M21" i="15"/>
  <c r="L21" i="15"/>
  <c r="K21" i="15"/>
  <c r="I21" i="15"/>
  <c r="M20" i="15"/>
  <c r="L20" i="15"/>
  <c r="K20" i="15"/>
  <c r="I20" i="15"/>
  <c r="M19" i="15"/>
  <c r="L19" i="15"/>
  <c r="K19" i="15"/>
  <c r="I19" i="15"/>
  <c r="M18" i="15"/>
  <c r="L18" i="15"/>
  <c r="K18" i="15"/>
  <c r="I18" i="15"/>
  <c r="M17" i="15"/>
  <c r="L17" i="15"/>
  <c r="K17" i="15"/>
  <c r="I17" i="15"/>
  <c r="D14" i="15"/>
  <c r="D13" i="15"/>
  <c r="L23" i="85"/>
  <c r="K23" i="85"/>
  <c r="J23" i="85"/>
  <c r="I23" i="85"/>
  <c r="H23" i="85"/>
  <c r="G23" i="85"/>
  <c r="F23" i="85"/>
  <c r="E23" i="85"/>
  <c r="L22" i="85"/>
  <c r="K22" i="85"/>
  <c r="J22" i="85"/>
  <c r="I22" i="85"/>
  <c r="H22" i="85"/>
  <c r="H22" i="85" a="1"/>
  <c r="G22" i="85"/>
  <c r="G22" i="85" a="1"/>
  <c r="F22" i="85"/>
  <c r="F22" i="85" a="1"/>
  <c r="E22" i="85"/>
  <c r="E22" i="85" a="1"/>
  <c r="L21" i="85"/>
  <c r="K21" i="85"/>
  <c r="J21" i="85"/>
  <c r="I21" i="85"/>
  <c r="H21" i="85"/>
  <c r="H21" i="85" a="1"/>
  <c r="G21" i="85"/>
  <c r="G21" i="85" a="1"/>
  <c r="F21" i="85"/>
  <c r="F21" i="85" a="1"/>
  <c r="E21" i="85"/>
  <c r="E21" i="85" a="1"/>
  <c r="L20" i="85"/>
  <c r="K20" i="85"/>
  <c r="J20" i="85"/>
  <c r="I20" i="85"/>
  <c r="H20" i="85"/>
  <c r="H20" i="85" a="1"/>
  <c r="G20" i="85"/>
  <c r="G20" i="85" a="1"/>
  <c r="F20" i="85"/>
  <c r="F20" i="85" a="1"/>
  <c r="E20" i="85"/>
  <c r="E20" i="85" a="1"/>
  <c r="L19" i="85"/>
  <c r="K19" i="85"/>
  <c r="J19" i="85"/>
  <c r="I19" i="85"/>
  <c r="H19" i="85"/>
  <c r="H19" i="85" a="1"/>
  <c r="G19" i="85"/>
  <c r="G19" i="85" a="1"/>
  <c r="F19" i="85"/>
  <c r="F19" i="85" a="1"/>
  <c r="E19" i="85"/>
  <c r="E19" i="85" a="1"/>
  <c r="L18" i="85"/>
  <c r="K18" i="85"/>
  <c r="J18" i="85"/>
  <c r="I18" i="85"/>
  <c r="H18" i="85"/>
  <c r="H18" i="85" a="1"/>
  <c r="G18" i="85"/>
  <c r="G18" i="85" a="1"/>
  <c r="F18" i="85"/>
  <c r="F18" i="85" a="1"/>
  <c r="E18" i="85"/>
  <c r="E18" i="85" a="1"/>
  <c r="L17" i="85"/>
  <c r="K17" i="85"/>
  <c r="J17" i="85"/>
  <c r="I17" i="85"/>
  <c r="H17" i="85"/>
  <c r="H17" i="85" a="1"/>
  <c r="G17" i="85"/>
  <c r="G17" i="85" a="1"/>
  <c r="F17" i="85"/>
  <c r="F17" i="85" a="1"/>
  <c r="E17" i="85"/>
  <c r="E17" i="85" a="1"/>
  <c r="I184" i="90"/>
  <c r="H184" i="90"/>
  <c r="G184" i="90"/>
  <c r="F184" i="90"/>
  <c r="E184" i="90"/>
  <c r="D184" i="90"/>
  <c r="C184" i="90"/>
  <c r="I183" i="90"/>
  <c r="H183" i="90"/>
  <c r="G183" i="90"/>
  <c r="F183" i="90"/>
  <c r="F183" i="90" a="1"/>
  <c r="D183" i="90"/>
  <c r="D183" i="90" a="1"/>
  <c r="C183" i="90"/>
  <c r="I182" i="90"/>
  <c r="H182" i="90"/>
  <c r="G182" i="90"/>
  <c r="F182" i="90"/>
  <c r="F182" i="90" a="1"/>
  <c r="D182" i="90"/>
  <c r="D182" i="90" a="1"/>
  <c r="C182" i="90"/>
  <c r="I181" i="90"/>
  <c r="H181" i="90"/>
  <c r="G181" i="90"/>
  <c r="F181" i="90"/>
  <c r="F181" i="90" a="1"/>
  <c r="D181" i="90"/>
  <c r="D181" i="90" a="1"/>
  <c r="C181" i="90"/>
  <c r="I180" i="90"/>
  <c r="H180" i="90"/>
  <c r="G180" i="90"/>
  <c r="F180" i="90"/>
  <c r="F180" i="90" a="1"/>
  <c r="D180" i="90"/>
  <c r="D180" i="90" a="1"/>
  <c r="C180" i="90"/>
  <c r="I179" i="90"/>
  <c r="H179" i="90"/>
  <c r="G179" i="90"/>
  <c r="F179" i="90"/>
  <c r="F179" i="90" a="1"/>
  <c r="D179" i="90"/>
  <c r="D179" i="90" a="1"/>
  <c r="C179" i="90"/>
  <c r="I178" i="90"/>
  <c r="H178" i="90"/>
  <c r="G178" i="90"/>
  <c r="F178" i="90"/>
  <c r="F178" i="90" a="1"/>
  <c r="D178" i="90"/>
  <c r="D178" i="90" a="1"/>
  <c r="C178" i="90"/>
  <c r="I177" i="90"/>
  <c r="H177" i="90"/>
  <c r="G177" i="90"/>
  <c r="F177" i="90"/>
  <c r="F177" i="90" a="1"/>
  <c r="D177" i="90"/>
  <c r="D177" i="90" a="1"/>
  <c r="C177" i="90"/>
  <c r="I176" i="90"/>
  <c r="H176" i="90"/>
  <c r="G176" i="90"/>
  <c r="F176" i="90"/>
  <c r="F176" i="90" a="1"/>
  <c r="D176" i="90"/>
  <c r="D176" i="90" a="1"/>
  <c r="C176" i="90"/>
  <c r="I175" i="90"/>
  <c r="H175" i="90"/>
  <c r="G175" i="90"/>
  <c r="F175" i="90"/>
  <c r="F175" i="90" a="1"/>
  <c r="D175" i="90"/>
  <c r="D175" i="90" a="1"/>
  <c r="C175" i="90"/>
  <c r="I174" i="90"/>
  <c r="H174" i="90"/>
  <c r="G174" i="90"/>
  <c r="F174" i="90"/>
  <c r="F174" i="90" a="1"/>
  <c r="D174" i="90"/>
  <c r="D174" i="90" a="1"/>
  <c r="C174" i="90"/>
  <c r="I173" i="90"/>
  <c r="H173" i="90"/>
  <c r="G173" i="90"/>
  <c r="F173" i="90"/>
  <c r="F173" i="90" a="1"/>
  <c r="D173" i="90"/>
  <c r="D173" i="90" a="1"/>
  <c r="C173" i="90"/>
  <c r="I172" i="90"/>
  <c r="H172" i="90"/>
  <c r="G172" i="90"/>
  <c r="F172" i="90"/>
  <c r="F172" i="90" a="1"/>
  <c r="D172" i="90"/>
  <c r="D172" i="90" a="1"/>
  <c r="C172" i="90"/>
  <c r="I171" i="90"/>
  <c r="H171" i="90"/>
  <c r="G171" i="90"/>
  <c r="F171" i="90"/>
  <c r="F171" i="90" a="1"/>
  <c r="D171" i="90"/>
  <c r="D171" i="90" a="1"/>
  <c r="C171" i="90"/>
  <c r="I170" i="90"/>
  <c r="H170" i="90"/>
  <c r="G170" i="90"/>
  <c r="F170" i="90"/>
  <c r="F170" i="90" a="1"/>
  <c r="D170" i="90"/>
  <c r="D170" i="90" a="1"/>
  <c r="C170" i="90"/>
  <c r="I169" i="90"/>
  <c r="H169" i="90"/>
  <c r="G169" i="90"/>
  <c r="F169" i="90"/>
  <c r="F169" i="90" a="1"/>
  <c r="D169" i="90"/>
  <c r="D169" i="90" a="1"/>
  <c r="C169" i="90"/>
  <c r="I168" i="90"/>
  <c r="H168" i="90"/>
  <c r="G168" i="90"/>
  <c r="F168" i="90"/>
  <c r="F168" i="90" a="1"/>
  <c r="D168" i="90"/>
  <c r="D168" i="90" a="1"/>
  <c r="C168" i="90"/>
  <c r="I167" i="90"/>
  <c r="H167" i="90"/>
  <c r="G167" i="90"/>
  <c r="F167" i="90"/>
  <c r="F167" i="90" a="1"/>
  <c r="D167" i="90"/>
  <c r="D167" i="90" a="1"/>
  <c r="C167" i="90"/>
  <c r="I166" i="90"/>
  <c r="H166" i="90"/>
  <c r="G166" i="90"/>
  <c r="F166" i="90"/>
  <c r="F166" i="90" a="1"/>
  <c r="D166" i="90"/>
  <c r="D166" i="90" a="1"/>
  <c r="C166" i="90"/>
  <c r="I165" i="90"/>
  <c r="H165" i="90"/>
  <c r="G165" i="90"/>
  <c r="F165" i="90"/>
  <c r="F165" i="90" a="1"/>
  <c r="D165" i="90"/>
  <c r="D165" i="90" a="1"/>
  <c r="C165" i="90"/>
  <c r="I164" i="90"/>
  <c r="H164" i="90"/>
  <c r="G164" i="90"/>
  <c r="F164" i="90"/>
  <c r="F164" i="90" a="1"/>
  <c r="D164" i="90"/>
  <c r="D164" i="90" a="1"/>
  <c r="C164" i="90"/>
  <c r="I163" i="90"/>
  <c r="H163" i="90"/>
  <c r="G163" i="90"/>
  <c r="F163" i="90"/>
  <c r="F163" i="90" a="1"/>
  <c r="D163" i="90"/>
  <c r="D163" i="90" a="1"/>
  <c r="C163" i="90"/>
  <c r="I162" i="90"/>
  <c r="H162" i="90"/>
  <c r="G162" i="90"/>
  <c r="F162" i="90"/>
  <c r="F162" i="90" a="1"/>
  <c r="D162" i="90"/>
  <c r="D162" i="90" a="1"/>
  <c r="C162" i="90"/>
  <c r="I161" i="90"/>
  <c r="H161" i="90"/>
  <c r="G161" i="90"/>
  <c r="F161" i="90"/>
  <c r="F161" i="90" a="1"/>
  <c r="D161" i="90"/>
  <c r="D161" i="90" a="1"/>
  <c r="C161" i="90"/>
  <c r="I160" i="90"/>
  <c r="H160" i="90"/>
  <c r="G160" i="90"/>
  <c r="F160" i="90"/>
  <c r="F160" i="90" a="1"/>
  <c r="D160" i="90"/>
  <c r="D160" i="90" a="1"/>
  <c r="C160" i="90"/>
  <c r="I159" i="90"/>
  <c r="H159" i="90"/>
  <c r="G159" i="90"/>
  <c r="F159" i="90"/>
  <c r="F159" i="90" a="1"/>
  <c r="D159" i="90"/>
  <c r="D159" i="90" a="1"/>
  <c r="C159" i="90"/>
  <c r="I158" i="90"/>
  <c r="H158" i="90"/>
  <c r="G158" i="90"/>
  <c r="F158" i="90"/>
  <c r="F158" i="90" a="1"/>
  <c r="D158" i="90"/>
  <c r="D158" i="90" a="1"/>
  <c r="C158" i="90"/>
  <c r="I157" i="90"/>
  <c r="H157" i="90"/>
  <c r="G157" i="90"/>
  <c r="F157" i="90"/>
  <c r="F157" i="90" a="1"/>
  <c r="D157" i="90"/>
  <c r="D157" i="90" a="1"/>
  <c r="C157" i="90"/>
  <c r="I156" i="90"/>
  <c r="H156" i="90"/>
  <c r="G156" i="90"/>
  <c r="F156" i="90"/>
  <c r="F156" i="90" a="1"/>
  <c r="D156" i="90"/>
  <c r="D156" i="90" a="1"/>
  <c r="C156" i="90"/>
  <c r="I155" i="90"/>
  <c r="H155" i="90"/>
  <c r="G155" i="90"/>
  <c r="F155" i="90"/>
  <c r="F155" i="90" a="1"/>
  <c r="D155" i="90"/>
  <c r="D155" i="90" a="1"/>
  <c r="C155" i="90"/>
  <c r="I154" i="90"/>
  <c r="H154" i="90"/>
  <c r="G154" i="90"/>
  <c r="F154" i="90"/>
  <c r="F154" i="90" a="1"/>
  <c r="D154" i="90"/>
  <c r="D154" i="90" a="1"/>
  <c r="C154" i="90"/>
  <c r="I153" i="90"/>
  <c r="H153" i="90"/>
  <c r="G153" i="90"/>
  <c r="F153" i="90"/>
  <c r="F153" i="90" a="1"/>
  <c r="D153" i="90"/>
  <c r="D153" i="90" a="1"/>
  <c r="C153" i="90"/>
  <c r="I152" i="90"/>
  <c r="H152" i="90"/>
  <c r="G152" i="90"/>
  <c r="F152" i="90"/>
  <c r="F152" i="90" a="1"/>
  <c r="D152" i="90"/>
  <c r="D152" i="90" a="1"/>
  <c r="C152" i="90"/>
  <c r="I151" i="90"/>
  <c r="H151" i="90"/>
  <c r="G151" i="90"/>
  <c r="F151" i="90"/>
  <c r="F151" i="90" a="1"/>
  <c r="D151" i="90"/>
  <c r="D151" i="90" a="1"/>
  <c r="C151" i="90"/>
  <c r="I150" i="90"/>
  <c r="H150" i="90"/>
  <c r="G150" i="90"/>
  <c r="F150" i="90"/>
  <c r="F150" i="90" a="1"/>
  <c r="D150" i="90"/>
  <c r="D150" i="90" a="1"/>
  <c r="C150" i="90"/>
  <c r="I149" i="90"/>
  <c r="H149" i="90"/>
  <c r="G149" i="90"/>
  <c r="F149" i="90"/>
  <c r="F149" i="90" a="1"/>
  <c r="D149" i="90"/>
  <c r="D149" i="90" a="1"/>
  <c r="C149" i="90"/>
  <c r="I148" i="90"/>
  <c r="H148" i="90"/>
  <c r="G148" i="90"/>
  <c r="F148" i="90"/>
  <c r="F148" i="90" a="1"/>
  <c r="D148" i="90"/>
  <c r="D148" i="90" a="1"/>
  <c r="C148" i="90"/>
  <c r="I147" i="90"/>
  <c r="H147" i="90"/>
  <c r="G147" i="90"/>
  <c r="F147" i="90"/>
  <c r="F147" i="90" a="1"/>
  <c r="D147" i="90"/>
  <c r="D147" i="90" a="1"/>
  <c r="C147" i="90"/>
  <c r="I146" i="90"/>
  <c r="H146" i="90"/>
  <c r="G146" i="90"/>
  <c r="F146" i="90"/>
  <c r="F146" i="90" a="1"/>
  <c r="D146" i="90"/>
  <c r="D146" i="90" a="1"/>
  <c r="C146" i="90"/>
  <c r="I145" i="90"/>
  <c r="H145" i="90"/>
  <c r="G145" i="90"/>
  <c r="F145" i="90"/>
  <c r="F145" i="90" a="1"/>
  <c r="D145" i="90"/>
  <c r="D145" i="90" a="1"/>
  <c r="C145" i="90"/>
  <c r="I144" i="90"/>
  <c r="H144" i="90"/>
  <c r="G144" i="90"/>
  <c r="F144" i="90"/>
  <c r="F144" i="90" a="1"/>
  <c r="D144" i="90"/>
  <c r="D144" i="90" a="1"/>
  <c r="C144" i="90"/>
  <c r="I143" i="90"/>
  <c r="H143" i="90"/>
  <c r="G143" i="90"/>
  <c r="F143" i="90"/>
  <c r="F143" i="90" a="1"/>
  <c r="D143" i="90"/>
  <c r="D143" i="90" a="1"/>
  <c r="C143" i="90"/>
  <c r="I142" i="90"/>
  <c r="H142" i="90"/>
  <c r="G142" i="90"/>
  <c r="F142" i="90"/>
  <c r="F142" i="90" a="1"/>
  <c r="D142" i="90"/>
  <c r="D142" i="90" a="1"/>
  <c r="C142" i="90"/>
  <c r="I141" i="90"/>
  <c r="H141" i="90"/>
  <c r="G141" i="90"/>
  <c r="F141" i="90"/>
  <c r="F141" i="90" a="1"/>
  <c r="D141" i="90"/>
  <c r="D141" i="90" a="1"/>
  <c r="C141" i="90"/>
  <c r="I140" i="90"/>
  <c r="H140" i="90"/>
  <c r="G140" i="90"/>
  <c r="F140" i="90"/>
  <c r="F140" i="90" a="1"/>
  <c r="D140" i="90"/>
  <c r="D140" i="90" a="1"/>
  <c r="C140" i="90"/>
  <c r="I139" i="90"/>
  <c r="H139" i="90"/>
  <c r="G139" i="90"/>
  <c r="F139" i="90"/>
  <c r="F139" i="90" a="1"/>
  <c r="D139" i="90"/>
  <c r="D139" i="90" a="1"/>
  <c r="C139" i="90"/>
  <c r="I138" i="90"/>
  <c r="H138" i="90"/>
  <c r="G138" i="90"/>
  <c r="F138" i="90"/>
  <c r="F138" i="90" a="1"/>
  <c r="D138" i="90"/>
  <c r="D138" i="90" a="1"/>
  <c r="C138" i="90"/>
  <c r="I137" i="90"/>
  <c r="H137" i="90"/>
  <c r="G137" i="90"/>
  <c r="F137" i="90"/>
  <c r="F137" i="90" a="1"/>
  <c r="D137" i="90"/>
  <c r="D137" i="90" a="1"/>
  <c r="C137" i="90"/>
  <c r="I136" i="90"/>
  <c r="H136" i="90"/>
  <c r="G136" i="90"/>
  <c r="F136" i="90"/>
  <c r="F136" i="90" a="1"/>
  <c r="D136" i="90"/>
  <c r="D136" i="90" a="1"/>
  <c r="C136" i="90"/>
  <c r="I135" i="90"/>
  <c r="H135" i="90"/>
  <c r="G135" i="90"/>
  <c r="F135" i="90"/>
  <c r="F135" i="90" a="1"/>
  <c r="D135" i="90"/>
  <c r="D135" i="90" a="1"/>
  <c r="C135" i="90"/>
  <c r="I134" i="90"/>
  <c r="H134" i="90"/>
  <c r="G134" i="90"/>
  <c r="F134" i="90"/>
  <c r="F134" i="90" a="1"/>
  <c r="D134" i="90"/>
  <c r="D134" i="90" a="1"/>
  <c r="C134" i="90"/>
  <c r="I133" i="90"/>
  <c r="H133" i="90"/>
  <c r="G133" i="90"/>
  <c r="F133" i="90"/>
  <c r="F133" i="90" a="1"/>
  <c r="D133" i="90"/>
  <c r="D133" i="90" a="1"/>
  <c r="C133" i="90"/>
  <c r="I132" i="90"/>
  <c r="H132" i="90"/>
  <c r="G132" i="90"/>
  <c r="F132" i="90"/>
  <c r="F132" i="90" a="1"/>
  <c r="D132" i="90"/>
  <c r="D132" i="90" a="1"/>
  <c r="C132" i="90"/>
  <c r="I131" i="90"/>
  <c r="H131" i="90"/>
  <c r="G131" i="90"/>
  <c r="F131" i="90"/>
  <c r="F131" i="90" a="1"/>
  <c r="D131" i="90"/>
  <c r="D131" i="90" a="1"/>
  <c r="C131" i="90"/>
  <c r="I130" i="90"/>
  <c r="H130" i="90"/>
  <c r="G130" i="90"/>
  <c r="F130" i="90"/>
  <c r="F130" i="90" a="1"/>
  <c r="D130" i="90"/>
  <c r="D130" i="90" a="1"/>
  <c r="C130" i="90"/>
  <c r="I129" i="90"/>
  <c r="H129" i="90"/>
  <c r="G129" i="90"/>
  <c r="F129" i="90"/>
  <c r="F129" i="90" a="1"/>
  <c r="D129" i="90"/>
  <c r="D129" i="90" a="1"/>
  <c r="C129" i="90"/>
  <c r="I128" i="90"/>
  <c r="H128" i="90"/>
  <c r="G128" i="90"/>
  <c r="F128" i="90"/>
  <c r="F128" i="90" a="1"/>
  <c r="D128" i="90"/>
  <c r="D128" i="90" a="1"/>
  <c r="C128" i="90"/>
  <c r="I127" i="90"/>
  <c r="H127" i="90"/>
  <c r="G127" i="90"/>
  <c r="F127" i="90"/>
  <c r="F127" i="90" a="1"/>
  <c r="D127" i="90"/>
  <c r="D127" i="90" a="1"/>
  <c r="C127" i="90"/>
  <c r="I126" i="90"/>
  <c r="H126" i="90"/>
  <c r="G126" i="90"/>
  <c r="F126" i="90"/>
  <c r="F126" i="90" a="1"/>
  <c r="D126" i="90"/>
  <c r="D126" i="90" a="1"/>
  <c r="C126" i="90"/>
  <c r="I125" i="90"/>
  <c r="H125" i="90"/>
  <c r="G125" i="90"/>
  <c r="F125" i="90"/>
  <c r="F125" i="90" a="1"/>
  <c r="D125" i="90"/>
  <c r="D125" i="90" a="1"/>
  <c r="C125" i="90"/>
  <c r="I124" i="90"/>
  <c r="H124" i="90"/>
  <c r="G124" i="90"/>
  <c r="F124" i="90"/>
  <c r="F124" i="90" a="1"/>
  <c r="D124" i="90"/>
  <c r="D124" i="90" a="1"/>
  <c r="C124" i="90"/>
  <c r="I123" i="90"/>
  <c r="H123" i="90"/>
  <c r="G123" i="90"/>
  <c r="F123" i="90"/>
  <c r="F123" i="90" a="1"/>
  <c r="D123" i="90"/>
  <c r="D123" i="90" a="1"/>
  <c r="C123" i="90"/>
  <c r="I122" i="90"/>
  <c r="H122" i="90"/>
  <c r="G122" i="90"/>
  <c r="F122" i="90"/>
  <c r="F122" i="90" a="1"/>
  <c r="D122" i="90"/>
  <c r="D122" i="90" a="1"/>
  <c r="C122" i="90"/>
  <c r="I121" i="90"/>
  <c r="H121" i="90"/>
  <c r="G121" i="90"/>
  <c r="F121" i="90"/>
  <c r="F121" i="90" a="1"/>
  <c r="D121" i="90"/>
  <c r="D121" i="90" a="1"/>
  <c r="C121" i="90"/>
  <c r="I120" i="90"/>
  <c r="H120" i="90"/>
  <c r="G120" i="90"/>
  <c r="F120" i="90"/>
  <c r="F120" i="90" a="1"/>
  <c r="D120" i="90"/>
  <c r="D120" i="90" a="1"/>
  <c r="C120" i="90"/>
  <c r="I119" i="90"/>
  <c r="H119" i="90"/>
  <c r="G119" i="90"/>
  <c r="F119" i="90"/>
  <c r="F119" i="90" a="1"/>
  <c r="D119" i="90"/>
  <c r="D119" i="90" a="1"/>
  <c r="C119" i="90"/>
  <c r="I118" i="90"/>
  <c r="H118" i="90"/>
  <c r="G118" i="90"/>
  <c r="F118" i="90"/>
  <c r="F118" i="90" a="1"/>
  <c r="D118" i="90"/>
  <c r="D118" i="90" a="1"/>
  <c r="C118" i="90"/>
  <c r="I117" i="90"/>
  <c r="H117" i="90"/>
  <c r="G117" i="90"/>
  <c r="F117" i="90"/>
  <c r="F117" i="90" a="1"/>
  <c r="D117" i="90"/>
  <c r="D117" i="90" a="1"/>
  <c r="C117" i="90"/>
  <c r="I116" i="90"/>
  <c r="H116" i="90"/>
  <c r="G116" i="90"/>
  <c r="F116" i="90"/>
  <c r="F116" i="90" a="1"/>
  <c r="D116" i="90"/>
  <c r="D116" i="90" a="1"/>
  <c r="C116" i="90"/>
  <c r="I115" i="90"/>
  <c r="H115" i="90"/>
  <c r="G115" i="90"/>
  <c r="F115" i="90"/>
  <c r="F115" i="90" a="1"/>
  <c r="D115" i="90"/>
  <c r="D115" i="90" a="1"/>
  <c r="C115" i="90"/>
  <c r="I114" i="90"/>
  <c r="H114" i="90"/>
  <c r="G114" i="90"/>
  <c r="F114" i="90"/>
  <c r="F114" i="90" a="1"/>
  <c r="D114" i="90"/>
  <c r="D114" i="90" a="1"/>
  <c r="C114" i="90"/>
  <c r="I113" i="90"/>
  <c r="H113" i="90"/>
  <c r="G113" i="90"/>
  <c r="F113" i="90"/>
  <c r="F113" i="90" a="1"/>
  <c r="D113" i="90"/>
  <c r="D113" i="90" a="1"/>
  <c r="C113" i="90"/>
  <c r="I112" i="90"/>
  <c r="H112" i="90"/>
  <c r="G112" i="90"/>
  <c r="F112" i="90"/>
  <c r="F112" i="90" a="1"/>
  <c r="D112" i="90"/>
  <c r="D112" i="90" a="1"/>
  <c r="C112" i="90"/>
  <c r="I111" i="90"/>
  <c r="H111" i="90"/>
  <c r="G111" i="90"/>
  <c r="F111" i="90"/>
  <c r="F111" i="90" a="1"/>
  <c r="D111" i="90"/>
  <c r="D111" i="90" a="1"/>
  <c r="C111" i="90"/>
  <c r="I110" i="90"/>
  <c r="H110" i="90"/>
  <c r="G110" i="90"/>
  <c r="F110" i="90"/>
  <c r="F110" i="90" a="1"/>
  <c r="D110" i="90"/>
  <c r="D110" i="90" a="1"/>
  <c r="C110" i="90"/>
  <c r="I109" i="90"/>
  <c r="H109" i="90"/>
  <c r="G109" i="90"/>
  <c r="F109" i="90"/>
  <c r="F109" i="90" a="1"/>
  <c r="D109" i="90"/>
  <c r="D109" i="90" a="1"/>
  <c r="C109" i="90"/>
  <c r="I108" i="90"/>
  <c r="H108" i="90"/>
  <c r="G108" i="90"/>
  <c r="F108" i="90"/>
  <c r="F108" i="90" a="1"/>
  <c r="D108" i="90"/>
  <c r="D108" i="90" a="1"/>
  <c r="C108" i="90"/>
  <c r="I107" i="90"/>
  <c r="H107" i="90"/>
  <c r="G107" i="90"/>
  <c r="F107" i="90"/>
  <c r="F107" i="90" a="1"/>
  <c r="D107" i="90"/>
  <c r="D107" i="90" a="1"/>
  <c r="C107" i="90"/>
  <c r="I106" i="90"/>
  <c r="H106" i="90"/>
  <c r="G106" i="90"/>
  <c r="F106" i="90"/>
  <c r="F106" i="90" a="1"/>
  <c r="D106" i="90"/>
  <c r="D106" i="90" a="1"/>
  <c r="C106" i="90"/>
  <c r="I105" i="90"/>
  <c r="H105" i="90"/>
  <c r="G105" i="90"/>
  <c r="F105" i="90"/>
  <c r="F105" i="90" a="1"/>
  <c r="D105" i="90"/>
  <c r="D105" i="90" a="1"/>
  <c r="C105" i="90"/>
  <c r="I104" i="90"/>
  <c r="H104" i="90"/>
  <c r="G104" i="90"/>
  <c r="F104" i="90"/>
  <c r="F104" i="90" a="1"/>
  <c r="D104" i="90"/>
  <c r="D104" i="90" a="1"/>
  <c r="C104" i="90"/>
  <c r="I103" i="90"/>
  <c r="H103" i="90"/>
  <c r="G103" i="90"/>
  <c r="F103" i="90"/>
  <c r="F103" i="90" a="1"/>
  <c r="D103" i="90"/>
  <c r="D103" i="90" a="1"/>
  <c r="C103" i="90"/>
  <c r="I102" i="90"/>
  <c r="H102" i="90"/>
  <c r="G102" i="90"/>
  <c r="F102" i="90"/>
  <c r="F102" i="90" a="1"/>
  <c r="D102" i="90"/>
  <c r="D102" i="90" a="1"/>
  <c r="C102" i="90"/>
  <c r="I101" i="90"/>
  <c r="H101" i="90"/>
  <c r="G101" i="90"/>
  <c r="F101" i="90"/>
  <c r="F101" i="90" a="1"/>
  <c r="D101" i="90"/>
  <c r="D101" i="90" a="1"/>
  <c r="C101" i="90"/>
  <c r="I100" i="90"/>
  <c r="H100" i="90"/>
  <c r="G100" i="90"/>
  <c r="F100" i="90"/>
  <c r="F100" i="90" a="1"/>
  <c r="D100" i="90"/>
  <c r="D100" i="90" a="1"/>
  <c r="C100" i="90"/>
  <c r="I99" i="90"/>
  <c r="H99" i="90"/>
  <c r="G99" i="90"/>
  <c r="F99" i="90"/>
  <c r="F99" i="90" a="1"/>
  <c r="D99" i="90"/>
  <c r="D99" i="90" a="1"/>
  <c r="C99" i="90"/>
  <c r="I98" i="90"/>
  <c r="H98" i="90"/>
  <c r="G98" i="90"/>
  <c r="F98" i="90"/>
  <c r="F98" i="90" a="1"/>
  <c r="D98" i="90"/>
  <c r="D98" i="90" a="1"/>
  <c r="C98" i="90"/>
  <c r="I97" i="90"/>
  <c r="H97" i="90"/>
  <c r="G97" i="90"/>
  <c r="F97" i="90"/>
  <c r="F97" i="90" a="1"/>
  <c r="D97" i="90"/>
  <c r="D97" i="90" a="1"/>
  <c r="C97" i="90"/>
  <c r="I96" i="90"/>
  <c r="H96" i="90"/>
  <c r="G96" i="90"/>
  <c r="F96" i="90"/>
  <c r="F96" i="90" a="1"/>
  <c r="D96" i="90"/>
  <c r="D96" i="90" a="1"/>
  <c r="C96" i="90"/>
  <c r="I95" i="90"/>
  <c r="H95" i="90"/>
  <c r="G95" i="90"/>
  <c r="F95" i="90"/>
  <c r="F95" i="90" a="1"/>
  <c r="D95" i="90"/>
  <c r="D95" i="90" a="1"/>
  <c r="C95" i="90"/>
  <c r="I94" i="90"/>
  <c r="H94" i="90"/>
  <c r="G94" i="90"/>
  <c r="F94" i="90"/>
  <c r="F94" i="90" a="1"/>
  <c r="D94" i="90"/>
  <c r="D94" i="90" a="1"/>
  <c r="C94" i="90"/>
  <c r="I93" i="90"/>
  <c r="H93" i="90"/>
  <c r="G93" i="90"/>
  <c r="F93" i="90"/>
  <c r="F93" i="90" a="1"/>
  <c r="D93" i="90"/>
  <c r="D93" i="90" a="1"/>
  <c r="C93" i="90"/>
  <c r="I92" i="90"/>
  <c r="H92" i="90"/>
  <c r="G92" i="90"/>
  <c r="F92" i="90"/>
  <c r="F92" i="90" a="1"/>
  <c r="D92" i="90"/>
  <c r="D92" i="90" a="1"/>
  <c r="C92" i="90"/>
  <c r="I91" i="90"/>
  <c r="H91" i="90"/>
  <c r="G91" i="90"/>
  <c r="F91" i="90"/>
  <c r="F91" i="90" a="1"/>
  <c r="D91" i="90"/>
  <c r="D91" i="90" a="1"/>
  <c r="C91" i="90"/>
  <c r="I90" i="90"/>
  <c r="H90" i="90"/>
  <c r="G90" i="90"/>
  <c r="F90" i="90"/>
  <c r="F90" i="90" a="1"/>
  <c r="D90" i="90"/>
  <c r="D90" i="90" a="1"/>
  <c r="C90" i="90"/>
  <c r="I89" i="90"/>
  <c r="H89" i="90"/>
  <c r="G89" i="90"/>
  <c r="F89" i="90"/>
  <c r="F89" i="90" a="1"/>
  <c r="D89" i="90"/>
  <c r="D89" i="90" a="1"/>
  <c r="C89" i="90"/>
  <c r="I88" i="90"/>
  <c r="H88" i="90"/>
  <c r="G88" i="90"/>
  <c r="F88" i="90"/>
  <c r="F88" i="90" a="1"/>
  <c r="D88" i="90"/>
  <c r="D88" i="90" a="1"/>
  <c r="C88" i="90"/>
  <c r="I87" i="90"/>
  <c r="H87" i="90"/>
  <c r="G87" i="90"/>
  <c r="F87" i="90"/>
  <c r="F87" i="90" a="1"/>
  <c r="D87" i="90"/>
  <c r="D87" i="90" a="1"/>
  <c r="C87" i="90"/>
  <c r="I86" i="90"/>
  <c r="H86" i="90"/>
  <c r="G86" i="90"/>
  <c r="F86" i="90"/>
  <c r="F86" i="90" a="1"/>
  <c r="D86" i="90"/>
  <c r="D86" i="90" a="1"/>
  <c r="C86" i="90"/>
  <c r="I85" i="90"/>
  <c r="H85" i="90"/>
  <c r="G85" i="90"/>
  <c r="F85" i="90"/>
  <c r="F85" i="90" a="1"/>
  <c r="D85" i="90"/>
  <c r="D85" i="90" a="1"/>
  <c r="C85" i="90"/>
  <c r="I84" i="90"/>
  <c r="H84" i="90"/>
  <c r="G84" i="90"/>
  <c r="F84" i="90"/>
  <c r="F84" i="90" a="1"/>
  <c r="D84" i="90"/>
  <c r="D84" i="90" a="1"/>
  <c r="C84" i="90"/>
  <c r="I83" i="90"/>
  <c r="H83" i="90"/>
  <c r="G83" i="90"/>
  <c r="F83" i="90"/>
  <c r="F83" i="90" a="1"/>
  <c r="D83" i="90"/>
  <c r="D83" i="90" a="1"/>
  <c r="C83" i="90"/>
  <c r="I82" i="90"/>
  <c r="H82" i="90"/>
  <c r="G82" i="90"/>
  <c r="F82" i="90"/>
  <c r="F82" i="90" a="1"/>
  <c r="D82" i="90"/>
  <c r="D82" i="90" a="1"/>
  <c r="C82" i="90"/>
  <c r="I81" i="90"/>
  <c r="H81" i="90"/>
  <c r="G81" i="90"/>
  <c r="F81" i="90"/>
  <c r="F81" i="90" a="1"/>
  <c r="D81" i="90"/>
  <c r="D81" i="90" a="1"/>
  <c r="C81" i="90"/>
  <c r="I80" i="90"/>
  <c r="H80" i="90"/>
  <c r="G80" i="90"/>
  <c r="F80" i="90"/>
  <c r="F80" i="90" a="1"/>
  <c r="D80" i="90"/>
  <c r="D80" i="90" a="1"/>
  <c r="C80" i="90"/>
  <c r="I79" i="90"/>
  <c r="H79" i="90"/>
  <c r="G79" i="90"/>
  <c r="F79" i="90"/>
  <c r="F79" i="90" a="1"/>
  <c r="D79" i="90"/>
  <c r="D79" i="90" a="1"/>
  <c r="C79" i="90"/>
  <c r="I78" i="90"/>
  <c r="H78" i="90"/>
  <c r="G78" i="90"/>
  <c r="F78" i="90"/>
  <c r="F78" i="90" a="1"/>
  <c r="D78" i="90"/>
  <c r="D78" i="90" a="1"/>
  <c r="C78" i="90"/>
  <c r="I77" i="90"/>
  <c r="H77" i="90"/>
  <c r="G77" i="90"/>
  <c r="F77" i="90"/>
  <c r="F77" i="90" a="1"/>
  <c r="D77" i="90"/>
  <c r="D77" i="90" a="1"/>
  <c r="C77" i="90"/>
  <c r="I76" i="90"/>
  <c r="H76" i="90"/>
  <c r="G76" i="90"/>
  <c r="F76" i="90"/>
  <c r="F76" i="90" a="1"/>
  <c r="D76" i="90"/>
  <c r="D76" i="90" a="1"/>
  <c r="C76" i="90"/>
  <c r="I75" i="90"/>
  <c r="H75" i="90"/>
  <c r="G75" i="90"/>
  <c r="F75" i="90"/>
  <c r="F75" i="90" a="1"/>
  <c r="D75" i="90"/>
  <c r="D75" i="90" a="1"/>
  <c r="C75" i="90"/>
  <c r="I74" i="90"/>
  <c r="H74" i="90"/>
  <c r="G74" i="90"/>
  <c r="F74" i="90"/>
  <c r="F74" i="90" a="1"/>
  <c r="D74" i="90"/>
  <c r="D74" i="90" a="1"/>
  <c r="C74" i="90"/>
  <c r="I73" i="90"/>
  <c r="H73" i="90"/>
  <c r="G73" i="90"/>
  <c r="F73" i="90"/>
  <c r="F73" i="90" a="1"/>
  <c r="D73" i="90"/>
  <c r="D73" i="90" a="1"/>
  <c r="C73" i="90"/>
  <c r="I72" i="90"/>
  <c r="H72" i="90"/>
  <c r="G72" i="90"/>
  <c r="F72" i="90"/>
  <c r="F72" i="90" a="1"/>
  <c r="D72" i="90"/>
  <c r="D72" i="90" a="1"/>
  <c r="C72" i="90"/>
  <c r="I71" i="90"/>
  <c r="H71" i="90"/>
  <c r="G71" i="90"/>
  <c r="F71" i="90"/>
  <c r="F71" i="90" a="1"/>
  <c r="D71" i="90"/>
  <c r="D71" i="90" a="1"/>
  <c r="C71" i="90"/>
  <c r="I70" i="90"/>
  <c r="H70" i="90"/>
  <c r="G70" i="90"/>
  <c r="F70" i="90"/>
  <c r="F70" i="90" a="1"/>
  <c r="D70" i="90"/>
  <c r="D70" i="90" a="1"/>
  <c r="C70" i="90"/>
  <c r="I69" i="90"/>
  <c r="H69" i="90"/>
  <c r="G69" i="90"/>
  <c r="F69" i="90"/>
  <c r="F69" i="90" a="1"/>
  <c r="D69" i="90"/>
  <c r="D69" i="90" a="1"/>
  <c r="C69" i="90"/>
  <c r="I68" i="90"/>
  <c r="H68" i="90"/>
  <c r="G68" i="90"/>
  <c r="F68" i="90"/>
  <c r="F68" i="90" a="1"/>
  <c r="D68" i="90"/>
  <c r="D68" i="90" a="1"/>
  <c r="C68" i="90"/>
  <c r="I67" i="90"/>
  <c r="H67" i="90"/>
  <c r="G67" i="90"/>
  <c r="F67" i="90"/>
  <c r="F67" i="90" a="1"/>
  <c r="D67" i="90"/>
  <c r="D67" i="90" a="1"/>
  <c r="C67" i="90"/>
  <c r="I66" i="90"/>
  <c r="H66" i="90"/>
  <c r="G66" i="90"/>
  <c r="F66" i="90"/>
  <c r="F66" i="90" a="1"/>
  <c r="D66" i="90"/>
  <c r="D66" i="90" a="1"/>
  <c r="C66" i="90"/>
  <c r="I65" i="90"/>
  <c r="H65" i="90"/>
  <c r="G65" i="90"/>
  <c r="F65" i="90"/>
  <c r="F65" i="90" a="1"/>
  <c r="D65" i="90"/>
  <c r="D65" i="90" a="1"/>
  <c r="C65" i="90"/>
  <c r="I64" i="90"/>
  <c r="H64" i="90"/>
  <c r="G64" i="90"/>
  <c r="F64" i="90"/>
  <c r="F64" i="90" a="1"/>
  <c r="D64" i="90"/>
  <c r="D64" i="90" a="1"/>
  <c r="C64" i="90"/>
  <c r="I63" i="90"/>
  <c r="H63" i="90"/>
  <c r="G63" i="90"/>
  <c r="F63" i="90"/>
  <c r="F63" i="90" a="1"/>
  <c r="D63" i="90"/>
  <c r="D63" i="90" a="1"/>
  <c r="C63" i="90"/>
  <c r="I62" i="90"/>
  <c r="H62" i="90"/>
  <c r="G62" i="90"/>
  <c r="F62" i="90"/>
  <c r="F62" i="90" a="1"/>
  <c r="D62" i="90"/>
  <c r="D62" i="90" a="1"/>
  <c r="C62" i="90"/>
  <c r="I61" i="90"/>
  <c r="H61" i="90"/>
  <c r="G61" i="90"/>
  <c r="F61" i="90"/>
  <c r="F61" i="90" a="1"/>
  <c r="D61" i="90"/>
  <c r="D61" i="90" a="1"/>
  <c r="C61" i="90"/>
  <c r="I60" i="90"/>
  <c r="H60" i="90"/>
  <c r="G60" i="90"/>
  <c r="F60" i="90"/>
  <c r="F60" i="90" a="1"/>
  <c r="D60" i="90"/>
  <c r="D60" i="90" a="1"/>
  <c r="C60" i="90"/>
  <c r="I59" i="90"/>
  <c r="H59" i="90"/>
  <c r="G59" i="90"/>
  <c r="F59" i="90"/>
  <c r="F59" i="90" a="1"/>
  <c r="D59" i="90"/>
  <c r="D59" i="90" a="1"/>
  <c r="C59" i="90"/>
  <c r="I58" i="90"/>
  <c r="H58" i="90"/>
  <c r="G58" i="90"/>
  <c r="F58" i="90"/>
  <c r="F58" i="90" a="1"/>
  <c r="D58" i="90"/>
  <c r="D58" i="90" a="1"/>
  <c r="C58" i="90"/>
  <c r="I57" i="90"/>
  <c r="H57" i="90"/>
  <c r="G57" i="90"/>
  <c r="F57" i="90"/>
  <c r="F57" i="90" a="1"/>
  <c r="D57" i="90"/>
  <c r="D57" i="90" a="1"/>
  <c r="C57" i="90"/>
  <c r="I56" i="90"/>
  <c r="H56" i="90"/>
  <c r="G56" i="90"/>
  <c r="F56" i="90"/>
  <c r="F56" i="90" a="1"/>
  <c r="D56" i="90"/>
  <c r="D56" i="90" a="1"/>
  <c r="C56" i="90"/>
  <c r="I55" i="90"/>
  <c r="H55" i="90"/>
  <c r="G55" i="90"/>
  <c r="F55" i="90"/>
  <c r="F55" i="90" a="1"/>
  <c r="D55" i="90"/>
  <c r="D55" i="90" a="1"/>
  <c r="C55" i="90"/>
  <c r="I54" i="90"/>
  <c r="H54" i="90"/>
  <c r="G54" i="90"/>
  <c r="F54" i="90"/>
  <c r="F54" i="90" a="1"/>
  <c r="D54" i="90"/>
  <c r="D54" i="90" a="1"/>
  <c r="C54" i="90"/>
  <c r="I53" i="90"/>
  <c r="H53" i="90"/>
  <c r="G53" i="90"/>
  <c r="F53" i="90"/>
  <c r="F53" i="90" a="1"/>
  <c r="D53" i="90"/>
  <c r="D53" i="90" a="1"/>
  <c r="C53" i="90"/>
  <c r="I52" i="90"/>
  <c r="H52" i="90"/>
  <c r="G52" i="90"/>
  <c r="F52" i="90"/>
  <c r="F52" i="90" a="1"/>
  <c r="D52" i="90"/>
  <c r="D52" i="90" a="1"/>
  <c r="C52" i="90"/>
  <c r="I51" i="90"/>
  <c r="H51" i="90"/>
  <c r="G51" i="90"/>
  <c r="F51" i="90"/>
  <c r="F51" i="90" a="1"/>
  <c r="D51" i="90"/>
  <c r="D51" i="90" a="1"/>
  <c r="C51" i="90"/>
  <c r="I50" i="90"/>
  <c r="H50" i="90"/>
  <c r="G50" i="90"/>
  <c r="F50" i="90"/>
  <c r="F50" i="90" a="1"/>
  <c r="D50" i="90"/>
  <c r="D50" i="90" a="1"/>
  <c r="C50" i="90"/>
  <c r="I49" i="90"/>
  <c r="H49" i="90"/>
  <c r="G49" i="90"/>
  <c r="F49" i="90"/>
  <c r="F49" i="90" a="1"/>
  <c r="D49" i="90"/>
  <c r="D49" i="90" a="1"/>
  <c r="C49" i="90"/>
  <c r="I48" i="90"/>
  <c r="H48" i="90"/>
  <c r="G48" i="90"/>
  <c r="F48" i="90"/>
  <c r="F48" i="90" a="1"/>
  <c r="D48" i="90"/>
  <c r="D48" i="90" a="1"/>
  <c r="C48" i="90"/>
  <c r="I47" i="90"/>
  <c r="H47" i="90"/>
  <c r="G47" i="90"/>
  <c r="F47" i="90"/>
  <c r="F47" i="90" a="1"/>
  <c r="D47" i="90"/>
  <c r="D47" i="90" a="1"/>
  <c r="C47" i="90"/>
  <c r="I46" i="90"/>
  <c r="H46" i="90"/>
  <c r="G46" i="90"/>
  <c r="F46" i="90"/>
  <c r="F46" i="90" a="1"/>
  <c r="D46" i="90"/>
  <c r="D46" i="90" a="1"/>
  <c r="C46" i="90"/>
  <c r="I45" i="90"/>
  <c r="H45" i="90"/>
  <c r="G45" i="90"/>
  <c r="F45" i="90"/>
  <c r="F45" i="90" a="1"/>
  <c r="D45" i="90"/>
  <c r="D45" i="90" a="1"/>
  <c r="C45" i="90"/>
  <c r="I44" i="90"/>
  <c r="H44" i="90"/>
  <c r="G44" i="90"/>
  <c r="F44" i="90"/>
  <c r="F44" i="90" a="1"/>
  <c r="D44" i="90"/>
  <c r="D44" i="90" a="1"/>
  <c r="C44" i="90"/>
  <c r="I43" i="90"/>
  <c r="H43" i="90"/>
  <c r="G43" i="90"/>
  <c r="F43" i="90"/>
  <c r="F43" i="90" a="1"/>
  <c r="D43" i="90"/>
  <c r="D43" i="90" a="1"/>
  <c r="C43" i="90"/>
  <c r="I42" i="90"/>
  <c r="H42" i="90"/>
  <c r="G42" i="90"/>
  <c r="F42" i="90"/>
  <c r="F42" i="90" a="1"/>
  <c r="D42" i="90"/>
  <c r="D42" i="90" a="1"/>
  <c r="C42" i="90"/>
  <c r="I41" i="90"/>
  <c r="H41" i="90"/>
  <c r="G41" i="90"/>
  <c r="F41" i="90"/>
  <c r="F41" i="90" a="1"/>
  <c r="D41" i="90"/>
  <c r="D41" i="90" a="1"/>
  <c r="C41" i="90"/>
  <c r="I40" i="90"/>
  <c r="H40" i="90"/>
  <c r="G40" i="90"/>
  <c r="F40" i="90"/>
  <c r="F40" i="90" a="1"/>
  <c r="D40" i="90"/>
  <c r="D40" i="90" a="1"/>
  <c r="C40" i="90"/>
  <c r="I39" i="90"/>
  <c r="H39" i="90"/>
  <c r="G39" i="90"/>
  <c r="F39" i="90"/>
  <c r="F39" i="90" a="1"/>
  <c r="D39" i="90"/>
  <c r="D39" i="90" a="1"/>
  <c r="C39" i="90"/>
  <c r="I38" i="90"/>
  <c r="H38" i="90"/>
  <c r="G38" i="90"/>
  <c r="F38" i="90"/>
  <c r="F38" i="90" a="1"/>
  <c r="D38" i="90"/>
  <c r="D38" i="90" a="1"/>
  <c r="C38" i="90"/>
  <c r="I37" i="90"/>
  <c r="H37" i="90"/>
  <c r="G37" i="90"/>
  <c r="F37" i="90"/>
  <c r="F37" i="90" a="1"/>
  <c r="D37" i="90"/>
  <c r="D37" i="90" a="1"/>
  <c r="C37" i="90"/>
  <c r="I36" i="90"/>
  <c r="H36" i="90"/>
  <c r="G36" i="90"/>
  <c r="F36" i="90"/>
  <c r="F36" i="90" a="1"/>
  <c r="D36" i="90"/>
  <c r="D36" i="90" a="1"/>
  <c r="C36" i="90"/>
  <c r="I35" i="90"/>
  <c r="H35" i="90"/>
  <c r="G35" i="90"/>
  <c r="F35" i="90"/>
  <c r="F35" i="90" a="1"/>
  <c r="D35" i="90"/>
  <c r="D35" i="90" a="1"/>
  <c r="C35" i="90"/>
  <c r="I34" i="90"/>
  <c r="H34" i="90"/>
  <c r="G34" i="90"/>
  <c r="F34" i="90"/>
  <c r="F34" i="90" a="1"/>
  <c r="D34" i="90"/>
  <c r="D34" i="90" a="1"/>
  <c r="C34" i="90"/>
  <c r="C32" i="90"/>
  <c r="C29" i="90"/>
  <c r="C28" i="90"/>
  <c r="C27" i="90"/>
  <c r="F22" i="90"/>
  <c r="E22" i="90"/>
  <c r="D22" i="90"/>
  <c r="C22" i="90"/>
  <c r="F21" i="90"/>
  <c r="E21" i="90"/>
  <c r="D21" i="90"/>
  <c r="C21" i="90"/>
  <c r="D20" i="90"/>
  <c r="C20" i="90"/>
  <c r="L23" i="78"/>
  <c r="K23" i="78"/>
  <c r="J23" i="78"/>
  <c r="I23" i="78"/>
  <c r="H23" i="78"/>
  <c r="G23" i="78"/>
  <c r="F23" i="78"/>
  <c r="E23" i="78"/>
  <c r="M22" i="78"/>
  <c r="L22" i="78"/>
  <c r="K22" i="78"/>
  <c r="J22" i="78"/>
  <c r="I22" i="78"/>
  <c r="G22" i="78"/>
  <c r="G22" i="78" a="1"/>
  <c r="E22" i="78"/>
  <c r="E22" i="78" a="1"/>
  <c r="M21" i="78"/>
  <c r="L21" i="78"/>
  <c r="K21" i="78"/>
  <c r="J21" i="78"/>
  <c r="I21" i="78"/>
  <c r="G21" i="78"/>
  <c r="G21" i="78" a="1"/>
  <c r="E21" i="78"/>
  <c r="E21" i="78" a="1"/>
  <c r="M20" i="78"/>
  <c r="L20" i="78"/>
  <c r="K20" i="78"/>
  <c r="J20" i="78"/>
  <c r="I20" i="78"/>
  <c r="G20" i="78"/>
  <c r="G20" i="78" a="1"/>
  <c r="E20" i="78"/>
  <c r="E20" i="78" a="1"/>
  <c r="M19" i="78"/>
  <c r="L19" i="78"/>
  <c r="K19" i="78"/>
  <c r="J19" i="78"/>
  <c r="I19" i="78"/>
  <c r="G19" i="78"/>
  <c r="G19" i="78" a="1"/>
  <c r="E19" i="78"/>
  <c r="E19" i="78" a="1"/>
  <c r="M18" i="78"/>
  <c r="L18" i="78"/>
  <c r="K18" i="78"/>
  <c r="J18" i="78"/>
  <c r="I18" i="78"/>
  <c r="G18" i="78"/>
  <c r="G18" i="78" a="1"/>
  <c r="E18" i="78"/>
  <c r="E18" i="78" a="1"/>
  <c r="M17" i="78"/>
  <c r="L17" i="78"/>
  <c r="K17" i="78"/>
  <c r="J17" i="78"/>
  <c r="I17" i="78"/>
  <c r="G17" i="78"/>
  <c r="G17" i="78" a="1"/>
  <c r="E17" i="78"/>
  <c r="E17" i="78" a="1"/>
  <c r="L13" i="78"/>
  <c r="J184" i="89"/>
  <c r="I184" i="89"/>
  <c r="H184" i="89"/>
  <c r="G184" i="89"/>
  <c r="F184" i="89"/>
  <c r="E184" i="89"/>
  <c r="D184" i="89"/>
  <c r="C184" i="89"/>
  <c r="K183" i="89"/>
  <c r="J183" i="89"/>
  <c r="I183" i="89"/>
  <c r="H183" i="89"/>
  <c r="H183" i="89" a="1"/>
  <c r="G183" i="89"/>
  <c r="G183" i="89" a="1"/>
  <c r="F183" i="89"/>
  <c r="F183" i="89" a="1"/>
  <c r="E183" i="89"/>
  <c r="E183" i="89" a="1"/>
  <c r="D183" i="89"/>
  <c r="D183" i="89" a="1"/>
  <c r="C183" i="89"/>
  <c r="K182" i="89"/>
  <c r="J182" i="89"/>
  <c r="I182" i="89"/>
  <c r="H182" i="89"/>
  <c r="H182" i="89" a="1"/>
  <c r="G182" i="89"/>
  <c r="G182" i="89" a="1"/>
  <c r="F182" i="89"/>
  <c r="F182" i="89" a="1"/>
  <c r="E182" i="89"/>
  <c r="E182" i="89" a="1"/>
  <c r="D182" i="89"/>
  <c r="D182" i="89" a="1"/>
  <c r="C182" i="89"/>
  <c r="K181" i="89"/>
  <c r="J181" i="89"/>
  <c r="I181" i="89"/>
  <c r="H181" i="89"/>
  <c r="H181" i="89" a="1"/>
  <c r="G181" i="89"/>
  <c r="G181" i="89" a="1"/>
  <c r="F181" i="89"/>
  <c r="F181" i="89" a="1"/>
  <c r="E181" i="89"/>
  <c r="E181" i="89" a="1"/>
  <c r="D181" i="89"/>
  <c r="D181" i="89" a="1"/>
  <c r="C181" i="89"/>
  <c r="K180" i="89"/>
  <c r="J180" i="89"/>
  <c r="I180" i="89"/>
  <c r="H180" i="89"/>
  <c r="H180" i="89" a="1"/>
  <c r="G180" i="89"/>
  <c r="G180" i="89" a="1"/>
  <c r="F180" i="89"/>
  <c r="F180" i="89" a="1"/>
  <c r="E180" i="89"/>
  <c r="E180" i="89" a="1"/>
  <c r="D180" i="89"/>
  <c r="D180" i="89" a="1"/>
  <c r="C180" i="89"/>
  <c r="K179" i="89"/>
  <c r="J179" i="89"/>
  <c r="I179" i="89"/>
  <c r="H179" i="89"/>
  <c r="H179" i="89" a="1"/>
  <c r="G179" i="89"/>
  <c r="G179" i="89" a="1"/>
  <c r="F179" i="89"/>
  <c r="F179" i="89" a="1"/>
  <c r="E179" i="89"/>
  <c r="E179" i="89" a="1"/>
  <c r="D179" i="89"/>
  <c r="D179" i="89" a="1"/>
  <c r="C179" i="89"/>
  <c r="K178" i="89"/>
  <c r="J178" i="89"/>
  <c r="I178" i="89"/>
  <c r="H178" i="89"/>
  <c r="H178" i="89" a="1"/>
  <c r="G178" i="89"/>
  <c r="G178" i="89" a="1"/>
  <c r="F178" i="89"/>
  <c r="F178" i="89" a="1"/>
  <c r="E178" i="89"/>
  <c r="E178" i="89" a="1"/>
  <c r="D178" i="89"/>
  <c r="D178" i="89" a="1"/>
  <c r="C178" i="89"/>
  <c r="K177" i="89"/>
  <c r="J177" i="89"/>
  <c r="I177" i="89"/>
  <c r="H177" i="89"/>
  <c r="H177" i="89" a="1"/>
  <c r="G177" i="89"/>
  <c r="G177" i="89" a="1"/>
  <c r="F177" i="89"/>
  <c r="F177" i="89" a="1"/>
  <c r="E177" i="89"/>
  <c r="E177" i="89" a="1"/>
  <c r="D177" i="89"/>
  <c r="D177" i="89" a="1"/>
  <c r="C177" i="89"/>
  <c r="K176" i="89"/>
  <c r="J176" i="89"/>
  <c r="I176" i="89"/>
  <c r="H176" i="89"/>
  <c r="H176" i="89" a="1"/>
  <c r="G176" i="89"/>
  <c r="G176" i="89" a="1"/>
  <c r="F176" i="89"/>
  <c r="F176" i="89" a="1"/>
  <c r="E176" i="89"/>
  <c r="E176" i="89" a="1"/>
  <c r="D176" i="89"/>
  <c r="D176" i="89" a="1"/>
  <c r="C176" i="89"/>
  <c r="K175" i="89"/>
  <c r="J175" i="89"/>
  <c r="I175" i="89"/>
  <c r="H175" i="89"/>
  <c r="H175" i="89" a="1"/>
  <c r="G175" i="89"/>
  <c r="G175" i="89" a="1"/>
  <c r="F175" i="89"/>
  <c r="F175" i="89" a="1"/>
  <c r="E175" i="89"/>
  <c r="E175" i="89" a="1"/>
  <c r="D175" i="89"/>
  <c r="D175" i="89" a="1"/>
  <c r="C175" i="89"/>
  <c r="K174" i="89"/>
  <c r="J174" i="89"/>
  <c r="I174" i="89"/>
  <c r="H174" i="89"/>
  <c r="H174" i="89" a="1"/>
  <c r="G174" i="89"/>
  <c r="G174" i="89" a="1"/>
  <c r="F174" i="89"/>
  <c r="F174" i="89" a="1"/>
  <c r="E174" i="89"/>
  <c r="E174" i="89" a="1"/>
  <c r="D174" i="89"/>
  <c r="D174" i="89" a="1"/>
  <c r="C174" i="89"/>
  <c r="K173" i="89"/>
  <c r="J173" i="89"/>
  <c r="I173" i="89"/>
  <c r="H173" i="89"/>
  <c r="H173" i="89" a="1"/>
  <c r="G173" i="89"/>
  <c r="G173" i="89" a="1"/>
  <c r="F173" i="89"/>
  <c r="F173" i="89" a="1"/>
  <c r="E173" i="89"/>
  <c r="E173" i="89" a="1"/>
  <c r="D173" i="89"/>
  <c r="D173" i="89" a="1"/>
  <c r="C173" i="89"/>
  <c r="K172" i="89"/>
  <c r="J172" i="89"/>
  <c r="I172" i="89"/>
  <c r="H172" i="89"/>
  <c r="H172" i="89" a="1"/>
  <c r="G172" i="89"/>
  <c r="G172" i="89" a="1"/>
  <c r="F172" i="89"/>
  <c r="F172" i="89" a="1"/>
  <c r="E172" i="89"/>
  <c r="E172" i="89" a="1"/>
  <c r="D172" i="89"/>
  <c r="D172" i="89" a="1"/>
  <c r="C172" i="89"/>
  <c r="K171" i="89"/>
  <c r="J171" i="89"/>
  <c r="I171" i="89"/>
  <c r="H171" i="89"/>
  <c r="H171" i="89" a="1"/>
  <c r="G171" i="89"/>
  <c r="G171" i="89" a="1"/>
  <c r="F171" i="89"/>
  <c r="F171" i="89" a="1"/>
  <c r="E171" i="89"/>
  <c r="E171" i="89" a="1"/>
  <c r="D171" i="89"/>
  <c r="D171" i="89" a="1"/>
  <c r="C171" i="89"/>
  <c r="K170" i="89"/>
  <c r="J170" i="89"/>
  <c r="I170" i="89"/>
  <c r="H170" i="89"/>
  <c r="H170" i="89" a="1"/>
  <c r="G170" i="89"/>
  <c r="G170" i="89" a="1"/>
  <c r="F170" i="89"/>
  <c r="F170" i="89" a="1"/>
  <c r="E170" i="89"/>
  <c r="E170" i="89" a="1"/>
  <c r="D170" i="89"/>
  <c r="D170" i="89" a="1"/>
  <c r="C170" i="89"/>
  <c r="K169" i="89"/>
  <c r="J169" i="89"/>
  <c r="I169" i="89"/>
  <c r="H169" i="89"/>
  <c r="H169" i="89" a="1"/>
  <c r="G169" i="89"/>
  <c r="G169" i="89" a="1"/>
  <c r="F169" i="89"/>
  <c r="F169" i="89" a="1"/>
  <c r="E169" i="89"/>
  <c r="E169" i="89" a="1"/>
  <c r="D169" i="89"/>
  <c r="D169" i="89" a="1"/>
  <c r="C169" i="89"/>
  <c r="K168" i="89"/>
  <c r="J168" i="89"/>
  <c r="I168" i="89"/>
  <c r="H168" i="89"/>
  <c r="H168" i="89" a="1"/>
  <c r="G168" i="89"/>
  <c r="G168" i="89" a="1"/>
  <c r="F168" i="89"/>
  <c r="F168" i="89" a="1"/>
  <c r="E168" i="89"/>
  <c r="E168" i="89" a="1"/>
  <c r="D168" i="89"/>
  <c r="D168" i="89" a="1"/>
  <c r="C168" i="89"/>
  <c r="K167" i="89"/>
  <c r="J167" i="89"/>
  <c r="I167" i="89"/>
  <c r="H167" i="89"/>
  <c r="H167" i="89" a="1"/>
  <c r="G167" i="89"/>
  <c r="G167" i="89" a="1"/>
  <c r="F167" i="89"/>
  <c r="F167" i="89" a="1"/>
  <c r="E167" i="89"/>
  <c r="E167" i="89" a="1"/>
  <c r="D167" i="89"/>
  <c r="D167" i="89" a="1"/>
  <c r="C167" i="89"/>
  <c r="K166" i="89"/>
  <c r="J166" i="89"/>
  <c r="I166" i="89"/>
  <c r="H166" i="89"/>
  <c r="H166" i="89" a="1"/>
  <c r="G166" i="89"/>
  <c r="G166" i="89" a="1"/>
  <c r="F166" i="89"/>
  <c r="F166" i="89" a="1"/>
  <c r="E166" i="89"/>
  <c r="E166" i="89" a="1"/>
  <c r="D166" i="89"/>
  <c r="D166" i="89" a="1"/>
  <c r="C166" i="89"/>
  <c r="K165" i="89"/>
  <c r="J165" i="89"/>
  <c r="I165" i="89"/>
  <c r="H165" i="89"/>
  <c r="H165" i="89" a="1"/>
  <c r="G165" i="89"/>
  <c r="G165" i="89" a="1"/>
  <c r="F165" i="89"/>
  <c r="F165" i="89" a="1"/>
  <c r="E165" i="89"/>
  <c r="E165" i="89" a="1"/>
  <c r="D165" i="89"/>
  <c r="D165" i="89" a="1"/>
  <c r="C165" i="89"/>
  <c r="K164" i="89"/>
  <c r="J164" i="89"/>
  <c r="I164" i="89"/>
  <c r="H164" i="89"/>
  <c r="H164" i="89" a="1"/>
  <c r="G164" i="89"/>
  <c r="G164" i="89" a="1"/>
  <c r="F164" i="89"/>
  <c r="F164" i="89" a="1"/>
  <c r="E164" i="89"/>
  <c r="E164" i="89" a="1"/>
  <c r="D164" i="89"/>
  <c r="D164" i="89" a="1"/>
  <c r="C164" i="89"/>
  <c r="K163" i="89"/>
  <c r="J163" i="89"/>
  <c r="I163" i="89"/>
  <c r="H163" i="89"/>
  <c r="H163" i="89" a="1"/>
  <c r="G163" i="89"/>
  <c r="G163" i="89" a="1"/>
  <c r="F163" i="89"/>
  <c r="F163" i="89" a="1"/>
  <c r="E163" i="89"/>
  <c r="E163" i="89" a="1"/>
  <c r="D163" i="89"/>
  <c r="D163" i="89" a="1"/>
  <c r="C163" i="89"/>
  <c r="K162" i="89"/>
  <c r="J162" i="89"/>
  <c r="I162" i="89"/>
  <c r="H162" i="89"/>
  <c r="H162" i="89" a="1"/>
  <c r="G162" i="89"/>
  <c r="G162" i="89" a="1"/>
  <c r="F162" i="89"/>
  <c r="F162" i="89" a="1"/>
  <c r="E162" i="89"/>
  <c r="E162" i="89" a="1"/>
  <c r="D162" i="89"/>
  <c r="D162" i="89" a="1"/>
  <c r="C162" i="89"/>
  <c r="K161" i="89"/>
  <c r="J161" i="89"/>
  <c r="I161" i="89"/>
  <c r="H161" i="89"/>
  <c r="H161" i="89" a="1"/>
  <c r="G161" i="89"/>
  <c r="G161" i="89" a="1"/>
  <c r="F161" i="89"/>
  <c r="F161" i="89" a="1"/>
  <c r="E161" i="89"/>
  <c r="E161" i="89" a="1"/>
  <c r="D161" i="89"/>
  <c r="D161" i="89" a="1"/>
  <c r="C161" i="89"/>
  <c r="K160" i="89"/>
  <c r="J160" i="89"/>
  <c r="I160" i="89"/>
  <c r="H160" i="89"/>
  <c r="H160" i="89" a="1"/>
  <c r="G160" i="89"/>
  <c r="G160" i="89" a="1"/>
  <c r="F160" i="89"/>
  <c r="F160" i="89" a="1"/>
  <c r="E160" i="89"/>
  <c r="E160" i="89" a="1"/>
  <c r="D160" i="89"/>
  <c r="D160" i="89" a="1"/>
  <c r="C160" i="89"/>
  <c r="K159" i="89"/>
  <c r="J159" i="89"/>
  <c r="I159" i="89"/>
  <c r="H159" i="89"/>
  <c r="H159" i="89" a="1"/>
  <c r="G159" i="89"/>
  <c r="G159" i="89" a="1"/>
  <c r="F159" i="89"/>
  <c r="F159" i="89" a="1"/>
  <c r="E159" i="89"/>
  <c r="E159" i="89" a="1"/>
  <c r="D159" i="89"/>
  <c r="D159" i="89" a="1"/>
  <c r="C159" i="89"/>
  <c r="K158" i="89"/>
  <c r="J158" i="89"/>
  <c r="I158" i="89"/>
  <c r="H158" i="89"/>
  <c r="H158" i="89" a="1"/>
  <c r="G158" i="89"/>
  <c r="G158" i="89" a="1"/>
  <c r="F158" i="89"/>
  <c r="F158" i="89" a="1"/>
  <c r="E158" i="89"/>
  <c r="E158" i="89" a="1"/>
  <c r="D158" i="89"/>
  <c r="D158" i="89" a="1"/>
  <c r="C158" i="89"/>
  <c r="K157" i="89"/>
  <c r="J157" i="89"/>
  <c r="I157" i="89"/>
  <c r="H157" i="89"/>
  <c r="H157" i="89" a="1"/>
  <c r="G157" i="89"/>
  <c r="G157" i="89" a="1"/>
  <c r="F157" i="89"/>
  <c r="F157" i="89" a="1"/>
  <c r="E157" i="89"/>
  <c r="E157" i="89" a="1"/>
  <c r="D157" i="89"/>
  <c r="D157" i="89" a="1"/>
  <c r="C157" i="89"/>
  <c r="K156" i="89"/>
  <c r="J156" i="89"/>
  <c r="I156" i="89"/>
  <c r="H156" i="89"/>
  <c r="H156" i="89" a="1"/>
  <c r="G156" i="89"/>
  <c r="G156" i="89" a="1"/>
  <c r="F156" i="89"/>
  <c r="F156" i="89" a="1"/>
  <c r="E156" i="89"/>
  <c r="E156" i="89" a="1"/>
  <c r="D156" i="89"/>
  <c r="D156" i="89" a="1"/>
  <c r="C156" i="89"/>
  <c r="K155" i="89"/>
  <c r="J155" i="89"/>
  <c r="I155" i="89"/>
  <c r="H155" i="89"/>
  <c r="H155" i="89" a="1"/>
  <c r="G155" i="89"/>
  <c r="G155" i="89" a="1"/>
  <c r="F155" i="89"/>
  <c r="F155" i="89" a="1"/>
  <c r="E155" i="89"/>
  <c r="E155" i="89" a="1"/>
  <c r="D155" i="89"/>
  <c r="D155" i="89" a="1"/>
  <c r="C155" i="89"/>
  <c r="K154" i="89"/>
  <c r="J154" i="89"/>
  <c r="I154" i="89"/>
  <c r="H154" i="89"/>
  <c r="H154" i="89" a="1"/>
  <c r="G154" i="89"/>
  <c r="G154" i="89" a="1"/>
  <c r="F154" i="89"/>
  <c r="F154" i="89" a="1"/>
  <c r="E154" i="89"/>
  <c r="E154" i="89" a="1"/>
  <c r="D154" i="89"/>
  <c r="D154" i="89" a="1"/>
  <c r="C154" i="89"/>
  <c r="K153" i="89"/>
  <c r="J153" i="89"/>
  <c r="I153" i="89"/>
  <c r="H153" i="89"/>
  <c r="H153" i="89" a="1"/>
  <c r="G153" i="89"/>
  <c r="G153" i="89" a="1"/>
  <c r="F153" i="89"/>
  <c r="F153" i="89" a="1"/>
  <c r="E153" i="89"/>
  <c r="E153" i="89" a="1"/>
  <c r="D153" i="89"/>
  <c r="D153" i="89" a="1"/>
  <c r="C153" i="89"/>
  <c r="K152" i="89"/>
  <c r="J152" i="89"/>
  <c r="I152" i="89"/>
  <c r="H152" i="89"/>
  <c r="H152" i="89" a="1"/>
  <c r="G152" i="89"/>
  <c r="G152" i="89" a="1"/>
  <c r="F152" i="89"/>
  <c r="F152" i="89" a="1"/>
  <c r="E152" i="89"/>
  <c r="E152" i="89" a="1"/>
  <c r="D152" i="89"/>
  <c r="D152" i="89" a="1"/>
  <c r="C152" i="89"/>
  <c r="K151" i="89"/>
  <c r="J151" i="89"/>
  <c r="I151" i="89"/>
  <c r="H151" i="89"/>
  <c r="H151" i="89" a="1"/>
  <c r="G151" i="89"/>
  <c r="G151" i="89" a="1"/>
  <c r="F151" i="89"/>
  <c r="F151" i="89" a="1"/>
  <c r="E151" i="89"/>
  <c r="E151" i="89" a="1"/>
  <c r="D151" i="89"/>
  <c r="D151" i="89" a="1"/>
  <c r="C151" i="89"/>
  <c r="K150" i="89"/>
  <c r="J150" i="89"/>
  <c r="I150" i="89"/>
  <c r="H150" i="89"/>
  <c r="H150" i="89" a="1"/>
  <c r="G150" i="89"/>
  <c r="G150" i="89" a="1"/>
  <c r="F150" i="89"/>
  <c r="F150" i="89" a="1"/>
  <c r="E150" i="89"/>
  <c r="E150" i="89" a="1"/>
  <c r="D150" i="89"/>
  <c r="D150" i="89" a="1"/>
  <c r="C150" i="89"/>
  <c r="K149" i="89"/>
  <c r="J149" i="89"/>
  <c r="I149" i="89"/>
  <c r="H149" i="89"/>
  <c r="H149" i="89" a="1"/>
  <c r="G149" i="89"/>
  <c r="G149" i="89" a="1"/>
  <c r="F149" i="89"/>
  <c r="F149" i="89" a="1"/>
  <c r="E149" i="89"/>
  <c r="E149" i="89" a="1"/>
  <c r="D149" i="89"/>
  <c r="D149" i="89" a="1"/>
  <c r="C149" i="89"/>
  <c r="K148" i="89"/>
  <c r="J148" i="89"/>
  <c r="I148" i="89"/>
  <c r="H148" i="89"/>
  <c r="H148" i="89" a="1"/>
  <c r="G148" i="89"/>
  <c r="G148" i="89" a="1"/>
  <c r="F148" i="89"/>
  <c r="F148" i="89" a="1"/>
  <c r="E148" i="89"/>
  <c r="E148" i="89" a="1"/>
  <c r="D148" i="89"/>
  <c r="D148" i="89" a="1"/>
  <c r="C148" i="89"/>
  <c r="K147" i="89"/>
  <c r="J147" i="89"/>
  <c r="I147" i="89"/>
  <c r="H147" i="89"/>
  <c r="H147" i="89" a="1"/>
  <c r="G147" i="89"/>
  <c r="G147" i="89" a="1"/>
  <c r="F147" i="89"/>
  <c r="F147" i="89" a="1"/>
  <c r="E147" i="89"/>
  <c r="E147" i="89" a="1"/>
  <c r="D147" i="89"/>
  <c r="D147" i="89" a="1"/>
  <c r="C147" i="89"/>
  <c r="K146" i="89"/>
  <c r="J146" i="89"/>
  <c r="I146" i="89"/>
  <c r="H146" i="89"/>
  <c r="H146" i="89" a="1"/>
  <c r="G146" i="89"/>
  <c r="G146" i="89" a="1"/>
  <c r="F146" i="89"/>
  <c r="F146" i="89" a="1"/>
  <c r="E146" i="89"/>
  <c r="E146" i="89" a="1"/>
  <c r="D146" i="89"/>
  <c r="D146" i="89" a="1"/>
  <c r="C146" i="89"/>
  <c r="K145" i="89"/>
  <c r="J145" i="89"/>
  <c r="I145" i="89"/>
  <c r="H145" i="89"/>
  <c r="H145" i="89" a="1"/>
  <c r="G145" i="89"/>
  <c r="G145" i="89" a="1"/>
  <c r="F145" i="89"/>
  <c r="F145" i="89" a="1"/>
  <c r="E145" i="89"/>
  <c r="E145" i="89" a="1"/>
  <c r="D145" i="89"/>
  <c r="D145" i="89" a="1"/>
  <c r="C145" i="89"/>
  <c r="K144" i="89"/>
  <c r="J144" i="89"/>
  <c r="I144" i="89"/>
  <c r="H144" i="89"/>
  <c r="H144" i="89" a="1"/>
  <c r="G144" i="89"/>
  <c r="G144" i="89" a="1"/>
  <c r="F144" i="89"/>
  <c r="F144" i="89" a="1"/>
  <c r="E144" i="89"/>
  <c r="E144" i="89" a="1"/>
  <c r="D144" i="89"/>
  <c r="D144" i="89" a="1"/>
  <c r="C144" i="89"/>
  <c r="K143" i="89"/>
  <c r="J143" i="89"/>
  <c r="I143" i="89"/>
  <c r="H143" i="89"/>
  <c r="H143" i="89" a="1"/>
  <c r="G143" i="89"/>
  <c r="G143" i="89" a="1"/>
  <c r="F143" i="89"/>
  <c r="F143" i="89" a="1"/>
  <c r="E143" i="89"/>
  <c r="E143" i="89" a="1"/>
  <c r="D143" i="89"/>
  <c r="D143" i="89" a="1"/>
  <c r="C143" i="89"/>
  <c r="K142" i="89"/>
  <c r="J142" i="89"/>
  <c r="I142" i="89"/>
  <c r="H142" i="89"/>
  <c r="H142" i="89" a="1"/>
  <c r="G142" i="89"/>
  <c r="G142" i="89" a="1"/>
  <c r="F142" i="89"/>
  <c r="F142" i="89" a="1"/>
  <c r="E142" i="89"/>
  <c r="E142" i="89" a="1"/>
  <c r="D142" i="89"/>
  <c r="D142" i="89" a="1"/>
  <c r="C142" i="89"/>
  <c r="K141" i="89"/>
  <c r="J141" i="89"/>
  <c r="I141" i="89"/>
  <c r="H141" i="89"/>
  <c r="H141" i="89" a="1"/>
  <c r="G141" i="89"/>
  <c r="G141" i="89" a="1"/>
  <c r="F141" i="89"/>
  <c r="F141" i="89" a="1"/>
  <c r="E141" i="89"/>
  <c r="E141" i="89" a="1"/>
  <c r="D141" i="89"/>
  <c r="D141" i="89" a="1"/>
  <c r="C141" i="89"/>
  <c r="K140" i="89"/>
  <c r="J140" i="89"/>
  <c r="I140" i="89"/>
  <c r="H140" i="89"/>
  <c r="H140" i="89" a="1"/>
  <c r="G140" i="89"/>
  <c r="G140" i="89" a="1"/>
  <c r="F140" i="89"/>
  <c r="F140" i="89" a="1"/>
  <c r="E140" i="89"/>
  <c r="E140" i="89" a="1"/>
  <c r="D140" i="89"/>
  <c r="D140" i="89" a="1"/>
  <c r="C140" i="89"/>
  <c r="K139" i="89"/>
  <c r="J139" i="89"/>
  <c r="I139" i="89"/>
  <c r="H139" i="89"/>
  <c r="H139" i="89" a="1"/>
  <c r="G139" i="89"/>
  <c r="G139" i="89" a="1"/>
  <c r="F139" i="89"/>
  <c r="F139" i="89" a="1"/>
  <c r="E139" i="89"/>
  <c r="E139" i="89" a="1"/>
  <c r="D139" i="89"/>
  <c r="D139" i="89" a="1"/>
  <c r="C139" i="89"/>
  <c r="K138" i="89"/>
  <c r="J138" i="89"/>
  <c r="I138" i="89"/>
  <c r="H138" i="89"/>
  <c r="H138" i="89" a="1"/>
  <c r="G138" i="89"/>
  <c r="G138" i="89" a="1"/>
  <c r="F138" i="89"/>
  <c r="F138" i="89" a="1"/>
  <c r="E138" i="89"/>
  <c r="E138" i="89" a="1"/>
  <c r="D138" i="89"/>
  <c r="D138" i="89" a="1"/>
  <c r="C138" i="89"/>
  <c r="K137" i="89"/>
  <c r="J137" i="89"/>
  <c r="I137" i="89"/>
  <c r="H137" i="89"/>
  <c r="H137" i="89" a="1"/>
  <c r="G137" i="89"/>
  <c r="G137" i="89" a="1"/>
  <c r="F137" i="89"/>
  <c r="F137" i="89" a="1"/>
  <c r="E137" i="89"/>
  <c r="E137" i="89" a="1"/>
  <c r="D137" i="89"/>
  <c r="D137" i="89" a="1"/>
  <c r="C137" i="89"/>
  <c r="K136" i="89"/>
  <c r="J136" i="89"/>
  <c r="I136" i="89"/>
  <c r="H136" i="89"/>
  <c r="H136" i="89" a="1"/>
  <c r="G136" i="89"/>
  <c r="G136" i="89" a="1"/>
  <c r="F136" i="89"/>
  <c r="F136" i="89" a="1"/>
  <c r="E136" i="89"/>
  <c r="E136" i="89" a="1"/>
  <c r="D136" i="89"/>
  <c r="D136" i="89" a="1"/>
  <c r="C136" i="89"/>
  <c r="K135" i="89"/>
  <c r="J135" i="89"/>
  <c r="I135" i="89"/>
  <c r="H135" i="89"/>
  <c r="H135" i="89" a="1"/>
  <c r="G135" i="89"/>
  <c r="G135" i="89" a="1"/>
  <c r="F135" i="89"/>
  <c r="F135" i="89" a="1"/>
  <c r="E135" i="89"/>
  <c r="E135" i="89" a="1"/>
  <c r="D135" i="89"/>
  <c r="D135" i="89" a="1"/>
  <c r="C135" i="89"/>
  <c r="K134" i="89"/>
  <c r="J134" i="89"/>
  <c r="I134" i="89"/>
  <c r="H134" i="89"/>
  <c r="H134" i="89" a="1"/>
  <c r="G134" i="89"/>
  <c r="G134" i="89" a="1"/>
  <c r="F134" i="89"/>
  <c r="F134" i="89" a="1"/>
  <c r="E134" i="89"/>
  <c r="E134" i="89" a="1"/>
  <c r="D134" i="89"/>
  <c r="D134" i="89" a="1"/>
  <c r="C134" i="89"/>
  <c r="K133" i="89"/>
  <c r="J133" i="89"/>
  <c r="I133" i="89"/>
  <c r="H133" i="89"/>
  <c r="H133" i="89" a="1"/>
  <c r="G133" i="89"/>
  <c r="G133" i="89" a="1"/>
  <c r="F133" i="89"/>
  <c r="F133" i="89" a="1"/>
  <c r="E133" i="89"/>
  <c r="E133" i="89" a="1"/>
  <c r="D133" i="89"/>
  <c r="D133" i="89" a="1"/>
  <c r="C133" i="89"/>
  <c r="K132" i="89"/>
  <c r="J132" i="89"/>
  <c r="I132" i="89"/>
  <c r="H132" i="89"/>
  <c r="H132" i="89" a="1"/>
  <c r="G132" i="89"/>
  <c r="G132" i="89" a="1"/>
  <c r="F132" i="89"/>
  <c r="F132" i="89" a="1"/>
  <c r="E132" i="89"/>
  <c r="E132" i="89" a="1"/>
  <c r="D132" i="89"/>
  <c r="D132" i="89" a="1"/>
  <c r="C132" i="89"/>
  <c r="K131" i="89"/>
  <c r="J131" i="89"/>
  <c r="I131" i="89"/>
  <c r="H131" i="89"/>
  <c r="H131" i="89" a="1"/>
  <c r="G131" i="89"/>
  <c r="G131" i="89" a="1"/>
  <c r="F131" i="89"/>
  <c r="F131" i="89" a="1"/>
  <c r="E131" i="89"/>
  <c r="E131" i="89" a="1"/>
  <c r="D131" i="89"/>
  <c r="D131" i="89" a="1"/>
  <c r="C131" i="89"/>
  <c r="K130" i="89"/>
  <c r="J130" i="89"/>
  <c r="I130" i="89"/>
  <c r="H130" i="89"/>
  <c r="H130" i="89" a="1"/>
  <c r="G130" i="89"/>
  <c r="G130" i="89" a="1"/>
  <c r="F130" i="89"/>
  <c r="F130" i="89" a="1"/>
  <c r="E130" i="89"/>
  <c r="E130" i="89" a="1"/>
  <c r="D130" i="89"/>
  <c r="D130" i="89" a="1"/>
  <c r="C130" i="89"/>
  <c r="K129" i="89"/>
  <c r="J129" i="89"/>
  <c r="I129" i="89"/>
  <c r="H129" i="89"/>
  <c r="H129" i="89" a="1"/>
  <c r="G129" i="89"/>
  <c r="G129" i="89" a="1"/>
  <c r="F129" i="89"/>
  <c r="F129" i="89" a="1"/>
  <c r="E129" i="89"/>
  <c r="E129" i="89" a="1"/>
  <c r="D129" i="89"/>
  <c r="D129" i="89" a="1"/>
  <c r="C129" i="89"/>
  <c r="K128" i="89"/>
  <c r="J128" i="89"/>
  <c r="I128" i="89"/>
  <c r="H128" i="89"/>
  <c r="H128" i="89" a="1"/>
  <c r="G128" i="89"/>
  <c r="G128" i="89" a="1"/>
  <c r="F128" i="89"/>
  <c r="F128" i="89" a="1"/>
  <c r="E128" i="89"/>
  <c r="E128" i="89" a="1"/>
  <c r="D128" i="89"/>
  <c r="D128" i="89" a="1"/>
  <c r="C128" i="89"/>
  <c r="K127" i="89"/>
  <c r="J127" i="89"/>
  <c r="I127" i="89"/>
  <c r="H127" i="89"/>
  <c r="H127" i="89" a="1"/>
  <c r="G127" i="89"/>
  <c r="G127" i="89" a="1"/>
  <c r="F127" i="89"/>
  <c r="F127" i="89" a="1"/>
  <c r="E127" i="89"/>
  <c r="E127" i="89" a="1"/>
  <c r="D127" i="89"/>
  <c r="D127" i="89" a="1"/>
  <c r="C127" i="89"/>
  <c r="K126" i="89"/>
  <c r="J126" i="89"/>
  <c r="I126" i="89"/>
  <c r="H126" i="89"/>
  <c r="H126" i="89" a="1"/>
  <c r="G126" i="89"/>
  <c r="G126" i="89" a="1"/>
  <c r="F126" i="89"/>
  <c r="F126" i="89" a="1"/>
  <c r="E126" i="89"/>
  <c r="E126" i="89" a="1"/>
  <c r="D126" i="89"/>
  <c r="D126" i="89" a="1"/>
  <c r="C126" i="89"/>
  <c r="K125" i="89"/>
  <c r="J125" i="89"/>
  <c r="I125" i="89"/>
  <c r="H125" i="89"/>
  <c r="H125" i="89" a="1"/>
  <c r="G125" i="89"/>
  <c r="G125" i="89" a="1"/>
  <c r="F125" i="89"/>
  <c r="F125" i="89" a="1"/>
  <c r="E125" i="89"/>
  <c r="E125" i="89" a="1"/>
  <c r="D125" i="89"/>
  <c r="D125" i="89" a="1"/>
  <c r="C125" i="89"/>
  <c r="K124" i="89"/>
  <c r="J124" i="89"/>
  <c r="I124" i="89"/>
  <c r="H124" i="89"/>
  <c r="H124" i="89" a="1"/>
  <c r="G124" i="89"/>
  <c r="G124" i="89" a="1"/>
  <c r="F124" i="89"/>
  <c r="F124" i="89" a="1"/>
  <c r="E124" i="89"/>
  <c r="E124" i="89" a="1"/>
  <c r="D124" i="89"/>
  <c r="D124" i="89" a="1"/>
  <c r="C124" i="89"/>
  <c r="K123" i="89"/>
  <c r="J123" i="89"/>
  <c r="I123" i="89"/>
  <c r="H123" i="89"/>
  <c r="H123" i="89" a="1"/>
  <c r="G123" i="89"/>
  <c r="G123" i="89" a="1"/>
  <c r="F123" i="89"/>
  <c r="F123" i="89" a="1"/>
  <c r="E123" i="89"/>
  <c r="E123" i="89" a="1"/>
  <c r="D123" i="89"/>
  <c r="D123" i="89" a="1"/>
  <c r="C123" i="89"/>
  <c r="K122" i="89"/>
  <c r="J122" i="89"/>
  <c r="I122" i="89"/>
  <c r="H122" i="89"/>
  <c r="H122" i="89" a="1"/>
  <c r="G122" i="89"/>
  <c r="G122" i="89" a="1"/>
  <c r="F122" i="89"/>
  <c r="F122" i="89" a="1"/>
  <c r="E122" i="89"/>
  <c r="E122" i="89" a="1"/>
  <c r="D122" i="89"/>
  <c r="D122" i="89" a="1"/>
  <c r="C122" i="89"/>
  <c r="K121" i="89"/>
  <c r="J121" i="89"/>
  <c r="I121" i="89"/>
  <c r="H121" i="89"/>
  <c r="H121" i="89" a="1"/>
  <c r="G121" i="89"/>
  <c r="G121" i="89" a="1"/>
  <c r="F121" i="89"/>
  <c r="F121" i="89" a="1"/>
  <c r="E121" i="89"/>
  <c r="E121" i="89" a="1"/>
  <c r="D121" i="89"/>
  <c r="D121" i="89" a="1"/>
  <c r="C121" i="89"/>
  <c r="K120" i="89"/>
  <c r="J120" i="89"/>
  <c r="I120" i="89"/>
  <c r="H120" i="89"/>
  <c r="H120" i="89" a="1"/>
  <c r="G120" i="89"/>
  <c r="G120" i="89" a="1"/>
  <c r="F120" i="89"/>
  <c r="F120" i="89" a="1"/>
  <c r="E120" i="89"/>
  <c r="E120" i="89" a="1"/>
  <c r="D120" i="89"/>
  <c r="D120" i="89" a="1"/>
  <c r="C120" i="89"/>
  <c r="K119" i="89"/>
  <c r="J119" i="89"/>
  <c r="I119" i="89"/>
  <c r="H119" i="89"/>
  <c r="H119" i="89" a="1"/>
  <c r="G119" i="89"/>
  <c r="G119" i="89" a="1"/>
  <c r="F119" i="89"/>
  <c r="F119" i="89" a="1"/>
  <c r="E119" i="89"/>
  <c r="E119" i="89" a="1"/>
  <c r="D119" i="89"/>
  <c r="D119" i="89" a="1"/>
  <c r="C119" i="89"/>
  <c r="K118" i="89"/>
  <c r="J118" i="89"/>
  <c r="I118" i="89"/>
  <c r="H118" i="89"/>
  <c r="H118" i="89" a="1"/>
  <c r="G118" i="89"/>
  <c r="G118" i="89" a="1"/>
  <c r="F118" i="89"/>
  <c r="F118" i="89" a="1"/>
  <c r="E118" i="89"/>
  <c r="E118" i="89" a="1"/>
  <c r="D118" i="89"/>
  <c r="D118" i="89" a="1"/>
  <c r="C118" i="89"/>
  <c r="K117" i="89"/>
  <c r="J117" i="89"/>
  <c r="I117" i="89"/>
  <c r="H117" i="89"/>
  <c r="H117" i="89" a="1"/>
  <c r="G117" i="89"/>
  <c r="G117" i="89" a="1"/>
  <c r="F117" i="89"/>
  <c r="F117" i="89" a="1"/>
  <c r="E117" i="89"/>
  <c r="E117" i="89" a="1"/>
  <c r="D117" i="89"/>
  <c r="D117" i="89" a="1"/>
  <c r="C117" i="89"/>
  <c r="K116" i="89"/>
  <c r="J116" i="89"/>
  <c r="I116" i="89"/>
  <c r="H116" i="89"/>
  <c r="H116" i="89" a="1"/>
  <c r="G116" i="89"/>
  <c r="G116" i="89" a="1"/>
  <c r="F116" i="89"/>
  <c r="F116" i="89" a="1"/>
  <c r="E116" i="89"/>
  <c r="E116" i="89" a="1"/>
  <c r="D116" i="89"/>
  <c r="D116" i="89" a="1"/>
  <c r="C116" i="89"/>
  <c r="K115" i="89"/>
  <c r="J115" i="89"/>
  <c r="I115" i="89"/>
  <c r="H115" i="89"/>
  <c r="H115" i="89" a="1"/>
  <c r="G115" i="89"/>
  <c r="G115" i="89" a="1"/>
  <c r="F115" i="89"/>
  <c r="F115" i="89" a="1"/>
  <c r="E115" i="89"/>
  <c r="E115" i="89" a="1"/>
  <c r="D115" i="89"/>
  <c r="D115" i="89" a="1"/>
  <c r="C115" i="89"/>
  <c r="K114" i="89"/>
  <c r="J114" i="89"/>
  <c r="I114" i="89"/>
  <c r="H114" i="89"/>
  <c r="H114" i="89" a="1"/>
  <c r="G114" i="89"/>
  <c r="G114" i="89" a="1"/>
  <c r="F114" i="89"/>
  <c r="F114" i="89" a="1"/>
  <c r="E114" i="89"/>
  <c r="E114" i="89" a="1"/>
  <c r="D114" i="89"/>
  <c r="D114" i="89" a="1"/>
  <c r="C114" i="89"/>
  <c r="K113" i="89"/>
  <c r="J113" i="89"/>
  <c r="I113" i="89"/>
  <c r="H113" i="89"/>
  <c r="H113" i="89" a="1"/>
  <c r="G113" i="89"/>
  <c r="G113" i="89" a="1"/>
  <c r="F113" i="89"/>
  <c r="F113" i="89" a="1"/>
  <c r="E113" i="89"/>
  <c r="E113" i="89" a="1"/>
  <c r="D113" i="89"/>
  <c r="D113" i="89" a="1"/>
  <c r="C113" i="89"/>
  <c r="K112" i="89"/>
  <c r="J112" i="89"/>
  <c r="I112" i="89"/>
  <c r="H112" i="89"/>
  <c r="H112" i="89" a="1"/>
  <c r="G112" i="89"/>
  <c r="G112" i="89" a="1"/>
  <c r="F112" i="89"/>
  <c r="F112" i="89" a="1"/>
  <c r="E112" i="89"/>
  <c r="E112" i="89" a="1"/>
  <c r="D112" i="89"/>
  <c r="D112" i="89" a="1"/>
  <c r="C112" i="89"/>
  <c r="K111" i="89"/>
  <c r="J111" i="89"/>
  <c r="I111" i="89"/>
  <c r="H111" i="89"/>
  <c r="H111" i="89" a="1"/>
  <c r="G111" i="89"/>
  <c r="G111" i="89" a="1"/>
  <c r="F111" i="89"/>
  <c r="F111" i="89" a="1"/>
  <c r="E111" i="89"/>
  <c r="E111" i="89" a="1"/>
  <c r="D111" i="89"/>
  <c r="D111" i="89" a="1"/>
  <c r="C111" i="89"/>
  <c r="K110" i="89"/>
  <c r="J110" i="89"/>
  <c r="I110" i="89"/>
  <c r="H110" i="89"/>
  <c r="H110" i="89" a="1"/>
  <c r="G110" i="89"/>
  <c r="G110" i="89" a="1"/>
  <c r="F110" i="89"/>
  <c r="F110" i="89" a="1"/>
  <c r="E110" i="89"/>
  <c r="E110" i="89" a="1"/>
  <c r="D110" i="89"/>
  <c r="D110" i="89" a="1"/>
  <c r="C110" i="89"/>
  <c r="K109" i="89"/>
  <c r="J109" i="89"/>
  <c r="I109" i="89"/>
  <c r="H109" i="89"/>
  <c r="H109" i="89" a="1"/>
  <c r="G109" i="89"/>
  <c r="G109" i="89" a="1"/>
  <c r="F109" i="89"/>
  <c r="F109" i="89" a="1"/>
  <c r="E109" i="89"/>
  <c r="E109" i="89" a="1"/>
  <c r="D109" i="89"/>
  <c r="D109" i="89" a="1"/>
  <c r="C109" i="89"/>
  <c r="K108" i="89"/>
  <c r="J108" i="89"/>
  <c r="I108" i="89"/>
  <c r="H108" i="89"/>
  <c r="H108" i="89" a="1"/>
  <c r="G108" i="89"/>
  <c r="G108" i="89" a="1"/>
  <c r="F108" i="89"/>
  <c r="F108" i="89" a="1"/>
  <c r="E108" i="89"/>
  <c r="E108" i="89" a="1"/>
  <c r="D108" i="89"/>
  <c r="D108" i="89" a="1"/>
  <c r="C108" i="89"/>
  <c r="K107" i="89"/>
  <c r="J107" i="89"/>
  <c r="I107" i="89"/>
  <c r="H107" i="89"/>
  <c r="H107" i="89" a="1"/>
  <c r="G107" i="89"/>
  <c r="G107" i="89" a="1"/>
  <c r="F107" i="89"/>
  <c r="F107" i="89" a="1"/>
  <c r="E107" i="89"/>
  <c r="E107" i="89" a="1"/>
  <c r="D107" i="89"/>
  <c r="D107" i="89" a="1"/>
  <c r="C107" i="89"/>
  <c r="K106" i="89"/>
  <c r="J106" i="89"/>
  <c r="I106" i="89"/>
  <c r="H106" i="89"/>
  <c r="H106" i="89" a="1"/>
  <c r="G106" i="89"/>
  <c r="G106" i="89" a="1"/>
  <c r="F106" i="89"/>
  <c r="F106" i="89" a="1"/>
  <c r="E106" i="89"/>
  <c r="E106" i="89" a="1"/>
  <c r="D106" i="89"/>
  <c r="D106" i="89" a="1"/>
  <c r="C106" i="89"/>
  <c r="K105" i="89"/>
  <c r="J105" i="89"/>
  <c r="I105" i="89"/>
  <c r="H105" i="89"/>
  <c r="H105" i="89" a="1"/>
  <c r="G105" i="89"/>
  <c r="G105" i="89" a="1"/>
  <c r="F105" i="89"/>
  <c r="F105" i="89" a="1"/>
  <c r="E105" i="89"/>
  <c r="E105" i="89" a="1"/>
  <c r="D105" i="89"/>
  <c r="D105" i="89" a="1"/>
  <c r="C105" i="89"/>
  <c r="K104" i="89"/>
  <c r="J104" i="89"/>
  <c r="I104" i="89"/>
  <c r="H104" i="89"/>
  <c r="H104" i="89" a="1"/>
  <c r="G104" i="89"/>
  <c r="G104" i="89" a="1"/>
  <c r="F104" i="89"/>
  <c r="F104" i="89" a="1"/>
  <c r="E104" i="89"/>
  <c r="E104" i="89" a="1"/>
  <c r="D104" i="89"/>
  <c r="D104" i="89" a="1"/>
  <c r="C104" i="89"/>
  <c r="K103" i="89"/>
  <c r="J103" i="89"/>
  <c r="I103" i="89"/>
  <c r="H103" i="89"/>
  <c r="H103" i="89" a="1"/>
  <c r="G103" i="89"/>
  <c r="G103" i="89" a="1"/>
  <c r="F103" i="89"/>
  <c r="F103" i="89" a="1"/>
  <c r="E103" i="89"/>
  <c r="E103" i="89" a="1"/>
  <c r="D103" i="89"/>
  <c r="D103" i="89" a="1"/>
  <c r="C103" i="89"/>
  <c r="K102" i="89"/>
  <c r="J102" i="89"/>
  <c r="I102" i="89"/>
  <c r="H102" i="89"/>
  <c r="H102" i="89" a="1"/>
  <c r="G102" i="89"/>
  <c r="G102" i="89" a="1"/>
  <c r="F102" i="89"/>
  <c r="F102" i="89" a="1"/>
  <c r="E102" i="89"/>
  <c r="E102" i="89" a="1"/>
  <c r="D102" i="89"/>
  <c r="D102" i="89" a="1"/>
  <c r="C102" i="89"/>
  <c r="K101" i="89"/>
  <c r="J101" i="89"/>
  <c r="I101" i="89"/>
  <c r="H101" i="89"/>
  <c r="H101" i="89" a="1"/>
  <c r="G101" i="89"/>
  <c r="G101" i="89" a="1"/>
  <c r="F101" i="89"/>
  <c r="F101" i="89" a="1"/>
  <c r="E101" i="89"/>
  <c r="E101" i="89" a="1"/>
  <c r="D101" i="89"/>
  <c r="D101" i="89" a="1"/>
  <c r="C101" i="89"/>
  <c r="K100" i="89"/>
  <c r="J100" i="89"/>
  <c r="I100" i="89"/>
  <c r="H100" i="89"/>
  <c r="H100" i="89" a="1"/>
  <c r="G100" i="89"/>
  <c r="G100" i="89" a="1"/>
  <c r="F100" i="89"/>
  <c r="F100" i="89" a="1"/>
  <c r="E100" i="89"/>
  <c r="E100" i="89" a="1"/>
  <c r="D100" i="89"/>
  <c r="D100" i="89" a="1"/>
  <c r="C100" i="89"/>
  <c r="K99" i="89"/>
  <c r="J99" i="89"/>
  <c r="I99" i="89"/>
  <c r="H99" i="89"/>
  <c r="H99" i="89" a="1"/>
  <c r="G99" i="89"/>
  <c r="G99" i="89" a="1"/>
  <c r="F99" i="89"/>
  <c r="F99" i="89" a="1"/>
  <c r="E99" i="89"/>
  <c r="E99" i="89" a="1"/>
  <c r="D99" i="89"/>
  <c r="D99" i="89" a="1"/>
  <c r="C99" i="89"/>
  <c r="K98" i="89"/>
  <c r="J98" i="89"/>
  <c r="I98" i="89"/>
  <c r="H98" i="89"/>
  <c r="H98" i="89" a="1"/>
  <c r="G98" i="89"/>
  <c r="G98" i="89" a="1"/>
  <c r="F98" i="89"/>
  <c r="F98" i="89" a="1"/>
  <c r="E98" i="89"/>
  <c r="E98" i="89" a="1"/>
  <c r="D98" i="89"/>
  <c r="D98" i="89" a="1"/>
  <c r="C98" i="89"/>
  <c r="K97" i="89"/>
  <c r="J97" i="89"/>
  <c r="I97" i="89"/>
  <c r="H97" i="89"/>
  <c r="H97" i="89" a="1"/>
  <c r="G97" i="89"/>
  <c r="G97" i="89" a="1"/>
  <c r="F97" i="89"/>
  <c r="F97" i="89" a="1"/>
  <c r="E97" i="89"/>
  <c r="E97" i="89" a="1"/>
  <c r="D97" i="89"/>
  <c r="D97" i="89" a="1"/>
  <c r="C97" i="89"/>
  <c r="K96" i="89"/>
  <c r="J96" i="89"/>
  <c r="I96" i="89"/>
  <c r="H96" i="89"/>
  <c r="H96" i="89" a="1"/>
  <c r="G96" i="89"/>
  <c r="G96" i="89" a="1"/>
  <c r="F96" i="89"/>
  <c r="F96" i="89" a="1"/>
  <c r="E96" i="89"/>
  <c r="E96" i="89" a="1"/>
  <c r="D96" i="89"/>
  <c r="D96" i="89" a="1"/>
  <c r="C96" i="89"/>
  <c r="K95" i="89"/>
  <c r="J95" i="89"/>
  <c r="I95" i="89"/>
  <c r="H95" i="89"/>
  <c r="H95" i="89" a="1"/>
  <c r="G95" i="89"/>
  <c r="G95" i="89" a="1"/>
  <c r="F95" i="89"/>
  <c r="F95" i="89" a="1"/>
  <c r="E95" i="89"/>
  <c r="E95" i="89" a="1"/>
  <c r="D95" i="89"/>
  <c r="D95" i="89" a="1"/>
  <c r="C95" i="89"/>
  <c r="K94" i="89"/>
  <c r="J94" i="89"/>
  <c r="I94" i="89"/>
  <c r="H94" i="89"/>
  <c r="H94" i="89" a="1"/>
  <c r="G94" i="89"/>
  <c r="G94" i="89" a="1"/>
  <c r="F94" i="89"/>
  <c r="F94" i="89" a="1"/>
  <c r="E94" i="89"/>
  <c r="E94" i="89" a="1"/>
  <c r="D94" i="89"/>
  <c r="D94" i="89" a="1"/>
  <c r="C94" i="89"/>
  <c r="K93" i="89"/>
  <c r="J93" i="89"/>
  <c r="I93" i="89"/>
  <c r="H93" i="89"/>
  <c r="H93" i="89" a="1"/>
  <c r="G93" i="89"/>
  <c r="G93" i="89" a="1"/>
  <c r="F93" i="89"/>
  <c r="F93" i="89" a="1"/>
  <c r="E93" i="89"/>
  <c r="E93" i="89" a="1"/>
  <c r="D93" i="89"/>
  <c r="D93" i="89" a="1"/>
  <c r="C93" i="89"/>
  <c r="K92" i="89"/>
  <c r="J92" i="89"/>
  <c r="I92" i="89"/>
  <c r="H92" i="89"/>
  <c r="H92" i="89" a="1"/>
  <c r="G92" i="89"/>
  <c r="G92" i="89" a="1"/>
  <c r="F92" i="89"/>
  <c r="F92" i="89" a="1"/>
  <c r="E92" i="89"/>
  <c r="E92" i="89" a="1"/>
  <c r="D92" i="89"/>
  <c r="D92" i="89" a="1"/>
  <c r="C92" i="89"/>
  <c r="K91" i="89"/>
  <c r="J91" i="89"/>
  <c r="I91" i="89"/>
  <c r="H91" i="89"/>
  <c r="H91" i="89" a="1"/>
  <c r="G91" i="89"/>
  <c r="G91" i="89" a="1"/>
  <c r="F91" i="89"/>
  <c r="F91" i="89" a="1"/>
  <c r="E91" i="89"/>
  <c r="E91" i="89" a="1"/>
  <c r="D91" i="89"/>
  <c r="D91" i="89" a="1"/>
  <c r="C91" i="89"/>
  <c r="K90" i="89"/>
  <c r="J90" i="89"/>
  <c r="I90" i="89"/>
  <c r="H90" i="89"/>
  <c r="H90" i="89" a="1"/>
  <c r="G90" i="89"/>
  <c r="G90" i="89" a="1"/>
  <c r="F90" i="89"/>
  <c r="F90" i="89" a="1"/>
  <c r="E90" i="89"/>
  <c r="E90" i="89" a="1"/>
  <c r="D90" i="89"/>
  <c r="D90" i="89" a="1"/>
  <c r="C90" i="89"/>
  <c r="K89" i="89"/>
  <c r="J89" i="89"/>
  <c r="I89" i="89"/>
  <c r="H89" i="89"/>
  <c r="H89" i="89" a="1"/>
  <c r="G89" i="89"/>
  <c r="G89" i="89" a="1"/>
  <c r="F89" i="89"/>
  <c r="F89" i="89" a="1"/>
  <c r="E89" i="89"/>
  <c r="E89" i="89" a="1"/>
  <c r="D89" i="89"/>
  <c r="D89" i="89" a="1"/>
  <c r="C89" i="89"/>
  <c r="K88" i="89"/>
  <c r="J88" i="89"/>
  <c r="I88" i="89"/>
  <c r="H88" i="89"/>
  <c r="H88" i="89" a="1"/>
  <c r="G88" i="89"/>
  <c r="G88" i="89" a="1"/>
  <c r="F88" i="89"/>
  <c r="F88" i="89" a="1"/>
  <c r="E88" i="89"/>
  <c r="E88" i="89" a="1"/>
  <c r="D88" i="89"/>
  <c r="D88" i="89" a="1"/>
  <c r="C88" i="89"/>
  <c r="K87" i="89"/>
  <c r="J87" i="89"/>
  <c r="I87" i="89"/>
  <c r="H87" i="89"/>
  <c r="H87" i="89" a="1"/>
  <c r="G87" i="89"/>
  <c r="G87" i="89" a="1"/>
  <c r="F87" i="89"/>
  <c r="F87" i="89" a="1"/>
  <c r="E87" i="89"/>
  <c r="E87" i="89" a="1"/>
  <c r="D87" i="89"/>
  <c r="D87" i="89" a="1"/>
  <c r="C87" i="89"/>
  <c r="K86" i="89"/>
  <c r="J86" i="89"/>
  <c r="I86" i="89"/>
  <c r="H86" i="89"/>
  <c r="H86" i="89" a="1"/>
  <c r="G86" i="89"/>
  <c r="G86" i="89" a="1"/>
  <c r="F86" i="89"/>
  <c r="F86" i="89" a="1"/>
  <c r="E86" i="89"/>
  <c r="E86" i="89" a="1"/>
  <c r="D86" i="89"/>
  <c r="D86" i="89" a="1"/>
  <c r="C86" i="89"/>
  <c r="K85" i="89"/>
  <c r="J85" i="89"/>
  <c r="I85" i="89"/>
  <c r="H85" i="89"/>
  <c r="H85" i="89" a="1"/>
  <c r="G85" i="89"/>
  <c r="G85" i="89" a="1"/>
  <c r="F85" i="89"/>
  <c r="F85" i="89" a="1"/>
  <c r="E85" i="89"/>
  <c r="E85" i="89" a="1"/>
  <c r="D85" i="89"/>
  <c r="D85" i="89" a="1"/>
  <c r="C85" i="89"/>
  <c r="K84" i="89"/>
  <c r="J84" i="89"/>
  <c r="I84" i="89"/>
  <c r="H84" i="89"/>
  <c r="H84" i="89" a="1"/>
  <c r="G84" i="89"/>
  <c r="G84" i="89" a="1"/>
  <c r="F84" i="89"/>
  <c r="F84" i="89" a="1"/>
  <c r="E84" i="89"/>
  <c r="E84" i="89" a="1"/>
  <c r="D84" i="89"/>
  <c r="D84" i="89" a="1"/>
  <c r="C84" i="89"/>
  <c r="K83" i="89"/>
  <c r="J83" i="89"/>
  <c r="I83" i="89"/>
  <c r="H83" i="89"/>
  <c r="H83" i="89" a="1"/>
  <c r="G83" i="89"/>
  <c r="G83" i="89" a="1"/>
  <c r="F83" i="89"/>
  <c r="F83" i="89" a="1"/>
  <c r="E83" i="89"/>
  <c r="E83" i="89" a="1"/>
  <c r="D83" i="89"/>
  <c r="D83" i="89" a="1"/>
  <c r="C83" i="89"/>
  <c r="K82" i="89"/>
  <c r="J82" i="89"/>
  <c r="I82" i="89"/>
  <c r="H82" i="89"/>
  <c r="H82" i="89" a="1"/>
  <c r="G82" i="89"/>
  <c r="G82" i="89" a="1"/>
  <c r="F82" i="89"/>
  <c r="F82" i="89" a="1"/>
  <c r="E82" i="89"/>
  <c r="E82" i="89" a="1"/>
  <c r="D82" i="89"/>
  <c r="D82" i="89" a="1"/>
  <c r="C82" i="89"/>
  <c r="K81" i="89"/>
  <c r="J81" i="89"/>
  <c r="I81" i="89"/>
  <c r="H81" i="89"/>
  <c r="H81" i="89" a="1"/>
  <c r="G81" i="89"/>
  <c r="G81" i="89" a="1"/>
  <c r="F81" i="89"/>
  <c r="F81" i="89" a="1"/>
  <c r="E81" i="89"/>
  <c r="E81" i="89" a="1"/>
  <c r="D81" i="89"/>
  <c r="D81" i="89" a="1"/>
  <c r="C81" i="89"/>
  <c r="K80" i="89"/>
  <c r="J80" i="89"/>
  <c r="I80" i="89"/>
  <c r="H80" i="89"/>
  <c r="H80" i="89" a="1"/>
  <c r="G80" i="89"/>
  <c r="G80" i="89" a="1"/>
  <c r="F80" i="89"/>
  <c r="F80" i="89" a="1"/>
  <c r="E80" i="89"/>
  <c r="E80" i="89" a="1"/>
  <c r="D80" i="89"/>
  <c r="D80" i="89" a="1"/>
  <c r="C80" i="89"/>
  <c r="K79" i="89"/>
  <c r="J79" i="89"/>
  <c r="I79" i="89"/>
  <c r="H79" i="89"/>
  <c r="H79" i="89" a="1"/>
  <c r="G79" i="89"/>
  <c r="G79" i="89" a="1"/>
  <c r="F79" i="89"/>
  <c r="F79" i="89" a="1"/>
  <c r="E79" i="89"/>
  <c r="E79" i="89" a="1"/>
  <c r="D79" i="89"/>
  <c r="D79" i="89" a="1"/>
  <c r="C79" i="89"/>
  <c r="K78" i="89"/>
  <c r="J78" i="89"/>
  <c r="I78" i="89"/>
  <c r="H78" i="89"/>
  <c r="H78" i="89" a="1"/>
  <c r="G78" i="89"/>
  <c r="G78" i="89" a="1"/>
  <c r="F78" i="89"/>
  <c r="F78" i="89" a="1"/>
  <c r="E78" i="89"/>
  <c r="E78" i="89" a="1"/>
  <c r="D78" i="89"/>
  <c r="D78" i="89" a="1"/>
  <c r="C78" i="89"/>
  <c r="K77" i="89"/>
  <c r="J77" i="89"/>
  <c r="I77" i="89"/>
  <c r="H77" i="89"/>
  <c r="H77" i="89" a="1"/>
  <c r="G77" i="89"/>
  <c r="G77" i="89" a="1"/>
  <c r="F77" i="89"/>
  <c r="F77" i="89" a="1"/>
  <c r="E77" i="89"/>
  <c r="E77" i="89" a="1"/>
  <c r="D77" i="89"/>
  <c r="D77" i="89" a="1"/>
  <c r="C77" i="89"/>
  <c r="K76" i="89"/>
  <c r="J76" i="89"/>
  <c r="I76" i="89"/>
  <c r="H76" i="89"/>
  <c r="H76" i="89" a="1"/>
  <c r="G76" i="89"/>
  <c r="G76" i="89" a="1"/>
  <c r="F76" i="89"/>
  <c r="F76" i="89" a="1"/>
  <c r="E76" i="89"/>
  <c r="E76" i="89" a="1"/>
  <c r="D76" i="89"/>
  <c r="D76" i="89" a="1"/>
  <c r="C76" i="89"/>
  <c r="K75" i="89"/>
  <c r="J75" i="89"/>
  <c r="I75" i="89"/>
  <c r="H75" i="89"/>
  <c r="H75" i="89" a="1"/>
  <c r="G75" i="89"/>
  <c r="G75" i="89" a="1"/>
  <c r="F75" i="89"/>
  <c r="F75" i="89" a="1"/>
  <c r="E75" i="89"/>
  <c r="E75" i="89" a="1"/>
  <c r="D75" i="89"/>
  <c r="D75" i="89" a="1"/>
  <c r="C75" i="89"/>
  <c r="K74" i="89"/>
  <c r="J74" i="89"/>
  <c r="I74" i="89"/>
  <c r="H74" i="89"/>
  <c r="H74" i="89" a="1"/>
  <c r="G74" i="89"/>
  <c r="G74" i="89" a="1"/>
  <c r="F74" i="89"/>
  <c r="F74" i="89" a="1"/>
  <c r="E74" i="89"/>
  <c r="E74" i="89" a="1"/>
  <c r="D74" i="89"/>
  <c r="D74" i="89" a="1"/>
  <c r="C74" i="89"/>
  <c r="K73" i="89"/>
  <c r="J73" i="89"/>
  <c r="I73" i="89"/>
  <c r="H73" i="89"/>
  <c r="H73" i="89" a="1"/>
  <c r="G73" i="89"/>
  <c r="G73" i="89" a="1"/>
  <c r="F73" i="89"/>
  <c r="F73" i="89" a="1"/>
  <c r="E73" i="89"/>
  <c r="E73" i="89" a="1"/>
  <c r="D73" i="89"/>
  <c r="D73" i="89" a="1"/>
  <c r="C73" i="89"/>
  <c r="K72" i="89"/>
  <c r="J72" i="89"/>
  <c r="I72" i="89"/>
  <c r="H72" i="89"/>
  <c r="H72" i="89" a="1"/>
  <c r="G72" i="89"/>
  <c r="G72" i="89" a="1"/>
  <c r="F72" i="89"/>
  <c r="F72" i="89" a="1"/>
  <c r="E72" i="89"/>
  <c r="E72" i="89" a="1"/>
  <c r="D72" i="89"/>
  <c r="D72" i="89" a="1"/>
  <c r="C72" i="89"/>
  <c r="K71" i="89"/>
  <c r="J71" i="89"/>
  <c r="I71" i="89"/>
  <c r="H71" i="89"/>
  <c r="H71" i="89" a="1"/>
  <c r="G71" i="89"/>
  <c r="G71" i="89" a="1"/>
  <c r="F71" i="89"/>
  <c r="F71" i="89" a="1"/>
  <c r="E71" i="89"/>
  <c r="E71" i="89" a="1"/>
  <c r="D71" i="89"/>
  <c r="D71" i="89" a="1"/>
  <c r="C71" i="89"/>
  <c r="K70" i="89"/>
  <c r="J70" i="89"/>
  <c r="I70" i="89"/>
  <c r="H70" i="89"/>
  <c r="H70" i="89" a="1"/>
  <c r="G70" i="89"/>
  <c r="G70" i="89" a="1"/>
  <c r="F70" i="89"/>
  <c r="F70" i="89" a="1"/>
  <c r="E70" i="89"/>
  <c r="E70" i="89" a="1"/>
  <c r="D70" i="89"/>
  <c r="D70" i="89" a="1"/>
  <c r="C70" i="89"/>
  <c r="K69" i="89"/>
  <c r="J69" i="89"/>
  <c r="I69" i="89"/>
  <c r="H69" i="89"/>
  <c r="H69" i="89" a="1"/>
  <c r="G69" i="89"/>
  <c r="G69" i="89" a="1"/>
  <c r="F69" i="89"/>
  <c r="F69" i="89" a="1"/>
  <c r="E69" i="89"/>
  <c r="E69" i="89" a="1"/>
  <c r="D69" i="89"/>
  <c r="D69" i="89" a="1"/>
  <c r="C69" i="89"/>
  <c r="K68" i="89"/>
  <c r="J68" i="89"/>
  <c r="I68" i="89"/>
  <c r="H68" i="89"/>
  <c r="H68" i="89" a="1"/>
  <c r="G68" i="89"/>
  <c r="G68" i="89" a="1"/>
  <c r="F68" i="89"/>
  <c r="F68" i="89" a="1"/>
  <c r="E68" i="89"/>
  <c r="E68" i="89" a="1"/>
  <c r="D68" i="89"/>
  <c r="D68" i="89" a="1"/>
  <c r="C68" i="89"/>
  <c r="K67" i="89"/>
  <c r="J67" i="89"/>
  <c r="I67" i="89"/>
  <c r="H67" i="89"/>
  <c r="H67" i="89" a="1"/>
  <c r="G67" i="89"/>
  <c r="G67" i="89" a="1"/>
  <c r="F67" i="89"/>
  <c r="F67" i="89" a="1"/>
  <c r="E67" i="89"/>
  <c r="E67" i="89" a="1"/>
  <c r="D67" i="89"/>
  <c r="D67" i="89" a="1"/>
  <c r="C67" i="89"/>
  <c r="K66" i="89"/>
  <c r="J66" i="89"/>
  <c r="I66" i="89"/>
  <c r="H66" i="89"/>
  <c r="H66" i="89" a="1"/>
  <c r="G66" i="89"/>
  <c r="G66" i="89" a="1"/>
  <c r="F66" i="89"/>
  <c r="F66" i="89" a="1"/>
  <c r="E66" i="89"/>
  <c r="E66" i="89" a="1"/>
  <c r="D66" i="89"/>
  <c r="D66" i="89" a="1"/>
  <c r="C66" i="89"/>
  <c r="K65" i="89"/>
  <c r="J65" i="89"/>
  <c r="I65" i="89"/>
  <c r="H65" i="89"/>
  <c r="H65" i="89" a="1"/>
  <c r="G65" i="89"/>
  <c r="G65" i="89" a="1"/>
  <c r="F65" i="89"/>
  <c r="F65" i="89" a="1"/>
  <c r="E65" i="89"/>
  <c r="E65" i="89" a="1"/>
  <c r="D65" i="89"/>
  <c r="D65" i="89" a="1"/>
  <c r="C65" i="89"/>
  <c r="K64" i="89"/>
  <c r="J64" i="89"/>
  <c r="I64" i="89"/>
  <c r="H64" i="89"/>
  <c r="H64" i="89" a="1"/>
  <c r="G64" i="89"/>
  <c r="G64" i="89" a="1"/>
  <c r="F64" i="89"/>
  <c r="F64" i="89" a="1"/>
  <c r="E64" i="89"/>
  <c r="E64" i="89" a="1"/>
  <c r="D64" i="89"/>
  <c r="D64" i="89" a="1"/>
  <c r="C64" i="89"/>
  <c r="K63" i="89"/>
  <c r="J63" i="89"/>
  <c r="I63" i="89"/>
  <c r="H63" i="89"/>
  <c r="H63" i="89" a="1"/>
  <c r="G63" i="89"/>
  <c r="G63" i="89" a="1"/>
  <c r="F63" i="89"/>
  <c r="F63" i="89" a="1"/>
  <c r="E63" i="89"/>
  <c r="E63" i="89" a="1"/>
  <c r="D63" i="89"/>
  <c r="D63" i="89" a="1"/>
  <c r="C63" i="89"/>
  <c r="K62" i="89"/>
  <c r="J62" i="89"/>
  <c r="I62" i="89"/>
  <c r="H62" i="89"/>
  <c r="H62" i="89" a="1"/>
  <c r="G62" i="89"/>
  <c r="G62" i="89" a="1"/>
  <c r="F62" i="89"/>
  <c r="F62" i="89" a="1"/>
  <c r="E62" i="89"/>
  <c r="E62" i="89" a="1"/>
  <c r="D62" i="89"/>
  <c r="D62" i="89" a="1"/>
  <c r="C62" i="89"/>
  <c r="K61" i="89"/>
  <c r="J61" i="89"/>
  <c r="I61" i="89"/>
  <c r="H61" i="89"/>
  <c r="H61" i="89" a="1"/>
  <c r="G61" i="89"/>
  <c r="G61" i="89" a="1"/>
  <c r="F61" i="89"/>
  <c r="F61" i="89" a="1"/>
  <c r="E61" i="89"/>
  <c r="E61" i="89" a="1"/>
  <c r="D61" i="89"/>
  <c r="D61" i="89" a="1"/>
  <c r="C61" i="89"/>
  <c r="K60" i="89"/>
  <c r="J60" i="89"/>
  <c r="I60" i="89"/>
  <c r="H60" i="89"/>
  <c r="H60" i="89" a="1"/>
  <c r="G60" i="89"/>
  <c r="G60" i="89" a="1"/>
  <c r="F60" i="89"/>
  <c r="F60" i="89" a="1"/>
  <c r="E60" i="89"/>
  <c r="E60" i="89" a="1"/>
  <c r="D60" i="89"/>
  <c r="D60" i="89" a="1"/>
  <c r="C60" i="89"/>
  <c r="K59" i="89"/>
  <c r="J59" i="89"/>
  <c r="I59" i="89"/>
  <c r="H59" i="89"/>
  <c r="H59" i="89" a="1"/>
  <c r="G59" i="89"/>
  <c r="G59" i="89" a="1"/>
  <c r="F59" i="89"/>
  <c r="F59" i="89" a="1"/>
  <c r="E59" i="89"/>
  <c r="E59" i="89" a="1"/>
  <c r="D59" i="89"/>
  <c r="D59" i="89" a="1"/>
  <c r="C59" i="89"/>
  <c r="K58" i="89"/>
  <c r="J58" i="89"/>
  <c r="I58" i="89"/>
  <c r="H58" i="89"/>
  <c r="H58" i="89" a="1"/>
  <c r="G58" i="89"/>
  <c r="G58" i="89" a="1"/>
  <c r="F58" i="89"/>
  <c r="F58" i="89" a="1"/>
  <c r="E58" i="89"/>
  <c r="E58" i="89" a="1"/>
  <c r="D58" i="89"/>
  <c r="D58" i="89" a="1"/>
  <c r="C58" i="89"/>
  <c r="K57" i="89"/>
  <c r="J57" i="89"/>
  <c r="I57" i="89"/>
  <c r="H57" i="89"/>
  <c r="H57" i="89" a="1"/>
  <c r="G57" i="89"/>
  <c r="G57" i="89" a="1"/>
  <c r="F57" i="89"/>
  <c r="F57" i="89" a="1"/>
  <c r="E57" i="89"/>
  <c r="E57" i="89" a="1"/>
  <c r="D57" i="89"/>
  <c r="D57" i="89" a="1"/>
  <c r="C57" i="89"/>
  <c r="K56" i="89"/>
  <c r="J56" i="89"/>
  <c r="I56" i="89"/>
  <c r="H56" i="89"/>
  <c r="H56" i="89" a="1"/>
  <c r="G56" i="89"/>
  <c r="G56" i="89" a="1"/>
  <c r="F56" i="89"/>
  <c r="F56" i="89" a="1"/>
  <c r="E56" i="89"/>
  <c r="E56" i="89" a="1"/>
  <c r="D56" i="89"/>
  <c r="D56" i="89" a="1"/>
  <c r="C56" i="89"/>
  <c r="K55" i="89"/>
  <c r="J55" i="89"/>
  <c r="I55" i="89"/>
  <c r="H55" i="89"/>
  <c r="H55" i="89" a="1"/>
  <c r="G55" i="89"/>
  <c r="G55" i="89" a="1"/>
  <c r="F55" i="89"/>
  <c r="F55" i="89" a="1"/>
  <c r="E55" i="89"/>
  <c r="E55" i="89" a="1"/>
  <c r="D55" i="89"/>
  <c r="D55" i="89" a="1"/>
  <c r="C55" i="89"/>
  <c r="K54" i="89"/>
  <c r="J54" i="89"/>
  <c r="I54" i="89"/>
  <c r="H54" i="89"/>
  <c r="H54" i="89" a="1"/>
  <c r="G54" i="89"/>
  <c r="G54" i="89" a="1"/>
  <c r="F54" i="89"/>
  <c r="F54" i="89" a="1"/>
  <c r="E54" i="89"/>
  <c r="E54" i="89" a="1"/>
  <c r="D54" i="89"/>
  <c r="D54" i="89" a="1"/>
  <c r="C54" i="89"/>
  <c r="K53" i="89"/>
  <c r="J53" i="89"/>
  <c r="I53" i="89"/>
  <c r="H53" i="89"/>
  <c r="H53" i="89" a="1"/>
  <c r="G53" i="89"/>
  <c r="G53" i="89" a="1"/>
  <c r="F53" i="89"/>
  <c r="F53" i="89" a="1"/>
  <c r="E53" i="89"/>
  <c r="E53" i="89" a="1"/>
  <c r="D53" i="89"/>
  <c r="D53" i="89" a="1"/>
  <c r="C53" i="89"/>
  <c r="K52" i="89"/>
  <c r="J52" i="89"/>
  <c r="I52" i="89"/>
  <c r="H52" i="89"/>
  <c r="H52" i="89" a="1"/>
  <c r="G52" i="89"/>
  <c r="G52" i="89" a="1"/>
  <c r="F52" i="89"/>
  <c r="F52" i="89" a="1"/>
  <c r="E52" i="89"/>
  <c r="E52" i="89" a="1"/>
  <c r="D52" i="89"/>
  <c r="D52" i="89" a="1"/>
  <c r="C52" i="89"/>
  <c r="K51" i="89"/>
  <c r="J51" i="89"/>
  <c r="I51" i="89"/>
  <c r="H51" i="89"/>
  <c r="H51" i="89" a="1"/>
  <c r="G51" i="89"/>
  <c r="G51" i="89" a="1"/>
  <c r="F51" i="89"/>
  <c r="F51" i="89" a="1"/>
  <c r="E51" i="89"/>
  <c r="E51" i="89" a="1"/>
  <c r="D51" i="89"/>
  <c r="D51" i="89" a="1"/>
  <c r="C51" i="89"/>
  <c r="K50" i="89"/>
  <c r="J50" i="89"/>
  <c r="I50" i="89"/>
  <c r="H50" i="89"/>
  <c r="H50" i="89" a="1"/>
  <c r="G50" i="89"/>
  <c r="G50" i="89" a="1"/>
  <c r="F50" i="89"/>
  <c r="F50" i="89" a="1"/>
  <c r="E50" i="89"/>
  <c r="E50" i="89" a="1"/>
  <c r="D50" i="89"/>
  <c r="D50" i="89" a="1"/>
  <c r="C50" i="89"/>
  <c r="K49" i="89"/>
  <c r="J49" i="89"/>
  <c r="I49" i="89"/>
  <c r="H49" i="89"/>
  <c r="H49" i="89" a="1"/>
  <c r="G49" i="89"/>
  <c r="G49" i="89" a="1"/>
  <c r="F49" i="89"/>
  <c r="F49" i="89" a="1"/>
  <c r="E49" i="89"/>
  <c r="E49" i="89" a="1"/>
  <c r="D49" i="89"/>
  <c r="D49" i="89" a="1"/>
  <c r="C49" i="89"/>
  <c r="K48" i="89"/>
  <c r="J48" i="89"/>
  <c r="I48" i="89"/>
  <c r="H48" i="89"/>
  <c r="H48" i="89" a="1"/>
  <c r="G48" i="89"/>
  <c r="G48" i="89" a="1"/>
  <c r="F48" i="89"/>
  <c r="F48" i="89" a="1"/>
  <c r="E48" i="89"/>
  <c r="E48" i="89" a="1"/>
  <c r="D48" i="89"/>
  <c r="D48" i="89" a="1"/>
  <c r="C48" i="89"/>
  <c r="K47" i="89"/>
  <c r="J47" i="89"/>
  <c r="I47" i="89"/>
  <c r="H47" i="89"/>
  <c r="H47" i="89" a="1"/>
  <c r="G47" i="89"/>
  <c r="G47" i="89" a="1"/>
  <c r="F47" i="89"/>
  <c r="F47" i="89" a="1"/>
  <c r="E47" i="89"/>
  <c r="E47" i="89" a="1"/>
  <c r="D47" i="89"/>
  <c r="D47" i="89" a="1"/>
  <c r="C47" i="89"/>
  <c r="K46" i="89"/>
  <c r="J46" i="89"/>
  <c r="I46" i="89"/>
  <c r="H46" i="89"/>
  <c r="H46" i="89" a="1"/>
  <c r="G46" i="89"/>
  <c r="G46" i="89" a="1"/>
  <c r="F46" i="89"/>
  <c r="F46" i="89" a="1"/>
  <c r="E46" i="89"/>
  <c r="E46" i="89" a="1"/>
  <c r="D46" i="89"/>
  <c r="D46" i="89" a="1"/>
  <c r="C46" i="89"/>
  <c r="K45" i="89"/>
  <c r="J45" i="89"/>
  <c r="I45" i="89"/>
  <c r="H45" i="89"/>
  <c r="H45" i="89" a="1"/>
  <c r="G45" i="89"/>
  <c r="G45" i="89" a="1"/>
  <c r="F45" i="89"/>
  <c r="F45" i="89" a="1"/>
  <c r="E45" i="89"/>
  <c r="E45" i="89" a="1"/>
  <c r="D45" i="89"/>
  <c r="D45" i="89" a="1"/>
  <c r="C45" i="89"/>
  <c r="K44" i="89"/>
  <c r="J44" i="89"/>
  <c r="I44" i="89"/>
  <c r="H44" i="89"/>
  <c r="H44" i="89" a="1"/>
  <c r="G44" i="89"/>
  <c r="G44" i="89" a="1"/>
  <c r="F44" i="89"/>
  <c r="F44" i="89" a="1"/>
  <c r="E44" i="89"/>
  <c r="E44" i="89" a="1"/>
  <c r="D44" i="89"/>
  <c r="D44" i="89" a="1"/>
  <c r="C44" i="89"/>
  <c r="K43" i="89"/>
  <c r="J43" i="89"/>
  <c r="I43" i="89"/>
  <c r="H43" i="89"/>
  <c r="H43" i="89" a="1"/>
  <c r="G43" i="89"/>
  <c r="G43" i="89" a="1"/>
  <c r="F43" i="89"/>
  <c r="F43" i="89" a="1"/>
  <c r="E43" i="89"/>
  <c r="E43" i="89" a="1"/>
  <c r="D43" i="89"/>
  <c r="D43" i="89" a="1"/>
  <c r="C43" i="89"/>
  <c r="K42" i="89"/>
  <c r="J42" i="89"/>
  <c r="I42" i="89"/>
  <c r="H42" i="89"/>
  <c r="H42" i="89" a="1"/>
  <c r="G42" i="89"/>
  <c r="G42" i="89" a="1"/>
  <c r="F42" i="89"/>
  <c r="F42" i="89" a="1"/>
  <c r="E42" i="89"/>
  <c r="E42" i="89" a="1"/>
  <c r="D42" i="89"/>
  <c r="D42" i="89" a="1"/>
  <c r="C42" i="89"/>
  <c r="K41" i="89"/>
  <c r="J41" i="89"/>
  <c r="I41" i="89"/>
  <c r="H41" i="89"/>
  <c r="H41" i="89" a="1"/>
  <c r="G41" i="89"/>
  <c r="G41" i="89" a="1"/>
  <c r="F41" i="89"/>
  <c r="F41" i="89" a="1"/>
  <c r="E41" i="89"/>
  <c r="E41" i="89" a="1"/>
  <c r="D41" i="89"/>
  <c r="D41" i="89" a="1"/>
  <c r="C41" i="89"/>
  <c r="K40" i="89"/>
  <c r="J40" i="89"/>
  <c r="I40" i="89"/>
  <c r="H40" i="89"/>
  <c r="H40" i="89" a="1"/>
  <c r="G40" i="89"/>
  <c r="G40" i="89" a="1"/>
  <c r="F40" i="89"/>
  <c r="F40" i="89" a="1"/>
  <c r="E40" i="89"/>
  <c r="E40" i="89" a="1"/>
  <c r="D40" i="89"/>
  <c r="D40" i="89" a="1"/>
  <c r="C40" i="89"/>
  <c r="K39" i="89"/>
  <c r="J39" i="89"/>
  <c r="I39" i="89"/>
  <c r="H39" i="89"/>
  <c r="H39" i="89" a="1"/>
  <c r="G39" i="89"/>
  <c r="G39" i="89" a="1"/>
  <c r="F39" i="89"/>
  <c r="F39" i="89" a="1"/>
  <c r="E39" i="89"/>
  <c r="E39" i="89" a="1"/>
  <c r="D39" i="89"/>
  <c r="D39" i="89" a="1"/>
  <c r="C39" i="89"/>
  <c r="K38" i="89"/>
  <c r="J38" i="89"/>
  <c r="I38" i="89"/>
  <c r="H38" i="89"/>
  <c r="H38" i="89" a="1"/>
  <c r="G38" i="89"/>
  <c r="G38" i="89" a="1"/>
  <c r="F38" i="89"/>
  <c r="F38" i="89" a="1"/>
  <c r="E38" i="89"/>
  <c r="E38" i="89" a="1"/>
  <c r="D38" i="89"/>
  <c r="D38" i="89" a="1"/>
  <c r="C38" i="89"/>
  <c r="K37" i="89"/>
  <c r="J37" i="89"/>
  <c r="I37" i="89"/>
  <c r="H37" i="89"/>
  <c r="H37" i="89" a="1"/>
  <c r="G37" i="89"/>
  <c r="G37" i="89" a="1"/>
  <c r="F37" i="89"/>
  <c r="F37" i="89" a="1"/>
  <c r="E37" i="89"/>
  <c r="E37" i="89" a="1"/>
  <c r="D37" i="89"/>
  <c r="D37" i="89" a="1"/>
  <c r="C37" i="89"/>
  <c r="K36" i="89"/>
  <c r="J36" i="89"/>
  <c r="I36" i="89"/>
  <c r="H36" i="89"/>
  <c r="H36" i="89" a="1"/>
  <c r="G36" i="89"/>
  <c r="G36" i="89" a="1"/>
  <c r="F36" i="89"/>
  <c r="F36" i="89" a="1"/>
  <c r="E36" i="89"/>
  <c r="E36" i="89" a="1"/>
  <c r="D36" i="89"/>
  <c r="D36" i="89" a="1"/>
  <c r="C36" i="89"/>
  <c r="K35" i="89"/>
  <c r="J35" i="89"/>
  <c r="I35" i="89"/>
  <c r="H35" i="89"/>
  <c r="H35" i="89" a="1"/>
  <c r="G35" i="89"/>
  <c r="G35" i="89" a="1"/>
  <c r="F35" i="89"/>
  <c r="F35" i="89" a="1"/>
  <c r="E35" i="89"/>
  <c r="E35" i="89" a="1"/>
  <c r="D35" i="89"/>
  <c r="D35" i="89" a="1"/>
  <c r="C35" i="89"/>
  <c r="K34" i="89"/>
  <c r="J34" i="89"/>
  <c r="I34" i="89"/>
  <c r="H34" i="89"/>
  <c r="H34" i="89" a="1"/>
  <c r="G34" i="89"/>
  <c r="G34" i="89" a="1"/>
  <c r="F34" i="89"/>
  <c r="F34" i="89" a="1"/>
  <c r="E34" i="89"/>
  <c r="E34" i="89" a="1"/>
  <c r="D34" i="89"/>
  <c r="D34" i="89" a="1"/>
  <c r="C34" i="89"/>
  <c r="C32" i="89"/>
  <c r="C29" i="89"/>
  <c r="C28" i="89"/>
  <c r="C27" i="89"/>
  <c r="C22" i="89"/>
  <c r="H21" i="89"/>
  <c r="G21" i="89"/>
  <c r="F21" i="89"/>
  <c r="E21" i="89"/>
  <c r="D21" i="89"/>
  <c r="C21" i="89"/>
  <c r="C20" i="89"/>
  <c r="B16" i="89"/>
  <c r="D791" i="84"/>
  <c r="D789" i="84"/>
  <c r="D787" i="84"/>
  <c r="D785" i="84"/>
  <c r="D783" i="84"/>
  <c r="D781" i="84"/>
  <c r="D779" i="84"/>
  <c r="D777" i="84"/>
  <c r="D775" i="84"/>
  <c r="D773" i="84"/>
  <c r="D771" i="84"/>
  <c r="D769" i="84"/>
  <c r="D767" i="84"/>
  <c r="D765" i="84"/>
  <c r="D763" i="84"/>
  <c r="D761" i="84"/>
  <c r="D759" i="84"/>
  <c r="D757" i="84"/>
  <c r="D755" i="84"/>
  <c r="D753" i="84"/>
  <c r="D751" i="84"/>
  <c r="D749" i="84"/>
  <c r="D747" i="84"/>
  <c r="D745" i="84"/>
  <c r="D743" i="84"/>
  <c r="D741" i="84"/>
  <c r="D739" i="84"/>
  <c r="D737" i="84"/>
  <c r="D735" i="84"/>
  <c r="D733" i="84"/>
  <c r="D731" i="84"/>
  <c r="D729" i="84"/>
  <c r="D727" i="84"/>
  <c r="D725" i="84"/>
  <c r="D723" i="84"/>
  <c r="D721" i="84"/>
  <c r="D719" i="84"/>
  <c r="D717" i="84"/>
  <c r="D715" i="84"/>
  <c r="D713" i="84"/>
  <c r="D711" i="84"/>
  <c r="D709" i="84"/>
  <c r="D707" i="84"/>
  <c r="D705" i="84"/>
  <c r="D703" i="84"/>
  <c r="D701" i="84"/>
  <c r="D699" i="84"/>
  <c r="D697" i="84"/>
  <c r="D695" i="84"/>
  <c r="D693" i="84"/>
  <c r="D691" i="84"/>
  <c r="D689" i="84"/>
  <c r="D687" i="84"/>
  <c r="D685" i="84"/>
  <c r="D683" i="84"/>
  <c r="D681" i="84"/>
  <c r="D679" i="84"/>
  <c r="D677" i="84"/>
  <c r="D675" i="84"/>
  <c r="D673" i="84"/>
  <c r="D671" i="84"/>
  <c r="D669" i="84"/>
  <c r="D667" i="84"/>
  <c r="D665" i="84"/>
  <c r="D663" i="84"/>
  <c r="D661" i="84"/>
  <c r="D659" i="84"/>
  <c r="D657" i="84"/>
  <c r="D655" i="84"/>
  <c r="D653" i="84"/>
  <c r="D651" i="84"/>
  <c r="D649" i="84"/>
  <c r="D647" i="84"/>
  <c r="D645" i="84"/>
  <c r="D643" i="84"/>
  <c r="D641" i="84"/>
  <c r="D639" i="84"/>
  <c r="D637" i="84"/>
  <c r="D635" i="84"/>
  <c r="D633" i="84"/>
  <c r="D631" i="84"/>
  <c r="D629" i="84"/>
  <c r="D627" i="84"/>
  <c r="D625" i="84"/>
  <c r="D623" i="84"/>
  <c r="D621" i="84"/>
  <c r="D619" i="84"/>
  <c r="D617" i="84"/>
  <c r="D615" i="84"/>
  <c r="D613" i="84"/>
  <c r="D611" i="84"/>
  <c r="D609" i="84"/>
  <c r="D607" i="84"/>
  <c r="D605" i="84"/>
  <c r="D603" i="84"/>
  <c r="D601" i="84"/>
  <c r="D599" i="84"/>
  <c r="D597" i="84"/>
  <c r="D595" i="84"/>
  <c r="D593" i="84"/>
  <c r="D591" i="84"/>
  <c r="D589" i="84"/>
  <c r="D587" i="84"/>
  <c r="D585" i="84"/>
  <c r="D583" i="84"/>
  <c r="D581" i="84"/>
  <c r="D579" i="84"/>
  <c r="D577" i="84"/>
  <c r="D575" i="84"/>
  <c r="D573" i="84"/>
  <c r="D571" i="84"/>
  <c r="D569" i="84"/>
  <c r="D567" i="84"/>
  <c r="D565" i="84"/>
  <c r="D563" i="84"/>
  <c r="D561" i="84"/>
  <c r="D559" i="84"/>
  <c r="D557" i="84"/>
  <c r="D555" i="84"/>
  <c r="D553" i="84"/>
  <c r="D551" i="84"/>
  <c r="D549" i="84"/>
  <c r="D547" i="84"/>
  <c r="D545" i="84"/>
  <c r="D543" i="84"/>
  <c r="D541" i="84"/>
  <c r="D539" i="84"/>
  <c r="D537" i="84"/>
  <c r="D535" i="84"/>
  <c r="D533" i="84"/>
  <c r="D531" i="84"/>
  <c r="D529" i="84"/>
  <c r="D527" i="84"/>
  <c r="D525" i="84"/>
  <c r="D523" i="84"/>
  <c r="D521" i="84"/>
  <c r="D519" i="84"/>
  <c r="D517" i="84"/>
  <c r="D515" i="84"/>
  <c r="D513" i="84"/>
  <c r="D511" i="84"/>
  <c r="D509" i="84"/>
  <c r="D507" i="84"/>
  <c r="D505" i="84"/>
  <c r="D503" i="84"/>
  <c r="D501" i="84"/>
  <c r="D499" i="84"/>
  <c r="D497" i="84"/>
  <c r="D495" i="84"/>
  <c r="D493" i="84"/>
  <c r="AB478" i="84"/>
  <c r="AA478" i="84"/>
  <c r="D478" i="84"/>
  <c r="B478" i="84"/>
  <c r="A478" i="84"/>
  <c r="AB477" i="84"/>
  <c r="AA477" i="84"/>
  <c r="B477" i="84"/>
  <c r="A477" i="84"/>
  <c r="AB475" i="84"/>
  <c r="AA475" i="84"/>
  <c r="D475" i="84"/>
  <c r="B475" i="84"/>
  <c r="A475" i="84"/>
  <c r="AB474" i="84"/>
  <c r="AA474" i="84"/>
  <c r="B474" i="84"/>
  <c r="A474" i="84"/>
  <c r="AB472" i="84"/>
  <c r="AA472" i="84"/>
  <c r="D472" i="84"/>
  <c r="B472" i="84"/>
  <c r="A472" i="84"/>
  <c r="AB471" i="84"/>
  <c r="AA471" i="84"/>
  <c r="B471" i="84"/>
  <c r="A471" i="84"/>
  <c r="AB469" i="84"/>
  <c r="AA469" i="84"/>
  <c r="D469" i="84"/>
  <c r="B469" i="84"/>
  <c r="A469" i="84"/>
  <c r="AB468" i="84"/>
  <c r="AA468" i="84"/>
  <c r="B468" i="84"/>
  <c r="A468" i="84"/>
  <c r="AB466" i="84"/>
  <c r="AA466" i="84"/>
  <c r="D466" i="84"/>
  <c r="B466" i="84"/>
  <c r="A466" i="84"/>
  <c r="AB465" i="84"/>
  <c r="AA465" i="84"/>
  <c r="B465" i="84"/>
  <c r="A465" i="84"/>
  <c r="AB463" i="84"/>
  <c r="AA463" i="84"/>
  <c r="D463" i="84"/>
  <c r="B463" i="84"/>
  <c r="A463" i="84"/>
  <c r="AB462" i="84"/>
  <c r="AA462" i="84"/>
  <c r="B462" i="84"/>
  <c r="A462" i="84"/>
  <c r="AB460" i="84"/>
  <c r="AA460" i="84"/>
  <c r="D460" i="84"/>
  <c r="B460" i="84"/>
  <c r="A460" i="84"/>
  <c r="AB459" i="84"/>
  <c r="AA459" i="84"/>
  <c r="B459" i="84"/>
  <c r="A459" i="84"/>
  <c r="AB457" i="84"/>
  <c r="AA457" i="84"/>
  <c r="D457" i="84"/>
  <c r="B457" i="84"/>
  <c r="A457" i="84"/>
  <c r="AB456" i="84"/>
  <c r="AA456" i="84"/>
  <c r="B456" i="84"/>
  <c r="A456" i="84"/>
  <c r="AB454" i="84"/>
  <c r="AA454" i="84"/>
  <c r="D454" i="84"/>
  <c r="B454" i="84"/>
  <c r="A454" i="84"/>
  <c r="AB453" i="84"/>
  <c r="AA453" i="84"/>
  <c r="B453" i="84"/>
  <c r="A453" i="84"/>
  <c r="AB451" i="84"/>
  <c r="AA451" i="84"/>
  <c r="D451" i="84"/>
  <c r="B451" i="84"/>
  <c r="A451" i="84"/>
  <c r="AB450" i="84"/>
  <c r="AA450" i="84"/>
  <c r="B450" i="84"/>
  <c r="A450" i="84"/>
  <c r="AB448" i="84"/>
  <c r="AA448" i="84"/>
  <c r="D448" i="84"/>
  <c r="B448" i="84"/>
  <c r="A448" i="84"/>
  <c r="AB447" i="84"/>
  <c r="AA447" i="84"/>
  <c r="B447" i="84"/>
  <c r="A447" i="84"/>
  <c r="AB445" i="84"/>
  <c r="AA445" i="84"/>
  <c r="D445" i="84"/>
  <c r="B445" i="84"/>
  <c r="A445" i="84"/>
  <c r="AB444" i="84"/>
  <c r="AA444" i="84"/>
  <c r="B444" i="84"/>
  <c r="A444" i="84"/>
  <c r="AB442" i="84"/>
  <c r="AA442" i="84"/>
  <c r="D442" i="84"/>
  <c r="B442" i="84"/>
  <c r="A442" i="84"/>
  <c r="AB441" i="84"/>
  <c r="AA441" i="84"/>
  <c r="B441" i="84"/>
  <c r="A441" i="84"/>
  <c r="AB439" i="84"/>
  <c r="AA439" i="84"/>
  <c r="D439" i="84"/>
  <c r="B439" i="84"/>
  <c r="A439" i="84"/>
  <c r="AB438" i="84"/>
  <c r="AA438" i="84"/>
  <c r="B438" i="84"/>
  <c r="A438" i="84"/>
  <c r="AB436" i="84"/>
  <c r="AA436" i="84"/>
  <c r="D436" i="84"/>
  <c r="B436" i="84"/>
  <c r="A436" i="84"/>
  <c r="AB435" i="84"/>
  <c r="AA435" i="84"/>
  <c r="B435" i="84"/>
  <c r="A435" i="84"/>
  <c r="AB433" i="84"/>
  <c r="AA433" i="84"/>
  <c r="D433" i="84"/>
  <c r="B433" i="84"/>
  <c r="A433" i="84"/>
  <c r="AB432" i="84"/>
  <c r="AA432" i="84"/>
  <c r="B432" i="84"/>
  <c r="A432" i="84"/>
  <c r="AB430" i="84"/>
  <c r="AA430" i="84"/>
  <c r="D430" i="84"/>
  <c r="B430" i="84"/>
  <c r="A430" i="84"/>
  <c r="AB429" i="84"/>
  <c r="AA429" i="84"/>
  <c r="B429" i="84"/>
  <c r="A429" i="84"/>
  <c r="AB427" i="84"/>
  <c r="AA427" i="84"/>
  <c r="D427" i="84"/>
  <c r="B427" i="84"/>
  <c r="A427" i="84"/>
  <c r="AB426" i="84"/>
  <c r="AA426" i="84"/>
  <c r="B426" i="84"/>
  <c r="A426" i="84"/>
  <c r="AB424" i="84"/>
  <c r="AA424" i="84"/>
  <c r="D424" i="84"/>
  <c r="B424" i="84"/>
  <c r="A424" i="84"/>
  <c r="AB423" i="84"/>
  <c r="AA423" i="84"/>
  <c r="B423" i="84"/>
  <c r="A423" i="84"/>
  <c r="AB421" i="84"/>
  <c r="AA421" i="84"/>
  <c r="D421" i="84"/>
  <c r="B421" i="84"/>
  <c r="A421" i="84"/>
  <c r="AB420" i="84"/>
  <c r="AA420" i="84"/>
  <c r="B420" i="84"/>
  <c r="A420" i="84"/>
  <c r="AB418" i="84"/>
  <c r="AA418" i="84"/>
  <c r="D418" i="84"/>
  <c r="B418" i="84"/>
  <c r="A418" i="84"/>
  <c r="AB417" i="84"/>
  <c r="AA417" i="84"/>
  <c r="B417" i="84"/>
  <c r="A417" i="84"/>
  <c r="AB415" i="84"/>
  <c r="AA415" i="84"/>
  <c r="D415" i="84"/>
  <c r="B415" i="84"/>
  <c r="A415" i="84"/>
  <c r="AB414" i="84"/>
  <c r="AA414" i="84"/>
  <c r="B414" i="84"/>
  <c r="A414" i="84"/>
  <c r="AB412" i="84"/>
  <c r="AA412" i="84"/>
  <c r="D412" i="84"/>
  <c r="B412" i="84"/>
  <c r="A412" i="84"/>
  <c r="AB411" i="84"/>
  <c r="AA411" i="84"/>
  <c r="B411" i="84"/>
  <c r="A411" i="84"/>
  <c r="AB409" i="84"/>
  <c r="AA409" i="84"/>
  <c r="D409" i="84"/>
  <c r="B409" i="84"/>
  <c r="A409" i="84"/>
  <c r="AB408" i="84"/>
  <c r="AA408" i="84"/>
  <c r="B408" i="84"/>
  <c r="A408" i="84"/>
  <c r="AB406" i="84"/>
  <c r="AA406" i="84"/>
  <c r="D406" i="84"/>
  <c r="B406" i="84"/>
  <c r="A406" i="84"/>
  <c r="AB405" i="84"/>
  <c r="AA405" i="84"/>
  <c r="B405" i="84"/>
  <c r="A405" i="84"/>
  <c r="AB403" i="84"/>
  <c r="AA403" i="84"/>
  <c r="D403" i="84"/>
  <c r="B403" i="84"/>
  <c r="A403" i="84"/>
  <c r="AB402" i="84"/>
  <c r="AA402" i="84"/>
  <c r="B402" i="84"/>
  <c r="A402" i="84"/>
  <c r="AB400" i="84"/>
  <c r="AA400" i="84"/>
  <c r="D400" i="84"/>
  <c r="B400" i="84"/>
  <c r="A400" i="84"/>
  <c r="AB399" i="84"/>
  <c r="AA399" i="84"/>
  <c r="B399" i="84"/>
  <c r="A399" i="84"/>
  <c r="AB397" i="84"/>
  <c r="AA397" i="84"/>
  <c r="D397" i="84"/>
  <c r="B397" i="84"/>
  <c r="A397" i="84"/>
  <c r="AB396" i="84"/>
  <c r="AA396" i="84"/>
  <c r="B396" i="84"/>
  <c r="A396" i="84"/>
  <c r="AB394" i="84"/>
  <c r="AA394" i="84"/>
  <c r="D394" i="84"/>
  <c r="B394" i="84"/>
  <c r="A394" i="84"/>
  <c r="AB393" i="84"/>
  <c r="AA393" i="84"/>
  <c r="B393" i="84"/>
  <c r="A393" i="84"/>
  <c r="AB391" i="84"/>
  <c r="AA391" i="84"/>
  <c r="D391" i="84"/>
  <c r="B391" i="84"/>
  <c r="A391" i="84"/>
  <c r="AB390" i="84"/>
  <c r="AA390" i="84"/>
  <c r="B390" i="84"/>
  <c r="A390" i="84"/>
  <c r="AB388" i="84"/>
  <c r="AA388" i="84"/>
  <c r="D388" i="84"/>
  <c r="B388" i="84"/>
  <c r="A388" i="84"/>
  <c r="AB387" i="84"/>
  <c r="AA387" i="84"/>
  <c r="B387" i="84"/>
  <c r="A387" i="84"/>
  <c r="AB385" i="84"/>
  <c r="AA385" i="84"/>
  <c r="D385" i="84"/>
  <c r="B385" i="84"/>
  <c r="A385" i="84"/>
  <c r="AB384" i="84"/>
  <c r="AA384" i="84"/>
  <c r="B384" i="84"/>
  <c r="A384" i="84"/>
  <c r="AB382" i="84"/>
  <c r="AA382" i="84"/>
  <c r="D382" i="84"/>
  <c r="B382" i="84"/>
  <c r="A382" i="84"/>
  <c r="AB381" i="84"/>
  <c r="AA381" i="84"/>
  <c r="B381" i="84"/>
  <c r="A381" i="84"/>
  <c r="AB379" i="84"/>
  <c r="AA379" i="84"/>
  <c r="D379" i="84"/>
  <c r="B379" i="84"/>
  <c r="A379" i="84"/>
  <c r="AB378" i="84"/>
  <c r="AA378" i="84"/>
  <c r="B378" i="84"/>
  <c r="A378" i="84"/>
  <c r="AB376" i="84"/>
  <c r="AA376" i="84"/>
  <c r="D376" i="84"/>
  <c r="B376" i="84"/>
  <c r="A376" i="84"/>
  <c r="AB375" i="84"/>
  <c r="AA375" i="84"/>
  <c r="B375" i="84"/>
  <c r="A375" i="84"/>
  <c r="AB373" i="84"/>
  <c r="AA373" i="84"/>
  <c r="D373" i="84"/>
  <c r="B373" i="84"/>
  <c r="A373" i="84"/>
  <c r="AB372" i="84"/>
  <c r="AA372" i="84"/>
  <c r="B372" i="84"/>
  <c r="A372" i="84"/>
  <c r="AB370" i="84"/>
  <c r="AA370" i="84"/>
  <c r="D370" i="84"/>
  <c r="B370" i="84"/>
  <c r="A370" i="84"/>
  <c r="AB369" i="84"/>
  <c r="AA369" i="84"/>
  <c r="B369" i="84"/>
  <c r="A369" i="84"/>
  <c r="AB367" i="84"/>
  <c r="AA367" i="84"/>
  <c r="D367" i="84"/>
  <c r="B367" i="84"/>
  <c r="A367" i="84"/>
  <c r="AB366" i="84"/>
  <c r="AA366" i="84"/>
  <c r="B366" i="84"/>
  <c r="A366" i="84"/>
  <c r="AB364" i="84"/>
  <c r="AA364" i="84"/>
  <c r="D364" i="84"/>
  <c r="B364" i="84"/>
  <c r="A364" i="84"/>
  <c r="AB363" i="84"/>
  <c r="AA363" i="84"/>
  <c r="B363" i="84"/>
  <c r="A363" i="84"/>
  <c r="AB361" i="84"/>
  <c r="AA361" i="84"/>
  <c r="D361" i="84"/>
  <c r="B361" i="84"/>
  <c r="A361" i="84"/>
  <c r="AB360" i="84"/>
  <c r="AA360" i="84"/>
  <c r="B360" i="84"/>
  <c r="A360" i="84"/>
  <c r="AB358" i="84"/>
  <c r="AA358" i="84"/>
  <c r="D358" i="84"/>
  <c r="B358" i="84"/>
  <c r="A358" i="84"/>
  <c r="AB357" i="84"/>
  <c r="AA357" i="84"/>
  <c r="B357" i="84"/>
  <c r="A357" i="84"/>
  <c r="AB355" i="84"/>
  <c r="AA355" i="84"/>
  <c r="D355" i="84"/>
  <c r="B355" i="84"/>
  <c r="A355" i="84"/>
  <c r="AB354" i="84"/>
  <c r="AA354" i="84"/>
  <c r="B354" i="84"/>
  <c r="A354" i="84"/>
  <c r="AB352" i="84"/>
  <c r="AA352" i="84"/>
  <c r="D352" i="84"/>
  <c r="B352" i="84"/>
  <c r="A352" i="84"/>
  <c r="AB351" i="84"/>
  <c r="AA351" i="84"/>
  <c r="B351" i="84"/>
  <c r="A351" i="84"/>
  <c r="AB349" i="84"/>
  <c r="AA349" i="84"/>
  <c r="D349" i="84"/>
  <c r="B349" i="84"/>
  <c r="A349" i="84"/>
  <c r="AB348" i="84"/>
  <c r="AA348" i="84"/>
  <c r="B348" i="84"/>
  <c r="A348" i="84"/>
  <c r="AB346" i="84"/>
  <c r="AA346" i="84"/>
  <c r="D346" i="84"/>
  <c r="B346" i="84"/>
  <c r="A346" i="84"/>
  <c r="AB345" i="84"/>
  <c r="AA345" i="84"/>
  <c r="B345" i="84"/>
  <c r="A345" i="84"/>
  <c r="AB343" i="84"/>
  <c r="AA343" i="84"/>
  <c r="D343" i="84"/>
  <c r="B343" i="84"/>
  <c r="A343" i="84"/>
  <c r="AB342" i="84"/>
  <c r="AA342" i="84"/>
  <c r="B342" i="84"/>
  <c r="A342" i="84"/>
  <c r="AB340" i="84"/>
  <c r="AA340" i="84"/>
  <c r="D340" i="84"/>
  <c r="B340" i="84"/>
  <c r="A340" i="84"/>
  <c r="AB339" i="84"/>
  <c r="AA339" i="84"/>
  <c r="B339" i="84"/>
  <c r="A339" i="84"/>
  <c r="AB337" i="84"/>
  <c r="AA337" i="84"/>
  <c r="D337" i="84"/>
  <c r="B337" i="84"/>
  <c r="A337" i="84"/>
  <c r="AB336" i="84"/>
  <c r="AA336" i="84"/>
  <c r="B336" i="84"/>
  <c r="A336" i="84"/>
  <c r="AB334" i="84"/>
  <c r="AA334" i="84"/>
  <c r="D334" i="84"/>
  <c r="B334" i="84"/>
  <c r="A334" i="84"/>
  <c r="AB333" i="84"/>
  <c r="AA333" i="84"/>
  <c r="B333" i="84"/>
  <c r="A333" i="84"/>
  <c r="AB331" i="84"/>
  <c r="AA331" i="84"/>
  <c r="D331" i="84"/>
  <c r="B331" i="84"/>
  <c r="A331" i="84"/>
  <c r="AB330" i="84"/>
  <c r="AA330" i="84"/>
  <c r="B330" i="84"/>
  <c r="A330" i="84"/>
  <c r="AB328" i="84"/>
  <c r="AA328" i="84"/>
  <c r="D328" i="84"/>
  <c r="B328" i="84"/>
  <c r="A328" i="84"/>
  <c r="AB327" i="84"/>
  <c r="AA327" i="84"/>
  <c r="B327" i="84"/>
  <c r="A327" i="84"/>
  <c r="AB325" i="84"/>
  <c r="AA325" i="84"/>
  <c r="D325" i="84"/>
  <c r="B325" i="84"/>
  <c r="A325" i="84"/>
  <c r="AB324" i="84"/>
  <c r="AA324" i="84"/>
  <c r="B324" i="84"/>
  <c r="A324" i="84"/>
  <c r="AB322" i="84"/>
  <c r="AA322" i="84"/>
  <c r="D322" i="84"/>
  <c r="B322" i="84"/>
  <c r="A322" i="84"/>
  <c r="AB321" i="84"/>
  <c r="AA321" i="84"/>
  <c r="B321" i="84"/>
  <c r="A321" i="84"/>
  <c r="AB319" i="84"/>
  <c r="AA319" i="84"/>
  <c r="D319" i="84"/>
  <c r="B319" i="84"/>
  <c r="A319" i="84"/>
  <c r="AB318" i="84"/>
  <c r="AA318" i="84"/>
  <c r="B318" i="84"/>
  <c r="A318" i="84"/>
  <c r="AB316" i="84"/>
  <c r="AA316" i="84"/>
  <c r="D316" i="84"/>
  <c r="B316" i="84"/>
  <c r="A316" i="84"/>
  <c r="AB315" i="84"/>
  <c r="AA315" i="84"/>
  <c r="B315" i="84"/>
  <c r="A315" i="84"/>
  <c r="AB313" i="84"/>
  <c r="AA313" i="84"/>
  <c r="D313" i="84"/>
  <c r="B313" i="84"/>
  <c r="A313" i="84"/>
  <c r="AB312" i="84"/>
  <c r="AA312" i="84"/>
  <c r="B312" i="84"/>
  <c r="A312" i="84"/>
  <c r="AB310" i="84"/>
  <c r="AA310" i="84"/>
  <c r="D310" i="84"/>
  <c r="B310" i="84"/>
  <c r="A310" i="84"/>
  <c r="AB309" i="84"/>
  <c r="AA309" i="84"/>
  <c r="B309" i="84"/>
  <c r="A309" i="84"/>
  <c r="AB307" i="84"/>
  <c r="AA307" i="84"/>
  <c r="D307" i="84"/>
  <c r="B307" i="84"/>
  <c r="A307" i="84"/>
  <c r="AB306" i="84"/>
  <c r="AA306" i="84"/>
  <c r="B306" i="84"/>
  <c r="A306" i="84"/>
  <c r="AB304" i="84"/>
  <c r="AA304" i="84"/>
  <c r="D304" i="84"/>
  <c r="B304" i="84"/>
  <c r="A304" i="84"/>
  <c r="AB303" i="84"/>
  <c r="AA303" i="84"/>
  <c r="B303" i="84"/>
  <c r="A303" i="84"/>
  <c r="AB301" i="84"/>
  <c r="AA301" i="84"/>
  <c r="D301" i="84"/>
  <c r="B301" i="84"/>
  <c r="A301" i="84"/>
  <c r="AB300" i="84"/>
  <c r="AA300" i="84"/>
  <c r="B300" i="84"/>
  <c r="A300" i="84"/>
  <c r="AB298" i="84"/>
  <c r="AA298" i="84"/>
  <c r="D298" i="84"/>
  <c r="B298" i="84"/>
  <c r="A298" i="84"/>
  <c r="AB297" i="84"/>
  <c r="AA297" i="84"/>
  <c r="B297" i="84"/>
  <c r="A297" i="84"/>
  <c r="AB295" i="84"/>
  <c r="AA295" i="84"/>
  <c r="D295" i="84"/>
  <c r="B295" i="84"/>
  <c r="A295" i="84"/>
  <c r="AB294" i="84"/>
  <c r="AA294" i="84"/>
  <c r="B294" i="84"/>
  <c r="A294" i="84"/>
  <c r="AB292" i="84"/>
  <c r="AA292" i="84"/>
  <c r="D292" i="84"/>
  <c r="B292" i="84"/>
  <c r="A292" i="84"/>
  <c r="AB291" i="84"/>
  <c r="AA291" i="84"/>
  <c r="B291" i="84"/>
  <c r="A291" i="84"/>
  <c r="AB289" i="84"/>
  <c r="AA289" i="84"/>
  <c r="D289" i="84"/>
  <c r="B289" i="84"/>
  <c r="A289" i="84"/>
  <c r="AB288" i="84"/>
  <c r="AA288" i="84"/>
  <c r="B288" i="84"/>
  <c r="A288" i="84"/>
  <c r="AB286" i="84"/>
  <c r="AA286" i="84"/>
  <c r="D286" i="84"/>
  <c r="B286" i="84"/>
  <c r="A286" i="84"/>
  <c r="AB285" i="84"/>
  <c r="AA285" i="84"/>
  <c r="B285" i="84"/>
  <c r="A285" i="84"/>
  <c r="AB283" i="84"/>
  <c r="AA283" i="84"/>
  <c r="D283" i="84"/>
  <c r="B283" i="84"/>
  <c r="A283" i="84"/>
  <c r="AB282" i="84"/>
  <c r="AA282" i="84"/>
  <c r="B282" i="84"/>
  <c r="A282" i="84"/>
  <c r="AB280" i="84"/>
  <c r="AA280" i="84"/>
  <c r="D280" i="84"/>
  <c r="B280" i="84"/>
  <c r="A280" i="84"/>
  <c r="AB279" i="84"/>
  <c r="AA279" i="84"/>
  <c r="B279" i="84"/>
  <c r="A279" i="84"/>
  <c r="AB277" i="84"/>
  <c r="AA277" i="84"/>
  <c r="D277" i="84"/>
  <c r="B277" i="84"/>
  <c r="A277" i="84"/>
  <c r="AB276" i="84"/>
  <c r="AA276" i="84"/>
  <c r="B276" i="84"/>
  <c r="A276" i="84"/>
  <c r="AB274" i="84"/>
  <c r="AA274" i="84"/>
  <c r="D274" i="84"/>
  <c r="B274" i="84"/>
  <c r="A274" i="84"/>
  <c r="AB273" i="84"/>
  <c r="AA273" i="84"/>
  <c r="B273" i="84"/>
  <c r="A273" i="84"/>
  <c r="AB271" i="84"/>
  <c r="AA271" i="84"/>
  <c r="D271" i="84"/>
  <c r="B271" i="84"/>
  <c r="A271" i="84"/>
  <c r="AB270" i="84"/>
  <c r="AA270" i="84"/>
  <c r="B270" i="84"/>
  <c r="A270" i="84"/>
  <c r="AB268" i="84"/>
  <c r="AA268" i="84"/>
  <c r="D268" i="84"/>
  <c r="B268" i="84"/>
  <c r="A268" i="84"/>
  <c r="AB267" i="84"/>
  <c r="AA267" i="84"/>
  <c r="B267" i="84"/>
  <c r="A267" i="84"/>
  <c r="AB265" i="84"/>
  <c r="AA265" i="84"/>
  <c r="D265" i="84"/>
  <c r="B265" i="84"/>
  <c r="A265" i="84"/>
  <c r="AB264" i="84"/>
  <c r="AA264" i="84"/>
  <c r="B264" i="84"/>
  <c r="A264" i="84"/>
  <c r="AB262" i="84"/>
  <c r="AA262" i="84"/>
  <c r="D262" i="84"/>
  <c r="B262" i="84"/>
  <c r="A262" i="84"/>
  <c r="AB261" i="84"/>
  <c r="AA261" i="84"/>
  <c r="B261" i="84"/>
  <c r="A261" i="84"/>
  <c r="AB259" i="84"/>
  <c r="AA259" i="84"/>
  <c r="D259" i="84"/>
  <c r="B259" i="84"/>
  <c r="A259" i="84"/>
  <c r="AB258" i="84"/>
  <c r="AA258" i="84"/>
  <c r="B258" i="84"/>
  <c r="A258" i="84"/>
  <c r="AB256" i="84"/>
  <c r="AA256" i="84"/>
  <c r="D256" i="84"/>
  <c r="B256" i="84"/>
  <c r="A256" i="84"/>
  <c r="AB255" i="84"/>
  <c r="AA255" i="84"/>
  <c r="B255" i="84"/>
  <c r="A255" i="84"/>
  <c r="AB253" i="84"/>
  <c r="AA253" i="84"/>
  <c r="D253" i="84"/>
  <c r="B253" i="84"/>
  <c r="A253" i="84"/>
  <c r="AB252" i="84"/>
  <c r="AA252" i="84"/>
  <c r="B252" i="84"/>
  <c r="A252" i="84"/>
  <c r="AB250" i="84"/>
  <c r="AA250" i="84"/>
  <c r="D250" i="84"/>
  <c r="B250" i="84"/>
  <c r="A250" i="84"/>
  <c r="AB249" i="84"/>
  <c r="AA249" i="84"/>
  <c r="B249" i="84"/>
  <c r="A249" i="84"/>
  <c r="AB247" i="84"/>
  <c r="AA247" i="84"/>
  <c r="D247" i="84"/>
  <c r="B247" i="84"/>
  <c r="A247" i="84"/>
  <c r="AB246" i="84"/>
  <c r="AA246" i="84"/>
  <c r="B246" i="84"/>
  <c r="A246" i="84"/>
  <c r="AB244" i="84"/>
  <c r="AA244" i="84"/>
  <c r="D244" i="84"/>
  <c r="B244" i="84"/>
  <c r="A244" i="84"/>
  <c r="AB243" i="84"/>
  <c r="AA243" i="84"/>
  <c r="B243" i="84"/>
  <c r="A243" i="84"/>
  <c r="AB241" i="84"/>
  <c r="AA241" i="84"/>
  <c r="D241" i="84"/>
  <c r="B241" i="84"/>
  <c r="A241" i="84"/>
  <c r="AB240" i="84"/>
  <c r="AA240" i="84"/>
  <c r="B240" i="84"/>
  <c r="A240" i="84"/>
  <c r="AB238" i="84"/>
  <c r="AA238" i="84"/>
  <c r="D238" i="84"/>
  <c r="B238" i="84"/>
  <c r="A238" i="84"/>
  <c r="AB237" i="84"/>
  <c r="AA237" i="84"/>
  <c r="B237" i="84"/>
  <c r="A237" i="84"/>
  <c r="AB235" i="84"/>
  <c r="AA235" i="84"/>
  <c r="D235" i="84"/>
  <c r="B235" i="84"/>
  <c r="A235" i="84"/>
  <c r="AB234" i="84"/>
  <c r="AA234" i="84"/>
  <c r="B234" i="84"/>
  <c r="A234" i="84"/>
  <c r="AB232" i="84"/>
  <c r="AA232" i="84"/>
  <c r="D232" i="84"/>
  <c r="B232" i="84"/>
  <c r="A232" i="84"/>
  <c r="AB231" i="84"/>
  <c r="AA231" i="84"/>
  <c r="B231" i="84"/>
  <c r="A231" i="84"/>
  <c r="AB229" i="84"/>
  <c r="AA229" i="84"/>
  <c r="D229" i="84"/>
  <c r="B229" i="84"/>
  <c r="A229" i="84"/>
  <c r="AB228" i="84"/>
  <c r="AA228" i="84"/>
  <c r="B228" i="84"/>
  <c r="A228" i="84"/>
  <c r="AB226" i="84"/>
  <c r="AA226" i="84"/>
  <c r="D226" i="84"/>
  <c r="B226" i="84"/>
  <c r="A226" i="84"/>
  <c r="AB225" i="84"/>
  <c r="AA225" i="84"/>
  <c r="B225" i="84"/>
  <c r="A225" i="84"/>
  <c r="AB223" i="84"/>
  <c r="AA223" i="84"/>
  <c r="D223" i="84"/>
  <c r="B223" i="84"/>
  <c r="A223" i="84"/>
  <c r="AB222" i="84"/>
  <c r="AA222" i="84"/>
  <c r="B222" i="84"/>
  <c r="A222" i="84"/>
  <c r="AB220" i="84"/>
  <c r="AA220" i="84"/>
  <c r="D220" i="84"/>
  <c r="B220" i="84"/>
  <c r="A220" i="84"/>
  <c r="AB219" i="84"/>
  <c r="AA219" i="84"/>
  <c r="B219" i="84"/>
  <c r="A219" i="84"/>
  <c r="AB217" i="84"/>
  <c r="AA217" i="84"/>
  <c r="D217" i="84"/>
  <c r="B217" i="84"/>
  <c r="A217" i="84"/>
  <c r="AB216" i="84"/>
  <c r="AA216" i="84"/>
  <c r="B216" i="84"/>
  <c r="A216" i="84"/>
  <c r="AB214" i="84"/>
  <c r="AA214" i="84"/>
  <c r="D214" i="84"/>
  <c r="B214" i="84"/>
  <c r="A214" i="84"/>
  <c r="AB213" i="84"/>
  <c r="AA213" i="84"/>
  <c r="B213" i="84"/>
  <c r="A213" i="84"/>
  <c r="AB211" i="84"/>
  <c r="AA211" i="84"/>
  <c r="D211" i="84"/>
  <c r="B211" i="84"/>
  <c r="A211" i="84"/>
  <c r="AB210" i="84"/>
  <c r="AA210" i="84"/>
  <c r="B210" i="84"/>
  <c r="A210" i="84"/>
  <c r="AB208" i="84"/>
  <c r="AA208" i="84"/>
  <c r="D208" i="84"/>
  <c r="B208" i="84"/>
  <c r="A208" i="84"/>
  <c r="AB207" i="84"/>
  <c r="AA207" i="84"/>
  <c r="B207" i="84"/>
  <c r="A207" i="84"/>
  <c r="AB205" i="84"/>
  <c r="AA205" i="84"/>
  <c r="D205" i="84"/>
  <c r="B205" i="84"/>
  <c r="A205" i="84"/>
  <c r="AB204" i="84"/>
  <c r="AA204" i="84"/>
  <c r="B204" i="84"/>
  <c r="A204" i="84"/>
  <c r="AB202" i="84"/>
  <c r="AA202" i="84"/>
  <c r="D202" i="84"/>
  <c r="B202" i="84"/>
  <c r="A202" i="84"/>
  <c r="AB201" i="84"/>
  <c r="AA201" i="84"/>
  <c r="B201" i="84"/>
  <c r="A201" i="84"/>
  <c r="AB199" i="84"/>
  <c r="AA199" i="84"/>
  <c r="D199" i="84"/>
  <c r="B199" i="84"/>
  <c r="A199" i="84"/>
  <c r="AB198" i="84"/>
  <c r="AA198" i="84"/>
  <c r="B198" i="84"/>
  <c r="A198" i="84"/>
  <c r="AB196" i="84"/>
  <c r="AA196" i="84"/>
  <c r="D196" i="84"/>
  <c r="B196" i="84"/>
  <c r="A196" i="84"/>
  <c r="AB195" i="84"/>
  <c r="AA195" i="84"/>
  <c r="B195" i="84"/>
  <c r="A195" i="84"/>
  <c r="AB193" i="84"/>
  <c r="AA193" i="84"/>
  <c r="D193" i="84"/>
  <c r="B193" i="84"/>
  <c r="A193" i="84"/>
  <c r="AB192" i="84"/>
  <c r="AA192" i="84"/>
  <c r="B192" i="84"/>
  <c r="A192" i="84"/>
  <c r="AB190" i="84"/>
  <c r="AA190" i="84"/>
  <c r="D190" i="84"/>
  <c r="B190" i="84"/>
  <c r="A190" i="84"/>
  <c r="AB189" i="84"/>
  <c r="AA189" i="84"/>
  <c r="B189" i="84"/>
  <c r="A189" i="84"/>
  <c r="AB187" i="84"/>
  <c r="AA187" i="84"/>
  <c r="D187" i="84"/>
  <c r="B187" i="84"/>
  <c r="A187" i="84"/>
  <c r="AB186" i="84"/>
  <c r="AA186" i="84"/>
  <c r="B186" i="84"/>
  <c r="A186" i="84"/>
  <c r="AB184" i="84"/>
  <c r="AA184" i="84"/>
  <c r="D184" i="84"/>
  <c r="B184" i="84"/>
  <c r="A184" i="84"/>
  <c r="AB183" i="84"/>
  <c r="AA183" i="84"/>
  <c r="B183" i="84"/>
  <c r="A183" i="84"/>
  <c r="AB181" i="84"/>
  <c r="AA181" i="84"/>
  <c r="D181" i="84"/>
  <c r="B181" i="84"/>
  <c r="A181" i="84"/>
  <c r="AB180" i="84"/>
  <c r="AA180" i="84"/>
  <c r="B180" i="84"/>
  <c r="A180" i="84"/>
  <c r="AB178" i="84"/>
  <c r="AA178" i="84"/>
  <c r="D178" i="84"/>
  <c r="B178" i="84"/>
  <c r="A178" i="84"/>
  <c r="AB177" i="84"/>
  <c r="AA177" i="84"/>
  <c r="B177" i="84"/>
  <c r="A177" i="84"/>
  <c r="AB175" i="84"/>
  <c r="AA175" i="84"/>
  <c r="D175" i="84"/>
  <c r="B175" i="84"/>
  <c r="A175" i="84"/>
  <c r="AB174" i="84"/>
  <c r="AA174" i="84"/>
  <c r="B174" i="84"/>
  <c r="A174" i="84"/>
  <c r="AB172" i="84"/>
  <c r="AA172" i="84"/>
  <c r="D172" i="84"/>
  <c r="B172" i="84"/>
  <c r="A172" i="84"/>
  <c r="AB171" i="84"/>
  <c r="AA171" i="84"/>
  <c r="B171" i="84"/>
  <c r="A171" i="84"/>
  <c r="AB169" i="84"/>
  <c r="AA169" i="84"/>
  <c r="D169" i="84"/>
  <c r="B169" i="84"/>
  <c r="A169" i="84"/>
  <c r="AB168" i="84"/>
  <c r="AA168" i="84"/>
  <c r="B168" i="84"/>
  <c r="A168" i="84"/>
  <c r="AB166" i="84"/>
  <c r="AA166" i="84"/>
  <c r="D166" i="84"/>
  <c r="B166" i="84"/>
  <c r="A166" i="84"/>
  <c r="AB165" i="84"/>
  <c r="AA165" i="84"/>
  <c r="B165" i="84"/>
  <c r="A165" i="84"/>
  <c r="AB163" i="84"/>
  <c r="AA163" i="84"/>
  <c r="D163" i="84"/>
  <c r="B163" i="84"/>
  <c r="A163" i="84"/>
  <c r="AB162" i="84"/>
  <c r="AA162" i="84"/>
  <c r="B162" i="84"/>
  <c r="A162" i="84"/>
  <c r="AB160" i="84"/>
  <c r="AA160" i="84"/>
  <c r="D160" i="84"/>
  <c r="B160" i="84"/>
  <c r="A160" i="84"/>
  <c r="AB159" i="84"/>
  <c r="AA159" i="84"/>
  <c r="B159" i="84"/>
  <c r="A159" i="84"/>
  <c r="AB157" i="84"/>
  <c r="AA157" i="84"/>
  <c r="D157" i="84"/>
  <c r="B157" i="84"/>
  <c r="A157" i="84"/>
  <c r="AB156" i="84"/>
  <c r="AA156" i="84"/>
  <c r="B156" i="84"/>
  <c r="A156" i="84"/>
  <c r="AB154" i="84"/>
  <c r="AA154" i="84"/>
  <c r="D154" i="84"/>
  <c r="B154" i="84"/>
  <c r="A154" i="84"/>
  <c r="AB153" i="84"/>
  <c r="AA153" i="84"/>
  <c r="B153" i="84"/>
  <c r="A153" i="84"/>
  <c r="AB151" i="84"/>
  <c r="AA151" i="84"/>
  <c r="D151" i="84"/>
  <c r="B151" i="84"/>
  <c r="A151" i="84"/>
  <c r="AB150" i="84"/>
  <c r="AA150" i="84"/>
  <c r="B150" i="84"/>
  <c r="A150" i="84"/>
  <c r="AB148" i="84"/>
  <c r="AA148" i="84"/>
  <c r="D148" i="84"/>
  <c r="B148" i="84"/>
  <c r="A148" i="84"/>
  <c r="AB147" i="84"/>
  <c r="AA147" i="84"/>
  <c r="B147" i="84"/>
  <c r="A147" i="84"/>
  <c r="AB145" i="84"/>
  <c r="AA145" i="84"/>
  <c r="D145" i="84"/>
  <c r="B145" i="84"/>
  <c r="A145" i="84"/>
  <c r="AB144" i="84"/>
  <c r="AA144" i="84"/>
  <c r="B144" i="84"/>
  <c r="A144" i="84"/>
  <c r="AB142" i="84"/>
  <c r="AA142" i="84"/>
  <c r="D142" i="84"/>
  <c r="B142" i="84"/>
  <c r="A142" i="84"/>
  <c r="AB141" i="84"/>
  <c r="AA141" i="84"/>
  <c r="B141" i="84"/>
  <c r="A141" i="84"/>
  <c r="AB139" i="84"/>
  <c r="AA139" i="84"/>
  <c r="D139" i="84"/>
  <c r="B139" i="84"/>
  <c r="A139" i="84"/>
  <c r="AB138" i="84"/>
  <c r="AA138" i="84"/>
  <c r="B138" i="84"/>
  <c r="A138" i="84"/>
  <c r="AB136" i="84"/>
  <c r="AA136" i="84"/>
  <c r="D136" i="84"/>
  <c r="B136" i="84"/>
  <c r="A136" i="84"/>
  <c r="AB135" i="84"/>
  <c r="AA135" i="84"/>
  <c r="B135" i="84"/>
  <c r="A135" i="84"/>
  <c r="AB133" i="84"/>
  <c r="AA133" i="84"/>
  <c r="D133" i="84"/>
  <c r="B133" i="84"/>
  <c r="A133" i="84"/>
  <c r="AB132" i="84"/>
  <c r="AA132" i="84"/>
  <c r="B132" i="84"/>
  <c r="A132" i="84"/>
  <c r="AB130" i="84"/>
  <c r="AA130" i="84"/>
  <c r="D130" i="84"/>
  <c r="B130" i="84"/>
  <c r="A130" i="84"/>
  <c r="AB129" i="84"/>
  <c r="AA129" i="84"/>
  <c r="B129" i="84"/>
  <c r="A129" i="84"/>
  <c r="AB127" i="84"/>
  <c r="AA127" i="84"/>
  <c r="D127" i="84"/>
  <c r="B127" i="84"/>
  <c r="A127" i="84"/>
  <c r="AB126" i="84"/>
  <c r="AA126" i="84"/>
  <c r="B126" i="84"/>
  <c r="A126" i="84"/>
  <c r="AB124" i="84"/>
  <c r="AA124" i="84"/>
  <c r="D124" i="84"/>
  <c r="B124" i="84"/>
  <c r="A124" i="84"/>
  <c r="AB123" i="84"/>
  <c r="AA123" i="84"/>
  <c r="B123" i="84"/>
  <c r="A123" i="84"/>
  <c r="AB121" i="84"/>
  <c r="AA121" i="84"/>
  <c r="D121" i="84"/>
  <c r="B121" i="84"/>
  <c r="A121" i="84"/>
  <c r="AB120" i="84"/>
  <c r="AA120" i="84"/>
  <c r="B120" i="84"/>
  <c r="A120" i="84"/>
  <c r="AB118" i="84"/>
  <c r="AA118" i="84"/>
  <c r="D118" i="84"/>
  <c r="B118" i="84"/>
  <c r="A118" i="84"/>
  <c r="AB117" i="84"/>
  <c r="AA117" i="84"/>
  <c r="B117" i="84"/>
  <c r="A117" i="84"/>
  <c r="AB115" i="84"/>
  <c r="AA115" i="84"/>
  <c r="D115" i="84"/>
  <c r="B115" i="84"/>
  <c r="A115" i="84"/>
  <c r="AB114" i="84"/>
  <c r="AA114" i="84"/>
  <c r="B114" i="84"/>
  <c r="A114" i="84"/>
  <c r="AB112" i="84"/>
  <c r="AA112" i="84"/>
  <c r="D112" i="84"/>
  <c r="B112" i="84"/>
  <c r="A112" i="84"/>
  <c r="AB111" i="84"/>
  <c r="AA111" i="84"/>
  <c r="B111" i="84"/>
  <c r="A111" i="84"/>
  <c r="AB109" i="84"/>
  <c r="AA109" i="84"/>
  <c r="D109" i="84"/>
  <c r="B109" i="84"/>
  <c r="A109" i="84"/>
  <c r="AB108" i="84"/>
  <c r="AA108" i="84"/>
  <c r="B108" i="84"/>
  <c r="A108" i="84"/>
  <c r="AB106" i="84"/>
  <c r="AA106" i="84"/>
  <c r="D106" i="84"/>
  <c r="B106" i="84"/>
  <c r="A106" i="84"/>
  <c r="AB105" i="84"/>
  <c r="AA105" i="84"/>
  <c r="B105" i="84"/>
  <c r="A105" i="84"/>
  <c r="AB103" i="84"/>
  <c r="AA103" i="84"/>
  <c r="D103" i="84"/>
  <c r="B103" i="84"/>
  <c r="A103" i="84"/>
  <c r="AB102" i="84"/>
  <c r="AA102" i="84"/>
  <c r="B102" i="84"/>
  <c r="A102" i="84"/>
  <c r="AB100" i="84"/>
  <c r="AA100" i="84"/>
  <c r="D100" i="84"/>
  <c r="B100" i="84"/>
  <c r="A100" i="84"/>
  <c r="AB99" i="84"/>
  <c r="AA99" i="84"/>
  <c r="B99" i="84"/>
  <c r="A99" i="84"/>
  <c r="AB97" i="84"/>
  <c r="AA97" i="84"/>
  <c r="D97" i="84"/>
  <c r="B97" i="84"/>
  <c r="A97" i="84"/>
  <c r="AB96" i="84"/>
  <c r="AA96" i="84"/>
  <c r="B96" i="84"/>
  <c r="A96" i="84"/>
  <c r="AB94" i="84"/>
  <c r="AA94" i="84"/>
  <c r="D94" i="84"/>
  <c r="B94" i="84"/>
  <c r="A94" i="84"/>
  <c r="AB93" i="84"/>
  <c r="AA93" i="84"/>
  <c r="B93" i="84"/>
  <c r="A93" i="84"/>
  <c r="AB91" i="84"/>
  <c r="AA91" i="84"/>
  <c r="D91" i="84"/>
  <c r="B91" i="84"/>
  <c r="A91" i="84"/>
  <c r="AB90" i="84"/>
  <c r="AA90" i="84"/>
  <c r="B90" i="84"/>
  <c r="A90" i="84"/>
  <c r="AB88" i="84"/>
  <c r="AA88" i="84"/>
  <c r="D88" i="84"/>
  <c r="B88" i="84"/>
  <c r="A88" i="84"/>
  <c r="AB87" i="84"/>
  <c r="AA87" i="84"/>
  <c r="B87" i="84"/>
  <c r="A87" i="84"/>
  <c r="AB85" i="84"/>
  <c r="AA85" i="84"/>
  <c r="D85" i="84"/>
  <c r="B85" i="84"/>
  <c r="A85" i="84"/>
  <c r="AB84" i="84"/>
  <c r="AA84" i="84"/>
  <c r="B84" i="84"/>
  <c r="A84" i="84"/>
  <c r="AB82" i="84"/>
  <c r="AA82" i="84"/>
  <c r="D82" i="84"/>
  <c r="B82" i="84"/>
  <c r="A82" i="84"/>
  <c r="AB81" i="84"/>
  <c r="AA81" i="84"/>
  <c r="B81" i="84"/>
  <c r="A81" i="84"/>
  <c r="AB79" i="84"/>
  <c r="AA79" i="84"/>
  <c r="D79" i="84"/>
  <c r="B79" i="84"/>
  <c r="A79" i="84"/>
  <c r="AB78" i="84"/>
  <c r="AA78" i="84"/>
  <c r="B78" i="84"/>
  <c r="A78" i="84"/>
  <c r="AB76" i="84"/>
  <c r="AA76" i="84"/>
  <c r="D76" i="84"/>
  <c r="B76" i="84"/>
  <c r="A76" i="84"/>
  <c r="AB75" i="84"/>
  <c r="AA75" i="84"/>
  <c r="B75" i="84"/>
  <c r="A75" i="84"/>
  <c r="AB73" i="84"/>
  <c r="AA73" i="84"/>
  <c r="D73" i="84"/>
  <c r="B73" i="84"/>
  <c r="A73" i="84"/>
  <c r="AB72" i="84"/>
  <c r="AA72" i="84"/>
  <c r="B72" i="84"/>
  <c r="A72" i="84"/>
  <c r="AB70" i="84"/>
  <c r="AA70" i="84"/>
  <c r="D70" i="84"/>
  <c r="B70" i="84"/>
  <c r="A70" i="84"/>
  <c r="AB69" i="84"/>
  <c r="AA69" i="84"/>
  <c r="B69" i="84"/>
  <c r="A69" i="84"/>
  <c r="AB67" i="84"/>
  <c r="AA67" i="84"/>
  <c r="D67" i="84"/>
  <c r="B67" i="84"/>
  <c r="A67" i="84"/>
  <c r="AB66" i="84"/>
  <c r="AA66" i="84"/>
  <c r="B66" i="84"/>
  <c r="A66" i="84"/>
  <c r="AB64" i="84"/>
  <c r="AA64" i="84"/>
  <c r="D64" i="84"/>
  <c r="B64" i="84"/>
  <c r="A64" i="84"/>
  <c r="AB63" i="84"/>
  <c r="AA63" i="84"/>
  <c r="B63" i="84"/>
  <c r="A63" i="84"/>
  <c r="AB61" i="84"/>
  <c r="AA61" i="84"/>
  <c r="D61" i="84"/>
  <c r="B61" i="84"/>
  <c r="A61" i="84"/>
  <c r="AB60" i="84"/>
  <c r="AA60" i="84"/>
  <c r="B60" i="84"/>
  <c r="A60" i="84"/>
  <c r="AB58" i="84"/>
  <c r="AA58" i="84"/>
  <c r="D58" i="84"/>
  <c r="B58" i="84"/>
  <c r="A58" i="84"/>
  <c r="AB57" i="84"/>
  <c r="AA57" i="84"/>
  <c r="B57" i="84"/>
  <c r="A57" i="84"/>
  <c r="AB55" i="84"/>
  <c r="AA55" i="84"/>
  <c r="D55" i="84"/>
  <c r="B55" i="84"/>
  <c r="A55" i="84"/>
  <c r="AB54" i="84"/>
  <c r="AA54" i="84"/>
  <c r="B54" i="84"/>
  <c r="A54" i="84"/>
  <c r="AB52" i="84"/>
  <c r="AA52" i="84"/>
  <c r="D52" i="84"/>
  <c r="B52" i="84"/>
  <c r="A52" i="84"/>
  <c r="AB51" i="84"/>
  <c r="AA51" i="84"/>
  <c r="B51" i="84"/>
  <c r="A51" i="84"/>
  <c r="AB49" i="84"/>
  <c r="AA49" i="84"/>
  <c r="D49" i="84"/>
  <c r="B49" i="84"/>
  <c r="A49" i="84"/>
  <c r="AB48" i="84"/>
  <c r="AA48" i="84"/>
  <c r="B48" i="84"/>
  <c r="A48" i="84"/>
  <c r="AB46" i="84"/>
  <c r="AA46" i="84"/>
  <c r="D46" i="84"/>
  <c r="B46" i="84"/>
  <c r="A46" i="84"/>
  <c r="AB45" i="84"/>
  <c r="AA45" i="84"/>
  <c r="B45" i="84"/>
  <c r="A45" i="84"/>
  <c r="AB43" i="84"/>
  <c r="AA43" i="84"/>
  <c r="D43" i="84"/>
  <c r="B43" i="84"/>
  <c r="A43" i="84"/>
  <c r="AB42" i="84"/>
  <c r="AA42" i="84"/>
  <c r="B42" i="84"/>
  <c r="A42" i="84"/>
  <c r="AB40" i="84"/>
  <c r="AA40" i="84"/>
  <c r="D40" i="84"/>
  <c r="B40" i="84"/>
  <c r="A40" i="84"/>
  <c r="AB39" i="84"/>
  <c r="AA39" i="84"/>
  <c r="B39" i="84"/>
  <c r="A39" i="84"/>
  <c r="AB37" i="84"/>
  <c r="AA37" i="84"/>
  <c r="D37" i="84"/>
  <c r="B37" i="84"/>
  <c r="A37" i="84"/>
  <c r="AB36" i="84"/>
  <c r="AA36" i="84"/>
  <c r="B36" i="84"/>
  <c r="A36" i="84"/>
  <c r="AB34" i="84"/>
  <c r="AA34" i="84"/>
  <c r="D34" i="84"/>
  <c r="B34" i="84"/>
  <c r="A34" i="84"/>
  <c r="AB33" i="84"/>
  <c r="AA33" i="84"/>
  <c r="B33" i="84"/>
  <c r="A33" i="84"/>
  <c r="AB31" i="84"/>
  <c r="AA31" i="84"/>
  <c r="D31" i="84"/>
  <c r="B31" i="84"/>
  <c r="A31" i="84"/>
  <c r="AB30" i="84"/>
  <c r="AA30" i="84"/>
  <c r="B30" i="84"/>
  <c r="A30" i="84"/>
  <c r="W24" i="76"/>
  <c r="V24" i="76"/>
  <c r="U24" i="76"/>
  <c r="T24" i="76"/>
  <c r="S24" i="76"/>
  <c r="R24" i="76"/>
  <c r="Q24" i="76"/>
  <c r="P24" i="76"/>
  <c r="O24" i="76"/>
  <c r="N24" i="76"/>
  <c r="M24" i="76"/>
  <c r="L24" i="76"/>
  <c r="K24" i="76"/>
  <c r="J24" i="76"/>
  <c r="I24" i="76"/>
  <c r="H24" i="76"/>
  <c r="G24" i="76"/>
  <c r="F24" i="76"/>
  <c r="E24" i="76"/>
  <c r="D24" i="76"/>
  <c r="C24" i="76"/>
  <c r="S26" i="13"/>
  <c r="T23" i="13"/>
  <c r="S23" i="13"/>
  <c r="R23" i="13"/>
  <c r="Q23" i="13"/>
  <c r="P23" i="13"/>
  <c r="O23" i="13"/>
  <c r="N23" i="13"/>
  <c r="M23" i="13"/>
  <c r="L23" i="13"/>
  <c r="K23" i="13"/>
  <c r="J23" i="13"/>
  <c r="I23" i="13"/>
  <c r="H23" i="13"/>
  <c r="G23" i="13"/>
  <c r="F23" i="13"/>
  <c r="E23" i="13"/>
  <c r="D23" i="13"/>
  <c r="C23" i="13"/>
  <c r="J22" i="13"/>
  <c r="I22" i="13"/>
  <c r="J21" i="13"/>
  <c r="I21" i="13"/>
  <c r="J20" i="13"/>
  <c r="I20" i="13"/>
  <c r="J19" i="13"/>
  <c r="I19" i="13"/>
  <c r="J18" i="13"/>
  <c r="I18" i="13"/>
  <c r="J17" i="13"/>
  <c r="I17" i="13"/>
  <c r="BV45" i="74"/>
  <c r="BU45" i="74"/>
  <c r="BT45" i="74"/>
  <c r="BS45" i="74"/>
  <c r="BR45" i="74"/>
  <c r="BQ45" i="74"/>
  <c r="BP45" i="74"/>
  <c r="BO45" i="74"/>
  <c r="BN45" i="74"/>
  <c r="BM45" i="74"/>
  <c r="BL45" i="74"/>
  <c r="BK45" i="74"/>
  <c r="BJ45" i="74"/>
  <c r="BI45" i="74"/>
  <c r="BH45" i="74"/>
  <c r="BG45" i="74"/>
  <c r="BF45" i="74"/>
  <c r="BE45" i="74"/>
  <c r="BD45" i="74"/>
  <c r="BC45" i="74"/>
  <c r="BB45" i="74"/>
  <c r="BA45" i="74"/>
  <c r="AZ45" i="74"/>
  <c r="AY45" i="74"/>
  <c r="AX45" i="74"/>
  <c r="AW45" i="74"/>
  <c r="AV45" i="74"/>
  <c r="AU45" i="74"/>
  <c r="AT45" i="74"/>
  <c r="AS45" i="74"/>
  <c r="AR45" i="74"/>
  <c r="AQ45" i="74"/>
  <c r="AP45" i="74"/>
  <c r="AO45" i="74"/>
  <c r="AN45" i="74"/>
  <c r="AM45" i="74"/>
  <c r="AL45" i="74"/>
  <c r="AK45" i="74"/>
  <c r="AJ45" i="74"/>
  <c r="AI45" i="74"/>
  <c r="AH45" i="74"/>
  <c r="AG45" i="74"/>
  <c r="AF45" i="74"/>
  <c r="AE45" i="74"/>
  <c r="AD45" i="74"/>
  <c r="AC45" i="74"/>
  <c r="AB45" i="74"/>
  <c r="AA45" i="74"/>
  <c r="Z45" i="74"/>
  <c r="Y45" i="74"/>
  <c r="X45" i="74"/>
  <c r="W45" i="74"/>
  <c r="V45" i="74"/>
  <c r="U45" i="74"/>
  <c r="T45" i="74"/>
  <c r="S45" i="74"/>
  <c r="R45" i="74"/>
  <c r="Q45" i="74"/>
  <c r="P45" i="74"/>
  <c r="O45" i="74"/>
  <c r="N45" i="74"/>
  <c r="M45" i="74"/>
  <c r="L45" i="74"/>
  <c r="K45" i="74"/>
  <c r="J45" i="74"/>
  <c r="I45" i="74"/>
  <c r="H45" i="74"/>
  <c r="G45" i="74"/>
  <c r="F45" i="74"/>
  <c r="E45" i="74"/>
  <c r="BV43" i="74"/>
  <c r="BT43" i="74"/>
  <c r="BS43" i="74"/>
  <c r="BR43" i="74"/>
  <c r="BQ43" i="74"/>
  <c r="BP43" i="74"/>
  <c r="BO43" i="74"/>
  <c r="BL43" i="74"/>
  <c r="BI43" i="74"/>
  <c r="BH43" i="74"/>
  <c r="BG43" i="74"/>
  <c r="BD43" i="74"/>
  <c r="BC43" i="74"/>
  <c r="BB43" i="74"/>
  <c r="AX43" i="74"/>
  <c r="AW43" i="74"/>
  <c r="AS43" i="74"/>
  <c r="AR43" i="74"/>
  <c r="AN43" i="74"/>
  <c r="AM43" i="74"/>
  <c r="AI43" i="74"/>
  <c r="AH43" i="74"/>
  <c r="AD43" i="74"/>
  <c r="AC43" i="74"/>
  <c r="Y43" i="74"/>
  <c r="X43" i="74"/>
  <c r="S43" i="74"/>
  <c r="BV41" i="74"/>
  <c r="BU41" i="74"/>
  <c r="BT41" i="74"/>
  <c r="BS41" i="74"/>
  <c r="BR41" i="74"/>
  <c r="BQ41" i="74"/>
  <c r="BP41" i="74"/>
  <c r="BO41" i="74"/>
  <c r="BN41" i="74"/>
  <c r="BM41" i="74"/>
  <c r="BL41" i="74"/>
  <c r="BK41" i="74"/>
  <c r="BJ41" i="74"/>
  <c r="BI41" i="74"/>
  <c r="BH41" i="74"/>
  <c r="BG41" i="74"/>
  <c r="BF41" i="74"/>
  <c r="BE41" i="74"/>
  <c r="BD41" i="74"/>
  <c r="BC41" i="74"/>
  <c r="BB41" i="74"/>
  <c r="BA41" i="74"/>
  <c r="AZ41" i="74"/>
  <c r="AY41" i="74"/>
  <c r="AX41" i="74"/>
  <c r="AW41" i="74"/>
  <c r="AV41" i="74"/>
  <c r="AU41" i="74"/>
  <c r="AT41" i="74"/>
  <c r="AS41" i="74"/>
  <c r="AR41" i="74"/>
  <c r="AQ41" i="74"/>
  <c r="AP41" i="74"/>
  <c r="AO41" i="74"/>
  <c r="AN41" i="74"/>
  <c r="AM41" i="74"/>
  <c r="AL41" i="74"/>
  <c r="AK41" i="74"/>
  <c r="AJ41" i="74"/>
  <c r="AI41" i="74"/>
  <c r="AH41" i="74"/>
  <c r="AG41" i="74"/>
  <c r="AF41" i="74"/>
  <c r="AE41" i="74"/>
  <c r="AD41" i="74"/>
  <c r="AC41" i="74"/>
  <c r="AB41" i="74"/>
  <c r="AA41" i="74"/>
  <c r="Z41" i="74"/>
  <c r="Y41" i="74"/>
  <c r="X41" i="74"/>
  <c r="W41" i="74"/>
  <c r="V41" i="74"/>
  <c r="U41" i="74"/>
  <c r="T41" i="74"/>
  <c r="S41" i="74"/>
  <c r="R41" i="74"/>
  <c r="Q41" i="74"/>
  <c r="P41" i="74"/>
  <c r="O41" i="74"/>
  <c r="N41" i="74"/>
  <c r="M41" i="74"/>
  <c r="L41" i="74"/>
  <c r="K41" i="74"/>
  <c r="J41" i="74"/>
  <c r="I41" i="74"/>
  <c r="H41" i="74"/>
  <c r="G41" i="74"/>
  <c r="F41" i="74"/>
  <c r="E41" i="74"/>
  <c r="BV40" i="74"/>
  <c r="BU40" i="74"/>
  <c r="BT40" i="74"/>
  <c r="BS40" i="74"/>
  <c r="BR40" i="74"/>
  <c r="BQ40" i="74"/>
  <c r="BP40" i="74"/>
  <c r="BO40" i="74"/>
  <c r="BN40" i="74"/>
  <c r="BM40" i="74"/>
  <c r="BL40" i="74"/>
  <c r="BK40" i="74"/>
  <c r="BJ40" i="74"/>
  <c r="BI40" i="74"/>
  <c r="BH40" i="74"/>
  <c r="BG40" i="74"/>
  <c r="BF40" i="74"/>
  <c r="BE40" i="74"/>
  <c r="BD40" i="74"/>
  <c r="BC40" i="74"/>
  <c r="BB40" i="74"/>
  <c r="BA40" i="74"/>
  <c r="AZ40" i="74"/>
  <c r="AY40" i="74"/>
  <c r="AX40" i="74"/>
  <c r="AW40" i="74"/>
  <c r="AV40" i="74"/>
  <c r="AU40" i="74"/>
  <c r="AT40" i="74"/>
  <c r="AS40" i="74"/>
  <c r="AR40" i="74"/>
  <c r="AQ40" i="74"/>
  <c r="AP40" i="74"/>
  <c r="AO40" i="74"/>
  <c r="AN40" i="74"/>
  <c r="AM40" i="74"/>
  <c r="AL40" i="74"/>
  <c r="AK40" i="74"/>
  <c r="AJ40" i="74"/>
  <c r="AI40" i="74"/>
  <c r="AH40" i="74"/>
  <c r="AG40" i="74"/>
  <c r="AF40" i="74"/>
  <c r="AE40" i="74"/>
  <c r="AD40" i="74"/>
  <c r="AC40" i="74"/>
  <c r="AB40" i="74"/>
  <c r="AA40" i="74"/>
  <c r="Z40" i="74"/>
  <c r="Y40" i="74"/>
  <c r="X40" i="74"/>
  <c r="W40" i="74"/>
  <c r="V40" i="74"/>
  <c r="U40" i="74"/>
  <c r="T40" i="74"/>
  <c r="S40" i="74"/>
  <c r="R40" i="74"/>
  <c r="Q40" i="74"/>
  <c r="P40" i="74"/>
  <c r="O40" i="74"/>
  <c r="N40" i="74"/>
  <c r="M40" i="74"/>
  <c r="L40" i="74"/>
  <c r="K40" i="74"/>
  <c r="J40" i="74"/>
  <c r="I40" i="74"/>
  <c r="H40" i="74"/>
  <c r="G40" i="74"/>
  <c r="F40" i="74"/>
  <c r="E40" i="74"/>
  <c r="BV39" i="74"/>
  <c r="BU39" i="74"/>
  <c r="BT39" i="74"/>
  <c r="BS39" i="74"/>
  <c r="BR39" i="74"/>
  <c r="BQ39" i="74"/>
  <c r="BP39" i="74"/>
  <c r="BO39" i="74"/>
  <c r="BN39" i="74"/>
  <c r="BM39" i="74"/>
  <c r="BL39" i="74"/>
  <c r="BK39" i="74"/>
  <c r="BJ39" i="74"/>
  <c r="BI39" i="74"/>
  <c r="BH39" i="74"/>
  <c r="BG39" i="74"/>
  <c r="BF39" i="74"/>
  <c r="BE39" i="74"/>
  <c r="BD39" i="74"/>
  <c r="BC39" i="74"/>
  <c r="BB39" i="74"/>
  <c r="BA39" i="74"/>
  <c r="AZ39" i="74"/>
  <c r="AY39" i="74"/>
  <c r="AX39" i="74"/>
  <c r="AW39" i="74"/>
  <c r="AV39" i="74"/>
  <c r="AU39" i="74"/>
  <c r="AT39" i="74"/>
  <c r="AS39" i="74"/>
  <c r="AR39" i="74"/>
  <c r="AQ39" i="74"/>
  <c r="AP39" i="74"/>
  <c r="AO39" i="74"/>
  <c r="AN39" i="74"/>
  <c r="AM39" i="74"/>
  <c r="AL39" i="74"/>
  <c r="AK39" i="74"/>
  <c r="AJ39" i="74"/>
  <c r="AI39" i="74"/>
  <c r="AH39" i="74"/>
  <c r="AG39" i="74"/>
  <c r="AF39" i="74"/>
  <c r="AE39" i="74"/>
  <c r="AD39" i="74"/>
  <c r="AC39" i="74"/>
  <c r="AB39" i="74"/>
  <c r="AA39" i="74"/>
  <c r="Z39" i="74"/>
  <c r="Y39" i="74"/>
  <c r="X39" i="74"/>
  <c r="W39" i="74"/>
  <c r="V39" i="74"/>
  <c r="U39" i="74"/>
  <c r="T39" i="74"/>
  <c r="S39" i="74"/>
  <c r="R39" i="74"/>
  <c r="Q39" i="74"/>
  <c r="P39" i="74"/>
  <c r="O39" i="74"/>
  <c r="N39" i="74"/>
  <c r="M39" i="74"/>
  <c r="L39" i="74"/>
  <c r="K39" i="74"/>
  <c r="J39" i="74"/>
  <c r="I39" i="74"/>
  <c r="H39" i="74"/>
  <c r="G39" i="74"/>
  <c r="F39" i="74"/>
  <c r="E39" i="74"/>
  <c r="BV37" i="74"/>
  <c r="BT37" i="74"/>
  <c r="BS37" i="74"/>
  <c r="BP37" i="74"/>
  <c r="BO37" i="74"/>
  <c r="BL37" i="74"/>
  <c r="BH37" i="74"/>
  <c r="BG37" i="74"/>
  <c r="BC37" i="74"/>
  <c r="BB37" i="74"/>
  <c r="AX37" i="74"/>
  <c r="AW37" i="74"/>
  <c r="AS37" i="74"/>
  <c r="AR37" i="74"/>
  <c r="AN37" i="74"/>
  <c r="AM37" i="74"/>
  <c r="AI37" i="74"/>
  <c r="AH37" i="74"/>
  <c r="AD37" i="74"/>
  <c r="AC37" i="74"/>
  <c r="Y37" i="74"/>
  <c r="X37" i="74"/>
  <c r="T37" i="74"/>
  <c r="S37" i="74"/>
  <c r="O37" i="74"/>
  <c r="N37" i="74"/>
  <c r="I37" i="74"/>
  <c r="BV36" i="74"/>
  <c r="BT36" i="74"/>
  <c r="BS36" i="74"/>
  <c r="BR36" i="74"/>
  <c r="BQ36" i="74"/>
  <c r="BP36" i="74"/>
  <c r="BO36" i="74"/>
  <c r="BL36" i="74"/>
  <c r="BH36" i="74"/>
  <c r="BG36" i="74"/>
  <c r="BC36" i="74"/>
  <c r="BB36" i="74"/>
  <c r="AX36" i="74"/>
  <c r="AW36" i="74"/>
  <c r="AS36" i="74"/>
  <c r="AR36" i="74"/>
  <c r="AN36" i="74"/>
  <c r="AM36" i="74"/>
  <c r="AI36" i="74"/>
  <c r="AH36" i="74"/>
  <c r="AD36" i="74"/>
  <c r="AC36" i="74"/>
  <c r="Y36" i="74"/>
  <c r="X36" i="74"/>
  <c r="T36" i="74"/>
  <c r="S36" i="74"/>
  <c r="O36" i="74"/>
  <c r="N36" i="74"/>
  <c r="I36" i="74"/>
  <c r="BV35" i="74"/>
  <c r="BT35" i="74"/>
  <c r="BS35" i="74"/>
  <c r="BR35" i="74"/>
  <c r="BQ35" i="74"/>
  <c r="BP35" i="74"/>
  <c r="BO35" i="74"/>
  <c r="BL35" i="74"/>
  <c r="BH35" i="74"/>
  <c r="BG35" i="74"/>
  <c r="BC35" i="74"/>
  <c r="BB35" i="74"/>
  <c r="AX35" i="74"/>
  <c r="AW35" i="74"/>
  <c r="AS35" i="74"/>
  <c r="AR35" i="74"/>
  <c r="AN35" i="74"/>
  <c r="AM35" i="74"/>
  <c r="AI35" i="74"/>
  <c r="AH35" i="74"/>
  <c r="AD35" i="74"/>
  <c r="AC35" i="74"/>
  <c r="Y35" i="74"/>
  <c r="X35" i="74"/>
  <c r="T35" i="74"/>
  <c r="S35" i="74"/>
  <c r="O35" i="74"/>
  <c r="N35" i="74"/>
  <c r="I35" i="74"/>
  <c r="BV34" i="74"/>
  <c r="BT34" i="74"/>
  <c r="BS34" i="74"/>
  <c r="BR34" i="74"/>
  <c r="BQ34" i="74"/>
  <c r="BP34" i="74"/>
  <c r="BO34" i="74"/>
  <c r="BL34" i="74"/>
  <c r="BH34" i="74"/>
  <c r="BG34" i="74"/>
  <c r="BC34" i="74"/>
  <c r="BB34" i="74"/>
  <c r="AX34" i="74"/>
  <c r="AW34" i="74"/>
  <c r="AS34" i="74"/>
  <c r="AR34" i="74"/>
  <c r="AN34" i="74"/>
  <c r="AM34" i="74"/>
  <c r="AI34" i="74"/>
  <c r="AH34" i="74"/>
  <c r="AD34" i="74"/>
  <c r="AC34" i="74"/>
  <c r="Y34" i="74"/>
  <c r="X34" i="74"/>
  <c r="T34" i="74"/>
  <c r="S34" i="74"/>
  <c r="O34" i="74"/>
  <c r="N34" i="74"/>
  <c r="I34" i="74"/>
  <c r="BV33" i="74"/>
  <c r="BT33" i="74"/>
  <c r="BS33" i="74"/>
  <c r="BR33" i="74"/>
  <c r="BQ33" i="74"/>
  <c r="BP33" i="74"/>
  <c r="BO33" i="74"/>
  <c r="BL33" i="74"/>
  <c r="BH33" i="74"/>
  <c r="BG33" i="74"/>
  <c r="BC33" i="74"/>
  <c r="BB33" i="74"/>
  <c r="AX33" i="74"/>
  <c r="AW33" i="74"/>
  <c r="AS33" i="74"/>
  <c r="AR33" i="74"/>
  <c r="AN33" i="74"/>
  <c r="AM33" i="74"/>
  <c r="AI33" i="74"/>
  <c r="AH33" i="74"/>
  <c r="AD33" i="74"/>
  <c r="AC33" i="74"/>
  <c r="Y33" i="74"/>
  <c r="X33" i="74"/>
  <c r="T33" i="74"/>
  <c r="S33" i="74"/>
  <c r="O33" i="74"/>
  <c r="N33" i="74"/>
  <c r="I33" i="74"/>
  <c r="BV32" i="74"/>
  <c r="BT32" i="74"/>
  <c r="BS32" i="74"/>
  <c r="BR32" i="74"/>
  <c r="BQ32" i="74"/>
  <c r="BP32" i="74"/>
  <c r="BO32" i="74"/>
  <c r="BL32" i="74"/>
  <c r="BH32" i="74"/>
  <c r="BG32" i="74"/>
  <c r="BC32" i="74"/>
  <c r="BB32" i="74"/>
  <c r="AX32" i="74"/>
  <c r="AW32" i="74"/>
  <c r="AS32" i="74"/>
  <c r="AR32" i="74"/>
  <c r="AN32" i="74"/>
  <c r="AM32" i="74"/>
  <c r="AI32" i="74"/>
  <c r="AH32" i="74"/>
  <c r="AD32" i="74"/>
  <c r="AC32" i="74"/>
  <c r="Y32" i="74"/>
  <c r="X32" i="74"/>
  <c r="T32" i="74"/>
  <c r="S32" i="74"/>
  <c r="O32" i="74"/>
  <c r="N32" i="74"/>
  <c r="I32" i="74"/>
  <c r="BV31" i="74"/>
  <c r="BT31" i="74"/>
  <c r="BS31" i="74"/>
  <c r="BR31" i="74"/>
  <c r="BQ31" i="74"/>
  <c r="BP31" i="74"/>
  <c r="BO31" i="74"/>
  <c r="BL31" i="74"/>
  <c r="BH31" i="74"/>
  <c r="BG31" i="74"/>
  <c r="BC31" i="74"/>
  <c r="BB31" i="74"/>
  <c r="AX31" i="74"/>
  <c r="AW31" i="74"/>
  <c r="AS31" i="74"/>
  <c r="AR31" i="74"/>
  <c r="AN31" i="74"/>
  <c r="AM31" i="74"/>
  <c r="AI31" i="74"/>
  <c r="AH31" i="74"/>
  <c r="AD31" i="74"/>
  <c r="AC31" i="74"/>
  <c r="Y31" i="74"/>
  <c r="X31" i="74"/>
  <c r="T31" i="74"/>
  <c r="S31" i="74"/>
  <c r="O31" i="74"/>
  <c r="N31" i="74"/>
  <c r="I31" i="74"/>
  <c r="BT30" i="74"/>
  <c r="BS30" i="74"/>
  <c r="BR30" i="74"/>
  <c r="BQ30" i="74"/>
  <c r="BP30" i="74"/>
  <c r="BO30" i="74"/>
  <c r="BL30" i="74"/>
  <c r="BH30" i="74"/>
  <c r="BG30" i="74"/>
  <c r="BC30" i="74"/>
  <c r="BB30" i="74"/>
  <c r="AX30" i="74"/>
  <c r="AW30" i="74"/>
  <c r="AS30" i="74"/>
  <c r="AR30" i="74"/>
  <c r="AN30" i="74"/>
  <c r="AM30" i="74"/>
  <c r="AI30" i="74"/>
  <c r="AH30" i="74"/>
  <c r="AD30" i="74"/>
  <c r="AC30" i="74"/>
  <c r="Y30" i="74"/>
  <c r="X30" i="74"/>
  <c r="T30" i="74"/>
  <c r="S30" i="74"/>
  <c r="O30" i="74"/>
  <c r="N30" i="74"/>
  <c r="I30" i="74"/>
  <c r="BV29" i="74"/>
  <c r="BT29" i="74"/>
  <c r="BS29" i="74"/>
  <c r="BR29" i="74"/>
  <c r="BQ29" i="74"/>
  <c r="BP29" i="74"/>
  <c r="BO29" i="74"/>
  <c r="BL29" i="74"/>
  <c r="BH29" i="74"/>
  <c r="BG29" i="74"/>
  <c r="BC29" i="74"/>
  <c r="BB29" i="74"/>
  <c r="AX29" i="74"/>
  <c r="AW29" i="74"/>
  <c r="AS29" i="74"/>
  <c r="AR29" i="74"/>
  <c r="AN29" i="74"/>
  <c r="AM29" i="74"/>
  <c r="AI29" i="74"/>
  <c r="AH29" i="74"/>
  <c r="AD29" i="74"/>
  <c r="AC29" i="74"/>
  <c r="Y29" i="74"/>
  <c r="X29" i="74"/>
  <c r="T29" i="74"/>
  <c r="S29" i="74"/>
  <c r="O29" i="74"/>
  <c r="N29" i="74"/>
  <c r="I29" i="74"/>
  <c r="BV28" i="74"/>
  <c r="BT28" i="74"/>
  <c r="BS28" i="74"/>
  <c r="BR28" i="74"/>
  <c r="BQ28" i="74"/>
  <c r="BP28" i="74"/>
  <c r="BO28" i="74"/>
  <c r="BL28" i="74"/>
  <c r="BH28" i="74"/>
  <c r="BG28" i="74"/>
  <c r="BC28" i="74"/>
  <c r="BB28" i="74"/>
  <c r="AX28" i="74"/>
  <c r="AW28" i="74"/>
  <c r="AS28" i="74"/>
  <c r="AR28" i="74"/>
  <c r="AN28" i="74"/>
  <c r="AM28" i="74"/>
  <c r="AI28" i="74"/>
  <c r="AH28" i="74"/>
  <c r="AD28" i="74"/>
  <c r="AC28" i="74"/>
  <c r="Y28" i="74"/>
  <c r="X28" i="74"/>
  <c r="T28" i="74"/>
  <c r="S28" i="74"/>
  <c r="O28" i="74"/>
  <c r="N28" i="74"/>
  <c r="I28" i="74"/>
  <c r="BV27" i="74"/>
  <c r="BT27" i="74"/>
  <c r="BS27" i="74"/>
  <c r="BR27" i="74"/>
  <c r="BQ27" i="74"/>
  <c r="BP27" i="74"/>
  <c r="BO27" i="74"/>
  <c r="BL27" i="74"/>
  <c r="BH27" i="74"/>
  <c r="BG27" i="74"/>
  <c r="BC27" i="74"/>
  <c r="BB27" i="74"/>
  <c r="AX27" i="74"/>
  <c r="AW27" i="74"/>
  <c r="AS27" i="74"/>
  <c r="AR27" i="74"/>
  <c r="AN27" i="74"/>
  <c r="AM27" i="74"/>
  <c r="AI27" i="74"/>
  <c r="AH27" i="74"/>
  <c r="AD27" i="74"/>
  <c r="AC27" i="74"/>
  <c r="Y27" i="74"/>
  <c r="X27" i="74"/>
  <c r="T27" i="74"/>
  <c r="S27" i="74"/>
  <c r="O27" i="74"/>
  <c r="N27" i="74"/>
  <c r="I27" i="74"/>
  <c r="BV26" i="74"/>
  <c r="BT26" i="74"/>
  <c r="BS26" i="74"/>
  <c r="BR26" i="74"/>
  <c r="BQ26" i="74"/>
  <c r="BP26" i="74"/>
  <c r="BO26" i="74"/>
  <c r="BL26" i="74"/>
  <c r="BH26" i="74"/>
  <c r="BG26" i="74"/>
  <c r="BC26" i="74"/>
  <c r="BB26" i="74"/>
  <c r="AX26" i="74"/>
  <c r="AW26" i="74"/>
  <c r="AS26" i="74"/>
  <c r="AR26" i="74"/>
  <c r="AN26" i="74"/>
  <c r="AM26" i="74"/>
  <c r="AI26" i="74"/>
  <c r="AH26" i="74"/>
  <c r="AD26" i="74"/>
  <c r="AC26" i="74"/>
  <c r="Y26" i="74"/>
  <c r="X26" i="74"/>
  <c r="T26" i="74"/>
  <c r="S26" i="74"/>
  <c r="O26" i="74"/>
  <c r="N26" i="74"/>
  <c r="I26" i="74"/>
  <c r="BV25" i="74"/>
  <c r="BT25" i="74"/>
  <c r="BS25" i="74"/>
  <c r="BR25" i="74"/>
  <c r="BQ25" i="74"/>
  <c r="BP25" i="74"/>
  <c r="BO25" i="74"/>
  <c r="BL25" i="74"/>
  <c r="BH25" i="74"/>
  <c r="BG25" i="74"/>
  <c r="BC25" i="74"/>
  <c r="BB25" i="74"/>
  <c r="AX25" i="74"/>
  <c r="AW25" i="74"/>
  <c r="AS25" i="74"/>
  <c r="AR25" i="74"/>
  <c r="AN25" i="74"/>
  <c r="AM25" i="74"/>
  <c r="AI25" i="74"/>
  <c r="AH25" i="74"/>
  <c r="AD25" i="74"/>
  <c r="AC25" i="74"/>
  <c r="Y25" i="74"/>
  <c r="X25" i="74"/>
  <c r="T25" i="74"/>
  <c r="S25" i="74"/>
  <c r="O25" i="74"/>
  <c r="N25" i="74"/>
  <c r="I25" i="74"/>
  <c r="BV24" i="74"/>
  <c r="BT24" i="74"/>
  <c r="BS24" i="74"/>
  <c r="BR24" i="74"/>
  <c r="BQ24" i="74"/>
  <c r="BP24" i="74"/>
  <c r="BO24" i="74"/>
  <c r="BL24" i="74"/>
  <c r="BH24" i="74"/>
  <c r="BG24" i="74"/>
  <c r="BC24" i="74"/>
  <c r="BB24" i="74"/>
  <c r="AX24" i="74"/>
  <c r="AW24" i="74"/>
  <c r="AS24" i="74"/>
  <c r="AR24" i="74"/>
  <c r="AN24" i="74"/>
  <c r="AM24" i="74"/>
  <c r="AI24" i="74"/>
  <c r="AH24" i="74"/>
  <c r="AD24" i="74"/>
  <c r="AC24" i="74"/>
  <c r="Y24" i="74"/>
  <c r="X24" i="74"/>
  <c r="T24" i="74"/>
  <c r="S24" i="74"/>
  <c r="O24" i="74"/>
  <c r="N24" i="74"/>
  <c r="I24" i="74"/>
  <c r="BV23" i="74"/>
  <c r="BT23" i="74"/>
  <c r="BS23" i="74"/>
  <c r="BR23" i="74"/>
  <c r="BQ23" i="74"/>
  <c r="BP23" i="74"/>
  <c r="BO23" i="74"/>
  <c r="BL23" i="74"/>
  <c r="BH23" i="74"/>
  <c r="BG23" i="74"/>
  <c r="BC23" i="74"/>
  <c r="BB23" i="74"/>
  <c r="AX23" i="74"/>
  <c r="AW23" i="74"/>
  <c r="AS23" i="74"/>
  <c r="AR23" i="74"/>
  <c r="AN23" i="74"/>
  <c r="AM23" i="74"/>
  <c r="AI23" i="74"/>
  <c r="AH23" i="74"/>
  <c r="AD23" i="74"/>
  <c r="AC23" i="74"/>
  <c r="Y23" i="74"/>
  <c r="X23" i="74"/>
  <c r="T23" i="74"/>
  <c r="S23" i="74"/>
  <c r="O23" i="74"/>
  <c r="N23" i="74"/>
  <c r="I23" i="74"/>
  <c r="BV22" i="74"/>
  <c r="BT22" i="74"/>
  <c r="BS22" i="74"/>
  <c r="BR22" i="74"/>
  <c r="BQ22" i="74"/>
  <c r="BP22" i="74"/>
  <c r="BO22" i="74"/>
  <c r="BL22" i="74"/>
  <c r="BH22" i="74"/>
  <c r="BG22" i="74"/>
  <c r="BC22" i="74"/>
  <c r="BB22" i="74"/>
  <c r="AX22" i="74"/>
  <c r="AW22" i="74"/>
  <c r="AS22" i="74"/>
  <c r="AR22" i="74"/>
  <c r="AN22" i="74"/>
  <c r="AM22" i="74"/>
  <c r="AI22" i="74"/>
  <c r="AH22" i="74"/>
  <c r="AD22" i="74"/>
  <c r="AC22" i="74"/>
  <c r="Y22" i="74"/>
  <c r="X22" i="74"/>
  <c r="T22" i="74"/>
  <c r="S22" i="74"/>
  <c r="O22" i="74"/>
  <c r="N22" i="74"/>
  <c r="I22" i="74"/>
  <c r="BV21" i="74"/>
  <c r="BT21" i="74"/>
  <c r="BS21" i="74"/>
  <c r="BR21" i="74"/>
  <c r="BQ21" i="74"/>
  <c r="BP21" i="74"/>
  <c r="BO21" i="74"/>
  <c r="BL21" i="74"/>
  <c r="BH21" i="74"/>
  <c r="BG21" i="74"/>
  <c r="BC21" i="74"/>
  <c r="BB21" i="74"/>
  <c r="AX21" i="74"/>
  <c r="AW21" i="74"/>
  <c r="AS21" i="74"/>
  <c r="AR21" i="74"/>
  <c r="AN21" i="74"/>
  <c r="AM21" i="74"/>
  <c r="AI21" i="74"/>
  <c r="AH21" i="74"/>
  <c r="AD21" i="74"/>
  <c r="AC21" i="74"/>
  <c r="Y21" i="74"/>
  <c r="X21" i="74"/>
  <c r="T21" i="74"/>
  <c r="S21" i="74"/>
  <c r="O21" i="74"/>
  <c r="N21" i="74"/>
  <c r="I21" i="74"/>
  <c r="H26" i="17" l="1"/>
  <c r="G27" i="17"/>
  <c r="H27" i="17" s="1"/>
  <c r="P18" i="30"/>
  <c r="P19" i="30"/>
  <c r="P21" i="30"/>
  <c r="P23" i="30" s="1"/>
  <c r="H30" i="62"/>
  <c r="L24" i="62"/>
  <c r="M24" i="62" s="1"/>
  <c r="L19" i="62"/>
  <c r="M19" i="62" s="1"/>
  <c r="K27" i="62"/>
  <c r="H41" i="62"/>
  <c r="L35" i="62"/>
  <c r="M35" i="62" s="1"/>
  <c r="L36" i="62"/>
  <c r="M36" i="62" s="1"/>
  <c r="L559" i="56"/>
  <c r="M559" i="56" s="1"/>
  <c r="K542" i="56"/>
  <c r="K430" i="56"/>
  <c r="H374" i="56"/>
  <c r="K598" i="56"/>
  <c r="H610" i="56"/>
  <c r="L542" i="56"/>
  <c r="M542" i="56" s="1"/>
  <c r="K551" i="56"/>
  <c r="H554" i="56"/>
  <c r="K486" i="56"/>
  <c r="L486" i="56" s="1"/>
  <c r="M486" i="56" s="1"/>
  <c r="H495" i="56"/>
  <c r="L430" i="56"/>
  <c r="K439" i="56"/>
  <c r="H439" i="56"/>
  <c r="M430" i="56"/>
  <c r="L374" i="56"/>
  <c r="K383" i="56"/>
  <c r="H383" i="56"/>
  <c r="M374" i="56"/>
  <c r="H327" i="56"/>
  <c r="K318" i="56"/>
  <c r="L259" i="56"/>
  <c r="M259" i="56" s="1"/>
  <c r="H271" i="56"/>
  <c r="L262" i="56"/>
  <c r="M262" i="56" s="1"/>
  <c r="K271" i="56"/>
  <c r="K215" i="56"/>
  <c r="L206" i="56"/>
  <c r="M206" i="56" s="1"/>
  <c r="H215" i="56"/>
  <c r="L147" i="56"/>
  <c r="M147" i="56" s="1"/>
  <c r="H150" i="56"/>
  <c r="L150" i="56" s="1"/>
  <c r="K159" i="56"/>
  <c r="L91" i="56"/>
  <c r="M91" i="56" s="1"/>
  <c r="H103" i="56"/>
  <c r="K94" i="56"/>
  <c r="H17" i="17" l="1"/>
  <c r="I27" i="17"/>
  <c r="G17" i="17"/>
  <c r="I26" i="17"/>
  <c r="I28" i="17" s="1"/>
  <c r="A31" i="17"/>
  <c r="H43" i="62"/>
  <c r="H42" i="62"/>
  <c r="H44" i="62"/>
  <c r="K30" i="62"/>
  <c r="L27" i="62"/>
  <c r="M27" i="62" s="1"/>
  <c r="H46" i="62"/>
  <c r="H51" i="62"/>
  <c r="H621" i="56"/>
  <c r="H626" i="56"/>
  <c r="H631" i="56"/>
  <c r="K607" i="56"/>
  <c r="L598" i="56"/>
  <c r="M598" i="56" s="1"/>
  <c r="H565" i="56"/>
  <c r="H570" i="56"/>
  <c r="H575" i="56"/>
  <c r="K554" i="56"/>
  <c r="L551" i="56"/>
  <c r="M551" i="56" s="1"/>
  <c r="K495" i="56"/>
  <c r="K498" i="56" s="1"/>
  <c r="H498" i="56"/>
  <c r="H442" i="56"/>
  <c r="K442" i="56"/>
  <c r="L439" i="56"/>
  <c r="M439" i="56" s="1"/>
  <c r="H386" i="56"/>
  <c r="K386" i="56"/>
  <c r="L383" i="56"/>
  <c r="M383" i="56" s="1"/>
  <c r="L318" i="56"/>
  <c r="M318" i="56" s="1"/>
  <c r="K327" i="56"/>
  <c r="H330" i="56"/>
  <c r="K274" i="56"/>
  <c r="L271" i="56"/>
  <c r="M271" i="56" s="1"/>
  <c r="H274" i="56"/>
  <c r="H218" i="56"/>
  <c r="K218" i="56"/>
  <c r="L215" i="56"/>
  <c r="M215" i="56" s="1"/>
  <c r="K162" i="56"/>
  <c r="H159" i="56"/>
  <c r="L159" i="56" s="1"/>
  <c r="M150" i="56"/>
  <c r="L94" i="56"/>
  <c r="M94" i="56" s="1"/>
  <c r="K103" i="56"/>
  <c r="H106" i="56"/>
  <c r="H47" i="62" l="1"/>
  <c r="H49" i="62"/>
  <c r="L30" i="62"/>
  <c r="M30" i="62" s="1"/>
  <c r="K46" i="62"/>
  <c r="K51" i="62"/>
  <c r="K41" i="62"/>
  <c r="H52" i="62"/>
  <c r="H54" i="62"/>
  <c r="K610" i="56"/>
  <c r="L607" i="56"/>
  <c r="M607" i="56" s="1"/>
  <c r="H632" i="56"/>
  <c r="H627" i="56"/>
  <c r="H629" i="56" s="1"/>
  <c r="H622" i="56"/>
  <c r="H623" i="56"/>
  <c r="L554" i="56"/>
  <c r="M554" i="56" s="1"/>
  <c r="K565" i="56"/>
  <c r="K575" i="56"/>
  <c r="K570" i="56"/>
  <c r="H576" i="56"/>
  <c r="H571" i="56"/>
  <c r="H567" i="56"/>
  <c r="H566" i="56"/>
  <c r="L495" i="56"/>
  <c r="M495" i="56" s="1"/>
  <c r="H509" i="56"/>
  <c r="H514" i="56"/>
  <c r="H519" i="56"/>
  <c r="L498" i="56"/>
  <c r="M498" i="56" s="1"/>
  <c r="K519" i="56"/>
  <c r="K509" i="56"/>
  <c r="K514" i="56"/>
  <c r="L442" i="56"/>
  <c r="K453" i="56"/>
  <c r="K463" i="56"/>
  <c r="K458" i="56"/>
  <c r="M442" i="56"/>
  <c r="H458" i="56"/>
  <c r="H453" i="56"/>
  <c r="H463" i="56"/>
  <c r="L386" i="56"/>
  <c r="M386" i="56" s="1"/>
  <c r="K397" i="56"/>
  <c r="K407" i="56"/>
  <c r="K402" i="56"/>
  <c r="H397" i="56"/>
  <c r="H407" i="56"/>
  <c r="H402" i="56"/>
  <c r="H341" i="56"/>
  <c r="H346" i="56"/>
  <c r="H351" i="56"/>
  <c r="K330" i="56"/>
  <c r="L327" i="56"/>
  <c r="M327" i="56" s="1"/>
  <c r="H285" i="56"/>
  <c r="H295" i="56"/>
  <c r="H290" i="56"/>
  <c r="L274" i="56"/>
  <c r="M274" i="56" s="1"/>
  <c r="K295" i="56"/>
  <c r="K285" i="56"/>
  <c r="K290" i="56"/>
  <c r="L218" i="56"/>
  <c r="K239" i="56"/>
  <c r="K229" i="56"/>
  <c r="K234" i="56"/>
  <c r="M218" i="56"/>
  <c r="H229" i="56"/>
  <c r="H234" i="56"/>
  <c r="H239" i="56"/>
  <c r="H162" i="56"/>
  <c r="L162" i="56" s="1"/>
  <c r="M159" i="56"/>
  <c r="K173" i="56"/>
  <c r="K183" i="56"/>
  <c r="K178" i="56"/>
  <c r="K106" i="56"/>
  <c r="L103" i="56"/>
  <c r="M103" i="56" s="1"/>
  <c r="H122" i="56"/>
  <c r="H117" i="56"/>
  <c r="H127" i="56"/>
  <c r="K52" i="62" l="1"/>
  <c r="L52" i="62" s="1"/>
  <c r="K54" i="62"/>
  <c r="L54" i="62" s="1"/>
  <c r="M54" i="62" s="1"/>
  <c r="L51" i="62"/>
  <c r="M51" i="62" s="1"/>
  <c r="K47" i="62"/>
  <c r="L47" i="62" s="1"/>
  <c r="K49" i="62"/>
  <c r="L49" i="62" s="1"/>
  <c r="L46" i="62"/>
  <c r="M46" i="62" s="1"/>
  <c r="M52" i="62"/>
  <c r="K43" i="62"/>
  <c r="L43" i="62" s="1"/>
  <c r="L41" i="62"/>
  <c r="M41" i="62" s="1"/>
  <c r="K42" i="62"/>
  <c r="L42" i="62" s="1"/>
  <c r="M42" i="62" s="1"/>
  <c r="M49" i="62"/>
  <c r="M47" i="62"/>
  <c r="H624" i="56"/>
  <c r="H634" i="56"/>
  <c r="L610" i="56"/>
  <c r="M610" i="56" s="1"/>
  <c r="K621" i="56"/>
  <c r="K631" i="56"/>
  <c r="K626" i="56"/>
  <c r="H568" i="56"/>
  <c r="H578" i="56"/>
  <c r="H573" i="56"/>
  <c r="K571" i="56"/>
  <c r="L571" i="56" s="1"/>
  <c r="M571" i="56" s="1"/>
  <c r="L570" i="56"/>
  <c r="M570" i="56" s="1"/>
  <c r="K576" i="56"/>
  <c r="L576" i="56" s="1"/>
  <c r="M576" i="56" s="1"/>
  <c r="L575" i="56"/>
  <c r="M575" i="56" s="1"/>
  <c r="L565" i="56"/>
  <c r="M565" i="56" s="1"/>
  <c r="K567" i="56"/>
  <c r="L567" i="56" s="1"/>
  <c r="K566" i="56"/>
  <c r="L566" i="56" s="1"/>
  <c r="M566" i="56" s="1"/>
  <c r="K520" i="56"/>
  <c r="L519" i="56"/>
  <c r="K515" i="56"/>
  <c r="L514" i="56"/>
  <c r="H520" i="56"/>
  <c r="H522" i="56" s="1"/>
  <c r="M519" i="56"/>
  <c r="H515" i="56"/>
  <c r="M514" i="56"/>
  <c r="H511" i="56"/>
  <c r="H510" i="56"/>
  <c r="L509" i="56"/>
  <c r="M509" i="56" s="1"/>
  <c r="K511" i="56"/>
  <c r="K510" i="56"/>
  <c r="H464" i="56"/>
  <c r="H459" i="56"/>
  <c r="K459" i="56"/>
  <c r="L458" i="56"/>
  <c r="M458" i="56" s="1"/>
  <c r="L463" i="56"/>
  <c r="M463" i="56" s="1"/>
  <c r="K464" i="56"/>
  <c r="H455" i="56"/>
  <c r="H454" i="56"/>
  <c r="L453" i="56"/>
  <c r="M453" i="56" s="1"/>
  <c r="K455" i="56"/>
  <c r="K454" i="56"/>
  <c r="H398" i="56"/>
  <c r="H403" i="56"/>
  <c r="H405" i="56" s="1"/>
  <c r="K403" i="56"/>
  <c r="L402" i="56"/>
  <c r="M402" i="56" s="1"/>
  <c r="K408" i="56"/>
  <c r="L407" i="56"/>
  <c r="M407" i="56" s="1"/>
  <c r="L397" i="56"/>
  <c r="M397" i="56" s="1"/>
  <c r="L399" i="56"/>
  <c r="K398" i="56"/>
  <c r="H408" i="56"/>
  <c r="L330" i="56"/>
  <c r="M330" i="56" s="1"/>
  <c r="K341" i="56"/>
  <c r="K351" i="56"/>
  <c r="K346" i="56"/>
  <c r="H352" i="56"/>
  <c r="H354" i="56" s="1"/>
  <c r="H347" i="56"/>
  <c r="H342" i="56"/>
  <c r="H344" i="56" s="1"/>
  <c r="K286" i="56"/>
  <c r="L285" i="56"/>
  <c r="M285" i="56" s="1"/>
  <c r="L295" i="56"/>
  <c r="M295" i="56" s="1"/>
  <c r="K296" i="56"/>
  <c r="K298" i="56" s="1"/>
  <c r="H291" i="56"/>
  <c r="H293" i="56" s="1"/>
  <c r="K291" i="56"/>
  <c r="K293" i="56" s="1"/>
  <c r="L290" i="56"/>
  <c r="M290" i="56" s="1"/>
  <c r="H296" i="56"/>
  <c r="H286" i="56"/>
  <c r="H240" i="56"/>
  <c r="K235" i="56"/>
  <c r="K237" i="56" s="1"/>
  <c r="L234" i="56"/>
  <c r="L229" i="56"/>
  <c r="M229" i="56" s="1"/>
  <c r="K230" i="56"/>
  <c r="H235" i="56"/>
  <c r="H237" i="56" s="1"/>
  <c r="M234" i="56"/>
  <c r="K240" i="56"/>
  <c r="L240" i="56" s="1"/>
  <c r="L239" i="56"/>
  <c r="M239" i="56" s="1"/>
  <c r="H230" i="56"/>
  <c r="K184" i="56"/>
  <c r="K179" i="56"/>
  <c r="K175" i="56"/>
  <c r="K174" i="56"/>
  <c r="K176" i="56" s="1"/>
  <c r="M162" i="56"/>
  <c r="H173" i="56"/>
  <c r="H178" i="56"/>
  <c r="H183" i="56"/>
  <c r="L183" i="56" s="1"/>
  <c r="H119" i="56"/>
  <c r="H118" i="56"/>
  <c r="H120" i="56" s="1"/>
  <c r="H123" i="56"/>
  <c r="H128" i="56"/>
  <c r="L106" i="56"/>
  <c r="M106" i="56" s="1"/>
  <c r="K127" i="56"/>
  <c r="K122" i="56"/>
  <c r="K117" i="56"/>
  <c r="K44" i="62" l="1"/>
  <c r="L44" i="62" s="1"/>
  <c r="M44" i="62" s="1"/>
  <c r="L464" i="56"/>
  <c r="L621" i="56"/>
  <c r="M621" i="56" s="1"/>
  <c r="K623" i="56"/>
  <c r="L623" i="56" s="1"/>
  <c r="K622" i="56"/>
  <c r="L622" i="56" s="1"/>
  <c r="M622" i="56" s="1"/>
  <c r="L626" i="56"/>
  <c r="M626" i="56" s="1"/>
  <c r="K627" i="56"/>
  <c r="L627" i="56" s="1"/>
  <c r="M627" i="56" s="1"/>
  <c r="K632" i="56"/>
  <c r="L632" i="56" s="1"/>
  <c r="M632" i="56" s="1"/>
  <c r="L631" i="56"/>
  <c r="M631" i="56" s="1"/>
  <c r="K568" i="56"/>
  <c r="L568" i="56" s="1"/>
  <c r="M568" i="56" s="1"/>
  <c r="K578" i="56"/>
  <c r="L578" i="56" s="1"/>
  <c r="M578" i="56" s="1"/>
  <c r="K573" i="56"/>
  <c r="L573" i="56" s="1"/>
  <c r="M573" i="56" s="1"/>
  <c r="L515" i="56"/>
  <c r="M515" i="56" s="1"/>
  <c r="L510" i="56"/>
  <c r="M510" i="56" s="1"/>
  <c r="K517" i="56"/>
  <c r="H512" i="56"/>
  <c r="H517" i="56"/>
  <c r="L511" i="56"/>
  <c r="K512" i="56"/>
  <c r="L520" i="56"/>
  <c r="M520" i="56" s="1"/>
  <c r="K522" i="56"/>
  <c r="L522" i="56" s="1"/>
  <c r="M522" i="56" s="1"/>
  <c r="H456" i="56"/>
  <c r="L459" i="56"/>
  <c r="M459" i="56" s="1"/>
  <c r="K466" i="56"/>
  <c r="L454" i="56"/>
  <c r="M454" i="56" s="1"/>
  <c r="H461" i="56"/>
  <c r="K461" i="56"/>
  <c r="L455" i="56"/>
  <c r="K456" i="56"/>
  <c r="L456" i="56" s="1"/>
  <c r="M456" i="56" s="1"/>
  <c r="M464" i="56"/>
  <c r="H466" i="56"/>
  <c r="L403" i="56"/>
  <c r="M403" i="56" s="1"/>
  <c r="L408" i="56"/>
  <c r="M408" i="56" s="1"/>
  <c r="K400" i="56"/>
  <c r="K410" i="56"/>
  <c r="H410" i="56"/>
  <c r="H400" i="56"/>
  <c r="K405" i="56"/>
  <c r="L405" i="56" s="1"/>
  <c r="M405" i="56" s="1"/>
  <c r="L398" i="56"/>
  <c r="M398" i="56" s="1"/>
  <c r="H349" i="56"/>
  <c r="K347" i="56"/>
  <c r="L347" i="56" s="1"/>
  <c r="M347" i="56" s="1"/>
  <c r="L346" i="56"/>
  <c r="M346" i="56" s="1"/>
  <c r="L351" i="56"/>
  <c r="M351" i="56" s="1"/>
  <c r="K352" i="56"/>
  <c r="L352" i="56" s="1"/>
  <c r="M352" i="56" s="1"/>
  <c r="L341" i="56"/>
  <c r="M341" i="56" s="1"/>
  <c r="K342" i="56"/>
  <c r="L342" i="56" s="1"/>
  <c r="M342" i="56" s="1"/>
  <c r="L343" i="56"/>
  <c r="L291" i="56"/>
  <c r="M291" i="56" s="1"/>
  <c r="H288" i="56"/>
  <c r="L293" i="56"/>
  <c r="L287" i="56"/>
  <c r="M293" i="56"/>
  <c r="H298" i="56"/>
  <c r="K288" i="56"/>
  <c r="L296" i="56"/>
  <c r="M296" i="56" s="1"/>
  <c r="L286" i="56"/>
  <c r="M286" i="56" s="1"/>
  <c r="H232" i="56"/>
  <c r="K242" i="56"/>
  <c r="L231" i="56"/>
  <c r="L237" i="56"/>
  <c r="L230" i="56"/>
  <c r="M230" i="56" s="1"/>
  <c r="M237" i="56"/>
  <c r="L235" i="56"/>
  <c r="M235" i="56" s="1"/>
  <c r="K232" i="56"/>
  <c r="L232" i="56" s="1"/>
  <c r="M232" i="56" s="1"/>
  <c r="M240" i="56"/>
  <c r="H242" i="56"/>
  <c r="H175" i="56"/>
  <c r="H174" i="56"/>
  <c r="H176" i="56" s="1"/>
  <c r="H179" i="56"/>
  <c r="H181" i="56" s="1"/>
  <c r="M183" i="56"/>
  <c r="H184" i="56"/>
  <c r="L184" i="56" s="1"/>
  <c r="L174" i="56"/>
  <c r="L173" i="56"/>
  <c r="M173" i="56" s="1"/>
  <c r="L179" i="56"/>
  <c r="L175" i="56"/>
  <c r="L178" i="56"/>
  <c r="M178" i="56" s="1"/>
  <c r="K181" i="56"/>
  <c r="K186" i="56"/>
  <c r="K123" i="56"/>
  <c r="L123" i="56" s="1"/>
  <c r="M123" i="56" s="1"/>
  <c r="L122" i="56"/>
  <c r="M122" i="56" s="1"/>
  <c r="H130" i="56"/>
  <c r="K119" i="56"/>
  <c r="L119" i="56" s="1"/>
  <c r="L117" i="56"/>
  <c r="K118" i="56"/>
  <c r="L118" i="56" s="1"/>
  <c r="M118" i="56" s="1"/>
  <c r="H125" i="56"/>
  <c r="L127" i="56"/>
  <c r="M127" i="56" s="1"/>
  <c r="K128" i="56"/>
  <c r="L128" i="56" s="1"/>
  <c r="M128" i="56" s="1"/>
  <c r="L512" i="56" l="1"/>
  <c r="L288" i="56"/>
  <c r="M288" i="56" s="1"/>
  <c r="M117" i="56"/>
  <c r="N55" i="56"/>
  <c r="J63" i="56"/>
  <c r="L58" i="56"/>
  <c r="H64" i="56"/>
  <c r="K624" i="56"/>
  <c r="L624" i="56" s="1"/>
  <c r="M624" i="56" s="1"/>
  <c r="K634" i="56"/>
  <c r="L634" i="56" s="1"/>
  <c r="M634" i="56" s="1"/>
  <c r="K629" i="56"/>
  <c r="L629" i="56" s="1"/>
  <c r="M629" i="56" s="1"/>
  <c r="L517" i="56"/>
  <c r="M517" i="56" s="1"/>
  <c r="M512" i="56"/>
  <c r="L466" i="56"/>
  <c r="M466" i="56" s="1"/>
  <c r="L461" i="56"/>
  <c r="M461" i="56" s="1"/>
  <c r="L410" i="56"/>
  <c r="M410" i="56" s="1"/>
  <c r="L400" i="56"/>
  <c r="M400" i="56" s="1"/>
  <c r="K349" i="56"/>
  <c r="L349" i="56" s="1"/>
  <c r="M349" i="56" s="1"/>
  <c r="K354" i="56"/>
  <c r="L354" i="56" s="1"/>
  <c r="M354" i="56" s="1"/>
  <c r="K344" i="56"/>
  <c r="L344" i="56" s="1"/>
  <c r="M344" i="56" s="1"/>
  <c r="L298" i="56"/>
  <c r="M298" i="56" s="1"/>
  <c r="L242" i="56"/>
  <c r="M242" i="56" s="1"/>
  <c r="M184" i="56"/>
  <c r="L176" i="56"/>
  <c r="M176" i="56" s="1"/>
  <c r="M179" i="56"/>
  <c r="H186" i="56"/>
  <c r="L186" i="56" s="1"/>
  <c r="M174" i="56"/>
  <c r="L181" i="56"/>
  <c r="M181" i="56" s="1"/>
  <c r="K120" i="56"/>
  <c r="L120" i="56" s="1"/>
  <c r="M120" i="56" s="1"/>
  <c r="K125" i="56"/>
  <c r="L125" i="56" s="1"/>
  <c r="M125" i="56" s="1"/>
  <c r="K130" i="56"/>
  <c r="L130" i="56" s="1"/>
  <c r="M130" i="56" s="1"/>
  <c r="H57" i="56" l="1"/>
  <c r="N59" i="56"/>
  <c r="L55" i="56"/>
  <c r="L63" i="56"/>
  <c r="H59" i="56"/>
  <c r="J59" i="56"/>
  <c r="H56" i="56"/>
  <c r="L56" i="56"/>
  <c r="N56" i="56"/>
  <c r="H58" i="56"/>
  <c r="H61" i="56"/>
  <c r="J56" i="56"/>
  <c r="L61" i="56"/>
  <c r="L60" i="56"/>
  <c r="H63" i="56"/>
  <c r="J55" i="56"/>
  <c r="N62" i="56"/>
  <c r="H60" i="56"/>
  <c r="N63" i="56"/>
  <c r="J64" i="56"/>
  <c r="N64" i="56"/>
  <c r="H62" i="56"/>
  <c r="J57" i="56"/>
  <c r="J60" i="56"/>
  <c r="L64" i="56"/>
  <c r="N57" i="56"/>
  <c r="N61" i="56"/>
  <c r="J62" i="56"/>
  <c r="N58" i="56"/>
  <c r="N60" i="56"/>
  <c r="J61" i="56"/>
  <c r="J58" i="56"/>
  <c r="H55" i="56"/>
  <c r="L59" i="56"/>
  <c r="L62" i="56"/>
  <c r="L57" i="56"/>
  <c r="M186" i="56"/>
  <c r="O63" i="56" s="1"/>
  <c r="K58" i="56" l="1"/>
  <c r="M57" i="56"/>
  <c r="O62" i="56"/>
  <c r="I61" i="56"/>
  <c r="I62" i="56"/>
  <c r="I63" i="56"/>
  <c r="I60" i="56"/>
  <c r="K60" i="56"/>
  <c r="M56" i="56"/>
  <c r="K55" i="56"/>
  <c r="K57" i="56"/>
  <c r="I55" i="56"/>
  <c r="M64" i="56"/>
  <c r="K63" i="56"/>
  <c r="I56" i="56"/>
  <c r="O64" i="56"/>
  <c r="I58" i="56"/>
  <c r="O59" i="56"/>
  <c r="O56" i="56"/>
  <c r="M61" i="56"/>
  <c r="M58" i="56"/>
  <c r="I64" i="56"/>
  <c r="O57" i="56"/>
  <c r="K62" i="56"/>
  <c r="O60" i="56"/>
  <c r="K56" i="56"/>
  <c r="M63" i="56"/>
  <c r="I57" i="56"/>
  <c r="K64" i="56"/>
  <c r="O58" i="56"/>
  <c r="M62" i="56"/>
  <c r="M55" i="56"/>
  <c r="M60" i="56"/>
  <c r="K59" i="56"/>
  <c r="O61" i="56"/>
  <c r="I59" i="56"/>
  <c r="M59" i="56"/>
  <c r="O55" i="56"/>
  <c r="K61" i="56"/>
</calcChain>
</file>

<file path=xl/sharedStrings.xml><?xml version="1.0" encoding="utf-8"?>
<sst xmlns="http://schemas.openxmlformats.org/spreadsheetml/2006/main" count="85053" uniqueCount="6981">
  <si>
    <t>Version</t>
  </si>
  <si>
    <t xml:space="preserve">Utility Name   </t>
  </si>
  <si>
    <t xml:space="preserve">Phone Number   </t>
  </si>
  <si>
    <t xml:space="preserve">Email Address   </t>
  </si>
  <si>
    <t xml:space="preserve">We are applying for rates effective   </t>
  </si>
  <si>
    <t>General Service 1,000 to 4,999 kW</t>
  </si>
  <si>
    <t>General Service Equal To Or Greater Than 1,500 kW - Interval Metered</t>
  </si>
  <si>
    <t>General Service 3,000 to 4,999 kW</t>
  </si>
  <si>
    <t>Embedded Distributor</t>
  </si>
  <si>
    <t>Service Territory</t>
  </si>
  <si>
    <t>Assigned EB Number</t>
  </si>
  <si>
    <t>Service Charge</t>
  </si>
  <si>
    <t>Service Charge (per connection)</t>
  </si>
  <si>
    <t>Service Charge (per customer)</t>
  </si>
  <si>
    <t>Rate Rider for Recovery of Incremental Capital Costs</t>
  </si>
  <si>
    <t>Units</t>
  </si>
  <si>
    <t>Loss Factors</t>
  </si>
  <si>
    <t>Total Loss Factor – Primary Metered Customer &gt; 5,000 kW</t>
  </si>
  <si>
    <t>Low Voltage Service Rate</t>
  </si>
  <si>
    <t>Low Voltage Volumetric Rate</t>
  </si>
  <si>
    <t>Total Loss Factor – Primary Metered Customer &lt; 5,000 kW</t>
  </si>
  <si>
    <t>Total Loss Factor – Secondary Metered Customer &lt; 5,000 kW</t>
  </si>
  <si>
    <t>Total Loss Factor – Secondary Metered Customer &gt; 5,000 kW</t>
  </si>
  <si>
    <t>$</t>
  </si>
  <si>
    <t>$/kWh</t>
  </si>
  <si>
    <t>$/kVA</t>
  </si>
  <si>
    <t>Distribution Loss Factor - Secondary Metered Customer &lt; 5,000 kW</t>
  </si>
  <si>
    <t>Distribution Loss Factor - Secondary Metered Customer &gt; 5,000 kW</t>
  </si>
  <si>
    <t>Distribution Loss Factor - Primary Metered Customer &lt; 5,000 kW</t>
  </si>
  <si>
    <t>Distribution Loss Factor - Primary Metered Customer &gt; 5,000 kW</t>
  </si>
  <si>
    <t>Total Loss Factor - Embedded Distributor</t>
  </si>
  <si>
    <t>Wholesale Market Service Rate</t>
  </si>
  <si>
    <t>Standard Supply Service - Administrative Charge (if applicable)</t>
  </si>
  <si>
    <t>$/kW</t>
  </si>
  <si>
    <t>January</t>
  </si>
  <si>
    <t>February</t>
  </si>
  <si>
    <t>March</t>
  </si>
  <si>
    <t>April</t>
  </si>
  <si>
    <t>May</t>
  </si>
  <si>
    <t>June</t>
  </si>
  <si>
    <t>July</t>
  </si>
  <si>
    <t>August</t>
  </si>
  <si>
    <t>September</t>
  </si>
  <si>
    <t>October</t>
  </si>
  <si>
    <t>November</t>
  </si>
  <si>
    <t>December</t>
  </si>
  <si>
    <t>RSVA - Wholesale Market Service Charge</t>
  </si>
  <si>
    <t>RSVA - Retail Transmission Network Charge</t>
  </si>
  <si>
    <t>RSVA - Retail Transmission Connection Charge</t>
  </si>
  <si>
    <t>LV Variance Account</t>
  </si>
  <si>
    <t>RSVA - Power (excluding Global Adjustment)</t>
  </si>
  <si>
    <t>Total</t>
  </si>
  <si>
    <t>Rate Class</t>
  </si>
  <si>
    <t>Unit</t>
  </si>
  <si>
    <r>
      <t xml:space="preserve">% of  Total </t>
    </r>
    <r>
      <rPr>
        <b/>
        <sz val="10"/>
        <color theme="3"/>
        <rFont val="Arial"/>
        <family val="2"/>
      </rPr>
      <t>kWh</t>
    </r>
  </si>
  <si>
    <r>
      <t xml:space="preserve">% of  Total </t>
    </r>
    <r>
      <rPr>
        <b/>
        <sz val="10"/>
        <color theme="3"/>
        <rFont val="Arial"/>
        <family val="2"/>
      </rPr>
      <t>non-RPP kWh</t>
    </r>
  </si>
  <si>
    <t>Disconnect/Reconnection for &gt;300 volts - during regular hours</t>
  </si>
  <si>
    <t>Disconnect/Reconnection for &gt;300 volts - after regular hours</t>
  </si>
  <si>
    <t>Administrative Billing Charge</t>
  </si>
  <si>
    <t>Clearance Pole Attachment charge $/pole/year</t>
  </si>
  <si>
    <t>Disposal of Concrete Poles</t>
  </si>
  <si>
    <t>Interval Meter Interrogation</t>
  </si>
  <si>
    <t>Layout fees</t>
  </si>
  <si>
    <t>Missed Service Appointment</t>
  </si>
  <si>
    <t>Optional Interval/TOU Meter charge $/month</t>
  </si>
  <si>
    <t>Overtime Locate</t>
  </si>
  <si>
    <t>Rural system expansion / line connection fee</t>
  </si>
  <si>
    <t>Same Day Open Trench</t>
  </si>
  <si>
    <t>Scheduled Day Open Trench</t>
  </si>
  <si>
    <t>Service Layout - Commercial</t>
  </si>
  <si>
    <t>Service Layout - ResidentiaI</t>
  </si>
  <si>
    <t>Switching for company maintenance – Charge based on Time and Materials</t>
  </si>
  <si>
    <t>Choose Stretch Factor Group</t>
  </si>
  <si>
    <t>Associated Stretch Factor Value</t>
  </si>
  <si>
    <t>Price Cap Index</t>
  </si>
  <si>
    <t>Price Escalator</t>
  </si>
  <si>
    <t>Productivity Factor</t>
  </si>
  <si>
    <t>RETAIL SERVICE CHARGES (if applicable)</t>
  </si>
  <si>
    <t>Current MFC</t>
  </si>
  <si>
    <t>Current  Volumetric Charge</t>
  </si>
  <si>
    <t>MFC Adjustment from R/C Model</t>
  </si>
  <si>
    <t>DVR Adjustment from R/C Model</t>
  </si>
  <si>
    <t>Proposed MFC</t>
  </si>
  <si>
    <t>Proposed Volumetric Charge</t>
  </si>
  <si>
    <t>Distribution Volumetric Rate</t>
  </si>
  <si>
    <t>ALLOWANCES</t>
  </si>
  <si>
    <t>%</t>
  </si>
  <si>
    <t>SPECIFIC SERVICE CHARGES</t>
  </si>
  <si>
    <t>Account set up charge/change of occupancy charge (plus credit agency costs if applicable)</t>
  </si>
  <si>
    <t>Credit Card Convenience Charge</t>
  </si>
  <si>
    <t>Dispute Test – Commercial TT -- MC</t>
  </si>
  <si>
    <t>Interval meter request change</t>
  </si>
  <si>
    <t>Meter dispute charge plus Measurement Canada fees (if meter found correct)</t>
  </si>
  <si>
    <t>Special Billing Service (sub-metering charge per meter)</t>
  </si>
  <si>
    <t>Special meter reads</t>
  </si>
  <si>
    <t>Price Cap Index to be Applied to MFC and DVR</t>
  </si>
  <si>
    <t>Bell Canada Pole Rentals</t>
  </si>
  <si>
    <t>Norfolk Pole Rentals – Billed</t>
  </si>
  <si>
    <t>Owner Requested Disconnection/Reconnection – during regular hours</t>
  </si>
  <si>
    <t>Collection/Disconnection/Load Limiter/Reconnection – if in Community</t>
  </si>
  <si>
    <t>Interval Meter Load Management Tool Charge $/month</t>
  </si>
  <si>
    <t>Meter Interrogation Charge</t>
  </si>
  <si>
    <t>Disconnect/Reconnect Charges for non payment of account - At Meter During Regular Hours</t>
  </si>
  <si>
    <t>Disconnect/Reconnect Charges for non payment of account - At Meter After Hours</t>
  </si>
  <si>
    <t>Service Call – Customer-owned Equipment – During Regular Hours</t>
  </si>
  <si>
    <t>Service Call – Customer-owned Equipment – After Regular Hours</t>
  </si>
  <si>
    <t>Specific Charge for Bell Canada Access to the Power Poles – per pole/year</t>
  </si>
  <si>
    <t>Disconnect/Reconnect charges for non payment of account – at meter during regular hours</t>
  </si>
  <si>
    <t>Disconnect/Reconnect charges for non payment of account – at meter after regular hours</t>
  </si>
  <si>
    <t>Disconnect/Reconnect charges for non payment of account – at pole during regular hours</t>
  </si>
  <si>
    <t>Disconnect/Reconnect charges for non payment of account – at pole after regular hours</t>
  </si>
  <si>
    <t>Owner Requested Disconnection/Reconnection – after regular hours</t>
  </si>
  <si>
    <t>Specific Charge for Access to the Power Poles - $/pole/year</t>
  </si>
  <si>
    <t>Service Charge for onsite interrogation of interval meter due to customer phone line failure - required weekly until line repaired $ 6</t>
  </si>
  <si>
    <t>Collection of account charge – no disconnection - during regular business hours</t>
  </si>
  <si>
    <t>Disconnect/Reconnect at pole – after regular hours</t>
  </si>
  <si>
    <t>Install/Remove load control device – during regular hours</t>
  </si>
  <si>
    <t>Collection of account charge – no disconnection</t>
  </si>
  <si>
    <t>Collection of account charge – no disconnection – after regular hours</t>
  </si>
  <si>
    <t>Service call – after regular hours</t>
  </si>
  <si>
    <t>Temporary Service – Install &amp; remove – overhead – no transformer</t>
  </si>
  <si>
    <t>Temporary Service – Install &amp; remove – underground – no transformer</t>
  </si>
  <si>
    <t>Temporary Service – Install &amp; remove – overhead – with transformer</t>
  </si>
  <si>
    <t>Returned cheque (plus bank charges)</t>
  </si>
  <si>
    <t>Temporary service install &amp; remove – overhead – no transformer</t>
  </si>
  <si>
    <t>Disconnect/Reconnect at meter – during regular hours</t>
  </si>
  <si>
    <t>Disconnect/Reconnect at meter – after regular hours</t>
  </si>
  <si>
    <t>Disconnect/Reconnect at pole – during regular hours</t>
  </si>
  <si>
    <t>Install/Remove load control device – after regular hours</t>
  </si>
  <si>
    <t>Disconnect/Reconnect Charge – At Meter – During Regular Hours</t>
  </si>
  <si>
    <t>Disconnect/Reconnect Charge – At Meter – After Hours</t>
  </si>
  <si>
    <t>Disconnect/Reconnect Charge – At Pole – During Regular Hours</t>
  </si>
  <si>
    <t>Disconnect/Reconnect Charge – At Pole – After Hours</t>
  </si>
  <si>
    <t>Temporary Service Install &amp; Remove – Underground – No Transformer</t>
  </si>
  <si>
    <t>Temporary Service Install &amp; Remove – Overhead – With Transformer</t>
  </si>
  <si>
    <t>Late Payment – per month</t>
  </si>
  <si>
    <t>Late Payment – per annum</t>
  </si>
  <si>
    <t>Collection of account charge – no disconnection – during regular hours</t>
  </si>
  <si>
    <t>Service call – customer owned equipment</t>
  </si>
  <si>
    <t>Temporary service installation and removal – overhead – no transformer</t>
  </si>
  <si>
    <t>Temporary service installation and removal – underground – no transformer</t>
  </si>
  <si>
    <t>Temporary service installation and removal – overhead – with transformer</t>
  </si>
  <si>
    <t>Total Loss Factor – Secondary Metered Customer</t>
  </si>
  <si>
    <t>Total Loss Factor – Embedded Distributor – Hydro One Networks Inc.</t>
  </si>
  <si>
    <t>Total Loss Factor – Primary Metered Customer</t>
  </si>
  <si>
    <t>Low Voltage Service Charge</t>
  </si>
  <si>
    <t>Orangeville Hydro Limited</t>
  </si>
  <si>
    <t>LOSS FACTORS</t>
  </si>
  <si>
    <t>Rate Description</t>
  </si>
  <si>
    <t>Amount</t>
  </si>
  <si>
    <t>Volume</t>
  </si>
  <si>
    <t>Debt Retirement Charge (DRC)</t>
  </si>
  <si>
    <t>HST</t>
  </si>
  <si>
    <t>Ontario Clean Energy Benefit (OCEB)</t>
  </si>
  <si>
    <t xml:space="preserve">Wholesale Market Service Rate </t>
  </si>
  <si>
    <t>Standard Supply Service – Administration Charge (if applicable)</t>
  </si>
  <si>
    <t>Loss Factor</t>
  </si>
  <si>
    <t>Consumption</t>
  </si>
  <si>
    <t>kWh</t>
  </si>
  <si>
    <t>kW</t>
  </si>
  <si>
    <t>Sub-Total:  Delivery (Distribution and Retail Transmission)</t>
  </si>
  <si>
    <t>Sub-Total:  Regulatory</t>
  </si>
  <si>
    <t>Algoma Power Inc.</t>
  </si>
  <si>
    <t>Kingston Hydro Corporation</t>
  </si>
  <si>
    <t>Greater Sudbury Hydro Inc.</t>
  </si>
  <si>
    <t>Horizon Utilities Corporation</t>
  </si>
  <si>
    <t>Hydro One Brampton Networks Inc.</t>
  </si>
  <si>
    <t>Kenora Hydro Electric Corporation Ltd.</t>
  </si>
  <si>
    <t>St. Thomas Energy Inc.</t>
  </si>
  <si>
    <t>Toronto Hydro-Electric System Limited</t>
  </si>
  <si>
    <t>Wasaga Distribution Inc.</t>
  </si>
  <si>
    <t>Waterloo North Hydro Inc.</t>
  </si>
  <si>
    <t>Woodstock Hydro Services Inc.</t>
  </si>
  <si>
    <t>Brantford Power Inc.</t>
  </si>
  <si>
    <t>Burlington Hydro Inc.</t>
  </si>
  <si>
    <t>Centre Wellington Hydro Ltd.</t>
  </si>
  <si>
    <t>Cooperative Hydro Embrun Inc.</t>
  </si>
  <si>
    <t>E.L.K. Energy Inc.</t>
  </si>
  <si>
    <t>Enersource Hydro Mississauga Inc.</t>
  </si>
  <si>
    <t>Essex Powerlines Corporation</t>
  </si>
  <si>
    <t>Festival Hydro Inc.</t>
  </si>
  <si>
    <t>Fort Frances Power Corporation</t>
  </si>
  <si>
    <t>Haldimand County Hydro Inc.</t>
  </si>
  <si>
    <t>Hydro Hawkesbury Inc.</t>
  </si>
  <si>
    <t>Kitchener-Wilmot Hydro Inc.</t>
  </si>
  <si>
    <t>Lakeland Power Distribution Ltd.</t>
  </si>
  <si>
    <t>London Hydro Inc.</t>
  </si>
  <si>
    <t>Midland Power Utility Corporation</t>
  </si>
  <si>
    <t>Niagara-on-the-Lake Hydro Inc.</t>
  </si>
  <si>
    <t>North Bay Hydro Distribution Limited</t>
  </si>
  <si>
    <t>Northern Ontario Wires Inc.</t>
  </si>
  <si>
    <t>Ottawa River Power Corporation</t>
  </si>
  <si>
    <t>PUC Distribution Inc.</t>
  </si>
  <si>
    <t>Renfrew Hydro Inc.</t>
  </si>
  <si>
    <t>Sioux Lookout Hydro Inc.</t>
  </si>
  <si>
    <t>Tillsonburg Hydro Inc.</t>
  </si>
  <si>
    <t>West Coast Huron Energy Inc.</t>
  </si>
  <si>
    <t>Westario Power Inc.</t>
  </si>
  <si>
    <t>Whitby Hydro Electric Corporation</t>
  </si>
  <si>
    <t>Atikokan Hydro Inc.</t>
  </si>
  <si>
    <t>Chapleau Public Utilities Corporation</t>
  </si>
  <si>
    <t>Espanola Regional Hydro Distribution Corporation</t>
  </si>
  <si>
    <t>Guelph Hydro Electric Systems Inc.</t>
  </si>
  <si>
    <t>Halton Hills Hydro Inc.</t>
  </si>
  <si>
    <t>Hydro 2000 Inc.</t>
  </si>
  <si>
    <t>Hydro Ottawa Limited</t>
  </si>
  <si>
    <t>Lakefront Utilities Inc.</t>
  </si>
  <si>
    <t>Oshawa PUC Networks Inc.</t>
  </si>
  <si>
    <t>Rideau St. Lawrence Distribution Inc.</t>
  </si>
  <si>
    <t>Veridian Connections Inc.</t>
  </si>
  <si>
    <t>Wellington North Power Inc.</t>
  </si>
  <si>
    <t>Hydro One Networks Inc.</t>
  </si>
  <si>
    <r>
      <t xml:space="preserve">1568 LRAM Variance Account Class Allocation                           </t>
    </r>
    <r>
      <rPr>
        <b/>
        <sz val="10"/>
        <color rgb="FFFF0000"/>
        <rFont val="Arial"/>
        <family val="2"/>
      </rPr>
      <t>($ amounts)</t>
    </r>
  </si>
  <si>
    <t>Name of Contact and Title</t>
  </si>
  <si>
    <t>Pale green cells represent input cells.</t>
  </si>
  <si>
    <t>Pale blue cells represent drop-down lists.  The applicant should select the appropriate item from the drop-down list.</t>
  </si>
  <si>
    <t xml:space="preserve">White cells contain fixed values, automatically generated values or formulae. </t>
  </si>
  <si>
    <t>Retail Transmission Rate - Line and Transformation Connection Service Rate</t>
  </si>
  <si>
    <t>Retail Transmission Rate - Line and Transformation Connection Service Rate - (less than 1,000 kW)</t>
  </si>
  <si>
    <t>Retail Transmission Rate - Line and Transformation Connection Service Rate - Interval Metered</t>
  </si>
  <si>
    <t>Retail Transmission Rate - Line Connection Service Rate</t>
  </si>
  <si>
    <t>Retail Transmission Rate - Network Service Rate</t>
  </si>
  <si>
    <t>Retail Transmission Rate - Network Service Rate - (less than 1,000 kW)</t>
  </si>
  <si>
    <t>Retail Transmission Rate - Network Service Rate - Interval Metered</t>
  </si>
  <si>
    <t>Retail Transmission Rate - Network Service Rate - Interval Metered (1,000 to 4,999 kW)</t>
  </si>
  <si>
    <t>Retail Transmission Rate - Network Service Rate - Interval Metered (less than 1,000 kW)</t>
  </si>
  <si>
    <t>Retail Transmission Rate - Network Service Rate - Interval Metered &gt; 1,000 kW</t>
  </si>
  <si>
    <t>Retail Transmission Rate - Transformation Connection Service Rate</t>
  </si>
  <si>
    <t>TOU - Off Peak</t>
  </si>
  <si>
    <t>TOU - Mid Peak</t>
  </si>
  <si>
    <t>TOU - On Peak</t>
  </si>
  <si>
    <t>Total Bill on RPP (before taxes)</t>
  </si>
  <si>
    <t>Total Bill (including HST)</t>
  </si>
  <si>
    <t>Total Bill on RPP (including OCEB)</t>
  </si>
  <si>
    <t>Total Bill on TOU (before taxes)</t>
  </si>
  <si>
    <t>Total Bill on TOU (including OCEB)</t>
  </si>
  <si>
    <t>Bluewater Power Distribution Corporation</t>
  </si>
  <si>
    <t>Brant County Power Inc.</t>
  </si>
  <si>
    <t>Cambridge and North Dumfries Hydro Inc.</t>
  </si>
  <si>
    <t>Erie Thames Powerlines Corporation</t>
  </si>
  <si>
    <t>Hearst Power Distribution Company Limited</t>
  </si>
  <si>
    <t>Norfolk Power Distribution Inc.</t>
  </si>
  <si>
    <t>Oakville Hydro Electricity Distribution Inc.</t>
  </si>
  <si>
    <t>Orillia Power Distribution Corporation</t>
  </si>
  <si>
    <t>Peterborough Distribution Incorporated</t>
  </si>
  <si>
    <t>Thunder Bay Hydro Electricity Distribution Inc.</t>
  </si>
  <si>
    <t>Welland Hydro-Electric System Corp.</t>
  </si>
  <si>
    <t>Rate-Setting Method</t>
  </si>
  <si>
    <t>DISTRIBUTED GENERATION [DGEN]</t>
  </si>
  <si>
    <t>EMBEDDED DISTRIBUTOR</t>
  </si>
  <si>
    <t>FARMS - SINGLE PHASE ENERGY-BILLED [F1]</t>
  </si>
  <si>
    <t>FARMS - THREE PHASE ENERGY-BILLED [F3]</t>
  </si>
  <si>
    <t>GENERAL SERVICE - COMMERCIAL</t>
  </si>
  <si>
    <t>GENERAL SERVICE - INSTITUTIONAL</t>
  </si>
  <si>
    <t>GENERAL SERVICE 1,000 TO 2,999 KW</t>
  </si>
  <si>
    <t>GENERAL SERVICE 1,000 TO 4,999 KW - INTERVAL METERS</t>
  </si>
  <si>
    <t>GENERAL SERVICE 1,000 TO 4,999 KW (CO-GENERATION)</t>
  </si>
  <si>
    <t>GENERAL SERVICE 1,000 TO 4,999 KW</t>
  </si>
  <si>
    <t>GENERAL SERVICE 1,500 TO 4,999 KW</t>
  </si>
  <si>
    <t>GENERAL SERVICE 2,500 TO 4,999 KW</t>
  </si>
  <si>
    <t>GENERAL SERVICE 3,000 TO 4,999 KW - INTERMEDIATE USE</t>
  </si>
  <si>
    <t>GENERAL SERVICE 3,000 TO 4,999 KW - INTERVAL METERED</t>
  </si>
  <si>
    <t>GENERAL SERVICE 3,000 TO 4,999 KW - TIME OF USE</t>
  </si>
  <si>
    <t>GENERAL SERVICE 3,000 TO 4,999 KW</t>
  </si>
  <si>
    <t>GENERAL SERVICE 50 TO 1,000 KW - INTERVAL METERS</t>
  </si>
  <si>
    <t>GENERAL SERVICE 50 TO 1,000 KW - NON INTERVAL METERS</t>
  </si>
  <si>
    <t>GENERAL SERVICE 50 TO 1,000 KW</t>
  </si>
  <si>
    <t>GENERAL SERVICE 50 TO 1,499 KW - INTERVAL METERED</t>
  </si>
  <si>
    <t>GENERAL SERVICE 50 TO 1,499 KW</t>
  </si>
  <si>
    <t>GENERAL SERVICE 50 TO 2,499 KW</t>
  </si>
  <si>
    <t>GENERAL SERVICE 50 TO 2,999 KW - INTERVAL METERED</t>
  </si>
  <si>
    <t>GENERAL SERVICE 50 TO 2,999 KW - TIME OF USE</t>
  </si>
  <si>
    <t>GENERAL SERVICE 50 TO 2,999 KW</t>
  </si>
  <si>
    <t>GENERAL SERVICE 50 TO 4,999 KW - INTERVAL METERED</t>
  </si>
  <si>
    <t>GENERAL SERVICE 50 TO 4,999 KW - TIME OF USE</t>
  </si>
  <si>
    <t>GENERAL SERVICE 50 TO 4,999 KW (COGENERATION)</t>
  </si>
  <si>
    <t>GENERAL SERVICE 50 TO 4,999 KW (FORMERLY TIME OF USE)</t>
  </si>
  <si>
    <t>GENERAL SERVICE 50 TO 4,999 KW</t>
  </si>
  <si>
    <t>GENERAL SERVICE 50 TO 499 KW</t>
  </si>
  <si>
    <t>GENERAL SERVICE 50 TO 699 KW</t>
  </si>
  <si>
    <t>GENERAL SERVICE 50 TO 999 KW - INTERVAL METERED</t>
  </si>
  <si>
    <t>GENERAL SERVICE 50 TO 999 KW</t>
  </si>
  <si>
    <t>GENERAL SERVICE 500 TO 4,999 KW</t>
  </si>
  <si>
    <t>GENERAL SERVICE 700 TO 4,999 KW</t>
  </si>
  <si>
    <t>GENERAL SERVICE DEMAND BILLED (50 KW AND ABOVE) [GSD]</t>
  </si>
  <si>
    <t>GENERAL SERVICE ENERGY BILLED (LESS THAN 50 KW) [GSE-METERED]</t>
  </si>
  <si>
    <t>GENERAL SERVICE ENERGY BILLED (LESS THAN TO 50 KW) [GSE-UNMETERED]</t>
  </si>
  <si>
    <t>GENERAL SERVICE EQUAL TO OR GREATER THAN 1,500 KW - INTERVAL METERED</t>
  </si>
  <si>
    <t>GENERAL SERVICE EQUAL TO OR GREATER THAN 1,500 KW</t>
  </si>
  <si>
    <t>GENERAL SERVICE GREATER THAN 1,000 KW</t>
  </si>
  <si>
    <t>GENERAL SERVICE INTERMEDIATE 1,000 TO 4,999 KW</t>
  </si>
  <si>
    <t>GENERAL SERVICE INTERMEDIATE RATE CLASS 1,000 TO 4,999 KW (FORMERLY GENERAL SERVICE &gt; 50 KW CUSTOMERS)</t>
  </si>
  <si>
    <t>GENERAL SERVICE INTERMEDIATE RATE CLASS 1,000 TO 4,999 KW (FORMERLY LARGE USE CUSTOMERS)</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</si>
  <si>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</si>
  <si>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</si>
  <si>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</si>
  <si>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</si>
  <si>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GENERAL SERVICE LESS THAN 50 KW</t>
  </si>
  <si>
    <t>GENERAL SERVICE SINGLE PHASE - G1</t>
  </si>
  <si>
    <t>GENERAL SERVICE THREE PHASE - G3</t>
  </si>
  <si>
    <t>INTERMEDIATE USERS</t>
  </si>
  <si>
    <t>INTERMEDIATE WITH SELF GENERATION</t>
  </si>
  <si>
    <t>LARGE USE - 3TS</t>
  </si>
  <si>
    <t>LARGE USE - FORD ANNEX</t>
  </si>
  <si>
    <t>LARGE USE - REGULAR</t>
  </si>
  <si>
    <t>LARGE USE &gt; 5000 KW</t>
  </si>
  <si>
    <t>LARGE USE</t>
  </si>
  <si>
    <t>microFIT</t>
  </si>
  <si>
    <t>RESIDENTIAL - HENSALL</t>
  </si>
  <si>
    <t>RESIDENTIAL - HIGH DENSITY [R1]</t>
  </si>
  <si>
    <t>RESIDENTIAL - LOW DENSITY [R2]</t>
  </si>
  <si>
    <t>RESIDENTIAL - MEDIUM DENSITY [R1]</t>
  </si>
  <si>
    <t>RESIDENTIAL - NORMAL DENSITY [R2]</t>
  </si>
  <si>
    <t>RESIDENTIAL - TIME OF USE</t>
  </si>
  <si>
    <t>RESIDENTIAL - URBAN [UR]</t>
  </si>
  <si>
    <t>RESIDENTIAL REGULAR</t>
  </si>
  <si>
    <t>RESIDENTIAL</t>
  </si>
  <si>
    <t>RESIDENTIAL SUBURBAN SEASONAL</t>
  </si>
  <si>
    <t>RESIDENTIAL SUBURBAN</t>
  </si>
  <si>
    <t>RESIDENTIAL SUBURBAN YEAR ROUND</t>
  </si>
  <si>
    <t>RESIDENTIAL URBAN</t>
  </si>
  <si>
    <t>RESIDENTIAL URBAN YEAR-ROUND</t>
  </si>
  <si>
    <t>SEASONAL RESIDENTIAL - HIGH DENSITY [R3]</t>
  </si>
  <si>
    <t>SEASONAL RESIDENTIAL - NORMAL DENSITY [R4]</t>
  </si>
  <si>
    <t>SEASONAL RESIDENTIAL</t>
  </si>
  <si>
    <t>SENTINEL LIGHTING</t>
  </si>
  <si>
    <t>SMALL COMMERCIAL AND USL - PER CONNECTION</t>
  </si>
  <si>
    <t>SMALL COMMERCIAL AND USL - PER METER</t>
  </si>
  <si>
    <t>STANDARD A GENERAL SERVICE AIR ACCESS</t>
  </si>
  <si>
    <t>STANDARD A GENERAL SERVICE ROAD/RAIL</t>
  </si>
  <si>
    <t>STANDARD A RESIDENTIAL AIR ACCESS</t>
  </si>
  <si>
    <t>STANDARD A RESIDENTIAL ROAD/RAIL</t>
  </si>
  <si>
    <t>STANDBY - GENERAL SERVICE 1,000 - 5,000 KW</t>
  </si>
  <si>
    <t>STANDBY - GENERAL SERVICE 50 - 1,000 KW</t>
  </si>
  <si>
    <t>STANDBY - LARGE USE</t>
  </si>
  <si>
    <t>STANDBY DISTRIBUTION SERVICE</t>
  </si>
  <si>
    <t>STANDBY POWER - APPROVED ON AN INTERIM BASIS</t>
  </si>
  <si>
    <t>STANDBY POWER GENERAL SERVICE 1,500 TO 4,999 KW</t>
  </si>
  <si>
    <t>STANDBY POWER GENERAL SERVICE 50 TO 1,499 KW</t>
  </si>
  <si>
    <t>STANDBY POWER GENERAL SERVICE LARGE USE</t>
  </si>
  <si>
    <t>STANDBY POWER</t>
  </si>
  <si>
    <t>STREET LIGHTING</t>
  </si>
  <si>
    <t>SUB TRANSMISSION [ST]</t>
  </si>
  <si>
    <t>UNMETERED SCATTERED LOAD</t>
  </si>
  <si>
    <t>URBAN GENERAL SERVICE DEMAND BILLED (50 KW AND ABOVE) [UGD]</t>
  </si>
  <si>
    <t>URBAN GENERAL SERVICE ENERGY BILLED (LESS THAN 50 KW) [UGE]</t>
  </si>
  <si>
    <t>WESTPORT SEWAGE TREATMENT PLANT</t>
  </si>
  <si>
    <t>YEAR-ROUND RESIDENTIAL - R2</t>
  </si>
  <si>
    <t>RSVA - Global Adjustment</t>
  </si>
  <si>
    <t>Current Board-Approved</t>
  </si>
  <si>
    <t>Proposed</t>
  </si>
  <si>
    <t>Impact</t>
  </si>
  <si>
    <t>Rate</t>
  </si>
  <si>
    <t>Charge</t>
  </si>
  <si>
    <t>$ Change</t>
  </si>
  <si>
    <t>% Change</t>
  </si>
  <si>
    <t>($)</t>
  </si>
  <si>
    <t>Monthly Service Charge</t>
  </si>
  <si>
    <t>Sub-Total A (excluding pass through)</t>
  </si>
  <si>
    <t>Smart Meter Entity Charge</t>
  </si>
  <si>
    <t>RTSR - Network</t>
  </si>
  <si>
    <t>Wholesale Market Service Charge (WMSC)</t>
  </si>
  <si>
    <t>Rural and Remote Rate Protection (RRRP)</t>
  </si>
  <si>
    <t>Standard Supply Service Charge</t>
  </si>
  <si>
    <r>
      <t xml:space="preserve">Total Bill </t>
    </r>
    <r>
      <rPr>
        <sz val="10"/>
        <rFont val="Arial"/>
        <family val="2"/>
      </rPr>
      <t>(including HST)</t>
    </r>
  </si>
  <si>
    <t>Total Bill on TOU (before Taxes)</t>
  </si>
  <si>
    <t>Total Deferral/Variance Account Rate Riders</t>
  </si>
  <si>
    <t>Fixed Rate Riders</t>
  </si>
  <si>
    <t>Volumetric Rate Riders</t>
  </si>
  <si>
    <t>Demand</t>
  </si>
  <si>
    <t>RTSR - Connection and/or Line and Transformation Connection</t>
  </si>
  <si>
    <t>Distribution Volumetric Rate - $/kW of contracted amount</t>
  </si>
  <si>
    <t>Distribution Wheeling Service Rate</t>
  </si>
  <si>
    <t>General Service 1,500 to 4,999 kW customer</t>
  </si>
  <si>
    <t>General Service 50 to 1,499 kW customer</t>
  </si>
  <si>
    <t>General Service Large Use customer</t>
  </si>
  <si>
    <t>Green Energy Act Plan Funding Adder - effective April 1, 2013 until March 31, 2014</t>
  </si>
  <si>
    <t>Minimum Distribution Charge - per KW of maximum billing demand in the previous 11 months</t>
  </si>
  <si>
    <t>Monthly Distribution Wheeling Service Rate - Dedicated LV Line</t>
  </si>
  <si>
    <t>Monthly Distribution Wheeling Service Rate - Hydro One Networks</t>
  </si>
  <si>
    <t>Monthly Distribution Wheeling Service Rate - Shared LV Line</t>
  </si>
  <si>
    <t>Monthly Distribution Wheeling Service Rate - Waterloo North Hydro</t>
  </si>
  <si>
    <t>Rate Rider for Deferral/Variance Account (2012) - effective unitl April 30, 2016</t>
  </si>
  <si>
    <t>Rate Rider for Deferral/Variance Account Disposition (2012) - effective until April 30, 2016</t>
  </si>
  <si>
    <t>Rate Rider for Deferral/Variance Account Disposition (2013) - effective until April 30, 2014</t>
  </si>
  <si>
    <t>Rate Rider for Deferral/Variance Account Dispositon (2012) - effective until April 30, 2016</t>
  </si>
  <si>
    <t>Rate Rider for Disposition of Deferral/Variance Accounts (2011) - effective until April 30, 2015</t>
  </si>
  <si>
    <t>Rate Rider for Disposition of Deferral/Variance Accounts (2011) - effective until April 30, 2016</t>
  </si>
  <si>
    <t>Rate Rider for Disposition of Deferral/Variance Accounts (2012) - effective until April 30, 2014</t>
  </si>
  <si>
    <t>Rate Rider for Disposition of Deferral/Variance Accounts (2012) - effective until April 30, 2015</t>
  </si>
  <si>
    <t>Rate Rider for Disposition of Deferral/Variance Accounts (2012) - effective until April 30, 2016</t>
  </si>
  <si>
    <t>Rate Rider for Disposition of Deferral/Variance Accounts (2012) - effective until December 31, 2015</t>
  </si>
  <si>
    <t>Rate Rider for Disposition of Deferral/Variance Accounts (2012) - effective until June 30, 2014</t>
  </si>
  <si>
    <t>Rate Rider for Disposition of Deferral/Variance Accounts (2013) - effective until April 30, 2014</t>
  </si>
  <si>
    <t>Rate Rider for Disposition of Deferral/Variance Accounts (2013) - effective until April 30, 2015</t>
  </si>
  <si>
    <t>Rate Rider for Disposition of Deferral/Variance Accounts (2013) - effective until April 30, 2017</t>
  </si>
  <si>
    <t>Rate Rider for Disposition of Deferred PILs Variance Account 1562 - effective until March 31, 2016</t>
  </si>
  <si>
    <t>Rate Rider for Disposition of Deferred PILs Variance Account 1562 (2012) - effective until April 30, 2015</t>
  </si>
  <si>
    <t>Rate Rider for Disposition of Post Retirement Actuarial Gain - effective until March 31, 2025</t>
  </si>
  <si>
    <t>Rate Rider for Disposition of Residual Hisotrical Smart Meter Costs - effective until April 30, 2015</t>
  </si>
  <si>
    <t>Rate Rider for Disposition of Residual Historical Smart Meter Costs - effective until April 30, 2014</t>
  </si>
  <si>
    <t>Rate Rider for Disposition of Residual Historical Smart Meter Costs - effective until April 30, 2016</t>
  </si>
  <si>
    <t>Rate Rider for Disposition of Residual Historical Smart Meter Costs - effective until August 31, 2015</t>
  </si>
  <si>
    <t>Rate Rider for Disposition of Residual Historical Smart Meter Costs - effective until December 31, 2014</t>
  </si>
  <si>
    <t>Rate Rider for Disposition of Residual Historical Smart Meter Costs - effective until December 31, 2015</t>
  </si>
  <si>
    <t>Rate Rider for Disposition of Residual Historical Smart Meter Costs - effective until September 30, 2014</t>
  </si>
  <si>
    <t>Rate Rider for Disposition of Stranded Meter Costs - effective until April 30, 2016</t>
  </si>
  <si>
    <t>Rate Rider for Incremental Capital (2012) - effective until April 30, 2015</t>
  </si>
  <si>
    <t>Rate Rider for Recovery of Incremental Capital Costs - effective until April 30, 2015</t>
  </si>
  <si>
    <t>Rate Rider for Recovery of Lost Revenue Adjustment Mechanism (LRAM) - effective until April 30, 2016</t>
  </si>
  <si>
    <t>Rate Rider for Recovery of Lost Revenue Adjustment Mechanism (LRAM)/Shared Savings</t>
  </si>
  <si>
    <t>Rate Rider for Recovery of Lost Revenue Adjustment Mechanism (LRAM)/Shared Savings Mechanism (SSM) - effective until December 31, 2014 and applicable in the service area excluding the former service area of Clinton Power</t>
  </si>
  <si>
    <t>Rate Rider for Recovery of Residual Historical Smart Meter Costs - effective July 1, 2012 - April 30, 2016</t>
  </si>
  <si>
    <t>Rate Rider for Recovery of Smart Meter Stranded Assets - effective until April 30, 2016</t>
  </si>
  <si>
    <t>Rate Rider for Recovery of Stranded Assets - effective until April 30, 2016</t>
  </si>
  <si>
    <t>Rate Rider for Recovery of Stranded Meter Assets - effective July 1, 2012 - April 30, 2016</t>
  </si>
  <si>
    <t>Rate Rider for Recovery of Stranded Meter Assets - effective until April 30, 2016</t>
  </si>
  <si>
    <t>Rate Rider for Recovery of Stranded Meter Assets - effective until August 31, 2015</t>
  </si>
  <si>
    <t>Rate Rider for Recovery of Stranded Meter Assets - effective until December 31, 2014</t>
  </si>
  <si>
    <t>Rate Rider for Recovery of Stranded Meter Assets - effective until December 31, 2015</t>
  </si>
  <si>
    <t>Rate Rider for Recovery of Stranded Meter Assets - effective until June 30, 2016</t>
  </si>
  <si>
    <t>Rate Rider for Recovery of Stranded Meter Assets - effective until March 31, 2016</t>
  </si>
  <si>
    <t>Rate Rider for Reversal of Deferral/Variance Account Disposition (2011) - effective until April 30, 2015</t>
  </si>
  <si>
    <t>Rate Rider for Smart Metering Entity Charge - effective until October 31, 2018</t>
  </si>
  <si>
    <t>Canadian Niagara Power Inc.</t>
  </si>
  <si>
    <t>Entegrus Powerlines Inc.</t>
  </si>
  <si>
    <t>Newmarket - Tay Power Distribution Ltd.</t>
  </si>
  <si>
    <t>Niagara Peninsula Energy Inc.</t>
  </si>
  <si>
    <t>PowerStream Inc.</t>
  </si>
  <si>
    <t>Rate Rider for Recovery of Stranded Meter Assets – effective until April 30, 2015</t>
  </si>
  <si>
    <t>Line Losses on Cost of Power</t>
  </si>
  <si>
    <r>
      <t>Please indicate in which Rate Year the Group 1 accounts were last cleared</t>
    </r>
    <r>
      <rPr>
        <b/>
        <vertAlign val="superscript"/>
        <sz val="11"/>
        <color theme="1"/>
        <rFont val="Arial"/>
        <family val="2"/>
      </rPr>
      <t>1</t>
    </r>
  </si>
  <si>
    <t>Note:  
1.  Rate year of application</t>
  </si>
  <si>
    <t>Green Energy Act Plan Funding Adder</t>
  </si>
  <si>
    <t>Rate Rider for Disposition of Deferral/Variance Accounts (2010) - effective until December 31, 2014</t>
  </si>
  <si>
    <t>Service Charge (per light)</t>
  </si>
  <si>
    <t>Rate Rider for Deferral/Variance Account Disposition (2014) - effective until April 30, 2015</t>
  </si>
  <si>
    <t>a</t>
  </si>
  <si>
    <t>RESIDENTIAL SERVICE CLASSIFICATION</t>
  </si>
  <si>
    <t>Rural or Remote Electricity Rate Protection Charge (RRRP)</t>
  </si>
  <si>
    <t>Milton Hydro Distribution Inc.</t>
  </si>
  <si>
    <t>Please indicate the last Cost of Service 
Re-Basing Year</t>
  </si>
  <si>
    <t>A</t>
  </si>
  <si>
    <t>B</t>
  </si>
  <si>
    <t>C</t>
  </si>
  <si>
    <t>Non-Loss Adjusted Metered kWh</t>
  </si>
  <si>
    <t>Non-Loss Adjusted Metered kW</t>
  </si>
  <si>
    <t>Loss Adjusted Billed kWh</t>
  </si>
  <si>
    <t>Uniform Transmission Rates</t>
  </si>
  <si>
    <t>Network Service Rate</t>
  </si>
  <si>
    <t>Line Connection Service Rate</t>
  </si>
  <si>
    <t>Transformation Connection Service Rate</t>
  </si>
  <si>
    <t>Hydro One Sub-Transmission Rates</t>
  </si>
  <si>
    <t>Both Line and Transformation Connection Service Rate</t>
  </si>
  <si>
    <t>IESO</t>
  </si>
  <si>
    <t>Network</t>
  </si>
  <si>
    <t>Line Connection</t>
  </si>
  <si>
    <t>Transformation Connection</t>
  </si>
  <si>
    <t>Month</t>
  </si>
  <si>
    <t>Units Billed</t>
  </si>
  <si>
    <t>Hydro One</t>
  </si>
  <si>
    <t>Add Extra Host Here (I)</t>
  </si>
  <si>
    <t>(if needed)</t>
  </si>
  <si>
    <t>Add Extra Host Here (II)</t>
  </si>
  <si>
    <t>LRAM Variance Account</t>
  </si>
  <si>
    <t>Allocation of Group 1 Accounts (including Account 1568)</t>
  </si>
  <si>
    <t>GENERAL SERVICE GREATER THAN 50 kW - WMP</t>
  </si>
  <si>
    <t>STANDARD A GRID CONNECTED</t>
  </si>
  <si>
    <t>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t>
  </si>
  <si>
    <t>Electricity Rate</t>
  </si>
  <si>
    <t>Electricity Rate - All Additional kWh</t>
  </si>
  <si>
    <t>Electricity Rate - First 250 kWh</t>
  </si>
  <si>
    <t>Electricity Rate -All Additional kWh</t>
  </si>
  <si>
    <t>Electricity Rate First 1,000 kWh</t>
  </si>
  <si>
    <t>Electricity Rate First 25,000 kWh</t>
  </si>
  <si>
    <t>Electricity Rate First 6,000 kWh</t>
  </si>
  <si>
    <t>Electricity Rate Next 1,500 kWh</t>
  </si>
  <si>
    <t>Green Energy Act Plan Funding Adder - effective April 1, 2014 until March 31, 2015</t>
  </si>
  <si>
    <t>ICM Rate Rider (2014) - in effect until the effective date of the next cost of service rates</t>
  </si>
  <si>
    <t>LRAM Rate Rider - Effective Until April 30, 2015</t>
  </si>
  <si>
    <t>Rate Rider for Application of Tax Change - effective until April 30, 2015</t>
  </si>
  <si>
    <t>Rate Rider for Application of Tax Change - effective until December 31, 2014</t>
  </si>
  <si>
    <t>Rate Rider for Application of Tax Change (2014) - effective until April 30, 2015</t>
  </si>
  <si>
    <t>Rate Rider for Application of Tax Change (per connection) - effective until April 30, 2015</t>
  </si>
  <si>
    <t>Rate Rider for CGAAP Accounting Changes (2013) - effective until April 30, 2017</t>
  </si>
  <si>
    <t>Rate Rider for Deferral/Variance Account Disposition – effective until April 30, 2015</t>
  </si>
  <si>
    <t>Rate Rider for Deferral/Variance Account Disposition (2014) - effective until April 28, 2016</t>
  </si>
  <si>
    <t>Rate Rider for Deferral/Variance Account Disposition (2014) - effective until December 31, 2014</t>
  </si>
  <si>
    <t>Rate Rider for Deferral/Variance Account Disposition (2014) - effective until December 31, 2015</t>
  </si>
  <si>
    <t>Rate Rider for Disposition of Deferral/Variance Accounts (2012) - effective until August 31, 2014</t>
  </si>
  <si>
    <t>Rate Rider for Disposition of Deferral/Variance Accounts (2012) - effective until January 31, 2014</t>
  </si>
  <si>
    <t>Rate Rider for Disposition of Deferral/Variance Accounts (2013) - effective until August 31, 2014</t>
  </si>
  <si>
    <t>Rate Rider for Disposition of Deferral/Variance Accounts (2013) - effective until December 31, 2014</t>
  </si>
  <si>
    <t>Rate Rider for Disposition of Deferral/Variance Accounts (2013) - effective until May 31, 2014</t>
  </si>
  <si>
    <t>Rate Rider for Disposition of Deferred PILs Variance Account 1562 (2012) - effective until April 30, 2016</t>
  </si>
  <si>
    <t>Rate Rider for Disposition of Residual Hisotrical Smart Meter Costs - effective until April 30, 2017</t>
  </si>
  <si>
    <t>Rate Rider for Disposition of Residual Historical Smart Meter Costs - effective until August 31, 2014</t>
  </si>
  <si>
    <t>Rate Rider for Disposition of Residual Historical Smart Meter Costs – effective until December 31, 2014</t>
  </si>
  <si>
    <t>Rate Rider for Disposition of Residual Historical Smart Meter Costs - effective until December 31, 2016</t>
  </si>
  <si>
    <t>Rate Rider for Disposition of Residual Historical Smart Meter Costs - effective until October 31, 2014</t>
  </si>
  <si>
    <t>Rate Rider for Disposition of Stranded Meter costs - effective until April 30, 2015</t>
  </si>
  <si>
    <t>Rate Rider for Disposition of Stranded Meter Costs - effective until April 30, 2017</t>
  </si>
  <si>
    <t>Rate Rider for Incremental Capital - Distribution Volumetric - effective until April 30, 2016</t>
  </si>
  <si>
    <t>Rate Rider for Incremental Capital - Service Charge - effective until April 30, 2016</t>
  </si>
  <si>
    <t>Rate Rider for Recover of Residual Historical Smart meter Costs - effective until June 30, 2014</t>
  </si>
  <si>
    <t>Rate Rider for Recovery of CGAAP/CWIP Differential - in effect until December 31, 2016</t>
  </si>
  <si>
    <t>Rate Rider for Recovery of Foregone Revenue - effective until April 30, 2015</t>
  </si>
  <si>
    <t>Rate Rider for Recovery of Forgone Revenue - effective until April 30, 2015</t>
  </si>
  <si>
    <t>Rate Rider for Recovery of Forgone Revenue - effective until December 31, 2014</t>
  </si>
  <si>
    <t>Rate Rider for Recovery of Green Energy Act related costs - effective until December 31, 2014</t>
  </si>
  <si>
    <t>Rate Rider for Recovery of Storm Damage Costs - effective until August 31, 2017</t>
  </si>
  <si>
    <t>Rate Rider for Recovery of Stranded Meter Assets - effective until April 30, 2017</t>
  </si>
  <si>
    <t>Rate Rider for Recovery of Stranded Meter Assets - effective until August 31, 2017</t>
  </si>
  <si>
    <t>Rate Rider for Recovery of Stranded Meter Assets - effective until May 31, 2014</t>
  </si>
  <si>
    <t>Rate Rider for Smart Meter Disposition - effective until April 30, 2016</t>
  </si>
  <si>
    <t>Rate Rider for Stranded Meter Cost Recovery - effective until April 30, 2017</t>
  </si>
  <si>
    <t>Rate Rider for Tax Change</t>
  </si>
  <si>
    <t>Rate Rider for Tax Change - effective until April 30, 2015</t>
  </si>
  <si>
    <t>Rate Rider for Tax Change (2014) - effective until April 30, 2015</t>
  </si>
  <si>
    <t>Smart Grid Funding Adder (2014) - in effect until December 31, 2014</t>
  </si>
  <si>
    <t>Smart Meter Disposition Rider</t>
  </si>
  <si>
    <t>Smart Meter Incremental Revenue Requirement Rate Rider</t>
  </si>
  <si>
    <t>Account 1568 Rate Rider</t>
  </si>
  <si>
    <t>Summary - Sharing of Tax Change Forecast Amounts</t>
  </si>
  <si>
    <t xml:space="preserve">1. Tax Related Amounts Forecast from Capital Tax Rate Changes </t>
  </si>
  <si>
    <t>Deduction from taxable capital up to $15,000,000</t>
  </si>
  <si>
    <t xml:space="preserve">Net Taxable Capital </t>
  </si>
  <si>
    <t>Ontario Capital Tax (Deductible, not grossed-up)</t>
  </si>
  <si>
    <t xml:space="preserve">2. Tax Related Amounts Forecast from lncome Tax Rate Changes </t>
  </si>
  <si>
    <t>Regulatory Taxable Income</t>
  </si>
  <si>
    <t>Corporate Tax Rate</t>
  </si>
  <si>
    <t xml:space="preserve">Tax Impact </t>
  </si>
  <si>
    <t>Grossed-up Tax Amount</t>
  </si>
  <si>
    <t xml:space="preserve">Tax Related Amounts Forecast from Capital Tax Rate Changes </t>
  </si>
  <si>
    <t xml:space="preserve">Tax Related Amounts Forecast from lncome Tax Rate Changes </t>
  </si>
  <si>
    <t>Total Tax Related Amounts</t>
  </si>
  <si>
    <t>Incremental Tax Savings</t>
  </si>
  <si>
    <t>NO</t>
  </si>
  <si>
    <t>Green Energy Act Initiatives Funding Adder - effective until the date of the next 
      cost of service-based rate order</t>
  </si>
  <si>
    <t>Rate Rider for Disposition of Accounting Changes Under CGAAP Account 1576 
      - effective until April 30, 2016</t>
  </si>
  <si>
    <t>Rate Rider for Disposition of Deferral/Variance Accounts (2012) - effective until December 31, 2016 
      Applicable only in the former service area of Clinton Power</t>
  </si>
  <si>
    <t>Rate Rider for Disposition of Deferral/Variance Accounts (2012) – effective until December 31, 2016 
      Applicable only in the former service area of Clinton Power</t>
  </si>
  <si>
    <t>Rate Rider for Disposition of Deferral/Variance Accounts (2013) - Applicable only to 
      Wholesale Market Participants - effective until April 30, 2015</t>
  </si>
  <si>
    <t>Rate Rider for Disposition of Deferral/Variance Accounts (2013) - effective until April 30, 2015 
      - not applicable to Wholesale Market Participants</t>
  </si>
  <si>
    <t>Rate Rider for Disposition of Deferred PILs Variance Account 1562 (2nd Installment - 2012) 
      - effective until April 30, 2016</t>
  </si>
  <si>
    <t>Rate Rider for Disposition of Deferred PILs Variance Account 1562 (per connection) (2012) 
      - effective until April 30, 2015</t>
  </si>
  <si>
    <t>Rate Rider for Disposition of Deferred PILs Variance Account 1562 (per connection) (2012) 
      - effective until April 30, 2016</t>
  </si>
  <si>
    <t>Rate Rider for Disposition of Global Adjustment Sub-Account (2011)  - effective until April 30, 2015 
      Applicable only for Non-RPP Customers</t>
  </si>
  <si>
    <t>Rate Rider for Disposition of Global Adjustment Sub-Account (2011) - effective until April 30, 2016 
      Applicable only for Non-RPP Customers</t>
  </si>
  <si>
    <t>Rate Rider for Disposition of Global Adjustment Sub-Account (2012) - effective until April 30, 2014 
      Applicable only for Non-RPP Customers</t>
  </si>
  <si>
    <t>Rate Rider for Disposition of Global Adjustment Sub-Account (2012) - effective until April 30, 2015 
      Applicable only for Non-RPP Customers</t>
  </si>
  <si>
    <t>Rate Rider for Disposition of Global Adjustment Sub-Account (2012) - effective until April 30, 2015 
      Applicatble only for Non-RPP Customers</t>
  </si>
  <si>
    <t>Rate Rider for Disposition of Global Adjustment Sub-Account (2012) - effective until April 30, 2016 
      Applicable only for Non-RPP Customers</t>
  </si>
  <si>
    <t>Rate Rider for Disposition of Global Adjustment Sub-Account (2012) - effective until January 31, 2014. 
      Applicable only for Non-RPP Customers</t>
  </si>
  <si>
    <t>Rate Rider for Disposition of Global Adjustment Sub-Account (2012) - effective until June 30, 2014 
      Applicable only for Non-RPP Customers</t>
  </si>
  <si>
    <t>Rate Rider for Disposition of Global Adjustment Sub-Account (2012) Applicable only for Non-RPP Customers 
      - effective until August 31, 2014</t>
  </si>
  <si>
    <t>Rate Rider for Disposition of Global Adjustment Sub-Account (2012) Applicable only to Non-RPP Customers 
      - effective until August 31, 2014</t>
  </si>
  <si>
    <t>Rate Rider for Disposition of Global Adjustment Sub-Account (2013) - effective until April 30, 2014 
      Applicable only for Non-RPP Customers</t>
  </si>
  <si>
    <t>Rate Rider for Disposition of Global Adjustment Sub-Account (2013) - effective until April 30, 2015 
      Applicable only for Non-RPP Customers</t>
  </si>
  <si>
    <t>Rate Rider for Disposition of Global Adjustment Sub-Account (2013) - effective until April 30, 2015 
      Applicable only for Non-RPP Customers and excluding Wholesale Market Participants</t>
  </si>
  <si>
    <t>Rate Rider for Disposition of Global Adjustment Sub-Account (2013) - effective until April 30, 2017 
      Applicable only for Non-RPP Customers</t>
  </si>
  <si>
    <t>Rate Rider For Disposition of Global Adjustment Sub-Account (2013) - effective until August 31, 2014 
      Applicable only for Non-RPP Customers</t>
  </si>
  <si>
    <t>Rate Rider for Disposition of Global Adjustment Sub-Account (2013) - effective until December 31, 2014 
      Applicable only for Non-RPP Customers</t>
  </si>
  <si>
    <t>Rate Rider for Disposition of Global Adjustment Sub-Account (2013) - effective until May 31, 2014 
      Applicable only for Non-RPP Customers</t>
  </si>
  <si>
    <t>Rate Rider for Disposition of Global Adjustment Sub-Account (2014) - effective until December 31, 2014. 
      Applicable only for Non-RPP - Class B Customers</t>
  </si>
  <si>
    <t>Rate Rider for Disposition of Global Adjustment Sub-Account (2014) - effective until December 31, 2014. 
      Applicable only for Non-RPP Customers</t>
  </si>
  <si>
    <t>Rate Rider for Disposition of Global Adjustment Sub-Account (2014) - effective until December 31, 2014. 
      Applicable only for Non-RPP Customers - Class A Customers</t>
  </si>
  <si>
    <t>Rate Rider for Disposition of Global Adjustment Sub-Account (2014) - effective until December 31, 2014. 
      Applicable only for Non-RPP Customers - Interval Metered</t>
  </si>
  <si>
    <t>Rate Rider for Disposition of Global Adjustment Sub-Account (2014) - effective until December 31, 2014. 
      Applicable only for Non-RPP Customers - Non Interval Metered</t>
  </si>
  <si>
    <t>Rate Rider for Disposition of Residual Historical Smart Meter Costs - Non-Interval Metered 
      - effective until April 30, 2014</t>
  </si>
  <si>
    <t>Rate Rider for Disposition of Residual Historical Smart Meter Costs 2 - in effect until the effective date
      of the next cost of service-based rate order</t>
  </si>
  <si>
    <t>Rate Rider for Disposition of Residual Historical Smart Meter Costs 3 - in effect until the effective date of
      the next cost of service-based rate order</t>
  </si>
  <si>
    <t>Rate Rider for Disposition of Residual Incremental Historical Smart Meter Costs 
      - effective until August 31, 2015</t>
  </si>
  <si>
    <t>Rate Rider for Global Adjustment Sub Account Disposition - effective until April 30, 2016 
      Applicable only for Non RPP Customers</t>
  </si>
  <si>
    <t>Rate Rider for Global Adjustment Sub-Account Disposition Applicable only for Non-RPP Customers 
      - effective until April 30, 2015</t>
  </si>
  <si>
    <t>Rate Rider for Global Adjustment Sub-Account Disposition (2014) - effective until April 28, 2016 
      Applicable only for Non-RPP Customers</t>
  </si>
  <si>
    <t>Rate Rider for Global Adjustment Sub-Account Disposition (2014) - effective until April 30, 2015 
      Applicable only for Non-RPP Customers</t>
  </si>
  <si>
    <t>Rate Rider for Global Adjustment Sub-Account Disposition (2014) - effective until December 30, 2015 
      Applicable only for Non-RPP Customers</t>
  </si>
  <si>
    <t>Rate Rider for Global Adjustment Sub-Account Disposition (2014) - effective until December 31, 2014 
      Applicable only for Non-RPP Customers</t>
  </si>
  <si>
    <t>Rate Rider for Global Adjustment Sub-Account Disposition (2014) - effective until December 31, 2015 
      Applicable only for Non-RPP Customers</t>
  </si>
  <si>
    <t>Rate Rider for Lost Revenue Adjustment Mechanism Variance Account (LRAMVA) Recovery (2012 CDM Activities) 
      - effective until April 30, 2015</t>
  </si>
  <si>
    <t>Rate Rider for Recovery of Incremental Capital (2013) - in effect until the effective date of 
      the next cost of service-based rate order</t>
  </si>
  <si>
    <t>Rate Rider for Recovery of Incremental Capital (2013) (per connection) - in effect until the effective date of 
      the next cost of service-based rate order</t>
  </si>
  <si>
    <t>Rate Rider for Recovery of Incremental Capital (2013) (per connection)- in effect until the effective date of 
      the next cost of service-based rate order</t>
  </si>
  <si>
    <t>Rate Rider for Recovery of Lost Revenue Adjustment Mechanism ( LRAM)/Shared Savings Mechanism (SSM) (2012) 
      - effective until August 31, 2014</t>
  </si>
  <si>
    <t>Rate Rider for Recovery of Lost Revenue Adjustment Mechanism (2013) 
      - effective until December 31, 2014</t>
  </si>
  <si>
    <t>Rate Rider for Recovery of Lost Revenue Adjustment Mechanism (LRAM) (pre-2011 CDM Activities) 
      - effective until April 30, 2015</t>
  </si>
  <si>
    <t>Rate Rider for Recovery of Lost Revenue Adjustment Mechanism (LRAM) (pre-2011 CDM Activities) (2013) 
      - effective until April 30, 2015</t>
  </si>
  <si>
    <t>Rate Rider for Recovery of Lost Revenue Adjustment Mechanism (LRAM)/Shared Savings Mechanism (SSM) - effective until 
      December 31, 2014 and applicable in the service area excluding the former service areas of Clinton Power and West Perth Power</t>
  </si>
  <si>
    <t>Rate Rider for Recovery of Lost Revenue Adjustment Mechanism (LRAM)/Shared Savings Mechanism (SSM) - effective until 
      December 31, 2014 and applicable only in the former service area of Clinton Power</t>
  </si>
  <si>
    <t>Rate Rider for Recovery of Lost Revenue Adjustment Mechanism (LRAM)/Shared Savings Mechanism (SSM) - effective until 
      December 31, 2014 and applicable only in the former service area of West Perth Power</t>
  </si>
  <si>
    <t>Rate Rider for Recovery of Lost Revenue Adjustment Mechanism (LRAM)/Shared Savings Mechanism (SSM) 
      - effective until March 31, 2016</t>
  </si>
  <si>
    <t>Rate Rider for Recovery of Lost Revenue Adjustment Mechanism (LRAM)/Shared Savings Mechanism (SSM) (2012) 
      - effective until August 31, 2014</t>
  </si>
  <si>
    <t>Rate Rider for Recovery of Lost Revenue Adjustment Mechanism (LRAM)/Shared Savings Mechanism (SSM) Recovery 
      - effective until April 30, 2015</t>
  </si>
  <si>
    <t>Rate Rider for Recovery of Lost Revenue Adjustment Mechanism Variance Account (LRAMVA) (2014) 
      - effective until April 30, 2015</t>
  </si>
  <si>
    <t>Rate Rider for Recovery of Smart Meter Incremental Revenue Requirement - effective until the date of 
      the next cost of service-based rate order</t>
  </si>
  <si>
    <t>Rate Rider for Recovery of Smart Meter Incremental Revenue Requirement - effective until the effective 
      date of the next cost of service-based rate order, or October 31, 2017, whichever occurs earlier</t>
  </si>
  <si>
    <t>Rate Rider for Recovery of Smart Meter Incremental Revenue Requirement - in effect until the effective date of 
      the next cost of service-based rate order</t>
  </si>
  <si>
    <t>Rate Rider for Recovery of Smart Meter Incremental Revenue Requirement - Non-Interval Metered - in effect until 
      the effective date of the next cost of service-based rate order</t>
  </si>
  <si>
    <t>Rate Rider for Recovery of Smart Meter Incremental Revenue Requirements - in effect until the effective date 
      of the next cost of service application</t>
  </si>
  <si>
    <t>Rate Rider for Smart Meter Incremental Revenue Requirement - in effect until the effective date of 
      the next cost of service-based rate order</t>
  </si>
  <si>
    <t>Retail Transmission Rate - Line and Transformation Connection Service Rate 
      - Interval Metered (1,000 to 4,999 kW)</t>
  </si>
  <si>
    <t>Retail Transmission Rate - Line and Transformation Connection Service Rate 
      - Interval Metered (less than 1,000 kW)</t>
  </si>
  <si>
    <t>Retail Transmission Rate - Line and Transformation Connection Service Rate 
      - Interval Metered &lt; 1,000 kW</t>
  </si>
  <si>
    <t>Retail Transmission Rate - Line and Transformation Connection Service Rate
      - Interval Metered &gt; 1,000 kW</t>
  </si>
  <si>
    <t>Retail Transmission Rate - Line and Transformation Connection Service Rate 
      FOR ALL SERVICE AREAS EXCEPT HENSALL</t>
  </si>
  <si>
    <t>Rider for Global Adjustment Sub-Account Disposition (2012) - effective until April 30, 2016 
      Applicable only for Non-RPP Customers</t>
  </si>
  <si>
    <t>Sentinel lights (dusk-to-dawn) connected to unmetered wires will have a flat rate monthly energy charge 
added to the regular customer bill.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</si>
  <si>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generating facility).</t>
  </si>
  <si>
    <t>Standby Charge - for a month where standby power is not provided. The charge is applied to the amount of 
reserved load transfer capacity contracted or the amount of monthly peak load displaced by a generating 
facility</t>
  </si>
  <si>
    <t>Standby Charge - for a month where standby power is not provided. The charge is applied to the contracted 
amount (e.g. nameplate rating of the generation facility).</t>
  </si>
  <si>
    <t>Rate Rider for Recovery of Incremental Capital Module Costs (2014) - in effect until the effective date
      of the next cost of service-based rate order</t>
  </si>
  <si>
    <t xml:space="preserve">Rate Rider for Disposition of Global Adjustment Sub-Account (2014) 
      - effective until December 31, 2015. Applicable only for Non-RPP Customers.  </t>
  </si>
  <si>
    <t>Rate Rider for Disposition of Deferral/Variance Accounts (2014) - effective until December 31, 2015</t>
  </si>
  <si>
    <t>Rate Rider for Recovery of Lost Revenue Adjustment Mechanism (LRAM)/Shared Savings Mechanism 
      (SSM) - effective until December 31, 2018 and applicable in the service area excluding the former 
      service areas of Clinton Power and West Perth Power</t>
  </si>
  <si>
    <t>STREET LIGHTING SERVICE CLASSIFICATION</t>
  </si>
  <si>
    <t>GENERAL SERVICE 50 TO 4,999 KW SERVICE CLASSIFICATION</t>
  </si>
  <si>
    <t>UNMETERED SCATTERED LOAD SERVICE CLASSIFICATION</t>
  </si>
  <si>
    <t>microFIT SERVICE CLASSIFICATION</t>
  </si>
  <si>
    <t>% of Customer Numbers **</t>
  </si>
  <si>
    <t>Retail Transmission Rate - Line and Transformation Connection Service Rate - Interval Metered (1,000 to 4,999 kW)</t>
  </si>
  <si>
    <t>LARGE USE SERVICE CLASSIFICATION</t>
  </si>
  <si>
    <t>EMBEDDED DISTRIBUTOR SERVICE CLASSIFICATION</t>
  </si>
  <si>
    <t>Collus PowerStream Corp.</t>
  </si>
  <si>
    <t>EnWin Utilities Ltd.</t>
  </si>
  <si>
    <t>Grimsby Power Incorporated</t>
  </si>
  <si>
    <t>Hydro One Remote Communities Inc.</t>
  </si>
  <si>
    <t>Innpower Corporation</t>
  </si>
  <si>
    <t>X</t>
  </si>
  <si>
    <t>SENTINEL LIGHTING SERVICE CLASSIFICATION</t>
  </si>
  <si>
    <t>GENERAL SERVICE 1,000 TO 4,999 KW (CO-GENERATION) SERVICE CLASSIFICATION</t>
  </si>
  <si>
    <t>STANDBY POWER SERVICE CLASSIFICATION</t>
  </si>
  <si>
    <t>GENERAL SERVICE LESS THAN 50 kW SERVICE CLASSIFICATION</t>
  </si>
  <si>
    <t>Retail Transmission Rate - Network Service Rate - &lt; 1,000 kW</t>
  </si>
  <si>
    <t>Retail Transmission Rate - Network Service Rate - Interval Metered &lt; 1,000 kW</t>
  </si>
  <si>
    <t>Retail Transmission Rate - Line and Transformation Connection Service Rate - &lt; 1,000 kW</t>
  </si>
  <si>
    <t>Retail Transmission Rate - Line and Transformation Connection Service Rate - Interval Metered &lt; 1,000 kW</t>
  </si>
  <si>
    <t>GENERAL SERVICE 50 TO 2,999 KW SERVICE CLASSIFICATION</t>
  </si>
  <si>
    <t>GENERAL SERVICE 3,000 TO 4,999 KW SERVICE CLASSIFICATION</t>
  </si>
  <si>
    <t>LARGE USE - REGULAR SERVICE CLASSIFICATION</t>
  </si>
  <si>
    <t>LARGE USE - 3TS SERVICE CLASSIFICATION</t>
  </si>
  <si>
    <t>LARGE USE - FORD ANNEX SERVICE CLASSIFICATION</t>
  </si>
  <si>
    <t>Retail Transmission Rate - Line and Transformation Connection Service Rate - Interval Metered &gt; 1,000 kW</t>
  </si>
  <si>
    <t>GENERAL SERVICE 500 TO 1,499 KW SERVICE CLASSIFICATION</t>
  </si>
  <si>
    <t>GENERAL SERVICE EQUAL TO OR GREATER THAN 1,500 KW SERVICE CLASSIFICATION</t>
  </si>
  <si>
    <t>SEASONAL RESIDENTIAL SERVICE CLASSIFICATION</t>
  </si>
  <si>
    <t>ENERGY FROM WASTE SERVICE CLASSIFICATION</t>
  </si>
  <si>
    <t>Newmarket-Tay Power Distribution Ltd.</t>
  </si>
  <si>
    <t>Company_Name</t>
  </si>
  <si>
    <t>Due Year</t>
  </si>
  <si>
    <t>Account_No</t>
  </si>
  <si>
    <t>Account_Description</t>
  </si>
  <si>
    <t>value</t>
  </si>
  <si>
    <t>Group1</t>
  </si>
  <si>
    <t>Principal</t>
  </si>
  <si>
    <t>Interest</t>
  </si>
  <si>
    <t>Total_Balance</t>
  </si>
  <si>
    <t>YES</t>
  </si>
  <si>
    <t>Smart Metering Entity Charge Variance Account</t>
  </si>
  <si>
    <t>Disposition and Recovery/Refund of Regulatory Balances (2008)</t>
  </si>
  <si>
    <t>Disposition and Recovery/Refund of Regulatory Balances (2009)</t>
  </si>
  <si>
    <t>Disposition and Recovery/Refund of Regulatory Balances (2010)</t>
  </si>
  <si>
    <t>Disposition and Recovery/Refund of Regulatory Balances (2011)</t>
  </si>
  <si>
    <t>Disposition and Recovery/Refund of Regulatory Balances (2012)</t>
  </si>
  <si>
    <t>Disposition and Recovery/Refund of Regulatory Balances (2013)</t>
  </si>
  <si>
    <t>Disposition and Recovery/Refund of Regulatory Balances (2014)</t>
  </si>
  <si>
    <t>Disposition and Recovery/Refund of Regulatory Balances Control Account</t>
  </si>
  <si>
    <t>Algoma Power Inc.1550</t>
  </si>
  <si>
    <t>Algoma Power Inc.1551</t>
  </si>
  <si>
    <t>Algoma Power Inc.1568</t>
  </si>
  <si>
    <t>Algoma Power Inc.1580</t>
  </si>
  <si>
    <t>Algoma Power Inc.1584</t>
  </si>
  <si>
    <t>Algoma Power Inc.1586</t>
  </si>
  <si>
    <t>Algoma Power Inc.1588</t>
  </si>
  <si>
    <t>Algoma Power Inc.1589</t>
  </si>
  <si>
    <t>Atikokan Hydro Inc.1550</t>
  </si>
  <si>
    <t>Atikokan Hydro Inc.1551</t>
  </si>
  <si>
    <t>Atikokan Hydro Inc.1568</t>
  </si>
  <si>
    <t>Atikokan Hydro Inc.1580</t>
  </si>
  <si>
    <t>Atikokan Hydro Inc.1584</t>
  </si>
  <si>
    <t>Atikokan Hydro Inc.1586</t>
  </si>
  <si>
    <t>Atikokan Hydro Inc.1588</t>
  </si>
  <si>
    <t>Atikokan Hydro Inc.1589</t>
  </si>
  <si>
    <t>Bluewater Power Distribution Corporation1550</t>
  </si>
  <si>
    <t>Bluewater Power Distribution Corporation1551</t>
  </si>
  <si>
    <t>Bluewater Power Distribution Corporation1568</t>
  </si>
  <si>
    <t>Bluewater Power Distribution Corporation1580</t>
  </si>
  <si>
    <t>Bluewater Power Distribution Corporation1584</t>
  </si>
  <si>
    <t>Bluewater Power Distribution Corporation1586</t>
  </si>
  <si>
    <t>Bluewater Power Distribution Corporation1588</t>
  </si>
  <si>
    <t>Bluewater Power Distribution Corporation1589</t>
  </si>
  <si>
    <t>Brantford Power Inc.1550</t>
  </si>
  <si>
    <t>Brantford Power Inc.1551</t>
  </si>
  <si>
    <t>Brantford Power Inc.1568</t>
  </si>
  <si>
    <t>Brantford Power Inc.1580</t>
  </si>
  <si>
    <t>Brantford Power Inc.1584</t>
  </si>
  <si>
    <t>Brantford Power Inc.1586</t>
  </si>
  <si>
    <t>Brantford Power Inc.1588</t>
  </si>
  <si>
    <t>Brantford Power Inc.1589</t>
  </si>
  <si>
    <t>Burlington Hydro Inc.1550</t>
  </si>
  <si>
    <t>Burlington Hydro Inc.1551</t>
  </si>
  <si>
    <t>Burlington Hydro Inc.1568</t>
  </si>
  <si>
    <t>Burlington Hydro Inc.1580</t>
  </si>
  <si>
    <t>Burlington Hydro Inc.1584</t>
  </si>
  <si>
    <t>Burlington Hydro Inc.1586</t>
  </si>
  <si>
    <t>Burlington Hydro Inc.1588</t>
  </si>
  <si>
    <t>Burlington Hydro Inc.1589</t>
  </si>
  <si>
    <t>Canadian Niagara Power Inc.1550</t>
  </si>
  <si>
    <t>Canadian Niagara Power Inc.1551</t>
  </si>
  <si>
    <t>Canadian Niagara Power Inc.1568</t>
  </si>
  <si>
    <t>Canadian Niagara Power Inc.1580</t>
  </si>
  <si>
    <t>Canadian Niagara Power Inc.1584</t>
  </si>
  <si>
    <t>Canadian Niagara Power Inc.1586</t>
  </si>
  <si>
    <t>Canadian Niagara Power Inc.1588</t>
  </si>
  <si>
    <t>Canadian Niagara Power Inc.1589</t>
  </si>
  <si>
    <t>Centre Wellington Hydro Ltd.1550</t>
  </si>
  <si>
    <t>Centre Wellington Hydro Ltd.1551</t>
  </si>
  <si>
    <t>Centre Wellington Hydro Ltd.1568</t>
  </si>
  <si>
    <t>Centre Wellington Hydro Ltd.1580</t>
  </si>
  <si>
    <t>Centre Wellington Hydro Ltd.1584</t>
  </si>
  <si>
    <t>Centre Wellington Hydro Ltd.1586</t>
  </si>
  <si>
    <t>Centre Wellington Hydro Ltd.1588</t>
  </si>
  <si>
    <t>Centre Wellington Hydro Ltd.1589</t>
  </si>
  <si>
    <t>Chapleau Public Utilities Corporation1550</t>
  </si>
  <si>
    <t>Chapleau Public Utilities Corporation1551</t>
  </si>
  <si>
    <t>Chapleau Public Utilities Corporation1568</t>
  </si>
  <si>
    <t>Chapleau Public Utilities Corporation1580</t>
  </si>
  <si>
    <t>Chapleau Public Utilities Corporation1584</t>
  </si>
  <si>
    <t>Chapleau Public Utilities Corporation1586</t>
  </si>
  <si>
    <t>Chapleau Public Utilities Corporation1588</t>
  </si>
  <si>
    <t>Chapleau Public Utilities Corporation1589</t>
  </si>
  <si>
    <t>Collus PowerStream Corp.1550</t>
  </si>
  <si>
    <t>Collus PowerStream Corp.1551</t>
  </si>
  <si>
    <t>Collus PowerStream Corp.1568</t>
  </si>
  <si>
    <t>Collus PowerStream Corp.1580</t>
  </si>
  <si>
    <t>Collus PowerStream Corp.1584</t>
  </si>
  <si>
    <t>Collus PowerStream Corp.1586</t>
  </si>
  <si>
    <t>Collus PowerStream Corp.1588</t>
  </si>
  <si>
    <t>Collus PowerStream Corp.1589</t>
  </si>
  <si>
    <t>Cooperative Hydro Embrun Inc.1550</t>
  </si>
  <si>
    <t>Cooperative Hydro Embrun Inc.1551</t>
  </si>
  <si>
    <t>Cooperative Hydro Embrun Inc.1568</t>
  </si>
  <si>
    <t>Cooperative Hydro Embrun Inc.1580</t>
  </si>
  <si>
    <t>Cooperative Hydro Embrun Inc.1584</t>
  </si>
  <si>
    <t>Cooperative Hydro Embrun Inc.1586</t>
  </si>
  <si>
    <t>Cooperative Hydro Embrun Inc.1588</t>
  </si>
  <si>
    <t>Cooperative Hydro Embrun Inc.1589</t>
  </si>
  <si>
    <t>E.L.K. Energy Inc.1550</t>
  </si>
  <si>
    <t>E.L.K. Energy Inc.1551</t>
  </si>
  <si>
    <t>E.L.K. Energy Inc.1568</t>
  </si>
  <si>
    <t>E.L.K. Energy Inc.1580</t>
  </si>
  <si>
    <t>E.L.K. Energy Inc.1584</t>
  </si>
  <si>
    <t>E.L.K. Energy Inc.1586</t>
  </si>
  <si>
    <t>E.L.K. Energy Inc.1588</t>
  </si>
  <si>
    <t>E.L.K. Energy Inc.1589</t>
  </si>
  <si>
    <t>Entegrus Powerlines Inc.1550</t>
  </si>
  <si>
    <t>Entegrus Powerlines Inc.1551</t>
  </si>
  <si>
    <t>Entegrus Powerlines Inc.1568</t>
  </si>
  <si>
    <t>Entegrus Powerlines Inc.1580</t>
  </si>
  <si>
    <t>Entegrus Powerlines Inc.1584</t>
  </si>
  <si>
    <t>Entegrus Powerlines Inc.1586</t>
  </si>
  <si>
    <t>Entegrus Powerlines Inc.1588</t>
  </si>
  <si>
    <t>Entegrus Powerlines Inc.1589</t>
  </si>
  <si>
    <t>EnWin Utilities Ltd.1550</t>
  </si>
  <si>
    <t>EnWin Utilities Ltd.1551</t>
  </si>
  <si>
    <t>EnWin Utilities Ltd.1568</t>
  </si>
  <si>
    <t>EnWin Utilities Ltd.1580</t>
  </si>
  <si>
    <t>EnWin Utilities Ltd.1584</t>
  </si>
  <si>
    <t>EnWin Utilities Ltd.1586</t>
  </si>
  <si>
    <t>EnWin Utilities Ltd.1588</t>
  </si>
  <si>
    <t>EnWin Utilities Ltd.1589</t>
  </si>
  <si>
    <t>Erie Thames Powerlines Corporation1550</t>
  </si>
  <si>
    <t>Erie Thames Powerlines Corporation1551</t>
  </si>
  <si>
    <t>Erie Thames Powerlines Corporation1568</t>
  </si>
  <si>
    <t>Erie Thames Powerlines Corporation1580</t>
  </si>
  <si>
    <t>Erie Thames Powerlines Corporation1584</t>
  </si>
  <si>
    <t>Erie Thames Powerlines Corporation1586</t>
  </si>
  <si>
    <t>Erie Thames Powerlines Corporation1588</t>
  </si>
  <si>
    <t>Erie Thames Powerlines Corporation1589</t>
  </si>
  <si>
    <t>Espanola Regional Hydro Distribution Corporation1550</t>
  </si>
  <si>
    <t>Espanola Regional Hydro Distribution Corporation1551</t>
  </si>
  <si>
    <t>Espanola Regional Hydro Distribution Corporation1568</t>
  </si>
  <si>
    <t>Espanola Regional Hydro Distribution Corporation1580</t>
  </si>
  <si>
    <t>Espanola Regional Hydro Distribution Corporation1584</t>
  </si>
  <si>
    <t>Espanola Regional Hydro Distribution Corporation1586</t>
  </si>
  <si>
    <t>Espanola Regional Hydro Distribution Corporation1588</t>
  </si>
  <si>
    <t>Espanola Regional Hydro Distribution Corporation1589</t>
  </si>
  <si>
    <t>Fort Frances Power Corporation1550</t>
  </si>
  <si>
    <t>Fort Frances Power Corporation1551</t>
  </si>
  <si>
    <t>Fort Frances Power Corporation1568</t>
  </si>
  <si>
    <t>Fort Frances Power Corporation1580</t>
  </si>
  <si>
    <t>Fort Frances Power Corporation1584</t>
  </si>
  <si>
    <t>Fort Frances Power Corporation1586</t>
  </si>
  <si>
    <t>Fort Frances Power Corporation1588</t>
  </si>
  <si>
    <t>Fort Frances Power Corporation1589</t>
  </si>
  <si>
    <t>Greater Sudbury Hydro Inc.1550</t>
  </si>
  <si>
    <t>Greater Sudbury Hydro Inc.1551</t>
  </si>
  <si>
    <t>Greater Sudbury Hydro Inc.1568</t>
  </si>
  <si>
    <t>Greater Sudbury Hydro Inc.1580</t>
  </si>
  <si>
    <t>Greater Sudbury Hydro Inc.1584</t>
  </si>
  <si>
    <t>Greater Sudbury Hydro Inc.1586</t>
  </si>
  <si>
    <t>Greater Sudbury Hydro Inc.1588</t>
  </si>
  <si>
    <t>Greater Sudbury Hydro Inc.1589</t>
  </si>
  <si>
    <t>Grimsby Power Incorporated1550</t>
  </si>
  <si>
    <t>Grimsby Power Incorporated1551</t>
  </si>
  <si>
    <t>Grimsby Power Incorporated1568</t>
  </si>
  <si>
    <t>Grimsby Power Incorporated1580</t>
  </si>
  <si>
    <t>Grimsby Power Incorporated1584</t>
  </si>
  <si>
    <t>Grimsby Power Incorporated1586</t>
  </si>
  <si>
    <t>Grimsby Power Incorporated1588</t>
  </si>
  <si>
    <t>Grimsby Power Incorporated1589</t>
  </si>
  <si>
    <t>Guelph Hydro Electric Systems Inc.1550</t>
  </si>
  <si>
    <t>Guelph Hydro Electric Systems Inc.1551</t>
  </si>
  <si>
    <t>Guelph Hydro Electric Systems Inc.1568</t>
  </si>
  <si>
    <t>Guelph Hydro Electric Systems Inc.1580</t>
  </si>
  <si>
    <t>Guelph Hydro Electric Systems Inc.1584</t>
  </si>
  <si>
    <t>Guelph Hydro Electric Systems Inc.1586</t>
  </si>
  <si>
    <t>Guelph Hydro Electric Systems Inc.1588</t>
  </si>
  <si>
    <t>Guelph Hydro Electric Systems Inc.1589</t>
  </si>
  <si>
    <t>Halton Hills Hydro Inc.1550</t>
  </si>
  <si>
    <t>Halton Hills Hydro Inc.1551</t>
  </si>
  <si>
    <t>Halton Hills Hydro Inc.1568</t>
  </si>
  <si>
    <t>Halton Hills Hydro Inc.1580</t>
  </si>
  <si>
    <t>Halton Hills Hydro Inc.1584</t>
  </si>
  <si>
    <t>Halton Hills Hydro Inc.1586</t>
  </si>
  <si>
    <t>Halton Hills Hydro Inc.1588</t>
  </si>
  <si>
    <t>Halton Hills Hydro Inc.1589</t>
  </si>
  <si>
    <t>Hydro 2000 Inc.1550</t>
  </si>
  <si>
    <t>Hydro 2000 Inc.1551</t>
  </si>
  <si>
    <t>Hydro 2000 Inc.1568</t>
  </si>
  <si>
    <t>Hydro 2000 Inc.1580</t>
  </si>
  <si>
    <t>Hydro 2000 Inc.1584</t>
  </si>
  <si>
    <t>Hydro 2000 Inc.1586</t>
  </si>
  <si>
    <t>Hydro 2000 Inc.1588</t>
  </si>
  <si>
    <t>Hydro 2000 Inc.1589</t>
  </si>
  <si>
    <t>Hydro Hawkesbury Inc.1550</t>
  </si>
  <si>
    <t>Hydro Hawkesbury Inc.1551</t>
  </si>
  <si>
    <t>Hydro Hawkesbury Inc.1568</t>
  </si>
  <si>
    <t>Hydro Hawkesbury Inc.1580</t>
  </si>
  <si>
    <t>Hydro Hawkesbury Inc.1584</t>
  </si>
  <si>
    <t>Hydro Hawkesbury Inc.1586</t>
  </si>
  <si>
    <t>Hydro Hawkesbury Inc.1588</t>
  </si>
  <si>
    <t>Hydro Hawkesbury Inc.1589</t>
  </si>
  <si>
    <t>Hydro One Networks Inc.1550</t>
  </si>
  <si>
    <t>Hydro One Networks Inc.1551</t>
  </si>
  <si>
    <t>Hydro One Networks Inc.1568</t>
  </si>
  <si>
    <t>Hydro One Networks Inc.1580</t>
  </si>
  <si>
    <t>Hydro One Networks Inc.1584</t>
  </si>
  <si>
    <t>Hydro One Networks Inc.1586</t>
  </si>
  <si>
    <t>Hydro One Networks Inc.1588</t>
  </si>
  <si>
    <t>Hydro One Networks Inc.1589</t>
  </si>
  <si>
    <t>Hydro One Remote Communities Inc.1550</t>
  </si>
  <si>
    <t>Hydro One Remote Communities Inc.1551</t>
  </si>
  <si>
    <t>Hydro One Remote Communities Inc.1568</t>
  </si>
  <si>
    <t>Hydro One Remote Communities Inc.1580</t>
  </si>
  <si>
    <t>Hydro One Remote Communities Inc.1584</t>
  </si>
  <si>
    <t>Hydro One Remote Communities Inc.1586</t>
  </si>
  <si>
    <t>Hydro One Remote Communities Inc.1588</t>
  </si>
  <si>
    <t>Hydro One Remote Communities Inc.1589</t>
  </si>
  <si>
    <t>Hydro Ottawa Limited1550</t>
  </si>
  <si>
    <t>Hydro Ottawa Limited1551</t>
  </si>
  <si>
    <t>Hydro Ottawa Limited1568</t>
  </si>
  <si>
    <t>Hydro Ottawa Limited1580</t>
  </si>
  <si>
    <t>Hydro Ottawa Limited1584</t>
  </si>
  <si>
    <t>Hydro Ottawa Limited1586</t>
  </si>
  <si>
    <t>Hydro Ottawa Limited1588</t>
  </si>
  <si>
    <t>Hydro Ottawa Limited1589</t>
  </si>
  <si>
    <t>Innpower Corporation1550</t>
  </si>
  <si>
    <t>Innpower Corporation1551</t>
  </si>
  <si>
    <t>Innpower Corporation1568</t>
  </si>
  <si>
    <t>Innpower Corporation1580</t>
  </si>
  <si>
    <t>Innpower Corporation1584</t>
  </si>
  <si>
    <t>Innpower Corporation1586</t>
  </si>
  <si>
    <t>Innpower Corporation1588</t>
  </si>
  <si>
    <t>Innpower Corporation1589</t>
  </si>
  <si>
    <t>Kenora Hydro Electric Corporation Ltd.1550</t>
  </si>
  <si>
    <t>Kenora Hydro Electric Corporation Ltd.1551</t>
  </si>
  <si>
    <t>Kenora Hydro Electric Corporation Ltd.1568</t>
  </si>
  <si>
    <t>Kenora Hydro Electric Corporation Ltd.1580</t>
  </si>
  <si>
    <t>Kenora Hydro Electric Corporation Ltd.1584</t>
  </si>
  <si>
    <t>Kenora Hydro Electric Corporation Ltd.1586</t>
  </si>
  <si>
    <t>Kenora Hydro Electric Corporation Ltd.1588</t>
  </si>
  <si>
    <t>Kenora Hydro Electric Corporation Ltd.1589</t>
  </si>
  <si>
    <t>Kingston Hydro Corporation1550</t>
  </si>
  <si>
    <t>Kingston Hydro Corporation1551</t>
  </si>
  <si>
    <t>Kingston Hydro Corporation1568</t>
  </si>
  <si>
    <t>Kingston Hydro Corporation1580</t>
  </si>
  <si>
    <t>Kingston Hydro Corporation1584</t>
  </si>
  <si>
    <t>Kingston Hydro Corporation1586</t>
  </si>
  <si>
    <t>Kingston Hydro Corporation1588</t>
  </si>
  <si>
    <t>Kingston Hydro Corporation1589</t>
  </si>
  <si>
    <t>Kitchener-Wilmot Hydro Inc.1550</t>
  </si>
  <si>
    <t>Kitchener-Wilmot Hydro Inc.1551</t>
  </si>
  <si>
    <t>Kitchener-Wilmot Hydro Inc.1568</t>
  </si>
  <si>
    <t>Kitchener-Wilmot Hydro Inc.1580</t>
  </si>
  <si>
    <t>Kitchener-Wilmot Hydro Inc.1584</t>
  </si>
  <si>
    <t>Kitchener-Wilmot Hydro Inc.1586</t>
  </si>
  <si>
    <t>Kitchener-Wilmot Hydro Inc.1588</t>
  </si>
  <si>
    <t>Kitchener-Wilmot Hydro Inc.1589</t>
  </si>
  <si>
    <t>Lakefront Utilities Inc.1550</t>
  </si>
  <si>
    <t>Lakefront Utilities Inc.1551</t>
  </si>
  <si>
    <t>Lakefront Utilities Inc.1568</t>
  </si>
  <si>
    <t>Lakefront Utilities Inc.1580</t>
  </si>
  <si>
    <t>Lakefront Utilities Inc.1584</t>
  </si>
  <si>
    <t>Lakefront Utilities Inc.1586</t>
  </si>
  <si>
    <t>Lakefront Utilities Inc.1588</t>
  </si>
  <si>
    <t>Lakefront Utilities Inc.1589</t>
  </si>
  <si>
    <t>Lakeland Power Distribution Ltd.1550</t>
  </si>
  <si>
    <t>Lakeland Power Distribution Ltd.1551</t>
  </si>
  <si>
    <t>Lakeland Power Distribution Ltd.1568</t>
  </si>
  <si>
    <t>Lakeland Power Distribution Ltd.1580</t>
  </si>
  <si>
    <t>Lakeland Power Distribution Ltd.1584</t>
  </si>
  <si>
    <t>Lakeland Power Distribution Ltd.1586</t>
  </si>
  <si>
    <t>Lakeland Power Distribution Ltd.1588</t>
  </si>
  <si>
    <t>Lakeland Power Distribution Ltd.1589</t>
  </si>
  <si>
    <t>London Hydro Inc.1550</t>
  </si>
  <si>
    <t>London Hydro Inc.1551</t>
  </si>
  <si>
    <t>London Hydro Inc.1568</t>
  </si>
  <si>
    <t>London Hydro Inc.1580</t>
  </si>
  <si>
    <t>London Hydro Inc.1584</t>
  </si>
  <si>
    <t>London Hydro Inc.1586</t>
  </si>
  <si>
    <t>London Hydro Inc.1588</t>
  </si>
  <si>
    <t>London Hydro Inc.1589</t>
  </si>
  <si>
    <t>Midland Power Utility Corporation1550</t>
  </si>
  <si>
    <t>Midland Power Utility Corporation1551</t>
  </si>
  <si>
    <t>Midland Power Utility Corporation1568</t>
  </si>
  <si>
    <t>Midland Power Utility Corporation1580</t>
  </si>
  <si>
    <t>Midland Power Utility Corporation1584</t>
  </si>
  <si>
    <t>Midland Power Utility Corporation1586</t>
  </si>
  <si>
    <t>Midland Power Utility Corporation1588</t>
  </si>
  <si>
    <t>Midland Power Utility Corporation1589</t>
  </si>
  <si>
    <t>Milton Hydro Distribution Inc.1550</t>
  </si>
  <si>
    <t>Milton Hydro Distribution Inc.1551</t>
  </si>
  <si>
    <t>Milton Hydro Distribution Inc.1568</t>
  </si>
  <si>
    <t>Milton Hydro Distribution Inc.1580</t>
  </si>
  <si>
    <t>Milton Hydro Distribution Inc.1584</t>
  </si>
  <si>
    <t>Milton Hydro Distribution Inc.1586</t>
  </si>
  <si>
    <t>Milton Hydro Distribution Inc.1588</t>
  </si>
  <si>
    <t>Milton Hydro Distribution Inc.1589</t>
  </si>
  <si>
    <t>Niagara Peninsula Energy Inc.1550</t>
  </si>
  <si>
    <t>Niagara Peninsula Energy Inc.1551</t>
  </si>
  <si>
    <t>Niagara Peninsula Energy Inc.1568</t>
  </si>
  <si>
    <t>Niagara Peninsula Energy Inc.1580</t>
  </si>
  <si>
    <t>Niagara Peninsula Energy Inc.1584</t>
  </si>
  <si>
    <t>Niagara Peninsula Energy Inc.1586</t>
  </si>
  <si>
    <t>Niagara Peninsula Energy Inc.1588</t>
  </si>
  <si>
    <t>Niagara Peninsula Energy Inc.1589</t>
  </si>
  <si>
    <t>Niagara-on-the-Lake Hydro Inc.1550</t>
  </si>
  <si>
    <t>Niagara-on-the-Lake Hydro Inc.1551</t>
  </si>
  <si>
    <t>Niagara-on-the-Lake Hydro Inc.1568</t>
  </si>
  <si>
    <t>Niagara-on-the-Lake Hydro Inc.1580</t>
  </si>
  <si>
    <t>Niagara-on-the-Lake Hydro Inc.1584</t>
  </si>
  <si>
    <t>Niagara-on-the-Lake Hydro Inc.1586</t>
  </si>
  <si>
    <t>Niagara-on-the-Lake Hydro Inc.1588</t>
  </si>
  <si>
    <t>Niagara-on-the-Lake Hydro Inc.1589</t>
  </si>
  <si>
    <t>North Bay Hydro Distribution Limited1550</t>
  </si>
  <si>
    <t>North Bay Hydro Distribution Limited1551</t>
  </si>
  <si>
    <t>North Bay Hydro Distribution Limited1568</t>
  </si>
  <si>
    <t>North Bay Hydro Distribution Limited1580</t>
  </si>
  <si>
    <t>North Bay Hydro Distribution Limited1584</t>
  </si>
  <si>
    <t>North Bay Hydro Distribution Limited1586</t>
  </si>
  <si>
    <t>North Bay Hydro Distribution Limited1588</t>
  </si>
  <si>
    <t>North Bay Hydro Distribution Limited1589</t>
  </si>
  <si>
    <t>Northern Ontario Wires Inc.1550</t>
  </si>
  <si>
    <t>Northern Ontario Wires Inc.1551</t>
  </si>
  <si>
    <t>Northern Ontario Wires Inc.1568</t>
  </si>
  <si>
    <t>Northern Ontario Wires Inc.1580</t>
  </si>
  <si>
    <t>Northern Ontario Wires Inc.1584</t>
  </si>
  <si>
    <t>Northern Ontario Wires Inc.1586</t>
  </si>
  <si>
    <t>Northern Ontario Wires Inc.1588</t>
  </si>
  <si>
    <t>Northern Ontario Wires Inc.1589</t>
  </si>
  <si>
    <t>Oakville Hydro Electricity Distribution Inc.1550</t>
  </si>
  <si>
    <t>Oakville Hydro Electricity Distribution Inc.1551</t>
  </si>
  <si>
    <t>Oakville Hydro Electricity Distribution Inc.1568</t>
  </si>
  <si>
    <t>Oakville Hydro Electricity Distribution Inc.1580</t>
  </si>
  <si>
    <t>Oakville Hydro Electricity Distribution Inc.1584</t>
  </si>
  <si>
    <t>Oakville Hydro Electricity Distribution Inc.1586</t>
  </si>
  <si>
    <t>Oakville Hydro Electricity Distribution Inc.1588</t>
  </si>
  <si>
    <t>Oakville Hydro Electricity Distribution Inc.1589</t>
  </si>
  <si>
    <t>Orangeville Hydro Limited1550</t>
  </si>
  <si>
    <t>Orangeville Hydro Limited1551</t>
  </si>
  <si>
    <t>Orangeville Hydro Limited1568</t>
  </si>
  <si>
    <t>Orangeville Hydro Limited1580</t>
  </si>
  <si>
    <t>Orangeville Hydro Limited1584</t>
  </si>
  <si>
    <t>Orangeville Hydro Limited1586</t>
  </si>
  <si>
    <t>Orangeville Hydro Limited1588</t>
  </si>
  <si>
    <t>Orangeville Hydro Limited1589</t>
  </si>
  <si>
    <t>Orillia Power Distribution Corporation1550</t>
  </si>
  <si>
    <t>Orillia Power Distribution Corporation1551</t>
  </si>
  <si>
    <t>Orillia Power Distribution Corporation1568</t>
  </si>
  <si>
    <t>Orillia Power Distribution Corporation1580</t>
  </si>
  <si>
    <t>Orillia Power Distribution Corporation1584</t>
  </si>
  <si>
    <t>Orillia Power Distribution Corporation1586</t>
  </si>
  <si>
    <t>Orillia Power Distribution Corporation1588</t>
  </si>
  <si>
    <t>Orillia Power Distribution Corporation1589</t>
  </si>
  <si>
    <t>Oshawa PUC Networks Inc.1550</t>
  </si>
  <si>
    <t>Oshawa PUC Networks Inc.1551</t>
  </si>
  <si>
    <t>Oshawa PUC Networks Inc.1568</t>
  </si>
  <si>
    <t>Oshawa PUC Networks Inc.1580</t>
  </si>
  <si>
    <t>Oshawa PUC Networks Inc.1584</t>
  </si>
  <si>
    <t>Oshawa PUC Networks Inc.1586</t>
  </si>
  <si>
    <t>Oshawa PUC Networks Inc.1588</t>
  </si>
  <si>
    <t>Oshawa PUC Networks Inc.1589</t>
  </si>
  <si>
    <t>Ottawa River Power Corporation1550</t>
  </si>
  <si>
    <t>Ottawa River Power Corporation1551</t>
  </si>
  <si>
    <t>Ottawa River Power Corporation1568</t>
  </si>
  <si>
    <t>Ottawa River Power Corporation1580</t>
  </si>
  <si>
    <t>Ottawa River Power Corporation1584</t>
  </si>
  <si>
    <t>Ottawa River Power Corporation1586</t>
  </si>
  <si>
    <t>Ottawa River Power Corporation1588</t>
  </si>
  <si>
    <t>Ottawa River Power Corporation1589</t>
  </si>
  <si>
    <t>Peterborough Distribution Incorporated1550</t>
  </si>
  <si>
    <t>Peterborough Distribution Incorporated1551</t>
  </si>
  <si>
    <t>Peterborough Distribution Incorporated1568</t>
  </si>
  <si>
    <t>Peterborough Distribution Incorporated1580</t>
  </si>
  <si>
    <t>Peterborough Distribution Incorporated1584</t>
  </si>
  <si>
    <t>Peterborough Distribution Incorporated1586</t>
  </si>
  <si>
    <t>Peterborough Distribution Incorporated1588</t>
  </si>
  <si>
    <t>Peterborough Distribution Incorporated1589</t>
  </si>
  <si>
    <t>PUC Distribution Inc.1550</t>
  </si>
  <si>
    <t>PUC Distribution Inc.1551</t>
  </si>
  <si>
    <t>PUC Distribution Inc.1568</t>
  </si>
  <si>
    <t>PUC Distribution Inc.1580</t>
  </si>
  <si>
    <t>PUC Distribution Inc.1584</t>
  </si>
  <si>
    <t>PUC Distribution Inc.1586</t>
  </si>
  <si>
    <t>PUC Distribution Inc.1588</t>
  </si>
  <si>
    <t>PUC Distribution Inc.1589</t>
  </si>
  <si>
    <t>Renfrew Hydro Inc.1550</t>
  </si>
  <si>
    <t>Renfrew Hydro Inc.1551</t>
  </si>
  <si>
    <t>Renfrew Hydro Inc.1568</t>
  </si>
  <si>
    <t>Renfrew Hydro Inc.1580</t>
  </si>
  <si>
    <t>Renfrew Hydro Inc.1584</t>
  </si>
  <si>
    <t>Renfrew Hydro Inc.1586</t>
  </si>
  <si>
    <t>Renfrew Hydro Inc.1588</t>
  </si>
  <si>
    <t>Renfrew Hydro Inc.1589</t>
  </si>
  <si>
    <t>Rideau St. Lawrence Distribution Inc.1550</t>
  </si>
  <si>
    <t>Rideau St. Lawrence Distribution Inc.1551</t>
  </si>
  <si>
    <t>Rideau St. Lawrence Distribution Inc.1568</t>
  </si>
  <si>
    <t>Rideau St. Lawrence Distribution Inc.1580</t>
  </si>
  <si>
    <t>Rideau St. Lawrence Distribution Inc.1584</t>
  </si>
  <si>
    <t>Rideau St. Lawrence Distribution Inc.1586</t>
  </si>
  <si>
    <t>Rideau St. Lawrence Distribution Inc.1588</t>
  </si>
  <si>
    <t>Rideau St. Lawrence Distribution Inc.1589</t>
  </si>
  <si>
    <t>St. Thomas Energy Inc.1550</t>
  </si>
  <si>
    <t>St. Thomas Energy Inc.1551</t>
  </si>
  <si>
    <t>St. Thomas Energy Inc.1568</t>
  </si>
  <si>
    <t>St. Thomas Energy Inc.1580</t>
  </si>
  <si>
    <t>St. Thomas Energy Inc.1584</t>
  </si>
  <si>
    <t>St. Thomas Energy Inc.1586</t>
  </si>
  <si>
    <t>St. Thomas Energy Inc.1588</t>
  </si>
  <si>
    <t>St. Thomas Energy Inc.1589</t>
  </si>
  <si>
    <t>Tillsonburg Hydro Inc.1550</t>
  </si>
  <si>
    <t>Tillsonburg Hydro Inc.1551</t>
  </si>
  <si>
    <t>Tillsonburg Hydro Inc.1568</t>
  </si>
  <si>
    <t>Tillsonburg Hydro Inc.1580</t>
  </si>
  <si>
    <t>Tillsonburg Hydro Inc.1584</t>
  </si>
  <si>
    <t>Tillsonburg Hydro Inc.1586</t>
  </si>
  <si>
    <t>Tillsonburg Hydro Inc.1588</t>
  </si>
  <si>
    <t>Tillsonburg Hydro Inc.1589</t>
  </si>
  <si>
    <t>Toronto Hydro-Electric System Limited1550</t>
  </si>
  <si>
    <t>Toronto Hydro-Electric System Limited1551</t>
  </si>
  <si>
    <t>Toronto Hydro-Electric System Limited1568</t>
  </si>
  <si>
    <t>Toronto Hydro-Electric System Limited1580</t>
  </si>
  <si>
    <t>Toronto Hydro-Electric System Limited1584</t>
  </si>
  <si>
    <t>Toronto Hydro-Electric System Limited1586</t>
  </si>
  <si>
    <t>Toronto Hydro-Electric System Limited1588</t>
  </si>
  <si>
    <t>Toronto Hydro-Electric System Limited1589</t>
  </si>
  <si>
    <t>Veridian Connections Inc.1550</t>
  </si>
  <si>
    <t>Veridian Connections Inc.1551</t>
  </si>
  <si>
    <t>Veridian Connections Inc.1568</t>
  </si>
  <si>
    <t>Veridian Connections Inc.1580</t>
  </si>
  <si>
    <t>Veridian Connections Inc.1584</t>
  </si>
  <si>
    <t>Veridian Connections Inc.1586</t>
  </si>
  <si>
    <t>Veridian Connections Inc.1588</t>
  </si>
  <si>
    <t>Veridian Connections Inc.1589</t>
  </si>
  <si>
    <t>Wasaga Distribution Inc.1550</t>
  </si>
  <si>
    <t>Wasaga Distribution Inc.1551</t>
  </si>
  <si>
    <t>Wasaga Distribution Inc.1568</t>
  </si>
  <si>
    <t>Wasaga Distribution Inc.1580</t>
  </si>
  <si>
    <t>Wasaga Distribution Inc.1584</t>
  </si>
  <si>
    <t>Wasaga Distribution Inc.1586</t>
  </si>
  <si>
    <t>Wasaga Distribution Inc.1588</t>
  </si>
  <si>
    <t>Wasaga Distribution Inc.1589</t>
  </si>
  <si>
    <t>Waterloo North Hydro Inc.1550</t>
  </si>
  <si>
    <t>Waterloo North Hydro Inc.1551</t>
  </si>
  <si>
    <t>Waterloo North Hydro Inc.1568</t>
  </si>
  <si>
    <t>Waterloo North Hydro Inc.1580</t>
  </si>
  <si>
    <t>Waterloo North Hydro Inc.1584</t>
  </si>
  <si>
    <t>Waterloo North Hydro Inc.1586</t>
  </si>
  <si>
    <t>Waterloo North Hydro Inc.1588</t>
  </si>
  <si>
    <t>Waterloo North Hydro Inc.1589</t>
  </si>
  <si>
    <t>Welland Hydro-Electric System Corp.1550</t>
  </si>
  <si>
    <t>Welland Hydro-Electric System Corp.1551</t>
  </si>
  <si>
    <t>Welland Hydro-Electric System Corp.1568</t>
  </si>
  <si>
    <t>Welland Hydro-Electric System Corp.1580</t>
  </si>
  <si>
    <t>Welland Hydro-Electric System Corp.1584</t>
  </si>
  <si>
    <t>Welland Hydro-Electric System Corp.1586</t>
  </si>
  <si>
    <t>Welland Hydro-Electric System Corp.1588</t>
  </si>
  <si>
    <t>Welland Hydro-Electric System Corp.1589</t>
  </si>
  <si>
    <t>Wellington North Power Inc.1550</t>
  </si>
  <si>
    <t>Wellington North Power Inc.1551</t>
  </si>
  <si>
    <t>Wellington North Power Inc.1568</t>
  </si>
  <si>
    <t>Wellington North Power Inc.1580</t>
  </si>
  <si>
    <t>Wellington North Power Inc.1584</t>
  </si>
  <si>
    <t>Wellington North Power Inc.1586</t>
  </si>
  <si>
    <t>Wellington North Power Inc.1588</t>
  </si>
  <si>
    <t>Wellington North Power Inc.1589</t>
  </si>
  <si>
    <t>West Coast Huron Energy Inc.1550</t>
  </si>
  <si>
    <t>West Coast Huron Energy Inc.1551</t>
  </si>
  <si>
    <t>West Coast Huron Energy Inc.1568</t>
  </si>
  <si>
    <t>West Coast Huron Energy Inc.1580</t>
  </si>
  <si>
    <t>West Coast Huron Energy Inc.1584</t>
  </si>
  <si>
    <t>West Coast Huron Energy Inc.1586</t>
  </si>
  <si>
    <t>West Coast Huron Energy Inc.1588</t>
  </si>
  <si>
    <t>West Coast Huron Energy Inc.1589</t>
  </si>
  <si>
    <t>Westario Power Inc.1550</t>
  </si>
  <si>
    <t>Westario Power Inc.1551</t>
  </si>
  <si>
    <t>Westario Power Inc.1568</t>
  </si>
  <si>
    <t>Westario Power Inc.1580</t>
  </si>
  <si>
    <t>Westario Power Inc.1584</t>
  </si>
  <si>
    <t>Westario Power Inc.1586</t>
  </si>
  <si>
    <t>Westario Power Inc.1588</t>
  </si>
  <si>
    <t>Westario Power Inc.1589</t>
  </si>
  <si>
    <t>Whitby Hydro Electric Corporation1550</t>
  </si>
  <si>
    <t>Whitby Hydro Electric Corporation1551</t>
  </si>
  <si>
    <t>Whitby Hydro Electric Corporation1568</t>
  </si>
  <si>
    <t>Whitby Hydro Electric Corporation1580</t>
  </si>
  <si>
    <t>Whitby Hydro Electric Corporation1584</t>
  </si>
  <si>
    <t>Whitby Hydro Electric Corporation1586</t>
  </si>
  <si>
    <t>Whitby Hydro Electric Corporation1588</t>
  </si>
  <si>
    <t>Whitby Hydro Electric Corporation1589</t>
  </si>
  <si>
    <t>Algoma Power Inc.1595_(2008)</t>
  </si>
  <si>
    <t>Algoma Power Inc.1595_(2009)</t>
  </si>
  <si>
    <t>Algoma Power Inc.1595_(2010)</t>
  </si>
  <si>
    <t>Algoma Power Inc.1595_(2011)</t>
  </si>
  <si>
    <t>Algoma Power Inc.1595_(2012)</t>
  </si>
  <si>
    <t>Algoma Power Inc.1595_(2013)</t>
  </si>
  <si>
    <t>Algoma Power Inc.1595_(2014)</t>
  </si>
  <si>
    <t>Atikokan Hydro Inc.1595_(2008)</t>
  </si>
  <si>
    <t>Atikokan Hydro Inc.1595_(2009)</t>
  </si>
  <si>
    <t>Atikokan Hydro Inc.1595_(2010)</t>
  </si>
  <si>
    <t>Atikokan Hydro Inc.1595_(2011)</t>
  </si>
  <si>
    <t>Atikokan Hydro Inc.1595_(2012)</t>
  </si>
  <si>
    <t>Atikokan Hydro Inc.1595_(2013)</t>
  </si>
  <si>
    <t>Atikokan Hydro Inc.1595_(2014)</t>
  </si>
  <si>
    <t>Bluewater Power Distribution Corporation1595_(2008)</t>
  </si>
  <si>
    <t>Bluewater Power Distribution Corporation1595_(2009)</t>
  </si>
  <si>
    <t>Bluewater Power Distribution Corporation1595_(2010)</t>
  </si>
  <si>
    <t>Bluewater Power Distribution Corporation1595_(2011)</t>
  </si>
  <si>
    <t>Bluewater Power Distribution Corporation1595_(2012)</t>
  </si>
  <si>
    <t>Bluewater Power Distribution Corporation1595_(2013)</t>
  </si>
  <si>
    <t>Bluewater Power Distribution Corporation1595_(2014)</t>
  </si>
  <si>
    <t>Brantford Power Inc.1595_(2008)</t>
  </si>
  <si>
    <t>Brantford Power Inc.1595_(2009)</t>
  </si>
  <si>
    <t>Brantford Power Inc.1595_(2010)</t>
  </si>
  <si>
    <t>Brantford Power Inc.1595_(2011)</t>
  </si>
  <si>
    <t>Brantford Power Inc.1595_(2012)</t>
  </si>
  <si>
    <t>Brantford Power Inc.1595_(2013)</t>
  </si>
  <si>
    <t>Brantford Power Inc.1595_(2014)</t>
  </si>
  <si>
    <t>Burlington Hydro Inc.1595_(2008)</t>
  </si>
  <si>
    <t>Burlington Hydro Inc.1595_(2009)</t>
  </si>
  <si>
    <t>Burlington Hydro Inc.1595_(2010)</t>
  </si>
  <si>
    <t>Burlington Hydro Inc.1595_(2011)</t>
  </si>
  <si>
    <t>Burlington Hydro Inc.1595_(2012)</t>
  </si>
  <si>
    <t>Burlington Hydro Inc.1595_(2013)</t>
  </si>
  <si>
    <t>Burlington Hydro Inc.1595_(2014)</t>
  </si>
  <si>
    <t>Canadian Niagara Power Inc.1595_(2008)</t>
  </si>
  <si>
    <t>Canadian Niagara Power Inc.1595_(2009)</t>
  </si>
  <si>
    <t>Canadian Niagara Power Inc.1595_(2010)</t>
  </si>
  <si>
    <t>Canadian Niagara Power Inc.1595_(2011)</t>
  </si>
  <si>
    <t>Canadian Niagara Power Inc.1595_(2012)</t>
  </si>
  <si>
    <t>Canadian Niagara Power Inc.1595_(2013)</t>
  </si>
  <si>
    <t>Canadian Niagara Power Inc.1595_(2014)</t>
  </si>
  <si>
    <t>Centre Wellington Hydro Ltd.1595_(2008)</t>
  </si>
  <si>
    <t>Centre Wellington Hydro Ltd.1595_(2009)</t>
  </si>
  <si>
    <t>Centre Wellington Hydro Ltd.1595_(2010)</t>
  </si>
  <si>
    <t>Centre Wellington Hydro Ltd.1595_(2011)</t>
  </si>
  <si>
    <t>Centre Wellington Hydro Ltd.1595_(2012)</t>
  </si>
  <si>
    <t>Centre Wellington Hydro Ltd.1595_(2013)</t>
  </si>
  <si>
    <t>Centre Wellington Hydro Ltd.1595_(2014)</t>
  </si>
  <si>
    <t>Chapleau Public Utilities Corporation1595_(2008)</t>
  </si>
  <si>
    <t>Chapleau Public Utilities Corporation1595_(2009)</t>
  </si>
  <si>
    <t>Chapleau Public Utilities Corporation1595_(2010)</t>
  </si>
  <si>
    <t>Chapleau Public Utilities Corporation1595_(2011)</t>
  </si>
  <si>
    <t>Chapleau Public Utilities Corporation1595_(2012)</t>
  </si>
  <si>
    <t>Chapleau Public Utilities Corporation1595_(2013)</t>
  </si>
  <si>
    <t>Chapleau Public Utilities Corporation1595_(2014)</t>
  </si>
  <si>
    <t>Collus PowerStream Corp.1595_(2008)</t>
  </si>
  <si>
    <t>Collus PowerStream Corp.1595_(2009)</t>
  </si>
  <si>
    <t>Collus PowerStream Corp.1595_(2010)</t>
  </si>
  <si>
    <t>Collus PowerStream Corp.1595_(2011)</t>
  </si>
  <si>
    <t>Collus PowerStream Corp.1595_(2012)</t>
  </si>
  <si>
    <t>Collus PowerStream Corp.1595_(2013)</t>
  </si>
  <si>
    <t>Collus PowerStream Corp.1595_(2014)</t>
  </si>
  <si>
    <t>Cooperative Hydro Embrun Inc.1595_(2008)</t>
  </si>
  <si>
    <t>Cooperative Hydro Embrun Inc.1595_(2009)</t>
  </si>
  <si>
    <t>Cooperative Hydro Embrun Inc.1595_(2010)</t>
  </si>
  <si>
    <t>Cooperative Hydro Embrun Inc.1595_(2011)</t>
  </si>
  <si>
    <t>Cooperative Hydro Embrun Inc.1595_(2012)</t>
  </si>
  <si>
    <t>Cooperative Hydro Embrun Inc.1595_(2013)</t>
  </si>
  <si>
    <t>Cooperative Hydro Embrun Inc.1595_(2014)</t>
  </si>
  <si>
    <t>E.L.K. Energy Inc.1595_(2008)</t>
  </si>
  <si>
    <t>E.L.K. Energy Inc.1595_(2009)</t>
  </si>
  <si>
    <t>E.L.K. Energy Inc.1595_(2010)</t>
  </si>
  <si>
    <t>E.L.K. Energy Inc.1595_(2011)</t>
  </si>
  <si>
    <t>E.L.K. Energy Inc.1595_(2012)</t>
  </si>
  <si>
    <t>E.L.K. Energy Inc.1595_(2013)</t>
  </si>
  <si>
    <t>E.L.K. Energy Inc.1595_(2014)</t>
  </si>
  <si>
    <t>Entegrus Powerlines Inc.1595_(2008)</t>
  </si>
  <si>
    <t>Entegrus Powerlines Inc.1595_(2009)</t>
  </si>
  <si>
    <t>Entegrus Powerlines Inc.1595_(2010)</t>
  </si>
  <si>
    <t>Entegrus Powerlines Inc.1595_(2011)</t>
  </si>
  <si>
    <t>Entegrus Powerlines Inc.1595_(2012)</t>
  </si>
  <si>
    <t>Entegrus Powerlines Inc.1595_(2013)</t>
  </si>
  <si>
    <t>Entegrus Powerlines Inc.1595_(2014)</t>
  </si>
  <si>
    <t>EnWin Utilities Ltd.1595_(2008)</t>
  </si>
  <si>
    <t>EnWin Utilities Ltd.1595_(2009)</t>
  </si>
  <si>
    <t>EnWin Utilities Ltd.1595_(2010)</t>
  </si>
  <si>
    <t>EnWin Utilities Ltd.1595_(2011)</t>
  </si>
  <si>
    <t>EnWin Utilities Ltd.1595_(2012)</t>
  </si>
  <si>
    <t>EnWin Utilities Ltd.1595_(2013)</t>
  </si>
  <si>
    <t>EnWin Utilities Ltd.1595_(2014)</t>
  </si>
  <si>
    <t>Erie Thames Powerlines Corporation1595_(2008)</t>
  </si>
  <si>
    <t>Erie Thames Powerlines Corporation1595_(2009)</t>
  </si>
  <si>
    <t>Erie Thames Powerlines Corporation1595_(2010)</t>
  </si>
  <si>
    <t>Erie Thames Powerlines Corporation1595_(2011)</t>
  </si>
  <si>
    <t>Erie Thames Powerlines Corporation1595_(2012)</t>
  </si>
  <si>
    <t>Erie Thames Powerlines Corporation1595_(2013)</t>
  </si>
  <si>
    <t>Erie Thames Powerlines Corporation1595_(2014)</t>
  </si>
  <si>
    <t>Espanola Regional Hydro Distribution Corporation1595_(2008)</t>
  </si>
  <si>
    <t>Espanola Regional Hydro Distribution Corporation1595_(2009)</t>
  </si>
  <si>
    <t>Espanola Regional Hydro Distribution Corporation1595_(2010)</t>
  </si>
  <si>
    <t>Espanola Regional Hydro Distribution Corporation1595_(2011)</t>
  </si>
  <si>
    <t>Espanola Regional Hydro Distribution Corporation1595_(2012)</t>
  </si>
  <si>
    <t>Espanola Regional Hydro Distribution Corporation1595_(2013)</t>
  </si>
  <si>
    <t>Espanola Regional Hydro Distribution Corporation1595_(2014)</t>
  </si>
  <si>
    <t>Fort Frances Power Corporation1595_(2008)</t>
  </si>
  <si>
    <t>Fort Frances Power Corporation1595_(2009)</t>
  </si>
  <si>
    <t>Fort Frances Power Corporation1595_(2010)</t>
  </si>
  <si>
    <t>Fort Frances Power Corporation1595_(2011)</t>
  </si>
  <si>
    <t>Fort Frances Power Corporation1595_(2012)</t>
  </si>
  <si>
    <t>Fort Frances Power Corporation1595_(2013)</t>
  </si>
  <si>
    <t>Fort Frances Power Corporation1595_(2014)</t>
  </si>
  <si>
    <t>Greater Sudbury Hydro Inc.1595_(2008)</t>
  </si>
  <si>
    <t>Greater Sudbury Hydro Inc.1595_(2009)</t>
  </si>
  <si>
    <t>Greater Sudbury Hydro Inc.1595_(2010)</t>
  </si>
  <si>
    <t>Greater Sudbury Hydro Inc.1595_(2011)</t>
  </si>
  <si>
    <t>Greater Sudbury Hydro Inc.1595_(2012)</t>
  </si>
  <si>
    <t>Greater Sudbury Hydro Inc.1595_(2013)</t>
  </si>
  <si>
    <t>Greater Sudbury Hydro Inc.1595_(2014)</t>
  </si>
  <si>
    <t>Grimsby Power Incorporated1595_(2008)</t>
  </si>
  <si>
    <t>Grimsby Power Incorporated1595_(2009)</t>
  </si>
  <si>
    <t>Grimsby Power Incorporated1595_(2010)</t>
  </si>
  <si>
    <t>Grimsby Power Incorporated1595_(2011)</t>
  </si>
  <si>
    <t>Grimsby Power Incorporated1595_(2012)</t>
  </si>
  <si>
    <t>Grimsby Power Incorporated1595_(2013)</t>
  </si>
  <si>
    <t>Grimsby Power Incorporated1595_(2014)</t>
  </si>
  <si>
    <t>Guelph Hydro Electric Systems Inc.1595_(2008)</t>
  </si>
  <si>
    <t>Guelph Hydro Electric Systems Inc.1595_(2009)</t>
  </si>
  <si>
    <t>Guelph Hydro Electric Systems Inc.1595_(2010)</t>
  </si>
  <si>
    <t>Guelph Hydro Electric Systems Inc.1595_(2011)</t>
  </si>
  <si>
    <t>Guelph Hydro Electric Systems Inc.1595_(2012)</t>
  </si>
  <si>
    <t>Guelph Hydro Electric Systems Inc.1595_(2013)</t>
  </si>
  <si>
    <t>Guelph Hydro Electric Systems Inc.1595_(2014)</t>
  </si>
  <si>
    <t>Halton Hills Hydro Inc.1595_(2008)</t>
  </si>
  <si>
    <t>Halton Hills Hydro Inc.1595_(2009)</t>
  </si>
  <si>
    <t>Halton Hills Hydro Inc.1595_(2010)</t>
  </si>
  <si>
    <t>Halton Hills Hydro Inc.1595_(2011)</t>
  </si>
  <si>
    <t>Halton Hills Hydro Inc.1595_(2012)</t>
  </si>
  <si>
    <t>Halton Hills Hydro Inc.1595_(2013)</t>
  </si>
  <si>
    <t>Halton Hills Hydro Inc.1595_(2014)</t>
  </si>
  <si>
    <t>Hydro 2000 Inc.1595_(2008)</t>
  </si>
  <si>
    <t>Hydro 2000 Inc.1595_(2009)</t>
  </si>
  <si>
    <t>Hydro 2000 Inc.1595_(2010)</t>
  </si>
  <si>
    <t>Hydro 2000 Inc.1595_(2011)</t>
  </si>
  <si>
    <t>Hydro 2000 Inc.1595_(2012)</t>
  </si>
  <si>
    <t>Hydro 2000 Inc.1595_(2013)</t>
  </si>
  <si>
    <t>Hydro 2000 Inc.1595_(2014)</t>
  </si>
  <si>
    <t>Hydro Hawkesbury Inc.1595_(2008)</t>
  </si>
  <si>
    <t>Hydro Hawkesbury Inc.1595_(2009)</t>
  </si>
  <si>
    <t>Hydro Hawkesbury Inc.1595_(2010)</t>
  </si>
  <si>
    <t>Hydro Hawkesbury Inc.1595_(2011)</t>
  </si>
  <si>
    <t>Hydro Hawkesbury Inc.1595_(2012)</t>
  </si>
  <si>
    <t>Hydro Hawkesbury Inc.1595_(2013)</t>
  </si>
  <si>
    <t>Hydro Hawkesbury Inc.1595_(2014)</t>
  </si>
  <si>
    <t>Hydro One Networks Inc.1595_(2008)</t>
  </si>
  <si>
    <t>Hydro One Networks Inc.1595_(2009)</t>
  </si>
  <si>
    <t>Hydro One Networks Inc.1595_(2010)</t>
  </si>
  <si>
    <t>Hydro One Networks Inc.1595_(2011)</t>
  </si>
  <si>
    <t>Hydro One Networks Inc.1595_(2012)</t>
  </si>
  <si>
    <t>Hydro One Networks Inc.1595_(2013)</t>
  </si>
  <si>
    <t>Hydro One Networks Inc.1595_(2014)</t>
  </si>
  <si>
    <t>Hydro One Remote Communities Inc.1595_(2008)</t>
  </si>
  <si>
    <t>Hydro One Remote Communities Inc.1595_(2009)</t>
  </si>
  <si>
    <t>Hydro One Remote Communities Inc.1595_(2010)</t>
  </si>
  <si>
    <t>Hydro One Remote Communities Inc.1595_(2011)</t>
  </si>
  <si>
    <t>Hydro One Remote Communities Inc.1595_(2012)</t>
  </si>
  <si>
    <t>Hydro One Remote Communities Inc.1595_(2013)</t>
  </si>
  <si>
    <t>Hydro One Remote Communities Inc.1595_(2014)</t>
  </si>
  <si>
    <t>Hydro Ottawa Limited1595_(2008)</t>
  </si>
  <si>
    <t>Hydro Ottawa Limited1595_(2009)</t>
  </si>
  <si>
    <t>Hydro Ottawa Limited1595_(2010)</t>
  </si>
  <si>
    <t>Hydro Ottawa Limited1595_(2011)</t>
  </si>
  <si>
    <t>Hydro Ottawa Limited1595_(2012)</t>
  </si>
  <si>
    <t>Hydro Ottawa Limited1595_(2013)</t>
  </si>
  <si>
    <t>Hydro Ottawa Limited1595_(2014)</t>
  </si>
  <si>
    <t>Innpower Corporation1595_(2008)</t>
  </si>
  <si>
    <t>Innpower Corporation1595_(2009)</t>
  </si>
  <si>
    <t>Innpower Corporation1595_(2010)</t>
  </si>
  <si>
    <t>Innpower Corporation1595_(2011)</t>
  </si>
  <si>
    <t>Innpower Corporation1595_(2012)</t>
  </si>
  <si>
    <t>Innpower Corporation1595_(2013)</t>
  </si>
  <si>
    <t>Innpower Corporation1595_(2014)</t>
  </si>
  <si>
    <t>Kenora Hydro Electric Corporation Ltd.1595_(2008)</t>
  </si>
  <si>
    <t>Kenora Hydro Electric Corporation Ltd.1595_(2009)</t>
  </si>
  <si>
    <t>Kenora Hydro Electric Corporation Ltd.1595_(2010)</t>
  </si>
  <si>
    <t>Kenora Hydro Electric Corporation Ltd.1595_(2011)</t>
  </si>
  <si>
    <t>Kenora Hydro Electric Corporation Ltd.1595_(2012)</t>
  </si>
  <si>
    <t>Kenora Hydro Electric Corporation Ltd.1595_(2013)</t>
  </si>
  <si>
    <t>Kenora Hydro Electric Corporation Ltd.1595_(2014)</t>
  </si>
  <si>
    <t>Kingston Hydro Corporation1595_(2008)</t>
  </si>
  <si>
    <t>Kingston Hydro Corporation1595_(2009)</t>
  </si>
  <si>
    <t>Kingston Hydro Corporation1595_(2010)</t>
  </si>
  <si>
    <t>Kingston Hydro Corporation1595_(2011)</t>
  </si>
  <si>
    <t>Kingston Hydro Corporation1595_(2012)</t>
  </si>
  <si>
    <t>Kingston Hydro Corporation1595_(2013)</t>
  </si>
  <si>
    <t>Kingston Hydro Corporation1595_(2014)</t>
  </si>
  <si>
    <t>Kitchener-Wilmot Hydro Inc.1595_(2008)</t>
  </si>
  <si>
    <t>Kitchener-Wilmot Hydro Inc.1595_(2009)</t>
  </si>
  <si>
    <t>Kitchener-Wilmot Hydro Inc.1595_(2010)</t>
  </si>
  <si>
    <t>Kitchener-Wilmot Hydro Inc.1595_(2011)</t>
  </si>
  <si>
    <t>Kitchener-Wilmot Hydro Inc.1595_(2012)</t>
  </si>
  <si>
    <t>Kitchener-Wilmot Hydro Inc.1595_(2013)</t>
  </si>
  <si>
    <t>Kitchener-Wilmot Hydro Inc.1595_(2014)</t>
  </si>
  <si>
    <t>Lakefront Utilities Inc.1595_(2008)</t>
  </si>
  <si>
    <t>Lakefront Utilities Inc.1595_(2009)</t>
  </si>
  <si>
    <t>Lakefront Utilities Inc.1595_(2010)</t>
  </si>
  <si>
    <t>Lakefront Utilities Inc.1595_(2011)</t>
  </si>
  <si>
    <t>Lakefront Utilities Inc.1595_(2012)</t>
  </si>
  <si>
    <t>Lakefront Utilities Inc.1595_(2013)</t>
  </si>
  <si>
    <t>Lakefront Utilities Inc.1595_(2014)</t>
  </si>
  <si>
    <t>Lakeland Power Distribution Ltd.1595_(2008)</t>
  </si>
  <si>
    <t>Lakeland Power Distribution Ltd.1595_(2009)</t>
  </si>
  <si>
    <t>Lakeland Power Distribution Ltd.1595_(2010)</t>
  </si>
  <si>
    <t>Lakeland Power Distribution Ltd.1595_(2011)</t>
  </si>
  <si>
    <t>Lakeland Power Distribution Ltd.1595_(2012)</t>
  </si>
  <si>
    <t>Lakeland Power Distribution Ltd.1595_(2013)</t>
  </si>
  <si>
    <t>Lakeland Power Distribution Ltd.1595_(2014)</t>
  </si>
  <si>
    <t>London Hydro Inc.1595_(2008)</t>
  </si>
  <si>
    <t>London Hydro Inc.1595_(2009)</t>
  </si>
  <si>
    <t>London Hydro Inc.1595_(2010)</t>
  </si>
  <si>
    <t>London Hydro Inc.1595_(2011)</t>
  </si>
  <si>
    <t>London Hydro Inc.1595_(2012)</t>
  </si>
  <si>
    <t>London Hydro Inc.1595_(2013)</t>
  </si>
  <si>
    <t>London Hydro Inc.1595_(2014)</t>
  </si>
  <si>
    <t>Midland Power Utility Corporation1595_(2008)</t>
  </si>
  <si>
    <t>Midland Power Utility Corporation1595_(2009)</t>
  </si>
  <si>
    <t>Midland Power Utility Corporation1595_(2010)</t>
  </si>
  <si>
    <t>Midland Power Utility Corporation1595_(2011)</t>
  </si>
  <si>
    <t>Midland Power Utility Corporation1595_(2012)</t>
  </si>
  <si>
    <t>Midland Power Utility Corporation1595_(2013)</t>
  </si>
  <si>
    <t>Midland Power Utility Corporation1595_(2014)</t>
  </si>
  <si>
    <t>Milton Hydro Distribution Inc.1595_(2008)</t>
  </si>
  <si>
    <t>Milton Hydro Distribution Inc.1595_(2009)</t>
  </si>
  <si>
    <t>Milton Hydro Distribution Inc.1595_(2010)</t>
  </si>
  <si>
    <t>Milton Hydro Distribution Inc.1595_(2011)</t>
  </si>
  <si>
    <t>Milton Hydro Distribution Inc.1595_(2012)</t>
  </si>
  <si>
    <t>Milton Hydro Distribution Inc.1595_(2013)</t>
  </si>
  <si>
    <t>Milton Hydro Distribution Inc.1595_(2014)</t>
  </si>
  <si>
    <t>Niagara Peninsula Energy Inc.1595_(2008)</t>
  </si>
  <si>
    <t>Niagara Peninsula Energy Inc.1595_(2009)</t>
  </si>
  <si>
    <t>Niagara Peninsula Energy Inc.1595_(2010)</t>
  </si>
  <si>
    <t>Niagara Peninsula Energy Inc.1595_(2011)</t>
  </si>
  <si>
    <t>Niagara Peninsula Energy Inc.1595_(2012)</t>
  </si>
  <si>
    <t>Niagara Peninsula Energy Inc.1595_(2013)</t>
  </si>
  <si>
    <t>Niagara Peninsula Energy Inc.1595_(2014)</t>
  </si>
  <si>
    <t>Niagara-on-the-Lake Hydro Inc.1595_(2008)</t>
  </si>
  <si>
    <t>Niagara-on-the-Lake Hydro Inc.1595_(2009)</t>
  </si>
  <si>
    <t>Niagara-on-the-Lake Hydro Inc.1595_(2010)</t>
  </si>
  <si>
    <t>Niagara-on-the-Lake Hydro Inc.1595_(2011)</t>
  </si>
  <si>
    <t>Niagara-on-the-Lake Hydro Inc.1595_(2012)</t>
  </si>
  <si>
    <t>Niagara-on-the-Lake Hydro Inc.1595_(2013)</t>
  </si>
  <si>
    <t>Niagara-on-the-Lake Hydro Inc.1595_(2014)</t>
  </si>
  <si>
    <t>North Bay Hydro Distribution Limited1595_(2008)</t>
  </si>
  <si>
    <t>North Bay Hydro Distribution Limited1595_(2009)</t>
  </si>
  <si>
    <t>North Bay Hydro Distribution Limited1595_(2010)</t>
  </si>
  <si>
    <t>North Bay Hydro Distribution Limited1595_(2011)</t>
  </si>
  <si>
    <t>North Bay Hydro Distribution Limited1595_(2012)</t>
  </si>
  <si>
    <t>North Bay Hydro Distribution Limited1595_(2013)</t>
  </si>
  <si>
    <t>North Bay Hydro Distribution Limited1595_(2014)</t>
  </si>
  <si>
    <t>Northern Ontario Wires Inc.1595_(2008)</t>
  </si>
  <si>
    <t>Northern Ontario Wires Inc.1595_(2009)</t>
  </si>
  <si>
    <t>Northern Ontario Wires Inc.1595_(2010)</t>
  </si>
  <si>
    <t>Northern Ontario Wires Inc.1595_(2011)</t>
  </si>
  <si>
    <t>Northern Ontario Wires Inc.1595_(2012)</t>
  </si>
  <si>
    <t>Northern Ontario Wires Inc.1595_(2013)</t>
  </si>
  <si>
    <t>Northern Ontario Wires Inc.1595_(2014)</t>
  </si>
  <si>
    <t>Oakville Hydro Electricity Distribution Inc.1595_(2008)</t>
  </si>
  <si>
    <t>Oakville Hydro Electricity Distribution Inc.1595_(2009)</t>
  </si>
  <si>
    <t>Oakville Hydro Electricity Distribution Inc.1595_(2010)</t>
  </si>
  <si>
    <t>Oakville Hydro Electricity Distribution Inc.1595_(2011)</t>
  </si>
  <si>
    <t>Oakville Hydro Electricity Distribution Inc.1595_(2012)</t>
  </si>
  <si>
    <t>Oakville Hydro Electricity Distribution Inc.1595_(2013)</t>
  </si>
  <si>
    <t>Oakville Hydro Electricity Distribution Inc.1595_(2014)</t>
  </si>
  <si>
    <t>Orangeville Hydro Limited1595_(2008)</t>
  </si>
  <si>
    <t>Orangeville Hydro Limited1595_(2009)</t>
  </si>
  <si>
    <t>Orangeville Hydro Limited1595_(2010)</t>
  </si>
  <si>
    <t>Orangeville Hydro Limited1595_(2011)</t>
  </si>
  <si>
    <t>Orangeville Hydro Limited1595_(2012)</t>
  </si>
  <si>
    <t>Orangeville Hydro Limited1595_(2013)</t>
  </si>
  <si>
    <t>Orangeville Hydro Limited1595_(2014)</t>
  </si>
  <si>
    <t>Orillia Power Distribution Corporation1595_(2008)</t>
  </si>
  <si>
    <t>Orillia Power Distribution Corporation1595_(2009)</t>
  </si>
  <si>
    <t>Orillia Power Distribution Corporation1595_(2010)</t>
  </si>
  <si>
    <t>Orillia Power Distribution Corporation1595_(2011)</t>
  </si>
  <si>
    <t>Orillia Power Distribution Corporation1595_(2012)</t>
  </si>
  <si>
    <t>Orillia Power Distribution Corporation1595_(2013)</t>
  </si>
  <si>
    <t>Orillia Power Distribution Corporation1595_(2014)</t>
  </si>
  <si>
    <t>Oshawa PUC Networks Inc.1595_(2008)</t>
  </si>
  <si>
    <t>Oshawa PUC Networks Inc.1595_(2009)</t>
  </si>
  <si>
    <t>Oshawa PUC Networks Inc.1595_(2010)</t>
  </si>
  <si>
    <t>Oshawa PUC Networks Inc.1595_(2011)</t>
  </si>
  <si>
    <t>Oshawa PUC Networks Inc.1595_(2012)</t>
  </si>
  <si>
    <t>Oshawa PUC Networks Inc.1595_(2013)</t>
  </si>
  <si>
    <t>Oshawa PUC Networks Inc.1595_(2014)</t>
  </si>
  <si>
    <t>Ottawa River Power Corporation1595_(2008)</t>
  </si>
  <si>
    <t>Ottawa River Power Corporation1595_(2009)</t>
  </si>
  <si>
    <t>Ottawa River Power Corporation1595_(2010)</t>
  </si>
  <si>
    <t>Ottawa River Power Corporation1595_(2011)</t>
  </si>
  <si>
    <t>Ottawa River Power Corporation1595_(2012)</t>
  </si>
  <si>
    <t>Ottawa River Power Corporation1595_(2013)</t>
  </si>
  <si>
    <t>Ottawa River Power Corporation1595_(2014)</t>
  </si>
  <si>
    <t>Peterborough Distribution Incorporated1595_(2008)</t>
  </si>
  <si>
    <t>Peterborough Distribution Incorporated1595_(2009)</t>
  </si>
  <si>
    <t>Peterborough Distribution Incorporated1595_(2010)</t>
  </si>
  <si>
    <t>Peterborough Distribution Incorporated1595_(2011)</t>
  </si>
  <si>
    <t>Peterborough Distribution Incorporated1595_(2012)</t>
  </si>
  <si>
    <t>Peterborough Distribution Incorporated1595_(2013)</t>
  </si>
  <si>
    <t>Peterborough Distribution Incorporated1595_(2014)</t>
  </si>
  <si>
    <t>PUC Distribution Inc.1595_(2008)</t>
  </si>
  <si>
    <t>PUC Distribution Inc.1595_(2009)</t>
  </si>
  <si>
    <t>PUC Distribution Inc.1595_(2010)</t>
  </si>
  <si>
    <t>PUC Distribution Inc.1595_(2011)</t>
  </si>
  <si>
    <t>PUC Distribution Inc.1595_(2012)</t>
  </si>
  <si>
    <t>PUC Distribution Inc.1595_(2013)</t>
  </si>
  <si>
    <t>PUC Distribution Inc.1595_(2014)</t>
  </si>
  <si>
    <t>Renfrew Hydro Inc.1595_(2008)</t>
  </si>
  <si>
    <t>Renfrew Hydro Inc.1595_(2009)</t>
  </si>
  <si>
    <t>Renfrew Hydro Inc.1595_(2010)</t>
  </si>
  <si>
    <t>Renfrew Hydro Inc.1595_(2011)</t>
  </si>
  <si>
    <t>Renfrew Hydro Inc.1595_(2012)</t>
  </si>
  <si>
    <t>Renfrew Hydro Inc.1595_(2013)</t>
  </si>
  <si>
    <t>Renfrew Hydro Inc.1595_(2014)</t>
  </si>
  <si>
    <t>Rideau St. Lawrence Distribution Inc.1595_(2008)</t>
  </si>
  <si>
    <t>Rideau St. Lawrence Distribution Inc.1595_(2009)</t>
  </si>
  <si>
    <t>Rideau St. Lawrence Distribution Inc.1595_(2010)</t>
  </si>
  <si>
    <t>Rideau St. Lawrence Distribution Inc.1595_(2011)</t>
  </si>
  <si>
    <t>Rideau St. Lawrence Distribution Inc.1595_(2012)</t>
  </si>
  <si>
    <t>Rideau St. Lawrence Distribution Inc.1595_(2013)</t>
  </si>
  <si>
    <t>Rideau St. Lawrence Distribution Inc.1595_(2014)</t>
  </si>
  <si>
    <t>St. Thomas Energy Inc.1595_(2008)</t>
  </si>
  <si>
    <t>St. Thomas Energy Inc.1595_(2009)</t>
  </si>
  <si>
    <t>St. Thomas Energy Inc.1595_(2010)</t>
  </si>
  <si>
    <t>St. Thomas Energy Inc.1595_(2011)</t>
  </si>
  <si>
    <t>St. Thomas Energy Inc.1595_(2012)</t>
  </si>
  <si>
    <t>St. Thomas Energy Inc.1595_(2013)</t>
  </si>
  <si>
    <t>St. Thomas Energy Inc.1595_(2014)</t>
  </si>
  <si>
    <t>Tillsonburg Hydro Inc.1595_(2008)</t>
  </si>
  <si>
    <t>Tillsonburg Hydro Inc.1595_(2009)</t>
  </si>
  <si>
    <t>Tillsonburg Hydro Inc.1595_(2010)</t>
  </si>
  <si>
    <t>Tillsonburg Hydro Inc.1595_(2011)</t>
  </si>
  <si>
    <t>Tillsonburg Hydro Inc.1595_(2012)</t>
  </si>
  <si>
    <t>Tillsonburg Hydro Inc.1595_(2013)</t>
  </si>
  <si>
    <t>Tillsonburg Hydro Inc.1595_(2014)</t>
  </si>
  <si>
    <t>Toronto Hydro-Electric System Limited1595_(2008)</t>
  </si>
  <si>
    <t>Toronto Hydro-Electric System Limited1595_(2009)</t>
  </si>
  <si>
    <t>Toronto Hydro-Electric System Limited1595_(2010)</t>
  </si>
  <si>
    <t>Toronto Hydro-Electric System Limited1595_(2011)</t>
  </si>
  <si>
    <t>Toronto Hydro-Electric System Limited1595_(2012)</t>
  </si>
  <si>
    <t>Toronto Hydro-Electric System Limited1595_(2013)</t>
  </si>
  <si>
    <t>Toronto Hydro-Electric System Limited1595_(2014)</t>
  </si>
  <si>
    <t>Veridian Connections Inc.1595_(2008)</t>
  </si>
  <si>
    <t>Veridian Connections Inc.1595_(2009)</t>
  </si>
  <si>
    <t>Veridian Connections Inc.1595_(2010)</t>
  </si>
  <si>
    <t>Veridian Connections Inc.1595_(2011)</t>
  </si>
  <si>
    <t>Veridian Connections Inc.1595_(2012)</t>
  </si>
  <si>
    <t>Veridian Connections Inc.1595_(2013)</t>
  </si>
  <si>
    <t>Veridian Connections Inc.1595_(2014)</t>
  </si>
  <si>
    <t>Wasaga Distribution Inc.1595_(2008)</t>
  </si>
  <si>
    <t>Wasaga Distribution Inc.1595_(2009)</t>
  </si>
  <si>
    <t>Wasaga Distribution Inc.1595_(2010)</t>
  </si>
  <si>
    <t>Wasaga Distribution Inc.1595_(2011)</t>
  </si>
  <si>
    <t>Wasaga Distribution Inc.1595_(2012)</t>
  </si>
  <si>
    <t>Wasaga Distribution Inc.1595_(2013)</t>
  </si>
  <si>
    <t>Wasaga Distribution Inc.1595_(2014)</t>
  </si>
  <si>
    <t>Waterloo North Hydro Inc.1595_(2008)</t>
  </si>
  <si>
    <t>Waterloo North Hydro Inc.1595_(2009)</t>
  </si>
  <si>
    <t>Waterloo North Hydro Inc.1595_(2010)</t>
  </si>
  <si>
    <t>Waterloo North Hydro Inc.1595_(2011)</t>
  </si>
  <si>
    <t>Waterloo North Hydro Inc.1595_(2012)</t>
  </si>
  <si>
    <t>Waterloo North Hydro Inc.1595_(2013)</t>
  </si>
  <si>
    <t>Waterloo North Hydro Inc.1595_(2014)</t>
  </si>
  <si>
    <t>Welland Hydro-Electric System Corp.1595_(2008)</t>
  </si>
  <si>
    <t>Welland Hydro-Electric System Corp.1595_(2009)</t>
  </si>
  <si>
    <t>Welland Hydro-Electric System Corp.1595_(2010)</t>
  </si>
  <si>
    <t>Welland Hydro-Electric System Corp.1595_(2011)</t>
  </si>
  <si>
    <t>Welland Hydro-Electric System Corp.1595_(2012)</t>
  </si>
  <si>
    <t>Welland Hydro-Electric System Corp.1595_(2013)</t>
  </si>
  <si>
    <t>Welland Hydro-Electric System Corp.1595_(2014)</t>
  </si>
  <si>
    <t>Wellington North Power Inc.1595_(2008)</t>
  </si>
  <si>
    <t>Wellington North Power Inc.1595_(2009)</t>
  </si>
  <si>
    <t>Wellington North Power Inc.1595_(2010)</t>
  </si>
  <si>
    <t>Wellington North Power Inc.1595_(2011)</t>
  </si>
  <si>
    <t>Wellington North Power Inc.1595_(2012)</t>
  </si>
  <si>
    <t>Wellington North Power Inc.1595_(2013)</t>
  </si>
  <si>
    <t>Wellington North Power Inc.1595_(2014)</t>
  </si>
  <si>
    <t>West Coast Huron Energy Inc.1595_(2008)</t>
  </si>
  <si>
    <t>West Coast Huron Energy Inc.1595_(2009)</t>
  </si>
  <si>
    <t>West Coast Huron Energy Inc.1595_(2010)</t>
  </si>
  <si>
    <t>West Coast Huron Energy Inc.1595_(2011)</t>
  </si>
  <si>
    <t>West Coast Huron Energy Inc.1595_(2012)</t>
  </si>
  <si>
    <t>West Coast Huron Energy Inc.1595_(2013)</t>
  </si>
  <si>
    <t>West Coast Huron Energy Inc.1595_(2014)</t>
  </si>
  <si>
    <t>Westario Power Inc.1595_(2008)</t>
  </si>
  <si>
    <t>Westario Power Inc.1595_(2009)</t>
  </si>
  <si>
    <t>Westario Power Inc.1595_(2010)</t>
  </si>
  <si>
    <t>Westario Power Inc.1595_(2011)</t>
  </si>
  <si>
    <t>Westario Power Inc.1595_(2012)</t>
  </si>
  <si>
    <t>Westario Power Inc.1595_(2013)</t>
  </si>
  <si>
    <t>Westario Power Inc.1595_(2014)</t>
  </si>
  <si>
    <t>Whitby Hydro Electric Corporation1595_(2008)</t>
  </si>
  <si>
    <t>Whitby Hydro Electric Corporation1595_(2009)</t>
  </si>
  <si>
    <t>Whitby Hydro Electric Corporation1595_(2010)</t>
  </si>
  <si>
    <t>Whitby Hydro Electric Corporation1595_(2011)</t>
  </si>
  <si>
    <t>Whitby Hydro Electric Corporation1595_(2012)</t>
  </si>
  <si>
    <t>Whitby Hydro Electric Corporation1595_(2013)</t>
  </si>
  <si>
    <t>Whitby Hydro Electric Corporation1595_(2014)</t>
  </si>
  <si>
    <t>Algoma Power Inc.1595_ControlAccount</t>
  </si>
  <si>
    <t>Atikokan Hydro Inc.1595_ControlAccount</t>
  </si>
  <si>
    <t>Bluewater Power Distribution Corporation1595_ControlAccount</t>
  </si>
  <si>
    <t>Brantford Power Inc.1595_ControlAccount</t>
  </si>
  <si>
    <t>Burlington Hydro Inc.1595_ControlAccount</t>
  </si>
  <si>
    <t>Canadian Niagara Power Inc.1595_ControlAccount</t>
  </si>
  <si>
    <t>Centre Wellington Hydro Ltd.1595_ControlAccount</t>
  </si>
  <si>
    <t>Chapleau Public Utilities Corporation1595_ControlAccount</t>
  </si>
  <si>
    <t>Collus PowerStream Corp.1595_ControlAccount</t>
  </si>
  <si>
    <t>Cooperative Hydro Embrun Inc.1595_ControlAccount</t>
  </si>
  <si>
    <t>E.L.K. Energy Inc.1595_ControlAccount</t>
  </si>
  <si>
    <t>Entegrus Powerlines Inc.1595_ControlAccount</t>
  </si>
  <si>
    <t>EnWin Utilities Ltd.1595_ControlAccount</t>
  </si>
  <si>
    <t>Erie Thames Powerlines Corporation1595_ControlAccount</t>
  </si>
  <si>
    <t>Espanola Regional Hydro Distribution Corporation1595_ControlAccount</t>
  </si>
  <si>
    <t>Fort Frances Power Corporation1595_ControlAccount</t>
  </si>
  <si>
    <t>Greater Sudbury Hydro Inc.1595_ControlAccount</t>
  </si>
  <si>
    <t>Grimsby Power Incorporated1595_ControlAccount</t>
  </si>
  <si>
    <t>Guelph Hydro Electric Systems Inc.1595_ControlAccount</t>
  </si>
  <si>
    <t>Halton Hills Hydro Inc.1595_ControlAccount</t>
  </si>
  <si>
    <t>Hydro 2000 Inc.1595_ControlAccount</t>
  </si>
  <si>
    <t>Hydro Hawkesbury Inc.1595_ControlAccount</t>
  </si>
  <si>
    <t>Hydro One Networks Inc.1595_ControlAccount</t>
  </si>
  <si>
    <t>Hydro One Remote Communities Inc.1595_ControlAccount</t>
  </si>
  <si>
    <t>Hydro Ottawa Limited1595_ControlAccount</t>
  </si>
  <si>
    <t>Innpower Corporation1595_ControlAccount</t>
  </si>
  <si>
    <t>Kenora Hydro Electric Corporation Ltd.1595_ControlAccount</t>
  </si>
  <si>
    <t>Kingston Hydro Corporation1595_ControlAccount</t>
  </si>
  <si>
    <t>Kitchener-Wilmot Hydro Inc.1595_ControlAccount</t>
  </si>
  <si>
    <t>Lakefront Utilities Inc.1595_ControlAccount</t>
  </si>
  <si>
    <t>Lakeland Power Distribution Ltd.1595_ControlAccount</t>
  </si>
  <si>
    <t>London Hydro Inc.1595_ControlAccount</t>
  </si>
  <si>
    <t>Midland Power Utility Corporation1595_ControlAccount</t>
  </si>
  <si>
    <t>Milton Hydro Distribution Inc.1595_ControlAccount</t>
  </si>
  <si>
    <t>Niagara Peninsula Energy Inc.1595_ControlAccount</t>
  </si>
  <si>
    <t>Niagara-on-the-Lake Hydro Inc.1595_ControlAccount</t>
  </si>
  <si>
    <t>North Bay Hydro Distribution Limited1595_ControlAccount</t>
  </si>
  <si>
    <t>Northern Ontario Wires Inc.1595_ControlAccount</t>
  </si>
  <si>
    <t>Oakville Hydro Electricity Distribution Inc.1595_ControlAccount</t>
  </si>
  <si>
    <t>Orangeville Hydro Limited1595_ControlAccount</t>
  </si>
  <si>
    <t>Orillia Power Distribution Corporation1595_ControlAccount</t>
  </si>
  <si>
    <t>Oshawa PUC Networks Inc.1595_ControlAccount</t>
  </si>
  <si>
    <t>Ottawa River Power Corporation1595_ControlAccount</t>
  </si>
  <si>
    <t>Peterborough Distribution Incorporated1595_ControlAccount</t>
  </si>
  <si>
    <t>PUC Distribution Inc.1595_ControlAccount</t>
  </si>
  <si>
    <t>Renfrew Hydro Inc.1595_ControlAccount</t>
  </si>
  <si>
    <t>Rideau St. Lawrence Distribution Inc.1595_ControlAccount</t>
  </si>
  <si>
    <t>St. Thomas Energy Inc.1595_ControlAccount</t>
  </si>
  <si>
    <t>Tillsonburg Hydro Inc.1595_ControlAccount</t>
  </si>
  <si>
    <t>Toronto Hydro-Electric System Limited1595_ControlAccount</t>
  </si>
  <si>
    <t>Veridian Connections Inc.1595_ControlAccount</t>
  </si>
  <si>
    <t>Wasaga Distribution Inc.1595_ControlAccount</t>
  </si>
  <si>
    <t>Waterloo North Hydro Inc.1595_ControlAccount</t>
  </si>
  <si>
    <t>Welland Hydro-Electric System Corp.1595_ControlAccount</t>
  </si>
  <si>
    <t>Wellington North Power Inc.1595_ControlAccount</t>
  </si>
  <si>
    <t>West Coast Huron Energy Inc.1595_ControlAccount</t>
  </si>
  <si>
    <t>Westario Power Inc.1595_ControlAccount</t>
  </si>
  <si>
    <t>Whitby Hydro Electric Corporation1595_ControlAccount</t>
  </si>
  <si>
    <t>Filing_Year</t>
  </si>
  <si>
    <t>Rate_Class</t>
  </si>
  <si>
    <t>Rate_Class_Detail</t>
  </si>
  <si>
    <t>General Service &gt;= 50 kW</t>
  </si>
  <si>
    <t>Residential</t>
  </si>
  <si>
    <t>Street Lighting Connections</t>
  </si>
  <si>
    <t>General Service &lt; 50 kW</t>
  </si>
  <si>
    <t>Large User</t>
  </si>
  <si>
    <t>Sentinel Lighting Connections</t>
  </si>
  <si>
    <t>Unmetered Scattered Load Connections</t>
  </si>
  <si>
    <t>Embedded Distributor(s)</t>
  </si>
  <si>
    <t>Sub Transmission Customers</t>
  </si>
  <si>
    <t>TotConsmptionforDistCustkW</t>
  </si>
  <si>
    <t>TotConsmptionforDistCustkWh</t>
  </si>
  <si>
    <r>
      <t xml:space="preserve">Total Metered </t>
    </r>
    <r>
      <rPr>
        <b/>
        <sz val="10"/>
        <color rgb="FFFF0000"/>
        <rFont val="Arial"/>
        <family val="2"/>
      </rPr>
      <t>kW</t>
    </r>
  </si>
  <si>
    <r>
      <t xml:space="preserve">Total Metered </t>
    </r>
    <r>
      <rPr>
        <b/>
        <sz val="10"/>
        <color rgb="FFFF0000"/>
        <rFont val="Arial"/>
        <family val="2"/>
      </rPr>
      <t>kWh</t>
    </r>
  </si>
  <si>
    <r>
      <t xml:space="preserve">Total Metered </t>
    </r>
    <r>
      <rPr>
        <b/>
        <sz val="10"/>
        <color rgb="FFFF0000"/>
        <rFont val="Arial"/>
        <family val="2"/>
      </rPr>
      <t xml:space="preserve">kWh </t>
    </r>
    <r>
      <rPr>
        <b/>
        <sz val="10"/>
        <rFont val="Arial"/>
        <family val="2"/>
      </rPr>
      <t xml:space="preserve">less WMP consumption </t>
    </r>
  </si>
  <si>
    <r>
      <t xml:space="preserve">Total Metered </t>
    </r>
    <r>
      <rPr>
        <b/>
        <sz val="10"/>
        <color rgb="FFFF0000"/>
        <rFont val="Arial"/>
        <family val="2"/>
      </rPr>
      <t xml:space="preserve">kW </t>
    </r>
    <r>
      <rPr>
        <b/>
        <sz val="10"/>
        <rFont val="Arial"/>
        <family val="2"/>
      </rPr>
      <t xml:space="preserve">less WMP consumption </t>
    </r>
  </si>
  <si>
    <r>
      <t xml:space="preserve">% of  Total </t>
    </r>
    <r>
      <rPr>
        <b/>
        <sz val="10"/>
        <color theme="3"/>
        <rFont val="Arial"/>
        <family val="2"/>
      </rPr>
      <t xml:space="preserve">kWh </t>
    </r>
    <r>
      <rPr>
        <b/>
        <sz val="10"/>
        <rFont val="Arial"/>
        <family val="2"/>
      </rPr>
      <t>adjusted for WMP</t>
    </r>
  </si>
  <si>
    <t>Default Rate Rider Recovery Period (in months)</t>
  </si>
  <si>
    <t>Proposed Rate Rider Recovery Period (in months)</t>
  </si>
  <si>
    <t>Metered kW 
or kVA</t>
  </si>
  <si>
    <t>allocated based on Total less WMP</t>
  </si>
  <si>
    <t>Total Metered kWh</t>
  </si>
  <si>
    <t>Ontario Tax Rate (Maximum 11.5%)</t>
  </si>
  <si>
    <t>Federal tax rate (Maximum 15%)</t>
  </si>
  <si>
    <t>Combined tax rate (Maximum 26.5%)</t>
  </si>
  <si>
    <t>Effective</t>
  </si>
  <si>
    <t>Tax Rates</t>
  </si>
  <si>
    <t>Federal &amp; Provincial</t>
  </si>
  <si>
    <t>As of June 20, 2012</t>
  </si>
  <si>
    <t>Federal income tax</t>
  </si>
  <si>
    <t>General corporate rate</t>
  </si>
  <si>
    <t>Federal tax abatement</t>
  </si>
  <si>
    <t xml:space="preserve">  Adjusted federal rate</t>
  </si>
  <si>
    <t>Rate reduction</t>
  </si>
  <si>
    <t xml:space="preserve">Ontario income tax </t>
  </si>
  <si>
    <t xml:space="preserve">Combined federal and Ontario </t>
  </si>
  <si>
    <t>Federal &amp; Ontario Small Business</t>
  </si>
  <si>
    <t>Federal small business threshold</t>
  </si>
  <si>
    <t>Ontario Small Business Threshold</t>
  </si>
  <si>
    <t>Federal small business rate</t>
  </si>
  <si>
    <t>Ontario small business rate</t>
  </si>
  <si>
    <t>Sharing of Tax Amount (50%)</t>
  </si>
  <si>
    <t>The purpose of this table is to re-align the current RTS Network Rates to recover current wholesale network costs.</t>
  </si>
  <si>
    <t>Rate Design Transition Years Left</t>
  </si>
  <si>
    <t>Note that cells with the highlighted color shown to the left indicate quantities that are loss adjusted.</t>
  </si>
  <si>
    <t>Table 1</t>
  </si>
  <si>
    <r>
      <t xml:space="preserve">RATE CLASSES / CATEGORIES 
</t>
    </r>
    <r>
      <rPr>
        <b/>
        <i/>
        <sz val="9"/>
        <rFont val="Arial"/>
        <family val="2"/>
      </rPr>
      <t>(eg: Residential TOU, Residential Retailer)</t>
    </r>
  </si>
  <si>
    <t>RPP?
Non-RPP Retailer?
Non-RPP
Other?</t>
  </si>
  <si>
    <t>Consumption (kWh)</t>
  </si>
  <si>
    <t>Demand kW
(if applicable)</t>
  </si>
  <si>
    <t>RPP</t>
  </si>
  <si>
    <t>Non-RPP (Retailer)</t>
  </si>
  <si>
    <t>Non-RPP (Other)</t>
  </si>
  <si>
    <t>Table 2</t>
  </si>
  <si>
    <t>Sub-Total</t>
  </si>
  <si>
    <t>Customer Class:</t>
  </si>
  <si>
    <t>RPP / Non-RPP:</t>
  </si>
  <si>
    <t>ST_A</t>
  </si>
  <si>
    <t>ST_B</t>
  </si>
  <si>
    <t>ST_C</t>
  </si>
  <si>
    <t>Non-RPP Retailer Avg. Price</t>
  </si>
  <si>
    <t>Average IESO Wholesale Market Price</t>
  </si>
  <si>
    <t>RPP_TOTAL</t>
  </si>
  <si>
    <t>Total Bill on TOU</t>
  </si>
  <si>
    <t>Total Bill on Non-RPP Avg. Price</t>
  </si>
  <si>
    <t>Non-RPP (Retailer)_TOTAL</t>
  </si>
  <si>
    <t>Total Bill on Average IESO Wholesale Market Price</t>
  </si>
  <si>
    <t>Non-RPP (Other)_TOTAL</t>
  </si>
  <si>
    <t>Sub-Total C - Delivery
(including Sub-Total B)</t>
  </si>
  <si>
    <t>Sub-Total B - Distribution
(includes Sub-Total A)</t>
  </si>
  <si>
    <t>Total Bill on Average IESO 
Wholesale Market Price</t>
  </si>
  <si>
    <t>If needed, add extra host here. (II)</t>
  </si>
  <si>
    <t>If needed, add extra host here. (I)</t>
  </si>
  <si>
    <t>1. Information Sheet</t>
  </si>
  <si>
    <t>Sheet1</t>
  </si>
  <si>
    <t>2. Current Tariff Schedule</t>
  </si>
  <si>
    <t>2016 List</t>
  </si>
  <si>
    <t>4. Billing Det. for Def-Var</t>
  </si>
  <si>
    <t>5. Allocating Def-Var Balances</t>
  </si>
  <si>
    <t>2.1.7 Filing</t>
  </si>
  <si>
    <t>lists</t>
  </si>
  <si>
    <t>Applicable Loss Factor</t>
  </si>
  <si>
    <r>
      <t xml:space="preserve">Total Metered </t>
    </r>
    <r>
      <rPr>
        <b/>
        <sz val="10"/>
        <color rgb="FFFF0000"/>
        <rFont val="Arial"/>
        <family val="2"/>
      </rPr>
      <t xml:space="preserve">kW </t>
    </r>
    <r>
      <rPr>
        <b/>
        <sz val="10"/>
        <rFont val="Arial"/>
        <family val="2"/>
      </rPr>
      <t xml:space="preserve">less WMP consumption 
</t>
    </r>
    <r>
      <rPr>
        <b/>
        <i/>
        <sz val="10"/>
        <rFont val="Arial"/>
        <family val="2"/>
      </rPr>
      <t>(if applicable)</t>
    </r>
  </si>
  <si>
    <r>
      <t xml:space="preserve">Total Metered </t>
    </r>
    <r>
      <rPr>
        <b/>
        <sz val="10"/>
        <color rgb="FFFF0000"/>
        <rFont val="Arial"/>
        <family val="2"/>
      </rPr>
      <t xml:space="preserve">kWh </t>
    </r>
    <r>
      <rPr>
        <b/>
        <sz val="10"/>
        <rFont val="Arial"/>
        <family val="2"/>
      </rPr>
      <t xml:space="preserve">less WMP consumption
</t>
    </r>
    <r>
      <rPr>
        <b/>
        <i/>
        <sz val="10"/>
        <rFont val="Arial"/>
        <family val="2"/>
      </rPr>
      <t>(if applicable)</t>
    </r>
  </si>
  <si>
    <t>DISTRIBUTOR</t>
  </si>
  <si>
    <t>Total_Customer_Connections</t>
  </si>
  <si>
    <r>
      <t xml:space="preserve">Current 
Loss Factor 
</t>
    </r>
    <r>
      <rPr>
        <b/>
        <sz val="8"/>
        <rFont val="Arial"/>
        <family val="2"/>
      </rPr>
      <t>(eg: 1.0351)</t>
    </r>
  </si>
  <si>
    <t>Current Loss Factor</t>
  </si>
  <si>
    <t>Proposed/Approved Loss Factor</t>
  </si>
  <si>
    <t>Sub-Total B - Distribution (includes Sub-Total A)</t>
  </si>
  <si>
    <t>Sub-Total C - Delivery (including Sub-Total B)</t>
  </si>
  <si>
    <t xml:space="preserve">Ontario Electricity Support Program 
(OESP) </t>
  </si>
  <si>
    <t>Proposed Loss Factor</t>
  </si>
  <si>
    <t>Ontario Electricity Support Program (OESP)</t>
  </si>
  <si>
    <r>
      <rPr>
        <b/>
        <sz val="10"/>
        <rFont val="Arial Black"/>
        <family val="2"/>
      </rPr>
      <t>RTSR</t>
    </r>
    <r>
      <rPr>
        <b/>
        <sz val="10"/>
        <rFont val="Arial"/>
        <family val="2"/>
      </rPr>
      <t xml:space="preserve">
Demand or 
Demand-Interval?</t>
    </r>
  </si>
  <si>
    <t>Festival Hydro Inc.1550</t>
  </si>
  <si>
    <t>Festival Hydro Inc.1551</t>
  </si>
  <si>
    <t>Festival Hydro Inc.1568</t>
  </si>
  <si>
    <t>Festival Hydro Inc.1580</t>
  </si>
  <si>
    <t>Festival Hydro Inc.1584</t>
  </si>
  <si>
    <t>Festival Hydro Inc.1586</t>
  </si>
  <si>
    <t>Festival Hydro Inc.1588</t>
  </si>
  <si>
    <t>Festival Hydro Inc.1589</t>
  </si>
  <si>
    <t>Festival Hydro Inc.1595_(2008)</t>
  </si>
  <si>
    <t>Festival Hydro Inc.1595_(2009)</t>
  </si>
  <si>
    <t>Festival Hydro Inc.1595_(2010)</t>
  </si>
  <si>
    <t>Festival Hydro Inc.1595_(2011)</t>
  </si>
  <si>
    <t>Festival Hydro Inc.1595_(2012)</t>
  </si>
  <si>
    <t>Festival Hydro Inc.1595_(2013)</t>
  </si>
  <si>
    <t>Festival Hydro Inc.1595_(2014)</t>
  </si>
  <si>
    <t>Festival Hydro Inc.1595_ControlAccount</t>
  </si>
  <si>
    <t>DISTRIBUTED GENERATION [DGEN] SERVICE CLASSIFICATION</t>
  </si>
  <si>
    <t>ONTARIO ELECTRICITY SUPPORT PROGRAM RECIPIENTS</t>
  </si>
  <si>
    <t>GENERAL SERVICE 3,000 TO 4,999 KW - INTERMEDIATE USE SERVICE CLASSIFICATION</t>
  </si>
  <si>
    <t>GENERAL SERVICE 50 TO 699 KW SERVICE CLASSIFICATION</t>
  </si>
  <si>
    <t>GENERAL SERVICE 700 TO 4,999 KW SERVICE CLASSIFICATION</t>
  </si>
  <si>
    <t xml:space="preserve">STANDBY POWER SERVICE CLASSIFICATION </t>
  </si>
  <si>
    <t>INTERMEDIATE USER SERVICE CLASSIFICATION</t>
  </si>
  <si>
    <t>LARGE USE WITH DEDICATED ASSETS SERVICE CLASSIFICATION</t>
  </si>
  <si>
    <t>Company+DetailClass</t>
  </si>
  <si>
    <t>Ret_Metered_consumption_in_kWhs</t>
  </si>
  <si>
    <t>Ret_Metered_consumption_in_kWs</t>
  </si>
  <si>
    <t>Dist_RPPMeterCustkWh</t>
  </si>
  <si>
    <t>Dist_RPPMeterCustkW</t>
  </si>
  <si>
    <t>Dist_NonRPPMeterCustkWh</t>
  </si>
  <si>
    <t>Dist_NonRPPMeterCustkW</t>
  </si>
  <si>
    <t>Calculated_TOTAL_KWH</t>
  </si>
  <si>
    <t>Calculated_TOTAL_KW</t>
  </si>
  <si>
    <t>ALGOMA POWER INC.</t>
  </si>
  <si>
    <t>GENERAL SERVICE EQUAL TO OR GREATER THAN 50 KW</t>
  </si>
  <si>
    <t>RESIDENTIAL - R2</t>
  </si>
  <si>
    <t>RESIDENTIAL - R1</t>
  </si>
  <si>
    <t>RESIDENTIAL - SEASONAL</t>
  </si>
  <si>
    <t>STREET LIGHTING CONNECTIONS</t>
  </si>
  <si>
    <t>ATIKOKAN HYDRO INC.</t>
  </si>
  <si>
    <t>LARGE USER</t>
  </si>
  <si>
    <t>SENTINEL LIGHTING CONNECTIONS</t>
  </si>
  <si>
    <t>UNMETERED SCATTERED LOAD CONNECTIONS</t>
  </si>
  <si>
    <t>BRANTFORD POWER INC.</t>
  </si>
  <si>
    <t>EMBEDDED DISTRIBUTOR(S)</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</si>
  <si>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</si>
  <si>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</si>
  <si>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</si>
  <si>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</si>
  <si>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</si>
  <si>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</si>
  <si>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</si>
  <si>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</si>
  <si>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</si>
  <si>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</si>
  <si>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</si>
  <si>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FESTIVAL HYDRO INC.</t>
  </si>
  <si>
    <t>FORT FRANCES POWER CORPORATION</t>
  </si>
  <si>
    <t>GREATER SUDBURY HYDRO INC.</t>
  </si>
  <si>
    <t>GRIMSBY POWER INCORPORATED</t>
  </si>
  <si>
    <t>GUELPH HYDRO ELECTRIC SYSTEMS INC.</t>
  </si>
  <si>
    <t>HALTON HILLS HYDRO INC.</t>
  </si>
  <si>
    <t>HYDRO HAWKESBURY INC.</t>
  </si>
  <si>
    <t>HYDRO ONE NETWORKS INC.</t>
  </si>
  <si>
    <t>DISTRIBUTED GENERATION - DGEN</t>
  </si>
  <si>
    <t>GENERAL SERVICE DEMAND BILLED (50 KW AND ABOVE) - GSD</t>
  </si>
  <si>
    <t>URBAN GENERAL SERVICE DEMAND BILLED (50 KW AND ABOVE) - UGD</t>
  </si>
  <si>
    <t>GENERAL SERVICE ENERGY BILLED (LESS THAN 50 KW) - GSE METERED</t>
  </si>
  <si>
    <t>URBAN GENERAL SERVICE ENERGY BILLED (LESS THAN 50 KW) - UGE</t>
  </si>
  <si>
    <t>RESIDENTIAL - LOW DENSITY (R2)</t>
  </si>
  <si>
    <t>RESIDENTIAL - MEDIUM DENSITY (R1)</t>
  </si>
  <si>
    <t>RESIDENTIAL - URBAN (UR)</t>
  </si>
  <si>
    <t>SUB TRANSMISSION CUSTOMERS</t>
  </si>
  <si>
    <t>GENERAL SERVICE ENERGY BILLED (LESS THAN 50 KW) - GSE UNMETERED</t>
  </si>
  <si>
    <t>HYDRO OTTAWA LIMITED</t>
  </si>
  <si>
    <t>INNPOWER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</si>
  <si>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</si>
  <si>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</si>
  <si>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</si>
  <si>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</si>
  <si>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</si>
  <si>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</si>
  <si>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</si>
  <si>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</si>
  <si>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</si>
  <si>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</si>
  <si>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</si>
  <si>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</si>
  <si>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</si>
  <si>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GENERAL SERVICE 1,000 KW AND GREATER</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</si>
  <si>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</si>
  <si>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</si>
  <si>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</si>
  <si>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</si>
  <si>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</si>
  <si>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</si>
  <si>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</si>
  <si>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</si>
  <si>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</si>
  <si>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</si>
  <si>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TILLSONBURG HYDRO INC.</t>
  </si>
  <si>
    <t>GENERAL SERVICE 500 TO 1,499 KW</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</si>
  <si>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</si>
  <si>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</si>
  <si>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</si>
  <si>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</si>
  <si>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</si>
  <si>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</si>
  <si>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</si>
  <si>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</si>
  <si>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</si>
  <si>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ORILLIA POWER DISTRIBUTION CORPORATION_GENERAL SERVICE 50 TO 4,999 KW SERVICE CLASSIFICATION</t>
  </si>
  <si>
    <t>ORILLIA POWER DISTRIBUTION CORPORATION_GENERAL SERVICE LESS THAN 50 KW SERVICE CLASSIFICATION</t>
  </si>
  <si>
    <t>ORILLIA POWER DISTRIBUTION CORPORATION_RESIDENTIAL SERVICE CLASSIFICATION</t>
  </si>
  <si>
    <t>ORILLIA POWER DISTRIBUTION CORPORATION_UNMETERED SCATTERED LOAD SERVICE CLASSIFICATION</t>
  </si>
  <si>
    <t>ORILLIA POWER DISTRIBUTION CORPORATION_SENTINEL LIGHTING SERVICE CLASSIFICATION</t>
  </si>
  <si>
    <t>ORILLIA POWER DISTRIBUTION CORPORATION_STREET LIGHTING SERVICE CLASSIFICATION</t>
  </si>
  <si>
    <t>2.1.7 RRR</t>
  </si>
  <si>
    <t>1580 (Class A)</t>
  </si>
  <si>
    <t>% of total kWh</t>
  </si>
  <si>
    <t>Pale grey cell represent auto-populated RRR data</t>
  </si>
  <si>
    <t>GA Rate Rider</t>
  </si>
  <si>
    <t>7. Calculation of Def-Var RR</t>
  </si>
  <si>
    <t>8. STS - Tax Change</t>
  </si>
  <si>
    <t>9. Shared Tax - Rate Rider</t>
  </si>
  <si>
    <t>10. RTSR Current Rates</t>
  </si>
  <si>
    <t>11. RTSR - UTRs &amp; Sub-Tx</t>
  </si>
  <si>
    <t>12. RTSR - Historical Wholesale</t>
  </si>
  <si>
    <t>13. RTSR - Current Wholesale</t>
  </si>
  <si>
    <t>14. RTSR - Forecast Wholesale</t>
  </si>
  <si>
    <t>15. RTSR Rates to Forecast</t>
  </si>
  <si>
    <t>16. Rev2Cost_GDPIPI</t>
  </si>
  <si>
    <t>18. Additional Rates</t>
  </si>
  <si>
    <t>19. Final Tariff Schedule</t>
  </si>
  <si>
    <t>20. Bill Impacts</t>
  </si>
  <si>
    <t>20. Bill Impacts hidden</t>
  </si>
  <si>
    <t>2016 Database</t>
  </si>
  <si>
    <t>17. Regulatory Charges</t>
  </si>
  <si>
    <t>Low Voltage Switchgear Credit (if applicable, enter as a negative value)</t>
  </si>
  <si>
    <r>
      <t xml:space="preserve">1595 Recovery Proportion (2009) </t>
    </r>
    <r>
      <rPr>
        <b/>
        <vertAlign val="superscript"/>
        <sz val="10"/>
        <rFont val="Arial"/>
        <family val="2"/>
      </rPr>
      <t>1</t>
    </r>
  </si>
  <si>
    <r>
      <t xml:space="preserve">1595 Recovery Proportion (2012) </t>
    </r>
    <r>
      <rPr>
        <b/>
        <vertAlign val="superscript"/>
        <sz val="10"/>
        <rFont val="Arial"/>
        <family val="2"/>
      </rPr>
      <t>1</t>
    </r>
  </si>
  <si>
    <r>
      <t xml:space="preserve">1595 Recovery Proportion (2013) </t>
    </r>
    <r>
      <rPr>
        <b/>
        <vertAlign val="superscript"/>
        <sz val="10"/>
        <rFont val="Arial"/>
        <family val="2"/>
      </rPr>
      <t>1</t>
    </r>
  </si>
  <si>
    <r>
      <t xml:space="preserve">1595 Recovery Proportion (2015) </t>
    </r>
    <r>
      <rPr>
        <b/>
        <vertAlign val="superscript"/>
        <sz val="10"/>
        <rFont val="Arial"/>
        <family val="2"/>
      </rPr>
      <t>1</t>
    </r>
  </si>
  <si>
    <t>Account Descriptions</t>
  </si>
  <si>
    <t>Account Number</t>
  </si>
  <si>
    <t>Total Claim</t>
  </si>
  <si>
    <t>Claim before Forecasted Transactions</t>
  </si>
  <si>
    <t>Group 1 Accounts</t>
  </si>
  <si>
    <t>Total Group 1 Balance excluding Account 1589 - Global Adjustment</t>
  </si>
  <si>
    <t>Total Group 1 Balance</t>
  </si>
  <si>
    <t>LRAM Variance Account (only input amounts if applying for disposition of this account)</t>
  </si>
  <si>
    <t>Total including Account 1568</t>
  </si>
  <si>
    <t>1580 (Class B)</t>
  </si>
  <si>
    <t>Total Interest</t>
  </si>
  <si>
    <t>2 1 5 TotalConsumptionData_Dist</t>
  </si>
  <si>
    <t>OEB-Approved Disposition during 2015</t>
  </si>
  <si>
    <t>Opening Principal Amounts as of Jan 1, 2015</t>
  </si>
  <si>
    <t>Closing Interest Amounts as of Dec 31, 2014</t>
  </si>
  <si>
    <t>OEB-Approved Disposition during 2014</t>
  </si>
  <si>
    <t>Opening Interest Amounts as of Jan 1, 2014</t>
  </si>
  <si>
    <t>Closing Principal Balance as of Dec 31, 2014</t>
  </si>
  <si>
    <t>Opening Principal Amounts as of Jan 1, 2014</t>
  </si>
  <si>
    <t>Closing Interest Amounts as of Dec 31, 2013</t>
  </si>
  <si>
    <t>OEB-Approved Disposition during 2013</t>
  </si>
  <si>
    <t>Interest Jan 1 to Dec 31, 2013</t>
  </si>
  <si>
    <t>Opening Interest Amounts as of Jan 1, 2013</t>
  </si>
  <si>
    <t>Closing Principal Balance as of Dec 31, 2013</t>
  </si>
  <si>
    <t>Opening Principal Amounts as of Jan 1, 2013</t>
  </si>
  <si>
    <t>Closing Interest Amounts as of Dec 31, 2012</t>
  </si>
  <si>
    <t>OEB-Approved Disposition during 2012</t>
  </si>
  <si>
    <t>Interest Jan 1 to Dec 31, 2012</t>
  </si>
  <si>
    <t>Opening Interest Amounts as of Jan 1, 2012</t>
  </si>
  <si>
    <t>Closing Principal Balance as of Dec 31, 2012</t>
  </si>
  <si>
    <t>Opening Principal Amounts as of Jan 1, 2012</t>
  </si>
  <si>
    <t>Revenue Reconciliation:</t>
  </si>
  <si>
    <t>SUB TRANSMISSION – EMBEDDED DISTRIBUTOR</t>
  </si>
  <si>
    <t>SUB TRANSMISSION – END USE CUSTOMER</t>
  </si>
  <si>
    <t>Company and Account_No</t>
  </si>
  <si>
    <t>Disposition and Recovery/Refund of Regulatory Balances (2015)</t>
  </si>
  <si>
    <t>ALGOMA POWER INC._STREET LIGHTING SERVICE CLASSIFICATION</t>
  </si>
  <si>
    <t>ATIKOKAN HYDRO INC._GENERAL SERVICE 50 TO 4,999 KW SERVICE CLASSIFICATION</t>
  </si>
  <si>
    <t>ATIKOKAN HYDRO INC._GENERAL SERVICE LESS THAN 50 KW SERVICE CLASSIFICATION</t>
  </si>
  <si>
    <t>ATIKOKAN HYDRO INC._RESIDENTIAL SERVICE CLASSIFICATION</t>
  </si>
  <si>
    <t>ATIKOKAN HYDRO INC._STREET LIGHTING SERVICE CLASSIFICATION</t>
  </si>
  <si>
    <t>BRANTFORD POWER INC._EMBEDDED DISTRIBUTOR SERVICE CLASSIFICATION</t>
  </si>
  <si>
    <t>BRANTFORD POWER INC._GENERAL SERVICE 50 TO 4,999 KW SERVICE CLASSIFICATION</t>
  </si>
  <si>
    <t>BRANTFORD POWER INC._GENERAL SERVICE LESS THAN 50 KW SERVICE CLASSIFICATION</t>
  </si>
  <si>
    <t>BRANTFORD POWER INC._RESIDENTIAL SERVICE CLASSIFICATION</t>
  </si>
  <si>
    <t>BRANTFORD POWER INC._SENTINEL LIGHTING SERVICE CLASSIFICATION</t>
  </si>
  <si>
    <t>BRANTFORD POWER INC._STREET LIGHTING SERVICE CLASSIFICATION</t>
  </si>
  <si>
    <t>BRANTFORD POWER INC._UNMETERED SCATTERED LOAD SERVICE CLASSIFICATION</t>
  </si>
  <si>
    <t>BURLINGTON HYDRO INC._GENERAL SERVICE 50 TO 4,999 KW SERVICE CLASSIFICATION</t>
  </si>
  <si>
    <t>BURLINGTON HYDRO INC._GENERAL SERVICE LESS THAN 50 KW SERVICE CLASSIFICATION</t>
  </si>
  <si>
    <t>BURLINGTON HYDRO INC._RESIDENTIAL SERVICE CLASSIFICATION</t>
  </si>
  <si>
    <t>BURLINGTON HYDRO INC._STREET LIGHTING SERVICE CLASSIFICATION</t>
  </si>
  <si>
    <t>BURLINGTON HYDRO INC._UNMETERED SCATTERED LOAD SERVICE CLASSIFICATION</t>
  </si>
  <si>
    <t>CENTRE WELLINGTON HYDRO LTD._GENERAL SERVICE 3,000 TO 4,999 KW SERVICE CLASSIFICATION</t>
  </si>
  <si>
    <t>CENTRE WELLINGTON HYDRO LTD._GENERAL SERVICE 50 TO 2,999 KW SERVICE CLASSIFICATION</t>
  </si>
  <si>
    <t>CENTRE WELLINGTON HYDRO LTD._GENERAL SERVICE LESS THAN 50 KW SERVICE CLASSIFICATION</t>
  </si>
  <si>
    <t>CENTRE WELLINGTON HYDRO LTD._RESIDENTIAL SERVICE CLASSIFICATION</t>
  </si>
  <si>
    <t>CENTRE WELLINGTON HYDRO LTD._SENTINEL LIGHTING SERVICE CLASSIFICATION</t>
  </si>
  <si>
    <t>CENTRE WELLINGTON HYDRO LTD._STREET LIGHTING SERVICE CLASSIFICATION</t>
  </si>
  <si>
    <t>CENTRE WELLINGTON HYDRO LTD._UNMETERED SCATTERED LOAD SERVICE CLASSIFICATION</t>
  </si>
  <si>
    <t>CHAPLEAU PUBLIC UTILITIES CORPORATION_GENERAL SERVICE 50 TO 4,999 KW SERVICE CLASSIFICATION</t>
  </si>
  <si>
    <t>CHAPLEAU PUBLIC UTILITIES CORPORATION_GENERAL SERVICE LESS THAN 50 KW SERVICE CLASSIFICATION</t>
  </si>
  <si>
    <t>CHAPLEAU PUBLIC UTILITIES CORPORATION_RESIDENTIAL SERVICE CLASSIFICATION</t>
  </si>
  <si>
    <t>CHAPLEAU PUBLIC UTILITIES CORPORATION_SENTINEL LIGHTING SERVICE CLASSIFICATION</t>
  </si>
  <si>
    <t>CHAPLEAU PUBLIC UTILITIES CORPORATION_STREET LIGHTING SERVICE CLASSIFICATION</t>
  </si>
  <si>
    <t>CHAPLEAU PUBLIC UTILITIES CORPORATION_UNMETERED SCATTERED LOAD SERVICE CLASSIFICATION</t>
  </si>
  <si>
    <t>COLLUS POWERSTREAM CORP._GENERAL SERVICE 50 TO 4,999 KW SERVICE CLASSIFICATION</t>
  </si>
  <si>
    <t>COLLUS POWERSTREAM CORP._GENERAL SERVICE LESS THAN 50 KW SERVICE CLASSIFICATION</t>
  </si>
  <si>
    <t>COLLUS POWERSTREAM CORP._RESIDENTIAL SERVICE CLASSIFICATION</t>
  </si>
  <si>
    <t>COLLUS POWERSTREAM CORP._STREET LIGHTING SERVICE CLASSIFICATION</t>
  </si>
  <si>
    <t>COLLUS POWERSTREAM CORP._UNMETERED SCATTERED LOAD SERVICE CLASSIFICATION</t>
  </si>
  <si>
    <t>COOPERATIVE HYDRO EMBRUN INC._GENERAL SERVICE 50 TO 4,999 KW SERVICE CLASSIFICATION</t>
  </si>
  <si>
    <t>COOPERATIVE HYDRO EMBRUN INC._GENERAL SERVICE LESS THAN 50 KW SERVICE CLASSIFICATION</t>
  </si>
  <si>
    <t>COOPERATIVE HYDRO EMBRUN INC._RESIDENTIAL SERVICE CLASSIFICATION</t>
  </si>
  <si>
    <t>COOPERATIVE HYDRO EMBRUN INC._STREET LIGHTING SERVICE CLASSIFICATION</t>
  </si>
  <si>
    <t>COOPERATIVE HYDRO EMBRUN INC._UNMETERED SCATTERED LOAD SERVICE CLASSIFICATION</t>
  </si>
  <si>
    <t>E.L.K. ENERGY INC._EMBEDDED DISTRIBUTOR SERVICE CLASSIFICATION</t>
  </si>
  <si>
    <t>E.L.K. ENERGY INC._GENERAL SERVICE 50 TO 4,999 KW SERVICE CLASSIFICATION</t>
  </si>
  <si>
    <t>E.L.K. ENERGY INC._GENERAL SERVICE LESS THAN 50 KW SERVICE CLASSIFICATION</t>
  </si>
  <si>
    <t>E.L.K. ENERGY INC._RESIDENTIAL SERVICE CLASSIFICATION</t>
  </si>
  <si>
    <t>E.L.K. ENERGY INC._SENTINEL LIGHTING SERVICE CLASSIFICATION</t>
  </si>
  <si>
    <t>E.L.K. ENERGY INC._STREET LIGHTING SERVICE CLASSIFICATION</t>
  </si>
  <si>
    <t>E.L.K. ENERGY INC._UNMETERED SCATTERED LOAD SERVICE CLASSIFICATION</t>
  </si>
  <si>
    <t>ENWIN UTILITIES LTD._GENERAL SERVICE 50 TO 4,999 KW SERVICE CLASSIFICATION</t>
  </si>
  <si>
    <t>ENWIN UTILITIES LTD._GENERAL SERVICE LESS THAN 50 KW SERVICE CLASSIFICATION</t>
  </si>
  <si>
    <t>ENWIN UTILITIES LTD._LARGE USE - 3TS SERVICE CLASSIFICATION</t>
  </si>
  <si>
    <t>ENWIN UTILITIES LTD._LARGE USE - FORD ANNEX SERVICE CLASSIFICATION</t>
  </si>
  <si>
    <t>ENWIN UTILITIES LTD._LARGE USE - REGULAR SERVICE CLASSIFICATION</t>
  </si>
  <si>
    <t>ENWIN UTILITIES LTD._RESIDENTIAL SERVICE CLASSIFICATION</t>
  </si>
  <si>
    <t>ENWIN UTILITIES LTD._SENTINEL LIGHTING SERVICE CLASSIFICATION</t>
  </si>
  <si>
    <t>ENWIN UTILITIES LTD._STREET LIGHTING SERVICE CLASSIFICATION</t>
  </si>
  <si>
    <t>ENWIN UTILITIES LTD._UNMETERED SCATTERED LOAD SERVICE CLASSIFICATION</t>
  </si>
  <si>
    <t>ERIE THAMES POWERLINES CORPORATION_EMBEDDED DISTRIBUTOR SERVICE CLASSIFICATION</t>
  </si>
  <si>
    <t>ERIE THAMES POWERLINES CORPORATION_GENERAL SERVICE 1,000 TO 4,999 KW SERVICE CLASSIFICATION</t>
  </si>
  <si>
    <t>ERIE THAMES POWERLINES CORPORATION_GENERAL SERVICE 50 TO 999 KW SERVICE CLASSIFICATION</t>
  </si>
  <si>
    <t>ERIE THAMES POWERLINES CORPORATION_GENERAL SERVICE LESS THAN 50 KW SERVICE CLASSIFICATION</t>
  </si>
  <si>
    <t>ERIE THAMES POWERLINES CORPORATION_LARGE USE SERVICE CLASSIFICATION</t>
  </si>
  <si>
    <t>ERIE THAMES POWERLINES CORPORATION_RESIDENTIAL SERVICE CLASSIFICATION</t>
  </si>
  <si>
    <t>ERIE THAMES POWERLINES CORPORATION_SENTINEL LIGHTING SERVICE CLASSIFICATION</t>
  </si>
  <si>
    <t>ERIE THAMES POWERLINES CORPORATION_STREET LIGHTING SERVICE CLASSIFICATION</t>
  </si>
  <si>
    <t>ERIE THAMES POWERLINES CORPORATION_UNMETERED SCATTERED LOAD SERVICE CLASSIFICATION</t>
  </si>
  <si>
    <t>ESPANOLA REGIONAL HYDRO DISTRIBUTION CORPORATION_GENERAL SERVICE 50 TO 4,999 KW SERVICE CLASSIFICATION</t>
  </si>
  <si>
    <t>ESPANOLA REGIONAL HYDRO DISTRIBUTION CORPORATION_GENERAL SERVICE LESS THAN 50 KW SERVICE CLASSIFICATION</t>
  </si>
  <si>
    <t>ESPANOLA REGIONAL HYDRO DISTRIBUTION CORPORATION_RESIDENTIAL SERVICE CLASSIFICATION</t>
  </si>
  <si>
    <t>ESPANOLA REGIONAL HYDRO DISTRIBUTION CORPORATION_SENTINEL LIGHTING SERVICE CLASSIFICATION</t>
  </si>
  <si>
    <t>ESPANOLA REGIONAL HYDRO DISTRIBUTION CORPORATION_STREET LIGHTING SERVICE CLASSIFICATION</t>
  </si>
  <si>
    <t>ESPANOLA REGIONAL HYDRO DISTRIBUTION CORPORATION_UNMETERED SCATTERED LOAD SERVICE CLASSIFICATION</t>
  </si>
  <si>
    <t>FESTIVAL HYDRO INC._GENERAL SERVICE 50 TO 4,999 KW SERVICE CLASSIFICATION</t>
  </si>
  <si>
    <t>FESTIVAL HYDRO INC._GENERAL SERVICE LESS THAN 50 KW SERVICE CLASSIFICATION</t>
  </si>
  <si>
    <t>FESTIVAL HYDRO INC._LARGE USE SERVICE CLASSIFICATION</t>
  </si>
  <si>
    <t>FESTIVAL HYDRO INC._RESIDENTIAL SERVICE CLASSIFICATION</t>
  </si>
  <si>
    <t>FESTIVAL HYDRO INC._SENTINEL LIGHTING SERVICE CLASSIFICATION</t>
  </si>
  <si>
    <t>FESTIVAL HYDRO INC._STREET LIGHTING SERVICE CLASSIFICATION</t>
  </si>
  <si>
    <t>FESTIVAL HYDRO INC._UNMETERED SCATTERED LOAD SERVICE CLASSIFICATION</t>
  </si>
  <si>
    <t>FORT FRANCES POWER CORPORATION_GENERAL SERVICE 50 TO 4,999 KW SERVICE CLASSIFICATION</t>
  </si>
  <si>
    <t>FORT FRANCES POWER CORPORATION_GENERAL SERVICE LESS THAN 50 KW SERVICE CLASSIFICATION</t>
  </si>
  <si>
    <t>FORT FRANCES POWER CORPORATION_RESIDENTIAL SERVICE CLASSIFICATION</t>
  </si>
  <si>
    <t>FORT FRANCES POWER CORPORATION_STREET LIGHTING SERVICE CLASSIFICATION</t>
  </si>
  <si>
    <t>FORT FRANCES POWER CORPORATION_UNMETERED SCATTERED LOAD SERVICE CLASSIFICATION</t>
  </si>
  <si>
    <t>GREATER SUDBURY HYDRO INC._GENERAL SERVICE 50 TO 4,999 KW SERVICE CLASSIFICATION</t>
  </si>
  <si>
    <t>GREATER SUDBURY HYDRO INC._GENERAL SERVICE LESS THAN 50 KW SERVICE CLASSIFICATION</t>
  </si>
  <si>
    <t>GREATER SUDBURY HYDRO INC._RESIDENTIAL SERVICE CLASSIFICATION</t>
  </si>
  <si>
    <t>GREATER SUDBURY HYDRO INC._SENTINEL LIGHTING SERVICE CLASSIFICATION</t>
  </si>
  <si>
    <t>GREATER SUDBURY HYDRO INC._STREET LIGHTING SERVICE CLASSIFICATION</t>
  </si>
  <si>
    <t>GREATER SUDBURY HYDRO INC._UNMETERED SCATTERED LOAD SERVICE CLASSIFICATION</t>
  </si>
  <si>
    <t>GRIMSBY POWER INCORPORATED_GENERAL SERVICE 50 TO 4,999 KW SERVICE CLASSIFICATION</t>
  </si>
  <si>
    <t>GRIMSBY POWER INCORPORATED_GENERAL SERVICE LESS THAN 50 KW SERVICE CLASSIFICATION</t>
  </si>
  <si>
    <t>GRIMSBY POWER INCORPORATED_RESIDENTIAL SERVICE CLASSIFICATION</t>
  </si>
  <si>
    <t>GRIMSBY POWER INCORPORATED_STREET LIGHTING SERVICE CLASSIFICATION</t>
  </si>
  <si>
    <t>GRIMSBY POWER INCORPORATED_UNMETERED SCATTERED LOAD SERVICE CLASSIFICATION</t>
  </si>
  <si>
    <t>GUELPH HYDRO ELECTRIC SYSTEMS INC._GENERAL SERVICE 1,000 TO 4,999 KW SERVICE CLASSIFICATION</t>
  </si>
  <si>
    <t>GUELPH HYDRO ELECTRIC SYSTEMS INC._GENERAL SERVICE 50 TO 999 KW SERVICE CLASSIFICATION</t>
  </si>
  <si>
    <t>GUELPH HYDRO ELECTRIC SYSTEMS INC._GENERAL SERVICE LESS THAN 50 KW SERVICE CLASSIFICATION</t>
  </si>
  <si>
    <t>GUELPH HYDRO ELECTRIC SYSTEMS INC._LARGE USE SERVICE CLASSIFICATION</t>
  </si>
  <si>
    <t>GUELPH HYDRO ELECTRIC SYSTEMS INC._RESIDENTIAL SERVICE CLASSIFICATION</t>
  </si>
  <si>
    <t>GUELPH HYDRO ELECTRIC SYSTEMS INC._SENTINEL LIGHTING SERVICE CLASSIFICATION</t>
  </si>
  <si>
    <t>GUELPH HYDRO ELECTRIC SYSTEMS INC._STREET LIGHTING SERVICE CLASSIFICATION</t>
  </si>
  <si>
    <t>GUELPH HYDRO ELECTRIC SYSTEMS INC._UNMETERED SCATTERED LOAD SERVICE CLASSIFICATION</t>
  </si>
  <si>
    <t>HALTON HILLS HYDRO INC._GENERAL SERVICE 1,000 TO 4,999 KW SERVICE CLASSIFICATION</t>
  </si>
  <si>
    <t>HALTON HILLS HYDRO INC._GENERAL SERVICE 50 TO 999 KW SERVICE CLASSIFICATION</t>
  </si>
  <si>
    <t>HALTON HILLS HYDRO INC._GENERAL SERVICE LESS THAN 50 KW SERVICE CLASSIFICATION</t>
  </si>
  <si>
    <t>HALTON HILLS HYDRO INC._RESIDENTIAL SERVICE CLASSIFICATION</t>
  </si>
  <si>
    <t>HALTON HILLS HYDRO INC._SENTINEL LIGHTING SERVICE CLASSIFICATION</t>
  </si>
  <si>
    <t>HALTON HILLS HYDRO INC._STREET LIGHTING SERVICE CLASSIFICATION</t>
  </si>
  <si>
    <t>HALTON HILLS HYDRO INC._UNMETERED SCATTERED LOAD SERVICE CLASSIFICATION</t>
  </si>
  <si>
    <t>HYDRO HAWKESBURY INC._GENERAL SERVICE 50 TO 4,999 KW SERVICE CLASSIFICATION</t>
  </si>
  <si>
    <t>HYDRO HAWKESBURY INC._GENERAL SERVICE LESS THAN 50 KW SERVICE CLASSIFICATION</t>
  </si>
  <si>
    <t>HYDRO HAWKESBURY INC._RESIDENTIAL SERVICE CLASSIFICATION</t>
  </si>
  <si>
    <t>HYDRO HAWKESBURY INC._SENTINEL LIGHTING SERVICE CLASSIFICATION</t>
  </si>
  <si>
    <t>HYDRO HAWKESBURY INC._STREET LIGHTING SERVICE CLASSIFICATION</t>
  </si>
  <si>
    <t>HYDRO HAWKESBURY INC._UNMETERED SCATTERED LOAD SERVICE CLASSIFICATION</t>
  </si>
  <si>
    <t>HYDRO ONE NETWORKS INC._SUB TRANSMISSION – EMBEDDED DISTRIBUTOR SERVICE CLASSIFICATION</t>
  </si>
  <si>
    <t>HYDRO ONE NETWORKS INC._DISTRIBUTED GENERATION - DGEN SERVICE CLASSIFICATION</t>
  </si>
  <si>
    <t>HYDRO ONE NETWORKS INC._GENERAL SERVICE DEMAND BILLED (50 KW AND ABOVE) - GSD SERVICE CLASSIFICATION</t>
  </si>
  <si>
    <t>HYDRO ONE NETWORKS INC._URBAN GENERAL SERVICE DEMAND BILLED (50 KW AND ABOVE) - UGD SERVICE CLASSIFICATION</t>
  </si>
  <si>
    <t>HYDRO ONE NETWORKS INC._GENERAL SERVICE ENERGY BILLED (LESS THAN 50 KW) - GSE METERED SERVICE CLASSIFICATION</t>
  </si>
  <si>
    <t>HYDRO ONE NETWORKS INC._URBAN GENERAL SERVICE ENERGY BILLED (LESS THAN 50 KW) - UGE SERVICE CLASSIFICATION</t>
  </si>
  <si>
    <t>HYDRO ONE NETWORKS INC._RESIDENTIAL - LOW DENSITY (R2) SERVICE CLASSIFICATION</t>
  </si>
  <si>
    <t>HYDRO ONE NETWORKS INC._RESIDENTIAL - MEDIUM DENSITY (R1) SERVICE CLASSIFICATION</t>
  </si>
  <si>
    <t>HYDRO ONE NETWORKS INC._RESIDENTIAL - SEASONAL SERVICE CLASSIFICATION</t>
  </si>
  <si>
    <t>HYDRO ONE NETWORKS INC._RESIDENTIAL - URBAN (UR) SERVICE CLASSIFICATION</t>
  </si>
  <si>
    <t>HYDRO ONE NETWORKS INC._SENTINEL LIGHTING SERVICE CLASSIFICATION</t>
  </si>
  <si>
    <t>HYDRO ONE NETWORKS INC._STREET LIGHTING SERVICE CLASSIFICATION</t>
  </si>
  <si>
    <t>HYDRO ONE NETWORKS INC._SUB TRANSMISSION – END USE CUSTOMER SERVICE CLASSIFICATION</t>
  </si>
  <si>
    <t>HYDRO ONE NETWORKS INC._GENERAL SERVICE ENERGY BILLED (LESS THAN 50 KW) - GSE UNMETERED SERVICE CLASSIFICATION</t>
  </si>
  <si>
    <t>HYDRO OTTAWA LIMITED_GENERAL SERVICE 1,500 TO 4,999 KW SERVICE CLASSIFICATION</t>
  </si>
  <si>
    <t>HYDRO OTTAWA LIMITED_GENERAL SERVICE 50 TO 1,499 KW SERVICE CLASSIFICATION</t>
  </si>
  <si>
    <t>HYDRO OTTAWA LIMITED_GENERAL SERVICE LESS THAN 50 KW SERVICE CLASSIFICATION</t>
  </si>
  <si>
    <t>HYDRO OTTAWA LIMITED_LARGE USE SERVICE CLASSIFICATION</t>
  </si>
  <si>
    <t>HYDRO OTTAWA LIMITED_RESIDENTIAL SERVICE CLASSIFICATION</t>
  </si>
  <si>
    <t>HYDRO OTTAWA LIMITED_SENTINEL LIGHTING SERVICE CLASSIFICATION</t>
  </si>
  <si>
    <t>HYDRO OTTAWA LIMITED_STREET LIGHTING SERVICE CLASSIFICATION</t>
  </si>
  <si>
    <t>HYDRO OTTAWA LIMITED_UNMETERED SCATTERED LOAD SERVICE CLASSIFICATION</t>
  </si>
  <si>
    <t>INNPOWER CORPORATION_GENERAL SERVICE 50 TO 4,999 KW SERVICE CLASSIFICATION</t>
  </si>
  <si>
    <t>INNPOWER CORPORATION_GENERAL SERVICE LESS THAN 50 KW SERVICE CLASSIFICATION</t>
  </si>
  <si>
    <t>INNPOWER CORPORATION_RESIDENTIAL SERVICE CLASSIFICATION</t>
  </si>
  <si>
    <t>INNPOWER CORPORATION_SENTINEL LIGHTING SERVICE CLASSIFICATION</t>
  </si>
  <si>
    <t>INNPOWER CORPORATION_STREET LIGHTING SERVICE CLASSIFICATION</t>
  </si>
  <si>
    <t>INNPOWER CORPORATION_UNMETERED SCATTERED LOAD SERVICE CLASSIFICATION</t>
  </si>
  <si>
    <t>KENORA HYDRO ELECTRIC CORPORATION LTD._GENERAL SERVICE 50 TO 4,999 KW SERVICE CLASSIFICATION</t>
  </si>
  <si>
    <t>KENORA HYDRO ELECTRIC CORPORATION LTD._GENERAL SERVICE LESS THAN 50 KW SERVICE CLASSIFICATION</t>
  </si>
  <si>
    <t>KENORA HYDRO ELECTRIC CORPORATION LTD._RESIDENTIAL SERVICE CLASSIFICATION</t>
  </si>
  <si>
    <t>KENORA HYDRO ELECTRIC CORPORATION LTD._STREET LIGHTING SERVICE CLASSIFICATION</t>
  </si>
  <si>
    <t>KENORA HYDRO ELECTRIC CORPORATION LTD._UNMETERED SCATTERED LOAD SERVICE CLASSIFICATION</t>
  </si>
  <si>
    <t>KINGSTON HYDRO CORPORATION_GENERAL SERVICE 50 TO 4,999 KW SERVICE CLASSIFICATION</t>
  </si>
  <si>
    <t>KINGSTON HYDRO CORPORATION_GENERAL SERVICE LESS THAN 50 KW SERVICE CLASSIFICATION</t>
  </si>
  <si>
    <t>KINGSTON HYDRO CORPORATION_LARGE USE SERVICE CLASSIFICATION</t>
  </si>
  <si>
    <t>KINGSTON HYDRO CORPORATION_RESIDENTIAL SERVICE CLASSIFICATION</t>
  </si>
  <si>
    <t>KINGSTON HYDRO CORPORATION_STREET LIGHTING SERVICE CLASSIFICATION</t>
  </si>
  <si>
    <t>KINGSTON HYDRO CORPORATION_UNMETERED SCATTERED LOAD SERVICE CLASSIFICATION</t>
  </si>
  <si>
    <t>KITCHENER-WILMOT HYDRO INC._GENERAL SERVICE 50 TO 4,999 KW SERVICE CLASSIFICATION</t>
  </si>
  <si>
    <t>KITCHENER-WILMOT HYDRO INC._GENERAL SERVICE LESS THAN 50 KW SERVICE CLASSIFICATION</t>
  </si>
  <si>
    <t>KITCHENER-WILMOT HYDRO INC._LARGE USE SERVICE CLASSIFICATION</t>
  </si>
  <si>
    <t>KITCHENER-WILMOT HYDRO INC._RESIDENTIAL SERVICE CLASSIFICATION</t>
  </si>
  <si>
    <t>KITCHENER-WILMOT HYDRO INC._STREET LIGHTING SERVICE CLASSIFICATION</t>
  </si>
  <si>
    <t>KITCHENER-WILMOT HYDRO INC._UNMETERED SCATTERED LOAD SERVICE CLASSIFICATION</t>
  </si>
  <si>
    <t>LAKEFRONT UTILITIES INC._GENERAL SERVICE 3,000 TO 4,999 KW SERVICE CLASSIFICATION</t>
  </si>
  <si>
    <t>LAKEFRONT UTILITIES INC._GENERAL SERVICE 50 TO 2,999 KW SERVICE CLASSIFICATION</t>
  </si>
  <si>
    <t>LAKEFRONT UTILITIES INC._GENERAL SERVICE LESS THAN 50 KW SERVICE CLASSIFICATION</t>
  </si>
  <si>
    <t>LAKEFRONT UTILITIES INC._RESIDENTIAL SERVICE CLASSIFICATION</t>
  </si>
  <si>
    <t>LAKEFRONT UTILITIES INC._SENTINEL LIGHTING SERVICE CLASSIFICATION</t>
  </si>
  <si>
    <t>LAKEFRONT UTILITIES INC._STREET LIGHTING SERVICE CLASSIFICATION</t>
  </si>
  <si>
    <t>LAKEFRONT UTILITIES INC._UNMETERED SCATTERED LOAD SERVICE CLASSIFICATION</t>
  </si>
  <si>
    <t>LONDON HYDRO INC._GENERAL SERVICE 50 TO 4,999 KW SERVICE CLASSIFICATION</t>
  </si>
  <si>
    <t>LONDON HYDRO INC._GENERAL SERVICE 1,000 TO 4,999 KW (CO-GENERATION) SERVICE CLASSIFICATION</t>
  </si>
  <si>
    <t>LONDON HYDRO INC._GENERAL SERVICE LESS THAN 50 KW SERVICE CLASSIFICATION</t>
  </si>
  <si>
    <t>LONDON HYDRO INC._LARGE USE SERVICE CLASSIFICATION</t>
  </si>
  <si>
    <t>LONDON HYDRO INC._RESIDENTIAL SERVICE CLASSIFICATION</t>
  </si>
  <si>
    <t>LONDON HYDRO INC._SENTINEL LIGHTING SERVICE CLASSIFICATION</t>
  </si>
  <si>
    <t>LONDON HYDRO INC._STREET LIGHTING SERVICE CLASSIFICATION</t>
  </si>
  <si>
    <t>LONDON HYDRO INC._UNMETERED SCATTERED LOAD SERVICE CLASSIFICATION</t>
  </si>
  <si>
    <t>MIDLAND POWER UTILITY CORPORATION_GENERAL SERVICE 50 TO 4,999 KW SERVICE CLASSIFICATION</t>
  </si>
  <si>
    <t>MIDLAND POWER UTILITY CORPORATION_GENERAL SERVICE LESS THAN 50 KW SERVICE CLASSIFICATION</t>
  </si>
  <si>
    <t>MIDLAND POWER UTILITY CORPORATION_RESIDENTIAL SERVICE CLASSIFICATION</t>
  </si>
  <si>
    <t>MIDLAND POWER UTILITY CORPORATION_STREET LIGHTING SERVICE CLASSIFICATION</t>
  </si>
  <si>
    <t>MIDLAND POWER UTILITY CORPORATION_UNMETERED SCATTERED LOAD SERVICE CLASSIFICATION</t>
  </si>
  <si>
    <t>MILTON HYDRO DISTRIBUTION INC._GENERAL SERVICE 1,000 TO 4,999 KW SERVICE CLASSIFICATION</t>
  </si>
  <si>
    <t>MILTON HYDRO DISTRIBUTION INC._GENERAL SERVICE 50 TO 999 KW SERVICE CLASSIFICATION</t>
  </si>
  <si>
    <t>MILTON HYDRO DISTRIBUTION INC._GENERAL SERVICE LESS THAN 50 KW SERVICE CLASSIFICATION</t>
  </si>
  <si>
    <t>MILTON HYDRO DISTRIBUTION INC._LARGE USE SERVICE CLASSIFICATION</t>
  </si>
  <si>
    <t>MILTON HYDRO DISTRIBUTION INC._RESIDENTIAL SERVICE CLASSIFICATION</t>
  </si>
  <si>
    <t>MILTON HYDRO DISTRIBUTION INC._SENTINEL LIGHTING SERVICE CLASSIFICATION</t>
  </si>
  <si>
    <t>MILTON HYDRO DISTRIBUTION INC._STREET LIGHTING SERVICE CLASSIFICATION</t>
  </si>
  <si>
    <t>MILTON HYDRO DISTRIBUTION INC._UNMETERED SCATTERED LOAD SERVICE CLASSIFICATION</t>
  </si>
  <si>
    <t>NIAGARA PENINSULA ENERGY INC._GENERAL SERVICE 50 TO 4,999 KW SERVICE CLASSIFICATION</t>
  </si>
  <si>
    <t>NIAGARA PENINSULA ENERGY INC._GENERAL SERVICE LESS THAN 50 KW SERVICE CLASSIFICATION</t>
  </si>
  <si>
    <t>NIAGARA PENINSULA ENERGY INC._RESIDENTIAL SERVICE CLASSIFICATION</t>
  </si>
  <si>
    <t>NIAGARA PENINSULA ENERGY INC._SENTINEL LIGHTING SERVICE CLASSIFICATION</t>
  </si>
  <si>
    <t>NIAGARA PENINSULA ENERGY INC._STREET LIGHTING SERVICE CLASSIFICATION</t>
  </si>
  <si>
    <t>NIAGARA PENINSULA ENERGY INC._UNMETERED SCATTERED LOAD SERVICE CLASSIFICATION</t>
  </si>
  <si>
    <t>NIAGARA-ON-THE-LAKE HYDRO INC._GENERAL SERVICE 50 TO 4,999 KW SERVICE CLASSIFICATION</t>
  </si>
  <si>
    <t>NIAGARA-ON-THE-LAKE HYDRO INC._GENERAL SERVICE LESS THAN 50 KW SERVICE CLASSIFICATION</t>
  </si>
  <si>
    <t>NIAGARA-ON-THE-LAKE HYDRO INC._RESIDENTIAL SERVICE CLASSIFICATION</t>
  </si>
  <si>
    <t>NIAGARA-ON-THE-LAKE HYDRO INC._STREET LIGHTING SERVICE CLASSIFICATION</t>
  </si>
  <si>
    <t>NIAGARA-ON-THE-LAKE HYDRO INC._UNMETERED SCATTERED LOAD SERVICE CLASSIFICATION</t>
  </si>
  <si>
    <t>NORTH BAY HYDRO DISTRIBUTION LIMITED_GENERAL SERVICE 3,000 TO 4,999 KW SERVICE CLASSIFICATION</t>
  </si>
  <si>
    <t>NORTH BAY HYDRO DISTRIBUTION LIMITED_GENERAL SERVICE 50 TO 2,999 KW SERVICE CLASSIFICATION</t>
  </si>
  <si>
    <t>NORTH BAY HYDRO DISTRIBUTION LIMITED_GENERAL SERVICE LESS THAN 50 KW SERVICE CLASSIFICATION</t>
  </si>
  <si>
    <t>NORTH BAY HYDRO DISTRIBUTION LIMITED_RESIDENTIAL SERVICE CLASSIFICATION</t>
  </si>
  <si>
    <t>NORTH BAY HYDRO DISTRIBUTION LIMITED_SENTINEL LIGHTING SERVICE CLASSIFICATION</t>
  </si>
  <si>
    <t>NORTH BAY HYDRO DISTRIBUTION LIMITED_STREET LIGHTING SERVICE CLASSIFICATION</t>
  </si>
  <si>
    <t>NORTH BAY HYDRO DISTRIBUTION LIMITED_UNMETERED SCATTERED LOAD SERVICE CLASSIFICATION</t>
  </si>
  <si>
    <t>NORTHERN ONTARIO WIRES INC._GENERAL SERVICE 50 TO 4,999 KW SERVICE CLASSIFICATION</t>
  </si>
  <si>
    <t>NORTHERN ONTARIO WIRES INC._GENERAL SERVICE LESS THAN 50 KW SERVICE CLASSIFICATION</t>
  </si>
  <si>
    <t>NORTHERN ONTARIO WIRES INC._RESIDENTIAL SERVICE CLASSIFICATION</t>
  </si>
  <si>
    <t>NORTHERN ONTARIO WIRES INC._STREET LIGHTING SERVICE CLASSIFICATION</t>
  </si>
  <si>
    <t>NORTHERN ONTARIO WIRES INC._UNMETERED SCATTERED LOAD SERVICE CLASSIFICATION</t>
  </si>
  <si>
    <t>OAKVILLE HYDRO ELECTRICITY DISTRIBUTION INC._EMBEDDED DISTRIBUTOR SERVICE CLASSIFICATION</t>
  </si>
  <si>
    <t>OAKVILLE HYDRO ELECTRICITY DISTRIBUTION INC._GENERAL SERVICE 1,000 KW AND GREATER SERVICE CLASSIFICATION</t>
  </si>
  <si>
    <t>OAKVILLE HYDRO ELECTRICITY DISTRIBUTION INC._GENERAL SERVICE 50 TO 999 KW SERVICE CLASSIFICATION</t>
  </si>
  <si>
    <t>OAKVILLE HYDRO ELECTRICITY DISTRIBUTION INC._GENERAL SERVICE LESS THAN 50 KW SERVICE CLASSIFICATION</t>
  </si>
  <si>
    <t>OAKVILLE HYDRO ELECTRICITY DISTRIBUTION INC._RESIDENTIAL SERVICE CLASSIFICATION</t>
  </si>
  <si>
    <t>OAKVILLE HYDRO ELECTRICITY DISTRIBUTION INC._SENTINEL LIGHTING SERVICE CLASSIFICATION</t>
  </si>
  <si>
    <t>OAKVILLE HYDRO ELECTRICITY DISTRIBUTION INC._STREET LIGHTING SERVICE CLASSIFICATION</t>
  </si>
  <si>
    <t>OAKVILLE HYDRO ELECTRICITY DISTRIBUTION INC._UNMETERED SCATTERED LOAD SERVICE CLASSIFICATION</t>
  </si>
  <si>
    <t>ORANGEVILLE HYDRO LIMITED_GENERAL SERVICE 50 TO 4,999 KW SERVICE CLASSIFICATION</t>
  </si>
  <si>
    <t>ORANGEVILLE HYDRO LIMITED_GENERAL SERVICE LESS THAN 50 KW SERVICE CLASSIFICATION</t>
  </si>
  <si>
    <t>ORANGEVILLE HYDRO LIMITED_RESIDENTIAL SERVICE CLASSIFICATION</t>
  </si>
  <si>
    <t>ORANGEVILLE HYDRO LIMITED_SENTINEL LIGHTING SERVICE CLASSIFICATION</t>
  </si>
  <si>
    <t>ORANGEVILLE HYDRO LIMITED_STREET LIGHTING SERVICE CLASSIFICATION</t>
  </si>
  <si>
    <t>ORANGEVILLE HYDRO LIMITED_UNMETERED SCATTERED LOAD SERVICE CLASSIFICATION</t>
  </si>
  <si>
    <t>OSHAWA PUC NETWORKS INC._GENERAL SERVICE 1,000 TO 4,999 KW SERVICE CLASSIFICATION</t>
  </si>
  <si>
    <t>OSHAWA PUC NETWORKS INC._GENERAL SERVICE 50 TO 999 KW SERVICE CLASSIFICATION</t>
  </si>
  <si>
    <t>OSHAWA PUC NETWORKS INC._GENERAL SERVICE LESS THAN 50 KW SERVICE CLASSIFICATION</t>
  </si>
  <si>
    <t>OSHAWA PUC NETWORKS INC._LARGE USE SERVICE CLASSIFICATION</t>
  </si>
  <si>
    <t>OSHAWA PUC NETWORKS INC._RESIDENTIAL SERVICE CLASSIFICATION</t>
  </si>
  <si>
    <t>OSHAWA PUC NETWORKS INC._SENTINEL LIGHTING SERVICE CLASSIFICATION</t>
  </si>
  <si>
    <t>OSHAWA PUC NETWORKS INC._STREET LIGHTING SERVICE CLASSIFICATION</t>
  </si>
  <si>
    <t>OSHAWA PUC NETWORKS INC._UNMETERED SCATTERED LOAD SERVICE CLASSIFICATION</t>
  </si>
  <si>
    <t>OTTAWA RIVER POWER CORPORATION_GENERAL SERVICE 50 TO 4,999 KW SERVICE CLASSIFICATION</t>
  </si>
  <si>
    <t>OTTAWA RIVER POWER CORPORATION_GENERAL SERVICE LESS THAN 50 KW SERVICE CLASSIFICATION</t>
  </si>
  <si>
    <t>OTTAWA RIVER POWER CORPORATION_RESIDENTIAL SERVICE CLASSIFICATION</t>
  </si>
  <si>
    <t>OTTAWA RIVER POWER CORPORATION_SENTINEL LIGHTING SERVICE CLASSIFICATION</t>
  </si>
  <si>
    <t>OTTAWA RIVER POWER CORPORATION_STREET LIGHTING SERVICE CLASSIFICATION</t>
  </si>
  <si>
    <t>OTTAWA RIVER POWER CORPORATION_UNMETERED SCATTERED LOAD SERVICE CLASSIFICATION</t>
  </si>
  <si>
    <t>PETERBOROUGH DISTRIBUTION INCORPORATED_GENERAL SERVICE 50 TO 4,999 KW SERVICE CLASSIFICATION</t>
  </si>
  <si>
    <t>PETERBOROUGH DISTRIBUTION INCORPORATED_GENERAL SERVICE LESS THAN 50 KW SERVICE CLASSIFICATION</t>
  </si>
  <si>
    <t>PETERBOROUGH DISTRIBUTION INCORPORATED_LARGE USE SERVICE CLASSIFICATION</t>
  </si>
  <si>
    <t>PETERBOROUGH DISTRIBUTION INCORPORATED_RESIDENTIAL SERVICE CLASSIFICATION</t>
  </si>
  <si>
    <t>PETERBOROUGH DISTRIBUTION INCORPORATED_SENTINEL LIGHTING SERVICE CLASSIFICATION</t>
  </si>
  <si>
    <t>PETERBOROUGH DISTRIBUTION INCORPORATED_STREET LIGHTING SERVICE CLASSIFICATION</t>
  </si>
  <si>
    <t>PETERBOROUGH DISTRIBUTION INCORPORATED_UNMETERED SCATTERED LOAD SERVICE CLASSIFICATION</t>
  </si>
  <si>
    <t>PUC DISTRIBUTION INC._GENERAL SERVICE 50 TO 4,999 KW SERVICE CLASSIFICATION</t>
  </si>
  <si>
    <t>PUC DISTRIBUTION INC._GENERAL SERVICE LESS THAN 50 KW SERVICE CLASSIFICATION</t>
  </si>
  <si>
    <t>PUC DISTRIBUTION INC._RESIDENTIAL SERVICE CLASSIFICATION</t>
  </si>
  <si>
    <t>PUC DISTRIBUTION INC._SENTINEL LIGHTING SERVICE CLASSIFICATION</t>
  </si>
  <si>
    <t>PUC DISTRIBUTION INC._STREET LIGHTING SERVICE CLASSIFICATION</t>
  </si>
  <si>
    <t>PUC DISTRIBUTION INC._UNMETERED SCATTERED LOAD SERVICE CLASSIFICATION</t>
  </si>
  <si>
    <t>RENFREW HYDRO INC._GENERAL SERVICE 50 TO 4,999 KW SERVICE CLASSIFICATION</t>
  </si>
  <si>
    <t>RENFREW HYDRO INC._GENERAL SERVICE LESS THAN 50 KW SERVICE CLASSIFICATION</t>
  </si>
  <si>
    <t>RENFREW HYDRO INC._RESIDENTIAL SERVICE CLASSIFICATION</t>
  </si>
  <si>
    <t>RENFREW HYDRO INC._STREET LIGHTING SERVICE CLASSIFICATION</t>
  </si>
  <si>
    <t>RENFREW HYDRO INC._UNMETERED SCATTERED LOAD SERVICE CLASSIFICATION</t>
  </si>
  <si>
    <t>RIDEAU ST. LAWRENCE DISTRIBUTION INC._GENERAL SERVICE 50 TO 4,999 KW SERVICE CLASSIFICATION</t>
  </si>
  <si>
    <t>RIDEAU ST. LAWRENCE DISTRIBUTION INC._GENERAL SERVICE LESS THAN 50 KW SERVICE CLASSIFICATION</t>
  </si>
  <si>
    <t>RIDEAU ST. LAWRENCE DISTRIBUTION INC._RESIDENTIAL SERVICE CLASSIFICATION</t>
  </si>
  <si>
    <t>RIDEAU ST. LAWRENCE DISTRIBUTION INC._SENTINEL LIGHTING SERVICE CLASSIFICATION</t>
  </si>
  <si>
    <t>RIDEAU ST. LAWRENCE DISTRIBUTION INC._STREET LIGHTING SERVICE CLASSIFICATION</t>
  </si>
  <si>
    <t>RIDEAU ST. LAWRENCE DISTRIBUTION INC._UNMETERED SCATTERED LOAD SERVICE CLASSIFICATION</t>
  </si>
  <si>
    <t>SIOUX LOOKOUT HYDRO INC._GENERAL SERVICE 50 TO 4,999 KW SERVICE CLASSIFICATION</t>
  </si>
  <si>
    <t>SIOUX LOOKOUT HYDRO INC._GENERAL SERVICE LESS THAN 50 KW SERVICE CLASSIFICATION</t>
  </si>
  <si>
    <t>SIOUX LOOKOUT HYDRO INC._RESIDENTIAL SERVICE CLASSIFICATION</t>
  </si>
  <si>
    <t>SIOUX LOOKOUT HYDRO INC._STREET LIGHTING SERVICE CLASSIFICATION</t>
  </si>
  <si>
    <t>SIOUX LOOKOUT HYDRO INC._UNMETERED SCATTERED LOAD SERVICE CLASSIFICATION</t>
  </si>
  <si>
    <t>ST. THOMAS ENERGY INC._GENERAL SERVICE LESS THAN 50 KW SERVICE CLASSIFICATION</t>
  </si>
  <si>
    <t>ST. THOMAS ENERGY INC._RESIDENTIAL SERVICE CLASSIFICATION</t>
  </si>
  <si>
    <t>ST. THOMAS ENERGY INC._SENTINEL LIGHTING SERVICE CLASSIFICATION</t>
  </si>
  <si>
    <t>ST. THOMAS ENERGY INC._STREET LIGHTING SERVICE CLASSIFICATION</t>
  </si>
  <si>
    <t>TILLSONBURG HYDRO INC._GENERAL SERVICE 50 TO 499 KW SERVICE CLASSIFICATION</t>
  </si>
  <si>
    <t>TILLSONBURG HYDRO INC._GENERAL SERVICE 500 TO 1,499 KW SERVICE CLASSIFICATION</t>
  </si>
  <si>
    <t>TILLSONBURG HYDRO INC._GENERAL SERVICE EQUAL TO OR GREATER THAN 1,500 KW SERVICE CLASSIFICATION</t>
  </si>
  <si>
    <t>TILLSONBURG HYDRO INC._GENERAL SERVICE LESS THAN 50 KW SERVICE CLASSIFICATION</t>
  </si>
  <si>
    <t>TILLSONBURG HYDRO INC._RESIDENTIAL SERVICE CLASSIFICATION</t>
  </si>
  <si>
    <t>TILLSONBURG HYDRO INC._SENTINEL LIGHTING SERVICE CLASSIFICATION</t>
  </si>
  <si>
    <t>TILLSONBURG HYDRO INC._STREET LIGHTING SERVICE CLASSIFICATION</t>
  </si>
  <si>
    <t>TILLSONBURG HYDRO INC._UNMETERED SCATTERED LOAD SERVICE CLASSIFICATION</t>
  </si>
  <si>
    <t>TORONTO HYDRO-ELECTRIC SYSTEM LIMITED_GENERAL SERVICE 1,000 TO 4,999 KW SERVICE CLASSIFICATION</t>
  </si>
  <si>
    <t>TORONTO HYDRO-ELECTRIC SYSTEM LIMITED_GENERAL SERVICE 50 TO 999 KW SERVICE CLASSIFICATION</t>
  </si>
  <si>
    <t>TORONTO HYDRO-ELECTRIC SYSTEM LIMITED_GENERAL SERVICE LESS THAN 50 KW SERVICE CLASSIFICATION</t>
  </si>
  <si>
    <t>TORONTO HYDRO-ELECTRIC SYSTEM LIMITED_LARGE USE SERVICE CLASSIFICATION</t>
  </si>
  <si>
    <t>TORONTO HYDRO-ELECTRIC SYSTEM LIMITED_STREET LIGHTING SERVICE CLASSIFICATION</t>
  </si>
  <si>
    <t>TORONTO HYDRO-ELECTRIC SYSTEM LIMITED_UNMETERED SCATTERED LOAD SERVICE CLASSIFICATION</t>
  </si>
  <si>
    <t>WASAGA DISTRIBUTION INC._GENERAL SERVICE 50 TO 4,999 KW SERVICE CLASSIFICATION</t>
  </si>
  <si>
    <t>WASAGA DISTRIBUTION INC._GENERAL SERVICE LESS THAN 50 KW SERVICE CLASSIFICATION</t>
  </si>
  <si>
    <t>WASAGA DISTRIBUTION INC._RESIDENTIAL SERVICE CLASSIFICATION</t>
  </si>
  <si>
    <t>WASAGA DISTRIBUTION INC._STREET LIGHTING SERVICE CLASSIFICATION</t>
  </si>
  <si>
    <t>WASAGA DISTRIBUTION INC._UNMETERED SCATTERED LOAD SERVICE CLASSIFICATION</t>
  </si>
  <si>
    <t>WATERLOO NORTH HYDRO INC._EMBEDDED DISTRIBUTOR SERVICE CLASSIFICATION</t>
  </si>
  <si>
    <t>WATERLOO NORTH HYDRO INC._GENERAL SERVICE 50 TO 4,999 KW SERVICE CLASSIFICATION</t>
  </si>
  <si>
    <t>WATERLOO NORTH HYDRO INC._GENERAL SERVICE LESS THAN 50 KW SERVICE CLASSIFICATION</t>
  </si>
  <si>
    <t>WATERLOO NORTH HYDRO INC._LARGE USE SERVICE CLASSIFICATION</t>
  </si>
  <si>
    <t>WATERLOO NORTH HYDRO INC._RESIDENTIAL SERVICE CLASSIFICATION</t>
  </si>
  <si>
    <t>WATERLOO NORTH HYDRO INC._STREET LIGHTING SERVICE CLASSIFICATION</t>
  </si>
  <si>
    <t>WATERLOO NORTH HYDRO INC._UNMETERED SCATTERED LOAD SERVICE CLASSIFICATION</t>
  </si>
  <si>
    <t>WELLAND HYDRO-ELECTRIC SYSTEM CORP._GENERAL SERVICE 50 TO 4,999 KW SERVICE CLASSIFICATION</t>
  </si>
  <si>
    <t>WELLAND HYDRO-ELECTRIC SYSTEM CORP._GENERAL SERVICE LESS THAN 50 KW SERVICE CLASSIFICATION</t>
  </si>
  <si>
    <t>WELLAND HYDRO-ELECTRIC SYSTEM CORP._RESIDENTIAL SERVICE CLASSIFICATION</t>
  </si>
  <si>
    <t>WELLAND HYDRO-ELECTRIC SYSTEM CORP._SENTINEL LIGHTING SERVICE CLASSIFICATION</t>
  </si>
  <si>
    <t>WELLAND HYDRO-ELECTRIC SYSTEM CORP._STREET LIGHTING SERVICE CLASSIFICATION</t>
  </si>
  <si>
    <t>WELLAND HYDRO-ELECTRIC SYSTEM CORP._UNMETERED SCATTERED LOAD SERVICE CLASSIFICATION</t>
  </si>
  <si>
    <t>WELLINGTON NORTH POWER INC._GENERAL SERVICE 1,000 TO 4,999 KW SERVICE CLASSIFICATION</t>
  </si>
  <si>
    <t>WELLINGTON NORTH POWER INC._GENERAL SERVICE 50 TO 999 KW SERVICE CLASSIFICATION</t>
  </si>
  <si>
    <t>WELLINGTON NORTH POWER INC._GENERAL SERVICE LESS THAN 50 KW SERVICE CLASSIFICATION</t>
  </si>
  <si>
    <t>WELLINGTON NORTH POWER INC._RESIDENTIAL SERVICE CLASSIFICATION</t>
  </si>
  <si>
    <t>WELLINGTON NORTH POWER INC._SENTINEL LIGHTING SERVICE CLASSIFICATION</t>
  </si>
  <si>
    <t>WELLINGTON NORTH POWER INC._STREET LIGHTING SERVICE CLASSIFICATION</t>
  </si>
  <si>
    <t>WELLINGTON NORTH POWER INC._UNMETERED SCATTERED LOAD SERVICE CLASSIFICATION</t>
  </si>
  <si>
    <t>WEST COAST HURON ENERGY INC._GENERAL SERVICE 50 TO 499 KW SERVICE CLASSIFICATION</t>
  </si>
  <si>
    <t>WEST COAST HURON ENERGY INC._GENERAL SERVICE 500 TO 4,999 KW SERVICE CLASSIFICATION</t>
  </si>
  <si>
    <t>WEST COAST HURON ENERGY INC._GENERAL SERVICE LESS THAN 50 KW SERVICE CLASSIFICATION</t>
  </si>
  <si>
    <t>WEST COAST HURON ENERGY INC._LARGE USE SERVICE CLASSIFICATION</t>
  </si>
  <si>
    <t>WEST COAST HURON ENERGY INC._RESIDENTIAL SERVICE CLASSIFICATION</t>
  </si>
  <si>
    <t>WEST COAST HURON ENERGY INC._SENTINEL LIGHTING SERVICE CLASSIFICATION</t>
  </si>
  <si>
    <t>WEST COAST HURON ENERGY INC._STREET LIGHTING SERVICE CLASSIFICATION</t>
  </si>
  <si>
    <t>WEST COAST HURON ENERGY INC._UNMETERED SCATTERED LOAD SERVICE CLASSIFICATION</t>
  </si>
  <si>
    <t>WESTARIO POWER INC._GENERAL SERVICE 50 TO 4,999 KW SERVICE CLASSIFICATION</t>
  </si>
  <si>
    <t>WESTARIO POWER INC._GENERAL SERVICE LESS THAN 50 KW SERVICE CLASSIFICATION</t>
  </si>
  <si>
    <t>WESTARIO POWER INC._RESIDENTIAL SERVICE CLASSIFICATION</t>
  </si>
  <si>
    <t>WESTARIO POWER INC._SENTINEL LIGHTING SERVICE CLASSIFICATION</t>
  </si>
  <si>
    <t>WESTARIO POWER INC._STREET LIGHTING SERVICE CLASSIFICATION</t>
  </si>
  <si>
    <t>WESTARIO POWER INC._UNMETERED SCATTERED LOAD SERVICE CLASSIFICATION</t>
  </si>
  <si>
    <t>WHITBY HYDRO ELECTRIC CORPORATION_GENERAL SERVICE 50 TO 4,999 KW SERVICE CLASSIFICATION</t>
  </si>
  <si>
    <t>WHITBY HYDRO ELECTRIC CORPORATION_GENERAL SERVICE LESS THAN 50 KW SERVICE CLASSIFICATION</t>
  </si>
  <si>
    <t>WHITBY HYDRO ELECTRIC CORPORATION_RESIDENTIAL SERVICE CLASSIFICATION</t>
  </si>
  <si>
    <t>WHITBY HYDRO ELECTRIC CORPORATION_SENTINEL LIGHTING SERVICE CLASSIFICATION</t>
  </si>
  <si>
    <t>WHITBY HYDRO ELECTRIC CORPORATION_STREET LIGHTING SERVICE CLASSIFICATION</t>
  </si>
  <si>
    <t>WHITBY HYDRO ELECTRIC CORPORATION_UNMETERED SCATTERED LOAD SERVICE CLASSIFICATION</t>
  </si>
  <si>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</si>
  <si>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</si>
  <si>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r>
      <t>Number of Customers for Residential and GS&lt;50 classes</t>
    </r>
    <r>
      <rPr>
        <b/>
        <vertAlign val="superscript"/>
        <sz val="11"/>
        <color theme="1"/>
        <rFont val="Calibri"/>
        <family val="2"/>
        <scheme val="minor"/>
      </rPr>
      <t>3</t>
    </r>
  </si>
  <si>
    <r>
      <t xml:space="preserve">Taxable Capital </t>
    </r>
    <r>
      <rPr>
        <b/>
        <sz val="12"/>
        <color rgb="FFFF0000"/>
        <rFont val="Calibri"/>
        <family val="2"/>
        <scheme val="minor"/>
      </rPr>
      <t>(if you are not claiming capital tax, please enter your OEB-Approved Rate Base)</t>
    </r>
  </si>
  <si>
    <t>Low Voltage Switchgear Credit (if applicable)</t>
  </si>
  <si>
    <t>Total including deduction for Low Voltage Switchgear Credit</t>
  </si>
  <si>
    <t>OEB-approved # of Transition Years</t>
  </si>
  <si>
    <t>Update the following rates if an OEB Decision has been issued at the time of completing this application</t>
  </si>
  <si>
    <t>Allocation of Total GA Balance $</t>
  </si>
  <si>
    <t>Total GA Balance</t>
  </si>
  <si>
    <t>1595_(2009)</t>
  </si>
  <si>
    <t>1595_(2012)</t>
  </si>
  <si>
    <t>1595_(2013)</t>
  </si>
  <si>
    <t>1595_(2014)</t>
  </si>
  <si>
    <t>1595_(2015)</t>
  </si>
  <si>
    <t xml:space="preserve"> </t>
  </si>
  <si>
    <t>Calculation of Rebased Revenue Requirement and Allocation of Tax Sharing Amount.  Enter data from the last OEB-Approved Cost of Service application in columns C through H.</t>
  </si>
  <si>
    <t>Re-based Billed Customers or Connections</t>
  </si>
  <si>
    <t>Re-based Billed kWh</t>
  </si>
  <si>
    <t>Re-based Billed kW</t>
  </si>
  <si>
    <t>Re-based Distribution Volumetric Rate kWh</t>
  </si>
  <si>
    <t>Re-based Distribution Volumetric Rate kW</t>
  </si>
  <si>
    <t>Service Charge Revenue</t>
  </si>
  <si>
    <t>Distribution Volumetric Rate Revenue 
kWh</t>
  </si>
  <si>
    <t>Distribution Volumetric Rate Revenue 
kW</t>
  </si>
  <si>
    <t>Revenue Requirement from Rates</t>
  </si>
  <si>
    <t>Service Charge 
% Revenue</t>
  </si>
  <si>
    <t>Distribution Volumetric Rate 
% Revenue 
kWh</t>
  </si>
  <si>
    <t>Distribution Volumetric Rate 
% Revenue 
kW</t>
  </si>
  <si>
    <t>Total % Revenue</t>
  </si>
  <si>
    <t>D</t>
  </si>
  <si>
    <t>E</t>
  </si>
  <si>
    <t>F</t>
  </si>
  <si>
    <r>
      <t xml:space="preserve">1595 Recovery Proportion (2014) </t>
    </r>
    <r>
      <rPr>
        <b/>
        <vertAlign val="superscript"/>
        <sz val="10"/>
        <rFont val="Arial"/>
        <family val="2"/>
      </rPr>
      <t>1</t>
    </r>
  </si>
  <si>
    <t>Rate Model Total Value</t>
  </si>
  <si>
    <t>Essex Powerlines Corporation1550</t>
  </si>
  <si>
    <t>Essex Powerlines Corporation1551</t>
  </si>
  <si>
    <t>Essex Powerlines Corporation1568</t>
  </si>
  <si>
    <t>Essex Powerlines Corporation1580</t>
  </si>
  <si>
    <t>Essex Powerlines Corporation1584</t>
  </si>
  <si>
    <t>Essex Powerlines Corporation1586</t>
  </si>
  <si>
    <t>Essex Powerlines Corporation1588</t>
  </si>
  <si>
    <t>Essex Powerlines Corporation1589</t>
  </si>
  <si>
    <t>Essex Powerlines Corporation1595_(2008)</t>
  </si>
  <si>
    <t>Essex Powerlines Corporation1595_(2009)</t>
  </si>
  <si>
    <t>Essex Powerlines Corporation1595_(2010)</t>
  </si>
  <si>
    <t>Essex Powerlines Corporation1595_(2011)</t>
  </si>
  <si>
    <t>Essex Powerlines Corporation1595_(2012)</t>
  </si>
  <si>
    <t>Essex Powerlines Corporation1595_(2013)</t>
  </si>
  <si>
    <t>Essex Powerlines Corporation1595_(2014)</t>
  </si>
  <si>
    <t>Essex Powerlines Corporation1595_ControlAccount</t>
  </si>
  <si>
    <t>Sioux Lookout Hydro Inc.1550</t>
  </si>
  <si>
    <t>Sioux Lookout Hydro Inc.1551</t>
  </si>
  <si>
    <t>Sioux Lookout Hydro Inc.1568</t>
  </si>
  <si>
    <t>Sioux Lookout Hydro Inc.1580</t>
  </si>
  <si>
    <t>Sioux Lookout Hydro Inc.1584</t>
  </si>
  <si>
    <t>Sioux Lookout Hydro Inc.1586</t>
  </si>
  <si>
    <t>Sioux Lookout Hydro Inc.1588</t>
  </si>
  <si>
    <t>Sioux Lookout Hydro Inc.1589</t>
  </si>
  <si>
    <t>Sioux Lookout Hydro Inc.1595_(2008)</t>
  </si>
  <si>
    <t>Sioux Lookout Hydro Inc.1595_(2009)</t>
  </si>
  <si>
    <t>Sioux Lookout Hydro Inc.1595_(2010)</t>
  </si>
  <si>
    <t>Sioux Lookout Hydro Inc.1595_(2011)</t>
  </si>
  <si>
    <t>Sioux Lookout Hydro Inc.1595_(2012)</t>
  </si>
  <si>
    <t>Sioux Lookout Hydro Inc.1595_(2013)</t>
  </si>
  <si>
    <t>Sioux Lookout Hydro Inc.1595_(2014)</t>
  </si>
  <si>
    <t>Sioux Lookout Hydro Inc.1595_ControlAccount</t>
  </si>
  <si>
    <t>ASD</t>
  </si>
  <si>
    <t>KKK</t>
  </si>
  <si>
    <t>Current OEB-Approved</t>
  </si>
  <si>
    <t>212_Total_Connection_RollUp</t>
  </si>
  <si>
    <t>20. HIDDEN</t>
  </si>
  <si>
    <t>Sheet2</t>
  </si>
  <si>
    <t>3. Continuity Schedule</t>
  </si>
  <si>
    <t>COMPETITIVE SECTOR MULTI-UNIT RESIDENTIAL SERVICE CLASSIFICATION</t>
  </si>
  <si>
    <t>Hearst Power Distribution Company Ltd.</t>
  </si>
  <si>
    <t>InnPower Corporation</t>
  </si>
  <si>
    <r>
      <t xml:space="preserve">Metered </t>
    </r>
    <r>
      <rPr>
        <b/>
        <sz val="11"/>
        <color rgb="FFFF0000"/>
        <rFont val="Arial"/>
        <family val="2"/>
      </rPr>
      <t>kWh</t>
    </r>
    <r>
      <rPr>
        <b/>
        <sz val="10"/>
        <rFont val="Arial"/>
        <family val="2"/>
      </rPr>
      <t xml:space="preserve"> for Wholesale Market Participants (WMP)</t>
    </r>
  </si>
  <si>
    <r>
      <t xml:space="preserve">Metered </t>
    </r>
    <r>
      <rPr>
        <b/>
        <sz val="11"/>
        <color rgb="FFFF0000"/>
        <rFont val="Arial"/>
        <family val="2"/>
      </rPr>
      <t>kW</t>
    </r>
    <r>
      <rPr>
        <b/>
        <sz val="10"/>
        <rFont val="Arial"/>
        <family val="2"/>
      </rPr>
      <t xml:space="preserve"> for Wholesale Market Participants (WMP)</t>
    </r>
  </si>
  <si>
    <t>GA Rate Riders</t>
  </si>
  <si>
    <t>Niagara-on-the-Lake Hydro Inc.1595_(2015)</t>
  </si>
  <si>
    <t>Algoma Power Inc.1595_(2015)</t>
  </si>
  <si>
    <t>Atikokan Hydro Inc.1595_(2015)</t>
  </si>
  <si>
    <t>Bluewater Power Distribution Corporation1595_(2015)</t>
  </si>
  <si>
    <t>Brantford Power Inc.1595_(2015)</t>
  </si>
  <si>
    <t>Burlington Hydro Inc.1595_(2015)</t>
  </si>
  <si>
    <t>Canadian Niagara Power Inc.1595_(2015)</t>
  </si>
  <si>
    <t>Centre Wellington Hydro Ltd.1595_(2015)</t>
  </si>
  <si>
    <t>Chapleau Public Utilities Corporation1595_(2015)</t>
  </si>
  <si>
    <t>Collus PowerStream Corp.1595_(2015)</t>
  </si>
  <si>
    <t>Cooperative Hydro Embrun Inc.1595_(2015)</t>
  </si>
  <si>
    <t>E.L.K. Energy Inc.1595_(2015)</t>
  </si>
  <si>
    <t>Entegrus Powerlines Inc.1595_(2015)</t>
  </si>
  <si>
    <t>EnWin Utilities Ltd.1595_(2015)</t>
  </si>
  <si>
    <t>Erie Thames Powerlines Corporation1595_(2015)</t>
  </si>
  <si>
    <t>Espanola Regional Hydro Distribution Corporation1595_(2015)</t>
  </si>
  <si>
    <t>Essex Powerlines Corporation1595_(2015)</t>
  </si>
  <si>
    <t>Festival Hydro Inc.1595_(2015)</t>
  </si>
  <si>
    <t>Fort Frances Power Corporation1595_(2015)</t>
  </si>
  <si>
    <t>Greater Sudbury Hydro Inc.1595_(2015)</t>
  </si>
  <si>
    <t>Grimsby Power Incorporated1595_(2015)</t>
  </si>
  <si>
    <t>Guelph Hydro Electric Systems Inc.1595_(2015)</t>
  </si>
  <si>
    <t>Halton Hills Hydro Inc.1595_(2015)</t>
  </si>
  <si>
    <t>Hydro 2000 Inc.1595_(2015)</t>
  </si>
  <si>
    <t>Hydro Hawkesbury Inc.1595_(2015)</t>
  </si>
  <si>
    <t>Hydro One Networks Inc.1595_(2015)</t>
  </si>
  <si>
    <t>Hydro One Remote Communities Inc.1595_(2015)</t>
  </si>
  <si>
    <t>Hydro Ottawa Limited1595_(2015)</t>
  </si>
  <si>
    <t>Innpower Corporation1595_(2015)</t>
  </si>
  <si>
    <t>Kenora Hydro Electric Corporation Ltd.1595_(2015)</t>
  </si>
  <si>
    <t>Kingston Hydro Corporation1595_(2015)</t>
  </si>
  <si>
    <t>Kitchener-Wilmot Hydro Inc.1595_(2015)</t>
  </si>
  <si>
    <t>Lakefront Utilities Inc.1595_(2015)</t>
  </si>
  <si>
    <t>Lakeland Power Distribution Ltd.1595_(2015)</t>
  </si>
  <si>
    <t>London Hydro Inc.1595_(2015)</t>
  </si>
  <si>
    <t>Midland Power Utility Corporation1595_(2015)</t>
  </si>
  <si>
    <t>Milton Hydro Distribution Inc.1595_(2015)</t>
  </si>
  <si>
    <t>Niagara Peninsula Energy Inc.1595_(2015)</t>
  </si>
  <si>
    <t>North Bay Hydro Distribution Limited1595_(2015)</t>
  </si>
  <si>
    <t>Northern Ontario Wires Inc.1595_(2015)</t>
  </si>
  <si>
    <t>Oakville Hydro Electricity Distribution Inc.1595_(2015)</t>
  </si>
  <si>
    <t>Orangeville Hydro Limited1595_(2015)</t>
  </si>
  <si>
    <t>Orillia Power Distribution Corporation1595_(2015)</t>
  </si>
  <si>
    <t>Oshawa PUC Networks Inc.1595_(2015)</t>
  </si>
  <si>
    <t>Ottawa River Power Corporation1595_(2015)</t>
  </si>
  <si>
    <t>PUC Distribution Inc.1595_(2015)</t>
  </si>
  <si>
    <t>Renfrew Hydro Inc.1595_(2015)</t>
  </si>
  <si>
    <t>Rideau St. Lawrence Distribution Inc.1595_(2015)</t>
  </si>
  <si>
    <t>Sioux Lookout Hydro Inc.1595_(2015)</t>
  </si>
  <si>
    <t>St. Thomas Energy Inc.1595_(2015)</t>
  </si>
  <si>
    <t>Tillsonburg Hydro Inc.1595_(2015)</t>
  </si>
  <si>
    <t>Toronto Hydro-Electric System Limited1595_(2015)</t>
  </si>
  <si>
    <t>Veridian Connections Inc.1595_(2015)</t>
  </si>
  <si>
    <t>Wasaga Distribution Inc.1595_(2015)</t>
  </si>
  <si>
    <t>Waterloo North Hydro Inc.1595_(2015)</t>
  </si>
  <si>
    <t>Welland Hydro-Electric System Corp.1595_(2015)</t>
  </si>
  <si>
    <t>Wellington North Power Inc.1595_(2015)</t>
  </si>
  <si>
    <t>West Coast Huron Energy Inc.1595_(2015)</t>
  </si>
  <si>
    <t>Westario Power Inc.1595_(2015)</t>
  </si>
  <si>
    <t>Whitby Hydro Electric Corporation1595_(2015)</t>
  </si>
  <si>
    <t>Total GA $ allocated to Current Class B Customers</t>
  </si>
  <si>
    <t>% of kWh</t>
  </si>
  <si>
    <r>
      <t xml:space="preserve">Revenue Reconcilation </t>
    </r>
    <r>
      <rPr>
        <b/>
        <vertAlign val="superscript"/>
        <sz val="11"/>
        <color theme="1"/>
        <rFont val="Calibri"/>
        <family val="2"/>
        <scheme val="minor"/>
      </rPr>
      <t>1</t>
    </r>
  </si>
  <si>
    <r>
      <t xml:space="preserve">Allocation of Group 1 Account Balances to All Classes </t>
    </r>
    <r>
      <rPr>
        <b/>
        <vertAlign val="superscript"/>
        <sz val="10"/>
        <rFont val="Arial"/>
        <family val="2"/>
      </rPr>
      <t>2</t>
    </r>
  </si>
  <si>
    <r>
      <t xml:space="preserve">Allocation of Group 1 Account Balances to Non-WMP Classes Only (If Applicable) </t>
    </r>
    <r>
      <rPr>
        <b/>
        <vertAlign val="superscript"/>
        <sz val="10"/>
        <rFont val="Arial"/>
        <family val="2"/>
      </rPr>
      <t>2</t>
    </r>
  </si>
  <si>
    <r>
      <t xml:space="preserve">Deferral/Variance Account Rate Rider </t>
    </r>
    <r>
      <rPr>
        <b/>
        <vertAlign val="superscript"/>
        <sz val="10"/>
        <rFont val="Arial"/>
        <family val="2"/>
      </rPr>
      <t>2</t>
    </r>
  </si>
  <si>
    <r>
      <t xml:space="preserve">Deferral/Variance Account Rate Rider for Non-WMP 
(if applicable) </t>
    </r>
    <r>
      <rPr>
        <b/>
        <vertAlign val="superscript"/>
        <sz val="10"/>
        <rFont val="Arial"/>
        <family val="2"/>
      </rPr>
      <t>2</t>
    </r>
  </si>
  <si>
    <t>KESKM585</t>
  </si>
  <si>
    <t>MQFNL784</t>
  </si>
  <si>
    <t>TVKSH414</t>
  </si>
  <si>
    <t>MLWYG784</t>
  </si>
  <si>
    <t>QDKIF127</t>
  </si>
  <si>
    <t>Effective Year of Residential Rate Design Transition (yyyy)</t>
  </si>
  <si>
    <t xml:space="preserve">Billed kWh for Residential Class
(approved in the last CoS)
</t>
  </si>
  <si>
    <t xml:space="preserve"># of Residential Customers
(approved in the last CoS)
</t>
  </si>
  <si>
    <t>Billing Determinant Applied to Fixed Charge for Unmetered Classes (e.g. # of devices/connections).</t>
  </si>
  <si>
    <t>SEASONAL CUSTOMERS SERVICE CLASSIFICATION</t>
  </si>
  <si>
    <t xml:space="preserve">Haldimand County Hydro Inc. </t>
  </si>
  <si>
    <t>GENERAL SERVICE 1,000 KW AND GREATER SERVICE CLASSIFICATION</t>
  </si>
  <si>
    <t xml:space="preserve">Woodstock Hydro Services Inc. </t>
  </si>
  <si>
    <t>Hydro One Networks Inc. (Norfolk Power Distribution Inc.)</t>
  </si>
  <si>
    <t>ENTEGRUS POWERLINES INC._GENERAL SERVICE 50 TO 4,999 KW SERVICE CLASSIFICATION</t>
  </si>
  <si>
    <t>ENTEGRUS POWERLINES INC._GENERAL SERVICE LESS THAN 50 KW SERVICE CLASSIFICATION</t>
  </si>
  <si>
    <t>ENTEGRUS POWERLINES INC._LARGE USE SERVICE CLASSIFICATION</t>
  </si>
  <si>
    <t>ENTEGRUS POWERLINES INC._RESIDENTIAL SERVICE CLASSIFICATION</t>
  </si>
  <si>
    <t>ENTEGRUS POWERLINES INC._SENTINEL LIGHTING SERVICE CLASSIFICATION</t>
  </si>
  <si>
    <t>ENTEGRUS POWERLINES INC._STREET LIGHTING SERVICE CLASSIFICATION</t>
  </si>
  <si>
    <t>ENTEGRUS POWERLINES INC._UNMETERED SCATTERED LOAD SERVICE CLASSIFICATION</t>
  </si>
  <si>
    <t>ENWIN UTILITIES LTD._GENERAL SERVICE 3,000 TO 4,999 KW - INTERMEDIATE USE SERVICE CLASSIFICATION</t>
  </si>
  <si>
    <t>ESSEX POWERLINES CORPORATION</t>
  </si>
  <si>
    <t>ESSEX POWERLINES CORPORATION_GENERAL SERVICE 3,000 TO 4,999 KW SERVICE CLASSIFICATION</t>
  </si>
  <si>
    <t>ESSEX POWERLINES CORPORATION_GENERAL SERVICE 50 TO 2,999 KW SERVICE CLASSIFICATION</t>
  </si>
  <si>
    <t>ESSEX POWERLINES CORPORATION_GENERAL SERVICE LESS THAN 50 KW SERVICE CLASSIFICATION</t>
  </si>
  <si>
    <t>ESSEX POWERLINES CORPORATION_RESIDENTIAL SERVICE CLASSIFICATION</t>
  </si>
  <si>
    <t>ESSEX POWERLINES CORPORATION_SENTINEL LIGHTING SERVICE CLASSIFICATION</t>
  </si>
  <si>
    <t>ESSEX POWERLINES CORPORATION_STREET LIGHTING SERVICE CLASSIFICATION</t>
  </si>
  <si>
    <t>ESSEX POWERLINES CORPORATION_UNMETERED SCATTERED LOAD SERVICE CLASSIFICATION</t>
  </si>
  <si>
    <t>KITCHENER-WILMOT HYDRO INC._EMBEDDED DISTRIBUTOR SERVICE CLASSIFICATION</t>
  </si>
  <si>
    <t>VERIDIAN CONNECTIONS INC._GENERAL SERVICE 3,000 TO 4,999 KW SERVICE CLASSIFICATION</t>
  </si>
  <si>
    <t>VERIDIAN CONNECTIONS INC._GENERAL SERVICE 50 TO 2,999 KW SERVICE CLASSIFICATION</t>
  </si>
  <si>
    <t>VERIDIAN CONNECTIONS INC._GENERAL SERVICE LESS THAN 50 KW SERVICE CLASSIFICATION</t>
  </si>
  <si>
    <t>VERIDIAN CONNECTIONS INC._LARGE USE SERVICE CLASSIFICATION</t>
  </si>
  <si>
    <t>VERIDIAN CONNECTIONS INC._RESIDENTIAL SERVICE CLASSIFICATION</t>
  </si>
  <si>
    <t>VERIDIAN CONNECTIONS INC._SENTINEL LIGHTING SERVICE CLASSIFICATION</t>
  </si>
  <si>
    <t>VERIDIAN CONNECTIONS INC._STREET LIGHTING SERVICE CLASSIFICATION</t>
  </si>
  <si>
    <t>VERIDIAN CONNECTIONS INC._UNMETERED SCATTERED LOAD SERVICE CLASSIFICATION</t>
  </si>
  <si>
    <t>Found</t>
  </si>
  <si>
    <t>HHPNS717</t>
  </si>
  <si>
    <t>WKBSV849</t>
  </si>
  <si>
    <t>NJYBW716</t>
  </si>
  <si>
    <t>GQQHM388</t>
  </si>
  <si>
    <t>SFXZP935</t>
  </si>
  <si>
    <t>OARZC118</t>
  </si>
  <si>
    <t>HJHBH994</t>
  </si>
  <si>
    <t>KQEEH473</t>
  </si>
  <si>
    <t>CPEFQ593</t>
  </si>
  <si>
    <t>QXHJU641</t>
  </si>
  <si>
    <t>AVXSO594</t>
  </si>
  <si>
    <t>JMNNR431</t>
  </si>
  <si>
    <t>JKBZG525</t>
  </si>
  <si>
    <t>YEOQG654</t>
  </si>
  <si>
    <t>PTLUC812</t>
  </si>
  <si>
    <t>ADICB565</t>
  </si>
  <si>
    <t>LRECV427</t>
  </si>
  <si>
    <t>KTCNY552</t>
  </si>
  <si>
    <t>YEPCI143</t>
  </si>
  <si>
    <t>GRHTW113</t>
  </si>
  <si>
    <t>GMGHU415</t>
  </si>
  <si>
    <t>YTPWF351</t>
  </si>
  <si>
    <t>YCYKQ642</t>
  </si>
  <si>
    <t>ADZFM459</t>
  </si>
  <si>
    <t>RVWKN794</t>
  </si>
  <si>
    <t>FNDHH648</t>
  </si>
  <si>
    <t>PTREM828</t>
  </si>
  <si>
    <t>UBBYF452</t>
  </si>
  <si>
    <t>NSBED625</t>
  </si>
  <si>
    <t>TXKTT167</t>
  </si>
  <si>
    <t>ZHKLA874</t>
  </si>
  <si>
    <t>YLJHT264</t>
  </si>
  <si>
    <t>YLCEC559</t>
  </si>
  <si>
    <t>NHKJF259</t>
  </si>
  <si>
    <t>SLRXO177</t>
  </si>
  <si>
    <t>UIFEM157</t>
  </si>
  <si>
    <t>RUZIU984</t>
  </si>
  <si>
    <t>KSUYD122</t>
  </si>
  <si>
    <t>QHCKN852</t>
  </si>
  <si>
    <t>FUIJX538</t>
  </si>
  <si>
    <t>PWKJP953</t>
  </si>
  <si>
    <t>JEGGW178</t>
  </si>
  <si>
    <t>DUISI693</t>
  </si>
  <si>
    <t>PQZCY963</t>
  </si>
  <si>
    <t>GTLBW445</t>
  </si>
  <si>
    <t>XCFPH269</t>
  </si>
  <si>
    <t>AMZEN437</t>
  </si>
  <si>
    <t>ACEVX242</t>
  </si>
  <si>
    <t>DSPWZ318</t>
  </si>
  <si>
    <t>OLIUU862</t>
  </si>
  <si>
    <t>ST. THOMAS ENERGY INC._GENERAL SERVICE 50 TO 4,999 KW SERVICE CLASSIFICATION</t>
  </si>
  <si>
    <t>No input required.  This workshseet allocates the deferral/variance account balances (Group 1 and 1568) to the appropriate classes as per EDDVAR dated July 31, 2009</t>
  </si>
  <si>
    <t>C=B/A</t>
  </si>
  <si>
    <t>E=C*D</t>
  </si>
  <si>
    <t>F=D-E</t>
  </si>
  <si>
    <t>Customer</t>
  </si>
  <si>
    <t>Monthly Equal Payments</t>
  </si>
  <si>
    <t>FIT SERVICE CLASSIFICATION</t>
  </si>
  <si>
    <t>GENERAL SERVICE GREATER THAN 1,000 KW SERVICE CLASSIFICATION</t>
  </si>
  <si>
    <t>As per Chapter 3 Filing Requirements, shared tax rate riders are based on a 1 year disposition.</t>
  </si>
  <si>
    <t>Wholesale Market Service Rate (WMS) - not including CBR</t>
  </si>
  <si>
    <t xml:space="preserve">Capacity Based Recovery (CBR) - Applicable for Class B Customers </t>
  </si>
  <si>
    <t>Regulatory Charges</t>
  </si>
  <si>
    <t>Time-of-Use RPP Prices</t>
  </si>
  <si>
    <t xml:space="preserve">As of </t>
  </si>
  <si>
    <t>Off-Peak</t>
  </si>
  <si>
    <t>On-Peak</t>
  </si>
  <si>
    <t>Mid-Peak</t>
  </si>
  <si>
    <t>Energy+ Inc.</t>
  </si>
  <si>
    <t>For Former Brant County Power Service Area</t>
  </si>
  <si>
    <t>For Former Cambridge and North Dumfries Hydro Service Area</t>
  </si>
  <si>
    <t>Former Haldimand County Hydro Inc. Service Area</t>
  </si>
  <si>
    <t/>
  </si>
  <si>
    <t>Former Norfolk Power Distribution Inc. Service Area</t>
  </si>
  <si>
    <t>Former Woodstock Hydro Services Inc. Service Area</t>
  </si>
  <si>
    <t>GENERAL SERVICE 1,500 TO 4,999 KW SERVICE CLASSIFICATION</t>
  </si>
  <si>
    <t>Except for the Former Parry Sound Power Service Area</t>
  </si>
  <si>
    <t>For Former Parry Sound Power Service Area</t>
  </si>
  <si>
    <t>Customer 1</t>
  </si>
  <si>
    <t>Customer 2</t>
  </si>
  <si>
    <t>Customer 3</t>
  </si>
  <si>
    <t>Customer 4</t>
  </si>
  <si>
    <t>Customer 5</t>
  </si>
  <si>
    <t>IESOMeterCustkWh</t>
  </si>
  <si>
    <t>IESOMeterCustKW</t>
  </si>
  <si>
    <t>CANADIAN NIAGARA POWER INC._GENERAL SERVICE 50 TO 4,999 KW SERVICE CLASSIFICATION</t>
  </si>
  <si>
    <t>CANADIAN NIAGARA POWER INC._GENERAL SERVICE LESS THAN 50 KW SERVICE CLASSIFICATION</t>
  </si>
  <si>
    <t>CANADIAN NIAGARA POWER INC._RESIDENTIAL SERVICE CLASSIFICATION</t>
  </si>
  <si>
    <t>CANADIAN NIAGARA POWER INC._SENTINEL LIGHTING SERVICE CLASSIFICATION</t>
  </si>
  <si>
    <t>CANADIAN NIAGARA POWER INC._STREET LIGHTING SERVICE CLASSIFICATION</t>
  </si>
  <si>
    <t>CANADIAN NIAGARA POWER INC._UNMETERED SCATTERED LOAD SERVICE CLASSIFICATION</t>
  </si>
  <si>
    <t>ENTEGRUS POWERLINES INC._EMBEDDED DISTRIBUTOR SERVICE CLASSIFICATION</t>
  </si>
  <si>
    <t>GRIMSBY POWER INCORPORATED_EMBEDDED DISTRIBUTOR SERVICE CLASSIFICATION</t>
  </si>
  <si>
    <t>Sub-account CBR class A - Interest</t>
  </si>
  <si>
    <t>Sub-account CBR class A - Principal</t>
  </si>
  <si>
    <t>Sub-account CBR class B - Interest</t>
  </si>
  <si>
    <t>Sub-account CBR class B - Principal</t>
  </si>
  <si>
    <t>Disposition and Recovery/Refund of Regulatory Balances (2016)</t>
  </si>
  <si>
    <t>Algoma Power Inc.1595_(2016)</t>
  </si>
  <si>
    <t>Atikokan Hydro Inc.1595_(2016)</t>
  </si>
  <si>
    <t>Bluewater Power Distribution Corporation1595_(2016)</t>
  </si>
  <si>
    <t>Brantford Power Inc.1595_(2016)</t>
  </si>
  <si>
    <t>Burlington Hydro Inc.1595_(2016)</t>
  </si>
  <si>
    <t>Canadian Niagara Power Inc.1595_(2016)</t>
  </si>
  <si>
    <t>Centre Wellington Hydro Ltd.1595_(2016)</t>
  </si>
  <si>
    <t>Chapleau Public Utilities Corporation1595_(2016)</t>
  </si>
  <si>
    <t>Collus PowerStream Corp.1595_(2016)</t>
  </si>
  <si>
    <t>Cooperative Hydro Embrun Inc.1595_(2016)</t>
  </si>
  <si>
    <t>E.L.K. Energy Inc.1595_(2016)</t>
  </si>
  <si>
    <t>Entegrus Powerlines Inc.1595_(2016)</t>
  </si>
  <si>
    <t>EnWin Utilities Ltd.1595_(2016)</t>
  </si>
  <si>
    <t>Erie Thames Powerlines Corporation1595_(2016)</t>
  </si>
  <si>
    <t>Espanola Regional Hydro Distribution Corporation1595_(2016)</t>
  </si>
  <si>
    <t>Essex Powerlines Corporation1595_(2016)</t>
  </si>
  <si>
    <t>Festival Hydro Inc.1595_(2016)</t>
  </si>
  <si>
    <t>Fort Frances Power Corporation1595_(2016)</t>
  </si>
  <si>
    <t>Greater Sudbury Hydro Inc.1595_(2016)</t>
  </si>
  <si>
    <t>Grimsby Power Incorporated1595_(2016)</t>
  </si>
  <si>
    <t>Guelph Hydro Electric Systems Inc.1595_(2016)</t>
  </si>
  <si>
    <t>Halton Hills Hydro Inc.1595_(2016)</t>
  </si>
  <si>
    <t>Hydro 2000 Inc.1595_(2016)</t>
  </si>
  <si>
    <t>Hydro Hawkesbury Inc.1595_(2016)</t>
  </si>
  <si>
    <t>Hydro One Networks Inc.1595_(2016)</t>
  </si>
  <si>
    <t>Hydro One Remote Communities Inc.1595_(2016)</t>
  </si>
  <si>
    <t>Hydro Ottawa Limited1595_(2016)</t>
  </si>
  <si>
    <t>Innpower Corporation1595_(2016)</t>
  </si>
  <si>
    <t>Kenora Hydro Electric Corporation Ltd.1595_(2016)</t>
  </si>
  <si>
    <t>Kingston Hydro Corporation1595_(2016)</t>
  </si>
  <si>
    <t>Kitchener-Wilmot Hydro Inc.1595_(2016)</t>
  </si>
  <si>
    <t>Lakefront Utilities Inc.1595_(2016)</t>
  </si>
  <si>
    <t>Lakeland Power Distribution Ltd.1595_(2016)</t>
  </si>
  <si>
    <t>London Hydro Inc.1595_(2016)</t>
  </si>
  <si>
    <t>Midland Power Utility Corporation1595_(2016)</t>
  </si>
  <si>
    <t>Milton Hydro Distribution Inc.1595_(2016)</t>
  </si>
  <si>
    <t>Niagara Peninsula Energy Inc.1595_(2016)</t>
  </si>
  <si>
    <t>Niagara-on-the-Lake Hydro Inc.1595_(2016)</t>
  </si>
  <si>
    <t>North Bay Hydro Distribution Limited1595_(2016)</t>
  </si>
  <si>
    <t>Northern Ontario Wires Inc.1595_(2016)</t>
  </si>
  <si>
    <t>Oakville Hydro Electricity Distribution Inc.1595_(2016)</t>
  </si>
  <si>
    <t>Orangeville Hydro Limited1595_(2016)</t>
  </si>
  <si>
    <t>Orillia Power Distribution Corporation1595_(2016)</t>
  </si>
  <si>
    <t>Oshawa PUC Networks Inc.1595_(2016)</t>
  </si>
  <si>
    <t>Ottawa River Power Corporation1595_(2016)</t>
  </si>
  <si>
    <t>PUC Distribution Inc.1595_(2016)</t>
  </si>
  <si>
    <t>Renfrew Hydro Inc.1595_(2016)</t>
  </si>
  <si>
    <t>Rideau St. Lawrence Distribution Inc.1595_(2016)</t>
  </si>
  <si>
    <t>Sioux Lookout Hydro Inc.1595_(2016)</t>
  </si>
  <si>
    <t>St. Thomas Energy Inc.1595_(2016)</t>
  </si>
  <si>
    <t>Tillsonburg Hydro Inc.1595_(2016)</t>
  </si>
  <si>
    <t>Toronto Hydro-Electric System Limited1595_(2016)</t>
  </si>
  <si>
    <t>Veridian Connections Inc.1595_(2016)</t>
  </si>
  <si>
    <t>Wasaga Distribution Inc.1595_(2016)</t>
  </si>
  <si>
    <t>Waterloo North Hydro Inc.1595_(2016)</t>
  </si>
  <si>
    <t>Welland Hydro-Electric System Corp.1595_(2016)</t>
  </si>
  <si>
    <t>Wellington North Power Inc.1595_(2016)</t>
  </si>
  <si>
    <t>West Coast Huron Energy Inc.1595_(2016)</t>
  </si>
  <si>
    <t>Westario Power Inc.1595_(2016)</t>
  </si>
  <si>
    <t>Whitby Hydro Electric Corporation1595_(2016)</t>
  </si>
  <si>
    <t>3a</t>
  </si>
  <si>
    <t>January to June</t>
  </si>
  <si>
    <t>July to December</t>
  </si>
  <si>
    <t>Class A/B</t>
  </si>
  <si>
    <t>3b</t>
  </si>
  <si>
    <t>Customer A1</t>
  </si>
  <si>
    <t>Customer A2</t>
  </si>
  <si>
    <t>Customer 6</t>
  </si>
  <si>
    <t>Customer 7</t>
  </si>
  <si>
    <t>Customer 8</t>
  </si>
  <si>
    <t>Customer 9</t>
  </si>
  <si>
    <t>Customer 10</t>
  </si>
  <si>
    <t>Customer 11</t>
  </si>
  <si>
    <t>Customer 12</t>
  </si>
  <si>
    <t>Customer A3</t>
  </si>
  <si>
    <t>Customer A4</t>
  </si>
  <si>
    <t>Customer A5</t>
  </si>
  <si>
    <t>Customer A6</t>
  </si>
  <si>
    <t>Customer A7</t>
  </si>
  <si>
    <t>Customer A8</t>
  </si>
  <si>
    <t>Customer A9</t>
  </si>
  <si>
    <t>Customer A10</t>
  </si>
  <si>
    <t>Customer A11</t>
  </si>
  <si>
    <t>Customer A12</t>
  </si>
  <si>
    <t>GENERAL SERVICE 50 TO 4,999 KW - INTERVAL METER</t>
  </si>
  <si>
    <t>GENERAL SERVICE 50 TO 4,999 KW - THERMAL METER</t>
  </si>
  <si>
    <t>Allocation of total Non-RPP Consumption (kWh) between Current Class B and Class A/B Transition Customers</t>
  </si>
  <si>
    <t xml:space="preserve">Transition Customers' Portion of Total Consumption </t>
  </si>
  <si>
    <t>Transition Customers Portion of GA Balance</t>
  </si>
  <si>
    <t>CBR Class B Rate Rider</t>
  </si>
  <si>
    <t>Total CBR Class B $ allocated to Current Class B Customers</t>
  </si>
  <si>
    <t>Metered Consumption for Current Class B Customers (Total Consumption LESS WMP, Class A and Transition Customers' Consumption)</t>
  </si>
  <si>
    <t xml:space="preserve">Customer </t>
  </si>
  <si>
    <t>Allocation of CBR Class B Balances to Transition Customers</t>
  </si>
  <si>
    <t>E=D*C</t>
  </si>
  <si>
    <t>Transition Customers Portion of CBR Class B Balance</t>
  </si>
  <si>
    <t xml:space="preserve">Total CBR Class B Balance </t>
  </si>
  <si>
    <t>Allocation of Total CBR Class B Balance $</t>
  </si>
  <si>
    <t>Allocation of total Consumption (kWh) between Class B and Class A/B Transition Customers</t>
  </si>
  <si>
    <t>(Note: Account 1580, Sub-account CBR Class B was established starting in 2015)</t>
  </si>
  <si>
    <t>Interest Jan 1 to Dec 31, 2014</t>
  </si>
  <si>
    <t>Closing Principal Balance as of Dec 31, 2015</t>
  </si>
  <si>
    <t>Opening Interest Amounts as of Jan 1, 2015</t>
  </si>
  <si>
    <t>Closing Interest Amounts as of Dec 31, 2015</t>
  </si>
  <si>
    <t>Opening Principal Amounts as of Jan 1, 2016</t>
  </si>
  <si>
    <t>OEB-Approved Disposition during 2016</t>
  </si>
  <si>
    <t>Closing Principal Balance as of Dec 31, 2016</t>
  </si>
  <si>
    <t>Opening Interest Amounts as of Jan 1, 2016</t>
  </si>
  <si>
    <t>Interest Jan 1 to Dec 31, 2016</t>
  </si>
  <si>
    <t>Closing Interest Amounts as of Dec 31, 2016</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</si>
  <si>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</si>
  <si>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</si>
  <si>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</si>
  <si>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</si>
  <si>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</si>
  <si>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</si>
  <si>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</si>
  <si>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</si>
  <si>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</si>
  <si>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</si>
  <si>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</si>
  <si>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</si>
  <si>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</si>
  <si>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</si>
  <si>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</si>
  <si>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</si>
  <si>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</si>
  <si>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</si>
  <si>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</si>
  <si>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</si>
  <si>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</si>
  <si>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</si>
  <si>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</si>
  <si>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</si>
  <si>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Customer 37</t>
  </si>
  <si>
    <t>Customer 38</t>
  </si>
  <si>
    <t>Customer 39</t>
  </si>
  <si>
    <t>Customer 40</t>
  </si>
  <si>
    <t>Customer 41</t>
  </si>
  <si>
    <t>Customer 42</t>
  </si>
  <si>
    <t>Customer 43</t>
  </si>
  <si>
    <t>Customer 44</t>
  </si>
  <si>
    <t>Customer 45</t>
  </si>
  <si>
    <t>Customer 46</t>
  </si>
  <si>
    <t>Customer 47</t>
  </si>
  <si>
    <t>Customer 48</t>
  </si>
  <si>
    <t>Customer 49</t>
  </si>
  <si>
    <t>Customer 50</t>
  </si>
  <si>
    <t>Customer 51</t>
  </si>
  <si>
    <t>Customer 52</t>
  </si>
  <si>
    <t>Customer 53</t>
  </si>
  <si>
    <t>Customer 54</t>
  </si>
  <si>
    <t>Customer 55</t>
  </si>
  <si>
    <t>Customer 56</t>
  </si>
  <si>
    <t>Customer 57</t>
  </si>
  <si>
    <t>Customer 58</t>
  </si>
  <si>
    <t>Customer 59</t>
  </si>
  <si>
    <t>Customer 60</t>
  </si>
  <si>
    <t>Customer 61</t>
  </si>
  <si>
    <t>Customer 62</t>
  </si>
  <si>
    <t>Customer 63</t>
  </si>
  <si>
    <t>Customer 64</t>
  </si>
  <si>
    <t>Customer 65</t>
  </si>
  <si>
    <t>Customer 66</t>
  </si>
  <si>
    <t>Customer 67</t>
  </si>
  <si>
    <t>Customer 68</t>
  </si>
  <si>
    <t>Customer 69</t>
  </si>
  <si>
    <t>Customer 70</t>
  </si>
  <si>
    <t>Customer 71</t>
  </si>
  <si>
    <t>Customer 72</t>
  </si>
  <si>
    <t>Customer 73</t>
  </si>
  <si>
    <t>Customer 74</t>
  </si>
  <si>
    <t>Customer 75</t>
  </si>
  <si>
    <t>Customer 76</t>
  </si>
  <si>
    <t>Customer 77</t>
  </si>
  <si>
    <t>Customer 78</t>
  </si>
  <si>
    <t>Customer 79</t>
  </si>
  <si>
    <t>Customer 80</t>
  </si>
  <si>
    <t>Customer 81</t>
  </si>
  <si>
    <t>Customer 82</t>
  </si>
  <si>
    <t>Customer 83</t>
  </si>
  <si>
    <t>Customer 84</t>
  </si>
  <si>
    <t>Customer 85</t>
  </si>
  <si>
    <t>Customer 86</t>
  </si>
  <si>
    <t>Customer 87</t>
  </si>
  <si>
    <t>Customer 88</t>
  </si>
  <si>
    <t>Customer 89</t>
  </si>
  <si>
    <t>Customer 90</t>
  </si>
  <si>
    <t>Customer 91</t>
  </si>
  <si>
    <t>Customer 92</t>
  </si>
  <si>
    <t>Customer 93</t>
  </si>
  <si>
    <t>Customer 94</t>
  </si>
  <si>
    <t>Customer 95</t>
  </si>
  <si>
    <t>Customer 96</t>
  </si>
  <si>
    <t>Customer 97</t>
  </si>
  <si>
    <t>Customer 98</t>
  </si>
  <si>
    <t>Customer 99</t>
  </si>
  <si>
    <t>Customer 100</t>
  </si>
  <si>
    <t>Customer 101</t>
  </si>
  <si>
    <t>Customer 102</t>
  </si>
  <si>
    <t>Customer 103</t>
  </si>
  <si>
    <t>Customer 104</t>
  </si>
  <si>
    <t>Customer 105</t>
  </si>
  <si>
    <t>Customer 106</t>
  </si>
  <si>
    <t>Customer 107</t>
  </si>
  <si>
    <t>Customer 108</t>
  </si>
  <si>
    <t>Customer 109</t>
  </si>
  <si>
    <t>Customer 110</t>
  </si>
  <si>
    <t>Customer 111</t>
  </si>
  <si>
    <t>Customer 112</t>
  </si>
  <si>
    <t>Customer 113</t>
  </si>
  <si>
    <t>Customer 114</t>
  </si>
  <si>
    <t>Customer 115</t>
  </si>
  <si>
    <t>Customer 116</t>
  </si>
  <si>
    <t>Customer 117</t>
  </si>
  <si>
    <t>Customer 118</t>
  </si>
  <si>
    <t>Customer 119</t>
  </si>
  <si>
    <t>Customer 120</t>
  </si>
  <si>
    <t>Customer 121</t>
  </si>
  <si>
    <t>Customer 122</t>
  </si>
  <si>
    <t>Customer 123</t>
  </si>
  <si>
    <t>Customer 124</t>
  </si>
  <si>
    <t>Customer 125</t>
  </si>
  <si>
    <t>Customer 126</t>
  </si>
  <si>
    <t>Customer 127</t>
  </si>
  <si>
    <t>Customer 128</t>
  </si>
  <si>
    <t>Customer 129</t>
  </si>
  <si>
    <t>Customer 130</t>
  </si>
  <si>
    <t>Customer 131</t>
  </si>
  <si>
    <t>Customer 132</t>
  </si>
  <si>
    <t>Customer 133</t>
  </si>
  <si>
    <t>Customer 134</t>
  </si>
  <si>
    <t>Customer 135</t>
  </si>
  <si>
    <t>Customer 136</t>
  </si>
  <si>
    <t>Customer 137</t>
  </si>
  <si>
    <t>Customer 138</t>
  </si>
  <si>
    <t>Customer 139</t>
  </si>
  <si>
    <t>Customer 140</t>
  </si>
  <si>
    <t>Customer 141</t>
  </si>
  <si>
    <t>Customer 142</t>
  </si>
  <si>
    <t>Customer 143</t>
  </si>
  <si>
    <t>Customer 144</t>
  </si>
  <si>
    <t>Customer 145</t>
  </si>
  <si>
    <t>Customer 146</t>
  </si>
  <si>
    <t>Customer 147</t>
  </si>
  <si>
    <t>Customer 148</t>
  </si>
  <si>
    <t>Customer 149</t>
  </si>
  <si>
    <t>Customer 150</t>
  </si>
  <si>
    <t>Customer A13</t>
  </si>
  <si>
    <t>Customer A14</t>
  </si>
  <si>
    <t>Customer A15</t>
  </si>
  <si>
    <t>Customer A16</t>
  </si>
  <si>
    <t>Customer A17</t>
  </si>
  <si>
    <t>Customer A18</t>
  </si>
  <si>
    <t>Customer A19</t>
  </si>
  <si>
    <t>Customer A20</t>
  </si>
  <si>
    <t>Customer A21</t>
  </si>
  <si>
    <t>Customer A22</t>
  </si>
  <si>
    <t>Customer A23</t>
  </si>
  <si>
    <t>Customer A24</t>
  </si>
  <si>
    <t>Customer A25</t>
  </si>
  <si>
    <t>Customer A26</t>
  </si>
  <si>
    <t>Customer A27</t>
  </si>
  <si>
    <t>Customer A28</t>
  </si>
  <si>
    <t>Customer A29</t>
  </si>
  <si>
    <t>Customer A30</t>
  </si>
  <si>
    <t>Customer A31</t>
  </si>
  <si>
    <t>Customer A32</t>
  </si>
  <si>
    <t>Customer A33</t>
  </si>
  <si>
    <t>Customer A34</t>
  </si>
  <si>
    <t>Customer A35</t>
  </si>
  <si>
    <t>Customer A36</t>
  </si>
  <si>
    <t>Customer A37</t>
  </si>
  <si>
    <t>Customer A38</t>
  </si>
  <si>
    <t>Customer A39</t>
  </si>
  <si>
    <t>Customer A40</t>
  </si>
  <si>
    <t>Customer A41</t>
  </si>
  <si>
    <t>Customer A42</t>
  </si>
  <si>
    <t>Customer A43</t>
  </si>
  <si>
    <t>Customer A44</t>
  </si>
  <si>
    <t>Customer A45</t>
  </si>
  <si>
    <t>Customer A46</t>
  </si>
  <si>
    <t>Customer A47</t>
  </si>
  <si>
    <t>Customer A48</t>
  </si>
  <si>
    <t>Customer A49</t>
  </si>
  <si>
    <t>Customer A50</t>
  </si>
  <si>
    <t>Customer A51</t>
  </si>
  <si>
    <t>Customer A52</t>
  </si>
  <si>
    <t>Customer A53</t>
  </si>
  <si>
    <t>Customer A54</t>
  </si>
  <si>
    <t>Customer A55</t>
  </si>
  <si>
    <t>Customer A56</t>
  </si>
  <si>
    <t>Customer A57</t>
  </si>
  <si>
    <t>Customer A58</t>
  </si>
  <si>
    <t>Customer A59</t>
  </si>
  <si>
    <t>Customer A60</t>
  </si>
  <si>
    <t>Customer A61</t>
  </si>
  <si>
    <t>Customer A62</t>
  </si>
  <si>
    <t>Customer A63</t>
  </si>
  <si>
    <t>Customer A64</t>
  </si>
  <si>
    <t>Customer A65</t>
  </si>
  <si>
    <t>Customer A66</t>
  </si>
  <si>
    <t>Customer A67</t>
  </si>
  <si>
    <t>Customer A68</t>
  </si>
  <si>
    <t>Customer A69</t>
  </si>
  <si>
    <t>Customer A70</t>
  </si>
  <si>
    <t>Customer A71</t>
  </si>
  <si>
    <t>Customer A72</t>
  </si>
  <si>
    <t>Customer A73</t>
  </si>
  <si>
    <t>Customer A74</t>
  </si>
  <si>
    <t>Customer A75</t>
  </si>
  <si>
    <t>Customer A76</t>
  </si>
  <si>
    <t>Customer A77</t>
  </si>
  <si>
    <t>Customer A78</t>
  </si>
  <si>
    <t>Customer A79</t>
  </si>
  <si>
    <t>Customer A80</t>
  </si>
  <si>
    <t>Customer A81</t>
  </si>
  <si>
    <t>Customer A82</t>
  </si>
  <si>
    <t>Customer A83</t>
  </si>
  <si>
    <t>Customer A84</t>
  </si>
  <si>
    <t>Customer A85</t>
  </si>
  <si>
    <t>Customer A86</t>
  </si>
  <si>
    <t>Customer A87</t>
  </si>
  <si>
    <t>Customer A88</t>
  </si>
  <si>
    <t>Customer A89</t>
  </si>
  <si>
    <t>Customer A90</t>
  </si>
  <si>
    <t>Customer A91</t>
  </si>
  <si>
    <t>Customer A92</t>
  </si>
  <si>
    <t>Customer A93</t>
  </si>
  <si>
    <t>Customer A94</t>
  </si>
  <si>
    <t>Customer A95</t>
  </si>
  <si>
    <t>Customer A96</t>
  </si>
  <si>
    <t>Customer A97</t>
  </si>
  <si>
    <t>Customer A98</t>
  </si>
  <si>
    <t>Customer A99</t>
  </si>
  <si>
    <t>Customer A100</t>
  </si>
  <si>
    <t>Customer A101</t>
  </si>
  <si>
    <t>Customer A102</t>
  </si>
  <si>
    <t>Customer A103</t>
  </si>
  <si>
    <t>Customer A104</t>
  </si>
  <si>
    <t>Customer A105</t>
  </si>
  <si>
    <t>Customer A106</t>
  </si>
  <si>
    <t>Customer A107</t>
  </si>
  <si>
    <t>Customer A108</t>
  </si>
  <si>
    <t>Customer A109</t>
  </si>
  <si>
    <t>Customer A110</t>
  </si>
  <si>
    <t>Customer A111</t>
  </si>
  <si>
    <t>Customer A112</t>
  </si>
  <si>
    <t>Customer A113</t>
  </si>
  <si>
    <t>Customer A114</t>
  </si>
  <si>
    <t>Customer A115</t>
  </si>
  <si>
    <t>Customer A116</t>
  </si>
  <si>
    <t>Customer A117</t>
  </si>
  <si>
    <t>Customer A118</t>
  </si>
  <si>
    <t>Customer A119</t>
  </si>
  <si>
    <t>Customer A120</t>
  </si>
  <si>
    <t>Customer A121</t>
  </si>
  <si>
    <t>Customer A122</t>
  </si>
  <si>
    <t>Customer A123</t>
  </si>
  <si>
    <t>Customer A124</t>
  </si>
  <si>
    <t>Customer A125</t>
  </si>
  <si>
    <t>Customer A126</t>
  </si>
  <si>
    <t>Customer A127</t>
  </si>
  <si>
    <t>Customer A128</t>
  </si>
  <si>
    <t>Customer A129</t>
  </si>
  <si>
    <t>Customer A130</t>
  </si>
  <si>
    <t>Customer A131</t>
  </si>
  <si>
    <t>Customer A132</t>
  </si>
  <si>
    <t>Customer A133</t>
  </si>
  <si>
    <t>Customer A134</t>
  </si>
  <si>
    <t>Customer A135</t>
  </si>
  <si>
    <t>Customer A136</t>
  </si>
  <si>
    <t>Customer A137</t>
  </si>
  <si>
    <t>Customer A138</t>
  </si>
  <si>
    <t>Customer A139</t>
  </si>
  <si>
    <t>Customer A140</t>
  </si>
  <si>
    <t>Customer A141</t>
  </si>
  <si>
    <t>Customer A142</t>
  </si>
  <si>
    <t>Customer A143</t>
  </si>
  <si>
    <t>Customer A144</t>
  </si>
  <si>
    <t>Customer A145</t>
  </si>
  <si>
    <t>Customer A146</t>
  </si>
  <si>
    <t>Customer A147</t>
  </si>
  <si>
    <t>Customer A148</t>
  </si>
  <si>
    <t>Customer A149</t>
  </si>
  <si>
    <t>Customer A150</t>
  </si>
  <si>
    <t>6. Class A Consumption Data</t>
  </si>
  <si>
    <t>6.1 GA</t>
  </si>
  <si>
    <t>6.1a GA Allocation</t>
  </si>
  <si>
    <t>6.2 CBR B</t>
  </si>
  <si>
    <t>6.2a CBR B_Allocation</t>
  </si>
  <si>
    <t>Class A Customers - Billing Determinants by Customer</t>
  </si>
  <si>
    <t>Allocation of GA Balances to Class A/B Transition Customers</t>
  </si>
  <si>
    <t># of Class A/B Transition Customers</t>
  </si>
  <si>
    <t>CBR Class B Balance to be disposed to Current Class B Customers through Rate Rider</t>
  </si>
  <si>
    <t>GA Balance to be disposed to Current Class B Customers through Rate Rider</t>
  </si>
  <si>
    <r>
      <t xml:space="preserve">1595 Recovery Proportion (2016) </t>
    </r>
    <r>
      <rPr>
        <b/>
        <vertAlign val="superscript"/>
        <sz val="10"/>
        <rFont val="Arial"/>
        <family val="2"/>
      </rPr>
      <t>1</t>
    </r>
  </si>
  <si>
    <t>1595_(2016)</t>
  </si>
  <si>
    <t>CBR Class B Rate Riders</t>
  </si>
  <si>
    <r>
      <t>Interest Adjustments</t>
    </r>
    <r>
      <rPr>
        <b/>
        <vertAlign val="superscript"/>
        <sz val="10"/>
        <rFont val="Book Antiqua"/>
        <family val="1"/>
      </rPr>
      <t>1</t>
    </r>
    <r>
      <rPr>
        <b/>
        <sz val="10"/>
        <rFont val="Book Antiqua"/>
        <family val="1"/>
      </rPr>
      <t xml:space="preserve"> during 2012</t>
    </r>
  </si>
  <si>
    <r>
      <t>Principal Adjustments</t>
    </r>
    <r>
      <rPr>
        <b/>
        <vertAlign val="superscript"/>
        <sz val="10"/>
        <rFont val="Book Antiqua"/>
        <family val="1"/>
      </rPr>
      <t>1</t>
    </r>
    <r>
      <rPr>
        <b/>
        <sz val="10"/>
        <rFont val="Book Antiqua"/>
        <family val="1"/>
      </rPr>
      <t xml:space="preserve"> during 2013</t>
    </r>
  </si>
  <si>
    <r>
      <t>Interest Adjustments</t>
    </r>
    <r>
      <rPr>
        <b/>
        <vertAlign val="superscript"/>
        <sz val="10"/>
        <rFont val="Book Antiqua"/>
        <family val="1"/>
      </rPr>
      <t>1</t>
    </r>
    <r>
      <rPr>
        <b/>
        <sz val="10"/>
        <rFont val="Book Antiqua"/>
        <family val="1"/>
      </rPr>
      <t xml:space="preserve"> during 2013</t>
    </r>
  </si>
  <si>
    <r>
      <t>Principal Adjustments</t>
    </r>
    <r>
      <rPr>
        <b/>
        <vertAlign val="superscript"/>
        <sz val="10"/>
        <rFont val="Book Antiqua"/>
        <family val="1"/>
      </rPr>
      <t>1</t>
    </r>
    <r>
      <rPr>
        <b/>
        <sz val="10"/>
        <rFont val="Book Antiqua"/>
        <family val="1"/>
      </rPr>
      <t xml:space="preserve"> during 2014</t>
    </r>
  </si>
  <si>
    <r>
      <t>Interest Adjustments</t>
    </r>
    <r>
      <rPr>
        <b/>
        <vertAlign val="superscript"/>
        <sz val="10"/>
        <rFont val="Book Antiqua"/>
        <family val="1"/>
      </rPr>
      <t>1</t>
    </r>
    <r>
      <rPr>
        <b/>
        <sz val="10"/>
        <rFont val="Book Antiqua"/>
        <family val="1"/>
      </rPr>
      <t xml:space="preserve"> during 2014</t>
    </r>
  </si>
  <si>
    <r>
      <t>Principal Adjustments</t>
    </r>
    <r>
      <rPr>
        <b/>
        <vertAlign val="superscript"/>
        <sz val="10"/>
        <rFont val="Book Antiqua"/>
        <family val="1"/>
      </rPr>
      <t>1</t>
    </r>
    <r>
      <rPr>
        <b/>
        <sz val="10"/>
        <rFont val="Book Antiqua"/>
        <family val="1"/>
      </rPr>
      <t xml:space="preserve"> during 2015</t>
    </r>
  </si>
  <si>
    <r>
      <t xml:space="preserve">Metered </t>
    </r>
    <r>
      <rPr>
        <b/>
        <sz val="10"/>
        <color rgb="FFFF0000"/>
        <rFont val="Arial"/>
        <family val="2"/>
      </rPr>
      <t>kWh</t>
    </r>
    <r>
      <rPr>
        <b/>
        <sz val="10"/>
        <rFont val="Arial"/>
        <family val="2"/>
      </rPr>
      <t xml:space="preserve"> for Non-RPP Customers (excluding WMP)</t>
    </r>
  </si>
  <si>
    <r>
      <t xml:space="preserve">Metered </t>
    </r>
    <r>
      <rPr>
        <b/>
        <sz val="10"/>
        <color rgb="FFFF0000"/>
        <rFont val="Arial"/>
        <family val="2"/>
      </rPr>
      <t>kW</t>
    </r>
    <r>
      <rPr>
        <b/>
        <sz val="10"/>
        <rFont val="Arial"/>
        <family val="2"/>
      </rPr>
      <t xml:space="preserve"> for Non-RPP Customers (excluding WMP)</t>
    </r>
  </si>
  <si>
    <t>Re-based Service Charge</t>
  </si>
  <si>
    <t>NEWMARKET - TAY POWER DISTRIBUTION LTD._GENERAL SERVICE 50 TO 4,999 KW - INTERVAL METER SERVICE CLASSIFICATION</t>
  </si>
  <si>
    <t>NEWMARKET - TAY POWER DISTRIBUTION LTD._GENERAL SERVICE 50 TO 4,999 KW - THERMAL METER SERVICE CLASSIFICATION</t>
  </si>
  <si>
    <t>NEWMARKET - TAY POWER DISTRIBUTION LTD._GENERAL SERVICE LESS THAN 50 KW SERVICE CLASSIFICATION</t>
  </si>
  <si>
    <t>NEWMARKET - TAY POWER DISTRIBUTION LTD._RESIDENTIAL SERVICE CLASSIFICATION</t>
  </si>
  <si>
    <t>NEWMARKET - TAY POWER DISTRIBUTION LTD._SENTINEL LIGHTING SERVICE CLASSIFICATION</t>
  </si>
  <si>
    <t>NEWMARKET - TAY POWER DISTRIBUTION LTD._STREET LIGHTING SERVICE CLASSIFICATION</t>
  </si>
  <si>
    <t>VERIDIAN CONNECTIONS INC._SEASONAL RESIDENTIAL SERVICE CLASSIFICATION</t>
  </si>
  <si>
    <t>2a</t>
  </si>
  <si>
    <t>2b</t>
  </si>
  <si>
    <t>8% Rebate</t>
  </si>
  <si>
    <t>Enter the number of transition customers you had during the period the Account 1589 GA balance accumulated.</t>
  </si>
  <si>
    <t>Enter the number of customers who were Class A during the entire period since the Account 1589 GA balance accumulated (i.e. did not transition between Class A and B).</t>
  </si>
  <si>
    <t>Years since Account 1589 GA  balance was last disposed (up to 2016)</t>
  </si>
  <si>
    <t xml:space="preserve">The purpose of this tab is to calculate the CBR rate riders for all current Class B customers who did not transition between Class A and B in the period since the Account 1580, sub-account CBR Class B balance accumulated.
</t>
  </si>
  <si>
    <t>Non-RPP Metered Consumption for Current Class B Customers (Non-RPP Consumption excluding WMP, Class A and Transition Customers' Consumption)</t>
  </si>
  <si>
    <t>Legend</t>
  </si>
  <si>
    <t>Instructions for Tabs 3 to 7</t>
  </si>
  <si>
    <t>Tab</t>
  </si>
  <si>
    <t xml:space="preserve">Step </t>
  </si>
  <si>
    <t>Details</t>
  </si>
  <si>
    <t>3 - Continuity Schedule</t>
  </si>
  <si>
    <t>Complete the DVA continuity schedule.</t>
  </si>
  <si>
    <t>4 - Billing Determinant</t>
  </si>
  <si>
    <t>6 - Class A Data Consumption</t>
  </si>
  <si>
    <t>Under #2b, indicate whether you had any customers that transitioned between Class A and B during the period the Account 1580, sub-account CBR Class B balance accumulated.</t>
  </si>
  <si>
    <t>6.1a - GA Allocation</t>
  </si>
  <si>
    <r>
      <t>In row 20, enter the total Class B consumption which equals to Non-RPP consumption</t>
    </r>
    <r>
      <rPr>
        <sz val="11"/>
        <rFont val="Calibri"/>
        <family val="2"/>
        <scheme val="minor"/>
      </rPr>
      <t xml:space="preserve"> less </t>
    </r>
    <r>
      <rPr>
        <sz val="11"/>
        <color theme="1"/>
        <rFont val="Calibri"/>
        <family val="2"/>
        <scheme val="minor"/>
      </rPr>
      <t xml:space="preserve">WMP consumption </t>
    </r>
    <r>
      <rPr>
        <sz val="11"/>
        <rFont val="Calibri"/>
        <family val="2"/>
        <scheme val="minor"/>
      </rPr>
      <t>and cons</t>
    </r>
    <r>
      <rPr>
        <sz val="11"/>
        <color theme="1"/>
        <rFont val="Calibri"/>
        <family val="2"/>
        <scheme val="minor"/>
      </rPr>
      <t>umption for Class A customers (who were Class A for partial and full year).</t>
    </r>
  </si>
  <si>
    <t>6.1 - GA</t>
  </si>
  <si>
    <t>Enter the proposed rate rider recovery period if different than the default 12 month period. The rest of the information in the tab is auto-populated and the GA rate riders are calculated accordingly based on whether there were any transition customers during the period that the GA balance accumulated.</t>
  </si>
  <si>
    <t xml:space="preserve">6.2 - CBR </t>
  </si>
  <si>
    <t>This tab is generated when  the utility checks in tab 3 that they have Class A customers during the period that Account 1580, sub-account CBR Class B balance accumulated.</t>
  </si>
  <si>
    <t>6.2a - CBR_B Allocation</t>
  </si>
  <si>
    <t>This tab is generated when the utility indicates that they have transition customers in tab 6, #2b during the period where the CBR Class B balance accumulated.</t>
  </si>
  <si>
    <t>In row 20, enter the total Class B consumption which equals to total consumption less WMP consumption and consumption for Class A customers (who were Class A for partial and full year).</t>
  </si>
  <si>
    <t>7 - Calculation of Def-Var RR</t>
  </si>
  <si>
    <t>Enter the proposed rate rider recovery period if different than the default 12 month period. The rest of the information in the tab is auto-populated and the rate riders are calculated accordingly .</t>
  </si>
  <si>
    <t>RESIDENTIAL R1 SERVICE CLASSIFICATION</t>
  </si>
  <si>
    <t>RESIDENTIAL R2 SERVICE CLASSIFICATION</t>
  </si>
  <si>
    <t>ALGOMA POWER INC._RESIDENTIAL R2 SERVICE CLASSIFICATION</t>
  </si>
  <si>
    <t>ALGOMA POWER INC._RESIDENTIAL R1 SERVICE CLASSIFICATION</t>
  </si>
  <si>
    <t>HEARST POWER DISTRIBUTION COMPANY LTD._GENERAL SERVICE 50 TO 1,499 KW SERVICE CLASSIFICATION</t>
  </si>
  <si>
    <t>HEARST POWER DISTRIBUTION COMPANY LTD._GENERAL SERVICE LESS THAN 50 KW SERVICE CLASSIFICATION</t>
  </si>
  <si>
    <t>HEARST POWER DISTRIBUTION COMPANY LTD._RESIDENTIAL SERVICE CLASSIFICATION</t>
  </si>
  <si>
    <t>HEARST POWER DISTRIBUTION COMPANY LTD._SENTINEL LIGHTING SERVICE CLASSIFICATION</t>
  </si>
  <si>
    <t>HEARST POWER DISTRIBUTION COMPANY LTD._STREET LIGHTING SERVICE CLASSIFICATION</t>
  </si>
  <si>
    <t>Tab Details</t>
  </si>
  <si>
    <t>This tab shows the billing determinants that will be used to allocate account balances and calculate rate riders.</t>
  </si>
  <si>
    <t>Confirm the accuracy of the RRR data used to populate the tab.</t>
  </si>
  <si>
    <t xml:space="preserve">This tab is generated when the utility checks in tab 3 that they have Class A customers during the period that GA balance accumulated. </t>
  </si>
  <si>
    <t xml:space="preserve">Under #2a, indicate whether you had any customers that transitioned between Class A and B  during the period the Account 1589 GA balance accumulated. </t>
  </si>
  <si>
    <t>This tab calculates the GA rate rider to be applied to all non-RPP Class B customers (except for the transition customers allocated a customer specific balance in tab 6.1a).</t>
  </si>
  <si>
    <t>This is a new tab that calculates the CBR Class B rate rider if there were Class A customers  at any point during the period that the CBR Class B balance accumulated.</t>
  </si>
  <si>
    <t>5 - Allocating Def-Var Balances</t>
  </si>
  <si>
    <t>This tab allocates the Group 1 balances (except GA and CBR Class B if Class A customers exist).</t>
  </si>
  <si>
    <t>This tab calculates the Group 1 rate riders, except for GA and CBR Class B (if Class A customers exist)</t>
  </si>
  <si>
    <t>Add additional scenarios if required</t>
  </si>
  <si>
    <t>If the checkbox is not checked off, then proceed to tab 4 and complete the tab as needed. Tab 5 will be calculated accordingly. Then proceed to tabs 6.1 and 7, complete the tabs as needed and the appropriate rate riders will be calculated.</t>
  </si>
  <si>
    <t>If the checkbox is not checked off, then the balance in the Account 1580, sub-account CBR Class B will be allocated and disposed with Account 1580 WMS, as part of the general DVA rate rider.</t>
  </si>
  <si>
    <t>The rest of the information in this tab will be auto-populated and will calculate the customer specific allocation of the GA balance to transition customers in the bottom table. All transition customers who are allocated a specific GA amount are not to be charged the general Non-RPP Class B GA rate rider as calculated in tab 6.1.</t>
  </si>
  <si>
    <t>This tab allocates the GA balance to transition customers (i.e Class A customers who were former Class B customers and Class B customers who were former Class A customers) who contributed to the current GA balance. The tables below calculate specific amounts for each customer who made the change. The general GA rate rider to non-RPP customers is not to be charged to the transition customers that are allocated amounts in the table below. Consistent with prior decisions, distributors are generally expected to settle the amount through 12 equal adjustments to bills.</t>
  </si>
  <si>
    <t>This tab allocates the CBR Class B balance to transition customers (i.e Class A customers who were former Class B customers and Class B customers who were former Class A customers) who contributed to the current CBR Class B balance. The tables below calculate specific amounts for each customer who made the change. The general CBR Class B rate rider is not to be charged to the transition customers that are allocated amounts in the table below. Consistent with prior decisions, distributors are generally expected to settle the amount through 12 equal adjustments to bills.</t>
  </si>
  <si>
    <t>This tab is the continuity schedule that shows  all the accounts and the accumulation of the balances a utility has.</t>
  </si>
  <si>
    <t>If the checkbox is checked off, tab 6 relating to Class A customer consumption will be generated, see step 5 to 8 below for further details.</t>
  </si>
  <si>
    <t>If the checkbox is checked off, then tab 6.2  will be generated. This tab will allocate and dispose the balance in Account 1580 sub-account CBR Class B  through a separate rate rider using information inputted in tab 6. See step 11 below for further details.</t>
  </si>
  <si>
    <t>Review the disposition threshold calculation. If the threshold disposition is not met, select whether disposition is still being requested or not in the drop down box.</t>
  </si>
  <si>
    <t>This is a new tab that is to be completed if there were any Class A customers at any point during the period the GA balance accumulated. The tab also considers Class A/B transition customers. The data on this tab is used for the purposes of determining the GA rate rider, CBR Class B rate rider (if applcable), as well as customer specific GA and CBR charges for transition customers (if applicable).</t>
  </si>
  <si>
    <t>Under #1, enter  the year the Account 1589 GA balance was last disposed.</t>
  </si>
  <si>
    <t>If no, proceed to #3b in step 8.</t>
  </si>
  <si>
    <t>If yes, #2b and tab 6.1a will be generated.  Proceed to #2b.</t>
  </si>
  <si>
    <t>If no, proceed to #3a in step 7.</t>
  </si>
  <si>
    <t>If yes, tab 6.2a will be generated. Proceed to #3a in step 7.</t>
  </si>
  <si>
    <t>Under #3a, enter the number of transition customers during the period  the Account 1589 GA balance accumulated.  A table will be generated based on the number of customers. Complete the table accordingly for each transition customer identified (i.e. kWh/kW for half year periods, and the customer class during the half year). This data will automatically be used in the GA balance and CBR Class B balance allocation to transition customers in tabs 6.1a and 6.2a respectively. Each transition customer identified in tab 6, table 3a will assigned a customer number and the number will correspond to the same transition customer populated in tabs 6.1a and 6.2a.  The data in tab 6 will also be used in the calculation of billing determinants in the allocation of GA and CBR Class B balances to the rate classes, as applicable.</t>
  </si>
  <si>
    <t>Under #3b, enter the number of customers who were Class A customers during the entire period the Account 1589 GA balance accumulated (i.e. did not transition between Class A and B during the period). A table will be generated based on the number of customers. Complete the table accordingly for each Class A customer identified. This data will be used in the calculation of billing determinants in the allocation of GA and CBR Class B balances to the rate classes, as applicable.</t>
  </si>
  <si>
    <t xml:space="preserve">This tab has been revised. It allocates the GA balance to each transition customer for the period in which these customers were Class B customers and contributed to the GA balance (i.e. former Class B customers who contributed to the GA balance but are now Class A customers and former Class A customers who are now Class B customers contributing to the GA balance). </t>
  </si>
  <si>
    <t>This tab is generated when the utility indicates that they have transition customers in tab 6, #2a during the period where the Account 1589 GA balance accumulated.</t>
  </si>
  <si>
    <t xml:space="preserve">The rest of the information in the tab is auto-populated and the CBR Class B rate riders are calculated accordingly based on whether there were any transition customers during the period that the CBR Class B balance accumulated. </t>
  </si>
  <si>
    <t xml:space="preserve">This is a new tab that allocates the CBR Class B balance to each transition customer for the period in which these customers were Class B customers and contributed to the CBR Class B balance (i.e. former Class B customers who contributed to the balance but are now Class A customers and former Class A customers who are now Class B contributing to the balance). </t>
  </si>
  <si>
    <t>The rest of the information in this tab will be auto-populated and will calculate the customer specific allocation of the CBR Class B balance to transition customers in the bottom table. Note that the transition customers identified for the GA may be different than the transition customers for CBR Class B as this would depend on the period in which the GA and CBR Class B balances accumulated. All transition customers who are allocated a specific CBR Class B amount are not to be charged the general CBR Class B rate rider.</t>
  </si>
  <si>
    <t>Review the allocated balances to ensure the allocation is appropriate. Note that the final allocation for Account 1580, sub-account CBR Class B is calculated after the completion of tabs 6 to 6.2a.</t>
  </si>
  <si>
    <t>HEARST POWER DISTRIBUTION COMPANY LTD.</t>
  </si>
  <si>
    <t>HYDRO 2000 INC.</t>
  </si>
  <si>
    <t>HYDRO 2000 INC._GENERAL SERVICE 50 TO 4,999 KW SERVICE CLASSIFICATION</t>
  </si>
  <si>
    <t>HYDRO 2000 INC._GENERAL SERVICE LESS THAN 50 KW SERVICE CLASSIFICATION</t>
  </si>
  <si>
    <t>HYDRO 2000 INC._RESIDENTIAL SERVICE CLASSIFICATION</t>
  </si>
  <si>
    <t>HYDRO 2000 INC._STREET LIGHTING SERVICE CLASSIFICATION</t>
  </si>
  <si>
    <t>HYDRO 2000 INC._UNMETERED SCATTERED LOAD SERVICE CLASSIFICATION</t>
  </si>
  <si>
    <t>NEWMARKET - TAY POWER DISTRIBUTION LTD.</t>
  </si>
  <si>
    <t>THUNDER BAY HYDRO ELECTRICITY DISTRIBUTION INC.</t>
  </si>
  <si>
    <t>THUNDER BAY HYDRO ELECTRICITY DISTRIBUTION INC._GENERAL SERVICE 1,000 TO 4,999 KW SERVICE CLASSIFICATION</t>
  </si>
  <si>
    <t>THUNDER BAY HYDRO ELECTRICITY DISTRIBUTION INC._GENERAL SERVICE 50 TO 999 KW SERVICE CLASSIFICATION</t>
  </si>
  <si>
    <t>THUNDER BAY HYDRO ELECTRICITY DISTRIBUTION INC._GENERAL SERVICE LESS THAN 50 KW SERVICE CLASSIFICATION</t>
  </si>
  <si>
    <t>THUNDER BAY HYDRO ELECTRICITY DISTRIBUTION INC._RESIDENTIAL SERVICE CLASSIFICATION</t>
  </si>
  <si>
    <t>THUNDER BAY HYDRO ELECTRICITY DISTRIBUTION INC._SENTINEL LIGHTING SERVICE CLASSIFICATION</t>
  </si>
  <si>
    <t>THUNDER BAY HYDRO ELECTRICITY DISTRIBUTION INC._STREET LIGHTING SERVICE CLASSIFICATION</t>
  </si>
  <si>
    <t>THUNDER BAY HYDRO ELECTRICITY DISTRIBUTION INC._UNMETERED SCATTERED LOAD SERVICE CLASSIFICATION</t>
  </si>
  <si>
    <t>TORONTO HYDRO-ELECTRIC SYSTEM LIMITED_COMPETITIVE SECTOR MULTI-UNIT Residential SERVICE CLASSIFICATION</t>
  </si>
  <si>
    <t>1550</t>
  </si>
  <si>
    <t>1551</t>
  </si>
  <si>
    <t>1568</t>
  </si>
  <si>
    <t>1580</t>
  </si>
  <si>
    <t>1584</t>
  </si>
  <si>
    <t>1586</t>
  </si>
  <si>
    <t>1588</t>
  </si>
  <si>
    <t>1589</t>
  </si>
  <si>
    <t>1595</t>
  </si>
  <si>
    <t>Thunder Bay Hydro Electricity Distribution Inc.1550</t>
  </si>
  <si>
    <t>Thunder Bay Hydro Electricity Distribution Inc.1551</t>
  </si>
  <si>
    <t>Thunder Bay Hydro Electricity Distribution Inc.1568</t>
  </si>
  <si>
    <t>Thunder Bay Hydro Electricity Distribution Inc.1580</t>
  </si>
  <si>
    <t>Thunder Bay Hydro Electricity Distribution Inc.1584</t>
  </si>
  <si>
    <t>Thunder Bay Hydro Electricity Distribution Inc.1586</t>
  </si>
  <si>
    <t>Thunder Bay Hydro Electricity Distribution Inc.1588</t>
  </si>
  <si>
    <t>Thunder Bay Hydro Electricity Distribution Inc.1589</t>
  </si>
  <si>
    <t>Thunder Bay Hydro Electricity Distribution Inc.1595_(2008)</t>
  </si>
  <si>
    <t>Thunder Bay Hydro Electricity Distribution Inc.1595_(2009)</t>
  </si>
  <si>
    <t>Thunder Bay Hydro Electricity Distribution Inc.1595_(2010)</t>
  </si>
  <si>
    <t>Thunder Bay Hydro Electricity Distribution Inc.1595_(2011)</t>
  </si>
  <si>
    <t>Thunder Bay Hydro Electricity Distribution Inc.1595_(2012)</t>
  </si>
  <si>
    <t>Thunder Bay Hydro Electricity Distribution Inc.1595_(2013)</t>
  </si>
  <si>
    <t>Thunder Bay Hydro Electricity Distribution Inc.1595_(2014)</t>
  </si>
  <si>
    <t>Thunder Bay Hydro Electricity Distribution Inc.1595_(2015)</t>
  </si>
  <si>
    <t>Thunder Bay Hydro Electricity Distribution Inc.1595_(2016)</t>
  </si>
  <si>
    <t>Thunder Bay Hydro Electricity Distribution Inc.1595_ControlAccount</t>
  </si>
  <si>
    <t>The individual sub-accounts as well as the total for all Account 1595 sub-accounts is to agree to the RRR data.  Differences need to be explained. For each Account 1595 sub-account, the transfer of the balance approved for disposition into Account 1595 is to be recorded in "OEB Approved Disposition" column. The recovery/refund is to be recorded in the "Transaction" column. The audited balance in the account is only to be disposed a year after the recovery/refund period has been completed. Generally, no further transactions would be expected to flow through the account after that. Any vintage year of Account 1595 is only to be disposed once on a final basis. No further dispositions of these accounts are generally expected thereafter, unless justified by the distributor.
Select the "Check to dispose of account" checkbox in column BT if the sub-account is requested for disposition.</t>
  </si>
  <si>
    <r>
      <t>RSVA - Wholesale Market Service Charge</t>
    </r>
    <r>
      <rPr>
        <vertAlign val="superscript"/>
        <sz val="11"/>
        <rFont val="Arial"/>
        <family val="2"/>
      </rPr>
      <t>5</t>
    </r>
  </si>
  <si>
    <r>
      <t>Variance WMS – Sub-account CBR Class A</t>
    </r>
    <r>
      <rPr>
        <vertAlign val="superscript"/>
        <sz val="11"/>
        <rFont val="Arial"/>
        <family val="2"/>
      </rPr>
      <t>5</t>
    </r>
  </si>
  <si>
    <r>
      <t>Variance WMS – Sub-account CBR Class B</t>
    </r>
    <r>
      <rPr>
        <vertAlign val="superscript"/>
        <sz val="11"/>
        <rFont val="Arial"/>
        <family val="2"/>
      </rPr>
      <t>5</t>
    </r>
  </si>
  <si>
    <r>
      <t>RSVA - Power</t>
    </r>
    <r>
      <rPr>
        <vertAlign val="superscript"/>
        <sz val="11"/>
        <rFont val="Arial"/>
        <family val="2"/>
      </rPr>
      <t>4</t>
    </r>
  </si>
  <si>
    <r>
      <t>RSVA - Global Adjustment</t>
    </r>
    <r>
      <rPr>
        <vertAlign val="superscript"/>
        <sz val="11"/>
        <rFont val="Arial"/>
        <family val="2"/>
      </rPr>
      <t>4</t>
    </r>
  </si>
  <si>
    <r>
      <t>Disposition and Recovery/Refund of Regulatory Balances (2009)</t>
    </r>
    <r>
      <rPr>
        <vertAlign val="superscript"/>
        <sz val="11"/>
        <rFont val="Arial"/>
        <family val="2"/>
      </rPr>
      <t>3</t>
    </r>
  </si>
  <si>
    <r>
      <t>Disposition and Recovery/Refund of Regulatory Balances (2012)</t>
    </r>
    <r>
      <rPr>
        <vertAlign val="superscript"/>
        <sz val="11"/>
        <rFont val="Arial"/>
        <family val="2"/>
      </rPr>
      <t>3</t>
    </r>
  </si>
  <si>
    <r>
      <t>Disposition and Recovery/Refund of Regulatory Balances (2013)</t>
    </r>
    <r>
      <rPr>
        <vertAlign val="superscript"/>
        <sz val="11"/>
        <rFont val="Arial"/>
        <family val="2"/>
      </rPr>
      <t>3</t>
    </r>
  </si>
  <si>
    <r>
      <t>Disposition and Recovery/Refund of Regulatory Balances (2014)</t>
    </r>
    <r>
      <rPr>
        <vertAlign val="superscript"/>
        <sz val="11"/>
        <rFont val="Arial"/>
        <family val="2"/>
      </rPr>
      <t>3</t>
    </r>
  </si>
  <si>
    <r>
      <t>Disposition and Recovery/Refund of Regulatory Balances (2015)</t>
    </r>
    <r>
      <rPr>
        <vertAlign val="superscript"/>
        <sz val="11"/>
        <rFont val="Arial"/>
        <family val="2"/>
      </rPr>
      <t>3</t>
    </r>
  </si>
  <si>
    <t>Transition Customers - Non-loss Adjusted Billing Determinants by Customer</t>
  </si>
  <si>
    <t>The purpose of this tab is to calculate the GA rate riders for all current Class B customers who did not transition between Class A and B in the period since the Account 1589 GA was last disposed. Calculations in this tab will be modified upon completion of tab 6.1a, which allocates a portion of the GA balance to transition customers, if applicable.
Effective January 2017, the billing determinant and all rate riders for the disposition of GA balances will be calculated on an energy basis (kWhs) regardless of the billing determinant used for distribution rates for the particular class (see Chapter 3, Filing Requirements, section 3.2.5.2)</t>
  </si>
  <si>
    <r>
      <t xml:space="preserve">The bill comparisons below must be provided for typical customers and consumption levels. Bill impacts must be provided for residential customers consuming 750 kWh per month and general service customers consuming 2,000 kWh per month and having a monthly demand of less than 50 kW. Include bill comparisons for Non-RPP (retailer) as well. </t>
    </r>
    <r>
      <rPr>
        <b/>
        <sz val="9.3000000000000007"/>
        <rFont val="Arial"/>
        <family val="2"/>
      </rPr>
      <t>To assess the combined effects of the shift to fixed rates and other bill impacts associated with changes in the cost of distribution service, applicants are to include a total bill impact for a residential customer at the distributor’s 10th consumption percentile (In other words, 10% of a distributor’s residential customers consume at or less than this level of consumption on a monthly basis). Refer to section 3.2.3 of the Chapter 3 Filing Requirements For Electricity Distribution Rate Applications.</t>
    </r>
    <r>
      <rPr>
        <sz val="9.3000000000000007"/>
        <rFont val="Arial"/>
        <family val="2"/>
      </rPr>
      <t xml:space="preserve">
For certain classes where one or more customers have unique consumption and demand patterns and which may be significantly impacted by the proposed rate changes, the distributor must show a typical comparison, and provide an explanation.
Note:  
1. For those classes that are not eligible for the RPP price, the weighted average price including Class B GA through end of May 2017 of $0.1101/kWh (IESO's Monthly Market Report for May 2017, page 22) has been used to represent the cost of power. For those classes on a retailer contract, applicants should enter the contract price (plus GA) for a more accurate estimate. Changes to the cost of power can be made directly on the bill impact table for the specific class.
2. Please enter the applicable billing determinant (e.g. number of connections or devices) to be applied to the monthly service charge for unmetered rate classes in column N. If the monthly service charge is applied on a per customer basis, enter the number “1”. Distributors should provide the number of connections or devices reflective of a typical customer in each class.</t>
    </r>
  </si>
  <si>
    <t>Total Connection</t>
  </si>
  <si>
    <t xml:space="preserve">$ </t>
  </si>
  <si>
    <t>H</t>
  </si>
  <si>
    <t>I</t>
  </si>
  <si>
    <t>J</t>
  </si>
  <si>
    <t>K</t>
  </si>
  <si>
    <t>L</t>
  </si>
  <si>
    <t>M</t>
  </si>
  <si>
    <t>N</t>
  </si>
  <si>
    <t>O</t>
  </si>
  <si>
    <t>P</t>
  </si>
  <si>
    <t>Q</t>
  </si>
  <si>
    <t>R</t>
  </si>
  <si>
    <t>S</t>
  </si>
  <si>
    <t>T</t>
  </si>
  <si>
    <t>U</t>
  </si>
  <si>
    <t>V</t>
  </si>
  <si>
    <t>W</t>
  </si>
  <si>
    <t>EFF_DATE</t>
  </si>
  <si>
    <t>Algoma Power Inc._Start</t>
  </si>
  <si>
    <t>IMP_DATE</t>
  </si>
  <si>
    <t>TARIFF OF RATES AND CHARGES</t>
  </si>
  <si>
    <t>EBNUMBER</t>
  </si>
  <si>
    <t>NUMBER OF RATE CLASSES</t>
  </si>
  <si>
    <t>This schedule supersedes and replaces all previously</t>
  </si>
  <si>
    <t>approved schedules of Rates, Charges and Loss Factors</t>
  </si>
  <si>
    <t>1_RESIDENTIAL R1 SERVICE CLASSIFICATION</t>
  </si>
  <si>
    <t xml:space="preserve">For the purposes of rates and charges, a residential service is defined in two ways:
i) a dwelling occupied as a residence continuously for at least eight months of the year and, where the residential premises is located on a farm, includes other farm premises associated with the residential electricity meter, and
ii) consumers who are treated as residential-rate class customers under Ontario Regulation 445/07 (Reclassifying Certain Classes of Consumers as Residential-Rate Class Customers: Section 78 of the Ontario Energy Board Act, 1998) made under the Ontario Energy Board Act, 1998.
</t>
  </si>
  <si>
    <t xml:space="preserve">This application refers to a Residential service with a demand of less then, or is forecast to be less than, 50 kilowatts, and which is billed on an energy basis. Class B consumers are defined in accordance with 0. Reg. 429/04. Futher servicing details are available in the distributor's Condition of Service. </t>
  </si>
  <si>
    <t>APPLICATION</t>
  </si>
  <si>
    <t>1_APPLICATION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</si>
  <si>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</si>
  <si>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</si>
  <si>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</si>
  <si>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</si>
  <si>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MONTHLY RATES AND CHARGES - Delivery Component</t>
  </si>
  <si>
    <t>1_MRC_Del</t>
  </si>
  <si>
    <t>Service Charge - Applicable only to customers that meet criteria (i) above</t>
  </si>
  <si>
    <t>1_RESIDENTIAL R1 SERVICE CLASSIFICATION_MSC</t>
  </si>
  <si>
    <t>Service Charge - Applicable only to customers that meet criteria (ii) above</t>
  </si>
  <si>
    <t>1_RESIDENTIAL R1 SERVICE CLASSIFICATION_SME</t>
  </si>
  <si>
    <t>Distribution Volumetric Rate - Applicable only to customers that meet criteria (i) above</t>
  </si>
  <si>
    <t>1_RESIDENTIAL R1 SERVICE CLASSIFICATION_DVC</t>
  </si>
  <si>
    <t>Distribution Volumetric Rate - Applicable only to customers that meet criteria (ii) above</t>
  </si>
  <si>
    <t>1_RESIDENTIAL R1 SERVICE CLASSIFICATION_DEFVAR_ALL</t>
  </si>
  <si>
    <t>1_RESIDENTIAL R1 SERVICE CLASSIFICATION_GA_kwh</t>
  </si>
  <si>
    <t xml:space="preserve">Rate Rider for Disposition of Accounts 1575 &amp; 1576 - effective until December 31, 2019
</t>
  </si>
  <si>
    <t>MONTHLY RATES AND CHARGES - Regulatory Component</t>
  </si>
  <si>
    <t>1_MRC_Reg</t>
  </si>
  <si>
    <t>1_RESIDENTIAL R1 SERVICE CLASSIFICATION_WMSR</t>
  </si>
  <si>
    <t>1_RESIDENTIAL R1 SERVICE CLASSIFICATION_RRRP</t>
  </si>
  <si>
    <t>1_RESIDENTIAL R1 SERVICE CLASSIFICATION_SSS</t>
  </si>
  <si>
    <t>2_RESIDENTIAL R2 SERVICE CLASSIFICATION</t>
  </si>
  <si>
    <t>This classification refers to a Residential service with a demand equal to or greater than, or is forecast to be equal to or greater than, 50 kilowatts, and which is billed on a demand basis.  Class A and Class B consumers are defined in accordance with 0. Reg. 429/04. Further servicing details are available in the distributor’s Conditions of Service.</t>
  </si>
  <si>
    <t>2_APPLICATION</t>
  </si>
  <si>
    <t>2_MRC_Del</t>
  </si>
  <si>
    <t>2_RESIDENTIAL R2 SERVICE CLASSIFICATION_MSC</t>
  </si>
  <si>
    <t>2_RESIDENTIAL R2 SERVICE CLASSIFICATION_DVC</t>
  </si>
  <si>
    <t>2_RESIDENTIAL R2 SERVICE CLASSIFICATION_DEFVAR_ALL</t>
  </si>
  <si>
    <t>2_RESIDENTIAL R2 SERVICE CLASSIFICATION_GA_kwh</t>
  </si>
  <si>
    <t>Rate Rider for Disposition of Accounts 1575 &amp; 1576 - effective until December 31, 2019</t>
  </si>
  <si>
    <t>2_MRC_Reg</t>
  </si>
  <si>
    <t>2_RESIDENTIAL R2 SERVICE CLASSIFICATION_WMSR</t>
  </si>
  <si>
    <t>2_RESIDENTIAL R2 SERVICE CLASSIFICATION_RRRP</t>
  </si>
  <si>
    <t>2_RESIDENTIAL R2 SERVICE CLASSIFICATION_SSS</t>
  </si>
  <si>
    <t>In addition to the charges specified on page 1 of this tariff of rates and charges, the following credits are to be applied to eligible residential customers.</t>
  </si>
  <si>
    <t>3_APPLICATION</t>
  </si>
  <si>
    <t>3_MRC_Del</t>
  </si>
  <si>
    <t>Class A</t>
  </si>
  <si>
    <t>OESP Credit</t>
  </si>
  <si>
    <t>Class B</t>
  </si>
  <si>
    <t>Class C</t>
  </si>
  <si>
    <t>Class G</t>
  </si>
  <si>
    <t>Class H</t>
  </si>
  <si>
    <t xml:space="preserve">
This classification includes all services supplied to single-family dwelling units for domestic purposes, which are occupied on a seasonal/intermittent basis.  A service is defined as Seasonal if occupancy is for a period of less than eight months of the year.  Class B consumers are defined in accordance with O. Reg. 429. Further servicing details are available in the distributor’s Conditions of Service.
</t>
  </si>
  <si>
    <t>5_APPLICATION</t>
  </si>
  <si>
    <t>5_MRC_Del</t>
  </si>
  <si>
    <t xml:space="preserve">Distribution Volumetric Rate </t>
  </si>
  <si>
    <t>Rate Rider for Disposition of Account 1574 - effective until June 30, 2019</t>
  </si>
  <si>
    <t>5_MRC_Reg</t>
  </si>
  <si>
    <t>6_STREET LIGHTING SERVICE CLASSIFICATION</t>
  </si>
  <si>
    <t xml:space="preserve">This classification refers to an account for roadway lighting.  The consumption for these unmetered accounts will be based on the calculated connection load times the calculated hours of use established in the approved Ontario Energy Board street lighting load shape template. Class B consumers are defined in accordance with O. Reg. 429. Further servicing details are available in the distributor’s Conditions of Service.
</t>
  </si>
  <si>
    <t>6_APPLICATION</t>
  </si>
  <si>
    <t>6_MRC_Del</t>
  </si>
  <si>
    <t>6_STREET LIGHTING SERVICE CLASSIFICATION_MSC</t>
  </si>
  <si>
    <t>6_STREET LIGHTING SERVICE CLASSIFICATION_DVC</t>
  </si>
  <si>
    <t>6_STREET LIGHTING SERVICE CLASSIFICATION_DEFVAR_ALL</t>
  </si>
  <si>
    <t>6_STREET LIGHTING SERVICE CLASSIFICATION_GA_kwh</t>
  </si>
  <si>
    <t>6_STREET LIGHTING SERVICE CLASSIFICATION_Retail Transmission Rate - Network Service Rate</t>
  </si>
  <si>
    <t>6_STREET LIGHTING SERVICE CLASSIFICATION_Retail Transmission Rate - Line and Transformation Connection Service Rate</t>
  </si>
  <si>
    <t>6_MRC_Reg</t>
  </si>
  <si>
    <t>6_STREET LIGHTING SERVICE CLASSIFICATION_WMSR</t>
  </si>
  <si>
    <t>6_STREET LIGHTING SERVICE CLASSIFICATION_RRRP</t>
  </si>
  <si>
    <t>6_STREET LIGHTING SERVICE CLASSIFICATION_SSS</t>
  </si>
  <si>
    <t>7_microFIT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</si>
  <si>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</si>
  <si>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7_APPLICATION</t>
  </si>
  <si>
    <t>Unless specifically noted, this schedule does not contain any charges for the electricity commodity, be it under the Regulated Price Plan, a contract with a retailer or the wholesale market price, as applicable.</t>
  </si>
  <si>
    <t>7_MRC_Del</t>
  </si>
  <si>
    <t>7_microFIT SERVICE CLASSIFICATION_MSC</t>
  </si>
  <si>
    <t>Algoma Power Inc._ALLOWANCES</t>
  </si>
  <si>
    <t>Transformer Allowance for Ownership - per kW of billing demand/month</t>
  </si>
  <si>
    <t>Primary Metering Allowance for Transformer Losses - applied to measured demand &amp; energy</t>
  </si>
  <si>
    <t>Algoma Power Inc._SSC</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</si>
  <si>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</si>
  <si>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</si>
  <si>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Algoma Power Inc._CA</t>
  </si>
  <si>
    <t xml:space="preserve">Arrears certificate (credit reference) </t>
  </si>
  <si>
    <t>Statement of account</t>
  </si>
  <si>
    <t>Pulling post dated cheques</t>
  </si>
  <si>
    <t>Duplicate invoices for previous billing</t>
  </si>
  <si>
    <t>Request for other billing information</t>
  </si>
  <si>
    <t>Easement Letter</t>
  </si>
  <si>
    <t>Income tax letter</t>
  </si>
  <si>
    <t>Notification charge</t>
  </si>
  <si>
    <t>Account history</t>
  </si>
  <si>
    <t>Credit reference/credit check (plus credit agency costs)</t>
  </si>
  <si>
    <t>Returned Cheque (plus bank charges)</t>
  </si>
  <si>
    <t>Charge to certify cheque</t>
  </si>
  <si>
    <t>Legal letter charge</t>
  </si>
  <si>
    <t>Non-Payment of Account</t>
  </si>
  <si>
    <t>Algoma Power Inc._NPoA</t>
  </si>
  <si>
    <t>Late Payment - per month</t>
  </si>
  <si>
    <t>Late Payment - per annum</t>
  </si>
  <si>
    <t>Collection of account charge - no disconnection - during regular business hours</t>
  </si>
  <si>
    <t>Collection of account charge - no disconnection - after regular hours</t>
  </si>
  <si>
    <t>Disconnect/Reconnect at Meter - during regular hours</t>
  </si>
  <si>
    <t>Disconnect/Reconnect at Meter - after regular hours</t>
  </si>
  <si>
    <t>Disconnect/Reconnect at Pole - during regular hours</t>
  </si>
  <si>
    <t>Disconnect/Reconnect at Pole - after regular hours</t>
  </si>
  <si>
    <t>Install/Remove Load Control Device - during regular hours</t>
  </si>
  <si>
    <t>Install/Remove Load Control Device - after regular hours</t>
  </si>
  <si>
    <t>Other</t>
  </si>
  <si>
    <t xml:space="preserve">Specific charge for access to the power poles - per pole/year </t>
  </si>
  <si>
    <t>(with the exception of wireless attachments)</t>
  </si>
  <si>
    <t>Service call - customer owned equipment</t>
  </si>
  <si>
    <t>Service call - after regular hours</t>
  </si>
  <si>
    <t xml:space="preserve">Temporary service install &amp; remove - overhead - no transformer </t>
  </si>
  <si>
    <t>Temporary service install &amp; remove - underground - no transformer</t>
  </si>
  <si>
    <t>Temporary service install &amp; remove - overhead - with transformer</t>
  </si>
  <si>
    <t>Algoma Power Inc._RSC</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</si>
  <si>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</si>
  <si>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</si>
  <si>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Retail Service Charges refer to services provided by Algoma Power Inc. to retailers or customers related to the supply of competitive electricity and are defined in the 2006 Electricity Distribution Rate Handbook.</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</si>
  <si>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</si>
  <si>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</si>
  <si>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</si>
  <si>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</si>
  <si>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</si>
  <si>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</si>
  <si>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</si>
  <si>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</si>
  <si>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</si>
  <si>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</si>
  <si>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</si>
  <si>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</si>
  <si>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</si>
  <si>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</si>
  <si>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</si>
  <si>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Algoma Power Inc._LFs</t>
  </si>
  <si>
    <t>If the distributor is not capable of prorating changed loss factors jointly with distribution rates, the revised loss factors will be implemented upon the first subsequent billing for each billing cycle.</t>
  </si>
  <si>
    <t>Total Loss Factor - Secondary Metered Customer</t>
  </si>
  <si>
    <t xml:space="preserve">Total Loss Factor - Primary Metered Customer </t>
  </si>
  <si>
    <t>Algoma Power Inc._End</t>
  </si>
  <si>
    <t>Bluewater Power Distribution Corporation_Start</t>
  </si>
  <si>
    <t>1_RESIDENTIAL SERVICE CLASSIFICATION</t>
  </si>
  <si>
    <t>All service supplied to single-family dwelling units for domestic or household purposes shall be classed as residential service. Where electricity service is provided for combined residential and business purposes (including agricultural usage) and the wiring does not provide for separate metering, the classification shall be in the discretion of Bluewater Power Distribution Corporation (“Bluewater Power”) and shall be based on such considerations as the estimated predominant consumption or the municipal tax roll classification. A residential customer may be found in a detached, semi-detached, linear row housing, apartment building or mixed-use building. Where more than one dwelling is served by a single meter, that service shall be considered a General Service Customer.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</si>
  <si>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</si>
  <si>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</si>
  <si>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1_RESIDENTIAL SERVICE CLASSIFICATION_MSC</t>
  </si>
  <si>
    <t>1_RESIDENTIAL SERVICE CLASSIFICATION_SME</t>
  </si>
  <si>
    <t>1_RESIDENTIAL SERVICE CLASSIFICATION_DVC</t>
  </si>
  <si>
    <t>1_RESIDENTIAL SERVICE CLASSIFICATION_LV</t>
  </si>
  <si>
    <t>1_RESIDENTIAL SERVICE CLASSIFICATION_GA_kwh</t>
  </si>
  <si>
    <t>1_RESIDENTIAL SERVICE CLASSIFICATION_LRAM</t>
  </si>
  <si>
    <t>1_RESIDENTIAL SERVICE CLASSIFICATION_DEFVAR_ALL</t>
  </si>
  <si>
    <t>1_RESIDENTIAL SERVICE CLASSIFICATION_Retail Transmission Rate - Network Service Rate</t>
  </si>
  <si>
    <t>1_RESIDENTIAL SERVICE CLASSIFICATION_Retail Transmission Rate - Line and Transformation Connection Service Rate</t>
  </si>
  <si>
    <t>1_RESIDENTIAL SERVICE CLASSIFICATION_WMSR</t>
  </si>
  <si>
    <t>Capacity Based Recovery (CBR) - Applicable for Class B Customers</t>
  </si>
  <si>
    <t>1_RESIDENTIAL SERVICE CLASSIFICATION_RRRP</t>
  </si>
  <si>
    <t>1_RESIDENTIAL SERVICE CLASSIFICATION_SSS</t>
  </si>
  <si>
    <t>GENERAL SERVICE LESS THAN 50 KW SERVICE CLASSIFICATION</t>
  </si>
  <si>
    <t>This classification applies to a customer not designated as Residential, and that over a twelve month period has, or a new customer forecast to have, an average monthly peak demand less than 50 kW, and has a monthly peak demand that never exceeds 100 kW. Bluewater Power shall review this rate class designation on an annual basis and the customer's designated rate class may change as a result. Class B consumers are defined in accordance with O. Reg. 429/04. Further servicing details are available in the distributor’s Conditions of Service.</t>
  </si>
  <si>
    <t>GENERAL SERVICE 50 TO 999 KW SERVICE CLASSIFICATION</t>
  </si>
  <si>
    <t>This classification applies to a customer not designated as Residential, and that over a twelve month period has, or a new customer forecast to have, an average monthly peak demand equal to or greater than 50 kW and less than 1,000 kW.  This rate class designation is reviewed on an annual basis and the customer's designated rate class may change as a result. Class B consumers are defined in accordance with O. Reg. 429/04. Further servicing details are available in the distributor’s Conditions of Service.</t>
  </si>
  <si>
    <t>3_MRC_Reg</t>
  </si>
  <si>
    <t>GENERAL SERVICE 1,000 TO 4,999 KW SERVICE CLASSIFICATION</t>
  </si>
  <si>
    <t>This classification applies to a customer not designated Residential, and that: over a twelve month period has, or a new customer forecast to have, an average monthly peak demand equal to or greater than 1,000 kW and less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</si>
  <si>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4_APPLICATION</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</si>
  <si>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</si>
  <si>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</si>
  <si>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4_MRC_Del</t>
  </si>
  <si>
    <t>4_MRC_Reg</t>
  </si>
  <si>
    <t>5_LARGE USE SERVICE CLASSIFICATION</t>
  </si>
  <si>
    <t>This classification applies to a customer not designated as Residential, and that over 12 consecutive billing periods has, or a new customer forecast to have, an average monthly peak demand equal to or greater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</si>
  <si>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5_LARGE USE SERVICE CLASSIFICATION_MSC</t>
  </si>
  <si>
    <t>5_LARGE USE SERVICE CLASSIFICATION_DVC</t>
  </si>
  <si>
    <t>5_LARGE USE SERVICE CLASSIFICATION_LV</t>
  </si>
  <si>
    <t>5_LARGE USE SERVICE CLASSIFICATION_LRAM</t>
  </si>
  <si>
    <t>5_LARGE USE SERVICE CLASSIFICATION_DEFVAR_ALL</t>
  </si>
  <si>
    <t>5_LARGE USE SERVICE CLASSIFICATION_Retail Transmission Rate - Network Service Rate - Interval Metered</t>
  </si>
  <si>
    <t>5_LARGE USE SERVICE CLASSIFICATION_Retail Transmission Rate - Line and Transformation Connection Service Rate - Interval Metered</t>
  </si>
  <si>
    <t>5_LARGE USE SERVICE CLASSIFICATION_WMSR</t>
  </si>
  <si>
    <t>5_LARGE USE SERVICE CLASSIFICATION_RRRP</t>
  </si>
  <si>
    <t>5_LARGE USE SERVICE CLASSIFICATION_SSS</t>
  </si>
  <si>
    <t>6_UNMETERED SCATTERED LOAD SERVICE CLASSIFICATION</t>
  </si>
  <si>
    <t>This classification applies to an account whose average monthly maximum demand is less than, or a new customer forecast to be less than, 50 kW and the consumption is unmetered. Such connections include cable TV power packs, bus shelters, telephone booths, traffic lights, railway crossings, etc. The level of the consumption will be agreed to by Bluewater Power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</si>
  <si>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6_UNMETERED SCATTERED LOAD SERVICE CLASSIFICATION_MSC</t>
  </si>
  <si>
    <t>6_UNMETERED SCATTERED LOAD SERVICE CLASSIFICATION_DVC</t>
  </si>
  <si>
    <t>6_UNMETERED SCATTERED LOAD SERVICE CLASSIFICATION_LV</t>
  </si>
  <si>
    <t>6_UNMETERED SCATTERED LOAD SERVICE CLASSIFICATION_LRAM</t>
  </si>
  <si>
    <t>6_UNMETERED SCATTERED LOAD SERVICE CLASSIFICATION_DEFVAR_ALL</t>
  </si>
  <si>
    <t>6_UNMETERED SCATTERED LOAD SERVICE CLASSIFICATION_Retail Transmission Rate - Network Service Rate</t>
  </si>
  <si>
    <t>6_UNMETERED SCATTERED LOAD SERVICE CLASSIFICATION_Retail Transmission Rate - Line and Transformation Connection Service Rate</t>
  </si>
  <si>
    <t>6_UNMETERED SCATTERED LOAD SERVICE CLASSIFICATION_WMSR</t>
  </si>
  <si>
    <t>6_UNMETERED SCATTERED LOAD SERVICE CLASSIFICATION_RRRP</t>
  </si>
  <si>
    <t>6_UNMETERED SCATTERED LOAD SERVICE CLASSIFICATION_SSS</t>
  </si>
  <si>
    <t>7_SENTINEL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</si>
  <si>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</si>
  <si>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7_SENTINEL LIGHTING SERVICE CLASSIFICATION_MSC</t>
  </si>
  <si>
    <t>7_SENTINEL LIGHTING SERVICE CLASSIFICATION_DVC</t>
  </si>
  <si>
    <t>7_SENTINEL LIGHTING SERVICE CLASSIFICATION_LV</t>
  </si>
  <si>
    <t>7_SENTINEL LIGHTING SERVICE CLASSIFICATION_GA_kwh</t>
  </si>
  <si>
    <t>7_SENTINEL LIGHTING SERVICE CLASSIFICATION_LRAM</t>
  </si>
  <si>
    <t>7_SENTINEL LIGHTING SERVICE CLASSIFICATION_DEFVAR_ALL</t>
  </si>
  <si>
    <t>7_SENTINEL LIGHTING SERVICE CLASSIFICATION_Retail Transmission Rate - Network Service Rate</t>
  </si>
  <si>
    <t>7_SENTINEL LIGHTING SERVICE CLASSIFICATION_Retail Transmission Rate - Line and Transformation Connection Service Rate</t>
  </si>
  <si>
    <t>7_MRC_Reg</t>
  </si>
  <si>
    <t>7_SENTINEL LIGHTING SERVICE CLASSIFICATION_WMSR</t>
  </si>
  <si>
    <t>7_SENTINEL LIGHTING SERVICE CLASSIFICATION_RRRP</t>
  </si>
  <si>
    <t>7_SENTINEL LIGHTING SERVICE CLASSIFICATION_SSS</t>
  </si>
  <si>
    <t>8_STREET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</si>
  <si>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</si>
  <si>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8_APPLICATION</t>
  </si>
  <si>
    <t>8_MRC_Del</t>
  </si>
  <si>
    <t>8_STREET LIGHTING SERVICE CLASSIFICATION_MSC</t>
  </si>
  <si>
    <t>8_STREET LIGHTING SERVICE CLASSIFICATION_DVC</t>
  </si>
  <si>
    <t>8_STREET LIGHTING SERVICE CLASSIFICATION_LV</t>
  </si>
  <si>
    <t>8_STREET LIGHTING SERVICE CLASSIFICATION_GA_kwh</t>
  </si>
  <si>
    <t>8_STREET LIGHTING SERVICE CLASSIFICATION_LRAM</t>
  </si>
  <si>
    <t>8_STREET LIGHTING SERVICE CLASSIFICATION_DEFVAR_ALL</t>
  </si>
  <si>
    <t>8_STREET LIGHTING SERVICE CLASSIFICATION_Retail Transmission Rate - Network Service Rate</t>
  </si>
  <si>
    <t>8_STREET LIGHTING SERVICE CLASSIFICATION_Retail Transmission Rate - Line and Transformation Connection Service Rate</t>
  </si>
  <si>
    <t>8_MRC_Reg</t>
  </si>
  <si>
    <t>8_STREET LIGHTING SERVICE CLASSIFICATION_WMSR</t>
  </si>
  <si>
    <t>8_STREET LIGHTING SERVICE CLASSIFICATION_RRRP</t>
  </si>
  <si>
    <t>8_STREET LIGHTING SERVICE CLASSIFICATION_SSS</t>
  </si>
  <si>
    <t>9_microFIT SERVICE CLASSIFICATION</t>
  </si>
  <si>
    <t>9_APPLICATION</t>
  </si>
  <si>
    <t>9_MRC_Del</t>
  </si>
  <si>
    <t>9_microFIT SERVICE CLASSIFICATION_MSC</t>
  </si>
  <si>
    <t>Bluewater Power Distribution Corporation_ALLOWANCES</t>
  </si>
  <si>
    <t>Bluewater Power Distribution Corporation_SSC</t>
  </si>
  <si>
    <t>Bluewater Power Distribution Corporation_CA</t>
  </si>
  <si>
    <t>Bluewater Power Distribution Corporation_NPoA</t>
  </si>
  <si>
    <t>Collection of account charge - no disconnection</t>
  </si>
  <si>
    <t>Specific charge for access to the power poles - $/pole/year                                                                                                                                                                                                                                                                                                                                                                                                                                         (with the exception of wireless attachments)</t>
  </si>
  <si>
    <t>Bluewater Power Distribution Corporation_RSC</t>
  </si>
  <si>
    <t>Retail Service Charges refer to services provided by a distributor to retailers or customers related to the supply of competitive electricity.</t>
  </si>
  <si>
    <t>Service Transaction Requests (STR)</t>
  </si>
  <si>
    <t>Electronic Business Transaction (EBT) system, applied to the requesting party</t>
  </si>
  <si>
    <t>Bluewater Power Distribution Corporation_LFs</t>
  </si>
  <si>
    <t>Total Loss Factor - Secondary Metered Customer &lt; 5,000 kW</t>
  </si>
  <si>
    <t>Total Loss Factor - Secondary Metered Customer &gt; 5,000 kW</t>
  </si>
  <si>
    <t>Total Loss Factor - Primary Metered Customer &lt; 5,000 kW</t>
  </si>
  <si>
    <t>Total Loss Factor - Primary Metered Customer &gt; 5,000 kW</t>
  </si>
  <si>
    <t>Bluewater Power Distribution Corporation_End</t>
  </si>
  <si>
    <t>This classification applies to an account where the electricity is supplied exclusively to single-family dwelling units for domestic or household purposes, including seasonal occupancy. This includes, but is not limited to, detached houses, one unit of a semi-detached, duplex, triplex or quadruplex house, with a residential zoning. Separately metered dwellings within a town house complex also qualify as residential customers.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</si>
  <si>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Ontario Energy Board, and amendments thereto as approved by the Ontario Energy Board, or as specified herein.</t>
  </si>
  <si>
    <t>2_ONTARIO ELECTRICITY SUPPORT PROGRAM RECIPIENTS</t>
  </si>
  <si>
    <t>The application of the charges are in accordance with the Distribution System Code (Section 9) and subsection 79.2(4) of the Ontario Energy Board Act, 1998.</t>
  </si>
  <si>
    <t>The application of these charges shall be in accordance with the Licence of the Distributor and any Code or Order of the Ontario Energy Board, and amendments thereto as approved by the Ontario Energy Board, which may be applicable to the administration of this schedule.</t>
  </si>
  <si>
    <t>MONTHLY RATES AND CHARGES</t>
  </si>
  <si>
    <t>2_ONTARIO ELECTRICITY SUPPORT PROGRAM RECIPIENTS_OESP CREDIT_CLASS A</t>
  </si>
  <si>
    <t>2_ONTARIO ELECTRICITY SUPPORT PROGRAM RECIPIENTS_OESP CREDIT_CLASS B</t>
  </si>
  <si>
    <t>2_ONTARIO ELECTRICITY SUPPORT PROGRAM RECIPIENTS_OESP CREDIT_CLASS C</t>
  </si>
  <si>
    <t>Class D</t>
  </si>
  <si>
    <t>2_ONTARIO ELECTRICITY SUPPORT PROGRAM RECIPIENTS_OESP CREDIT_CLASS D</t>
  </si>
  <si>
    <t>Class E</t>
  </si>
  <si>
    <t>2_ONTARIO ELECTRICITY SUPPORT PROGRAM RECIPIENTS_OESP CREDIT_CLASS E</t>
  </si>
  <si>
    <t>Class F</t>
  </si>
  <si>
    <t>(a) account-holders with a household income of $28,000 or less living in a household of six or more persons;
(b) account-holders with a household income of between $28,001 and $39,000 living in a household of seven or more persons; or
(c) account-holders with a household income and household size described under Class B who also meet any of the following conditions:</t>
  </si>
  <si>
    <t>2_ONTARIO ELECTRICITY SUPPORT PROGRAM RECIPIENTS_OESP CREDIT_CLASS F</t>
  </si>
  <si>
    <t>2_ONTARIO ELECTRICITY SUPPORT PROGRAM RECIPIENTS_OESP CREDIT_CLASS G</t>
  </si>
  <si>
    <t>2_ONTARIO ELECTRICITY SUPPORT PROGRAM RECIPIENTS_OESP CREDIT_CLASS H</t>
  </si>
  <si>
    <t>Class I</t>
  </si>
  <si>
    <t>2_ONTARIO ELECTRICITY SUPPORT PROGRAM RECIPIENTS_OESP CREDIT_CLASS I</t>
  </si>
  <si>
    <t>This classification applies to a non residential account whose average monthly maximum demand is less than, or is forecast to be less than, 50 kW. Multi-unit residential establishments such as apartment buildings supplied through one service (bulk metered) shall normally be classified as general service. Where service is provided to combined residential and business, or residential and agricultural, whether seasonal or all-year premises, and the wiring does not provide for separate metering, the service shall normally be classed as general service. Class B consumers are defined in accordance with O. Reg. 429/04.  Further servicing details are available in the distributor’s Conditions of Service.</t>
  </si>
  <si>
    <t>6_LARGE USE SERVICE CLASSIFICATION</t>
  </si>
  <si>
    <t>6_LARGE USE SERVICE CLASSIFICATION_MSC</t>
  </si>
  <si>
    <t>6_LARGE USE SERVICE CLASSIFICATION_DVC</t>
  </si>
  <si>
    <t>6_LARGE USE SERVICE CLASSIFICATION_GA_kwh</t>
  </si>
  <si>
    <t>6_LARGE USE SERVICE CLASSIFICATION_LRAM</t>
  </si>
  <si>
    <t>6_LARGE USE SERVICE CLASSIFICATION_DEFVAR_ALL</t>
  </si>
  <si>
    <t>6_LARGE USE SERVICE CLASSIFICATION_Retail Transmission Rate - Network Service Rate</t>
  </si>
  <si>
    <t>6_LARGE USE SERVICE CLASSIFICATION_Retail Transmission Rate - Line and Transformation Connection Service Rate</t>
  </si>
  <si>
    <t>6_LARGE USE SERVICE CLASSIFICATION_WMSR</t>
  </si>
  <si>
    <t>6_LARGE USE SERVICE CLASSIFICATION_RRRP</t>
  </si>
  <si>
    <t>6_LARGE USE SERVICE CLASSIFICATION_SSS</t>
  </si>
  <si>
    <t>7_UNMETERED SCATTERED LOAD SERVICE CLASSIFICATION</t>
  </si>
  <si>
    <t>7_UNMETERED SCATTERED LOAD SERVICE CLASSIFICATION_MSC</t>
  </si>
  <si>
    <t>7_UNMETERED SCATTERED LOAD SERVICE CLASSIFICATION_DVC</t>
  </si>
  <si>
    <t>7_UNMETERED SCATTERED LOAD SERVICE CLASSIFICATION_GA_kwh</t>
  </si>
  <si>
    <t>7_UNMETERED SCATTERED LOAD SERVICE CLASSIFICATION_DEFVAR_ALL</t>
  </si>
  <si>
    <t>7_UNMETERED SCATTERED LOAD SERVICE CLASSIFICATION_Retail Transmission Rate - Network Service Rate</t>
  </si>
  <si>
    <t>7_UNMETERED SCATTERED LOAD SERVICE CLASSIFICATION_Retail Transmission Rate - Line and Transformation Connection Service Rate</t>
  </si>
  <si>
    <t>7_UNMETERED SCATTERED LOAD SERVICE CLASSIFICATION_WMSR</t>
  </si>
  <si>
    <t>7_UNMETERED SCATTERED LOAD SERVICE CLASSIFICATION_RRRP</t>
  </si>
  <si>
    <t>7_UNMETERED SCATTERED LOAD SERVICE CLASSIFICATION_SSS</t>
  </si>
  <si>
    <t>9_STANDBY POWER SERVICE CLASSIFICATION</t>
  </si>
  <si>
    <t>This classification refers to an account that has Load Displacement Generation and requires the distributor to provide back-up service. Further servicing details are available in the distributor’s Conditions of Service.</t>
  </si>
  <si>
    <t>MONTHLY RATES AND CHARGES - Delivery Component - Approved on an Interim Basis</t>
  </si>
  <si>
    <t>10_APPLICATION</t>
  </si>
  <si>
    <t>10_MRC_Del</t>
  </si>
  <si>
    <t>10_MRC_Reg</t>
  </si>
  <si>
    <t>11_APPLICATION</t>
  </si>
  <si>
    <t>11_MRC_Del</t>
  </si>
  <si>
    <t>This classification applies to an electricity generation facility that is not covered by a microFIT or Distributed Generation classification which produces energy from combustion of consumer waste with the capability to generate over 4,000 KW. Further servicing details are available in the distributor’s Conditions of Service.</t>
  </si>
  <si>
    <t>12_APPLICATION</t>
  </si>
  <si>
    <t>12_MRC_Del</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</si>
  <si>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</si>
  <si>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 xml:space="preserve">   General Service less than 50 kW Classification</t>
  </si>
  <si>
    <t>Arrears certificate</t>
  </si>
  <si>
    <t>Special billing service (aggregation)</t>
  </si>
  <si>
    <t>Special billing service (sub-metering charge per meter)</t>
  </si>
  <si>
    <t>Disconnect/reconnection for &gt;300 volts - during regular hours</t>
  </si>
  <si>
    <t>Disconnect/reconnection for &gt;300 volts - after regular hours</t>
  </si>
  <si>
    <t>Owner requested disconnection/reconnection - during regular hours</t>
  </si>
  <si>
    <t>Owner requested disconnection/reconnection - after regular hours</t>
  </si>
  <si>
    <t>Brantford Power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</si>
  <si>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Further servicing details are available in the distributor’s Conditions of Service.</t>
  </si>
  <si>
    <t>1_RESIDENTIAL SERVICE CLASSIFICATION_SMA</t>
  </si>
  <si>
    <t>i. the dwelling to which the account relates is heated primarily by electricity;
ii. the account-holder or any member of the account-holder’s household is an Aboriginal person; or
iii. the account-holder or any member of the account-holder’s household regularly uses, for medical purposes, an electricity-intensive medical device at the dwelling to which the account relates</t>
  </si>
  <si>
    <t>This classification refers to a non residential account taking electricity at 750 volts or less whose monthly average peak demand is less than, or is forecast to be less than, 50 kW.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</si>
  <si>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</si>
  <si>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This classification applies to a non residential account whose average monthly maximum demand used for billing purposes is equal to or greater than, or is forecast to be equal to or greater than, 50 kW but less than 5,000 kW. Further servicing details are available in the distributor’s Conditions of Service.</t>
  </si>
  <si>
    <t>This classification applies to an electricity distributor licensed by the Ontario Energy Board that is provided electricity by means of this distributor’s facilities. Further servicing details are available in the distributor’s Conditions of Service.</t>
  </si>
  <si>
    <t>MONTHLY RATES AND CHARGES - Approved on an Interim Basis</t>
  </si>
  <si>
    <t>6_microFIT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</si>
  <si>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</si>
  <si>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6_microFIT SERVICE CLASSIFICATION_MSC</t>
  </si>
  <si>
    <t>This classification refers to accounts that are an unmetered lighting load supplied to a sentinel light.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</si>
  <si>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</si>
  <si>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9_UNMETERED SCATTERED LOAD SERVICE CLASSIFICATION</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</si>
  <si>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boots, traffic lights, railway crossings, etc. The customer will provide detailed manufacturer information/ documentation with regard to electrical demand/consumption of the proposed unmetered load. Further servicing details are available in the distributor’s Conditions of Service.</t>
  </si>
  <si>
    <t>9_UNMETERED SCATTERED LOAD SERVICE CLASSIFICATION_MSC</t>
  </si>
  <si>
    <t>9_UNMETERED SCATTERED LOAD SERVICE CLASSIFICATION_DVC</t>
  </si>
  <si>
    <t>9_UNMETERED SCATTERED LOAD SERVICE CLASSIFICATION_DEFVAR_ALL</t>
  </si>
  <si>
    <t>9_UNMETERED SCATTERED LOAD SERVICE CLASSIFICATION_Retail Transmission Rate - Network Service Rate</t>
  </si>
  <si>
    <t>9_UNMETERED SCATTERED LOAD SERVICE CLASSIFICATION_Retail Transmission Rate - Line and Transformation Connection Service Rate</t>
  </si>
  <si>
    <t>9_MRC_Reg</t>
  </si>
  <si>
    <t>9_UNMETERED SCATTERED LOAD SERVICE CLASSIFICATION_WMSR</t>
  </si>
  <si>
    <t>9_UNMETERED SCATTERED LOAD SERVICE CLASSIFICATION_RRRP</t>
  </si>
  <si>
    <t>9_UNMETERED SCATTERED LOAD SERVICE CLASSIFICATION_SSS</t>
  </si>
  <si>
    <t>Standby Charge - for a month where standby power is not provided. The charge is applied to the contracted amount
(e.g. nameplate rating of the generation facility).</t>
  </si>
  <si>
    <t>Brantford Power Inc._ALLOWANCES</t>
  </si>
  <si>
    <t>Brantford Power Inc._SSC</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</si>
  <si>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</si>
  <si>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Brantford Power Inc._CA</t>
  </si>
  <si>
    <t xml:space="preserve">        Returned cheque (plus bank charges)</t>
  </si>
  <si>
    <t xml:space="preserve">        Account set up charge/change of occupancy charge (plus credit agency costs if applicable)</t>
  </si>
  <si>
    <t xml:space="preserve">        Meter dispute charge plus Measurement Canada fees (if meter found correct)</t>
  </si>
  <si>
    <t>Brantford Power Inc._NPoA</t>
  </si>
  <si>
    <t xml:space="preserve">        Collection of account charge - no disconnection</t>
  </si>
  <si>
    <t xml:space="preserve">        Temporary service install &amp; remove - overhead - no transformer</t>
  </si>
  <si>
    <t xml:space="preserve">        Meter removal without authorization</t>
  </si>
  <si>
    <t>Brantford Power Inc._RSC</t>
  </si>
  <si>
    <t>Brantford Power Inc._LFs</t>
  </si>
  <si>
    <t>Brantford Power Inc._End</t>
  </si>
  <si>
    <t>Burlington Hydro Inc._Start</t>
  </si>
  <si>
    <t>This classification applies to low voltage connection assets that operate at 750 volts or less and supply electrical energy to residential customers where such energy is used exclusively in separately metered living  accommodation. Customers shall be residing in single dwelling units that consist of a detached house or one unit of a semi-detached, duplex, triplex, or quadruplex house, with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</si>
  <si>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low voltage connection assets that operate at 750 volts or less and supply electricity to general service customers whose monthly average peak demand during a calendar year is less than, or forecast by BHI to be less than, 50 kW. Class B consumers are defined in accordance with O. Reg. 429/04. Further servicing details are available in the distributor’s Conditions of Service.</t>
  </si>
  <si>
    <t>This classification applies to general service customers with a monthly average peak demand during a calendar year equal to or greater than, or is forecast by Burlington Hydro Inc. to be equal to or greater than, 50 kW but less than 5,000 kW. Class A and Class B consumers are defined in accordance with O. Reg. 429/04. Further servicing details are available in the distributor’s Conditions of Service.</t>
  </si>
  <si>
    <t>4_UNMETERED SCATTERED LOAD SERVICE CLASSIFICATION</t>
  </si>
  <si>
    <t>This classification applies to low voltage connection assets that operate at 750 volts or less and supply electricity to general service customers whose monthly average peak demand during a calendar year is less than, or forecast by Burlington Hydro Inc.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</si>
  <si>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CLASSIFICATION_MSC</t>
  </si>
  <si>
    <t>4_UNMETERED SCATTERED LOAD SERVICE CLASSIFICATION_DVC</t>
  </si>
  <si>
    <t>4_UNMETERED SCATTERED LOAD SERVICE CLASSIFICATION_LRAM</t>
  </si>
  <si>
    <t>4_UNMETERED SCATTERED LOAD SERVICE CLASSIFICATION_DEFVAR_ALL</t>
  </si>
  <si>
    <t>4_UNMETERED SCATTERED LOAD SERVICE CLASSIFICATION_Retail Transmission Rate - Network Service Rate</t>
  </si>
  <si>
    <t>4_UNMETERED SCATTERED LOAD SERVICE CLASSIFICATION_Retail Transmission Rate - Line and Transformation Connection Service Rate</t>
  </si>
  <si>
    <t>4_UNMETERED SCATTERED LOAD SERVICE CLASSIFICATION_WMSR</t>
  </si>
  <si>
    <t>4_UNMETERED SCATTERED LOAD SERVICE CLASSIFICATION_RRRP</t>
  </si>
  <si>
    <t>4_UNMETERED SCATTERED LOAD SERVICE CLASSIFICATION_SSS</t>
  </si>
  <si>
    <t>5_STREET LIGHTING SERVICE CLASSIFICATION</t>
  </si>
  <si>
    <t>This classification refers to roadway lighting customers such as the City of Burlington, the Regional Municipality of Halton, Ministry of Transportation and private roadway lighting, controlled by photo cells.  The daily consumption for these customers will be based on the calculated connected load times the required night time or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</si>
  <si>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CLASSIFICATION_MSC</t>
  </si>
  <si>
    <t>5_STREET LIGHTING SERVICE CLASSIFICATION_DVC</t>
  </si>
  <si>
    <t>5_STREET LIGHTING SERVICE CLASSIFICATION_GA_kwh</t>
  </si>
  <si>
    <t>5_STREET LIGHTING SERVICE CLASSIFICATION_LRAM</t>
  </si>
  <si>
    <t>5_STREET LIGHTING SERVICE CLASSIFICATION_DEFVAR_ALL</t>
  </si>
  <si>
    <t>5_STREET LIGHTING SERVICE CLASSIFICATION_Retail Transmission Rate - Network Service Rate</t>
  </si>
  <si>
    <t>5_STREET LIGHTING SERVICE CLASSIFICATION_Retail Transmission Rate - Line Connection Service Rate</t>
  </si>
  <si>
    <t>5_STREET LIGHTING SERVICE CLASSIFICATION_WMSR</t>
  </si>
  <si>
    <t>5_STREET LIGHTING SERVICE CLASSIFICATION_RRRP</t>
  </si>
  <si>
    <t>5_STREET LIGHTING SERVICE CLASSIFICATION_SSS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</si>
  <si>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</si>
  <si>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Burlington Hydro Inc._ALLOWANCES</t>
  </si>
  <si>
    <t>Burlington Hydro Inc._SSC</t>
  </si>
  <si>
    <t>Burlington Hydro Inc._CA</t>
  </si>
  <si>
    <t>Burlington Hydro Inc._NPoA</t>
  </si>
  <si>
    <t>Temporary service - install &amp; remove - overhead - no transformer</t>
  </si>
  <si>
    <t>Specific charge for wireline access to the power poles - $/pole/year</t>
  </si>
  <si>
    <t>Burlington Hydro Inc._RSC</t>
  </si>
  <si>
    <t>Burlington Hydro Inc._LFs</t>
  </si>
  <si>
    <t>Burlington Hydro Inc._End</t>
  </si>
  <si>
    <t>3_GENERAL SERVICE 50 TO 2,999 KW SERVICE CLASSIFICATION</t>
  </si>
  <si>
    <t>3_GENERAL SERVICE 50 TO 2,999 KW SERVICE CLASSIFICATION_MSC</t>
  </si>
  <si>
    <t>3_GENERAL SERVICE 50 TO 2,999 KW SERVICE CLASSIFICATION_DVC</t>
  </si>
  <si>
    <t>3_GENERAL SERVICE 50 TO 2,999 KW SERVICE CLASSIFICATION_LV</t>
  </si>
  <si>
    <t>3_GENERAL SERVICE 50 TO 2,999 KW SERVICE CLASSIFICATION_Retail Transmission Rate - Network Service Rate</t>
  </si>
  <si>
    <t>3_GENERAL SERVICE 50 TO 2,999 KW SERVICE CLASSIFICATION_Retail Transmission Rate - Line and Transformation Connection Service Rate</t>
  </si>
  <si>
    <t>3_GENERAL SERVICE 50 TO 2,999 KW SERVICE CLASSIFICATION_WMSR</t>
  </si>
  <si>
    <t>3_GENERAL SERVICE 50 TO 2,999 KW SERVICE CLASSIFICATION_RRRP</t>
  </si>
  <si>
    <t>3_GENERAL SERVICE 50 TO 2,999 KW SERVICE CLASSIFICATION_SSS</t>
  </si>
  <si>
    <t>4_GENERAL SERVICE 3,000 TO 4,999 KW SERVICE CLASSIFICATION</t>
  </si>
  <si>
    <t>4_GENERAL SERVICE 3,000 TO 4,999 KW SERVICE CLASSIFICATION_MSC</t>
  </si>
  <si>
    <t>4_GENERAL SERVICE 3,000 TO 4,999 KW SERVICE CLASSIFICATION_DVC</t>
  </si>
  <si>
    <t>4_GENERAL SERVICE 3,000 TO 4,999 KW SERVICE CLASSIFICATION_LV</t>
  </si>
  <si>
    <t>4_GENERAL SERVICE 3,000 TO 4,999 KW SERVICE CLASSIFICATION_Retail Transmission Rate - Network Service Rate</t>
  </si>
  <si>
    <t>4_GENERAL SERVICE 3,000 TO 4,999 KW SERVICE CLASSIFICATION_Retail Transmission Rate - Line and Transformation Connection Service Rate</t>
  </si>
  <si>
    <t>4_GENERAL SERVICE 3,000 TO 4,999 KW SERVICE CLASSIFICATION_WMSR</t>
  </si>
  <si>
    <t>4_GENERAL SERVICE 3,000 TO 4,999 KW SERVICE CLASSIFICATION_RRRP</t>
  </si>
  <si>
    <t>4_GENERAL SERVICE 3,000 TO 4,999 KW SERVICE CLASSIFICATION_SSS</t>
  </si>
  <si>
    <t>5_UNMETERED SCATTERED LOAD SERVICE CLASSIFICATION</t>
  </si>
  <si>
    <t>5_UNMETERED SCATTERED LOAD SERVICE CLASSIFICATION_MSC</t>
  </si>
  <si>
    <t>5_UNMETERED SCATTERED LOAD SERVICE CLASSIFICATION_DVC</t>
  </si>
  <si>
    <t>5_UNMETERED SCATTERED LOAD SERVICE CLASSIFICATION_LV</t>
  </si>
  <si>
    <t>5_UNMETERED SCATTERED LOAD SERVICE CLASSIFICATION_LRAM</t>
  </si>
  <si>
    <t>5_UNMETERED SCATTERED LOAD SERVICE CLASSIFICATION_Retail Transmission Rate - Network Service Rate</t>
  </si>
  <si>
    <t>5_UNMETERED SCATTERED LOAD SERVICE CLASSIFICATION_Retail Transmission Rate - Line and Transformation Connection Service Rate</t>
  </si>
  <si>
    <t>5_UNMETERED SCATTERED LOAD SERVICE CLASSIFICATION_WMSR</t>
  </si>
  <si>
    <t>5_UNMETERED SCATTERED LOAD SERVICE CLASSIFICATION_RRRP</t>
  </si>
  <si>
    <t>5_UNMETERED SCATTERED LOAD SERVICE CLASSIFICATION_SSS</t>
  </si>
  <si>
    <t>6_SENTINEL LIGHTING SERVICE CLASSIFICATION</t>
  </si>
  <si>
    <t>6_SENTINEL LIGHTING SERVICE CLASSIFICATION_MSC</t>
  </si>
  <si>
    <t>6_SENTINEL LIGHTING SERVICE CLASSIFICATION_DVC</t>
  </si>
  <si>
    <t>6_SENTINEL LIGHTING SERVICE CLASSIFICATION_LV</t>
  </si>
  <si>
    <t>6_SENTINEL LIGHTING SERVICE CLASSIFICATION_LRAM</t>
  </si>
  <si>
    <t>6_SENTINEL LIGHTING SERVICE CLASSIFICATION_Retail Transmission Rate - Network Service Rate</t>
  </si>
  <si>
    <t>6_SENTINEL LIGHTING SERVICE CLASSIFICATION_Retail Transmission Rate - Line and Transformation Connection Service Rate</t>
  </si>
  <si>
    <t>6_SENTINEL LIGHTING SERVICE CLASSIFICATION_WMSR</t>
  </si>
  <si>
    <t>6_SENTINEL LIGHTING SERVICE CLASSIFICATION_RRRP</t>
  </si>
  <si>
    <t>6_SENTINEL LIGHTING SERVICE CLASSIFICATION_SSS</t>
  </si>
  <si>
    <t>7_STREET LIGHTING SERVICE CLASSIFICATION</t>
  </si>
  <si>
    <t>7_STREET LIGHTING SERVICE CLASSIFICATION_MSC</t>
  </si>
  <si>
    <t>7_STREET LIGHTING SERVICE CLASSIFICATION_DVC</t>
  </si>
  <si>
    <t>7_STREET LIGHTING SERVICE CLASSIFICATION_LV</t>
  </si>
  <si>
    <t>7_STREET LIGHTING SERVICE CLASSIFICATION_LRAM</t>
  </si>
  <si>
    <t>7_STREET LIGHTING SERVICE CLASSIFICATION_Retail Transmission Rate - Network Service Rate</t>
  </si>
  <si>
    <t>7_STREET LIGHTING SERVICE CLASSIFICATION_Retail Transmission Rate - Line and Transformation Connection Service Rate</t>
  </si>
  <si>
    <t>7_STREET LIGHTING SERVICE CLASSIFICATION_WMSR</t>
  </si>
  <si>
    <t>7_STREET LIGHTING SERVICE CLASSIFICATION_RRRP</t>
  </si>
  <si>
    <t>7_STREET LIGHTING SERVICE CLASSIFICATION_SSS</t>
  </si>
  <si>
    <t>8_microFIT SERVICE CLASSIFICATION</t>
  </si>
  <si>
    <t>8_microFIT SERVICE CLASSIFICATION_MSC</t>
  </si>
  <si>
    <t>Temporary service - install &amp; remove - underground - no transformer</t>
  </si>
  <si>
    <t>Temporary service - install &amp; remove - overhead - with transformer</t>
  </si>
  <si>
    <t>Specific charge for access to the power poles - $/pole/year</t>
  </si>
  <si>
    <t xml:space="preserve"> (with the exception of wireless attachments) </t>
  </si>
  <si>
    <t>The application of these rates and charges shall be in accordance with the Licence of the Distributor and any Code or Order of Ontario Energy Board, and amendments thereto as approved by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</si>
  <si>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</si>
  <si>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In this class:
“Aboriginal person” includes a person who is a First Nations person, a Métis person or an Inuit person;
“account-holder” means a consumer who has an account with a distributor that falls within a residential-rate classification as specified in a rate order made by the Ontario Energy Board under section 78 of the Act, and who lives at the service address to which the account relates for at least six months in a year;
“electricity-intensive medical device” means an oxygen concentrator, a mechanical ventilator, or such other device as may be specified by the Ontario Energy Board;
“household” means the account-holder and any other people living at the accountholder’s service address for at least six months in a year, including people other than the account-holder’s spouse, children or other relatives;
“household income” means the combined annual after-tax income of all members of a household aged 16 or over;</t>
  </si>
  <si>
    <t>Class E comprises account-holders with a household income and household size described under Class A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</si>
  <si>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6_STREET LIGHTING SERVICE CLASSIFICATION_LV</t>
  </si>
  <si>
    <t>No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</si>
  <si>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Credit Check (plus credit agency costs)</t>
  </si>
  <si>
    <t>Temporary service - installation and removal - underground - no transformer</t>
  </si>
  <si>
    <t>Temporary service - installation and removal - overhead - with transformer</t>
  </si>
  <si>
    <t>Specific charge for access to the power poles - $/pole/year
(with the exception of wireless attachments)</t>
  </si>
  <si>
    <t>Canadian Niagara Power Inc._Start</t>
  </si>
  <si>
    <t>The Residential Class (Regular) refers to a service taking electricity normally at 750 volts or less where the electricity is used for domestic and household purposes in a single family unit.  A single family unit being a permanent structure located on a single parcel of land and approved by a civic authority as a dwelling and occupied for that purpose by a single customer.  Residential rates are also applied to apartment buildings with 6 units or less that are bulk metered.  Apartment buildings with more than 6 units that are bulk metered are deemed to be General Service.  Class B consumers are defined in accordance with O. Reg. 429/04. Further servicing details are available in the distributor’s Conditions of Service.</t>
  </si>
  <si>
    <t>Rate Rider for Disposition of Group 2 Deferral/Variance Accounts (2017) - effective until December 31, 2018</t>
  </si>
  <si>
    <t>Rate Rider for Disposition of Deferral/Variance Accounts (2017) - effective until December 31, 2018</t>
  </si>
  <si>
    <t>Rate Rider for Recovery of Lost Revenue Adjustment Mechanism Costs - effective until December 31, 2018</t>
  </si>
  <si>
    <t>This classification refers to the supply of electrical energy to single commercial or industrial customer and whose average peak demand is (or is forecasted to be) less than 50 kW.  Single commercial or industrial customers are interpreted as a structure or structures on a single parcel of land occupied by one customer.  An apartment building with more than 6 units that is bulk metered and has an average peak demand less than 50 kW is deemed to be General Service less than 50 kW.  The common area of a separately metered apartment building having a demand less than 50 kW is also deemed to be General Service less than 50 kW.  Class B consumers are defined in accordance with O. Reg. 429/04. Further servicing details are available in the distributor’s Conditions of Service.</t>
  </si>
  <si>
    <t>This classification refers to the supply of electrical energy to single commercial or industrial customer and whose average peak demand is (or is forecasted to be) equal to or greater than 50 kW but less than 5000 kW.  Single commercial or industrial customers are interpreted as a structure or structures on a single parcel of land occupied by one customer.  Class A and Class B consumers are defined in accordance with O. Reg. 429/04. Further servicing details are available in the distributor’s Conditions of Service.</t>
  </si>
  <si>
    <t>Rate Rider for Disposition of MIST Meters (2017) - effective until December 31, 2021</t>
  </si>
  <si>
    <t>Rate Rider for Disposition of Stranded Meters (2017) - effective until December 31, 2021</t>
  </si>
  <si>
    <t xml:space="preserve">Distribution Volumetric Rate  </t>
  </si>
  <si>
    <t>4_EMBEDDED DISTRIBUTOR SERVICE CLASSIFICATION</t>
  </si>
  <si>
    <t>This classification applies to an electricity distributor licensed by the Board, that is provided electricity by means of this distributor’s facilities.  Further servicing details are available in the distributor’s Conditions of Service.</t>
  </si>
  <si>
    <t>4_EMBEDDED DISTRIBUTOR SERVICE CLASSIFICATION_MSC</t>
  </si>
  <si>
    <t>4_EMBEDDED DISTRIBUTOR SERVICE CLASSIFICATION_DVC</t>
  </si>
  <si>
    <t>4_EMBEDDED DISTRIBUTOR SERVICE CLASSIFICATION_LV</t>
  </si>
  <si>
    <t>4_EMBEDDED DISTRIBUTOR SERVICE CLASSIFICATION_GA_kwh</t>
  </si>
  <si>
    <t>4_EMBEDDED DISTRIBUTOR SERVICE CLASSIFICATION_DEFVAR_ALL</t>
  </si>
  <si>
    <t>4_EMBEDDED DISTRIBUTOR SERVICE CLASSIFICATION_Retail Transmission Rate - Network Service Rate</t>
  </si>
  <si>
    <t>4_EMBEDDED DISTRIBUTOR SERVICE CLASSIFICATION_Retail Transmission Rate - Line and Transformation Connection Service Rate</t>
  </si>
  <si>
    <t>4_EMBEDDED DISTRIBUTOR SERVICE CLASSIFICATION_WMSR</t>
  </si>
  <si>
    <t>4_EMBEDDED DISTRIBUTOR SERVICE CLASSIFICATION_RRRP</t>
  </si>
  <si>
    <t>4_EMBEDDED DISTRIBUTOR SERVICE CLASSIFICATION_SSS</t>
  </si>
  <si>
    <t>This classification refers to the supply of electrical service to a customer that is deemed to have a constant load over a billing period, normally with minimum electrical consumption and the consumption is unmetered.  Energy consumption is based on connected wattage and calculated hours of use.  Examples of unmetered scattered load are cable television amplifiers, billboards, area lighting.  Further servicing details are available in the distributor’s Conditions of Service.</t>
  </si>
  <si>
    <t>5_UNMETERED SCATTERED LOAD SERVICE CLASSIFICATION_GA_kwh</t>
  </si>
  <si>
    <t>5_UNMETERED SCATTERED LOAD SERVICE CLASSIFICATION_DEFVAR_ALL</t>
  </si>
  <si>
    <t>6_STANDBY POWER SERVICE CLASSIFICATION</t>
  </si>
  <si>
    <t>The Standby subclass charge is applied to a customer with load displacement facilities behind its meter but is dependent on Canadian Niagara Power Inc. to supply a minimum amount of electricity in the event the customer’s own facilities are out of service.  The minimum amount of supply that Canadian Niagara Power Inc. must supply is a contracted amount agreed upon between the customer and Canadian Niagara Power Inc.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</si>
  <si>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</si>
  <si>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MONTHLY RATES AND CHARGES - APPROVED ON AN INTERIM BASIS</t>
  </si>
  <si>
    <t>This classification refers to all services required to supply sentinel lighting equipment.  Further servicing details are available in the distributor’s Conditions of Service.</t>
  </si>
  <si>
    <t xml:space="preserve">This classification refers to the supply of electrical service for roadway lighting. Energy consumption is based on connected wattage and calculated hours of use. Customers are usually a Municipality, Region or the Ministry of Transportation.  Further servicing details are available in the distributor’s Conditions of Service.
</t>
  </si>
  <si>
    <t>Canadian Niagara Power Inc._ALLOWANCES</t>
  </si>
  <si>
    <t>Canadian Niagara Power Inc._SSC</t>
  </si>
  <si>
    <t>Canadian Niagara Power Inc._CA</t>
  </si>
  <si>
    <t>Canadian Niagara Power Inc._NPoA</t>
  </si>
  <si>
    <t>Specific charge for access to the power poles - per pole/year                                                                                                                                                                                                                                                                                                                                                             (with the exception of wireless attachments)</t>
  </si>
  <si>
    <t>Canadian Niagara Power Inc._RSC</t>
  </si>
  <si>
    <t>Canadian Niagara Power Inc._LFs</t>
  </si>
  <si>
    <t>Canadian Niagara Power Inc._End</t>
  </si>
  <si>
    <t>Northern Ontario Wires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</si>
  <si>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apartments building also qualify as residential customers. Class B consumers are defined in accordance with O. Reg. 429/04. Further servicing details are available in the distributor’s Conditions of Service.</t>
  </si>
  <si>
    <t>Rate Rider for Disposition of Group 2 Deferral/Variance Accounts (2017) - effective until April 30, 2019</t>
  </si>
  <si>
    <t>Rate Rider for Disposition of Deferral/Variance Accounts (2017) - effective until April 30, 2019</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</si>
  <si>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</si>
  <si>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</si>
  <si>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</si>
  <si>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CLASSIFICATION_LV</t>
  </si>
  <si>
    <t>4_UNMETERED SCATTERED LOAD SERVICE CLASSIFICATION_GA_kwh</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</si>
  <si>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</si>
  <si>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CLASSIFICATION_LV</t>
  </si>
  <si>
    <t>5_STREET LIGHTING SERVICE CLASSIFICATION_Retail Transmission Rate - Line and Transformation Connection Service Rate</t>
  </si>
  <si>
    <t>Northern Ontario Wires Inc._ALLOWANCES</t>
  </si>
  <si>
    <t>Northern Ontario Wires Inc._SSC</t>
  </si>
  <si>
    <t>Northern Ontario Wires Inc._CA</t>
  </si>
  <si>
    <t>Northern Ontario Wires Inc._NPoA</t>
  </si>
  <si>
    <t>Northern Ontario Wires Inc._RSC</t>
  </si>
  <si>
    <t>Retail Service Charges refer to services provided by a distributor to retailers or customers related to the supply of competitive electricity</t>
  </si>
  <si>
    <t>Northern Ontario Wires Inc._LFs</t>
  </si>
  <si>
    <t>Northern Ontario Wires Inc._End</t>
  </si>
  <si>
    <t>Energy+ Inc.-For Former Brant County Power Service Area</t>
  </si>
  <si>
    <t>Energy+ Inc.-For Former Brant County Power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</si>
  <si>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</si>
  <si>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prices, as applicable.  In addition, the charges in the MONTHLY RATES AND CHARGES - Regulatory Component of this schedule do not apply to a customer that is an embedded wholesale market participant.</t>
  </si>
  <si>
    <t>Rate Rider for Recovery of Smart Meter Incremental Revenue Requirement - effective until the date of the next cost of service-based rate order</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</si>
  <si>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</si>
  <si>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 General Service 50 to 1,000 non-interval metered                                                                                                                                                                                                                                                                - General Service 50 to 1,000 interval metered                                                                                                                                                                                                                                                                        - General Service &gt; 1,000 to 5,000 kW interval metered                                                                                                                                                                                                                                                 Class A and Class B consumers are defined in accordance with O. Reg. 429/04. Further servicing details are available in the distributor's Conditions of Service.</t>
  </si>
  <si>
    <t>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</si>
  <si>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</si>
  <si>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5_SENTINEL LIGHTING SERVICE CLASSIFICATION</t>
  </si>
  <si>
    <t>This classification applies to safety/security lighting with a Residential, General Service or Large Use customer. This is typically exterior lighting, and unmetered. Consumption is estimated based on the equipment rating and estimated hours of use. Class B consumers are defined in accordance with O. Reg. 429/04. Further servicing details are available in the distributor's Conditions of Service.</t>
  </si>
  <si>
    <t>5_SENTINEL LIGHTING SERVICE CLASSIFICATION_MSC</t>
  </si>
  <si>
    <t>5_SENTINEL LIGHTING SERVICE CLASSIFICATION_DVC</t>
  </si>
  <si>
    <t>5_SENTINEL LIGHTING SERVICE CLASSIFICATION_LV</t>
  </si>
  <si>
    <t>5_SENTINEL LIGHTING SERVICE CLASSIFICATION_Retail Transmission Rate - Network Service Rate</t>
  </si>
  <si>
    <t>5_SENTINEL LIGHTING SERVICE CLASSIFICATION_Retail Transmission Rate - Line and Transformation Connection Service Rate</t>
  </si>
  <si>
    <t>5_SENTINEL LIGHTING SERVICE CLASSIFICATION_WMSR</t>
  </si>
  <si>
    <t>5_SENTINEL LIGHTING SERVICE CLASSIFICATION_RRRP</t>
  </si>
  <si>
    <t>5_SENTINEL LIGHTING SERVICE CLASSIFICATION_SSS</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</si>
  <si>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that required lighting times established in the approved Ontario Energy Board street lighting load shape template.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</si>
  <si>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prices, as applicable.</t>
  </si>
  <si>
    <t>Energy+ Inc._ALLOWANCES</t>
  </si>
  <si>
    <t>Energy+ Inc._SSC</t>
  </si>
  <si>
    <t>Energy+ Inc._CA</t>
  </si>
  <si>
    <t>Credit reference/credit check (plus credit agency costs - general service)</t>
  </si>
  <si>
    <t>Energy+ Inc._NPoA</t>
  </si>
  <si>
    <t xml:space="preserve"> (with the exception of wireless attachments)</t>
  </si>
  <si>
    <t>Energy+ Inc._RSC</t>
  </si>
  <si>
    <t>It should be noted that this schedule does not list any charges, assessments, or credits that are required by law to be invoiced by a distributor and that are not subject to Ontario Energy Board approval, such as the Debt Retirement Charge, the Global Adjustment, the Ontario Clean Energy Benefit and the HST.</t>
  </si>
  <si>
    <t>Energy+ Inc._LFs</t>
  </si>
  <si>
    <t>Energy+ Inc.-For Former Brant County Power Service Area_End</t>
  </si>
  <si>
    <t>Energy+ Inc.-For Former Cambridge and North Dumfries Hydro Service Area</t>
  </si>
  <si>
    <t>Energy+ Inc.-For Former Cambridge and North Dumfries Hydro Service Area_Start</t>
  </si>
  <si>
    <t>Residential refers to the supply of electrical energy to detached, semi-detached and row-housing units (freehold or condominium).  This classification typically refers to an account taking electricity at 750 volts or less where electricity is used exclusively in a separate metered living accommodation.  Customers shall be residing in single-dwelling units that consist of a detached house or one unit of a semi-detached, duplex, triplex, or quadruplex house, with a residential zoning.  Separate metered dwellings within a town house complex, condominium, or apartment building also qualify as residential customers.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</si>
  <si>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taking electricity at 750 volts or less whose average monthly peak demand is less than, or is forecast to be less than, 50 kW.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</si>
  <si>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50 kW but less than 1,000 kW.  Class B consumers are defined in accordance with O.Reg.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</si>
  <si>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</si>
  <si>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an account whose average monthly peak demand is equal to or greater than, or is forecast to be equal to or greater than, 5,000 kW.  Class A and Class B consumers are defined in accordance with O. Reg. 429/04.Further servicing details are available in the distributor's Conditions of Service.</t>
  </si>
  <si>
    <t>5_LARGE USE SERVICE CLASSIFICATION_Retail Transmission Rate - Network Service Rate</t>
  </si>
  <si>
    <t>5_LARGE USE SERVICE CLASSIFICATION_Retail Transmission Rate - Line and Transformation Connection Service Rate</t>
  </si>
  <si>
    <t>This classification refers to an account taking electricity at 750 volts or less whose average monthly peak demand is less than, or is forecast to be less than, 50kW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</si>
  <si>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</si>
  <si>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8_EMBEDDED DISTRIBUTOR SERVICE CLASSIFICATION</t>
  </si>
  <si>
    <t>This classification applies to an electricity distributor licenced by the Ontario Energy Board, that is provided electricity by means of this distributor's facilities. Further servicing details are available in the distributor's Conditions of Service.</t>
  </si>
  <si>
    <t>8_EMBEDDED DISTRIBUTOR SERVICE CLASSIFICATION_DWSR</t>
  </si>
  <si>
    <t>8_EMBEDDED DISTRIBUTOR SERVICE CLASSIFICATION_Retail Transmission Rate - Network Service Rate</t>
  </si>
  <si>
    <t>8_EMBEDDED DISTRIBUTOR SERVICE CLASSIFICATION_Retail Transmission Rate - Line and Transformation Connection Service Rate</t>
  </si>
  <si>
    <t>8_EMBEDDED DISTRIBUTOR SERVICE CLASSIFICATION_WMSR</t>
  </si>
  <si>
    <t>8_EMBEDDED DISTRIBUTOR SERVICE CLASSIFICATION_RRRP</t>
  </si>
  <si>
    <t>8_EMBEDDED DISTRIBUTOR SERVICE CLASSIFICATION_SSS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</si>
  <si>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</si>
  <si>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Specific charge for access to the power poles - $/pole/year                                                                                                                                                                                                                                                                                                                                                             (with the exception of wireless attachments)</t>
  </si>
  <si>
    <t>Service call - customer-owned equipment - after regular hours</t>
  </si>
  <si>
    <t>Energy+ Inc.-For Former Cambridge and North Dumfries Hydro Service Area_End</t>
  </si>
  <si>
    <t xml:space="preserve">This schedule supersedes and replaces all previously </t>
  </si>
  <si>
    <t>(a) account-holders with a household income of $28,000 or less living in a household of one or two persons;
(b) account-holders with a household income of between $28,001 and $39,000 living in a household of three persons;
(c) account-holders with a household income of between $39,001 and $48,000 living in a household of five persons; and
(d) account-holders with a household income of between $48,001 and $52,000 living in a household of seven or more persons;
but does not include account-holders in Class E.</t>
  </si>
  <si>
    <t>(a) account-holders with a household income of $28,000 or less living in a household of three persons;
(b) account-holders with a household income of between $28,001 and $39,000 living in a household of four persons;
(c) account-holders with a household income of between $39,001 and $48,000 living in a household of six persons;
but does not include account-holders in Class F.</t>
  </si>
  <si>
    <t>(a) account-holders with a household income of $28,000 or less living in a household of four persons;
(b) account-holders with a household income of between $28,001 and $39,000 living in a household of five persons;
(c) account-holders with a household income of between $39,001 and $48,000 living in a household of seven or more persons;
but does not include account-holders in Class G.</t>
  </si>
  <si>
    <t>(a) account-holders with a household income of $28,000 or less living in a household of five persons; and
(b) account-holders with a household income of between $28,001 and $39,000 living in a household of six persons;
but does not include account-holders in Class H.</t>
  </si>
  <si>
    <t>Class G comprises account-holders with a household income and household size described under Class C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</si>
  <si>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Class H comprises account-holders with a household income and household size described under Class D who also meet any of the following conditions:
(a) the dwelling to which the account relates is heated primarily by electricity;
(b) the account-holder or any member of the account-holder’s household is an Aboriginal person ; or
(c) the account-holder or any member of the account-holder’s household regularly uses, for medical purposes, an electricity-intensive medical device at the dwelling to which the account relates.</t>
  </si>
  <si>
    <t>Class I comprises account-holders with a household income and household size described under paragraphs (a) or (b) of Class F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</si>
  <si>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GENERAL SERVICE 50 TO 499 KW SERVICE CLASSIFICATION</t>
  </si>
  <si>
    <t>Billing demands are established at the greater of 100% of the kW, or 90% of the kVA amounts.</t>
  </si>
  <si>
    <t>GENERAL SERVICE 500 TO 4,999 KW SERVICE CLASSIFICATION</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</si>
  <si>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</si>
  <si>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 xml:space="preserve">Retail Transmission Rate - Line and Transformation Connection Service Rate </t>
  </si>
  <si>
    <t>6_LARGE USE SERVICE CLASSIFICATION_LV</t>
  </si>
  <si>
    <t>6_LARGE USE SERVICE CLASSIFICATION_Retail Transmission Rate - Network Service Rate - Interval Metered</t>
  </si>
  <si>
    <t xml:space="preserve">6_LARGE USE SERVICE CLASSIFICATION_Retail Transmission Rate - Line and Transformation Connection Service Rate - Interval Metered </t>
  </si>
  <si>
    <t xml:space="preserve">MONTHLY RATES AND CHARGES - Delivery Component </t>
  </si>
  <si>
    <t xml:space="preserve">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  </t>
  </si>
  <si>
    <t>8_UNMETERED SCATTERED LOAD SERVICE CLASSIFICATION</t>
  </si>
  <si>
    <t>8_UNMETERED SCATTERED LOAD SERVICE CLASSIFICATION_MSC</t>
  </si>
  <si>
    <t>8_UNMETERED SCATTERED LOAD SERVICE CLASSIFICATION_DVC</t>
  </si>
  <si>
    <t>8_UNMETERED SCATTERED LOAD SERVICE CLASSIFICATION_GA_kwh</t>
  </si>
  <si>
    <t>8_UNMETERED SCATTERED LOAD SERVICE CLASSIFICATION_DEFVAR_ALL</t>
  </si>
  <si>
    <t>8_UNMETERED SCATTERED LOAD SERVICE CLASSIFICATION_Retail Transmission Rate - Network Service Rate</t>
  </si>
  <si>
    <t>8_UNMETERED SCATTERED LOAD SERVICE CLASSIFICATION_Retail Transmission Rate - Line and Transformation Connection Service Rate</t>
  </si>
  <si>
    <t>8_UNMETERED SCATTERED LOAD SERVICE CLASSIFICATION_WMSR</t>
  </si>
  <si>
    <t>8_UNMETERED SCATTERED LOAD SERVICE CLASSIFICATION_RRRP</t>
  </si>
  <si>
    <t>8_UNMETERED SCATTERED LOAD SERVICE CLASSIFICATION_SSS</t>
  </si>
  <si>
    <t>9_STREET LIGHTING SERVICE CLASSIFICATION</t>
  </si>
  <si>
    <t>Service Charge (per luminaire)</t>
  </si>
  <si>
    <t>9_STREET LIGHTING SERVICE CLASSIFICATION_MSC</t>
  </si>
  <si>
    <t>9_STREET LIGHTING SERVICE CLASSIFICATION_DVC</t>
  </si>
  <si>
    <t>9_STREET LIGHTING SERVICE CLASSIFICATION_LV</t>
  </si>
  <si>
    <t>9_STREET LIGHTING SERVICE CLASSIFICATION_GA_kwh</t>
  </si>
  <si>
    <t>9_STREET LIGHTING SERVICE CLASSIFICATION_DEFVAR_ALL</t>
  </si>
  <si>
    <t>9_STREET LIGHTING SERVICE CLASSIFICATION_Retail Transmission Rate - Network Service Rate</t>
  </si>
  <si>
    <t>9_STREET LIGHTING SERVICE CLASSIFICATION_Retail Transmission Rate - Line and Transformation Connection Service Rate</t>
  </si>
  <si>
    <t>9_STREET LIGHTING SERVICE CLASSIFICATION_WMSR</t>
  </si>
  <si>
    <t>9_STREET LIGHTING SERVICE CLASSIFICATION_RRRP</t>
  </si>
  <si>
    <t>9_STREET LIGHTING SERVICE CLASSIFICATION_SSS</t>
  </si>
  <si>
    <t>10_microFIT SERVICE CLASSIFICATION</t>
  </si>
  <si>
    <t>10_microFIT SERVICE CLASSIFICATION_MSC</t>
  </si>
  <si>
    <t>Temporary service install and remove - overhead - no transformer</t>
  </si>
  <si>
    <t>Retail Service Charges refer to services provided by a distributor to retailers or customers related to the supply of</t>
  </si>
  <si>
    <t>competitive electricity</t>
  </si>
  <si>
    <t xml:space="preserve">Request for customer information as outlined in Section 10.6.3 and Chapter 11 of the Retail </t>
  </si>
  <si>
    <t xml:space="preserve">Settlement Code directly to retailers and customers, if not delivered electronically through the </t>
  </si>
  <si>
    <t>6_UNMETERED SCATTERED LOAD SERVICE CLASSIFICATION_GA_kwh</t>
  </si>
  <si>
    <t>8_STREET LIGHTING SERVICE CLASSIFICATION_GA_kw</t>
  </si>
  <si>
    <t>9_EMBEDDED DISTRIBUTOR SERVICE CLASSIFICATION</t>
  </si>
  <si>
    <t>9_EMBEDDED DISTRIBUTOR SERVICE CLASSIFICATION_MSC</t>
  </si>
  <si>
    <t>9_EMBEDDED DISTRIBUTOR SERVICE CLASSIFICATION_Retail Transmission Rate - Network Service Rate</t>
  </si>
  <si>
    <t>9_EMBEDDED DISTRIBUTOR SERVICE CLASSIFICATION_Retail Transmission Rate - Line and Transformation Connection Service Rate</t>
  </si>
  <si>
    <t>9_EMBEDDED DISTRIBUTOR SERVICE CLASSIFICATION_WMSR</t>
  </si>
  <si>
    <t>9_EMBEDDED DISTRIBUTOR SERVICE CLASSIFICATION_RRRP</t>
  </si>
  <si>
    <t>9_EMBEDDED DISTRIBUTOR SERVICE CLASSIFICATION_SSS</t>
  </si>
  <si>
    <t>Oshawa PUC Networks Inc._Start</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</si>
  <si>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</si>
  <si>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</si>
  <si>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</si>
  <si>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</si>
  <si>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Rate Rider for Disposition of Group 2 Deferral/Variance Accounts (2015) - effective until December 31, 2019</t>
  </si>
  <si>
    <t>Rate Rider for Disposition of Deferral/Variance Accounts (2015) - effective until December 31, 2019</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</si>
  <si>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</si>
  <si>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Class B consumers are defined in accordance with O. Reg. 429/04. Further servicing details are available in the distributor’s Conditions of Service.</t>
  </si>
  <si>
    <t>This classification refers to a non-residential account whose monthly average peak demand is equal to or greater than 1,000 kW but less than 5,000 kW, or is forecast to be equal to or greater than 1,000 kW but less than 5,000 kW.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</si>
  <si>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</si>
  <si>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</si>
  <si>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9_SENTINEL LIGHTING SERVICE CLASSIFICATION</t>
  </si>
  <si>
    <t>9_SENTINEL LIGHTING SERVICE CLASSIFICATION_MSC</t>
  </si>
  <si>
    <t>9_SENTINEL LIGHTING SERVICE CLASSIFICATION_DEFVAR_ALL</t>
  </si>
  <si>
    <t>9_SENTINEL LIGHTING SERVICE CLASSIFICATION_Retail Transmission Rate - Network Service Rate</t>
  </si>
  <si>
    <t>9_SENTINEL LIGHTING SERVICE CLASSIFICATION_Retail Transmission Rate - Line and Transformation Connection Service Rate</t>
  </si>
  <si>
    <t>9_SENTINEL LIGHTING SERVICE CLASSIFICATION_WMSR</t>
  </si>
  <si>
    <t>9_SENTINEL LIGHTING SERVICE CLASSIFICATION_RRRP</t>
  </si>
  <si>
    <t>9_SENTINEL LIGHTING SERVICE CLASSIFICATION_SSS</t>
  </si>
  <si>
    <t>10_STREET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</si>
  <si>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</si>
  <si>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10_STREET LIGHTING SERVICE CLASSIFICATION_MSC</t>
  </si>
  <si>
    <t>10_STREET LIGHTING SERVICE CLASSIFICATION_DEFVAR_ALL</t>
  </si>
  <si>
    <t>10_STREET LIGHTING SERVICE CLASSIFICATION_Retail Transmission Rate - Network Service Rate</t>
  </si>
  <si>
    <t>10_STREET LIGHTING SERVICE CLASSIFICATION_Retail Transmission Rate - Line and Transformation Connection Service Rate</t>
  </si>
  <si>
    <t>10_STREET LIGHTING SERVICE CLASSIFICATION_WMSR</t>
  </si>
  <si>
    <t>10_STREET LIGHTING SERVICE CLASSIFICATION_RRRP</t>
  </si>
  <si>
    <t>10_STREET LIGHTING SERVICE CLASSIFICATION_SSS</t>
  </si>
  <si>
    <t>Oshawa PUC Networks Inc._ALLOWANCES</t>
  </si>
  <si>
    <t>Transformer Allowance for Ownership</t>
  </si>
  <si>
    <t>Oshawa PUC Networks Inc._SSC</t>
  </si>
  <si>
    <t>Oshawa PUC Networks Inc._CA</t>
  </si>
  <si>
    <t>Oshawa PUC Networks Inc._NPoA</t>
  </si>
  <si>
    <t>Oshawa PUC Networks Inc._RSC</t>
  </si>
  <si>
    <t>Request for customer information as outlined in Section 10.6.3 and Chapter 11 of the Retail Settlement Code directly to retailers and customers, if not delivered electronically through the Electronic Business Transaction (EBT) system, applied to the requesting party</t>
  </si>
  <si>
    <t>No charge</t>
  </si>
  <si>
    <t>Oshawa PUC Networks Inc._LFs</t>
  </si>
  <si>
    <t>Oshawa PUC Networks Inc._End</t>
  </si>
  <si>
    <t>Greater Sudbury Hydro Inc._Start</t>
  </si>
  <si>
    <t xml:space="preserve">To qualify for residential rates an electrical service shall meet all of the following conditions:
• The electricity shall be intended for and used primarily for a residence in which one or more person(s) reside.
• The electrical service shall be individually metered, no bulk metering allowed.
Residential customers are defined as customers connected as detached, semi-detached or duplex dwelling units. It does not include Residential Rate Class customers in apartments, condominiums, row housing or any other abode that is not a detached, semi-detached or duplex dwelling unit. The definition does not include the installation of primary, transformation and secondary to the hand holes in a new subdivision. All items excluded from the residential rate class definition, as above, shall be treated as general service rate class customers. 
Class B consumers are defined in accordance with O. Reg. 429/04. Further servicing details are available in the distributor’s Conditions of Service.  Further servicing details are available in the distributor’s Conditions of Service.
</t>
  </si>
  <si>
    <t>To qualify for General Service Less Than 50 kW Rates an electrical service shall meet all of the following conditions:
• The electrical service shall not qualify as a Residential Rate Class service.
• The electrical service shall have a peak demand less than 50 kilowatts for seven or more months in any twelve month period.
• New connections will be classified based on the rating, in amperes, of the main switch or sum of main switches.
The General Service Less Than 50 kW Rate Class includes those Residential Rate Class customers that are not in detached, semi-detached or duplex dwelling units. The General Service Rate Class also includes subdivision developments and all General Service Rate Class customers. Further servicing details are available in the distributor’s Conditions of Service.
Class B consumers are defined in accordance with O. Reg. 429/04. Further servicing details are available in the distributor’s Conditions of Service.</t>
  </si>
  <si>
    <t>To qualify for General Service 50 to 4,999 kW Rates, an electrical service shall meet all of the following conditions:
• The electrical service shall not qualify as a Residential Rate Class service.
• The electrical service shall not qualify as a General Service Less Than 50 kW Rate Class service.
• New customers will be classified based on the rating, in amperes, of the main switch or sum of main switches. 
Class A and Class B customers are defined in accordance with O.Reg.429/04.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</si>
  <si>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</si>
  <si>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light.Class B consumers are defined in accordance with O. Reg. 429/04. Further servicing details are available in the distributor’s Conditions of Service.</t>
  </si>
  <si>
    <t>5_SENTINEL LIGHTING SERVICE CLASSIFICATION_GA_kwh</t>
  </si>
  <si>
    <t>5_SENTINEL LIGHTING SERVICE CLASSIFICATION_DEFVAR_ALL</t>
  </si>
  <si>
    <t>Greater Sudbury Hydro Inc._ALLOWANCES</t>
  </si>
  <si>
    <t>Greater Sudbury Hydro Inc._SSC</t>
  </si>
  <si>
    <t>Greater Sudbury Hydro Inc._CA</t>
  </si>
  <si>
    <t>Greater Sudbury Hydro Inc._NPoA</t>
  </si>
  <si>
    <t>Greater Sudbury Hydro Inc._RSC</t>
  </si>
  <si>
    <t>Greater Sudbury Hydro Inc._LFs</t>
  </si>
  <si>
    <t>Greater Sudbury Hydro Inc._End</t>
  </si>
  <si>
    <t>Veridian Connections Inc._Start</t>
  </si>
  <si>
    <t>2_SEASONAL RESIDENTIAL SERVICE CLASSIFICATION</t>
  </si>
  <si>
    <t>This classification is defined as any residential service not meeting the Residential Service Classification criteria. It includes such dwellings as cottages, chalets, and camps.  Class B consumers are defined in accordance with O. Reg. 429/04.  Further servicing details are available in the distributor's Conditions of Service.</t>
  </si>
  <si>
    <t>2_SEASONAL RESIDENTIAL SERVICE CLASSIFICATION_MSC</t>
  </si>
  <si>
    <t>2_SEASONAL RESIDENTIAL SERVICE CLASSIFICATION_SME</t>
  </si>
  <si>
    <t>2_SEASONAL RESIDENTIAL SERVICE CLASSIFICATION_DVC</t>
  </si>
  <si>
    <t>2_SEASONAL RESIDENTIAL SERVICE CLASSIFICATION_LV</t>
  </si>
  <si>
    <t>2_SEASONAL RESIDENTIAL SERVICE CLASSIFICATION_GA_kwh</t>
  </si>
  <si>
    <t>2_SEASONAL RESIDENTIAL SERVICE CLASSIFICATION_DEFVAR_ALL</t>
  </si>
  <si>
    <t>2_SEASONAL RESIDENTIAL SERVICE CLASSIFICATION_Retail Transmission Rate - Network Service Rate</t>
  </si>
  <si>
    <t>2_SEASONAL RESIDENTIAL SERVICE CLASSIFICATION_Retail Transmission Rate - Line and Transformation Connection Service Rate</t>
  </si>
  <si>
    <t>2_SEASONAL RESIDENTIAL SERVICE CLASSIFICATION_WMSR</t>
  </si>
  <si>
    <t>2_SEASONAL RESIDENTIAL SERVICE CLASSIFICATION_RRRP</t>
  </si>
  <si>
    <t>2_SEASONAL RESIDENTIAL SERVICE CLASSIFICATION_SSS</t>
  </si>
  <si>
    <t>This classification applies to a non residential account whose average monthly maximum demand is less than, or is forecast to be less than 50kW.  Class B consumers are defined in accordance with O. Reg. 429/04. Further servicing details are available in the distributor's Condition of Service.</t>
  </si>
  <si>
    <t>4_GENERAL SERVICE 50 TO 2,999 KW SERVICE CLASSIFICATION</t>
  </si>
  <si>
    <t>This classification applies to a non residential account whose average monthly maximum demand used for billing purposes is equal to or greater than, or is forecast to be equal to or greater than, 50kW but less than 3,000 kW.  
Class A and Class B customers are defined in accordance with O.Reg.429/04.  Further servicing details are available in the distributor's Conditions of Service.</t>
  </si>
  <si>
    <t>4_GENERAL SERVICE 50 TO 2,999 KW SERVICE CLASSIFICATION_MSC</t>
  </si>
  <si>
    <t>4_GENERAL SERVICE 50 TO 2,999 KW SERVICE CLASSIFICATION_DVC</t>
  </si>
  <si>
    <t>4_GENERAL SERVICE 50 TO 2,999 KW SERVICE CLASSIFICATION_LV</t>
  </si>
  <si>
    <t>4_GENERAL SERVICE 50 TO 2,999 KW SERVICE CLASSIFICATION_GA_kwh</t>
  </si>
  <si>
    <t>4_GENERAL SERVICE 50 TO 2,999 KW SERVICE CLASSIFICATION_DEFVAR_ALL</t>
  </si>
  <si>
    <t>4_GENERAL SERVICE 50 TO 2,999 KW SERVICE CLASSIFICATION_Retail Transmission Rate - Network Service Rate</t>
  </si>
  <si>
    <t>4_GENERAL SERVICE 50 TO 2,999 KW SERVICE CLASSIFICATION_Retail Transmission Rate - Line and Transformation Connection Service Rate</t>
  </si>
  <si>
    <t>4_GENERAL SERVICE 50 TO 2,999 KW SERVICE CLASSIFICATION_WMSR</t>
  </si>
  <si>
    <t>4_GENERAL SERVICE 50 TO 2,999 KW SERVICE CLASSIFICATION_RRRP</t>
  </si>
  <si>
    <t>4_GENERAL SERVICE 50 TO 2,999 KW SERVICE CLASSIFICATION_SSS</t>
  </si>
  <si>
    <t>5_GENERAL SERVICE 3,000 TO 4,999 KW SERVICE CLASSIFICATION</t>
  </si>
  <si>
    <t>This classification applies to a non residential account whose average peak demand used for billing purposes over the past twelve months is equal to or greater than, or forecast to be equal to or greater than, 3,000 kW but less than 5,000 kW. Class A and Class B customers are defined in accordance with O.Reg.429/04. Further servicing details are available in the distributor's Conditions of Service.</t>
  </si>
  <si>
    <t>5_GENERAL SERVICE 3,000 TO 4,999 KW SERVICE CLASSIFICATION_MSC</t>
  </si>
  <si>
    <t>5_GENERAL SERVICE 3,000 TO 4,999 KW SERVICE CLASSIFICATION_DVC</t>
  </si>
  <si>
    <t>5_GENERAL SERVICE 3,000 TO 4,999 KW SERVICE CLASSIFICATION_LV</t>
  </si>
  <si>
    <t>5_GENERAL SERVICE 3,000 TO 4,999 KW SERVICE CLASSIFICATION_GA_kwh</t>
  </si>
  <si>
    <t>5_GENERAL SERVICE 3,000 TO 4,999 KW SERVICE CLASSIFICATION_DEFVAR_ALL</t>
  </si>
  <si>
    <t>5_GENERAL SERVICE 3,000 TO 4,999 KW SERVICE CLASSIFICATION_Retail Transmission Rate - Network Service Rate</t>
  </si>
  <si>
    <t>5_GENERAL SERVICE 3,000 TO 4,999 KW SERVICE CLASSIFICATION_WMSR</t>
  </si>
  <si>
    <t>5_GENERAL SERVICE 3,000 TO 4,999 KW SERVICE CLASSIFICATION_RRRP</t>
  </si>
  <si>
    <t>5_GENERAL SERVICE 3,000 TO 4,999 KW SERVICE CLASSIFICATION_SSS</t>
  </si>
  <si>
    <t xml:space="preserve">This classification applies to an account whose average monthly maximum demand used for billing purposes is greater than, or is forecast to be greater than, 5,000 kW. Class A and Class B customers are defined in accordance with O.Reg.429/04. Further servicing details are available in the distributor's Conditions of Service.  </t>
  </si>
  <si>
    <t>In general, all services will be metered.  However, certain types of electrical loads are not practical to meter, or the cost of metering represents an inordinate expense to both the Customer and Veridian.  Such connections include cable TV power packs, bus shelters, telephone booths, traffic lights, railway crossings, etc.  These situations can be managed through a controlled connection and a pre-defined basis for estimating consumption. Class B consumers are defined in accordance with O. Reg. 429/04. Further servicing details are available in the distributor's Conditions of Service.</t>
  </si>
  <si>
    <t>7_UNMETERED SCATTERED LOAD SERVICE CLASSIFICATION_LV</t>
  </si>
  <si>
    <t>8_SENTINEL LIGHTING SERVICE CLASSIFICATION</t>
  </si>
  <si>
    <t>Sentinel lights (dusk-to-dawn) connected to unmetered wires will have a flat rate monthly energy charge added to the regular customer bill. Class B consumers are defined in accordance with O. Reg. 429/04. Further servicing details are available in the distributor's Conditions of Service.</t>
  </si>
  <si>
    <t>8_SENTINEL LIGHTING SERVICE CLASSIFICATION_MSC</t>
  </si>
  <si>
    <t>8_SENTINEL LIGHTING SERVICE CLASSIFICATION_DVC</t>
  </si>
  <si>
    <t>8_SENTINEL LIGHTING SERVICE CLASSIFICATION_LV</t>
  </si>
  <si>
    <t>8_SENTINEL LIGHTING SERVICE CLASSIFICATION_GA_kwh</t>
  </si>
  <si>
    <t>8_SENTINEL LIGHTING SERVICE CLASSIFICATION_DEFVAR_ALL</t>
  </si>
  <si>
    <t>8_SENTINEL LIGHTING SERVICE CLASSIFICATION_Retail Transmission Rate - Network Service Rate</t>
  </si>
  <si>
    <t>8_SENTINEL LIGHTING SERVICE CLASSIFICATION_Retail Transmission Rate - Line and Transformation Connection Service Rate</t>
  </si>
  <si>
    <t>8_SENTINEL LIGHTING SERVICE CLASSIFICATION_WMSR</t>
  </si>
  <si>
    <t>8_SENTINEL LIGHTING SERVICE CLASSIFICATION_RRRP</t>
  </si>
  <si>
    <t>8_SENTINEL LIGHTING SERVICE CLASSIFICATION_SSS</t>
  </si>
  <si>
    <t>All services supplied to street or roadway lighting equipment owned by or operated for a municipality or the Province of Ontario shall be classified as Street Lighting Service. Class B consumers are defined in accordance with O. Reg. 429/04.  Further servicing details are available in the distributor's Conditions of Service.</t>
  </si>
  <si>
    <t>9_STREET LIGHTING SERVICE CLASSIFICATION_LRAM</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</si>
  <si>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</si>
  <si>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Veridian Connections Inc._ALLOWANCES</t>
  </si>
  <si>
    <t>Veridian Connections Inc._SSC</t>
  </si>
  <si>
    <t>Veridian Connections Inc._CA</t>
  </si>
  <si>
    <t>Veridian Connections Inc._NPoA</t>
  </si>
  <si>
    <t>Customer substation isolation - after hours</t>
  </si>
  <si>
    <t>Veridian Connections Inc._RSC</t>
  </si>
  <si>
    <t>Veridian Connections Inc._LFs</t>
  </si>
  <si>
    <t>Veridian Connections Inc._End</t>
  </si>
  <si>
    <t>Fort Frances Power Corporation_Start</t>
  </si>
  <si>
    <t>This section governs all services intended to supply electrical energy to buildings or sections of building devoted to living quarters such as houses, living accommodations at the rear of stores, self-contained and individually metered suites.  These services are commonly referred to as Residential or Domestic Services.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</si>
  <si>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RATES AND CHARGES - Regulatory Component of this schedule do not apply to a customer that is an embedded wholesale market participant.</t>
  </si>
  <si>
    <t>Rate Rider for Disposition of Account 1576 - effective until August 31, 2019</t>
  </si>
  <si>
    <t>This section governs small commercial services and includes small stores, small service stations, restaurants, churches, small offices and other establishments with similar loads and whose monthly average peak demand is less than, or forecasted to be less than, 50 kW. Class B consumers are defined in accordance with O. Reg. 429/04. Further servicing details are available in the distributor's Conditions of Services.</t>
  </si>
  <si>
    <t>This type of service will normally be applicable to small industry, departmental or larger stores such as supermarkets, shopping centers, storage buildings, large garages, restaurants, office buildings, institutions, hotels, hospitals, schools, colleges, arenas, apartment blocks or buildings and other comparable establishments and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</si>
  <si>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a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</si>
  <si>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for roadway lighting with a Municipality within the service boundaries.  The consumption for these customers is based on the calculated load time the established hours of use in the Ontario Energy Board's load shape template.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</si>
  <si>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</si>
  <si>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the wholesale price, as applicable.</t>
  </si>
  <si>
    <t>Fort Frances Power Corporation_ALLOWANCES</t>
  </si>
  <si>
    <t>Fort Frances Power Corporation_SSC</t>
  </si>
  <si>
    <t>Fort Frances Power Corporation_CA</t>
  </si>
  <si>
    <t>Fort Frances Power Corporation_NPoA</t>
  </si>
  <si>
    <t>Fort Frances Power Corporation_RSC</t>
  </si>
  <si>
    <t>Fort Frances Power Corporation_LFs</t>
  </si>
  <si>
    <t>Fort Frances Power Corporation_End</t>
  </si>
  <si>
    <t>Grimsby Power Incorporated_Start</t>
  </si>
  <si>
    <t>This class refers to the supply of electricity to residential customers residing in detached or semi-detached dwelling units, as defined in the local zoning by-law.  Residential Service means a service which is less than 50 kW supplied to single-family dwelling units that is for domestic or household purposes, including seasonal occupancy.  At Grimsby Power's discretion, residential rates may be applied to apartment buildings with 6 or less units by simple application of the residential rate or by blocking the residential rate by the number of units.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</si>
  <si>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</si>
  <si>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</si>
  <si>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This classification applies to a non-residential customer that is identified by the billing system as registering under 50 kW on a demand meter in any one month of the year.  Class A and Class B consumers are defined in accordance with O. Reg. 429/04. Further servicing details are available in the distributor’s Conditions of Service.</t>
  </si>
  <si>
    <t>This classification applies to a non-residential customer that is identified by the billing system as registering equal to or over 50 kW on a demand meter in any one month of the year. Class A and Class B consumers are defined in accordance with O. Reg. 429/04. Further servicing details are available in the distributor’s Conditions of Service.</t>
  </si>
  <si>
    <t>This classification applies to electricity consumption that is not metered and is billed based on estimated usage.  Such connections include street lighting equipment not owned by or operated for a municipality or the Province of Ontario, traffic signals and other small services etc.  Class A and Class B consumers are defined in accordance with O. Reg. 429/04. Further servicing details are available in the distributor’s Conditions of Service.</t>
  </si>
  <si>
    <t>All services to street lighting equipment owned by or operated for a municipality or the Province of Ontario shall be classified as Street Lighting Service.  Consumption is as per the Ontario Energy Board's street lighting load shape. Class A and Class B consumers are defined in accordance with O. Reg. 429/04. Further servicing details are available in the distributor’s Conditions of Service.</t>
  </si>
  <si>
    <t>7_EMBEDDED DISTRIBUTOR SERVICE CLASSIFICATION</t>
  </si>
  <si>
    <t>This classification applies to Niagara Peninsula Energy Inc. an electricity distributor licensed by the Ontario Energy Board, that is provided electricity by means of this distributor's facilities.  Further servicing details are available in
the distributor’s Conditions of Service.</t>
  </si>
  <si>
    <t>7_EMBEDDED DISTRIBUTOR SERVICE CLASSIFICATION_MSC</t>
  </si>
  <si>
    <t>7_EMBEDDED DISTRIBUTOR SERVICE CLASSIFICATION_DVC</t>
  </si>
  <si>
    <t>7_EMBEDDED DISTRIBUTOR SERVICE CLASSIFICATION_Retail Transmission Rate - Line and Transformation Connection Service Rate</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</si>
  <si>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</si>
  <si>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It should be noted that this schedule does not list any charges, assessments or credits that are required by law to be invoiced by a distributor and that are not subject to Ontario Energy Board approval, such as  the Global Adjustment and the HST.</t>
  </si>
  <si>
    <t>Grimsby Power Incorporated_ALLOWANCES</t>
  </si>
  <si>
    <t>Grimsby Power Incorporated_SSC</t>
  </si>
  <si>
    <t>Grimsby Power Incorporated_CA</t>
  </si>
  <si>
    <t xml:space="preserve">     Arrears certificate</t>
  </si>
  <si>
    <t xml:space="preserve">     Statement of account</t>
  </si>
  <si>
    <t xml:space="preserve">     Pulling post dated cheques</t>
  </si>
  <si>
    <t xml:space="preserve">     Duplicate invoices for previous billing</t>
  </si>
  <si>
    <t xml:space="preserve">     Easement letter</t>
  </si>
  <si>
    <t xml:space="preserve">     Account history</t>
  </si>
  <si>
    <t xml:space="preserve">     Credit reference/credit check (plus credit agency costs)</t>
  </si>
  <si>
    <t xml:space="preserve">     Returned cheque charge (plus bank charges)</t>
  </si>
  <si>
    <t xml:space="preserve">     Charge to certify cheque</t>
  </si>
  <si>
    <t xml:space="preserve">     Legal letter charge</t>
  </si>
  <si>
    <t xml:space="preserve">     Account set up charge/change of occupancy charge (plus credit agency costs if applicable)</t>
  </si>
  <si>
    <t xml:space="preserve">     Special meter reads</t>
  </si>
  <si>
    <t xml:space="preserve">     Meter dispute charge plus Measurement Canada fees (if meter found correct)</t>
  </si>
  <si>
    <t xml:space="preserve">     Interval meter interrogation</t>
  </si>
  <si>
    <t>Grimsby Power Incorporated_NPoA</t>
  </si>
  <si>
    <t xml:space="preserve">     Late payment - per annum</t>
  </si>
  <si>
    <t xml:space="preserve">     Collection of account charge - no disconnection</t>
  </si>
  <si>
    <t xml:space="preserve">     Collection of account charge - no disconnection - after regular hours</t>
  </si>
  <si>
    <t xml:space="preserve">     Disconnect/reconnect charges at meter - during regular hours</t>
  </si>
  <si>
    <t xml:space="preserve">     Disconnect/reconnect charges at meter - after regular hours</t>
  </si>
  <si>
    <t xml:space="preserve">     Disconnect/reconnect charges at pole - during regular hours</t>
  </si>
  <si>
    <t xml:space="preserve">     Disconnect/reconnect charges at pole - after regular hours</t>
  </si>
  <si>
    <t xml:space="preserve">     Install/remove load control device - during regular hours</t>
  </si>
  <si>
    <t xml:space="preserve">     Install/remove load control device - after regular hours</t>
  </si>
  <si>
    <t xml:space="preserve">     Service call - customer-owned equipment</t>
  </si>
  <si>
    <t xml:space="preserve">     Service call - customer-owned equipment - after regular hours</t>
  </si>
  <si>
    <t xml:space="preserve">     Temporary service install &amp; remove - overhead - no transformer</t>
  </si>
  <si>
    <t xml:space="preserve">     Temporary service install &amp; remove - underground - no transformer</t>
  </si>
  <si>
    <t xml:space="preserve">     Temporary service install &amp; remove - overhead - with transformer</t>
  </si>
  <si>
    <t xml:space="preserve">     Specific charge for access to the power poles per pole/year</t>
  </si>
  <si>
    <t xml:space="preserve">     (with the exception of wireless attachments)</t>
  </si>
  <si>
    <t>Grimsby Power Incorporated_RSC</t>
  </si>
  <si>
    <t xml:space="preserve">     One-time charge, per retailer, to establish the service agreement between the distributor and the retailer</t>
  </si>
  <si>
    <t xml:space="preserve">     Monthly Fixed Charge, per retailer</t>
  </si>
  <si>
    <t xml:space="preserve">     Monthly Variable Charge, per customer, per retailer</t>
  </si>
  <si>
    <t xml:space="preserve">     Distributor-consolidated billing monthly charge, per customer, per retailer</t>
  </si>
  <si>
    <t xml:space="preserve">     Retailer-consolidated billing monthly credit, per customer, per retailer</t>
  </si>
  <si>
    <t xml:space="preserve">     Service Transaction Requests (STR) </t>
  </si>
  <si>
    <t xml:space="preserve">          Request fee, per request, applied to the requesting party</t>
  </si>
  <si>
    <t xml:space="preserve">          Processing fee, per request, applied to the requesting party</t>
  </si>
  <si>
    <t xml:space="preserve">     Request for customer information as outlined in Section 10.6.3 and Chapter 11 of the Retail</t>
  </si>
  <si>
    <t xml:space="preserve">     Settlement Code directly to retailers and customers, if not delivered electronically through the</t>
  </si>
  <si>
    <t xml:space="preserve">     Electronic Business Transaction (EBT) system, applied to the requesting party </t>
  </si>
  <si>
    <t xml:space="preserve">          Up to twice a year</t>
  </si>
  <si>
    <t xml:space="preserve">          More than twice a year, per request (plus incremental delivery costs)</t>
  </si>
  <si>
    <t>Grimsby Power Incorporated_LFs</t>
  </si>
  <si>
    <t>Grimsby Power Incorporated_End</t>
  </si>
  <si>
    <t>Halton Hills Hydro Inc._Start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</si>
  <si>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The customer will be supplied at one service entrance only.  Class B consumers are defined in accordance with O. Reg. 429/04. Further servicing details are available in the distributor’s Conditions of Service. </t>
  </si>
  <si>
    <t xml:space="preserve">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 </t>
  </si>
  <si>
    <t xml:space="preserve">This classification applies to a non-residential customer with an average peak demand equal to or greater than 50 kW over the past twelve months, or is forecast to be equal to or greater than 50 kW, but less than 1,000 kW.  For a new customer without prior billing history, the peak demand will be based on 90% of the proposed capacity or installed transformer. Class B consumers are defined in accordance with O. Reg. 429/04. Further servicing details are available in the distributor’s Conditions of Service. </t>
  </si>
  <si>
    <t>Billing demands are established at the greater of 100% of the kW, or 90% of the kVA amounts with the exception of the Retail Transmission Rate-Network Service Rate, which is billed on a $/kW basis only.</t>
  </si>
  <si>
    <t xml:space="preserve">This classification applies to a non-residential customer with an average peak demand equal to or greater than 1,000 kW over the past twelve months, or is forecast to be equal to or greater than 1,000 kW, but less than 5,000 kW.  For a new customer without prior billing history, the peak demand will be based on 90% of the installed transformer.  Class A and Class B consumers are defined in accordance with O.Reg. 429/04. Further servicing details are available in the distributor’s Conditions of Service. </t>
  </si>
  <si>
    <t xml:space="preserve">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</si>
  <si>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This classification refers to accounts that are an unmetered lighting load supplied to a sentinel light. Class B consumers are defined in accordance with O. Reg. 429/04. Further servicing details are available in the distributor’s Conditions of Service. </t>
  </si>
  <si>
    <t>6_SENTINEL LIGHTING SERVICE CLASSIFICATION_DEFVAR_ALL</t>
  </si>
  <si>
    <t xml:space="preserve">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Halton Hills Hydro specifications. Class B consumers are defined in accordance with O. Reg. 429/04. Further servicing details are available in the distributor’s Conditions of Service. </t>
  </si>
  <si>
    <t>7_STREET LIGHTING SERVICE CLASSIFICATION_DEFVAR_ALL</t>
  </si>
  <si>
    <t>Halton Hills Hydro Inc._ALLOWANCES</t>
  </si>
  <si>
    <t>Halton Hills Hydro Inc._SSC</t>
  </si>
  <si>
    <t>Halton Hills Hydro Inc._CA</t>
  </si>
  <si>
    <t>Halton Hills Hydro Inc._NPoA</t>
  </si>
  <si>
    <t xml:space="preserve">Other </t>
  </si>
  <si>
    <t>Temporary service install &amp; remove - overhead - no transformer</t>
  </si>
  <si>
    <t>Interval meter charge</t>
  </si>
  <si>
    <t>Halton Hills Hydro Inc._RSC</t>
  </si>
  <si>
    <t>Halton Hills Hydro Inc._LFs</t>
  </si>
  <si>
    <t>Halton Hills Hydro Inc._End</t>
  </si>
  <si>
    <t>Hearst Power Distribution Company Ltd._Start</t>
  </si>
  <si>
    <t>This classification refers to accounts for customers residing in single dwelling units that consist of a detached house, semi detached, duplex, triplex or quadruplex house, or individually metered apartment building. Class B consumers are defined in accordance with O. Reg. 429/04. Further servicing details are available in the utility’s Conditions of Service.</t>
  </si>
  <si>
    <t>Rate Rider for Disposition of Residual Historical Smart Meter Costs - effective until December 31, 2019</t>
  </si>
  <si>
    <t>Rate Rider for Recovery of Stranded Meter Assets - effective until December 31, 2019</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</si>
  <si>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utility’s Conditions of Service.</t>
  </si>
  <si>
    <t>GENERAL SERVICE 50 TO 1,499 KW SERVICE CLASSIFICATION</t>
  </si>
  <si>
    <t>This classification refers to a non residential account whose monthly average peak is equal to or greater than, or is forecast to be equal to or greater than, 50 kW but less than 1,500 kW.  Class A and Class B consumers are defined in accordance with O. Reg. 429/04. Further servicing details are available in the utility’s Conditions of Service.</t>
  </si>
  <si>
    <t>4_INTERMEDIATE USER SERVICE CLASSIFICATION</t>
  </si>
  <si>
    <t>This classification refers to a non residential account whose monthly average peak is equal to or greater than, or is forecast to be equal to or greater than, 1,500 kW but less than 5,000 kW. Class A and Class B consumers are defined in accordance with O. Reg. 429/04. Further servicing details are available in the utility’s Conditions of Service.</t>
  </si>
  <si>
    <t>4_INTERMEDIATE USER SERVICE CLASSIFICATION_MSC</t>
  </si>
  <si>
    <t>4_INTERMEDIATE USER SERVICE CLASSIFICATION_SMA</t>
  </si>
  <si>
    <t>4_INTERMEDIATE USER SERVICE CLASSIFICATION_DVC</t>
  </si>
  <si>
    <t>4_INTERMEDIATE USER SERVICE CLASSIFICATION_LV</t>
  </si>
  <si>
    <t>4_INTERMEDIATE USER SERVICE CLASSIFICATION_GA_kwh</t>
  </si>
  <si>
    <t>4_INTERMEDIATE USER SERVICE CLASSIFICATION_DEFVAR_ALL</t>
  </si>
  <si>
    <t>4_INTERMEDIATE USER SERVICE CLASSIFICATION_WMSR</t>
  </si>
  <si>
    <t>4_INTERMEDIATE USER SERVICE CLASSIFICATION_RRRP</t>
  </si>
  <si>
    <t>4_INTERMEDIATE USER SERVICE CLASSIFICATION_SSS</t>
  </si>
  <si>
    <t>This classification is a sub-category of the street lighting load. These customers are billed on a fixed load based on the size of bulb. Class B consumers are defined in accordance with O. Reg. 429/04. Further servicing details are available in the utility’s Conditions of Service.</t>
  </si>
  <si>
    <t>This classification refers to roadway lighting within the town, and private roadway lighting operation, controlled by photo cells.  The consumption for these customers is based on the calculated connected load times the required lighting times established in the approved Ontario Energy Board street lighting load shape template. Class B consumers are defined in accordance with O. Reg. 429/04. Further servicing details are available in the utility’s Conditions of Service.</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</si>
  <si>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</si>
  <si>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Hearst Power Distribution Company Ltd._ALLOWANCES</t>
  </si>
  <si>
    <t>Hearst Power Distribution Company Ltd._SSC</t>
  </si>
  <si>
    <t>Hearst Power Distribution Company Ltd._CA</t>
  </si>
  <si>
    <t>Hearst Power Distribution Company Ltd._NPoA</t>
  </si>
  <si>
    <t xml:space="preserve">Disconnect/reconnect at pole - during regular hours </t>
  </si>
  <si>
    <t>time and materials</t>
  </si>
  <si>
    <t xml:space="preserve">Temporary service install and remove - overhead - no transformer </t>
  </si>
  <si>
    <t>Temporary service install and remove - underground - no transformer</t>
  </si>
  <si>
    <t>Hearst Power Distribution Company Ltd._RSC</t>
  </si>
  <si>
    <t>Hearst Power Distribution Company Ltd._LFs</t>
  </si>
  <si>
    <t>Hearst Power Distribution Company Ltd._End</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</si>
  <si>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</si>
  <si>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</si>
  <si>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</si>
  <si>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Service Charge (per device)</t>
  </si>
  <si>
    <t>9_SENTINEL LIGHTING SERVICE CLASSIFICATION_GA_kwh</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</si>
  <si>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</si>
  <si>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10_STREET LIGHTING SERVICE CLASSIFICATION_GA_kwh</t>
  </si>
  <si>
    <t>This classification refers to an account that has Load Displacement Generation and requires the distributor to provide back-up service.  Further servicing details are available in the distributor’s Conditions of Service.</t>
  </si>
  <si>
    <t>MONTHLY RATES AND CHARGES - Delivery Component - APPROVED ON AN INTERIM BASIS</t>
  </si>
  <si>
    <t>Temporary service - install and remove - underground - no transformer</t>
  </si>
  <si>
    <t>Temporary service - install and remove - overhead - with transformer</t>
  </si>
  <si>
    <t>Hydro One Networks Inc.-Former Haldimand County Hydro Inc. Service Area</t>
  </si>
  <si>
    <t>Hydro One Networks Inc.-Former Haldimand County Hydro Inc. Service Area_Start</t>
  </si>
  <si>
    <t>Rate Rider per Hydro One Networks’ Acquisition Agreement - effective until June 30, 2020</t>
  </si>
  <si>
    <t>1_RESIDENTIAL SERVICE CLASSIFICATION_FAREG</t>
  </si>
  <si>
    <t>Rate Rider per Hydro One Networks’ Acquisition Agreement (per connection) - effective until June 30, 2020</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</si>
  <si>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</si>
  <si>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EMBEDDED DISTRIBUTOR SERVICE CLASSIFICATION FOR HYDRO ONE NETWORKS INC.</t>
  </si>
  <si>
    <t>This classification applies to Hydro One Networks Inc., an electricity distributor licensed by the Ontario Energy Board, and provided electricity by means of Haldimand County Hydro Inc.’s distribution facilities. Class B consumers are defined in accordance with O. Reg. 429/04. Further servicing details are available in the distributor’s Conditions of Service.</t>
  </si>
  <si>
    <t>Disconnect/reconnect charge - at meter during regular hours</t>
  </si>
  <si>
    <t>Disconnect/reconnect charge - at meter after regular hours</t>
  </si>
  <si>
    <t>Norfolk Pole Rentals - Billed</t>
  </si>
  <si>
    <t>Total Loss Factor - Embedded Distributor - Hydro One Networks Inc.</t>
  </si>
  <si>
    <t>Hydro One Networks Inc.-Former Haldimand County Hydro Inc. Service Area_End</t>
  </si>
  <si>
    <t>Hydro One Networks Inc.-Former Norfolk Power Distribution Inc. Service Area</t>
  </si>
  <si>
    <t>Hydro One Networks Inc.-Former Norfolk Power Distribution Inc.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</si>
  <si>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</si>
  <si>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 xml:space="preserve">Rate Rider per Acquisition Agreement - effective until September 7, 2019 </t>
  </si>
  <si>
    <t>Rate Rider per Acquisition Agreement - effective until September 7, 2019</t>
  </si>
  <si>
    <t>1_RESIDENTIAL SERVICE CLASSIFICATION_STS</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</si>
  <si>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</si>
  <si>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</si>
  <si>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Low Voltage Rate Rider per Acquisition Agreement - effective until September 7, 2019</t>
  </si>
  <si>
    <t>6_UNMETERED SCATTERED LOAD SERVICE CLASSIFICATION_STS</t>
  </si>
  <si>
    <t>This classification refers to accounts that are unmetered lighting load supplied to a sentinel light. Class B consumers are defined in accordance with O. Reg. 429/04. Further servicing details are available in the distributor’s Conditions of Service.</t>
  </si>
  <si>
    <t>Pulling post-dated cheques</t>
  </si>
  <si>
    <t>Account set up charge / change of occupancy charge (plus credit agency costs if applicable)</t>
  </si>
  <si>
    <t>Hydro One Networks Inc.-Former Norfolk Power Distribution Inc. Service Area_End</t>
  </si>
  <si>
    <t>Hydro One Networks Inc.-Former Woodstock Hydro Services Inc. Service Area</t>
  </si>
  <si>
    <t>Hydro One Networks Inc.-Former Woodstock Hydro Services Inc.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</si>
  <si>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</si>
  <si>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per Hydro One Networks’ Acquisition Agreement - effective until October 30, 2020</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</si>
  <si>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</si>
  <si>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1,000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</si>
  <si>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</si>
  <si>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Hydro One Networks Inc._ALLOWANCES</t>
  </si>
  <si>
    <t>Hydro One Networks Inc._SSC</t>
  </si>
  <si>
    <t>Hydro One Networks Inc._CA</t>
  </si>
  <si>
    <t>Hydro One Networks Inc._NPoA</t>
  </si>
  <si>
    <t>Hydro One Networks Inc._RSC</t>
  </si>
  <si>
    <t>Hydro One Networks Inc._LFs</t>
  </si>
  <si>
    <t>Hydro One Networks Inc.-Former Woodstock Hydro Services Inc. Service Area_End</t>
  </si>
  <si>
    <t>Hydro Ottawa Limited_Start</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</si>
  <si>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</si>
  <si>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</si>
  <si>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</si>
  <si>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</si>
  <si>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</si>
  <si>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</si>
  <si>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</si>
  <si>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</si>
  <si>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</si>
  <si>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8_STANDBY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</si>
  <si>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</si>
  <si>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asthe Global Adjustment and the HST.</t>
  </si>
  <si>
    <t>General Service 50 TO 1,4999 kW customer</t>
  </si>
  <si>
    <t>8_STANDBY POWER SERVICE CLASSIFICATION_DVC</t>
  </si>
  <si>
    <t>General Service 1,500 TO 4,999 kW customer</t>
  </si>
  <si>
    <t>General Service Large User kW customer</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</si>
  <si>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</si>
  <si>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</si>
  <si>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 xml:space="preserve">Unless specifically noted, this schedule does not contain any charges for the electricity commodity, be it under the Regulated Price Plan, a contract with a retailer or the wholesale market price, as applicable. </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</si>
  <si>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</si>
  <si>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</si>
  <si>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Hydro Ottawa Limited_ALLOWANCES</t>
  </si>
  <si>
    <t>Hydro Ottawa Limited_SSC</t>
  </si>
  <si>
    <t>Hydro Ottawa Limited_CA</t>
  </si>
  <si>
    <t>Account certificate</t>
  </si>
  <si>
    <t>Special billing service per hour (min 1 hour, 15 min incremental billing thereafter)</t>
  </si>
  <si>
    <t>Unprocessed payment charge (plus bank charges)</t>
  </si>
  <si>
    <t>Disconnect/reconnect at meter - regular hours (under account administration - new account)</t>
  </si>
  <si>
    <t>Disconnect/reconnect at meter - after regular hours (under account administration - new account)</t>
  </si>
  <si>
    <t>Interval meter - field reading</t>
  </si>
  <si>
    <t>High bill investigation - if billing is correct</t>
  </si>
  <si>
    <t>Hydro Ottawa Limited_NPoA</t>
  </si>
  <si>
    <t>Dry core transformer distribution charge</t>
  </si>
  <si>
    <t>Per Attached Table</t>
  </si>
  <si>
    <t>Hydro Ottawa Limited_RSC</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</si>
  <si>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</si>
  <si>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Hydro Ottawa Limited_LFs</t>
  </si>
  <si>
    <t>Hydro Ottawa Limited_End</t>
  </si>
  <si>
    <t>Kenora Hydro Electric Corporation Ltd._Start</t>
  </si>
  <si>
    <t>All services supplied to single-family dwelling units for domestic or household purposes shall be classified as 
residential service. Subclasses would be:</t>
  </si>
  <si>
    <t xml:space="preserve">Overhead
      Transformers not on private property   
      Transformers on private property
 Underground
     Transformers not on private property
     Transformers on private property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</si>
  <si>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</si>
  <si>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 
For new installations, demand sizing is based on the main switch size in amps converted to kVA. Class B consumers are defined in accordance with O. Reg. 429/04. Further servicing details are available in the distributor’s Conditions of Service.      
</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</si>
  <si>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t>
  </si>
  <si>
    <t xml:space="preserv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t>
  </si>
  <si>
    <t xml:space="preserve">For new installations, demand sizing is based on the main switch size in amps converted to kVA. Class A and Class B consumers are defined in accordance with O. Reg. 429/04. Further servicing details are available in the distributor’s Conditions of Service.       
</t>
  </si>
  <si>
    <t xml:space="preserve">This classification applies to an account whose average monthly maximum demand is less than, or is forecast to be less than, 50 kVA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</si>
  <si>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All service supplied to any electrical street lighting equipment owned by, or operated for, the City of Kenora that is 
used to illuminate roadways and sidewalks, etc. The street light equipment is not metered, and they turn on and off by photoelectric cells. The consumption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 
</t>
  </si>
  <si>
    <t xml:space="preserve">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</si>
  <si>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t>
  </si>
  <si>
    <t>Kenora Hydro Electric Corporation Ltd._ALLOWANCES</t>
  </si>
  <si>
    <t>Kenora Hydro Electric Corporation Ltd._SSC</t>
  </si>
  <si>
    <t>Kenora Hydro Electric Corporation Ltd._CA</t>
  </si>
  <si>
    <t>Kenora Hydro Electric Corporation Ltd._NPoA</t>
  </si>
  <si>
    <t>Kenora Hydro Electric Corporation Ltd._RSC</t>
  </si>
  <si>
    <t>Kenora Hydro Electric Corporation Ltd._LFs</t>
  </si>
  <si>
    <t>Kenora Hydro Electric Corporation Ltd._End</t>
  </si>
  <si>
    <t>Kingston Hydro Corporation_Start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</si>
  <si>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</si>
  <si>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</si>
  <si>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</si>
  <si>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</si>
  <si>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changes, assessments or credits that are required by law to be invoiced by a distributor and that are not subject to Ontario Energy Board approval, such as the Debt Retirement Charge, the Global Adjustment, and the HST.
</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</si>
  <si>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</si>
  <si>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changes, assessments or credits that are required by law to be invoiced by a distributor and that are not subject to Ontario Energy Board approval, such as the Debt Retirement Charge, the Global Adjustment, and the HST.</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</si>
  <si>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</si>
  <si>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</si>
  <si>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It should be noted that this schedule does not list any changes, assessments or credits that are required by law to be invoiced by a distributor and that are not subject to Ontario Energy Board approval, such as the Debt Retirement Charge, the Global Adjustment,  and the HST.</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</si>
  <si>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</si>
  <si>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Conditons of Service.</t>
  </si>
  <si>
    <t>This classification refers to an account that has Load Displacement Generation and requires Kingston Hydro Corporation to provide back-up service. Standby Charges are to be applied to behind-the-meter generators that are not IESO market participants, FIT program participants, net-metered generators or retail generators, which have their own metering and settlement conventions as per regulation and legislation. Further servicing details are available in the distributors's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</si>
  <si>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</si>
  <si>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Kingston Hydro Corporation_ALLOWANCES</t>
  </si>
  <si>
    <t>Kingston Hydro Corporation_SSC</t>
  </si>
  <si>
    <t>Kingston Hydro Corporation_CA</t>
  </si>
  <si>
    <t xml:space="preserve">     Request for other billing information</t>
  </si>
  <si>
    <t xml:space="preserve">     Returned cheque (plus bank charges)</t>
  </si>
  <si>
    <t xml:space="preserve">     Legal letter</t>
  </si>
  <si>
    <t>Kingston Hydro Corporation_NPoA</t>
  </si>
  <si>
    <t xml:space="preserve">     Layout fees</t>
  </si>
  <si>
    <t>Kingston Hydro Corporation_RSC</t>
  </si>
  <si>
    <t>Kingston Hydro Corporation_LFs</t>
  </si>
  <si>
    <t>Kingston Hydro Corporation_End</t>
  </si>
  <si>
    <t>Kitchener-Wilmot Hydro Inc._Start</t>
  </si>
  <si>
    <t>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999 kW non-interval metered, General Service 50 to 999 kW interval metered and General Service 1,000 to 4,999 kW interval metered.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</si>
  <si>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</si>
  <si>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</si>
  <si>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</si>
  <si>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This classification applies to an account with load displacement facilities that contracts with the distributor to provide emergency standby power when its load displacement facilities are not in operation. The level of the billing demand will be agreed to by the distributor and the customer, based on detailed manufacturer information/documentation such as name-plate rating of the load displacement facility.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</si>
  <si>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generation facility).</t>
  </si>
  <si>
    <t>Kitchener-Wilmot Hydro Inc._ALLOWANCES</t>
  </si>
  <si>
    <t>Kitchener-Wilmot Hydro Inc._SSC</t>
  </si>
  <si>
    <t>Kitchener-Wilmot Hydro Inc._CA</t>
  </si>
  <si>
    <t>Kitchener-Wilmot Hydro Inc._NPoA</t>
  </si>
  <si>
    <t>Meter removal without authorization</t>
  </si>
  <si>
    <t>Kitchener-Wilmot Hydro Inc._RSC</t>
  </si>
  <si>
    <t>Kitchener-Wilmot Hydro Inc._LFs</t>
  </si>
  <si>
    <t>Kitchener-Wilmot Hydro Inc._End</t>
  </si>
  <si>
    <t>Lakeland Power Distribution Ltd.-Except for the Former Parry Sound Power Service Area</t>
  </si>
  <si>
    <t>Lakeland Power Distribution Ltd.-Except for the Former Parry Sound Power Service Area_Start</t>
  </si>
  <si>
    <t>This classification refers to the supply of electrical energy to residential customers residing in detached, semi detached, town house (freehold or condominium) dwelling units, duplexes or triplexes.  Supply will be limited up to a maximum of 200 amp @ 240/120 volt. Class B consumers are defined in accordance with O. Reg. 429/04. Further servicing details are available in the distributor's Conditions of Service.</t>
  </si>
  <si>
    <t>This classification refers to a non-residential account taking electricity at 750 volts or less whose monthly peak demand is less than or is expected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</si>
  <si>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expected to be equal to or greater than 50 kW but less then 5,000 kW. Class A and Class B consumers are defined in accordance with O. Reg. 429/04. Further servicing details are available in the distributor's Conditions of Service.</t>
  </si>
  <si>
    <t>This classification refers to a non-residential account taking electricity at 240/120 or 120 volts whose monthly peak demand is less than or expected to be less than 50 kW and is unmetered.  A detailed calculation or the load will be calculated for billing purposes. Class B consumers are defined in accordance with O. Reg. 429/04. Further servicing details are available in the distributor's Conditions of Service.</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</si>
  <si>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</si>
  <si>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</si>
  <si>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Lakeland Power Distribution Ltd.-Except for the Former Parry Sound Power Service Area_End</t>
  </si>
  <si>
    <t>London Hydro Inc._Start</t>
  </si>
  <si>
    <t>This classification applies to an account taking electricity at 750 volts or less where the electricity is used exclusively in a separate metered living accommodation. Separately metered dwellings within a town house complex or apartment building also qualify as residential customers.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Non IESO generation accounts, primarily net-metered accounts taking electricity at 750 volts or less where the electricity is used exclusively in a separate metered living accommodation shall be classified as residential.  Class B consumers are defined in accordance with O. Reg. 429/04.  Further servicing details are available in London Hydro’s Conditions of Service.</t>
  </si>
  <si>
    <t>This classification applies to a non-residential account taking electricity at 750 volts or less whose average monthly maximum demand is less than, or is forecast to be less than, 50 kW.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Class B consumers are defined in accordance with O. Reg. 429/04.  Further servicing details are available in London Hydro’s Conditions of Service.</t>
  </si>
  <si>
    <t>This classification applies to a non residential account whose average monthly maximum demand used for billing purposes is equal to or greater than, or is forecast to be equal to or greater than, 50 kW but less than 5,000 kW. Note that for the determination of the billing demand and the application of the Retail Transmission Rate - Network Service Rate and the Retail Transmission Rate - Line and Transformation Connection Service Rate the following sub-classifications apply:
     General Service 50 to 199 kW non-interval metered
     General Service 50 to 4,999 kW interval metered.
Class A and Class B consumers are defined in accordance with O. Reg. 429/04.  Further servicing details are available in London Hydro’s Conditions of Service.</t>
  </si>
  <si>
    <t>Embedded generation, co-generation or load displacement customers have the option to reserve demand capacity on the London Hydro distribution system for import load through mutual agreement/contract. For the embedded generation customers with a gross peak demand annual average of less than 1,000 kW and equal to or greater than 50 kW per month, the General Service 50 to 4,999 kW distribution rates will be applied, as long as there is no requirement for reserve capacity from the customer. For the embedded generation customers with a gross peak demand annual average of less than 50 kW per month, the General Service Less Than 50 kW distribution rates will be applied, as long as there is no requirement for reserve capacity from the customer. Class A and Class B consumers are defined in accordance with O. Reg. 429/04. Further servicing details are available in London Hydro’s Conditions of Service.</t>
  </si>
  <si>
    <t>Distribution Volumetric Rate is applied to billed demand in excess of contracted amount (e.g. nameplate rating of the generation facility)</t>
  </si>
  <si>
    <t>7_STANDBY POWER SERVICE CLASSIFICATION</t>
  </si>
  <si>
    <t>This classification refers to an account that has Load Displacement Generation and requires London Hydro to provide backup service. The distribution Standby Power rate will be applied to all monthly kW’s reserved. Further servicing details are available in London Hydro’s Conditions of Service.</t>
  </si>
  <si>
    <t>Standby Charge is applied to the contracted amount (e.g. nameplate rating of the generation facility).</t>
  </si>
  <si>
    <t>7_STANDBY POWER SERVICE CLASSIFICATION_DVC</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</si>
  <si>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London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</si>
  <si>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Ontaro Energy Board street lighting load shape template. Further servicing details are available in London Hydro’s Conditions of Service.</t>
  </si>
  <si>
    <t>This classification refers to accounts that are an unmetered lighting load supplied to a sentinel light. Further servicing details are available in London Hydro’s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</si>
  <si>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London Hydro’s Conditions of Service.</t>
  </si>
  <si>
    <t>12_microFIT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</si>
  <si>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London Hydro’s Conditions of Service.</t>
  </si>
  <si>
    <t>The application of these rates and charges shall be in accordance with the Licence of the Distributor and any Code or Order of the Ontario Energy Board, and amendments thereto as approved by theOntario Energy Board, which may be applicable to the administration of this schedule.</t>
  </si>
  <si>
    <t>12_microFIT SERVICE CLASSIFICATION_MSC</t>
  </si>
  <si>
    <t>London Hydro Inc._ALLOWANCES</t>
  </si>
  <si>
    <t>London Hydro Inc._SSC</t>
  </si>
  <si>
    <t>CUSTOMER ADMINISTRATION</t>
  </si>
  <si>
    <t>London Hydro Inc._CA</t>
  </si>
  <si>
    <t>NON-PAYMENT OF ACCOUNT</t>
  </si>
  <si>
    <t>London Hydro Inc._NPoA</t>
  </si>
  <si>
    <t>OTHER</t>
  </si>
  <si>
    <t>Meter interrogation charge</t>
  </si>
  <si>
    <t>London Hydro Inc._RSC</t>
  </si>
  <si>
    <t>London Hydro Inc._LFs</t>
  </si>
  <si>
    <t>London Hydro Inc._End</t>
  </si>
  <si>
    <t>Milton Hydro Distribution Inc._Start</t>
  </si>
  <si>
    <t>This classification refers to the supply of electrical energy to detached, semi-detached and townhouse residential buildings as defined in local zoning bylaws. A residential service is a single-family unit used for domestic or household purposes, including seasonal occupancy. At Milton Hydro's discretion, residential rates may be applied to apartment buildings with 6 or less units by simple application of the residential rate by blocking the residential rate by the number of units. Class B consumers are defined in accordance with O. Reg. 429/04. Further servicing details are available in the distributor’s Conditions of Service.</t>
  </si>
  <si>
    <t>Where the residential dwelling comprises the entire electrical load of a farm, it is defined as a residential service. Where the residential dwelling does not comprise the entire electrical load of the farm:
■ The service will be defined as a General Service if the occupant derives his/her principal livelihood from the 
    working of the farm;
■ The service will be defined as a Residential Service if the occupant does not derive his/her principal livelihood 
    from the working of the farm;
■ Where the residential farm dwelling is supplied by one separately metered service and the electrical loads in 
   other buildings are supplied by a different separately metered service, then the former is defined as a 
   Residential Service and the latter is defined as a General Service.</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</si>
  <si>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</si>
  <si>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This classification refers to a non-residential customer with an average peak demand below 50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</si>
  <si>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This classification refers to a non-residential customer with an average peak demand equal to or greater than 50 kW and less than 1,000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</si>
  <si>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Minimum Distribution Charge - per kW of maximum billing demand in the previous 11 months</t>
  </si>
  <si>
    <t>This classification refers to a non-residential customer with an average peak demand equal to or greater than 1,000 kW and less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</si>
  <si>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a non-residential customer with an average peak demand equal to or greater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</si>
  <si>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the supply of electricity to unmetered loads less than 50 kW including traffic signals and pedestrian X-walks signals/beacons, bus shelters, telephone booths, signs, Cable TV amplifiers and decorative lighting and tree lighting connected to Milton Hydro's distribution system, and similar small unmetered loads.  Class B consumers are defined in accordance with O. Reg. 429/04. Further servicing details are available in the distributor’s Conditions of Service.</t>
  </si>
  <si>
    <t>This classification refers to all services supported to supply sentinel lighting equipment. Class B consumers are defined in accordance with O. Reg. 429/04. Further servicing details are available in the distributor’s Conditions of Service.</t>
  </si>
  <si>
    <t>This classification refers to all services supplied to street lighting equipment owned by or operated for a municipality or the Province of Ontario. Class B consumers are defined in accordance with O. Reg. 429/04. Further servicing details are available in the distributor’s Conditions of Service.</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</si>
  <si>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</si>
  <si>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Milton Hydro Distribution Inc._ALLOWANCES</t>
  </si>
  <si>
    <t>Milton Hydro Distribution Inc._SSC</t>
  </si>
  <si>
    <t xml:space="preserve">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</si>
  <si>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Inc._CA</t>
  </si>
  <si>
    <t>Milton Hydro Distribution Inc._NPoA</t>
  </si>
  <si>
    <t>Optional interval/TOU meter charge $/month</t>
  </si>
  <si>
    <t>Clearance pole attachment charge $/pole/year</t>
  </si>
  <si>
    <t>Milton Hydro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</si>
  <si>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</si>
  <si>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</si>
  <si>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</si>
  <si>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Milton Hydro Distribution Inc._LFs</t>
  </si>
  <si>
    <t>Milton Hydro Distribution Inc._End</t>
  </si>
  <si>
    <t>Newmarket - Tay Power Distribution Ltd._Start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</si>
  <si>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</si>
  <si>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</si>
  <si>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This classification refers to the supply of electrical energy to a non residential account whose average monthly maximum demand is less than, or is forecast to be less than, 50 kW, and Town Houses and Condominiums that require centralized bulk metering. Class B consumers are defined in accordance with O. Reg. 429/04. Further servicing details are available in the distributor’s Conditions of Service.</t>
  </si>
  <si>
    <t xml:space="preserve">This classification applies to a non residential account whose average monthly maximum demand used for billing purposes is equal to or greater than, or is forecast to be equal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</si>
  <si>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Distribution Volumetric Rate - Thermal Demand Meter</t>
  </si>
  <si>
    <t>Distribution Volumetric Rate - Interval Meter</t>
  </si>
  <si>
    <t>4_UNMETERED SCATTERED LOAD SERVICE CLASSIFICATION_STS</t>
  </si>
  <si>
    <t xml:space="preserve">
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</si>
  <si>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</si>
  <si>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5_SENTINEL LIGHTING SERVICE CLASSIFICATION_STS</t>
  </si>
  <si>
    <t xml:space="preserve">
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</si>
  <si>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</si>
  <si>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6_STREET LIGHTING SERVICE CLASSIFICATION_STS</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</si>
  <si>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</si>
  <si>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Newmarket - Tay Power Distribution Ltd._ALLOWANCES</t>
  </si>
  <si>
    <t>Newmarket - Tay Power Distribution Ltd._SSC</t>
  </si>
  <si>
    <t>Newmarket - Tay Power Distribution Ltd._CA</t>
  </si>
  <si>
    <t>Account set up charge/change of occupancy charge (plus credit agency costs if applicable) - residential</t>
  </si>
  <si>
    <t>Newmarket - Tay Power Distribution Ltd._NPoA</t>
  </si>
  <si>
    <t xml:space="preserve">(with the exception of wireless attachements) </t>
  </si>
  <si>
    <t>Newmarket - Tay Power Distribution Ltd._RSC</t>
  </si>
  <si>
    <t>Newmarket - Tay Power Distribution Ltd._LFs</t>
  </si>
  <si>
    <t>Newmarket - Tay Power Distribution Ltd._End</t>
  </si>
  <si>
    <t>Niagara-on-the-Lake Hydro Inc._Start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</si>
  <si>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</si>
  <si>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Supplemental Disposition of Account 1576 - effective until April 30, 2019</t>
  </si>
  <si>
    <t>Rate Rider for Disposition of Account 1576 - effective until April 30, 2019</t>
  </si>
  <si>
    <t>This classification applies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</si>
  <si>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</si>
  <si>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by an approved Ontario Energy Board process. Class B consumers are defined in accordance with O. Reg. 429/04. Further servicing details are available in the distributor’s Conditions of Service.</t>
  </si>
  <si>
    <t>5_STREET LIGHTING SERVICE CLASSIFICATION_GA_kw</t>
  </si>
  <si>
    <t>5_STREET LIGHTING SERVICE CLASSIFICATION_STS</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</si>
  <si>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</si>
  <si>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Niagara-on-the-Lake Hydro Inc._ALLOWANCES</t>
  </si>
  <si>
    <t>Niagara-on-the-Lake Hydro Inc._SSC</t>
  </si>
  <si>
    <t>Niagara-on-the-Lake Hydro Inc._CA</t>
  </si>
  <si>
    <t>Niagara-on-the-Lake Hydro Inc._NPoA</t>
  </si>
  <si>
    <t>Service call - customer-owned equipment - during regular hours</t>
  </si>
  <si>
    <t>Specific charge for Bell Canada access to the power poles - $/pole/year</t>
  </si>
  <si>
    <t xml:space="preserve">
Note: Specific Charge for Bell Canada Access to the power pole is valid only until the existing joint-use agreement is terminated.</t>
  </si>
  <si>
    <t>Niagara-on-the-Lake Hydro Inc._RSC</t>
  </si>
  <si>
    <t>Niagara-on-the-Lake Hydro Inc._LFs</t>
  </si>
  <si>
    <t>Niagara-on-the-Lake Hydro Inc._End</t>
  </si>
  <si>
    <t>North Bay Hydro Distribution Limited_Start</t>
  </si>
  <si>
    <t>This classification includes non 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</si>
  <si>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</si>
  <si>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3_GENERAL SERVICE 50 TO 2,999 KW SERVICE CLASSIFICATION_GA_kwh</t>
  </si>
  <si>
    <t>3_GENERAL SERVICE 50 TO 2,999 KW SERVICE CLASSIFICATION_DEFVAR_ALL</t>
  </si>
  <si>
    <t>This classification includes non residential accounts where monthly average peak demand is equal to or greater than, or is forecast to be equal to or greater than 3,000 kW but less than 5,000 kW. Class A and Class B consumers are defined in accordance with O. Reg. 429/04. Further servicing details are available in the distributor’s Conditions of Service.</t>
  </si>
  <si>
    <t>4_GENERAL SERVICE 3,000 TO 4,999 KW SERVICE CLASSIFICATION_DEFVAR_ALL</t>
  </si>
  <si>
    <t>4_GENERAL SERVICE 3,000 TO 4,999 KW SERVICE CLASSIFICATION_Retail Transmission Rate - Network Service Rate - Interval Metered</t>
  </si>
  <si>
    <t>4_GENERAL SERVICE 3,000 TO 4,999 KW SERVICE CLASSIFICATION_Retail Transmission Rate - Line and Transformation Connection Service Rate - Interval Metered</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</si>
  <si>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</si>
  <si>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6_SENTINEL LIGHTING SERVICE CLASSIFICATION_GA_kwh</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</si>
  <si>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</si>
  <si>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7_STREET LIGHTING SERVICE CLASSIFICATION_GA_kwh</t>
  </si>
  <si>
    <t>North Bay Hydro Distribution Limited_ALLOWANCES</t>
  </si>
  <si>
    <t>North Bay Hydro Distribution Limited_SSC</t>
  </si>
  <si>
    <t>North Bay Hydro Distribution Limited_CA</t>
  </si>
  <si>
    <t>North Bay Hydro Distribution Limited_NPoA</t>
  </si>
  <si>
    <t>North Bay Hydro Distribution Limited_RSC</t>
  </si>
  <si>
    <t>North Bay Hydro Distribution Limited_LFs</t>
  </si>
  <si>
    <t>North Bay Hydro Distribution Limited_End</t>
  </si>
  <si>
    <t>Niagara Peninsula Energy Inc._Start</t>
  </si>
  <si>
    <t>This class pertains to customers residing in detached, semi-detached or duplex dwelling units, where energy is supplied single-phase, 3 wire, 60 hertz, having a nominal voltage of 120/240 volts. Large residential services will include all services from 201 amp. Up to and including 400 amp., 120/240 volt, single phase, three wire. Class B consumers are defined in accordance with O. Reg. 429/04. Further servicing details are available in the distributor’s Conditions of Service.</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</si>
  <si>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</si>
  <si>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</si>
  <si>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electricity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</si>
  <si>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Street lighting profile is derived through the use of a “virtual street lighting meter” that uses a street light control eye, consistent with the model type and product manufacturer of devices currently in service in the Applicant’s distribution area, to simulate the exact daily conditions that the typical street light is exposed to. This simulated street light load is captured using an interval metering device, and is processed as part of the distributor’s daily interval meter interrogation, validation and processing procedures.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</si>
  <si>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</si>
  <si>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Niagara Peninsula Energy Inc._ALLOWANCES</t>
  </si>
  <si>
    <t>Niagara Peninsula Energy Inc._SSC</t>
  </si>
  <si>
    <t>Niagara Peninsula Energy Inc._CA</t>
  </si>
  <si>
    <t>Niagara Peninsula Energy Inc._NPoA</t>
  </si>
  <si>
    <t>Specific charge for access to the power poles</t>
  </si>
  <si>
    <t>Niagara Peninsula Energy Inc._RSC</t>
  </si>
  <si>
    <t>Retail Service Charges refer to services provided by a distributor to retailers or customers related</t>
  </si>
  <si>
    <t>to the supply of competitive electricity</t>
  </si>
  <si>
    <t>Niagara Peninsula Energy Inc._LFs</t>
  </si>
  <si>
    <t>Niagara Peninsula Energy Inc._End</t>
  </si>
  <si>
    <t>Orangeville Hydro Limited_Start</t>
  </si>
  <si>
    <t>This classification refers to the supply of electrical energy to residential customers residing in detached, semi detached, townhouse (freehold or condominium) dwelling units duplexes or triplexes.  Basic connection is defined as 100 amp 120/240 volt overhead service. Class B consumers are defined in accordance with O. Reg. 429/04. Further servicing details are available in the distributor’s Conditions of Service.</t>
  </si>
  <si>
    <t>Rate Rider for Disposition of Account 1576 (2014) - effective until April 30, 2019</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</si>
  <si>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</si>
  <si>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expected to be equal to or greater than, 50 kW but less than 5000 kW. Class A and Class B consumers are defined in accordance with O. Reg. 429/04. Further servicing details are available in the distributor’s Conditions of Service.</t>
  </si>
  <si>
    <t>4_SENTINEL LIGHTING SERVICE CLASSIFICATION</t>
  </si>
  <si>
    <t>4_SENTINEL LIGHTING SERVICE CLASSIFICATION_MSC</t>
  </si>
  <si>
    <t>4_SENTINEL LIGHTING SERVICE CLASSIFICATION_DVC</t>
  </si>
  <si>
    <t>4_SENTINEL LIGHTING SERVICE CLASSIFICATION_LV</t>
  </si>
  <si>
    <t>4_SENTINEL LIGHTING SERVICE CLASSIFICATION_DEFVAR_ALL</t>
  </si>
  <si>
    <t>4_SENTINEL LIGHTING SERVICE CLASSIFICATION_STS</t>
  </si>
  <si>
    <t>4_SENTINEL LIGHTING SERVICE CLASSIFICATION_Retail Transmission Rate - Network Service Rate</t>
  </si>
  <si>
    <t>4_SENTINEL LIGHTING SERVICE CLASSIFICATION_Retail Transmission Rate - Line and Transformation Connection Service Rate</t>
  </si>
  <si>
    <t>4_SENTINEL LIGHTING SERVICE CLASSIFICATION_WMSR</t>
  </si>
  <si>
    <t>4_SENTINEL LIGHTING SERVICE CLASSIFICATION_RRRP</t>
  </si>
  <si>
    <t>4_SENTINEL LIGHTING SERVICE CLASSIFICATION_SSS</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</si>
  <si>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</si>
  <si>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This classification refers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</si>
  <si>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</si>
  <si>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Orangeville Hydro Limited_ALLOWANCES</t>
  </si>
  <si>
    <t>Orangeville Hydro Limited_SSC</t>
  </si>
  <si>
    <t>Orangeville Hydro Limited_CA</t>
  </si>
  <si>
    <t>Orangeville Hydro Limited_NPoA</t>
  </si>
  <si>
    <t>Orangeville Hydro Limited_RSC</t>
  </si>
  <si>
    <t>Orangeville Hydro Limited_LFs</t>
  </si>
  <si>
    <t>Orangeville Hydro Limited_End</t>
  </si>
  <si>
    <t>Orillia Power Distribution Corporation_Start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</si>
  <si>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</si>
  <si>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Smart Meter Incremental Revenue Requirement - in effect until the effective date of  the next cost of service-based rate order</t>
  </si>
  <si>
    <t>This classification refers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</si>
  <si>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O.Reg.429/04.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</si>
  <si>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</si>
  <si>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</si>
  <si>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account with load displacement facilities that contracts with the distributor to provide emergency standby power when its load displacement facilities are not in operation. The level of billing demand will be agreed to by the distributor and the customer, based on detailed manufacturer information/documentation such as nameplate rating of the load displacement facility. Further servicing details are available in the distributor’s Conditions of Service.</t>
  </si>
  <si>
    <t>Orillia Power Distribution Corporation_ALLOWANCES</t>
  </si>
  <si>
    <t>Orillia Power Distribution Corporation_SSC</t>
  </si>
  <si>
    <t>Orillia Power Distribution Corporation_CA</t>
  </si>
  <si>
    <t>Orillia Power Distribution Corporation_NPoA</t>
  </si>
  <si>
    <t>Disconnect/reconnect charges for non payment of account - at meter after regular hours</t>
  </si>
  <si>
    <t>Disconnect/reconnect charges for non payment of account - at pole during regular hours</t>
  </si>
  <si>
    <t>Disconnect/reconnect charges for non payment of account - at pole after regular hours</t>
  </si>
  <si>
    <t>Orillia Power Distribution Corporation_RSC</t>
  </si>
  <si>
    <t>Orillia Power Distribution Corporation_LFs</t>
  </si>
  <si>
    <t>Orillia Power Distribution Corporation_End</t>
  </si>
  <si>
    <t>Ottawa River Power Corporation_Start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</si>
  <si>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Depending upon the location of the building the supply voltage will be one of the following:
- 120/240 volts 1 phase 3 wire
- 120/208 volts 1 phase 3 wire
- 120/208 volts 3 phase 4 wire
- 347/600 volts 3 phase 4 wire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</si>
  <si>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</si>
  <si>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</si>
  <si>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Rate Rider for Disposition of Residual Historical Smart Meter Costs - effective until June 30, 2020</t>
  </si>
  <si>
    <t>Rate Rider for Recovery of Stranded Meter Assets - effective until June 30, 2018</t>
  </si>
  <si>
    <t>Rate Rider for Disposition of Group 2 Deferral/Variance Accounts - effective until June 30, 2018</t>
  </si>
  <si>
    <t>Rate Rider for Disposition of Deferral/Variance Accounts (2016) - effective until June 30, 2018</t>
  </si>
  <si>
    <t>Rate Rider for Disposition of Deferral/Variance Accounts (2016) - effective until June 30, 2018
      Applicable only for Non-Wholesale Market Participants</t>
  </si>
  <si>
    <t>Rate Rider for Disposition of Global Adjustment Account (2016) - effective until June 30, 2018
      Applicable only for Non-RPP Customers</t>
  </si>
  <si>
    <t>Rate Rider for Disposition of Account 1576 - effective until June 30, 2018</t>
  </si>
  <si>
    <t>Rate Rider for Recovery of Lost Revenue Adjustment Mechanism (LRAM) costs - effective until June 30, 2018</t>
  </si>
  <si>
    <t>This classification refers to the supply of electrical energy to General Service Buildings requiring a connection with a connected load less than 50 kW, and, Town Houses and Condominiums that require centralized bulk metering. General Service buildings are defined as buildings that are used for purposes other than single-family dwellings. A General Service building is supplied at one service voltage per land parcel. Depending upon the location of the building the supply voltage will be one of the following:
- 120/240 volts 1 phase 3 wire
- 120/208 volts 1 phase 3 wire
- 120/208 volts 3 phase 4 wire
- 347/600 volts 3 phase 4 wire
Class B consumers are defined in accordance with O. Reg. 429/04. Further servicing details are available in the distributor’s Conditions of Service.</t>
  </si>
  <si>
    <t>This classification refers to the supply of electrical energy to General Service Customers requiring a connection with a connected load equal to or greater than 50 kW but less than 5,000kW. A General Service building is supplied at one service voltage per land parcel. Depending upon the location of the building the supply voltage will be one of the following:
- 120/240 volts 1 phase 3 wire
- 120/208 volts 3 phase 4 wire
- 347/600 volts 3 phase 4 wire
Depending upon the location of the building, primary supplies to transformers and customer owned Sub-Stations will be one of the following as determined by the Distributor:
- 7,200/12,400 volts 3 phase 4 wire
- 44,000 volts 3 phase 3 wire
Class A and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</si>
  <si>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</si>
  <si>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The consumption for these customers will be based on the calculated connected load multiplied by the required lighting times, established in the approved Ontario Energy Board street lighting load shape template.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</si>
  <si>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Debt Retirement Charge, the Global Adjustment and the HST.</t>
  </si>
  <si>
    <t>Ottawa River Power Corporation_ALLOWANCES</t>
  </si>
  <si>
    <t>Ottawa River Power Corporation_SSC</t>
  </si>
  <si>
    <t>Ottawa River Power Corporation_CA</t>
  </si>
  <si>
    <t>Ottawa River Power Corporation_NPoA</t>
  </si>
  <si>
    <t xml:space="preserve">      Late payment - per annum</t>
  </si>
  <si>
    <t xml:space="preserve">      Collection of account charge - no disconnection</t>
  </si>
  <si>
    <t xml:space="preserve">      Disconnect/reconnect at meter - during regular hours</t>
  </si>
  <si>
    <t xml:space="preserve">      Disconnect/reconnect charge at meter - after hours</t>
  </si>
  <si>
    <t>Ottawa River Power Corporation_RSC</t>
  </si>
  <si>
    <t>Ottawa River Power Corporation_LFs</t>
  </si>
  <si>
    <t>Ottawa River Power Corporation_End</t>
  </si>
  <si>
    <t>5_SENTINEL LIGHTING SERVICE CLASSIFICATION_LRAM</t>
  </si>
  <si>
    <t>6_STREET LIGHTING SERVICE CLASSIFICATION_LRAM</t>
  </si>
  <si>
    <t>Renfrew Hydro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</si>
  <si>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</si>
  <si>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Recovery of Stranded Meter Assets (2017) - effective until December 31, 2020</t>
  </si>
  <si>
    <t>Rate Rider for Disposition of Residual Historical Smart Meter Costs (2017) - effective until December 31, 2020</t>
  </si>
  <si>
    <t>Rate Rider for Disposition of Account 1576 (2017) - effective until December 31, 2020</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</si>
  <si>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unmetered load.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</si>
  <si>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</si>
  <si>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Renfrew Hydro Inc._ALLOWANCES</t>
  </si>
  <si>
    <t>Renfrew Hydro Inc._SSC</t>
  </si>
  <si>
    <t>Renfrew Hydro Inc._CA</t>
  </si>
  <si>
    <t>Renfrew Hydro Inc._NPoA</t>
  </si>
  <si>
    <t>Renfrew Hydro Inc._RSC</t>
  </si>
  <si>
    <t>Renfrew Hydro Inc._LFs</t>
  </si>
  <si>
    <t>Renfrew Hydro Inc._End</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</si>
  <si>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</si>
  <si>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St. Thomas Energy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</si>
  <si>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</si>
  <si>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</si>
  <si>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for individual lighting on private property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</si>
  <si>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shape template. Class B consumers are defined in accordance with O. Reg. 429/04. Further servicing details are available in the distributor’s Conditions of Service.</t>
  </si>
  <si>
    <t>St. Thomas Energy Inc._ALLOWANCES</t>
  </si>
  <si>
    <t xml:space="preserve">Transformer Allowance for Ownership - per kW of billing demand/month  </t>
  </si>
  <si>
    <t>St. Thomas Energy Inc._SSC</t>
  </si>
  <si>
    <t>St. Thomas Energy Inc._CA</t>
  </si>
  <si>
    <t>St. Thomas Energy Inc._NPoA</t>
  </si>
  <si>
    <t>Disconnect/Reconnect at customer’s request - at meter during regular hours</t>
  </si>
  <si>
    <t>St. Thomas Energy Inc._RSC</t>
  </si>
  <si>
    <t>St. Thomas Energy Inc._LFs</t>
  </si>
  <si>
    <t>St. Thomas Energy Inc._End</t>
  </si>
  <si>
    <t>This classification refers to a non residential account whose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</si>
  <si>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This classification refers to accounts that are an unmetered lighting load supplied to a sentinel light. Class B consumers are defined in accordance with O. Reg. 429/04. Further servicing details are available in the distributor's Conditions of Service.</t>
  </si>
  <si>
    <t>Lakeland Power Distribution Ltd.-For Former Parry Sound Power Service Area</t>
  </si>
  <si>
    <t>Lakeland Power Distribution Ltd.-For Former Parry Sound Power Service Area_Start</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</si>
  <si>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</si>
  <si>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</si>
  <si>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Lakeland Power Distribution Ltd._ALLOWANCES</t>
  </si>
  <si>
    <t>Lakeland Power Distribution Ltd._SSC</t>
  </si>
  <si>
    <t>Lakeland Power Distribution Ltd._CA</t>
  </si>
  <si>
    <t>Lakeland Power Distribution Ltd._NPoA</t>
  </si>
  <si>
    <t>Lakeland Power Distribution Ltd._RSC</t>
  </si>
  <si>
    <t>Lakeland Power Distribution Ltd._LFs</t>
  </si>
  <si>
    <t>Lakeland Power Distribution Ltd.-For Former Parry Sound Power Service Area_End</t>
  </si>
  <si>
    <t>Collus PowerStream Corp._Start</t>
  </si>
  <si>
    <t>This classification refers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</si>
  <si>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Service Charge (Based on 30 Day Month)</t>
  </si>
  <si>
    <t>It should be noted that this schedule does not list any charges, assessments, or credits that are required by law to be invoiced by a distributor and that are not subject to the Ontario Energy Board approval, such as the Debt Retirement Charge, the Global Adjustment and the HST.</t>
  </si>
  <si>
    <t>Collus PowerStream Corp._ALLOWANCES</t>
  </si>
  <si>
    <t>Collus PowerStream Corp._SSC</t>
  </si>
  <si>
    <t>Collus PowerStream Corp._CA</t>
  </si>
  <si>
    <t>Collus PowerStream Corp._NPoA</t>
  </si>
  <si>
    <t>Collus PowerStream Corp._RSC</t>
  </si>
  <si>
    <t>Collus PowerStream Corp._LFs</t>
  </si>
  <si>
    <t>Collus PowerStream Corp._End</t>
  </si>
  <si>
    <t>Festival Hydro Inc._Start</t>
  </si>
  <si>
    <t>A customer is classed as residential when all the following conditions are met:</t>
  </si>
  <si>
    <t>(a) the property is zoned strictly residential by the local municipality,</t>
  </si>
  <si>
    <t>(b) the account is created and maintained in the customer’s name,</t>
  </si>
  <si>
    <t>(c) the building is used for dwelling purposes.</t>
  </si>
  <si>
    <t>Exceptions may be made for properties zoned for farming use, under the following conditions:</t>
  </si>
  <si>
    <t>(a) the principal use of the service is for the residence,</t>
  </si>
  <si>
    <t>(b) the service size is 200 amperes or less, and the service is 120/240 volt single phase.</t>
  </si>
  <si>
    <t>Class B consumers are defined in accordance with O. Reg. 429/04.  Further servicing details are available in the distributor’s Conditions of Service.</t>
  </si>
  <si>
    <t>5_LARGE USE SERVICE CLASSIFICATION_GA_kwh</t>
  </si>
  <si>
    <t>This classification applies to an account whose average monthly maximum demand is less than, or is forecast to be less than, 50 kW and the consumption is unmetered. Such connections include cable TV power packs, bus shelters, telephone booths, traffic lights, pedestrian cross-walk signals/beacons,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</si>
  <si>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If connected to the municipal or the Province of Ontario street lighting system, decorative lighting and tree lighting services will be treated as a Street Lighting class of service. Decorative or tree lighting connected to Festival Hydro Inc.’s distribution system will be treated as a General Service Less Than 50 kW class customers. Class B consumers are defined in accordance with O. Reg. 429/04. Further servicing details are available in the distributor’s Conditions of Service.</t>
  </si>
  <si>
    <t>Festival Hydro Inc._ALLOWANCES</t>
  </si>
  <si>
    <t>Festival Hydro Inc._SSC</t>
  </si>
  <si>
    <t>Festival Hydro Inc._CA</t>
  </si>
  <si>
    <t>Festival Hydro Inc._NPoA</t>
  </si>
  <si>
    <t xml:space="preserve"> Time &amp; materials</t>
  </si>
  <si>
    <t>Festival Hydro Inc._RSC</t>
  </si>
  <si>
    <t>Festival Hydro Inc._LFs</t>
  </si>
  <si>
    <t>Festival Hydro Inc._End</t>
  </si>
  <si>
    <t>Midland Power Utility Corporation_Start</t>
  </si>
  <si>
    <t>This classification refers to an account where energy is supplied to customers residing in residential dwelling units.  Energy is generally supplied as a single phase, 3-wire, 60-Hertz, having a nominal voltage of 120/240 Volts and having only one Delivery Point per dwelling.  For the purposes of calculating customer connection fees, the Basic Connection for Residential customers is defined as 100 amp 120/240 volt overhead service.  A residential building is supplied at one service voltage per land parcel. Street Townhouses and Condominiums requiring centralization bulk metering are covered under General Service Classification.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</si>
  <si>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</si>
  <si>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the supply of electrical energy to General Service Buildings requiring a connection with a connected load less than 50 kW, and, Townhouses and Condominiums that require centralized bulk metering.  General Service buildings are defined as buildings that are used for purposes other than single-family dwellings.  A General Service building is supplied at one voltage per land parcel. Class B consumers are defined in accordance with O. Reg. 429/04. Further servicing details are available in the distributor’s Conditions of Service.</t>
  </si>
  <si>
    <t xml:space="preserve">This classification refers to the supply of electrical energy to General Service customers requiring a connection with a connected load equal to or greater than 50 kW and less than 5,000 kW.  A General Service building is supplied at one service voltage per land parcel.  Depending on the location of the building, primary supplies to transformers and Customer owned Sub-Stations will be one of the following as determined by the Distributor: 
      -   2,400/4,160 volts 3 Phase 4Wire
      -   4,800/8,320 volts 3 Phase 4 Wire
      -   7,200/12,400 volts 3 Phase 4 Wire
      -   8,000/13,800 volts 3 Phase 4 Wire
      -   16,000/27,600 volts 3 Phase 4 Wire
      -   44,000 Volts 3 Phase 3 Wire
Class A and Class B consumers are defined in accordance with O. Reg. 429/04. Further servicing details are available in the distributor’s Conditions of Service. 
</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</si>
  <si>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</si>
  <si>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</si>
  <si>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Midland Power Utility Corporation_ALLOWANCES</t>
  </si>
  <si>
    <t>$/KW</t>
  </si>
  <si>
    <t>Midland Power Utility Corporation_SSC</t>
  </si>
  <si>
    <t>Midland Power Utility Corporation_CA</t>
  </si>
  <si>
    <t>Midland Power Utility Corporation_NPoA</t>
  </si>
  <si>
    <t>Interval meter load management tool charge $/month</t>
  </si>
  <si>
    <t>Midland Power Utility Corporation_RSC</t>
  </si>
  <si>
    <t>Midland Power Utility Corporation_LFs</t>
  </si>
  <si>
    <t>Midland Power Utility Corporation_End</t>
  </si>
  <si>
    <t>Entegrus Powerlines Inc._Start</t>
  </si>
  <si>
    <t>This classification applies to an account taking electricity at 750 volts or less and includes:</t>
  </si>
  <si>
    <t>1)     All services supplied to single-family dwelling units for domestic or household purposes,</t>
  </si>
  <si>
    <t>2)     All multi-unit residential establishments such as apartments of 6 or less units.</t>
  </si>
  <si>
    <t>3)     If a service supplies a combination of residential and commercial load and wiring does not permit separate metering, the classification of this customer will be determined individually by the distributor.</t>
  </si>
  <si>
    <t>This classification applies to a non-residential account taking electricity at 750 volts or less whose average monthly maximum gross demand over a period of 12 consecutive months is less than, or is forecast to be less than, 50 kW and includes multi-unit residential establishments such as apartment buildings supplied through one service (bulk-metered) with greater than 6 units. Class B consumers are defined in accordance with O. Reg. 429/04. Further servicing details are available in the distributor’s Conditions of Service.</t>
  </si>
  <si>
    <t>This classification applies to a non-residential account whose average monthly maximum gross demand over a period of 12 consecutive months is equal to or greater than, or is forecast to be equal to or greater than, 50 kW but less than 5,000 kW. Class A and Class B customers are defined in accordance with O.Reg.429/04. Further servicing details are available in the distributor’s Conditions of Service.</t>
  </si>
  <si>
    <t xml:space="preserve">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</si>
  <si>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Low Voltage Service Rate (see Note 1)</t>
  </si>
  <si>
    <t>Retail Transmission Rate - Line and Transformation Connection Service Rate (see Note 1)</t>
  </si>
  <si>
    <t>4_LARGE USE SERVICE CLASSIFICATION</t>
  </si>
  <si>
    <t>This classification applies to an account whose average monthly maximum gross demand over a period of 12 consecutive months is equal to or greater than, or is forecast to be equal to or greater than, 5,000 kW. Class A and Class B consumers are defined in accordance with O. Reg. 429/04. Further servicing details are available in the distributor’s Conditions of Service.</t>
  </si>
  <si>
    <t>4_LARGE USE SERVICE CLASSIFICATION_MSC</t>
  </si>
  <si>
    <t>4_LARGE USE SERVICE CLASSIFICATION_DVC</t>
  </si>
  <si>
    <t>4_LARGE USE SERVICE CLASSIFICATION_LV</t>
  </si>
  <si>
    <t>4_LARGE USE SERVICE CLASSIFICATION_LRAM</t>
  </si>
  <si>
    <t>4_LARGE USE SERVICE CLASSIFICATION_DEFVAR_ALL</t>
  </si>
  <si>
    <t>4_LARGE USE SERVICE CLASSIFICATION_Retail Transmission Rate - Network Service Rate</t>
  </si>
  <si>
    <t>4_LARGE USE SERVICE CLASSIFICATION_Retail Transmission Rate - Line and Transformation Connection Service Rate (see Note 1)</t>
  </si>
  <si>
    <t>4_LARGE USE SERVICE CLASSIFICATION_WMSR</t>
  </si>
  <si>
    <t>4_LARGE USE SERVICE CLASSIFICATION_RRRP</t>
  </si>
  <si>
    <t>4_LARGE USE SERVICE CLASSIFICATION_SSS</t>
  </si>
  <si>
    <t>8_EMBEDDED DISTRIBUTOR SERVICE CLASSIFICATION_MSC</t>
  </si>
  <si>
    <t>8_EMBEDDED DISTRIBUTOR SERVICE CLASSIFICATION_LV</t>
  </si>
  <si>
    <t>8_EMBEDDED DISTRIBUTOR SERVICE CLASSIFICATION_GA_kwh</t>
  </si>
  <si>
    <t>8_EMBEDDED DISTRIBUTOR SERVICE CLASSIFICATION_DEFVAR_ALL</t>
  </si>
  <si>
    <t>This classification refers to an account that has Load Displacement Generation and requires the distributor to provide backup service. Further servicing details are available in the distributor’s Conditions of Service.</t>
  </si>
  <si>
    <t>General Service &gt; 50 kW Standby Charge - for a customer whose facility is in the General Service &gt; 50 kW rate class and for a month where actual demand is less than contracted demand.  The charge is applied to the amount by which the amount of load transfer capacity contracted by a facility exceeds the actual demand.</t>
  </si>
  <si>
    <t>Large Use Standby Charge - for a customer whose facility is in the Large Use rate class and for a month where actual demand is less than contracted demand.  The charge is applied to the amount by which the amount of load transfer capacity contracted by a facility exceeds the actual demand.</t>
  </si>
  <si>
    <t>Entegrus Powerlines Inc._ALLOWANCES</t>
  </si>
  <si>
    <t>Entegrus Powerlines Inc._SSC</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</si>
  <si>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</si>
  <si>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Entegrus Powerlines Inc._CA</t>
  </si>
  <si>
    <t>Account setup charge/change of occupancy charge</t>
  </si>
  <si>
    <t>Entegrus Powerlines Inc._NPoA</t>
  </si>
  <si>
    <t>Temporary service install and remove - overhead - with transformer</t>
  </si>
  <si>
    <t>Switching for company maintenance - charge based on time and materials</t>
  </si>
  <si>
    <t>T&amp;M</t>
  </si>
  <si>
    <t>Entegrus Powerlines Inc._RSC</t>
  </si>
  <si>
    <t>Entegrus Powerlines Inc._LFs</t>
  </si>
  <si>
    <t>Entegrus Powerlines Inc._End</t>
  </si>
  <si>
    <t>EnWin Utilities Ltd._Start</t>
  </si>
  <si>
    <t>A customer qualifies for residential rate classification if their service is a 120/240 V single-phase supply to a single family dwelling, duplex, triplex, 4-plex or 6-plex, townhome or multi-unit - individually metered apartment, located on a parcel of land zoned by the City of Windsor Building Department for domestic or household purposes and where the customer uses the dwelling as a home. Where a customer operates an advertised business from a building that may or may not be used as a dwelling, EnWin Utilities Ltd. may elect to deem that the customer’s rate class will be General Service.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</si>
  <si>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participant.</t>
  </si>
  <si>
    <t>4_GENERAL SERVICE 3,000 TO 4,999 KW - INTERMEDIATE USE SERVICE CLASSIFICATION</t>
  </si>
  <si>
    <t>A customer is in this class when its individual load is equal to or over 3,000 kW but less than 5,000 kW, averaged over 12 consecutive months and was classified as Time of Use prior to market opening. The premises for this class of customer is considered a structure or structures located on a parcel of land occupied by one customer and is predominantly used for intermediate sized commercial, institutional or industrial purposes. Class A and Class B consumers are defined in accordance with O. Reg. 429/04. Further servicing details are available in the distributor’s Conditions of Service.</t>
  </si>
  <si>
    <t>4_GENERAL SERVICE 3,000 TO 4,999 KW - INTERMEDIATE USE SERVICE CLASSIFICATION_MSC</t>
  </si>
  <si>
    <t>4_GENERAL SERVICE 3,000 TO 4,999 KW - INTERMEDIATE USE SERVICE CLASSIFICATION_DVC</t>
  </si>
  <si>
    <t>4_GENERAL SERVICE 3,000 TO 4,999 KW - INTERMEDIATE USE SERVICE CLASSIFICATION_GA_kwh</t>
  </si>
  <si>
    <t>4_GENERAL SERVICE 3,000 TO 4,999 KW - INTERMEDIATE USE SERVICE CLASSIFICATION_DEFVAR_ALL</t>
  </si>
  <si>
    <t>4_GENERAL SERVICE 3,000 TO 4,999 KW - INTERMEDIATE USE SERVICE CLASSIFICATION_STS</t>
  </si>
  <si>
    <t>4_GENERAL SERVICE 3,000 TO 4,999 KW - INTERMEDIATE USE SERVICE CLASSIFICATION_Retail Transmission Rate - Network Service Rate</t>
  </si>
  <si>
    <t>4_GENERAL SERVICE 3,000 TO 4,999 KW - INTERMEDIATE USE SERVICE CLASSIFICATION_WMSR</t>
  </si>
  <si>
    <t>4_GENERAL SERVICE 3,000 TO 4,999 KW - INTERMEDIATE USE SERVICE CLASSIFICATION_RRRP</t>
  </si>
  <si>
    <t>4_GENERAL SERVICE 3,000 TO 4,999 KW - INTERMEDIATE USE SERVICE CLASSIFICATION_SSS</t>
  </si>
  <si>
    <t>5_LARGE USE - REGULAR SERVICE CLASSIFICATION</t>
  </si>
  <si>
    <t>A customer is in the regular large use rate class when its monthly peak load, averaged over 12 consecutive months, is equal to or greater than 5,000 kW. The premises for this class of customer is predominantly used for large industrial or institutional purposes located on a parcel of land occupied by a single customer. Class A and Class B consumers are defined in accordance with O. Reg. 429/04. Further servicing details are available in the distributor’s Conditions of Service.</t>
  </si>
  <si>
    <t>5_LARGE USE - REGULAR SERVICE CLASSIFICATION_MSC</t>
  </si>
  <si>
    <t>5_LARGE USE - REGULAR SERVICE CLASSIFICATION_DVC</t>
  </si>
  <si>
    <t>5_LARGE USE - REGULAR SERVICE CLASSIFICATION_DEFVAR_ALL</t>
  </si>
  <si>
    <t>5_LARGE USE - REGULAR SERVICE CLASSIFICATION_STS</t>
  </si>
  <si>
    <t>5_LARGE USE - REGULAR SERVICE CLASSIFICATION_Retail Transmission Rate - Network Service Rate</t>
  </si>
  <si>
    <t>5_LARGE USE - REGULAR SERVICE CLASSIFICATION_WMSR</t>
  </si>
  <si>
    <t>5_LARGE USE - REGULAR SERVICE CLASSIFICATION_RRRP</t>
  </si>
  <si>
    <t>5_LARGE USE - REGULAR SERVICE CLASSIFICATION_SSS</t>
  </si>
  <si>
    <t>6_LARGE USE - 3TS SERVICE CLASSIFICATION</t>
  </si>
  <si>
    <t>This classification applies to a customer whose monthly peak load, averaged over 12 consecutive months, is equal to or greater than 5,000 kW and the premise is serviced by a dedicated Transformer Station. Class A and Class B consumers are defined in accordance with O. Reg. 429/04. Further servicing details are available in the distributor’s Conditions of Service.</t>
  </si>
  <si>
    <t>6_LARGE USE - 3TS SERVICE CLASSIFICATION_MSC</t>
  </si>
  <si>
    <t>6_LARGE USE - 3TS SERVICE CLASSIFICATION_DVC</t>
  </si>
  <si>
    <t>6_LARGE USE - 3TS SERVICE CLASSIFICATION_DEFVAR_ALL</t>
  </si>
  <si>
    <t>6_LARGE USE - 3TS SERVICE CLASSIFICATION_STS</t>
  </si>
  <si>
    <t>6_LARGE USE - 3TS SERVICE CLASSIFICATION_Retail Transmission Rate - Network Service Rate</t>
  </si>
  <si>
    <t>6_LARGE USE - 3TS SERVICE CLASSIFICATION_WMSR</t>
  </si>
  <si>
    <t>6_LARGE USE - 3TS SERVICE CLASSIFICATION_RRRP</t>
  </si>
  <si>
    <t>6_LARGE USE - 3TS SERVICE CLASSIFICATION_SSS</t>
  </si>
  <si>
    <t>7_LARGE USE - FORD ANNEX SERVICE CLASSIFICATION</t>
  </si>
  <si>
    <t>This classification applies to a customer whose monthly peak load, averaged over 12 consecutive months, is equal to or greater than 5,000 kW and the premise is serviced by the dedicated Ford Annex Transformer Station. Class A and Class B consumers are defined in accordance with O. Reg. 429/04. Further servicing details are available in the distributor’s Conditions of Service.</t>
  </si>
  <si>
    <t>7_LARGE USE - FORD ANNEX SERVICE CLASSIFICATION_MSC</t>
  </si>
  <si>
    <t>7_LARGE USE - FORD ANNEX SERVICE CLASSIFICATION_DEFVAR_ALL</t>
  </si>
  <si>
    <t>7_LARGE USE - FORD ANNEX SERVICE CLASSIFICATION_STS</t>
  </si>
  <si>
    <t>7_LARGE USE - FORD ANNEX SERVICE CLASSIFICATION_Retail Transmission Rate - Network Service Rate</t>
  </si>
  <si>
    <t>7_LARGE USE - FORD ANNEX SERVICE CLASSIFICATION_WMSR</t>
  </si>
  <si>
    <t>7_LARGE USE - FORD ANNEX SERVICE CLASSIFICATION_RRRP</t>
  </si>
  <si>
    <t>7_LARGE USE - FORD ANNEX SERVICE CLASSIFICATION_SSS</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</si>
  <si>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Class B consumers are defined in accordance with O. Reg. 429/04. Further servicing details are available in the distributor’s Conditions of Service.</t>
  </si>
  <si>
    <t>8_UNMETERED SCATTERED LOAD SERVICE CLASSIFICATION_STS</t>
  </si>
  <si>
    <t>This classification refers to an account for exterior parkway lighting with various parties, controlled by photo cells. Class B consumers are defined in accordance with O. Reg. 429/04. Further servicing details are available in the distributor’s Conditions of Service.</t>
  </si>
  <si>
    <t>9_SENTINEL LIGHTING SERVICE CLASSIFICATION_STS</t>
  </si>
  <si>
    <t>This classification refers to an account for roadway lighting with the City of Windsor, controlled by photo cells. The consumption for these customers will be based on the calculated load times the required lighting times established in the approved Ontario Energy Board street lighting load shape profile. Class B consumers are defined in accordance with O. Reg. 429/04. Further servicing details are available in the distributor’s Conditions of Service.</t>
  </si>
  <si>
    <t>10_STREET LIGHTING SERVICE CLASSIFICATION_STS</t>
  </si>
  <si>
    <t>11_STANDBY POWER SERVICE CLASSIFICATION</t>
  </si>
  <si>
    <t>Standby Charge - for a month where standby power is not provided. The charge is applied to the contracted amount (e.g. nameplate rating of the generation facility).</t>
  </si>
  <si>
    <t>EnWin Utilities Ltd._ALLOWANCES</t>
  </si>
  <si>
    <t>EnWin Utilities Ltd._SSC</t>
  </si>
  <si>
    <t>EnWin Utilities Ltd._CA</t>
  </si>
  <si>
    <t>Dispute test - residential</t>
  </si>
  <si>
    <t>Dispute test - commercial self contained -- MC</t>
  </si>
  <si>
    <t>Dispute test - commercial TT -- MC</t>
  </si>
  <si>
    <t>EnWin Utilities Ltd._NPoA</t>
  </si>
  <si>
    <t>Service layout - residential</t>
  </si>
  <si>
    <t>Service layout - commercial</t>
  </si>
  <si>
    <t>Overtime locate</t>
  </si>
  <si>
    <t>Disposal of concrete poles</t>
  </si>
  <si>
    <t>Missed service appointment</t>
  </si>
  <si>
    <t>Same day open trench</t>
  </si>
  <si>
    <t>Scheduled day open trench</t>
  </si>
  <si>
    <t>EnWin Utilities Ltd._RSC</t>
  </si>
  <si>
    <t>EnWin Utilities Ltd._LFs</t>
  </si>
  <si>
    <t>EnWin Utilities Ltd._End</t>
  </si>
  <si>
    <t>Guelph Hydro Electric Systems Inc._Start</t>
  </si>
  <si>
    <t>This classification includes accounts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</si>
  <si>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includes non-residential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</si>
  <si>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50 kW but less than 1,000 kW.  Note that for the application of the Retail Transmission Rate - Network Service Rate and the Retail Transmission Rate - Line and Transformation Connection Service Rate the following sub-classifications apply: General Service 50 to 999 kW non-interval metered, and General Service 50 to 999 kW interval metered.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</si>
  <si>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</si>
  <si>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This classification refers to an account where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</si>
  <si>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provides detailed manufacturer information/documentation with regard to electrical demand/consumption of the proposed load.  Class B consumers are defined in accordance with O. Reg. 429/04.  Further servicing details are available in the distributor’s Conditions of Service.</t>
  </si>
  <si>
    <t>Standby Charge - the charge is based on the applicable General Service 50 to 999 kW, or General Service 1,000 to 4,999 kW or Large Use Distribution Volumetric Rate applied to the generator's peak demand. A Standby Service Charge will be applied for a month where standby power is provided partially or is not provided.</t>
  </si>
  <si>
    <t>This classification refers to accounts that are an unmetered lighting load supplied to a sentinel light.  Class B consumers are defined in accordance with O. Reg. 429/04.  Further servicing details are available in the distributor’s Conditions of Service.</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</si>
  <si>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</si>
  <si>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</si>
  <si>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Guelph Hydro Electric Systems Inc._ALLOWANCES</t>
  </si>
  <si>
    <t>Transformer Allowance for Ownership by General Service 50 to 999 kW customers - per kW of billing demand/month</t>
  </si>
  <si>
    <t>Guelph Hydro Electric Systems Inc._SSC</t>
  </si>
  <si>
    <t>Guelph Hydro Electric Systems Inc._CA</t>
  </si>
  <si>
    <t>Account setup charge/change of occupancy charge (plus credit agency costs if applicable)</t>
  </si>
  <si>
    <t>Credit service charge for paperless bill</t>
  </si>
  <si>
    <t>Guelph Hydro Electric Systems Inc._NPoA</t>
  </si>
  <si>
    <t>Overhead bond connection - per connection</t>
  </si>
  <si>
    <t>Underground bond connection - per connection</t>
  </si>
  <si>
    <t>Guelph Hydro Electric Systems Inc._RSC</t>
  </si>
  <si>
    <t>Guelph Hydro Electric Systems Inc._LFs</t>
  </si>
  <si>
    <t>Guelph Hydro Electric Systems Inc._End</t>
  </si>
  <si>
    <t>4_STREET LIGHTING SERVICE CLASSIFICATION</t>
  </si>
  <si>
    <t>4_STREET LIGHTING SERVICE CLASSIFICATION_MSC</t>
  </si>
  <si>
    <t>4_STREET LIGHTING SERVICE CLASSIFICATION_DVC</t>
  </si>
  <si>
    <t>4_STREET LIGHTING SERVICE CLASSIFICATION_Retail Transmission Rate - Network Service Rate</t>
  </si>
  <si>
    <t>4_STREET LIGHTING SERVICE CLASSIFICATION_Retail Transmission Rate - Line and Transformation Connection Service Rate</t>
  </si>
  <si>
    <t>4_STREET LIGHTING SERVICE CLASSIFICATION_WMSR</t>
  </si>
  <si>
    <t>4_STREET LIGHTING SERVICE CLASSIFICATION_RRRP</t>
  </si>
  <si>
    <t>4_STREET LIGHTING SERVICE CLASSIFICATION_SSS</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</si>
  <si>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in accordance with O. Reg. 429/04. Further servicing details are available in the distributor’s Conditions of Service.</t>
  </si>
  <si>
    <t>Lakefront Utilities Inc._Start</t>
  </si>
  <si>
    <t>1_RESIDENTIAL SERVICE CLASSIFICATION_DEFVAR_NONRPP</t>
  </si>
  <si>
    <t>This classification refers to a non residential account whose monthly average peak demand is equal to or greater than, or is forecast to be equal to or greater than 3,000 kW, but less than 5,000 kW. Class A and Class B consumers are defined in accordance with O. Reg. 429/04. Further servicing details are available in the distributor’s Conditions of Service.</t>
  </si>
  <si>
    <t>Lakefront Utilities Inc._ALLOWANCES</t>
  </si>
  <si>
    <t>Lakefront Utilities Inc._SSC</t>
  </si>
  <si>
    <t>Lakefront Utilities Inc._CA</t>
  </si>
  <si>
    <t>Lakefront Utilities Inc._NPoA</t>
  </si>
  <si>
    <t>Service charge for onsite interrogation of interval meter due to customer phone line failure - required weekly until line repaired</t>
  </si>
  <si>
    <t>Lakefront Utilities Inc._RSC</t>
  </si>
  <si>
    <t>Lakefront Utilities Inc._LFs</t>
  </si>
  <si>
    <t>Lakefront Utilities Inc._End</t>
  </si>
  <si>
    <t>Oakville Hydro Electricity Distribution Inc._Start</t>
  </si>
  <si>
    <t>This class refers to the supply of electrical energy to detached and semi-detached residential buildings as well as farms as defined in the local zoning by-laws. Where the residential dwelling comprises the entire electrical load of a farm, it is defined as a residential service. Where electricity is provided to a combined residential and business (including agricultural usage) and the service does not provide for separate metering, the classification shall be at the discretion of Oakville Hydro and shall be based on such considerations as the estimated predominant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</si>
  <si>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</si>
  <si>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Rate Rider for Recovery of Stranded Meter Assets - effective until April 30, 2019</t>
  </si>
  <si>
    <t>This class refers to customers who do not qualify as residential customers and whose monthly average peak demand in the preceding twelve months is less than 50kW. For new customers without prior billing history, the peak demand will be based on 90% of the proposed capacity or installed transformation. Note: Apartment buildings or multi-unit complexes and subdivisions that are not individually metered are treated as General Service. Class B consumers are defined in accordance with O. Reg. 429/04. Further servicing details are available in the distributor’s Conditions of Service.</t>
  </si>
  <si>
    <t>This class refers to customers who do not qualify as residential customers whose monthly average peak demand in the preceding twelve months is in the range of 50 to 999 kW. There are two sub categories within this class, those being non-interval and interval metered accounts. For new customers without prior billing history, the peak demand will be based on 90% of the proposed capacity or installed transformation.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</si>
  <si>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Energt Board, and amendments thereto as approved by the Ontario Energy Board, or as specified herein.</t>
  </si>
  <si>
    <t>This class refers to customers who do not qualify as residential customers whose monthly average peak demand in the preceding twelve months is equal to or greater than 1,000 kW. These accounts will all be interval metered accounts. For new customers without prior billing history, the peak demand will be based on 90% of the proposed capacity or installed transformation.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</si>
  <si>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 and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</si>
  <si>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Further servicing details are available in the distributor’s Conditions of Service. Class B consumers are defined in accordance with O. Reg. 429/04.</t>
  </si>
  <si>
    <t>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Oakville Hydro specifications.  Class B consumers are defined in accordance with O. Reg. 429/04.Further servicing details are available in the distributor’s Conditions of Service.</t>
  </si>
  <si>
    <t>This classification applies to an electricity distributor licenced by the Ontario Energy Board, which is provided electricity by means of this distributor's facilities. Further servicing details are available in the distributor's Conditions of Service.</t>
  </si>
  <si>
    <t>9_EMBEDDED DISTRIBUTOR SERVICE CLASSIFICATION_GA_kwh</t>
  </si>
  <si>
    <t>9_EMBEDDED DISTRIBUTOR SERVICE CLASSIFICATION_DEFVAR_ALL</t>
  </si>
  <si>
    <t>Oakville Hydro Electricity Distribution Inc._ALLOWANCES</t>
  </si>
  <si>
    <t>Transformer Allowance for General Service &gt; 50 to 999kW customers that own their transformers (per kW of billing demand/month)</t>
  </si>
  <si>
    <t>Oakville Hydro Electricity Distribution Inc._SSC</t>
  </si>
  <si>
    <t>Oakville Hydro Electricity Distribution Inc._CA</t>
  </si>
  <si>
    <t>Oakville Hydro Electricity Distribution Inc._NPoA</t>
  </si>
  <si>
    <t>Service call (after first service call in a 12-month period) - during regular hours</t>
  </si>
  <si>
    <t>Service call (after first service call in a 12-month period) - after regular hours</t>
  </si>
  <si>
    <t>Oakville Hydro Electricity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</si>
  <si>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</si>
  <si>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Oakville Hydro Electricity Distribution Inc._LFs</t>
  </si>
  <si>
    <t>Oakville Hydro Electricity Distribution Inc._End</t>
  </si>
  <si>
    <t>Wasaga Distribution Inc._Start</t>
  </si>
  <si>
    <t xml:space="preserve">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</si>
  <si>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</si>
  <si>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It should be noted that this schedule does list any charges, assessments or credits that are required by law to be invoiced by a distributor and that are not subject to Ontario Energy Board approval, such as the Debt Retirement Charge, the Global Adjustment and HST.</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</si>
  <si>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</si>
  <si>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This application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the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</si>
  <si>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</si>
  <si>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a wholesale market price, as applicable.   </t>
  </si>
  <si>
    <t>Wasaga Distribution Inc._ALLOWANCES</t>
  </si>
  <si>
    <t>Wasaga Distribution Inc._SSC</t>
  </si>
  <si>
    <t>Wasaga Distribution Inc._CA</t>
  </si>
  <si>
    <t>Wasaga Distribution Inc._NPoA</t>
  </si>
  <si>
    <t>Wasaga Distribution Inc._RSC</t>
  </si>
  <si>
    <t>Wasaga Distribution Inc._LFs</t>
  </si>
  <si>
    <t>Wasaga Distribution Inc._End</t>
  </si>
  <si>
    <t>Tillsonburg Hydro Inc._Start</t>
  </si>
  <si>
    <t>This classification applies to an account in one of three categories of residential services: single-family or single-unit homes, multi-family buildings, and subdivision developments. Class B consumers are defined in accordance with O. Reg. 429/04. Further servicing details are available in Tillsonburg Hydro's Conditions of Service.</t>
  </si>
  <si>
    <t>This classification applies to non residential account whose average monthly maximum demand is less than, or is forecast to be less than, 50 kW. Class B consumers are defined in accordance with O. Reg. 429/04. Further servicing details are available in Tillsonburg Hydro's Conditions of Service.</t>
  </si>
  <si>
    <t>This classification applies to a non residential account whose average monthly maximum demand used for billing purposes is equal to or greater than, or is forecast to be equal to or greater than, 50 kW but less than 500 kW.  Class B consumers are defined in accordance with O. Reg. 429/04. Further servicing details are available in Tillsonburg Hydro's Conditions of Service.</t>
  </si>
  <si>
    <t>4_GENERAL SERVICE 500 TO 1,499 KW SERVICE CLASSIFICATION</t>
  </si>
  <si>
    <t>This classification applies to a non residential account whose average monthly maximum demand used for billing purposes is equal to or greater than, or is forecast to be equal to order greater than, 500 kW but less than 1,500 kW. Class A and Class B consumers are defined in accordance with O. Reg. 429/04. Further servicing details are available in Tillsonburg Hydro's Conditions of Service.</t>
  </si>
  <si>
    <t>4_GENERAL SERVICE 500 TO 1,499 KW SERVICE CLASSIFICATION_MSC</t>
  </si>
  <si>
    <t>4_GENERAL SERVICE 500 TO 1,499 KW SERVICE CLASSIFICATION_DVC</t>
  </si>
  <si>
    <t>4_GENERAL SERVICE 500 TO 1,499 KW SERVICE CLASSIFICATION_Retail Transmission Rate - Network Service Rate - Interval Metered</t>
  </si>
  <si>
    <t>4_GENERAL SERVICE 500 TO 1,499 KW SERVICE CLASSIFICATION_Retail Transmission Rate - Line and Transformation Connection Service Rate - Interval Metered</t>
  </si>
  <si>
    <t>4_GENERAL SERVICE 500 TO 1,499 KW SERVICE CLASSIFICATION_WMSR</t>
  </si>
  <si>
    <t>4_GENERAL SERVICE 500 TO 1,499 KW SERVICE CLASSIFICATION_RRRP</t>
  </si>
  <si>
    <t>4_GENERAL SERVICE 500 TO 1,499 KW SERVICE CLASSIFICATION_SSS</t>
  </si>
  <si>
    <t>5_GENERAL SERVICE EQUAL TO OR GREATER THAN 1,500 KW SERVICE CLASSIFICATION</t>
  </si>
  <si>
    <t>This classification applies to a non residential account whose average monthly maximum demand used for billing purposes is equal to or greater than, or is forecast to be equal to or greater than, 1,500 kW.  Class A and Class B consumers are defined in accordance with O. Reg. 429/04. Further servicing details are available in Tillsonburg Hydro's Conditions of Service.</t>
  </si>
  <si>
    <t>5_GENERAL SERVICE EQUAL TO OR GREATER THAN 1,500 KW SERVICE CLASSIFICATION_MSC</t>
  </si>
  <si>
    <t>5_GENERAL SERVICE EQUAL TO OR GREATER THAN 1,500 KW SERVICE CLASSIFICATION_DVC</t>
  </si>
  <si>
    <t>5_GENERAL SERVICE EQUAL TO OR GREATER THAN 1,500 KW SERVICE CLASSIFICATION_Retail Transmission Rate - Network Service Rate - Interval Metered</t>
  </si>
  <si>
    <t>5_GENERAL SERVICE EQUAL TO OR GREATER THAN 1,500 KW SERVICE CLASSIFICATION_Retail Transmission Rate - Line and Transformation Connection Service Rate - Interval Metered</t>
  </si>
  <si>
    <t>5_GENERAL SERVICE EQUAL TO OR GREATER THAN 1,500 KW SERVICE CLASSIFICATION_WMSR</t>
  </si>
  <si>
    <t>5_GENERAL SERVICE EQUAL TO OR GREATER THAN 1,500 KW SERVICE CLASSIFICATION_RRRP</t>
  </si>
  <si>
    <t>5_GENERAL SERVICE EQUAL TO OR GREATER THAN 1,500 KW SERVICE CLASSIFICATION_SSS</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</si>
  <si>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Tillsonburg Hydro's Conditions of Service.</t>
  </si>
  <si>
    <t>This classification refers to accounts that are an unmetered lighting load supplied to a sentinel light. Class B consumers are defined in accordance with O. Reg. 429/04. Further servicing details are available in Tillsonburg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</si>
  <si>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Tillsonburg Hydro's Conditions of Service.</t>
  </si>
  <si>
    <t>This classification applies to an electricity generation facility contracted under the Independent Electricity System Operator's microFIT program and connected to the distributor's distribution system.  Further servicing details are available in Tillsonburg Hydro's Conditions of Service.</t>
  </si>
  <si>
    <t>Tillsonburg Hydro Inc._ALLOWANCES</t>
  </si>
  <si>
    <t>Tillsonburg Hydro Inc._SSC</t>
  </si>
  <si>
    <t>Tillsonburg Hydro Inc._CA</t>
  </si>
  <si>
    <t>Tillsonburg Hydro Inc._NPoA</t>
  </si>
  <si>
    <t>Tillsonburg Hydro Inc._RSC</t>
  </si>
  <si>
    <t>Tillsonburg Hydro Inc._LFs</t>
  </si>
  <si>
    <t>Tillsonburg Hydro Inc._End</t>
  </si>
  <si>
    <t>Toronto Hydro-Electric System Limited_Start</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</si>
  <si>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Class B consumers are defined in accordance with O. Reg. 429/04. Further details concerning the terms of service are available in the distributor’s Conditions of Service.  </t>
  </si>
  <si>
    <t>Rate Rider for Disposition of Post Employment Benefit - Tax Savings 
     - effective until December 31, 2018</t>
  </si>
  <si>
    <t>Rate Rider for Application of IFRS - 2014 Derecognition - effective until December 31, 2019</t>
  </si>
  <si>
    <t>Rate Rider for Recovery of 2015 Foregone Revenue - effective until December 31, 2019</t>
  </si>
  <si>
    <t>Rate Rider for Recovery of 2016 Foregone Revenue - effective until December 31, 2019</t>
  </si>
  <si>
    <t>2_COMPETITIVE SECTOR MULTI-UNIT RESIDENTIAL SERVICE CLASSIFICATION</t>
  </si>
  <si>
    <t>This classification is applicable to an account where electricity is used exclusively for residential purposes in a multi- 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Class B consumers are defined in accordance with O. Reg. 429/04. Further details concerning the terms of service are available in the distributor’s Conditions of Service.</t>
  </si>
  <si>
    <t>2_COMPETITIVE SECTOR MULTI-UNIT RESIDENTIAL SERVICE CLASSIFICATION_MSC</t>
  </si>
  <si>
    <t>2_COMPETITIVE SECTOR MULTI-UNIT RESIDENTIAL SERVICE CLASSIFICATION_SME</t>
  </si>
  <si>
    <t>2_COMPETITIVE SECTOR MULTI-UNIT RESIDENTIAL SERVICE CLASSIFICATION_DVC</t>
  </si>
  <si>
    <t>2_COMPETITIVE SECTOR MULTI-UNIT RESIDENTIAL SERVICE CLASSIFICATION_DEFVAR_ALL</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</si>
  <si>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</si>
  <si>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</si>
  <si>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2_COMPETITIVE SECTOR MULTI-UNIT RESIDENTIAL SERVICE CLASSIFICATION_WMSR</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</si>
  <si>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Class B consumers are defined in accordance with O. Reg. 429/04. Further servicing details are available in the distributor’s Conditions of Service.</t>
  </si>
  <si>
    <t>The rate rider for the disposition of Post 2011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</si>
  <si>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</si>
  <si>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</si>
  <si>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that has Load Displacement Generation and requires THESL to provide back- up service.  Further servicing details are available in the distributor’s Conditions of Service.</t>
  </si>
  <si>
    <t>Standby Charge - for a month where standby power is not provided. The charge is applied to the contracted amount (e.g. nameplate rating of generation facility).</t>
  </si>
  <si>
    <t>For General Service 50 - 999 kW Service Classification</t>
  </si>
  <si>
    <t>For General Service 1,000 - 4,999 kW Service Classification</t>
  </si>
  <si>
    <t>For Large Use Service Classification</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</si>
  <si>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</si>
  <si>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Connection Charge (per connection)</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</si>
  <si>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</si>
  <si>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Toronto Hydro-Electric System Limited_ALLOWANCES</t>
  </si>
  <si>
    <t>Toronto Hydro-Electric System Limited_SSC</t>
  </si>
  <si>
    <t>Toronto Hydro-Electric System Limited_CA</t>
  </si>
  <si>
    <t>Toronto Hydro-Electric System Limited_NPoA</t>
  </si>
  <si>
    <t>Toronto Hydro-Electric System Limited_RSC</t>
  </si>
  <si>
    <t>Retail Service Charges refer to services provided by THESL to retailers or customers related to the supply of competitive electricity and are defined in the 2006 Electricity Distribution Rate Handbook.</t>
  </si>
  <si>
    <t>Toronto Hydro-Electric System Limited_LFs</t>
  </si>
  <si>
    <t>Toronto Hydro-Electric System Limited_End</t>
  </si>
  <si>
    <t>Whitby Hydro Electric Corporation_Start</t>
  </si>
  <si>
    <t>This classification refers to detached, semi-detached or freehold townhouse dwelling units. Energy is supplied to
residential customers as single phase, three wire, 60 Hertz, having a normal voltage of 120/240 Volts up to a
maximum of 200 Amps per dwelling unit. Class B consumers are defined in accordance with O. Reg. 429/04. Further servicing details are available in the distributor’s Conditions of Service.</t>
  </si>
  <si>
    <t>This classification applies to a non residential account whose average monthly maximum demand is less than, or is forecast to be less than, 50 kW, shall include small apartment buildings and smaller commercial, industrial, and institutional developments.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</si>
  <si>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</si>
  <si>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 non residential account whose average monthly maximum demand used for billing purposes is equal to or greater than, or is forecast to be equal to or greater than, 50 kW but less than 5,000 kW and includes apartment buildings, and commercial, industrial, and institutional developments. Class A and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</si>
  <si>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lighting, bill 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</si>
  <si>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relates to the supply of power for street lighting installations. Street lighting design and installations shall be in accordance with the requirements of Whitby Hydro, Town of Whitby specifications and ESA. The Town of Whitby retains ownership of the street lighting system on municipal roadways.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</si>
  <si>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</si>
  <si>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Whitby Hydro Electric Corporation_ALLOWANCES</t>
  </si>
  <si>
    <t>Whitby Hydro Electric Corporation_SSC</t>
  </si>
  <si>
    <t>Whitby Hydro Electric Corporation_CA</t>
  </si>
  <si>
    <t>Whitby Hydro Electric Corporation_NPoA</t>
  </si>
  <si>
    <t>Whitby Hydro Electric Corporation_RSC</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</si>
  <si>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</si>
  <si>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Whitby Hydro Electric Corporation_LFs</t>
  </si>
  <si>
    <t>Whitby Hydro Electric Corporation_End</t>
  </si>
  <si>
    <t>Waterloo North Hydro Inc._Start</t>
  </si>
  <si>
    <t>Unless specifically noted, this schedule does not contain any charges for the electricity commodity, be it under the Regulated Price Plan, a contract with a retailer or the wholesale market price, as applicable.In addition, the charges in the MONTHLY RATES AND CHARGES - Regulatory Component of this schedule do not apply to a customer that is an embedded wholesale market participant.</t>
  </si>
  <si>
    <t>Rate Rider for Recovery of Stranded Meter Assets - effective until December 31, 2018</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</si>
  <si>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  Note that for the application of the Retail Transmission Rate - Network Service Rate and the Retail Transmission Rate - Line and Transformation Connection Service Rate the following sub-classifications apply:General Service 50 to 999 kW non-interval metered; General Service 50 to 999 kW interval metered; and General Service 1,000 to 4,999 kW interval metered.</t>
  </si>
  <si>
    <t>Retail Transmission Rate - Line and Trans. Connection Service Rate - Interval Metered (less than 1,000 kW)</t>
  </si>
  <si>
    <t>Retail Transmission Rate - Line and Trans. Connection Service Rate - Interval Metered (1,000 to 4,999 kW)</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</si>
  <si>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</si>
  <si>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</si>
  <si>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</si>
  <si>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Waterloo North Hydro Inc._ALLOWANCES</t>
  </si>
  <si>
    <t>Waterloo North Hydro Inc._SSC</t>
  </si>
  <si>
    <t>Waterloo North Hydro Inc._CA</t>
  </si>
  <si>
    <t>Waterloo North Hydro Inc._NPoA</t>
  </si>
  <si>
    <t>Waterloo North Hydro Inc._RSC</t>
  </si>
  <si>
    <t>Waterloo North Hydro Inc._LFs</t>
  </si>
  <si>
    <t>Waterloo North Hydro Inc._End</t>
  </si>
  <si>
    <t>Welland Hydro-Electric System Corp._End</t>
  </si>
  <si>
    <t>Wellington North Power Inc._Start</t>
  </si>
  <si>
    <t xml:space="preserve">This classification refers to the supply of electrical energy to Customers residing in residential dwelling units.  Energy is generally supplied as single phase, 3-wire, 60-Hertz, having a nominal voltage of 120/240 Volts.  Class B consumers are defined in accordance with O. Reg. 429/04. Further servicing details are available in the distributor’s Conditions of Service.
</t>
  </si>
  <si>
    <t>This classification applies to customers in General Service buildings with a connected load less than 50 kW, and Town Houses and Condominiums that require centralized bulk metering.  General Service buildings are defined as buildings that are used for purposes other than single-family dwellings.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</si>
  <si>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</si>
  <si>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1,000 kW but less than 5,000 kW. Class A and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</si>
  <si>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street lighting, billboards,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</si>
  <si>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for unmetered lighting loads supplied to sentinel lights. Class B consumers are defined in accordance with O. Reg. 429/04.  Further servicing details are available in the distributor’s Conditions of Service.</t>
  </si>
  <si>
    <t>Monthly Service Charge (per connection)</t>
  </si>
  <si>
    <t>This classification refers to accounts for roadway lighting with a Municipality, Regional Municipality, and Ministry of Transportation.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</si>
  <si>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Wellington North Power Inc._ALLOWANCES</t>
  </si>
  <si>
    <t>Wellington North Power Inc._SSC</t>
  </si>
  <si>
    <t>Wellington North Power Inc._CA</t>
  </si>
  <si>
    <t>Wellington North Power Inc._NPoA</t>
  </si>
  <si>
    <t>Wellington North Power Inc._RSC</t>
  </si>
  <si>
    <t>Wellington North Power Inc._LFs</t>
  </si>
  <si>
    <t>Wellington North Power Inc._End</t>
  </si>
  <si>
    <t>West Coast Huron Energy Inc._Start</t>
  </si>
  <si>
    <t>This classification refers to the supply of electrical energy to customers residing in residential dwelling units. Class B consumers are defined in accordance with O. Reg. 429/04. Further servicing details are available in the distributor's Conditions of Service.</t>
  </si>
  <si>
    <t>This classification applies to the supply of electrical energy to General Service Buildings requiring a connection with a connected load less than 50 kW and, Town Houses and Condominiums described in section 3.1.8 of the distributor's Conditions of Service that require centralized bulk metering.  General Service Buildings are defined as buildings that are used for purposes other than single family dwellings.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</si>
  <si>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 kW but less than 500 kW.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</si>
  <si>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500 kW but less than 5,000 kW. Class A and Class B consumers are defined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</si>
  <si>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</si>
  <si>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decorative street lighting, bill boards, etc.  The level of consumption will be agreed to by the distributor and the customer, based on detailed manufacturer information/documentation with regard to electrical consumption of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</si>
  <si>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Street lighting plant, facilities or equipment owned by the customer are subject to the ESA requirements.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</si>
  <si>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</si>
  <si>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West Coast Huron Energy Inc._ALLOWANCES</t>
  </si>
  <si>
    <t>West Coast Huron Energy Inc._SSC</t>
  </si>
  <si>
    <t>West Coast Huron Energy Inc._CA</t>
  </si>
  <si>
    <t>West Coast Huron Energy Inc._NPoA</t>
  </si>
  <si>
    <t>West Coast Huron Energy Inc._RSC</t>
  </si>
  <si>
    <t>West Coast Huron Energy Inc._LFs</t>
  </si>
  <si>
    <t>West Coast Huron Energy Inc._End</t>
  </si>
  <si>
    <t>Hydro Hawkesbury Inc._Start</t>
  </si>
  <si>
    <t xml:space="preserve">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
</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</si>
  <si>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</si>
  <si>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</si>
  <si>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</si>
  <si>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t>
  </si>
  <si>
    <t>Hydro Hawkesbury Inc._ALLOWANCES</t>
  </si>
  <si>
    <t>Hydro Hawkesbury Inc._SSC</t>
  </si>
  <si>
    <t>Hydro Hawkesbury Inc._CA</t>
  </si>
  <si>
    <t>Non-payment of account</t>
  </si>
  <si>
    <t>Hydro Hawkesbury Inc._NPoA</t>
  </si>
  <si>
    <t>Hydro Hawkesbury Inc._RSC</t>
  </si>
  <si>
    <t>Hydro Hawkesbury Inc._LFs</t>
  </si>
  <si>
    <t>Hydro Hawkesbury Inc._End</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</si>
  <si>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</si>
  <si>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This classification refers to accounts that are an unmetered lighting load supplied to a sentinel light. Further servicing details are available in the distributor's Conditions of Service.</t>
  </si>
  <si>
    <t>E.L.K. Energy Inc._Start</t>
  </si>
  <si>
    <t>This classification refers to a service which is less than 50 kW supplied to a single family dwelling unit that is for domestic or household purposes, including seasonal occupancy.  At E.L.K.’s discretion, residential rates may be applied to apartment buildings with 6 or less units by simple application of the residential rate or by blocking the residential rate by the number of units.  Further servicing details are available in the distributor’s Conditions of Service.</t>
  </si>
  <si>
    <t>This classification refers to premises other than those designated as residential and do not exceed 50 kW in any month of the year.  This includes multi-unit residential establishments such as apartment buildings supplied through one service (bulk-metered).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</si>
  <si>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Further servicing details are available in the distributor’s Conditions of Service.</t>
  </si>
  <si>
    <t>This classification applies to an account whose average monthly maximum demand is less than, or is forecast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E.L.K. is not in the practice of connecting new unmetered scattered load services.  Further servicing details are available in the distributor’s Conditions of Service.</t>
  </si>
  <si>
    <t>This classification refers to accounts that are an unmetered lighting load supplied to a sentinel light.  E.L.K. is not in the practice of connecting new unmetered scattered load services.  Further servicing details are available in the distributor’s Conditions of Service.</t>
  </si>
  <si>
    <t>This classification applies to an electricity distributor licensed by the Ontario Energy Board, and provided electricity by means of E.L.K. Energy Inc.’s distribution facilities. Further servicing details are available in the distributor’s Conditions of Service.</t>
  </si>
  <si>
    <t>E.L.K. Energy Inc._ALLOWANCES</t>
  </si>
  <si>
    <t>E.L.K. Energy Inc._SSC</t>
  </si>
  <si>
    <t>E.L.K. Energy Inc._CA</t>
  </si>
  <si>
    <t>E.L.K. Energy Inc._NPoA</t>
  </si>
  <si>
    <t>E.L.K. Energy Inc._RSC</t>
  </si>
  <si>
    <t>E.L.K. Energy Inc._LFs</t>
  </si>
  <si>
    <t>E.L.K. Energy Inc._End</t>
  </si>
  <si>
    <t>InnPower Corporation_Start</t>
  </si>
  <si>
    <t>This classification applies to an electricity generation facility contracted under the Independent Electricity System Operator's microFIT program and connected to the distributor's distribution system.</t>
  </si>
  <si>
    <t>InnPower Corporation_ALLOWANCES</t>
  </si>
  <si>
    <t>InnPower Corporation_SSC</t>
  </si>
  <si>
    <t>InnPower Corporation_CA</t>
  </si>
  <si>
    <t>InnPower Corporation_NPoA</t>
  </si>
  <si>
    <t>InnPower Corporation_RSC</t>
  </si>
  <si>
    <t>InnPower Corporation_LFs</t>
  </si>
  <si>
    <t>InnPower Corporation_End</t>
  </si>
  <si>
    <t>Peterborough Distribution Incorporated_Start</t>
  </si>
  <si>
    <t>Residential class customers are defined as single-family dwelling units for domestic or household purposes. Semi-detached and row town-housing will be considered residential class if each individual unit is located on its own registered freehold lot fronting on the public road allowance. Each unit must have its own individual service connection from the road allowance and each main service disconnect is assessable from the unit which it supplies. All other developments are considered to be in the General Service class. Further servicing details are available in the distributor's Conditions of Service.</t>
  </si>
  <si>
    <t>This classification applies to a non residential account taking electricity at 750 volts or less whose average monthly maximum demand is less than, or is forecast to be less than, 50 kW. General Service class customers are defined as all buildings not classified as residential. A customer must remain in its customer class for a minimum of twelve (12) months before being reassigned to another class. Further servicing details are available in the distributor's Conditions of Service.</t>
  </si>
  <si>
    <t>This classification applies to all buildings not classified as residential and having a service connection capable of load delivery equal to or above 50 kW or having an average monthly peak demand equal to or greater than 50 kW over a twelve month period, but less than 5,000 kW. A customer must remain in its customer class for a minimum of twelve (12) months before being reassigned to another class. Customers who require service connections above 1,000 kVA must supply and own the primary conductors, switchgear and their own transformation above the maximum supplied by Peterborough Distribution Inc. (see Section 3.3 of Conditions of Service). The maximum allowable service connection on the 27.6 kV system is 5,000 kVA. Customers have the option of ownership of transformation at all sizes and are required to own the transformation above the maximum levels supplied by Peterborough Distribution Inc. If a customer decides or is required to own their transformation, the transformer specifications and its loss evaluation require approval from Peterborough Distribution Inc. The customer is required to compensate Peterborough Distribution Inc. for transformer losses that exceed the maximum acceptable losses. The customer will receive a transformer allowance as specified in the current rate schedule for privately owned transformation.</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</si>
  <si>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</si>
  <si>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Further servicing details are available in the distributor’s Conditions of Service.</t>
  </si>
  <si>
    <t>This classification covers sentinel lights used for security or other commercial activities. All attempts must be made to connect these loads to a metered service where possible. The customer is required to provide details of the connected load and usage pattern prior to connecting to the distribution system. The customer owns all the equipment and facilities from the load side of the connection to the distribution system. The connection shall be made to the distribution system as approved by Peterborough Distribution Inc. Peterborough Distribution Inc. has operational control of the connection to the distribution system. The customer is responsible for any requirements under the Ontario Electrical Safety Code and is required to have all equipment inspected and approved by the Electrical Safety Authority. Further servicing details are available in the distributor’s Conditions of Service.</t>
  </si>
  <si>
    <t>This classification applies only to street lighting equipment owned by the City of Peterborough, other authorized municipalities or the Province of Ontario and operating within the licenced territory of Peterborough Distribution Inc. Included is decorative and seasonal lighting connected to street lighting facilities owned by the City of Peterborough, other authorized municipalities and the Province of Ontario. The customer owns all equipment and facilities from the load side of the connection to the distribution system. The customer is required to provide details of the connected load and usage pattern prior to connecting to the distribution system. Each streetlight is to be individually controlled by a photocell. Underground connections for street lighting require a main disconnect to be installed by the Customer. The customer is responsible for any requirements under the Ontario Electrical Safety Code and is required to have all equipment inspected and approved by the Electrical Safety
Authority. The customer may retain operational control of any disconnects if authorized by Peterborough Distribution Inc. and operated by qualified personnel. Peterborough Distribution Inc. retains operational control of the connections to the distribution system. Further servicing details are available in the distributor’s Conditions of Service.</t>
  </si>
  <si>
    <t>Peterborough Distribution Incorporated_ALLOWANCES</t>
  </si>
  <si>
    <t>Peterborough Distribution Incorporated_SSC</t>
  </si>
  <si>
    <t>Peterborough Distribution Incorporated_CA</t>
  </si>
  <si>
    <t>Peterborough Distribution Incorporated_NPoA</t>
  </si>
  <si>
    <t>Peterborough Distribution Incorporated_RSC</t>
  </si>
  <si>
    <t>Peterborough Distribution Incorporated_LFs</t>
  </si>
  <si>
    <t>Peterborough Distribution Incorporated_End</t>
  </si>
  <si>
    <t>Thunder Bay Hydro Electricity Distribution Inc._Start</t>
  </si>
  <si>
    <t>This classification refers to a non-residential account whose monthly average peak demand is equal to or greater than, or is forecast to be equal to or greater than, 1,000 kW but less than 5,000 kW. Class A and Class B consumers are defined in accordance with O.Reg.429/04.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</si>
  <si>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private sentinel lighting etc. The customer will provide detailed manufacturing information/documentation with regard to electrical demand/ consumption of the proposed unmetered load.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</si>
  <si>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</si>
  <si>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Thunder Bay Hydro Electricity Distribution Inc._ALLOWANCES</t>
  </si>
  <si>
    <t>Thunder Bay Hydro Electricity Distribution Inc._SSC</t>
  </si>
  <si>
    <t>Thunder Bay Hydro Electricity Distribution Inc._CA</t>
  </si>
  <si>
    <t>Easement letter</t>
  </si>
  <si>
    <t>Thunder Bay Hydro Electricity Distribution Inc._NPoA</t>
  </si>
  <si>
    <t>Late payment - per annum</t>
  </si>
  <si>
    <t>Disconnect/reconnect at meter - during regular hours</t>
  </si>
  <si>
    <t>Disconnect/reconnect at meter - after regular hours</t>
  </si>
  <si>
    <t>Disconnect/reconnect at pole - during regular hours</t>
  </si>
  <si>
    <t>Disconnect/reconnect at pole - after regular hours</t>
  </si>
  <si>
    <t>Install/remove load control device - during regular hours</t>
  </si>
  <si>
    <t>Install/remove load control device - after regular hours</t>
  </si>
  <si>
    <t>Service call - customer-owned equipment</t>
  </si>
  <si>
    <t>Thunder Bay Hydro Electricity Distribution Inc._RSC</t>
  </si>
  <si>
    <t>Thunder Bay Hydro Electricity Distribution Inc._LFs</t>
  </si>
  <si>
    <t>Thunder Bay Hydro Electricity Distribution Inc._End</t>
  </si>
  <si>
    <t xml:space="preserve">7_STANDBY POWER SERVICE CLASSIFICATION </t>
  </si>
  <si>
    <t>Temporary Service install and remove - overhead - no transformer</t>
  </si>
  <si>
    <t>Atikokan Hydro Inc._Start</t>
  </si>
  <si>
    <t>1_RESIDENTIAL SERVICE CLASSIFICATION_Retail Transmission Rate - Transformation Connection Service Rate</t>
  </si>
  <si>
    <t>This classification applies to a non-residential account taking electricity at 750 volts or less whose average monthly maximum demand is less than, or is forecast to be less than, 50 kW.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</si>
  <si>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50kW but less than 5,000kW.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</si>
  <si>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</si>
  <si>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Atikokan Hydro Inc._ALLOWANCES</t>
  </si>
  <si>
    <t>Atikokan Hydro Inc._SSC</t>
  </si>
  <si>
    <t>Atikokan Hydro Inc._CA</t>
  </si>
  <si>
    <t>Atikokan Hydro Inc._NPoA</t>
  </si>
  <si>
    <t>Atikokan Hydro Inc._RSC</t>
  </si>
  <si>
    <t>Atikokan Hydro Inc._LFs</t>
  </si>
  <si>
    <t>Atikokan Hydro Inc._End</t>
  </si>
  <si>
    <t>Welland Hydro-Electric System Corp._Start</t>
  </si>
  <si>
    <t>This classification refers to the supply of electrical energy to residential customers residing in detached or semi-detached units, as defined in the local zoning by-law. Class B consumers are defined in accordance with O. Reg. 429/04. Further servicing details are available in the distributor's Conditions of Service.</t>
  </si>
  <si>
    <t>1_RESIDENTIAL SERVICE CLASSIFICATION_FX_RR_3</t>
  </si>
  <si>
    <t>This classification refers to the supply of electrical energy to commercial buildings taking electricity at 750 volts or less whose monthly average peak demand is less than, or is forecast to be less than, 50 kW.  Commercial buildings are defined as buildings, which are used for purposes other than resident dwellings. Class B consumers are defined in accordance with O. Reg. 429/04. Further servicing details are available in the distributor's Conditions of Service.</t>
  </si>
  <si>
    <t>This classification refers to the supply of electrical energy to commercial buildings whose monthly average peak demand is equal to or greater than, or is forecast to be equal to or greater than, 50 kW but less than 5,000 kW.  Commercial buildings are defined as buildings, which are used for purposes other than resident dwellings.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</si>
  <si>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Unmetered or flat connections are permitted with the approval of Welland Hydro-Electric System Corp. Engineering Department.  Flat rate connects may include, but are not limited to, Traffic Lights, Street Lights, Bus Shelters, and Signs.  Energy consumption is determined by information provided by the customer and/or load measurement taken by Welland Hydro-Electric System Corp. following connection of the flat service.  Class B consumers are defined in accordance with O. Reg. 429/04. Further servicing details are available in the distributor's Conditions of Service.</t>
  </si>
  <si>
    <t>This classification refers to an account for roadway lighting not classified as unmetered or street lighting.  The consumption for the customer will be based on the calculated connected load times a twelve hour day times the applicable billing period.  Class B consumers are defined in accordance with O. Reg. 429/04. Further servicing details are available in the distributor's Conditions of Service.</t>
  </si>
  <si>
    <t>This classification refers to the Street Lighting system owned by the City of Welland.  Welland Hydro-Electric System Corp. provides new installations and maintenance of the street lighting system, as required by the City of Welland.  Class B consumers are defined in accordance with O. Reg. 429/04. Further servicing details are available in the distributor's Conditions of Service.</t>
  </si>
  <si>
    <t>Specific charge for access to the power poles - $/pole/year                                                                                                                                                                                                                                                                                                                                                                                                (with the exception of wireless attachments)</t>
  </si>
  <si>
    <t>Meter upgrade requested by customer plus installation-per month plus installation on a time and material basis</t>
  </si>
  <si>
    <t>Rideau St. Lawrence Distribution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</si>
  <si>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t>
  </si>
  <si>
    <t>Separately metered dwellings within a town house complex or apartment building also qualify as residential customers. Class B consumers are defined in accordance with O. Reg. 429/04. Further servicing details are available in the distributor’s Conditions of Service.</t>
  </si>
  <si>
    <t xml:space="preserve">Service Charge </t>
  </si>
  <si>
    <t>Rate Rider for Disposition of Group 2 Deferral/Variance Accounts (2017) - effective until June 30, 2018</t>
  </si>
  <si>
    <t>Rate Rider for Disposition of Smart Meter Costs - effective until June 30, 2018</t>
  </si>
  <si>
    <t xml:space="preserve">Low Voltage Service Rate </t>
  </si>
  <si>
    <t xml:space="preserve">Rate Rider for Disposition of Deferral/Variance Accounts (2017) - effective until June 30, 2018 </t>
  </si>
  <si>
    <t xml:space="preserve">Retail Transmission Rate - Network Service Rate </t>
  </si>
  <si>
    <t xml:space="preserve">1_RESIDENTIAL SERVICE CLASSIFICATION_Retail Transmission Rate - Network Service Rate </t>
  </si>
  <si>
    <t xml:space="preserve">1_RESIDENTIAL SERVICE CLASSIFICATION_Retail Transmission Rate - Line and Transformation Connection Service Rate </t>
  </si>
  <si>
    <t>2_GENERAL SERVICE LESS THAN 50 KW SERVICE CLASSIFICATION_GA_kwh</t>
  </si>
  <si>
    <t>GENERAL SERVICE 50 to 4,999 kW SERVICE CLASSIFICATION</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</si>
  <si>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</si>
  <si>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 xml:space="preserve">Retail Transmission Rate - Network Service Rate - Interval Metered </t>
  </si>
  <si>
    <t xml:space="preserve">Retail Transmission Rate - Line and Transformation Connection Service Rate - Interval Metered </t>
  </si>
  <si>
    <t xml:space="preserve">Service Charge (per customer) </t>
  </si>
  <si>
    <t>Rate Rider for Disposition of Deferral/Variance Accounts (2017) - effective until June 30, 2018</t>
  </si>
  <si>
    <t xml:space="preserve">4_UNMETERED SCATTERED LOAD SERVICE CLASSIFICATION_Retail Transmission Rate - Network Service Rate </t>
  </si>
  <si>
    <t xml:space="preserve">4_UNMETERED SCATTERED LOAD SERVICE CLASSIFICATION_Retail Transmission Rate - Line and Transformation Connection Service Rate </t>
  </si>
  <si>
    <t xml:space="preserve">Service Charge (per connection) </t>
  </si>
  <si>
    <t xml:space="preserve">5_SENTINEL LIGHTING SERVICE CLASSIFICATION_Retail Transmission Rate - Line and Transformation Connection Service Rate </t>
  </si>
  <si>
    <t xml:space="preserve">6_STREET LIGHTING SERVICE CLASSIFICATION_Retail Transmission Rate - Network Service Rate </t>
  </si>
  <si>
    <t xml:space="preserve">6_STREET LIGHTING SERVICE CLASSIFICATION_Retail Transmission Rate - Line and Transformation Connection Service Rate </t>
  </si>
  <si>
    <t>Rideau St. Lawrence Distribution Inc._ALLOWANCES</t>
  </si>
  <si>
    <t xml:space="preserve">Transformer Allowance for Ownership - per kW of billing demand/month </t>
  </si>
  <si>
    <t>Rideau St. Lawrence Distribution Inc._SSC</t>
  </si>
  <si>
    <t>Rideau St. Lawrence Distribution Inc._CA</t>
  </si>
  <si>
    <t xml:space="preserve">Statement of account </t>
  </si>
  <si>
    <t xml:space="preserve">Pulling post-dated cheques </t>
  </si>
  <si>
    <t xml:space="preserve">Duplicate invoices for previous billing </t>
  </si>
  <si>
    <t xml:space="preserve">Request for other billing information </t>
  </si>
  <si>
    <t xml:space="preserve">Easement letter </t>
  </si>
  <si>
    <t xml:space="preserve">Income tax letter </t>
  </si>
  <si>
    <t xml:space="preserve">Notification charge </t>
  </si>
  <si>
    <t xml:space="preserve">Account history </t>
  </si>
  <si>
    <t xml:space="preserve">Credit reference/credit check (plus credit agency costs) </t>
  </si>
  <si>
    <t xml:space="preserve">Returned cheque charge (plus bank charges) </t>
  </si>
  <si>
    <t xml:space="preserve">Charge to certify cheque </t>
  </si>
  <si>
    <t xml:space="preserve">Account set up charge/change of occupancy charge (plus credit agency costs if applicable) </t>
  </si>
  <si>
    <t xml:space="preserve">Meter dispute charge plus Measurement Canada fees (if meter found correct) </t>
  </si>
  <si>
    <t xml:space="preserve">Special meter reads </t>
  </si>
  <si>
    <t>Rideau St. Lawrence Distribution Inc._NPoA</t>
  </si>
  <si>
    <t xml:space="preserve">Late payment - per annum </t>
  </si>
  <si>
    <t xml:space="preserve">Collection of account charge - no disconnection </t>
  </si>
  <si>
    <t xml:space="preserve">Collection of account charge - no disconnection - after regular hours </t>
  </si>
  <si>
    <t xml:space="preserve">Service call - customer owned equipment </t>
  </si>
  <si>
    <t xml:space="preserve">Service call - after regular hours </t>
  </si>
  <si>
    <t xml:space="preserve">Temporary service install and remove - underground - no transformer </t>
  </si>
  <si>
    <t xml:space="preserve">Temporary service install and remove - overhead - with transformer </t>
  </si>
  <si>
    <t>Rideau St. Lawrence Distribution Inc._RSC</t>
  </si>
  <si>
    <t xml:space="preserve">One-time charge, per retailer, to establish the service agreement between the distributor and the retailer </t>
  </si>
  <si>
    <t xml:space="preserve">Distributor-consolidated billing monthly charge, per customer, per retailer </t>
  </si>
  <si>
    <t xml:space="preserve">Retailer-consolidated billing monthly credit, per customer, per retailer </t>
  </si>
  <si>
    <t xml:space="preserve">Request fee, per request, applied to the requesting party </t>
  </si>
  <si>
    <t xml:space="preserve">Processing fee, per request, applied to the requesting party </t>
  </si>
  <si>
    <t>Up to twice a year no charge</t>
  </si>
  <si>
    <t xml:space="preserve">More than twice a year, per request (plus incremental delivery costs) </t>
  </si>
  <si>
    <t>Rideau St. Lawrence Distribution Inc._LFs</t>
  </si>
  <si>
    <t>Rideau St. Lawrence Distribution Inc._End</t>
  </si>
  <si>
    <t>Smart Meter Entity Charge (SME)</t>
  </si>
  <si>
    <t>DVA Proposed Rate Rider Recovery Period (in months)</t>
  </si>
  <si>
    <t>LRAM Proposed Rate Rider Recovery Period (in months)</t>
  </si>
  <si>
    <t xml:space="preserve">Additional Volumetric Rate Riders </t>
  </si>
  <si>
    <t xml:space="preserve">Additional Fixed Rate Riders </t>
  </si>
  <si>
    <t>DRP Adjustment</t>
  </si>
  <si>
    <t>2.1.7 for 2018</t>
  </si>
  <si>
    <t>Alectra Utilities Corporation</t>
  </si>
  <si>
    <t>Alectra Utilities Corporation1550</t>
  </si>
  <si>
    <t>Alectra Utilities Corporation1551</t>
  </si>
  <si>
    <t>Alectra Utilities Corporation1568</t>
  </si>
  <si>
    <t>Alectra Utilities Corporation1580</t>
  </si>
  <si>
    <t>Alectra Utilities Corporation1584</t>
  </si>
  <si>
    <t>Alectra Utilities Corporation1586</t>
  </si>
  <si>
    <t>Alectra Utilities Corporation1588</t>
  </si>
  <si>
    <t>Alectra Utilities Corporation1589</t>
  </si>
  <si>
    <t>Alectra Utilities Corporation1595_(2008)</t>
  </si>
  <si>
    <t>Alectra Utilities Corporation1595_(2009)</t>
  </si>
  <si>
    <t>Alectra Utilities Corporation1595_(2010)</t>
  </si>
  <si>
    <t>Alectra Utilities Corporation1595_(2011)</t>
  </si>
  <si>
    <t>Alectra Utilities Corporation1595_(2012)</t>
  </si>
  <si>
    <t>Alectra Utilities Corporation1595_(2013)</t>
  </si>
  <si>
    <t>Alectra Utilities Corporation1595_(2014)</t>
  </si>
  <si>
    <t>Alectra Utilities Corporation1595_(2015)</t>
  </si>
  <si>
    <t>Alectra Utilities Corporation1595_(2016)</t>
  </si>
  <si>
    <t>Disposition and Recovery/Refund of Regulatory Balances (2017)</t>
  </si>
  <si>
    <t>Alectra Utilities Corporation1595_ControlAccount</t>
  </si>
  <si>
    <t>Energy Plus Inc.1550</t>
  </si>
  <si>
    <t>Energy Plus Inc.1551</t>
  </si>
  <si>
    <t>Energy Plus Inc.1568</t>
  </si>
  <si>
    <t>Energy Plus Inc.1580</t>
  </si>
  <si>
    <t>Energy Plus Inc.1584</t>
  </si>
  <si>
    <t>Energy Plus Inc.1586</t>
  </si>
  <si>
    <t>Energy Plus Inc.1588</t>
  </si>
  <si>
    <t>Energy Plus Inc.1589</t>
  </si>
  <si>
    <t>Energy Plus Inc.1595_(2008)</t>
  </si>
  <si>
    <t>Energy Plus Inc.1595_(2009)</t>
  </si>
  <si>
    <t>Energy Plus Inc.1595_(2010)</t>
  </si>
  <si>
    <t>Energy Plus Inc.1595_(2011)</t>
  </si>
  <si>
    <t>Energy Plus Inc.1595_(2012)</t>
  </si>
  <si>
    <t>Energy Plus Inc.1595_(2013)</t>
  </si>
  <si>
    <t>Energy Plus Inc.1595_(2014)</t>
  </si>
  <si>
    <t>Energy Plus Inc.1595_(2015)</t>
  </si>
  <si>
    <t>Energy Plus Inc.1595_(2016)</t>
  </si>
  <si>
    <t>Energy Plus Inc.1595_ControlAccount</t>
  </si>
  <si>
    <t>Hearst Power Distribution Company Limited1550</t>
  </si>
  <si>
    <t>Hearst Power Distribution Company Limited1551</t>
  </si>
  <si>
    <t>Hearst Power Distribution Company Limited1568</t>
  </si>
  <si>
    <t>Hearst Power Distribution Company Limited1580</t>
  </si>
  <si>
    <t>Hearst Power Distribution Company Limited1584</t>
  </si>
  <si>
    <t>Hearst Power Distribution Company Limited1586</t>
  </si>
  <si>
    <t>Hearst Power Distribution Company Limited1588</t>
  </si>
  <si>
    <t>Hearst Power Distribution Company Limited1589</t>
  </si>
  <si>
    <t>Hearst Power Distribution Company Limited1595_(2008)</t>
  </si>
  <si>
    <t>Hearst Power Distribution Company Limited1595_(2009)</t>
  </si>
  <si>
    <t>Hearst Power Distribution Company Limited1595_(2010)</t>
  </si>
  <si>
    <t>Hearst Power Distribution Company Limited1595_(2011)</t>
  </si>
  <si>
    <t>Hearst Power Distribution Company Limited1595_(2012)</t>
  </si>
  <si>
    <t>Hearst Power Distribution Company Limited1595_(2013)</t>
  </si>
  <si>
    <t>Hearst Power Distribution Company Limited1595_(2014)</t>
  </si>
  <si>
    <t>Hearst Power Distribution Company Limited1595_(2015)</t>
  </si>
  <si>
    <t>Hearst Power Distribution Company Limited1595_(2016)</t>
  </si>
  <si>
    <t>Hearst Power Distribution Company Limited1595_ControlAccount</t>
  </si>
  <si>
    <t>Newmarket - Tay Power Distribution LTD.</t>
  </si>
  <si>
    <t>Newmarket-Tay Power Distribution Ltd.1550</t>
  </si>
  <si>
    <t>Newmarket-Tay Power Distribution Ltd.1551</t>
  </si>
  <si>
    <t>Newmarket-Tay Power Distribution Ltd.1568</t>
  </si>
  <si>
    <t>Newmarket-Tay Power Distribution Ltd.1580</t>
  </si>
  <si>
    <t>Newmarket-Tay Power Distribution Ltd.1584</t>
  </si>
  <si>
    <t>Newmarket-Tay Power Distribution Ltd.1586</t>
  </si>
  <si>
    <t>Newmarket-Tay Power Distribution Ltd.1588</t>
  </si>
  <si>
    <t>Newmarket-Tay Power Distribution Ltd.1589</t>
  </si>
  <si>
    <t>Newmarket-Tay Power Distribution Ltd.1595_(2008)</t>
  </si>
  <si>
    <t>Newmarket-Tay Power Distribution Ltd.1595_(2009)</t>
  </si>
  <si>
    <t>Newmarket-Tay Power Distribution Ltd.1595_(2010)</t>
  </si>
  <si>
    <t>Newmarket-Tay Power Distribution Ltd.1595_(2011)</t>
  </si>
  <si>
    <t>Newmarket-Tay Power Distribution Ltd.1595_(2012)</t>
  </si>
  <si>
    <t>Newmarket-Tay Power Distribution Ltd.1595_(2013)</t>
  </si>
  <si>
    <t>Newmarket-Tay Power Distribution Ltd.1595_(2014)</t>
  </si>
  <si>
    <t>Newmarket-Tay Power Distribution Ltd.1595_(2015)</t>
  </si>
  <si>
    <t>Newmarket-Tay Power Distribution Ltd.1595_(2016)</t>
  </si>
  <si>
    <t>Newmarket-Tay Power Distribution Ltd.1595_ControlAccount</t>
  </si>
  <si>
    <t>Peterborough Distribution Incorporated1595_(2015)</t>
  </si>
  <si>
    <t>Peterborough Distribution Incorporated1595_(2016)</t>
  </si>
  <si>
    <t>212_Total_Connection_RollUp_filedFeb2018</t>
  </si>
  <si>
    <t>Time run: 5/3/2018 2:50:50 PM</t>
  </si>
  <si>
    <t>2.1.5 TotalConsumptionData_Dist_Ret_Total_Combined_2018</t>
  </si>
  <si>
    <t>Class_A_Consumption_kWhs</t>
  </si>
  <si>
    <t>Class_A_Consumption_kWs</t>
  </si>
  <si>
    <t>2018</t>
  </si>
  <si>
    <t>ALECTRA UTILITIES CORPORATION</t>
  </si>
  <si>
    <t>HYDRO ONE BRAMPTON_EMBEDDED DISTRIBUTOR</t>
  </si>
  <si>
    <t>ENERSOURCE_GENERAL SERVICE 50 TO 499 KW</t>
  </si>
  <si>
    <t>ENERSOURCE_GENERAL SERVICE 500 TO 4,999 KW</t>
  </si>
  <si>
    <t>HORIZON_GENERAL SERVICE 50 TO 4,999 KW</t>
  </si>
  <si>
    <t>HYDRO ONE BRAMPTON_ENERGY FROM WASTE</t>
  </si>
  <si>
    <t>HYDRO ONE BRAMPTON_GENERAL SERVICE 50 TO 699 KW</t>
  </si>
  <si>
    <t>HYDRO ONE BRAMPTON_GENERAL SERVICE 700 TO 4,999 KW</t>
  </si>
  <si>
    <t>POWERSTREAM_GENERAL SERVICE 50 TO 4,999 KW</t>
  </si>
  <si>
    <t>ENERSOURCE_GENERAL SERVICE LESS THAN 50 KW</t>
  </si>
  <si>
    <t>HORIZON_GENERAL SERVICE LESS THAN 50 KW</t>
  </si>
  <si>
    <t>HYDRO ONE BRAMPTON_DISTRIBUTED GENERATION [DGEN]</t>
  </si>
  <si>
    <t>HYDRO ONE BRAMPTON_GENERAL SERVICE LESS THAN 50 KW</t>
  </si>
  <si>
    <t>POWERSTREAM_GENERAL SERVICE LESS THAN 50 KW</t>
  </si>
  <si>
    <t>ENERSOURCE_LARGE USE</t>
  </si>
  <si>
    <t>HORIZON_LARGE USE</t>
  </si>
  <si>
    <t>HORIZON_LARGE USE WITH DEDICATED ASSETS</t>
  </si>
  <si>
    <t>HYDRO ONE BRAMPTON_LARGE USE</t>
  </si>
  <si>
    <t>POWERSTREAM_LARGE USE</t>
  </si>
  <si>
    <t>NO RATE CLASS</t>
  </si>
  <si>
    <t>ALECTRA UTILITIES CORPORATION_NO RATE CLASS SERVICE CLASSIFICATION</t>
  </si>
  <si>
    <t>ENERSOURCE_RESIDENTIAL</t>
  </si>
  <si>
    <t>HORIZON_RESIDENTIAL</t>
  </si>
  <si>
    <t>HYDRO ONE BRAMPTON_RESIDENTIAL</t>
  </si>
  <si>
    <t>POWERSTREAM_RESIDENTIAL</t>
  </si>
  <si>
    <t>HORIZON_SENTINEL LIGHTING</t>
  </si>
  <si>
    <t>POWERSTREAM_SENTINEL LIGHTING</t>
  </si>
  <si>
    <t>ENERSOURCE_STREET LIGHTING</t>
  </si>
  <si>
    <t>HORIZON_STREET LIGHTING</t>
  </si>
  <si>
    <t>HYDRO ONE BRAMPTON_STREET LIGHTING</t>
  </si>
  <si>
    <t>POWERSTREAM_STREET LIGHTING</t>
  </si>
  <si>
    <t>ENERSOURCE_UNMETERED SCATTERED LOAD</t>
  </si>
  <si>
    <t>HORIZON_UNMETERED SCATTERED LOAD</t>
  </si>
  <si>
    <t>HYDRO ONE BRAMPTON_UNMETERED SCATTERED LOAD</t>
  </si>
  <si>
    <t>POWERSTREAM_UNMETERED SCATTERED LOAD</t>
  </si>
  <si>
    <t>ALGOMA POWER INC._NO RATE CLASS SERVICE CLASSIFICATION</t>
  </si>
  <si>
    <t>ALGOMA POWER INC._SEASONAL Customers SERVICE CLASSIFICATION</t>
  </si>
  <si>
    <t>ATIKOKAN HYDRO INC._NO RATE CLASS SERVICE CLASSIFICATION</t>
  </si>
  <si>
    <t>BRANTFORD POWER INC._NO RATE CLASS SERVICE CLASSIFICATION</t>
  </si>
  <si>
    <t>BURLINGTON HYDRO INC._NO RATE CLASS SERVICE CLASSIFICATION</t>
  </si>
  <si>
    <t>CANADIAN NIAGARA POWER INC._EMBEDDED DISTRIBUTOR SERVICE CLASSIFICATION</t>
  </si>
  <si>
    <t>CANADIAN NIAGARA POWER INC._NO RATE CLASS SERVICE CLASSIFICATION</t>
  </si>
  <si>
    <t>CENTRE WELLINGTON HYDRO LTD._NO RATE CLASS SERVICE CLASSIFICATION</t>
  </si>
  <si>
    <t>CHAPLEAU PUBLIC UTILITIES CORPORATION_NO RATE CLASS SERVICE CLASSIFICATION</t>
  </si>
  <si>
    <t>COLLUS POWERSTREAM CORP._NO RATE CLASS SERVICE CLASSIFICATION</t>
  </si>
  <si>
    <t>COOPERATIVE HYDRO EMBRUN INC._NO RATE CLASS SERVICE CLASSIFICATION</t>
  </si>
  <si>
    <t>E.L.K. ENERGY INC._NO RATE CLASS SERVICE CLASSIFICATION</t>
  </si>
  <si>
    <t>ENERGY+ INC.</t>
  </si>
  <si>
    <t>CAMBRIDGE AND NORTH DUMFRIES_EMBEDDED DISTRIBUTOR</t>
  </si>
  <si>
    <t>BRANT COUNTY_GENERAL SERVICE 50 TO 4,999 KW</t>
  </si>
  <si>
    <t>CAMBRIDGE AND NORTH DUMFRIES_GENERAL SERVICE 1,000 TO 4,999 KW</t>
  </si>
  <si>
    <t>CAMBRIDGE AND NORTH DUMFRIES_GENERAL SERVICE 50 TO 999 KW</t>
  </si>
  <si>
    <t>BRANT COUNTY_GENERAL SERVICE LESS THAN 50 KW</t>
  </si>
  <si>
    <t>CAMBRIDGE AND NORTH DUMFRIES_GENERAL SERVICE LESS THAN 50 KW</t>
  </si>
  <si>
    <t>CAMBRIDGE AND NORTH DUMFRIES_LARGE USE</t>
  </si>
  <si>
    <t>BRANT COUNTY_RESIDENTIAL</t>
  </si>
  <si>
    <t>CAMBRIDGE AND NORTH DUMFRIES_RESIDENTIAL</t>
  </si>
  <si>
    <t>BRANT COUNTY_SENTINEL LIGHTING</t>
  </si>
  <si>
    <t>BRANT COUNTY_STREET LIGHTING</t>
  </si>
  <si>
    <t>CAMBRIDGE AND NORTH DUMFRIES_STREET LIGHTING</t>
  </si>
  <si>
    <t>BRANT COUNTY_UNMETERED SCATTERED LOAD</t>
  </si>
  <si>
    <t>CAMBRIDGE AND NORTH DUMFRIES_UNMETERED SCATTERED LOAD</t>
  </si>
  <si>
    <t>ENTEGRUS POWERLINES INC._NO RATE CLASS SERVICE CLASSIFICATION</t>
  </si>
  <si>
    <t>ENWIN UTILITIES LTD._NO RATE CLASS SERVICE CLASSIFICATION</t>
  </si>
  <si>
    <t>ERIE THAMES POWERLINES CORPORATION_NO RATE CLASS SERVICE CLASSIFICATION</t>
  </si>
  <si>
    <t>ESPANOLA REGIONAL HYDRO DISTRIBUTION CORPORATION_NO RATE CLASS SERVICE CLASSIFICATION</t>
  </si>
  <si>
    <t>ESSEX POWERLINES CORPORATION_NO RATE CLASS SERVICE CLASSIFICATION</t>
  </si>
  <si>
    <t>FESTIVAL HYDRO INC._NO RATE CLASS SERVICE CLASSIFICATION</t>
  </si>
  <si>
    <t>FORT FRANCES POWER CORPORATION_NO RATE CLASS SERVICE CLASSIFICATION</t>
  </si>
  <si>
    <t>GREATER SUDBURY HYDRO INC._NO RATE CLASS SERVICE CLASSIFICATION</t>
  </si>
  <si>
    <t>GRIMSBY POWER INCORPORATED_NO RATE CLASS SERVICE CLASSIFICATION</t>
  </si>
  <si>
    <t>GUELPH HYDRO ELECTRIC SYSTEMS INC._NO RATE CLASS SERVICE CLASSIFICATION</t>
  </si>
  <si>
    <t>HALTON HILLS HYDRO INC._NO RATE CLASS SERVICE CLASSIFICATION</t>
  </si>
  <si>
    <t>HEARST POWER DISTRIBUTION COMPANY LTD._GENERAL SERVICE 1,500 TO 4,999 KW SERVICE CLASSIFICATION</t>
  </si>
  <si>
    <t>HEARST POWER DISTRIBUTION COMPANY LTD._NO RATE CLASS SERVICE CLASSIFICATION</t>
  </si>
  <si>
    <t>HYDRO 2000 INC._NO RATE CLASS SERVICE CLASSIFICATION</t>
  </si>
  <si>
    <t>HYDRO HAWKESBURY INC._NO RATE CLASS SERVICE CLASSIFICATION</t>
  </si>
  <si>
    <t>HYDRO ONE NETWORKS INC._NO RATE CLASS SERVICE CLASSIFICATION</t>
  </si>
  <si>
    <t>HYDRO ONE REMOTE COMMUNITIES INC.</t>
  </si>
  <si>
    <t>HYDRO ONE REMOTE COMMUNITIES INC._NO RATE CLASS SERVICE CLASSIFICATION</t>
  </si>
  <si>
    <t>HYDRO OTTAWA LIMITED_NO RATE CLASS SERVICE CLASSIFICATION</t>
  </si>
  <si>
    <t>INNPOWER CORPORATION_NO RATE CLASS SERVICE CLASSIFICATION</t>
  </si>
  <si>
    <t>KENORA HYDRO ELECTRIC CORPORATION LTD._NO RATE CLASS SERVICE CLASSIFICATION</t>
  </si>
  <si>
    <t>KINGSTON HYDRO CORPORATION_NO RATE CLASS SERVICE CLASSIFICATION</t>
  </si>
  <si>
    <t>KITCHENER-WILMOT HYDRO INC._NO RATE CLASS SERVICE CLASSIFICATION</t>
  </si>
  <si>
    <t>LAKEFRONT UTILITIES INC._NO RATE CLASS SERVICE CLASSIFICATION</t>
  </si>
  <si>
    <t>PARRY SOUND_GENERAL SERVICE 50 TO 4,999 KW</t>
  </si>
  <si>
    <t>PARRY SOUND_GENERAL SERVICE LESS THAN 50 KW</t>
  </si>
  <si>
    <t>LAKELAND POWER DISTRIBUTION LTD._NO RATE CLASS SERVICE CLASSIFICATION</t>
  </si>
  <si>
    <t>PARRY SOUND_RESIDENTIAL</t>
  </si>
  <si>
    <t>PARRY SOUND_SENTINEL LIGHTING</t>
  </si>
  <si>
    <t>PARRY SOUND_STREET LIGHTING</t>
  </si>
  <si>
    <t>PARRY SOUND_UNMETERED SCATTERED LOAD</t>
  </si>
  <si>
    <t>LONDON HYDRO INC._NO RATE CLASS SERVICE CLASSIFICATION</t>
  </si>
  <si>
    <t>MIDLAND POWER UTILITY CORPORATION_NO RATE CLASS SERVICE CLASSIFICATION</t>
  </si>
  <si>
    <t>MILTON HYDRO DISTRIBUTION INC._NO RATE CLASS SERVICE CLASSIFICATION</t>
  </si>
  <si>
    <t>NEWMARKET - TAY POWER DISTRIBUTION LTD._NO RATE CLASS SERVICE CLASSIFICATION</t>
  </si>
  <si>
    <t>NEWMARKET - TAY POWER DISTRIBUTION LTD._ UNMETERED SCATTERED LOAD SERVICE CLASSIFICATION</t>
  </si>
  <si>
    <t>NIAGARA PENINSULA ENERGY INC._NO RATE CLASS SERVICE CLASSIFICATION</t>
  </si>
  <si>
    <t>NIAGARA-ON-THE-LAKE HYDRO INC._NO RATE CLASS SERVICE CLASSIFICATION</t>
  </si>
  <si>
    <t>NORTH BAY HYDRO DISTRIBUTION LIMITED_NO RATE CLASS SERVICE CLASSIFICATION</t>
  </si>
  <si>
    <t>NORTHERN ONTARIO WIRES INC._NO RATE CLASS SERVICE CLASSIFICATION</t>
  </si>
  <si>
    <t>OAKVILLE HYDRO ELECTRICITY DISTRIBUTION INC._NO RATE CLASS SERVICE CLASSIFICATION</t>
  </si>
  <si>
    <t>ORANGEVILLE HYDRO LIMITED_NO RATE CLASS SERVICE CLASSIFICATION</t>
  </si>
  <si>
    <t>ORILLIA POWER DISTRIBUTION CORPORATION_NO RATE CLASS SERVICE CLASSIFICATION</t>
  </si>
  <si>
    <t>OSHAWA PUC NETWORKS INC._NO RATE CLASS SERVICE CLASSIFICATION</t>
  </si>
  <si>
    <t>OTTAWA RIVER POWER CORPORATION_NO RATE CLASS SERVICE CLASSIFICATION</t>
  </si>
  <si>
    <t>PETERBOROUGH DISTRIBUTION INCORPORATED_NO RATE CLASS SERVICE CLASSIFICATION</t>
  </si>
  <si>
    <t>PUC DISTRIBUTION INC._NO RATE CLASS SERVICE CLASSIFICATION</t>
  </si>
  <si>
    <t>RENFREW HYDRO INC._NO RATE CLASS SERVICE CLASSIFICATION</t>
  </si>
  <si>
    <t>RIDEAU ST. LAWRENCE DISTRIBUTION INC._NO RATE CLASS SERVICE CLASSIFICATION</t>
  </si>
  <si>
    <t>SIOUX LOOKOUT HYDRO INC._NO RATE CLASS SERVICE CLASSIFICATION</t>
  </si>
  <si>
    <t>ST. THOMAS ENERGY INC._NO RATE CLASS SERVICE CLASSIFICATION</t>
  </si>
  <si>
    <t>THUNDER BAY HYDRO ELECTRICITY DISTRIBUTION INC._NO RATE CLASS SERVICE CLASSIFICATION</t>
  </si>
  <si>
    <t>TILLSONBURG HYDRO INC._NO RATE CLASS SERVICE CLASSIFICATION</t>
  </si>
  <si>
    <t>TORONTO HYDRO-ELECTRIC SYSTEM LIMITED_NO RATE CLASS SERVICE CLASSIFICATION</t>
  </si>
  <si>
    <t>COMPETITIVE SECTOR MULTI-UNIT Residential</t>
  </si>
  <si>
    <t>VERIDIAN CONNECTIONS INC._NO RATE CLASS SERVICE CLASSIFICATION</t>
  </si>
  <si>
    <t>WASAGA DISTRIBUTION INC._NO RATE CLASS SERVICE CLASSIFICATION</t>
  </si>
  <si>
    <t>WATERLOO NORTH HYDRO INC._NO RATE CLASS SERVICE CLASSIFICATION</t>
  </si>
  <si>
    <t>WELLAND HYDRO-ELECTRIC SYSTEM CORP._NO RATE CLASS SERVICE CLASSIFICATION</t>
  </si>
  <si>
    <t>WELLINGTON NORTH POWER INC._NO RATE CLASS SERVICE CLASSIFICATION</t>
  </si>
  <si>
    <t>WEST COAST HURON ENERGY INC._NO RATE CLASS SERVICE CLASSIFICATION</t>
  </si>
  <si>
    <t>WESTARIO POWER INC._NO RATE CLASS SERVICE CLASSIFICATION</t>
  </si>
  <si>
    <t>WHITBY HYDRO ELECTRIC CORPORATION_NO RATE CLASS SERVICE CLASSIFICATION</t>
  </si>
  <si>
    <t xml:space="preserve">
EMBEDDED DISTRIBUTOR SERVICE CLASSIFICATION</t>
  </si>
  <si>
    <t xml:space="preserve">
EMBEDDED DISTRIBUTOR SERVICE CLASSIFICATION FOR HYDRO ONE NETWORKS INC.</t>
  </si>
  <si>
    <t xml:space="preserve">
GENERAL SERVICE 50 TO 4,999 KW SERVICE CLASSIFICATION</t>
  </si>
  <si>
    <t xml:space="preserve">
GENERAL SERVICE 50 TO 999 KW SERVICE CLASSIFICATION</t>
  </si>
  <si>
    <t xml:space="preserve">
GENERAL SERVICE GREATER THAN 1,000 KW SERVICE CLASSIFICATION</t>
  </si>
  <si>
    <t xml:space="preserve">
GENERAL SERVICE LESS THAN 50 KW SERVICE CLASSIFICATION</t>
  </si>
  <si>
    <t xml:space="preserve">
microFIT SERVICE CLASSIFICATION</t>
  </si>
  <si>
    <t xml:space="preserve">
RETAIL SERVICE CHARGES (if applicable)</t>
  </si>
  <si>
    <t xml:space="preserve">
SENTINEL LIGHTING SERVICE CLASSIFICATION</t>
  </si>
  <si>
    <t xml:space="preserve">
STREET LIGHTING SERVICE CLASSIFICATION</t>
  </si>
  <si>
    <t xml:space="preserve">
UNMETERED SCATTERED LOAD SERVICE CLASSIFICATION</t>
  </si>
  <si>
    <t>HCI, RESOP, OTHER ENERGY RESOURCE SERVICE CLASSIFICATION</t>
  </si>
  <si>
    <t>microFIT AND MICRO-NET-METERING SERVICE CLASSIFICATION</t>
  </si>
  <si>
    <t>GENERAL SERVICE 1,000 KW OR GREATER SERVICE CLASSIFICATION</t>
  </si>
  <si>
    <t>COMPETITIVE SECTOR MULTI-UNIT RESIDENTIAL SERVICE 
CLASSIFICATION</t>
  </si>
  <si>
    <t>Brampton Rate Zone</t>
  </si>
  <si>
    <t>Enersource Rate Zone</t>
  </si>
  <si>
    <t>Horizon Rate Zone</t>
  </si>
  <si>
    <t>PowerStream Rate Zone</t>
  </si>
  <si>
    <t>Effective and Implementation Date January 1, 2018</t>
  </si>
  <si>
    <t>Rate Rider for Disposition of Capacity Based Recovery Account (2018) - effective until December 31, 2018 Applicable only for Class B Customers</t>
  </si>
  <si>
    <t>1_RESIDENTIAL SERVICE CLASSIFICATION_CBR</t>
  </si>
  <si>
    <t>4_UNMETERED SCATTERED LOAD SERVICE CLASSIFICATION_CBR</t>
  </si>
  <si>
    <t>5_STREET LIGHTING SERVICE CLASSIFICATION_CBR</t>
  </si>
  <si>
    <t>Rate Rider for Disposition of Deferral/Variance Accounts (2018) - effective until December 31, 2019</t>
  </si>
  <si>
    <t>Effective and Implementation Date May 1, 2018</t>
  </si>
  <si>
    <t>EB-2017-0042</t>
  </si>
  <si>
    <t>Smart Metering Entity Charge - effective until December 31, 2022</t>
  </si>
  <si>
    <t>2_GENERAL SERVICE LESS THAN 50 KW SERVICE CLASSIFICATION</t>
  </si>
  <si>
    <t>2_GENERAL SERVICE LESS THAN 50 KW SERVICE CLASSIFICATION_MSC</t>
  </si>
  <si>
    <t>2_GENERAL SERVICE LESS THAN 50 KW SERVICE CLASSIFICATION_SME</t>
  </si>
  <si>
    <t>2_GENERAL SERVICE LESS THAN 50 KW SERVICE CLASSIFICATION_DVC</t>
  </si>
  <si>
    <t>2_GENERAL SERVICE LESS THAN 50 KW SERVICE CLASSIFICATION_LV</t>
  </si>
  <si>
    <t>2_GENERAL SERVICE LESS THAN 50 KW SERVICE CLASSIFICATION_Retail Transmission Rate - Network Service Rate</t>
  </si>
  <si>
    <t>2_GENERAL SERVICE LESS THAN 50 KW SERVICE CLASSIFICATION_Retail Transmission Rate - Line and Transformation Connection Service Rate</t>
  </si>
  <si>
    <t>2_GENERAL SERVICE LESS THAN 50 KW SERVICE CLASSIFICATION_WMSR</t>
  </si>
  <si>
    <t>2_GENERAL SERVICE LESS THAN 50 KW SERVICE CLASSIFICATION_RRRP</t>
  </si>
  <si>
    <t>2_GENERAL SERVICE LESS THAN 50 KW SERVICE CLASSIFICATION_SSS</t>
  </si>
  <si>
    <t>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</si>
  <si>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EB-2017-0054</t>
  </si>
  <si>
    <t>Rate Rider for Disposition of Global Adjustment Account (2019) - effective until April 30, 2019
      Applicable only for Non-RPP Customers</t>
  </si>
  <si>
    <t>Rate Rider for Disposition of Deferral/Variance Accounts (2019) - effective until April 30, 2019</t>
  </si>
  <si>
    <t>2_GENERAL SERVICE LESS THAN 50 KW SERVICE CLASSIFICATION_DEFVAR_ALL</t>
  </si>
  <si>
    <t>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</si>
  <si>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Retail Transmission Rate - Line and Transformation Connection Service Rate (See Note 1)</t>
  </si>
  <si>
    <t>EB-2017-0026</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</si>
  <si>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Further servicing details are available in the distributor’s Conditions of Service.
</t>
  </si>
  <si>
    <t>Rate Rider for Disposition of Global Adjustment Account (2018) - effective until April 30, 2019
      Applicable only for Non-RPP Customers</t>
  </si>
  <si>
    <t>Rate Rider for Disposition of Deferral/Variance Accounts (2018) - effective until April 30, 2019</t>
  </si>
  <si>
    <t>2_GENERAL SERVICE LESS THAN 50 KW SERVICE CLASSIFICATION_Retail Transmission Rate - Transformation Connection Service Rate</t>
  </si>
  <si>
    <t>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</si>
  <si>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4_STREET LIGHTING SERVICE CLASSIFICATION_GA_kwh</t>
  </si>
  <si>
    <t>4_STREET LIGHTING SERVICE CLASSIFICATION_DEFVAR_ALL</t>
  </si>
  <si>
    <t>5_microFIT SERVICE CLASSIFICATION</t>
  </si>
  <si>
    <t>5_microFIT SERVICE CLASSIFICATION_MSC</t>
  </si>
  <si>
    <t>Late payment - per month</t>
  </si>
  <si>
    <t xml:space="preserve">Specific charge for access to the power poles - $/pole/year </t>
  </si>
  <si>
    <t xml:space="preserve">(with the exception of wireless attachments) </t>
  </si>
  <si>
    <t>Monthly fixed charge, per retailer</t>
  </si>
  <si>
    <t>Monthly variable charge, per customer, per retailer</t>
  </si>
  <si>
    <t>EB-2017-0025</t>
  </si>
  <si>
    <t>Rate Rider for Disposition of Global Adjustment Account (2018) - effective until December 31, 2018
      Applicable only for Non-RPP Customers</t>
  </si>
  <si>
    <t>Rate Rider for Disposition of Deferral/Variance Accounts (2018) - effective until December 31, 2018</t>
  </si>
  <si>
    <t>Rate Rider for Disposition of Capacity Based Recovery Account (2018) - effective until December 31, 2018
      Applicable only for Class B Customers</t>
  </si>
  <si>
    <t>1_RESIDENTIAL R1 SERVICE CLASSIFICATION_CBR</t>
  </si>
  <si>
    <t>1_RESIDENTIAL R1 SERVICE CLASSIFICATION_VR_RR_22</t>
  </si>
  <si>
    <t>1_RESIDENTIAL R1 SERVICE CLASSIFICATION_Retail Transmission Rate - Network Service Rate</t>
  </si>
  <si>
    <t>1_RESIDENTIAL R1 SERVICE CLASSIFICATION_Retail Transmission Rate - Line and Transformation Connection Service Rate</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</si>
  <si>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</si>
  <si>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2_RESIDENTIAL R2 SERVICE CLASSIFICATION_CBR</t>
  </si>
  <si>
    <t>2_RESIDENTIAL R2 SERVICE CLASSIFICATION_VR_RR_26</t>
  </si>
  <si>
    <t>2_RESIDENTIAL R2 SERVICE CLASSIFICATION_Retail Transmission Rate - Network Service Rate</t>
  </si>
  <si>
    <t>2_RESIDENTIAL R2 SERVICE CLASSIFICATION_Retail Transmission Rate - Line and Transformation Connection Service Rate</t>
  </si>
  <si>
    <t>3_SEASONAL CUSTOMERS SERVICE CLASSIFICATION</t>
  </si>
  <si>
    <t>3_SEASONAL CUSTOMERS SERVICE CLASSIFICATION_MSC</t>
  </si>
  <si>
    <t>3_SEASONAL CUSTOMERS SERVICE CLASSIFICATION_SME</t>
  </si>
  <si>
    <t>3_SEASONAL CUSTOMERS SERVICE CLASSIFICATION_DVC</t>
  </si>
  <si>
    <t>3_SEASONAL CUSTOMERS SERVICE CLASSIFICATION_GA_kwh</t>
  </si>
  <si>
    <t>3_SEASONAL CUSTOMERS SERVICE CLASSIFICATION_DEFVAR_ALL</t>
  </si>
  <si>
    <t>3_SEASONAL CUSTOMERS SERVICE CLASSIFICATION_CBR</t>
  </si>
  <si>
    <t>3_SEASONAL CUSTOMERS SERVICE CLASSIFICATION_1574</t>
  </si>
  <si>
    <t>3_SEASONAL CUSTOMERS SERVICE CLASSIFICATION_VR_RR_31</t>
  </si>
  <si>
    <t>3_SEASONAL CUSTOMERS SERVICE CLASSIFICATION_Retail Transmission Rate - Network Service Rate</t>
  </si>
  <si>
    <t>3_SEASONAL CUSTOMERS SERVICE CLASSIFICATION_Retail Transmission Rate - Line and Transformation Connection Service Rate</t>
  </si>
  <si>
    <t>3_SEASONAL CUSTOMERS SERVICE CLASSIFICATION_WMSR</t>
  </si>
  <si>
    <t>3_SEASONAL CUSTOMERS SERVICE CLASSIFICATION_RRRP</t>
  </si>
  <si>
    <t>3_SEASONAL CUSTOMERS SERVICE CLASSIFICATION_SSS</t>
  </si>
  <si>
    <t>4_STREET LIGHTING SERVICE CLASSIFICATION_CBR</t>
  </si>
  <si>
    <t>4_STREET LIGHTING SERVICE CLASSIFICATION_VR_RR_35</t>
  </si>
  <si>
    <t xml:space="preserve">      Late payment - per month</t>
  </si>
  <si>
    <t xml:space="preserve">      Collection of account charge - no disconnection - during regular business hours</t>
  </si>
  <si>
    <t xml:space="preserve">      Collection of account charge - no disconnection - after regular hours</t>
  </si>
  <si>
    <t xml:space="preserve">      Disconnect/reconnect at meter - after regular hours</t>
  </si>
  <si>
    <t xml:space="preserve">      Disconnect/reconnect at pole - during regular hours</t>
  </si>
  <si>
    <t xml:space="preserve">      Disconnect/reconnect at pole - after regular hours</t>
  </si>
  <si>
    <t xml:space="preserve">      Install/remove load control device - during regular hours</t>
  </si>
  <si>
    <t xml:space="preserve">      Install/remove load control device - after regular hours</t>
  </si>
  <si>
    <t>EB-2017-0027</t>
  </si>
  <si>
    <t>3_GENERAL SERVICE 50 TO 999 KW SERVICE CLASSIFICATION</t>
  </si>
  <si>
    <t>3_GENERAL SERVICE 50 TO 999 KW SERVICE CLASSIFICATION_MSC</t>
  </si>
  <si>
    <t>3_GENERAL SERVICE 50 TO 999 KW SERVICE CLASSIFICATION_DVC</t>
  </si>
  <si>
    <t>3_GENERAL SERVICE 50 TO 999 KW SERVICE CLASSIFICATION_LV</t>
  </si>
  <si>
    <t>3_GENERAL SERVICE 50 TO 999 KW SERVICE CLASSIFICATION_Retail Transmission Rate - Network Service Rate</t>
  </si>
  <si>
    <t>3_GENERAL SERVICE 50 TO 999 KW SERVICE CLASSIFICATION_Retail Transmission Rate - Line and Transformation Connection Service Rate</t>
  </si>
  <si>
    <t>3_GENERAL SERVICE 50 TO 999 KW SERVICE CLASSIFICATION_WMSR</t>
  </si>
  <si>
    <t>3_GENERAL SERVICE 50 TO 999 KW SERVICE CLASSIFICATION_RRRP</t>
  </si>
  <si>
    <t>3_GENERAL SERVICE 50 TO 999 KW SERVICE CLASSIFICATION_SSS</t>
  </si>
  <si>
    <t>4_GENERAL SERVICE 1,000 TO 4,999 KW SERVICE CLASSIFICATION</t>
  </si>
  <si>
    <t>4_GENERAL SERVICE 1,000 TO 4,999 KW SERVICE CLASSIFICATION_MSC</t>
  </si>
  <si>
    <t>4_GENERAL SERVICE 1,000 TO 4,999 KW SERVICE CLASSIFICATION_DVC</t>
  </si>
  <si>
    <t>4_GENERAL SERVICE 1,000 TO 4,999 KW SERVICE CLASSIFICATION_LV</t>
  </si>
  <si>
    <t>4_GENERAL SERVICE 1,000 TO 4,999 KW SERVICE CLASSIFICATION_Retail Transmission Rate - Network Service Rate</t>
  </si>
  <si>
    <t>4_GENERAL SERVICE 1,000 TO 4,999 KW SERVICE CLASSIFICATION_Retail Transmission Rate - Line and Transformation Connection Service Rate</t>
  </si>
  <si>
    <t>4_GENERAL SERVICE 1,000 TO 4,999 KW SERVICE CLASSIFICATION_WMSR</t>
  </si>
  <si>
    <t>4_GENERAL SERVICE 1,000 TO 4,999 KW SERVICE CLASSIFICATION_RRRP</t>
  </si>
  <si>
    <t>4_GENERAL SERVICE 1,000 TO 4,999 KW SERVICE CLASSIFICATION_SSS</t>
  </si>
  <si>
    <t>Alectra Utilities Corporation-Brampton Rate Zone</t>
  </si>
  <si>
    <t>Alectra Utilities Corporation-Brampton Rate Zone_Start</t>
  </si>
  <si>
    <t>Effective Date January 1, 2018</t>
  </si>
  <si>
    <t>Implementation Date May 1, 2018</t>
  </si>
  <si>
    <t>EB-2017-0024</t>
  </si>
  <si>
    <t>Rate Rider for Recovery of Incremental Capital (2018) - in effect from May 1, 2018 until the effective date of the next cost of service based rate order</t>
  </si>
  <si>
    <t>Rate Rider for Recovery of 2018 Foregone Revenue - effective May 1, 2018 until December 31, 2018</t>
  </si>
  <si>
    <t>1_RESIDENTIAL SERVICE CLASSIFICATION_FX_RR_4</t>
  </si>
  <si>
    <t>Rate Rider for Disposition of Global Adjustment Account (2018) - effective May 1, 2018 until April 30, 2019
        Applicable only for Non-RPP Customers</t>
  </si>
  <si>
    <t>Rate Rider for Disposition of Deferral/Variance Accounts (2018) - effective May 1, 2018 until  April 30, 2019</t>
  </si>
  <si>
    <t>2_GENERAL SERVICE LESS THAN 50 KW SERVICE CLASSIFICATION_FX_RR_5</t>
  </si>
  <si>
    <t>2_GENERAL SERVICE LESS THAN 50 KW SERVICE CLASSIFICATION_FX_RR_6</t>
  </si>
  <si>
    <t>Rate Rider for Disposition of Deferral/Variance Accounts (2018) - effective May 1, 2018 until April 30, 2019</t>
  </si>
  <si>
    <t>2_GENERAL SERVICE LESS THAN 50 KW SERVICE CLASSIFICATION_VR_RR_40</t>
  </si>
  <si>
    <t>3_GENERAL SERVICE 50 TO 699 KW SERVICE CLASSIFICATION</t>
  </si>
  <si>
    <t>This classification applies to a non residential account whose average monthly maximum demand used for billing purposes is equal to or greater than, or is forecast to be equal to or greater than, 50 kW but less than 700 kW. Class B consumers are defined in accordance with O. Reg. 429/04.  Further servicing details are available in the distributor’s Conditions of Service.</t>
  </si>
  <si>
    <t>3_GENERAL SERVICE 50 TO 699 KW SERVICE CLASSIFICATION_MSC</t>
  </si>
  <si>
    <t>3_GENERAL SERVICE 50 TO 699 KW SERVICE CLASSIFICATION_FX_RR_7</t>
  </si>
  <si>
    <t>3_GENERAL SERVICE 50 TO 699 KW SERVICE CLASSIFICATION_FX_RR_8</t>
  </si>
  <si>
    <t>3_GENERAL SERVICE 50 TO 699 KW SERVICE CLASSIFICATION_DVC</t>
  </si>
  <si>
    <t>3_GENERAL SERVICE 50 TO 699 KW SERVICE CLASSIFICATION_GA_kwh</t>
  </si>
  <si>
    <t>3_GENERAL SERVICE 50 TO 699 KW SERVICE CLASSIFICATION_DEFVAR_ALL</t>
  </si>
  <si>
    <t>Rate Rider for Disposition of Deferral/Variance Accounts (2018) - effective May 1, 2018 until April 30, 2019
         Applicable only for Non-Wholesale Market Participants</t>
  </si>
  <si>
    <t>3_GENERAL SERVICE 50 TO 699 KW SERVICE CLASSIFICATION_VR_RR_44</t>
  </si>
  <si>
    <t>3_GENERAL SERVICE 50 TO 699 KW SERVICE CLASSIFICATION_Retail Transmission Rate - Network Service Rate</t>
  </si>
  <si>
    <t>3_GENERAL SERVICE 50 TO 699 KW SERVICE CLASSIFICATION_Retail Transmission Rate - Line and Transformation Connection Service Rate</t>
  </si>
  <si>
    <t>3_GENERAL SERVICE 50 TO 699 KW SERVICE CLASSIFICATION_WMSR</t>
  </si>
  <si>
    <t>3_GENERAL SERVICE 50 TO 699 KW SERVICE CLASSIFICATION_RRRP</t>
  </si>
  <si>
    <t>3_GENERAL SERVICE 50 TO 699 KW SERVICE CLASSIFICATION_SSS</t>
  </si>
  <si>
    <t>4_GENERAL SERVICE 700 TO 4,999 KW SERVICE CLASSIFICATION</t>
  </si>
  <si>
    <t>This classification applies to a non residential account whose average monthly maximum demand used for billing purposes is equal to or greater than, or is forecast to be equal to or greater than, 700 kW but less than 5,000 kW. Class A and Class B consumers are defined in accordance with O. Reg. 429/04.  Further servicing details are available in the distributor’s Conditions of Service.</t>
  </si>
  <si>
    <t>4_GENERAL SERVICE 700 TO 4,999 KW SERVICE CLASSIFICATION_MSC</t>
  </si>
  <si>
    <t>4_GENERAL SERVICE 700 TO 4,999 KW SERVICE CLASSIFICATION_FX_RR_9</t>
  </si>
  <si>
    <t>4_GENERAL SERVICE 700 TO 4,999 KW SERVICE CLASSIFICATION_FX_RR_10</t>
  </si>
  <si>
    <t>4_GENERAL SERVICE 700 TO 4,999 KW SERVICE CLASSIFICATION_DVC</t>
  </si>
  <si>
    <t>4_GENERAL SERVICE 700 TO 4,999 KW SERVICE CLASSIFICATION_GA_kwh</t>
  </si>
  <si>
    <t>4_GENERAL SERVICE 700 TO 4,999 KW SERVICE CLASSIFICATION_DEFVAR_ALL</t>
  </si>
  <si>
    <t>4_GENERAL SERVICE 700 TO 4,999 KW SERVICE CLASSIFICATION_VR_RR_48</t>
  </si>
  <si>
    <t>4_GENERAL SERVICE 700 TO 4,999 KW SERVICE CLASSIFICATION_Retail Transmission Rate - Network Service Rate</t>
  </si>
  <si>
    <t>4_GENERAL SERVICE 700 TO 4,999 KW SERVICE CLASSIFICATION_Retail Transmission Rate - Line and Transformation Connection Service Rate</t>
  </si>
  <si>
    <t>4_GENERAL SERVICE 700 TO 4,999 KW SERVICE CLASSIFICATION_WMSR</t>
  </si>
  <si>
    <t>4_GENERAL SERVICE 700 TO 4,999 KW SERVICE CLASSIFICATION_RRRP</t>
  </si>
  <si>
    <t>4_GENERAL SERVICE 700 TO 4,999 KW SERVICE CLASSIFICATION_SSS</t>
  </si>
  <si>
    <t>This classification applies to an account whose average monthly maximum demand over 12 consecutive months used for billing purposes is equal to or greater than 5,000 kW, or is forecast to be equal to or greater than 5,000 kW. Class A and Class B consumers are defined in accordance with O. Reg. 429/04.  Further servicing details are available in the distributor’s Conditions of Service.</t>
  </si>
  <si>
    <t>5_LARGE USE SERVICE CLASSIFICATION_FX_RR_11</t>
  </si>
  <si>
    <t>5_LARGE USE SERVICE CLASSIFICATION_FX_RR_12</t>
  </si>
  <si>
    <t>5_LARGE USE SERVICE CLASSIFICATION_VR_RR_51</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</si>
  <si>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</si>
  <si>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6_UNMETERED SCATTERED LOAD SERVICE CLASSIFICATION_FX_RR_13</t>
  </si>
  <si>
    <t>6_UNMETERED SCATTERED LOAD SERVICE CLASSIFICATION_FX_RR_14</t>
  </si>
  <si>
    <t>6_UNMETERED SCATTERED LOAD SERVICE CLASSIFICATION_VR_RR_54</t>
  </si>
  <si>
    <t>All service supplied to roadway lighting equipment owned by or operated by the City of Brampton, Regional Municipality of Peel, or the Ministry of Transportation,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</si>
  <si>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7_STREET LIGHTING SERVICE CLASSIFICATION_FX_RR_15</t>
  </si>
  <si>
    <t>7_STREET LIGHTING SERVICE CLASSIFICATION_FX_RR_16</t>
  </si>
  <si>
    <t>7_STREET LIGHTING SERVICE CLASSIFICATION_VR_RR_57</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</si>
  <si>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</si>
  <si>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9_EMBEDDED DISTRIBUTOR SERVICE CLASSIFICATION_FX_RR_17</t>
  </si>
  <si>
    <t>9_EMBEDDED DISTRIBUTOR SERVICE CLASSIFICATION_FX_RR_18</t>
  </si>
  <si>
    <t>10_DISTRIBUTED GENERATION [DGEN] SERVICE CLASSIFICATION</t>
  </si>
  <si>
    <t>This classification applies to a distributed generator that is not a microFIT or an Energy from Waste Generator and connected to the distributor's distribution system. Class B consumers are defined in accordance with O. Reg. 429/04.  Further servicing details are available in the distributor’s Conditions of Service.</t>
  </si>
  <si>
    <t>10_DISTRIBUTED GENERATION [DGEN] SERVICE CLASSIFICATION_MSC</t>
  </si>
  <si>
    <t>10_DISTRIBUTED GENERATION [DGEN] SERVICE CLASSIFICATION_FX_RR_19</t>
  </si>
  <si>
    <t>10_DISTRIBUTED GENERATION [DGEN] SERVICE CLASSIFICATION_FX_RR_20</t>
  </si>
  <si>
    <t>10_DISTRIBUTED GENERATION [DGEN] SERVICE CLASSIFICATION_GA_kwh</t>
  </si>
  <si>
    <t>10_DISTRIBUTED GENERATION [DGEN] SERVICE CLASSIFICATION_DEFVAR_ALL</t>
  </si>
  <si>
    <t>10_DISTRIBUTED GENERATION [DGEN] SERVICE CLASSIFICATION_Retail Transmission Rate - Network Service Rate</t>
  </si>
  <si>
    <t>10_DISTRIBUTED GENERATION [DGEN] SERVICE CLASSIFICATION_Retail Transmission Rate - Line and Transformation Connection Service Rate</t>
  </si>
  <si>
    <t>10_DISTRIBUTED GENERATION [DGEN] SERVICE CLASSIFICATION_WMSR</t>
  </si>
  <si>
    <t>10_DISTRIBUTED GENERATION [DGEN] SERVICE CLASSIFICATION_RRRP</t>
  </si>
  <si>
    <t>10_DISTRIBUTED GENERATION [DGEN] SERVICE CLASSIFICATION_SSS</t>
  </si>
  <si>
    <t>11_ENERGY FROM WASTE SERVICE CLASSIFICATION</t>
  </si>
  <si>
    <t>11_ENERGY FROM WASTE SERVICE CLASSIFICATION_MSC</t>
  </si>
  <si>
    <t>Alectra Utilities Corporation_ALLOWANCES</t>
  </si>
  <si>
    <t xml:space="preserve">   General Service 50 to 699 kW Classification</t>
  </si>
  <si>
    <t xml:space="preserve">   General Service 700 to 4,999 kW Classification</t>
  </si>
  <si>
    <t>Primary Metering Allowance for transformer losses - applied to measured demand and energy</t>
  </si>
  <si>
    <t>Alectra Utilities Corporation_SSC</t>
  </si>
  <si>
    <t>Alectra Utilities Corporation_CA</t>
  </si>
  <si>
    <t>Alectra Utilities Corporation_NPoA</t>
  </si>
  <si>
    <t>Specific Charge for Access to the Power Poles - $/pole/year (with the exception of wireless attachments) 
- in effect until August 31, 2018</t>
  </si>
  <si>
    <t>Specific Charge for Access to the Power Poles - $/pole/year (with the exception of wireless attachments) 
- in effect from September 1, 2018 until December 31, 2018</t>
  </si>
  <si>
    <t>Specific Charge for Access to the Power Poles - $/pole/year (with the exception of wireless attachments) 
- in effect from January 1, 2019</t>
  </si>
  <si>
    <t>Alectra Utilities Corporation_RSC</t>
  </si>
  <si>
    <t>Alectra Utilities Corporation_LFs</t>
  </si>
  <si>
    <t>Alectra Utilities Corporation-Brampton Rate Zone_End</t>
  </si>
  <si>
    <t>EB-2017-0031</t>
  </si>
  <si>
    <t>Rate Rider for Disposition of Global Adjustment Account (2017) - effective until December 31, 2018 -
      Applicable only for Non-RPP Customers</t>
  </si>
  <si>
    <t>2_GENERAL SERVICE LESS THAN 50 KW SERVICE CLASSIFICATION_LRAM</t>
  </si>
  <si>
    <t>Rate Rider for Disposition of Capacity Based Recovery Account (2018) - effective until December 31, 2018
     Applicable only for Class B Customers</t>
  </si>
  <si>
    <t>2_GENERAL SERVICE LESS THAN 50 KW SERVICE CLASSIFICATION_CBR</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</si>
  <si>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</si>
  <si>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Rate Rider for Disposition of Global Adjustment Account (2017) - effective until December 31, 2018 -
     Applicable only to Class B, Non-RPP Customers</t>
  </si>
  <si>
    <t>Rate Rider for Disposition of Global Adjustment Account (2017) - effective until December 31, 2018 -
     Applicable only to Class A, Non-RPP customers who are not Wholesale Market Participants</t>
  </si>
  <si>
    <t>4_EMBEDDED DISTRIBUTOR SERVICE CLASSIFICATION_CBR</t>
  </si>
  <si>
    <t>5_UNMETERED SCATTERED LOAD SERVICE CLASSIFICATION_CBR</t>
  </si>
  <si>
    <t>Standby Charge - for a month where standby power is not provided.  The charge is applied to the 
contracted amount (e.g. nameplate rating of generation facility)</t>
  </si>
  <si>
    <t>7_SENTINEL LIGHTING SERVICE CLASSIFICATION_CBR</t>
  </si>
  <si>
    <t>8_STREET LIGHTING SERVICE CLASSIFICATION_CBR</t>
  </si>
  <si>
    <t>EB-2017-0065</t>
  </si>
  <si>
    <t>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</si>
  <si>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EB-2017-0056</t>
  </si>
  <si>
    <t>Rate Rider for Disposition of Deferral/Variance Accounts (2018) - effective until April 30, 2019
    Applicable only for Non-RPP Customers</t>
  </si>
  <si>
    <t>Rate Rider for Disposition of Capacity Based Recovery Account (2018) - effective until April 30, 2019
   Applicable only for Class B Customers</t>
  </si>
  <si>
    <t>Rate Rider for Disposition of Deferral/Variance Accounts (2018) - effective until April 30, 2019
      Applicable only for Non-RPP Customers</t>
  </si>
  <si>
    <t>2_GENERAL SERVICE LESS THAN 50 KW SERVICE CLASSIFICATION_DEFVAR_NONRPP</t>
  </si>
  <si>
    <t>Rate Rider for Disposition of Capacity Based Recovery Account (2018) - effective until April 30, 2019
  Applicable only for Class B Customers</t>
  </si>
  <si>
    <t>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billing adjustments. This rate rider is to be consistently applied for the entire period to the sunset date of the rate rider. In addition, this rate rider is applicable to all new non-RPP Class B customers.</t>
  </si>
  <si>
    <t>Rate Rider for Disposition of Deferral/Variance Accounts (2018) - effective until April 30, 2019
      Applicable only for Non-Wholesale Market Participants</t>
  </si>
  <si>
    <t>Rate Rider for Disposition of Capacity Based Recovery Account (2018) - effective until April 30, 2019
    Applicable only for Class B Customers</t>
  </si>
  <si>
    <t>4_LARGE USE SERVICE CLASSIFICATION_DEFVAR_NONRPP</t>
  </si>
  <si>
    <t>4_LARGE USE SERVICE CLASSIFICATION_Retail Transmission Rate - Network Service Rate - Interval Metered</t>
  </si>
  <si>
    <t>4_LARGE USE SERVICE CLASSIFICATION_Retail Transmission Rate - Line and Transformation Connection Service Rate - Interval Metered</t>
  </si>
  <si>
    <t>Rate Rider for Disposition of Capacity Based Recovery Account (2018) - effective until April 30, 2019 
   Applicable only for Class B Customers</t>
  </si>
  <si>
    <t>Rate Rider for Disposition of Deferral/Variance Accounts (2018) - effective until April 30, 2019
   Applicable only for Non-RPP Customers</t>
  </si>
  <si>
    <t>6_STREET LIGHTING SERVICE CLASSIFICATION_DEFVAR_NONRPP</t>
  </si>
  <si>
    <t>6_STREET LIGHTING SERVICE CLASSIFICATION_CBR</t>
  </si>
  <si>
    <t>7_EMBEDDED DISTRIBUTOR SERVICE CLASSIFICATION_DWSR</t>
  </si>
  <si>
    <t>7_EMBEDDED DISTRIBUTOR SERVICE CLASSIFICATION_DEFVAR_ALL</t>
  </si>
  <si>
    <t>7_EMBEDDED DISTRIBUTOR SERVICE CLASSIFICATION_Retail Transmission Rate - Network Service Rate</t>
  </si>
  <si>
    <t>EB-2017-0030</t>
  </si>
  <si>
    <t>Rate Rider for Smart Metering Entity Charge - effective until December 31, 2022</t>
  </si>
  <si>
    <t>Alectra Utilities Corporation-Enersource Rate Zone</t>
  </si>
  <si>
    <t>Alectra Utilities Corporation-Enersource Rate Zone_Start</t>
  </si>
  <si>
    <t>This classification refers to all residential services including, without limitation, single family or single unit dwellings, multifamily dwellings, row-type dwellings and subdivision developments.  Energy is supplied in single phase, 3-wire, or three phase, 4 wire, having a nominal voltage of 120/240 volts.  There shall be only one delivery point to a dwelling.  Class B consumers are defined in accordance with O. Reg. 429/04.  Further servicing details are available in the distributor’s Conditions of Service.</t>
  </si>
  <si>
    <t>Rate Rider for Recovery of Incremental Capital (2017) - in effect until the effective date of the next cost of service based rate order</t>
  </si>
  <si>
    <t>1_RESIDENTIAL SERVICE CLASSIFICATION_FX_RR_30</t>
  </si>
  <si>
    <t>1_RESIDENTIAL SERVICE CLASSIFICATION_FX_RR_31</t>
  </si>
  <si>
    <t>Rate Rider for Disposition of Global Adjustment Account (2018) - effective May 1, 2018 until  April 30, 2019
        Applicable only for Non-RPP Customers</t>
  </si>
  <si>
    <t>Rate Rider for Disposition of Capacity Based Recovery Account (2018) - effective May 1, 2018 until April 30, 2019
        Applicable Only for Class  B Customers</t>
  </si>
  <si>
    <t>Rate Rider for Disposition of Lost Revenue Adjustment Mechanism Variance Account (LRAMVA) (2018)
     - effective May 1, 2018 until April 30, 2019</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</si>
  <si>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</si>
  <si>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2_GENERAL SERVICE LESS THAN 50 KW SERVICE CLASSIFICATION_FX_RR_35</t>
  </si>
  <si>
    <t>3_GENERAL SERVICE 50 TO 499 KW SERVICE CLASSIFICATION</t>
  </si>
  <si>
    <t>This classification refers to a non-residential account whose monthly average peak demand is equal to or greater than, or is forecast to be equal to or greater than, 50 kW but less than 500 kW.  Class B consumers are defined in accordance with O. Reg. 429/04.  Further servicing details are available in the distributor’s Conditions of Service.</t>
  </si>
  <si>
    <t>3_GENERAL SERVICE 50 TO 499 KW SERVICE CLASSIFICATION_MSC</t>
  </si>
  <si>
    <t>3_GENERAL SERVICE 50 TO 499 KW SERVICE CLASSIFICATION_DVC</t>
  </si>
  <si>
    <t>3_GENERAL SERVICE 50 TO 499 KW SERVICE CLASSIFICATION_LV</t>
  </si>
  <si>
    <t>3_GENERAL SERVICE 50 TO 499 KW SERVICE CLASSIFICATION_GA_kwh</t>
  </si>
  <si>
    <t>3_GENERAL SERVICE 50 TO 499 KW SERVICE CLASSIFICATION_DEFVAR_ALL</t>
  </si>
  <si>
    <t>Rate Rider for Disposition of Capacity Based Recovery Account (2018) - effective May 1, 2018 until April 30, 2019
        Applicable Only for Non-Wholesale Market Participants Class  B Customers</t>
  </si>
  <si>
    <t>3_GENERAL SERVICE 50 TO 499 KW SERVICE CLASSIFICATION_CBR</t>
  </si>
  <si>
    <t>3_GENERAL SERVICE 50 TO 499 KW SERVICE CLASSIFICATION_LRAM</t>
  </si>
  <si>
    <t>3_GENERAL SERVICE 50 TO 499 KW SERVICE CLASSIFICATION_Retail Transmission Rate - Network Service Rate</t>
  </si>
  <si>
    <t>3_GENERAL SERVICE 50 TO 499 KW SERVICE CLASSIFICATION_Retail Transmission Rate - Line and Transformation Connection Service Rate</t>
  </si>
  <si>
    <t>3_GENERAL SERVICE 50 TO 499 KW SERVICE CLASSIFICATION_WMSR</t>
  </si>
  <si>
    <t>3_GENERAL SERVICE 50 TO 499 KW SERVICE CLASSIFICATION_RRRP</t>
  </si>
  <si>
    <t>3_GENERAL SERVICE 50 TO 499 KW SERVICE CLASSIFICATION_SSS</t>
  </si>
  <si>
    <t>4_GENERAL SERVICE 500 TO 4,999 KW SERVICE CLASSIFICATION</t>
  </si>
  <si>
    <t>This classification refers to a non-residential account whose monthly average peak demand is equal to or greater than, or is forecast to be equal to or greater than, 500 kW but less than 5,000 kW.  Class A and Class B consumers are defined in accordance with O. Reg. 429/04.  Further servicing details are available in the distributor’s Conditions of Service.</t>
  </si>
  <si>
    <t>4_GENERAL SERVICE 500 TO 4,999 KW SERVICE CLASSIFICATION_MSC</t>
  </si>
  <si>
    <t>4_GENERAL SERVICE 500 TO 4,999 KW SERVICE CLASSIFICATION_DVC</t>
  </si>
  <si>
    <t>4_GENERAL SERVICE 500 TO 4,999 KW SERVICE CLASSIFICATION_LV</t>
  </si>
  <si>
    <t>4_GENERAL SERVICE 500 TO 4,999 KW SERVICE CLASSIFICATION_GA_kwh</t>
  </si>
  <si>
    <t>4_GENERAL SERVICE 500 TO 4,999 KW SERVICE CLASSIFICATION_DEFVAR_ALL</t>
  </si>
  <si>
    <t>4_GENERAL SERVICE 500 TO 4,999 KW SERVICE CLASSIFICATION_CBR</t>
  </si>
  <si>
    <t>4_GENERAL SERVICE 500 TO 4,999 KW SERVICE CLASSIFICATION_LRAM</t>
  </si>
  <si>
    <t xml:space="preserve">4_GENERAL SERVICE 500 TO 4,999 KW SERVICE CLASSIFICATION_Retail Transmission Rate - Network Service Rate </t>
  </si>
  <si>
    <t xml:space="preserve">4_GENERAL SERVICE 500 TO 4,999 KW SERVICE CLASSIFICATION_Retail Transmission Rate - Line and Transformation Connection Service Rate </t>
  </si>
  <si>
    <t>4_GENERAL SERVICE 500 TO 4,999 KW SERVICE CLASSIFICATION_WMSR</t>
  </si>
  <si>
    <t>4_GENERAL SERVICE 500 TO 4,999 KW SERVICE CLASSIFICATION_RRRP</t>
  </si>
  <si>
    <t>4_GENERAL SERVICE 500 TO 4,999 KW SERVICE CLASSIFICATION_SSS</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</si>
  <si>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</si>
  <si>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Retail Transmission Rate - Network Service Rate – Interval Metered</t>
  </si>
  <si>
    <t>5_LARGE USE SERVICE CLASSIFICATION_Retail Transmission Rate - Network Service Rate – Interval Metered</t>
  </si>
  <si>
    <t xml:space="preserve">Retail Transmission Rate - Line and Transformation Connection Service Rate – Interval Metered </t>
  </si>
  <si>
    <t xml:space="preserve">5_LARGE USE SERVICE CLASSIFICATION_Retail Transmission Rate - Line and Transformation Connection Service Rate – Interval Metered </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</si>
  <si>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abd will be agreed to by Alectra Utilities and the customer and may be subject to periodic monitoring of actual consumption.  Eligible onmetered loads include cable TV power packs, bus  shelters, telephone booths, traffic lights, railway crossings, etc.   Class B consumers are defined in accordance with O. Reg. 429/04.  Further servicing details are available in the distributor’s Conditions of Service.</t>
  </si>
  <si>
    <t>6_UNMETERED SCATTERED LOAD SERVICE CLASSIFICATION_CBR</t>
  </si>
  <si>
    <t>This classification refers to an account for roadway lighting.  Street Lighting is unmetered where energy consumption is estimated based on the connected wattage and calculated hours of use using methods established by the Ontario Energy Board.  Class B consumers are defined in accordance with O. Reg. 429/04.  Further servicing details are available in the distributor’s Conditions of Service.</t>
  </si>
  <si>
    <t>7_STREET LIGHTING SERVICE CLASSIFICATION_CBR</t>
  </si>
  <si>
    <t>This classification refers to an account that requires Alectra Utilities to provide distribution service on a standby basis as a back-up supply to an on-site generator.  Further servicing details are available in the distributor’s Conditions of Service.</t>
  </si>
  <si>
    <t xml:space="preserve">MONTHLY RATES AND CHARGES – Delivery Component </t>
  </si>
  <si>
    <t>Credit reference/credit check (plus credit agency costs – General Service)</t>
  </si>
  <si>
    <t>Account set up charge/change of occupancy charge (plus credit agency costs if applicable – Residential)</t>
  </si>
  <si>
    <t>Temporary service install and remove – overhead – no transformer</t>
  </si>
  <si>
    <t>Specific Charge for Access to the Power Poles - $/pole/year (with the exception of wireless attachments)
- in effect until August 31, 2018</t>
  </si>
  <si>
    <t>Specific Charge for Access to the Power Poles - $/pole/year (with the exception of wireless attachments)
- in effect from September 1, 2018 until December 31, 2018</t>
  </si>
  <si>
    <t>Specific Charge for Access to the Power Poles - $/pole/year (with the exception of wireless attachments)
- in effect from January 1, 2019</t>
  </si>
  <si>
    <t>Alectra Utilities Corporation-Enersource Rate Zone_End</t>
  </si>
  <si>
    <t>EB-2017-0033</t>
  </si>
  <si>
    <t>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</si>
  <si>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4_LARGE USE SERVICE CLASSIFICATION_GA_kwh</t>
  </si>
  <si>
    <t>EB-2017-0037</t>
  </si>
  <si>
    <t>Rate Rider for Recovery of Incremental Revenue Requirement for Smart Meter Implementation (2017) - in effect until the earlier of the effective date of the next cost of service based Rate Order or December 31, 2019</t>
  </si>
  <si>
    <t>Rate Rider for Recovery of Stranded Meters Costs (2017) - in effect until the until the earlier of the effective date of the next cost of service based Rate Order or December 31, 2019</t>
  </si>
  <si>
    <t>Rate Rider for Application of Tax Change (2018) - effective until April 30, 2019</t>
  </si>
  <si>
    <t>Rate Rider for Disposition of Global Adjustment Account (2018) - effective until April 30, 2019
        Applicable only for Non-RPP Customers</t>
  </si>
  <si>
    <t>Rate Rider for Disposition of Lost Revenue Adjustment Mechanism Variance Account (LRAMVA) (2018) -
        effective until April 30, 2020</t>
  </si>
  <si>
    <t>Rate Rider for Disposition of Capacity Based Recovery Account (2018) - effective until April 30, 2019
        Applicable only for Class B Customers</t>
  </si>
  <si>
    <t>A non-residential customer qualifies for a rate classification of General Service Less Than 50 kW if within the last 12 months its monthly average peak demand load has not exceeded 50 kW or for a new customer is not expected to exceed 50 kW. Class B consumers are defined in accordance with O. Reg. 429/04. Further servicing details are available in the distributor’s
Conditions of Service.</t>
  </si>
  <si>
    <t>2_GENERAL SERVICE LESS THAN 50 KW SERVICE CLASSIFICATION_SMA</t>
  </si>
  <si>
    <t>Rate Rider for Disposition of Lost Revenue Adjustment Mechanism Variance Account (LRAMVA) (2018) -
       effective until April 30, 2020</t>
  </si>
  <si>
    <t>Rate Rider for Disposition of Capacity Based Recovery Account (2018) - effective until April 30, 2019
       Applicable only for Class B Customers</t>
  </si>
  <si>
    <t>2_GENERAL SERVICE LESS THAN 50 KW SERVICE CLASSIFICATION_STS</t>
  </si>
  <si>
    <t>A non-residential customer qualifies for a rate classification of General Service 50 to 4,999 kW if within the last 12 months its monthly average peak demand load has equaled or exceeded 50 kW or for a new customer is expected to equal or exceed 50 kW but be less than 5,000 kW. Class A and Class B consumers are defined in accordance with O. Reg. 429/04. Further servicing details are available in the distributor’s Conditions of Service.</t>
  </si>
  <si>
    <t>Rate Rider for Disposition of Capacity Based Recovery Account (2018) - effective until April 30, 2019
      Applicable only for Class B Customers</t>
  </si>
  <si>
    <t>4_GENERAL SERVICE 3,000 TO 4,999 KW - INTERMEDIATE USE SERVICE CLASSIFICATION_LRAM</t>
  </si>
  <si>
    <t>4_GENERAL SERVICE 3,000 TO 4,999 KW - INTERMEDIATE USE SERVICE CLASSIFICATION_CBR</t>
  </si>
  <si>
    <t>4_GENERAL SERVICE 3,000 TO 4,999 KW - INTERMEDIATE USE SERVICE CLASSIFICATION_Retail Transmission Rate - Line and Transformation Connection Service Rate (see Note 1)</t>
  </si>
  <si>
    <t>5_LARGE USE - REGULAR SERVICE CLASSIFICATION_LRAM</t>
  </si>
  <si>
    <t>Rate Rider for Disposition of Deferral/Variance Accounts (2018) - effective until April 30, 2019
        Applicable only for Non-Wholesale Market Participants</t>
  </si>
  <si>
    <t>Retail Transmission Rate - Line Connection Service Rate (see Note 1)</t>
  </si>
  <si>
    <t>5_LARGE USE - REGULAR SERVICE CLASSIFICATION_Retail Transmission Rate - Line Connection Service Rate (see Note 1)</t>
  </si>
  <si>
    <t>Retail Transmission Rate - Transformation Connection Service Rate (see Note 1)</t>
  </si>
  <si>
    <t>5_LARGE USE - REGULAR SERVICE CLASSIFICATION_Retail Transmission Rate - Transformation Connection Service Rate (see Note 1)</t>
  </si>
  <si>
    <t>6_LARGE USE - 3TS SERVICE CLASSIFICATION_LRAM</t>
  </si>
  <si>
    <t>6_LARGE USE - 3TS SERVICE CLASSIFICATION_Retail Transmission Rate - Line Connection Service Rate (see Note 1)</t>
  </si>
  <si>
    <t>7_LARGE USE - FORD ANNEX SERVICE CLASSIFICATION_LRAM</t>
  </si>
  <si>
    <t>7_LARGE USE - FORD ANNEX SERVICE CLASSIFICATION_Retail Transmission Rate - Line Connection Service Rate (see Note 1)</t>
  </si>
  <si>
    <t>Rate Rider for Disposition of Deferral/Variance Accounts (2018)(per connection) - effective until April 30, 2019</t>
  </si>
  <si>
    <t>Rate Rider for Disposition of Capacity Based Recovery Account (2018)(per connection) - 
        effective until April 30, 2019 Applicable only for Class B Customers</t>
  </si>
  <si>
    <t>8_UNMETERED SCATTERED LOAD SERVICE CLASSIFICATION_CBR</t>
  </si>
  <si>
    <t>Rate Rider for Application of Tax Change (2018)(per connection) - effective until April 30, 2019</t>
  </si>
  <si>
    <t>Rate Rider for Disposition of Capacity Based Recovery Account (2018)(per connection) - 
       effective until April 30, 2019 Applicable only for Class B Customers</t>
  </si>
  <si>
    <t>9_SENTINEL LIGHTING SERVICE CLASSIFICATION_CBR</t>
  </si>
  <si>
    <t>EB-2017-0036</t>
  </si>
  <si>
    <t>Rate Rider for Disposition of Account 1595 (2017)
     Applicable only for Non-RPP Customers - effective until  April 30, 2022</t>
  </si>
  <si>
    <t>Rate Rider for Disposition of Account 1595 (2017)
     Applicable only for Non-RPP Customers excluding Wholesale Market Participant customers, and 
    those customers who paid a Rate Rider for the Disposition of Global Adjustment for a minimum of 
    12 months - effective until April 30, 2022</t>
  </si>
  <si>
    <t>7_EMBEDDED DISTRIBUTOR SERVICE CLASSIFICATION_LV</t>
  </si>
  <si>
    <t>7_EMBEDDED DISTRIBUTOR SERVICE CLASSIFICATION_STS</t>
  </si>
  <si>
    <t>7_EMBEDDED DISTRIBUTOR SERVICE CLASSIFICATION_WMSR</t>
  </si>
  <si>
    <t>7_EMBEDDED DISTRIBUTOR SERVICE CLASSIFICATION_RRRP</t>
  </si>
  <si>
    <t>7_EMBEDDED DISTRIBUTOR SERVICE CLASSIFICATION_SSS</t>
  </si>
  <si>
    <t>EB-2017-0029</t>
  </si>
  <si>
    <t>EB-2017-0078</t>
  </si>
  <si>
    <t>All residential customers with kilowatt-hour meters shall be deemed to have a demand of 50kW or less. This customer classification included single family homes, street townhouses, multiplexes, and block townhouses.  This classification applies to a customer's main place of abode and may include additional buildings served through the same meter, provided they are not rental income units. To be classified as Residential, the customer must represent and warrant that the premise is designated as his/her principal residence or, in the case of a rented premise, that the premise is the principal residence of the rental occupant.                                                                                                                                                                                                                         
A principal residence is defined as meeting the following criteria:
a. The occupant must live in this residence for at least 8 months of the year.
b.  The address of this residence must appear on the occupant's electric bill, driver's license, credit card invoice, property tax bill, etc.
c.  Occupants who are eligible to vote in Provincial or Federal elections must be enumerated for this purpose at the address of this residence.
Class B consumers are defined in accordance with O. Reg. 429/04.  Further servicing details are available in the distributor's Conditions of Service.</t>
  </si>
  <si>
    <t>Rate Rider for Disposition of Capacity Based Recovery Account (2018) - effective until April 30, 2019 
      Applicable only for Class B Customers</t>
  </si>
  <si>
    <t>2_SEASONAL RESIDENTIAL SERVICE CLASSIFICATION_CBR</t>
  </si>
  <si>
    <t>3_GENERAL SERVICE LESS THAN 50 KW SERVICE CLASSIFICATION</t>
  </si>
  <si>
    <t>3_GENERAL SERVICE LESS THAN 50 KW SERVICE CLASSIFICATION_MSC</t>
  </si>
  <si>
    <t>3_GENERAL SERVICE LESS THAN 50 KW SERVICE CLASSIFICATION_SME</t>
  </si>
  <si>
    <t>3_GENERAL SERVICE LESS THAN 50 KW SERVICE CLASSIFICATION_DVC</t>
  </si>
  <si>
    <t>3_GENERAL SERVICE LESS THAN 50 KW SERVICE CLASSIFICATION_LV</t>
  </si>
  <si>
    <t>3_GENERAL SERVICE LESS THAN 50 KW SERVICE CLASSIFICATION_GA_kwh</t>
  </si>
  <si>
    <t>3_GENERAL SERVICE LESS THAN 50 KW SERVICE CLASSIFICATION_DEFVAR_ALL</t>
  </si>
  <si>
    <t>3_GENERAL SERVICE LESS THAN 50 KW SERVICE CLASSIFICATION_CBR</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</si>
  <si>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</si>
  <si>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</si>
  <si>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</si>
  <si>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</si>
  <si>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</si>
  <si>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4_GENERAL SERVICE 50 TO 2,999 KW SERVICE CLASSIFICATION_CBR</t>
  </si>
  <si>
    <t>5_GENERAL SERVICE 3,000 TO 4,999 KW SERVICE CLASSIFICATION_CBR</t>
  </si>
  <si>
    <t xml:space="preserve">5_GENERAL SERVICE 3,000 TO 4,999 KW SERVICE CLASSIFICATION_Retail Transmission Rate - Line and Transformation Connection Service Rate </t>
  </si>
  <si>
    <t xml:space="preserve">6_LARGE USE SERVICE CLASSIFICATION_Retail Transmission Rate - Line and Transformation Connection Service Rate </t>
  </si>
  <si>
    <t>7_UNMETERED SCATTERED LOAD SERVICE CLASSIFICATION_CBR</t>
  </si>
  <si>
    <t>8_SENTINEL LIGHTING SERVICE CLASSIFICATION_CBR</t>
  </si>
  <si>
    <t>9_STREET LIGHTING SERVICE CLASSIFICATION_CBR</t>
  </si>
  <si>
    <t>EB-2017-0040</t>
  </si>
  <si>
    <t>Rate Rider for Disposition of Lost Revenue Adjustment Mechanism Variance Account (LRAMVA) (2018) 
     - effective until December 31, 2018</t>
  </si>
  <si>
    <t>This classification refers to a non residential account whose peak demand is less than 50 kW based on the process for and frequency for reclassification as outlined in Section 2.5 of the Distribution System Code. For a new customer without prior billing history, the kW peak demand will be estimated by Festival Hydro Inc. to determine the proper rate classification. Customers who are classed as General Service but consider themselves eligible to be classed as Residential must provide Festival Hydro Inc. with a copy of their tax assessment, which clearly demonstrates the zoning is for residential use only. Class B consumers are defined in accordance with O. Reg. 429/04. Further servicing details are available the distributor’s  Conditions of Service.</t>
  </si>
  <si>
    <t>This classification refers to a non residential account whose peak demand is equal to or greater than 50 kW but less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</si>
  <si>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Rate Rider for Disposition of Deferral/Variance Accounts (2018) - effective until December 31, 2018
      Applicable only for Non-Wholesale Market Participants</t>
  </si>
  <si>
    <t>This classification refers to non-residential accounts whose monthly peak demand is equal to or greater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</si>
  <si>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4_LARGE USE SERVICE CLASSIFICATION_CBR</t>
  </si>
  <si>
    <t>Rate Rider for Disposition of Lost Revenue Adjustment Mechanism Variance Account (LRAMVA) (2018)
     - effective until December 31, 2018</t>
  </si>
  <si>
    <t>6_SENTINEL LIGHTING SERVICE CLASSIFICATION_CBR</t>
  </si>
  <si>
    <t>EB-2017-0041</t>
  </si>
  <si>
    <t>The rate rider for the disposition of Global Adjustment is only applicable to non-RPP Class B customers. It is not applicable to wholesale market participants,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</si>
  <si>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EB-2017-0043</t>
  </si>
  <si>
    <t xml:space="preserve">     Late payment - per month</t>
  </si>
  <si>
    <t>EB-2017-0044</t>
  </si>
  <si>
    <t>Rate Rider for Disposition of Lost Revenue Adjustment Mechanism Variance Account (LRAMVA) (2018) - effective until December 31, 2018</t>
  </si>
  <si>
    <t>3_GENERAL SERVICE 50 TO 999 KW SERVICE CLASSIFICATION_GA_kwh</t>
  </si>
  <si>
    <t>3_GENERAL SERVICE 50 TO 999 KW SERVICE CLASSIFICATION_LRAM</t>
  </si>
  <si>
    <t>3_GENERAL SERVICE 50 TO 999 KW SERVICE CLASSIFICATION_DEFVAR_ALL</t>
  </si>
  <si>
    <t>3_GENERAL SERVICE 50 TO 999 KW SERVICE CLASSIFICATION_CBR</t>
  </si>
  <si>
    <t>3_GENERAL SERVICE 50 TO 999 KW SERVICE CLASSIFICATION_Retail Transmission Rate - Network Service Rate - Interval Metered</t>
  </si>
  <si>
    <t>3_GENERAL SERVICE 50 TO 999 KW SERVICE CLASSIFICATION_Retail Transmission Rate - Line and Transformation Connection Service Rate - Interval Metered</t>
  </si>
  <si>
    <t>4_GENERAL SERVICE 1,000 TO 4,999 KW SERVICE CLASSIFICATION_GA_kwh</t>
  </si>
  <si>
    <t>4_GENERAL SERVICE 1,000 TO 4,999 KW SERVICE CLASSIFICATION_LRAM</t>
  </si>
  <si>
    <t>4_GENERAL SERVICE 1,000 TO 4,999 KW SERVICE CLASSIFICATION_DEFVAR_ALL</t>
  </si>
  <si>
    <t>4_GENERAL SERVICE 1,000 TO 4,999 KW SERVICE CLASSIFICATION_CBR</t>
  </si>
  <si>
    <t>4_GENERAL SERVICE 1,000 TO 4,999 KW SERVICE CLASSIFICATION_Retail Transmission Rate - Network Service Rate - Interval Metered</t>
  </si>
  <si>
    <t>4_GENERAL SERVICE 1,000 TO 4,999 KW SERVICE CLASSIFICATION_Retail Transmission Rate - Line and Transformation Connection Service Rate - Interval Metered</t>
  </si>
  <si>
    <t>EB-2017-0050</t>
  </si>
  <si>
    <t>This classification applies to a customer’s main place of abode and may include additional buildings served through the same meter, provided they are not rental income units. Residential includes Urban, Suburban and Farm customer’s premises which can be occupied on a year-round and seasonal basis. Farm applies to properties actively engaged in agricultural production as defined by Statistics Canada. These premises must be supplied from a single phase primary line. The farm definition does not include tree, sod, or pet farms. Services to year-round pumping stations or other ancillary services remote from the main farm shall be classed as farm. Class B consumers are defined in accordance with O. Reg. 429/04. Further servicing details are available in the distributor’s Conditions of Service.</t>
  </si>
  <si>
    <t>Rate Rider per Hydro One Network's Acquisition Agreement - effective until June 30, 2020</t>
  </si>
  <si>
    <t>Rate Rider for Application of CGAAP Accounting Changes - effective until April 30, 2019</t>
  </si>
  <si>
    <t>Funding Adder for Renewable Energy Generation - in effect until the effective date of the next 
 cost of service based rate order</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</si>
  <si>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is less than, or is forecast to be less than, 50 kW. Class B consumers are defined in accordance with O. Reg. 429/04. Further servicing details are available in the distributor’s Conditions of Service.</t>
  </si>
  <si>
    <t>Funding Adder for Renewable Energy Generation - in effect until the effective date of the next
 cost of service based rate order</t>
  </si>
  <si>
    <t>2_GENERAL SERVICE LESS THAN 50 KW SERVICE CLASSIFICATION_FAREG</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</si>
  <si>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</si>
  <si>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4_UNMETERED SCATTERED LOAD SERVICE CLASSIFICATION_FAREG</t>
  </si>
  <si>
    <t>This classification refers to an account that is an unmetered lighting load supplied to a sentinel light. (Metered sentinel lighting is captured under the consumption of the principal service.) The consumption for these customers is assumed to have the same hourly consumption load profile as for Street Lighting. Class B consumers are defined in accordance with O. Reg. 429/04. Further servicing details are available in the distributor’s Conditions of Service.</t>
  </si>
  <si>
    <t>5_SENTINEL LIGHTING SERVICE CLASSIFICATION_FAREG</t>
  </si>
  <si>
    <t>6_STREET LIGHTING SERVICE CLASSIFICATION_FAREG</t>
  </si>
  <si>
    <t>7_EMBEDDED DISTRIBUTOR SERVICE CLASSIFICATION FOR HYDRO ONE NETWORKS INC.</t>
  </si>
  <si>
    <t>7_EMBEDDED DISTRIBUTOR SERVICE CLASSIFICATION FOR HYDRO ONE NETWORKS INC._MSC</t>
  </si>
  <si>
    <t>7_EMBEDDED DISTRIBUTOR SERVICE CLASSIFICATION FOR HYDRO ONE NETWORKS INC._DWSR</t>
  </si>
  <si>
    <t>7_EMBEDDED DISTRIBUTOR SERVICE CLASSIFICATION FOR HYDRO ONE NETWORKS INC._Retail Transmission Rate - Network Service Rate</t>
  </si>
  <si>
    <t>7_EMBEDDED DISTRIBUTOR SERVICE CLASSIFICATION FOR HYDRO ONE NETWORKS INC._Retail Transmission Rate - Line and Transformation Connection Service Rate</t>
  </si>
  <si>
    <t>7_EMBEDDED DISTRIBUTOR SERVICE CLASSIFICATION FOR HYDRO ONE NETWORKS INC._WMSR</t>
  </si>
  <si>
    <t>7_EMBEDDED DISTRIBUTOR SERVICE CLASSIFICATION FOR HYDRO ONE NETWORKS INC._RRRP</t>
  </si>
  <si>
    <t>7_EMBEDDED DISTRIBUTOR SERVICE CLASSIFICATION FOR HYDRO ONE NETWORKS INC._SSS</t>
  </si>
  <si>
    <t>EB-2017-0045</t>
  </si>
  <si>
    <t>Rate Rider for Disposition of Capacity Based Recovery Account (2018) - effective until April 30, 2019 Applicable only for Class B Customers</t>
  </si>
  <si>
    <t>EB-2017-0046</t>
  </si>
  <si>
    <t>1_RESIDENTIAL SERVICE CLASSIFICATION_FX_RR_86</t>
  </si>
  <si>
    <t>3_GENERAL SERVICE 50 TO 1,499 KW SERVICE CLASSIFICATION</t>
  </si>
  <si>
    <t>3_GENERAL SERVICE 50 TO 1,499 KW SERVICE CLASSIFICATION_MSC</t>
  </si>
  <si>
    <t>3_GENERAL SERVICE 50 TO 1,499 KW SERVICE CLASSIFICATION_SMA</t>
  </si>
  <si>
    <t>3_GENERAL SERVICE 50 TO 1,499 KW SERVICE CLASSIFICATION_DVC</t>
  </si>
  <si>
    <t>3_GENERAL SERVICE 50 TO 1,499 KW SERVICE CLASSIFICATION_LV</t>
  </si>
  <si>
    <t>3_GENERAL SERVICE 50 TO 1,499 KW SERVICE CLASSIFICATION_GA_kwh</t>
  </si>
  <si>
    <t>3_GENERAL SERVICE 50 TO 1,499 KW SERVICE CLASSIFICATION_DEFVAR_ALL</t>
  </si>
  <si>
    <t>3_GENERAL SERVICE 50 TO 1,499 KW SERVICE CLASSIFICATION_Retail Transmission Rate - Network Service Rate</t>
  </si>
  <si>
    <t xml:space="preserve">3_GENERAL SERVICE 50 TO 1,499 KW SERVICE CLASSIFICATION_Retail Transmission Rate - Line and Transformation Connection Service Rate </t>
  </si>
  <si>
    <t>3_GENERAL SERVICE 50 TO 1,499 KW SERVICE CLASSIFICATION_WMSR</t>
  </si>
  <si>
    <t>3_GENERAL SERVICE 50 TO 1,499 KW SERVICE CLASSIFICATION_RRRP</t>
  </si>
  <si>
    <t>3_GENERAL SERVICE 50 TO 1,499 KW SERVICE CLASSIFICATION_SSS</t>
  </si>
  <si>
    <t>4_INTERMEDIATE USER SERVICE CLASSIFICATION_Retail Transmission Rate - Network Service Rate</t>
  </si>
  <si>
    <t>4_INTERMEDIATE USER SERVICE CLASSIFICATION_Retail Transmission Rate - Line and Transformation Connection Service Rate</t>
  </si>
  <si>
    <t xml:space="preserve">Specific charge for access to the power poles - $/pole/year
(with the exception of wireless attachements) </t>
  </si>
  <si>
    <t>Alectra Utilities Corporation-Horizon Rate Zone</t>
  </si>
  <si>
    <t>Alectra Utilities Corporation-Horizon Rate Zone_Start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</si>
  <si>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</si>
  <si>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</si>
  <si>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MONTHLY RATES AND CHARGES – Delivery Component</t>
  </si>
  <si>
    <t>Rate Rider for Disposition of 2016 Earnings Sharing - effective May 1, 2018 until  April 30, 2019</t>
  </si>
  <si>
    <t>1_RESIDENTIAL SERVICE CLASSIFICATION_FX_RR_93</t>
  </si>
  <si>
    <t>Rate Rider for Disposition of Capacity Based Recovery Account (2018) - effective May 1, 2018 until  April 30, 2019
          Applicable Only for Class B Customers</t>
  </si>
  <si>
    <t>Rate Rider for Disposition of Lost Revenue Adjustment Mechanism Variance Account (LRAMVA) (2018) 
          - effective May 1, 2018 until April 30, 2019</t>
  </si>
  <si>
    <t>MONTHLY RATES AND CHARGES – Regulatory Component</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</si>
  <si>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</si>
  <si>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2_GENERAL SERVICE LESS THAN 50 KW SERVICE CLASSIFICATION_FX_RR_95</t>
  </si>
  <si>
    <t>Rate Rider for Disposition of Capacity Based Recovery Account (2018) - effective May 1 ,2018 until  April 30, 2019
          Applicable Only for Class B Customers</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</si>
  <si>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</si>
  <si>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 xml:space="preserve">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</si>
  <si>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order is applicable to all new non-RPP Class B customers. </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</si>
  <si>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</si>
  <si>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Rate Rider for Disposition of 2016 Earnings Sharing - effective May 1, 2018 until April 30, 2019</t>
  </si>
  <si>
    <t>Rate Rider for Disposition of Capacity Based Recovery Account (2018) - effective May 1, 2018 until April 30, 2019
          Applicable Only for Class B Customers</t>
  </si>
  <si>
    <t>4_LARGE USE SERVICE CLASSIFICATION_Retail Transmission Rate - Line and Transformation Connection Service Rate</t>
  </si>
  <si>
    <t>5_LARGE USE WITH DEDICATED ASSETS SERVICE CLASSIFICATION</t>
  </si>
  <si>
    <t>This classification applies to an account where average monthly maximum demand used for billing purposes is equal to or greater than, or is forecast to be equal to or greater than, 5,000 kW and using dedicated assets.  Class A and Class B consumers are defined in accordance with O. Reg. 429/04.  Further servicing details are available in the distributor’s Conditions of Service.</t>
  </si>
  <si>
    <t>5_LARGE USE WITH DEDICATED ASSETS SERVICE CLASSIFICATION_MSC</t>
  </si>
  <si>
    <t>5_LARGE USE WITH DEDICATED ASSETS SERVICE CLASSIFICATION_DVC</t>
  </si>
  <si>
    <t>5_LARGE USE WITH DEDICATED ASSETS SERVICE CLASSIFICATION_LV</t>
  </si>
  <si>
    <t>5_LARGE USE WITH DEDICATED ASSETS SERVICE CLASSIFICATION_DEFVAR_ALL</t>
  </si>
  <si>
    <t>5_LARGE USE WITH DEDICATED ASSETS SERVICE CLASSIFICATION_LRAM</t>
  </si>
  <si>
    <t>5_LARGE USE WITH DEDICATED ASSETS SERVICE CLASSIFICATION_Retail Transmission Rate - Network Service Rate</t>
  </si>
  <si>
    <t>5_LARGE USE WITH DEDICATED ASSETS SERVICE CLASSIFICATION_Retail Transmission Rate - Line and Transformation Connection Service Rate</t>
  </si>
  <si>
    <t>5_LARGE USE WITH DEDICATED ASSETS SERVICE CLASSIFICATION_WMSR</t>
  </si>
  <si>
    <t>5_LARGE USE WITH DEDICATED ASSETS SERVICE CLASSIFICATION_RRRP</t>
  </si>
  <si>
    <t>5_LARGE USE WITH DEDICATED ASSETS SERVICE CLASSIFICATION_SSS</t>
  </si>
  <si>
    <t xml:space="preserve">6_STANDBY POWER SERVICE CLASSIFICATION </t>
  </si>
  <si>
    <t>MONTHLY RATES AND CHARGES – Delivery Component - APPROVED ON AN INTERIM BASIS</t>
  </si>
  <si>
    <t>GS&gt;50 Standby Charge - for a month where standby power is not provided.  The charge is applied to the amount of reserved load transfer capacity contracted or the amount of monthly peak load displaced by a generating facility.</t>
  </si>
  <si>
    <t>Large Use Standby Charge - for a month where standby power is not provided.  The charge is applied to the amount of reserved load transfer capacity contracted or the amount of monthly peak load displaced by a generating facility.</t>
  </si>
  <si>
    <t>Large Use with Dedicated Assets Standby Charge - for a month where standby power is not provided.  The charge is applied to the amount of reserved load transfer capacity contracted or the amount of monthly peak load displaced by a generating facility.</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</si>
  <si>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</si>
  <si>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safety/security lighting with a Residential, General Service or Large Use customer.  This is typically exterior lighting, and often unmetered.  Consumption is estimated based on the equipment rating and estimated hours of use.  Class B consumers are defined in accordance with O. Reg. 429/04. Further servicing details are available in the distributor’s Conditions of Service.</t>
  </si>
  <si>
    <t>Service Charge (per Connection)</t>
  </si>
  <si>
    <t>This classification applies to an account for roadway lighting with the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O.Reg. 429/04.  Further servicing details are available in the distributor’s Conditions of Service.</t>
  </si>
  <si>
    <t>Service Charge (per  Connection)</t>
  </si>
  <si>
    <t>Rate Rider for Disposition of Lost Revenue Adjustment Mechanism Variance Account (LRAMVA) (2018) 
        - effective May 1, 2018 until April 30, 2019</t>
  </si>
  <si>
    <t>MicroFIT SERVICE CLASSIFICATION</t>
  </si>
  <si>
    <t>Transformer Allowance for Ownership - per kW of billing demand</t>
  </si>
  <si>
    <t xml:space="preserve">     Pulling of post dated cheques</t>
  </si>
  <si>
    <t xml:space="preserve">     Duplicate invoices for previous  billing</t>
  </si>
  <si>
    <t xml:space="preserve">     Income tax letter</t>
  </si>
  <si>
    <t xml:space="preserve">     Notification charge</t>
  </si>
  <si>
    <t xml:space="preserve">     Credit card convenience charge</t>
  </si>
  <si>
    <t xml:space="preserve">     Credit check (plus credit agency costs)</t>
  </si>
  <si>
    <t xml:space="preserve">     Late payment – per month</t>
  </si>
  <si>
    <t xml:space="preserve">     Late payment – per annum</t>
  </si>
  <si>
    <t xml:space="preserve">     Collection of account charge – no disconnection</t>
  </si>
  <si>
    <t xml:space="preserve">     Collection of account charge – no disconnection - after regular hours</t>
  </si>
  <si>
    <t xml:space="preserve">     Disconnect/reconnect at meter – during regular hours</t>
  </si>
  <si>
    <t xml:space="preserve">     Disconnect/reconnect at meter – after regular hours</t>
  </si>
  <si>
    <t xml:space="preserve">     Disconnect/reconnect at pole – during regular hours</t>
  </si>
  <si>
    <t xml:space="preserve">     Disconnect/reconnect at pole – after regular hours</t>
  </si>
  <si>
    <t xml:space="preserve">     Install/remove load control device – during regular hours</t>
  </si>
  <si>
    <t xml:space="preserve">     Install/remove load control device – after regular hours</t>
  </si>
  <si>
    <t>Temporary service - install and remove - overhead - no transformer</t>
  </si>
  <si>
    <t>Specific Charge for Access to the Power Poles - $/pole/year (with the exception of wireless attachments) - in effect until August 31, 2018</t>
  </si>
  <si>
    <t>Specific Charge for Access to the Power Poles - $/pole/year (with the exception of wireless attachments) - in effect from January 1, 2019</t>
  </si>
  <si>
    <t>Alectra Utilities Corporation-Horizon Rate Zone_End</t>
  </si>
  <si>
    <t>Implementation Date March 1, 2018</t>
  </si>
  <si>
    <t>EB-2017-0048</t>
  </si>
  <si>
    <t>Rate Rider for Disposition of Group 2 Deferral/Variance Accounts - effective until February 28, 2019</t>
  </si>
  <si>
    <t>Rate Rider for Disposition of Station Refund - effective until February 28, 2019</t>
  </si>
  <si>
    <t>Rate Rider for Recovery of Foregone Revenue - effective until December 31, 2018</t>
  </si>
  <si>
    <t>Rate Rider for Disposition of Deferral/Variance Accounts (2018) - effective until February 28, 2019</t>
  </si>
  <si>
    <t>Specific charge for access to the power poles - $/pole/year                                                                             (with the exception of wireless attachments)</t>
  </si>
  <si>
    <t>EB-2017-0052</t>
  </si>
  <si>
    <t>Rate Rider for Disposition of Global Adjustment Account (2018) - effective until December 31, 2018 - Applicable only for Non-RPP Customers</t>
  </si>
  <si>
    <t>Rate Rider for Disposition of Deferral/Variance Accounts (2018) - effective until December 31, 2018 - Applicable only for Non-Wholesale Market Participants</t>
  </si>
  <si>
    <t>Rural or Remote Rate Protection Charge (RRRP)</t>
  </si>
  <si>
    <t xml:space="preserve">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</si>
  <si>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3_GENERAL SERVICE 50 TO 1,499 KW SERVICE CLASSIFICATION_Retail Transmission Rate - Line and Transformation Connection Service Rate</t>
  </si>
  <si>
    <t>4_GENERAL SERVICE 1,500 TO 4,999 KW SERVICE CLASSIFICATION</t>
  </si>
  <si>
    <t>4_GENERAL SERVICE 1,500 TO 4,999 KW SERVICE CLASSIFICATION_MSC</t>
  </si>
  <si>
    <t>4_GENERAL SERVICE 1,500 TO 4,999 KW SERVICE CLASSIFICATION_DVC</t>
  </si>
  <si>
    <t>4_GENERAL SERVICE 1,500 TO 4,999 KW SERVICE CLASSIFICATION_LV</t>
  </si>
  <si>
    <t>4_GENERAL SERVICE 1,500 TO 4,999 KW SERVICE CLASSIFICATION_GA_kwh</t>
  </si>
  <si>
    <t>4_GENERAL SERVICE 1,500 TO 4,999 KW SERVICE CLASSIFICATION_DEFVAR_ALL</t>
  </si>
  <si>
    <t>4_GENERAL SERVICE 1,500 TO 4,999 KW SERVICE CLASSIFICATION_Retail Transmission Rate - Network Service Rate</t>
  </si>
  <si>
    <t>4_GENERAL SERVICE 1,500 TO 4,999 KW SERVICE CLASSIFICATION_Retail Transmission Rate - Line and Transformation Connection Service Rate</t>
  </si>
  <si>
    <t>4_GENERAL SERVICE 1,500 TO 4,999 KW SERVICE CLASSIFICATION_WMSR</t>
  </si>
  <si>
    <t>4_GENERAL SERVICE 1,500 TO 4,999 KW SERVICE CLASSIFICATION_RRRP</t>
  </si>
  <si>
    <t>4_GENERAL SERVICE 1,500 TO 4,999 KW SERVICE CLASSIFICATION_SSS</t>
  </si>
  <si>
    <t>7_STANDBY POWER SERVICE CLASSIFICATION_MSC</t>
  </si>
  <si>
    <t>10_microFIT AND MICRO-NET-METERING SERVICE CLASSIFICATION</t>
  </si>
  <si>
    <t>10_microFIT AND MICRO-NET-METERING SERVICE CLASSIFICATION_MSC</t>
  </si>
  <si>
    <t>11_FIT SERVICE CLASSIFICATION</t>
  </si>
  <si>
    <t>11_FIT SERVICE CLASSIFICATION_MSC</t>
  </si>
  <si>
    <t>12_HCI, RESOP, OTHER ENERGY RESOURCE SERVICE CLASSIFICATION</t>
  </si>
  <si>
    <t>12_HCI, RESOP, OTHER ENERGY RESOURCE SERVICE CLASSIFICATION_MSC</t>
  </si>
  <si>
    <t>Energy resource facility administration charge - without account set up (one time)</t>
  </si>
  <si>
    <t>Energy resource facility administration charge - with account set up (one time)</t>
  </si>
  <si>
    <t>EB-2016-0085</t>
  </si>
  <si>
    <t>This classification refers to the supply of electrical energy to residential customers residing in detached, semi detached, townhouse (freehold or condominium) dwelling units, duplexes or triplexes. Supply will be limited up to a maximum of 200 amp @ 240/120 volt. Further servicing details are available in the distributor's Conditions of Service.</t>
  </si>
  <si>
    <t>1_RESIDENTIAL SERVICE CLASSIFICATION_FX_RR_118</t>
  </si>
  <si>
    <t>Rate Rider for Disposition of Group 2 Deferral/Variance Accounts (2017) - effective until April 30, 2020</t>
  </si>
  <si>
    <t>Rate Rider for Disposition of Deferral/Variance Accounts (2017) - effective until April 30, 2020</t>
  </si>
  <si>
    <t>Rate Rider for Disposition of Deferral/Variance Accounts (2017) - effective until April 30, 2020 - Applicable only for Non-Wholesale Market Participants</t>
  </si>
  <si>
    <t>This classification refers to a non-residential account taking electricity at 750 volts or less whose monthly peak demand is less than or expected to be less than 50 kW. Further servicing details are available in the distributor's Conditions of Service.</t>
  </si>
  <si>
    <t xml:space="preserve">Rate Rider for Disposition of Group 2 Deferral/Variance Accounts (2017) - effective until April 30, 2020 </t>
  </si>
  <si>
    <t>This classification refers to a non-residential account whose monthly average peak demand is equal to or greater than, or expected to be equal to or greater than 50 kW but less than 5,000 kW. Further servicing details are available in the distributor's Conditions of Service.</t>
  </si>
  <si>
    <t>This classification refers to a non-residential account taking electricity at 240/120 or 120 volts whose monthly peak demand is less than, or expected to be less than, 50kW and the consumption is unmetered. A detailed calculation of the load will be calculated for billing purposes. Further servicing details are available in the distributor's Conditions of Service.</t>
  </si>
  <si>
    <t>Rate Rider for Disposition of Group 2 Deferral/Variance Accounts (2017) - effective until April 30,  2020</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</si>
  <si>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Further servicing details are available in the distributor's Conditions of Service.</t>
  </si>
  <si>
    <t>Disconnect/reconnect charge - at meter - during regular hours</t>
  </si>
  <si>
    <t>Specific charge for access to the power poles - per pole/year</t>
  </si>
  <si>
    <t>EB-2017-0058</t>
  </si>
  <si>
    <t>EB-2017-0060</t>
  </si>
  <si>
    <t>EB-2017-0064</t>
  </si>
  <si>
    <t>Rate Rider for Recovery of Incremental Capital - in effect until the effective date of the next 
       cost of service-based rate order</t>
  </si>
  <si>
    <t>Credit check (plus credit agency costs)</t>
  </si>
  <si>
    <t>Rate Rider per Hydro One Network's Acquisition Agreement - effective until September 07, 2019</t>
  </si>
  <si>
    <t>Rate Rider for Application of Tax Change - in effect until the effective date of the next Cost of 
     Service Based Rate Order</t>
  </si>
  <si>
    <t>Rate Rider for Application of Tax Change - in effect until the effective date of the next Cost of 
     Service based Rate Order</t>
  </si>
  <si>
    <t>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billing adjustments. This rate rider is to be consistently applied for the entire period to the sunset date of the rate rider. In addition, this rate rider is applicable to all new non-RPP Class B customers.</t>
  </si>
  <si>
    <t>Rate Rider for Application of Tax Change - in effect until the effective date of the next Cost of
     Service based Rate Order</t>
  </si>
  <si>
    <t>6_STREET LIGHTING SERVICE CLASSIFICATION_VR_RR_603</t>
  </si>
  <si>
    <t>This classification applies to an electricity distributor licensed by the Ontario Energy Board, and provided electricity by means of Norfolk Power Distribution Inc.’s distribution facilities. Class B consumers are defined in accordance with O. Reg. 429/04.  Further servicing details are available in the distributor’s Conditions of Service.</t>
  </si>
  <si>
    <t>7_EMBEDDED DISTRIBUTOR SERVICE CLASSIFICATION_GA_kwh</t>
  </si>
  <si>
    <t>EB-2017-0062</t>
  </si>
  <si>
    <t>Rate Rider for Disposition of Lost Revenue Adjustment Mechanism Variance Account (LRAMVA) (2018) - effective until April 30, 2019</t>
  </si>
  <si>
    <t>Credit reference letter</t>
  </si>
  <si>
    <t>EB-2017-0067</t>
  </si>
  <si>
    <t>4_GENERAL SERVICE 1,000 KW AND GREATER SERVICE CLASSIFICATION</t>
  </si>
  <si>
    <t>4_GENERAL SERVICE 1,000 KW AND GREATER SERVICE CLASSIFICATION_MSC</t>
  </si>
  <si>
    <t>4_GENERAL SERVICE 1,000 KW AND GREATER SERVICE CLASSIFICATION_DVC</t>
  </si>
  <si>
    <t>4_GENERAL SERVICE 1,000 KW AND GREATER SERVICE CLASSIFICATION_LV</t>
  </si>
  <si>
    <t>4_GENERAL SERVICE 1,000 KW AND GREATER SERVICE CLASSIFICATION_Retail Transmission Rate - Network Service Rate - Interval Metered</t>
  </si>
  <si>
    <t>4_GENERAL SERVICE 1,000 KW AND GREATER SERVICE CLASSIFICATION_Retail Transmission Rate - Line and Transformation Connection Service Rate - Interval Metered</t>
  </si>
  <si>
    <t>4_GENERAL SERVICE 1,000 KW AND GREATER SERVICE CLASSIFICATION_WMSR</t>
  </si>
  <si>
    <t>4_GENERAL SERVICE 1,000 KW AND GREATER SERVICE CLASSIFICATION_RRRP</t>
  </si>
  <si>
    <t>4_GENERAL SERVICE 1,000 KW AND GREATER SERVICE CLASSIFICATION_SSS</t>
  </si>
  <si>
    <t>8_EMBEDDED DISTRIBUTOR SERVICE CLASSIFICATION_DVC</t>
  </si>
  <si>
    <t>EB-2017-0264</t>
  </si>
  <si>
    <t>Disconnect/reconnect for non payment of account - at meter during regular hours</t>
  </si>
  <si>
    <t>EB-2017-0069</t>
  </si>
  <si>
    <t>Rate Rider for Disposition of Global Adjustment Sub-Account (2015) - effective until December 31, 2019 (Applicable only for Non-RPP Customers)</t>
  </si>
  <si>
    <t>Rate Rider for Disposition of Group 1 Deferral/Variance Accounts (2018) - effective until December 31, 2018</t>
  </si>
  <si>
    <t>Rate Rider for Disposition of Account 1580, sub-account CBR Class B (2018) - effective until December 31, 2018</t>
  </si>
  <si>
    <t>Rate Rider for Disposition of Global Adjustment Account (2018) - effective until December 31, 2018 (Applicable only for Non-RPP Customers)</t>
  </si>
  <si>
    <t>Rate Rider for Disposition of Global Adjustment Sub-Account (2018) - effective until December 31, 2018 (Applicable only for Non-RPP Customers)</t>
  </si>
  <si>
    <t>This classification refers to a non-residential account whose monthly average peak demand is equal to or greater than 50 kW but less than 1,000 kW, or is forecast to be equal to or greater than 50 kW but less than 1,000 kW.  Note that for statistical purposes the following sub-classifications apply:
     - General Service 50 to 200 kW
     - General Service over 200 kW
Class B consumers are defined in accordance with O. Reg. 429/04. Further servicing details are available in the distributor’s Conditions of Service.</t>
  </si>
  <si>
    <t>3_GENERAL SERVICE 50 TO 999 KW SERVICE CLASSIFICATION_GA_kw</t>
  </si>
  <si>
    <t>Rate Rider for Disposition of Deferral/Variance Accounts (2018) - effective until December 31, 2018  (Applicable only for Non-Wholesale Market Participants)</t>
  </si>
  <si>
    <t>4_GENERAL SERVICE 1,000 TO 4,999 KW SERVICE CLASSIFICATION_GA_kw</t>
  </si>
  <si>
    <t>Returned cheque charge (plus bank charges)</t>
  </si>
  <si>
    <t>Late payment – per month</t>
  </si>
  <si>
    <t>Late payment – per annum</t>
  </si>
  <si>
    <t>Disconnect/reconnect at meter – during regular hours</t>
  </si>
  <si>
    <t>Disconnect/reconnect at meter – after regular hours</t>
  </si>
  <si>
    <t>Disconnect/reconnect at pole – during regular hours</t>
  </si>
  <si>
    <t>Disconnect/reconnect charge – at pole – after hours</t>
  </si>
  <si>
    <t>Install/remove load control device – during regular hours</t>
  </si>
  <si>
    <t>Install/remove load control device – after regular hours</t>
  </si>
  <si>
    <t>Rate Rider for Recovery of Smart Meter Incremental Revenue Requirement - in effect until the effective date of the next cost of service-based rate order</t>
  </si>
  <si>
    <t>1_RESIDENTIAL SERVICE CLASSIFICATION_FX_RR_148</t>
  </si>
  <si>
    <t>2_GENERAL SERVICE LESS THAN 50 KW SERVICE CLASSIFICATION_FX_RR_150</t>
  </si>
  <si>
    <t>EB-2017-0266</t>
  </si>
  <si>
    <t>Alectra Utilities Corporation-PowerStream Rate Zone</t>
  </si>
  <si>
    <t>Alectra Utilities Corporation-PowerStream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</si>
  <si>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Multi-unit residential establishments such as apartment buildings supplied through one service (bulk metered) shall be classified as general service.  Class B consumers are defined in accordance with O. Reg. 429/04.  Further servicing details are available in the distributor’s Conditions of Service.</t>
  </si>
  <si>
    <t>Rate Rider for Disposition of Group 2 Deferral/Variance Accounts (2016) – effective until September 30, 2018</t>
  </si>
  <si>
    <t>Rate Rider for Recovery of Stranded Meter Assets (2016) – effective until September 30, 2018</t>
  </si>
  <si>
    <t>1_RESIDENTIAL SERVICE CLASSIFICATION_FX_RR_154</t>
  </si>
  <si>
    <t>Rate Rider for Disposition of Global Adjustment Account (2016) - effective until  September 30, 2018
        Applicable only for Non-RPP Customers</t>
  </si>
  <si>
    <t>Rate Rider for Disposition of Deferral/Variance Accounts (2016) – effective until September 30, 2018</t>
  </si>
  <si>
    <t>Rate Rider for Disposition of Deferral/Variance Account – Power (2016) – effective until September 30, 2018</t>
  </si>
  <si>
    <t>Standard Supply Service – Administrative Charge (if applicable)</t>
  </si>
  <si>
    <t>This classification refers to a non-residential account taking electricity at 750 volts or less wheose monthly average peak demand is less than, or is forecast to be less than, 50 kW.  Class B consumers are defined in accordance with O. Reg. 429/04.  Further servicing details are available in the distributor’s Conditions of Service.</t>
  </si>
  <si>
    <t>Rate Rider for Disposition of Global Adjustment Account (2016) - effective until September 30, 2018
      Applicable only for Non-RPP Customers</t>
  </si>
  <si>
    <t>Rate Rider for Disposition of Global Adjustment Account (2018) - effective May 1, 2018 until April 30, 2019
      Applicable only for Non-RPP Customers</t>
  </si>
  <si>
    <t>Rate Rider for Disposition of Capacity Based Recovery Account (2018) - effective May 1, 2018 until April 30, 2019
      Applicable Only for Class  B Customers</t>
  </si>
  <si>
    <t>Rate Rider for Disposition of Lost Revenue Adjustment Mechanism Variance Account (LRAMVA) (2018) 
      - effective May 1, 2018 until April 30, 2019</t>
  </si>
  <si>
    <t>This classification refers to a non-residential account whose monthly average peak demand is equal to or greater than, or is forecast to be equal to or greater than, 50 kW but less than 5,000 kW, both regular and interval metered.  Class A and Class B consumers are defined in accordance with O. Reg. 429/04.  Further servicing details are available in the distributor’s Conditions of Service.</t>
  </si>
  <si>
    <t>Rate Rider for Disposition of Global Adjustment Account (2016) – effective until September 30, 2018
    Applicable only to non-RPP non-Interval Metered Customers</t>
  </si>
  <si>
    <t>Rate Rider for Disposition of Global Adjustment Account (2016) – effective until September 30, 2018
    Applicable only for Class B Interval Metered Customers at December 31, 2016</t>
  </si>
  <si>
    <t>September 30, 2018
    Applicable only for Class B Interval Metered Customers at December 31, 2016</t>
  </si>
  <si>
    <t>Rate Rider for Disposition of Global Adjustment Account (2018) - effective May 1, 2018 until  April 30, 2019
    Applicable only for Non-RPP Customers</t>
  </si>
  <si>
    <t>Rate Rider for Disposition of Deferral/Variance Accounts (2018) - effective May 1, 2018 until April 30, 2019
    Applicable only for Non-Wholesale Market Participants</t>
  </si>
  <si>
    <t>Rate Rider for Disposition of Capacity Based Recovery Account (2018) - effective May 1, 2018 until April 30, 2019
    Applicable Only for Class  B Customers</t>
  </si>
  <si>
    <t>Retail Transmission Rate - Line and Transformation Connection Service Rate – Interval Metered</t>
  </si>
  <si>
    <t xml:space="preserve">5_STANDBY POWER SERVICE CLASSIFICATION </t>
  </si>
  <si>
    <t xml:space="preserve">Standby Charge – for a month where standby power is not provided.  The charge is applied to the </t>
  </si>
  <si>
    <t>contracted amount (e.g. nameplate rating of generation facility).</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</si>
  <si>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</si>
  <si>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Rate Rider for Disposition of Global Adjustment Account (2016) – effective until September 30, 2018
        Applicable only for non-RPP Customers</t>
  </si>
  <si>
    <t>This classification refers to an unmetered lighting load supplied to a sentinel light.  Class B consumers are defined in accordance with O. Reg. 429/04.  Further servicing details are available in the distributor’s Conditions of Service.</t>
  </si>
  <si>
    <t>7_SENTINEL LIGHTING SERVICE CLASSIFICATION_GA_kw</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</si>
  <si>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</si>
  <si>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Rate Rider for Disposition of Global Adjustment Account (2016) – effective until September 30, 2018
        Applicable Only for Non-RPP Customers</t>
  </si>
  <si>
    <t>Install/remove load Control device - during regular hours</t>
  </si>
  <si>
    <t>Alectra Utilities Corporation-PowerStream Rate Zone_End</t>
  </si>
  <si>
    <t>EB-2017-0028</t>
  </si>
  <si>
    <t xml:space="preserve">        Easement letter</t>
  </si>
  <si>
    <t xml:space="preserve">        Credit reference/credit check (plus credit agency costs)</t>
  </si>
  <si>
    <t xml:space="preserve">        Late payment - per month</t>
  </si>
  <si>
    <t xml:space="preserve">        Late payment - per annum</t>
  </si>
  <si>
    <t xml:space="preserve">        Disconnect/reconnect at meter - during regular hours</t>
  </si>
  <si>
    <t xml:space="preserve">        Disconnect/reconnect at meter - after regular hours</t>
  </si>
  <si>
    <t xml:space="preserve">        Disconnect/reconnect at pole - during regular hours</t>
  </si>
  <si>
    <t xml:space="preserve">        Disconnect/reconnect at pole - after regular hours</t>
  </si>
  <si>
    <t xml:space="preserve">        Install/remove load control device - during regular hours</t>
  </si>
  <si>
    <t xml:space="preserve">        Install/remove load control device - after regular hours</t>
  </si>
  <si>
    <t xml:space="preserve">        Temporary service - install &amp; remove - underground - no transformer</t>
  </si>
  <si>
    <t xml:space="preserve">        Specific charge for access to the power poles - per pole/year
        (with the exception of wireless attachments)</t>
  </si>
  <si>
    <t xml:space="preserve">       up to twice a year</t>
  </si>
  <si>
    <t xml:space="preserve">       more than twice a year, per request (plus incremental delivery costs)</t>
  </si>
  <si>
    <t>EB-2017-0265</t>
  </si>
  <si>
    <t>Rate Rider for the 2018 Capital Funding
        - effective until the effective date of the next cost of service-based rate order</t>
  </si>
  <si>
    <t>Rate Rider for Disposition of Global Adjustment Account (2017) - effective until June 30, 2018
        Applicable only for Non-RPP Customers</t>
  </si>
  <si>
    <t>Rate Rider for Disposition of Lost Revenue Adjustment Mechanism Variance Account (LRAMVA) (2018) - 
        effective until April 30, 2019</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</si>
  <si>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</si>
  <si>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Rate Rider for Disposition of Lost Revenue Adjustment Mechanism Variance Account (LRAMVA) (2017) - 
        effective until June 30, 2018</t>
  </si>
  <si>
    <t xml:space="preserve">2_GENERAL SERVICE LESS THAN 50 KW SERVICE CLASSIFICATION_Retail Transmission Rate - Network Service Rate </t>
  </si>
  <si>
    <t xml:space="preserve">2_GENERAL SERVICE LESS THAN 50 KW SERVICE CLASSIFICATION_Retail Transmission Rate - Line and Transformation Connection Service Rate </t>
  </si>
  <si>
    <t>Rate Rider for Disposition of Global Adjustment Account (2017) - effective until June 30, 2018 
        Applicable only for Non-RPP Customers</t>
  </si>
  <si>
    <t xml:space="preserve">Rate Rider for Disposition of Global Adjustment Account (2017) - effective until June 30, 2018
        Applicable only for Non-RPP Customers </t>
  </si>
  <si>
    <t>Rate Rider for Disposition of Lost Revenue Adjustment Mechanism Variance Account (LRAMVA) (2018) - 
         effective until April 30, 2019</t>
  </si>
  <si>
    <t xml:space="preserve">      Arrears certificate </t>
  </si>
  <si>
    <t xml:space="preserve">Legal letter charge </t>
  </si>
  <si>
    <t xml:space="preserve">Disconnect/reconnect at meter - during regular hours </t>
  </si>
  <si>
    <t xml:space="preserve">Disconnect/reconnect at meter - after regular hours </t>
  </si>
  <si>
    <t xml:space="preserve">Disconnect/reconnect at pole - after regular hours </t>
  </si>
  <si>
    <t xml:space="preserve">Install/remove load control device - during regular hours </t>
  </si>
  <si>
    <t xml:space="preserve">Install/remove load control device - after regular hours </t>
  </si>
  <si>
    <t xml:space="preserve">      Specific charge for access to the power poles - per pole/year
      (with the exception of wireless attachments)</t>
  </si>
  <si>
    <t xml:space="preserve">Monthly fixed charge, per retailer </t>
  </si>
  <si>
    <t xml:space="preserve">Monthly variable charge, per customer, per retailer </t>
  </si>
  <si>
    <t>EB-2017-0074</t>
  </si>
  <si>
    <t>EB-2017-0034</t>
  </si>
  <si>
    <t>Rate Rider for Disposition of Global Adjustment Account (2018) - effective until April 30, 2020
      Applicable only for Non-RPP Customers</t>
  </si>
  <si>
    <t>Rate Rider for Disposition of Lost Revenue Adjustment Mechanism Variance Account (LRAMVA) (2018) - 
      effective until April 30, 2019</t>
  </si>
  <si>
    <t>Rate Rider for Disposition of Deferral/Variance Accounts (2018) - effective until April 30, 2020</t>
  </si>
  <si>
    <t>Rate Rider for Disposition of Capacity Based Recovery Account (2018) - effective until April 30, 2020 
      Applicable only for Class B Customers</t>
  </si>
  <si>
    <t>Rate Rider for Disposition of Lost Revenue Adjustment Mechanism Variance Account (LRAMVA) (2018) -
      effective until April 30, 2019</t>
  </si>
  <si>
    <t>Rate Rider for Disposition of Deferral/Variance Accounts (2018) - effective until April 30, 2020
      Applicable only for Non-Wholesale Market Participants</t>
  </si>
  <si>
    <t>Rate Rider for Disposition of Capacity Based Recovery Account (2018) - effective until April 30, 2020
      Applicable only for Class B Customers</t>
  </si>
  <si>
    <t>EB-2017-0066</t>
  </si>
  <si>
    <t>Rate Rider for Disposition of Global Adjustment Account (2017) - effective until April 30, 2019 - 
      Applicable only for Non-RPP Customers</t>
  </si>
  <si>
    <t>Rate Rider for Disposition of Lost Revenue Adjustment Mechanism Variance Account (LRAMVA) (2017)                                                                                                                                                                                                                       
      - effective until April 30, 2019</t>
  </si>
  <si>
    <t>Rate Rider for Disposition of Global Adjustment Account (2017) - effective until April 30, 2019 -           
      Applicable only for Non-RPP Customers</t>
  </si>
  <si>
    <t>Rate Rider for Disposition of Lost Revenue Adjustment Mechanism Variance Account (LRAMVA) (2017)                                                                                                                                                                                                                                 
     - effective until April 30, 2019</t>
  </si>
  <si>
    <t>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</si>
  <si>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Rate Rider for Disposition of Global Adjustment Account (2017) - effective until April 30, 2019 -
       Applicable only for Non-RPP Customers</t>
  </si>
  <si>
    <t>EB-2017-0063</t>
  </si>
  <si>
    <t>EB-2017-0072</t>
  </si>
  <si>
    <t>Late payment charge - per annum</t>
  </si>
  <si>
    <t>Rate Rider for Disposition of Capacity Based Recovery Account (2018) - effective until April 30, 2019 
     Applicable only for Class B Customers</t>
  </si>
  <si>
    <t>8_EMBEDDED DISTRIBUTOR SERVICE CLASSIFICATION_CBR</t>
  </si>
  <si>
    <t>EB-2017-0070</t>
  </si>
  <si>
    <t>1_RESIDENTIAL SERVICE CLASSIFICATION_FX_RR_194</t>
  </si>
  <si>
    <t>Rate Rider for Recovery of Lost Revenue Adjustment Mechanism (LRAM) costs 
- effective until June 30, 2018</t>
  </si>
  <si>
    <t>2_GENERAL SERVICE LESS THAN 50 KW SERVICE CLASSIFICATION_FX_RR_197</t>
  </si>
  <si>
    <t>Rate Rider for Disposition of Group 2 Deferral/Variance Accounts 
- effective until June 30, 2018</t>
  </si>
  <si>
    <t>4_SENTINEL LIGHTING SERVICE CLASSIFICATION_GA_kw</t>
  </si>
  <si>
    <t>4_SENTINEL LIGHTING SERVICE CLASSIFICATION_LRAM</t>
  </si>
  <si>
    <t>EB-2017-0059</t>
  </si>
  <si>
    <t>Rate Rider for Recovery of Advanced Capital Module (2018) - effective until the effective date of the next 
      cost of service-based rate order</t>
  </si>
  <si>
    <t>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</si>
  <si>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4_GENERAL SERVICE 1,000 TO 4,999 KW (CO-GENERATION) SERVICE CLASSIFICATION</t>
  </si>
  <si>
    <t>4_GENERAL SERVICE 1,000 TO 4,999 KW (CO-GENERATION) SERVICE CLASSIFICATION_MSC</t>
  </si>
  <si>
    <t>4_GENERAL SERVICE 1,000 TO 4,999 KW (CO-GENERATION) SERVICE CLASSIFICATION_DVC</t>
  </si>
  <si>
    <t>4_GENERAL SERVICE 1,000 TO 4,999 KW (CO-GENERATION) SERVICE CLASSIFICATION_GA_kwh</t>
  </si>
  <si>
    <t>4_GENERAL SERVICE 1,000 TO 4,999 KW (CO-GENERATION) SERVICE CLASSIFICATION_DEFVAR_ALL</t>
  </si>
  <si>
    <t>4_GENERAL SERVICE 1,000 TO 4,999 KW (CO-GENERATION) SERVICE CLASSIFICATION_Retail Transmission Rate - Network Service Rate</t>
  </si>
  <si>
    <t xml:space="preserve">4_GENERAL SERVICE 1,000 TO 4,999 KW (CO-GENERATION) SERVICE CLASSIFICATION_Retail Transmission Rate - Line and Transformation Connection Service Rate </t>
  </si>
  <si>
    <t>4_GENERAL SERVICE 1,000 TO 4,999 KW (CO-GENERATION) SERVICE CLASSIFICATION_WMSR</t>
  </si>
  <si>
    <t>4_GENERAL SERVICE 1,000 TO 4,999 KW (CO-GENERATION) SERVICE CLASSIFICATION_RRRP</t>
  </si>
  <si>
    <t>4_GENERAL SERVICE 1,000 TO 4,999 KW (CO-GENERATION) SERVICE CLASSIFICATION_SSS</t>
  </si>
  <si>
    <t>5_STANDBY POWER SERVICE CLASSIFICATION</t>
  </si>
  <si>
    <t>5_STANDBY POWER SERVICE CLASSIFICATION_DEFVAR_ALL</t>
  </si>
  <si>
    <t>5_STANDBY POWER SERVICE CLASSIFICATION_GA_kwh</t>
  </si>
  <si>
    <t xml:space="preserve">7_STREET LIGHTING SERVICE CLASSIFICATION_Retail Transmission Rate - Line and Transformation Connection Service Rate </t>
  </si>
  <si>
    <t>9_UNMETERED SCATTERED LOAD SERVICE CLASSIFICATION_GA_kwh</t>
  </si>
  <si>
    <t>Cellular meter read charge</t>
  </si>
  <si>
    <t>EB-2017-0055</t>
  </si>
  <si>
    <t xml:space="preserve">Rural or Remote Electricity Rate Protection Charge (RRRP) </t>
  </si>
  <si>
    <t>6_MRC</t>
  </si>
  <si>
    <t>Standby Charges are based on applicable monthly General Service &lt; 50kW,  General Service &gt; 50kW to 4,999 kW or Large Use Distribution Volumetric Charges, depending on the rate classification of the generator host facility.</t>
  </si>
  <si>
    <t>In the case where utility grade metering is not installed on the generator, Distribution Charges on the generator host facility’s load account will be determined by multiplying the peak hourly delivered load as measured by the load account meter in kW by applicable variable charges for the rate class. Standby Charges are determined by multiplying the nameplate capacity of the behind the meter generator in KW by applicable Standby Power charges in each month.</t>
  </si>
  <si>
    <t xml:space="preserve">This type of scenario is preferable for our customers if the generator is a “baseload” or “24-7-365” generator such as a fuel cell CHP unit or pressure-drop turbine unit. It may also be preferable to the customer where the cost of utility grade metering is high or the size of the generator is very small relative to the demand of the host load customer. </t>
  </si>
  <si>
    <t>In the case where utility grade metering is installed on the generator, 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</si>
  <si>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 xml:space="preserve">This type of scenario is preferable for customers who wish to use generators or electricity storage facilities to participate in provincial conservation initiatives such as the IESO’s Demand Response or Industrial Conservation Initiatives, or reduce kWh consumption to contribute towards Kingston Hydro’s 2020 Conservation Targets, but are not able to operate their generators “24-7-365”.
</t>
  </si>
  <si>
    <t xml:space="preserve">     Disconnect/reconnect at meter - during regular hours</t>
  </si>
  <si>
    <t xml:space="preserve">     Disconnect/reconnect at meter - after regular hours</t>
  </si>
  <si>
    <t xml:space="preserve">     Disconnect/reconnect at pole - during regular hours</t>
  </si>
  <si>
    <t xml:space="preserve">     Disconnect/reconnect at pole - after regular hours</t>
  </si>
  <si>
    <t xml:space="preserve">     Specific charge for access to the power poles (with the exception of wireless connections) - $/pole/year</t>
  </si>
  <si>
    <t>EB-2017-0057</t>
  </si>
  <si>
    <t>EB-2017-0061</t>
  </si>
  <si>
    <t>Rate Rider for Recovery of Foregone Revenue - effective until April 30, 2019</t>
  </si>
  <si>
    <t>3_GENERAL SERVICE 50 TO 999 KW SERVICE CLASSIFICATION_MDC</t>
  </si>
  <si>
    <t>4_GENERAL SERVICE 1,000 TO 4,999 KW SERVICE CLASSIFICATION_MDC</t>
  </si>
  <si>
    <t>5_LARGE USE SERVICE CLASSIFICATION_MDC</t>
  </si>
  <si>
    <t>Rate Rider for Recovery of Foregone Revenue (per account) - effective until April 30, 2019</t>
  </si>
  <si>
    <t>Disconnect/reconnect for non payment of account - at meter after regular hours</t>
  </si>
  <si>
    <t>EB-2017-0068</t>
  </si>
  <si>
    <t>EB-2017-0077</t>
  </si>
  <si>
    <t>Rate Rider for Application of Operations Center Consolidation Plan Sharing 
     - effective until December 31, 2018</t>
  </si>
  <si>
    <t>Rate Rider for Recovery of the Gain on the Sale of Named Properties 
     - effective until December 31, 2019</t>
  </si>
  <si>
    <t>Rate Rider for Recovery of Hydro One Capital Contributions Variance 
    - effective until December 31, 2019</t>
  </si>
  <si>
    <t>1_RESIDENTIAL SERVICE CLASSIFICATION_FX_RR_230</t>
  </si>
  <si>
    <t>Rate Rider for Disposition of Global Adjustment Account (2018) 
    - effective until December 31, 2018 (Applicable only for Non-RPP Customers)</t>
  </si>
  <si>
    <t>Rate Rider for Disposition of Lost Revenue Adjustment Mechanism Variance Account (LRAMVA) 
     (2018) - effective until December 31, 2018</t>
  </si>
  <si>
    <t>Rate Rider for Disposition of Deferral/Variance Accounts (2018) 
     - effective until December 31, 2018</t>
  </si>
  <si>
    <t>Rate Rider for Disposition of Capacity Based Recovery Account (2018) 
     - effective until December 31, 2018 Applicable only for Class B Customers</t>
  </si>
  <si>
    <t>Rate Rider for Recovery of Hydro One Capital Contributions Variance 
     - effective until December 31, 2019</t>
  </si>
  <si>
    <t>2_COMPETITIVE SECTOR MULTI-UNIT RESIDENTIAL SERVICE CLASSIFICATION_FX_RR_238</t>
  </si>
  <si>
    <t>Rate Rider for Disposition of Global Adjustment Account (2018) 
     - effective until December 31, 2018 (Applicable only for Non-RPP Customers)</t>
  </si>
  <si>
    <t>2_COMPETITIVE SECTOR MULTI-UNIT RESIDENTIAL SERVICE CLASSIFICATION_GA_kwh</t>
  </si>
  <si>
    <t>2_COMPETITIVE SECTOR MULTI-UNIT RESIDENTIAL SERVICE CLASSIFICATION_LRAM</t>
  </si>
  <si>
    <t>Rate Rider for Disposition of Capacity Based Recovery Account (2018) 
     - effective until December 31, 2018 (Applicable only for Class B Customers)</t>
  </si>
  <si>
    <t>2_COMPETITIVE SECTOR MULTI-UNIT RESIDENTIAL SERVICE CLASSIFICATION_CBR</t>
  </si>
  <si>
    <t>2_COMPETITIVE SECTOR MULTI-UNIT RESIDENTIAL SERVICE CLASSIFICATION_RRRP</t>
  </si>
  <si>
    <t>2_COMPETITIVE SECTOR MULTI-UNIT RESIDENTIAL SERVICE CLASSIFICATION_SSS</t>
  </si>
  <si>
    <t>3_GENERAL SERVICE LESS THAN 50 KW SERVICE CLASSIFICATION_SMA</t>
  </si>
  <si>
    <t>3_GENERAL SERVICE LESS THAN 50 KW SERVICE CLASSIFICATION_LRAM</t>
  </si>
  <si>
    <t>4_GENERAL SERVICE 50 TO 999 KW SERVICE CLASSIFICATION</t>
  </si>
  <si>
    <t>4_GENERAL SERVICE 50 TO 999 KW SERVICE CLASSIFICATION_MSC</t>
  </si>
  <si>
    <t>4_GENERAL SERVICE 50 TO 999 KW SERVICE CLASSIFICATION_SMA</t>
  </si>
  <si>
    <t>4_GENERAL SERVICE 50 TO 999 KW SERVICE CLASSIFICATION_DVC</t>
  </si>
  <si>
    <t>4_GENERAL SERVICE 50 TO 999 KW SERVICE CLASSIFICATION_CBR</t>
  </si>
  <si>
    <t>4_GENERAL SERVICE 50 TO 999 KW SERVICE CLASSIFICATION_GA_kwh</t>
  </si>
  <si>
    <t>4_GENERAL SERVICE 50 TO 999 KW SERVICE CLASSIFICATION_LRAM</t>
  </si>
  <si>
    <t>Rate Rider for Disposition of Deferral/Variance Accounts (2018) 
     - effective until December 31, 2018 (Applicable only for Non-Wholesale Market Participants)</t>
  </si>
  <si>
    <t>4_GENERAL SERVICE 50 TO 999 KW SERVICE CLASSIFICATION_DEFVAR_ALL</t>
  </si>
  <si>
    <t>4_GENERAL SERVICE 50 TO 999 KW SERVICE CLASSIFICATION_Retail Transmission Rate - Network Service Rate</t>
  </si>
  <si>
    <t>4_GENERAL SERVICE 50 TO 999 KW SERVICE CLASSIFICATION_Retail Transmission Rate - Line and Transformation Connection Service Rate</t>
  </si>
  <si>
    <t>4_GENERAL SERVICE 50 TO 999 KW SERVICE CLASSIFICATION_WMSR</t>
  </si>
  <si>
    <t>4_GENERAL SERVICE 50 TO 999 KW SERVICE CLASSIFICATION_RRRP</t>
  </si>
  <si>
    <t>4_GENERAL SERVICE 50 TO 999 KW SERVICE CLASSIFICATION_SSS</t>
  </si>
  <si>
    <t>5_GENERAL SERVICE 1,000 TO 4,999 KW SERVICE CLASSIFICATION</t>
  </si>
  <si>
    <t>5_GENERAL SERVICE 1,000 TO 4,999 KW SERVICE CLASSIFICATION_MSC</t>
  </si>
  <si>
    <t>5_GENERAL SERVICE 1,000 TO 4,999 KW SERVICE CLASSIFICATION_DVC</t>
  </si>
  <si>
    <t>5_GENERAL SERVICE 1,000 TO 4,999 KW SERVICE CLASSIFICATION_CBR</t>
  </si>
  <si>
    <t>5_GENERAL SERVICE 1,000 TO 4,999 KW SERVICE CLASSIFICATION_GA_kwh</t>
  </si>
  <si>
    <t>Rate Rider for Disposition of Lost Revenue Adjustment Mechanism Variance Account (LRAMVA) 
    (2018) - effective until December 31, 2018</t>
  </si>
  <si>
    <t>5_GENERAL SERVICE 1,000 TO 4,999 KW SERVICE CLASSIFICATION_LRAM</t>
  </si>
  <si>
    <t>Rate Rider for Disposition of Deferral/Variance Accounts (2018) 
     - effective until December 31, 2018 (pplicable only for Non-Wholesale Market Participants)</t>
  </si>
  <si>
    <t>5_GENERAL SERVICE 1,000 TO 4,999 KW SERVICE CLASSIFICATION_DEFVAR_ALL</t>
  </si>
  <si>
    <t>5_GENERAL SERVICE 1,000 TO 4,999 KW SERVICE CLASSIFICATION_Retail Transmission Rate - Network Service Rate</t>
  </si>
  <si>
    <t>5_GENERAL SERVICE 1,000 TO 4,999 KW SERVICE CLASSIFICATION_Retail Transmission Rate - Line and Transformation Connection Service Rate</t>
  </si>
  <si>
    <t>5_GENERAL SERVICE 1,000 TO 4,999 KW SERVICE CLASSIFICATION_WMSR</t>
  </si>
  <si>
    <t>5_GENERAL SERVICE 1,000 TO 4,999 KW SERVICE CLASSIFICATION_RRRP</t>
  </si>
  <si>
    <t>5_GENERAL SERVICE 1,000 TO 4,999 KW SERVICE CLASSIFICATION_SSS</t>
  </si>
  <si>
    <t>Rate Rider for Disposition of Capacity Based Recovery Account (2018) 
    - effective until December 31, 2018 (Applicable only for Class B Customers)</t>
  </si>
  <si>
    <t>6_LARGE USE SERVICE CLASSIFICATION_CBR</t>
  </si>
  <si>
    <t>Rate Rider for Disposition of Post Employment Benefit - Tax Savings 
    - effective until December 31, 2018</t>
  </si>
  <si>
    <t>8_UNMETERED SCATTERED LOAD SERVICE CLASSIFICATION_CC</t>
  </si>
  <si>
    <t>Rate Rider for Recovery of 2015 Foregone Revenue (per connection) 
    - effective until December 31, 2019</t>
  </si>
  <si>
    <t>Rate Rider for Recovery of 2016 Foregone Revenue (per connection) 
     - effective until December 31, 2019</t>
  </si>
  <si>
    <t>Rate Rider for Disposition of Capacity Based Recovery Account (2018)
    - effective until December 31, 2018 (Applicable only for Class B Customers)</t>
  </si>
  <si>
    <t>Request for other billing or system information</t>
  </si>
  <si>
    <t>Specific charge for access to the power poles (wireline attachments) - per pole/year</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</si>
  <si>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</si>
  <si>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</si>
  <si>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</si>
  <si>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</si>
  <si>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EB-2017-0075</t>
  </si>
  <si>
    <t>This classification refers to a non-residential account whose monthly average peak demand is equal to or greater than, or is forecast to be equal to or greater than, 50 kW but less than 1,000 kW. This class includes medium and large-size commercial buildings, apartment buildings, condominiums, trailer courts, industrial plants, as well as large stores, shopping centers, hospitals, manufacturing or processing plants, garages, storage buildings, hotels, motels, schools, colleges, arenas and other comparable premises.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Class A and Class B consumers are defined in accordance with O. Reg. 429/04. Further servicing details are available in the distributor’s Conditions of Service.</t>
  </si>
  <si>
    <t xml:space="preserve">3_GENERAL SERVICE 50 TO 999 KW SERVICE CLASSIFICATION_Retail Transmission Rate - Line and Transformation Connection Service Rate </t>
  </si>
  <si>
    <t xml:space="preserve">3_GENERAL SERVICE 50 TO 999 KW SERVICE CLASSIFICATION_Retail Transmission Rate - Line and Transformation Connection Service Rate - Interval Metered </t>
  </si>
  <si>
    <t>4_GENERAL SERVICE 1,000 KW OR GREATER SERVICE CLASSIFICATION</t>
  </si>
  <si>
    <t>4_GENERAL SERVICE 1,000 KW OR GREATER SERVICE CLASSIFICATION_MSC</t>
  </si>
  <si>
    <t>4_GENERAL SERVICE 1,000 KW OR GREATER SERVICE CLASSIFICATION_DVC</t>
  </si>
  <si>
    <t>4_GENERAL SERVICE 1,000 KW OR GREATER SERVICE CLASSIFICATION_GA_kwh</t>
  </si>
  <si>
    <t>4_GENERAL SERVICE 1,000 KW OR GREATER SERVICE CLASSIFICATION_DEFVAR_ALL</t>
  </si>
  <si>
    <t>4_GENERAL SERVICE 1,000 KW OR GREATER SERVICE CLASSIFICATION_CBR</t>
  </si>
  <si>
    <t>4_GENERAL SERVICE 1,000 KW OR GREATER SERVICE CLASSIFICATION_Retail Transmission Rate - Network Service Rate</t>
  </si>
  <si>
    <t xml:space="preserve">4_GENERAL SERVICE 1,000 KW OR GREATER SERVICE CLASSIFICATION_Retail Transmission Rate - Line and Transformation Connection Service Rate </t>
  </si>
  <si>
    <t>4_GENERAL SERVICE 1,000 KW OR GREATER SERVICE CLASSIFICATION_WMSR</t>
  </si>
  <si>
    <t>4_GENERAL SERVICE 1,000 KW OR GREATER SERVICE CLASSIFICATION_RRRP</t>
  </si>
  <si>
    <t>4_GENERAL SERVICE 1,000 KW OR GREATER SERVICE CLASSIFICATION_SSS</t>
  </si>
  <si>
    <t xml:space="preserve">5_UNMETERED SCATTERED LOAD SERVICE CLASSIFICATION_Retail Transmission Rate - Line and Transformation Connection Service Rate </t>
  </si>
  <si>
    <t xml:space="preserve">6_SENTINEL LIGHTING SERVICE CLASSIFICATION_Retail Transmission Rate - Line and Transformation Connection Service Rate </t>
  </si>
  <si>
    <t>Monthlyfixed charge, per retailer</t>
  </si>
  <si>
    <t xml:space="preserve">Total Loss Factor - Secondary Metered Customer </t>
  </si>
  <si>
    <t>Total Loss Factor - Primary Metered Customer</t>
  </si>
  <si>
    <t>EB-2017-0079</t>
  </si>
  <si>
    <t>EB-2017-0076</t>
  </si>
  <si>
    <t>EB-2017-0080</t>
  </si>
  <si>
    <t>Rate Rider for Disposition of Capacity Based Recovery Account (2018) - effective until December 31, 2018 
      Applicable only for Class B Customers</t>
  </si>
  <si>
    <t>EB-2017-0081</t>
  </si>
  <si>
    <t>Welland Hydro-Electric System Corp._ALLOWANCES</t>
  </si>
  <si>
    <t>Welland Hydro-Electric System Corp._SSC</t>
  </si>
  <si>
    <t>Welland Hydro-Electric System Corp._CA</t>
  </si>
  <si>
    <t>Welland Hydro-Electric System Corp._NPoA</t>
  </si>
  <si>
    <t>Disconnect/Reconnect at meter - during regular hours</t>
  </si>
  <si>
    <t>Disconnect/Reconnect at meter - after regular hours</t>
  </si>
  <si>
    <t>Welland Hydro-Electric System Corp._RSC</t>
  </si>
  <si>
    <t>Welland Hydro-Electric System Corp._LFs</t>
  </si>
  <si>
    <t>EB-2017-0082</t>
  </si>
  <si>
    <t>Rate Rider for Recovery of Advanced Capital Module (2018) - effective until the effective date of the
       next cost of service-based rate order</t>
  </si>
  <si>
    <t>Rate Rider for Recovery of Advanced Capital Module (2018) - effective until the effective date of the
      next cost of service-based rate order</t>
  </si>
  <si>
    <t>EB-2017-0083</t>
  </si>
  <si>
    <t>4_GENERAL SERVICE 500 TO 4,999 KW SERVICE CLASSIFICATION_Retail Transmission Rate - Network Service Rate</t>
  </si>
  <si>
    <t>4_GENERAL SERVICE 500 TO 4,999 KW SERVICE CLASSIFICATION_Retail Transmission Rate - Line and Transformation Connection Service Rate</t>
  </si>
  <si>
    <t>Disconnect/reconnect at Meter - during regular hours</t>
  </si>
  <si>
    <t>Disconnect/reconnect at Meter - after regular hours</t>
  </si>
  <si>
    <t>Disconnect/reconnect at Pole - during regular hours</t>
  </si>
  <si>
    <t>EB-2017-0085/EB-2017-0292</t>
  </si>
  <si>
    <t>Rate Rider for Disposition of Group Two Deferral/Variance Accounts (2018) - effective until December 31, 2018</t>
  </si>
  <si>
    <t>The rate rider for the disposition of WMS - Sub-account CBR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in for the entire period to the sunset date of the rate rider.  In addition, this rate rider is applicable to all new Class B customers.</t>
  </si>
  <si>
    <t>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</si>
  <si>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Rate Rider per Hydro One Network's Acquisition Agreement - effective until October 30, 2020</t>
  </si>
  <si>
    <t>Rate Rider for Recovery of Smart Meter Incremental Revenue Requirement - in effect until the 
     effective date of the next cost of service based rate order</t>
  </si>
  <si>
    <t>Rate Rider for Disposition of Capacity Based Recovery Account (2018) - effective until April 30, 2019  
     Applicable only for Class B Customers</t>
  </si>
  <si>
    <t>Rate Rider for Recovery of Incremental Capital - in effect until the effective date of the next cost of
     service based rate order</t>
  </si>
  <si>
    <t>Rate Rider for Recovery of Incremental Capital - in effect until the effective date of the next cost of 
     service based rate order</t>
  </si>
  <si>
    <t>4_GENERAL SERVICE GREATER THAN 1,000 KW SERVICE CLASSIFICATION</t>
  </si>
  <si>
    <t>4_GENERAL SERVICE GREATER THAN 1,000 KW SERVICE CLASSIFICATION_MSC</t>
  </si>
  <si>
    <t>4_GENERAL SERVICE GREATER THAN 1,000 KW SERVICE CLASSIFICATION_DVC</t>
  </si>
  <si>
    <t>Rate Rider for Disposition of Capacity Based Recovery Account (2018) - effective until April 30, 2019
     Applicable only for Class B Customers</t>
  </si>
  <si>
    <t>4_GENERAL SERVICE GREATER THAN 1,000 KW SERVICE CLASSIFICATION_CBR</t>
  </si>
  <si>
    <t>4_GENERAL SERVICE GREATER THAN 1,000 KW SERVICE CLASSIFICATION_GA_kwh</t>
  </si>
  <si>
    <t>4_GENERAL SERVICE GREATER THAN 1,000 KW SERVICE CLASSIFICATION_DEFVAR_ALL</t>
  </si>
  <si>
    <t>Rate Rider for Recovery of Incremental Capital - in effect until the effective date of the next cost of
      service based rate order</t>
  </si>
  <si>
    <t>4_GENERAL SERVICE GREATER THAN 1,000 KW SERVICE CLASSIFICATION_Retail Transmission Rate - Network Service Rate</t>
  </si>
  <si>
    <t>4_GENERAL SERVICE GREATER THAN 1,000 KW SERVICE CLASSIFICATION_Retail Transmission Rate - Line and Transformation Connection Service Rate</t>
  </si>
  <si>
    <t>4_GENERAL SERVICE GREATER THAN 1,000 KW SERVICE CLASSIFICATION_WMSR</t>
  </si>
  <si>
    <t>4_GENERAL SERVICE GREATER THAN 1,000 KW SERVICE CLASSIFICATION_RRRP</t>
  </si>
  <si>
    <t>4_GENERAL SERVICE GREATER THAN 1,000 KW SERVICE CLASSIFICATION_SSS</t>
  </si>
  <si>
    <t>Install /remove load control device - during regular hours</t>
  </si>
  <si>
    <t>Install /remove load control device - after regular hours</t>
  </si>
  <si>
    <r>
      <t>Disposition and Recovery/Refund of Regulatory Balances (2016)</t>
    </r>
    <r>
      <rPr>
        <vertAlign val="superscript"/>
        <sz val="11"/>
        <rFont val="Arial"/>
        <family val="2"/>
      </rPr>
      <t>3</t>
    </r>
  </si>
  <si>
    <r>
      <t>Disposition and Recovery/Refund of Regulatory Balances (2017)</t>
    </r>
    <r>
      <rPr>
        <vertAlign val="superscript"/>
        <sz val="11"/>
        <rFont val="Arial"/>
        <family val="2"/>
      </rPr>
      <t>3</t>
    </r>
  </si>
  <si>
    <r>
      <t>Disposition and Recovery/Refund of Regulatory Balances (2018)</t>
    </r>
    <r>
      <rPr>
        <vertAlign val="superscript"/>
        <sz val="11"/>
        <rFont val="Arial"/>
        <family val="2"/>
      </rPr>
      <t xml:space="preserve">3
</t>
    </r>
    <r>
      <rPr>
        <i/>
        <sz val="11"/>
        <color rgb="FFFF0000"/>
        <rFont val="Arial"/>
        <family val="2"/>
      </rPr>
      <t>Not to be disposed of until a year after rate rider has expired and that balance has been audited</t>
    </r>
  </si>
  <si>
    <r>
      <t xml:space="preserve">1595 Recovery Proportion (2017) </t>
    </r>
    <r>
      <rPr>
        <b/>
        <vertAlign val="superscript"/>
        <sz val="10"/>
        <rFont val="Arial"/>
        <family val="2"/>
      </rPr>
      <t>1</t>
    </r>
  </si>
  <si>
    <r>
      <t xml:space="preserve">1595 Recovery Proportion (2018) </t>
    </r>
    <r>
      <rPr>
        <b/>
        <vertAlign val="superscript"/>
        <sz val="10"/>
        <rFont val="Arial"/>
        <family val="2"/>
      </rPr>
      <t>1</t>
    </r>
  </si>
  <si>
    <t>1595_(2017)</t>
  </si>
  <si>
    <t>1595_(2018)</t>
  </si>
  <si>
    <t>RRRP Credit</t>
  </si>
  <si>
    <t>Smart Meter Entity Charge (if applicable)</t>
  </si>
  <si>
    <t>Transactions Debit / (Credit) during 2012</t>
  </si>
  <si>
    <r>
      <t>Principal Adjustments</t>
    </r>
    <r>
      <rPr>
        <b/>
        <vertAlign val="superscript"/>
        <sz val="10"/>
        <rFont val="Book Antiqua"/>
        <family val="1"/>
      </rPr>
      <t>1</t>
    </r>
    <r>
      <rPr>
        <b/>
        <sz val="10"/>
        <rFont val="Book Antiqua"/>
        <family val="1"/>
      </rPr>
      <t xml:space="preserve"> during 2012</t>
    </r>
  </si>
  <si>
    <t>Transactions Debit / (Credit) during 2013</t>
  </si>
  <si>
    <t>Transactions Debit / (Credit) during 2014</t>
  </si>
  <si>
    <t>Transactions Debit / (Credit) during 2015</t>
  </si>
  <si>
    <t>Interest Jan 1 to Dec 31, 2015</t>
  </si>
  <si>
    <r>
      <t>Interest Adjustments</t>
    </r>
    <r>
      <rPr>
        <b/>
        <vertAlign val="superscript"/>
        <sz val="10"/>
        <rFont val="Book Antiqua"/>
        <family val="1"/>
      </rPr>
      <t>1</t>
    </r>
    <r>
      <rPr>
        <b/>
        <sz val="10"/>
        <rFont val="Book Antiqua"/>
        <family val="1"/>
      </rPr>
      <t xml:space="preserve"> during 2015</t>
    </r>
  </si>
  <si>
    <t>Transactions Debit / (Credit) during 2016</t>
  </si>
  <si>
    <r>
      <t>Principal Adjustments</t>
    </r>
    <r>
      <rPr>
        <b/>
        <vertAlign val="superscript"/>
        <sz val="10"/>
        <rFont val="Book Antiqua"/>
        <family val="1"/>
      </rPr>
      <t>1</t>
    </r>
    <r>
      <rPr>
        <b/>
        <sz val="10"/>
        <rFont val="Book Antiqua"/>
        <family val="1"/>
      </rPr>
      <t xml:space="preserve"> during 2016</t>
    </r>
  </si>
  <si>
    <r>
      <t>Interest Adjustments</t>
    </r>
    <r>
      <rPr>
        <b/>
        <vertAlign val="superscript"/>
        <sz val="10"/>
        <rFont val="Book Antiqua"/>
        <family val="1"/>
      </rPr>
      <t xml:space="preserve">1 </t>
    </r>
    <r>
      <rPr>
        <b/>
        <sz val="10"/>
        <rFont val="Book Antiqua"/>
        <family val="1"/>
      </rPr>
      <t>during 2016</t>
    </r>
  </si>
  <si>
    <t>Opening Principal Amounts as of Jan 1, 2017</t>
  </si>
  <si>
    <t>Transactions Debit / (Credit) during 2017</t>
  </si>
  <si>
    <t>OEB-Approved Disposition during 2017</t>
  </si>
  <si>
    <r>
      <t>Principal Adjustments</t>
    </r>
    <r>
      <rPr>
        <b/>
        <vertAlign val="superscript"/>
        <sz val="10"/>
        <rFont val="Book Antiqua"/>
        <family val="1"/>
      </rPr>
      <t>1</t>
    </r>
    <r>
      <rPr>
        <b/>
        <sz val="10"/>
        <rFont val="Book Antiqua"/>
        <family val="1"/>
      </rPr>
      <t xml:space="preserve"> during 2017</t>
    </r>
  </si>
  <si>
    <t>Closing Principal Balance as of Dec 31, 2017</t>
  </si>
  <si>
    <t>Opening Interest Amounts as of Jan 1, 2017</t>
  </si>
  <si>
    <t>Interest Jan 1 to Dec 31, 2017</t>
  </si>
  <si>
    <r>
      <t>Interest Adjustments</t>
    </r>
    <r>
      <rPr>
        <b/>
        <vertAlign val="superscript"/>
        <sz val="10"/>
        <rFont val="Book Antiqua"/>
        <family val="1"/>
      </rPr>
      <t>1</t>
    </r>
    <r>
      <rPr>
        <b/>
        <sz val="10"/>
        <rFont val="Book Antiqua"/>
        <family val="1"/>
      </rPr>
      <t xml:space="preserve"> during 2017</t>
    </r>
  </si>
  <si>
    <t>Closing Interest Amounts as of Dec 31, 2017</t>
  </si>
  <si>
    <t>Principal Disposition during 2018 - instructed by OEB</t>
  </si>
  <si>
    <t>Interest Disposition during 2018 - instructed by OEB</t>
  </si>
  <si>
    <t>Projected Interest on Dec-31-17 Balances</t>
  </si>
  <si>
    <t>As of Dec 31, 2017</t>
  </si>
  <si>
    <r>
      <t xml:space="preserve">Variance                           RRR vs. 2017 Balance                        </t>
    </r>
    <r>
      <rPr>
        <b/>
        <i/>
        <sz val="10"/>
        <rFont val="Book Antiqua"/>
        <family val="1"/>
      </rPr>
      <t>(Principal + Interest)</t>
    </r>
  </si>
  <si>
    <t>Closing Interest Balances as of Dec 31, 2017 Adjusted for Disposition during 2018</t>
  </si>
  <si>
    <r>
      <t xml:space="preserve">Projected Interest from Jan 1, 2018 to Dec 31, 2018 on Dec 31, 2017 balance adjusted for disposition during 2018 </t>
    </r>
    <r>
      <rPr>
        <b/>
        <vertAlign val="superscript"/>
        <sz val="10"/>
        <rFont val="Book Antiqua"/>
        <family val="1"/>
      </rPr>
      <t>2</t>
    </r>
  </si>
  <si>
    <r>
      <t xml:space="preserve">Projected Interest from Jan 1, 2019 to Apr 30, 2019 on Dec 31, 2017 balance adjusted for disposition during 2018 </t>
    </r>
    <r>
      <rPr>
        <b/>
        <vertAlign val="superscript"/>
        <sz val="11"/>
        <rFont val="Book Antiqua"/>
        <family val="1"/>
      </rPr>
      <t>2</t>
    </r>
  </si>
  <si>
    <t>Closing Principal Balances as of Dec 31, 2017 Adjusted for Disposition during 2018</t>
  </si>
  <si>
    <t>Time run: 5/10/2018 3:50:43 PM</t>
  </si>
  <si>
    <t>Alectra Utilities Corporation1595_(2017)</t>
  </si>
  <si>
    <t>Algoma Power Inc.1595_(2017)</t>
  </si>
  <si>
    <t>Atikokan Hydro Inc.1595_(2017)</t>
  </si>
  <si>
    <t>Bluewater Power Distribution Corporation1595_(2017)</t>
  </si>
  <si>
    <t>Brantford Power Inc.1595_(2017)</t>
  </si>
  <si>
    <t>Burlington Hydro Inc.1595_(2017)</t>
  </si>
  <si>
    <t>Canadian Niagara Power Inc.1595_(2017)</t>
  </si>
  <si>
    <t>Centre Wellington Hydro Ltd.1595_(2017)</t>
  </si>
  <si>
    <t>Chapleau Public Utilities Corporation1595_(2017)</t>
  </si>
  <si>
    <t>Collus PowerStream Corp.1595_(2017)</t>
  </si>
  <si>
    <t>Cooperative Hydro Embrun Inc.1595_(2017)</t>
  </si>
  <si>
    <t>E.L.K. Energy Inc.1595_(2017)</t>
  </si>
  <si>
    <t>EnWin Utilities Ltd.1595_(2017)</t>
  </si>
  <si>
    <t>Energy Plus Inc.1595_(2017)</t>
  </si>
  <si>
    <t>Entegrus Powerlines Inc.1595_(2017)</t>
  </si>
  <si>
    <t>Erie Thames Powerlines Corporation1595_(2017)</t>
  </si>
  <si>
    <t>Espanola Regional Hydro Distribution Corporation1595_(2017)</t>
  </si>
  <si>
    <t>Essex Powerlines Corporation1595_(2017)</t>
  </si>
  <si>
    <t>Festival Hydro Inc.1595_(2017)</t>
  </si>
  <si>
    <t>Fort Frances Power Corporation1595_(2017)</t>
  </si>
  <si>
    <t>Greater Sudbury Hydro Inc.1595_(2017)</t>
  </si>
  <si>
    <t>Grimsby Power Incorporated1595_(2017)</t>
  </si>
  <si>
    <t>Guelph Hydro Electric Systems Inc.1595_(2017)</t>
  </si>
  <si>
    <t>Halton Hills Hydro Inc.1595_(2017)</t>
  </si>
  <si>
    <t>Hearst Power Distribution Company Limited1595_(2017)</t>
  </si>
  <si>
    <t>Hydro 2000 Inc.1595_(2017)</t>
  </si>
  <si>
    <t>Hydro Hawkesbury Inc.1595_(2017)</t>
  </si>
  <si>
    <t>Hydro One Networks Inc.1595_(2017)</t>
  </si>
  <si>
    <t>Hydro One Remote Communities Inc.1595_(2017)</t>
  </si>
  <si>
    <t>Hydro Ottawa Limited1595_(2017)</t>
  </si>
  <si>
    <t>Innpower Corporation1595_(2017)</t>
  </si>
  <si>
    <t>Kenora Hydro Electric Corporation Ltd.1595_(2017)</t>
  </si>
  <si>
    <t>Kingston Hydro Corporation1595_(2017)</t>
  </si>
  <si>
    <t>Kitchener-Wilmot Hydro Inc.1595_(2017)</t>
  </si>
  <si>
    <t>Lakefront Utilities Inc.1595_(2017)</t>
  </si>
  <si>
    <t>Lakeland Power Distribution Ltd.1595_(2017)</t>
  </si>
  <si>
    <t>London Hydro Inc.1595_(2017)</t>
  </si>
  <si>
    <t>Midland Power Utility Corporation1595_(2017)</t>
  </si>
  <si>
    <t>Milton Hydro Distribution Inc.1595_(2017)</t>
  </si>
  <si>
    <t>Newmarket-Tay Power Distribution Ltd.1595_(2017)</t>
  </si>
  <si>
    <t>Niagara Peninsula Energy Inc.1595_(2017)</t>
  </si>
  <si>
    <t>Niagara-on-the-Lake Hydro Inc.1595_(2017)</t>
  </si>
  <si>
    <t>North Bay Hydro Distribution Limited1595_(2017)</t>
  </si>
  <si>
    <t>Northern Ontario Wires Inc.1595_(2017)</t>
  </si>
  <si>
    <t>Oakville Hydro Electricity Distribution Inc.1595_(2017)</t>
  </si>
  <si>
    <t>Orangeville Hydro Limited1595_(2017)</t>
  </si>
  <si>
    <t>Orillia Power Distribution Corporation1595_(2017)</t>
  </si>
  <si>
    <t>Oshawa PUC Networks Inc.1595_(2017)</t>
  </si>
  <si>
    <t>Ottawa River Power Corporation1595_(2017)</t>
  </si>
  <si>
    <t>PUC Distribution Inc.1595_(2017)</t>
  </si>
  <si>
    <t>Peterborough Distribution Incorporated1595_(2017)</t>
  </si>
  <si>
    <t>Renfrew Hydro Inc.1595_(2017)</t>
  </si>
  <si>
    <t>Rideau St. Lawrence Distribution Inc.1595_(2017)</t>
  </si>
  <si>
    <t>Sioux Lookout Hydro Inc.1595_(2017)</t>
  </si>
  <si>
    <t>St. Thomas Energy Inc.1595_(2017)</t>
  </si>
  <si>
    <t>Thunder Bay Hydro Electricity Distribution Inc.1595_(2017)</t>
  </si>
  <si>
    <t>Tillsonburg Hydro Inc.1595_(2017)</t>
  </si>
  <si>
    <t>Toronto Hydro-Electric System Limited1595_(2017)</t>
  </si>
  <si>
    <t>Veridian Connections Inc.1595_(2017)</t>
  </si>
  <si>
    <t>Wasaga Distribution Inc.1595_(2017)</t>
  </si>
  <si>
    <t>Waterloo North Hydro Inc.1595_(2017)</t>
  </si>
  <si>
    <t>Welland Hydro-Electric System Corp.1595_(2017)</t>
  </si>
  <si>
    <t>Wellington North Power Inc.1595_(2017)</t>
  </si>
  <si>
    <t>West Coast Huron Energy Inc.1595_(2017)</t>
  </si>
  <si>
    <t>Westario Power Inc.1595_(2017)</t>
  </si>
  <si>
    <t>Whitby Hydro Electric Corporation1595_(2017)</t>
  </si>
  <si>
    <t>Current RTSR-Network</t>
  </si>
  <si>
    <t>Billed kW</t>
  </si>
  <si>
    <t>Total Bill</t>
  </si>
  <si>
    <t>(e.g. If in the 2018 EDR process, you received approval to dispose the GA variance account balance as at December 31, 2016, enter 2016.)</t>
  </si>
  <si>
    <t>Total Metered 2017 Consumption for Class A customers that were Class A for the entire period CBR Class B balance accumulated</t>
  </si>
  <si>
    <t>Total Metered 2017 Consumption for Customers that Transitioned Between Class A and B during the period CBR Class B balance accumulated</t>
  </si>
  <si>
    <t>Total Metered 2017 Consumption Minus WMP</t>
  </si>
  <si>
    <t>Total Metered Non-RPP 2017 Consumption excluding WMP</t>
  </si>
  <si>
    <t>Total Metered 2017 Consumption for Class A Customers that were Class A for the entire period GA blance accumulated</t>
  </si>
  <si>
    <t xml:space="preserve">Total Metered 2017 Consumption for Customers that Transitioned Between Class A and B during the period GA balance accumulated </t>
  </si>
  <si>
    <t>Please enter the Year the Account 1580 CBR Class B was Last Disposed.</t>
  </si>
  <si>
    <t>Historical 2017</t>
  </si>
  <si>
    <t>Current 2018</t>
  </si>
  <si>
    <t>Forecast 2019</t>
  </si>
  <si>
    <t>The purpose of this sheet is to calculate the expected billing when current 2018 Uniform Transmission Rates are applied against historical 2017 transmission units.</t>
  </si>
  <si>
    <t>The purpose of this sheet is to calculate the expected billing when forecasted 2019 Uniform Transmission Rates are applied against historical 2017 transmission units.</t>
  </si>
  <si>
    <t>Please complete the following continuity schedule for the following Deferral/Variance Accounts.  Enter information into green cells only. Column BU has been prepopulated from the latest 2.1.7 RRR filing.
For all Group 1 Accounts, except for Account 1595, start inputting data from the year in which the GL balance was last disposed. For example, if in the 2018 rate application, DVA balances as at December 31, 2016 were approved for disposition, start the continuity schedule from 2016 by entering the 2015 closing balance in the Adjustment column under 2015. For all Account 1595 sub-accounts, complete the DVA continuity schedule for each Account 1595 vintage year that has a GL balance as at December 31, 2017 regardless of whether the account is being requested for disposition in the current application. For each Account 1595 sub-account, start inputting data from the year the sub-account started to accumulate a balance (i.e. the vintage year). For example, for Account 1595 (2015),data should be inputted starting in 2015 when the relevant balances approved for disposition was first transferred into Account 1595 (2015).
Please refer to the footnotes for further instructions.</t>
  </si>
  <si>
    <t>If the LDC’s rate year begins on January 1, 2019, the projected interest is recorded from January 1, 2018 to December 31, 2018 on the December 31, 2017 balances adjusted for the disposed balances approved by the OEB in the 2018 rate decision.  If the LDC’s rate year begins on May 1, 2019, the projected interest is recorded from January 1, 2018 to April 30, 2019 on the December 31, 2017 balances adjusted for the disposed interest balances approved by the OEB in the 2018 rate decision.</t>
  </si>
  <si>
    <t xml:space="preserve">Effective May 23, 2017, per the OEB’s letter titled Guidance on Disposition of Accounts 1588 and 1589, applicants must reflect RPP Settlement true-up claims pertaining to the period that is being requested for disposition in Accounts 1588 and 1589. This is to include true ups that impact the GA as well. The amount requested for disposition starts with the audited account balance. If the audited account balance does not reflect the true-up claims for that year, the impacts of the true-up claims are to be shown in the Adjustment column in that year. Note that this true-up claim will need to be reversed in the amount requested for disposition in the following year. However, if the RPP Settlement true-up claim was not reflected at the end of the last year of the account balance that was previously disposed, then no adjustment would have to be made in the first year at the beginning of the current period being requested for disposition. This way the adjustment is appropriately captured in the last year of the previously disposed period and the first year of the current period requested for disposition.
Note that if a distributor has any balance in Account 1589 that pertains to Class A, this must be excluded from the balance requested for disposition.  
</t>
  </si>
  <si>
    <t>Account 1580 RSVA WMS balance inputted into this schedule is to exclude any amounts relating to CBR. CBR amounts are to be inputted into Account 1580, sub-accounts CBR Class A and Class B separately.  There is no disposition of Account 1580, sub-account CBR Class A, accounting guidance for this sub-account is to be followed. If a balance exists for Account 1580, sub-account CBR Class A as at Dec. 31, 2017, the balance must be explained.</t>
  </si>
  <si>
    <t xml:space="preserve">Did you have any customers who transitioned between Class A and Class B (transition customers) during the period the Account 1580, sub-account CBR Class B balance accumulated (i.e. from the year after the balance was last disposed to 2017)?
</t>
  </si>
  <si>
    <t>Did you have any customers who transitioned between Class A and Class B (transition customers)  during the period the Account 1589 GA balance accumulated (i.e. from the year after the balance was last disposed to 2017)?</t>
  </si>
  <si>
    <t>(e.g. If you received approval to dispose of the CBR Class B balance as at December 31, 2016, the period the CBR Class B variance accumulated would be 2017.)</t>
  </si>
  <si>
    <t>(e.g. If you received approval to dispose of the GA variance account balance as at December 31, 2015, the period the GA variance accumulated would be 2016 and 2017.)</t>
  </si>
  <si>
    <t>Year the Account 1589 GA Balance Last Disposed</t>
  </si>
  <si>
    <t>Total Metered Consumption (kWh) for Transition Customers During the Period WhenThey Were Class B Customers</t>
  </si>
  <si>
    <t>Metered Consumption (kWh) for Transition Customers During the Period When They Were Class B Customers in 2017</t>
  </si>
  <si>
    <t>Customer Specific GA Allocation for the Period When They Were a Class B customer</t>
  </si>
  <si>
    <t>Total Class B Consumption for Years During Balance Accumulation (Total Consumption LESS WMP Consumption and Consumption for Class A customers who were Class A for partial or full year)</t>
  </si>
  <si>
    <t>Transition Customers' Class B Consumption (i.e. full year or partial year)</t>
  </si>
  <si>
    <t>Total Metered Class B Consumption (kWh)  for Transition Customers During the Period When They were Class B Customers</t>
  </si>
  <si>
    <t>Metered Class B Consumption (kWh)  for Transition Customers During the Period When They were Class B Customers in 2017</t>
  </si>
  <si>
    <t>Customer Specific CBR Class B Allocation for the Period When They Were a Class B Customer</t>
  </si>
  <si>
    <t>Metered Class B Consumption (kWh)  for Transition Customers During the Period When They were Class B Customers in 2016</t>
  </si>
  <si>
    <t>Metered Class B Consumption (kWh)  for Transition Customers During the Period When They were Class B Customers in 2015</t>
  </si>
  <si>
    <t>Total Non-RPP Class B Consumption for Years During Balance Accumulation (Non-RPP Consumption LESS WMP Consumption and Consumption for Class A customers who were Class A for partial or full year)</t>
  </si>
  <si>
    <t>Metered Consumption (kWh) for Transition Customers During the Period When They Were Class B Customers in 2016</t>
  </si>
  <si>
    <t>Metered Consumption (kWh) for Transition Customers During the Period When They Were Class B Customers in 2015</t>
  </si>
  <si>
    <t>Metered Consumption (kWh) for Transition Customers During the Period When They Were Class B Customers in 2014</t>
  </si>
  <si>
    <t>Metered Consumption (kWh) for Transition Customers During the Period When They Were Class B Customers in 2013</t>
  </si>
  <si>
    <t>Columns E and F have been populated with data from the most recent RRR filing. Rate classes that have more than one Network or Connection charge will notice that the cells are highlighted in green and unlocked.  
If the data needs to be modified, please make the necessary adjustments and note the changes in your manager's summary. As well, the Loss Factor has been imported from Tab 2.</t>
  </si>
  <si>
    <t xml:space="preserve">In the green shaded cells, enter billing detail for wholesale transmission for the same reporting period as the billing determinants on Tab 10. For Hydro One Sub-transmission Rates, if you are charged a combined Line and Transformer connection rate, please ensure that both the Line Connection and Transformation Connection columns are completed. 
If any of the Hydro One Sub-transmission rates (column E, I and M) are highlighted in orange, please double check the billing data entered in "Units Billed" and "Amount" columns. The highlighted rates do not match the Hydro One Sub-transmission rates approved for that time period. If data has been entered correctly, please provide explanation for the discrepancy in rates.
</t>
  </si>
  <si>
    <t xml:space="preserve">If applicable, please enter any adjustments related to the revenue to cost ratio model into columns C and E.  The Price Escalator and Stretch Factor have been set at the 2018 values and will be updated by OEB staff at a later date. </t>
  </si>
  <si>
    <t>In the Green Cells below, enter any proposed rate riders that are not already included in this model (e.g.:  proposed ICM rate riders).  Please note that existing SMIRR and SM Entity Charge do not need to be included below.
In column A, the rate rider descriptions must begin with "Rate Rider for". 
In column B, choose the associated unit from the drop-down menu.
In column C, enter the rate. All rate riders with a "$" unit should be rounded to 2 decimal places and all others rounded to 4 decimal places.
In column E, enter the expiry date (e.g. April 30, 2020) or description of the expiry date in text (e.g. the effective date of  the next cost of service-based rate order).
In column G, choose the sub-total as applicable in the bill impact calculation from the drop-down menu.</t>
  </si>
  <si>
    <t>Billed Amount</t>
  </si>
  <si>
    <t>Billed Amount %</t>
  </si>
  <si>
    <t>Current Wholesale Billing</t>
  </si>
  <si>
    <t>Adjusted RTSR Network</t>
  </si>
  <si>
    <t>3_GENERAL SERVICE 50 to 4,999 kW SERVICE CLASSIFICATION</t>
  </si>
  <si>
    <t>3_GENERAL SERVICE 50 to 4,999 kW SERVICE CLASSIFICATION_MSC</t>
  </si>
  <si>
    <t>3_GENERAL SERVICE 50 to 4,999 kW SERVICE CLASSIFICATION_DVC</t>
  </si>
  <si>
    <t>3_GENERAL SERVICE 50 to 4,999 kW SERVICE CLASSIFICATION_LV</t>
  </si>
  <si>
    <t>3_GENERAL SERVICE 50 to 4,999 kW SERVICE CLASSIFICATION_Retail Transmission Rate - Network Service Rate</t>
  </si>
  <si>
    <t>3_GENERAL SERVICE 50 to 4,999 kW SERVICE CLASSIFICATION_Retail Transmission Rate - Line and Transformation Connection Service Rate</t>
  </si>
  <si>
    <t>3_GENERAL SERVICE 50 to 4,999 kW SERVICE CLASSIFICATION_WMSR</t>
  </si>
  <si>
    <t>3_GENERAL SERVICE 50 to 4,999 kW SERVICE CLASSIFICATION_RRRP</t>
  </si>
  <si>
    <t>3_GENERAL SERVICE 50 to 4,999 kW SERVICE CLASSIFICATION_SSS</t>
  </si>
  <si>
    <t>3_GENERAL SERVICE 50 to 4,999 kW SERVICE CLASSIFICATION_GA_kwh</t>
  </si>
  <si>
    <t>3_GENERAL SERVICE 50 to 4,999 kW SERVICE CLASSIFICATION_DEFVAR_ALL</t>
  </si>
  <si>
    <t>3_GENERAL SERVICE 50 to 4,999 kW SERVICE CLASSIFICATION_Retail Transmission Rate - Line and Transformation Connection Service Rate (See Note 1)</t>
  </si>
  <si>
    <t>3_GENERAL SERVICE 50 to 4,999 kW SERVICE CLASSIFICATION_Retail Transmission Rate - Network Service Rate - Interval Metered</t>
  </si>
  <si>
    <t>3_GENERAL SERVICE 50 to 4,999 kW SERVICE CLASSIFICATION_Retail Transmission Rate - Line and Transformation Connection Service Rate - Interval Metered</t>
  </si>
  <si>
    <t>3_GENERAL SERVICE 50 to 4,999 kW SERVICE CLASSIFICATION_FX_RR_24</t>
  </si>
  <si>
    <t>3_GENERAL SERVICE 50 to 4,999 kW SERVICE CLASSIFICATION_SMA</t>
  </si>
  <si>
    <t>3_GENERAL SERVICE 50 to 4,999 kW SERVICE CLASSIFICATION_LRAM</t>
  </si>
  <si>
    <t>3_GENERAL SERVICE 50 to 4,999 kW SERVICE CLASSIFICATION_CBR</t>
  </si>
  <si>
    <t>6_STANDBY POWER SERVICE CLASSIFICATION_DVC</t>
  </si>
  <si>
    <t>Centre Wellington Hydro Ltd._Start</t>
  </si>
  <si>
    <t>Effective and Implementation date January 1, 2018</t>
  </si>
  <si>
    <t>EB-2017-0032</t>
  </si>
  <si>
    <t>This classification is for single dwelling units with separate metering, detached, semi-detached, triplex, etc. Class B consumers are defined in accordance with O. Reg. 429/04. Further servicing details are available in the distributor's Conditions of Service.</t>
  </si>
  <si>
    <t>Rate Rider for Disposition of Group 2 Deferral/Variance Accounts (2018) - effective until December 31, 2018</t>
  </si>
  <si>
    <t>Rate Rider included in 2018 Settlement Proposal (2018) - effective from January 1, 2019 until December 31, 2019</t>
  </si>
  <si>
    <t>1_RESIDENTIAL SERVICE CLASSIFICATION_FX_RR_28</t>
  </si>
  <si>
    <t>Rate Rider included in 2018 Settlement Proposal (2018) - effective from January 1, 2020 until December 31, 2020</t>
  </si>
  <si>
    <t>1_RESIDENTIAL SERVICE CLASSIFICATION_FX_RR_29</t>
  </si>
  <si>
    <t>Rate Rider included in 2018 Settlement Proposal (2018) - effective from January 1, 2021 until December 31, 2021</t>
  </si>
  <si>
    <t>Rate Rider included in 2018 Settlement Proposal (2018) - effective from January 1, 2022 until the effective date of next Cost of Service or Custom IR Rate Order</t>
  </si>
  <si>
    <t xml:space="preserve">Rate Rider for Disposition of Deferral/Variance Accounts (2018) - effective until December 31, 2018- Applicable only for Non-Wholesale Market Participants </t>
  </si>
  <si>
    <t>Rate Rider for Disposition of Lost Revenue Adjustment Mechanism Variance Account (LRAMVA) (2018) - effective until December 31, 2021</t>
  </si>
  <si>
    <t>This classification applies to a non-residential account taking electricity at 750 volts or less whose average monthly maximum demand is less than, or is forecasted to be less than, 50kW. Class B consumers are defined in accordance with O. Reg. 429/04. Further servicing details are available in the distributor's Conditions of Service.</t>
  </si>
  <si>
    <t>Rate Rider for Disposition of Lost Revenue Adjustment Mechanism Variance Account (LRAMVA) (2017) - effective until April 30, 2018</t>
  </si>
  <si>
    <t>2_GENERAL SERVICE LESS THAN 50 KW SERVICE CLASSIFICATION_VR_RR_110</t>
  </si>
  <si>
    <t>2_GENERAL SERVICE LESS THAN 50 KW SERVICE CLASSIFICATION_VR_RR_111</t>
  </si>
  <si>
    <t>2_GENERAL SERVICE LESS THAN 50 KW SERVICE CLASSIFICATION_VR_RR_112</t>
  </si>
  <si>
    <t>2_GENERAL SERVICE LESS THAN 50 KW SERVICE CLASSIFICATION_VR_RR_113</t>
  </si>
  <si>
    <t>This classification applies to a non-residential account whose average monthly maximum demand used for billing purposes is equal to or greater than, or is forecasted to be equal to or greater than, 50 kW but less than 3,000 kW. Class A and Class B consumers are defined in accordance with O. Reg. 429/04. Further servicing details are available in the distributor's Conditions of Service.</t>
  </si>
  <si>
    <t>3_GENERAL SERVICE 50 TO 2,999 KW SERVICE CLASSIFICATION_LRAM</t>
  </si>
  <si>
    <t>3_GENERAL SERVICE 50 TO 2,999 KW SERVICE CLASSIFICATION_VR_RR_120</t>
  </si>
  <si>
    <t>3_GENERAL SERVICE 50 TO 2,999 KW SERVICE CLASSIFICATION_VR_RR_121</t>
  </si>
  <si>
    <t>3_GENERAL SERVICE 50 TO 2,999 KW SERVICE CLASSIFICATION_VR_RR_122</t>
  </si>
  <si>
    <t>3_GENERAL SERVICE 50 TO 2,999 KW SERVICE CLASSIFICATION_VR_RR_123</t>
  </si>
  <si>
    <t>This classification applies to a non-residential account whose average monthly maximum demand used for billing is equal to or greater than, or is forecasted to be equal to or greater than, 3,000 kW but less than 5,000 kW.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</si>
  <si>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</si>
  <si>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4_GENERAL SERVICE 3,000 TO 4,999 KW SERVICE CLASSIFICATION_GA_kwh</t>
  </si>
  <si>
    <t>4_GENERAL SERVICE 3,000 TO 4,999 KW SERVICE CLASSIFICATION_LRAM</t>
  </si>
  <si>
    <t>4_GENERAL SERVICE 3,000 TO 4,999 KW SERVICE CLASSIFICATION_VR_RR_130</t>
  </si>
  <si>
    <t>4_GENERAL SERVICE 3,000 TO 4,999 KW SERVICE CLASSIFICATION_VR_RR_131</t>
  </si>
  <si>
    <t>4_GENERAL SERVICE 3,000 TO 4,999 KW SERVICE CLASSIFICATION_VR_RR_132</t>
  </si>
  <si>
    <t>4_GENERAL SERVICE 3,000 TO 4,999 KW SERVICE CLASSIFICATION_VR_RR_133</t>
  </si>
  <si>
    <t>This classification applies to a non-residential account taking electricity at 750 volts or less whose average monthly maximum demand is less than, or is forecasted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</si>
  <si>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5_UNMETERED SCATTERED LOAD SERVICE CLASSIFICATION_VR_RR_138</t>
  </si>
  <si>
    <t>5_UNMETERED SCATTERED LOAD SERVICE CLASSIFICATION_VR_RR_139</t>
  </si>
  <si>
    <t>5_UNMETERED SCATTERED LOAD SERVICE CLASSIFICATION_VR_RR_140</t>
  </si>
  <si>
    <t>5_UNMETERED SCATTERED LOAD SERVICE CLASSIFICATION_VR_RR_141</t>
  </si>
  <si>
    <t>This classification refers to an account that is an unmetered lighting load supplied to a sentinel light where consumption isbased on connected load. Class B consumers are defined in accordance with O. Reg. 429/04. Further servicing details are available in the distributor's Conditions of Service.</t>
  </si>
  <si>
    <t>6_SENTINEL LIGHTING SERVICE CLASSIFICATION_VR_RR_148</t>
  </si>
  <si>
    <t>6_SENTINEL LIGHTING SERVICE CLASSIFICATION_VR_RR_149</t>
  </si>
  <si>
    <t>6_SENTINEL LIGHTING SERVICE CLASSIFICATION_VR_RR_150</t>
  </si>
  <si>
    <t>6_SENTINEL LIGHTING SERVICE CLASSIFICATION_VR_RR_151</t>
  </si>
  <si>
    <t>This classification applies to an account for roadway lighting with a Municipality, Regional Municipality, Ministry of Transportation and private roadway lighting, controlled by photo cells. The consumption of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</si>
  <si>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7_STREET LIGHTING SERVICE CLASSIFICATION_VR_RR_158</t>
  </si>
  <si>
    <t>7_STREET LIGHTING SERVICE CLASSIFICATION_VR_RR_159</t>
  </si>
  <si>
    <t>7_STREET LIGHTING SERVICE CLASSIFICATION_VR_RR_160</t>
  </si>
  <si>
    <t>7_STREET LIGHTING SERVICE CLASSIFICATION_VR_RR_161</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</si>
  <si>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</si>
  <si>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Centre Wellington Hydro Ltd._ALLOWANCES</t>
  </si>
  <si>
    <t>Centre Wellington Hydro Ltd._SSC</t>
  </si>
  <si>
    <t>Centre Wellington Hydro Ltd._CA</t>
  </si>
  <si>
    <t>Centre Wellington Hydro Ltd._NPoA</t>
  </si>
  <si>
    <t>Centre Wellington Hydro Ltd._RSC</t>
  </si>
  <si>
    <t>Centre Wellington Hydro Ltd._LFs</t>
  </si>
  <si>
    <t>Centre Wellington Hydro Ltd._End</t>
  </si>
  <si>
    <t>3_GENERAL SERVICE 50 to 4,999 kW SERVICE CLASSIFICATION_DEFVAR_NONRPP</t>
  </si>
  <si>
    <t>9_STANDBY POWER SERVICE CLASSIFICATION_DVC</t>
  </si>
  <si>
    <t>1_RESIDENTIAL SERVICE CLASSIFICATION_FX_RR_33</t>
  </si>
  <si>
    <t>3_GENERAL SERVICE 50 to 4,999 kW SERVICE CLASSIFICATION_Retail Transmission Rate - Network Service Rate - Interval Metered &lt; 1,000 kW</t>
  </si>
  <si>
    <t>3_GENERAL SERVICE 50 to 4,999 kW SERVICE CLASSIFICATION_Retail Transmission Rate - Line and Transformation Connection Service Rate - Interval Metered &lt; 1,000 kW</t>
  </si>
  <si>
    <t>3_GENERAL SERVICE 50 to 4,999 kW SERVICE CLASSIFICATION_Retail Transmission Rate - Network Service Rate - Interval Metered &gt; 1,000 kW</t>
  </si>
  <si>
    <t>3_GENERAL SERVICE 50 to 4,999 kW SERVICE CLASSIFICATION_Retail Transmission Rate - Line and Transformation Connection Service Rate - Interval Metered &gt; 1,000 kW</t>
  </si>
  <si>
    <t>1_RESIDENTIAL SERVICE CLASSIFICATION_FX_RR_37</t>
  </si>
  <si>
    <t>1_RESIDENTIAL SERVICE CLASSIFICATION_FX_RR_38</t>
  </si>
  <si>
    <t>1_RESIDENTIAL SERVICE CLASSIFICATION_FX_RR_39</t>
  </si>
  <si>
    <t>2_GENERAL SERVICE LESS THAN 50 KW SERVICE CLASSIFICATION_FX_RR_40</t>
  </si>
  <si>
    <t>2_GENERAL SERVICE LESS THAN 50 KW SERVICE CLASSIFICATION_FX_RR_41</t>
  </si>
  <si>
    <t>2_GENERAL SERVICE LESS THAN 50 KW SERVICE CLASSIFICATION_FX_RR_42</t>
  </si>
  <si>
    <t>2_GENERAL SERVICE LESS THAN 50 KW SERVICE CLASSIFICATION_VR_RR_216</t>
  </si>
  <si>
    <t>2_GENERAL SERVICE LESS THAN 50 KW SERVICE CLASSIFICATION_VR_RR_217</t>
  </si>
  <si>
    <t>3_GENERAL SERVICE 50 TO 499 KW SERVICE CLASSIFICATION_FX_RR_43</t>
  </si>
  <si>
    <t>3_GENERAL SERVICE 50 TO 499 KW SERVICE CLASSIFICATION_FX_RR_44</t>
  </si>
  <si>
    <t>3_GENERAL SERVICE 50 TO 499 KW SERVICE CLASSIFICATION_FX_RR_45</t>
  </si>
  <si>
    <t>3_GENERAL SERVICE 50 TO 499 KW SERVICE CLASSIFICATION_VR_RR_223</t>
  </si>
  <si>
    <t>3_GENERAL SERVICE 50 TO 499 KW SERVICE CLASSIFICATION_VR_RR_224</t>
  </si>
  <si>
    <t>4_GENERAL SERVICE 500 TO 4,999 KW SERVICE CLASSIFICATION_FX_RR_46</t>
  </si>
  <si>
    <t>4_GENERAL SERVICE 500 TO 4,999 KW SERVICE CLASSIFICATION_FX_RR_47</t>
  </si>
  <si>
    <t>4_GENERAL SERVICE 500 TO 4,999 KW SERVICE CLASSIFICATION_FX_RR_48</t>
  </si>
  <si>
    <t>4_GENERAL SERVICE 500 TO 4,999 KW SERVICE CLASSIFICATION_VR_RR_230</t>
  </si>
  <si>
    <t>4_GENERAL SERVICE 500 TO 4,999 KW SERVICE CLASSIFICATION_VR_RR_231</t>
  </si>
  <si>
    <t>5_LARGE USE SERVICE CLASSIFICATION_FX_RR_49</t>
  </si>
  <si>
    <t>5_LARGE USE SERVICE CLASSIFICATION_FX_RR_50</t>
  </si>
  <si>
    <t>5_LARGE USE SERVICE CLASSIFICATION_FX_RR_51</t>
  </si>
  <si>
    <t>5_LARGE USE SERVICE CLASSIFICATION_VR_RR_234</t>
  </si>
  <si>
    <t>5_LARGE USE SERVICE CLASSIFICATION_VR_RR_235</t>
  </si>
  <si>
    <t>6_UNMETERED SCATTERED LOAD SERVICE CLASSIFICATION_FX_RR_52</t>
  </si>
  <si>
    <t>6_UNMETERED SCATTERED LOAD SERVICE CLASSIFICATION_FX_RR_53</t>
  </si>
  <si>
    <t>6_UNMETERED SCATTERED LOAD SERVICE CLASSIFICATION_FX_RR_54</t>
  </si>
  <si>
    <t>6_UNMETERED SCATTERED LOAD SERVICE CLASSIFICATION_VR_RR_239</t>
  </si>
  <si>
    <t>6_UNMETERED SCATTERED LOAD SERVICE CLASSIFICATION_VR_RR_240</t>
  </si>
  <si>
    <t>7_STREET LIGHTING SERVICE CLASSIFICATION_FX_RR_55</t>
  </si>
  <si>
    <t>7_STREET LIGHTING SERVICE CLASSIFICATION_FX_RR_56</t>
  </si>
  <si>
    <t>7_STREET LIGHTING SERVICE CLASSIFICATION_FX_RR_57</t>
  </si>
  <si>
    <t>7_STREET LIGHTING SERVICE CLASSIFICATION_VR_RR_245</t>
  </si>
  <si>
    <t>7_STREET LIGHTING SERVICE CLASSIFICATION_VR_RR_246</t>
  </si>
  <si>
    <t>3_GENERAL SERVICE 50 to 4,999 kW SERVICE CLASSIFICATION_Retail Transmission Rate - Line and Transformation Connection Service Rate (see Note 1)</t>
  </si>
  <si>
    <t>1_RESIDENTIAL SERVICE CLASSIFICATION_FX_RR_58</t>
  </si>
  <si>
    <t>2_GENERAL SERVICE LESS THAN 50 KW SERVICE CLASSIFICATION_FX_RR_61</t>
  </si>
  <si>
    <t>3_GENERAL SERVICE 50 to 4,999 kW SERVICE CLASSIFICATION_STS</t>
  </si>
  <si>
    <t>11_STANDBY POWER SERVICE CLASSIFICATION_DVC</t>
  </si>
  <si>
    <t>1_RESIDENTIAL SERVICE CLASSIFICATION_VR_RR_299</t>
  </si>
  <si>
    <t>2_GENERAL SERVICE LESS THAN 50 KW SERVICE CLASSIFICATION_VR_RR_301</t>
  </si>
  <si>
    <t>3_GENERAL SERVICE 50 to 4,999 kW SERVICE CLASSIFICATION_VR_RR_305</t>
  </si>
  <si>
    <t>3_GENERAL SERVICE 50 to 4,999 kW SERVICE CLASSIFICATION_VR_RR_306</t>
  </si>
  <si>
    <t xml:space="preserve">3_GENERAL SERVICE 50 to 4,999 kW SERVICE CLASSIFICATION_Retail Transmission Rate - Line and Transformation Connection Service Rate </t>
  </si>
  <si>
    <t>4_UNMETERED SCATTERED LOAD SERVICE CLASSIFICATION_VR_RR_309</t>
  </si>
  <si>
    <t>5_SENTINEL LIGHTING SERVICE CLASSIFICATION_VR_RR_312</t>
  </si>
  <si>
    <t>6_STREET LIGHTING SERVICE CLASSIFICATION_VR_RR_315</t>
  </si>
  <si>
    <t xml:space="preserve">3_GENERAL SERVICE 50 to 4,999 kW SERVICE CLASSIFICATION_Retail Transmission Rate - Line and Transformation Connection Service Rate - Interval Metered </t>
  </si>
  <si>
    <t>1_RESIDENTIAL SERVICE CLASSIFICATION_VR_RR_385</t>
  </si>
  <si>
    <t>2_GENERAL SERVICE LESS THAN 50 KW SERVICE CLASSIFICATION_VR_RR_388</t>
  </si>
  <si>
    <t>3_GENERAL SERVICE 50 to 4,999 kW SERVICE CLASSIFICATION_VR_RR_391</t>
  </si>
  <si>
    <t>4_UNMETERED SCATTERED LOAD SERVICE CLASSIFICATION_VR_RR_393</t>
  </si>
  <si>
    <t>5_STREET LIGHTING SERVICE CLASSIFICATION_VR_RR_396</t>
  </si>
  <si>
    <t>4_GENERAL SERVICE 50 to 4,999 kW SERVICE CLASSIFICATION</t>
  </si>
  <si>
    <t>4_GENERAL SERVICE 50 to 4,999 kW SERVICE CLASSIFICATION_MSC</t>
  </si>
  <si>
    <t>4_GENERAL SERVICE 50 to 4,999 kW SERVICE CLASSIFICATION_DVC</t>
  </si>
  <si>
    <t>4_GENERAL SERVICE 50 to 4,999 kW SERVICE CLASSIFICATION_LV</t>
  </si>
  <si>
    <t>4_GENERAL SERVICE 50 to 4,999 kW SERVICE CLASSIFICATION_GA_kwh</t>
  </si>
  <si>
    <t>4_GENERAL SERVICE 50 to 4,999 kW SERVICE CLASSIFICATION_DEFVAR_ALL</t>
  </si>
  <si>
    <t>4_GENERAL SERVICE 50 to 4,999 kW SERVICE CLASSIFICATION_Retail Transmission Rate - Network Service Rate</t>
  </si>
  <si>
    <t>4_GENERAL SERVICE 50 to 4,999 kW SERVICE CLASSIFICATION_Retail Transmission Rate - Line and Transformation Connection Service Rate</t>
  </si>
  <si>
    <t>4_GENERAL SERVICE 50 to 4,999 kW SERVICE CLASSIFICATION_Retail Transmission Rate - Network Service Rate - Interval Metered</t>
  </si>
  <si>
    <t>4_GENERAL SERVICE 50 to 4,999 kW SERVICE CLASSIFICATION_Retail Transmission Rate - Line and Transformation Connection Service Rate - Interval Metered</t>
  </si>
  <si>
    <t>4_GENERAL SERVICE 50 to 4,999 kW SERVICE CLASSIFICATION_WMSR</t>
  </si>
  <si>
    <t>4_GENERAL SERVICE 50 to 4,999 kW SERVICE CLASSIFICATION_RRRP</t>
  </si>
  <si>
    <t>4_GENERAL SERVICE 50 to 4,999 kW SERVICE CLASSIFICATION_SSS</t>
  </si>
  <si>
    <t>1_RESIDENTIAL SERVICE CLASSIFICATION_FX_RR_76</t>
  </si>
  <si>
    <t>2_GENERAL SERVICE LESS THAN 50 KW SERVICE CLASSIFICATION_FX_RR_78</t>
  </si>
  <si>
    <t>3_GENERAL SERVICE 50 TO 999 KW SERVICE CLASSIFICATION_FX_RR_80</t>
  </si>
  <si>
    <t>4_GENERAL SERVICE 1,000 TO 4,999 KW SERVICE CLASSIFICATION_FX_RR_81</t>
  </si>
  <si>
    <t>5_LARGE USE SERVICE CLASSIFICATION_FX_RR_82</t>
  </si>
  <si>
    <t>6_UNMETERED SCATTERED LOAD SERVICE CLASSIFICATION_FX_RR_83</t>
  </si>
  <si>
    <t>7_STANDBY POWER SERVICE CLASSIFICATION _DVC</t>
  </si>
  <si>
    <t>8_SENTINEL LIGHTING SERVICE CLASSIFICATION_FX_RR_84</t>
  </si>
  <si>
    <t>9_STREET LIGHTING SERVICE CLASSIFICATION_FX_RR_85</t>
  </si>
  <si>
    <t>1_RESIDENTIAL SERVICE CLASSIFICATION_VR_RR_437</t>
  </si>
  <si>
    <t>1_RESIDENTIAL SERVICE CLASSIFICATION_VR_RR_438</t>
  </si>
  <si>
    <t>2_GENERAL SERVICE LESS THAN 50 KW SERVICE CLASSIFICATION_FX_RR_87</t>
  </si>
  <si>
    <t>2_GENERAL SERVICE LESS THAN 50 KW SERVICE CLASSIFICATION_VR_RR_439</t>
  </si>
  <si>
    <t>2_GENERAL SERVICE LESS THAN 50 KW SERVICE CLASSIFICATION_VR_RR_440</t>
  </si>
  <si>
    <t>3_GENERAL SERVICE 50 to 4,999 kW SERVICE CLASSIFICATION_FX_RR_88</t>
  </si>
  <si>
    <t>3_GENERAL SERVICE 50 to 4,999 kW SERVICE CLASSIFICATION_VR_RR_441</t>
  </si>
  <si>
    <t>3_GENERAL SERVICE 50 to 4,999 kW SERVICE CLASSIFICATION_VR_RR_442</t>
  </si>
  <si>
    <t>3_GENERAL SERVICE 50 to 4,999 kW SERVICE CLASSIFICATION_FAREG</t>
  </si>
  <si>
    <t>4_UNMETERED SCATTERED LOAD SERVICE CLASSIFICATION_FX_RR_89</t>
  </si>
  <si>
    <t>4_UNMETERED SCATTERED LOAD SERVICE CLASSIFICATION_VR_RR_443</t>
  </si>
  <si>
    <t>4_UNMETERED SCATTERED LOAD SERVICE CLASSIFICATION_VR_RR_444</t>
  </si>
  <si>
    <t>5_SENTINEL LIGHTING SERVICE CLASSIFICATION_FX_RR_90</t>
  </si>
  <si>
    <t>5_SENTINEL LIGHTING SERVICE CLASSIFICATION_VR_RR_445</t>
  </si>
  <si>
    <t>5_SENTINEL LIGHTING SERVICE CLASSIFICATION_VR_RR_446</t>
  </si>
  <si>
    <t>6_STREET LIGHTING SERVICE CLASSIFICATION_FX_RR_91</t>
  </si>
  <si>
    <t>6_STREET LIGHTING SERVICE CLASSIFICATION_VR_RR_447</t>
  </si>
  <si>
    <t>6_STREET LIGHTING SERVICE CLASSIFICATION_VR_RR_448</t>
  </si>
  <si>
    <t>7_EMBEDDED DISTRIBUTOR SERVICE CLASSIFICATION FOR HYDRO ONE NETWORKS INC._FX_RR_92</t>
  </si>
  <si>
    <t>7_EMBEDDED DISTRIBUTOR SERVICE CLASSIFICATION FOR HYDRO ONE NETWORKS INC._VR_RR_449</t>
  </si>
  <si>
    <t>3_GENERAL SERVICE 50 TO 1,499 KW SERVICE CLASSIFICATION_FX_RR_97</t>
  </si>
  <si>
    <t>4_INTERMEDIATE USER SERVICE CLASSIFICATION_FX_RR_99</t>
  </si>
  <si>
    <t>1_RESIDENTIAL SERVICE CLASSIFICATION_FX_RR_101</t>
  </si>
  <si>
    <t>1_RESIDENTIAL SERVICE CLASSIFICATION_FX_RR_102</t>
  </si>
  <si>
    <t>2_GENERAL SERVICE LESS THAN 50 KW SERVICE CLASSIFICATION_FX_RR_103</t>
  </si>
  <si>
    <t>2_GENERAL SERVICE LESS THAN 50 KW SERVICE CLASSIFICATION_FX_RR_104</t>
  </si>
  <si>
    <t>2_GENERAL SERVICE LESS THAN 50 KW SERVICE CLASSIFICATION_VR_RR_491</t>
  </si>
  <si>
    <t>3_GENERAL SERVICE 50 to 4,999 kW SERVICE CLASSIFICATION_FX_RR_105</t>
  </si>
  <si>
    <t>3_GENERAL SERVICE 50 to 4,999 kW SERVICE CLASSIFICATION_FX_RR_106</t>
  </si>
  <si>
    <t>3_GENERAL SERVICE 50 to 4,999 kW SERVICE CLASSIFICATION_VR_RR_498</t>
  </si>
  <si>
    <t>4_LARGE USE SERVICE CLASSIFICATION_FX_RR_107</t>
  </si>
  <si>
    <t>4_LARGE USE SERVICE CLASSIFICATION_FX_RR_108</t>
  </si>
  <si>
    <t>4_LARGE USE SERVICE CLASSIFICATION_VR_RR_504</t>
  </si>
  <si>
    <t>5_LARGE USE WITH DEDICATED ASSETS SERVICE CLASSIFICATION_FX_RR_109</t>
  </si>
  <si>
    <t>5_LARGE USE WITH DEDICATED ASSETS SERVICE CLASSIFICATION_FX_RR_110</t>
  </si>
  <si>
    <t>5_LARGE USE WITH DEDICATED ASSETS SERVICE CLASSIFICATION_VR_RR_507</t>
  </si>
  <si>
    <t>6_STANDBY POWER SERVICE CLASSIFICATION _DVC</t>
  </si>
  <si>
    <t>7_UNMETERED SCATTERED LOAD SERVICE CLASSIFICATION_FX_RR_111</t>
  </si>
  <si>
    <t>7_UNMETERED SCATTERED LOAD SERVICE CLASSIFICATION_FX_RR_112</t>
  </si>
  <si>
    <t>7_UNMETERED SCATTERED LOAD SERVICE CLASSIFICATION_VR_RR_512</t>
  </si>
  <si>
    <t>8_SENTINEL LIGHTING SERVICE CLASSIFICATION_FX_RR_113</t>
  </si>
  <si>
    <t>8_SENTINEL LIGHTING SERVICE CLASSIFICATION_FX_RR_114</t>
  </si>
  <si>
    <t>8_SENTINEL LIGHTING SERVICE CLASSIFICATION_VR_RR_516</t>
  </si>
  <si>
    <t>9_STREET LIGHTING SERVICE CLASSIFICATION_FX_RR_115</t>
  </si>
  <si>
    <t>9_STREET LIGHTING SERVICE CLASSIFICATION_FX_RR_116</t>
  </si>
  <si>
    <t>9_STREET LIGHTING SERVICE CLASSIFICATION_VR_RR_520</t>
  </si>
  <si>
    <t>Rate Rider for Disposition of Station Refund - effective until March 31, 2018</t>
  </si>
  <si>
    <t>1_RESIDENTIAL SERVICE CLASSIFICATION_FX_RR_119</t>
  </si>
  <si>
    <t>Rate Rider for Disposition of Global Adjustment Account (2018) - effective until February 28, 2019 
     Applicable only for Non-RPP Customers</t>
  </si>
  <si>
    <t xml:space="preserve">Rate Rider for Disposition of Deferral/Variance Accounts (2018) - effective until February 28, 2019  
     Applicable only for Non-Wholesale Market Participants </t>
  </si>
  <si>
    <t>Rate Rider for Disposition of Lost Revenue Adjustment Mechanism Variance Account (LRAMVA) (2018)
     effective until February 28, 2019</t>
  </si>
  <si>
    <t>Rate Rider for Disposition of Global Adjustment Account (2018) - effective until February 28, 2019
     Applicable only for Non-RPP Customers</t>
  </si>
  <si>
    <t xml:space="preserve">Rate Rider for Disposition of Deferral/Variance Accounts (2018) - effective until February 28, 2019 
     Applicable only for Non-Wholesale Market Participants </t>
  </si>
  <si>
    <t>2_GENERAL SERVICE LESS THAN 50 KW SERVICE CLASSIFICATION_VR_RR_530</t>
  </si>
  <si>
    <t>Rate Rider for Disposition of Lost Revenue Adjustment Mechanism Variance Account (LRAMVA) (2018) 
     effective until February 28, 2019</t>
  </si>
  <si>
    <t>2_GENERAL SERVICE LESS THAN 50 KW SERVICE CLASSIFICATION_VR_RR_532</t>
  </si>
  <si>
    <t>Rate Rider for Disposition of Global Adjustment Account (2018) - effective until February 28, 2019 
      Applicable only for Non-RPP Customers</t>
  </si>
  <si>
    <t>3_GENERAL SERVICE 50 to 4,999 kW SERVICE CLASSIFICATION_VR_RR_537</t>
  </si>
  <si>
    <t>Rate Rider for Disposition of Lost Revenue Adjustment Mechanism Variance Account (LRAMVA) (2018)  
     effective until February 28, 2019</t>
  </si>
  <si>
    <t>3_GENERAL SERVICE 50 to 4,999 kW SERVICE CLASSIFICATION_VR_RR_539</t>
  </si>
  <si>
    <t>4_UNMETERED SCATTERED LOAD SERVICE CLASSIFICATION_FX_RR_120</t>
  </si>
  <si>
    <t>4_UNMETERED SCATTERED LOAD SERVICE CLASSIFICATION_VR_RR_543</t>
  </si>
  <si>
    <t>4_UNMETERED SCATTERED LOAD SERVICE CLASSIFICATION_VR_RR_545</t>
  </si>
  <si>
    <t>Rate Rider for Disposition of Global Adjustment Account (2018) - effective until February 28, 2019  
     Applicable only for Non-RPP Customers</t>
  </si>
  <si>
    <t>5_SENTINEL LIGHTING SERVICE CLASSIFICATION_VR_RR_550</t>
  </si>
  <si>
    <t>5_SENTINEL LIGHTING SERVICE CLASSIFICATION_VR_RR_552</t>
  </si>
  <si>
    <t>6_STREET LIGHTING SERVICE CLASSIFICATION_FX_RR_121</t>
  </si>
  <si>
    <t>6_STREET LIGHTING SERVICE CLASSIFICATION_VR_RR_557</t>
  </si>
  <si>
    <t>6_STREET LIGHTING SERVICE CLASSIFICATION_VR_RR_559</t>
  </si>
  <si>
    <t>1_RESIDENTIAL SERVICE CLASSIFICATION_FX_RR_124</t>
  </si>
  <si>
    <t>2_GENERAL SERVICE LESS THAN 50 KW SERVICE CLASSIFICATION_FX_RR_126</t>
  </si>
  <si>
    <t>2_GENERAL SERVICE LESS THAN 50 KW SERVICE CLASSIFICATION_VR_RR_587</t>
  </si>
  <si>
    <t>3_GENERAL SERVICE 50 to 4,999 kW SERVICE CLASSIFICATION_FX_RR_127</t>
  </si>
  <si>
    <t>3_GENERAL SERVICE 50 to 4,999 kW SERVICE CLASSIFICATION_VR_RR_591</t>
  </si>
  <si>
    <t>4_UNMETERED SCATTERED LOAD SERVICE CLASSIFICATION_FX_RR_128</t>
  </si>
  <si>
    <t>4_UNMETERED SCATTERED LOAD SERVICE CLASSIFICATION_VR_RR_595</t>
  </si>
  <si>
    <t>5_SENTINEL LIGHTING SERVICE CLASSIFICATION_FX_RR_129</t>
  </si>
  <si>
    <t>5_SENTINEL LIGHTING SERVICE CLASSIFICATION_VR_RR_599</t>
  </si>
  <si>
    <t>6_STREET LIGHTING SERVICE CLASSIFICATION_FX_RR_130</t>
  </si>
  <si>
    <t>1_RESIDENTIAL SERVICE CLASSIFICATION_FX_RR_134</t>
  </si>
  <si>
    <t>1_RESIDENTIAL SERVICE CLASSIFICATION_VR_RR_620</t>
  </si>
  <si>
    <t>1_RESIDENTIAL SERVICE CLASSIFICATION_VR_RR_621</t>
  </si>
  <si>
    <t>2_GENERAL SERVICE LESS THAN 50 KW SERVICE CLASSIFICATION_VR_RR_624</t>
  </si>
  <si>
    <t>2_GENERAL SERVICE LESS THAN 50 KW SERVICE CLASSIFICATION_VR_RR_625</t>
  </si>
  <si>
    <t>2_GENERAL SERVICE LESS THAN 50 KW SERVICE CLASSIFICATION_VR_RR_626</t>
  </si>
  <si>
    <t>3_GENERAL SERVICE 50 to 4,999 kW SERVICE CLASSIFICATION_VR_RR_630</t>
  </si>
  <si>
    <t>3_GENERAL SERVICE 50 to 4,999 kW SERVICE CLASSIFICATION_VR_RR_631</t>
  </si>
  <si>
    <t>3_GENERAL SERVICE 50 to 4,999 kW SERVICE CLASSIFICATION_VR_RR_632</t>
  </si>
  <si>
    <t>4_UNMETERED SCATTERED LOAD SERVICE CLASSIFICATION_VR_RR_636</t>
  </si>
  <si>
    <t>4_UNMETERED SCATTERED LOAD SERVICE CLASSIFICATION_VR_RR_637</t>
  </si>
  <si>
    <t>4_UNMETERED SCATTERED LOAD SERVICE CLASSIFICATION_VR_RR_638</t>
  </si>
  <si>
    <t>5_STREET LIGHTING SERVICE CLASSIFICATION_VR_RR_643</t>
  </si>
  <si>
    <t>5_STREET LIGHTING SERVICE CLASSIFICATION_VR_RR_644</t>
  </si>
  <si>
    <t>1_RESIDENTIAL SERVICE CLASSIFICATION_FX_RR_136</t>
  </si>
  <si>
    <t>1_RESIDENTIAL SERVICE CLASSIFICATION_VR_RR_649</t>
  </si>
  <si>
    <t>2_GENERAL SERVICE LESS THAN 50 KW SERVICE CLASSIFICATION_FX_RR_137</t>
  </si>
  <si>
    <t>2_GENERAL SERVICE LESS THAN 50 KW SERVICE CLASSIFICATION_VR_RR_650</t>
  </si>
  <si>
    <t>3_GENERAL SERVICE 50 to 4,999 kW SERVICE CLASSIFICATION_FX_RR_138</t>
  </si>
  <si>
    <t>3_GENERAL SERVICE 50 to 4,999 kW SERVICE CLASSIFICATION_VR_RR_654</t>
  </si>
  <si>
    <t>4_UNMETERED SCATTERED LOAD SERVICE CLASSIFICATION_FX_RR_139</t>
  </si>
  <si>
    <t>4_UNMETERED SCATTERED LOAD SERVICE CLASSIFICATION_VR_RR_659</t>
  </si>
  <si>
    <t>5_SENTINEL LIGHTING SERVICE CLASSIFICATION_FX_RR_140</t>
  </si>
  <si>
    <t>5_SENTINEL LIGHTING SERVICE CLASSIFICATION_VR_RR_662</t>
  </si>
  <si>
    <t>6_STREET LIGHTING SERVICE CLASSIFICATION_FX_RR_141</t>
  </si>
  <si>
    <t>6_STREET LIGHTING SERVICE CLASSIFICATION_VR_RR_665</t>
  </si>
  <si>
    <t>7_EMBEDDED DISTRIBUTOR SERVICE CLASSIFICATION_FX_RR_142</t>
  </si>
  <si>
    <t>1_RESIDENTIAL SERVICE CLASSIFICATION_FX_RR_143</t>
  </si>
  <si>
    <t>2_GENERAL SERVICE LESS THAN 50 KW SERVICE CLASSIFICATION_VR_RR_673</t>
  </si>
  <si>
    <t>3_GENERAL SERVICE 50 to 4,999 kW SERVICE CLASSIFICATION_VR_RR_675</t>
  </si>
  <si>
    <t>4_UNMETERED SCATTERED LOAD SERVICE CLASSIFICATION_VR_RR_676</t>
  </si>
  <si>
    <t>5_SENTINEL LIGHTING SERVICE CLASSIFICATION_VR_RR_677</t>
  </si>
  <si>
    <t>6_STREET LIGHTING SERVICE CLASSIFICATION_VR_RR_679</t>
  </si>
  <si>
    <t>1_RESIDENTIAL SERVICE CLASSIFICATION_VR_RR_701</t>
  </si>
  <si>
    <t>2_GENERAL SERVICE LESS THAN 50 KW SERVICE CLASSIFICATION_VR_RR_708</t>
  </si>
  <si>
    <t>3_GENERAL SERVICE 50 TO 999 KW SERVICE CLASSIFICATION_VR_RR_715</t>
  </si>
  <si>
    <t>4_GENERAL SERVICE 1,000 TO 4,999 KW SERVICE CLASSIFICATION_VR_RR_721</t>
  </si>
  <si>
    <t>6_UNMETERED SCATTERED LOAD SERVICE CLASSIFICATION_VR_RR_730</t>
  </si>
  <si>
    <t>7_SENTINEL LIGHTING SERVICE CLASSIFICATION_VR_RR_734</t>
  </si>
  <si>
    <t>8_STREET LIGHTING SERVICE CLASSIFICATION_VR_RR_739</t>
  </si>
  <si>
    <t>2_GENERAL SERVICE LESS THAN 50 KW SERVICE CLASSIFICATION_FX_RR_156</t>
  </si>
  <si>
    <t>1_RESIDENTIAL SERVICE CLASSIFICATION_FX_RR_160</t>
  </si>
  <si>
    <t>1_RESIDENTIAL SERVICE CLASSIFICATION_FX_RR_161</t>
  </si>
  <si>
    <t>2_GENERAL SERVICE LESS THAN 50 KW SERVICE CLASSIFICATION_FX_RR_163</t>
  </si>
  <si>
    <t>2_GENERAL SERVICE LESS THAN 50 KW SERVICE CLASSIFICATION_FX_RR_164</t>
  </si>
  <si>
    <t>2_GENERAL SERVICE LESS THAN 50 KW SERVICE CLASSIFICATION_VR_RR_783</t>
  </si>
  <si>
    <t>3_GENERAL SERVICE 50 to 4,999 kW SERVICE CLASSIFICATION_FX_RR_165</t>
  </si>
  <si>
    <t>3_GENERAL SERVICE 50 to 4,999 kW SERVICE CLASSIFICATION_FX_RR_166</t>
  </si>
  <si>
    <t>3_GENERAL SERVICE 50 to 4,999 kW SERVICE CLASSIFICATION_GA_kw</t>
  </si>
  <si>
    <t>3_GENERAL SERVICE 50 to 4,999 kW SERVICE CLASSIFICATION_VR_RR_794</t>
  </si>
  <si>
    <t>3_GENERAL SERVICE 50 to 4,999 kW SERVICE CLASSIFICATION_Retail Transmission Rate - Network Service Rate – Interval Metered</t>
  </si>
  <si>
    <t>3_GENERAL SERVICE 50 to 4,999 kW SERVICE CLASSIFICATION_Retail Transmission Rate - Line and Transformation Connection Service Rate – Interval Metered</t>
  </si>
  <si>
    <t>4_LARGE USE SERVICE CLASSIFICATION_FX_RR_167</t>
  </si>
  <si>
    <t>4_LARGE USE SERVICE CLASSIFICATION_FX_RR_168</t>
  </si>
  <si>
    <t>4_LARGE USE SERVICE CLASSIFICATION_VR_RR_801</t>
  </si>
  <si>
    <t>5_STANDBY POWER SERVICE CLASSIFICATION _DVC</t>
  </si>
  <si>
    <t>6_UNMETERED SCATTERED LOAD SERVICE CLASSIFICATION_FX_RR_169</t>
  </si>
  <si>
    <t>6_UNMETERED SCATTERED LOAD SERVICE CLASSIFICATION_FX_RR_170</t>
  </si>
  <si>
    <t>6_UNMETERED SCATTERED LOAD SERVICE CLASSIFICATION_VR_RR_810</t>
  </si>
  <si>
    <t>7_SENTINEL LIGHTING SERVICE CLASSIFICATION_FX_RR_171</t>
  </si>
  <si>
    <t>7_SENTINEL LIGHTING SERVICE CLASSIFICATION_FX_RR_172</t>
  </si>
  <si>
    <t>7_SENTINEL LIGHTING SERVICE CLASSIFICATION_VR_RR_819</t>
  </si>
  <si>
    <t>8_STREET LIGHTING SERVICE CLASSIFICATION_FX_RR_173</t>
  </si>
  <si>
    <t>8_STREET LIGHTING SERVICE CLASSIFICATION_VR_RR_828</t>
  </si>
  <si>
    <t>1_RESIDENTIAL SERVICE CLASSIFICATION_FX_RR_176</t>
  </si>
  <si>
    <t>1_RESIDENTIAL SERVICE CLASSIFICATION_FX_RR_178</t>
  </si>
  <si>
    <t>2_GENERAL SERVICE LESS THAN 50 KW SERVICE CLASSIFICATION_FX_RR_179</t>
  </si>
  <si>
    <t>2_GENERAL SERVICE LESS THAN 50 KW SERVICE CLASSIFICATION_FX_RR_180</t>
  </si>
  <si>
    <t>3_GENERAL SERVICE 50 to 4,999 kW SERVICE CLASSIFICATION_FX_RR_181</t>
  </si>
  <si>
    <t xml:space="preserve">3_GENERAL SERVICE 50 to 4,999 kW SERVICE CLASSIFICATION_Retail Transmission Rate - Network Service Rate </t>
  </si>
  <si>
    <t xml:space="preserve">3_GENERAL SERVICE 50 to 4,999 kW SERVICE CLASSIFICATION_Retail Transmission Rate - Network Service Rate - Interval Metered </t>
  </si>
  <si>
    <t>4_UNMETERED SCATTERED LOAD SERVICE CLASSIFICATION_FX_RR_182</t>
  </si>
  <si>
    <t>5_SENTINEL LIGHTING SERVICE CLASSIFICATION_FX_RR_183</t>
  </si>
  <si>
    <t>6_STREET LIGHTING SERVICE CLASSIFICATION_FX_RR_184</t>
  </si>
  <si>
    <t>1_RESIDENTIAL SERVICE CLASSIFICATION_FX_RR_193</t>
  </si>
  <si>
    <t>2_GENERAL SERVICE LESS THAN 50 KW SERVICE CLASSIFICATION_VR_RR_932</t>
  </si>
  <si>
    <t>3_GENERAL SERVICE 50 to 4,999 kW SERVICE CLASSIFICATION_FX_RR_199</t>
  </si>
  <si>
    <t>3_GENERAL SERVICE 50 to 4,999 kW SERVICE CLASSIFICATION_VR_RR_933</t>
  </si>
  <si>
    <t>4_UNMETERED SCATTERED LOAD SERVICE CLASSIFICATION_VR_RR_934</t>
  </si>
  <si>
    <t>5_STREET LIGHTING SERVICE CLASSIFICATION_VR_RR_935</t>
  </si>
  <si>
    <t>1_RESIDENTIAL SERVICE CLASSIFICATION_FX_RR_200</t>
  </si>
  <si>
    <t>1_RESIDENTIAL SERVICE CLASSIFICATION_VR_RR_963</t>
  </si>
  <si>
    <t>2_GENERAL SERVICE LESS THAN 50 KW SERVICE CLASSIFICATION_FX_RR_203</t>
  </si>
  <si>
    <t>2_GENERAL SERVICE LESS THAN 50 KW SERVICE CLASSIFICATION_VR_RR_969</t>
  </si>
  <si>
    <t>3_GENERAL SERVICE 50 to 4,999 kW SERVICE CLASSIFICATION_VR_RR_975</t>
  </si>
  <si>
    <t>4_SENTINEL LIGHTING SERVICE CLASSIFICATION_VR_RR_981</t>
  </si>
  <si>
    <t>5_STREET LIGHTING SERVICE CLASSIFICATION_VR_RR_987</t>
  </si>
  <si>
    <t>6_UNMETERED SCATTERED LOAD SERVICE CLASSIFICATION_VR_RR_992</t>
  </si>
  <si>
    <t>1_RESIDENTIAL SERVICE CLASSIFICATION_FX_RR_205</t>
  </si>
  <si>
    <t>2_GENERAL SERVICE LESS THAN 50 KW SERVICE CLASSIFICATION_FX_RR_207</t>
  </si>
  <si>
    <t>2_GENERAL SERVICE LESS THAN 50 KW SERVICE CLASSIFICATION_VR_RR_998</t>
  </si>
  <si>
    <t>3_GENERAL SERVICE 50 to 4,999 kW SERVICE CLASSIFICATION_FX_RR_209</t>
  </si>
  <si>
    <t>3_GENERAL SERVICE 50 to 4,999 kW SERVICE CLASSIFICATION_VR_RR_1002</t>
  </si>
  <si>
    <t>4_GENERAL SERVICE 1,000 TO 4,999 KW (CO-GENERATION) SERVICE CLASSIFICATION_FX_RR_210</t>
  </si>
  <si>
    <t>4_GENERAL SERVICE 1,000 TO 4,999 KW (CO-GENERATION) SERVICE CLASSIFICATION_VR_RR_1005</t>
  </si>
  <si>
    <t>5_STANDBY POWER SERVICE CLASSIFICATION_VR_RR_1006</t>
  </si>
  <si>
    <t>5_STANDBY POWER SERVICE CLASSIFICATION_DVC</t>
  </si>
  <si>
    <t>6_LARGE USE SERVICE CLASSIFICATION_FX_RR_211</t>
  </si>
  <si>
    <t>6_LARGE USE SERVICE CLASSIFICATION_VR_RR_1010</t>
  </si>
  <si>
    <t>7_STREET LIGHTING SERVICE CLASSIFICATION_FX_RR_212</t>
  </si>
  <si>
    <t>7_STREET LIGHTING SERVICE CLASSIFICATION_VR_RR_1014</t>
  </si>
  <si>
    <t>8_SENTINEL LIGHTING SERVICE CLASSIFICATION_FX_RR_213</t>
  </si>
  <si>
    <t>8_SENTINEL LIGHTING SERVICE CLASSIFICATION_VR_RR_1017</t>
  </si>
  <si>
    <t>9_UNMETERED SCATTERED LOAD SERVICE CLASSIFICATION_FX_RR_214</t>
  </si>
  <si>
    <t>9_UNMETERED SCATTERED LOAD SERVICE CLASSIFICATION_VR_RR_1020</t>
  </si>
  <si>
    <t>1_RESIDENTIAL SERVICE CLASSIFICATION_FX_RR_219</t>
  </si>
  <si>
    <t>2_GENERAL SERVICE LESS THAN 50 KW SERVICE CLASSIFICATION_FX_RR_220</t>
  </si>
  <si>
    <t>3_GENERAL SERVICE 50 TO 999 KW SERVICE CLASSIFICATION_FX_RR_221</t>
  </si>
  <si>
    <t>4_GENERAL SERVICE 1,000 TO 4,999 KW SERVICE CLASSIFICATION_FX_RR_222</t>
  </si>
  <si>
    <t>5_LARGE USE SERVICE CLASSIFICATION_FX_RR_223</t>
  </si>
  <si>
    <t>6_UNMETERED SCATTERED LOAD SERVICE CLASSIFICATION_FX_RR_224</t>
  </si>
  <si>
    <t>7_SENTINEL LIGHTING SERVICE CLASSIFICATION_FX_RR_225</t>
  </si>
  <si>
    <t>8_STREET LIGHTING SERVICE CLASSIFICATION_FX_RR_226</t>
  </si>
  <si>
    <t>1_RESIDENTIAL SERVICE CLASSIFICATION_VR_RR_1022</t>
  </si>
  <si>
    <t>2_GENERAL SERVICE LESS THAN 50 KW SERVICE CLASSIFICATION_VR_RR_1024</t>
  </si>
  <si>
    <t>3_GENERAL SERVICE 50 to 4,999 kW SERVICE CLASSIFICATION_VR_RR_1028</t>
  </si>
  <si>
    <t>4_SENTINEL LIGHTING SERVICE CLASSIFICATION_VR_RR_1031</t>
  </si>
  <si>
    <t>5_STREET LIGHTING SERVICE CLASSIFICATION_VR_RR_1034</t>
  </si>
  <si>
    <t>6_UNMETERED SCATTERED LOAD SERVICE CLASSIFICATION_VR_RR_1037</t>
  </si>
  <si>
    <t>1_RESIDENTIAL SERVICE CLASSIFICATION_FX_RR_231</t>
  </si>
  <si>
    <t>1_RESIDENTIAL SERVICE CLASSIFICATION_FX_RR_232</t>
  </si>
  <si>
    <t>1_RESIDENTIAL SERVICE CLASSIFICATION_FX_RR_233</t>
  </si>
  <si>
    <t>1_RESIDENTIAL SERVICE CLASSIFICATION_FX_RR_234</t>
  </si>
  <si>
    <t>1_RESIDENTIAL SERVICE CLASSIFICATION_FX_RR_235</t>
  </si>
  <si>
    <t>1_RESIDENTIAL SERVICE CLASSIFICATION_FX_RR_236</t>
  </si>
  <si>
    <t>2_COMPETITIVE SECTOR MULTI-UNIT RESIDENTIAL SERVICE CLASSIFICATION_FX_RR_239</t>
  </si>
  <si>
    <t>2_COMPETITIVE SECTOR MULTI-UNIT RESIDENTIAL SERVICE CLASSIFICATION_FX_RR_240</t>
  </si>
  <si>
    <t>2_COMPETITIVE SECTOR MULTI-UNIT RESIDENTIAL SERVICE CLASSIFICATION_FX_RR_241</t>
  </si>
  <si>
    <t>2_COMPETITIVE SECTOR MULTI-UNIT RESIDENTIAL SERVICE CLASSIFICATION_FX_RR_242</t>
  </si>
  <si>
    <t>2_COMPETITIVE SECTOR MULTI-UNIT RESIDENTIAL SERVICE CLASSIFICATION_FX_RR_243</t>
  </si>
  <si>
    <t>2_COMPETITIVE SECTOR MULTI-UNIT RESIDENTIAL SERVICE CLASSIFICATION_FX_RR_244</t>
  </si>
  <si>
    <t>3_GENERAL SERVICE LESS THAN 50 KW SERVICE CLASSIFICATION_FX_RR_247</t>
  </si>
  <si>
    <t>3_GENERAL SERVICE LESS THAN 50 KW SERVICE CLASSIFICATION_FX_RR_248</t>
  </si>
  <si>
    <t>3_GENERAL SERVICE LESS THAN 50 KW SERVICE CLASSIFICATION_VR_RR_1048</t>
  </si>
  <si>
    <t>3_GENERAL SERVICE LESS THAN 50 KW SERVICE CLASSIFICATION_VR_RR_1052</t>
  </si>
  <si>
    <t>3_GENERAL SERVICE LESS THAN 50 KW SERVICE CLASSIFICATION_VR_RR_1053</t>
  </si>
  <si>
    <t>3_GENERAL SERVICE LESS THAN 50 KW SERVICE CLASSIFICATION_VR_RR_1054</t>
  </si>
  <si>
    <t>3_GENERAL SERVICE LESS THAN 50 KW SERVICE CLASSIFICATION_VR_RR_1055</t>
  </si>
  <si>
    <t>3_GENERAL SERVICE LESS THAN 50 KW SERVICE CLASSIFICATION_VR_RR_1056</t>
  </si>
  <si>
    <t>3_GENERAL SERVICE LESS THAN 50 KW SERVICE CLASSIFICATION_VR_RR_1057</t>
  </si>
  <si>
    <t>4_GENERAL SERVICE 50 TO 999 KW SERVICE CLASSIFICATION_FX_RR_250</t>
  </si>
  <si>
    <t>4_GENERAL SERVICE 50 TO 999 KW SERVICE CLASSIFICATION_FX_RR_251</t>
  </si>
  <si>
    <t>4_GENERAL SERVICE 50 TO 999 KW SERVICE CLASSIFICATION_VR_RR_1059</t>
  </si>
  <si>
    <t>4_GENERAL SERVICE 50 TO 999 KW SERVICE CLASSIFICATION_VR_RR_1064</t>
  </si>
  <si>
    <t>4_GENERAL SERVICE 50 TO 999 KW SERVICE CLASSIFICATION_VR_RR_1065</t>
  </si>
  <si>
    <t>4_GENERAL SERVICE 50 TO 999 KW SERVICE CLASSIFICATION_VR_RR_1066</t>
  </si>
  <si>
    <t>4_GENERAL SERVICE 50 TO 999 KW SERVICE CLASSIFICATION_VR_RR_1067</t>
  </si>
  <si>
    <t>4_GENERAL SERVICE 50 TO 999 KW SERVICE CLASSIFICATION_VR_RR_1068</t>
  </si>
  <si>
    <t>4_GENERAL SERVICE 50 TO 999 KW SERVICE CLASSIFICATION_VR_RR_1069</t>
  </si>
  <si>
    <t>5_GENERAL SERVICE 1,000 TO 4,999 KW SERVICE CLASSIFICATION_FX_RR_252</t>
  </si>
  <si>
    <t>5_GENERAL SERVICE 1,000 TO 4,999 KW SERVICE CLASSIFICATION_FX_RR_253</t>
  </si>
  <si>
    <t>5_GENERAL SERVICE 1,000 TO 4,999 KW SERVICE CLASSIFICATION_VR_RR_1071</t>
  </si>
  <si>
    <t>5_GENERAL SERVICE 1,000 TO 4,999 KW SERVICE CLASSIFICATION_VR_RR_1076</t>
  </si>
  <si>
    <t>5_GENERAL SERVICE 1,000 TO 4,999 KW SERVICE CLASSIFICATION_VR_RR_1077</t>
  </si>
  <si>
    <t>5_GENERAL SERVICE 1,000 TO 4,999 KW SERVICE CLASSIFICATION_VR_RR_1078</t>
  </si>
  <si>
    <t>5_GENERAL SERVICE 1,000 TO 4,999 KW SERVICE CLASSIFICATION_VR_RR_1079</t>
  </si>
  <si>
    <t>5_GENERAL SERVICE 1,000 TO 4,999 KW SERVICE CLASSIFICATION_VR_RR_1080</t>
  </si>
  <si>
    <t>5_GENERAL SERVICE 1,000 TO 4,999 KW SERVICE CLASSIFICATION_VR_RR_1081</t>
  </si>
  <si>
    <t>6_LARGE USE SERVICE CLASSIFICATION_FX_RR_254</t>
  </si>
  <si>
    <t>6_LARGE USE SERVICE CLASSIFICATION_FX_RR_255</t>
  </si>
  <si>
    <t>6_LARGE USE SERVICE CLASSIFICATION_VR_RR_1083</t>
  </si>
  <si>
    <t>6_LARGE USE SERVICE CLASSIFICATION_VR_RR_1088</t>
  </si>
  <si>
    <t>6_LARGE USE SERVICE CLASSIFICATION_VR_RR_1089</t>
  </si>
  <si>
    <t>6_LARGE USE SERVICE CLASSIFICATION_VR_RR_1090</t>
  </si>
  <si>
    <t>6_LARGE USE SERVICE CLASSIFICATION_VR_RR_1091</t>
  </si>
  <si>
    <t>6_LARGE USE SERVICE CLASSIFICATION_VR_RR_1092</t>
  </si>
  <si>
    <t>6_LARGE USE SERVICE CLASSIFICATION_VR_RR_1093</t>
  </si>
  <si>
    <t>8_UNMETERED SCATTERED LOAD SERVICE CLASSIFICATION_FX_RR_256</t>
  </si>
  <si>
    <t>8_UNMETERED SCATTERED LOAD SERVICE CLASSIFICATION_FX_RR_257</t>
  </si>
  <si>
    <t>8_UNMETERED SCATTERED LOAD SERVICE CLASSIFICATION_FX_RR_258</t>
  </si>
  <si>
    <t>8_UNMETERED SCATTERED LOAD SERVICE CLASSIFICATION_FX_RR_259</t>
  </si>
  <si>
    <t>8_UNMETERED SCATTERED LOAD SERVICE CLASSIFICATION_VR_RR_1095</t>
  </si>
  <si>
    <t>8_UNMETERED SCATTERED LOAD SERVICE CLASSIFICATION_VR_RR_1098</t>
  </si>
  <si>
    <t>8_UNMETERED SCATTERED LOAD SERVICE CLASSIFICATION_VR_RR_1099</t>
  </si>
  <si>
    <t>8_UNMETERED SCATTERED LOAD SERVICE CLASSIFICATION_VR_RR_1100</t>
  </si>
  <si>
    <t>8_UNMETERED SCATTERED LOAD SERVICE CLASSIFICATION_VR_RR_1101</t>
  </si>
  <si>
    <t>8_UNMETERED SCATTERED LOAD SERVICE CLASSIFICATION_VR_RR_1102</t>
  </si>
  <si>
    <t>8_UNMETERED SCATTERED LOAD SERVICE CLASSIFICATION_VR_RR_1103</t>
  </si>
  <si>
    <t>9_STREET LIGHTING SERVICE CLASSIFICATION_VR_RR_1105</t>
  </si>
  <si>
    <t>9_STREET LIGHTING SERVICE CLASSIFICATION_VR_RR_1108</t>
  </si>
  <si>
    <t>9_STREET LIGHTING SERVICE CLASSIFICATION_VR_RR_1109</t>
  </si>
  <si>
    <t>9_STREET LIGHTING SERVICE CLASSIFICATION_VR_RR_1110</t>
  </si>
  <si>
    <t>9_STREET LIGHTING SERVICE CLASSIFICATION_VR_RR_1111</t>
  </si>
  <si>
    <t>9_STREET LIGHTING SERVICE CLASSIFICATION_VR_RR_1112</t>
  </si>
  <si>
    <t>3_GENERAL SERVICE 50 to 4,999 kW SERVICE CLASSIFICATION_Retail Transmission Rate - Network Service Rate - (less than 1,000 kW)</t>
  </si>
  <si>
    <t>3_GENERAL SERVICE 50 to 4,999 kW SERVICE CLASSIFICATION_Retail Transmission Rate - Network Service Rate - Interval Metered (less than 1,000 kW)</t>
  </si>
  <si>
    <t>3_GENERAL SERVICE 50 to 4,999 kW SERVICE CLASSIFICATION_Retail Transmission Rate - Network Service Rate - Interval Metered (1,000 to 4,999 kW)</t>
  </si>
  <si>
    <t>3_GENERAL SERVICE 50 to 4,999 kW SERVICE CLASSIFICATION_Retail Transmission Rate - Line and Transformation Connection Service Rate - (less than 1,000 kW)</t>
  </si>
  <si>
    <t>3_GENERAL SERVICE 50 to 4,999 kW SERVICE CLASSIFICATION_Retail Transmission Rate - Line and Trans. Connection Service Rate - Interval Metered (less than 1,000 kW)</t>
  </si>
  <si>
    <t>3_GENERAL SERVICE 50 to 4,999 kW SERVICE CLASSIFICATION_Retail Transmission Rate - Line and Trans. Connection Service Rate - Interval Metered (1,000 to 4,999 kW)</t>
  </si>
  <si>
    <t>1_RESIDENTIAL SERVICE CLASSIFICATION_FX_RR_264</t>
  </si>
  <si>
    <t>2_GENERAL SERVICE LESS THAN 50 KW SERVICE CLASSIFICATION_FX_RR_265</t>
  </si>
  <si>
    <t>2_GENERAL SERVICE LESS THAN 50 KW SERVICE CLASSIFICATION_VR_RR_1177</t>
  </si>
  <si>
    <t>3_GENERAL SERVICE 50 TO 999 KW SERVICE CLASSIFICATION_FX_RR_266</t>
  </si>
  <si>
    <t>3_GENERAL SERVICE 50 TO 999 KW SERVICE CLASSIFICATION_VR_RR_1178</t>
  </si>
  <si>
    <t>4_GENERAL SERVICE 1,000 TO 4,999 KW SERVICE CLASSIFICATION_FX_RR_267</t>
  </si>
  <si>
    <t>4_GENERAL SERVICE 1,000 TO 4,999 KW SERVICE CLASSIFICATION_VR_RR_1179</t>
  </si>
  <si>
    <t>5_UNMETERED SCATTERED LOAD SERVICE CLASSIFICATION_FX_RR_268</t>
  </si>
  <si>
    <t>5_UNMETERED SCATTERED LOAD SERVICE CLASSIFICATION_VR_RR_1180</t>
  </si>
  <si>
    <t>6_SENTINEL LIGHTING SERVICE CLASSIFICATION_FX_RR_269</t>
  </si>
  <si>
    <t>6_SENTINEL LIGHTING SERVICE CLASSIFICATION_VR_RR_1181</t>
  </si>
  <si>
    <t>7_STREET LIGHTING SERVICE CLASSIFICATION_FX_RR_270</t>
  </si>
  <si>
    <t>7_STREET LIGHTING SERVICE CLASSIFICATION_VR_RR_1182</t>
  </si>
  <si>
    <t>Westario Power Inc._Start</t>
  </si>
  <si>
    <t>Effective and Implementation Date June 1, 2018</t>
  </si>
  <si>
    <t>EB-2017-0084</t>
  </si>
  <si>
    <t>This classification refers to customers residing in residential dwelling units taking energy at 600 volts or less, with energy generally supplied as single phase, 3-wire, 60 Hertz, having a nominal voltage of 120/240 volts. Class B consumers are defined in accordance with O. Reg. 429/04. Further servicing details are available in the distributor’s Conditions of Service.</t>
  </si>
  <si>
    <t>Rate Rider for Disposition of Group 2 Deferral/Variance Accounts (2018) - effective until May 31, 2020</t>
  </si>
  <si>
    <t>Rate Rider for Disposition of Deferral/Variance Accounts (2018) - effective until May 31, 2020</t>
  </si>
  <si>
    <t>Rate Rider for Disposition of Lost Revenue Adjustment Mechanism Variance Account (LRAMVA) (2018) - effective until May 31, 2020</t>
  </si>
  <si>
    <t>This classification refers to general service buildings, defined as buildings that are used for purposes other than single-family dwellings, taking energy at 600 volts or less, requiring a connection with a connected load of less than 50 kW, and including Town Houses and Condominiums that require centralized bulk metering, whose average monthly maximum demand is less than, or is forecast to be less than, 50 kW.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</si>
  <si>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requiring a connection with a connected load greater than 50 kW but less than 5,000 kW,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</si>
  <si>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 xml:space="preserve">Rate Rider for Disposition of Deferral/Variance Accounts (2018) - effective until May 31, 2020 - Applicable only for Non-Wholesale Market Participants </t>
  </si>
  <si>
    <t>This classification refers to an account taking electricity at 600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</si>
  <si>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</si>
  <si>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Westario Power Inc._ALLOWANCES</t>
  </si>
  <si>
    <t>Westario Power Inc._SSC</t>
  </si>
  <si>
    <t>Westario Power Inc._CA</t>
  </si>
  <si>
    <t>Westario Power Inc._NPoA</t>
  </si>
  <si>
    <t xml:space="preserve">      Specific Charge for Access to the Power Poles - $/pole/year (with the exception of wireless attachments)                  - in effect until August 31, 2018</t>
  </si>
  <si>
    <t xml:space="preserve">      Specific Charge for Access to the Power Poles - $/pole/year (with the exception of wireless attachments)                  - in effect from September 1, 2018 until December 31, 2018</t>
  </si>
  <si>
    <t>Westario Power Inc._RSC</t>
  </si>
  <si>
    <t>Westario Power Inc._LFs</t>
  </si>
  <si>
    <t>Westario Power Inc._End</t>
  </si>
  <si>
    <t>1_RESIDENTIAL SERVICE CLASSIFICATION_FX_RR_277</t>
  </si>
  <si>
    <t>1_RESIDENTIAL SERVICE CLASSIFICATION_FX_RR_278</t>
  </si>
  <si>
    <t>1_RESIDENTIAL SERVICE CLASSIFICATION_VR_RR_1230</t>
  </si>
  <si>
    <t>1_RESIDENTIAL SERVICE CLASSIFICATION_VR_RR_1233</t>
  </si>
  <si>
    <t>2_GENERAL SERVICE LESS THAN 50 KW SERVICE CLASSIFICATION_FX_RR_279</t>
  </si>
  <si>
    <t>2_GENERAL SERVICE LESS THAN 50 KW SERVICE CLASSIFICATION_FX_RR_280</t>
  </si>
  <si>
    <t>2_GENERAL SERVICE LESS THAN 50 KW SERVICE CLASSIFICATION_VR_RR_1235</t>
  </si>
  <si>
    <t>2_GENERAL SERVICE LESS THAN 50 KW SERVICE CLASSIFICATION_VR_RR_1238</t>
  </si>
  <si>
    <t>3_GENERAL SERVICE 50 TO 999 KW SERVICE CLASSIFICATION_FX_RR_281</t>
  </si>
  <si>
    <t>3_GENERAL SERVICE 50 TO 999 KW SERVICE CLASSIFICATION_VR_RR_1240</t>
  </si>
  <si>
    <t>3_GENERAL SERVICE 50 TO 999 KW SERVICE CLASSIFICATION_VR_RR_1244</t>
  </si>
  <si>
    <t>4_GENERAL SERVICE GREATER THAN 1,000 KW SERVICE CLASSIFICATION_FX_RR_282</t>
  </si>
  <si>
    <t>4_GENERAL SERVICE GREATER THAN 1,000 KW SERVICE CLASSIFICATION_VR_RR_1246</t>
  </si>
  <si>
    <t>4_GENERAL SERVICE GREATER THAN 1,000 KW SERVICE CLASSIFICATION_VR_RR_1249</t>
  </si>
  <si>
    <t>5_UNMETERED SCATTERED LOAD SERVICE CLASSIFICATION_FX_RR_283</t>
  </si>
  <si>
    <t>5_UNMETERED SCATTERED LOAD SERVICE CLASSIFICATION_VR_RR_1251</t>
  </si>
  <si>
    <t>5_UNMETERED SCATTERED LOAD SERVICE CLASSIFICATION_VR_RR_1254</t>
  </si>
  <si>
    <t>6_STREET LIGHTING SERVICE CLASSIFICATION_FX_RR_284</t>
  </si>
  <si>
    <t>6_STREET LIGHTING SERVICE CLASSIFICATION_VR_RR_1256</t>
  </si>
  <si>
    <t>6_STREET LIGHTING SERVICE CLASSIFICATION_VR_RR_1259</t>
  </si>
  <si>
    <t>Please select the Year the Account 1580 CBR Class B was Last Disposed.</t>
  </si>
  <si>
    <t>ALECTRA UTILITIES CORPORATION_BRAMPTON RATE ZONE_EMBEDDED DISTRIBUTOR SERVICE CLASSIFICATION</t>
  </si>
  <si>
    <t>ALECTRA UTILITIES CORPORATION_ENERSOURCE RATE ZONE_GENERAL SERVICE 50 TO 499 KW SERVICE CLASSIFICATION</t>
  </si>
  <si>
    <t>ALECTRA UTILITIES CORPORATION_ENERSOURCE RATE ZONE_GENERAL SERVICE 500 TO 4,999 KW SERVICE CLASSIFICATION</t>
  </si>
  <si>
    <t>ALECTRA UTILITIES CORPORATION_HORIZON RATE ZONE_GENERAL SERVICE 50 TO 4,999 KW SERVICE CLASSIFICATION</t>
  </si>
  <si>
    <t>ALECTRA UTILITIES CORPORATION_BRAMPTON RATE ZONE_ENERGY FROM WASTE SERVICE CLASSIFICATION</t>
  </si>
  <si>
    <t>ALECTRA UTILITIES CORPORATION_BRAMPTON RATE ZONE_GENERAL SERVICE 50 TO 699 KW SERVICE CLASSIFICATION</t>
  </si>
  <si>
    <t>ALECTRA UTILITIES CORPORATION_BRAMPTON RATE ZONE_GENERAL SERVICE 700 TO 4,999 KW SERVICE CLASSIFICATION</t>
  </si>
  <si>
    <t>ALECTRA UTILITIES CORPORATION_POWERSTREAM RATE ZONE_GENERAL SERVICE 50 TO 4,999 KW SERVICE CLASSIFICATION</t>
  </si>
  <si>
    <t>ALECTRA UTILITIES CORPORATION_ENERSOURCE RATE ZONE_GENERAL SERVICE LESS THAN 50 KW SERVICE CLASSIFICATION</t>
  </si>
  <si>
    <t>ALECTRA UTILITIES CORPORATION_HORIZON RATE ZONE_GENERAL SERVICE LESS THAN 50 KW SERVICE CLASSIFICATION</t>
  </si>
  <si>
    <t>ALECTRA UTILITIES CORPORATION_BRAMPTON RATE ZONE_DISTRIBUTED GENERATION [DGEN] SERVICE CLASSIFICATION</t>
  </si>
  <si>
    <t>ALECTRA UTILITIES CORPORATION_BRAMPTON RATE ZONE_GENERAL SERVICE LESS THAN 50 KW SERVICE CLASSIFICATION</t>
  </si>
  <si>
    <t>ALECTRA UTILITIES CORPORATION_POWERSTREAM RATE ZONE_GENERAL SERVICE LESS THAN 50 KW SERVICE CLASSIFICATION</t>
  </si>
  <si>
    <t>ALECTRA UTILITIES CORPORATION_ENERSOURCE RATE ZONE_LARGE USE SERVICE CLASSIFICATION</t>
  </si>
  <si>
    <t>ALECTRA UTILITIES CORPORATION_HORIZON RATE ZONE_LARGE USE SERVICE CLASSIFICATION</t>
  </si>
  <si>
    <t>ALECTRA UTILITIES CORPORATION_HORIZON RATE ZONE_LARGE USE WITH DEDICATED ASSETS SERVICE CLASSIFICATION</t>
  </si>
  <si>
    <t>ALECTRA UTILITIES CORPORATION_BRAMPTON RATE ZONE_LARGE USE SERVICE CLASSIFICATION</t>
  </si>
  <si>
    <t>ALECTRA UTILITIES CORPORATION_POWERSTREAM RATE ZONE_LARGE USE SERVICE CLASSIFICATION</t>
  </si>
  <si>
    <t>ALECTRA UTILITIES CORPORATION_ENERSOURCE RATE ZONE_RESIDENTIAL SERVICE CLASSIFICATION</t>
  </si>
  <si>
    <t>ALECTRA UTILITIES CORPORATION_HORIZON RATE ZONE_RESIDENTIAL SERVICE CLASSIFICATION</t>
  </si>
  <si>
    <t>ALECTRA UTILITIES CORPORATION_BRAMPTON RATE ZONE_RESIDENTIAL SERVICE CLASSIFICATION</t>
  </si>
  <si>
    <t>ALECTRA UTILITIES CORPORATION_POWERSTREAM RATE ZONE_RESIDENTIAL SERVICE CLASSIFICATION</t>
  </si>
  <si>
    <t>ALECTRA UTILITIES CORPORATION_HORIZON RATE ZONE_SENTINEL LIGHTING SERVICE CLASSIFICATION</t>
  </si>
  <si>
    <t>ALECTRA UTILITIES CORPORATION_POWERSTREAM RATE ZONE_SENTINEL LIGHTING SERVICE CLASSIFICATION</t>
  </si>
  <si>
    <t>ALECTRA UTILITIES CORPORATION_ENERSOURCE RATE ZONE_STREET LIGHTING SERVICE CLASSIFICATION</t>
  </si>
  <si>
    <t>ALECTRA UTILITIES CORPORATION_HORIZON RATE ZONE_STREET LIGHTING SERVICE CLASSIFICATION</t>
  </si>
  <si>
    <t>ALECTRA UTILITIES CORPORATION_BRAMPTON RATE ZONE_STREET LIGHTING SERVICE CLASSIFICATION</t>
  </si>
  <si>
    <t>ALECTRA UTILITIES CORPORATION_POWERSTREAM RATE ZONE_STREET LIGHTING SERVICE CLASSIFICATION</t>
  </si>
  <si>
    <t>ALECTRA UTILITIES CORPORATION_ENERSOURCE RATE ZONE_UNMETERED SCATTERED LOAD SERVICE CLASSIFICATION</t>
  </si>
  <si>
    <t>ALECTRA UTILITIES CORPORATION_HORIZON RATE ZONE_UNMETERED SCATTERED LOAD SERVICE CLASSIFICATION</t>
  </si>
  <si>
    <t>ALECTRA UTILITIES CORPORATION_BRAMPTON RATE ZONE_UNMETERED SCATTERED LOAD SERVICE CLASSIFICATION</t>
  </si>
  <si>
    <t>ALECTRA UTILITIES CORPORATION_POWERSTREAM RATE ZONE_UNMETERED SCATTERED LOAD SERVICE CLASSIFICATION</t>
  </si>
  <si>
    <t>ENERGY+ INC._FOR FORMER CAMBRIDGE AND NORTH DUMFRIES HYDRO SERVICE AREA_EMBEDDED DISTRIBUTOR SERVICE CLASSIFICATION</t>
  </si>
  <si>
    <t>ENERGY+ INC._FOR FORMER BRANT COUNTY POWER SERVICE AREA_GENERAL SERVICE 50 TO 4,999 KW SERVICE CLASSIFICATION</t>
  </si>
  <si>
    <t>ENERGY+ INC._FOR FORMER CAMBRIDGE AND NORTH DUMFRIES HYDRO SERVICE AREA_GENERAL SERVICE 1,000 TO 4,999 KW SERVICE CLASSIFICATION</t>
  </si>
  <si>
    <t>ENERGY+ INC._FOR FORMER CAMBRIDGE AND NORTH DUMFRIES HYDRO SERVICE AREA_GENERAL SERVICE 50 TO 999 KW SERVICE CLASSIFICATION</t>
  </si>
  <si>
    <t>ENERGY+ INC._FOR FORMER BRANT COUNTY POWER SERVICE AREA_GENERAL SERVICE LESS THAN 50 KW SERVICE CLASSIFICATION</t>
  </si>
  <si>
    <t>ENERGY+ INC._FOR FORMER CAMBRIDGE AND NORTH DUMFRIES HYDRO SERVICE AREA_GENERAL SERVICE LESS THAN 50 KW SERVICE CLASSIFICATION</t>
  </si>
  <si>
    <t>ENERGY+ INC._FOR FORMER CAMBRIDGE AND NORTH DUMFRIES HYDRO SERVICE AREA_LARGE USE SERVICE CLASSIFICATION</t>
  </si>
  <si>
    <t>ENERGY+ INC._FOR FORMER NO RATE CLASS SERVICE CLASSIFICATION</t>
  </si>
  <si>
    <t>ENERGY+ INC._FOR FORMER BRANT COUNTY POWER SERVICE AREA_RESIDENTIAL SERVICE CLASSIFICATION</t>
  </si>
  <si>
    <t>ENERGY+ INC._FOR FORMER CAMBRIDGE AND NORTH DUMFRIES HYDRO SERVICE AREA_RESIDENTIAL SERVICE CLASSIFICATION</t>
  </si>
  <si>
    <t>ENERGY+ INC._FOR FORMER BRANT COUNTY POWER SERVICE AREA_SENTINEL LIGHTING SERVICE CLASSIFICATION</t>
  </si>
  <si>
    <t>ENERGY+ INC._FOR FORMER BRANT COUNTY POWER SERVICE AREA_STREET LIGHTING SERVICE CLASSIFICATION</t>
  </si>
  <si>
    <t>ENERGY+ INC._FOR FORMER CAMBRIDGE AND NORTH DUMFRIES HYDRO SERVICE AREA_STREET LIGHTING SERVICE CLASSIFICATION</t>
  </si>
  <si>
    <t>ENERGY+ INC._FOR FORMER BRANT COUNTY POWER SERVICE AREA_UNMETERED SCATTERED LOAD SERVICE CLASSIFICATION</t>
  </si>
  <si>
    <t>ENERGY+ INC._FOR FORMER CAMBRIDGE AND NORTH DUMFRIES HYDRO SERVICE AREA_UNMETERED SCATTERED LOAD SERVICE CLASSIFICATION</t>
  </si>
  <si>
    <t>LAKELAND POWER DISTRIBUTION LTD._EXEPT FOR THE FORMER PARRY SOUND POWER SERVICE ARE_AGENERAL SERVICE 50 TO 4,999 KW SERVICE CLASSIFICATION</t>
  </si>
  <si>
    <t>LAKELAND POWER DISTRIBUTION LTD._FOR FORMER PARRY SOUND POWER SERVICE AREA_GENERAL SERVICE 50 TO 4,999 KW SERVICE CLASSIFICATION</t>
  </si>
  <si>
    <t>LAKELAND POWER DISTRIBUTION LTD._EXEPT FOR THE FORMER PARRY SOUND POWER SERVICE AREA_GENERAL SERVICE LESS THAN 50 KW SERVICE CLASSIFICATION</t>
  </si>
  <si>
    <t>LAKELAND POWER DISTRIBUTION LTD._FOR FORMER PARRY SOUND POWER SERVICE AREA_GENERAL SERVICE LESS THAN 50 KW SERVICE CLASSIFICATION</t>
  </si>
  <si>
    <t>LAKELAND POWER DISTRIBUTION LTD._FOR FORMER PARRY SOUND POWER SERVICE AREA_RESIDENTIAL SERVICE CLASSIFICATION</t>
  </si>
  <si>
    <t>LAKELAND POWER DISTRIBUTION LTD._EXEPT FOR THE FORMER PARRY SOUND POWER SERVICE AREA_RESIDENTIAL SERVICE CLASSIFICATION</t>
  </si>
  <si>
    <t>LAKELAND POWER DISTRIBUTION LTD._FOR FORMER PARRY SOUND POWER SERVICE AREA_SENTINEL LIGHTING SERVICE CLASSIFICATION</t>
  </si>
  <si>
    <t>LAKELAND POWER DISTRIBUTION LTD._EXEPT FOR THE FORMER PARRY SOUND POWER SERVICE AREA_SENTINEL LIGHTING SERVICE CLASSIFICATION</t>
  </si>
  <si>
    <t>LAKELAND POWER DISTRIBUTION LTD._FOR FORMER PARRY SOUND POWER SERVICE AREA_STREET LIGHTING SERVICE CLASSIFICATION</t>
  </si>
  <si>
    <t>LAKELAND POWER DISTRIBUTION LTD._EXEPT FOR THE FORMER PARRY SOUND POWER SERVICE AREA_STREET LIGHTING SERVICE CLASSIFICATION</t>
  </si>
  <si>
    <t>LAKELAND POWER DISTRIBUTION LTD._FOR FORMER PARRY SOUND POWER SERVICE AREA_UNMETERED SCATTERED LOAD SERVICE CLASSIFICATION</t>
  </si>
  <si>
    <t>LAKELAND POWER DISTRIBUTION LTD._EXEPT FOR THE FORMER PARRY SOUND POWER SERVICE AREA_UNMETERED SCATTERED LOAD SERVICE CLASSIFICATION</t>
  </si>
  <si>
    <t>PUC Distribution Inc._Start</t>
  </si>
  <si>
    <t>EB-2016-0102</t>
  </si>
  <si>
    <t>This classification applies to an account taking electricity at 750 volts or less where the electricity is used exclusively in a single family unit, non-commercial.  This can be a separately metered living accommodation, town house, apartment, semi-detached, duplex, triplex or quadruplex with residential zoning.  Further servicing details are available in the distributor's Conditions of Service.</t>
  </si>
  <si>
    <t>Rate Rider for Application of Tax Change (2019) - effective until April 30, 2018</t>
  </si>
  <si>
    <t>Rate Rider for Disposition of Lost Revenue Adjustment Mechanism Variance Account (LRAMVA) (2019)
      - effective until April 30, 2018</t>
  </si>
  <si>
    <t>Ontario Electricity Support Program Charge (OESP)</t>
  </si>
  <si>
    <t>1_RESIDENTIAL SERVICE CLASSIFICATION_OESPR</t>
  </si>
  <si>
    <t>In this class:
“Aboriginal person” includes a person who is a First Nations person, a Métis person or an Inuit person;
“account-holder” means a consumer who has an account with a distributor that falls within a residential-rate classification as specified in a rate order made by the Ontario Energy Board under section 78 of the Act, and who lives at the service address to which the account relates for at least six months in a year;
“electricity-intensive medical device” means an oxygen concentrator, a mechanical ventilator, or such other device as may be specified by the Ontario Energy Board;
“household” means the account-holder and any other people living at the accountholder’s service address for at least six months in a year, including people other than the account-holder’s spouse, children or other relatives;
“household income” means the combined annual after-tax income of all members of a household aged 16 or over;</t>
  </si>
  <si>
    <t>2_MRC</t>
  </si>
  <si>
    <t>This classification applies to a non residential account taking electricity at 750 volts or less whose average monthly peak demand is less than, or is forecast to be less than, 50 kW.  Further servicing details are available in the distributor's Conditions of Service.</t>
  </si>
  <si>
    <t>3_GENERAL SERVICE LESS THAN 50 KW SERVICE CLASSIFICATION_OESPR</t>
  </si>
  <si>
    <t>This classification applies to a non residential account whose average monthly peak demand used for billing purposes over the past 12 months is equal to or greater than, or is forecast to be equal to or greater than, 50 kW but less than 5,000 kW.  Further servicing details are available in the distributor's Conditions of Service.</t>
  </si>
  <si>
    <t>4_GENERAL SERVICE 50 to 4,999 kW SERVICE CLASSIFICATION_LRAM</t>
  </si>
  <si>
    <t>4_GENERAL SERVICE 50 to 4,999 kW SERVICE CLASSIFICATION_STS</t>
  </si>
  <si>
    <t>4_GENERAL SERVICE 50 to 4,999 kW SERVICE CLASSIFICATION_OESPR</t>
  </si>
  <si>
    <t>This classification applies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Further servicing details are available in the Distributor's Conditions of Service.</t>
  </si>
  <si>
    <t>5_UNMETERED SCATTERED LOAD SERVICE CLASSIFICATION_OESPR</t>
  </si>
  <si>
    <t>This classification applies to safety/security lighting with a Residential or General Service customer.  This is typically exterior lighting, and unmetered.  Consumption is estimated based on the equipment rating and estimated hours of use.  Further servicing details are available in the distributor's Conditions of Service.</t>
  </si>
  <si>
    <t>6_SENTINEL LIGHTING SERVICE CLASSIFICATION_OESPR</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</si>
  <si>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</si>
  <si>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7_STREET LIGHTING SERVICE CLASSIFICATION_OESPR</t>
  </si>
  <si>
    <t>PUC Distribution Inc._ALLOWANCES</t>
  </si>
  <si>
    <t>PUC Distribution Inc._SSC</t>
  </si>
  <si>
    <t>PUC Distribution Inc._CA</t>
  </si>
  <si>
    <t>PUC Distribution Inc._NPoA</t>
  </si>
  <si>
    <t>Disconnect/reconnect charge - at meter - after hours</t>
  </si>
  <si>
    <t>Disconnect/reconnect charge - at pole - during regular hours</t>
  </si>
  <si>
    <t>Disconnect/reconnect charge - at pole - after hours</t>
  </si>
  <si>
    <t>Time &amp; Materials</t>
  </si>
  <si>
    <t>Removal of overhead lines - during regular hours</t>
  </si>
  <si>
    <t>Removal of overhead lines - after hours</t>
  </si>
  <si>
    <t>Roadway escort - after regular hours</t>
  </si>
  <si>
    <t>PUC Distribution Inc._RSC</t>
  </si>
  <si>
    <t>PUC Distribution Inc._LFs</t>
  </si>
  <si>
    <t>PUC Distribution Inc._End</t>
  </si>
  <si>
    <t>Chapleau Public Utilities Corporation_Start</t>
  </si>
  <si>
    <t>EB-2014-0063</t>
  </si>
  <si>
    <t>This classification refers to an account taking electricity at 750 volts or less where the electricity is used exclusively by a single family unit, non-commercial. This can be a separately metered living accommodation, town-house, apartment, semi-detached, duplex, triplex or quadruplex with residential zoning. Further servicing details are available in the distributor's Conditions of Service.</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</si>
  <si>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</si>
  <si>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</si>
  <si>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</si>
  <si>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2_GENERAL SERVICE LESS THAN 50 kW SERVICE CLASSIFICATION</t>
  </si>
  <si>
    <t>This classification refers to a non residential account taking electricity at 750 volts or less whose average monthly average peak demand is less than, or is forecast to be less than, 50 kW. Further servicing details are available in the distributor's Conditions of Service.</t>
  </si>
  <si>
    <t>2_GENERAL SERVICE LESS THAN 50 kW SERVICE CLASSIFICATION_MSC</t>
  </si>
  <si>
    <t>2_GENERAL SERVICE LESS THAN 50 kW SERVICE CLASSIFICATION_SME</t>
  </si>
  <si>
    <t>2_GENERAL SERVICE LESS THAN 50 kW SERVICE CLASSIFICATION_DVC</t>
  </si>
  <si>
    <t>2_GENERAL SERVICE LESS THAN 50 kW SERVICE CLASSIFICATION_LV</t>
  </si>
  <si>
    <t>2_GENERAL SERVICE LESS THAN 50 kW SERVICE CLASSIFICATION_Retail Transmission Rate - Network Service Rate</t>
  </si>
  <si>
    <t>2_GENERAL SERVICE LESS THAN 50 kW SERVICE CLASSIFICATION_Retail Transmission Rate - Line and Transformation Connection Service Rate</t>
  </si>
  <si>
    <t>2_GENERAL SERVICE LESS THAN 50 kW SERVICE CLASSIFICATION_WMSR</t>
  </si>
  <si>
    <t>2_GENERAL SERVICE LESS THAN 50 kW SERVICE CLASSIFICATION_RRRP</t>
  </si>
  <si>
    <t>2_GENERAL SERVICE LESS THAN 50 kW SERVICE CLASSIFICATION_SSS</t>
  </si>
  <si>
    <t>3_GENERAL SERVICE 50 TO 4,999 KW SERVICE CLASSIFICATION</t>
  </si>
  <si>
    <t>This classification refers to a non-residential account whose monthly average peak demand is equal to or greater than, or is forecast to be equal to or greater than, 50 kW but less than 5,000 kW. Further servicing details are available in the distributor's Conditions of Service.</t>
  </si>
  <si>
    <t>3_GENERAL SERVICE 50 TO 4,999 KW SERVICE CLASSIFICATION_MSC</t>
  </si>
  <si>
    <t>3_GENERAL SERVICE 50 TO 4,999 KW SERVICE CLASSIFICATION_DVC</t>
  </si>
  <si>
    <t>3_GENERAL SERVICE 50 TO 4,999 KW SERVICE CLASSIFICATION_LV</t>
  </si>
  <si>
    <t>3_GENERAL SERVICE 50 TO 4,999 KW SERVICE CLASSIFICATION_Retail Transmission Rate - Network Service Rate</t>
  </si>
  <si>
    <t>3_GENERAL SERVICE 50 TO 4,999 KW SERVICE CLASSIFICATION_Retail Transmission Rate - Line and Transformation Connection Service Rate</t>
  </si>
  <si>
    <t>3_GENERAL SERVICE 50 TO 4,999 KW SERVICE CLASSIFICATION_WMSR</t>
  </si>
  <si>
    <t>3_GENERAL SERVICE 50 TO 4,999 KW SERVICE CLASSIFICATION_RRRP</t>
  </si>
  <si>
    <t>3_GENERAL SERVICE 50 TO 4,999 KW SERVICE CLASSIFICATION_SSS</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</si>
  <si>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</si>
  <si>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</si>
  <si>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This classification applies to an electricity generation facility contracted under the Ontario Power Authority's microFIT program and connected to the distributor's distribution system.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</si>
  <si>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execpt as permitted by this schedule, unless required by the Distributor's Licence or a Code or Order of the Board, and amendments thereto as approved by the Board, or as specified herein.</t>
  </si>
  <si>
    <t>Chapleau Public Utilities Corporation_ALLOWANCES</t>
  </si>
  <si>
    <t>Chapleau Public Utilities Corporation_SSC</t>
  </si>
  <si>
    <t xml:space="preserve">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</si>
  <si>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</si>
  <si>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Chapleau Public Utilities Corporation_CA</t>
  </si>
  <si>
    <t>Chapleau Public Utilities Corporation_NPoA</t>
  </si>
  <si>
    <t>Chapleau Public Utilities Corporation_RSC</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</si>
  <si>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</si>
  <si>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</si>
  <si>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 xml:space="preserve">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 </t>
  </si>
  <si>
    <t>Chapleau Public Utilities Corporation_LFs</t>
  </si>
  <si>
    <t>Chapleau Public Utilities Corporation_End</t>
  </si>
  <si>
    <t>Erie Thames Powerlines Corporation_Start</t>
  </si>
  <si>
    <t>EB-2016-0068</t>
  </si>
  <si>
    <t>This classification refers to the supply of electrical energy to customers residing in residential dwelling units.  Class B consumers are defined in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</si>
  <si>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</si>
  <si>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 xml:space="preserve">Wholesale Market Service Rate (WMS) - Not including CBR </t>
  </si>
  <si>
    <t>This classification refers to the supply of electrical energy to General Service buildings requiring a connection with a connected load less than 50 kW, and, Town Houses and Condominiums described in section 3.1.9 of the Distributor's Conditions of Service that require centralized bulk metering.  General Service buildings are defined as buildings that are used for purposes other than single family dwellings. Class B consumers are defined in in accordance with O. Reg. 429/04. Further servicing details are available in the distributor's Conditions of Service.</t>
  </si>
  <si>
    <t>Wholesale Market Service Rate (WMS) - Not including CBR</t>
  </si>
  <si>
    <t>3_GENERAL SERVICE 50 TO 999 kW SERVICE CLASSIFICATION</t>
  </si>
  <si>
    <t>This classification refers to the supply of electrical energy to General Service customers requiring a connection with a connected load, or whose average monthly maximum demand used for billing purposes, is equal to or greater than 50 kW but less than 1000 kW. Class B consumers are defined in in accordance with O. Reg. 429/04. Further servicing details are available in the distributor's Conditions of Service.</t>
  </si>
  <si>
    <t>3_GENERAL SERVICE 50 TO 999 kW SERVICE CLASSIFICATION_MSC</t>
  </si>
  <si>
    <t>3_GENERAL SERVICE 50 TO 999 kW SERVICE CLASSIFICATION_DVC</t>
  </si>
  <si>
    <t>3_GENERAL SERVICE 50 TO 999 kW SERVICE CLASSIFICATION_LV</t>
  </si>
  <si>
    <t>3_GENERAL SERVICE 50 TO 999 kW SERVICE CLASSIFICATION_Retail Transmission Rate - Network Service Rate</t>
  </si>
  <si>
    <t>3_GENERAL SERVICE 50 TO 999 kW SERVICE CLASSIFICATION_Retail Transmission Rate - Line and Transformation Connection Service Rate</t>
  </si>
  <si>
    <t>3_GENERAL SERVICE 50 TO 999 kW SERVICE CLASSIFICATION_WMSR</t>
  </si>
  <si>
    <t>3_GENERAL SERVICE 50 TO 999 kW SERVICE CLASSIFICATION_RRRP</t>
  </si>
  <si>
    <t>3_GENERAL SERVICE 50 TO 999 kW SERVICE CLASSIFICATION_SSS</t>
  </si>
  <si>
    <t>4_GENERAL SERVICE 1,000 TO 4,999 kW SERVICE CLASSIFICATION</t>
  </si>
  <si>
    <t>This classification refers to the supply of electrical energy to General Service Customers requiring a connection with a connected load or whose average monthly maximum demand used for billing purposes is equal to or greater than 1000 kW but less than 5000 kW. Class A and Class B consumers are defined in in accordance with O. Reg. 429/04. Further servicing details are available in the distributor's Conditions of Service.</t>
  </si>
  <si>
    <t>4_GENERAL SERVICE 1,000 TO 4,999 kW SERVICE CLASSIFICATION_MSC</t>
  </si>
  <si>
    <t>4_GENERAL SERVICE 1,000 TO 4,999 kW SERVICE CLASSIFICATION_DVC</t>
  </si>
  <si>
    <t>4_GENERAL SERVICE 1,000 TO 4,999 kW SERVICE CLASSIFICATION_LV</t>
  </si>
  <si>
    <t>4_GENERAL SERVICE 1,000 TO 4,999 kW SERVICE CLASSIFICATION_Retail Transmission Rate - Network Service Rate</t>
  </si>
  <si>
    <t>4_GENERAL SERVICE 1,000 TO 4,999 kW SERVICE CLASSIFICATION_Retail Transmission Rate - Line and Transformation Connection Service Rate</t>
  </si>
  <si>
    <t>4_GENERAL SERVICE 1,000 TO 4,999 kW SERVICE CLASSIFICATION_WMSR</t>
  </si>
  <si>
    <t>4_GENERAL SERVICE 1,000 TO 4,999 kW SERVICE CLASSIFICATION_RRRP</t>
  </si>
  <si>
    <t>4_GENERAL SERVICE 1,000 TO 4,999 kW SERVICE CLASSIFICATION_SSS</t>
  </si>
  <si>
    <t>This classification refers to the supply of electrical energy to General Service Customers requiring a connection with a connected load or whose average monthly maximum demand used for billing purposes is equal to or greater than, or is forecast to be equal to or great than, 5000 kW. Class A and Class B consumers are defined in in accordance with O. Reg. 429/04. Further servicing details are available in the distributor's Conditions of Service.</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</si>
  <si>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level of consumption will be agreed to by the distributor and the customer, based on detailed manufacturer information/documentation with regard to electrical consumption of unmetered load or periodic monitoring of actual consumption. Class B consumers are defined in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</si>
  <si>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</si>
  <si>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accounts that are an unmetered lighting load supplied to a sentinel light. Class B consumers are defined in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</si>
  <si>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Class B consumers are defined in in accordance with O. Reg. 429/04. Further servicing details are available in the distributor's Conditions of Service.</t>
  </si>
  <si>
    <t>This classification refers to an electricity distributor licensed by the Ontario Energy Board that is provided electricity by means of this distributors' facilities. Further servicing details are available in the distributor's Conditions of Service.</t>
  </si>
  <si>
    <t>9_EMBEDDED DISTRIBUTOR SERVICE CLASSIFICATION_DVC</t>
  </si>
  <si>
    <t>Erie Thames Powerlines Corporation_ALLOWANCES</t>
  </si>
  <si>
    <t>Erie Thames Powerlines Corporation_SSC</t>
  </si>
  <si>
    <t>Erie Thames Powerlines Corporation_CA</t>
  </si>
  <si>
    <t>Erie Thames Powerlines Corporation_NPoA</t>
  </si>
  <si>
    <t>Erie Thames Powerlines Corporation_RSC</t>
  </si>
  <si>
    <t>Erie Thames Powerlines Corporation_LFs</t>
  </si>
  <si>
    <t>Erie Thames Powerlines Corporation_End</t>
  </si>
  <si>
    <t>Espanola Regional Hydro Distribution Corporation_Start</t>
  </si>
  <si>
    <t>EB-2014-0071</t>
  </si>
  <si>
    <t>This classification refers to an account taking electricity at 750 volts or less where the electricity is used exclusively in a single family unit, non-commercial.  This can be a separately metered living accomodation, town house, apartment, semi-detached, duplex, triplex or quadruplex with residential zoning.  Further servicing details are available in the distributor's Conditions of Serivce.</t>
  </si>
  <si>
    <t>The application of these rates and charges shall be in accordance with the License of the Distributor and any Code or Order of the Board, and amendments thereto as approved by the Board, which may be applicable to the administration of this schedule.</t>
  </si>
  <si>
    <t>No rates and charges for the distribution of electricity and charges to meet the costs of any work or serivce done or furnished for the purpose of the distribution of electricity shall be made except as permitted by this schedule, unless required by the Distributor's Licence or a Code or Order of the Board, and amendments thereto as approved by the Board, or as specified herein.</t>
  </si>
  <si>
    <t>Rate Rider for Recovery of Incremental Capital (2013) - in effect until the effective date of the next cost of service-based rate order</t>
  </si>
  <si>
    <t>1_RESIDENTIAL SERVICE CLASSIFICATION_FX_RR_1</t>
  </si>
  <si>
    <t>1_RESIDENTIAL SERVICE CLASSIFICATION_VR_RR_1</t>
  </si>
  <si>
    <t>3_GENERAL SERVICE LESS THAN 50 kW SERVICE CLASSIFICATION</t>
  </si>
  <si>
    <t>This classification refers to a non residential account taking electricty at 750 volts or less whose monthly average peak demand is less than, or is forecast to be less than 50 kW.  Further servicing details are available in the distributor's Conditions of Service.</t>
  </si>
  <si>
    <t>3_GENERAL SERVICE LESS THAN 50 kW SERVICE CLASSIFICATION_MSC</t>
  </si>
  <si>
    <t>3_GENERAL SERVICE LESS THAN 50 kW SERVICE CLASSIFICATION_FX_RR_3</t>
  </si>
  <si>
    <t>3_GENERAL SERVICE LESS THAN 50 kW SERVICE CLASSIFICATION_SME</t>
  </si>
  <si>
    <t>3_GENERAL SERVICE LESS THAN 50 kW SERVICE CLASSIFICATION_DVC</t>
  </si>
  <si>
    <t>3_GENERAL SERVICE LESS THAN 50 kW SERVICE CLASSIFICATION_LV</t>
  </si>
  <si>
    <t>3_GENERAL SERVICE LESS THAN 50 kW SERVICE CLASSIFICATION_VR_RR_2</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</si>
  <si>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</si>
  <si>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</si>
  <si>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</si>
  <si>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</si>
  <si>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</si>
  <si>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4_GENERAL SERVICE 50 TO 4,999 KW SERVICE CLASSIFICATION</t>
  </si>
  <si>
    <t>This classification refers to a non residential account whose average peak demand is greater than, or is forecast to be greater than 50 kW but less than 5,000 kW.  Further servicing details are available in the distributor's Conditions of Service.</t>
  </si>
  <si>
    <t>4_GENERAL SERVICE 50 TO 4,999 KW SERVICE CLASSIFICATION_MSC</t>
  </si>
  <si>
    <t>4_GENERAL SERVICE 50 TO 4,999 KW SERVICE CLASSIFICATION_FX_RR_5</t>
  </si>
  <si>
    <t>4_GENERAL SERVICE 50 TO 4,999 KW SERVICE CLASSIFICATION_DVC</t>
  </si>
  <si>
    <t>4_GENERAL SERVICE 50 TO 4,999 KW SERVICE CLASSIFICATION_LV</t>
  </si>
  <si>
    <t>4_GENERAL SERVICE 50 TO 4,999 KW SERVICE CLASSIFICATION_VR_RR_3</t>
  </si>
  <si>
    <t>4_GENERAL SERVICE 50 TO 4,999 KW SERVICE CLASSIFICATION_Retail Transmission Rate - Network Service Rate</t>
  </si>
  <si>
    <t>4_GENERAL SERVICE 50 TO 4,999 KW SERVICE CLASSIFICATION_Retail Transmission Rate - Line and Transformation Connection Service Rate</t>
  </si>
  <si>
    <t>4_GENERAL SERVICE 50 TO 4,999 KW SERVICE CLASSIFICATION_Retail Transmission Rate - Network Service Rate - Interval Metered</t>
  </si>
  <si>
    <t>4_GENERAL SERVICE 50 TO 4,999 KW SERVICE CLASSIFICATION_Retail Transmission Rate - Line and Transformation Connection Service Rate - Interval Metered</t>
  </si>
  <si>
    <t>4_GENERAL SERVICE 50 TO 4,999 KW SERVICE CLASSIFICATION_WMSR</t>
  </si>
  <si>
    <t>4_GENERAL SERVICE 50 TO 4,999 KW SERVICE CLASSIFICATION_RRRP</t>
  </si>
  <si>
    <t>4_GENERAL SERVICE 50 TO 4,999 KW SERVICE CLASSIFICATION_SSS</t>
  </si>
  <si>
    <t>This classification refers to an account taking electricty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</si>
  <si>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5_UNMETERED SCATTERED LOAD SERVICE CLASSIFICATION_FX_RR_6</t>
  </si>
  <si>
    <t>5_UNMETERED SCATTERED LOAD SERVICE CLASSIFICATION_VR_RR_4</t>
  </si>
  <si>
    <t>This classification applies to safety/security lighting with a Residential or General Serivce customer.  This is typically exterior lighting, and unmetered.  Consumption is estimated based on the equipment rating and estimated hours of use.  Further servicing details are available in the distributor's Conditions of Service.</t>
  </si>
  <si>
    <t>6_SENTINEL LIGHTING SERVICE CLASSIFICATION_FX_RR_7</t>
  </si>
  <si>
    <t>6_SENTINEL LIGHTING SERVICE CLASSIFICATION_VR_RR_5</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</si>
  <si>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</si>
  <si>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7_STREET LIGHTING SERVICE CLASSIFICATION_FX_RR_8</t>
  </si>
  <si>
    <t>7_STREET LIGHTING SERVICE CLASSIFICATION_VR_RR_6</t>
  </si>
  <si>
    <t>Espanola Regional Hydro Distribution Corporation_ALLOWANCES</t>
  </si>
  <si>
    <t>Espanola Regional Hydro Distribution Corporation_SSC</t>
  </si>
  <si>
    <t>Espanola Regional Hydro Distribution Corporation_CA</t>
  </si>
  <si>
    <t>Espanola Regional Hydro Distribution Corporation_NPoA</t>
  </si>
  <si>
    <t>Collection of account Charge - no disconnection</t>
  </si>
  <si>
    <t>Espanola Regional Hydro Distribution Corporation_RSC</t>
  </si>
  <si>
    <t>Espanola Regional Hydro Distribution Corporation_LFs</t>
  </si>
  <si>
    <t>Espanola Regional Hydro Distribution Corporation_End</t>
  </si>
  <si>
    <t>Essex Powerlines Corporation_Start</t>
  </si>
  <si>
    <t>EB-2016-0069</t>
  </si>
  <si>
    <t>3_GENERAL SERVICE 50 TO 2,999 KW SERVICE CLASSIFICATION_Retail Transmission Rate - Network Service Rate - Interval Metered</t>
  </si>
  <si>
    <t>3_GENERAL SERVICE 50 TO 2,999 KW SERVICE CLASSIFICATION_Retail Transmission Rate - Line and Transformation Connection Service Rate - Interval Metered</t>
  </si>
  <si>
    <t>This classification refers to a non residential account whose monthly average peak demand is equal to or greater than, or is forecast to be equal to or greater than, 3,000 kW but less than 5,000 kW.Class A and Class B consumers are defined in accordance with O. Reg. 429/04. Further servicing details are available in the distributor's Conditions of Service.</t>
  </si>
  <si>
    <t>This classification refers to an account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proposed unmetered load. Class B consumers are defined in accordance with O. Reg. 429/04. Further servicing details are available in the distributor’s Conditions of Service.</t>
  </si>
  <si>
    <t>Essex Powerlines Corporation_ALLOWANCES</t>
  </si>
  <si>
    <t>Essex Powerlines Corporation_SSC</t>
  </si>
  <si>
    <t>Essex Powerlines Corporation_CA</t>
  </si>
  <si>
    <t>Essex Powerlines Corporation_NPoA</t>
  </si>
  <si>
    <t>Essex Powerlines Corporation_RSC</t>
  </si>
  <si>
    <t>Essex Powerlines Corporation_LFs</t>
  </si>
  <si>
    <t>Essex Powerlines Corporation_End</t>
  </si>
  <si>
    <t>Hydro 2000 Inc._Start</t>
  </si>
  <si>
    <t>EB-2016-0078</t>
  </si>
  <si>
    <t>This classification refers to an account taking electricity at 750 volts or less where the electricity is used exclusively by residential customers residing in detached, semi-detached or townhouse dwelling units. Class B consumers are defined in accordance with O. Reg. 429/04. Further servicing details are available in the distributor’s Conditions of Service.</t>
  </si>
  <si>
    <t>This classification refers to a non residential account taking electricity at 750 volts or less whose average monthly average peak demand is less than, or is forecast to be less than, 50 kW. This section shall include small apartment buildings, stacked townhouses, and smaller commercial, industrial and institutional developments. Class B consumers are defined in accordance with O. Reg. 429/04. Further servicing details are available in the distributor’s Conditions of Service.</t>
  </si>
  <si>
    <t>4_STREET LIGHTING SERVICE CLASSIFICATION_LV</t>
  </si>
  <si>
    <t>Hydro 2000 Inc._ALLOWANCES</t>
  </si>
  <si>
    <t>Hydro 2000 Inc._SSC</t>
  </si>
  <si>
    <t>Hydro 2000 Inc._CA</t>
  </si>
  <si>
    <t>Hydro 2000 Inc._NPoA</t>
  </si>
  <si>
    <t>Hydro 2000 Inc._RSC</t>
  </si>
  <si>
    <t>Hydro 2000 Inc._LFs</t>
  </si>
  <si>
    <t>Hydro 2000 Inc._End</t>
  </si>
  <si>
    <t>Sioux Lookout Hydro Inc._Start</t>
  </si>
  <si>
    <t>EB-2016-0103</t>
  </si>
  <si>
    <t>Rate Rider for Disposition of Deferral/Variance Accounts (2017) - effective until April 30, 2018</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</si>
  <si>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</si>
  <si>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2_GENERAL SERVICE LESS THAN 50 kW SERVICE CLASSIFICATION_DEFVAR_ALL</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</si>
  <si>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General Service &gt;1,000 to 4,999 kW interval metered.
Class A and Class B consumers are defined in accordance with O. Reg. 429/04. Further servicing details are available in the distributor’s Conditions of Service.
</t>
  </si>
  <si>
    <t>3_GENERAL SERVICE 50 TO 4,999 KW SERVICE CLASSIFICATION_DEFVAR_ALL</t>
  </si>
  <si>
    <t>3_GENERAL SERVICE 50 TO 4,999 KW SERVICE CLASSIFICATION_Retail Transmission Rate - Network Service Rate - Interval Metered &gt; 1,000 kW</t>
  </si>
  <si>
    <t>3_GENERAL SERVICE 50 TO 4,999 KW SERVICE CLASSIFICATION_Retail Transmission Rate - Line and Transformation Connection Service Rate - Interval Metered &gt; 1,000 kW</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</si>
  <si>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</si>
  <si>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</si>
  <si>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Sioux Lookout Hydro Inc._ALLOWANCES</t>
  </si>
  <si>
    <t>Sioux Lookout Hydro Inc._SSC</t>
  </si>
  <si>
    <t>Sioux Lookout Hydro Inc._CA</t>
  </si>
  <si>
    <t>Sioux Lookout Hydro Inc._NPoA</t>
  </si>
  <si>
    <t>Sioux Lookout Hydro Inc._RSC</t>
  </si>
  <si>
    <t>Sioux Lookout Hydro Inc._LFs</t>
  </si>
  <si>
    <t>Sioux Lookout Hydro Inc._End</t>
  </si>
  <si>
    <t>NIOJF461</t>
  </si>
  <si>
    <t>ZYZFO848</t>
  </si>
  <si>
    <t>ASEGZ471</t>
  </si>
  <si>
    <t>IOKHC383</t>
  </si>
  <si>
    <t>SKVKJ649</t>
  </si>
  <si>
    <t>TPFNQ593</t>
  </si>
  <si>
    <t>AJHXR397</t>
  </si>
  <si>
    <t>UNGPP815</t>
  </si>
  <si>
    <t>MSLBK499</t>
  </si>
  <si>
    <t>Time run: 7/10/2018 1:46:36 PM</t>
  </si>
  <si>
    <t>BLUEWATER POWER DISTRIBUTION CORPORATION</t>
  </si>
  <si>
    <t>BLUEWATER POWER DISTRIBUTION CORPORATION_GENERAL SERVICE 1,000 TO 4,999 KW SERVICE CLASSIFICATION</t>
  </si>
  <si>
    <t>BLUEWATER POWER DISTRIBUTION CORPORATION_GENERAL SERVICE 50 TO 999 KW SERVICE CLASSIFICATION</t>
  </si>
  <si>
    <t>BLUEWATER POWER DISTRIBUTION CORPORATION_GENERAL SERVICE LESS THAN 50 KW SERVICE CLASSIFICATION</t>
  </si>
  <si>
    <t>BLUEWATER POWER DISTRIBUTION CORPORATION_LARGE USE SERVICE CLASSIFICATION</t>
  </si>
  <si>
    <t>BLUEWATER POWER DISTRIBUTION CORPORATION_NO RATE CLASS SERVICE CLASSIFICATION</t>
  </si>
  <si>
    <t>BLUEWATER POWER DISTRIBUTION CORPORATION_RESIDENTIAL SERVICE CLASSIFICATION</t>
  </si>
  <si>
    <t>BLUEWATER POWER DISTRIBUTION CORPORATION_SENTINEL LIGHTING SERVICE CLASSIFICATION</t>
  </si>
  <si>
    <t>BLUEWATER POWER DISTRIBUTION CORPORATION_STREET LIGHTING SERVICE CLASSIFICATION</t>
  </si>
  <si>
    <t>BLUEWATER POWER DISTRIBUTION CORPORATION_UNMETERED SCATTERED LOAD SERVICE CLASSIFICATION</t>
  </si>
  <si>
    <r>
      <rPr>
        <b/>
        <sz val="11"/>
        <color theme="1"/>
        <rFont val="Arial"/>
        <family val="2"/>
      </rPr>
      <t>Input required at cells C13 and C14.</t>
    </r>
    <r>
      <rPr>
        <sz val="11"/>
        <color theme="1"/>
        <rFont val="Arial"/>
        <family val="2"/>
      </rPr>
      <t xml:space="preserve">  This workshseet calculates rate riders related to the Deferral/Variance Account Disposition (if applicable) and rate riders for Account 1568.  Rate Riders will not be generated for the microFIT class.</t>
    </r>
  </si>
  <si>
    <t>If the checkbox in step 2a is checked off, another checkbox will pop up to the right of the checkbox. If you had any Class A customers at any point during the period that the Account 1580, sub-account CBR Class B balance accumulated (i.e. Never Disposed, 2015, 2016), check off the checkbox.</t>
  </si>
  <si>
    <t>Select one of two options pertaining to the the years in which  the CBR Class B balance accumulated, either 2015, 2016 and 2017, or 2016 and 2015, or 2015 only  in cell B13.</t>
  </si>
  <si>
    <t>QAJJU642</t>
  </si>
  <si>
    <t>ABFNL784</t>
  </si>
  <si>
    <t>Cooperative Hydro Embrun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</si>
  <si>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</si>
  <si>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 xml:space="preserve">Rate Rider for Smart Metering Entity Charge - effective until October 31, 2018 </t>
  </si>
  <si>
    <t>Rate Rider for Disposition of Group 2 Deferral/Variance Accounts (2018) - effective until December 31, 2020</t>
  </si>
  <si>
    <t>Rate Rider for Disposition of Deferral/Variance Accounts (2018) - effective until December 31, 2020</t>
  </si>
  <si>
    <t>Rate Rider for Disposition of Global Adjustment Account (2018) - effective until December 31, 2020
     Applicable only for Non-RPP Customers</t>
  </si>
  <si>
    <t>Rate Rider for Disposition of Lost Revenue Adjustment Mechanism Variance Account (LRAMVA) (2018) - effective 
     until December 31, 2020</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</si>
  <si>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</si>
  <si>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Rate Rider for Disposition of Lost Revenue Adjustment Mechanism Variance Account (LRAMVA) (2018) - effective   
     until December 31, 2020</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</si>
  <si>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</si>
  <si>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Rate Rider for Disposition of Lost Revenue Adjustment Mechanism Variance Account (LRAMVA) (2018) - effective
     until December 31, 2020</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</si>
  <si>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</si>
  <si>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</si>
  <si>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Rate Rider for Disposition of Lost Revenue Adjustment Mechanism Variance Account (LRAMVA) (2018) - effective  
     until December 31, 2020</t>
  </si>
  <si>
    <t>Cooperative Hydro Embrun Inc._ALLOWANCES</t>
  </si>
  <si>
    <t>Cooperative Hydro Embrun Inc._SSC</t>
  </si>
  <si>
    <t>Cooperative Hydro Embrun Inc._CA</t>
  </si>
  <si>
    <t>Cooperative Hydro Embrun Inc._NPoA</t>
  </si>
  <si>
    <t>Disconnect/reconnect charge - at pole during regular hours</t>
  </si>
  <si>
    <t>Disconnect/reconnect charge - at pole after hours</t>
  </si>
  <si>
    <t>Temporary service - installation and removal - overhead - no transformer</t>
  </si>
  <si>
    <t>Cooperative Hydro Embrun Inc._RSC</t>
  </si>
  <si>
    <t>Cooperative Hydro Embrun Inc._LFs</t>
  </si>
  <si>
    <t>Cooperative Hydro Embrun Inc._End</t>
  </si>
  <si>
    <t>For all Group 1 Accounts, except for Account 1595, start inputting data from the year in which the GL balance was last disposed. For example, if in the 2018 rate application, DVA balances as at December 31, 2016 were approved for disposition, start the continuity schedule from 2016 by entering the closing 2015 balances in the Adjustments column under 2015.</t>
  </si>
  <si>
    <t>For all Account 1595 sub-accounts, complete the DVA continuity schedule for each Account 1595 vintage year that has a GL balance as at December 31, 2017 regardless of whether the account is being requested for disposition in the current application. For each Account 1595 sub-account, start inputting data from the year the sub-account started to accumulate a balance (i.e. the vintage year). For example, Account 1595 (2015) would have information starting in 2015, when the relevant balances approved for disposition were first transferred into Account 1595 (2015). The DVA continuity schedule currently starts from 2012, if a utility has an Account 1595 with a vintage year prior to 2012, then a separate schedule should be provided starting from the vintage year.</t>
  </si>
  <si>
    <t xml:space="preserve">If you had any Class A customers at any point during the period that the Account 1589 GA balance accumulated (e.g. last disposition was for 2015 balances in the 2017 rate application, current balance requested for disposition accumulated from 2016 to 2017), check off the checkbox in cell BR13. </t>
  </si>
  <si>
    <t>TORONTO HYDRO-ELECTRIC SYSTEM LIMITED_Residential SERVICE CLASSIFICATION</t>
  </si>
  <si>
    <t>EB-2018-0065</t>
  </si>
  <si>
    <t>Peter Soules, Chief Financial Officer</t>
  </si>
  <si>
    <t>613-925-3851</t>
  </si>
  <si>
    <t>psoules@rslu.ca</t>
  </si>
  <si>
    <t>Price Cap IR</t>
  </si>
  <si>
    <t>Macro has been activated</t>
  </si>
  <si>
    <t>Yes</t>
  </si>
  <si>
    <t>1568 Account Balance from Continuity Schedule</t>
  </si>
  <si>
    <t>Threshold Test</t>
  </si>
  <si>
    <t>Total Claim (including Account 1568)</t>
  </si>
  <si>
    <t>Total Claim for Threshold Test (All Group 1 Accounts)</t>
  </si>
  <si>
    <r>
      <t xml:space="preserve">Threshold Test (Total claim per kWh) </t>
    </r>
    <r>
      <rPr>
        <b/>
        <vertAlign val="superscript"/>
        <sz val="10"/>
        <color theme="1"/>
        <rFont val="Arial"/>
        <family val="2"/>
      </rPr>
      <t>2</t>
    </r>
  </si>
  <si>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</si>
  <si>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</si>
  <si>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r>
      <t>3</t>
    </r>
    <r>
      <rPr>
        <sz val="11"/>
        <color theme="1"/>
        <rFont val="Calibri"/>
        <family val="2"/>
        <scheme val="minor"/>
      </rPr>
      <t xml:space="preserve"> The proportion of customers for the Residential and GS&lt;50 Classes will be used to allocate Account 1551.</t>
    </r>
  </si>
  <si>
    <t>** Used to allocate Account 1551 as this account records the variances arising from the Smart Metering Entity Charges to Residential and GS&lt;50 customers.</t>
  </si>
  <si>
    <t>If the allocated Account 1580 sub-account CBR Class B amount does not produce a rate rider in one or more rate class (except for the Standby rate class), a distributor is to transfer the entire OEB-approved CBR Class B amount into Account 1580 WMS control account to be disposed through the general purpose Group 1 DVA rate riders. (see Accounting Guidance, Capacity Based Recovery xxxxx, 2018)</t>
  </si>
  <si>
    <t xml:space="preserve">In 2018 IRM principal -4,909 and interest -44 were moved from 1580 WMS to 1580 - Sub account CBR. GL wasn't adjustmented until May 1, 2018, 2018 IM effective date. </t>
  </si>
  <si>
    <t>RRR 1580 = 1580 WMS( -216125.88) + 1580 CBR( -1700.43 = -) =-217826.. RRR is the total of 1580 Wholesale Market Service Charge and 1580 Sub-account CBR Class B. -217826=-216126-1700, Column BW Variance shuold be -4953 due to moving CBR amount from 1580 WMS to 1580 Sub-account CBR Class B in 2018 IRM</t>
  </si>
  <si>
    <r>
      <t>1</t>
    </r>
    <r>
      <rPr>
        <sz val="11"/>
        <color theme="1"/>
        <rFont val="Calibri"/>
        <family val="2"/>
        <scheme val="minor"/>
      </rPr>
      <t xml:space="preserve"> When calculating the revenue reconciliation for distributors with Class A customers, the balances of sub-account 1580-CBR Class B will not be taken into consideration if there are Class A customers since the rate riders, if any, are calculated separately.</t>
    </r>
  </si>
  <si>
    <r>
      <t>2</t>
    </r>
    <r>
      <rPr>
        <sz val="11"/>
        <color theme="1"/>
        <rFont val="Calibri"/>
        <family val="2"/>
        <scheme val="minor"/>
      </rPr>
      <t xml:space="preserve"> Only for rate classes with WMP customers are the Deferral/Variance Account Rate Riders for Non-WMP (column H and J) calculated separately. For all rate classes without WMP customers, balances in account 1580 and 1588 are included in column G and disposed through a combined Deferral/Variance Account and Rate Rider.</t>
    </r>
  </si>
  <si>
    <t>Total kWh
(most recent RRR filing)</t>
  </si>
  <si>
    <t>Total kW
(most recent RRR filing)</t>
  </si>
  <si>
    <t>Allocation of Tax Savings by Rate Class</t>
  </si>
  <si>
    <t>Distribution Rate Rider</t>
  </si>
  <si>
    <t>$/customer</t>
  </si>
  <si>
    <t>If the allocated tax sharing amount does not produce a rate rider in one or more rate class (except for the Standby rate class), a distributor is required to transfer the entire OEB-approved tax sharing amount into account 1595 for disposition at a later date (see Filing Requirements, Appendix B)</t>
  </si>
  <si>
    <t>Residential Service Classification</t>
  </si>
  <si>
    <t>Unmetered Scattered Load Service Classification</t>
  </si>
  <si>
    <t>Sentinel Lighting Service Classification</t>
  </si>
  <si>
    <t>Street Lighting Service Classification</t>
  </si>
  <si>
    <t>General Service Less Than 50 kW Service Classification</t>
  </si>
  <si>
    <t>General Service 50 To 4,999 kW Service Classification</t>
  </si>
  <si>
    <t>Current RTSR-Connection</t>
  </si>
  <si>
    <t>Adjusted RTSR-Connection</t>
  </si>
  <si>
    <t>The purpose of this table is to re-align the current RTS Connection Rates to recover current wholesale connection costs.</t>
  </si>
  <si>
    <t>Adjusted RTSR-Network</t>
  </si>
  <si>
    <t>Proposed RTSR-Network</t>
  </si>
  <si>
    <t>The purpose of this table is to update the re-aligned RTS Network Rates to recover future wholesale network costs.</t>
  </si>
  <si>
    <t>Proposed RTSR-Connection</t>
  </si>
  <si>
    <t>The purpose of this table is to update the re-aligned RTS Connection Rates to recover future wholesale connection costs.</t>
  </si>
  <si>
    <t>Rate Design Transition</t>
  </si>
  <si>
    <t>Revenue from Rates</t>
  </si>
  <si>
    <t>Current F/V Split</t>
  </si>
  <si>
    <t>Decoupling MFC Split</t>
  </si>
  <si>
    <t>Incremental Fixed Charge ($/month/year)</t>
  </si>
  <si>
    <t>New F/V Split</t>
  </si>
  <si>
    <r>
      <t>Adjusted Rates</t>
    </r>
    <r>
      <rPr>
        <b/>
        <vertAlign val="superscript"/>
        <sz val="10"/>
        <color theme="1"/>
        <rFont val="Arial"/>
        <family val="2"/>
      </rPr>
      <t>1</t>
    </r>
  </si>
  <si>
    <r>
      <t>1</t>
    </r>
    <r>
      <rPr>
        <sz val="11"/>
        <color theme="1"/>
        <rFont val="Calibri"/>
        <family val="2"/>
        <scheme val="minor"/>
      </rPr>
      <t xml:space="preserve"> These are the residential rates to which the Price Cap Index will be applied to.</t>
    </r>
  </si>
  <si>
    <t xml:space="preserve"> Wheeling Service Rate will be adjusted for PCI on Sheet 19.</t>
  </si>
  <si>
    <t xml:space="preserve">Revenue at New F/V Split </t>
  </si>
  <si>
    <t>Current Residential Fixed Rate (inclusive of R/C adj.)</t>
  </si>
  <si>
    <t>Current Residential Variable Rate (inclusive of R/C adj.)</t>
  </si>
  <si>
    <t>III</t>
  </si>
  <si>
    <t xml:space="preserve"> - effective until </t>
  </si>
  <si>
    <t>Effective and Implementation Date May 1, 2019</t>
  </si>
  <si>
    <t xml:space="preserve">RESIDENTIAL SERVICE CLASSIFICATION_Retail Transmission Rate - Network Service Rate </t>
  </si>
  <si>
    <t xml:space="preserve">RESIDENTIAL SERVICE CLASSIFICATION_Retail Transmission Rate - Line and Transformation Connection Service Rate </t>
  </si>
  <si>
    <t xml:space="preserve">GENERAL SERVICE LESS THAN 50 KW SERVICE CLASSIFICATION_Retail Transmission Rate - Network Service Rate </t>
  </si>
  <si>
    <t xml:space="preserve">GENERAL SERVICE LESS THAN 50 KW SERVICE CLASSIFICATION_Retail Transmission Rate - Line and Transformation Connection Service Rate </t>
  </si>
  <si>
    <t xml:space="preserve">GENERAL SERVICE 50 to 4,999 kW SERVICE CLASSIFICATION_Retail Transmission Rate - Network Service Rate </t>
  </si>
  <si>
    <t>GENERAL SERVICE 50 to 4,999 kW SERVICE CLASSIFICATION_Retail Transmission Rate - Line and Transformation Connection Service Rate</t>
  </si>
  <si>
    <t xml:space="preserve">GENERAL SERVICE 50 to 4,999 kW SERVICE CLASSIFICATION_Retail Transmission Rate - Network Service Rate - Interval Metered </t>
  </si>
  <si>
    <t>GENERAL SERVICE 50 to 4,999 kW SERVICE CLASSIFICATION_Retail Transmission Rate - Line and Transformation Connection Service Rate - Interval Metered</t>
  </si>
  <si>
    <t xml:space="preserve">UNMETERED SCATTERED LOAD SERVICE CLASSIFICATION_Retail Transmission Rate - Network Service Rate </t>
  </si>
  <si>
    <t xml:space="preserve">UNMETERED SCATTERED LOAD SERVICE CLASSIFICATION_Retail Transmission Rate - Line and Transformation Connection Service Rate </t>
  </si>
  <si>
    <t>SENTINEL LIGHTING SERVICE CLASSIFICATION_Retail Transmission Rate - Network Service Rate</t>
  </si>
  <si>
    <t xml:space="preserve">SENTINEL LIGHTING SERVICE CLASSIFICATION_Retail Transmission Rate - Line and Transformation Connection Service Rate </t>
  </si>
  <si>
    <t xml:space="preserve">STREET LIGHTING SERVICE CLASSIFICATION_Retail Transmission Rate - Network Service Rate </t>
  </si>
  <si>
    <t xml:space="preserve">STREET LIGHTING SERVICE CLASSIFICATION_Retail Transmission Rate - Line and Transformation Connection Service Rate </t>
  </si>
  <si>
    <t>Rate Rider for Disposition of Global Adjustment Account (2019) - effective until April 30, 2020
      Applicable only for Non-RPP Customers</t>
  </si>
  <si>
    <t>Rate Rider for Disposition of Deferral/Variance Accounts (2019) - effective until April 30, 2020</t>
  </si>
  <si>
    <t>1_RESIDENTIAL SERVICE CLASSIFICATION_DVA</t>
  </si>
  <si>
    <t>2_GENERAL SERVICE LESS THAN 50 KW SERVICE CLASSIFICATION_DVA</t>
  </si>
  <si>
    <t>3_GENERAL SERVICE 50 to 4,999 kW SERVICE CLASSIFICATION_DVA</t>
  </si>
  <si>
    <t>4_UNMETERED SCATTERED LOAD SERVICE CLASSIFICATION_DVA</t>
  </si>
  <si>
    <t>5_SENTINEL LIGHTING SERVICE CLASSIFICATION_DVA</t>
  </si>
  <si>
    <t>6_STREET LIGHTING SERVICE CLASSIFICATION_DVA</t>
  </si>
  <si>
    <t>Rate Rider for Disposition of Lost Revenue Adjustment Mechanism Variance Account (LRAMVA) (2019) - effective until April 30, 2020</t>
  </si>
  <si>
    <t>DEMAND</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</si>
</sst>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
    <numFmt numFmtId="167" formatCode="[$-F800]dddd\,\ mmmm\ dd\,\ yyyy"/>
    <numFmt numFmtId="168" formatCode="_(* #,##0.0_);_(* \(#,##0.0\);_(* &quot;-&quot;??_);_(@_)"/>
    <numFmt numFmtId="169" formatCode="#,##0.0"/>
    <numFmt numFmtId="170" formatCode="mm/dd/yyyy"/>
    <numFmt numFmtId="171" formatCode="0\-0"/>
    <numFmt numFmtId="172" formatCode="##\-#"/>
    <numFmt numFmtId="173" formatCode="_(* #,##0_);_(* \(#,##0\);_(* &quot;-&quot;??_);_(@_)"/>
    <numFmt numFmtId="174" formatCode="&quot;£ &quot;#,##0.00;[Red]\-&quot;£ &quot;#,##0.00"/>
    <numFmt numFmtId="175" formatCode="#,##0.0000;[Red]\(#,##0.0000\)"/>
    <numFmt numFmtId="176" formatCode="#,##0.00;[Red]\(#,##0.00\)"/>
    <numFmt numFmtId="177" formatCode="0.0%"/>
    <numFmt numFmtId="178" formatCode="#,##0;[Red]\(#,##0\)"/>
    <numFmt numFmtId="179" formatCode="0.0000"/>
    <numFmt numFmtId="180" formatCode="#,##0.0000"/>
    <numFmt numFmtId="181" formatCode="#,##0.00_ ;\-#,##0.00\ "/>
    <numFmt numFmtId="182" formatCode="0.00%;\(0.00\)%"/>
    <numFmt numFmtId="183" formatCode="#,##0.00_ ;\(#,##0.00\)"/>
    <numFmt numFmtId="184" formatCode="#,##0.00000"/>
    <numFmt numFmtId="185" formatCode="0%;\(0%\)"/>
    <numFmt numFmtId="186" formatCode="_-* #,##0_-;\-* #,##0_-;_-* &quot;-&quot;??_-;_-@_-"/>
    <numFmt numFmtId="187" formatCode="_ #,##0;[Red]\(#,##0\)"/>
    <numFmt numFmtId="188" formatCode="_-&quot;$&quot;* #,##0.0000_-;\-&quot;$&quot;* #,##0.0000_-;_-&quot;$&quot;* &quot;-&quot;??_-;_-@_-"/>
    <numFmt numFmtId="189" formatCode="#,##0.0000_ ;\-#,##0.0000\ "/>
    <numFmt numFmtId="190" formatCode="_-&quot;$&quot;* #,##0_-;\-&quot;$&quot;* #,##0_-;_-&quot;$&quot;* &quot;-&quot;??_-;_-@_-"/>
    <numFmt numFmtId="191" formatCode="_-&quot;$&quot;* #,##0_-;\-&quot;$&quot;* #,##0_-;_-&quot;$&quot;* &quot;-&quot;?_-;_-@_-"/>
    <numFmt numFmtId="192" formatCode="0.00;\ \(0.00\)"/>
    <numFmt numFmtId="193" formatCode="&quot;$&quot;#,##0;[Red]\(&quot;$&quot;#,##0\)"/>
    <numFmt numFmtId="194" formatCode="#,##0_ ;\-#,##0\ "/>
    <numFmt numFmtId="195" formatCode="[$-409]mmmm\ d\,\ yyyy;@"/>
    <numFmt numFmtId="196" formatCode="_-* #,##0.0000_-;\-* #,##0.0000_-;_-* &quot;-&quot;??_-;_-@_-"/>
    <numFmt numFmtId="197" formatCode="[$-1009]mmmm\ d\,\ yyyy;@"/>
    <numFmt numFmtId="198" formatCode="#,##0.00000;[Red]\(#,##0.00000\)"/>
    <numFmt numFmtId="199" formatCode="&quot;$&quot;#,##0.0000_);\(&quot;$&quot;#,##0.0000\)"/>
    <numFmt numFmtId="200" formatCode="_(&quot;$&quot;* #,##0.0000_);_(&quot;$&quot;* \(#,##0.0000\);_(&quot;$&quot;* &quot;-&quot;??_);_(@_)"/>
    <numFmt numFmtId="201" formatCode="0.00000_);[Red]\(0.00000\)"/>
    <numFmt numFmtId="202" formatCode="&quot;$&quot;#,##0.0000;[Red]\(&quot;$&quot;#,##0.0000\)"/>
    <numFmt numFmtId="203" formatCode="&quot;$&quot;0.0000"/>
    <numFmt numFmtId="204" formatCode="#,###"/>
    <numFmt numFmtId="205" formatCode="_ #,##0.0000;[Red]\(#,##0.0000\)"/>
    <numFmt numFmtId="206" formatCode="_ #,##0.00;[Red]\(#,##0.00\)"/>
    <numFmt numFmtId="207" formatCode="0.00;[Red]\-0.00"/>
    <numFmt numFmtId="208" formatCode="0.0000;[Red]\-0.0000"/>
  </numFmts>
  <fonts count="139"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0"/>
      <name val="Arial"/>
      <family val="2"/>
    </font>
    <font>
      <sz val="8"/>
      <name val="Arial"/>
      <family val="2"/>
    </font>
    <font>
      <sz val="10"/>
      <color theme="1"/>
      <name val="Calibri"/>
      <family val="2"/>
      <scheme val="minor"/>
    </font>
    <font>
      <b/>
      <u/>
      <sz val="11"/>
      <color theme="1"/>
      <name val="Calibri"/>
      <family val="2"/>
      <scheme val="minor"/>
    </font>
    <font>
      <sz val="11"/>
      <color theme="1"/>
      <name val="Arial"/>
      <family val="2"/>
    </font>
    <font>
      <sz val="8"/>
      <color theme="1"/>
      <name val="Arial"/>
      <family val="2"/>
    </font>
    <font>
      <sz val="10"/>
      <color theme="1"/>
      <name val="Arial"/>
      <family val="2"/>
    </font>
    <font>
      <b/>
      <sz val="14"/>
      <color theme="1"/>
      <name val="Arial"/>
      <family val="2"/>
    </font>
    <font>
      <b/>
      <sz val="18"/>
      <color theme="1"/>
      <name val="Arial"/>
      <family val="2"/>
    </font>
    <font>
      <b/>
      <sz val="10"/>
      <color theme="1"/>
      <name val="Arial"/>
      <family val="2"/>
    </font>
    <font>
      <sz val="10"/>
      <name val="Arial"/>
      <family val="2"/>
    </font>
    <font>
      <b/>
      <sz val="10"/>
      <color indexed="9"/>
      <name val="Arial"/>
      <family val="2"/>
    </font>
    <font>
      <sz val="11"/>
      <color indexed="8"/>
      <name val="Calibri"/>
      <family val="2"/>
    </font>
    <font>
      <sz val="11"/>
      <color theme="1"/>
      <name val="Calibri"/>
      <family val="2"/>
      <scheme val="minor"/>
    </font>
    <font>
      <b/>
      <sz val="12"/>
      <name val="Arial"/>
      <family val="2"/>
    </font>
    <font>
      <b/>
      <sz val="11"/>
      <name val="Arial"/>
      <family val="2"/>
    </font>
    <font>
      <sz val="11"/>
      <name val="Arial"/>
      <family val="2"/>
    </font>
    <font>
      <b/>
      <sz val="11"/>
      <color indexed="12"/>
      <name val="Arial"/>
      <family val="2"/>
    </font>
    <font>
      <b/>
      <sz val="10"/>
      <name val="Arial"/>
      <family val="2"/>
    </font>
    <font>
      <b/>
      <vertAlign val="superscript"/>
      <sz val="10"/>
      <name val="Arial"/>
      <family val="2"/>
    </font>
    <font>
      <b/>
      <i/>
      <sz val="10"/>
      <name val="Arial"/>
      <family val="2"/>
    </font>
    <font>
      <b/>
      <sz val="14"/>
      <color indexed="10"/>
      <name val="Arial"/>
      <family val="2"/>
    </font>
    <font>
      <b/>
      <sz val="12"/>
      <name val="Book Antiqua"/>
      <family val="1"/>
    </font>
    <font>
      <b/>
      <sz val="12"/>
      <name val="Calibri"/>
      <family val="2"/>
      <scheme val="minor"/>
    </font>
    <font>
      <b/>
      <sz val="11"/>
      <color rgb="FFFF0000"/>
      <name val="Calibri"/>
      <family val="2"/>
      <scheme val="minor"/>
    </font>
    <font>
      <sz val="12"/>
      <name val="Arial"/>
      <family val="2"/>
    </font>
    <font>
      <sz val="12"/>
      <color theme="1"/>
      <name val="Calibri"/>
      <family val="2"/>
      <scheme val="minor"/>
    </font>
    <font>
      <b/>
      <sz val="10"/>
      <color theme="3"/>
      <name val="Arial"/>
      <family val="2"/>
    </font>
    <font>
      <sz val="10"/>
      <name val="Book Antiqua"/>
      <family val="1"/>
    </font>
    <font>
      <sz val="10"/>
      <name val="Arial"/>
      <family val="2"/>
    </font>
    <font>
      <b/>
      <sz val="11"/>
      <name val="Calibri"/>
      <family val="2"/>
      <scheme val="minor"/>
    </font>
    <font>
      <sz val="11"/>
      <name val="Calibri"/>
      <family val="2"/>
      <scheme val="minor"/>
    </font>
    <font>
      <sz val="12"/>
      <color theme="1"/>
      <name val="Arial"/>
      <family val="2"/>
    </font>
    <font>
      <sz val="11"/>
      <color theme="0"/>
      <name val="Calibri"/>
      <family val="2"/>
      <scheme val="minor"/>
    </font>
    <font>
      <sz val="9"/>
      <color theme="1"/>
      <name val="Arial"/>
      <family val="2"/>
    </font>
    <font>
      <b/>
      <sz val="11"/>
      <color theme="1"/>
      <name val="Arial"/>
      <family val="2"/>
    </font>
    <font>
      <b/>
      <sz val="12"/>
      <color theme="1"/>
      <name val="Arial"/>
      <family val="2"/>
    </font>
    <font>
      <b/>
      <sz val="14"/>
      <name val="Arial"/>
      <family val="2"/>
    </font>
    <font>
      <b/>
      <sz val="10"/>
      <color theme="0"/>
      <name val="Arial"/>
      <family val="2"/>
    </font>
    <font>
      <b/>
      <sz val="10"/>
      <color rgb="FFFF0000"/>
      <name val="Arial"/>
      <family val="2"/>
    </font>
    <font>
      <b/>
      <u/>
      <sz val="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6"/>
      <color indexed="12"/>
      <name val="Algerian"/>
      <family val="5"/>
    </font>
    <font>
      <sz val="14"/>
      <name val="Arial"/>
      <family val="2"/>
    </font>
    <font>
      <b/>
      <vertAlign val="superscript"/>
      <sz val="11"/>
      <color theme="1"/>
      <name val="Arial"/>
      <family val="2"/>
    </font>
    <font>
      <b/>
      <sz val="8"/>
      <color theme="1"/>
      <name val="Arial"/>
      <family val="2"/>
    </font>
    <font>
      <sz val="9.9"/>
      <color rgb="FF000000"/>
      <name val="Arial"/>
      <family val="2"/>
    </font>
    <font>
      <b/>
      <sz val="12"/>
      <color theme="0"/>
      <name val="Arial"/>
      <family val="2"/>
    </font>
    <font>
      <sz val="8"/>
      <color rgb="FF000000"/>
      <name val="Arial"/>
      <family val="2"/>
    </font>
    <font>
      <sz val="14"/>
      <color theme="1"/>
      <name val="Calibri"/>
      <family val="2"/>
      <scheme val="minor"/>
    </font>
    <font>
      <b/>
      <sz val="12"/>
      <color theme="1"/>
      <name val="Calibri"/>
      <family val="2"/>
      <scheme val="minor"/>
    </font>
    <font>
      <b/>
      <sz val="14"/>
      <color indexed="10"/>
      <name val="Calibri"/>
      <family val="2"/>
      <scheme val="minor"/>
    </font>
    <font>
      <b/>
      <sz val="14"/>
      <name val="Calibri"/>
      <family val="2"/>
      <scheme val="minor"/>
    </font>
    <font>
      <sz val="9"/>
      <color theme="1"/>
      <name val="Calibri"/>
      <family val="2"/>
      <scheme val="minor"/>
    </font>
    <font>
      <b/>
      <sz val="12"/>
      <color rgb="FFFF0000"/>
      <name val="Calibri"/>
      <family val="2"/>
      <scheme val="minor"/>
    </font>
    <font>
      <b/>
      <sz val="11"/>
      <color rgb="FFFF0000"/>
      <name val="Arial"/>
      <family val="2"/>
    </font>
    <font>
      <b/>
      <sz val="9"/>
      <color theme="1"/>
      <name val="Arial"/>
      <family val="2"/>
    </font>
    <font>
      <sz val="13"/>
      <name val="Arial"/>
      <family val="2"/>
    </font>
    <font>
      <sz val="13"/>
      <color indexed="8"/>
      <name val="Arial"/>
      <family val="2"/>
    </font>
    <font>
      <sz val="12"/>
      <color indexed="8"/>
      <name val="Arial"/>
      <family val="2"/>
    </font>
    <font>
      <b/>
      <sz val="10"/>
      <name val="Book Antiqua"/>
      <family val="1"/>
    </font>
    <font>
      <b/>
      <i/>
      <sz val="10"/>
      <color theme="1"/>
      <name val="Arial"/>
      <family val="2"/>
    </font>
    <font>
      <b/>
      <i/>
      <sz val="9"/>
      <name val="Arial"/>
      <family val="2"/>
    </font>
    <font>
      <b/>
      <sz val="8"/>
      <name val="Arial"/>
      <family val="2"/>
    </font>
    <font>
      <b/>
      <sz val="9"/>
      <name val="Arial"/>
      <family val="2"/>
    </font>
    <font>
      <b/>
      <i/>
      <sz val="11"/>
      <color theme="1"/>
      <name val="Arial"/>
      <family val="2"/>
    </font>
    <font>
      <i/>
      <sz val="10"/>
      <name val="Arial"/>
      <family val="2"/>
    </font>
    <font>
      <sz val="10"/>
      <color theme="0"/>
      <name val="Arial"/>
      <family val="2"/>
    </font>
    <font>
      <b/>
      <sz val="10"/>
      <name val="Arial Black"/>
      <family val="2"/>
    </font>
    <font>
      <sz val="9.3000000000000007"/>
      <name val="Arial"/>
      <family val="2"/>
    </font>
    <font>
      <b/>
      <sz val="9.3000000000000007"/>
      <name val="Arial"/>
      <family val="2"/>
    </font>
    <font>
      <b/>
      <sz val="22"/>
      <name val="Book Antiqua"/>
      <family val="1"/>
    </font>
    <font>
      <sz val="22"/>
      <name val="Book Antiqua"/>
      <family val="1"/>
    </font>
    <font>
      <sz val="8"/>
      <color rgb="FF000000"/>
      <name val="Tahoma"/>
      <family val="2"/>
    </font>
    <font>
      <b/>
      <sz val="12"/>
      <color rgb="FF000000"/>
      <name val="Arial"/>
      <family val="2"/>
    </font>
    <font>
      <b/>
      <sz val="10"/>
      <color rgb="FF000000"/>
      <name val="Arial"/>
      <family val="2"/>
    </font>
    <font>
      <b/>
      <sz val="12"/>
      <color indexed="8"/>
      <name val="Arial"/>
      <family val="2"/>
    </font>
    <font>
      <b/>
      <sz val="16"/>
      <name val="Book Antiqua"/>
      <family val="1"/>
    </font>
    <font>
      <b/>
      <vertAlign val="superscript"/>
      <sz val="10"/>
      <name val="Book Antiqua"/>
      <family val="1"/>
    </font>
    <font>
      <b/>
      <sz val="8"/>
      <name val="Book Antiqua"/>
      <family val="1"/>
    </font>
    <font>
      <b/>
      <vertAlign val="superscript"/>
      <sz val="11"/>
      <name val="Book Antiqua"/>
      <family val="1"/>
    </font>
    <font>
      <b/>
      <i/>
      <sz val="10"/>
      <name val="Book Antiqua"/>
      <family val="1"/>
    </font>
    <font>
      <sz val="8"/>
      <name val="Book Antiqua"/>
      <family val="1"/>
    </font>
    <font>
      <b/>
      <sz val="18"/>
      <name val="Arial"/>
      <family val="2"/>
    </font>
    <font>
      <vertAlign val="superscript"/>
      <sz val="11"/>
      <name val="Arial"/>
      <family val="2"/>
    </font>
    <font>
      <i/>
      <sz val="11"/>
      <color rgb="FFFF0000"/>
      <name val="Arial"/>
      <family val="2"/>
    </font>
    <font>
      <strike/>
      <sz val="10"/>
      <name val="Arial"/>
      <family val="2"/>
    </font>
    <font>
      <sz val="9"/>
      <name val="Arial"/>
      <family val="2"/>
    </font>
    <font>
      <u/>
      <sz val="8"/>
      <color rgb="FF0000FF"/>
      <name val="Calibri"/>
      <family val="2"/>
      <scheme val="minor"/>
    </font>
    <font>
      <u/>
      <sz val="8"/>
      <color rgb="FF800080"/>
      <name val="Calibri"/>
      <family val="2"/>
      <scheme val="minor"/>
    </font>
    <font>
      <b/>
      <vertAlign val="superscript"/>
      <sz val="11"/>
      <color theme="1"/>
      <name val="Calibri"/>
      <family val="2"/>
      <scheme val="minor"/>
    </font>
    <font>
      <sz val="8"/>
      <color rgb="FFFF0000"/>
      <name val="Arial"/>
      <family val="2"/>
    </font>
    <font>
      <b/>
      <sz val="14"/>
      <color rgb="FF000000"/>
      <name val="Arial"/>
      <family val="2"/>
    </font>
    <font>
      <sz val="8"/>
      <color theme="1"/>
      <name val="Calibri"/>
      <family val="2"/>
      <scheme val="minor"/>
    </font>
    <font>
      <sz val="8"/>
      <color rgb="FF000000"/>
      <name val="Arial"/>
      <family val="2"/>
      <charset val="204"/>
    </font>
    <font>
      <sz val="8"/>
      <color theme="1"/>
      <name val="Arial"/>
      <family val="2"/>
      <charset val="204"/>
    </font>
    <font>
      <b/>
      <sz val="16"/>
      <name val="Arial"/>
      <family val="2"/>
    </font>
    <font>
      <sz val="11"/>
      <color rgb="FF000000"/>
      <name val="Calibri"/>
      <family val="2"/>
      <scheme val="minor"/>
    </font>
    <font>
      <sz val="9"/>
      <color rgb="FF000000"/>
      <name val="Arial"/>
      <family val="2"/>
    </font>
    <font>
      <sz val="14"/>
      <color theme="1"/>
      <name val="Arial"/>
      <family val="2"/>
    </font>
    <font>
      <sz val="8"/>
      <name val="Arial"/>
      <family val="2"/>
      <charset val="204"/>
    </font>
    <font>
      <b/>
      <sz val="9"/>
      <color rgb="FF000000"/>
      <name val="Arial"/>
      <family val="2"/>
    </font>
    <font>
      <b/>
      <sz val="16"/>
      <color theme="1"/>
      <name val="Arial"/>
      <family val="2"/>
    </font>
    <font>
      <sz val="16"/>
      <color theme="0"/>
      <name val="Algerian"/>
      <family val="5"/>
    </font>
    <font>
      <sz val="14"/>
      <color theme="0"/>
      <name val="Arial"/>
      <family val="2"/>
    </font>
    <font>
      <b/>
      <vertAlign val="superscript"/>
      <sz val="11"/>
      <name val="Arial"/>
      <family val="2"/>
    </font>
    <font>
      <sz val="11"/>
      <color theme="8" tint="-0.249977111117893"/>
      <name val="Calibri"/>
      <family val="2"/>
      <scheme val="minor"/>
    </font>
    <font>
      <b/>
      <sz val="10"/>
      <color rgb="FF333399"/>
      <name val="Calibri"/>
      <family val="2"/>
    </font>
    <font>
      <sz val="8"/>
      <color rgb="FF333399"/>
      <name val="Calibri"/>
      <family val="2"/>
    </font>
    <font>
      <sz val="8"/>
      <color theme="1"/>
      <name val="Calibri"/>
      <family val="2"/>
    </font>
    <font>
      <sz val="9"/>
      <color theme="1"/>
      <name val="Calibri"/>
      <family val="2"/>
    </font>
    <font>
      <sz val="18"/>
      <color theme="1"/>
      <name val="Arial"/>
      <family val="2"/>
    </font>
    <font>
      <sz val="14"/>
      <name val="Calibri"/>
      <family val="2"/>
      <scheme val="minor"/>
    </font>
    <font>
      <sz val="10"/>
      <name val="Calibri"/>
      <family val="2"/>
      <scheme val="minor"/>
    </font>
    <font>
      <b/>
      <u/>
      <sz val="10"/>
      <color theme="1"/>
      <name val="Arial"/>
      <family val="2"/>
    </font>
    <font>
      <b/>
      <vertAlign val="superscript"/>
      <sz val="10"/>
      <color theme="1"/>
      <name val="Arial"/>
      <family val="2"/>
    </font>
    <font>
      <vertAlign val="superscript"/>
      <sz val="11"/>
      <color theme="1"/>
      <name val="Calibri"/>
      <family val="2"/>
      <scheme val="minor"/>
    </font>
    <font>
      <i/>
      <sz val="11"/>
      <color theme="1"/>
      <name val="Calibri"/>
      <family val="2"/>
      <scheme val="minor"/>
    </font>
    <font>
      <b/>
      <u/>
      <sz val="12"/>
      <color theme="1"/>
      <name val="Arial"/>
      <family val="2"/>
    </font>
    <font>
      <sz val="11"/>
      <color rgb="FF000000"/>
      <name val="Calibri"/>
      <family val="2"/>
    </font>
    <font>
      <b/>
      <sz val="11"/>
      <color rgb="FF000000"/>
      <name val="Calibri"/>
      <family val="2"/>
    </font>
  </fonts>
  <fills count="6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indexed="9"/>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2"/>
        <bgColor indexed="64"/>
      </patternFill>
    </fill>
    <fill>
      <patternFill patternType="solid">
        <fgColor theme="0" tint="-0.14999847407452621"/>
        <bgColor indexed="64"/>
      </patternFill>
    </fill>
    <fill>
      <patternFill patternType="solid">
        <fgColor theme="1"/>
        <bgColor indexed="64"/>
      </patternFill>
    </fill>
    <fill>
      <patternFill patternType="solid">
        <fgColor theme="8" tint="0.79998168889431442"/>
        <bgColor indexed="64"/>
      </patternFill>
    </fill>
    <fill>
      <patternFill patternType="solid">
        <fgColor rgb="FFFFFF99"/>
        <bgColor indexed="64"/>
      </patternFill>
    </fill>
    <fill>
      <patternFill patternType="solid">
        <fgColor indexed="13"/>
        <bgColor indexed="64"/>
      </patternFill>
    </fill>
    <fill>
      <patternFill patternType="solid">
        <fgColor rgb="FFDDDDDD"/>
        <bgColor indexed="64"/>
      </patternFill>
    </fill>
    <fill>
      <patternFill patternType="solid">
        <fgColor rgb="FFF0F4FA"/>
      </patternFill>
    </fill>
    <fill>
      <patternFill patternType="solid">
        <fgColor rgb="FFFFFFFF"/>
      </patternFill>
    </fill>
    <fill>
      <patternFill patternType="solid">
        <fgColor rgb="FFFFFF99"/>
      </patternFill>
    </fill>
    <fill>
      <patternFill patternType="solid">
        <fgColor theme="9" tint="0.79995117038483843"/>
        <bgColor indexed="64"/>
      </patternFill>
    </fill>
    <fill>
      <patternFill patternType="solid">
        <fgColor theme="0" tint="-0.14996795556505021"/>
        <bgColor indexed="64"/>
      </patternFill>
    </fill>
  </fills>
  <borders count="136">
    <border>
      <left/>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indexed="64"/>
      </left>
      <right style="thin">
        <color indexed="64"/>
      </right>
      <top style="thin">
        <color indexed="64"/>
      </top>
      <bottom style="thin">
        <color indexed="64"/>
      </bottom>
      <diagonal/>
    </border>
    <border>
      <left/>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ck">
        <color theme="0" tint="-0.34998626667073579"/>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theme="0"/>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theme="0"/>
      </top>
      <bottom/>
      <diagonal/>
    </border>
    <border>
      <left/>
      <right/>
      <top/>
      <bottom style="medium">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auto="1"/>
      </right>
      <top/>
      <bottom/>
      <diagonal/>
    </border>
    <border>
      <left style="medium">
        <color indexed="64"/>
      </left>
      <right/>
      <top/>
      <bottom style="medium">
        <color indexed="12"/>
      </bottom>
      <diagonal/>
    </border>
    <border>
      <left/>
      <right style="medium">
        <color indexed="64"/>
      </right>
      <top/>
      <bottom style="medium">
        <color indexed="12"/>
      </bottom>
      <diagonal/>
    </border>
    <border>
      <left/>
      <right/>
      <top/>
      <bottom style="medium">
        <color indexed="12"/>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9"/>
      </left>
      <right style="medium">
        <color indexed="9"/>
      </right>
      <top style="medium">
        <color indexed="9"/>
      </top>
      <bottom style="medium">
        <color indexed="9"/>
      </bottom>
      <diagonal/>
    </border>
    <border>
      <left style="medium">
        <color indexed="64"/>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64"/>
      </left>
      <right/>
      <top style="medium">
        <color indexed="9"/>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right style="medium">
        <color indexed="64"/>
      </right>
      <top/>
      <bottom/>
      <diagonal/>
    </border>
    <border>
      <left/>
      <right/>
      <top/>
      <bottom style="medium">
        <color auto="1"/>
      </bottom>
      <diagonal/>
    </border>
    <border>
      <left style="medium">
        <color auto="1"/>
      </left>
      <right/>
      <top/>
      <bottom style="medium">
        <color auto="1"/>
      </bottom>
      <diagonal/>
    </border>
    <border>
      <left/>
      <right/>
      <top style="medium">
        <color indexed="64"/>
      </top>
      <bottom/>
      <diagonal/>
    </border>
    <border>
      <left/>
      <right style="medium">
        <color auto="1"/>
      </right>
      <top/>
      <bottom style="medium">
        <color indexed="64"/>
      </bottom>
      <diagonal/>
    </border>
    <border>
      <left style="medium">
        <color indexed="64"/>
      </left>
      <right/>
      <top/>
      <bottom style="medium">
        <color indexed="12"/>
      </bottom>
      <diagonal/>
    </border>
    <border>
      <left/>
      <right/>
      <top/>
      <bottom style="medium">
        <color indexed="12"/>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indexed="64"/>
      </right>
      <top/>
      <bottom style="medium">
        <color indexed="64"/>
      </bottom>
      <diagonal/>
    </border>
    <border>
      <left style="medium">
        <color indexed="9"/>
      </left>
      <right/>
      <top style="medium">
        <color indexed="9"/>
      </top>
      <bottom style="medium">
        <color indexed="9"/>
      </bottom>
      <diagonal/>
    </border>
    <border>
      <left/>
      <right/>
      <top/>
      <bottom style="medium">
        <color indexed="64"/>
      </bottom>
      <diagonal/>
    </border>
    <border>
      <left/>
      <right style="medium">
        <color indexed="64"/>
      </right>
      <top/>
      <bottom style="medium">
        <color indexed="39"/>
      </bottom>
      <diagonal/>
    </border>
    <border>
      <left style="medium">
        <color auto="1"/>
      </left>
      <right style="medium">
        <color indexed="9"/>
      </right>
      <top style="medium">
        <color indexed="9"/>
      </top>
      <bottom style="medium">
        <color indexed="9"/>
      </bottom>
      <diagonal/>
    </border>
    <border>
      <left style="medium">
        <color indexed="9"/>
      </left>
      <right/>
      <top style="medium">
        <color indexed="9"/>
      </top>
      <bottom/>
      <diagonal/>
    </border>
    <border>
      <left/>
      <right/>
      <top style="medium">
        <color theme="0"/>
      </top>
      <bottom style="medium">
        <color theme="0"/>
      </bottom>
      <diagonal/>
    </border>
    <border>
      <left style="medium">
        <color indexed="9"/>
      </left>
      <right/>
      <top/>
      <bottom style="medium">
        <color indexed="9"/>
      </bottom>
      <diagonal/>
    </border>
    <border>
      <left style="medium">
        <color indexed="9"/>
      </left>
      <right/>
      <top/>
      <bottom/>
      <diagonal/>
    </border>
    <border>
      <left style="thin">
        <color auto="1"/>
      </left>
      <right/>
      <top/>
      <bottom/>
      <diagonal/>
    </border>
    <border>
      <left style="medium">
        <color rgb="FFFFFFFF"/>
      </left>
      <right/>
      <top/>
      <bottom/>
      <diagonal/>
    </border>
    <border>
      <left/>
      <right style="medium">
        <color rgb="FFFFFFFF"/>
      </right>
      <top/>
      <bottom style="medium">
        <color rgb="FFFFFFFF"/>
      </bottom>
      <diagonal/>
    </border>
    <border>
      <left/>
      <right/>
      <top/>
      <bottom style="thin">
        <color theme="0"/>
      </bottom>
      <diagonal/>
    </border>
    <border>
      <left/>
      <right/>
      <top style="thick">
        <color theme="0"/>
      </top>
      <bottom style="thick">
        <color theme="0"/>
      </bottom>
      <diagonal/>
    </border>
    <border>
      <left/>
      <right/>
      <top/>
      <bottom style="thick">
        <color theme="0"/>
      </bottom>
      <diagonal/>
    </border>
    <border>
      <left style="thick">
        <color theme="0"/>
      </left>
      <right/>
      <top/>
      <bottom style="thick">
        <color theme="0"/>
      </bottom>
      <diagonal/>
    </border>
    <border>
      <left style="thin">
        <color indexed="64"/>
      </left>
      <right/>
      <top/>
      <bottom/>
      <diagonal/>
    </border>
    <border>
      <left/>
      <right style="medium">
        <color auto="1"/>
      </right>
      <top/>
      <bottom/>
      <diagonal/>
    </border>
    <border>
      <left/>
      <right/>
      <top style="medium">
        <color theme="0"/>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bottom/>
      <diagonal/>
    </border>
    <border>
      <left/>
      <right/>
      <top style="thick">
        <color theme="0"/>
      </top>
      <bottom/>
      <diagonal/>
    </border>
    <border>
      <left/>
      <right style="thick">
        <color theme="0"/>
      </right>
      <top style="thick">
        <color theme="0"/>
      </top>
      <bottom style="thick">
        <color theme="0"/>
      </bottom>
      <diagonal/>
    </border>
    <border>
      <left style="thin">
        <color auto="1"/>
      </left>
      <right style="thin">
        <color auto="1"/>
      </right>
      <top style="thin">
        <color auto="1"/>
      </top>
      <bottom style="thin">
        <color auto="1"/>
      </bottom>
      <diagonal/>
    </border>
    <border>
      <left/>
      <right style="medium">
        <color theme="0"/>
      </right>
      <top/>
      <bottom style="medium">
        <color auto="1"/>
      </bottom>
      <diagonal/>
    </border>
    <border>
      <left style="medium">
        <color theme="0"/>
      </left>
      <right style="medium">
        <color theme="0"/>
      </right>
      <top/>
      <bottom style="medium">
        <color auto="1"/>
      </bottom>
      <diagonal/>
    </border>
    <border>
      <left/>
      <right style="medium">
        <color theme="0"/>
      </right>
      <top style="medium">
        <color theme="0"/>
      </top>
      <bottom style="medium">
        <color theme="0"/>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auto="1"/>
      </left>
      <right/>
      <top style="thin">
        <color auto="1"/>
      </top>
      <bottom style="thin">
        <color auto="1"/>
      </bottom>
      <diagonal/>
    </border>
    <border>
      <left/>
      <right style="thin">
        <color indexed="64"/>
      </right>
      <top style="thin">
        <color indexed="64"/>
      </top>
      <bottom/>
      <diagonal/>
    </border>
    <border>
      <left/>
      <right style="medium">
        <color indexed="64"/>
      </right>
      <top/>
      <bottom style="medium">
        <color auto="1"/>
      </bottom>
      <diagonal/>
    </border>
    <border>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top/>
      <bottom style="medium">
        <color theme="0" tint="-4.9989318521683403E-2"/>
      </bottom>
      <diagonal/>
    </border>
    <border>
      <left/>
      <right style="medium">
        <color theme="0" tint="-4.9989318521683403E-2"/>
      </right>
      <top style="medium">
        <color theme="0" tint="-4.9989318521683403E-2"/>
      </top>
      <bottom style="medium">
        <color theme="0" tint="-4.9989318521683403E-2"/>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theme="0" tint="-4.9989318521683403E-2"/>
      </left>
      <right/>
      <top style="medium">
        <color theme="0" tint="-4.9989318521683403E-2"/>
      </top>
      <bottom style="medium">
        <color theme="0" tint="-4.9989318521683403E-2"/>
      </bottom>
      <diagonal/>
    </border>
    <border>
      <left/>
      <right style="medium">
        <color theme="0" tint="-4.9989318521683403E-2"/>
      </right>
      <top style="medium">
        <color theme="0" tint="-4.9989318521683403E-2"/>
      </top>
      <bottom style="medium">
        <color auto="1"/>
      </bottom>
      <diagonal/>
    </border>
    <border>
      <left style="medium">
        <color theme="0" tint="-4.9989318521683403E-2"/>
      </left>
      <right style="medium">
        <color theme="0" tint="-4.9989318521683403E-2"/>
      </right>
      <top style="medium">
        <color theme="0" tint="-4.9989318521683403E-2"/>
      </top>
      <bottom style="medium">
        <color auto="1"/>
      </bottom>
      <diagonal/>
    </border>
    <border>
      <left style="medium">
        <color theme="0" tint="-4.9989318521683403E-2"/>
      </left>
      <right/>
      <top style="medium">
        <color theme="0" tint="-4.9989318521683403E-2"/>
      </top>
      <bottom style="medium">
        <color auto="1"/>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s>
  <cellStyleXfs count="278">
    <xf numFmtId="0" fontId="0" fillId="0" borderId="0"/>
    <xf numFmtId="168" fontId="4" fillId="0" borderId="0"/>
    <xf numFmtId="169" fontId="4" fillId="0" borderId="0"/>
    <xf numFmtId="170" fontId="4" fillId="0" borderId="0"/>
    <xf numFmtId="171" fontId="4" fillId="0" borderId="0"/>
    <xf numFmtId="3" fontId="4" fillId="0" borderId="0" applyFont="0" applyFill="0" applyBorder="0" applyAlignment="0" applyProtection="0"/>
    <xf numFmtId="5" fontId="4" fillId="0" borderId="0" applyFont="0" applyFill="0" applyBorder="0" applyAlignment="0" applyProtection="0"/>
    <xf numFmtId="14" fontId="4" fillId="0" borderId="0" applyFont="0" applyFill="0" applyBorder="0" applyAlignment="0" applyProtection="0"/>
    <xf numFmtId="2" fontId="4" fillId="0" borderId="0" applyFont="0" applyFill="0" applyBorder="0" applyAlignment="0" applyProtection="0"/>
    <xf numFmtId="38" fontId="5" fillId="5" borderId="0" applyNumberFormat="0" applyBorder="0" applyAlignment="0" applyProtection="0"/>
    <xf numFmtId="10" fontId="5" fillId="6" borderId="4" applyNumberFormat="0" applyBorder="0" applyAlignment="0" applyProtection="0"/>
    <xf numFmtId="172" fontId="4" fillId="0" borderId="0"/>
    <xf numFmtId="173" fontId="4" fillId="0" borderId="0"/>
    <xf numFmtId="0" fontId="4" fillId="0" borderId="0"/>
    <xf numFmtId="174" fontId="4" fillId="0" borderId="0"/>
    <xf numFmtId="10" fontId="4" fillId="0" borderId="0" applyFont="0" applyFill="0" applyBorder="0" applyAlignment="0" applyProtection="0"/>
    <xf numFmtId="0" fontId="4" fillId="0" borderId="0"/>
    <xf numFmtId="168" fontId="14" fillId="0" borderId="0"/>
    <xf numFmtId="172" fontId="14" fillId="0" borderId="0"/>
    <xf numFmtId="0" fontId="16" fillId="0" borderId="0"/>
    <xf numFmtId="43" fontId="17" fillId="0" borderId="0" applyFont="0" applyFill="0" applyBorder="0" applyAlignment="0" applyProtection="0"/>
    <xf numFmtId="9" fontId="17" fillId="0" borderId="0" applyFont="0" applyFill="0" applyBorder="0" applyAlignment="0" applyProtection="0"/>
    <xf numFmtId="168" fontId="4" fillId="0" borderId="0"/>
    <xf numFmtId="172" fontId="4" fillId="0" borderId="0"/>
    <xf numFmtId="0" fontId="4" fillId="0" borderId="0"/>
    <xf numFmtId="0" fontId="4" fillId="0" borderId="0"/>
    <xf numFmtId="0" fontId="4" fillId="0" borderId="0"/>
    <xf numFmtId="0" fontId="4" fillId="0" borderId="0"/>
    <xf numFmtId="168" fontId="33" fillId="0" borderId="0"/>
    <xf numFmtId="170" fontId="33" fillId="0" borderId="0"/>
    <xf numFmtId="172" fontId="33" fillId="0" borderId="0"/>
    <xf numFmtId="0" fontId="33" fillId="0" borderId="0"/>
    <xf numFmtId="168" fontId="33" fillId="0" borderId="0"/>
    <xf numFmtId="172" fontId="33" fillId="0" borderId="0"/>
    <xf numFmtId="0" fontId="33" fillId="0" borderId="0"/>
    <xf numFmtId="44" fontId="17" fillId="0" borderId="0" applyFont="0" applyFill="0" applyBorder="0" applyAlignment="0" applyProtection="0"/>
    <xf numFmtId="44" fontId="4" fillId="0" borderId="0" applyFont="0" applyFill="0" applyBorder="0" applyAlignment="0" applyProtection="0"/>
    <xf numFmtId="0" fontId="4" fillId="0" borderId="0"/>
    <xf numFmtId="0" fontId="16" fillId="0" borderId="0"/>
    <xf numFmtId="44" fontId="4" fillId="0" borderId="0" applyFont="0" applyFill="0" applyBorder="0" applyAlignment="0" applyProtection="0"/>
    <xf numFmtId="9" fontId="4" fillId="0" borderId="0" applyFont="0" applyFill="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7" fillId="11"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7" fillId="21"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6" borderId="0" applyNumberFormat="0" applyBorder="0" applyAlignment="0" applyProtection="0"/>
    <xf numFmtId="0" fontId="37" fillId="40" borderId="0" applyNumberFormat="0" applyBorder="0" applyAlignment="0" applyProtection="0"/>
    <xf numFmtId="0" fontId="51" fillId="15" borderId="0" applyNumberFormat="0" applyBorder="0" applyAlignment="0" applyProtection="0"/>
    <xf numFmtId="0" fontId="55" fillId="18" borderId="42" applyNumberFormat="0" applyAlignment="0" applyProtection="0"/>
    <xf numFmtId="0" fontId="57" fillId="19" borderId="45"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0" fontId="59" fillId="0" borderId="0" applyNumberFormat="0" applyFill="0" applyBorder="0" applyAlignment="0" applyProtection="0"/>
    <xf numFmtId="0" fontId="50" fillId="14" borderId="0" applyNumberFormat="0" applyBorder="0" applyAlignment="0" applyProtection="0"/>
    <xf numFmtId="0" fontId="48" fillId="0" borderId="39" applyNumberFormat="0" applyFill="0" applyAlignment="0" applyProtection="0"/>
    <xf numFmtId="0" fontId="49" fillId="0" borderId="40" applyNumberFormat="0" applyFill="0" applyAlignment="0" applyProtection="0"/>
    <xf numFmtId="0" fontId="3" fillId="0" borderId="41" applyNumberFormat="0" applyFill="0" applyAlignment="0" applyProtection="0"/>
    <xf numFmtId="0" fontId="3" fillId="0" borderId="0" applyNumberFormat="0" applyFill="0" applyBorder="0" applyAlignment="0" applyProtection="0"/>
    <xf numFmtId="0" fontId="53" fillId="17" borderId="42" applyNumberFormat="0" applyAlignment="0" applyProtection="0"/>
    <xf numFmtId="0" fontId="56" fillId="0" borderId="44" applyNumberFormat="0" applyFill="0" applyAlignment="0" applyProtection="0"/>
    <xf numFmtId="0" fontId="52" fillId="16" borderId="0" applyNumberFormat="0" applyBorder="0" applyAlignment="0" applyProtection="0"/>
    <xf numFmtId="0" fontId="17" fillId="0" borderId="0"/>
    <xf numFmtId="0" fontId="17" fillId="0" borderId="0"/>
    <xf numFmtId="0" fontId="17" fillId="0" borderId="0"/>
    <xf numFmtId="0" fontId="17" fillId="20" borderId="46" applyNumberFormat="0" applyFont="0" applyAlignment="0" applyProtection="0"/>
    <xf numFmtId="0" fontId="54" fillId="18" borderId="43" applyNumberFormat="0" applyAlignment="0" applyProtection="0"/>
    <xf numFmtId="9" fontId="17" fillId="0" borderId="0" applyFont="0" applyFill="0" applyBorder="0" applyAlignment="0" applyProtection="0"/>
    <xf numFmtId="0" fontId="47" fillId="0" borderId="0" applyNumberFormat="0" applyFill="0" applyBorder="0" applyAlignment="0" applyProtection="0"/>
    <xf numFmtId="0" fontId="2" fillId="0" borderId="47" applyNumberFormat="0" applyFill="0" applyAlignment="0" applyProtection="0"/>
    <xf numFmtId="0" fontId="58" fillId="0" borderId="0" applyNumberFormat="0" applyFill="0" applyBorder="0" applyAlignment="0" applyProtection="0"/>
    <xf numFmtId="43" fontId="4" fillId="0" borderId="0" applyFont="0" applyFill="0" applyBorder="0" applyAlignment="0" applyProtection="0"/>
    <xf numFmtId="168" fontId="4" fillId="0" borderId="0"/>
    <xf numFmtId="172" fontId="4" fillId="0" borderId="0"/>
    <xf numFmtId="168" fontId="4" fillId="0" borderId="0"/>
    <xf numFmtId="172" fontId="4" fillId="0" borderId="0"/>
    <xf numFmtId="168" fontId="4" fillId="0" borderId="0"/>
    <xf numFmtId="172" fontId="4" fillId="0" borderId="0"/>
    <xf numFmtId="0" fontId="17" fillId="0" borderId="0"/>
    <xf numFmtId="0" fontId="4" fillId="0" borderId="0"/>
    <xf numFmtId="43" fontId="17" fillId="0" borderId="0" applyFont="0" applyFill="0" applyBorder="0" applyAlignment="0" applyProtection="0"/>
    <xf numFmtId="44" fontId="4"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applyNumberFormat="0" applyFill="0" applyBorder="0" applyAlignment="0" applyProtection="0"/>
    <xf numFmtId="0" fontId="48" fillId="0" borderId="39" applyNumberFormat="0" applyFill="0" applyAlignment="0" applyProtection="0"/>
    <xf numFmtId="0" fontId="49" fillId="0" borderId="40" applyNumberFormat="0" applyFill="0" applyAlignment="0" applyProtection="0"/>
    <xf numFmtId="0" fontId="3" fillId="0" borderId="41" applyNumberFormat="0" applyFill="0" applyAlignment="0" applyProtection="0"/>
    <xf numFmtId="0" fontId="3" fillId="0" borderId="0" applyNumberFormat="0" applyFill="0" applyBorder="0" applyAlignment="0" applyProtection="0"/>
    <xf numFmtId="0" fontId="50" fillId="14" borderId="0" applyNumberFormat="0" applyBorder="0" applyAlignment="0" applyProtection="0"/>
    <xf numFmtId="0" fontId="51" fillId="15" borderId="0" applyNumberFormat="0" applyBorder="0" applyAlignment="0" applyProtection="0"/>
    <xf numFmtId="0" fontId="52" fillId="16" borderId="0" applyNumberFormat="0" applyBorder="0" applyAlignment="0" applyProtection="0"/>
    <xf numFmtId="0" fontId="53" fillId="17" borderId="42" applyNumberFormat="0" applyAlignment="0" applyProtection="0"/>
    <xf numFmtId="0" fontId="54" fillId="18" borderId="43" applyNumberFormat="0" applyAlignment="0" applyProtection="0"/>
    <xf numFmtId="0" fontId="55" fillId="18" borderId="42" applyNumberFormat="0" applyAlignment="0" applyProtection="0"/>
    <xf numFmtId="0" fontId="56" fillId="0" borderId="44" applyNumberFormat="0" applyFill="0" applyAlignment="0" applyProtection="0"/>
    <xf numFmtId="0" fontId="57" fillId="19" borderId="45" applyNumberFormat="0" applyAlignment="0" applyProtection="0"/>
    <xf numFmtId="0" fontId="58" fillId="0" borderId="0" applyNumberFormat="0" applyFill="0" applyBorder="0" applyAlignment="0" applyProtection="0"/>
    <xf numFmtId="0" fontId="17" fillId="20" borderId="46" applyNumberFormat="0" applyFont="0" applyAlignment="0" applyProtection="0"/>
    <xf numFmtId="0" fontId="59" fillId="0" borderId="0" applyNumberFormat="0" applyFill="0" applyBorder="0" applyAlignment="0" applyProtection="0"/>
    <xf numFmtId="0" fontId="2" fillId="0" borderId="47" applyNumberFormat="0" applyFill="0" applyAlignment="0" applyProtection="0"/>
    <xf numFmtId="0" fontId="3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7" fillId="11" borderId="0" applyNumberFormat="0" applyBorder="0" applyAlignment="0" applyProtection="0"/>
    <xf numFmtId="0" fontId="3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37" fillId="43" borderId="0" applyNumberFormat="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4" fillId="0" borderId="0"/>
    <xf numFmtId="0" fontId="4" fillId="0" borderId="0"/>
    <xf numFmtId="43" fontId="17" fillId="0" borderId="0" applyFont="0" applyFill="0" applyBorder="0" applyAlignment="0" applyProtection="0"/>
    <xf numFmtId="44" fontId="17" fillId="0" borderId="0" applyFont="0" applyFill="0" applyBorder="0" applyAlignment="0" applyProtection="0"/>
    <xf numFmtId="0" fontId="4" fillId="0" borderId="0"/>
    <xf numFmtId="0" fontId="4"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20" borderId="46"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0" borderId="46"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4" fillId="0" borderId="0"/>
    <xf numFmtId="168" fontId="4" fillId="0" borderId="0"/>
    <xf numFmtId="168" fontId="4" fillId="0" borderId="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72" fontId="4" fillId="0" borderId="0"/>
    <xf numFmtId="172" fontId="4" fillId="0" borderId="0"/>
    <xf numFmtId="172"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4" fillId="0" borderId="0"/>
    <xf numFmtId="168" fontId="4" fillId="0" borderId="0"/>
    <xf numFmtId="168" fontId="4" fillId="0" borderId="0"/>
    <xf numFmtId="172" fontId="4" fillId="0" borderId="0"/>
    <xf numFmtId="172" fontId="4" fillId="0" borderId="0"/>
    <xf numFmtId="172" fontId="4" fillId="0" borderId="0"/>
    <xf numFmtId="195" fontId="4" fillId="0" borderId="0"/>
  </cellStyleXfs>
  <cellXfs count="2203">
    <xf numFmtId="0" fontId="0" fillId="0" borderId="0" xfId="0"/>
    <xf numFmtId="0" fontId="0" fillId="0" borderId="0" xfId="0" applyFill="1"/>
    <xf numFmtId="0" fontId="0" fillId="0" borderId="0" xfId="0" applyFill="1" applyBorder="1"/>
    <xf numFmtId="0" fontId="0" fillId="2" borderId="0" xfId="0" applyFill="1"/>
    <xf numFmtId="0" fontId="19" fillId="0" borderId="0" xfId="24" applyFont="1" applyProtection="1"/>
    <xf numFmtId="0" fontId="22" fillId="0" borderId="0" xfId="24" applyFont="1" applyProtection="1"/>
    <xf numFmtId="0" fontId="4" fillId="0" borderId="0" xfId="24" applyFont="1" applyProtection="1"/>
    <xf numFmtId="0" fontId="4" fillId="0" borderId="0" xfId="24" applyFont="1" applyFill="1" applyProtection="1"/>
    <xf numFmtId="0" fontId="34" fillId="0" borderId="0" xfId="27" applyFont="1" applyAlignment="1" applyProtection="1"/>
    <xf numFmtId="4" fontId="4" fillId="0" borderId="4" xfId="37" applyNumberFormat="1" applyFont="1" applyFill="1" applyBorder="1" applyAlignment="1" applyProtection="1">
      <alignment horizontal="center" vertical="center"/>
    </xf>
    <xf numFmtId="182" fontId="4" fillId="0" borderId="4" xfId="21" applyNumberFormat="1" applyFont="1" applyFill="1" applyBorder="1" applyAlignment="1" applyProtection="1">
      <alignment horizontal="center" vertical="center"/>
    </xf>
    <xf numFmtId="3" fontId="4" fillId="0" borderId="4" xfId="37" applyNumberFormat="1" applyFont="1" applyFill="1" applyBorder="1" applyAlignment="1" applyProtection="1">
      <alignment horizontal="center" vertical="center"/>
    </xf>
    <xf numFmtId="180" fontId="4" fillId="0" borderId="4" xfId="35" applyNumberFormat="1" applyFont="1" applyFill="1" applyBorder="1" applyAlignment="1" applyProtection="1">
      <alignment horizontal="center" vertical="center"/>
    </xf>
    <xf numFmtId="180" fontId="4" fillId="0" borderId="4" xfId="37" applyNumberFormat="1" applyFont="1" applyFill="1" applyBorder="1" applyAlignment="1" applyProtection="1">
      <alignment horizontal="center" vertical="center"/>
    </xf>
    <xf numFmtId="4" fontId="4" fillId="0" borderId="4" xfId="20" applyNumberFormat="1" applyFont="1" applyFill="1" applyBorder="1" applyAlignment="1" applyProtection="1">
      <alignment horizontal="center" vertical="center"/>
    </xf>
    <xf numFmtId="184" fontId="4" fillId="0" borderId="4" xfId="35" applyNumberFormat="1" applyFont="1" applyFill="1" applyBorder="1" applyAlignment="1" applyProtection="1">
      <alignment horizontal="center" vertical="center"/>
    </xf>
    <xf numFmtId="181" fontId="4" fillId="0" borderId="4" xfId="35" applyNumberFormat="1" applyFont="1" applyFill="1" applyBorder="1" applyAlignment="1" applyProtection="1">
      <alignment horizontal="center" vertical="center"/>
    </xf>
    <xf numFmtId="9" fontId="4" fillId="0" borderId="4" xfId="21" applyFont="1" applyFill="1" applyBorder="1" applyAlignment="1" applyProtection="1">
      <alignment horizontal="center" vertical="center"/>
    </xf>
    <xf numFmtId="180" fontId="22" fillId="0" borderId="4" xfId="37" applyNumberFormat="1" applyFont="1" applyFill="1" applyBorder="1" applyAlignment="1" applyProtection="1">
      <alignment horizontal="left" vertical="center"/>
    </xf>
    <xf numFmtId="0" fontId="4" fillId="0" borderId="22" xfId="37" applyFont="1" applyFill="1" applyBorder="1" applyAlignment="1" applyProtection="1">
      <alignment horizontal="left" vertical="top" wrapText="1"/>
    </xf>
    <xf numFmtId="180" fontId="22" fillId="0" borderId="22" xfId="37" applyNumberFormat="1" applyFont="1" applyFill="1" applyBorder="1" applyAlignment="1" applyProtection="1">
      <alignment horizontal="left" vertical="top" wrapText="1"/>
    </xf>
    <xf numFmtId="185" fontId="43" fillId="0" borderId="4" xfId="21" applyNumberFormat="1" applyFont="1" applyFill="1" applyBorder="1" applyAlignment="1" applyProtection="1">
      <alignment horizontal="center" vertical="center"/>
    </xf>
    <xf numFmtId="0" fontId="0" fillId="0" borderId="0" xfId="0" applyProtection="1"/>
    <xf numFmtId="0" fontId="0" fillId="0" borderId="0" xfId="0" applyFill="1" applyProtection="1"/>
    <xf numFmtId="0" fontId="2" fillId="0" borderId="0" xfId="0" applyFont="1" applyProtection="1"/>
    <xf numFmtId="0" fontId="0" fillId="0" borderId="0" xfId="0" applyProtection="1">
      <protection locked="0"/>
    </xf>
    <xf numFmtId="0" fontId="0" fillId="0" borderId="0" xfId="0" applyAlignment="1" applyProtection="1">
      <alignment vertical="top" wrapText="1"/>
    </xf>
    <xf numFmtId="0" fontId="0" fillId="0" borderId="0" xfId="0" applyFont="1" applyProtection="1"/>
    <xf numFmtId="0" fontId="0" fillId="0" borderId="0" xfId="0" applyAlignment="1" applyProtection="1">
      <alignment vertical="top"/>
    </xf>
    <xf numFmtId="0" fontId="30" fillId="0" borderId="0" xfId="0" applyFont="1" applyProtection="1"/>
    <xf numFmtId="0" fontId="10" fillId="0" borderId="0" xfId="0" applyFont="1" applyProtection="1"/>
    <xf numFmtId="0" fontId="34" fillId="0" borderId="0" xfId="27" applyFont="1" applyFill="1" applyBorder="1" applyAlignment="1" applyProtection="1">
      <alignment horizontal="center"/>
    </xf>
    <xf numFmtId="0" fontId="8" fillId="0" borderId="0" xfId="0" applyFont="1" applyProtection="1"/>
    <xf numFmtId="180" fontId="22" fillId="0" borderId="22" xfId="37" applyNumberFormat="1" applyFont="1" applyFill="1" applyBorder="1" applyAlignment="1" applyProtection="1">
      <alignment horizontal="left" vertical="top" wrapText="1" indent="1"/>
    </xf>
    <xf numFmtId="180" fontId="22" fillId="12" borderId="28" xfId="37" applyNumberFormat="1" applyFont="1" applyFill="1" applyBorder="1" applyAlignment="1" applyProtection="1">
      <alignment horizontal="left" vertical="top" wrapText="1"/>
    </xf>
    <xf numFmtId="0" fontId="4" fillId="12" borderId="27" xfId="37" applyFont="1" applyFill="1" applyBorder="1" applyProtection="1"/>
    <xf numFmtId="181" fontId="22" fillId="12" borderId="27" xfId="36" applyNumberFormat="1" applyFont="1" applyFill="1" applyBorder="1" applyAlignment="1" applyProtection="1">
      <alignment horizontal="center" vertical="center"/>
    </xf>
    <xf numFmtId="183" fontId="22" fillId="12" borderId="27" xfId="36" applyNumberFormat="1" applyFont="1" applyFill="1" applyBorder="1" applyAlignment="1" applyProtection="1">
      <alignment horizontal="center" vertical="center"/>
    </xf>
    <xf numFmtId="182" fontId="4" fillId="12" borderId="27" xfId="21" applyNumberFormat="1" applyFont="1" applyFill="1" applyBorder="1" applyAlignment="1" applyProtection="1">
      <alignment horizontal="center" vertical="center"/>
    </xf>
    <xf numFmtId="182" fontId="22" fillId="0" borderId="4" xfId="21" applyNumberFormat="1" applyFont="1" applyFill="1" applyBorder="1" applyAlignment="1" applyProtection="1">
      <alignment horizontal="center" vertical="center"/>
    </xf>
    <xf numFmtId="0" fontId="4" fillId="0" borderId="4" xfId="37" applyFont="1" applyFill="1" applyBorder="1" applyProtection="1"/>
    <xf numFmtId="180" fontId="22" fillId="13" borderId="23" xfId="37" applyNumberFormat="1" applyFont="1" applyFill="1" applyBorder="1" applyAlignment="1" applyProtection="1">
      <alignment horizontal="left" vertical="top" wrapText="1"/>
    </xf>
    <xf numFmtId="0" fontId="4" fillId="13" borderId="24" xfId="37" applyFont="1" applyFill="1" applyBorder="1" applyProtection="1"/>
    <xf numFmtId="183" fontId="22" fillId="13" borderId="24" xfId="36" applyNumberFormat="1" applyFont="1" applyFill="1" applyBorder="1" applyAlignment="1" applyProtection="1">
      <alignment horizontal="center" vertical="center"/>
    </xf>
    <xf numFmtId="182" fontId="4" fillId="13" borderId="24" xfId="21" applyNumberFormat="1" applyFont="1" applyFill="1" applyBorder="1" applyAlignment="1" applyProtection="1">
      <alignment horizontal="center" vertical="center"/>
    </xf>
    <xf numFmtId="182" fontId="22" fillId="13" borderId="4" xfId="21" applyNumberFormat="1" applyFont="1" applyFill="1" applyBorder="1" applyAlignment="1" applyProtection="1">
      <alignment horizontal="center" vertical="center"/>
    </xf>
    <xf numFmtId="180" fontId="22" fillId="13" borderId="22" xfId="37" applyNumberFormat="1" applyFont="1" applyFill="1" applyBorder="1" applyAlignment="1" applyProtection="1">
      <alignment horizontal="left" vertical="top" wrapText="1"/>
    </xf>
    <xf numFmtId="182" fontId="4" fillId="13" borderId="4" xfId="21" applyNumberFormat="1" applyFont="1" applyFill="1" applyBorder="1" applyAlignment="1" applyProtection="1">
      <alignment horizontal="center" vertical="center"/>
    </xf>
    <xf numFmtId="180" fontId="22" fillId="13" borderId="4" xfId="37" applyNumberFormat="1" applyFont="1" applyFill="1" applyBorder="1" applyAlignment="1" applyProtection="1">
      <alignment horizontal="left" vertical="center"/>
    </xf>
    <xf numFmtId="182" fontId="22" fillId="13" borderId="34" xfId="21" applyNumberFormat="1" applyFont="1" applyFill="1" applyBorder="1" applyAlignment="1" applyProtection="1">
      <alignment horizontal="center" vertical="center"/>
    </xf>
    <xf numFmtId="182" fontId="4" fillId="0" borderId="34" xfId="21" applyNumberFormat="1" applyFont="1" applyFill="1" applyBorder="1" applyAlignment="1" applyProtection="1">
      <alignment horizontal="center" vertical="center"/>
    </xf>
    <xf numFmtId="182" fontId="22" fillId="0" borderId="34" xfId="21" applyNumberFormat="1" applyFont="1" applyFill="1" applyBorder="1" applyAlignment="1" applyProtection="1">
      <alignment horizontal="center" vertical="center"/>
    </xf>
    <xf numFmtId="182" fontId="22" fillId="12" borderId="35" xfId="21" applyNumberFormat="1" applyFont="1" applyFill="1" applyBorder="1" applyAlignment="1" applyProtection="1">
      <alignment horizontal="center" vertical="center"/>
    </xf>
    <xf numFmtId="182" fontId="22" fillId="13" borderId="36" xfId="21" applyNumberFormat="1" applyFont="1" applyFill="1" applyBorder="1" applyAlignment="1" applyProtection="1">
      <alignment horizontal="center" vertical="center"/>
    </xf>
    <xf numFmtId="182" fontId="22" fillId="12" borderId="27" xfId="21" applyNumberFormat="1" applyFont="1" applyFill="1" applyBorder="1" applyAlignment="1" applyProtection="1">
      <alignment horizontal="center" vertical="center"/>
    </xf>
    <xf numFmtId="182" fontId="22" fillId="13" borderId="24" xfId="21" applyNumberFormat="1" applyFont="1" applyFill="1" applyBorder="1" applyAlignment="1" applyProtection="1">
      <alignment horizontal="center" vertical="center"/>
    </xf>
    <xf numFmtId="180" fontId="4" fillId="0" borderId="4" xfId="37" applyNumberFormat="1" applyFont="1" applyFill="1" applyBorder="1" applyAlignment="1" applyProtection="1">
      <alignment horizontal="left" vertical="center"/>
    </xf>
    <xf numFmtId="181" fontId="45" fillId="0" borderId="4" xfId="36" applyNumberFormat="1" applyFont="1" applyFill="1" applyBorder="1" applyAlignment="1" applyProtection="1">
      <alignment horizontal="center" vertical="center"/>
    </xf>
    <xf numFmtId="185" fontId="45" fillId="0" borderId="4" xfId="21" applyNumberFormat="1" applyFont="1" applyFill="1" applyBorder="1" applyAlignment="1" applyProtection="1">
      <alignment horizontal="center" vertical="center"/>
    </xf>
    <xf numFmtId="0" fontId="4" fillId="0" borderId="0" xfId="24" applyProtection="1">
      <protection locked="0"/>
    </xf>
    <xf numFmtId="0" fontId="4" fillId="0" borderId="0" xfId="24" applyProtection="1"/>
    <xf numFmtId="0" fontId="18" fillId="0" borderId="0" xfId="24" applyFont="1" applyAlignment="1" applyProtection="1">
      <alignment horizontal="center"/>
    </xf>
    <xf numFmtId="0" fontId="22" fillId="0" borderId="0" xfId="24" applyFont="1" applyAlignment="1" applyProtection="1">
      <alignment horizontal="right"/>
    </xf>
    <xf numFmtId="0" fontId="22" fillId="0" borderId="0" xfId="24" applyFont="1" applyAlignment="1" applyProtection="1">
      <alignment horizontal="center"/>
    </xf>
    <xf numFmtId="0" fontId="22" fillId="0" borderId="27" xfId="24" applyFont="1" applyBorder="1" applyAlignment="1" applyProtection="1">
      <alignment horizontal="center"/>
    </xf>
    <xf numFmtId="0" fontId="22" fillId="0" borderId="10" xfId="24" applyFont="1" applyBorder="1" applyAlignment="1" applyProtection="1">
      <alignment horizontal="center"/>
    </xf>
    <xf numFmtId="0" fontId="22" fillId="0" borderId="8" xfId="24" applyFont="1" applyBorder="1" applyAlignment="1" applyProtection="1">
      <alignment horizontal="center"/>
    </xf>
    <xf numFmtId="0" fontId="22" fillId="0" borderId="29" xfId="24" quotePrefix="1" applyFont="1" applyBorder="1" applyAlignment="1" applyProtection="1">
      <alignment horizontal="center"/>
    </xf>
    <xf numFmtId="0" fontId="22" fillId="0" borderId="13" xfId="24" quotePrefix="1" applyFont="1" applyBorder="1" applyAlignment="1" applyProtection="1">
      <alignment horizontal="center"/>
    </xf>
    <xf numFmtId="0" fontId="4" fillId="0" borderId="0" xfId="24" applyBorder="1" applyAlignment="1" applyProtection="1">
      <alignment vertical="top"/>
    </xf>
    <xf numFmtId="0" fontId="4" fillId="0" borderId="0" xfId="24" applyFill="1" applyBorder="1" applyAlignment="1" applyProtection="1">
      <alignment vertical="top"/>
    </xf>
    <xf numFmtId="0" fontId="4" fillId="0" borderId="12" xfId="24" applyBorder="1" applyAlignment="1" applyProtection="1">
      <alignment vertical="top"/>
    </xf>
    <xf numFmtId="0" fontId="22" fillId="13" borderId="11" xfId="24" applyFont="1" applyFill="1" applyBorder="1" applyAlignment="1" applyProtection="1">
      <alignment vertical="top"/>
    </xf>
    <xf numFmtId="0" fontId="4" fillId="0" borderId="0" xfId="24" applyFont="1" applyFill="1" applyAlignment="1" applyProtection="1">
      <alignment vertical="top" wrapText="1"/>
    </xf>
    <xf numFmtId="0" fontId="4" fillId="0" borderId="0" xfId="24" applyAlignment="1" applyProtection="1">
      <alignment vertical="top"/>
    </xf>
    <xf numFmtId="0" fontId="4" fillId="0" borderId="0" xfId="24" applyFont="1" applyAlignment="1" applyProtection="1">
      <alignment vertical="top"/>
    </xf>
    <xf numFmtId="0" fontId="22" fillId="13" borderId="25" xfId="24" applyFont="1" applyFill="1" applyBorder="1" applyAlignment="1" applyProtection="1">
      <alignment vertical="top" wrapText="1"/>
    </xf>
    <xf numFmtId="0" fontId="4" fillId="0" borderId="0" xfId="24" applyAlignment="1" applyProtection="1">
      <alignment vertical="center"/>
    </xf>
    <xf numFmtId="0" fontId="4" fillId="0" borderId="0" xfId="24" applyAlignment="1" applyProtection="1">
      <alignment vertical="top" wrapText="1"/>
    </xf>
    <xf numFmtId="0" fontId="4" fillId="44" borderId="14" xfId="24" applyFont="1" applyFill="1" applyBorder="1" applyProtection="1"/>
    <xf numFmtId="0" fontId="22" fillId="0" borderId="0" xfId="24" applyFont="1" applyFill="1" applyAlignment="1" applyProtection="1">
      <alignment vertical="top"/>
    </xf>
    <xf numFmtId="0" fontId="4" fillId="0" borderId="0" xfId="24" applyFont="1" applyFill="1" applyAlignment="1" applyProtection="1">
      <alignment horizontal="left" vertical="top" indent="1"/>
    </xf>
    <xf numFmtId="0" fontId="22" fillId="0" borderId="0" xfId="24" applyFont="1" applyAlignment="1" applyProtection="1">
      <alignment horizontal="left" vertical="top" wrapText="1" indent="1"/>
    </xf>
    <xf numFmtId="0" fontId="4" fillId="9" borderId="0" xfId="24" applyFill="1" applyBorder="1" applyProtection="1"/>
    <xf numFmtId="0" fontId="4" fillId="0" borderId="0" xfId="24" applyFill="1" applyProtection="1"/>
    <xf numFmtId="0" fontId="4" fillId="9" borderId="0" xfId="24" applyFill="1" applyProtection="1"/>
    <xf numFmtId="0" fontId="4" fillId="9" borderId="0" xfId="24" applyFill="1" applyAlignment="1" applyProtection="1">
      <alignment horizontal="center"/>
    </xf>
    <xf numFmtId="0" fontId="18" fillId="9" borderId="0" xfId="24" applyFont="1" applyFill="1" applyAlignment="1" applyProtection="1">
      <alignment horizontal="center" wrapText="1"/>
    </xf>
    <xf numFmtId="44" fontId="18" fillId="9" borderId="0" xfId="39" applyFont="1" applyFill="1" applyProtection="1"/>
    <xf numFmtId="188" fontId="18" fillId="9" borderId="0" xfId="39" applyNumberFormat="1" applyFont="1" applyFill="1" applyProtection="1"/>
    <xf numFmtId="0" fontId="18" fillId="9" borderId="0" xfId="24" applyFont="1" applyFill="1" applyBorder="1" applyAlignment="1" applyProtection="1">
      <alignment wrapText="1"/>
    </xf>
    <xf numFmtId="0" fontId="32" fillId="9" borderId="0" xfId="24" applyFont="1" applyFill="1" applyProtection="1"/>
    <xf numFmtId="186" fontId="4" fillId="3" borderId="52" xfId="88" applyNumberFormat="1" applyFont="1" applyFill="1" applyBorder="1" applyProtection="1">
      <protection locked="0"/>
    </xf>
    <xf numFmtId="190" fontId="4" fillId="3" borderId="52" xfId="39" applyNumberFormat="1" applyFont="1" applyFill="1" applyBorder="1" applyProtection="1">
      <protection locked="0"/>
    </xf>
    <xf numFmtId="190" fontId="4" fillId="9" borderId="0" xfId="39" applyNumberFormat="1" applyFont="1" applyFill="1" applyProtection="1"/>
    <xf numFmtId="186" fontId="4" fillId="9" borderId="51" xfId="88" applyNumberFormat="1" applyFont="1" applyFill="1" applyBorder="1" applyProtection="1"/>
    <xf numFmtId="44" fontId="4" fillId="9" borderId="51" xfId="39" applyFont="1" applyFill="1" applyBorder="1" applyProtection="1"/>
    <xf numFmtId="190" fontId="4" fillId="9" borderId="51" xfId="39" applyNumberFormat="1" applyFont="1" applyFill="1" applyBorder="1" applyProtection="1"/>
    <xf numFmtId="186" fontId="4" fillId="9" borderId="0" xfId="88" applyNumberFormat="1" applyFont="1" applyFill="1" applyProtection="1"/>
    <xf numFmtId="0" fontId="22" fillId="0" borderId="0" xfId="24" applyFont="1" applyAlignment="1" applyProtection="1">
      <alignment horizontal="right" vertical="top"/>
    </xf>
    <xf numFmtId="190" fontId="4" fillId="2" borderId="0" xfId="39" applyNumberFormat="1" applyFont="1" applyFill="1" applyProtection="1"/>
    <xf numFmtId="186" fontId="4" fillId="9" borderId="52" xfId="88" applyNumberFormat="1" applyFont="1" applyFill="1" applyBorder="1" applyProtection="1"/>
    <xf numFmtId="188" fontId="4" fillId="9" borderId="52" xfId="39" applyNumberFormat="1" applyFont="1" applyFill="1" applyBorder="1" applyProtection="1"/>
    <xf numFmtId="190" fontId="4" fillId="9" borderId="52" xfId="39" applyNumberFormat="1" applyFont="1" applyFill="1" applyBorder="1" applyProtection="1"/>
    <xf numFmtId="44" fontId="4" fillId="9" borderId="0" xfId="39" applyFont="1" applyFill="1" applyProtection="1"/>
    <xf numFmtId="190" fontId="30" fillId="3" borderId="0" xfId="35" applyNumberFormat="1" applyFont="1" applyFill="1" applyProtection="1">
      <protection locked="0"/>
    </xf>
    <xf numFmtId="0" fontId="18" fillId="0" borderId="0" xfId="0" applyFont="1" applyAlignment="1" applyProtection="1">
      <alignment horizontal="center"/>
    </xf>
    <xf numFmtId="0" fontId="18" fillId="9" borderId="0" xfId="0" applyFont="1" applyFill="1" applyProtection="1"/>
    <xf numFmtId="0" fontId="0" fillId="9" borderId="0" xfId="0" applyFill="1" applyAlignment="1" applyProtection="1">
      <alignment horizontal="center"/>
    </xf>
    <xf numFmtId="0" fontId="0" fillId="9" borderId="0" xfId="0" applyFill="1" applyProtection="1"/>
    <xf numFmtId="0" fontId="18" fillId="9" borderId="0" xfId="0" applyFont="1" applyFill="1" applyAlignment="1" applyProtection="1">
      <alignment horizontal="center" wrapText="1"/>
    </xf>
    <xf numFmtId="0" fontId="11" fillId="0" borderId="0" xfId="0" applyFont="1" applyProtection="1"/>
    <xf numFmtId="0" fontId="71" fillId="0" borderId="0" xfId="0" applyFont="1" applyAlignment="1" applyProtection="1">
      <alignment vertical="top" wrapText="1"/>
    </xf>
    <xf numFmtId="0" fontId="0" fillId="0" borderId="0" xfId="0" applyBorder="1" applyProtection="1"/>
    <xf numFmtId="10" fontId="30" fillId="3" borderId="0" xfId="21" applyNumberFormat="1" applyFont="1" applyFill="1" applyAlignment="1" applyProtection="1">
      <alignment horizontal="center" vertical="center"/>
      <protection locked="0"/>
    </xf>
    <xf numFmtId="0" fontId="0" fillId="0" borderId="0" xfId="0" applyAlignment="1" applyProtection="1">
      <alignment horizontal="left" vertical="top"/>
    </xf>
    <xf numFmtId="0" fontId="20" fillId="9" borderId="0" xfId="0" applyFont="1" applyFill="1" applyProtection="1"/>
    <xf numFmtId="0" fontId="22" fillId="9" borderId="0" xfId="96" applyFont="1" applyFill="1" applyAlignment="1" applyProtection="1">
      <alignment horizontal="center"/>
    </xf>
    <xf numFmtId="167" fontId="22" fillId="9" borderId="0" xfId="96" applyNumberFormat="1" applyFont="1" applyFill="1" applyAlignment="1" applyProtection="1">
      <alignment horizontal="center"/>
    </xf>
    <xf numFmtId="0" fontId="4" fillId="9" borderId="0" xfId="96" applyFill="1" applyProtection="1"/>
    <xf numFmtId="10" fontId="4" fillId="9" borderId="0" xfId="96" applyNumberFormat="1" applyFill="1" applyAlignment="1" applyProtection="1">
      <alignment horizontal="center"/>
    </xf>
    <xf numFmtId="10" fontId="4" fillId="9" borderId="12" xfId="96" applyNumberFormat="1" applyFill="1" applyBorder="1" applyAlignment="1" applyProtection="1">
      <alignment horizontal="center"/>
    </xf>
    <xf numFmtId="10" fontId="4" fillId="9" borderId="0" xfId="96" applyNumberFormat="1" applyFill="1" applyBorder="1" applyAlignment="1" applyProtection="1">
      <alignment horizontal="center"/>
    </xf>
    <xf numFmtId="10" fontId="4" fillId="9" borderId="48" xfId="96" applyNumberFormat="1" applyFill="1" applyBorder="1" applyAlignment="1" applyProtection="1">
      <alignment horizontal="center"/>
    </xf>
    <xf numFmtId="0" fontId="4" fillId="9" borderId="0" xfId="96" applyFill="1" applyAlignment="1" applyProtection="1">
      <alignment horizontal="center"/>
    </xf>
    <xf numFmtId="10" fontId="4" fillId="9" borderId="18" xfId="96" applyNumberFormat="1" applyFont="1" applyFill="1" applyBorder="1" applyAlignment="1" applyProtection="1">
      <alignment horizontal="center"/>
    </xf>
    <xf numFmtId="3" fontId="4" fillId="9" borderId="0" xfId="96" applyNumberFormat="1" applyFill="1" applyBorder="1" applyAlignment="1" applyProtection="1">
      <alignment horizontal="center"/>
    </xf>
    <xf numFmtId="0" fontId="22" fillId="9" borderId="0" xfId="96" applyFont="1" applyFill="1" applyProtection="1"/>
    <xf numFmtId="0" fontId="4" fillId="9" borderId="0" xfId="96" applyFont="1" applyFill="1" applyProtection="1"/>
    <xf numFmtId="0" fontId="8" fillId="9" borderId="0" xfId="0" applyFont="1" applyFill="1" applyProtection="1"/>
    <xf numFmtId="0" fontId="29" fillId="0" borderId="0" xfId="0" applyFont="1" applyProtection="1"/>
    <xf numFmtId="0" fontId="36" fillId="0" borderId="0" xfId="0" applyFont="1" applyProtection="1"/>
    <xf numFmtId="44" fontId="18" fillId="3" borderId="0" xfId="39" applyFont="1" applyFill="1" applyProtection="1">
      <protection locked="0"/>
    </xf>
    <xf numFmtId="0" fontId="29" fillId="9" borderId="0" xfId="0" applyFont="1" applyFill="1" applyProtection="1"/>
    <xf numFmtId="0" fontId="36" fillId="9" borderId="0" xfId="0" applyFont="1" applyFill="1" applyProtection="1"/>
    <xf numFmtId="188" fontId="18" fillId="3" borderId="0" xfId="39" applyNumberFormat="1" applyFont="1" applyFill="1" applyProtection="1">
      <protection locked="0"/>
    </xf>
    <xf numFmtId="0" fontId="18" fillId="0" borderId="0" xfId="0" applyFont="1" applyProtection="1"/>
    <xf numFmtId="0" fontId="76" fillId="9" borderId="0" xfId="0" applyFont="1" applyFill="1" applyAlignment="1" applyProtection="1">
      <alignment horizontal="left"/>
    </xf>
    <xf numFmtId="0" fontId="75" fillId="9" borderId="0" xfId="0" applyFont="1" applyFill="1" applyAlignment="1" applyProtection="1">
      <alignment horizontal="center"/>
    </xf>
    <xf numFmtId="0" fontId="77" fillId="9" borderId="0" xfId="0" applyFont="1" applyFill="1" applyAlignment="1" applyProtection="1">
      <alignment horizontal="left"/>
    </xf>
    <xf numFmtId="0" fontId="29" fillId="9" borderId="0" xfId="0" applyFont="1" applyFill="1" applyAlignment="1" applyProtection="1">
      <alignment horizontal="center"/>
    </xf>
    <xf numFmtId="0" fontId="36" fillId="9" borderId="0" xfId="0" applyFont="1" applyFill="1" applyAlignment="1" applyProtection="1">
      <alignment horizontal="center"/>
    </xf>
    <xf numFmtId="0" fontId="22" fillId="0" borderId="0" xfId="24" applyFont="1" applyAlignment="1" applyProtection="1">
      <alignment horizontal="center" vertical="center"/>
    </xf>
    <xf numFmtId="0" fontId="78" fillId="9" borderId="0" xfId="24" applyFont="1" applyFill="1" applyAlignment="1" applyProtection="1">
      <alignment horizontal="center" wrapText="1"/>
    </xf>
    <xf numFmtId="0" fontId="4" fillId="9" borderId="0" xfId="24" applyFont="1" applyFill="1" applyProtection="1"/>
    <xf numFmtId="190" fontId="6" fillId="3" borderId="52" xfId="39" applyNumberFormat="1" applyFont="1" applyFill="1" applyBorder="1" applyProtection="1">
      <protection locked="0"/>
    </xf>
    <xf numFmtId="0" fontId="4" fillId="9" borderId="0" xfId="24" applyFont="1" applyFill="1" applyBorder="1" applyProtection="1"/>
    <xf numFmtId="0" fontId="4" fillId="9" borderId="0" xfId="24" applyFont="1" applyFill="1" applyAlignment="1" applyProtection="1">
      <alignment horizontal="center"/>
    </xf>
    <xf numFmtId="0" fontId="43" fillId="0" borderId="0" xfId="24" applyFont="1" applyAlignment="1" applyProtection="1">
      <alignment horizontal="center" wrapText="1"/>
    </xf>
    <xf numFmtId="0" fontId="22" fillId="9" borderId="0" xfId="24" applyFont="1" applyFill="1" applyAlignment="1" applyProtection="1">
      <alignment horizontal="center" wrapText="1"/>
    </xf>
    <xf numFmtId="0" fontId="34" fillId="0" borderId="0" xfId="31" applyFont="1" applyBorder="1" applyAlignment="1" applyProtection="1">
      <alignment horizontal="right" vertical="center" wrapText="1"/>
    </xf>
    <xf numFmtId="10" fontId="34" fillId="0" borderId="0" xfId="21" applyNumberFormat="1" applyFont="1" applyBorder="1" applyAlignment="1" applyProtection="1">
      <alignment horizontal="center" vertical="center"/>
    </xf>
    <xf numFmtId="0" fontId="34" fillId="0" borderId="0" xfId="31" applyFont="1" applyBorder="1" applyAlignment="1" applyProtection="1">
      <alignment horizontal="center" vertical="center" wrapText="1"/>
    </xf>
    <xf numFmtId="10" fontId="34" fillId="0" borderId="0" xfId="31" applyNumberFormat="1" applyFont="1" applyFill="1" applyBorder="1" applyAlignment="1" applyProtection="1">
      <alignment horizontal="center" vertical="center" wrapText="1"/>
    </xf>
    <xf numFmtId="0" fontId="28" fillId="0" borderId="0" xfId="31" applyFont="1" applyBorder="1" applyAlignment="1" applyProtection="1">
      <alignment horizontal="right" vertical="center" wrapText="1"/>
    </xf>
    <xf numFmtId="0" fontId="35" fillId="4" borderId="0" xfId="31" applyFont="1" applyFill="1" applyBorder="1" applyAlignment="1" applyProtection="1">
      <alignment horizontal="center" vertical="center"/>
      <protection locked="0"/>
    </xf>
    <xf numFmtId="10" fontId="34" fillId="0" borderId="0" xfId="21" applyNumberFormat="1" applyFont="1" applyFill="1" applyBorder="1" applyAlignment="1" applyProtection="1">
      <alignment horizontal="center" vertical="center"/>
    </xf>
    <xf numFmtId="0" fontId="0" fillId="0" borderId="0" xfId="0" applyFont="1" applyBorder="1" applyProtection="1"/>
    <xf numFmtId="0" fontId="2" fillId="0" borderId="0" xfId="0" applyFont="1" applyAlignment="1" applyProtection="1">
      <alignment horizontal="right" vertical="center" wrapText="1"/>
    </xf>
    <xf numFmtId="186" fontId="0" fillId="8" borderId="53" xfId="20" applyNumberFormat="1" applyFont="1" applyFill="1" applyBorder="1" applyAlignment="1" applyProtection="1">
      <alignment vertical="center"/>
      <protection locked="0"/>
    </xf>
    <xf numFmtId="0" fontId="22" fillId="0" borderId="0" xfId="31" applyFont="1" applyAlignment="1" applyProtection="1">
      <alignment horizontal="center" wrapText="1"/>
    </xf>
    <xf numFmtId="0" fontId="34" fillId="0" borderId="0" xfId="27" applyFont="1" applyFill="1" applyBorder="1" applyAlignment="1" applyProtection="1">
      <alignment horizontal="right" wrapText="1"/>
    </xf>
    <xf numFmtId="0" fontId="10" fillId="0" borderId="0" xfId="0" applyFont="1" applyAlignment="1" applyProtection="1">
      <alignment vertical="top" wrapText="1"/>
    </xf>
    <xf numFmtId="0" fontId="0" fillId="0" borderId="30" xfId="0" applyBorder="1" applyAlignment="1" applyProtection="1">
      <alignment wrapText="1"/>
    </xf>
    <xf numFmtId="0" fontId="0" fillId="0" borderId="31" xfId="0" applyBorder="1" applyProtection="1"/>
    <xf numFmtId="0" fontId="60" fillId="9" borderId="0" xfId="24" applyFont="1" applyFill="1" applyAlignment="1" applyProtection="1">
      <alignment vertical="top" wrapText="1"/>
    </xf>
    <xf numFmtId="0" fontId="5" fillId="0" borderId="0" xfId="24" applyFont="1" applyAlignment="1" applyProtection="1">
      <alignment horizontal="right" vertical="top"/>
    </xf>
    <xf numFmtId="0" fontId="61" fillId="9" borderId="0" xfId="24" applyFont="1" applyFill="1" applyBorder="1" applyAlignment="1" applyProtection="1"/>
    <xf numFmtId="0" fontId="4" fillId="9" borderId="0" xfId="24" applyFill="1" applyBorder="1" applyAlignment="1" applyProtection="1">
      <alignment horizontal="left" indent="1"/>
    </xf>
    <xf numFmtId="0" fontId="18" fillId="9" borderId="0" xfId="24" applyFont="1" applyFill="1" applyBorder="1" applyAlignment="1" applyProtection="1"/>
    <xf numFmtId="0" fontId="41" fillId="0" borderId="0" xfId="24" applyFont="1" applyAlignment="1" applyProtection="1"/>
    <xf numFmtId="0" fontId="18" fillId="0" borderId="0" xfId="24" applyFont="1" applyProtection="1"/>
    <xf numFmtId="0" fontId="22" fillId="0" borderId="4" xfId="24" applyFont="1" applyBorder="1" applyAlignment="1" applyProtection="1">
      <alignment horizontal="center" vertical="center" wrapText="1"/>
    </xf>
    <xf numFmtId="0" fontId="4" fillId="4" borderId="4" xfId="24" applyFill="1" applyBorder="1" applyAlignment="1" applyProtection="1">
      <alignment horizontal="center" vertical="center"/>
      <protection locked="0"/>
    </xf>
    <xf numFmtId="186" fontId="0" fillId="0" borderId="4" xfId="88" applyNumberFormat="1" applyFont="1" applyBorder="1" applyAlignment="1" applyProtection="1">
      <alignment horizontal="center" vertical="center"/>
      <protection locked="0"/>
    </xf>
    <xf numFmtId="0" fontId="22" fillId="10" borderId="4" xfId="24" applyFont="1" applyFill="1" applyBorder="1" applyAlignment="1" applyProtection="1">
      <alignment horizontal="center" vertical="center"/>
    </xf>
    <xf numFmtId="0" fontId="4" fillId="0" borderId="4" xfId="24" applyBorder="1" applyAlignment="1" applyProtection="1">
      <alignment horizontal="center" vertical="center"/>
    </xf>
    <xf numFmtId="44" fontId="0" fillId="0" borderId="4" xfId="39" applyFont="1" applyBorder="1" applyAlignment="1" applyProtection="1">
      <alignment horizontal="center" vertical="center"/>
    </xf>
    <xf numFmtId="177" fontId="0" fillId="0" borderId="4" xfId="40" applyNumberFormat="1" applyFont="1" applyBorder="1" applyAlignment="1" applyProtection="1">
      <alignment horizontal="center" vertical="center"/>
    </xf>
    <xf numFmtId="0" fontId="4" fillId="50" borderId="0" xfId="24" applyFill="1" applyProtection="1">
      <protection locked="0"/>
    </xf>
    <xf numFmtId="0" fontId="22" fillId="0" borderId="0" xfId="24" applyFont="1" applyAlignment="1" applyProtection="1">
      <alignment horizontal="right" vertical="center"/>
    </xf>
    <xf numFmtId="0" fontId="82" fillId="2" borderId="0" xfId="24" applyFont="1" applyFill="1" applyBorder="1" applyAlignment="1" applyProtection="1">
      <alignment vertical="top"/>
    </xf>
    <xf numFmtId="0" fontId="22" fillId="2" borderId="4" xfId="88" applyNumberFormat="1" applyFont="1" applyFill="1" applyBorder="1" applyAlignment="1" applyProtection="1">
      <alignment horizontal="center" vertical="center"/>
    </xf>
    <xf numFmtId="0" fontId="18" fillId="2" borderId="0" xfId="24" applyFont="1" applyFill="1" applyAlignment="1" applyProtection="1">
      <alignment vertical="center"/>
    </xf>
    <xf numFmtId="0" fontId="22" fillId="0" borderId="0" xfId="24" applyFont="1" applyAlignment="1" applyProtection="1">
      <alignment horizontal="left"/>
    </xf>
    <xf numFmtId="179" fontId="22" fillId="2" borderId="4" xfId="40" applyNumberFormat="1" applyFont="1" applyFill="1" applyBorder="1" applyProtection="1"/>
    <xf numFmtId="188" fontId="4" fillId="3" borderId="49" xfId="39" applyNumberFormat="1" applyFill="1" applyBorder="1" applyAlignment="1" applyProtection="1">
      <alignment vertical="top"/>
    </xf>
    <xf numFmtId="188" fontId="4" fillId="0" borderId="49" xfId="39" applyNumberFormat="1" applyFill="1" applyBorder="1" applyAlignment="1" applyProtection="1">
      <alignment vertical="top"/>
    </xf>
    <xf numFmtId="1" fontId="4" fillId="2" borderId="49" xfId="24" applyNumberFormat="1" applyFont="1" applyFill="1" applyBorder="1" applyAlignment="1" applyProtection="1">
      <alignment vertical="center"/>
    </xf>
    <xf numFmtId="0" fontId="4" fillId="0" borderId="12" xfId="24" applyBorder="1" applyAlignment="1" applyProtection="1">
      <alignment vertical="center" wrapText="1"/>
    </xf>
    <xf numFmtId="0" fontId="22" fillId="13" borderId="18" xfId="24" applyFont="1" applyFill="1" applyBorder="1" applyAlignment="1" applyProtection="1">
      <alignment vertical="top" wrapText="1"/>
    </xf>
    <xf numFmtId="1" fontId="4" fillId="2" borderId="49" xfId="0" applyNumberFormat="1" applyFont="1" applyFill="1" applyBorder="1" applyAlignment="1" applyProtection="1">
      <alignment vertical="center"/>
    </xf>
    <xf numFmtId="44" fontId="10" fillId="2" borderId="49" xfId="35" applyFont="1" applyFill="1" applyBorder="1" applyAlignment="1" applyProtection="1">
      <alignment horizontal="right" vertical="center"/>
      <protection locked="0"/>
    </xf>
    <xf numFmtId="0" fontId="4" fillId="0" borderId="49" xfId="24" applyFont="1" applyFill="1" applyBorder="1" applyAlignment="1" applyProtection="1">
      <alignment horizontal="right" vertical="center"/>
      <protection locked="0"/>
    </xf>
    <xf numFmtId="44" fontId="10" fillId="0" borderId="10" xfId="39" applyFont="1" applyBorder="1" applyAlignment="1" applyProtection="1">
      <alignment horizontal="right" vertical="center"/>
    </xf>
    <xf numFmtId="0" fontId="4" fillId="0" borderId="10" xfId="24" applyFont="1" applyFill="1" applyBorder="1" applyAlignment="1" applyProtection="1">
      <alignment horizontal="right" vertical="center"/>
      <protection locked="0"/>
    </xf>
    <xf numFmtId="44" fontId="4" fillId="0" borderId="49" xfId="24" applyNumberFormat="1" applyFont="1" applyBorder="1" applyAlignment="1" applyProtection="1">
      <alignment horizontal="right" vertical="center"/>
    </xf>
    <xf numFmtId="10" fontId="10" fillId="0" borderId="10" xfId="40" applyNumberFormat="1" applyFont="1" applyBorder="1" applyAlignment="1" applyProtection="1">
      <alignment horizontal="right" vertical="center"/>
    </xf>
    <xf numFmtId="188" fontId="10" fillId="2" borderId="49" xfId="39" applyNumberFormat="1" applyFont="1" applyFill="1" applyBorder="1" applyAlignment="1" applyProtection="1">
      <alignment horizontal="right" vertical="center"/>
      <protection locked="0"/>
    </xf>
    <xf numFmtId="186" fontId="4" fillId="0" borderId="49" xfId="24" applyNumberFormat="1" applyFont="1" applyFill="1" applyBorder="1" applyAlignment="1" applyProtection="1">
      <alignment horizontal="right" vertical="center"/>
      <protection locked="0"/>
    </xf>
    <xf numFmtId="44" fontId="10" fillId="2" borderId="49" xfId="39" applyNumberFormat="1" applyFont="1" applyFill="1" applyBorder="1" applyAlignment="1" applyProtection="1">
      <alignment horizontal="right" vertical="center"/>
      <protection locked="0"/>
    </xf>
    <xf numFmtId="189" fontId="10" fillId="2" borderId="29" xfId="39" applyNumberFormat="1" applyFont="1" applyFill="1" applyBorder="1" applyAlignment="1" applyProtection="1">
      <alignment horizontal="right" vertical="center"/>
      <protection locked="0"/>
    </xf>
    <xf numFmtId="186" fontId="4" fillId="0" borderId="29" xfId="24" applyNumberFormat="1" applyFont="1" applyFill="1" applyBorder="1" applyAlignment="1" applyProtection="1">
      <alignment horizontal="right" vertical="center"/>
      <protection locked="0"/>
    </xf>
    <xf numFmtId="188" fontId="10" fillId="13" borderId="29" xfId="39" applyNumberFormat="1" applyFont="1" applyFill="1" applyBorder="1" applyAlignment="1" applyProtection="1">
      <alignment horizontal="right" vertical="center"/>
      <protection locked="0"/>
    </xf>
    <xf numFmtId="0" fontId="4" fillId="13" borderId="29" xfId="24" applyFont="1" applyFill="1" applyBorder="1" applyAlignment="1" applyProtection="1">
      <alignment horizontal="right" vertical="center"/>
      <protection locked="0"/>
    </xf>
    <xf numFmtId="44" fontId="10" fillId="13" borderId="4" xfId="39" applyFont="1" applyFill="1" applyBorder="1" applyAlignment="1" applyProtection="1">
      <alignment horizontal="right" vertical="center"/>
    </xf>
    <xf numFmtId="0" fontId="4" fillId="13" borderId="13" xfId="24" applyFont="1" applyFill="1" applyBorder="1" applyAlignment="1" applyProtection="1">
      <alignment horizontal="right" vertical="center"/>
      <protection locked="0"/>
    </xf>
    <xf numFmtId="186" fontId="4" fillId="0" borderId="49" xfId="20" applyNumberFormat="1" applyFont="1" applyFill="1" applyBorder="1" applyAlignment="1" applyProtection="1">
      <alignment horizontal="right" vertical="center"/>
      <protection locked="0"/>
    </xf>
    <xf numFmtId="189" fontId="10" fillId="2" borderId="49" xfId="39" applyNumberFormat="1" applyFont="1" applyFill="1" applyBorder="1" applyAlignment="1" applyProtection="1">
      <alignment horizontal="right" vertical="center"/>
      <protection locked="0"/>
    </xf>
    <xf numFmtId="0" fontId="4" fillId="13" borderId="4" xfId="24" applyFont="1" applyFill="1" applyBorder="1" applyAlignment="1" applyProtection="1">
      <alignment horizontal="right" vertical="center"/>
      <protection locked="0"/>
    </xf>
    <xf numFmtId="44" fontId="22" fillId="13" borderId="26" xfId="24" applyNumberFormat="1" applyFont="1" applyFill="1" applyBorder="1" applyAlignment="1" applyProtection="1">
      <alignment horizontal="right" vertical="center"/>
    </xf>
    <xf numFmtId="0" fontId="4" fillId="13" borderId="26" xfId="24" applyFont="1" applyFill="1" applyBorder="1" applyAlignment="1" applyProtection="1">
      <alignment horizontal="right" vertical="center"/>
      <protection locked="0"/>
    </xf>
    <xf numFmtId="10" fontId="22" fillId="13" borderId="26" xfId="40" applyNumberFormat="1" applyFont="1" applyFill="1" applyBorder="1" applyAlignment="1" applyProtection="1">
      <alignment horizontal="right" vertical="center"/>
    </xf>
    <xf numFmtId="0" fontId="22" fillId="13" borderId="4" xfId="24" applyFont="1" applyFill="1" applyBorder="1" applyAlignment="1" applyProtection="1">
      <alignment horizontal="right" vertical="center"/>
      <protection locked="0"/>
    </xf>
    <xf numFmtId="0" fontId="22" fillId="13" borderId="26" xfId="24" applyFont="1" applyFill="1" applyBorder="1" applyAlignment="1" applyProtection="1">
      <alignment horizontal="right" vertical="center"/>
      <protection locked="0"/>
    </xf>
    <xf numFmtId="188" fontId="4" fillId="2" borderId="49" xfId="39" applyNumberFormat="1" applyFont="1" applyFill="1" applyBorder="1" applyAlignment="1" applyProtection="1">
      <alignment horizontal="right" vertical="center"/>
      <protection locked="0"/>
    </xf>
    <xf numFmtId="44" fontId="4" fillId="0" borderId="10" xfId="39" applyFont="1" applyBorder="1" applyAlignment="1" applyProtection="1">
      <alignment horizontal="right" vertical="center"/>
    </xf>
    <xf numFmtId="188" fontId="4" fillId="44" borderId="50" xfId="39" applyNumberFormat="1" applyFont="1" applyFill="1" applyBorder="1" applyAlignment="1" applyProtection="1">
      <alignment horizontal="right" vertical="center"/>
      <protection locked="0"/>
    </xf>
    <xf numFmtId="0" fontId="4" fillId="44" borderId="31" xfId="24" applyFont="1" applyFill="1" applyBorder="1" applyAlignment="1" applyProtection="1">
      <alignment horizontal="right" vertical="center"/>
      <protection locked="0"/>
    </xf>
    <xf numFmtId="44" fontId="4" fillId="44" borderId="15" xfId="39" applyFont="1" applyFill="1" applyBorder="1" applyAlignment="1" applyProtection="1">
      <alignment horizontal="right" vertical="center"/>
    </xf>
    <xf numFmtId="0" fontId="4" fillId="44" borderId="50" xfId="24" applyFont="1" applyFill="1" applyBorder="1" applyAlignment="1" applyProtection="1">
      <alignment horizontal="right" vertical="center"/>
      <protection locked="0"/>
    </xf>
    <xf numFmtId="10" fontId="4" fillId="44" borderId="16" xfId="40" applyNumberFormat="1" applyFont="1" applyFill="1" applyBorder="1" applyAlignment="1" applyProtection="1">
      <alignment horizontal="right" vertical="center"/>
    </xf>
    <xf numFmtId="9" fontId="4" fillId="0" borderId="49" xfId="24" applyNumberFormat="1" applyFont="1" applyFill="1" applyBorder="1" applyAlignment="1" applyProtection="1">
      <alignment horizontal="right" vertical="center"/>
    </xf>
    <xf numFmtId="9" fontId="4" fillId="0" borderId="0" xfId="24" applyNumberFormat="1" applyFont="1" applyFill="1" applyBorder="1" applyAlignment="1" applyProtection="1">
      <alignment horizontal="right" vertical="center"/>
    </xf>
    <xf numFmtId="44" fontId="22" fillId="0" borderId="9" xfId="24" applyNumberFormat="1" applyFont="1" applyFill="1" applyBorder="1" applyAlignment="1" applyProtection="1">
      <alignment horizontal="right" vertical="center"/>
    </xf>
    <xf numFmtId="9" fontId="22" fillId="0" borderId="49" xfId="24" applyNumberFormat="1" applyFont="1" applyFill="1" applyBorder="1" applyAlignment="1" applyProtection="1">
      <alignment horizontal="right" vertical="center"/>
    </xf>
    <xf numFmtId="0" fontId="4" fillId="0" borderId="0" xfId="24" applyFont="1" applyFill="1" applyBorder="1" applyAlignment="1" applyProtection="1">
      <alignment horizontal="right" vertical="center"/>
    </xf>
    <xf numFmtId="44" fontId="4" fillId="0" borderId="9" xfId="24" applyNumberFormat="1" applyFont="1" applyFill="1" applyBorder="1" applyAlignment="1" applyProtection="1">
      <alignment horizontal="right" vertical="center"/>
    </xf>
    <xf numFmtId="0" fontId="4" fillId="0" borderId="49" xfId="24" applyFont="1" applyFill="1" applyBorder="1" applyAlignment="1" applyProtection="1">
      <alignment horizontal="right" vertical="center"/>
    </xf>
    <xf numFmtId="0" fontId="4" fillId="13" borderId="29" xfId="24" applyFont="1" applyFill="1" applyBorder="1" applyAlignment="1" applyProtection="1">
      <alignment horizontal="right" vertical="center"/>
    </xf>
    <xf numFmtId="0" fontId="4" fillId="13" borderId="12" xfId="24" applyFont="1" applyFill="1" applyBorder="1" applyAlignment="1" applyProtection="1">
      <alignment horizontal="right" vertical="center"/>
    </xf>
    <xf numFmtId="44" fontId="22" fillId="13" borderId="11" xfId="24" applyNumberFormat="1" applyFont="1" applyFill="1" applyBorder="1" applyAlignment="1" applyProtection="1">
      <alignment horizontal="right" vertical="center"/>
    </xf>
    <xf numFmtId="0" fontId="22" fillId="13" borderId="29" xfId="24" applyFont="1" applyFill="1" applyBorder="1" applyAlignment="1" applyProtection="1">
      <alignment horizontal="right" vertical="center"/>
    </xf>
    <xf numFmtId="188" fontId="4" fillId="44" borderId="31" xfId="39" applyNumberFormat="1" applyFont="1" applyFill="1" applyBorder="1" applyAlignment="1" applyProtection="1">
      <alignment vertical="top"/>
      <protection locked="0"/>
    </xf>
    <xf numFmtId="0" fontId="4" fillId="44" borderId="15" xfId="24" applyFont="1" applyFill="1" applyBorder="1" applyAlignment="1" applyProtection="1">
      <alignment vertical="center"/>
      <protection locked="0"/>
    </xf>
    <xf numFmtId="44" fontId="4" fillId="44" borderId="33" xfId="39" applyFont="1" applyFill="1" applyBorder="1" applyAlignment="1" applyProtection="1">
      <alignment vertical="center"/>
      <protection locked="0"/>
    </xf>
    <xf numFmtId="0" fontId="4" fillId="44" borderId="31" xfId="24" applyFont="1" applyFill="1" applyBorder="1" applyAlignment="1" applyProtection="1">
      <alignment vertical="center"/>
      <protection locked="0"/>
    </xf>
    <xf numFmtId="44" fontId="4" fillId="44" borderId="50" xfId="39" applyFont="1" applyFill="1" applyBorder="1" applyAlignment="1" applyProtection="1">
      <alignment vertical="center"/>
      <protection locked="0"/>
    </xf>
    <xf numFmtId="44" fontId="4" fillId="44" borderId="31" xfId="24" applyNumberFormat="1" applyFont="1" applyFill="1" applyBorder="1" applyAlignment="1" applyProtection="1">
      <alignment vertical="center"/>
      <protection locked="0"/>
    </xf>
    <xf numFmtId="10" fontId="4" fillId="44" borderId="16" xfId="40" applyNumberFormat="1" applyFont="1" applyFill="1" applyBorder="1" applyAlignment="1" applyProtection="1">
      <alignment vertical="center"/>
      <protection locked="0"/>
    </xf>
    <xf numFmtId="0" fontId="10" fillId="0" borderId="49" xfId="0" applyFont="1" applyFill="1" applyBorder="1" applyAlignment="1" applyProtection="1">
      <alignment vertical="center"/>
    </xf>
    <xf numFmtId="1" fontId="10" fillId="0" borderId="49" xfId="0" applyNumberFormat="1" applyFont="1" applyFill="1" applyBorder="1" applyAlignment="1" applyProtection="1">
      <alignment vertical="center"/>
    </xf>
    <xf numFmtId="9" fontId="10" fillId="0" borderId="49" xfId="0" applyNumberFormat="1" applyFont="1" applyFill="1" applyBorder="1" applyAlignment="1" applyProtection="1">
      <alignment vertical="top"/>
    </xf>
    <xf numFmtId="188" fontId="10" fillId="47" borderId="49" xfId="39" applyNumberFormat="1" applyFont="1" applyFill="1" applyBorder="1" applyAlignment="1" applyProtection="1">
      <alignment horizontal="right" vertical="center"/>
      <protection locked="0"/>
    </xf>
    <xf numFmtId="44" fontId="22" fillId="13" borderId="49" xfId="24" applyNumberFormat="1" applyFont="1" applyFill="1" applyBorder="1" applyAlignment="1" applyProtection="1">
      <alignment horizontal="right" vertical="center"/>
    </xf>
    <xf numFmtId="10" fontId="13" fillId="13" borderId="10" xfId="40" applyNumberFormat="1" applyFont="1" applyFill="1" applyBorder="1" applyAlignment="1" applyProtection="1">
      <alignment horizontal="right" vertical="center"/>
    </xf>
    <xf numFmtId="0" fontId="22" fillId="0" borderId="0" xfId="24" applyFont="1" applyFill="1" applyAlignment="1" applyProtection="1">
      <alignment vertical="top" wrapText="1"/>
    </xf>
    <xf numFmtId="186" fontId="4" fillId="51" borderId="49" xfId="20" applyNumberFormat="1" applyFont="1" applyFill="1" applyBorder="1" applyAlignment="1" applyProtection="1">
      <alignment horizontal="right" vertical="center"/>
      <protection locked="0"/>
    </xf>
    <xf numFmtId="186" fontId="4" fillId="51" borderId="10" xfId="20" applyNumberFormat="1" applyFont="1" applyFill="1" applyBorder="1" applyAlignment="1" applyProtection="1">
      <alignment horizontal="right" vertical="center"/>
      <protection locked="0"/>
    </xf>
    <xf numFmtId="0" fontId="10" fillId="51" borderId="49" xfId="0" applyFont="1" applyFill="1" applyBorder="1" applyAlignment="1" applyProtection="1">
      <alignment vertical="center"/>
    </xf>
    <xf numFmtId="0" fontId="42" fillId="45" borderId="0" xfId="24" applyFont="1" applyFill="1" applyAlignment="1" applyProtection="1">
      <alignment horizontal="center" vertical="center"/>
    </xf>
    <xf numFmtId="0" fontId="22" fillId="9" borderId="0" xfId="24" applyFont="1" applyFill="1" applyBorder="1" applyAlignment="1" applyProtection="1">
      <alignment horizontal="center" wrapText="1"/>
    </xf>
    <xf numFmtId="0" fontId="22" fillId="0" borderId="0" xfId="24" applyFont="1" applyAlignment="1" applyProtection="1">
      <alignment horizontal="center" wrapText="1"/>
    </xf>
    <xf numFmtId="190" fontId="30" fillId="0" borderId="0" xfId="35" applyNumberFormat="1" applyFont="1" applyProtection="1"/>
    <xf numFmtId="10" fontId="30" fillId="0" borderId="0" xfId="21" applyNumberFormat="1" applyFont="1" applyAlignment="1" applyProtection="1">
      <alignment horizontal="center" vertical="center"/>
    </xf>
    <xf numFmtId="190" fontId="30" fillId="0" borderId="0" xfId="35" applyNumberFormat="1" applyFont="1" applyAlignment="1" applyProtection="1">
      <alignment horizontal="center" vertical="center"/>
    </xf>
    <xf numFmtId="0" fontId="22" fillId="0" borderId="0" xfId="24" applyFont="1" applyAlignment="1" applyProtection="1">
      <alignment vertical="center" wrapText="1"/>
    </xf>
    <xf numFmtId="0" fontId="19" fillId="0" borderId="0" xfId="24" applyFont="1" applyAlignment="1" applyProtection="1">
      <alignment horizontal="center" vertical="center"/>
    </xf>
    <xf numFmtId="179" fontId="19" fillId="0" borderId="0" xfId="24" applyNumberFormat="1" applyFont="1" applyAlignment="1" applyProtection="1">
      <alignment horizontal="center" vertical="center"/>
    </xf>
    <xf numFmtId="3" fontId="19" fillId="0" borderId="0" xfId="24" applyNumberFormat="1" applyFont="1" applyAlignment="1" applyProtection="1">
      <alignment horizontal="center" vertical="center" wrapText="1"/>
    </xf>
    <xf numFmtId="179" fontId="19" fillId="0" borderId="0" xfId="24" applyNumberFormat="1" applyFont="1" applyAlignment="1" applyProtection="1">
      <alignment horizontal="center" vertical="center" wrapText="1"/>
    </xf>
    <xf numFmtId="0" fontId="19" fillId="0" borderId="0" xfId="24" applyFont="1" applyAlignment="1" applyProtection="1">
      <alignment horizontal="center" vertical="center" wrapText="1"/>
    </xf>
    <xf numFmtId="3" fontId="4" fillId="0" borderId="0" xfId="24" applyNumberFormat="1" applyProtection="1"/>
    <xf numFmtId="179" fontId="4" fillId="0" borderId="0" xfId="24" applyNumberFormat="1" applyProtection="1"/>
    <xf numFmtId="0" fontId="4" fillId="0" borderId="0" xfId="24" applyAlignment="1" applyProtection="1">
      <alignment horizontal="center"/>
    </xf>
    <xf numFmtId="0" fontId="42" fillId="0" borderId="0" xfId="24" applyFont="1" applyFill="1" applyAlignment="1" applyProtection="1">
      <alignment horizontal="left" vertical="center"/>
    </xf>
    <xf numFmtId="0" fontId="42" fillId="0" borderId="0" xfId="24" applyFont="1" applyFill="1" applyAlignment="1" applyProtection="1">
      <alignment horizontal="center" vertical="center" wrapText="1"/>
    </xf>
    <xf numFmtId="0" fontId="65" fillId="45" borderId="0" xfId="0" applyFont="1" applyFill="1" applyAlignment="1" applyProtection="1">
      <alignment horizontal="left" vertical="center"/>
    </xf>
    <xf numFmtId="0" fontId="65" fillId="45" borderId="0" xfId="0" applyFont="1" applyFill="1" applyAlignment="1" applyProtection="1">
      <alignment horizontal="center" vertical="center" wrapText="1"/>
    </xf>
    <xf numFmtId="0" fontId="65" fillId="46" borderId="0" xfId="0" applyFont="1" applyFill="1" applyAlignment="1" applyProtection="1">
      <alignment horizontal="left" vertical="center"/>
    </xf>
    <xf numFmtId="0" fontId="42" fillId="46" borderId="0" xfId="0" applyFont="1" applyFill="1" applyAlignment="1" applyProtection="1">
      <alignment horizontal="center" vertical="center" wrapText="1"/>
    </xf>
    <xf numFmtId="0" fontId="4" fillId="0" borderId="0" xfId="0" applyFont="1" applyProtection="1"/>
    <xf numFmtId="0" fontId="75" fillId="9" borderId="0" xfId="0" applyFont="1" applyFill="1" applyProtection="1"/>
    <xf numFmtId="0" fontId="42" fillId="45" borderId="0" xfId="24" applyNumberFormat="1" applyFont="1" applyFill="1" applyAlignment="1" applyProtection="1">
      <alignment horizontal="center" vertical="center"/>
    </xf>
    <xf numFmtId="0" fontId="4" fillId="0" borderId="0" xfId="24" applyAlignment="1" applyProtection="1">
      <alignment horizontal="center" vertical="center"/>
    </xf>
    <xf numFmtId="179" fontId="4" fillId="0" borderId="0" xfId="24" applyNumberFormat="1" applyAlignment="1" applyProtection="1">
      <alignment horizontal="center" vertical="center"/>
    </xf>
    <xf numFmtId="186" fontId="4" fillId="0" borderId="0" xfId="24" applyNumberFormat="1" applyAlignment="1" applyProtection="1">
      <alignment horizontal="center" vertical="center"/>
    </xf>
    <xf numFmtId="177" fontId="4" fillId="0" borderId="0" xfId="24" applyNumberFormat="1" applyAlignment="1" applyProtection="1">
      <alignment horizontal="center" vertical="center"/>
    </xf>
    <xf numFmtId="0" fontId="57" fillId="2" borderId="0" xfId="31" applyFont="1" applyFill="1" applyAlignment="1" applyProtection="1">
      <alignment horizontal="center" vertical="center"/>
    </xf>
    <xf numFmtId="0" fontId="0" fillId="2" borderId="0" xfId="0" applyFill="1" applyBorder="1" applyAlignment="1" applyProtection="1">
      <alignment horizontal="left"/>
    </xf>
    <xf numFmtId="10" fontId="22" fillId="13" borderId="4" xfId="40" applyNumberFormat="1" applyFont="1" applyFill="1" applyBorder="1" applyAlignment="1" applyProtection="1">
      <alignment horizontal="right" vertical="center"/>
    </xf>
    <xf numFmtId="0" fontId="4" fillId="13" borderId="55" xfId="24" applyFont="1" applyFill="1" applyBorder="1" applyAlignment="1" applyProtection="1">
      <alignment horizontal="right" vertical="center"/>
    </xf>
    <xf numFmtId="0" fontId="4" fillId="13" borderId="18" xfId="24" applyFont="1" applyFill="1" applyBorder="1" applyAlignment="1" applyProtection="1">
      <alignment horizontal="right" vertical="center"/>
    </xf>
    <xf numFmtId="44" fontId="22" fillId="13" borderId="56" xfId="24" applyNumberFormat="1" applyFont="1" applyFill="1" applyBorder="1" applyAlignment="1" applyProtection="1">
      <alignment horizontal="right" vertical="center"/>
    </xf>
    <xf numFmtId="0" fontId="22" fillId="13" borderId="55" xfId="24" applyFont="1" applyFill="1" applyBorder="1" applyAlignment="1" applyProtection="1">
      <alignment horizontal="right" vertical="center"/>
    </xf>
    <xf numFmtId="44" fontId="22" fillId="13" borderId="55" xfId="24" applyNumberFormat="1" applyFont="1" applyFill="1" applyBorder="1" applyAlignment="1" applyProtection="1">
      <alignment horizontal="right" vertical="center"/>
    </xf>
    <xf numFmtId="10" fontId="13" fillId="13" borderId="54" xfId="40" applyNumberFormat="1" applyFont="1" applyFill="1" applyBorder="1" applyAlignment="1" applyProtection="1">
      <alignment horizontal="right" vertical="center"/>
    </xf>
    <xf numFmtId="10" fontId="34" fillId="47" borderId="0" xfId="31" applyNumberFormat="1" applyFont="1" applyFill="1" applyBorder="1" applyAlignment="1" applyProtection="1">
      <alignment horizontal="center" vertical="center"/>
    </xf>
    <xf numFmtId="0" fontId="22" fillId="0" borderId="4" xfId="24" applyFont="1" applyBorder="1" applyAlignment="1" applyProtection="1">
      <alignment horizontal="center" vertical="center"/>
    </xf>
    <xf numFmtId="0" fontId="4" fillId="0" borderId="0" xfId="24" applyFont="1" applyProtection="1">
      <protection locked="0"/>
    </xf>
    <xf numFmtId="0" fontId="22" fillId="0" borderId="0" xfId="24" applyFont="1" applyAlignment="1" applyProtection="1">
      <alignment horizontal="right" vertical="center"/>
      <protection locked="0"/>
    </xf>
    <xf numFmtId="0" fontId="82" fillId="2" borderId="0" xfId="24" applyFont="1" applyFill="1" applyBorder="1" applyAlignment="1" applyProtection="1">
      <alignment vertical="top"/>
      <protection locked="0"/>
    </xf>
    <xf numFmtId="0" fontId="22" fillId="2" borderId="4" xfId="88" applyNumberFormat="1" applyFont="1" applyFill="1" applyBorder="1" applyAlignment="1" applyProtection="1">
      <alignment horizontal="center" vertical="center"/>
      <protection locked="0"/>
    </xf>
    <xf numFmtId="0" fontId="22" fillId="0" borderId="0" xfId="24" applyFont="1" applyProtection="1">
      <protection locked="0"/>
    </xf>
    <xf numFmtId="0" fontId="18" fillId="2" borderId="0" xfId="24" applyFont="1" applyFill="1" applyAlignment="1" applyProtection="1">
      <alignment vertical="center"/>
      <protection locked="0"/>
    </xf>
    <xf numFmtId="0" fontId="22" fillId="0" borderId="0" xfId="24" applyFont="1" applyAlignment="1" applyProtection="1">
      <alignment horizontal="left"/>
      <protection locked="0"/>
    </xf>
    <xf numFmtId="0" fontId="22" fillId="0" borderId="0" xfId="24" applyFont="1" applyAlignment="1" applyProtection="1">
      <alignment horizontal="center"/>
      <protection locked="0"/>
    </xf>
    <xf numFmtId="0" fontId="18" fillId="0" borderId="0" xfId="24" applyFont="1" applyAlignment="1" applyProtection="1">
      <alignment horizontal="center"/>
      <protection locked="0"/>
    </xf>
    <xf numFmtId="179" fontId="22" fillId="2" borderId="4" xfId="40" applyNumberFormat="1" applyFont="1" applyFill="1" applyBorder="1" applyProtection="1">
      <protection locked="0"/>
    </xf>
    <xf numFmtId="0" fontId="22" fillId="0" borderId="0" xfId="24" applyFont="1" applyAlignment="1" applyProtection="1">
      <protection locked="0"/>
    </xf>
    <xf numFmtId="0" fontId="22" fillId="0" borderId="27" xfId="24" applyFont="1" applyBorder="1" applyAlignment="1" applyProtection="1">
      <alignment horizontal="center"/>
      <protection locked="0"/>
    </xf>
    <xf numFmtId="0" fontId="22" fillId="0" borderId="10" xfId="24" applyFont="1" applyBorder="1" applyAlignment="1" applyProtection="1">
      <alignment horizontal="center"/>
      <protection locked="0"/>
    </xf>
    <xf numFmtId="0" fontId="22" fillId="0" borderId="8" xfId="24" applyFont="1" applyBorder="1" applyAlignment="1" applyProtection="1">
      <alignment horizontal="center"/>
      <protection locked="0"/>
    </xf>
    <xf numFmtId="0" fontId="22" fillId="0" borderId="29" xfId="24" quotePrefix="1" applyFont="1" applyBorder="1" applyAlignment="1" applyProtection="1">
      <alignment horizontal="center"/>
      <protection locked="0"/>
    </xf>
    <xf numFmtId="0" fontId="22" fillId="0" borderId="13" xfId="24" quotePrefix="1" applyFont="1" applyBorder="1" applyAlignment="1" applyProtection="1">
      <alignment horizontal="center"/>
      <protection locked="0"/>
    </xf>
    <xf numFmtId="0" fontId="4" fillId="0" borderId="0" xfId="24" applyAlignment="1" applyProtection="1">
      <alignment vertical="top"/>
      <protection locked="0"/>
    </xf>
    <xf numFmtId="0" fontId="4" fillId="0" borderId="0" xfId="24" applyFont="1" applyFill="1" applyProtection="1">
      <protection locked="0"/>
    </xf>
    <xf numFmtId="0" fontId="22" fillId="10" borderId="25" xfId="24" applyFont="1" applyFill="1" applyBorder="1" applyAlignment="1" applyProtection="1">
      <alignment vertical="top"/>
      <protection locked="0"/>
    </xf>
    <xf numFmtId="0" fontId="4" fillId="10" borderId="48" xfId="24" applyFill="1" applyBorder="1" applyAlignment="1" applyProtection="1">
      <alignment vertical="top"/>
      <protection locked="0"/>
    </xf>
    <xf numFmtId="44" fontId="22" fillId="10" borderId="4" xfId="24" applyNumberFormat="1" applyFont="1" applyFill="1" applyBorder="1" applyAlignment="1" applyProtection="1">
      <alignment vertical="center"/>
      <protection locked="0"/>
    </xf>
    <xf numFmtId="10" fontId="22" fillId="10" borderId="26" xfId="40" applyNumberFormat="1" applyFont="1" applyFill="1" applyBorder="1" applyAlignment="1" applyProtection="1">
      <alignment vertical="center"/>
      <protection locked="0"/>
    </xf>
    <xf numFmtId="0" fontId="4" fillId="0" borderId="0" xfId="24" applyFont="1" applyAlignment="1" applyProtection="1">
      <alignment vertical="top"/>
      <protection locked="0"/>
    </xf>
    <xf numFmtId="0" fontId="22" fillId="10" borderId="25" xfId="24" applyFont="1" applyFill="1" applyBorder="1" applyAlignment="1" applyProtection="1">
      <alignment vertical="top" wrapText="1"/>
      <protection locked="0"/>
    </xf>
    <xf numFmtId="0" fontId="4" fillId="10" borderId="48" xfId="24" applyFill="1" applyBorder="1" applyProtection="1">
      <protection locked="0"/>
    </xf>
    <xf numFmtId="44" fontId="22" fillId="10" borderId="26" xfId="24" applyNumberFormat="1" applyFont="1" applyFill="1" applyBorder="1" applyAlignment="1" applyProtection="1">
      <alignment vertical="center"/>
      <protection locked="0"/>
    </xf>
    <xf numFmtId="0" fontId="22" fillId="10" borderId="26" xfId="24" applyFont="1" applyFill="1" applyBorder="1" applyAlignment="1" applyProtection="1">
      <alignment vertical="center"/>
      <protection locked="0"/>
    </xf>
    <xf numFmtId="0" fontId="4" fillId="0" borderId="0" xfId="24" applyAlignment="1" applyProtection="1">
      <alignment vertical="top" wrapText="1"/>
      <protection locked="0"/>
    </xf>
    <xf numFmtId="186" fontId="4" fillId="2" borderId="49" xfId="88" applyNumberFormat="1" applyFont="1" applyFill="1" applyBorder="1" applyAlignment="1" applyProtection="1">
      <alignment vertical="center"/>
      <protection locked="0"/>
    </xf>
    <xf numFmtId="0" fontId="4" fillId="44" borderId="14" xfId="24" applyFont="1" applyFill="1" applyBorder="1" applyProtection="1">
      <protection locked="0"/>
    </xf>
    <xf numFmtId="0" fontId="4" fillId="44" borderId="15" xfId="24" applyFill="1" applyBorder="1" applyAlignment="1" applyProtection="1">
      <alignment vertical="top"/>
      <protection locked="0"/>
    </xf>
    <xf numFmtId="0" fontId="4" fillId="44" borderId="31" xfId="24" applyFill="1" applyBorder="1" applyAlignment="1" applyProtection="1">
      <alignment vertical="center"/>
      <protection locked="0"/>
    </xf>
    <xf numFmtId="10" fontId="4" fillId="44" borderId="16" xfId="40" applyNumberFormat="1" applyFill="1" applyBorder="1" applyAlignment="1" applyProtection="1">
      <alignment vertical="center"/>
      <protection locked="0"/>
    </xf>
    <xf numFmtId="0" fontId="22" fillId="0" borderId="0" xfId="24" applyFont="1" applyFill="1" applyAlignment="1" applyProtection="1">
      <alignment vertical="top"/>
      <protection locked="0"/>
    </xf>
    <xf numFmtId="44" fontId="22" fillId="0" borderId="9" xfId="24" applyNumberFormat="1" applyFont="1" applyFill="1" applyBorder="1" applyAlignment="1" applyProtection="1">
      <alignment vertical="center"/>
      <protection locked="0"/>
    </xf>
    <xf numFmtId="9" fontId="22" fillId="0" borderId="49" xfId="24" applyNumberFormat="1" applyFont="1" applyFill="1" applyBorder="1" applyAlignment="1" applyProtection="1">
      <alignment vertical="center"/>
      <protection locked="0"/>
    </xf>
    <xf numFmtId="44" fontId="22" fillId="0" borderId="49" xfId="24" applyNumberFormat="1" applyFont="1" applyFill="1" applyBorder="1" applyAlignment="1" applyProtection="1">
      <alignment vertical="center"/>
      <protection locked="0"/>
    </xf>
    <xf numFmtId="10" fontId="22" fillId="0" borderId="10" xfId="40" applyNumberFormat="1" applyFont="1" applyFill="1" applyBorder="1" applyAlignment="1" applyProtection="1">
      <alignment vertical="center"/>
      <protection locked="0"/>
    </xf>
    <xf numFmtId="0" fontId="4" fillId="0" borderId="0" xfId="24" applyFont="1" applyFill="1" applyAlignment="1" applyProtection="1">
      <alignment horizontal="left" vertical="top" indent="1"/>
      <protection locked="0"/>
    </xf>
    <xf numFmtId="44" fontId="4" fillId="0" borderId="9" xfId="24" applyNumberFormat="1" applyFont="1" applyFill="1" applyBorder="1" applyAlignment="1" applyProtection="1">
      <alignment vertical="center"/>
      <protection locked="0"/>
    </xf>
    <xf numFmtId="9" fontId="4" fillId="0" borderId="49" xfId="24" applyNumberFormat="1" applyFont="1" applyFill="1" applyBorder="1" applyAlignment="1" applyProtection="1">
      <alignment vertical="center"/>
      <protection locked="0"/>
    </xf>
    <xf numFmtId="0" fontId="4" fillId="0" borderId="49" xfId="24" applyFont="1" applyFill="1" applyBorder="1" applyAlignment="1" applyProtection="1">
      <alignment vertical="center"/>
      <protection locked="0"/>
    </xf>
    <xf numFmtId="44" fontId="4" fillId="0" borderId="49" xfId="24" applyNumberFormat="1" applyFont="1" applyFill="1" applyBorder="1" applyAlignment="1" applyProtection="1">
      <alignment vertical="center"/>
      <protection locked="0"/>
    </xf>
    <xf numFmtId="10" fontId="4" fillId="0" borderId="10" xfId="40" applyNumberFormat="1" applyFont="1" applyFill="1" applyBorder="1" applyAlignment="1" applyProtection="1">
      <alignment vertical="center"/>
      <protection locked="0"/>
    </xf>
    <xf numFmtId="44" fontId="22" fillId="13" borderId="11" xfId="24" applyNumberFormat="1" applyFont="1" applyFill="1" applyBorder="1" applyAlignment="1" applyProtection="1">
      <alignment vertical="center"/>
      <protection locked="0"/>
    </xf>
    <xf numFmtId="0" fontId="22" fillId="13" borderId="29" xfId="24" applyFont="1" applyFill="1" applyBorder="1" applyAlignment="1" applyProtection="1">
      <alignment vertical="center"/>
      <protection locked="0"/>
    </xf>
    <xf numFmtId="44" fontId="22" fillId="13" borderId="29" xfId="24" applyNumberFormat="1" applyFont="1" applyFill="1" applyBorder="1" applyAlignment="1" applyProtection="1">
      <alignment vertical="center"/>
      <protection locked="0"/>
    </xf>
    <xf numFmtId="10" fontId="22" fillId="13" borderId="13" xfId="40" applyNumberFormat="1" applyFont="1" applyFill="1" applyBorder="1" applyAlignment="1" applyProtection="1">
      <alignment vertical="center"/>
      <protection locked="0"/>
    </xf>
    <xf numFmtId="9" fontId="4" fillId="0" borderId="49" xfId="24" applyNumberFormat="1" applyFont="1" applyFill="1" applyBorder="1" applyAlignment="1" applyProtection="1">
      <alignment vertical="top"/>
      <protection locked="0"/>
    </xf>
    <xf numFmtId="44" fontId="22" fillId="13" borderId="9" xfId="24" applyNumberFormat="1" applyFont="1" applyFill="1" applyBorder="1" applyAlignment="1" applyProtection="1">
      <alignment vertical="center"/>
      <protection locked="0"/>
    </xf>
    <xf numFmtId="0" fontId="22" fillId="13" borderId="49" xfId="24" applyFont="1" applyFill="1" applyBorder="1" applyAlignment="1" applyProtection="1">
      <alignment vertical="center"/>
      <protection locked="0"/>
    </xf>
    <xf numFmtId="44" fontId="22" fillId="13" borderId="49" xfId="24" applyNumberFormat="1" applyFont="1" applyFill="1" applyBorder="1" applyAlignment="1" applyProtection="1">
      <alignment vertical="center"/>
      <protection locked="0"/>
    </xf>
    <xf numFmtId="10" fontId="22" fillId="13" borderId="10" xfId="40" applyNumberFormat="1" applyFont="1" applyFill="1" applyBorder="1" applyAlignment="1" applyProtection="1">
      <alignment vertical="center"/>
      <protection locked="0"/>
    </xf>
    <xf numFmtId="188" fontId="4" fillId="44" borderId="31" xfId="39" applyNumberFormat="1" applyFill="1" applyBorder="1" applyAlignment="1" applyProtection="1">
      <alignment vertical="top"/>
      <protection locked="0"/>
    </xf>
    <xf numFmtId="0" fontId="4" fillId="44" borderId="15" xfId="24" applyFill="1" applyBorder="1" applyAlignment="1" applyProtection="1">
      <alignment vertical="center"/>
      <protection locked="0"/>
    </xf>
    <xf numFmtId="44" fontId="4" fillId="44" borderId="33" xfId="39" applyFill="1" applyBorder="1" applyAlignment="1" applyProtection="1">
      <alignment vertical="center"/>
      <protection locked="0"/>
    </xf>
    <xf numFmtId="44" fontId="4" fillId="44" borderId="31" xfId="24" applyNumberFormat="1" applyFill="1" applyBorder="1" applyAlignment="1" applyProtection="1">
      <alignment vertical="center"/>
      <protection locked="0"/>
    </xf>
    <xf numFmtId="44" fontId="4" fillId="0" borderId="0" xfId="24" applyNumberFormat="1" applyProtection="1">
      <protection locked="0"/>
    </xf>
    <xf numFmtId="0" fontId="22" fillId="2" borderId="4" xfId="24" applyFont="1" applyFill="1" applyBorder="1" applyAlignment="1" applyProtection="1">
      <alignment horizontal="center" vertical="center"/>
      <protection locked="0"/>
    </xf>
    <xf numFmtId="0" fontId="4" fillId="2" borderId="0" xfId="24" applyFill="1" applyAlignment="1" applyProtection="1">
      <alignment vertical="top"/>
      <protection locked="0"/>
    </xf>
    <xf numFmtId="0" fontId="22" fillId="10" borderId="4" xfId="24" applyFont="1" applyFill="1" applyBorder="1" applyAlignment="1" applyProtection="1">
      <alignment horizontal="left" vertical="center"/>
      <protection locked="0"/>
    </xf>
    <xf numFmtId="0" fontId="31" fillId="10" borderId="4" xfId="24" applyFont="1" applyFill="1" applyBorder="1" applyAlignment="1" applyProtection="1">
      <alignment horizontal="left" vertical="center"/>
      <protection locked="0"/>
    </xf>
    <xf numFmtId="188" fontId="31" fillId="2" borderId="49" xfId="39" applyNumberFormat="1" applyFont="1" applyFill="1" applyBorder="1" applyAlignment="1" applyProtection="1">
      <alignment horizontal="left" vertical="center"/>
      <protection locked="0"/>
    </xf>
    <xf numFmtId="188" fontId="31" fillId="0" borderId="49" xfId="39" applyNumberFormat="1" applyFont="1" applyFill="1" applyBorder="1" applyAlignment="1" applyProtection="1">
      <alignment horizontal="left" vertical="center"/>
      <protection locked="0"/>
    </xf>
    <xf numFmtId="188" fontId="31" fillId="3" borderId="49" xfId="39" applyNumberFormat="1" applyFont="1" applyFill="1" applyBorder="1" applyAlignment="1" applyProtection="1">
      <alignment horizontal="left" vertical="center"/>
      <protection locked="0"/>
    </xf>
    <xf numFmtId="188" fontId="22" fillId="2" borderId="49" xfId="39" applyNumberFormat="1" applyFont="1" applyFill="1" applyBorder="1" applyAlignment="1" applyProtection="1">
      <alignment horizontal="left" vertical="center"/>
      <protection locked="0"/>
    </xf>
    <xf numFmtId="188" fontId="22" fillId="0" borderId="49" xfId="39" applyNumberFormat="1" applyFont="1" applyFill="1" applyBorder="1" applyAlignment="1" applyProtection="1">
      <alignment horizontal="left" vertical="center"/>
      <protection locked="0"/>
    </xf>
    <xf numFmtId="188" fontId="22" fillId="3" borderId="49" xfId="39" applyNumberFormat="1" applyFont="1" applyFill="1" applyBorder="1" applyAlignment="1" applyProtection="1">
      <alignment horizontal="left" vertical="center"/>
      <protection locked="0"/>
    </xf>
    <xf numFmtId="0" fontId="4" fillId="0" borderId="10" xfId="24" applyFont="1" applyFill="1" applyBorder="1" applyAlignment="1" applyProtection="1">
      <alignment vertical="center"/>
      <protection locked="0"/>
    </xf>
    <xf numFmtId="44" fontId="4" fillId="0" borderId="49" xfId="24" applyNumberFormat="1" applyFont="1" applyBorder="1" applyAlignment="1" applyProtection="1">
      <alignment vertical="center"/>
      <protection locked="0"/>
    </xf>
    <xf numFmtId="0" fontId="4" fillId="10" borderId="4" xfId="24" applyFont="1" applyFill="1" applyBorder="1" applyAlignment="1" applyProtection="1">
      <alignment vertical="center"/>
      <protection locked="0"/>
    </xf>
    <xf numFmtId="0" fontId="4" fillId="10" borderId="26" xfId="24" applyFont="1" applyFill="1" applyBorder="1" applyAlignment="1" applyProtection="1">
      <alignment vertical="center"/>
      <protection locked="0"/>
    </xf>
    <xf numFmtId="186" fontId="4" fillId="52" borderId="49" xfId="88" applyNumberFormat="1" applyFont="1" applyFill="1" applyBorder="1" applyAlignment="1" applyProtection="1">
      <alignment vertical="center"/>
      <protection locked="0"/>
    </xf>
    <xf numFmtId="186" fontId="4" fillId="0" borderId="49" xfId="88" applyNumberFormat="1" applyFont="1" applyFill="1" applyBorder="1" applyAlignment="1" applyProtection="1">
      <alignment vertical="center"/>
      <protection locked="0"/>
    </xf>
    <xf numFmtId="44" fontId="4" fillId="0" borderId="10" xfId="39" applyFont="1" applyBorder="1" applyAlignment="1" applyProtection="1">
      <alignment vertical="center"/>
      <protection locked="0"/>
    </xf>
    <xf numFmtId="188" fontId="4" fillId="44" borderId="50" xfId="39" applyNumberFormat="1" applyFont="1" applyFill="1" applyBorder="1" applyAlignment="1" applyProtection="1">
      <alignment vertical="top"/>
      <protection locked="0"/>
    </xf>
    <xf numFmtId="44" fontId="4" fillId="44" borderId="15" xfId="39" applyFont="1" applyFill="1" applyBorder="1" applyAlignment="1" applyProtection="1">
      <alignment vertical="center"/>
      <protection locked="0"/>
    </xf>
    <xf numFmtId="0" fontId="4" fillId="44" borderId="50" xfId="24" applyFont="1" applyFill="1" applyBorder="1" applyAlignment="1" applyProtection="1">
      <alignment vertical="center"/>
      <protection locked="0"/>
    </xf>
    <xf numFmtId="44" fontId="4" fillId="44" borderId="50" xfId="24" applyNumberFormat="1" applyFont="1" applyFill="1" applyBorder="1" applyAlignment="1" applyProtection="1">
      <alignment vertical="center"/>
      <protection locked="0"/>
    </xf>
    <xf numFmtId="9" fontId="4" fillId="0" borderId="0" xfId="24" applyNumberFormat="1" applyFont="1" applyFill="1" applyBorder="1" applyAlignment="1" applyProtection="1">
      <alignment vertical="center"/>
      <protection locked="0"/>
    </xf>
    <xf numFmtId="0" fontId="4" fillId="0" borderId="0" xfId="24" applyFont="1" applyFill="1" applyBorder="1" applyAlignment="1" applyProtection="1">
      <alignment vertical="center"/>
      <protection locked="0"/>
    </xf>
    <xf numFmtId="0" fontId="4" fillId="13" borderId="29" xfId="24" applyFont="1" applyFill="1" applyBorder="1" applyAlignment="1" applyProtection="1">
      <alignment vertical="top"/>
      <protection locked="0"/>
    </xf>
    <xf numFmtId="0" fontId="4" fillId="13" borderId="12" xfId="24" applyFont="1" applyFill="1" applyBorder="1" applyAlignment="1" applyProtection="1">
      <alignment vertical="center"/>
      <protection locked="0"/>
    </xf>
    <xf numFmtId="0" fontId="4" fillId="13" borderId="49" xfId="24" applyFont="1" applyFill="1" applyBorder="1" applyAlignment="1" applyProtection="1">
      <alignment vertical="top"/>
      <protection locked="0"/>
    </xf>
    <xf numFmtId="0" fontId="4" fillId="13" borderId="0" xfId="24" applyFont="1" applyFill="1" applyBorder="1" applyAlignment="1" applyProtection="1">
      <alignment vertical="center"/>
      <protection locked="0"/>
    </xf>
    <xf numFmtId="44" fontId="22" fillId="2" borderId="49" xfId="39" applyNumberFormat="1" applyFont="1" applyFill="1" applyBorder="1" applyAlignment="1" applyProtection="1">
      <alignment horizontal="left" vertical="center"/>
      <protection locked="0"/>
    </xf>
    <xf numFmtId="44" fontId="10" fillId="0" borderId="10" xfId="39" applyFont="1" applyBorder="1" applyAlignment="1" applyProtection="1">
      <alignment vertical="center"/>
      <protection locked="0"/>
    </xf>
    <xf numFmtId="44" fontId="31" fillId="2" borderId="49" xfId="39" applyNumberFormat="1" applyFont="1" applyFill="1" applyBorder="1" applyAlignment="1" applyProtection="1">
      <alignment horizontal="left" vertical="center"/>
      <protection locked="0"/>
    </xf>
    <xf numFmtId="10" fontId="10" fillId="0" borderId="10" xfId="40" applyNumberFormat="1" applyFont="1" applyBorder="1" applyAlignment="1" applyProtection="1">
      <alignment vertical="center"/>
      <protection locked="0"/>
    </xf>
    <xf numFmtId="188" fontId="22" fillId="10" borderId="4" xfId="39" applyNumberFormat="1" applyFont="1" applyFill="1" applyBorder="1" applyAlignment="1" applyProtection="1">
      <alignment horizontal="left" vertical="center"/>
      <protection locked="0"/>
    </xf>
    <xf numFmtId="188" fontId="31" fillId="10" borderId="4" xfId="39" applyNumberFormat="1" applyFont="1" applyFill="1" applyBorder="1" applyAlignment="1" applyProtection="1">
      <alignment horizontal="left" vertical="center"/>
      <protection locked="0"/>
    </xf>
    <xf numFmtId="0" fontId="84" fillId="7" borderId="25" xfId="24" applyFont="1" applyFill="1" applyBorder="1" applyAlignment="1" applyProtection="1">
      <alignment vertical="top"/>
      <protection locked="0"/>
    </xf>
    <xf numFmtId="0" fontId="4" fillId="7" borderId="48" xfId="24" applyFont="1" applyFill="1" applyBorder="1" applyAlignment="1" applyProtection="1">
      <alignment vertical="top"/>
      <protection locked="0"/>
    </xf>
    <xf numFmtId="0" fontId="4" fillId="7" borderId="26" xfId="24" applyFont="1" applyFill="1" applyBorder="1" applyAlignment="1" applyProtection="1">
      <alignment vertical="top"/>
      <protection locked="0"/>
    </xf>
    <xf numFmtId="0" fontId="85" fillId="2" borderId="0" xfId="24" applyFont="1" applyFill="1" applyProtection="1"/>
    <xf numFmtId="0" fontId="43" fillId="0" borderId="0" xfId="24" applyFont="1" applyProtection="1"/>
    <xf numFmtId="0" fontId="22" fillId="47" borderId="4" xfId="24" applyFont="1" applyFill="1" applyBorder="1" applyAlignment="1" applyProtection="1">
      <alignment horizontal="center" vertical="center" wrapText="1"/>
    </xf>
    <xf numFmtId="0" fontId="4" fillId="2" borderId="4" xfId="24" applyFill="1" applyBorder="1" applyAlignment="1" applyProtection="1">
      <alignment horizontal="center" vertical="center"/>
    </xf>
    <xf numFmtId="175" fontId="0" fillId="8" borderId="32" xfId="0" applyNumberFormat="1" applyFill="1" applyBorder="1" applyProtection="1">
      <protection locked="0"/>
    </xf>
    <xf numFmtId="176" fontId="0" fillId="8" borderId="32" xfId="0" applyNumberFormat="1" applyFill="1" applyBorder="1" applyProtection="1">
      <protection locked="0"/>
    </xf>
    <xf numFmtId="175" fontId="0" fillId="8" borderId="32" xfId="0" applyNumberFormat="1" applyFill="1" applyBorder="1" applyAlignment="1" applyProtection="1">
      <alignment horizontal="right"/>
      <protection locked="0"/>
    </xf>
    <xf numFmtId="0" fontId="85" fillId="2" borderId="0" xfId="24" applyFont="1" applyFill="1" applyProtection="1">
      <protection locked="0"/>
    </xf>
    <xf numFmtId="176" fontId="9" fillId="2" borderId="0" xfId="0" applyNumberFormat="1" applyFont="1" applyFill="1" applyAlignment="1">
      <alignment horizontal="right"/>
    </xf>
    <xf numFmtId="192" fontId="9" fillId="2" borderId="0" xfId="0" applyNumberFormat="1" applyFont="1" applyFill="1" applyAlignment="1">
      <alignment horizontal="right"/>
    </xf>
    <xf numFmtId="175" fontId="9" fillId="2" borderId="0" xfId="0" applyNumberFormat="1" applyFont="1" applyFill="1" applyAlignment="1">
      <alignment horizontal="right"/>
    </xf>
    <xf numFmtId="0" fontId="9" fillId="2" borderId="0" xfId="0" applyFont="1" applyFill="1" applyAlignment="1">
      <alignment horizontal="right"/>
    </xf>
    <xf numFmtId="176" fontId="9" fillId="2" borderId="0" xfId="0" applyNumberFormat="1" applyFont="1" applyFill="1" applyAlignment="1">
      <alignment horizontal="right" vertical="top"/>
    </xf>
    <xf numFmtId="0" fontId="0" fillId="2" borderId="0" xfId="0" applyFill="1" applyAlignment="1"/>
    <xf numFmtId="0" fontId="9" fillId="2" borderId="0" xfId="0" applyFont="1" applyFill="1"/>
    <xf numFmtId="0" fontId="0" fillId="2" borderId="0" xfId="0" applyFill="1" applyAlignment="1">
      <alignment horizontal="right"/>
    </xf>
    <xf numFmtId="8" fontId="0" fillId="0" borderId="0" xfId="0" applyNumberFormat="1" applyProtection="1"/>
    <xf numFmtId="0" fontId="19" fillId="0" borderId="0" xfId="0" applyNumberFormat="1" applyFont="1" applyAlignment="1" applyProtection="1">
      <alignment wrapText="1"/>
    </xf>
    <xf numFmtId="0" fontId="90" fillId="0" borderId="16" xfId="0" applyNumberFormat="1" applyFont="1" applyBorder="1" applyAlignment="1" applyProtection="1"/>
    <xf numFmtId="0" fontId="2" fillId="0" borderId="0" xfId="0" applyFont="1"/>
    <xf numFmtId="0" fontId="36" fillId="0" borderId="0" xfId="0" applyFont="1" applyFill="1" applyProtection="1"/>
    <xf numFmtId="0" fontId="94" fillId="0" borderId="0" xfId="0" applyFont="1" applyFill="1" applyAlignment="1" applyProtection="1">
      <alignment horizontal="center" vertical="center"/>
    </xf>
    <xf numFmtId="0" fontId="94" fillId="0" borderId="0" xfId="0" applyFont="1" applyFill="1" applyAlignment="1" applyProtection="1">
      <alignment horizontal="left" wrapText="1"/>
    </xf>
    <xf numFmtId="0" fontId="29" fillId="0" borderId="0" xfId="0" applyFont="1" applyFill="1" applyAlignment="1" applyProtection="1">
      <alignment horizontal="center"/>
    </xf>
    <xf numFmtId="188" fontId="18" fillId="0" borderId="0" xfId="39" applyNumberFormat="1" applyFont="1" applyFill="1" applyProtection="1"/>
    <xf numFmtId="190" fontId="18" fillId="3" borderId="0" xfId="39" applyNumberFormat="1" applyFont="1" applyFill="1" applyProtection="1">
      <protection locked="0"/>
    </xf>
    <xf numFmtId="0" fontId="0" fillId="2" borderId="0" xfId="0" applyFill="1" applyProtection="1">
      <protection locked="0"/>
    </xf>
    <xf numFmtId="6" fontId="20" fillId="0" borderId="0" xfId="0" applyNumberFormat="1" applyFont="1" applyBorder="1" applyProtection="1"/>
    <xf numFmtId="6" fontId="0" fillId="0" borderId="0" xfId="0" applyNumberFormat="1" applyBorder="1" applyAlignment="1" applyProtection="1">
      <alignment wrapText="1"/>
    </xf>
    <xf numFmtId="6" fontId="19" fillId="0" borderId="62" xfId="0" applyNumberFormat="1" applyFont="1" applyBorder="1" applyAlignment="1" applyProtection="1">
      <alignment horizontal="center" vertical="center" wrapText="1"/>
    </xf>
    <xf numFmtId="6" fontId="20" fillId="0" borderId="38" xfId="0" applyNumberFormat="1" applyFont="1" applyBorder="1" applyProtection="1"/>
    <xf numFmtId="6" fontId="20" fillId="0" borderId="0" xfId="0" applyNumberFormat="1" applyFont="1" applyFill="1" applyBorder="1" applyProtection="1"/>
    <xf numFmtId="6" fontId="0" fillId="0" borderId="66" xfId="0" applyNumberFormat="1" applyBorder="1" applyAlignment="1" applyProtection="1">
      <alignment wrapText="1"/>
    </xf>
    <xf numFmtId="6" fontId="0" fillId="0" borderId="67" xfId="0" applyNumberFormat="1" applyBorder="1" applyAlignment="1" applyProtection="1">
      <alignment wrapText="1"/>
    </xf>
    <xf numFmtId="6" fontId="0" fillId="0" borderId="0" xfId="0" applyNumberFormat="1" applyBorder="1" applyProtection="1"/>
    <xf numFmtId="6" fontId="0" fillId="0" borderId="68" xfId="0" applyNumberFormat="1" applyBorder="1" applyProtection="1"/>
    <xf numFmtId="6" fontId="0" fillId="0" borderId="0" xfId="0" applyNumberFormat="1" applyProtection="1"/>
    <xf numFmtId="0" fontId="20" fillId="0" borderId="0" xfId="0" applyFont="1" applyFill="1" applyBorder="1" applyProtection="1"/>
    <xf numFmtId="0" fontId="0" fillId="0" borderId="78" xfId="0" applyBorder="1" applyProtection="1"/>
    <xf numFmtId="6" fontId="0" fillId="0" borderId="78" xfId="0" applyNumberFormat="1" applyBorder="1" applyProtection="1"/>
    <xf numFmtId="0" fontId="19" fillId="0" borderId="0" xfId="0" applyFont="1" applyFill="1" applyBorder="1" applyProtection="1"/>
    <xf numFmtId="0" fontId="102" fillId="0" borderId="0" xfId="24" applyFont="1" applyProtection="1"/>
    <xf numFmtId="0" fontId="102" fillId="0" borderId="0" xfId="24" applyFont="1" applyAlignment="1" applyProtection="1">
      <alignment horizontal="right"/>
    </xf>
    <xf numFmtId="0" fontId="104" fillId="0" borderId="0" xfId="24" applyFont="1" applyProtection="1"/>
    <xf numFmtId="0" fontId="102" fillId="0" borderId="0" xfId="24" applyFont="1" applyAlignment="1" applyProtection="1">
      <alignment vertical="top"/>
    </xf>
    <xf numFmtId="0" fontId="105" fillId="0" borderId="0" xfId="24" applyFont="1" applyAlignment="1" applyProtection="1">
      <alignment horizontal="left" vertical="top" wrapText="1"/>
    </xf>
    <xf numFmtId="0" fontId="4" fillId="0" borderId="0" xfId="24" applyFont="1" applyAlignment="1" applyProtection="1">
      <alignment vertical="top" wrapText="1"/>
    </xf>
    <xf numFmtId="0" fontId="2" fillId="0" borderId="0" xfId="0" applyFont="1" applyAlignment="1" applyProtection="1">
      <alignment wrapText="1"/>
    </xf>
    <xf numFmtId="1" fontId="0" fillId="8" borderId="57" xfId="0" applyNumberFormat="1" applyFill="1" applyBorder="1" applyAlignment="1" applyProtection="1">
      <alignment horizontal="center"/>
      <protection locked="0"/>
    </xf>
    <xf numFmtId="0" fontId="0" fillId="0" borderId="0" xfId="0"/>
    <xf numFmtId="0" fontId="9" fillId="0" borderId="0" xfId="0" applyFont="1"/>
    <xf numFmtId="0" fontId="0" fillId="0" borderId="0" xfId="0" applyAlignment="1" applyProtection="1">
      <alignment horizontal="right"/>
    </xf>
    <xf numFmtId="0" fontId="10" fillId="0" borderId="0" xfId="0" applyFont="1" applyAlignment="1" applyProtection="1">
      <alignment horizontal="right" vertical="top" wrapText="1"/>
    </xf>
    <xf numFmtId="0" fontId="71" fillId="0" borderId="0" xfId="0" applyFont="1" applyAlignment="1" applyProtection="1">
      <alignment horizontal="right" vertical="top" wrapText="1"/>
    </xf>
    <xf numFmtId="0" fontId="11" fillId="0" borderId="0" xfId="0" applyFont="1" applyFill="1" applyAlignment="1" applyProtection="1">
      <alignment vertical="top" wrapText="1"/>
    </xf>
    <xf numFmtId="0" fontId="10" fillId="0" borderId="0" xfId="0" applyFont="1" applyFill="1" applyAlignment="1" applyProtection="1">
      <alignment vertical="top" wrapText="1"/>
    </xf>
    <xf numFmtId="0" fontId="0" fillId="0" borderId="0" xfId="0" applyFill="1" applyAlignment="1" applyProtection="1">
      <alignment vertical="top" wrapText="1"/>
    </xf>
    <xf numFmtId="0" fontId="71" fillId="0" borderId="0" xfId="0" applyFont="1" applyFill="1" applyAlignment="1" applyProtection="1">
      <alignment vertical="top" wrapText="1"/>
    </xf>
    <xf numFmtId="0" fontId="10" fillId="9" borderId="0" xfId="0" applyFont="1" applyFill="1" applyProtection="1"/>
    <xf numFmtId="44" fontId="18" fillId="9" borderId="0" xfId="39" applyNumberFormat="1" applyFont="1" applyFill="1" applyProtection="1"/>
    <xf numFmtId="187" fontId="0" fillId="0" borderId="0" xfId="0" applyNumberFormat="1" applyBorder="1" applyAlignment="1" applyProtection="1">
      <alignment wrapText="1"/>
    </xf>
    <xf numFmtId="187" fontId="19" fillId="0" borderId="62" xfId="0" applyNumberFormat="1" applyFont="1" applyBorder="1" applyAlignment="1" applyProtection="1">
      <alignment horizontal="center" vertical="center" wrapText="1"/>
    </xf>
    <xf numFmtId="187" fontId="20" fillId="0" borderId="38" xfId="0" applyNumberFormat="1" applyFont="1" applyBorder="1" applyProtection="1"/>
    <xf numFmtId="187" fontId="20" fillId="0" borderId="0" xfId="0" applyNumberFormat="1" applyFont="1" applyBorder="1" applyProtection="1"/>
    <xf numFmtId="6" fontId="8" fillId="0" borderId="77" xfId="0" applyNumberFormat="1" applyFont="1" applyBorder="1" applyProtection="1"/>
    <xf numFmtId="187" fontId="20" fillId="0" borderId="0" xfId="0" applyNumberFormat="1" applyFont="1" applyFill="1" applyBorder="1" applyProtection="1"/>
    <xf numFmtId="187" fontId="20" fillId="0" borderId="78" xfId="0" applyNumberFormat="1" applyFont="1" applyFill="1" applyBorder="1" applyProtection="1"/>
    <xf numFmtId="187" fontId="20" fillId="0" borderId="81" xfId="0" applyNumberFormat="1" applyFont="1" applyFill="1" applyBorder="1" applyProtection="1"/>
    <xf numFmtId="187" fontId="20" fillId="0" borderId="62" xfId="0" applyNumberFormat="1" applyFont="1" applyFill="1" applyBorder="1" applyProtection="1"/>
    <xf numFmtId="187" fontId="20" fillId="0" borderId="38" xfId="0" applyNumberFormat="1" applyFont="1" applyFill="1" applyBorder="1" applyProtection="1"/>
    <xf numFmtId="187" fontId="20" fillId="0" borderId="79" xfId="0" applyNumberFormat="1" applyFont="1" applyFill="1" applyBorder="1" applyProtection="1"/>
    <xf numFmtId="187" fontId="8" fillId="0" borderId="77" xfId="0" applyNumberFormat="1" applyFont="1" applyBorder="1" applyProtection="1"/>
    <xf numFmtId="187" fontId="20" fillId="9" borderId="70" xfId="0" applyNumberFormat="1" applyFont="1" applyFill="1" applyBorder="1" applyProtection="1"/>
    <xf numFmtId="187" fontId="20" fillId="9" borderId="69" xfId="0" applyNumberFormat="1" applyFont="1" applyFill="1" applyBorder="1" applyProtection="1"/>
    <xf numFmtId="6" fontId="20" fillId="0" borderId="67" xfId="0" applyNumberFormat="1" applyFont="1" applyBorder="1" applyProtection="1"/>
    <xf numFmtId="0" fontId="101" fillId="0" borderId="60" xfId="0" applyFont="1" applyBorder="1" applyAlignment="1" applyProtection="1">
      <alignment vertical="center"/>
    </xf>
    <xf numFmtId="0" fontId="20" fillId="0" borderId="61" xfId="0" applyFont="1" applyBorder="1" applyProtection="1"/>
    <xf numFmtId="0" fontId="20" fillId="0" borderId="38" xfId="0" applyFont="1" applyBorder="1" applyProtection="1"/>
    <xf numFmtId="0" fontId="20" fillId="0" borderId="77" xfId="0" applyFont="1" applyBorder="1" applyAlignment="1" applyProtection="1">
      <alignment horizontal="center"/>
    </xf>
    <xf numFmtId="0" fontId="20" fillId="0" borderId="38" xfId="0" applyFont="1" applyBorder="1" applyAlignment="1" applyProtection="1"/>
    <xf numFmtId="193" fontId="20" fillId="0" borderId="38" xfId="0" applyNumberFormat="1" applyFont="1" applyBorder="1" applyAlignment="1" applyProtection="1"/>
    <xf numFmtId="0" fontId="20" fillId="0" borderId="38" xfId="0" applyFont="1" applyBorder="1" applyAlignment="1" applyProtection="1">
      <alignment horizontal="left"/>
    </xf>
    <xf numFmtId="0" fontId="20" fillId="0" borderId="38" xfId="24" applyFont="1" applyBorder="1" applyAlignment="1" applyProtection="1">
      <alignment horizontal="left" wrapText="1"/>
    </xf>
    <xf numFmtId="0" fontId="19" fillId="0" borderId="38" xfId="0" applyFont="1" applyBorder="1" applyAlignment="1" applyProtection="1">
      <alignment horizontal="left"/>
    </xf>
    <xf numFmtId="0" fontId="19" fillId="0" borderId="77" xfId="0" applyFont="1" applyBorder="1" applyAlignment="1" applyProtection="1">
      <alignment horizontal="center"/>
    </xf>
    <xf numFmtId="0" fontId="19" fillId="0" borderId="38" xfId="0" applyFont="1" applyBorder="1" applyAlignment="1" applyProtection="1"/>
    <xf numFmtId="6" fontId="0" fillId="0" borderId="77" xfId="0" applyNumberFormat="1" applyBorder="1" applyProtection="1"/>
    <xf numFmtId="0" fontId="20" fillId="0" borderId="38" xfId="0" applyFont="1" applyFill="1" applyBorder="1" applyProtection="1"/>
    <xf numFmtId="0" fontId="20" fillId="0" borderId="77" xfId="0" applyFont="1" applyFill="1" applyBorder="1" applyProtection="1"/>
    <xf numFmtId="0" fontId="21" fillId="0" borderId="38" xfId="24" applyFont="1" applyBorder="1" applyProtection="1"/>
    <xf numFmtId="0" fontId="21" fillId="0" borderId="77" xfId="24" applyFont="1" applyBorder="1" applyAlignment="1" applyProtection="1">
      <alignment horizontal="center"/>
    </xf>
    <xf numFmtId="0" fontId="19" fillId="0" borderId="84" xfId="0" applyFont="1" applyFill="1" applyBorder="1" applyProtection="1"/>
    <xf numFmtId="0" fontId="20" fillId="0" borderId="85" xfId="0" applyFont="1" applyFill="1" applyBorder="1" applyProtection="1"/>
    <xf numFmtId="6" fontId="19" fillId="0" borderId="0" xfId="0" applyNumberFormat="1" applyFont="1" applyBorder="1" applyAlignment="1" applyProtection="1">
      <alignment horizontal="center" vertical="center" wrapText="1"/>
    </xf>
    <xf numFmtId="6" fontId="19" fillId="0" borderId="77" xfId="0" applyNumberFormat="1" applyFont="1" applyBorder="1" applyAlignment="1" applyProtection="1">
      <alignment horizontal="center" vertical="center" wrapText="1"/>
    </xf>
    <xf numFmtId="187" fontId="20" fillId="0" borderId="77" xfId="0" applyNumberFormat="1" applyFont="1" applyFill="1" applyBorder="1" applyProtection="1"/>
    <xf numFmtId="187" fontId="20" fillId="0" borderId="84" xfId="0" applyNumberFormat="1" applyFont="1" applyFill="1" applyBorder="1" applyProtection="1"/>
    <xf numFmtId="187" fontId="20" fillId="0" borderId="58" xfId="0" applyNumberFormat="1" applyFont="1" applyFill="1" applyBorder="1" applyProtection="1"/>
    <xf numFmtId="187" fontId="20" fillId="0" borderId="85" xfId="0" applyNumberFormat="1" applyFont="1" applyFill="1" applyBorder="1" applyProtection="1"/>
    <xf numFmtId="6" fontId="8" fillId="0" borderId="0" xfId="0" applyNumberFormat="1" applyFont="1" applyBorder="1" applyProtection="1"/>
    <xf numFmtId="187" fontId="20" fillId="0" borderId="86" xfId="0" applyNumberFormat="1" applyFont="1" applyFill="1" applyBorder="1" applyProtection="1"/>
    <xf numFmtId="187" fontId="20" fillId="9" borderId="87" xfId="0" applyNumberFormat="1" applyFont="1" applyFill="1" applyBorder="1" applyProtection="1"/>
    <xf numFmtId="0" fontId="90" fillId="0" borderId="16" xfId="0" applyNumberFormat="1" applyFont="1" applyBorder="1" applyAlignment="1" applyProtection="1">
      <alignment horizontal="center"/>
    </xf>
    <xf numFmtId="6" fontId="0" fillId="0" borderId="38" xfId="0" applyNumberFormat="1" applyBorder="1" applyProtection="1"/>
    <xf numFmtId="187" fontId="20" fillId="9" borderId="74" xfId="0" applyNumberFormat="1" applyFont="1" applyFill="1" applyBorder="1" applyProtection="1"/>
    <xf numFmtId="188" fontId="4" fillId="3" borderId="52" xfId="39" applyNumberFormat="1" applyFont="1" applyFill="1" applyBorder="1" applyAlignment="1" applyProtection="1">
      <alignment horizontal="center"/>
      <protection locked="0"/>
    </xf>
    <xf numFmtId="187" fontId="20" fillId="0" borderId="88" xfId="0" applyNumberFormat="1" applyFont="1" applyFill="1" applyBorder="1" applyProtection="1"/>
    <xf numFmtId="6" fontId="0" fillId="10" borderId="77" xfId="0" applyNumberFormat="1" applyFill="1" applyBorder="1" applyProtection="1"/>
    <xf numFmtId="187" fontId="8" fillId="10" borderId="77" xfId="0" applyNumberFormat="1" applyFont="1" applyFill="1" applyBorder="1" applyProtection="1"/>
    <xf numFmtId="6" fontId="8" fillId="10" borderId="77" xfId="0" applyNumberFormat="1" applyFont="1" applyFill="1" applyBorder="1" applyProtection="1"/>
    <xf numFmtId="187" fontId="20" fillId="10" borderId="77" xfId="0" applyNumberFormat="1" applyFont="1" applyFill="1" applyBorder="1" applyProtection="1"/>
    <xf numFmtId="187" fontId="20" fillId="10" borderId="88" xfId="0" applyNumberFormat="1" applyFont="1" applyFill="1" applyBorder="1" applyProtection="1"/>
    <xf numFmtId="0" fontId="10" fillId="0" borderId="0" xfId="0" applyFont="1" applyAlignment="1" applyProtection="1">
      <alignment horizontal="left" vertical="top" wrapText="1"/>
    </xf>
    <xf numFmtId="0" fontId="0" fillId="0" borderId="0" xfId="0" applyAlignment="1">
      <alignment horizontal="center"/>
    </xf>
    <xf numFmtId="4" fontId="0" fillId="0" borderId="0" xfId="0" applyNumberFormat="1" applyProtection="1"/>
    <xf numFmtId="4" fontId="10" fillId="0" borderId="0" xfId="0" applyNumberFormat="1" applyFont="1" applyAlignment="1" applyProtection="1">
      <alignment vertical="top" wrapText="1"/>
    </xf>
    <xf numFmtId="4" fontId="71" fillId="0" borderId="0" xfId="0" applyNumberFormat="1" applyFont="1" applyAlignment="1" applyProtection="1">
      <alignment vertical="top" wrapText="1"/>
    </xf>
    <xf numFmtId="0" fontId="0" fillId="2" borderId="0" xfId="0" applyFill="1" applyAlignment="1">
      <alignment vertical="top"/>
    </xf>
    <xf numFmtId="0" fontId="0" fillId="2" borderId="0" xfId="0" applyFill="1" applyAlignment="1">
      <alignment horizontal="right" vertical="top"/>
    </xf>
    <xf numFmtId="0" fontId="9" fillId="2" borderId="0" xfId="0" applyFont="1" applyFill="1" applyAlignment="1">
      <alignment vertical="top"/>
    </xf>
    <xf numFmtId="192" fontId="9" fillId="2" borderId="0" xfId="0" applyNumberFormat="1" applyFont="1" applyFill="1" applyAlignment="1">
      <alignment horizontal="right" vertical="top"/>
    </xf>
    <xf numFmtId="2" fontId="9" fillId="2" borderId="0" xfId="0" applyNumberFormat="1" applyFont="1" applyFill="1" applyAlignment="1">
      <alignment horizontal="right"/>
    </xf>
    <xf numFmtId="2" fontId="0" fillId="2" borderId="0" xfId="0" applyNumberFormat="1" applyFill="1" applyAlignment="1">
      <alignment horizontal="right"/>
    </xf>
    <xf numFmtId="0" fontId="9" fillId="2" borderId="0" xfId="0" applyFont="1" applyFill="1" applyAlignment="1"/>
    <xf numFmtId="0" fontId="9" fillId="2" borderId="0" xfId="0" applyFont="1" applyFill="1" applyAlignment="1">
      <alignment horizontal="left" indent="2"/>
    </xf>
    <xf numFmtId="0" fontId="9" fillId="2" borderId="0" xfId="0" applyFont="1" applyFill="1" applyBorder="1" applyAlignment="1">
      <alignment horizontal="left"/>
    </xf>
    <xf numFmtId="0" fontId="6" fillId="2" borderId="0" xfId="0" applyFont="1" applyFill="1" applyAlignment="1">
      <alignment vertical="top"/>
    </xf>
    <xf numFmtId="0" fontId="5" fillId="2" borderId="0" xfId="0" applyFont="1" applyFill="1" applyAlignment="1">
      <alignment horizontal="left"/>
    </xf>
    <xf numFmtId="15" fontId="22" fillId="2" borderId="0" xfId="161" applyNumberFormat="1" applyFont="1" applyFill="1" applyAlignment="1" applyProtection="1">
      <alignment horizontal="left" wrapText="1"/>
    </xf>
    <xf numFmtId="0" fontId="0" fillId="0" borderId="0" xfId="0" applyFill="1" applyBorder="1" applyProtection="1">
      <protection locked="0"/>
    </xf>
    <xf numFmtId="176" fontId="5" fillId="0" borderId="0" xfId="161" applyNumberFormat="1" applyFont="1" applyFill="1" applyBorder="1" applyAlignment="1" applyProtection="1">
      <alignment horizontal="right" vertical="top"/>
      <protection locked="0"/>
    </xf>
    <xf numFmtId="175" fontId="9" fillId="0" borderId="0" xfId="0" applyNumberFormat="1" applyFont="1" applyFill="1" applyBorder="1" applyAlignment="1" applyProtection="1">
      <alignment horizontal="right"/>
      <protection locked="0"/>
    </xf>
    <xf numFmtId="0" fontId="0" fillId="0" borderId="0" xfId="0" applyNumberFormat="1" applyAlignment="1" applyProtection="1">
      <alignment horizontal="left" vertical="top"/>
    </xf>
    <xf numFmtId="0" fontId="10" fillId="0" borderId="0" xfId="0" applyNumberFormat="1" applyFont="1" applyAlignment="1" applyProtection="1">
      <alignment horizontal="left" vertical="top" wrapText="1"/>
    </xf>
    <xf numFmtId="0" fontId="71" fillId="0" borderId="0" xfId="0" applyNumberFormat="1" applyFont="1" applyAlignment="1" applyProtection="1">
      <alignment horizontal="left" vertical="top" wrapText="1"/>
    </xf>
    <xf numFmtId="186" fontId="0" fillId="0" borderId="0" xfId="0" applyNumberFormat="1"/>
    <xf numFmtId="187" fontId="20" fillId="0" borderId="87" xfId="0" applyNumberFormat="1" applyFont="1" applyFill="1" applyBorder="1" applyProtection="1"/>
    <xf numFmtId="6" fontId="0" fillId="0" borderId="0" xfId="0" applyNumberFormat="1" applyBorder="1" applyProtection="1">
      <protection locked="0"/>
    </xf>
    <xf numFmtId="187" fontId="20" fillId="3" borderId="71" xfId="0" applyNumberFormat="1" applyFont="1" applyFill="1" applyBorder="1" applyProtection="1">
      <protection locked="0"/>
    </xf>
    <xf numFmtId="187" fontId="20" fillId="3" borderId="69" xfId="0" applyNumberFormat="1" applyFont="1" applyFill="1" applyBorder="1" applyProtection="1">
      <protection locked="0"/>
    </xf>
    <xf numFmtId="187" fontId="20" fillId="3" borderId="69" xfId="24" applyNumberFormat="1" applyFont="1" applyFill="1" applyBorder="1" applyProtection="1">
      <protection locked="0"/>
    </xf>
    <xf numFmtId="187" fontId="20" fillId="3" borderId="70" xfId="0" applyNumberFormat="1" applyFont="1" applyFill="1" applyBorder="1" applyProtection="1">
      <protection locked="0"/>
    </xf>
    <xf numFmtId="187" fontId="20" fillId="3" borderId="90" xfId="24" applyNumberFormat="1" applyFont="1" applyFill="1" applyBorder="1" applyProtection="1">
      <protection locked="0"/>
    </xf>
    <xf numFmtId="187" fontId="20" fillId="3" borderId="73" xfId="0" applyNumberFormat="1" applyFont="1" applyFill="1" applyBorder="1" applyProtection="1">
      <protection locked="0"/>
    </xf>
    <xf numFmtId="187" fontId="20" fillId="3" borderId="72" xfId="0" applyNumberFormat="1" applyFont="1" applyFill="1" applyBorder="1" applyProtection="1">
      <protection locked="0"/>
    </xf>
    <xf numFmtId="6" fontId="0" fillId="0" borderId="0" xfId="0" applyNumberFormat="1" applyProtection="1">
      <protection locked="0"/>
    </xf>
    <xf numFmtId="187" fontId="20" fillId="3" borderId="75" xfId="0" applyNumberFormat="1" applyFont="1" applyFill="1" applyBorder="1" applyProtection="1">
      <protection locked="0"/>
    </xf>
    <xf numFmtId="187" fontId="20" fillId="3" borderId="76" xfId="0" applyNumberFormat="1" applyFont="1" applyFill="1" applyBorder="1" applyProtection="1">
      <protection locked="0"/>
    </xf>
    <xf numFmtId="0" fontId="37" fillId="0" borderId="0" xfId="0" applyFont="1" applyAlignment="1" applyProtection="1">
      <alignment horizontal="center" vertical="center"/>
      <protection locked="0"/>
    </xf>
    <xf numFmtId="0" fontId="0" fillId="0" borderId="0" xfId="0" applyFill="1" applyProtection="1">
      <protection locked="0"/>
    </xf>
    <xf numFmtId="0" fontId="0" fillId="2" borderId="0" xfId="0" applyFill="1" applyAlignment="1" applyProtection="1">
      <alignment horizontal="left"/>
      <protection locked="0"/>
    </xf>
    <xf numFmtId="0" fontId="2" fillId="0" borderId="0" xfId="0" applyFont="1" applyProtection="1">
      <protection locked="0"/>
    </xf>
    <xf numFmtId="166" fontId="3" fillId="0" borderId="0" xfId="0" applyNumberFormat="1" applyFont="1" applyAlignment="1" applyProtection="1">
      <alignment horizontal="left"/>
      <protection locked="0"/>
    </xf>
    <xf numFmtId="0" fontId="39" fillId="0" borderId="0" xfId="0" applyFont="1" applyAlignment="1" applyProtection="1">
      <alignment horizontal="right" vertical="center"/>
      <protection locked="0"/>
    </xf>
    <xf numFmtId="0" fontId="0" fillId="0" borderId="0" xfId="0" applyAlignment="1" applyProtection="1">
      <alignment horizontal="right" vertical="center"/>
      <protection locked="0"/>
    </xf>
    <xf numFmtId="0" fontId="0" fillId="0" borderId="0" xfId="0" applyAlignment="1" applyProtection="1">
      <alignment vertical="center"/>
      <protection locked="0"/>
    </xf>
    <xf numFmtId="0" fontId="0" fillId="0" borderId="0" xfId="0" applyFill="1" applyAlignment="1" applyProtection="1">
      <alignment vertical="center"/>
      <protection locked="0"/>
    </xf>
    <xf numFmtId="0" fontId="39" fillId="0" borderId="0" xfId="0" applyFont="1" applyAlignment="1" applyProtection="1">
      <alignment horizontal="right" vertical="center" indent="1"/>
      <protection locked="0"/>
    </xf>
    <xf numFmtId="0" fontId="8" fillId="0" borderId="0" xfId="0" applyFont="1" applyProtection="1">
      <protection locked="0"/>
    </xf>
    <xf numFmtId="167" fontId="0" fillId="0" borderId="0" xfId="0" applyNumberFormat="1" applyProtection="1">
      <protection locked="0"/>
    </xf>
    <xf numFmtId="0" fontId="8" fillId="0" borderId="0" xfId="0" applyFont="1" applyAlignment="1" applyProtection="1">
      <alignment horizontal="right" vertical="center"/>
      <protection locked="0"/>
    </xf>
    <xf numFmtId="0" fontId="39" fillId="0" borderId="0" xfId="0" applyFont="1" applyAlignment="1" applyProtection="1">
      <alignment horizontal="right" vertical="center" indent="2"/>
      <protection locked="0"/>
    </xf>
    <xf numFmtId="0" fontId="44" fillId="0" borderId="0" xfId="0" applyFont="1" applyProtection="1">
      <protection locked="0"/>
    </xf>
    <xf numFmtId="0" fontId="0" fillId="3" borderId="17" xfId="0" applyFill="1" applyBorder="1" applyProtection="1">
      <protection locked="0"/>
    </xf>
    <xf numFmtId="0" fontId="0" fillId="4" borderId="17" xfId="0" applyFill="1" applyBorder="1" applyProtection="1">
      <protection locked="0"/>
    </xf>
    <xf numFmtId="0" fontId="0" fillId="10" borderId="17" xfId="0" applyFill="1" applyBorder="1" applyProtection="1">
      <protection locked="0"/>
    </xf>
    <xf numFmtId="0" fontId="0" fillId="0" borderId="0" xfId="0" applyAlignment="1" applyProtection="1">
      <alignment wrapText="1"/>
      <protection locked="0"/>
    </xf>
    <xf numFmtId="0" fontId="0" fillId="0" borderId="17" xfId="0" applyBorder="1" applyProtection="1">
      <protection locked="0"/>
    </xf>
    <xf numFmtId="0" fontId="2" fillId="0" borderId="0" xfId="0" applyFont="1" applyAlignment="1" applyProtection="1">
      <alignment horizontal="left" wrapText="1"/>
    </xf>
    <xf numFmtId="0" fontId="10" fillId="0" borderId="4" xfId="0" applyFont="1" applyBorder="1" applyAlignment="1" applyProtection="1">
      <alignment wrapText="1"/>
    </xf>
    <xf numFmtId="0" fontId="13" fillId="0" borderId="4" xfId="0" applyFont="1" applyBorder="1" applyAlignment="1" applyProtection="1">
      <alignment horizontal="left" wrapText="1"/>
    </xf>
    <xf numFmtId="0" fontId="10" fillId="0" borderId="12" xfId="0" applyFont="1" applyBorder="1" applyProtection="1"/>
    <xf numFmtId="0" fontId="13" fillId="0" borderId="27" xfId="0" applyFont="1" applyBorder="1" applyAlignment="1" applyProtection="1">
      <alignment wrapText="1"/>
    </xf>
    <xf numFmtId="8" fontId="0" fillId="0" borderId="0" xfId="0" applyNumberFormat="1" applyProtection="1">
      <protection locked="0"/>
    </xf>
    <xf numFmtId="8" fontId="0" fillId="0" borderId="0" xfId="0" applyNumberFormat="1" applyBorder="1" applyProtection="1">
      <protection locked="0"/>
    </xf>
    <xf numFmtId="8" fontId="0" fillId="0" borderId="58" xfId="0" applyNumberFormat="1" applyBorder="1" applyProtection="1">
      <protection locked="0"/>
    </xf>
    <xf numFmtId="0" fontId="19" fillId="0" borderId="58" xfId="24" applyFont="1" applyFill="1" applyBorder="1" applyAlignment="1" applyProtection="1">
      <alignment horizontal="center" vertical="center" wrapText="1"/>
      <protection locked="0"/>
    </xf>
    <xf numFmtId="6" fontId="20" fillId="0" borderId="0" xfId="0" applyNumberFormat="1" applyFont="1" applyFill="1" applyBorder="1" applyProtection="1">
      <protection locked="0"/>
    </xf>
    <xf numFmtId="6" fontId="0" fillId="0" borderId="38" xfId="0" applyNumberFormat="1" applyBorder="1" applyProtection="1">
      <protection locked="0"/>
    </xf>
    <xf numFmtId="187" fontId="20" fillId="0" borderId="0" xfId="0" applyNumberFormat="1" applyFont="1" applyFill="1" applyBorder="1" applyProtection="1">
      <protection locked="0"/>
    </xf>
    <xf numFmtId="187" fontId="20" fillId="0" borderId="62" xfId="0" applyNumberFormat="1" applyFont="1" applyFill="1" applyBorder="1" applyProtection="1">
      <protection locked="0"/>
    </xf>
    <xf numFmtId="187" fontId="20" fillId="9" borderId="70" xfId="0" applyNumberFormat="1" applyFont="1" applyFill="1" applyBorder="1" applyProtection="1">
      <protection locked="0"/>
    </xf>
    <xf numFmtId="187" fontId="20" fillId="0" borderId="77" xfId="0" applyNumberFormat="1" applyFont="1" applyFill="1" applyBorder="1" applyProtection="1">
      <protection locked="0"/>
    </xf>
    <xf numFmtId="187" fontId="8" fillId="0" borderId="0" xfId="0" applyNumberFormat="1" applyFont="1" applyBorder="1" applyProtection="1">
      <protection locked="0"/>
    </xf>
    <xf numFmtId="187" fontId="8" fillId="0" borderId="77" xfId="0" applyNumberFormat="1" applyFont="1" applyBorder="1" applyProtection="1">
      <protection locked="0"/>
    </xf>
    <xf numFmtId="6" fontId="20" fillId="0" borderId="62" xfId="0" applyNumberFormat="1" applyFont="1" applyFill="1" applyBorder="1" applyProtection="1">
      <protection locked="0"/>
    </xf>
    <xf numFmtId="6" fontId="20" fillId="0" borderId="38" xfId="0" applyNumberFormat="1" applyFont="1" applyFill="1" applyBorder="1" applyProtection="1">
      <protection locked="0"/>
    </xf>
    <xf numFmtId="187" fontId="20" fillId="0" borderId="38" xfId="0" applyNumberFormat="1" applyFont="1" applyFill="1" applyBorder="1" applyProtection="1">
      <protection locked="0"/>
    </xf>
    <xf numFmtId="6" fontId="0" fillId="0" borderId="0" xfId="0" applyNumberFormat="1" applyFont="1" applyProtection="1">
      <protection locked="0"/>
    </xf>
    <xf numFmtId="6" fontId="0" fillId="0" borderId="62" xfId="0" applyNumberFormat="1" applyFont="1" applyBorder="1" applyProtection="1">
      <protection locked="0"/>
    </xf>
    <xf numFmtId="187" fontId="0" fillId="0" borderId="0" xfId="0" applyNumberFormat="1" applyFont="1" applyProtection="1">
      <protection locked="0"/>
    </xf>
    <xf numFmtId="187" fontId="8" fillId="0" borderId="0" xfId="0" applyNumberFormat="1" applyFont="1" applyProtection="1">
      <protection locked="0"/>
    </xf>
    <xf numFmtId="187" fontId="8" fillId="0" borderId="62" xfId="0" applyNumberFormat="1" applyFont="1" applyBorder="1" applyProtection="1">
      <protection locked="0"/>
    </xf>
    <xf numFmtId="187" fontId="8" fillId="0" borderId="10" xfId="0" applyNumberFormat="1" applyFont="1" applyBorder="1" applyProtection="1">
      <protection locked="0"/>
    </xf>
    <xf numFmtId="187" fontId="8" fillId="0" borderId="38" xfId="0" applyNumberFormat="1" applyFont="1" applyBorder="1" applyProtection="1">
      <protection locked="0"/>
    </xf>
    <xf numFmtId="6" fontId="8" fillId="0" borderId="38" xfId="0" applyNumberFormat="1" applyFont="1" applyBorder="1" applyProtection="1">
      <protection locked="0"/>
    </xf>
    <xf numFmtId="6" fontId="8" fillId="0" borderId="0" xfId="0" applyNumberFormat="1" applyFont="1" applyBorder="1" applyProtection="1">
      <protection locked="0"/>
    </xf>
    <xf numFmtId="6" fontId="35" fillId="5" borderId="0" xfId="0" applyNumberFormat="1" applyFont="1" applyFill="1" applyBorder="1" applyProtection="1">
      <protection locked="0"/>
    </xf>
    <xf numFmtId="6" fontId="35" fillId="5" borderId="62" xfId="0" applyNumberFormat="1" applyFont="1" applyFill="1" applyBorder="1" applyProtection="1">
      <protection locked="0"/>
    </xf>
    <xf numFmtId="187" fontId="20" fillId="9" borderId="71" xfId="0" applyNumberFormat="1" applyFont="1" applyFill="1" applyBorder="1" applyProtection="1">
      <protection locked="0"/>
    </xf>
    <xf numFmtId="6" fontId="0" fillId="0" borderId="77" xfId="0" applyNumberFormat="1" applyFont="1" applyBorder="1" applyProtection="1">
      <protection locked="0"/>
    </xf>
    <xf numFmtId="8" fontId="0" fillId="0" borderId="0" xfId="0" applyNumberFormat="1" applyAlignment="1" applyProtection="1">
      <alignment vertical="top"/>
      <protection locked="0"/>
    </xf>
    <xf numFmtId="0" fontId="4" fillId="0" borderId="0" xfId="0" applyFont="1" applyAlignment="1" applyProtection="1">
      <alignment horizontal="left" vertical="top" wrapText="1"/>
      <protection locked="0"/>
    </xf>
    <xf numFmtId="8" fontId="0" fillId="0" borderId="0" xfId="0" applyNumberFormat="1" applyAlignment="1" applyProtection="1">
      <protection locked="0"/>
    </xf>
    <xf numFmtId="187" fontId="20" fillId="3" borderId="91" xfId="24" applyNumberFormat="1" applyFont="1" applyFill="1" applyBorder="1" applyProtection="1">
      <protection locked="0"/>
    </xf>
    <xf numFmtId="187" fontId="20" fillId="3" borderId="93" xfId="24" applyNumberFormat="1" applyFont="1" applyFill="1" applyBorder="1" applyProtection="1">
      <protection locked="0"/>
    </xf>
    <xf numFmtId="187" fontId="20" fillId="3" borderId="87" xfId="24" applyNumberFormat="1" applyFont="1" applyFill="1" applyBorder="1" applyProtection="1">
      <protection locked="0"/>
    </xf>
    <xf numFmtId="187" fontId="20" fillId="3" borderId="94" xfId="24" applyNumberFormat="1" applyFont="1" applyFill="1" applyBorder="1" applyProtection="1">
      <protection locked="0"/>
    </xf>
    <xf numFmtId="187" fontId="20" fillId="3" borderId="76" xfId="24" applyNumberFormat="1" applyFont="1" applyFill="1" applyBorder="1" applyProtection="1">
      <protection locked="0"/>
    </xf>
    <xf numFmtId="187" fontId="20" fillId="3" borderId="73" xfId="24" applyNumberFormat="1" applyFont="1" applyFill="1" applyBorder="1" applyProtection="1">
      <protection locked="0"/>
    </xf>
    <xf numFmtId="7" fontId="4" fillId="3" borderId="52" xfId="39" applyNumberFormat="1" applyFont="1" applyFill="1" applyBorder="1" applyAlignment="1" applyProtection="1">
      <alignment horizontal="center"/>
      <protection locked="0"/>
    </xf>
    <xf numFmtId="0" fontId="4" fillId="0" borderId="0" xfId="0" applyFont="1" applyBorder="1" applyAlignment="1" applyProtection="1">
      <alignment horizontal="left" vertical="top" wrapText="1"/>
      <protection locked="0"/>
    </xf>
    <xf numFmtId="0" fontId="115" fillId="0" borderId="0" xfId="0" applyFont="1" applyFill="1" applyAlignment="1">
      <alignment vertical="center"/>
    </xf>
    <xf numFmtId="0" fontId="2" fillId="0" borderId="0" xfId="0" applyFont="1" applyAlignment="1" applyProtection="1">
      <alignment horizontal="center" wrapText="1"/>
    </xf>
    <xf numFmtId="0" fontId="22" fillId="0" borderId="4" xfId="24" applyFont="1" applyBorder="1" applyAlignment="1" applyProtection="1">
      <alignment horizontal="center" wrapText="1"/>
    </xf>
    <xf numFmtId="3" fontId="0" fillId="0" borderId="4" xfId="0" applyNumberFormat="1" applyFill="1" applyBorder="1" applyProtection="1">
      <protection locked="0"/>
    </xf>
    <xf numFmtId="176" fontId="9" fillId="0" borderId="0" xfId="0" applyNumberFormat="1" applyFont="1"/>
    <xf numFmtId="176" fontId="9" fillId="2" borderId="0" xfId="0" applyNumberFormat="1" applyFont="1" applyFill="1" applyAlignment="1">
      <alignment horizontal="right" vertical="center"/>
    </xf>
    <xf numFmtId="0" fontId="0" fillId="0" borderId="0" xfId="0" applyFill="1" applyBorder="1" applyProtection="1"/>
    <xf numFmtId="176" fontId="109" fillId="2" borderId="0" xfId="0" applyNumberFormat="1" applyFont="1" applyFill="1" applyAlignment="1">
      <alignment horizontal="right"/>
    </xf>
    <xf numFmtId="176" fontId="109" fillId="2" borderId="0" xfId="0" applyNumberFormat="1" applyFont="1" applyFill="1" applyAlignment="1">
      <alignment horizontal="right" vertical="top"/>
    </xf>
    <xf numFmtId="175" fontId="109" fillId="2" borderId="0" xfId="0" applyNumberFormat="1" applyFont="1" applyFill="1" applyAlignment="1">
      <alignment horizontal="right"/>
    </xf>
    <xf numFmtId="175" fontId="9" fillId="2" borderId="0" xfId="0" applyNumberFormat="1" applyFont="1" applyFill="1" applyAlignment="1">
      <alignment horizontal="right" vertical="top"/>
    </xf>
    <xf numFmtId="175" fontId="9" fillId="2" borderId="0" xfId="0" applyNumberFormat="1" applyFont="1" applyFill="1" applyAlignment="1">
      <alignment horizontal="right" vertical="center"/>
    </xf>
    <xf numFmtId="187" fontId="20" fillId="3" borderId="92" xfId="24" applyNumberFormat="1" applyFont="1" applyFill="1" applyBorder="1" applyProtection="1">
      <protection locked="0"/>
    </xf>
    <xf numFmtId="0" fontId="10" fillId="0" borderId="25" xfId="0" applyFont="1" applyBorder="1" applyAlignment="1" applyProtection="1">
      <alignment horizontal="center" wrapText="1"/>
    </xf>
    <xf numFmtId="0" fontId="10" fillId="0" borderId="25" xfId="0" quotePrefix="1" applyFont="1" applyBorder="1" applyAlignment="1" applyProtection="1">
      <alignment horizontal="center" wrapText="1"/>
    </xf>
    <xf numFmtId="186" fontId="0" fillId="0" borderId="0" xfId="0" applyNumberFormat="1" applyProtection="1"/>
    <xf numFmtId="0" fontId="0" fillId="0" borderId="0" xfId="0" applyBorder="1" applyAlignment="1" applyProtection="1">
      <alignment horizontal="left"/>
    </xf>
    <xf numFmtId="0" fontId="10" fillId="0" borderId="25" xfId="0" applyFont="1" applyBorder="1" applyAlignment="1" applyProtection="1">
      <alignment wrapText="1"/>
    </xf>
    <xf numFmtId="0" fontId="2" fillId="0" borderId="27" xfId="0" applyFont="1" applyBorder="1" applyAlignment="1" applyProtection="1">
      <alignment horizontal="center" wrapText="1"/>
    </xf>
    <xf numFmtId="0" fontId="2" fillId="0" borderId="4" xfId="0" applyFont="1" applyBorder="1" applyAlignment="1" applyProtection="1">
      <alignment horizontal="center"/>
    </xf>
    <xf numFmtId="0" fontId="2" fillId="0" borderId="26" xfId="0" applyFont="1" applyBorder="1" applyAlignment="1">
      <alignment horizontal="center"/>
    </xf>
    <xf numFmtId="0" fontId="2" fillId="0" borderId="4" xfId="0" applyFont="1" applyBorder="1" applyAlignment="1">
      <alignment horizontal="center"/>
    </xf>
    <xf numFmtId="0" fontId="39" fillId="0" borderId="0" xfId="0" applyFont="1" applyAlignment="1" applyProtection="1">
      <alignment horizontal="left" vertical="center" wrapText="1"/>
    </xf>
    <xf numFmtId="194" fontId="2" fillId="0" borderId="0" xfId="20" applyNumberFormat="1" applyFont="1" applyFill="1" applyBorder="1" applyAlignment="1" applyProtection="1">
      <alignment vertical="center"/>
      <protection locked="0"/>
    </xf>
    <xf numFmtId="176" fontId="9" fillId="2" borderId="0" xfId="0" applyNumberFormat="1" applyFont="1" applyFill="1"/>
    <xf numFmtId="175" fontId="9" fillId="2" borderId="0" xfId="0" applyNumberFormat="1" applyFont="1" applyFill="1"/>
    <xf numFmtId="0" fontId="9" fillId="0" borderId="0" xfId="0" applyFont="1" applyFill="1" applyBorder="1"/>
    <xf numFmtId="15" fontId="41" fillId="0" borderId="0" xfId="161" applyNumberFormat="1" applyFont="1" applyFill="1" applyBorder="1" applyProtection="1"/>
    <xf numFmtId="0" fontId="4" fillId="0" borderId="0" xfId="161" applyFill="1" applyBorder="1" applyProtection="1"/>
    <xf numFmtId="175" fontId="4" fillId="0" borderId="0" xfId="161" applyNumberFormat="1" applyFill="1" applyBorder="1" applyAlignment="1" applyProtection="1">
      <alignment horizontal="left" indent="2"/>
    </xf>
    <xf numFmtId="176" fontId="9" fillId="0" borderId="0" xfId="0" applyNumberFormat="1" applyFont="1" applyFill="1" applyBorder="1"/>
    <xf numFmtId="175" fontId="0" fillId="2" borderId="0" xfId="0" applyNumberFormat="1" applyFill="1" applyAlignment="1">
      <alignment horizontal="right"/>
    </xf>
    <xf numFmtId="175" fontId="5" fillId="2" borderId="0" xfId="0" applyNumberFormat="1" applyFont="1" applyFill="1" applyAlignment="1">
      <alignment horizontal="right"/>
    </xf>
    <xf numFmtId="176" fontId="5" fillId="2" borderId="0" xfId="0" applyNumberFormat="1" applyFont="1" applyFill="1" applyAlignment="1">
      <alignment horizontal="right"/>
    </xf>
    <xf numFmtId="0" fontId="6" fillId="2" borderId="0" xfId="0" applyFont="1" applyFill="1" applyAlignment="1">
      <alignment horizontal="left" vertical="top"/>
    </xf>
    <xf numFmtId="0" fontId="6" fillId="2" borderId="0" xfId="0" applyFont="1" applyFill="1" applyAlignment="1">
      <alignment horizontal="right" vertical="top"/>
    </xf>
    <xf numFmtId="0" fontId="9" fillId="2" borderId="0" xfId="0" applyFont="1" applyFill="1" applyAlignment="1" applyProtection="1">
      <alignment horizontal="left"/>
      <protection locked="0"/>
    </xf>
    <xf numFmtId="187" fontId="8" fillId="0" borderId="0" xfId="0" applyNumberFormat="1" applyFont="1" applyBorder="1" applyProtection="1"/>
    <xf numFmtId="187" fontId="0" fillId="0" borderId="0" xfId="0" applyNumberFormat="1" applyBorder="1" applyProtection="1"/>
    <xf numFmtId="0" fontId="0" fillId="0" borderId="0" xfId="0" applyAlignment="1" applyProtection="1">
      <alignment wrapText="1"/>
    </xf>
    <xf numFmtId="181" fontId="4" fillId="0" borderId="4" xfId="37" applyNumberFormat="1" applyFont="1" applyFill="1" applyBorder="1" applyAlignment="1" applyProtection="1">
      <alignment horizontal="center" vertical="center"/>
    </xf>
    <xf numFmtId="181" fontId="22" fillId="13" borderId="4" xfId="36" applyNumberFormat="1" applyFont="1" applyFill="1" applyBorder="1" applyAlignment="1" applyProtection="1">
      <alignment horizontal="center" vertical="center"/>
    </xf>
    <xf numFmtId="181" fontId="22" fillId="13" borderId="24" xfId="36" applyNumberFormat="1" applyFont="1" applyFill="1" applyBorder="1" applyAlignment="1" applyProtection="1">
      <alignment horizontal="center" vertical="center"/>
    </xf>
    <xf numFmtId="181" fontId="4" fillId="0" borderId="4" xfId="36" applyNumberFormat="1" applyFont="1" applyFill="1" applyBorder="1" applyAlignment="1" applyProtection="1">
      <alignment horizontal="center" vertical="center"/>
    </xf>
    <xf numFmtId="0" fontId="7" fillId="0" borderId="0" xfId="0" applyFont="1" applyProtection="1"/>
    <xf numFmtId="0" fontId="33" fillId="0" borderId="0" xfId="34" applyProtection="1"/>
    <xf numFmtId="0" fontId="33" fillId="0" borderId="0" xfId="34" applyFill="1" applyBorder="1" applyProtection="1"/>
    <xf numFmtId="0" fontId="35" fillId="0" borderId="0" xfId="0" applyFont="1" applyAlignment="1" applyProtection="1">
      <alignment horizontal="left" vertical="top"/>
    </xf>
    <xf numFmtId="0" fontId="4" fillId="0" borderId="0" xfId="19" applyFont="1" applyFill="1" applyBorder="1" applyAlignment="1" applyProtection="1">
      <alignment horizontal="right" vertical="center" wrapText="1"/>
    </xf>
    <xf numFmtId="0" fontId="4" fillId="0" borderId="0" xfId="13" applyProtection="1"/>
    <xf numFmtId="0" fontId="15" fillId="0" borderId="0" xfId="19" applyFont="1" applyFill="1" applyBorder="1" applyAlignment="1" applyProtection="1">
      <alignment horizontal="center" vertical="center" wrapText="1"/>
    </xf>
    <xf numFmtId="0" fontId="4" fillId="0" borderId="0" xfId="19" applyFont="1" applyFill="1" applyBorder="1" applyAlignment="1" applyProtection="1">
      <alignment horizontal="left" vertical="top"/>
    </xf>
    <xf numFmtId="0" fontId="4" fillId="0" borderId="0" xfId="16" applyProtection="1"/>
    <xf numFmtId="0" fontId="4" fillId="0" borderId="0" xfId="13" applyFill="1" applyProtection="1"/>
    <xf numFmtId="0" fontId="0" fillId="0" borderId="4" xfId="0" applyFill="1" applyBorder="1" applyProtection="1"/>
    <xf numFmtId="0" fontId="64" fillId="0" borderId="0" xfId="0" applyFont="1" applyFill="1" applyBorder="1" applyAlignment="1" applyProtection="1">
      <alignment vertical="top" wrapText="1"/>
    </xf>
    <xf numFmtId="0" fontId="0" fillId="0" borderId="4" xfId="0" applyBorder="1" applyProtection="1"/>
    <xf numFmtId="0" fontId="16" fillId="0" borderId="4" xfId="38" applyFont="1" applyFill="1" applyBorder="1" applyProtection="1"/>
    <xf numFmtId="0" fontId="4" fillId="0" borderId="0" xfId="16" applyFont="1" applyFill="1" applyProtection="1"/>
    <xf numFmtId="0" fontId="4" fillId="0" borderId="0" xfId="16" applyFont="1" applyProtection="1"/>
    <xf numFmtId="0" fontId="66" fillId="0" borderId="0" xfId="0" applyFont="1" applyAlignment="1" applyProtection="1">
      <alignment vertical="center"/>
    </xf>
    <xf numFmtId="0" fontId="66" fillId="0" borderId="0" xfId="0" applyFont="1" applyProtection="1"/>
    <xf numFmtId="0" fontId="67" fillId="2" borderId="0" xfId="0" applyFont="1" applyFill="1"/>
    <xf numFmtId="0" fontId="67" fillId="2" borderId="0" xfId="0" applyFont="1" applyFill="1" applyAlignment="1">
      <alignment horizontal="right"/>
    </xf>
    <xf numFmtId="0" fontId="42" fillId="0" borderId="0" xfId="0" applyFont="1" applyFill="1" applyBorder="1" applyAlignment="1" applyProtection="1">
      <alignment horizontal="center"/>
    </xf>
    <xf numFmtId="0" fontId="8" fillId="2" borderId="0" xfId="0" applyFont="1" applyFill="1"/>
    <xf numFmtId="0" fontId="67" fillId="2" borderId="0" xfId="0" applyFont="1" applyFill="1" applyAlignment="1">
      <alignment vertical="top"/>
    </xf>
    <xf numFmtId="0" fontId="67" fillId="2" borderId="0" xfId="0" applyFont="1" applyFill="1" applyAlignment="1">
      <alignment horizontal="right" vertical="top"/>
    </xf>
    <xf numFmtId="0" fontId="67" fillId="2" borderId="0" xfId="0" applyFont="1" applyFill="1" applyAlignment="1">
      <alignment horizontal="left" vertical="top"/>
    </xf>
    <xf numFmtId="0" fontId="112" fillId="2" borderId="0" xfId="0" applyFont="1" applyFill="1" applyAlignment="1">
      <alignment horizontal="left"/>
    </xf>
    <xf numFmtId="175" fontId="66" fillId="2" borderId="0" xfId="0" applyNumberFormat="1" applyFont="1" applyFill="1" applyAlignment="1">
      <alignment horizontal="right" vertical="center"/>
    </xf>
    <xf numFmtId="0" fontId="112" fillId="2" borderId="0" xfId="0" applyFont="1" applyFill="1" applyAlignment="1">
      <alignment horizontal="left" vertical="center"/>
    </xf>
    <xf numFmtId="175" fontId="112" fillId="2" borderId="0" xfId="0" applyNumberFormat="1" applyFont="1" applyFill="1" applyAlignment="1">
      <alignment horizontal="right" vertical="center"/>
    </xf>
    <xf numFmtId="176" fontId="112" fillId="2" borderId="0" xfId="0" applyNumberFormat="1" applyFont="1" applyFill="1" applyAlignment="1">
      <alignment horizontal="right" vertical="center"/>
    </xf>
    <xf numFmtId="0" fontId="113" fillId="2" borderId="0" xfId="0" applyFont="1" applyFill="1" applyAlignment="1">
      <alignment horizontal="left"/>
    </xf>
    <xf numFmtId="0" fontId="113" fillId="2" borderId="0" xfId="0" applyFont="1" applyFill="1" applyAlignment="1">
      <alignment horizontal="left" vertical="center"/>
    </xf>
    <xf numFmtId="176" fontId="113" fillId="2" borderId="0" xfId="0" applyNumberFormat="1" applyFont="1" applyFill="1" applyAlignment="1">
      <alignment horizontal="right"/>
    </xf>
    <xf numFmtId="0" fontId="113" fillId="2" borderId="0" xfId="0" applyFont="1" applyFill="1" applyAlignment="1">
      <alignment vertical="center"/>
    </xf>
    <xf numFmtId="176" fontId="9" fillId="2" borderId="0" xfId="0" applyNumberFormat="1" applyFont="1" applyFill="1" applyBorder="1" applyAlignment="1" applyProtection="1">
      <alignment horizontal="right" vertical="center"/>
      <protection locked="0"/>
    </xf>
    <xf numFmtId="176" fontId="5" fillId="2" borderId="0" xfId="0" applyNumberFormat="1" applyFont="1" applyFill="1" applyBorder="1" applyAlignment="1" applyProtection="1">
      <alignment horizontal="right" vertical="center"/>
      <protection locked="0"/>
    </xf>
    <xf numFmtId="175" fontId="9" fillId="2" borderId="0" xfId="0" applyNumberFormat="1" applyFont="1" applyFill="1" applyBorder="1" applyAlignment="1" applyProtection="1">
      <alignment horizontal="right" vertical="center"/>
      <protection locked="0"/>
    </xf>
    <xf numFmtId="175" fontId="9" fillId="2" borderId="0" xfId="0" applyNumberFormat="1" applyFont="1" applyFill="1" applyBorder="1" applyAlignment="1" applyProtection="1">
      <alignment horizontal="right"/>
      <protection locked="0"/>
    </xf>
    <xf numFmtId="0" fontId="9" fillId="2" borderId="0" xfId="0" applyFont="1" applyFill="1" applyBorder="1" applyAlignment="1" applyProtection="1">
      <alignment horizontal="left" vertical="top"/>
      <protection locked="0"/>
    </xf>
    <xf numFmtId="175" fontId="5" fillId="2" borderId="0" xfId="0" applyNumberFormat="1" applyFont="1" applyFill="1" applyBorder="1" applyAlignment="1" applyProtection="1">
      <alignment horizontal="right" vertical="center"/>
      <protection locked="0"/>
    </xf>
    <xf numFmtId="0" fontId="9" fillId="2" borderId="0" xfId="0" applyFont="1" applyFill="1" applyBorder="1" applyAlignment="1" applyProtection="1">
      <alignment horizontal="left"/>
      <protection locked="0"/>
    </xf>
    <xf numFmtId="175" fontId="9" fillId="2" borderId="101" xfId="0" applyNumberFormat="1" applyFont="1" applyFill="1" applyBorder="1" applyAlignment="1" applyProtection="1">
      <alignment horizontal="right" vertical="center"/>
      <protection locked="0"/>
    </xf>
    <xf numFmtId="175" fontId="5" fillId="2" borderId="0" xfId="0" applyNumberFormat="1" applyFont="1" applyFill="1" applyBorder="1" applyAlignment="1" applyProtection="1">
      <alignment horizontal="right"/>
      <protection locked="0"/>
    </xf>
    <xf numFmtId="176" fontId="9" fillId="2" borderId="0" xfId="0" applyNumberFormat="1" applyFont="1" applyFill="1" applyBorder="1" applyAlignment="1">
      <alignment horizontal="right"/>
    </xf>
    <xf numFmtId="0" fontId="4" fillId="2" borderId="0" xfId="161" applyFill="1" applyBorder="1" applyAlignment="1" applyProtection="1">
      <alignment vertical="center"/>
    </xf>
    <xf numFmtId="175" fontId="4" fillId="2" borderId="0" xfId="161" applyNumberFormat="1" applyFill="1" applyBorder="1" applyAlignment="1" applyProtection="1">
      <alignment horizontal="left" vertical="center"/>
    </xf>
    <xf numFmtId="0" fontId="4" fillId="2" borderId="0" xfId="161" applyFill="1" applyBorder="1" applyProtection="1"/>
    <xf numFmtId="175" fontId="4" fillId="2" borderId="0" xfId="161" applyNumberFormat="1" applyFill="1" applyBorder="1" applyAlignment="1" applyProtection="1">
      <alignment horizontal="left" indent="2"/>
    </xf>
    <xf numFmtId="15" fontId="22" fillId="2" borderId="0" xfId="161" applyNumberFormat="1" applyFont="1" applyFill="1" applyBorder="1" applyProtection="1"/>
    <xf numFmtId="0" fontId="5" fillId="2" borderId="0" xfId="161" applyFont="1" applyFill="1" applyBorder="1" applyAlignment="1" applyProtection="1">
      <alignment horizontal="left" vertical="top"/>
      <protection locked="0"/>
    </xf>
    <xf numFmtId="176" fontId="5" fillId="2" borderId="0" xfId="161" applyNumberFormat="1" applyFont="1" applyFill="1" applyBorder="1" applyAlignment="1" applyProtection="1">
      <alignment horizontal="right" vertical="top"/>
      <protection locked="0"/>
    </xf>
    <xf numFmtId="0" fontId="5" fillId="2" borderId="0" xfId="0" applyFont="1" applyFill="1" applyBorder="1" applyProtection="1"/>
    <xf numFmtId="175" fontId="5" fillId="2" borderId="0" xfId="0" applyNumberFormat="1" applyFont="1" applyFill="1" applyBorder="1" applyProtection="1">
      <protection locked="0"/>
    </xf>
    <xf numFmtId="0" fontId="5" fillId="2" borderId="0" xfId="0" applyFont="1" applyFill="1" applyBorder="1" applyAlignment="1" applyProtection="1">
      <alignment horizontal="left"/>
    </xf>
    <xf numFmtId="0" fontId="117" fillId="2" borderId="0" xfId="0" applyFont="1" applyFill="1" applyAlignment="1">
      <alignment horizontal="left"/>
    </xf>
    <xf numFmtId="0" fontId="117" fillId="2" borderId="0" xfId="0" applyFont="1" applyFill="1" applyAlignment="1">
      <alignment horizontal="right"/>
    </xf>
    <xf numFmtId="0" fontId="66" fillId="2" borderId="0" xfId="0" applyFont="1" applyFill="1" applyAlignment="1">
      <alignment horizontal="left"/>
    </xf>
    <xf numFmtId="176" fontId="66" fillId="2" borderId="0" xfId="0" applyNumberFormat="1" applyFont="1" applyFill="1" applyAlignment="1">
      <alignment horizontal="right"/>
    </xf>
    <xf numFmtId="175" fontId="66" fillId="2" borderId="0" xfId="0" applyNumberFormat="1" applyFont="1" applyFill="1" applyAlignment="1">
      <alignment horizontal="right"/>
    </xf>
    <xf numFmtId="0" fontId="13" fillId="0" borderId="0" xfId="0" applyFont="1" applyAlignment="1">
      <alignment vertical="center"/>
    </xf>
    <xf numFmtId="176" fontId="9" fillId="2" borderId="0" xfId="0" applyNumberFormat="1" applyFont="1" applyFill="1" applyBorder="1" applyAlignment="1" applyProtection="1">
      <alignment horizontal="right"/>
      <protection locked="0"/>
    </xf>
    <xf numFmtId="0" fontId="5" fillId="2" borderId="0" xfId="0" applyFont="1" applyFill="1" applyBorder="1" applyAlignment="1" applyProtection="1">
      <alignment horizontal="left"/>
      <protection locked="0"/>
    </xf>
    <xf numFmtId="176" fontId="5" fillId="2" borderId="0" xfId="0" applyNumberFormat="1" applyFont="1" applyFill="1" applyBorder="1" applyAlignment="1" applyProtection="1">
      <alignment horizontal="right"/>
      <protection locked="0"/>
    </xf>
    <xf numFmtId="15" fontId="41" fillId="2" borderId="0" xfId="161" applyNumberFormat="1" applyFont="1" applyFill="1" applyBorder="1" applyAlignment="1" applyProtection="1">
      <alignment horizontal="left"/>
      <protection locked="0"/>
    </xf>
    <xf numFmtId="0" fontId="61" fillId="2" borderId="0" xfId="161" applyFont="1" applyFill="1" applyBorder="1" applyProtection="1">
      <protection locked="0"/>
    </xf>
    <xf numFmtId="175" fontId="61" fillId="2" borderId="0" xfId="161" applyNumberFormat="1" applyFont="1" applyFill="1" applyBorder="1" applyProtection="1">
      <protection locked="0"/>
    </xf>
    <xf numFmtId="195" fontId="5" fillId="2" borderId="0" xfId="161" applyNumberFormat="1" applyFont="1" applyFill="1" applyBorder="1" applyAlignment="1" applyProtection="1">
      <alignment horizontal="left"/>
      <protection locked="0"/>
    </xf>
    <xf numFmtId="176" fontId="5" fillId="2" borderId="0" xfId="161" applyNumberFormat="1" applyFont="1" applyFill="1" applyBorder="1" applyAlignment="1" applyProtection="1">
      <alignment horizontal="right"/>
      <protection locked="0"/>
    </xf>
    <xf numFmtId="0" fontId="61" fillId="2" borderId="0" xfId="161" applyFont="1" applyFill="1" applyBorder="1" applyAlignment="1" applyProtection="1">
      <alignment vertical="center"/>
      <protection locked="0"/>
    </xf>
    <xf numFmtId="175" fontId="61" fillId="2" borderId="0" xfId="161" applyNumberFormat="1" applyFont="1" applyFill="1" applyBorder="1" applyAlignment="1" applyProtection="1">
      <alignment horizontal="left" vertical="center"/>
      <protection locked="0"/>
    </xf>
    <xf numFmtId="15" fontId="22" fillId="2" borderId="0" xfId="161" applyNumberFormat="1" applyFont="1" applyFill="1" applyBorder="1" applyAlignment="1" applyProtection="1">
      <alignment horizontal="left"/>
      <protection locked="0"/>
    </xf>
    <xf numFmtId="0" fontId="4" fillId="2" borderId="0" xfId="161" applyFill="1" applyBorder="1" applyAlignment="1" applyProtection="1">
      <alignment vertical="center"/>
      <protection locked="0"/>
    </xf>
    <xf numFmtId="175" fontId="4" fillId="2" borderId="0" xfId="161" applyNumberFormat="1" applyFill="1" applyBorder="1" applyAlignment="1" applyProtection="1">
      <alignment horizontal="left" vertical="center"/>
      <protection locked="0"/>
    </xf>
    <xf numFmtId="0" fontId="4" fillId="2" borderId="0" xfId="161" applyFill="1" applyBorder="1" applyProtection="1">
      <protection locked="0"/>
    </xf>
    <xf numFmtId="2" fontId="5" fillId="2" borderId="0" xfId="161" applyNumberFormat="1" applyFont="1" applyFill="1" applyBorder="1" applyAlignment="1" applyProtection="1">
      <alignment horizontal="right" vertical="center" indent="2"/>
      <protection locked="0"/>
    </xf>
    <xf numFmtId="0" fontId="5" fillId="2" borderId="0" xfId="161" applyFont="1" applyFill="1" applyBorder="1" applyAlignment="1" applyProtection="1">
      <alignment horizontal="left" vertical="center"/>
      <protection locked="0"/>
    </xf>
    <xf numFmtId="176" fontId="5" fillId="2" borderId="0" xfId="161" applyNumberFormat="1" applyFont="1" applyFill="1" applyBorder="1" applyAlignment="1" applyProtection="1">
      <alignment horizontal="right" vertical="center"/>
      <protection locked="0"/>
    </xf>
    <xf numFmtId="0" fontId="5" fillId="2" borderId="0" xfId="0" applyFont="1" applyFill="1" applyBorder="1" applyAlignment="1" applyProtection="1">
      <alignment vertical="center"/>
      <protection locked="0"/>
    </xf>
    <xf numFmtId="175" fontId="5" fillId="2" borderId="0" xfId="0" applyNumberFormat="1" applyFont="1" applyFill="1" applyBorder="1" applyAlignment="1" applyProtection="1">
      <alignment vertical="center"/>
      <protection locked="0"/>
    </xf>
    <xf numFmtId="0" fontId="9" fillId="2" borderId="0" xfId="0" applyFont="1" applyFill="1" applyAlignment="1">
      <alignment vertical="center"/>
    </xf>
    <xf numFmtId="0" fontId="8" fillId="2" borderId="0" xfId="0" applyFont="1" applyFill="1" applyAlignment="1"/>
    <xf numFmtId="0" fontId="9" fillId="2" borderId="0" xfId="0" applyFont="1" applyFill="1" applyAlignment="1">
      <alignment horizontal="right" vertical="center"/>
    </xf>
    <xf numFmtId="179" fontId="9" fillId="2" borderId="0" xfId="0" applyNumberFormat="1" applyFont="1" applyFill="1" applyAlignment="1">
      <alignment horizontal="right"/>
    </xf>
    <xf numFmtId="0" fontId="9" fillId="2" borderId="0" xfId="0" applyFont="1" applyFill="1" applyAlignment="1">
      <alignment horizontal="right" vertical="top"/>
    </xf>
    <xf numFmtId="176" fontId="9" fillId="0" borderId="0" xfId="0" applyNumberFormat="1" applyFont="1" applyFill="1" applyBorder="1" applyAlignment="1">
      <alignment horizontal="right"/>
    </xf>
    <xf numFmtId="175" fontId="9" fillId="0" borderId="0" xfId="0" applyNumberFormat="1" applyFont="1" applyFill="1" applyBorder="1" applyAlignment="1">
      <alignment horizontal="right"/>
    </xf>
    <xf numFmtId="0" fontId="9" fillId="0" borderId="0" xfId="0" applyFont="1" applyFill="1" applyBorder="1" applyAlignment="1">
      <alignment vertical="center" wrapText="1"/>
    </xf>
    <xf numFmtId="0" fontId="9" fillId="0" borderId="0" xfId="0" applyFont="1" applyAlignment="1">
      <alignment vertical="center" wrapText="1"/>
    </xf>
    <xf numFmtId="0" fontId="117" fillId="2" borderId="0" xfId="0" applyFont="1" applyFill="1"/>
    <xf numFmtId="175" fontId="61" fillId="2" borderId="0" xfId="161" applyNumberFormat="1" applyFont="1" applyFill="1" applyBorder="1" applyAlignment="1" applyProtection="1">
      <alignment horizontal="left" indent="2"/>
      <protection locked="0"/>
    </xf>
    <xf numFmtId="175" fontId="4" fillId="2" borderId="0" xfId="161" applyNumberFormat="1" applyFill="1" applyBorder="1" applyAlignment="1" applyProtection="1">
      <alignment horizontal="left" indent="2"/>
      <protection locked="0"/>
    </xf>
    <xf numFmtId="0" fontId="5" fillId="2" borderId="0" xfId="0" applyFont="1" applyFill="1" applyBorder="1" applyProtection="1">
      <protection locked="0"/>
    </xf>
    <xf numFmtId="175" fontId="67" fillId="2" borderId="0" xfId="0" applyNumberFormat="1" applyFont="1" applyFill="1" applyAlignment="1">
      <alignment horizontal="right"/>
    </xf>
    <xf numFmtId="175" fontId="9" fillId="2" borderId="0" xfId="0" applyNumberFormat="1" applyFont="1" applyFill="1" applyAlignment="1">
      <alignment horizontal="right" wrapText="1"/>
    </xf>
    <xf numFmtId="176" fontId="9" fillId="2" borderId="0" xfId="0" applyNumberFormat="1" applyFont="1" applyFill="1" applyAlignment="1">
      <alignment horizontal="right" wrapText="1"/>
    </xf>
    <xf numFmtId="0" fontId="9" fillId="2" borderId="0" xfId="0" applyFont="1" applyFill="1" applyAlignment="1">
      <alignment horizontal="right" vertical="top" wrapText="1"/>
    </xf>
    <xf numFmtId="176" fontId="9" fillId="2" borderId="0" xfId="0" applyNumberFormat="1" applyFont="1" applyFill="1" applyAlignment="1">
      <alignment horizontal="right" vertical="center" wrapText="1"/>
    </xf>
    <xf numFmtId="0" fontId="0" fillId="2" borderId="0" xfId="0" applyFill="1" applyAlignment="1">
      <alignment horizontal="left" vertical="top"/>
    </xf>
    <xf numFmtId="0" fontId="67" fillId="2" borderId="0" xfId="0" applyFont="1" applyFill="1" applyAlignment="1"/>
    <xf numFmtId="176" fontId="112" fillId="2" borderId="0" xfId="0" applyNumberFormat="1" applyFont="1" applyFill="1" applyAlignment="1">
      <alignment horizontal="right"/>
    </xf>
    <xf numFmtId="175" fontId="112" fillId="2" borderId="0" xfId="0" applyNumberFormat="1" applyFont="1" applyFill="1" applyAlignment="1">
      <alignment horizontal="right"/>
    </xf>
    <xf numFmtId="175" fontId="5" fillId="2" borderId="0" xfId="161" applyNumberFormat="1" applyFont="1" applyFill="1" applyBorder="1" applyAlignment="1" applyProtection="1">
      <alignment horizontal="left" indent="2"/>
      <protection locked="0"/>
    </xf>
    <xf numFmtId="0" fontId="22" fillId="2" borderId="0" xfId="162" applyFont="1" applyFill="1" applyBorder="1" applyAlignment="1" applyProtection="1">
      <alignment horizontal="left"/>
      <protection locked="0"/>
    </xf>
    <xf numFmtId="0" fontId="0" fillId="2" borderId="0" xfId="0" applyFill="1" applyBorder="1" applyAlignment="1" applyProtection="1">
      <alignment horizontal="left" vertical="center"/>
      <protection locked="0"/>
    </xf>
    <xf numFmtId="0" fontId="0" fillId="0" borderId="0" xfId="0"/>
    <xf numFmtId="0" fontId="0" fillId="0" borderId="0" xfId="0" applyAlignment="1">
      <alignment vertical="top"/>
    </xf>
    <xf numFmtId="0" fontId="0" fillId="0" borderId="0" xfId="0" applyBorder="1"/>
    <xf numFmtId="0" fontId="2" fillId="0" borderId="0" xfId="0" applyFont="1" applyAlignment="1">
      <alignment horizontal="left"/>
    </xf>
    <xf numFmtId="0" fontId="58" fillId="0" borderId="0" xfId="0" applyFont="1"/>
    <xf numFmtId="0" fontId="34" fillId="0" borderId="0" xfId="0" applyFont="1"/>
    <xf numFmtId="0" fontId="2" fillId="0" borderId="27" xfId="0" applyFont="1" applyBorder="1" applyAlignment="1">
      <alignment horizontal="center"/>
    </xf>
    <xf numFmtId="0" fontId="2" fillId="0" borderId="29" xfId="0" applyFont="1" applyBorder="1" applyAlignment="1">
      <alignment horizontal="center"/>
    </xf>
    <xf numFmtId="0" fontId="0" fillId="0" borderId="27" xfId="0" applyBorder="1" applyAlignment="1">
      <alignment horizontal="left" vertical="top"/>
    </xf>
    <xf numFmtId="0" fontId="0" fillId="0" borderId="49" xfId="0" applyBorder="1" applyAlignment="1">
      <alignment horizontal="left" vertical="top"/>
    </xf>
    <xf numFmtId="0" fontId="0" fillId="0" borderId="49" xfId="0" applyBorder="1" applyAlignment="1">
      <alignment vertical="top"/>
    </xf>
    <xf numFmtId="0" fontId="0" fillId="0" borderId="27" xfId="0" applyBorder="1" applyAlignment="1">
      <alignment vertical="top"/>
    </xf>
    <xf numFmtId="0" fontId="0" fillId="0" borderId="29" xfId="0" applyBorder="1" applyAlignment="1">
      <alignment vertical="top"/>
    </xf>
    <xf numFmtId="0" fontId="0" fillId="0" borderId="0" xfId="0" applyFill="1" applyBorder="1" applyAlignment="1">
      <alignment horizontal="right"/>
    </xf>
    <xf numFmtId="0" fontId="58" fillId="0" borderId="0" xfId="0" applyFont="1" applyFill="1"/>
    <xf numFmtId="186" fontId="0" fillId="0" borderId="0" xfId="163" applyNumberFormat="1" applyFont="1" applyFill="1"/>
    <xf numFmtId="0" fontId="0" fillId="0" borderId="4" xfId="0" applyBorder="1" applyAlignment="1">
      <alignment horizontal="left" vertical="top"/>
    </xf>
    <xf numFmtId="0" fontId="0" fillId="0" borderId="4" xfId="0" applyBorder="1" applyAlignment="1">
      <alignment horizontal="right"/>
    </xf>
    <xf numFmtId="0" fontId="0" fillId="0" borderId="4" xfId="0" applyFill="1" applyBorder="1"/>
    <xf numFmtId="0" fontId="0" fillId="0" borderId="4" xfId="0" applyBorder="1" applyAlignment="1">
      <alignment vertical="top"/>
    </xf>
    <xf numFmtId="0" fontId="102" fillId="0" borderId="0" xfId="24" applyFont="1" applyAlignment="1" applyProtection="1">
      <alignment vertical="top"/>
    </xf>
    <xf numFmtId="0" fontId="105" fillId="0" borderId="0" xfId="24" applyFont="1" applyAlignment="1" applyProtection="1">
      <alignment horizontal="left" vertical="top" wrapText="1"/>
    </xf>
    <xf numFmtId="0" fontId="4" fillId="0" borderId="0" xfId="24" applyFont="1" applyProtection="1"/>
    <xf numFmtId="0" fontId="4" fillId="0" borderId="0" xfId="24" applyFont="1" applyProtection="1">
      <protection locked="0"/>
    </xf>
    <xf numFmtId="187" fontId="20" fillId="3" borderId="71" xfId="0" applyNumberFormat="1" applyFont="1" applyFill="1" applyBorder="1" applyProtection="1">
      <protection locked="0"/>
    </xf>
    <xf numFmtId="187" fontId="20" fillId="3" borderId="69" xfId="0" applyNumberFormat="1" applyFont="1" applyFill="1" applyBorder="1" applyProtection="1">
      <protection locked="0"/>
    </xf>
    <xf numFmtId="187" fontId="20" fillId="0" borderId="0" xfId="0" applyNumberFormat="1" applyFont="1" applyFill="1" applyBorder="1" applyProtection="1"/>
    <xf numFmtId="187" fontId="20" fillId="9" borderId="69" xfId="0" applyNumberFormat="1" applyFont="1" applyFill="1" applyBorder="1" applyProtection="1"/>
    <xf numFmtId="187" fontId="20" fillId="9" borderId="70" xfId="0" applyNumberFormat="1" applyFont="1" applyFill="1" applyBorder="1" applyProtection="1"/>
    <xf numFmtId="187" fontId="20" fillId="3" borderId="69" xfId="24" applyNumberFormat="1" applyFont="1" applyFill="1" applyBorder="1" applyProtection="1">
      <protection locked="0"/>
    </xf>
    <xf numFmtId="187" fontId="20" fillId="9" borderId="87" xfId="0" applyNumberFormat="1" applyFont="1" applyFill="1" applyBorder="1" applyProtection="1"/>
    <xf numFmtId="187" fontId="20" fillId="0" borderId="87" xfId="0" applyNumberFormat="1" applyFont="1" applyFill="1" applyBorder="1" applyProtection="1"/>
    <xf numFmtId="187" fontId="8" fillId="0" borderId="0" xfId="0" applyNumberFormat="1" applyFont="1" applyBorder="1" applyProtection="1"/>
    <xf numFmtId="187" fontId="8" fillId="10" borderId="103" xfId="0" applyNumberFormat="1" applyFont="1" applyFill="1" applyBorder="1" applyProtection="1"/>
    <xf numFmtId="187" fontId="20" fillId="3" borderId="87" xfId="24" applyNumberFormat="1" applyFont="1" applyFill="1" applyBorder="1" applyProtection="1">
      <protection locked="0"/>
    </xf>
    <xf numFmtId="0" fontId="20" fillId="0" borderId="38" xfId="0" applyFont="1" applyBorder="1" applyAlignment="1" applyProtection="1">
      <alignment horizontal="left"/>
    </xf>
    <xf numFmtId="0" fontId="0" fillId="0" borderId="0" xfId="0"/>
    <xf numFmtId="187" fontId="8" fillId="0" borderId="0" xfId="0" applyNumberFormat="1" applyFont="1" applyBorder="1" applyProtection="1"/>
    <xf numFmtId="0" fontId="8" fillId="0" borderId="0" xfId="0" applyFont="1" applyAlignment="1" applyProtection="1">
      <alignment vertical="top" wrapText="1"/>
    </xf>
    <xf numFmtId="0" fontId="28" fillId="0" borderId="0" xfId="0" applyFont="1" applyProtection="1"/>
    <xf numFmtId="0" fontId="6" fillId="0" borderId="0" xfId="0" applyFont="1" applyAlignment="1" applyProtection="1"/>
    <xf numFmtId="0" fontId="22" fillId="0" borderId="0" xfId="27" applyFont="1" applyAlignment="1" applyProtection="1"/>
    <xf numFmtId="0" fontId="13" fillId="0" borderId="4" xfId="0" applyFont="1" applyFill="1" applyBorder="1" applyAlignment="1" applyProtection="1">
      <alignment vertical="center" wrapText="1"/>
    </xf>
    <xf numFmtId="0" fontId="0" fillId="0" borderId="0" xfId="0" applyFill="1" applyAlignment="1" applyProtection="1"/>
    <xf numFmtId="0" fontId="39" fillId="0" borderId="4" xfId="0" applyFont="1" applyFill="1" applyBorder="1" applyAlignment="1" applyProtection="1">
      <alignment horizontal="left" wrapText="1"/>
    </xf>
    <xf numFmtId="0" fontId="2" fillId="0" borderId="27" xfId="0" applyFont="1" applyFill="1" applyBorder="1" applyAlignment="1" applyProtection="1">
      <alignment horizontal="center" wrapText="1"/>
    </xf>
    <xf numFmtId="0" fontId="13" fillId="0" borderId="6" xfId="0" applyFont="1" applyFill="1" applyBorder="1" applyProtection="1"/>
    <xf numFmtId="190" fontId="0" fillId="0" borderId="16" xfId="169" applyNumberFormat="1" applyFont="1" applyFill="1" applyBorder="1" applyProtection="1"/>
    <xf numFmtId="0" fontId="10" fillId="0" borderId="4" xfId="0" applyFont="1" applyFill="1" applyBorder="1" applyAlignment="1" applyProtection="1">
      <alignment wrapText="1"/>
    </xf>
    <xf numFmtId="196" fontId="0" fillId="0" borderId="0" xfId="170" applyNumberFormat="1" applyFont="1" applyFill="1" applyProtection="1"/>
    <xf numFmtId="190" fontId="0" fillId="0" borderId="16" xfId="169" applyNumberFormat="1" applyFont="1" applyFill="1" applyBorder="1" applyAlignment="1" applyProtection="1">
      <alignment vertical="center"/>
    </xf>
    <xf numFmtId="0" fontId="58" fillId="0" borderId="0" xfId="0" applyFont="1" applyFill="1" applyProtection="1"/>
    <xf numFmtId="0" fontId="10" fillId="0" borderId="4" xfId="0" applyFont="1" applyFill="1" applyBorder="1" applyProtection="1"/>
    <xf numFmtId="186" fontId="0" fillId="0" borderId="0" xfId="0" applyNumberFormat="1" applyFill="1" applyProtection="1"/>
    <xf numFmtId="186" fontId="0" fillId="0" borderId="0" xfId="170" applyNumberFormat="1" applyFont="1" applyFill="1" applyProtection="1"/>
    <xf numFmtId="9" fontId="0" fillId="0" borderId="0" xfId="168" applyFont="1" applyFill="1" applyProtection="1"/>
    <xf numFmtId="0" fontId="2" fillId="0" borderId="0" xfId="0" applyFont="1" applyFill="1"/>
    <xf numFmtId="0" fontId="10" fillId="0" borderId="25" xfId="0" quotePrefix="1" applyFont="1" applyFill="1" applyBorder="1" applyAlignment="1" applyProtection="1">
      <alignment horizontal="center" wrapText="1"/>
    </xf>
    <xf numFmtId="0" fontId="13" fillId="0" borderId="4" xfId="0" applyFont="1" applyFill="1" applyBorder="1" applyAlignment="1" applyProtection="1">
      <alignment horizontal="left" wrapText="1"/>
    </xf>
    <xf numFmtId="186" fontId="0" fillId="0" borderId="4" xfId="170" applyNumberFormat="1" applyFont="1" applyFill="1" applyBorder="1" applyProtection="1"/>
    <xf numFmtId="186" fontId="0" fillId="0" borderId="26" xfId="170" applyNumberFormat="1" applyFont="1" applyFill="1" applyBorder="1" applyProtection="1"/>
    <xf numFmtId="186" fontId="0" fillId="0" borderId="17" xfId="170" applyNumberFormat="1" applyFont="1" applyFill="1" applyBorder="1" applyProtection="1"/>
    <xf numFmtId="0" fontId="10" fillId="0" borderId="25" xfId="0" applyFont="1" applyFill="1" applyBorder="1" applyAlignment="1" applyProtection="1">
      <alignment horizontal="center" wrapText="1"/>
    </xf>
    <xf numFmtId="0" fontId="2" fillId="0" borderId="4" xfId="0" applyFont="1" applyFill="1" applyBorder="1" applyAlignment="1" applyProtection="1">
      <alignment horizontal="center"/>
    </xf>
    <xf numFmtId="0" fontId="2" fillId="0" borderId="0" xfId="0" applyFont="1" applyFill="1" applyAlignment="1" applyProtection="1">
      <alignment horizontal="left" wrapText="1"/>
    </xf>
    <xf numFmtId="0" fontId="0" fillId="0" borderId="0" xfId="0" applyAlignment="1">
      <alignment horizontal="left"/>
    </xf>
    <xf numFmtId="0" fontId="37" fillId="0" borderId="27" xfId="0" applyFont="1" applyFill="1" applyBorder="1"/>
    <xf numFmtId="0" fontId="37" fillId="0" borderId="4" xfId="0" applyFont="1" applyFill="1" applyBorder="1"/>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0" xfId="0"/>
    <xf numFmtId="0" fontId="4" fillId="0" borderId="0" xfId="24" applyFont="1" applyProtection="1">
      <protection locked="0"/>
    </xf>
    <xf numFmtId="0" fontId="0" fillId="0" borderId="0" xfId="0" applyProtection="1"/>
    <xf numFmtId="0" fontId="0" fillId="0" borderId="0" xfId="0" applyProtection="1">
      <protection locked="0"/>
    </xf>
    <xf numFmtId="0" fontId="0" fillId="0" borderId="0" xfId="0" applyAlignment="1" applyProtection="1">
      <alignment vertical="top" wrapText="1"/>
    </xf>
    <xf numFmtId="0" fontId="13" fillId="0" borderId="0" xfId="0" applyFont="1" applyProtection="1"/>
    <xf numFmtId="0" fontId="0" fillId="0" borderId="0" xfId="0" applyAlignment="1" applyProtection="1">
      <alignment horizontal="left" vertical="top"/>
    </xf>
    <xf numFmtId="0" fontId="25" fillId="0" borderId="0" xfId="26" applyFont="1" applyAlignment="1" applyProtection="1">
      <alignment horizontal="left" vertical="top"/>
    </xf>
    <xf numFmtId="0" fontId="29" fillId="0" borderId="0" xfId="26" applyFont="1" applyBorder="1" applyAlignment="1" applyProtection="1">
      <alignment horizontal="left" vertical="top"/>
    </xf>
    <xf numFmtId="0" fontId="29" fillId="0" borderId="0" xfId="26" applyFont="1" applyBorder="1" applyProtection="1"/>
    <xf numFmtId="0" fontId="4" fillId="0" borderId="0" xfId="26" applyFont="1" applyBorder="1" applyAlignment="1" applyProtection="1">
      <alignment horizontal="right"/>
    </xf>
    <xf numFmtId="0" fontId="5" fillId="0" borderId="0" xfId="26" applyFont="1" applyBorder="1" applyAlignment="1" applyProtection="1">
      <alignment horizontal="right" wrapText="1"/>
    </xf>
    <xf numFmtId="0" fontId="30" fillId="0" borderId="0" xfId="0" applyFont="1" applyProtection="1"/>
    <xf numFmtId="0" fontId="18" fillId="0" borderId="12" xfId="26" applyFont="1" applyBorder="1" applyAlignment="1" applyProtection="1">
      <alignment horizontal="left" vertical="top"/>
    </xf>
    <xf numFmtId="0" fontId="29" fillId="0" borderId="12" xfId="26" applyFont="1" applyBorder="1" applyProtection="1"/>
    <xf numFmtId="0" fontId="22" fillId="0" borderId="12" xfId="26" applyFont="1" applyBorder="1" applyAlignment="1" applyProtection="1">
      <alignment horizontal="right"/>
    </xf>
    <xf numFmtId="0" fontId="22" fillId="47" borderId="12" xfId="26" applyFont="1" applyFill="1" applyBorder="1" applyAlignment="1" applyProtection="1">
      <alignment horizontal="right"/>
    </xf>
    <xf numFmtId="0" fontId="4" fillId="0" borderId="0" xfId="26" applyFill="1" applyProtection="1"/>
    <xf numFmtId="0" fontId="26" fillId="0" borderId="0" xfId="26" applyFont="1" applyFill="1" applyAlignment="1" applyProtection="1">
      <alignment horizontal="center"/>
    </xf>
    <xf numFmtId="0" fontId="4" fillId="0" borderId="0" xfId="26" applyFill="1" applyAlignment="1" applyProtection="1">
      <alignment horizontal="center"/>
    </xf>
    <xf numFmtId="0" fontId="4" fillId="47" borderId="0" xfId="26" applyFill="1" applyAlignment="1" applyProtection="1">
      <alignment horizontal="center"/>
    </xf>
    <xf numFmtId="0" fontId="2" fillId="0" borderId="0" xfId="0" applyFont="1" applyProtection="1"/>
    <xf numFmtId="0" fontId="2" fillId="0" borderId="12" xfId="0" applyFont="1" applyBorder="1" applyProtection="1"/>
    <xf numFmtId="0" fontId="0" fillId="0" borderId="12" xfId="0" applyBorder="1" applyAlignment="1" applyProtection="1">
      <alignment horizontal="center" wrapText="1"/>
    </xf>
    <xf numFmtId="0" fontId="13" fillId="0" borderId="12" xfId="0" applyFont="1" applyBorder="1" applyAlignment="1" applyProtection="1">
      <alignment horizontal="center"/>
    </xf>
    <xf numFmtId="0" fontId="28" fillId="0" borderId="0" xfId="0" applyFont="1" applyAlignment="1" applyProtection="1">
      <alignment horizontal="center"/>
    </xf>
    <xf numFmtId="0" fontId="0" fillId="0" borderId="0" xfId="0" applyAlignment="1" applyProtection="1">
      <alignment horizontal="center" vertical="center"/>
    </xf>
    <xf numFmtId="0" fontId="22" fillId="2" borderId="4" xfId="27" applyFont="1" applyFill="1" applyBorder="1" applyAlignment="1" applyProtection="1">
      <alignment horizontal="center"/>
    </xf>
    <xf numFmtId="0" fontId="22" fillId="0" borderId="0" xfId="27" applyFont="1" applyFill="1" applyAlignment="1" applyProtection="1">
      <alignment horizontal="center"/>
    </xf>
    <xf numFmtId="0" fontId="0" fillId="0" borderId="4" xfId="0" applyFill="1" applyBorder="1"/>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39" fillId="0" borderId="0" xfId="0" applyFont="1" applyAlignment="1">
      <alignment horizontal="left"/>
    </xf>
    <xf numFmtId="0" fontId="8" fillId="0" borderId="0" xfId="0" applyFont="1" applyAlignment="1" applyProtection="1"/>
    <xf numFmtId="0" fontId="37" fillId="0" borderId="0" xfId="0" applyFont="1"/>
    <xf numFmtId="44" fontId="4" fillId="0" borderId="102" xfId="24" applyNumberFormat="1" applyFont="1" applyFill="1" applyBorder="1" applyAlignment="1" applyProtection="1">
      <alignment vertical="center"/>
      <protection locked="0"/>
    </xf>
    <xf numFmtId="0" fontId="121" fillId="9" borderId="0" xfId="24" applyFont="1" applyFill="1" applyAlignment="1" applyProtection="1">
      <alignment vertical="top" wrapText="1"/>
    </xf>
    <xf numFmtId="0" fontId="122" fillId="9" borderId="0" xfId="24" applyFont="1" applyFill="1" applyBorder="1" applyAlignment="1" applyProtection="1"/>
    <xf numFmtId="0" fontId="85" fillId="9" borderId="0" xfId="24" applyFont="1" applyFill="1" applyBorder="1" applyProtection="1"/>
    <xf numFmtId="0" fontId="85" fillId="0" borderId="0" xfId="24" applyFont="1" applyProtection="1"/>
    <xf numFmtId="0" fontId="85" fillId="52" borderId="4" xfId="24" applyFont="1" applyFill="1" applyBorder="1" applyProtection="1"/>
    <xf numFmtId="0" fontId="85" fillId="50" borderId="0" xfId="24" applyFont="1" applyFill="1" applyProtection="1">
      <protection locked="0"/>
    </xf>
    <xf numFmtId="0" fontId="85" fillId="0" borderId="0" xfId="24" applyFont="1" applyProtection="1">
      <protection locked="0"/>
    </xf>
    <xf numFmtId="0" fontId="123" fillId="0" borderId="0" xfId="0" applyNumberFormat="1" applyFont="1" applyFill="1" applyProtection="1"/>
    <xf numFmtId="10" fontId="1" fillId="0" borderId="17" xfId="168" applyNumberFormat="1" applyFont="1" applyFill="1" applyBorder="1" applyProtection="1"/>
    <xf numFmtId="186" fontId="1" fillId="0" borderId="26" xfId="168" applyNumberFormat="1" applyFont="1" applyFill="1" applyBorder="1" applyProtection="1"/>
    <xf numFmtId="0" fontId="0" fillId="0" borderId="4" xfId="0" applyFont="1" applyFill="1" applyBorder="1"/>
    <xf numFmtId="10" fontId="0" fillId="0" borderId="4" xfId="0" applyNumberFormat="1" applyFont="1" applyFill="1" applyBorder="1"/>
    <xf numFmtId="190" fontId="0" fillId="0" borderId="4" xfId="0" applyNumberFormat="1" applyFont="1" applyBorder="1"/>
    <xf numFmtId="0" fontId="0" fillId="0" borderId="25" xfId="0" applyFont="1" applyFill="1" applyBorder="1"/>
    <xf numFmtId="10" fontId="0" fillId="0" borderId="25" xfId="0" applyNumberFormat="1" applyFont="1" applyBorder="1"/>
    <xf numFmtId="190" fontId="0" fillId="0" borderId="25" xfId="0" applyNumberFormat="1" applyFont="1" applyBorder="1"/>
    <xf numFmtId="2" fontId="0" fillId="0" borderId="0" xfId="0" applyNumberFormat="1" applyProtection="1">
      <protection locked="0"/>
    </xf>
    <xf numFmtId="0" fontId="5" fillId="2" borderId="0" xfId="0" applyFont="1" applyFill="1" applyBorder="1" applyAlignment="1" applyProtection="1">
      <alignment horizontal="left" vertical="center"/>
      <protection locked="0"/>
    </xf>
    <xf numFmtId="0" fontId="39" fillId="0" borderId="0" xfId="0" applyFont="1" applyAlignment="1" applyProtection="1">
      <alignment horizontal="left" vertical="center" wrapText="1"/>
    </xf>
    <xf numFmtId="0" fontId="37" fillId="0" borderId="0" xfId="0" applyFont="1" applyProtection="1"/>
    <xf numFmtId="0" fontId="22" fillId="10" borderId="4" xfId="24" applyFont="1" applyFill="1" applyBorder="1" applyAlignment="1" applyProtection="1">
      <alignment vertical="center"/>
      <protection locked="0"/>
    </xf>
    <xf numFmtId="44" fontId="13" fillId="10" borderId="26" xfId="39" applyFont="1" applyFill="1" applyBorder="1" applyAlignment="1" applyProtection="1">
      <alignment vertical="center"/>
      <protection locked="0"/>
    </xf>
    <xf numFmtId="0" fontId="2" fillId="0" borderId="0" xfId="0" applyFont="1" applyAlignment="1">
      <alignment wrapText="1"/>
    </xf>
    <xf numFmtId="0" fontId="2" fillId="0" borderId="0" xfId="0" applyFont="1" applyBorder="1" applyAlignment="1" applyProtection="1">
      <alignment wrapText="1"/>
    </xf>
    <xf numFmtId="0" fontId="0" fillId="0" borderId="33" xfId="0" applyBorder="1" applyProtection="1"/>
    <xf numFmtId="0" fontId="10" fillId="0" borderId="4" xfId="0" applyFont="1" applyBorder="1" applyProtection="1"/>
    <xf numFmtId="0" fontId="7" fillId="0" borderId="0" xfId="0" applyFont="1" applyAlignment="1">
      <alignment horizontal="left" vertical="top"/>
    </xf>
    <xf numFmtId="0" fontId="0" fillId="0" borderId="0" xfId="0" applyAlignment="1">
      <alignment horizontal="center" vertical="top"/>
    </xf>
    <xf numFmtId="0" fontId="2" fillId="0" borderId="27" xfId="0" applyFont="1" applyBorder="1" applyAlignment="1">
      <alignment horizontal="center" vertical="center" wrapText="1"/>
    </xf>
    <xf numFmtId="0" fontId="2" fillId="0" borderId="27" xfId="0" applyFont="1" applyBorder="1" applyAlignment="1">
      <alignment horizontal="center" vertical="top"/>
    </xf>
    <xf numFmtId="0" fontId="0" fillId="0" borderId="8" xfId="0" applyBorder="1"/>
    <xf numFmtId="0" fontId="124" fillId="0" borderId="0" xfId="0" applyFont="1"/>
    <xf numFmtId="0" fontId="0" fillId="0" borderId="10" xfId="0" applyBorder="1"/>
    <xf numFmtId="0" fontId="0" fillId="0" borderId="13" xfId="0" applyBorder="1"/>
    <xf numFmtId="0" fontId="0" fillId="0" borderId="49" xfId="0" applyBorder="1" applyAlignment="1">
      <alignment horizontal="center" vertical="top"/>
    </xf>
    <xf numFmtId="0" fontId="0" fillId="0" borderId="29" xfId="0" applyBorder="1" applyAlignment="1">
      <alignment horizontal="center" vertical="top"/>
    </xf>
    <xf numFmtId="0" fontId="0" fillId="0" borderId="27" xfId="0" applyBorder="1" applyAlignment="1">
      <alignment horizontal="center" vertical="top"/>
    </xf>
    <xf numFmtId="0" fontId="0" fillId="0" borderId="0" xfId="0" applyAlignment="1">
      <alignment horizontal="center" vertical="center" wrapText="1"/>
    </xf>
    <xf numFmtId="176" fontId="9" fillId="0" borderId="0" xfId="0" applyNumberFormat="1" applyFont="1" applyAlignment="1">
      <alignment horizontal="right"/>
    </xf>
    <xf numFmtId="175" fontId="9" fillId="0" borderId="0" xfId="0" applyNumberFormat="1" applyFont="1" applyAlignment="1">
      <alignment horizontal="right"/>
    </xf>
    <xf numFmtId="198" fontId="9" fillId="0" borderId="0" xfId="0" applyNumberFormat="1" applyFont="1" applyFill="1" applyBorder="1" applyAlignment="1">
      <alignment horizontal="right"/>
    </xf>
    <xf numFmtId="0" fontId="13" fillId="0" borderId="0" xfId="0" applyFont="1"/>
    <xf numFmtId="176" fontId="10" fillId="2" borderId="0" xfId="0" applyNumberFormat="1" applyFont="1" applyFill="1" applyAlignment="1">
      <alignment horizontal="right" vertical="top"/>
    </xf>
    <xf numFmtId="190" fontId="10" fillId="3" borderId="52" xfId="39" applyNumberFormat="1" applyFont="1" applyFill="1" applyBorder="1" applyProtection="1">
      <protection locked="0"/>
    </xf>
    <xf numFmtId="10" fontId="30" fillId="3" borderId="0" xfId="35" applyNumberFormat="1" applyFont="1" applyFill="1" applyProtection="1">
      <protection locked="0"/>
    </xf>
    <xf numFmtId="175" fontId="9" fillId="2" borderId="0" xfId="0" applyNumberFormat="1" applyFont="1" applyFill="1" applyAlignment="1"/>
    <xf numFmtId="0" fontId="0" fillId="2" borderId="0" xfId="0" applyFill="1" applyAlignment="1">
      <alignment vertical="center"/>
    </xf>
    <xf numFmtId="0" fontId="0" fillId="2" borderId="0" xfId="0" applyFill="1" applyAlignment="1">
      <alignment horizontal="right" vertical="center"/>
    </xf>
    <xf numFmtId="0" fontId="7" fillId="0" borderId="0" xfId="0" applyFont="1" applyAlignment="1">
      <alignment vertical="top"/>
    </xf>
    <xf numFmtId="0" fontId="0" fillId="0" borderId="0" xfId="0" applyAlignment="1">
      <alignment vertical="center"/>
    </xf>
    <xf numFmtId="0" fontId="2" fillId="0" borderId="27" xfId="0" applyFont="1" applyBorder="1" applyAlignment="1">
      <alignment vertical="center" wrapText="1"/>
    </xf>
    <xf numFmtId="0" fontId="2" fillId="0" borderId="7" xfId="0" applyFont="1" applyBorder="1" applyAlignment="1">
      <alignment vertical="center"/>
    </xf>
    <xf numFmtId="0" fontId="0" fillId="0" borderId="7" xfId="0" applyBorder="1" applyAlignment="1">
      <alignment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12" xfId="0" applyBorder="1" applyAlignment="1">
      <alignment vertical="center"/>
    </xf>
    <xf numFmtId="0" fontId="35" fillId="0" borderId="0" xfId="0" applyFont="1" applyBorder="1" applyAlignment="1">
      <alignment vertical="center"/>
    </xf>
    <xf numFmtId="0" fontId="0" fillId="0" borderId="0" xfId="0" applyFill="1" applyBorder="1" applyAlignment="1">
      <alignment vertical="center"/>
    </xf>
    <xf numFmtId="0" fontId="0" fillId="0" borderId="0" xfId="0" applyBorder="1" applyAlignment="1">
      <alignment horizontal="center" vertical="top"/>
    </xf>
    <xf numFmtId="0" fontId="0" fillId="0" borderId="0" xfId="0" applyBorder="1" applyAlignment="1">
      <alignment vertical="center" wrapText="1"/>
    </xf>
    <xf numFmtId="0" fontId="39" fillId="0" borderId="0" xfId="0" applyFont="1" applyAlignment="1" applyProtection="1">
      <alignment horizontal="left" vertical="center" wrapText="1"/>
    </xf>
    <xf numFmtId="0" fontId="0" fillId="0" borderId="0" xfId="0" applyAlignment="1" applyProtection="1">
      <alignment wrapText="1"/>
    </xf>
    <xf numFmtId="0" fontId="39" fillId="0" borderId="0" xfId="0" applyFont="1" applyAlignment="1" applyProtection="1">
      <alignment horizontal="left" wrapText="1"/>
    </xf>
    <xf numFmtId="0" fontId="39" fillId="0" borderId="0" xfId="0" applyFont="1" applyAlignment="1" applyProtection="1">
      <alignment horizontal="left"/>
    </xf>
    <xf numFmtId="0" fontId="39" fillId="0" borderId="0" xfId="0" applyFont="1" applyFill="1" applyBorder="1" applyAlignment="1" applyProtection="1">
      <alignment horizontal="left" wrapText="1"/>
    </xf>
    <xf numFmtId="190" fontId="0" fillId="0" borderId="0" xfId="169" applyNumberFormat="1" applyFont="1" applyBorder="1" applyProtection="1"/>
    <xf numFmtId="190" fontId="0" fillId="0" borderId="17" xfId="169" applyNumberFormat="1" applyFont="1" applyBorder="1" applyProtection="1"/>
    <xf numFmtId="196" fontId="0" fillId="0" borderId="0" xfId="170" applyNumberFormat="1" applyFont="1" applyProtection="1"/>
    <xf numFmtId="190" fontId="0" fillId="0" borderId="0" xfId="169" applyNumberFormat="1" applyFont="1" applyFill="1" applyBorder="1" applyAlignment="1" applyProtection="1">
      <alignment vertical="center"/>
    </xf>
    <xf numFmtId="190" fontId="0" fillId="0" borderId="17" xfId="169" applyNumberFormat="1" applyFont="1" applyFill="1" applyBorder="1" applyAlignment="1" applyProtection="1">
      <alignment vertical="center"/>
    </xf>
    <xf numFmtId="190" fontId="0" fillId="0" borderId="16" xfId="169" applyNumberFormat="1" applyFont="1" applyBorder="1" applyProtection="1"/>
    <xf numFmtId="186" fontId="0" fillId="0" borderId="0" xfId="170" applyNumberFormat="1" applyFont="1" applyProtection="1"/>
    <xf numFmtId="9" fontId="0" fillId="0" borderId="0" xfId="179" applyFont="1" applyProtection="1"/>
    <xf numFmtId="10" fontId="2" fillId="0" borderId="4" xfId="179" applyNumberFormat="1" applyFont="1" applyBorder="1" applyProtection="1"/>
    <xf numFmtId="10" fontId="2" fillId="0" borderId="26" xfId="179" applyNumberFormat="1" applyFont="1" applyBorder="1" applyProtection="1"/>
    <xf numFmtId="10" fontId="2" fillId="0" borderId="17" xfId="179" applyNumberFormat="1" applyFont="1" applyBorder="1" applyProtection="1"/>
    <xf numFmtId="186" fontId="0" fillId="0" borderId="26" xfId="170" applyNumberFormat="1" applyFont="1" applyBorder="1" applyProtection="1"/>
    <xf numFmtId="186" fontId="0" fillId="0" borderId="17" xfId="170" applyNumberFormat="1" applyFont="1" applyBorder="1" applyProtection="1"/>
    <xf numFmtId="0" fontId="0" fillId="0" borderId="11" xfId="0" applyBorder="1"/>
    <xf numFmtId="178" fontId="0" fillId="0" borderId="11" xfId="0" applyNumberFormat="1" applyBorder="1"/>
    <xf numFmtId="10" fontId="0" fillId="0" borderId="11" xfId="0" applyNumberFormat="1" applyBorder="1"/>
    <xf numFmtId="190" fontId="0" fillId="0" borderId="11" xfId="0" applyNumberFormat="1" applyBorder="1"/>
    <xf numFmtId="190" fontId="0" fillId="0" borderId="4" xfId="0" applyNumberFormat="1" applyBorder="1"/>
    <xf numFmtId="0" fontId="0" fillId="0" borderId="6" xfId="0" applyBorder="1"/>
    <xf numFmtId="178" fontId="0" fillId="0" borderId="6" xfId="0" applyNumberFormat="1" applyBorder="1"/>
    <xf numFmtId="10" fontId="0" fillId="0" borderId="25" xfId="0" applyNumberFormat="1" applyBorder="1"/>
    <xf numFmtId="190" fontId="0" fillId="0" borderId="6" xfId="0" applyNumberFormat="1" applyBorder="1"/>
    <xf numFmtId="10" fontId="0" fillId="0" borderId="6" xfId="0" applyNumberFormat="1" applyBorder="1"/>
    <xf numFmtId="190" fontId="0" fillId="0" borderId="29" xfId="0" applyNumberFormat="1" applyBorder="1"/>
    <xf numFmtId="0" fontId="0" fillId="0" borderId="25" xfId="0" applyBorder="1"/>
    <xf numFmtId="178" fontId="0" fillId="0" borderId="25" xfId="0" applyNumberFormat="1" applyBorder="1"/>
    <xf numFmtId="190" fontId="0" fillId="0" borderId="13" xfId="0" applyNumberFormat="1" applyBorder="1"/>
    <xf numFmtId="190" fontId="0" fillId="0" borderId="25" xfId="0" applyNumberFormat="1" applyBorder="1"/>
    <xf numFmtId="190" fontId="0" fillId="0" borderId="26" xfId="0" applyNumberFormat="1" applyBorder="1"/>
    <xf numFmtId="10" fontId="30" fillId="0" borderId="0" xfId="21" applyNumberFormat="1" applyFont="1" applyAlignment="1" applyProtection="1">
      <alignment horizontal="right" vertical="center"/>
    </xf>
    <xf numFmtId="186" fontId="0" fillId="0" borderId="4" xfId="0" applyNumberFormat="1" applyFont="1" applyFill="1" applyBorder="1" applyAlignment="1" applyProtection="1">
      <alignment horizontal="center" wrapText="1"/>
    </xf>
    <xf numFmtId="186" fontId="0" fillId="0" borderId="4" xfId="0" applyNumberFormat="1" applyFont="1" applyFill="1" applyBorder="1" applyAlignment="1">
      <alignment horizontal="center"/>
    </xf>
    <xf numFmtId="186" fontId="0" fillId="0" borderId="4" xfId="0" applyNumberFormat="1" applyFont="1" applyFill="1" applyBorder="1" applyAlignment="1" applyProtection="1">
      <alignment horizontal="center"/>
    </xf>
    <xf numFmtId="0" fontId="8" fillId="0" borderId="4" xfId="0" applyFont="1" applyFill="1" applyBorder="1" applyAlignment="1" applyProtection="1">
      <alignment horizontal="center" wrapText="1"/>
    </xf>
    <xf numFmtId="0" fontId="0" fillId="4" borderId="4" xfId="0" applyFill="1" applyBorder="1" applyAlignment="1" applyProtection="1">
      <alignment horizontal="center"/>
      <protection locked="0"/>
    </xf>
    <xf numFmtId="186" fontId="0" fillId="3" borderId="4" xfId="163" applyNumberFormat="1" applyFont="1" applyFill="1" applyBorder="1" applyProtection="1">
      <protection locked="0"/>
    </xf>
    <xf numFmtId="0" fontId="0" fillId="4" borderId="4" xfId="0" applyFill="1" applyBorder="1" applyProtection="1">
      <protection locked="0"/>
    </xf>
    <xf numFmtId="0" fontId="0" fillId="0" borderId="4" xfId="0" applyFill="1" applyBorder="1" applyProtection="1">
      <protection locked="0"/>
    </xf>
    <xf numFmtId="0" fontId="37" fillId="0" borderId="4" xfId="0" applyFont="1" applyFill="1" applyBorder="1" applyProtection="1">
      <protection locked="0"/>
    </xf>
    <xf numFmtId="186" fontId="0" fillId="3" borderId="13" xfId="170" applyNumberFormat="1" applyFont="1" applyFill="1" applyBorder="1" applyProtection="1">
      <protection locked="0"/>
    </xf>
    <xf numFmtId="186" fontId="0" fillId="3" borderId="29" xfId="170" applyNumberFormat="1" applyFont="1" applyFill="1" applyBorder="1" applyProtection="1">
      <protection locked="0"/>
    </xf>
    <xf numFmtId="186" fontId="0" fillId="3" borderId="4" xfId="170" applyNumberFormat="1" applyFont="1" applyFill="1" applyBorder="1" applyProtection="1">
      <protection locked="0"/>
    </xf>
    <xf numFmtId="200" fontId="4" fillId="9" borderId="51" xfId="39" applyNumberFormat="1" applyFont="1" applyFill="1" applyBorder="1" applyProtection="1"/>
    <xf numFmtId="0" fontId="0" fillId="0" borderId="0" xfId="0" applyAlignment="1">
      <alignment horizontal="center" vertical="top" wrapText="1"/>
    </xf>
    <xf numFmtId="0" fontId="127" fillId="55" borderId="105" xfId="0" applyFont="1" applyFill="1" applyBorder="1" applyAlignment="1">
      <alignment horizontal="left" vertical="top" wrapText="1"/>
    </xf>
    <xf numFmtId="0" fontId="127" fillId="55" borderId="106" xfId="0" applyFont="1" applyFill="1" applyBorder="1" applyAlignment="1">
      <alignment horizontal="left" vertical="top" wrapText="1"/>
    </xf>
    <xf numFmtId="0" fontId="127" fillId="56" borderId="107" xfId="0" applyFont="1" applyFill="1" applyBorder="1" applyAlignment="1">
      <alignment horizontal="left" vertical="top" wrapText="1"/>
    </xf>
    <xf numFmtId="2" fontId="127" fillId="56" borderId="107" xfId="0" applyNumberFormat="1" applyFont="1" applyFill="1" applyBorder="1" applyAlignment="1">
      <alignment horizontal="right" vertical="top" wrapText="1"/>
    </xf>
    <xf numFmtId="2" fontId="127" fillId="57" borderId="107" xfId="0" applyNumberFormat="1" applyFont="1" applyFill="1" applyBorder="1" applyAlignment="1">
      <alignment horizontal="right" vertical="top" wrapText="1"/>
    </xf>
    <xf numFmtId="2" fontId="127" fillId="57" borderId="108" xfId="0" applyNumberFormat="1" applyFont="1" applyFill="1" applyBorder="1" applyAlignment="1">
      <alignment horizontal="right" vertical="top" wrapText="1"/>
    </xf>
    <xf numFmtId="1" fontId="127" fillId="56" borderId="107" xfId="0" applyNumberFormat="1" applyFont="1" applyFill="1" applyBorder="1" applyAlignment="1">
      <alignment horizontal="right" vertical="top" wrapText="1"/>
    </xf>
    <xf numFmtId="0" fontId="127" fillId="56" borderId="107" xfId="0" applyFont="1" applyFill="1" applyBorder="1" applyAlignment="1">
      <alignment horizontal="right" vertical="top" wrapText="1"/>
    </xf>
    <xf numFmtId="0" fontId="0" fillId="56" borderId="107" xfId="0" applyFill="1" applyBorder="1" applyAlignment="1">
      <alignment horizontal="left" vertical="top" wrapText="1"/>
    </xf>
    <xf numFmtId="0" fontId="0" fillId="56" borderId="107" xfId="0" applyFill="1" applyBorder="1" applyAlignment="1">
      <alignment horizontal="right" vertical="top" wrapText="1"/>
    </xf>
    <xf numFmtId="0" fontId="127" fillId="56" borderId="108" xfId="0" applyFont="1" applyFill="1" applyBorder="1" applyAlignment="1">
      <alignment horizontal="right" vertical="top" wrapText="1"/>
    </xf>
    <xf numFmtId="1" fontId="128" fillId="0" borderId="0" xfId="0" applyNumberFormat="1" applyFont="1" applyAlignment="1">
      <alignment horizontal="right" vertical="top"/>
    </xf>
    <xf numFmtId="0" fontId="127" fillId="55" borderId="107" xfId="0" applyFont="1" applyFill="1" applyBorder="1" applyAlignment="1">
      <alignment horizontal="left" vertical="top" wrapText="1"/>
    </xf>
    <xf numFmtId="1" fontId="127" fillId="56" borderId="108" xfId="0" applyNumberFormat="1" applyFont="1" applyFill="1" applyBorder="1" applyAlignment="1">
      <alignment horizontal="right" vertical="top" wrapText="1"/>
    </xf>
    <xf numFmtId="164" fontId="22" fillId="2" borderId="49" xfId="39" applyNumberFormat="1" applyFont="1" applyFill="1" applyBorder="1" applyAlignment="1" applyProtection="1">
      <alignment horizontal="left" vertical="center"/>
      <protection locked="0"/>
    </xf>
    <xf numFmtId="164" fontId="31" fillId="2" borderId="49" xfId="39" applyNumberFormat="1" applyFont="1" applyFill="1" applyBorder="1" applyAlignment="1" applyProtection="1">
      <alignment horizontal="left" vertical="center"/>
      <protection locked="0"/>
    </xf>
    <xf numFmtId="0" fontId="39" fillId="4" borderId="4"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protection locked="0"/>
    </xf>
    <xf numFmtId="9" fontId="9" fillId="2" borderId="0" xfId="179" applyFont="1" applyFill="1" applyBorder="1" applyAlignment="1">
      <alignment horizontal="left" vertical="center"/>
    </xf>
    <xf numFmtId="176" fontId="9" fillId="2" borderId="0" xfId="0" applyNumberFormat="1" applyFont="1" applyFill="1" applyAlignment="1">
      <alignment vertical="center"/>
    </xf>
    <xf numFmtId="176" fontId="5" fillId="2" borderId="0" xfId="161" applyNumberFormat="1" applyFont="1" applyFill="1" applyBorder="1" applyAlignment="1" applyProtection="1">
      <alignment vertical="center"/>
      <protection locked="0"/>
    </xf>
    <xf numFmtId="0" fontId="9" fillId="2" borderId="0" xfId="0" applyFont="1" applyFill="1" applyAlignment="1" applyProtection="1">
      <alignment horizontal="left" vertical="center"/>
      <protection locked="0"/>
    </xf>
    <xf numFmtId="3" fontId="0" fillId="8" borderId="4" xfId="0" applyNumberFormat="1" applyFill="1" applyBorder="1" applyProtection="1">
      <protection locked="0"/>
    </xf>
    <xf numFmtId="179" fontId="4" fillId="3" borderId="4" xfId="24" applyNumberFormat="1" applyFill="1" applyBorder="1" applyAlignment="1" applyProtection="1">
      <alignment horizontal="center" vertical="center"/>
      <protection locked="0"/>
    </xf>
    <xf numFmtId="0" fontId="13" fillId="0" borderId="10" xfId="0" applyFont="1" applyBorder="1" applyAlignment="1" applyProtection="1">
      <alignment wrapText="1"/>
    </xf>
    <xf numFmtId="0" fontId="0" fillId="0" borderId="12" xfId="0" applyBorder="1" applyProtection="1"/>
    <xf numFmtId="0" fontId="42" fillId="45" borderId="0" xfId="24" applyFont="1" applyFill="1" applyAlignment="1" applyProtection="1">
      <alignment horizontal="center" vertical="center"/>
    </xf>
    <xf numFmtId="0" fontId="0" fillId="2" borderId="20" xfId="0" applyFill="1" applyBorder="1" applyProtection="1"/>
    <xf numFmtId="0" fontId="0" fillId="2" borderId="104" xfId="0" applyFill="1" applyBorder="1" applyProtection="1"/>
    <xf numFmtId="3" fontId="0" fillId="2" borderId="104" xfId="0" applyNumberFormat="1" applyFill="1" applyBorder="1" applyProtection="1"/>
    <xf numFmtId="0" fontId="0" fillId="2" borderId="111" xfId="0" applyFill="1" applyBorder="1" applyProtection="1"/>
    <xf numFmtId="0" fontId="0" fillId="0" borderId="104" xfId="0" applyBorder="1" applyAlignment="1" applyProtection="1">
      <alignment vertical="top" wrapText="1"/>
    </xf>
    <xf numFmtId="0" fontId="0" fillId="2" borderId="104" xfId="0" applyFill="1" applyBorder="1" applyAlignment="1" applyProtection="1">
      <alignment vertical="top" wrapText="1"/>
    </xf>
    <xf numFmtId="0" fontId="0" fillId="0" borderId="111" xfId="0" applyBorder="1" applyAlignment="1" applyProtection="1">
      <alignment vertical="top" wrapText="1"/>
    </xf>
    <xf numFmtId="0" fontId="0" fillId="2" borderId="20" xfId="0" applyFill="1" applyBorder="1" applyAlignment="1" applyProtection="1">
      <alignment vertical="top" wrapText="1"/>
    </xf>
    <xf numFmtId="0" fontId="10" fillId="0" borderId="20" xfId="0" applyFont="1" applyBorder="1" applyProtection="1"/>
    <xf numFmtId="0" fontId="22" fillId="0" borderId="112" xfId="25" applyFont="1" applyFill="1" applyBorder="1" applyAlignment="1" applyProtection="1">
      <alignment horizontal="center" vertical="center"/>
    </xf>
    <xf numFmtId="0" fontId="39" fillId="0" borderId="4" xfId="0" applyFont="1" applyFill="1" applyBorder="1" applyAlignment="1" applyProtection="1">
      <alignment horizontal="center" vertical="center" wrapText="1"/>
    </xf>
    <xf numFmtId="44" fontId="18" fillId="0" borderId="0" xfId="39" applyFont="1" applyFill="1" applyProtection="1"/>
    <xf numFmtId="0" fontId="0" fillId="0" borderId="0" xfId="0" applyProtection="1"/>
    <xf numFmtId="0" fontId="0" fillId="0" borderId="0" xfId="0" applyFont="1" applyProtection="1"/>
    <xf numFmtId="0" fontId="30" fillId="0" borderId="0" xfId="0" applyFont="1" applyProtection="1"/>
    <xf numFmtId="0" fontId="36" fillId="0" borderId="0" xfId="0" applyFont="1" applyProtection="1"/>
    <xf numFmtId="0" fontId="18" fillId="0" borderId="0" xfId="0" applyFont="1" applyProtection="1"/>
    <xf numFmtId="0" fontId="36" fillId="0" borderId="0" xfId="0" applyFont="1" applyAlignment="1" applyProtection="1">
      <alignment horizontal="left"/>
    </xf>
    <xf numFmtId="0" fontId="4" fillId="0" borderId="0" xfId="24" applyFont="1" applyProtection="1">
      <protection locked="0"/>
    </xf>
    <xf numFmtId="0" fontId="0" fillId="2" borderId="0" xfId="0" applyFill="1" applyProtection="1"/>
    <xf numFmtId="0" fontId="0" fillId="2" borderId="0" xfId="0" applyFill="1" applyAlignment="1" applyProtection="1">
      <alignment horizontal="center" vertical="center"/>
    </xf>
    <xf numFmtId="0" fontId="10" fillId="0" borderId="0" xfId="0" applyFont="1" applyProtection="1"/>
    <xf numFmtId="0" fontId="22" fillId="0" borderId="0" xfId="25" applyFont="1" applyAlignment="1" applyProtection="1">
      <alignment horizontal="left" vertical="center"/>
    </xf>
    <xf numFmtId="0" fontId="41" fillId="0" borderId="0" xfId="0" applyFont="1" applyAlignment="1" applyProtection="1">
      <alignment horizontal="left"/>
    </xf>
    <xf numFmtId="0" fontId="69" fillId="0" borderId="0" xfId="0" applyFont="1" applyAlignment="1" applyProtection="1">
      <alignment horizontal="left" vertical="top"/>
    </xf>
    <xf numFmtId="0" fontId="69" fillId="0" borderId="0" xfId="0" applyFont="1" applyAlignment="1" applyProtection="1">
      <alignment horizontal="left"/>
    </xf>
    <xf numFmtId="0" fontId="30" fillId="0" borderId="0" xfId="0" applyFont="1" applyAlignment="1" applyProtection="1">
      <alignment horizontal="left" vertical="top"/>
    </xf>
    <xf numFmtId="0" fontId="27" fillId="0" borderId="0" xfId="0" applyFont="1" applyProtection="1"/>
    <xf numFmtId="0" fontId="30" fillId="0" borderId="0" xfId="0" applyFont="1" applyAlignment="1" applyProtection="1">
      <alignment horizontal="left"/>
    </xf>
    <xf numFmtId="0" fontId="68" fillId="4" borderId="0" xfId="0" applyFont="1" applyFill="1" applyAlignment="1" applyProtection="1">
      <alignment horizontal="left"/>
    </xf>
    <xf numFmtId="0" fontId="70" fillId="0" borderId="0" xfId="0" applyFont="1" applyAlignment="1" applyProtection="1">
      <alignment horizontal="center" vertical="top"/>
    </xf>
    <xf numFmtId="3" fontId="30" fillId="3" borderId="0" xfId="0" applyNumberFormat="1" applyFont="1" applyFill="1" applyProtection="1">
      <protection locked="0"/>
    </xf>
    <xf numFmtId="0" fontId="0" fillId="2" borderId="0" xfId="0" applyFill="1" applyBorder="1" applyProtection="1"/>
    <xf numFmtId="0" fontId="2" fillId="2" borderId="0" xfId="0" applyFont="1" applyFill="1" applyBorder="1" applyProtection="1"/>
    <xf numFmtId="0" fontId="0" fillId="2" borderId="0" xfId="0" applyFill="1" applyBorder="1" applyAlignment="1" applyProtection="1">
      <alignment horizontal="center" vertical="center"/>
    </xf>
    <xf numFmtId="0" fontId="0" fillId="0" borderId="0" xfId="0" applyFont="1" applyAlignment="1" applyProtection="1">
      <alignment vertical="top"/>
    </xf>
    <xf numFmtId="190" fontId="30" fillId="0" borderId="0" xfId="0" applyNumberFormat="1" applyFont="1" applyAlignment="1" applyProtection="1">
      <alignment vertical="center"/>
    </xf>
    <xf numFmtId="0" fontId="30" fillId="0" borderId="0" xfId="0" applyFont="1" applyAlignment="1" applyProtection="1">
      <alignment vertical="center"/>
    </xf>
    <xf numFmtId="190" fontId="30" fillId="0" borderId="0" xfId="0" applyNumberFormat="1" applyFont="1" applyProtection="1"/>
    <xf numFmtId="0" fontId="40" fillId="4" borderId="0" xfId="0" applyFont="1" applyFill="1" applyProtection="1"/>
    <xf numFmtId="0" fontId="68" fillId="4" borderId="0" xfId="0" applyFont="1" applyFill="1" applyProtection="1"/>
    <xf numFmtId="191" fontId="68" fillId="4" borderId="0" xfId="0" applyNumberFormat="1" applyFont="1" applyFill="1" applyProtection="1"/>
    <xf numFmtId="0" fontId="67" fillId="0" borderId="0" xfId="0" applyFont="1" applyProtection="1"/>
    <xf numFmtId="0" fontId="0" fillId="2" borderId="0" xfId="0" applyFill="1" applyBorder="1" applyProtection="1">
      <protection locked="0"/>
    </xf>
    <xf numFmtId="0" fontId="30" fillId="0" borderId="0" xfId="0" applyFont="1" applyAlignment="1" applyProtection="1"/>
    <xf numFmtId="0" fontId="22" fillId="9" borderId="0" xfId="0" applyFont="1" applyFill="1" applyAlignment="1" applyProtection="1">
      <alignment horizontal="left" wrapText="1"/>
    </xf>
    <xf numFmtId="0" fontId="22" fillId="0" borderId="0" xfId="0" applyFont="1" applyAlignment="1" applyProtection="1">
      <alignment horizontal="center" wrapText="1"/>
    </xf>
    <xf numFmtId="0" fontId="10" fillId="0" borderId="0" xfId="0" applyFont="1" applyAlignment="1" applyProtection="1">
      <alignment horizontal="center"/>
    </xf>
    <xf numFmtId="0" fontId="0" fillId="54" borderId="0" xfId="0" applyFill="1" applyProtection="1"/>
    <xf numFmtId="179" fontId="18" fillId="0" borderId="0" xfId="24" applyNumberFormat="1" applyFont="1" applyAlignment="1" applyProtection="1">
      <alignment horizontal="center" vertical="center" wrapText="1"/>
    </xf>
    <xf numFmtId="0" fontId="9" fillId="2" borderId="0" xfId="0" applyFont="1" applyFill="1" applyBorder="1" applyAlignment="1" applyProtection="1">
      <alignment horizontal="left" vertical="center"/>
      <protection locked="0"/>
    </xf>
    <xf numFmtId="0" fontId="9" fillId="2" borderId="101" xfId="0" applyFont="1" applyFill="1" applyBorder="1" applyAlignment="1" applyProtection="1">
      <alignment horizontal="left" vertical="center"/>
      <protection locked="0"/>
    </xf>
    <xf numFmtId="0" fontId="9" fillId="2" borderId="0" xfId="0" applyFont="1" applyFill="1" applyBorder="1" applyAlignment="1">
      <alignment horizontal="left" vertical="center"/>
    </xf>
    <xf numFmtId="176" fontId="9" fillId="2" borderId="0" xfId="232" applyNumberFormat="1" applyFont="1" applyFill="1" applyAlignment="1">
      <alignment horizontal="right"/>
    </xf>
    <xf numFmtId="175" fontId="9" fillId="2" borderId="0" xfId="232" applyNumberFormat="1" applyFont="1" applyFill="1" applyAlignment="1">
      <alignment horizontal="right"/>
    </xf>
    <xf numFmtId="0" fontId="129" fillId="0" borderId="0" xfId="0" applyFont="1" applyAlignment="1">
      <alignment horizontal="left" vertical="top" wrapText="1"/>
    </xf>
    <xf numFmtId="0" fontId="67" fillId="0" borderId="0" xfId="0" applyFont="1"/>
    <xf numFmtId="0" fontId="117" fillId="0" borderId="0" xfId="0" applyFont="1" applyAlignment="1">
      <alignment horizontal="left" vertical="top" wrapText="1"/>
    </xf>
    <xf numFmtId="0" fontId="36" fillId="0" borderId="0" xfId="0" applyFont="1" applyAlignment="1">
      <alignment horizontal="left" vertical="top" wrapText="1"/>
    </xf>
    <xf numFmtId="0" fontId="10" fillId="0" borderId="0" xfId="0" applyFont="1" applyAlignment="1">
      <alignment horizontal="left" vertical="top" wrapText="1"/>
    </xf>
    <xf numFmtId="0" fontId="0" fillId="0" borderId="27" xfId="0" applyFill="1" applyBorder="1" applyAlignment="1">
      <alignment horizontal="center"/>
    </xf>
    <xf numFmtId="0" fontId="0" fillId="0" borderId="0" xfId="0" applyFill="1" applyBorder="1" applyAlignment="1">
      <alignment horizontal="center"/>
    </xf>
    <xf numFmtId="0" fontId="20" fillId="0" borderId="0" xfId="0" applyFont="1" applyAlignment="1" applyProtection="1">
      <alignment vertical="top"/>
    </xf>
    <xf numFmtId="0" fontId="125" fillId="0" borderId="0" xfId="0" applyFont="1" applyAlignment="1">
      <alignment horizontal="left" vertical="top" wrapText="1"/>
    </xf>
    <xf numFmtId="0" fontId="126" fillId="0" borderId="0" xfId="0" applyFont="1" applyAlignment="1">
      <alignment horizontal="left" vertical="top" wrapText="1"/>
    </xf>
    <xf numFmtId="0" fontId="127" fillId="55" borderId="108" xfId="0" applyFont="1" applyFill="1" applyBorder="1" applyAlignment="1">
      <alignment horizontal="left" vertical="top" wrapText="1"/>
    </xf>
    <xf numFmtId="0" fontId="127" fillId="13" borderId="107" xfId="0" applyFont="1" applyFill="1" applyBorder="1" applyAlignment="1">
      <alignment horizontal="left" vertical="top" wrapText="1"/>
    </xf>
    <xf numFmtId="2" fontId="127" fillId="13" borderId="107" xfId="0" applyNumberFormat="1" applyFont="1" applyFill="1" applyBorder="1" applyAlignment="1">
      <alignment horizontal="right" vertical="top" wrapText="1"/>
    </xf>
    <xf numFmtId="0" fontId="11" fillId="0" borderId="0" xfId="0" applyFont="1" applyAlignment="1">
      <alignment horizontal="left" vertical="center"/>
    </xf>
    <xf numFmtId="0" fontId="5" fillId="0" borderId="0" xfId="162" applyFont="1" applyFill="1" applyBorder="1" applyAlignment="1" applyProtection="1">
      <alignment horizontal="left" vertical="center"/>
      <protection locked="0"/>
    </xf>
    <xf numFmtId="0" fontId="5" fillId="0" borderId="0" xfId="162" applyFont="1" applyFill="1" applyBorder="1" applyAlignment="1" applyProtection="1">
      <alignment horizontal="left" vertical="top"/>
      <protection locked="0"/>
    </xf>
    <xf numFmtId="0" fontId="9" fillId="0" borderId="0" xfId="0" applyFont="1" applyFill="1" applyBorder="1" applyAlignment="1">
      <alignment horizontal="right"/>
    </xf>
    <xf numFmtId="0" fontId="9" fillId="2" borderId="0" xfId="0" applyFont="1" applyFill="1" applyBorder="1" applyAlignment="1">
      <alignment horizontal="left" wrapText="1"/>
    </xf>
    <xf numFmtId="0" fontId="11" fillId="2" borderId="0" xfId="0" applyFont="1" applyFill="1" applyAlignment="1">
      <alignment horizontal="left" vertical="center"/>
    </xf>
    <xf numFmtId="0" fontId="0" fillId="2" borderId="0" xfId="0" applyFill="1" applyAlignment="1">
      <alignment wrapText="1"/>
    </xf>
    <xf numFmtId="0" fontId="13" fillId="0" borderId="0" xfId="0" applyFont="1" applyAlignment="1">
      <alignment vertical="center" wrapText="1"/>
    </xf>
    <xf numFmtId="0" fontId="38" fillId="0" borderId="0" xfId="0" applyFont="1" applyAlignment="1">
      <alignment vertical="top" wrapText="1"/>
    </xf>
    <xf numFmtId="0" fontId="9" fillId="0" borderId="0" xfId="0" applyFont="1" applyAlignment="1">
      <alignment wrapText="1"/>
    </xf>
    <xf numFmtId="175" fontId="9" fillId="2" borderId="0" xfId="0" applyNumberFormat="1" applyFont="1" applyFill="1" applyAlignment="1">
      <alignment vertical="center"/>
    </xf>
    <xf numFmtId="175" fontId="9" fillId="2" borderId="0" xfId="0" applyNumberFormat="1" applyFont="1" applyFill="1" applyBorder="1" applyAlignment="1" applyProtection="1">
      <alignment horizontal="left"/>
      <protection locked="0"/>
    </xf>
    <xf numFmtId="0" fontId="66" fillId="2" borderId="0" xfId="0" applyFont="1" applyFill="1" applyBorder="1" applyAlignment="1">
      <alignment horizontal="left" vertical="center"/>
    </xf>
    <xf numFmtId="0" fontId="66" fillId="2" borderId="0" xfId="0" applyFont="1" applyFill="1" applyBorder="1" applyAlignment="1">
      <alignment horizontal="left"/>
    </xf>
    <xf numFmtId="0" fontId="11"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left" vertical="center"/>
      <protection locked="0"/>
    </xf>
    <xf numFmtId="175" fontId="67" fillId="2" borderId="0" xfId="0" applyNumberFormat="1" applyFont="1" applyFill="1" applyBorder="1" applyAlignment="1" applyProtection="1">
      <alignment horizontal="left" vertical="center"/>
      <protection locked="0"/>
    </xf>
    <xf numFmtId="0" fontId="61" fillId="2" borderId="0" xfId="161" applyFont="1" applyFill="1" applyBorder="1" applyAlignment="1" applyProtection="1">
      <alignment vertical="center"/>
    </xf>
    <xf numFmtId="175" fontId="61" fillId="2" borderId="0" xfId="161" applyNumberFormat="1" applyFont="1" applyFill="1" applyBorder="1" applyAlignment="1" applyProtection="1">
      <alignment horizontal="left" vertical="center"/>
    </xf>
    <xf numFmtId="15" fontId="22" fillId="2" borderId="0" xfId="161" applyNumberFormat="1" applyFont="1" applyFill="1" applyBorder="1" applyAlignment="1" applyProtection="1">
      <alignment horizontal="left" vertical="center"/>
    </xf>
    <xf numFmtId="15" fontId="22" fillId="2" borderId="0" xfId="161" applyNumberFormat="1" applyFont="1" applyFill="1" applyBorder="1" applyAlignment="1" applyProtection="1">
      <alignment horizontal="left"/>
    </xf>
    <xf numFmtId="176" fontId="9" fillId="2" borderId="0" xfId="0" applyNumberFormat="1" applyFont="1" applyFill="1" applyBorder="1" applyAlignment="1">
      <alignment horizontal="right" vertical="center"/>
    </xf>
    <xf numFmtId="15" fontId="22" fillId="2" borderId="0" xfId="161" applyNumberFormat="1" applyFont="1" applyFill="1" applyBorder="1" applyAlignment="1" applyProtection="1">
      <alignment vertical="center"/>
    </xf>
    <xf numFmtId="0" fontId="9" fillId="2" borderId="0" xfId="0" applyFont="1" applyFill="1" applyBorder="1" applyAlignment="1">
      <alignment vertical="center"/>
    </xf>
    <xf numFmtId="4" fontId="9" fillId="2" borderId="0" xfId="0" applyNumberFormat="1" applyFont="1" applyFill="1" applyBorder="1" applyAlignment="1">
      <alignment vertical="center"/>
    </xf>
    <xf numFmtId="0" fontId="9" fillId="2" borderId="0" xfId="0" applyFont="1" applyFill="1" applyBorder="1" applyAlignment="1">
      <alignment horizontal="right"/>
    </xf>
    <xf numFmtId="15" fontId="41" fillId="2" borderId="0" xfId="161" applyNumberFormat="1" applyFont="1" applyFill="1" applyBorder="1" applyAlignment="1" applyProtection="1">
      <alignment horizontal="left"/>
    </xf>
    <xf numFmtId="0" fontId="61" fillId="2" borderId="0" xfId="161" applyFont="1" applyFill="1" applyBorder="1" applyProtection="1"/>
    <xf numFmtId="175" fontId="61" fillId="2" borderId="0" xfId="161" applyNumberFormat="1" applyFont="1" applyFill="1" applyBorder="1" applyAlignment="1" applyProtection="1">
      <alignment horizontal="left" indent="2"/>
    </xf>
    <xf numFmtId="0" fontId="9" fillId="0" borderId="0" xfId="0" applyFont="1" applyFill="1" applyBorder="1" applyAlignment="1">
      <alignment horizontal="center"/>
    </xf>
    <xf numFmtId="4" fontId="9" fillId="0" borderId="0" xfId="0" applyNumberFormat="1" applyFont="1" applyFill="1" applyBorder="1" applyAlignment="1">
      <alignment horizontal="right"/>
    </xf>
    <xf numFmtId="0" fontId="9" fillId="0" borderId="0" xfId="0" applyFont="1" applyFill="1" applyBorder="1" applyAlignment="1">
      <alignment horizontal="center" vertical="center"/>
    </xf>
    <xf numFmtId="176" fontId="66" fillId="0" borderId="0" xfId="0" applyNumberFormat="1" applyFont="1" applyFill="1" applyBorder="1" applyAlignment="1">
      <alignment horizontal="right"/>
    </xf>
    <xf numFmtId="180" fontId="9" fillId="0" borderId="0" xfId="0" applyNumberFormat="1" applyFont="1" applyFill="1" applyBorder="1" applyAlignment="1">
      <alignment horizontal="right"/>
    </xf>
    <xf numFmtId="0" fontId="9" fillId="0" borderId="0" xfId="0" applyFont="1" applyFill="1" applyBorder="1" applyAlignment="1">
      <alignment wrapText="1"/>
    </xf>
    <xf numFmtId="175" fontId="66" fillId="0" borderId="0" xfId="0" applyNumberFormat="1" applyFont="1" applyFill="1" applyBorder="1" applyAlignment="1">
      <alignment horizontal="right"/>
    </xf>
    <xf numFmtId="9" fontId="9" fillId="0" borderId="0" xfId="0" applyNumberFormat="1" applyFont="1" applyFill="1" applyBorder="1" applyAlignment="1">
      <alignment horizontal="center"/>
    </xf>
    <xf numFmtId="9" fontId="9" fillId="0" borderId="0" xfId="0" applyNumberFormat="1" applyFont="1" applyFill="1" applyBorder="1" applyAlignment="1">
      <alignment horizontal="center" wrapText="1"/>
    </xf>
    <xf numFmtId="165" fontId="9" fillId="0" borderId="0" xfId="232" applyFont="1" applyFill="1" applyBorder="1" applyAlignment="1">
      <alignment horizontal="right"/>
    </xf>
    <xf numFmtId="0" fontId="5" fillId="0" borderId="0" xfId="0" applyFont="1" applyFill="1" applyBorder="1" applyAlignment="1">
      <alignment horizontal="left" wrapText="1"/>
    </xf>
    <xf numFmtId="0" fontId="22" fillId="0" borderId="0" xfId="0" applyFont="1" applyFill="1" applyBorder="1" applyAlignment="1">
      <alignment horizontal="left" wrapText="1"/>
    </xf>
    <xf numFmtId="0" fontId="5" fillId="0" borderId="0" xfId="0" applyFont="1" applyFill="1" applyBorder="1" applyAlignment="1">
      <alignment horizontal="center"/>
    </xf>
    <xf numFmtId="0" fontId="5" fillId="0" borderId="0" xfId="0" applyFont="1" applyFill="1" applyBorder="1" applyAlignment="1">
      <alignment horizontal="right"/>
    </xf>
    <xf numFmtId="175" fontId="5" fillId="0" borderId="0" xfId="0" applyNumberFormat="1" applyFont="1" applyFill="1" applyBorder="1" applyAlignment="1">
      <alignment horizontal="right"/>
    </xf>
    <xf numFmtId="176" fontId="5" fillId="0" borderId="0" xfId="0" applyNumberFormat="1" applyFont="1" applyFill="1" applyBorder="1" applyAlignment="1">
      <alignment horizontal="right"/>
    </xf>
    <xf numFmtId="39" fontId="9" fillId="0" borderId="0" xfId="0" applyNumberFormat="1" applyFont="1" applyFill="1" applyBorder="1" applyAlignment="1">
      <alignment horizontal="right"/>
    </xf>
    <xf numFmtId="15" fontId="41" fillId="0" borderId="0" xfId="161" applyNumberFormat="1" applyFont="1" applyFill="1" applyBorder="1" applyAlignment="1" applyProtection="1">
      <alignment horizontal="left" wrapText="1"/>
    </xf>
    <xf numFmtId="0" fontId="67" fillId="0" borderId="0" xfId="0" applyFont="1" applyFill="1" applyBorder="1" applyAlignment="1">
      <alignment horizontal="center" vertical="top"/>
    </xf>
    <xf numFmtId="0" fontId="67" fillId="0" borderId="0" xfId="0" applyFont="1" applyFill="1" applyBorder="1" applyAlignment="1">
      <alignment horizontal="right" vertical="top"/>
    </xf>
    <xf numFmtId="15" fontId="5" fillId="0" borderId="0" xfId="161" applyNumberFormat="1" applyFont="1" applyFill="1" applyBorder="1" applyAlignment="1" applyProtection="1">
      <alignment horizontal="left" wrapText="1"/>
      <protection locked="0"/>
    </xf>
    <xf numFmtId="195" fontId="5" fillId="0" borderId="0" xfId="161" applyNumberFormat="1" applyFont="1" applyFill="1" applyBorder="1" applyAlignment="1" applyProtection="1">
      <alignment horizontal="center"/>
      <protection locked="0"/>
    </xf>
    <xf numFmtId="175" fontId="109" fillId="0" borderId="0" xfId="0" applyNumberFormat="1" applyFont="1" applyFill="1" applyBorder="1" applyAlignment="1">
      <alignment horizontal="right"/>
    </xf>
    <xf numFmtId="176" fontId="109" fillId="0" borderId="0" xfId="0" applyNumberFormat="1" applyFont="1" applyFill="1" applyBorder="1" applyAlignment="1">
      <alignment horizontal="right"/>
    </xf>
    <xf numFmtId="15" fontId="22" fillId="0" borderId="0" xfId="161" applyNumberFormat="1" applyFont="1" applyFill="1" applyBorder="1" applyAlignment="1" applyProtection="1">
      <alignment horizontal="left" wrapText="1"/>
    </xf>
    <xf numFmtId="0" fontId="6" fillId="0" borderId="0" xfId="0" applyFont="1" applyFill="1" applyBorder="1" applyAlignment="1">
      <alignment horizontal="center" vertical="top"/>
    </xf>
    <xf numFmtId="0" fontId="6" fillId="0" borderId="0" xfId="0" applyFont="1" applyFill="1" applyBorder="1" applyAlignment="1">
      <alignment horizontal="right" vertical="top"/>
    </xf>
    <xf numFmtId="0" fontId="5" fillId="0" borderId="0" xfId="165" applyFont="1" applyFill="1" applyBorder="1" applyAlignment="1" applyProtection="1">
      <alignment horizontal="left" wrapText="1" indent="2"/>
      <protection locked="0"/>
    </xf>
    <xf numFmtId="0" fontId="5" fillId="0" borderId="0" xfId="161" applyFont="1" applyFill="1" applyBorder="1" applyAlignment="1" applyProtection="1">
      <alignment horizontal="center"/>
      <protection locked="0"/>
    </xf>
    <xf numFmtId="176" fontId="5" fillId="0" borderId="0" xfId="161" applyNumberFormat="1" applyFont="1" applyFill="1" applyBorder="1" applyAlignment="1" applyProtection="1">
      <alignment horizontal="right"/>
      <protection locked="0"/>
    </xf>
    <xf numFmtId="0" fontId="9" fillId="0" borderId="0" xfId="0" applyFont="1" applyFill="1" applyBorder="1" applyAlignment="1">
      <alignment horizontal="left" wrapText="1" indent="2"/>
    </xf>
    <xf numFmtId="0" fontId="5" fillId="0" borderId="0" xfId="162" applyFont="1" applyFill="1" applyBorder="1" applyAlignment="1" applyProtection="1">
      <alignment horizontal="left" wrapText="1" indent="2"/>
      <protection locked="0"/>
    </xf>
    <xf numFmtId="15" fontId="5" fillId="0" borderId="0" xfId="161" applyNumberFormat="1" applyFont="1" applyFill="1" applyBorder="1" applyAlignment="1" applyProtection="1">
      <alignment horizontal="left" wrapText="1" indent="2"/>
      <protection locked="0"/>
    </xf>
    <xf numFmtId="0" fontId="5" fillId="0" borderId="0" xfId="162" applyFont="1" applyFill="1" applyBorder="1" applyAlignment="1" applyProtection="1">
      <alignment horizontal="left" vertical="top" wrapText="1" indent="2"/>
      <protection locked="0"/>
    </xf>
    <xf numFmtId="0" fontId="5" fillId="0" borderId="0" xfId="24" applyFont="1" applyFill="1" applyBorder="1" applyAlignment="1" applyProtection="1">
      <alignment horizontal="center" vertical="center"/>
    </xf>
    <xf numFmtId="176" fontId="5" fillId="0" borderId="0" xfId="24" applyNumberFormat="1" applyFont="1" applyFill="1" applyBorder="1" applyAlignment="1" applyProtection="1">
      <alignment horizontal="right" vertical="center"/>
    </xf>
    <xf numFmtId="0" fontId="5" fillId="0" borderId="0" xfId="24" applyFont="1" applyFill="1" applyBorder="1" applyAlignment="1" applyProtection="1">
      <alignment horizontal="center"/>
    </xf>
    <xf numFmtId="176" fontId="5" fillId="0" borderId="0" xfId="24" applyNumberFormat="1" applyFont="1" applyFill="1" applyBorder="1" applyAlignment="1" applyProtection="1">
      <alignment horizontal="right"/>
    </xf>
    <xf numFmtId="176" fontId="109" fillId="0" borderId="0" xfId="161" applyNumberFormat="1" applyFont="1" applyFill="1" applyBorder="1" applyAlignment="1" applyProtection="1">
      <alignment horizontal="right"/>
      <protection locked="0"/>
    </xf>
    <xf numFmtId="0" fontId="111" fillId="0" borderId="0" xfId="0" applyFont="1" applyFill="1" applyBorder="1" applyAlignment="1">
      <alignment horizontal="center"/>
    </xf>
    <xf numFmtId="0" fontId="111" fillId="0" borderId="0" xfId="0" applyFont="1" applyFill="1" applyBorder="1" applyAlignment="1">
      <alignment horizontal="right"/>
    </xf>
    <xf numFmtId="15" fontId="5" fillId="0" borderId="0" xfId="161" applyNumberFormat="1" applyFont="1" applyFill="1" applyBorder="1" applyAlignment="1" applyProtection="1">
      <alignment horizontal="left" wrapText="1" indent="6"/>
      <protection locked="0"/>
    </xf>
    <xf numFmtId="0" fontId="5" fillId="0" borderId="0" xfId="161" applyFont="1" applyFill="1" applyBorder="1" applyAlignment="1" applyProtection="1">
      <alignment horizontal="right"/>
      <protection locked="0"/>
    </xf>
    <xf numFmtId="15" fontId="114" fillId="0" borderId="0" xfId="161" applyNumberFormat="1" applyFont="1" applyFill="1" applyBorder="1" applyAlignment="1" applyProtection="1">
      <alignment horizontal="left" wrapText="1"/>
    </xf>
    <xf numFmtId="0" fontId="9" fillId="0" borderId="0" xfId="0" applyFont="1" applyFill="1" applyBorder="1" applyAlignment="1" applyProtection="1">
      <alignment horizontal="left" wrapText="1"/>
      <protection locked="0"/>
    </xf>
    <xf numFmtId="0" fontId="9" fillId="0" borderId="0" xfId="0" applyFont="1" applyFill="1" applyBorder="1" applyAlignment="1" applyProtection="1">
      <alignment horizontal="center"/>
      <protection locked="0"/>
    </xf>
    <xf numFmtId="175" fontId="9" fillId="2" borderId="0" xfId="0" applyNumberFormat="1" applyFont="1" applyFill="1" applyBorder="1" applyAlignment="1" applyProtection="1">
      <alignment horizontal="left" vertical="center"/>
      <protection locked="0"/>
    </xf>
    <xf numFmtId="0" fontId="5" fillId="2" borderId="0" xfId="107" applyFont="1" applyFill="1" applyBorder="1" applyAlignment="1" applyProtection="1">
      <alignment horizontal="left" vertical="center"/>
      <protection locked="0"/>
    </xf>
    <xf numFmtId="175" fontId="9" fillId="2" borderId="0" xfId="0" applyNumberFormat="1" applyFont="1" applyFill="1" applyBorder="1" applyAlignment="1">
      <alignment horizontal="right" vertical="center"/>
    </xf>
    <xf numFmtId="0" fontId="11" fillId="2" borderId="0" xfId="0" applyFont="1" applyFill="1" applyBorder="1" applyAlignment="1">
      <alignment horizontal="left"/>
    </xf>
    <xf numFmtId="0" fontId="11" fillId="2" borderId="0" xfId="0" applyFont="1" applyFill="1" applyBorder="1" applyAlignment="1">
      <alignment horizontal="center"/>
    </xf>
    <xf numFmtId="0" fontId="11" fillId="2" borderId="0" xfId="0" applyFont="1" applyFill="1" applyBorder="1" applyAlignment="1">
      <alignment horizontal="center" vertical="center"/>
    </xf>
    <xf numFmtId="0" fontId="5" fillId="2" borderId="0" xfId="0" applyFont="1" applyFill="1" applyBorder="1" applyAlignment="1" applyProtection="1">
      <alignment vertical="center"/>
    </xf>
    <xf numFmtId="0" fontId="5" fillId="2" borderId="0" xfId="0" applyFont="1" applyFill="1" applyBorder="1" applyAlignment="1" applyProtection="1">
      <alignment horizontal="left" vertical="center"/>
    </xf>
    <xf numFmtId="175" fontId="9" fillId="2" borderId="98" xfId="0" applyNumberFormat="1" applyFont="1" applyFill="1" applyBorder="1" applyAlignment="1" applyProtection="1">
      <alignment horizontal="right" vertical="center"/>
      <protection locked="0"/>
    </xf>
    <xf numFmtId="175" fontId="9" fillId="2" borderId="5" xfId="0" applyNumberFormat="1" applyFont="1" applyFill="1" applyBorder="1" applyAlignment="1" applyProtection="1">
      <alignment horizontal="right" vertical="center"/>
      <protection locked="0"/>
    </xf>
    <xf numFmtId="0" fontId="66" fillId="0" borderId="0" xfId="0" applyFont="1" applyFill="1" applyBorder="1" applyAlignment="1">
      <alignment horizontal="left" wrapText="1"/>
    </xf>
    <xf numFmtId="0" fontId="66" fillId="0" borderId="0" xfId="0" applyFont="1" applyFill="1" applyBorder="1" applyAlignment="1">
      <alignment horizontal="center" vertical="center"/>
    </xf>
    <xf numFmtId="0" fontId="66" fillId="0" borderId="0" xfId="0" applyFont="1" applyFill="1" applyBorder="1" applyAlignment="1">
      <alignment horizontal="center"/>
    </xf>
    <xf numFmtId="0" fontId="66" fillId="0" borderId="0" xfId="0" applyFont="1" applyFill="1" applyBorder="1" applyAlignment="1">
      <alignment horizontal="left"/>
    </xf>
    <xf numFmtId="0" fontId="38" fillId="0" borderId="0" xfId="0" applyFont="1" applyFill="1" applyBorder="1" applyAlignment="1">
      <alignment horizontal="center" vertical="center"/>
    </xf>
    <xf numFmtId="175" fontId="9" fillId="0" borderId="0" xfId="0" applyNumberFormat="1" applyFont="1" applyFill="1" applyBorder="1" applyAlignment="1">
      <alignment horizontal="right" vertical="center"/>
    </xf>
    <xf numFmtId="176" fontId="9" fillId="0" borderId="0" xfId="0" applyNumberFormat="1" applyFont="1" applyFill="1" applyBorder="1" applyAlignment="1">
      <alignment horizontal="right" vertical="center"/>
    </xf>
    <xf numFmtId="15" fontId="101" fillId="0" borderId="0" xfId="161" applyNumberFormat="1" applyFont="1" applyFill="1" applyBorder="1" applyAlignment="1" applyProtection="1">
      <alignment horizontal="left" vertical="center" wrapText="1"/>
    </xf>
    <xf numFmtId="0" fontId="67" fillId="0" borderId="0" xfId="0" applyFont="1" applyFill="1" applyBorder="1" applyAlignment="1">
      <alignment horizontal="center" vertical="center"/>
    </xf>
    <xf numFmtId="195" fontId="5" fillId="0" borderId="0" xfId="161" applyNumberFormat="1" applyFont="1" applyFill="1" applyBorder="1" applyAlignment="1" applyProtection="1">
      <alignment horizontal="center" vertical="center"/>
      <protection locked="0"/>
    </xf>
    <xf numFmtId="15" fontId="41" fillId="0" borderId="0" xfId="161" applyNumberFormat="1" applyFont="1" applyFill="1" applyBorder="1" applyAlignment="1" applyProtection="1">
      <alignment horizontal="left" vertical="center" wrapText="1"/>
    </xf>
    <xf numFmtId="0" fontId="6" fillId="0" borderId="0" xfId="0" applyFont="1" applyFill="1" applyBorder="1" applyAlignment="1">
      <alignment horizontal="center" vertical="center"/>
    </xf>
    <xf numFmtId="0" fontId="5" fillId="0" borderId="0" xfId="162" applyFont="1" applyFill="1" applyBorder="1" applyAlignment="1" applyProtection="1">
      <alignment horizontal="center"/>
      <protection locked="0"/>
    </xf>
    <xf numFmtId="0" fontId="9" fillId="0" borderId="0" xfId="0" applyFont="1" applyFill="1" applyBorder="1" applyAlignment="1" applyProtection="1">
      <alignment horizontal="center" vertical="center"/>
      <protection locked="0"/>
    </xf>
    <xf numFmtId="0" fontId="5" fillId="0" borderId="0" xfId="161" applyFont="1" applyFill="1" applyBorder="1" applyAlignment="1" applyProtection="1">
      <alignment horizontal="center" vertical="center"/>
      <protection locked="0"/>
    </xf>
    <xf numFmtId="175" fontId="5" fillId="0" borderId="0" xfId="161" applyNumberFormat="1" applyFont="1" applyFill="1" applyBorder="1" applyAlignment="1" applyProtection="1">
      <alignment horizontal="right"/>
      <protection locked="0"/>
    </xf>
    <xf numFmtId="0" fontId="9" fillId="2" borderId="97" xfId="0" applyFont="1" applyFill="1" applyBorder="1" applyAlignment="1">
      <alignment horizontal="left" vertical="center" wrapText="1"/>
    </xf>
    <xf numFmtId="175" fontId="9" fillId="2" borderId="97" xfId="0" applyNumberFormat="1" applyFont="1" applyFill="1" applyBorder="1" applyAlignment="1">
      <alignment horizontal="right" vertical="center" wrapText="1"/>
    </xf>
    <xf numFmtId="176" fontId="9" fillId="2" borderId="97" xfId="0" applyNumberFormat="1" applyFont="1" applyFill="1" applyBorder="1" applyAlignment="1">
      <alignment horizontal="right" vertical="center" wrapText="1"/>
    </xf>
    <xf numFmtId="0" fontId="9" fillId="2" borderId="0" xfId="0" applyFont="1" applyFill="1" applyAlignment="1">
      <alignment horizontal="right" wrapText="1"/>
    </xf>
    <xf numFmtId="175" fontId="9" fillId="2" borderId="0" xfId="0" applyNumberFormat="1" applyFont="1" applyFill="1" applyAlignment="1">
      <alignment horizontal="left"/>
    </xf>
    <xf numFmtId="175" fontId="9" fillId="2" borderId="0" xfId="0" applyNumberFormat="1" applyFont="1" applyFill="1" applyAlignment="1">
      <alignment horizontal="left" vertical="top"/>
    </xf>
    <xf numFmtId="195" fontId="5" fillId="2" borderId="0" xfId="161" applyNumberFormat="1" applyFont="1" applyFill="1" applyBorder="1" applyAlignment="1" applyProtection="1">
      <alignment horizontal="left" vertical="center"/>
      <protection locked="0"/>
    </xf>
    <xf numFmtId="175" fontId="5" fillId="2" borderId="0" xfId="161" applyNumberFormat="1" applyFont="1" applyFill="1" applyBorder="1" applyAlignment="1" applyProtection="1">
      <alignment horizontal="right" vertical="center"/>
      <protection locked="0"/>
    </xf>
    <xf numFmtId="176" fontId="5" fillId="2" borderId="0" xfId="232" applyNumberFormat="1" applyFont="1" applyFill="1" applyBorder="1" applyAlignment="1" applyProtection="1">
      <alignment horizontal="right" vertical="center"/>
      <protection locked="0"/>
    </xf>
    <xf numFmtId="2" fontId="5" fillId="2" borderId="0" xfId="161" applyNumberFormat="1" applyFont="1" applyFill="1" applyBorder="1" applyAlignment="1" applyProtection="1">
      <alignment horizontal="right" vertical="center"/>
      <protection locked="0"/>
    </xf>
    <xf numFmtId="4" fontId="9" fillId="2" borderId="0" xfId="0" applyNumberFormat="1" applyFont="1" applyFill="1" applyAlignment="1">
      <alignment horizontal="right"/>
    </xf>
    <xf numFmtId="180" fontId="9" fillId="2" borderId="0" xfId="0" applyNumberFormat="1" applyFont="1" applyFill="1" applyAlignment="1">
      <alignment horizontal="right"/>
    </xf>
    <xf numFmtId="176" fontId="66" fillId="2" borderId="0" xfId="0" applyNumberFormat="1" applyFont="1" applyFill="1" applyAlignment="1">
      <alignment horizontal="right" wrapText="1"/>
    </xf>
    <xf numFmtId="175" fontId="66" fillId="2" borderId="0" xfId="0" applyNumberFormat="1" applyFont="1" applyFill="1" applyAlignment="1">
      <alignment horizontal="right" wrapText="1"/>
    </xf>
    <xf numFmtId="198" fontId="66" fillId="2" borderId="0" xfId="0" applyNumberFormat="1" applyFont="1" applyFill="1" applyAlignment="1">
      <alignment horizontal="right" wrapText="1"/>
    </xf>
    <xf numFmtId="180" fontId="66" fillId="2" borderId="0" xfId="0" applyNumberFormat="1" applyFont="1" applyFill="1" applyAlignment="1">
      <alignment horizontal="right" wrapText="1"/>
    </xf>
    <xf numFmtId="0" fontId="9" fillId="2" borderId="0" xfId="0" applyFont="1" applyFill="1" applyAlignment="1">
      <alignment vertical="center" wrapText="1"/>
    </xf>
    <xf numFmtId="176" fontId="9" fillId="2" borderId="0" xfId="0" applyNumberFormat="1" applyFont="1" applyFill="1" applyAlignment="1">
      <alignment vertical="center" wrapText="1"/>
    </xf>
    <xf numFmtId="2" fontId="0" fillId="2" borderId="0" xfId="0" applyNumberFormat="1" applyFill="1" applyAlignment="1" applyProtection="1">
      <alignment wrapText="1"/>
      <protection locked="0"/>
    </xf>
    <xf numFmtId="0" fontId="0" fillId="2" borderId="0" xfId="0" applyFill="1" applyAlignment="1" applyProtection="1">
      <alignment wrapText="1"/>
      <protection locked="0"/>
    </xf>
    <xf numFmtId="0" fontId="9" fillId="2" borderId="0" xfId="0" applyFont="1" applyFill="1" applyAlignment="1">
      <alignment horizontal="right" vertical="center" wrapText="1"/>
    </xf>
    <xf numFmtId="0" fontId="67" fillId="2" borderId="0" xfId="0" applyFont="1" applyFill="1" applyAlignment="1">
      <alignment wrapText="1"/>
    </xf>
    <xf numFmtId="0" fontId="66" fillId="2" borderId="0" xfId="0" applyFont="1" applyFill="1" applyAlignment="1">
      <alignment horizontal="left" vertical="center"/>
    </xf>
    <xf numFmtId="176" fontId="66" fillId="2" borderId="0" xfId="0" applyNumberFormat="1" applyFont="1" applyFill="1" applyAlignment="1">
      <alignment horizontal="right" vertical="center"/>
    </xf>
    <xf numFmtId="179" fontId="9" fillId="2" borderId="0" xfId="0" applyNumberFormat="1" applyFont="1" applyFill="1" applyAlignment="1">
      <alignment horizontal="right" vertical="center"/>
    </xf>
    <xf numFmtId="0" fontId="9" fillId="0" borderId="0" xfId="0" applyFont="1" applyAlignment="1">
      <alignment horizontal="center" vertical="center"/>
    </xf>
    <xf numFmtId="176" fontId="66" fillId="0" borderId="0" xfId="0" applyNumberFormat="1" applyFont="1" applyAlignment="1">
      <alignment horizontal="right"/>
    </xf>
    <xf numFmtId="176" fontId="9" fillId="0" borderId="0" xfId="0" applyNumberFormat="1" applyFont="1" applyAlignment="1">
      <alignment horizontal="center" vertical="center"/>
    </xf>
    <xf numFmtId="175" fontId="66" fillId="0" borderId="0" xfId="0" applyNumberFormat="1" applyFont="1" applyAlignment="1">
      <alignment horizontal="right"/>
    </xf>
    <xf numFmtId="198" fontId="66" fillId="0" borderId="0" xfId="0" applyNumberFormat="1" applyFont="1" applyAlignment="1">
      <alignment horizontal="right"/>
    </xf>
    <xf numFmtId="0" fontId="9" fillId="0" borderId="0" xfId="0" applyFont="1" applyAlignment="1">
      <alignment horizontal="center"/>
    </xf>
    <xf numFmtId="0" fontId="5" fillId="0" borderId="0" xfId="24" applyFont="1" applyFill="1" applyBorder="1" applyAlignment="1" applyProtection="1">
      <alignment horizontal="center" vertical="center"/>
      <protection locked="0"/>
    </xf>
    <xf numFmtId="175" fontId="5" fillId="0" borderId="0" xfId="24" applyNumberFormat="1" applyFont="1" applyFill="1" applyBorder="1" applyAlignment="1" applyProtection="1">
      <alignment horizontal="right" vertical="center"/>
      <protection locked="0"/>
    </xf>
    <xf numFmtId="176" fontId="5" fillId="0" borderId="0" xfId="24" applyNumberFormat="1" applyFont="1" applyFill="1" applyBorder="1" applyAlignment="1" applyProtection="1">
      <alignment horizontal="right" vertical="center"/>
      <protection locked="0"/>
    </xf>
    <xf numFmtId="0" fontId="110" fillId="0" borderId="0" xfId="0" applyFont="1" applyAlignment="1">
      <alignment horizontal="center" vertical="center" wrapText="1"/>
    </xf>
    <xf numFmtId="0" fontId="110" fillId="0" borderId="0" xfId="0" applyFont="1" applyAlignment="1">
      <alignment horizontal="left" vertical="top" wrapText="1"/>
    </xf>
    <xf numFmtId="0" fontId="38" fillId="0" borderId="0" xfId="0" applyFont="1" applyAlignment="1">
      <alignment horizontal="center" vertical="center" wrapText="1"/>
    </xf>
    <xf numFmtId="0" fontId="105" fillId="0" borderId="0" xfId="24" applyFont="1" applyFill="1" applyBorder="1" applyAlignment="1" applyProtection="1">
      <alignment vertical="center" wrapText="1"/>
      <protection locked="0"/>
    </xf>
    <xf numFmtId="175" fontId="105" fillId="0" borderId="0" xfId="24" applyNumberFormat="1" applyFont="1" applyFill="1" applyBorder="1" applyAlignment="1" applyProtection="1">
      <alignment vertical="center" wrapText="1"/>
      <protection locked="0"/>
    </xf>
    <xf numFmtId="0" fontId="63" fillId="0" borderId="0" xfId="0" applyFont="1" applyAlignment="1">
      <alignment horizontal="center" vertical="center"/>
    </xf>
    <xf numFmtId="0" fontId="13" fillId="0" borderId="0" xfId="0" applyFont="1" applyAlignment="1">
      <alignment vertical="top" wrapText="1"/>
    </xf>
    <xf numFmtId="0" fontId="9" fillId="0" borderId="0" xfId="0" applyFont="1" applyAlignment="1">
      <alignment vertical="top" wrapText="1"/>
    </xf>
    <xf numFmtId="175" fontId="4" fillId="0" borderId="0" xfId="161" applyNumberFormat="1" applyFill="1" applyBorder="1" applyProtection="1"/>
    <xf numFmtId="176" fontId="5" fillId="0" borderId="0" xfId="161" applyNumberFormat="1" applyFont="1" applyFill="1" applyBorder="1" applyAlignment="1" applyProtection="1">
      <alignment vertical="top"/>
      <protection locked="0"/>
    </xf>
    <xf numFmtId="15" fontId="41" fillId="0" borderId="0" xfId="161" applyNumberFormat="1" applyFont="1" applyFill="1" applyBorder="1" applyAlignment="1" applyProtection="1">
      <alignment vertical="center"/>
    </xf>
    <xf numFmtId="15" fontId="22" fillId="0" borderId="0" xfId="161" applyNumberFormat="1" applyFont="1" applyFill="1" applyBorder="1" applyAlignment="1" applyProtection="1">
      <alignment vertical="center"/>
    </xf>
    <xf numFmtId="0" fontId="5" fillId="0" borderId="0" xfId="24" applyFont="1" applyAlignment="1">
      <alignment horizontal="left" indent="2"/>
    </xf>
    <xf numFmtId="0" fontId="5" fillId="0" borderId="0" xfId="24" applyFont="1" applyAlignment="1">
      <alignment horizontal="left" vertical="top" wrapText="1" indent="2"/>
    </xf>
    <xf numFmtId="0" fontId="5" fillId="0" borderId="0" xfId="24" applyFont="1" applyAlignment="1">
      <alignment horizontal="left" vertical="top" indent="2"/>
    </xf>
    <xf numFmtId="0" fontId="5" fillId="0" borderId="0" xfId="161" applyFont="1" applyFill="1" applyBorder="1" applyAlignment="1" applyProtection="1">
      <alignment horizontal="center" vertical="top"/>
      <protection locked="0"/>
    </xf>
    <xf numFmtId="176" fontId="5" fillId="0" borderId="0" xfId="24" applyNumberFormat="1" applyFont="1" applyFill="1" applyBorder="1" applyProtection="1">
      <protection locked="0"/>
    </xf>
    <xf numFmtId="175" fontId="5" fillId="0" borderId="0" xfId="24" applyNumberFormat="1" applyFont="1" applyFill="1" applyBorder="1" applyProtection="1">
      <protection locked="0"/>
    </xf>
    <xf numFmtId="0" fontId="5" fillId="0" borderId="0" xfId="24" applyFont="1" applyFill="1" applyBorder="1" applyProtection="1"/>
    <xf numFmtId="175" fontId="9" fillId="0" borderId="0" xfId="24" applyNumberFormat="1" applyFont="1" applyFill="1" applyBorder="1" applyAlignment="1" applyProtection="1">
      <alignment horizontal="right"/>
      <protection locked="0"/>
    </xf>
    <xf numFmtId="0" fontId="9" fillId="2" borderId="0" xfId="0" applyFont="1" applyFill="1" applyBorder="1" applyAlignment="1" applyProtection="1">
      <alignment horizontal="center" vertical="center"/>
      <protection locked="0"/>
    </xf>
    <xf numFmtId="2" fontId="9" fillId="2" borderId="0" xfId="0" applyNumberFormat="1" applyFont="1" applyFill="1" applyBorder="1" applyAlignment="1" applyProtection="1">
      <alignment horizontal="right"/>
      <protection locked="0"/>
    </xf>
    <xf numFmtId="198" fontId="9" fillId="2" borderId="0" xfId="0" applyNumberFormat="1" applyFont="1" applyFill="1" applyBorder="1" applyAlignment="1" applyProtection="1">
      <alignment horizontal="right"/>
      <protection locked="0"/>
    </xf>
    <xf numFmtId="175" fontId="5" fillId="2" borderId="0" xfId="161" applyNumberFormat="1" applyFont="1" applyFill="1" applyBorder="1" applyAlignment="1" applyProtection="1">
      <alignment horizontal="right"/>
      <protection locked="0"/>
    </xf>
    <xf numFmtId="0" fontId="9" fillId="2" borderId="0" xfId="0" applyFont="1" applyFill="1" applyBorder="1" applyAlignment="1" applyProtection="1">
      <alignment horizontal="center"/>
      <protection locked="0"/>
    </xf>
    <xf numFmtId="0" fontId="5" fillId="2" borderId="0" xfId="0" applyFont="1" applyFill="1" applyBorder="1" applyAlignment="1" applyProtection="1">
      <alignment horizontal="center" vertical="center"/>
      <protection locked="0"/>
    </xf>
    <xf numFmtId="175" fontId="4" fillId="2" borderId="0" xfId="161" applyNumberFormat="1" applyFill="1" applyBorder="1" applyProtection="1">
      <protection locked="0"/>
    </xf>
    <xf numFmtId="15" fontId="81" fillId="2" borderId="0" xfId="161" applyNumberFormat="1" applyFont="1" applyFill="1" applyBorder="1" applyAlignment="1" applyProtection="1">
      <alignment horizontal="left"/>
      <protection locked="0"/>
    </xf>
    <xf numFmtId="176" fontId="9" fillId="2" borderId="0" xfId="0" applyNumberFormat="1" applyFont="1" applyFill="1" applyBorder="1" applyAlignment="1" applyProtection="1">
      <alignment horizontal="right" vertical="top"/>
      <protection locked="0"/>
    </xf>
    <xf numFmtId="15" fontId="81" fillId="2" borderId="0" xfId="161" applyNumberFormat="1" applyFont="1" applyFill="1" applyBorder="1" applyAlignment="1" applyProtection="1">
      <alignment horizontal="left"/>
    </xf>
    <xf numFmtId="15" fontId="41" fillId="2" borderId="0" xfId="161" applyNumberFormat="1" applyFont="1" applyFill="1" applyBorder="1" applyAlignment="1" applyProtection="1">
      <protection locked="0"/>
    </xf>
    <xf numFmtId="0" fontId="1" fillId="2" borderId="0" xfId="0" applyFont="1" applyFill="1"/>
    <xf numFmtId="0" fontId="1" fillId="2" borderId="0" xfId="0" applyFont="1" applyFill="1" applyAlignment="1">
      <alignment horizontal="right"/>
    </xf>
    <xf numFmtId="0" fontId="13" fillId="0" borderId="0" xfId="24" applyFont="1" applyFill="1" applyBorder="1" applyAlignment="1" applyProtection="1">
      <alignment horizontal="left" vertical="center"/>
      <protection locked="0"/>
    </xf>
    <xf numFmtId="0" fontId="4" fillId="0" borderId="0" xfId="24" applyFont="1" applyFill="1" applyBorder="1" applyAlignment="1" applyProtection="1">
      <alignment horizontal="left"/>
      <protection locked="0"/>
    </xf>
    <xf numFmtId="176" fontId="9" fillId="0" borderId="0" xfId="24" applyNumberFormat="1" applyFont="1" applyFill="1" applyBorder="1" applyAlignment="1" applyProtection="1">
      <alignment horizontal="right" vertical="center"/>
      <protection locked="0"/>
    </xf>
    <xf numFmtId="175" fontId="9" fillId="0" borderId="0" xfId="68" applyNumberFormat="1" applyFont="1" applyFill="1" applyBorder="1" applyAlignment="1" applyProtection="1">
      <alignment vertical="center"/>
      <protection locked="0"/>
    </xf>
    <xf numFmtId="0" fontId="9" fillId="0" borderId="0" xfId="24" applyFont="1" applyFill="1" applyBorder="1" applyAlignment="1" applyProtection="1">
      <alignment horizontal="left"/>
      <protection locked="0"/>
    </xf>
    <xf numFmtId="175" fontId="9" fillId="0" borderId="0" xfId="68" applyNumberFormat="1" applyFont="1" applyFill="1" applyBorder="1" applyAlignment="1" applyProtection="1">
      <protection locked="0"/>
    </xf>
    <xf numFmtId="175" fontId="9" fillId="0" borderId="0" xfId="24" applyNumberFormat="1" applyFont="1" applyFill="1" applyBorder="1" applyAlignment="1" applyProtection="1">
      <alignment horizontal="right" vertical="center"/>
      <protection locked="0"/>
    </xf>
    <xf numFmtId="175" fontId="9" fillId="0" borderId="0" xfId="68" applyNumberFormat="1" applyFont="1" applyFill="1" applyBorder="1" applyAlignment="1" applyProtection="1">
      <alignment horizontal="right"/>
      <protection locked="0"/>
    </xf>
    <xf numFmtId="175" fontId="4" fillId="0" borderId="0" xfId="24" applyNumberFormat="1" applyFont="1" applyFill="1" applyBorder="1" applyAlignment="1" applyProtection="1">
      <alignment horizontal="left"/>
      <protection locked="0"/>
    </xf>
    <xf numFmtId="0" fontId="5" fillId="0" borderId="0" xfId="24" applyFont="1" applyFill="1" applyBorder="1" applyAlignment="1" applyProtection="1">
      <alignment horizontal="left" vertical="center"/>
      <protection locked="0"/>
    </xf>
    <xf numFmtId="175" fontId="9" fillId="0" borderId="0" xfId="68" applyNumberFormat="1" applyFont="1" applyFill="1" applyBorder="1" applyAlignment="1" applyProtection="1">
      <alignment horizontal="right" vertical="center"/>
      <protection locked="0"/>
    </xf>
    <xf numFmtId="0" fontId="13" fillId="0" borderId="0" xfId="24" applyFont="1" applyFill="1" applyBorder="1" applyAlignment="1" applyProtection="1">
      <alignment horizontal="left" vertical="top"/>
      <protection locked="0"/>
    </xf>
    <xf numFmtId="0" fontId="4" fillId="0" borderId="0" xfId="24" applyFont="1" applyFill="1" applyBorder="1" applyAlignment="1" applyProtection="1">
      <alignment horizontal="left" vertical="center"/>
      <protection locked="0"/>
    </xf>
    <xf numFmtId="175" fontId="4" fillId="0" borderId="0" xfId="24" applyNumberFormat="1" applyFont="1" applyFill="1" applyBorder="1" applyAlignment="1" applyProtection="1">
      <alignment horizontal="left" vertical="center"/>
      <protection locked="0"/>
    </xf>
    <xf numFmtId="176" fontId="9" fillId="0" borderId="0" xfId="24" applyNumberFormat="1" applyFont="1" applyFill="1" applyBorder="1" applyAlignment="1" applyProtection="1">
      <alignment horizontal="right" vertical="top"/>
      <protection locked="0"/>
    </xf>
    <xf numFmtId="175" fontId="9" fillId="0" borderId="0" xfId="24" applyNumberFormat="1" applyFont="1" applyFill="1" applyBorder="1" applyAlignment="1" applyProtection="1">
      <alignment horizontal="right" vertical="top"/>
      <protection locked="0"/>
    </xf>
    <xf numFmtId="175" fontId="9" fillId="0" borderId="0" xfId="68" applyNumberFormat="1" applyFont="1" applyFill="1" applyBorder="1" applyAlignment="1" applyProtection="1">
      <alignment horizontal="right" vertical="top"/>
      <protection locked="0"/>
    </xf>
    <xf numFmtId="175" fontId="5" fillId="0" borderId="0" xfId="24" applyNumberFormat="1" applyFont="1" applyFill="1" applyBorder="1" applyAlignment="1" applyProtection="1">
      <alignment horizontal="right" vertical="top"/>
      <protection locked="0"/>
    </xf>
    <xf numFmtId="198" fontId="9" fillId="0" borderId="0" xfId="24" applyNumberFormat="1" applyFont="1" applyFill="1" applyBorder="1" applyAlignment="1" applyProtection="1">
      <alignment horizontal="left" vertical="top"/>
      <protection locked="0"/>
    </xf>
    <xf numFmtId="15" fontId="41" fillId="0" borderId="0" xfId="277" applyNumberFormat="1" applyFont="1" applyFill="1" applyBorder="1" applyProtection="1"/>
    <xf numFmtId="195" fontId="4" fillId="0" borderId="0" xfId="277" applyFill="1" applyBorder="1" applyProtection="1"/>
    <xf numFmtId="175" fontId="4" fillId="0" borderId="0" xfId="277" applyNumberFormat="1" applyFill="1" applyBorder="1" applyProtection="1"/>
    <xf numFmtId="0" fontId="5" fillId="0" borderId="0" xfId="24" applyFont="1" applyFill="1" applyBorder="1" applyAlignment="1" applyProtection="1">
      <alignment horizontal="left" vertical="top"/>
      <protection locked="0"/>
    </xf>
    <xf numFmtId="175" fontId="5" fillId="0" borderId="0" xfId="277" applyNumberFormat="1" applyFont="1" applyFill="1" applyBorder="1" applyAlignment="1" applyProtection="1">
      <alignment vertical="top"/>
      <protection locked="0"/>
    </xf>
    <xf numFmtId="0" fontId="4" fillId="0" borderId="0" xfId="24" applyFill="1" applyBorder="1" applyAlignment="1" applyProtection="1">
      <alignment horizontal="left" vertical="center"/>
    </xf>
    <xf numFmtId="176" fontId="5" fillId="0" borderId="0" xfId="277" applyNumberFormat="1" applyFont="1" applyFill="1" applyBorder="1" applyAlignment="1" applyProtection="1">
      <alignment vertical="top"/>
      <protection locked="0"/>
    </xf>
    <xf numFmtId="15" fontId="41" fillId="0" borderId="0" xfId="277" applyNumberFormat="1" applyFont="1" applyFill="1" applyBorder="1" applyAlignment="1" applyProtection="1">
      <alignment vertical="center"/>
    </xf>
    <xf numFmtId="175" fontId="4" fillId="0" borderId="0" xfId="277" applyNumberFormat="1" applyFill="1" applyBorder="1" applyAlignment="1" applyProtection="1">
      <alignment horizontal="left" indent="2"/>
    </xf>
    <xf numFmtId="15" fontId="22" fillId="0" borderId="0" xfId="277" applyNumberFormat="1" applyFont="1" applyFill="1" applyBorder="1" applyAlignment="1" applyProtection="1">
      <alignment vertical="center"/>
    </xf>
    <xf numFmtId="0" fontId="5" fillId="0" borderId="0" xfId="24" applyFont="1" applyFill="1" applyBorder="1" applyAlignment="1" applyProtection="1">
      <alignment horizontal="left" vertical="center"/>
    </xf>
    <xf numFmtId="195" fontId="5" fillId="0" borderId="0" xfId="277" applyFont="1" applyFill="1" applyBorder="1" applyProtection="1"/>
    <xf numFmtId="175" fontId="5" fillId="0" borderId="0" xfId="277" applyNumberFormat="1" applyFont="1" applyFill="1" applyBorder="1" applyAlignment="1" applyProtection="1">
      <alignment horizontal="left" indent="2"/>
    </xf>
    <xf numFmtId="195" fontId="5" fillId="0" borderId="0" xfId="277" applyFont="1" applyFill="1" applyBorder="1" applyAlignment="1" applyProtection="1">
      <alignment horizontal="left" vertical="top"/>
      <protection locked="0"/>
    </xf>
    <xf numFmtId="176" fontId="5" fillId="0" borderId="0" xfId="277" applyNumberFormat="1" applyFont="1" applyFill="1" applyBorder="1" applyAlignment="1" applyProtection="1">
      <alignment horizontal="right" vertical="top"/>
      <protection locked="0"/>
    </xf>
    <xf numFmtId="15" fontId="114" fillId="0" borderId="0" xfId="277" applyNumberFormat="1" applyFont="1" applyFill="1" applyBorder="1" applyProtection="1"/>
    <xf numFmtId="0" fontId="13" fillId="0" borderId="0" xfId="0" applyFont="1" applyFill="1" applyBorder="1"/>
    <xf numFmtId="0" fontId="110" fillId="0" borderId="0" xfId="0" applyFont="1" applyFill="1" applyBorder="1" applyAlignment="1">
      <alignment horizontal="center" vertical="top" wrapText="1"/>
    </xf>
    <xf numFmtId="0" fontId="110" fillId="0" borderId="0" xfId="0" applyFont="1" applyFill="1" applyBorder="1" applyAlignment="1">
      <alignment horizontal="left" vertical="top" wrapText="1"/>
    </xf>
    <xf numFmtId="0" fontId="13" fillId="0" borderId="0" xfId="0" applyFont="1" applyFill="1" applyBorder="1" applyAlignment="1">
      <alignment vertical="top" wrapText="1"/>
    </xf>
    <xf numFmtId="0" fontId="38" fillId="0" borderId="0" xfId="0" applyFont="1" applyFill="1" applyBorder="1" applyAlignment="1">
      <alignment horizontal="center" vertical="top" wrapText="1"/>
    </xf>
    <xf numFmtId="0" fontId="38" fillId="0" borderId="0" xfId="0" applyFont="1" applyFill="1" applyBorder="1" applyAlignment="1">
      <alignment vertical="top" wrapText="1"/>
    </xf>
    <xf numFmtId="0" fontId="66" fillId="0" borderId="0" xfId="0" applyFont="1" applyFill="1" applyBorder="1" applyAlignment="1">
      <alignment wrapText="1"/>
    </xf>
    <xf numFmtId="0" fontId="63" fillId="0" borderId="0" xfId="0" applyFont="1" applyFill="1" applyBorder="1" applyAlignment="1">
      <alignment horizontal="center"/>
    </xf>
    <xf numFmtId="179" fontId="9" fillId="0" borderId="0" xfId="0" applyNumberFormat="1" applyFont="1" applyFill="1" applyBorder="1"/>
    <xf numFmtId="0" fontId="11" fillId="0" borderId="0" xfId="0" applyFont="1" applyFill="1" applyBorder="1" applyAlignment="1">
      <alignment horizontal="left" vertical="center"/>
    </xf>
    <xf numFmtId="2" fontId="9" fillId="0" borderId="0" xfId="0" applyNumberFormat="1" applyFont="1" applyFill="1" applyBorder="1"/>
    <xf numFmtId="0" fontId="11" fillId="0" borderId="0" xfId="0" applyFont="1" applyFill="1" applyBorder="1" applyAlignment="1">
      <alignment horizontal="left"/>
    </xf>
    <xf numFmtId="0" fontId="67" fillId="0" borderId="0" xfId="0" applyFont="1" applyFill="1" applyBorder="1" applyAlignment="1">
      <alignment horizontal="center"/>
    </xf>
    <xf numFmtId="0" fontId="67" fillId="0" borderId="0" xfId="0" applyFont="1" applyFill="1" applyBorder="1"/>
    <xf numFmtId="0" fontId="110" fillId="0" borderId="0" xfId="0" applyFont="1" applyFill="1" applyBorder="1" applyAlignment="1">
      <alignment horizontal="left" vertical="center"/>
    </xf>
    <xf numFmtId="0" fontId="13" fillId="0" borderId="0" xfId="0" applyFont="1" applyFill="1" applyBorder="1" applyAlignment="1"/>
    <xf numFmtId="0" fontId="9" fillId="0" borderId="0" xfId="0" applyFont="1" applyFill="1" applyBorder="1" applyAlignment="1">
      <alignment horizontal="left" vertical="center" indent="2"/>
    </xf>
    <xf numFmtId="0" fontId="5" fillId="0" borderId="0" xfId="24" applyFont="1" applyFill="1" applyBorder="1" applyAlignment="1">
      <alignment horizontal="left" vertical="top" indent="2"/>
    </xf>
    <xf numFmtId="0" fontId="5" fillId="0" borderId="0" xfId="24" applyFont="1" applyFill="1" applyBorder="1" applyAlignment="1">
      <alignment horizontal="left" vertical="top" wrapText="1" indent="2"/>
    </xf>
    <xf numFmtId="0" fontId="9" fillId="0" borderId="0" xfId="0" applyFont="1" applyFill="1" applyBorder="1" applyAlignment="1">
      <alignment horizontal="center" wrapText="1"/>
    </xf>
    <xf numFmtId="0" fontId="38" fillId="0" borderId="0" xfId="0" applyFont="1" applyFill="1" applyBorder="1" applyAlignment="1">
      <alignment wrapText="1"/>
    </xf>
    <xf numFmtId="0" fontId="118" fillId="2" borderId="0" xfId="0" applyFont="1" applyFill="1" applyAlignment="1">
      <alignment horizontal="left"/>
    </xf>
    <xf numFmtId="15" fontId="41" fillId="2" borderId="0" xfId="161" applyNumberFormat="1" applyFont="1" applyFill="1" applyBorder="1" applyAlignment="1" applyProtection="1">
      <alignment horizontal="left" wrapText="1"/>
      <protection locked="0"/>
    </xf>
    <xf numFmtId="15" fontId="22" fillId="2" borderId="0" xfId="161" applyNumberFormat="1" applyFont="1" applyFill="1" applyBorder="1" applyAlignment="1" applyProtection="1">
      <alignment horizontal="left" wrapText="1"/>
      <protection locked="0"/>
    </xf>
    <xf numFmtId="175" fontId="109" fillId="2" borderId="0" xfId="0" applyNumberFormat="1" applyFont="1" applyFill="1" applyAlignment="1">
      <alignment horizontal="right" vertical="center"/>
    </xf>
    <xf numFmtId="176" fontId="9" fillId="2" borderId="0" xfId="0" applyNumberFormat="1" applyFont="1" applyFill="1" applyAlignment="1">
      <alignment horizontal="left"/>
    </xf>
    <xf numFmtId="2" fontId="9" fillId="2" borderId="0" xfId="0" applyNumberFormat="1" applyFont="1" applyFill="1"/>
    <xf numFmtId="176" fontId="9" fillId="2" borderId="0" xfId="0" applyNumberFormat="1" applyFont="1" applyFill="1" applyAlignment="1"/>
    <xf numFmtId="2" fontId="0" fillId="2" borderId="0" xfId="0" applyNumberFormat="1" applyFill="1" applyAlignment="1">
      <alignment vertical="top"/>
    </xf>
    <xf numFmtId="175" fontId="9" fillId="0" borderId="0" xfId="0" applyNumberFormat="1" applyFont="1" applyFill="1" applyAlignment="1">
      <alignment horizontal="right"/>
    </xf>
    <xf numFmtId="176" fontId="5" fillId="2" borderId="0" xfId="161" applyNumberFormat="1" applyFont="1" applyFill="1" applyBorder="1" applyAlignment="1" applyProtection="1">
      <protection locked="0"/>
    </xf>
    <xf numFmtId="175" fontId="38" fillId="2" borderId="0" xfId="0" applyNumberFormat="1" applyFont="1" applyFill="1" applyAlignment="1">
      <alignment horizontal="right" wrapText="1"/>
    </xf>
    <xf numFmtId="0" fontId="9" fillId="2" borderId="0" xfId="166" applyFont="1" applyFill="1" applyBorder="1" applyAlignment="1" applyProtection="1">
      <alignment horizontal="center" vertical="center"/>
      <protection locked="0"/>
    </xf>
    <xf numFmtId="176" fontId="9" fillId="2" borderId="0" xfId="166" applyNumberFormat="1" applyFont="1" applyFill="1" applyBorder="1" applyAlignment="1" applyProtection="1">
      <alignment horizontal="right"/>
      <protection locked="0"/>
    </xf>
    <xf numFmtId="175" fontId="9" fillId="2" borderId="0" xfId="166" applyNumberFormat="1" applyFont="1" applyFill="1" applyBorder="1" applyAlignment="1" applyProtection="1">
      <alignment horizontal="right"/>
      <protection locked="0"/>
    </xf>
    <xf numFmtId="0" fontId="5" fillId="2" borderId="0" xfId="166" applyFont="1" applyFill="1" applyBorder="1" applyAlignment="1" applyProtection="1">
      <alignment horizontal="left"/>
      <protection locked="0"/>
    </xf>
    <xf numFmtId="175" fontId="5" fillId="2" borderId="0" xfId="166" applyNumberFormat="1" applyFont="1" applyFill="1" applyBorder="1" applyAlignment="1" applyProtection="1">
      <alignment horizontal="right"/>
      <protection locked="0"/>
    </xf>
    <xf numFmtId="0" fontId="5" fillId="2" borderId="0" xfId="166" applyFont="1" applyFill="1" applyBorder="1" applyAlignment="1" applyProtection="1">
      <alignment horizontal="center" vertical="center"/>
      <protection locked="0"/>
    </xf>
    <xf numFmtId="176" fontId="5" fillId="2" borderId="0" xfId="166" applyNumberFormat="1" applyFont="1" applyFill="1" applyBorder="1" applyAlignment="1" applyProtection="1">
      <alignment horizontal="right"/>
      <protection locked="0"/>
    </xf>
    <xf numFmtId="0" fontId="4" fillId="2" borderId="0" xfId="161" applyFill="1" applyBorder="1" applyAlignment="1" applyProtection="1">
      <alignment horizontal="center"/>
      <protection locked="0"/>
    </xf>
    <xf numFmtId="0" fontId="5" fillId="2" borderId="0" xfId="166" applyFont="1" applyFill="1" applyBorder="1" applyProtection="1">
      <protection locked="0"/>
    </xf>
    <xf numFmtId="175" fontId="5" fillId="2" borderId="0" xfId="166" applyNumberFormat="1" applyFont="1" applyFill="1" applyBorder="1" applyProtection="1">
      <protection locked="0"/>
    </xf>
    <xf numFmtId="201" fontId="9" fillId="2" borderId="0" xfId="0" applyNumberFormat="1" applyFont="1" applyFill="1" applyAlignment="1"/>
    <xf numFmtId="40" fontId="9" fillId="2" borderId="0" xfId="0" applyNumberFormat="1" applyFont="1" applyFill="1" applyAlignment="1"/>
    <xf numFmtId="2" fontId="0" fillId="2" borderId="0" xfId="0" applyNumberFormat="1" applyFill="1"/>
    <xf numFmtId="176" fontId="9" fillId="2" borderId="0" xfId="0" applyNumberFormat="1" applyFont="1" applyFill="1" applyBorder="1" applyAlignment="1">
      <alignment horizontal="right" wrapText="1"/>
    </xf>
    <xf numFmtId="2" fontId="9" fillId="2" borderId="0" xfId="0" applyNumberFormat="1" applyFont="1" applyFill="1" applyBorder="1" applyAlignment="1">
      <alignment horizontal="right" vertical="center" wrapText="1"/>
    </xf>
    <xf numFmtId="176" fontId="113" fillId="2" borderId="0" xfId="0" applyNumberFormat="1" applyFont="1" applyFill="1" applyAlignment="1">
      <alignment horizontal="right" vertical="center"/>
    </xf>
    <xf numFmtId="176" fontId="113" fillId="2" borderId="0" xfId="0" applyNumberFormat="1" applyFont="1" applyFill="1" applyAlignment="1">
      <alignment vertical="center"/>
    </xf>
    <xf numFmtId="0" fontId="113" fillId="2" borderId="0" xfId="0" applyFont="1" applyFill="1" applyAlignment="1">
      <alignment horizontal="right" vertical="center"/>
    </xf>
    <xf numFmtId="0" fontId="67" fillId="2" borderId="0" xfId="0" applyFont="1" applyFill="1" applyAlignment="1">
      <alignment horizontal="right" vertical="center"/>
    </xf>
    <xf numFmtId="0" fontId="67" fillId="2" borderId="0" xfId="0" applyFont="1" applyFill="1" applyAlignment="1">
      <alignment vertical="center"/>
    </xf>
    <xf numFmtId="0" fontId="130" fillId="2" borderId="0" xfId="0" applyFont="1" applyFill="1" applyAlignment="1"/>
    <xf numFmtId="0" fontId="131" fillId="2" borderId="0" xfId="0" applyFont="1" applyFill="1" applyAlignment="1"/>
    <xf numFmtId="0" fontId="4" fillId="2" borderId="0" xfId="0" applyFont="1" applyFill="1" applyAlignment="1"/>
    <xf numFmtId="176" fontId="4" fillId="2" borderId="0" xfId="0" applyNumberFormat="1" applyFont="1" applyFill="1" applyAlignment="1"/>
    <xf numFmtId="0" fontId="5" fillId="2" borderId="0" xfId="0" applyFont="1" applyFill="1" applyAlignment="1"/>
    <xf numFmtId="192" fontId="5" fillId="2" borderId="0" xfId="0" applyNumberFormat="1" applyFont="1" applyFill="1" applyAlignment="1">
      <alignment horizontal="right"/>
    </xf>
    <xf numFmtId="2" fontId="0" fillId="2" borderId="0" xfId="0" applyNumberFormat="1" applyFill="1" applyAlignment="1">
      <alignment wrapText="1"/>
    </xf>
    <xf numFmtId="0" fontId="13" fillId="2" borderId="0" xfId="0" applyFont="1" applyFill="1" applyAlignment="1">
      <alignment vertical="center" wrapText="1"/>
    </xf>
    <xf numFmtId="1" fontId="22" fillId="3" borderId="4" xfId="27" applyNumberFormat="1" applyFont="1" applyFill="1" applyBorder="1" applyAlignment="1" applyProtection="1">
      <alignment horizontal="center"/>
      <protection locked="0"/>
    </xf>
    <xf numFmtId="175" fontId="0" fillId="0" borderId="32" xfId="0" applyNumberFormat="1" applyFill="1" applyBorder="1" applyProtection="1"/>
    <xf numFmtId="0" fontId="67" fillId="0" borderId="0" xfId="0" applyFont="1" applyAlignment="1"/>
    <xf numFmtId="0" fontId="18" fillId="0" borderId="0" xfId="24" applyFont="1" applyAlignment="1" applyProtection="1">
      <alignment horizontal="left" vertical="center" wrapText="1"/>
    </xf>
    <xf numFmtId="0" fontId="18" fillId="0" borderId="0" xfId="24" applyFont="1" applyAlignment="1" applyProtection="1">
      <alignment horizontal="center" vertical="center" wrapText="1"/>
    </xf>
    <xf numFmtId="186" fontId="18" fillId="0" borderId="0" xfId="24" applyNumberFormat="1" applyFont="1" applyAlignment="1" applyProtection="1">
      <alignment horizontal="center" vertical="center" wrapText="1"/>
    </xf>
    <xf numFmtId="4" fontId="9" fillId="0" borderId="0" xfId="0" applyNumberFormat="1" applyFont="1" applyAlignment="1">
      <alignment horizontal="right"/>
    </xf>
    <xf numFmtId="180" fontId="9" fillId="0" borderId="0" xfId="0" applyNumberFormat="1" applyFont="1" applyAlignment="1">
      <alignment horizontal="right"/>
    </xf>
    <xf numFmtId="177" fontId="18" fillId="0" borderId="0" xfId="24" applyNumberFormat="1" applyFont="1" applyAlignment="1" applyProtection="1">
      <alignment horizontal="center" vertical="center" wrapText="1"/>
    </xf>
    <xf numFmtId="0" fontId="35" fillId="0" borderId="0" xfId="0" applyFont="1"/>
    <xf numFmtId="178" fontId="0" fillId="0" borderId="0" xfId="0" applyNumberFormat="1" applyProtection="1"/>
    <xf numFmtId="179" fontId="4" fillId="0" borderId="0" xfId="24" applyNumberFormat="1" applyAlignment="1" applyProtection="1">
      <alignment horizontal="center"/>
    </xf>
    <xf numFmtId="0" fontId="0" fillId="0" borderId="0" xfId="0" applyNumberFormat="1"/>
    <xf numFmtId="0" fontId="9" fillId="2" borderId="0" xfId="0" applyFont="1" applyFill="1" applyAlignment="1" applyProtection="1">
      <alignment horizontal="center" vertical="center"/>
      <protection locked="0"/>
    </xf>
    <xf numFmtId="0" fontId="9" fillId="2" borderId="0" xfId="0" applyFont="1" applyFill="1" applyAlignment="1" applyProtection="1">
      <alignment horizontal="center"/>
      <protection locked="0"/>
    </xf>
    <xf numFmtId="175" fontId="5" fillId="2" borderId="0" xfId="0" applyNumberFormat="1" applyFont="1" applyFill="1" applyAlignment="1">
      <alignment horizontal="right" vertical="center"/>
    </xf>
    <xf numFmtId="0" fontId="9" fillId="2" borderId="0" xfId="0" applyFont="1" applyFill="1" applyAlignment="1">
      <alignment horizontal="center" vertical="center"/>
    </xf>
    <xf numFmtId="0" fontId="11" fillId="2" borderId="0" xfId="0" applyFont="1" applyFill="1" applyAlignment="1">
      <alignment wrapText="1"/>
    </xf>
    <xf numFmtId="0" fontId="5" fillId="0" borderId="0" xfId="24" applyFont="1" applyFill="1" applyBorder="1" applyAlignment="1" applyProtection="1">
      <alignment horizontal="left"/>
    </xf>
    <xf numFmtId="14" fontId="0" fillId="0" borderId="0" xfId="0" applyNumberFormat="1" applyAlignment="1">
      <alignment vertical="top"/>
    </xf>
    <xf numFmtId="0" fontId="9" fillId="2" borderId="0" xfId="0" applyFont="1" applyFill="1" applyAlignment="1">
      <alignment horizontal="left" wrapText="1"/>
    </xf>
    <xf numFmtId="0" fontId="66" fillId="2" borderId="0" xfId="0" applyFont="1" applyFill="1" applyAlignment="1">
      <alignment horizontal="left" wrapText="1"/>
    </xf>
    <xf numFmtId="0" fontId="38" fillId="2" borderId="0" xfId="0" applyFont="1" applyFill="1" applyAlignment="1">
      <alignment horizontal="left" wrapText="1"/>
    </xf>
    <xf numFmtId="0" fontId="9" fillId="2" borderId="0" xfId="0" applyFont="1" applyFill="1" applyAlignment="1">
      <alignment horizontal="left" wrapText="1" indent="2"/>
    </xf>
    <xf numFmtId="0" fontId="38" fillId="2" borderId="0" xfId="0" applyFont="1" applyFill="1" applyAlignment="1">
      <alignment horizontal="left" vertical="top" wrapText="1"/>
    </xf>
    <xf numFmtId="0" fontId="13" fillId="2" borderId="0" xfId="0" applyFont="1" applyFill="1" applyAlignment="1">
      <alignment horizontal="left" wrapText="1"/>
    </xf>
    <xf numFmtId="0" fontId="9" fillId="2" borderId="0" xfId="0" applyFont="1" applyFill="1" applyAlignment="1">
      <alignment horizontal="left" vertical="center" wrapText="1"/>
    </xf>
    <xf numFmtId="0" fontId="11" fillId="2" borderId="0" xfId="0" applyFont="1" applyFill="1" applyAlignment="1">
      <alignment horizontal="left" vertical="top" wrapText="1"/>
    </xf>
    <xf numFmtId="0" fontId="13" fillId="2" borderId="0" xfId="0" applyFont="1" applyFill="1" applyAlignment="1">
      <alignment horizontal="left" vertical="top" wrapText="1"/>
    </xf>
    <xf numFmtId="0" fontId="11" fillId="2" borderId="0" xfId="0" applyFont="1" applyFill="1" applyAlignment="1">
      <alignment horizontal="left" wrapText="1"/>
    </xf>
    <xf numFmtId="0" fontId="105" fillId="0" borderId="0" xfId="24" applyFont="1" applyFill="1" applyBorder="1" applyAlignment="1" applyProtection="1">
      <alignment horizontal="left" vertical="center" wrapText="1"/>
      <protection locked="0"/>
    </xf>
    <xf numFmtId="175" fontId="105" fillId="0" borderId="0" xfId="24" applyNumberFormat="1" applyFont="1" applyFill="1" applyBorder="1" applyAlignment="1" applyProtection="1">
      <alignment horizontal="left" vertical="center" wrapText="1"/>
      <protection locked="0"/>
    </xf>
    <xf numFmtId="0" fontId="9" fillId="0" borderId="0" xfId="24" applyFont="1" applyFill="1" applyBorder="1" applyAlignment="1" applyProtection="1">
      <alignment horizontal="left" vertical="top"/>
      <protection locked="0"/>
    </xf>
    <xf numFmtId="0" fontId="9" fillId="0" borderId="0" xfId="24" applyFont="1" applyFill="1" applyBorder="1" applyAlignment="1" applyProtection="1">
      <alignment horizontal="left" vertical="top" indent="5"/>
      <protection locked="0"/>
    </xf>
    <xf numFmtId="0" fontId="9" fillId="0" borderId="0" xfId="24" applyFont="1" applyFill="1" applyBorder="1" applyAlignment="1" applyProtection="1">
      <alignment horizontal="left" vertical="center"/>
      <protection locked="0"/>
    </xf>
    <xf numFmtId="0" fontId="38" fillId="0" borderId="0" xfId="24" applyFont="1" applyFill="1" applyBorder="1" applyAlignment="1">
      <alignment horizontal="left" vertical="center" wrapText="1"/>
    </xf>
    <xf numFmtId="175" fontId="38" fillId="0" borderId="0" xfId="24" applyNumberFormat="1" applyFont="1" applyFill="1" applyBorder="1" applyAlignment="1">
      <alignment horizontal="left" vertical="center" wrapText="1"/>
    </xf>
    <xf numFmtId="0" fontId="9" fillId="0" borderId="0" xfId="0" applyFont="1" applyFill="1" applyBorder="1" applyAlignment="1">
      <alignment horizontal="left" wrapText="1"/>
    </xf>
    <xf numFmtId="0" fontId="9" fillId="2" borderId="0" xfId="0" applyFont="1" applyFill="1" applyAlignment="1">
      <alignment horizontal="left" vertical="top" wrapText="1"/>
    </xf>
    <xf numFmtId="0" fontId="0" fillId="2" borderId="0" xfId="0" applyFill="1" applyAlignment="1">
      <alignment horizontal="left" vertical="top" wrapText="1"/>
    </xf>
    <xf numFmtId="0" fontId="110" fillId="2" borderId="0" xfId="0" applyFont="1" applyFill="1" applyAlignment="1">
      <alignment horizontal="left" wrapText="1"/>
    </xf>
    <xf numFmtId="0" fontId="11" fillId="2" borderId="0" xfId="0" applyFont="1" applyFill="1" applyAlignment="1">
      <alignment horizontal="left" vertical="center" wrapText="1"/>
    </xf>
    <xf numFmtId="0" fontId="38" fillId="0" borderId="0" xfId="0" applyFont="1" applyFill="1" applyBorder="1" applyAlignment="1">
      <alignment horizontal="left" vertical="center" wrapText="1"/>
    </xf>
    <xf numFmtId="0" fontId="10" fillId="2" borderId="0" xfId="0" applyFont="1" applyFill="1" applyAlignment="1">
      <alignment horizontal="left" wrapText="1"/>
    </xf>
    <xf numFmtId="0" fontId="13" fillId="0" borderId="0" xfId="0" applyFont="1" applyFill="1" applyBorder="1" applyAlignment="1">
      <alignment horizontal="left" wrapText="1"/>
    </xf>
    <xf numFmtId="0" fontId="13" fillId="2" borderId="0" xfId="0" applyFont="1" applyFill="1" applyAlignment="1">
      <alignment horizontal="left"/>
    </xf>
    <xf numFmtId="0" fontId="9" fillId="2" borderId="0" xfId="0" applyFont="1" applyFill="1" applyAlignment="1">
      <alignment wrapText="1"/>
    </xf>
    <xf numFmtId="0" fontId="13" fillId="0" borderId="0" xfId="0" applyFont="1" applyFill="1" applyBorder="1" applyAlignment="1">
      <alignment horizontal="left" vertical="top" wrapText="1"/>
    </xf>
    <xf numFmtId="0" fontId="38" fillId="0" borderId="0" xfId="0" applyFont="1" applyFill="1" applyBorder="1" applyAlignment="1">
      <alignment horizontal="left" vertical="top"/>
    </xf>
    <xf numFmtId="0" fontId="74" fillId="2" borderId="0" xfId="0" applyFont="1" applyFill="1" applyAlignment="1">
      <alignment horizontal="left" vertical="top" wrapText="1"/>
    </xf>
    <xf numFmtId="0" fontId="10" fillId="2" borderId="0" xfId="0" applyFont="1" applyFill="1" applyAlignment="1">
      <alignment horizontal="left" vertical="top"/>
    </xf>
    <xf numFmtId="0" fontId="38" fillId="0" borderId="0" xfId="0" applyFont="1" applyFill="1" applyBorder="1" applyAlignment="1">
      <alignment horizontal="left" vertical="top" wrapText="1"/>
    </xf>
    <xf numFmtId="0" fontId="38" fillId="2" borderId="0" xfId="0" applyFont="1" applyFill="1" applyAlignment="1">
      <alignment vertical="top" wrapText="1"/>
    </xf>
    <xf numFmtId="0" fontId="116" fillId="2" borderId="0" xfId="0" applyFont="1" applyFill="1" applyAlignment="1">
      <alignment horizontal="left" vertical="top" wrapText="1"/>
    </xf>
    <xf numFmtId="0" fontId="116" fillId="2" borderId="0" xfId="0" applyFont="1" applyFill="1" applyAlignment="1">
      <alignment horizontal="left" vertical="center" wrapText="1"/>
    </xf>
    <xf numFmtId="0" fontId="110" fillId="0" borderId="0" xfId="0" applyFont="1" applyAlignment="1">
      <alignment horizontal="left" vertical="center" wrapText="1"/>
    </xf>
    <xf numFmtId="0" fontId="13" fillId="0" borderId="0" xfId="0" applyFont="1" applyAlignment="1">
      <alignment horizontal="left" vertical="center" wrapText="1"/>
    </xf>
    <xf numFmtId="0" fontId="38" fillId="0" borderId="0" xfId="0" applyFont="1" applyAlignment="1">
      <alignment horizontal="left" vertical="top" wrapText="1"/>
    </xf>
    <xf numFmtId="0" fontId="9" fillId="2" borderId="0" xfId="0" applyFont="1" applyFill="1" applyAlignment="1">
      <alignment horizontal="left" vertical="top"/>
    </xf>
    <xf numFmtId="15" fontId="41" fillId="2" borderId="0" xfId="161" applyNumberFormat="1" applyFont="1" applyFill="1" applyAlignment="1" applyProtection="1">
      <alignment horizontal="left" wrapText="1"/>
    </xf>
    <xf numFmtId="0" fontId="11" fillId="2" borderId="0" xfId="0" applyFont="1" applyFill="1" applyAlignment="1">
      <alignment horizontal="left"/>
    </xf>
    <xf numFmtId="0" fontId="5" fillId="2" borderId="0" xfId="162" applyFont="1" applyFill="1" applyBorder="1" applyAlignment="1" applyProtection="1">
      <alignment horizontal="left" vertical="top"/>
      <protection locked="0"/>
    </xf>
    <xf numFmtId="0" fontId="9" fillId="2" borderId="0" xfId="0" applyFont="1" applyFill="1" applyAlignment="1">
      <alignment horizontal="left" vertical="center"/>
    </xf>
    <xf numFmtId="0" fontId="9" fillId="2" borderId="0" xfId="0" applyFont="1" applyFill="1" applyAlignment="1">
      <alignment horizontal="left"/>
    </xf>
    <xf numFmtId="0" fontId="110" fillId="0" borderId="0" xfId="0" applyFont="1" applyFill="1" applyBorder="1" applyAlignment="1">
      <alignment horizontal="left" vertical="center" wrapText="1"/>
    </xf>
    <xf numFmtId="0" fontId="22" fillId="2" borderId="0" xfId="0" applyFont="1" applyFill="1" applyAlignment="1">
      <alignment horizontal="left" wrapText="1"/>
    </xf>
    <xf numFmtId="0" fontId="41" fillId="2" borderId="0" xfId="0" applyFont="1" applyFill="1" applyAlignment="1">
      <alignment horizontal="left" wrapText="1"/>
    </xf>
    <xf numFmtId="0" fontId="9" fillId="2" borderId="0" xfId="0" applyNumberFormat="1" applyFont="1" applyFill="1" applyBorder="1" applyAlignment="1">
      <alignment horizontal="right"/>
    </xf>
    <xf numFmtId="0" fontId="9" fillId="2" borderId="0" xfId="0" applyNumberFormat="1" applyFont="1" applyFill="1" applyAlignment="1">
      <alignment horizontal="right"/>
    </xf>
    <xf numFmtId="0" fontId="9" fillId="2" borderId="0" xfId="0" applyNumberFormat="1" applyFont="1" applyFill="1" applyAlignment="1">
      <alignment horizontal="right" vertical="top" wrapText="1"/>
    </xf>
    <xf numFmtId="0" fontId="9" fillId="2" borderId="0" xfId="0" applyNumberFormat="1" applyFont="1" applyFill="1" applyAlignment="1">
      <alignment horizontal="right" wrapText="1"/>
    </xf>
    <xf numFmtId="0" fontId="9" fillId="0" borderId="0" xfId="0" applyNumberFormat="1" applyFont="1" applyFill="1" applyBorder="1"/>
    <xf numFmtId="0" fontId="9" fillId="0" borderId="0" xfId="0" applyNumberFormat="1" applyFont="1" applyFill="1" applyBorder="1" applyAlignment="1">
      <alignment horizontal="right"/>
    </xf>
    <xf numFmtId="0" fontId="9" fillId="2" borderId="0" xfId="0" applyNumberFormat="1" applyFont="1" applyFill="1" applyAlignment="1">
      <alignment horizontal="right" vertical="center"/>
    </xf>
    <xf numFmtId="0" fontId="113" fillId="2" borderId="0" xfId="0" applyNumberFormat="1" applyFont="1" applyFill="1" applyAlignment="1">
      <alignment horizontal="right" vertical="center"/>
    </xf>
    <xf numFmtId="14" fontId="0" fillId="0" borderId="0" xfId="0" applyNumberFormat="1"/>
    <xf numFmtId="14" fontId="0" fillId="0" borderId="0" xfId="0" applyNumberFormat="1" applyAlignment="1">
      <alignment wrapText="1"/>
    </xf>
    <xf numFmtId="0" fontId="9" fillId="2" borderId="0" xfId="0" applyFont="1" applyFill="1" applyAlignment="1">
      <alignment horizontal="left" wrapText="1"/>
    </xf>
    <xf numFmtId="0" fontId="9" fillId="2" borderId="0" xfId="0" applyFont="1" applyFill="1" applyAlignment="1">
      <alignment horizontal="left" vertical="top" wrapText="1"/>
    </xf>
    <xf numFmtId="0" fontId="13" fillId="2" borderId="0" xfId="0" applyFont="1" applyFill="1" applyAlignment="1">
      <alignment horizontal="left" wrapText="1"/>
    </xf>
    <xf numFmtId="0" fontId="11" fillId="2" borderId="0" xfId="0" applyFont="1" applyFill="1" applyAlignment="1">
      <alignment horizontal="left" wrapText="1"/>
    </xf>
    <xf numFmtId="0" fontId="9" fillId="2" borderId="0" xfId="0" applyFont="1" applyFill="1" applyAlignment="1">
      <alignment horizontal="left" vertical="top"/>
    </xf>
    <xf numFmtId="0" fontId="9" fillId="2" borderId="0" xfId="0" applyFont="1" applyFill="1" applyAlignment="1">
      <alignment horizontal="left"/>
    </xf>
    <xf numFmtId="15" fontId="0" fillId="0" borderId="0" xfId="0" applyNumberFormat="1" applyAlignment="1">
      <alignment vertical="top"/>
    </xf>
    <xf numFmtId="0" fontId="11" fillId="0" borderId="0" xfId="0" applyFont="1"/>
    <xf numFmtId="175" fontId="9" fillId="0" borderId="0" xfId="0" applyNumberFormat="1" applyFont="1"/>
    <xf numFmtId="0" fontId="0" fillId="0" borderId="0" xfId="0" applyFill="1" applyAlignment="1">
      <alignment vertical="top"/>
    </xf>
    <xf numFmtId="15" fontId="0" fillId="0" borderId="0" xfId="0" applyNumberFormat="1" applyFill="1" applyAlignment="1">
      <alignment vertical="top"/>
    </xf>
    <xf numFmtId="0" fontId="9" fillId="0" borderId="0" xfId="0" applyFont="1" applyAlignment="1">
      <alignment horizontal="left" indent="2"/>
    </xf>
    <xf numFmtId="192" fontId="9" fillId="0" borderId="0" xfId="0" applyNumberFormat="1" applyFont="1" applyAlignment="1">
      <alignment horizontal="right"/>
    </xf>
    <xf numFmtId="1" fontId="0" fillId="0" borderId="0" xfId="0" applyNumberFormat="1" applyAlignment="1">
      <alignment vertical="top"/>
    </xf>
    <xf numFmtId="1" fontId="0" fillId="0" borderId="0" xfId="0" applyNumberFormat="1"/>
    <xf numFmtId="0" fontId="9" fillId="2" borderId="0" xfId="0" applyFont="1" applyFill="1" applyAlignment="1">
      <alignment horizontal="left" wrapText="1"/>
    </xf>
    <xf numFmtId="0" fontId="63" fillId="2" borderId="0" xfId="0" applyFont="1" applyFill="1" applyAlignment="1">
      <alignment horizontal="left" wrapText="1"/>
    </xf>
    <xf numFmtId="0" fontId="11" fillId="2" borderId="0" xfId="0" applyFont="1" applyFill="1" applyAlignment="1">
      <alignment horizontal="left" wrapText="1"/>
    </xf>
    <xf numFmtId="0" fontId="9" fillId="2" borderId="0" xfId="0" applyFont="1" applyFill="1" applyAlignment="1">
      <alignment horizontal="left" vertical="center"/>
    </xf>
    <xf numFmtId="0" fontId="0" fillId="0" borderId="10" xfId="0" applyBorder="1" applyAlignment="1">
      <alignment horizontal="left" wrapText="1"/>
    </xf>
    <xf numFmtId="0" fontId="0" fillId="0" borderId="10" xfId="0" applyBorder="1" applyAlignment="1">
      <alignment horizontal="left" vertical="center" wrapText="1"/>
    </xf>
    <xf numFmtId="0" fontId="0" fillId="0" borderId="0" xfId="0" applyAlignment="1">
      <alignment vertical="center" wrapText="1"/>
    </xf>
    <xf numFmtId="176" fontId="109" fillId="2" borderId="0" xfId="0" applyNumberFormat="1" applyFont="1" applyFill="1" applyAlignment="1">
      <alignment horizontal="right" vertical="center"/>
    </xf>
    <xf numFmtId="0" fontId="113" fillId="2" borderId="0" xfId="0" applyFont="1" applyFill="1" applyAlignment="1">
      <alignment horizontal="center" vertical="center"/>
    </xf>
    <xf numFmtId="192" fontId="9" fillId="2" borderId="0" xfId="0" applyNumberFormat="1" applyFont="1" applyFill="1" applyAlignment="1">
      <alignment horizontal="right" vertical="center"/>
    </xf>
    <xf numFmtId="0" fontId="67" fillId="0" borderId="0" xfId="0" applyNumberFormat="1" applyFont="1"/>
    <xf numFmtId="14" fontId="67" fillId="0" borderId="0" xfId="0" applyNumberFormat="1" applyFont="1"/>
    <xf numFmtId="0" fontId="0" fillId="0" borderId="78" xfId="0" applyBorder="1" applyAlignment="1" applyProtection="1">
      <alignment wrapText="1"/>
    </xf>
    <xf numFmtId="0" fontId="28" fillId="0" borderId="0" xfId="0" applyFont="1" applyAlignment="1" applyProtection="1">
      <alignment vertical="center"/>
    </xf>
    <xf numFmtId="3" fontId="0" fillId="0" borderId="0" xfId="0" applyNumberFormat="1" applyProtection="1"/>
    <xf numFmtId="9" fontId="0" fillId="0" borderId="0" xfId="21" applyFont="1" applyProtection="1"/>
    <xf numFmtId="0" fontId="132" fillId="0" borderId="0" xfId="0" applyFont="1" applyProtection="1"/>
    <xf numFmtId="193" fontId="10" fillId="0" borderId="0" xfId="0" applyNumberFormat="1" applyFont="1" applyProtection="1"/>
    <xf numFmtId="202" fontId="10" fillId="0" borderId="0" xfId="0" applyNumberFormat="1" applyFont="1" applyProtection="1"/>
    <xf numFmtId="0" fontId="134" fillId="0" borderId="0" xfId="0" applyFont="1" applyProtection="1"/>
    <xf numFmtId="178" fontId="0" fillId="2" borderId="110" xfId="0" applyNumberFormat="1" applyFill="1" applyBorder="1" applyProtection="1"/>
    <xf numFmtId="178" fontId="0" fillId="10" borderId="118" xfId="0" applyNumberFormat="1" applyFill="1" applyBorder="1" applyProtection="1"/>
    <xf numFmtId="178" fontId="0" fillId="10" borderId="110" xfId="0" applyNumberFormat="1" applyFill="1" applyBorder="1" applyProtection="1"/>
    <xf numFmtId="3" fontId="0" fillId="10" borderId="21" xfId="0" applyNumberFormat="1" applyFill="1" applyBorder="1" applyProtection="1"/>
    <xf numFmtId="178" fontId="0" fillId="10" borderId="110" xfId="0" applyNumberFormat="1" applyFill="1" applyBorder="1" applyProtection="1">
      <protection locked="0"/>
    </xf>
    <xf numFmtId="0" fontId="0" fillId="10" borderId="110" xfId="0" applyFill="1" applyBorder="1" applyProtection="1">
      <protection locked="0"/>
    </xf>
    <xf numFmtId="9" fontId="0" fillId="8" borderId="110" xfId="21" applyFont="1" applyFill="1" applyBorder="1" applyProtection="1">
      <protection locked="0"/>
    </xf>
    <xf numFmtId="3" fontId="0" fillId="8" borderId="110" xfId="0" applyNumberFormat="1" applyFill="1" applyBorder="1" applyProtection="1">
      <protection locked="0"/>
    </xf>
    <xf numFmtId="0" fontId="0" fillId="7" borderId="78"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0" fontId="0" fillId="7" borderId="109" xfId="0" applyFill="1" applyBorder="1" applyAlignment="1" applyProtection="1">
      <alignment horizontal="center" vertical="center"/>
      <protection locked="0"/>
    </xf>
    <xf numFmtId="178" fontId="0" fillId="10" borderId="19" xfId="0" applyNumberFormat="1" applyFill="1" applyBorder="1" applyProtection="1">
      <protection locked="0"/>
    </xf>
    <xf numFmtId="0" fontId="0" fillId="10" borderId="19" xfId="0" applyFill="1" applyBorder="1" applyProtection="1">
      <protection locked="0"/>
    </xf>
    <xf numFmtId="178" fontId="0" fillId="2" borderId="19" xfId="0" applyNumberFormat="1" applyFill="1" applyBorder="1" applyProtection="1"/>
    <xf numFmtId="9" fontId="0" fillId="8" borderId="19" xfId="21" applyFont="1" applyFill="1" applyBorder="1" applyProtection="1">
      <protection locked="0"/>
    </xf>
    <xf numFmtId="3" fontId="0" fillId="8" borderId="19" xfId="0" applyNumberFormat="1" applyFill="1" applyBorder="1" applyProtection="1">
      <protection locked="0"/>
    </xf>
    <xf numFmtId="178" fontId="0" fillId="10" borderId="117" xfId="0" applyNumberFormat="1" applyFill="1" applyBorder="1" applyProtection="1">
      <protection locked="0"/>
    </xf>
    <xf numFmtId="0" fontId="0" fillId="10" borderId="117" xfId="0" applyFill="1" applyBorder="1" applyProtection="1">
      <protection locked="0"/>
    </xf>
    <xf numFmtId="178" fontId="0" fillId="2" borderId="117" xfId="0" applyNumberFormat="1" applyFill="1" applyBorder="1" applyProtection="1"/>
    <xf numFmtId="9" fontId="0" fillId="8" borderId="117" xfId="21" applyFont="1" applyFill="1" applyBorder="1" applyProtection="1">
      <protection locked="0"/>
    </xf>
    <xf numFmtId="3" fontId="0" fillId="8" borderId="117" xfId="0" applyNumberFormat="1" applyFill="1" applyBorder="1" applyProtection="1">
      <protection locked="0"/>
    </xf>
    <xf numFmtId="178" fontId="0" fillId="10" borderId="111" xfId="0" applyNumberFormat="1" applyFill="1" applyBorder="1" applyProtection="1"/>
    <xf numFmtId="178" fontId="0" fillId="10" borderId="19" xfId="0" applyNumberFormat="1" applyFill="1" applyBorder="1" applyProtection="1"/>
    <xf numFmtId="178" fontId="0" fillId="10" borderId="116" xfId="0" applyNumberFormat="1" applyFill="1" applyBorder="1" applyProtection="1"/>
    <xf numFmtId="178" fontId="0" fillId="10" borderId="117" xfId="0" applyNumberFormat="1" applyFill="1" applyBorder="1" applyProtection="1"/>
    <xf numFmtId="0" fontId="0" fillId="0" borderId="78" xfId="0" applyBorder="1" applyAlignment="1" applyProtection="1">
      <alignment horizontal="left" vertical="top" wrapText="1"/>
    </xf>
    <xf numFmtId="0" fontId="135" fillId="0" borderId="0" xfId="0" applyFont="1" applyAlignment="1" applyProtection="1">
      <alignment horizontal="left" vertical="top"/>
    </xf>
    <xf numFmtId="177" fontId="0" fillId="0" borderId="0" xfId="0" applyNumberFormat="1" applyProtection="1"/>
    <xf numFmtId="177" fontId="0" fillId="0" borderId="0" xfId="21" applyNumberFormat="1" applyFont="1" applyProtection="1"/>
    <xf numFmtId="177" fontId="0" fillId="0" borderId="78" xfId="21" applyNumberFormat="1" applyFont="1" applyBorder="1" applyProtection="1"/>
    <xf numFmtId="187" fontId="0" fillId="0" borderId="0" xfId="0" applyNumberFormat="1" applyProtection="1"/>
    <xf numFmtId="187" fontId="0" fillId="0" borderId="78" xfId="0" applyNumberFormat="1" applyBorder="1" applyProtection="1"/>
    <xf numFmtId="0" fontId="13" fillId="0" borderId="119" xfId="0" applyFont="1" applyBorder="1" applyProtection="1"/>
    <xf numFmtId="0" fontId="0" fillId="0" borderId="120" xfId="0" applyBorder="1"/>
    <xf numFmtId="0" fontId="0" fillId="0" borderId="121" xfId="0" applyBorder="1"/>
    <xf numFmtId="0" fontId="13" fillId="0" borderId="119" xfId="0" applyFont="1" applyFill="1" applyBorder="1" applyAlignment="1" applyProtection="1">
      <alignment vertical="center" wrapText="1"/>
    </xf>
    <xf numFmtId="178" fontId="0" fillId="0" borderId="120" xfId="0" applyNumberFormat="1" applyBorder="1"/>
    <xf numFmtId="178" fontId="0" fillId="0" borderId="121" xfId="0" applyNumberFormat="1" applyBorder="1"/>
    <xf numFmtId="0" fontId="2" fillId="0" borderId="119" xfId="0" applyFont="1" applyBorder="1" applyAlignment="1" applyProtection="1">
      <alignment horizontal="center" wrapText="1"/>
    </xf>
    <xf numFmtId="190" fontId="0" fillId="0" borderId="115" xfId="0" applyNumberFormat="1" applyBorder="1"/>
    <xf numFmtId="10" fontId="0" fillId="0" borderId="120" xfId="0" applyNumberFormat="1" applyBorder="1"/>
    <xf numFmtId="10" fontId="0" fillId="0" borderId="121" xfId="0" applyNumberFormat="1" applyBorder="1"/>
    <xf numFmtId="0" fontId="13" fillId="0" borderId="122" xfId="0" applyFont="1" applyBorder="1" applyAlignment="1" applyProtection="1">
      <alignment wrapText="1"/>
    </xf>
    <xf numFmtId="190" fontId="0" fillId="0" borderId="120" xfId="0" applyNumberFormat="1" applyBorder="1"/>
    <xf numFmtId="0" fontId="63" fillId="10" borderId="17" xfId="0" applyFont="1" applyFill="1" applyBorder="1" applyProtection="1"/>
    <xf numFmtId="0" fontId="0" fillId="10" borderId="17" xfId="0" applyFill="1" applyBorder="1" applyProtection="1"/>
    <xf numFmtId="3" fontId="63" fillId="10" borderId="17" xfId="0" applyNumberFormat="1" applyFont="1" applyFill="1" applyBorder="1" applyProtection="1"/>
    <xf numFmtId="193" fontId="0" fillId="0" borderId="0" xfId="0" applyNumberFormat="1" applyProtection="1"/>
    <xf numFmtId="203" fontId="0" fillId="0" borderId="0" xfId="35" applyNumberFormat="1" applyFont="1" applyProtection="1"/>
    <xf numFmtId="0" fontId="2" fillId="0" borderId="80" xfId="0" applyFont="1" applyBorder="1" applyProtection="1"/>
    <xf numFmtId="178" fontId="0" fillId="0" borderId="80" xfId="0" applyNumberFormat="1" applyBorder="1" applyProtection="1"/>
    <xf numFmtId="0" fontId="0" fillId="0" borderId="80" xfId="0" applyBorder="1" applyProtection="1"/>
    <xf numFmtId="177" fontId="0" fillId="0" borderId="80" xfId="21" applyNumberFormat="1" applyFont="1" applyBorder="1" applyProtection="1"/>
    <xf numFmtId="193" fontId="0" fillId="0" borderId="80" xfId="0" applyNumberFormat="1" applyBorder="1" applyProtection="1"/>
    <xf numFmtId="203" fontId="0" fillId="0" borderId="80" xfId="35" applyNumberFormat="1" applyFont="1" applyBorder="1" applyProtection="1"/>
    <xf numFmtId="178" fontId="0" fillId="0" borderId="0" xfId="0" applyNumberFormat="1" applyProtection="1">
      <protection locked="0"/>
    </xf>
    <xf numFmtId="178" fontId="0" fillId="0" borderId="80" xfId="0" applyNumberFormat="1" applyBorder="1" applyProtection="1">
      <protection locked="0"/>
    </xf>
    <xf numFmtId="0" fontId="38" fillId="2" borderId="0" xfId="0" applyFont="1" applyFill="1" applyAlignment="1">
      <alignment horizontal="left" vertical="top" wrapText="1"/>
    </xf>
    <xf numFmtId="0" fontId="13" fillId="2" borderId="0" xfId="0" applyFont="1" applyFill="1" applyAlignment="1">
      <alignment horizontal="left"/>
    </xf>
    <xf numFmtId="0" fontId="38" fillId="2" borderId="0" xfId="0" applyFont="1" applyFill="1" applyAlignment="1">
      <alignment horizontal="left"/>
    </xf>
    <xf numFmtId="0" fontId="9" fillId="2" borderId="0" xfId="0" applyFont="1" applyFill="1" applyAlignment="1">
      <alignment horizontal="left" wrapText="1"/>
    </xf>
    <xf numFmtId="0" fontId="13" fillId="2" borderId="0" xfId="0" applyFont="1" applyFill="1" applyAlignment="1">
      <alignment horizontal="left" vertical="top"/>
    </xf>
    <xf numFmtId="0" fontId="38" fillId="2" borderId="0" xfId="0" applyFont="1" applyFill="1" applyAlignment="1">
      <alignment horizontal="left" vertical="top"/>
    </xf>
    <xf numFmtId="0" fontId="13" fillId="2" borderId="0" xfId="0" applyFont="1" applyFill="1" applyAlignment="1">
      <alignment horizontal="left" wrapText="1"/>
    </xf>
    <xf numFmtId="0" fontId="11" fillId="2" borderId="0" xfId="0" applyFont="1" applyFill="1" applyAlignment="1">
      <alignment horizontal="left"/>
    </xf>
    <xf numFmtId="0" fontId="9" fillId="2" borderId="0" xfId="0" applyFont="1" applyFill="1" applyAlignment="1">
      <alignment horizontal="left" wrapText="1" indent="2"/>
    </xf>
    <xf numFmtId="0" fontId="9" fillId="2" borderId="0" xfId="0" applyFont="1" applyFill="1" applyAlignment="1">
      <alignment horizontal="left" wrapText="1" indent="6"/>
    </xf>
    <xf numFmtId="0" fontId="39" fillId="0" borderId="0" xfId="0" applyFont="1" applyAlignment="1" applyProtection="1">
      <alignment horizontal="left" vertical="center" wrapText="1"/>
    </xf>
    <xf numFmtId="0" fontId="0" fillId="0" borderId="0" xfId="0" applyAlignment="1" applyProtection="1">
      <alignment wrapText="1"/>
    </xf>
    <xf numFmtId="0" fontId="0" fillId="0" borderId="0" xfId="0" applyAlignment="1" applyProtection="1">
      <alignment vertical="top"/>
    </xf>
    <xf numFmtId="0" fontId="13" fillId="0" borderId="12" xfId="0" applyFont="1" applyBorder="1" applyAlignment="1" applyProtection="1">
      <alignment horizontal="center" wrapText="1"/>
    </xf>
    <xf numFmtId="0" fontId="2" fillId="0" borderId="0" xfId="0" applyFont="1" applyAlignment="1" applyProtection="1">
      <alignment horizontal="center"/>
    </xf>
    <xf numFmtId="0" fontId="0" fillId="0" borderId="0" xfId="0" applyAlignment="1" applyProtection="1">
      <alignment horizontal="center"/>
    </xf>
    <xf numFmtId="0" fontId="0" fillId="0" borderId="0" xfId="0" applyAlignment="1"/>
    <xf numFmtId="0" fontId="10" fillId="2" borderId="0" xfId="0" applyFont="1" applyFill="1" applyAlignment="1">
      <alignment horizontal="left" wrapText="1"/>
    </xf>
    <xf numFmtId="0" fontId="38" fillId="0" borderId="0" xfId="0" applyFont="1" applyAlignment="1">
      <alignment horizontal="left" vertical="top" wrapText="1"/>
    </xf>
    <xf numFmtId="0" fontId="9" fillId="2" borderId="0" xfId="0" applyFont="1" applyFill="1" applyAlignment="1">
      <alignment horizontal="left"/>
    </xf>
    <xf numFmtId="0" fontId="9" fillId="0" borderId="0" xfId="0" applyFont="1" applyAlignment="1">
      <alignment horizontal="left" vertical="top" wrapText="1"/>
    </xf>
    <xf numFmtId="0" fontId="0" fillId="0" borderId="0" xfId="0" applyAlignment="1" applyProtection="1">
      <alignment horizontal="center" vertical="top"/>
    </xf>
    <xf numFmtId="187" fontId="0" fillId="0" borderId="0" xfId="0" applyNumberFormat="1" applyAlignment="1" applyProtection="1">
      <alignment horizontal="right" vertical="top"/>
    </xf>
    <xf numFmtId="187" fontId="0" fillId="0" borderId="0" xfId="0" applyNumberFormat="1" applyAlignment="1" applyProtection="1">
      <alignment horizontal="center" vertical="center"/>
    </xf>
    <xf numFmtId="205" fontId="0" fillId="0" borderId="0" xfId="0" applyNumberFormat="1" applyAlignment="1" applyProtection="1">
      <alignment horizontal="center" vertical="center"/>
    </xf>
    <xf numFmtId="206" fontId="2" fillId="0" borderId="0" xfId="0" applyNumberFormat="1" applyFont="1" applyAlignment="1" applyProtection="1">
      <alignment horizontal="right" vertical="center"/>
    </xf>
    <xf numFmtId="206" fontId="0" fillId="0" borderId="0" xfId="0" applyNumberFormat="1" applyAlignment="1" applyProtection="1">
      <alignment horizontal="right" vertical="center"/>
    </xf>
    <xf numFmtId="190" fontId="30" fillId="3" borderId="0" xfId="169" applyNumberFormat="1" applyFont="1" applyFill="1" applyAlignment="1" applyProtection="1">
      <alignment horizontal="right" vertical="center"/>
      <protection locked="0"/>
    </xf>
    <xf numFmtId="3" fontId="0" fillId="8" borderId="124" xfId="0" applyNumberFormat="1" applyFill="1" applyBorder="1" applyProtection="1">
      <protection locked="0"/>
    </xf>
    <xf numFmtId="3" fontId="0" fillId="8" borderId="125" xfId="0" applyNumberFormat="1" applyFill="1" applyBorder="1" applyProtection="1">
      <protection locked="0"/>
    </xf>
    <xf numFmtId="3" fontId="0" fillId="8" borderId="127" xfId="0" applyNumberFormat="1" applyFill="1" applyBorder="1" applyProtection="1">
      <protection locked="0"/>
    </xf>
    <xf numFmtId="3" fontId="0" fillId="8" borderId="128" xfId="0" applyNumberFormat="1" applyFill="1" applyBorder="1" applyProtection="1">
      <protection locked="0"/>
    </xf>
    <xf numFmtId="3" fontId="0" fillId="8" borderId="130" xfId="0" applyNumberFormat="1" applyFill="1" applyBorder="1" applyProtection="1">
      <protection locked="0"/>
    </xf>
    <xf numFmtId="3" fontId="0" fillId="8" borderId="131" xfId="0" applyNumberFormat="1" applyFill="1" applyBorder="1" applyProtection="1">
      <protection locked="0"/>
    </xf>
    <xf numFmtId="2" fontId="0" fillId="8" borderId="125" xfId="0" applyNumberFormat="1" applyFill="1" applyBorder="1" applyProtection="1">
      <protection locked="0"/>
    </xf>
    <xf numFmtId="2" fontId="0" fillId="8" borderId="128" xfId="0" applyNumberFormat="1" applyFill="1" applyBorder="1" applyProtection="1">
      <protection locked="0"/>
    </xf>
    <xf numFmtId="2" fontId="0" fillId="8" borderId="131" xfId="0" applyNumberFormat="1" applyFill="1" applyBorder="1" applyProtection="1">
      <protection locked="0"/>
    </xf>
    <xf numFmtId="179" fontId="0" fillId="8" borderId="125" xfId="0" applyNumberFormat="1" applyFill="1" applyBorder="1" applyProtection="1">
      <protection locked="0"/>
    </xf>
    <xf numFmtId="179" fontId="0" fillId="8" borderId="126" xfId="0" applyNumberFormat="1" applyFill="1" applyBorder="1" applyProtection="1">
      <protection locked="0"/>
    </xf>
    <xf numFmtId="179" fontId="0" fillId="8" borderId="128" xfId="0" applyNumberFormat="1" applyFill="1" applyBorder="1" applyProtection="1">
      <protection locked="0"/>
    </xf>
    <xf numFmtId="179" fontId="0" fillId="8" borderId="129" xfId="0" applyNumberFormat="1" applyFill="1" applyBorder="1" applyProtection="1">
      <protection locked="0"/>
    </xf>
    <xf numFmtId="179" fontId="0" fillId="8" borderId="131" xfId="0" applyNumberFormat="1" applyFill="1" applyBorder="1" applyProtection="1">
      <protection locked="0"/>
    </xf>
    <xf numFmtId="179" fontId="0" fillId="8" borderId="132" xfId="0" applyNumberFormat="1" applyFill="1" applyBorder="1" applyProtection="1">
      <protection locked="0"/>
    </xf>
    <xf numFmtId="3" fontId="0" fillId="0" borderId="0" xfId="0" applyNumberFormat="1" applyAlignment="1" applyProtection="1">
      <alignment horizontal="center"/>
    </xf>
    <xf numFmtId="3" fontId="0" fillId="0" borderId="78" xfId="0" applyNumberFormat="1" applyBorder="1" applyAlignment="1" applyProtection="1">
      <alignment horizontal="center"/>
    </xf>
    <xf numFmtId="3" fontId="0" fillId="0" borderId="0" xfId="0" applyNumberFormat="1" applyAlignment="1" applyProtection="1">
      <alignment horizontal="right"/>
    </xf>
    <xf numFmtId="177" fontId="0" fillId="0" borderId="0" xfId="21" applyNumberFormat="1" applyFont="1" applyAlignment="1" applyProtection="1">
      <alignment horizontal="center"/>
    </xf>
    <xf numFmtId="177" fontId="0" fillId="0" borderId="78" xfId="21" applyNumberFormat="1" applyFont="1" applyBorder="1" applyAlignment="1" applyProtection="1">
      <alignment horizontal="center"/>
    </xf>
    <xf numFmtId="177" fontId="0" fillId="0" borderId="0" xfId="0" applyNumberFormat="1" applyAlignment="1" applyProtection="1">
      <alignment horizontal="center"/>
    </xf>
    <xf numFmtId="0" fontId="13" fillId="0" borderId="0" xfId="0" applyFont="1" applyAlignment="1" applyProtection="1">
      <alignment horizontal="center" vertical="center" wrapText="1"/>
    </xf>
    <xf numFmtId="0" fontId="13" fillId="0" borderId="0" xfId="0" applyFont="1" applyAlignment="1" applyProtection="1">
      <alignment horizontal="left" vertical="center" wrapText="1"/>
    </xf>
    <xf numFmtId="204" fontId="0" fillId="0" borderId="0" xfId="0" applyNumberFormat="1" applyAlignment="1" applyProtection="1">
      <alignment horizontal="center"/>
    </xf>
    <xf numFmtId="204" fontId="0" fillId="0" borderId="78" xfId="0" applyNumberFormat="1" applyBorder="1" applyAlignment="1" applyProtection="1">
      <alignment horizontal="center"/>
    </xf>
    <xf numFmtId="6" fontId="0" fillId="0" borderId="0" xfId="0" applyNumberFormat="1" applyAlignment="1" applyProtection="1">
      <alignment horizontal="center"/>
    </xf>
    <xf numFmtId="207" fontId="0" fillId="0" borderId="0" xfId="0" applyNumberFormat="1" applyAlignment="1" applyProtection="1">
      <alignment horizontal="center"/>
    </xf>
    <xf numFmtId="208" fontId="0" fillId="0" borderId="0" xfId="0" applyNumberFormat="1" applyAlignment="1" applyProtection="1">
      <alignment horizontal="center"/>
    </xf>
    <xf numFmtId="208" fontId="0" fillId="0" borderId="78" xfId="0" applyNumberFormat="1" applyBorder="1" applyAlignment="1" applyProtection="1">
      <alignment horizontal="center"/>
    </xf>
    <xf numFmtId="0" fontId="40" fillId="0" borderId="0" xfId="0" applyFont="1" applyProtection="1"/>
    <xf numFmtId="179" fontId="4" fillId="0" borderId="0" xfId="24" applyNumberFormat="1" applyProtection="1">
      <protection locked="0"/>
    </xf>
    <xf numFmtId="178" fontId="4" fillId="0" borderId="0" xfId="24" applyNumberFormat="1" applyProtection="1"/>
    <xf numFmtId="178" fontId="4" fillId="8" borderId="133" xfId="24" applyNumberFormat="1" applyFill="1" applyBorder="1" applyProtection="1">
      <protection locked="0"/>
    </xf>
    <xf numFmtId="178" fontId="4" fillId="8" borderId="134" xfId="24" applyNumberFormat="1" applyFill="1" applyBorder="1" applyProtection="1">
      <protection locked="0"/>
    </xf>
    <xf numFmtId="178" fontId="4" fillId="8" borderId="135" xfId="24" applyNumberFormat="1" applyFill="1" applyBorder="1" applyProtection="1">
      <protection locked="0"/>
    </xf>
    <xf numFmtId="0" fontId="0" fillId="7" borderId="0" xfId="0" applyFill="1" applyBorder="1" applyAlignment="1" applyProtection="1">
      <alignment horizontal="center" vertical="center"/>
      <protection locked="0"/>
    </xf>
    <xf numFmtId="0" fontId="0" fillId="7" borderId="104" xfId="0" applyFill="1" applyBorder="1" applyAlignment="1" applyProtection="1">
      <alignment horizontal="center" vertical="center"/>
      <protection locked="0"/>
    </xf>
    <xf numFmtId="3" fontId="4" fillId="0" borderId="0" xfId="24" applyNumberFormat="1" applyAlignment="1" applyProtection="1">
      <alignment horizontal="center" vertical="center"/>
    </xf>
    <xf numFmtId="177" fontId="4" fillId="0" borderId="0" xfId="21" applyNumberFormat="1" applyFont="1" applyAlignment="1" applyProtection="1">
      <alignment horizontal="center" vertical="center"/>
    </xf>
    <xf numFmtId="179" fontId="22" fillId="0" borderId="0" xfId="24" applyNumberFormat="1" applyFont="1" applyAlignment="1" applyProtection="1">
      <alignment horizontal="center" vertical="center"/>
    </xf>
    <xf numFmtId="180" fontId="0" fillId="8" borderId="0" xfId="0" applyNumberFormat="1" applyFill="1" applyBorder="1" applyProtection="1">
      <protection locked="0"/>
    </xf>
    <xf numFmtId="180" fontId="0" fillId="8" borderId="0" xfId="0" applyNumberFormat="1" applyFill="1" applyBorder="1" applyAlignment="1" applyProtection="1">
      <alignment horizontal="center"/>
      <protection locked="0"/>
    </xf>
    <xf numFmtId="10" fontId="0" fillId="0" borderId="0" xfId="0" applyNumberFormat="1" applyAlignment="1" applyProtection="1">
      <alignment horizontal="center"/>
    </xf>
    <xf numFmtId="4" fontId="0" fillId="0" borderId="0" xfId="0" applyNumberFormat="1" applyAlignment="1" applyProtection="1">
      <alignment horizontal="center"/>
    </xf>
    <xf numFmtId="180" fontId="0" fillId="0" borderId="0" xfId="0" applyNumberFormat="1" applyAlignment="1" applyProtection="1">
      <alignment horizontal="center"/>
    </xf>
    <xf numFmtId="180" fontId="0" fillId="8" borderId="57" xfId="0" applyNumberFormat="1" applyFill="1" applyBorder="1" applyAlignment="1" applyProtection="1">
      <alignment horizontal="center"/>
      <protection locked="0"/>
    </xf>
    <xf numFmtId="180" fontId="0" fillId="8"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0" fontId="136" fillId="0" borderId="0" xfId="0" applyFont="1" applyProtection="1"/>
    <xf numFmtId="2" fontId="0" fillId="0" borderId="0" xfId="0" applyNumberFormat="1" applyAlignment="1" applyProtection="1">
      <alignment horizontal="center"/>
    </xf>
    <xf numFmtId="2" fontId="0" fillId="58" borderId="0" xfId="0" applyNumberFormat="1" applyFill="1" applyAlignment="1" applyProtection="1">
      <alignment horizontal="center"/>
    </xf>
    <xf numFmtId="179" fontId="0" fillId="58" borderId="0" xfId="0" applyNumberFormat="1" applyFill="1" applyAlignment="1" applyProtection="1">
      <alignment horizontal="center"/>
    </xf>
    <xf numFmtId="0" fontId="73" fillId="0" borderId="0" xfId="0" applyFont="1" applyProtection="1"/>
    <xf numFmtId="4" fontId="0" fillId="58" borderId="0" xfId="0" applyNumberFormat="1" applyFill="1" applyAlignment="1" applyProtection="1">
      <alignment horizontal="center"/>
    </xf>
    <xf numFmtId="180" fontId="0" fillId="58" borderId="0" xfId="0" applyNumberFormat="1" applyFill="1" applyAlignment="1" applyProtection="1">
      <alignment horizontal="center"/>
    </xf>
    <xf numFmtId="199" fontId="4" fillId="8" borderId="52" xfId="39" applyNumberFormat="1" applyFont="1" applyFill="1" applyBorder="1" applyAlignment="1" applyProtection="1">
      <alignment horizontal="center"/>
      <protection locked="0"/>
    </xf>
    <xf numFmtId="0" fontId="0" fillId="8" borderId="0" xfId="0" applyFill="1" applyBorder="1" applyProtection="1">
      <protection locked="0"/>
    </xf>
    <xf numFmtId="0" fontId="0" fillId="0" borderId="0" xfId="0" applyBorder="1" applyAlignment="1" applyProtection="1">
      <alignment horizontal="right" vertical="center"/>
    </xf>
    <xf numFmtId="0" fontId="0" fillId="8" borderId="0" xfId="0" applyNumberFormat="1" applyFill="1" applyBorder="1" applyAlignment="1" applyProtection="1">
      <alignment horizontal="left" vertical="center"/>
      <protection locked="0"/>
    </xf>
    <xf numFmtId="0" fontId="0" fillId="8" borderId="92" xfId="0" applyFill="1" applyBorder="1" applyProtection="1">
      <protection locked="0"/>
    </xf>
    <xf numFmtId="0" fontId="0" fillId="7" borderId="92" xfId="0" applyFill="1" applyBorder="1" applyAlignment="1" applyProtection="1">
      <alignment horizontal="center" vertical="center"/>
      <protection locked="0"/>
    </xf>
    <xf numFmtId="0" fontId="0" fillId="0" borderId="92" xfId="0" applyBorder="1" applyAlignment="1" applyProtection="1">
      <alignment horizontal="right" vertical="center"/>
    </xf>
    <xf numFmtId="0" fontId="0" fillId="8" borderId="92" xfId="0" applyNumberFormat="1" applyFill="1" applyBorder="1" applyAlignment="1" applyProtection="1">
      <alignment horizontal="left" vertical="center"/>
      <protection locked="0"/>
    </xf>
    <xf numFmtId="0" fontId="0" fillId="8" borderId="104" xfId="0" applyFill="1" applyBorder="1" applyProtection="1">
      <protection locked="0"/>
    </xf>
    <xf numFmtId="0" fontId="0" fillId="0" borderId="104" xfId="0" applyBorder="1" applyAlignment="1" applyProtection="1">
      <alignment horizontal="right" vertical="center"/>
    </xf>
    <xf numFmtId="0" fontId="0" fillId="8" borderId="104" xfId="0" applyNumberFormat="1" applyFill="1" applyBorder="1" applyAlignment="1" applyProtection="1">
      <alignment horizontal="left" vertical="center"/>
      <protection locked="0"/>
    </xf>
    <xf numFmtId="180" fontId="0" fillId="8" borderId="104" xfId="0" applyNumberFormat="1" applyFill="1" applyBorder="1" applyProtection="1">
      <protection locked="0"/>
    </xf>
    <xf numFmtId="180" fontId="0" fillId="8" borderId="92" xfId="0" applyNumberFormat="1" applyFill="1" applyBorder="1" applyProtection="1">
      <protection locked="0"/>
    </xf>
    <xf numFmtId="0" fontId="84" fillId="2" borderId="25" xfId="24" applyFont="1" applyFill="1" applyBorder="1" applyAlignment="1" applyProtection="1">
      <alignment vertical="top"/>
      <protection locked="0"/>
    </xf>
    <xf numFmtId="0" fontId="4" fillId="2" borderId="48" xfId="24" applyFont="1" applyFill="1" applyBorder="1" applyAlignment="1" applyProtection="1">
      <alignment vertical="top"/>
      <protection locked="0"/>
    </xf>
    <xf numFmtId="0" fontId="4" fillId="2" borderId="26" xfId="24" applyFont="1" applyFill="1" applyBorder="1" applyAlignment="1" applyProtection="1">
      <alignment vertical="top"/>
      <protection locked="0"/>
    </xf>
    <xf numFmtId="186" fontId="22" fillId="2" borderId="4" xfId="88" applyNumberFormat="1" applyFont="1" applyFill="1" applyBorder="1" applyAlignment="1" applyProtection="1">
      <alignment horizontal="center" vertical="center"/>
      <protection locked="0"/>
    </xf>
    <xf numFmtId="164" fontId="22" fillId="59" borderId="49" xfId="39" applyNumberFormat="1" applyFont="1" applyFill="1" applyBorder="1" applyAlignment="1" applyProtection="1">
      <alignment horizontal="left" vertical="center"/>
      <protection locked="0"/>
    </xf>
    <xf numFmtId="0" fontId="4" fillId="59" borderId="49" xfId="24" applyFont="1" applyFill="1" applyBorder="1" applyAlignment="1" applyProtection="1">
      <alignment vertical="center"/>
      <protection locked="0"/>
    </xf>
    <xf numFmtId="44" fontId="4" fillId="59" borderId="10" xfId="39" applyFont="1" applyFill="1" applyBorder="1" applyAlignment="1" applyProtection="1">
      <alignment vertical="center"/>
      <protection locked="0"/>
    </xf>
    <xf numFmtId="164" fontId="31" fillId="59" borderId="49" xfId="39" applyNumberFormat="1" applyFont="1" applyFill="1" applyBorder="1" applyAlignment="1" applyProtection="1">
      <alignment horizontal="left" vertical="center"/>
      <protection locked="0"/>
    </xf>
    <xf numFmtId="0" fontId="4" fillId="59" borderId="10" xfId="24" applyFont="1" applyFill="1" applyBorder="1" applyAlignment="1" applyProtection="1">
      <alignment vertical="center"/>
      <protection locked="0"/>
    </xf>
    <xf numFmtId="44" fontId="4" fillId="59" borderId="49" xfId="24" applyNumberFormat="1" applyFont="1" applyFill="1" applyBorder="1" applyAlignment="1" applyProtection="1">
      <alignment vertical="center"/>
      <protection locked="0"/>
    </xf>
    <xf numFmtId="10" fontId="10" fillId="59" borderId="10" xfId="40" applyNumberFormat="1" applyFont="1" applyFill="1" applyBorder="1" applyAlignment="1" applyProtection="1">
      <alignment vertical="center"/>
      <protection locked="0"/>
    </xf>
    <xf numFmtId="3" fontId="0" fillId="0" borderId="80" xfId="0" applyNumberFormat="1" applyBorder="1" applyProtection="1"/>
    <xf numFmtId="0" fontId="0" fillId="0" borderId="104" xfId="0" applyBorder="1" applyAlignment="1" applyProtection="1">
      <alignment horizontal="left" vertical="top" wrapText="1"/>
    </xf>
    <xf numFmtId="0" fontId="0" fillId="0" borderId="0" xfId="0" applyAlignment="1" applyProtection="1">
      <alignment wrapText="1"/>
    </xf>
    <xf numFmtId="0" fontId="0" fillId="0" borderId="0" xfId="0" applyAlignment="1" applyProtection="1"/>
    <xf numFmtId="0" fontId="0" fillId="0" borderId="0" xfId="0" applyAlignment="1" applyProtection="1">
      <alignment vertical="top"/>
    </xf>
    <xf numFmtId="0" fontId="2" fillId="0" borderId="0" xfId="0" applyFont="1" applyAlignment="1" applyProtection="1">
      <alignment horizontal="center"/>
    </xf>
    <xf numFmtId="0" fontId="0" fillId="0" borderId="0" xfId="0" applyAlignment="1" applyProtection="1">
      <alignment horizontal="left" vertical="top" wrapText="1"/>
    </xf>
    <xf numFmtId="0" fontId="0" fillId="0" borderId="0" xfId="0" applyAlignment="1" applyProtection="1">
      <alignment wrapText="1"/>
    </xf>
    <xf numFmtId="0" fontId="11" fillId="2" borderId="0" xfId="0" applyFont="1" applyFill="1" applyAlignment="1">
      <alignment horizontal="left"/>
    </xf>
    <xf numFmtId="0" fontId="9" fillId="2" borderId="0" xfId="0" applyFont="1" applyFill="1" applyAlignment="1">
      <alignment horizontal="left" wrapText="1" indent="2"/>
    </xf>
    <xf numFmtId="0" fontId="38" fillId="2" borderId="0" xfId="0" applyFont="1" applyFill="1" applyAlignment="1">
      <alignment horizontal="left" vertical="top" wrapText="1"/>
    </xf>
    <xf numFmtId="0" fontId="9" fillId="2" borderId="0" xfId="0" applyFont="1" applyFill="1" applyAlignment="1">
      <alignment horizontal="left" wrapText="1"/>
    </xf>
    <xf numFmtId="0" fontId="9" fillId="2" borderId="0" xfId="0" applyFont="1" applyFill="1" applyAlignment="1">
      <alignment horizontal="left" wrapText="1" indent="6"/>
    </xf>
    <xf numFmtId="0" fontId="13" fillId="2" borderId="0" xfId="0" applyFont="1" applyFill="1" applyAlignment="1">
      <alignment horizontal="left"/>
    </xf>
    <xf numFmtId="0" fontId="38" fillId="2" borderId="0" xfId="0" applyFont="1" applyFill="1" applyAlignment="1">
      <alignment horizontal="left"/>
    </xf>
    <xf numFmtId="0" fontId="13" fillId="2" borderId="0" xfId="0" applyFont="1" applyFill="1" applyAlignment="1">
      <alignment horizontal="left" wrapText="1"/>
    </xf>
    <xf numFmtId="0" fontId="13" fillId="2" borderId="0" xfId="0" applyFont="1" applyFill="1" applyAlignment="1">
      <alignment horizontal="left" vertical="top"/>
    </xf>
    <xf numFmtId="0" fontId="38" fillId="2" borderId="0" xfId="0" applyFont="1" applyFill="1" applyAlignment="1">
      <alignment horizontal="left" vertical="top"/>
    </xf>
    <xf numFmtId="0" fontId="0" fillId="0" borderId="0" xfId="0" applyAlignment="1" applyProtection="1">
      <alignment horizontal="center"/>
    </xf>
    <xf numFmtId="0" fontId="0" fillId="0" borderId="0" xfId="0" applyAlignment="1"/>
    <xf numFmtId="0" fontId="10" fillId="2" borderId="0" xfId="0" applyFont="1" applyFill="1" applyAlignment="1">
      <alignment horizontal="left" wrapText="1"/>
    </xf>
    <xf numFmtId="0" fontId="38" fillId="0" borderId="0" xfId="0" applyFont="1" applyAlignment="1">
      <alignment horizontal="left" vertical="top" wrapText="1"/>
    </xf>
    <xf numFmtId="0" fontId="9" fillId="2" borderId="0" xfId="0" applyFont="1" applyFill="1" applyAlignment="1">
      <alignment horizontal="left"/>
    </xf>
    <xf numFmtId="0" fontId="9" fillId="0" borderId="0" xfId="0" applyFont="1" applyAlignment="1">
      <alignment horizontal="left" vertical="top" wrapText="1"/>
    </xf>
    <xf numFmtId="0" fontId="0" fillId="0" borderId="102" xfId="0" applyBorder="1" applyAlignment="1">
      <alignment horizontal="left" vertical="center" wrapText="1"/>
    </xf>
    <xf numFmtId="0" fontId="0" fillId="0" borderId="10" xfId="0" applyBorder="1" applyAlignment="1">
      <alignment horizontal="left" vertical="center" wrapText="1"/>
    </xf>
    <xf numFmtId="0" fontId="0" fillId="0" borderId="27" xfId="0" applyBorder="1" applyAlignment="1">
      <alignment horizontal="center" vertical="center" wrapText="1"/>
    </xf>
    <xf numFmtId="0" fontId="0" fillId="0" borderId="29" xfId="0" applyBorder="1" applyAlignment="1">
      <alignment horizontal="center" vertical="center" wrapText="1"/>
    </xf>
    <xf numFmtId="0" fontId="0" fillId="0" borderId="27" xfId="0" applyBorder="1" applyAlignment="1">
      <alignment vertical="center" wrapText="1"/>
    </xf>
    <xf numFmtId="0" fontId="0" fillId="0" borderId="29" xfId="0" applyBorder="1" applyAlignment="1">
      <alignment vertical="center" wrapText="1"/>
    </xf>
    <xf numFmtId="0" fontId="0" fillId="0" borderId="7" xfId="0" applyBorder="1" applyAlignment="1">
      <alignment horizontal="left" wrapText="1"/>
    </xf>
    <xf numFmtId="0" fontId="0" fillId="0" borderId="8" xfId="0" applyBorder="1" applyAlignment="1">
      <alignment horizontal="left" wrapText="1"/>
    </xf>
    <xf numFmtId="0" fontId="0" fillId="0" borderId="49" xfId="0" applyBorder="1" applyAlignment="1">
      <alignment horizontal="center" vertical="center" wrapText="1"/>
    </xf>
    <xf numFmtId="0" fontId="0" fillId="0" borderId="49" xfId="0" applyBorder="1" applyAlignment="1">
      <alignment vertical="center" wrapText="1"/>
    </xf>
    <xf numFmtId="0" fontId="35" fillId="0" borderId="0" xfId="0" applyFont="1" applyBorder="1" applyAlignment="1">
      <alignment horizontal="left" wrapText="1"/>
    </xf>
    <xf numFmtId="0" fontId="35" fillId="0" borderId="10" xfId="0" applyFont="1" applyBorder="1" applyAlignment="1">
      <alignment horizontal="left" wrapText="1"/>
    </xf>
    <xf numFmtId="0" fontId="0" fillId="0" borderId="0" xfId="0" applyBorder="1" applyAlignment="1">
      <alignment horizontal="left" wrapText="1"/>
    </xf>
    <xf numFmtId="0" fontId="0" fillId="0" borderId="10" xfId="0" applyBorder="1" applyAlignment="1">
      <alignment horizontal="left" wrapText="1"/>
    </xf>
    <xf numFmtId="0" fontId="0" fillId="0" borderId="6" xfId="0" applyBorder="1" applyAlignment="1">
      <alignment horizontal="left" vertical="center" wrapText="1"/>
    </xf>
    <xf numFmtId="0" fontId="0" fillId="0" borderId="8" xfId="0" applyBorder="1" applyAlignment="1">
      <alignment horizontal="left" vertical="center" wrapText="1"/>
    </xf>
    <xf numFmtId="0" fontId="35" fillId="0" borderId="7" xfId="0" applyFont="1" applyBorder="1" applyAlignment="1">
      <alignment horizontal="left" wrapText="1"/>
    </xf>
    <xf numFmtId="0" fontId="35" fillId="0" borderId="8" xfId="0" applyFont="1" applyBorder="1" applyAlignment="1">
      <alignment horizontal="left" wrapText="1"/>
    </xf>
    <xf numFmtId="0" fontId="0" fillId="0" borderId="0" xfId="0" applyAlignment="1" applyProtection="1">
      <alignment horizontal="left"/>
      <protection locked="0"/>
    </xf>
    <xf numFmtId="0" fontId="4" fillId="0" borderId="38"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167" fontId="8" fillId="4" borderId="1" xfId="0" applyNumberFormat="1" applyFont="1" applyFill="1" applyBorder="1" applyAlignment="1" applyProtection="1">
      <alignment horizontal="left" vertical="center"/>
      <protection locked="0"/>
    </xf>
    <xf numFmtId="167" fontId="8" fillId="4" borderId="2" xfId="0" applyNumberFormat="1" applyFont="1" applyFill="1" applyBorder="1" applyAlignment="1" applyProtection="1">
      <alignment horizontal="left" vertical="center"/>
      <protection locked="0"/>
    </xf>
    <xf numFmtId="0" fontId="10" fillId="0" borderId="0" xfId="0" applyFont="1" applyAlignment="1" applyProtection="1">
      <alignment horizontal="left" vertical="center" wrapText="1"/>
      <protection locked="0"/>
    </xf>
    <xf numFmtId="0" fontId="8" fillId="4" borderId="1" xfId="0" applyFont="1" applyFill="1" applyBorder="1" applyAlignment="1" applyProtection="1">
      <alignment horizontal="left" vertical="center" wrapText="1"/>
    </xf>
    <xf numFmtId="0" fontId="8" fillId="4" borderId="2" xfId="0" applyFont="1" applyFill="1" applyBorder="1" applyAlignment="1" applyProtection="1">
      <alignment horizontal="left" vertical="center" wrapText="1"/>
    </xf>
    <xf numFmtId="0" fontId="8" fillId="4" borderId="3"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protection locked="0"/>
    </xf>
    <xf numFmtId="0" fontId="8" fillId="4" borderId="2" xfId="0"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4"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8" fillId="3" borderId="1" xfId="0" applyNumberFormat="1" applyFont="1" applyFill="1" applyBorder="1" applyAlignment="1" applyProtection="1">
      <alignment horizontal="left" vertical="center"/>
      <protection locked="0"/>
    </xf>
    <xf numFmtId="0" fontId="8" fillId="3" borderId="2" xfId="0" applyNumberFormat="1" applyFont="1" applyFill="1" applyBorder="1" applyAlignment="1" applyProtection="1">
      <alignment horizontal="left" vertical="center"/>
      <protection locked="0"/>
    </xf>
    <xf numFmtId="0" fontId="8" fillId="3" borderId="3" xfId="0" applyNumberFormat="1" applyFont="1" applyFill="1" applyBorder="1" applyAlignment="1" applyProtection="1">
      <alignment horizontal="left" vertical="center"/>
      <protection locked="0"/>
    </xf>
    <xf numFmtId="0" fontId="39" fillId="4" borderId="1" xfId="0" applyNumberFormat="1" applyFont="1" applyFill="1" applyBorder="1" applyAlignment="1" applyProtection="1">
      <alignment horizontal="center" vertical="center"/>
      <protection locked="0"/>
    </xf>
    <xf numFmtId="0" fontId="39" fillId="4" borderId="2" xfId="0" applyNumberFormat="1" applyFont="1" applyFill="1" applyBorder="1" applyAlignment="1" applyProtection="1">
      <alignment horizontal="center" vertical="center"/>
      <protection locked="0"/>
    </xf>
    <xf numFmtId="0" fontId="39" fillId="4" borderId="3" xfId="0" applyNumberFormat="1" applyFont="1" applyFill="1" applyBorder="1" applyAlignment="1" applyProtection="1">
      <alignment horizontal="center" vertical="center"/>
      <protection locked="0"/>
    </xf>
    <xf numFmtId="0" fontId="39" fillId="0" borderId="0" xfId="0" applyFont="1" applyAlignment="1" applyProtection="1">
      <alignment horizontal="right" vertical="center" wrapText="1" indent="2"/>
      <protection locked="0"/>
    </xf>
    <xf numFmtId="0" fontId="39" fillId="0" borderId="37" xfId="0" applyFont="1" applyBorder="1" applyAlignment="1" applyProtection="1">
      <alignment horizontal="right" vertical="center" wrapText="1" indent="2"/>
      <protection locked="0"/>
    </xf>
    <xf numFmtId="0" fontId="8" fillId="3" borderId="1" xfId="0" applyFont="1" applyFill="1" applyBorder="1" applyAlignment="1" applyProtection="1">
      <alignment horizontal="left" vertical="center"/>
      <protection locked="0"/>
    </xf>
    <xf numFmtId="0" fontId="8" fillId="3" borderId="2" xfId="0" applyFont="1" applyFill="1" applyBorder="1" applyAlignment="1" applyProtection="1">
      <alignment horizontal="left" vertical="center"/>
      <protection locked="0"/>
    </xf>
    <xf numFmtId="0" fontId="11" fillId="2" borderId="0" xfId="0" applyFont="1" applyFill="1" applyAlignment="1">
      <alignment horizontal="left"/>
    </xf>
    <xf numFmtId="0" fontId="9" fillId="2" borderId="0" xfId="0" applyFont="1" applyFill="1" applyAlignment="1">
      <alignment horizontal="left" wrapText="1" indent="2"/>
    </xf>
    <xf numFmtId="0" fontId="38" fillId="2" borderId="0" xfId="0" applyFont="1" applyFill="1" applyAlignment="1">
      <alignment horizontal="left" vertical="top" wrapText="1"/>
    </xf>
    <xf numFmtId="0" fontId="9" fillId="2" borderId="0" xfId="0" applyFont="1" applyFill="1" applyAlignment="1">
      <alignment horizontal="left" wrapText="1"/>
    </xf>
    <xf numFmtId="0" fontId="9" fillId="2" borderId="0" xfId="0" applyFont="1" applyFill="1" applyAlignment="1">
      <alignment horizontal="left" wrapText="1" indent="6"/>
    </xf>
    <xf numFmtId="0" fontId="13" fillId="2" borderId="0" xfId="0" applyFont="1" applyFill="1" applyAlignment="1">
      <alignment horizontal="left"/>
    </xf>
    <xf numFmtId="0" fontId="38" fillId="2" borderId="0" xfId="0" applyFont="1" applyFill="1" applyAlignment="1">
      <alignment horizontal="left"/>
    </xf>
    <xf numFmtId="0" fontId="13" fillId="2" borderId="0" xfId="0" applyFont="1" applyFill="1" applyAlignment="1">
      <alignment horizontal="left" wrapText="1"/>
    </xf>
    <xf numFmtId="0" fontId="11" fillId="2" borderId="0" xfId="0" applyFont="1" applyFill="1" applyAlignment="1">
      <alignment horizontal="left" vertical="top"/>
    </xf>
    <xf numFmtId="0" fontId="13" fillId="2" borderId="0" xfId="0" applyFont="1" applyFill="1" applyAlignment="1">
      <alignment horizontal="left" vertical="top"/>
    </xf>
    <xf numFmtId="0" fontId="38" fillId="2" borderId="0" xfId="0" applyFont="1" applyFill="1" applyAlignment="1">
      <alignment horizontal="left" vertical="top"/>
    </xf>
    <xf numFmtId="0" fontId="74" fillId="2" borderId="0" xfId="0" applyFont="1" applyFill="1" applyAlignment="1">
      <alignment horizontal="left" vertical="top"/>
    </xf>
    <xf numFmtId="0" fontId="12" fillId="2" borderId="0" xfId="0" applyFont="1" applyFill="1" applyAlignment="1">
      <alignment horizontal="center" vertical="top"/>
    </xf>
    <xf numFmtId="0" fontId="11" fillId="2" borderId="0" xfId="0" applyFont="1" applyFill="1" applyAlignment="1">
      <alignment horizontal="center" vertical="top"/>
    </xf>
    <xf numFmtId="0" fontId="40" fillId="2" borderId="0" xfId="0" applyFont="1" applyFill="1" applyAlignment="1">
      <alignment horizontal="center" vertical="top"/>
    </xf>
    <xf numFmtId="0" fontId="13" fillId="2" borderId="0" xfId="0" applyFont="1" applyFill="1" applyAlignment="1">
      <alignment horizontal="center" vertical="top"/>
    </xf>
    <xf numFmtId="0" fontId="63" fillId="2" borderId="0" xfId="0" applyFont="1" applyFill="1" applyAlignment="1">
      <alignment horizontal="right" vertical="top"/>
    </xf>
    <xf numFmtId="0" fontId="9" fillId="2" borderId="0" xfId="0" applyFont="1" applyFill="1" applyAlignment="1">
      <alignment horizontal="left" vertical="top" wrapText="1"/>
    </xf>
    <xf numFmtId="187" fontId="78" fillId="0" borderId="80" xfId="0" applyNumberFormat="1" applyFont="1" applyFill="1" applyBorder="1" applyAlignment="1" applyProtection="1">
      <alignment horizontal="center" vertical="center" wrapText="1"/>
    </xf>
    <xf numFmtId="187" fontId="78" fillId="0" borderId="0" xfId="0" applyNumberFormat="1" applyFont="1" applyFill="1" applyBorder="1" applyAlignment="1" applyProtection="1">
      <alignment horizontal="center" vertical="center" wrapText="1"/>
    </xf>
    <xf numFmtId="187" fontId="78" fillId="0" borderId="65" xfId="0" applyNumberFormat="1" applyFont="1" applyFill="1" applyBorder="1" applyAlignment="1" applyProtection="1">
      <alignment horizontal="center" vertical="center" wrapText="1"/>
    </xf>
    <xf numFmtId="8" fontId="78" fillId="0" borderId="80" xfId="0" applyNumberFormat="1" applyFont="1" applyFill="1" applyBorder="1" applyAlignment="1" applyProtection="1">
      <alignment horizontal="center" vertical="center" wrapText="1"/>
    </xf>
    <xf numFmtId="8" fontId="78" fillId="0" borderId="0" xfId="0" applyNumberFormat="1" applyFont="1" applyFill="1" applyBorder="1" applyAlignment="1" applyProtection="1">
      <alignment horizontal="center" vertical="center" wrapText="1"/>
    </xf>
    <xf numFmtId="8" fontId="78" fillId="0" borderId="65" xfId="0" applyNumberFormat="1" applyFont="1" applyFill="1" applyBorder="1" applyAlignment="1" applyProtection="1">
      <alignment horizontal="center" vertical="center" wrapText="1"/>
    </xf>
    <xf numFmtId="8" fontId="78" fillId="0" borderId="61" xfId="0" applyNumberFormat="1" applyFont="1" applyFill="1" applyBorder="1" applyAlignment="1" applyProtection="1">
      <alignment horizontal="center" vertical="center" wrapText="1"/>
    </xf>
    <xf numFmtId="8" fontId="78" fillId="0" borderId="77" xfId="0" applyNumberFormat="1" applyFont="1" applyFill="1" applyBorder="1" applyAlignment="1" applyProtection="1">
      <alignment horizontal="center" vertical="center" wrapText="1"/>
    </xf>
    <xf numFmtId="8" fontId="78" fillId="0" borderId="64" xfId="0" applyNumberFormat="1" applyFont="1" applyFill="1" applyBorder="1" applyAlignment="1" applyProtection="1">
      <alignment horizontal="center" vertical="center" wrapText="1"/>
    </xf>
    <xf numFmtId="8" fontId="78" fillId="0" borderId="83" xfId="0" applyNumberFormat="1" applyFont="1" applyFill="1" applyBorder="1" applyAlignment="1" applyProtection="1">
      <alignment horizontal="center" vertical="center" wrapText="1"/>
    </xf>
    <xf numFmtId="8" fontId="78" fillId="0" borderId="89" xfId="0" applyNumberFormat="1" applyFont="1" applyFill="1" applyBorder="1" applyAlignment="1" applyProtection="1">
      <alignment horizontal="center" vertical="center" wrapText="1"/>
    </xf>
    <xf numFmtId="0" fontId="19" fillId="53" borderId="0" xfId="24" applyFont="1" applyFill="1" applyBorder="1" applyAlignment="1" applyProtection="1">
      <alignment horizontal="left" vertical="top" wrapText="1"/>
    </xf>
    <xf numFmtId="8" fontId="78" fillId="0" borderId="60" xfId="0" applyNumberFormat="1" applyFont="1" applyFill="1" applyBorder="1" applyAlignment="1" applyProtection="1">
      <alignment horizontal="center" vertical="center" wrapText="1"/>
    </xf>
    <xf numFmtId="8" fontId="32" fillId="0" borderId="38" xfId="0" applyNumberFormat="1" applyFont="1" applyFill="1" applyBorder="1" applyAlignment="1" applyProtection="1">
      <alignment horizontal="center" vertical="center" wrapText="1"/>
    </xf>
    <xf numFmtId="8" fontId="32" fillId="0" borderId="63" xfId="0" applyNumberFormat="1" applyFont="1" applyFill="1" applyBorder="1" applyAlignment="1" applyProtection="1">
      <alignment horizontal="center" vertical="center" wrapText="1"/>
    </xf>
    <xf numFmtId="8" fontId="78" fillId="0" borderId="59" xfId="0" applyNumberFormat="1" applyFont="1" applyFill="1" applyBorder="1" applyAlignment="1" applyProtection="1">
      <alignment horizontal="center" vertical="center" wrapText="1"/>
    </xf>
    <xf numFmtId="8" fontId="32" fillId="0" borderId="0" xfId="0" applyNumberFormat="1" applyFont="1" applyFill="1" applyBorder="1" applyAlignment="1" applyProtection="1">
      <alignment horizontal="center" vertical="center" wrapText="1"/>
    </xf>
    <xf numFmtId="8" fontId="32" fillId="0" borderId="65" xfId="0" applyNumberFormat="1" applyFont="1" applyFill="1" applyBorder="1" applyAlignment="1" applyProtection="1">
      <alignment horizontal="center" vertical="center" wrapText="1"/>
    </xf>
    <xf numFmtId="8" fontId="97" fillId="0" borderId="59" xfId="0" applyNumberFormat="1" applyFont="1" applyFill="1" applyBorder="1" applyAlignment="1" applyProtection="1">
      <alignment horizontal="center" vertical="center" wrapText="1"/>
    </xf>
    <xf numFmtId="8" fontId="100" fillId="0" borderId="0" xfId="0" applyNumberFormat="1" applyFont="1" applyFill="1" applyBorder="1" applyAlignment="1" applyProtection="1">
      <alignment horizontal="center" vertical="center" wrapText="1"/>
    </xf>
    <xf numFmtId="8" fontId="100" fillId="0" borderId="65" xfId="0" applyNumberFormat="1" applyFont="1" applyFill="1" applyBorder="1" applyAlignment="1" applyProtection="1">
      <alignment horizontal="center" vertical="center" wrapText="1"/>
    </xf>
    <xf numFmtId="8" fontId="78" fillId="0" borderId="38" xfId="0" applyNumberFormat="1" applyFont="1" applyFill="1" applyBorder="1" applyAlignment="1" applyProtection="1">
      <alignment horizontal="center" vertical="center" wrapText="1"/>
    </xf>
    <xf numFmtId="8" fontId="78" fillId="0" borderId="63" xfId="0" applyNumberFormat="1" applyFont="1" applyFill="1" applyBorder="1" applyAlignment="1" applyProtection="1">
      <alignment horizontal="center" vertical="center" wrapText="1"/>
    </xf>
    <xf numFmtId="0" fontId="90" fillId="0" borderId="14" xfId="0" applyNumberFormat="1" applyFont="1" applyBorder="1" applyAlignment="1" applyProtection="1">
      <alignment horizontal="center"/>
    </xf>
    <xf numFmtId="0" fontId="90" fillId="0" borderId="15" xfId="0" applyNumberFormat="1" applyFont="1" applyBorder="1" applyAlignment="1" applyProtection="1">
      <alignment horizontal="center"/>
    </xf>
    <xf numFmtId="0" fontId="90" fillId="0" borderId="61" xfId="0" applyNumberFormat="1" applyFont="1" applyBorder="1" applyAlignment="1" applyProtection="1">
      <alignment horizontal="center"/>
    </xf>
    <xf numFmtId="0" fontId="95" fillId="0" borderId="60" xfId="0" applyFont="1" applyFill="1" applyBorder="1" applyAlignment="1" applyProtection="1">
      <alignment horizontal="left" vertical="center"/>
    </xf>
    <xf numFmtId="0" fontId="95" fillId="0" borderId="38" xfId="0" applyFont="1" applyFill="1" applyBorder="1" applyAlignment="1" applyProtection="1">
      <alignment horizontal="left" vertical="center"/>
    </xf>
    <xf numFmtId="0" fontId="78" fillId="0" borderId="61" xfId="0" applyFont="1" applyFill="1" applyBorder="1" applyAlignment="1" applyProtection="1">
      <alignment horizontal="center" vertical="center" wrapText="1"/>
    </xf>
    <xf numFmtId="0" fontId="78" fillId="0" borderId="62" xfId="0" applyFont="1" applyFill="1" applyBorder="1" applyAlignment="1" applyProtection="1">
      <alignment horizontal="center" vertical="center" wrapText="1"/>
    </xf>
    <xf numFmtId="0" fontId="78" fillId="0" borderId="77" xfId="0" applyFont="1" applyFill="1" applyBorder="1" applyAlignment="1" applyProtection="1">
      <alignment horizontal="center" vertical="center" wrapText="1"/>
    </xf>
    <xf numFmtId="187" fontId="78" fillId="0" borderId="59" xfId="0" applyNumberFormat="1" applyFont="1" applyFill="1" applyBorder="1" applyAlignment="1" applyProtection="1">
      <alignment horizontal="center" vertical="center" wrapText="1"/>
    </xf>
    <xf numFmtId="187" fontId="32" fillId="0" borderId="0" xfId="0" applyNumberFormat="1" applyFont="1" applyFill="1" applyBorder="1" applyAlignment="1" applyProtection="1">
      <alignment horizontal="center" vertical="center" wrapText="1"/>
    </xf>
    <xf numFmtId="187" fontId="32" fillId="0" borderId="65" xfId="0" applyNumberFormat="1" applyFont="1" applyFill="1" applyBorder="1" applyAlignment="1" applyProtection="1">
      <alignment horizontal="center" vertical="center" wrapText="1"/>
    </xf>
    <xf numFmtId="0" fontId="89" fillId="0" borderId="14" xfId="0" applyNumberFormat="1" applyFont="1" applyFill="1" applyBorder="1" applyAlignment="1" applyProtection="1">
      <alignment horizontal="center" vertical="center"/>
    </xf>
    <xf numFmtId="0" fontId="89" fillId="0" borderId="15" xfId="0" applyNumberFormat="1" applyFont="1" applyFill="1" applyBorder="1" applyAlignment="1" applyProtection="1">
      <alignment horizontal="center" vertical="center"/>
    </xf>
    <xf numFmtId="187" fontId="78" fillId="0" borderId="61" xfId="0" applyNumberFormat="1" applyFont="1" applyFill="1" applyBorder="1" applyAlignment="1" applyProtection="1">
      <alignment horizontal="center" vertical="center" wrapText="1"/>
    </xf>
    <xf numFmtId="187" fontId="78" fillId="0" borderId="62" xfId="0" applyNumberFormat="1" applyFont="1" applyFill="1" applyBorder="1" applyAlignment="1" applyProtection="1">
      <alignment horizontal="center" vertical="center" wrapText="1"/>
    </xf>
    <xf numFmtId="187" fontId="78" fillId="0" borderId="64" xfId="0" applyNumberFormat="1" applyFont="1" applyFill="1" applyBorder="1" applyAlignment="1" applyProtection="1">
      <alignment horizontal="center" vertical="center" wrapText="1"/>
    </xf>
    <xf numFmtId="0" fontId="89" fillId="0" borderId="16" xfId="0" applyNumberFormat="1" applyFont="1" applyFill="1" applyBorder="1" applyAlignment="1" applyProtection="1">
      <alignment horizontal="center" vertical="center"/>
    </xf>
    <xf numFmtId="0" fontId="19" fillId="0" borderId="0" xfId="24" applyFont="1" applyAlignment="1" applyProtection="1">
      <alignment horizontal="left" vertical="top" wrapText="1"/>
    </xf>
    <xf numFmtId="8" fontId="78" fillId="0" borderId="62" xfId="0" applyNumberFormat="1" applyFont="1" applyFill="1" applyBorder="1" applyAlignment="1" applyProtection="1">
      <alignment horizontal="center" vertical="center" wrapText="1"/>
    </xf>
    <xf numFmtId="8" fontId="78" fillId="0" borderId="82" xfId="0" applyNumberFormat="1" applyFont="1" applyFill="1" applyBorder="1" applyAlignment="1" applyProtection="1">
      <alignment horizontal="center" vertical="center" wrapText="1"/>
    </xf>
    <xf numFmtId="187" fontId="78" fillId="0" borderId="60" xfId="0" applyNumberFormat="1" applyFont="1" applyFill="1" applyBorder="1" applyAlignment="1" applyProtection="1">
      <alignment horizontal="center" vertical="center" wrapText="1"/>
    </xf>
    <xf numFmtId="187" fontId="78" fillId="0" borderId="38" xfId="0" applyNumberFormat="1" applyFont="1" applyFill="1" applyBorder="1" applyAlignment="1" applyProtection="1">
      <alignment horizontal="center" vertical="center" wrapText="1"/>
    </xf>
    <xf numFmtId="187" fontId="78" fillId="0" borderId="63" xfId="0" applyNumberFormat="1" applyFont="1" applyFill="1" applyBorder="1" applyAlignment="1" applyProtection="1">
      <alignment horizontal="center" vertical="center" wrapText="1"/>
    </xf>
    <xf numFmtId="10" fontId="22" fillId="2" borderId="110" xfId="25" applyNumberFormat="1" applyFont="1" applyFill="1" applyBorder="1" applyAlignment="1" applyProtection="1">
      <alignment horizontal="center" vertical="center" wrapText="1"/>
    </xf>
    <xf numFmtId="10" fontId="22" fillId="2" borderId="19" xfId="25" applyNumberFormat="1" applyFont="1" applyFill="1" applyBorder="1" applyAlignment="1" applyProtection="1">
      <alignment horizontal="center" vertical="center" wrapText="1"/>
    </xf>
    <xf numFmtId="0" fontId="74" fillId="10" borderId="17" xfId="0" applyFont="1" applyFill="1" applyBorder="1" applyAlignment="1" applyProtection="1">
      <alignment horizontal="center" vertical="top" wrapText="1"/>
    </xf>
    <xf numFmtId="0" fontId="0" fillId="10" borderId="17" xfId="0" applyFill="1" applyBorder="1" applyAlignment="1" applyProtection="1">
      <alignment horizontal="center" vertical="top" wrapText="1"/>
    </xf>
    <xf numFmtId="0" fontId="0" fillId="0" borderId="109" xfId="0" applyBorder="1" applyAlignment="1" applyProtection="1">
      <alignment horizontal="left" vertical="top" wrapText="1"/>
    </xf>
    <xf numFmtId="0" fontId="0" fillId="7" borderId="104" xfId="0" applyFill="1" applyBorder="1" applyAlignment="1" applyProtection="1">
      <alignment horizontal="left" vertical="top" wrapText="1"/>
    </xf>
    <xf numFmtId="0" fontId="0" fillId="0" borderId="104" xfId="0" applyBorder="1" applyAlignment="1" applyProtection="1">
      <alignment horizontal="left" vertical="top" wrapText="1"/>
    </xf>
    <xf numFmtId="178" fontId="22" fillId="2" borderId="110" xfId="25" applyNumberFormat="1" applyFont="1" applyFill="1" applyBorder="1" applyAlignment="1" applyProtection="1">
      <alignment horizontal="center" vertical="center" wrapText="1"/>
    </xf>
    <xf numFmtId="178" fontId="22" fillId="2" borderId="19" xfId="25" applyNumberFormat="1" applyFont="1" applyFill="1" applyBorder="1" applyAlignment="1" applyProtection="1">
      <alignment horizontal="center" vertical="center" wrapText="1"/>
    </xf>
    <xf numFmtId="0" fontId="83" fillId="0" borderId="104" xfId="0" applyFont="1" applyFill="1" applyBorder="1" applyAlignment="1" applyProtection="1">
      <alignment horizontal="center" vertical="top" wrapText="1"/>
    </xf>
    <xf numFmtId="0" fontId="2" fillId="2" borderId="0" xfId="0" applyFont="1" applyFill="1" applyAlignment="1" applyProtection="1">
      <alignment horizontal="center" vertical="center" wrapText="1"/>
    </xf>
    <xf numFmtId="0" fontId="2" fillId="0" borderId="0" xfId="0" applyFont="1" applyAlignment="1" applyProtection="1">
      <alignment wrapText="1"/>
    </xf>
    <xf numFmtId="0" fontId="83" fillId="0" borderId="104" xfId="0" applyFont="1" applyFill="1" applyBorder="1" applyAlignment="1" applyProtection="1">
      <alignment horizontal="center" vertical="center" wrapText="1"/>
    </xf>
    <xf numFmtId="0" fontId="83" fillId="0" borderId="111" xfId="0" applyFont="1" applyFill="1" applyBorder="1" applyAlignment="1" applyProtection="1">
      <alignment horizontal="center" vertical="center" wrapText="1"/>
    </xf>
    <xf numFmtId="0" fontId="22" fillId="2" borderId="110" xfId="25" applyNumberFormat="1" applyFont="1" applyFill="1" applyBorder="1" applyAlignment="1" applyProtection="1">
      <alignment horizontal="center" vertical="center" wrapText="1"/>
    </xf>
    <xf numFmtId="0" fontId="22" fillId="2" borderId="19" xfId="25" applyNumberFormat="1" applyFont="1" applyFill="1" applyBorder="1" applyAlignment="1" applyProtection="1">
      <alignment horizontal="center" vertical="center" wrapText="1"/>
    </xf>
    <xf numFmtId="0" fontId="8" fillId="0" borderId="0" xfId="0" applyFont="1" applyAlignment="1" applyProtection="1">
      <alignment horizontal="left" vertical="top" wrapText="1"/>
    </xf>
    <xf numFmtId="0" fontId="22" fillId="0" borderId="0" xfId="26" applyFont="1" applyBorder="1" applyAlignment="1" applyProtection="1">
      <alignment horizontal="center" wrapText="1"/>
    </xf>
    <xf numFmtId="0" fontId="22" fillId="0" borderId="12" xfId="26" applyFont="1" applyBorder="1" applyAlignment="1" applyProtection="1">
      <alignment horizontal="center" wrapText="1"/>
    </xf>
    <xf numFmtId="0" fontId="22" fillId="0" borderId="0" xfId="26" applyFont="1" applyBorder="1" applyAlignment="1" applyProtection="1">
      <alignment horizontal="right" wrapText="1"/>
    </xf>
    <xf numFmtId="0" fontId="22" fillId="0" borderId="12" xfId="26" applyFont="1" applyBorder="1" applyAlignment="1" applyProtection="1">
      <alignment horizontal="right" wrapText="1"/>
    </xf>
    <xf numFmtId="0" fontId="0" fillId="0" borderId="12" xfId="0" applyBorder="1" applyAlignment="1" applyProtection="1">
      <alignment horizontal="right" wrapText="1"/>
    </xf>
    <xf numFmtId="186" fontId="0" fillId="3" borderId="25" xfId="163" applyNumberFormat="1" applyFont="1" applyFill="1" applyBorder="1" applyAlignment="1" applyProtection="1">
      <protection locked="0"/>
    </xf>
    <xf numFmtId="0" fontId="0" fillId="0" borderId="26" xfId="0" applyBorder="1" applyAlignment="1" applyProtection="1">
      <protection locked="0"/>
    </xf>
    <xf numFmtId="0" fontId="2" fillId="0" borderId="25" xfId="0" applyFont="1" applyBorder="1" applyAlignment="1">
      <alignment horizontal="center"/>
    </xf>
    <xf numFmtId="0" fontId="0" fillId="0" borderId="26" xfId="0" applyBorder="1" applyAlignment="1">
      <alignment horizontal="center"/>
    </xf>
    <xf numFmtId="0" fontId="0" fillId="0" borderId="25" xfId="0" applyFill="1" applyBorder="1" applyAlignment="1">
      <alignment horizontal="center"/>
    </xf>
    <xf numFmtId="0" fontId="0" fillId="0" borderId="26" xfId="0" applyBorder="1" applyAlignment="1"/>
    <xf numFmtId="0" fontId="39" fillId="0" borderId="95" xfId="0" applyFont="1" applyFill="1" applyBorder="1" applyAlignment="1" applyProtection="1">
      <alignment horizontal="left" vertical="center" wrapText="1" indent="1"/>
    </xf>
    <xf numFmtId="0" fontId="39" fillId="0" borderId="0" xfId="0" applyFont="1" applyFill="1" applyBorder="1" applyAlignment="1" applyProtection="1">
      <alignment horizontal="left" vertical="center" wrapText="1" indent="1"/>
    </xf>
    <xf numFmtId="0" fontId="2" fillId="0" borderId="27" xfId="0" applyFont="1" applyBorder="1" applyAlignment="1">
      <alignment horizontal="center"/>
    </xf>
    <xf numFmtId="0" fontId="2" fillId="0" borderId="29" xfId="0" applyFont="1" applyBorder="1" applyAlignment="1">
      <alignment horizontal="center"/>
    </xf>
    <xf numFmtId="0" fontId="39" fillId="0" borderId="0" xfId="0" applyFont="1" applyAlignment="1" applyProtection="1">
      <alignment horizontal="left" vertical="center" wrapText="1"/>
    </xf>
    <xf numFmtId="0" fontId="0" fillId="0" borderId="0" xfId="0" applyAlignment="1">
      <alignment horizontal="left" vertical="center" wrapText="1"/>
    </xf>
    <xf numFmtId="0" fontId="2" fillId="0" borderId="25" xfId="0" applyFont="1" applyFill="1" applyBorder="1" applyAlignment="1">
      <alignment horizontal="center"/>
    </xf>
    <xf numFmtId="0" fontId="39" fillId="0" borderId="0" xfId="0" applyFont="1" applyAlignment="1" applyProtection="1">
      <alignment horizontal="left" wrapText="1"/>
    </xf>
    <xf numFmtId="0" fontId="0" fillId="0" borderId="0" xfId="0" applyAlignment="1" applyProtection="1">
      <alignment wrapText="1"/>
    </xf>
    <xf numFmtId="0" fontId="39" fillId="0" borderId="0" xfId="0" applyFont="1" applyAlignment="1" applyProtection="1">
      <alignment horizontal="left"/>
    </xf>
    <xf numFmtId="0" fontId="39" fillId="0" borderId="12" xfId="0" applyFont="1" applyBorder="1" applyAlignment="1" applyProtection="1">
      <alignment horizontal="left" wrapText="1"/>
    </xf>
    <xf numFmtId="0" fontId="39" fillId="0" borderId="0" xfId="0" applyFont="1" applyBorder="1" applyAlignment="1" applyProtection="1">
      <alignment horizontal="left" wrapText="1"/>
    </xf>
    <xf numFmtId="0" fontId="39" fillId="0" borderId="102" xfId="0" applyFont="1" applyFill="1" applyBorder="1" applyAlignment="1" applyProtection="1">
      <alignment horizontal="left" vertical="center" wrapText="1" indent="1"/>
    </xf>
    <xf numFmtId="0" fontId="39" fillId="0" borderId="0" xfId="0" applyFont="1" applyAlignment="1" applyProtection="1">
      <alignment wrapText="1"/>
    </xf>
    <xf numFmtId="0" fontId="0" fillId="0" borderId="0" xfId="0" applyAlignment="1" applyProtection="1"/>
    <xf numFmtId="0" fontId="22" fillId="0" borderId="25" xfId="27" applyFont="1" applyBorder="1" applyAlignment="1" applyProtection="1">
      <alignment horizontal="left" wrapText="1"/>
    </xf>
    <xf numFmtId="0" fontId="22" fillId="0" borderId="26" xfId="27" applyFont="1" applyBorder="1" applyAlignment="1" applyProtection="1">
      <alignment horizontal="left" wrapText="1"/>
    </xf>
    <xf numFmtId="0" fontId="22" fillId="0" borderId="4" xfId="27" applyFont="1" applyBorder="1" applyAlignment="1" applyProtection="1">
      <alignment horizontal="left" wrapText="1"/>
    </xf>
    <xf numFmtId="0" fontId="28" fillId="0" borderId="102" xfId="0" applyFont="1" applyBorder="1" applyAlignment="1" applyProtection="1">
      <alignment wrapText="1"/>
    </xf>
    <xf numFmtId="0" fontId="39" fillId="0" borderId="0" xfId="0" applyFont="1" applyFill="1" applyAlignment="1" applyProtection="1">
      <alignment horizontal="left" wrapText="1"/>
    </xf>
    <xf numFmtId="0" fontId="0" fillId="0" borderId="0" xfId="0" applyFill="1" applyAlignment="1" applyProtection="1">
      <alignment wrapText="1"/>
    </xf>
    <xf numFmtId="0" fontId="39" fillId="0" borderId="0" xfId="0" applyFont="1" applyFill="1" applyAlignment="1" applyProtection="1">
      <alignment horizontal="left"/>
    </xf>
    <xf numFmtId="0" fontId="39" fillId="0" borderId="12" xfId="0" applyFont="1" applyFill="1" applyBorder="1" applyAlignment="1" applyProtection="1">
      <alignment horizontal="left" wrapText="1"/>
    </xf>
    <xf numFmtId="0" fontId="39" fillId="0" borderId="0" xfId="0" applyFont="1" applyFill="1" applyBorder="1" applyAlignment="1" applyProtection="1">
      <alignment horizontal="left" wrapText="1"/>
    </xf>
    <xf numFmtId="0" fontId="36" fillId="10" borderId="60" xfId="0" applyFont="1" applyFill="1" applyBorder="1" applyAlignment="1" applyProtection="1">
      <alignment horizontal="center" vertical="center" wrapText="1"/>
    </xf>
    <xf numFmtId="0" fontId="36" fillId="10" borderId="80" xfId="0" applyFont="1" applyFill="1" applyBorder="1" applyAlignment="1" applyProtection="1">
      <alignment horizontal="center" vertical="center" wrapText="1"/>
    </xf>
    <xf numFmtId="0" fontId="36" fillId="10" borderId="61" xfId="0" applyFont="1" applyFill="1" applyBorder="1" applyAlignment="1" applyProtection="1">
      <alignment horizontal="center" vertical="center" wrapText="1"/>
    </xf>
    <xf numFmtId="0" fontId="36" fillId="10" borderId="38" xfId="0" applyFont="1" applyFill="1" applyBorder="1" applyAlignment="1" applyProtection="1">
      <alignment horizontal="center" vertical="center" wrapText="1"/>
    </xf>
    <xf numFmtId="0" fontId="36" fillId="10" borderId="0" xfId="0" applyFont="1" applyFill="1" applyBorder="1" applyAlignment="1" applyProtection="1">
      <alignment horizontal="center" vertical="center" wrapText="1"/>
    </xf>
    <xf numFmtId="0" fontId="36" fillId="10" borderId="103" xfId="0" applyFont="1" applyFill="1" applyBorder="1" applyAlignment="1" applyProtection="1">
      <alignment horizontal="center" vertical="center" wrapText="1"/>
    </xf>
    <xf numFmtId="0" fontId="36" fillId="10" borderId="79" xfId="0" applyFont="1" applyFill="1" applyBorder="1" applyAlignment="1" applyProtection="1">
      <alignment horizontal="center" vertical="center" wrapText="1"/>
    </xf>
    <xf numFmtId="0" fontId="36" fillId="10" borderId="78" xfId="0" applyFont="1" applyFill="1" applyBorder="1" applyAlignment="1" applyProtection="1">
      <alignment horizontal="center" vertical="center" wrapText="1"/>
    </xf>
    <xf numFmtId="0" fontId="36" fillId="10" borderId="123" xfId="0" applyFont="1" applyFill="1" applyBorder="1" applyAlignment="1" applyProtection="1">
      <alignment horizontal="center" vertical="center" wrapText="1"/>
    </xf>
    <xf numFmtId="0" fontId="19" fillId="0" borderId="0" xfId="0" applyFont="1" applyAlignment="1" applyProtection="1">
      <alignment vertical="top" wrapText="1"/>
    </xf>
    <xf numFmtId="0" fontId="0" fillId="0" borderId="0" xfId="0" applyAlignment="1" applyProtection="1">
      <alignment vertical="top"/>
    </xf>
    <xf numFmtId="0" fontId="13" fillId="0" borderId="12" xfId="0" applyFont="1" applyFill="1" applyBorder="1" applyAlignment="1" applyProtection="1">
      <alignment horizontal="center" wrapText="1"/>
    </xf>
    <xf numFmtId="0" fontId="13" fillId="0" borderId="12" xfId="0" applyFont="1" applyBorder="1" applyAlignment="1" applyProtection="1">
      <alignment horizontal="center" wrapText="1"/>
    </xf>
    <xf numFmtId="0" fontId="134" fillId="0" borderId="0" xfId="0" applyFont="1" applyAlignment="1" applyProtection="1">
      <alignment wrapText="1"/>
    </xf>
    <xf numFmtId="0" fontId="0" fillId="0" borderId="0" xfId="0" applyAlignment="1">
      <alignment wrapText="1"/>
    </xf>
    <xf numFmtId="0" fontId="2" fillId="0" borderId="0" xfId="0" applyFont="1" applyAlignment="1" applyProtection="1">
      <alignment horizontal="center"/>
    </xf>
    <xf numFmtId="0" fontId="0" fillId="0" borderId="0" xfId="0" applyAlignment="1" applyProtection="1">
      <alignment horizontal="center"/>
    </xf>
    <xf numFmtId="0" fontId="22" fillId="0" borderId="21" xfId="27" applyFont="1" applyFill="1" applyBorder="1" applyAlignment="1" applyProtection="1">
      <alignment horizontal="right" wrapText="1"/>
    </xf>
    <xf numFmtId="0" fontId="22" fillId="0" borderId="0" xfId="27" applyFont="1" applyFill="1" applyAlignment="1" applyProtection="1">
      <alignment horizontal="right" wrapText="1"/>
    </xf>
    <xf numFmtId="0" fontId="22" fillId="0" borderId="0" xfId="27" applyFont="1" applyAlignment="1" applyProtection="1">
      <alignment horizontal="right" vertical="top" indent="2"/>
    </xf>
    <xf numFmtId="0" fontId="22" fillId="0" borderId="10" xfId="27" applyFont="1" applyBorder="1" applyAlignment="1" applyProtection="1">
      <alignment horizontal="right" vertical="top" indent="2"/>
    </xf>
    <xf numFmtId="0" fontId="22" fillId="48" borderId="0" xfId="27" applyFont="1" applyFill="1" applyAlignment="1" applyProtection="1">
      <alignment horizontal="center" wrapText="1"/>
    </xf>
    <xf numFmtId="0" fontId="22" fillId="0" borderId="0" xfId="27" applyFont="1" applyFill="1" applyAlignment="1" applyProtection="1">
      <alignment horizontal="center" wrapText="1"/>
    </xf>
    <xf numFmtId="0" fontId="21" fillId="10" borderId="0" xfId="0" applyFont="1" applyFill="1" applyAlignment="1" applyProtection="1">
      <alignment horizontal="left" vertical="top" wrapText="1"/>
    </xf>
    <xf numFmtId="0" fontId="30" fillId="0" borderId="0" xfId="0" applyFont="1" applyAlignment="1" applyProtection="1">
      <alignment horizontal="left" vertical="top" wrapText="1"/>
    </xf>
    <xf numFmtId="0" fontId="40" fillId="0" borderId="0" xfId="0" applyFont="1" applyAlignment="1" applyProtection="1">
      <alignment wrapText="1"/>
    </xf>
    <xf numFmtId="0" fontId="36" fillId="10" borderId="60" xfId="0" applyFont="1" applyFill="1" applyBorder="1" applyAlignment="1" applyProtection="1">
      <alignment horizontal="center" vertical="center" wrapText="1"/>
      <protection locked="0"/>
    </xf>
    <xf numFmtId="0" fontId="36" fillId="10" borderId="80" xfId="0" applyFont="1" applyFill="1" applyBorder="1" applyAlignment="1" applyProtection="1">
      <alignment horizontal="center" vertical="center" wrapText="1"/>
      <protection locked="0"/>
    </xf>
    <xf numFmtId="0" fontId="36" fillId="10" borderId="61" xfId="0" applyFont="1" applyFill="1" applyBorder="1" applyAlignment="1" applyProtection="1">
      <alignment horizontal="center" vertical="center" wrapText="1"/>
      <protection locked="0"/>
    </xf>
    <xf numFmtId="0" fontId="36" fillId="10" borderId="38"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wrapText="1"/>
      <protection locked="0"/>
    </xf>
    <xf numFmtId="0" fontId="36" fillId="10" borderId="103" xfId="0" applyFont="1" applyFill="1" applyBorder="1" applyAlignment="1" applyProtection="1">
      <alignment horizontal="center" vertical="center" wrapText="1"/>
      <protection locked="0"/>
    </xf>
    <xf numFmtId="0" fontId="36" fillId="10" borderId="79" xfId="0" applyFont="1" applyFill="1" applyBorder="1" applyAlignment="1" applyProtection="1">
      <alignment horizontal="center" vertical="center" wrapText="1"/>
      <protection locked="0"/>
    </xf>
    <xf numFmtId="0" fontId="36" fillId="10" borderId="78" xfId="0" applyFont="1" applyFill="1" applyBorder="1" applyAlignment="1" applyProtection="1">
      <alignment horizontal="center" vertical="center" wrapText="1"/>
      <protection locked="0"/>
    </xf>
    <xf numFmtId="0" fontId="36" fillId="10" borderId="123" xfId="0" applyFont="1" applyFill="1" applyBorder="1" applyAlignment="1" applyProtection="1">
      <alignment horizontal="center" vertical="center" wrapText="1"/>
      <protection locked="0"/>
    </xf>
    <xf numFmtId="44" fontId="18" fillId="3" borderId="0" xfId="0" applyNumberFormat="1" applyFont="1" applyFill="1" applyAlignment="1" applyProtection="1">
      <alignment horizontal="center"/>
    </xf>
    <xf numFmtId="44" fontId="18" fillId="9" borderId="0" xfId="39" applyFont="1" applyFill="1" applyAlignment="1" applyProtection="1">
      <alignment horizontal="center"/>
    </xf>
    <xf numFmtId="190" fontId="40" fillId="3" borderId="0" xfId="0" applyNumberFormat="1" applyFont="1" applyFill="1" applyAlignment="1" applyProtection="1">
      <alignment horizontal="center"/>
    </xf>
    <xf numFmtId="0" fontId="42" fillId="46" borderId="0" xfId="0" applyFont="1" applyFill="1" applyAlignment="1" applyProtection="1">
      <alignment horizontal="center" vertical="center" wrapText="1"/>
    </xf>
    <xf numFmtId="0" fontId="18" fillId="0" borderId="0" xfId="0" applyFont="1" applyAlignment="1" applyProtection="1">
      <alignment horizontal="center"/>
    </xf>
    <xf numFmtId="0" fontId="94" fillId="0" borderId="0" xfId="0" applyFont="1" applyFill="1" applyAlignment="1" applyProtection="1">
      <alignment horizontal="center" vertical="center"/>
    </xf>
    <xf numFmtId="0" fontId="65" fillId="45" borderId="0" xfId="0" applyFont="1" applyFill="1" applyAlignment="1" applyProtection="1">
      <alignment horizontal="center" vertical="center" wrapText="1"/>
    </xf>
    <xf numFmtId="49" fontId="42" fillId="0" borderId="0" xfId="0" applyNumberFormat="1" applyFont="1" applyFill="1" applyBorder="1" applyAlignment="1" applyProtection="1">
      <alignment horizontal="center"/>
    </xf>
    <xf numFmtId="188" fontId="18" fillId="9" borderId="0" xfId="39" applyNumberFormat="1" applyFont="1" applyFill="1" applyAlignment="1" applyProtection="1">
      <alignment horizontal="center"/>
    </xf>
    <xf numFmtId="0" fontId="42" fillId="45" borderId="0" xfId="24" applyFont="1" applyFill="1" applyAlignment="1" applyProtection="1">
      <alignment horizontal="center" vertical="center"/>
    </xf>
    <xf numFmtId="0" fontId="22" fillId="0" borderId="0" xfId="24" applyFont="1" applyAlignment="1" applyProtection="1">
      <alignment horizontal="left" vertical="top" wrapText="1"/>
    </xf>
    <xf numFmtId="0" fontId="22" fillId="9" borderId="0" xfId="24" applyFont="1" applyFill="1" applyBorder="1" applyAlignment="1" applyProtection="1">
      <alignment horizontal="center" wrapText="1"/>
    </xf>
    <xf numFmtId="0" fontId="93" fillId="0" borderId="0" xfId="24" applyFont="1" applyAlignment="1">
      <alignment horizontal="left" vertical="top" wrapText="1"/>
    </xf>
    <xf numFmtId="0" fontId="22" fillId="0" borderId="0" xfId="24" applyFont="1" applyAlignment="1" applyProtection="1">
      <alignment horizontal="left" vertical="center" wrapText="1"/>
    </xf>
    <xf numFmtId="0" fontId="0" fillId="0" borderId="0" xfId="0" applyAlignment="1"/>
    <xf numFmtId="0" fontId="13" fillId="0" borderId="0" xfId="0" applyFont="1" applyAlignment="1" applyProtection="1">
      <alignment horizontal="left" vertical="top" wrapText="1"/>
    </xf>
    <xf numFmtId="0" fontId="79" fillId="49" borderId="0" xfId="0" applyFont="1" applyFill="1" applyAlignment="1" applyProtection="1">
      <alignment horizontal="center" vertical="center" wrapText="1"/>
    </xf>
    <xf numFmtId="197" fontId="0" fillId="8" borderId="33" xfId="0" applyNumberFormat="1" applyFill="1" applyBorder="1" applyAlignment="1" applyProtection="1">
      <protection locked="0"/>
    </xf>
    <xf numFmtId="197" fontId="0" fillId="0" borderId="16" xfId="0" applyNumberFormat="1" applyBorder="1" applyAlignment="1"/>
    <xf numFmtId="0" fontId="2" fillId="0" borderId="0" xfId="0" applyFont="1" applyBorder="1" applyAlignment="1">
      <alignment vertical="top" wrapText="1"/>
    </xf>
    <xf numFmtId="0" fontId="38" fillId="0" borderId="0" xfId="0" applyFont="1" applyAlignment="1" applyProtection="1">
      <alignment horizontal="left" vertical="center" wrapText="1"/>
    </xf>
    <xf numFmtId="0" fontId="0" fillId="0" borderId="0" xfId="0" applyAlignment="1" applyProtection="1">
      <alignment horizontal="left" vertical="center" wrapText="1"/>
    </xf>
    <xf numFmtId="0" fontId="38" fillId="0" borderId="0" xfId="0" applyFont="1" applyAlignment="1" applyProtection="1">
      <alignment horizontal="left" vertical="top" wrapText="1"/>
    </xf>
    <xf numFmtId="0" fontId="0" fillId="0" borderId="0" xfId="0" applyAlignment="1" applyProtection="1">
      <alignment horizontal="left" vertical="top" wrapText="1"/>
    </xf>
    <xf numFmtId="0" fontId="0" fillId="0" borderId="0" xfId="0" applyAlignment="1">
      <alignment horizontal="left" wrapText="1"/>
    </xf>
    <xf numFmtId="0" fontId="22" fillId="13" borderId="0" xfId="24" applyFont="1" applyFill="1" applyAlignment="1" applyProtection="1">
      <alignment horizontal="left" vertical="top" wrapText="1"/>
      <protection locked="0"/>
    </xf>
    <xf numFmtId="0" fontId="22" fillId="0" borderId="25" xfId="24" applyFont="1" applyBorder="1" applyAlignment="1" applyProtection="1">
      <alignment horizontal="center"/>
      <protection locked="0"/>
    </xf>
    <xf numFmtId="0" fontId="22" fillId="0" borderId="26" xfId="24" applyFont="1" applyBorder="1" applyAlignment="1" applyProtection="1">
      <alignment horizontal="center"/>
      <protection locked="0"/>
    </xf>
    <xf numFmtId="0" fontId="22" fillId="2" borderId="0" xfId="24" applyFont="1" applyFill="1" applyAlignment="1" applyProtection="1">
      <alignment horizontal="center" wrapText="1"/>
      <protection locked="0"/>
    </xf>
    <xf numFmtId="0" fontId="4" fillId="2" borderId="0" xfId="24" applyFill="1" applyAlignment="1" applyProtection="1">
      <alignment horizontal="center" wrapText="1"/>
      <protection locked="0"/>
    </xf>
    <xf numFmtId="0" fontId="22" fillId="0" borderId="49" xfId="24" applyFont="1" applyFill="1" applyBorder="1" applyAlignment="1" applyProtection="1">
      <alignment horizontal="center" wrapText="1"/>
      <protection locked="0"/>
    </xf>
    <xf numFmtId="0" fontId="4" fillId="0" borderId="29" xfId="24" applyBorder="1" applyAlignment="1" applyProtection="1">
      <alignment wrapText="1"/>
      <protection locked="0"/>
    </xf>
    <xf numFmtId="0" fontId="22" fillId="0" borderId="10" xfId="24" applyFont="1" applyFill="1" applyBorder="1" applyAlignment="1" applyProtection="1">
      <alignment horizontal="center" wrapText="1"/>
      <protection locked="0"/>
    </xf>
    <xf numFmtId="0" fontId="4" fillId="0" borderId="13" xfId="24" applyBorder="1" applyAlignment="1" applyProtection="1">
      <alignment wrapText="1"/>
      <protection locked="0"/>
    </xf>
    <xf numFmtId="0" fontId="43" fillId="2" borderId="4" xfId="24" applyFont="1" applyFill="1" applyBorder="1" applyAlignment="1" applyProtection="1">
      <alignment horizontal="left" vertical="top"/>
      <protection locked="0"/>
    </xf>
    <xf numFmtId="0" fontId="22" fillId="2" borderId="29" xfId="24" applyFont="1" applyFill="1" applyBorder="1" applyAlignment="1" applyProtection="1">
      <alignment horizontal="left" vertical="top"/>
      <protection locked="0"/>
    </xf>
    <xf numFmtId="0" fontId="22" fillId="0" borderId="48" xfId="24" applyFont="1" applyBorder="1" applyAlignment="1" applyProtection="1">
      <alignment horizontal="center"/>
      <protection locked="0"/>
    </xf>
    <xf numFmtId="0" fontId="4" fillId="2" borderId="4" xfId="24" applyFont="1" applyFill="1" applyBorder="1" applyAlignment="1" applyProtection="1">
      <alignment horizontal="left" vertical="top"/>
    </xf>
    <xf numFmtId="0" fontId="4" fillId="2" borderId="4" xfId="24" applyFill="1" applyBorder="1" applyAlignment="1" applyProtection="1">
      <alignment horizontal="left" vertical="top"/>
    </xf>
    <xf numFmtId="0" fontId="61" fillId="9" borderId="0" xfId="24" applyFont="1" applyFill="1" applyBorder="1" applyAlignment="1" applyProtection="1">
      <alignment horizontal="left" indent="7"/>
    </xf>
    <xf numFmtId="0" fontId="41" fillId="0" borderId="0" xfId="24" applyFont="1" applyAlignment="1" applyProtection="1">
      <alignment horizontal="center"/>
    </xf>
    <xf numFmtId="0" fontId="22" fillId="0" borderId="25" xfId="24" applyFont="1" applyBorder="1" applyAlignment="1" applyProtection="1">
      <alignment horizontal="left" vertical="center" wrapText="1"/>
    </xf>
    <xf numFmtId="0" fontId="22" fillId="0" borderId="48" xfId="24" applyFont="1" applyBorder="1" applyAlignment="1" applyProtection="1">
      <alignment horizontal="left" vertical="center"/>
    </xf>
    <xf numFmtId="0" fontId="22" fillId="0" borderId="26" xfId="24" applyFont="1" applyBorder="1" applyAlignment="1" applyProtection="1">
      <alignment horizontal="left" vertical="center"/>
    </xf>
    <xf numFmtId="0" fontId="22" fillId="0" borderId="6" xfId="24" applyFont="1" applyBorder="1" applyAlignment="1" applyProtection="1">
      <alignment horizontal="left" vertical="center" wrapText="1"/>
    </xf>
    <xf numFmtId="0" fontId="22" fillId="0" borderId="7" xfId="24" applyFont="1" applyBorder="1" applyAlignment="1" applyProtection="1">
      <alignment horizontal="left" vertical="center"/>
    </xf>
    <xf numFmtId="0" fontId="22" fillId="0" borderId="8" xfId="24" applyFont="1" applyBorder="1" applyAlignment="1" applyProtection="1">
      <alignment horizontal="left" vertical="center"/>
    </xf>
    <xf numFmtId="0" fontId="22" fillId="0" borderId="9" xfId="24" applyFont="1" applyBorder="1" applyAlignment="1" applyProtection="1">
      <alignment horizontal="left" vertical="center"/>
    </xf>
    <xf numFmtId="0" fontId="22" fillId="0" borderId="0" xfId="24" applyFont="1" applyBorder="1" applyAlignment="1" applyProtection="1">
      <alignment horizontal="left" vertical="center"/>
    </xf>
    <xf numFmtId="0" fontId="22" fillId="0" borderId="10" xfId="24" applyFont="1" applyBorder="1" applyAlignment="1" applyProtection="1">
      <alignment horizontal="left" vertical="center"/>
    </xf>
    <xf numFmtId="0" fontId="22" fillId="0" borderId="11" xfId="24" applyFont="1" applyBorder="1" applyAlignment="1" applyProtection="1">
      <alignment horizontal="left" vertical="center"/>
    </xf>
    <xf numFmtId="0" fontId="22" fillId="0" borderId="12" xfId="24" applyFont="1" applyBorder="1" applyAlignment="1" applyProtection="1">
      <alignment horizontal="left" vertical="center"/>
    </xf>
    <xf numFmtId="0" fontId="22" fillId="0" borderId="13" xfId="24" applyFont="1" applyBorder="1" applyAlignment="1" applyProtection="1">
      <alignment horizontal="left" vertical="center"/>
    </xf>
    <xf numFmtId="0" fontId="22" fillId="0" borderId="4" xfId="24" applyFont="1" applyBorder="1" applyAlignment="1" applyProtection="1">
      <alignment horizontal="center" vertical="center"/>
    </xf>
    <xf numFmtId="0" fontId="22" fillId="12" borderId="4" xfId="24" applyFont="1" applyFill="1" applyBorder="1" applyAlignment="1" applyProtection="1">
      <alignment horizontal="center" vertical="center"/>
    </xf>
    <xf numFmtId="0" fontId="22" fillId="49" borderId="4" xfId="24" applyFont="1" applyFill="1" applyBorder="1" applyAlignment="1" applyProtection="1">
      <alignment horizontal="center" vertical="center"/>
    </xf>
    <xf numFmtId="0" fontId="87" fillId="0" borderId="0" xfId="24" applyFont="1" applyAlignment="1" applyProtection="1">
      <alignment horizontal="left" vertical="top" wrapText="1"/>
    </xf>
    <xf numFmtId="0" fontId="22" fillId="0" borderId="49" xfId="24" applyFont="1" applyFill="1" applyBorder="1" applyAlignment="1" applyProtection="1">
      <alignment horizontal="center" wrapText="1"/>
    </xf>
    <xf numFmtId="0" fontId="4" fillId="0" borderId="29" xfId="24" applyBorder="1" applyAlignment="1" applyProtection="1">
      <alignment wrapText="1"/>
    </xf>
    <xf numFmtId="0" fontId="22" fillId="0" borderId="10" xfId="24" applyFont="1" applyFill="1" applyBorder="1" applyAlignment="1" applyProtection="1">
      <alignment horizontal="center" wrapText="1"/>
    </xf>
    <xf numFmtId="0" fontId="4" fillId="0" borderId="13" xfId="24" applyBorder="1" applyAlignment="1" applyProtection="1">
      <alignment wrapText="1"/>
    </xf>
    <xf numFmtId="0" fontId="22" fillId="2" borderId="29" xfId="24" applyFont="1" applyFill="1" applyBorder="1" applyAlignment="1" applyProtection="1">
      <alignment horizontal="left" vertical="top"/>
    </xf>
    <xf numFmtId="0" fontId="22" fillId="2" borderId="4" xfId="24" applyFont="1" applyFill="1" applyBorder="1" applyAlignment="1" applyProtection="1">
      <alignment horizontal="left" vertical="top"/>
    </xf>
    <xf numFmtId="0" fontId="22" fillId="0" borderId="25" xfId="24" applyFont="1" applyBorder="1" applyAlignment="1" applyProtection="1">
      <alignment horizontal="center"/>
    </xf>
    <xf numFmtId="0" fontId="22" fillId="0" borderId="48" xfId="24" applyFont="1" applyBorder="1" applyAlignment="1" applyProtection="1">
      <alignment horizontal="center"/>
    </xf>
    <xf numFmtId="0" fontId="22" fillId="0" borderId="26" xfId="24" applyFont="1" applyBorder="1" applyAlignment="1" applyProtection="1">
      <alignment horizontal="center"/>
    </xf>
    <xf numFmtId="0" fontId="9" fillId="2" borderId="0" xfId="0" applyFont="1" applyFill="1" applyAlignment="1">
      <alignment horizontal="left" vertical="center" wrapText="1"/>
    </xf>
    <xf numFmtId="0" fontId="9" fillId="2" borderId="0" xfId="0" applyFont="1" applyFill="1" applyAlignment="1">
      <alignment horizontal="left" vertical="center" wrapText="1" indent="2"/>
    </xf>
    <xf numFmtId="0" fontId="63" fillId="2" borderId="0" xfId="0" applyFont="1" applyFill="1" applyAlignment="1">
      <alignment horizontal="left" wrapText="1"/>
    </xf>
    <xf numFmtId="0" fontId="38" fillId="2" borderId="0" xfId="0" applyFont="1" applyFill="1" applyAlignment="1">
      <alignment horizontal="left" wrapText="1"/>
    </xf>
    <xf numFmtId="0" fontId="0" fillId="2" borderId="0" xfId="0" applyFill="1" applyAlignment="1">
      <alignment horizontal="left" wrapText="1"/>
    </xf>
    <xf numFmtId="0" fontId="11" fillId="2" borderId="0" xfId="0" applyFont="1" applyFill="1" applyAlignment="1">
      <alignment horizontal="left" vertical="top" wrapText="1"/>
    </xf>
    <xf numFmtId="0" fontId="63" fillId="2" borderId="0" xfId="0" applyFont="1" applyFill="1" applyAlignment="1">
      <alignment horizontal="left" vertical="top" wrapText="1"/>
    </xf>
    <xf numFmtId="0" fontId="12" fillId="2" borderId="0" xfId="0" applyFont="1" applyFill="1" applyAlignment="1">
      <alignment horizontal="center" vertical="top" wrapText="1"/>
    </xf>
    <xf numFmtId="0" fontId="11" fillId="2" borderId="0" xfId="0" applyFont="1" applyFill="1" applyAlignment="1">
      <alignment horizontal="center" vertical="top" wrapText="1"/>
    </xf>
    <xf numFmtId="0" fontId="40" fillId="2" borderId="0" xfId="0" applyFont="1" applyFill="1" applyAlignment="1">
      <alignment horizontal="center" vertical="top" wrapText="1"/>
    </xf>
    <xf numFmtId="0" fontId="13" fillId="2" borderId="0" xfId="0" applyFont="1" applyFill="1" applyAlignment="1">
      <alignment horizontal="center" vertical="top" wrapText="1"/>
    </xf>
    <xf numFmtId="0" fontId="117" fillId="2" borderId="0" xfId="0" applyFont="1" applyFill="1" applyAlignment="1">
      <alignment horizontal="left" vertical="top"/>
    </xf>
    <xf numFmtId="0" fontId="13" fillId="2" borderId="0" xfId="0" applyFont="1" applyFill="1" applyAlignment="1">
      <alignment horizontal="left" vertical="top" wrapText="1"/>
    </xf>
    <xf numFmtId="0" fontId="38" fillId="2" borderId="0" xfId="212" applyFont="1" applyFill="1" applyBorder="1" applyAlignment="1">
      <alignment horizontal="left" vertical="top" wrapText="1"/>
    </xf>
    <xf numFmtId="0" fontId="9" fillId="2" borderId="0" xfId="0" applyFont="1" applyFill="1" applyBorder="1" applyAlignment="1" applyProtection="1">
      <alignment horizontal="left" wrapText="1"/>
      <protection locked="0"/>
    </xf>
    <xf numFmtId="0" fontId="13" fillId="2" borderId="0" xfId="0" applyFont="1" applyFill="1" applyBorder="1" applyAlignment="1" applyProtection="1">
      <alignment horizontal="left" wrapText="1"/>
      <protection locked="0"/>
    </xf>
    <xf numFmtId="0" fontId="66" fillId="2" borderId="0" xfId="0" applyFont="1" applyFill="1" applyAlignment="1">
      <alignment horizontal="left" wrapText="1"/>
    </xf>
    <xf numFmtId="0" fontId="38" fillId="2" borderId="0" xfId="0" applyFont="1" applyFill="1" applyAlignment="1">
      <alignment horizontal="left" vertical="center" wrapText="1"/>
    </xf>
    <xf numFmtId="0" fontId="74" fillId="2" borderId="0" xfId="0" applyFont="1" applyFill="1" applyAlignment="1">
      <alignment horizontal="left" wrapText="1"/>
    </xf>
    <xf numFmtId="0" fontId="117" fillId="2" borderId="0" xfId="0" applyFont="1" applyFill="1" applyAlignment="1">
      <alignment horizontal="left" vertical="top" wrapText="1"/>
    </xf>
    <xf numFmtId="0" fontId="5" fillId="2" borderId="0" xfId="162" applyFont="1" applyFill="1" applyBorder="1" applyAlignment="1" applyProtection="1">
      <alignment horizontal="left" wrapText="1" indent="2"/>
      <protection locked="0"/>
    </xf>
    <xf numFmtId="0" fontId="63" fillId="2" borderId="0" xfId="0" applyFont="1" applyFill="1" applyAlignment="1">
      <alignment horizontal="right" vertical="top" wrapText="1"/>
    </xf>
    <xf numFmtId="0" fontId="74" fillId="2" borderId="0" xfId="0" applyFont="1" applyFill="1" applyAlignment="1">
      <alignment horizontal="left" vertical="top" wrapText="1"/>
    </xf>
    <xf numFmtId="0" fontId="38" fillId="2" borderId="0" xfId="213" applyFont="1" applyFill="1" applyBorder="1" applyAlignment="1">
      <alignment horizontal="left" vertical="top" wrapText="1"/>
    </xf>
    <xf numFmtId="0" fontId="38" fillId="2" borderId="0" xfId="214" applyFont="1" applyFill="1" applyBorder="1" applyAlignment="1">
      <alignment horizontal="left" vertical="top" wrapText="1"/>
    </xf>
    <xf numFmtId="0" fontId="38" fillId="2" borderId="0" xfId="215" applyFont="1" applyFill="1" applyBorder="1" applyAlignment="1">
      <alignment horizontal="left" vertical="top" wrapText="1"/>
    </xf>
    <xf numFmtId="0" fontId="13" fillId="2" borderId="0" xfId="0" applyFont="1" applyFill="1" applyBorder="1" applyAlignment="1" applyProtection="1">
      <alignment horizontal="left"/>
      <protection locked="0"/>
    </xf>
    <xf numFmtId="0" fontId="11" fillId="2" borderId="0" xfId="0" applyFont="1" applyFill="1" applyAlignment="1">
      <alignment horizontal="left" wrapText="1"/>
    </xf>
    <xf numFmtId="0" fontId="117" fillId="2" borderId="0" xfId="0" applyFont="1" applyFill="1" applyAlignment="1">
      <alignment horizontal="left" wrapText="1"/>
    </xf>
    <xf numFmtId="0" fontId="117" fillId="2" borderId="0" xfId="0" applyFont="1" applyFill="1" applyAlignment="1">
      <alignment horizontal="left" vertical="center" wrapText="1"/>
    </xf>
    <xf numFmtId="0" fontId="9" fillId="2" borderId="0" xfId="0" applyFont="1" applyFill="1" applyBorder="1" applyAlignment="1" applyProtection="1">
      <alignment horizontal="left" vertical="center" wrapText="1"/>
      <protection locked="0"/>
    </xf>
    <xf numFmtId="0" fontId="13" fillId="2" borderId="0" xfId="0" applyFont="1" applyFill="1" applyBorder="1" applyAlignment="1" applyProtection="1">
      <alignment horizontal="left" vertical="top"/>
      <protection locked="0"/>
    </xf>
    <xf numFmtId="0" fontId="110" fillId="2" borderId="0" xfId="0" applyFont="1" applyFill="1" applyAlignment="1">
      <alignment horizontal="left" vertical="top" wrapText="1"/>
    </xf>
    <xf numFmtId="0" fontId="9" fillId="2" borderId="0" xfId="0" applyFont="1" applyFill="1" applyAlignment="1">
      <alignment wrapText="1"/>
    </xf>
    <xf numFmtId="0" fontId="9" fillId="2" borderId="0" xfId="0" applyFont="1" applyFill="1" applyBorder="1" applyAlignment="1" applyProtection="1">
      <alignment horizontal="left" vertical="top" wrapText="1"/>
      <protection locked="0"/>
    </xf>
    <xf numFmtId="0" fontId="105" fillId="2" borderId="0" xfId="0" applyFont="1" applyFill="1" applyBorder="1" applyAlignment="1" applyProtection="1">
      <alignment horizontal="left" vertical="top" wrapText="1"/>
      <protection locked="0"/>
    </xf>
    <xf numFmtId="175" fontId="105" fillId="2" borderId="0" xfId="0" applyNumberFormat="1" applyFont="1" applyFill="1" applyBorder="1" applyAlignment="1" applyProtection="1">
      <alignment horizontal="left" vertical="top" wrapText="1"/>
      <protection locked="0"/>
    </xf>
    <xf numFmtId="0" fontId="9" fillId="2" borderId="0" xfId="0" applyFont="1" applyFill="1" applyAlignment="1">
      <alignment horizontal="left" wrapText="1" indent="3"/>
    </xf>
    <xf numFmtId="0" fontId="63" fillId="2" borderId="0" xfId="0" applyFont="1" applyFill="1" applyBorder="1" applyAlignment="1" applyProtection="1">
      <alignment horizontal="left" wrapText="1"/>
      <protection locked="0"/>
    </xf>
    <xf numFmtId="0" fontId="74" fillId="2" borderId="0" xfId="0" applyFont="1" applyFill="1" applyBorder="1" applyAlignment="1" applyProtection="1">
      <alignment horizontal="left" wrapText="1"/>
      <protection locked="0"/>
    </xf>
    <xf numFmtId="0" fontId="13" fillId="2" borderId="0" xfId="0" applyFont="1" applyFill="1" applyBorder="1" applyAlignment="1" applyProtection="1">
      <alignment horizontal="left" vertical="top" wrapText="1"/>
      <protection locked="0"/>
    </xf>
    <xf numFmtId="0" fontId="38" fillId="2" borderId="0" xfId="0" applyFont="1" applyFill="1" applyBorder="1" applyAlignment="1" applyProtection="1">
      <alignment horizontal="left" vertical="top" wrapText="1"/>
      <protection locked="0"/>
    </xf>
    <xf numFmtId="175" fontId="38" fillId="2" borderId="0" xfId="0" applyNumberFormat="1" applyFont="1" applyFill="1" applyBorder="1" applyAlignment="1" applyProtection="1">
      <alignment horizontal="left" vertical="top" wrapText="1"/>
      <protection locked="0"/>
    </xf>
    <xf numFmtId="0" fontId="9" fillId="2" borderId="0" xfId="0" applyFont="1" applyFill="1" applyBorder="1" applyAlignment="1" applyProtection="1">
      <alignment horizontal="left" wrapText="1" indent="2"/>
      <protection locked="0"/>
    </xf>
    <xf numFmtId="0" fontId="9" fillId="2" borderId="0" xfId="0" applyFont="1" applyFill="1" applyAlignment="1">
      <alignment horizontal="left" vertical="top"/>
    </xf>
    <xf numFmtId="0" fontId="105" fillId="0" borderId="0" xfId="24" applyFont="1" applyFill="1" applyBorder="1" applyAlignment="1" applyProtection="1">
      <alignment horizontal="left" vertical="center" wrapText="1"/>
      <protection locked="0"/>
    </xf>
    <xf numFmtId="175" fontId="105" fillId="0" borderId="0" xfId="24" applyNumberFormat="1" applyFont="1" applyFill="1" applyBorder="1" applyAlignment="1" applyProtection="1">
      <alignment horizontal="left" vertical="center" wrapText="1"/>
      <protection locked="0"/>
    </xf>
    <xf numFmtId="0" fontId="9" fillId="0" borderId="0" xfId="24" applyFont="1" applyFill="1" applyBorder="1" applyAlignment="1" applyProtection="1">
      <alignment horizontal="left" vertical="top" wrapText="1"/>
      <protection locked="0"/>
    </xf>
    <xf numFmtId="0" fontId="9" fillId="0" borderId="0" xfId="24" applyFont="1" applyFill="1" applyBorder="1" applyAlignment="1" applyProtection="1">
      <alignment horizontal="left" vertical="top"/>
      <protection locked="0"/>
    </xf>
    <xf numFmtId="0" fontId="9" fillId="0" borderId="0" xfId="24" applyFont="1" applyFill="1" applyBorder="1" applyAlignment="1" applyProtection="1">
      <alignment horizontal="left" vertical="top" indent="5"/>
      <protection locked="0"/>
    </xf>
    <xf numFmtId="0" fontId="38" fillId="0" borderId="0" xfId="24" applyFont="1" applyFill="1" applyBorder="1" applyAlignment="1">
      <alignment horizontal="left" vertical="top" wrapText="1"/>
    </xf>
    <xf numFmtId="175" fontId="38" fillId="0" borderId="0" xfId="24" applyNumberFormat="1" applyFont="1" applyFill="1" applyBorder="1" applyAlignment="1">
      <alignment horizontal="left" vertical="top" wrapText="1"/>
    </xf>
    <xf numFmtId="0" fontId="9" fillId="0" borderId="0" xfId="24" applyFont="1" applyFill="1" applyBorder="1" applyAlignment="1" applyProtection="1">
      <alignment horizontal="left" vertical="center" wrapText="1"/>
      <protection locked="0"/>
    </xf>
    <xf numFmtId="0" fontId="9" fillId="0" borderId="0" xfId="24" applyFont="1" applyFill="1" applyBorder="1" applyAlignment="1" applyProtection="1">
      <alignment horizontal="left" vertical="center"/>
      <protection locked="0"/>
    </xf>
    <xf numFmtId="0" fontId="5" fillId="0" borderId="0" xfId="34" applyFont="1" applyFill="1" applyBorder="1" applyAlignment="1" applyProtection="1">
      <alignment horizontal="left" vertical="center"/>
      <protection locked="0"/>
    </xf>
    <xf numFmtId="0" fontId="0" fillId="2" borderId="0" xfId="0" applyFill="1" applyAlignment="1">
      <alignment horizontal="left" vertical="top" wrapText="1"/>
    </xf>
    <xf numFmtId="0" fontId="66" fillId="2" borderId="0" xfId="0" applyFont="1" applyFill="1" applyAlignment="1">
      <alignment horizontal="left" vertical="center" wrapText="1"/>
    </xf>
    <xf numFmtId="0" fontId="13" fillId="2" borderId="0" xfId="0" applyFont="1" applyFill="1" applyAlignment="1">
      <alignment horizontal="left" vertical="center" wrapText="1"/>
    </xf>
    <xf numFmtId="0" fontId="0" fillId="2" borderId="0" xfId="0" applyFill="1" applyAlignment="1">
      <alignment horizontal="left" vertical="center" wrapText="1"/>
    </xf>
    <xf numFmtId="0" fontId="110" fillId="2" borderId="0" xfId="0" applyFont="1" applyFill="1" applyAlignment="1">
      <alignment horizontal="left" wrapText="1"/>
    </xf>
    <xf numFmtId="0" fontId="67" fillId="2" borderId="0" xfId="0" applyFont="1" applyFill="1" applyAlignment="1">
      <alignment horizontal="left" wrapText="1"/>
    </xf>
    <xf numFmtId="0" fontId="11" fillId="2" borderId="0" xfId="0" applyFont="1" applyFill="1" applyAlignment="1">
      <alignment horizontal="left" vertical="center" wrapText="1"/>
    </xf>
    <xf numFmtId="0" fontId="38" fillId="0" borderId="0" xfId="0" applyFont="1" applyFill="1" applyAlignment="1">
      <alignment horizontal="left" vertical="top" wrapText="1"/>
    </xf>
    <xf numFmtId="0" fontId="11" fillId="2" borderId="0" xfId="0" applyFont="1" applyFill="1" applyBorder="1" applyAlignment="1" applyProtection="1">
      <alignment horizontal="left" vertical="top" wrapText="1"/>
      <protection locked="0"/>
    </xf>
    <xf numFmtId="175" fontId="11" fillId="2" borderId="0" xfId="0" applyNumberFormat="1" applyFont="1" applyFill="1" applyBorder="1" applyAlignment="1" applyProtection="1">
      <alignment horizontal="left" vertical="top" wrapText="1"/>
      <protection locked="0"/>
    </xf>
    <xf numFmtId="0" fontId="38" fillId="0" borderId="0" xfId="0" applyFont="1" applyFill="1" applyBorder="1" applyAlignment="1">
      <alignment horizontal="left" vertical="center" wrapText="1"/>
    </xf>
    <xf numFmtId="0" fontId="38" fillId="0" borderId="0" xfId="0" applyFont="1" applyFill="1" applyBorder="1" applyAlignment="1">
      <alignment horizontal="left" vertical="center"/>
    </xf>
    <xf numFmtId="0" fontId="10" fillId="2" borderId="0" xfId="0" applyFont="1" applyFill="1" applyAlignment="1">
      <alignment horizontal="left" wrapText="1"/>
    </xf>
    <xf numFmtId="0" fontId="13" fillId="0" borderId="0" xfId="0" applyFont="1" applyFill="1" applyBorder="1" applyAlignment="1">
      <alignment horizontal="left" wrapText="1"/>
    </xf>
    <xf numFmtId="0" fontId="38" fillId="0" borderId="0" xfId="0" applyFont="1" applyFill="1" applyBorder="1" applyAlignment="1">
      <alignment horizontal="left" wrapText="1"/>
    </xf>
    <xf numFmtId="0" fontId="11" fillId="0" borderId="0" xfId="0" applyFont="1" applyFill="1" applyBorder="1" applyAlignment="1">
      <alignment horizontal="left" vertical="center" wrapText="1"/>
    </xf>
    <xf numFmtId="0" fontId="117" fillId="0" borderId="0" xfId="0" applyFont="1" applyFill="1" applyBorder="1" applyAlignment="1">
      <alignment horizontal="left" vertical="center"/>
    </xf>
    <xf numFmtId="0" fontId="9" fillId="0" borderId="0" xfId="0" applyFont="1" applyFill="1" applyBorder="1" applyAlignment="1">
      <alignment wrapText="1"/>
    </xf>
    <xf numFmtId="0" fontId="74" fillId="2" borderId="0" xfId="0" applyFont="1" applyFill="1" applyBorder="1" applyAlignment="1" applyProtection="1">
      <alignment horizontal="left" vertical="top" wrapText="1"/>
      <protection locked="0"/>
    </xf>
    <xf numFmtId="175" fontId="74" fillId="2" borderId="0" xfId="0" applyNumberFormat="1" applyFont="1" applyFill="1" applyBorder="1" applyAlignment="1" applyProtection="1">
      <alignment horizontal="left" vertical="top" wrapText="1"/>
      <protection locked="0"/>
    </xf>
    <xf numFmtId="15" fontId="82" fillId="2" borderId="0" xfId="161" applyNumberFormat="1" applyFont="1" applyFill="1" applyBorder="1" applyAlignment="1" applyProtection="1">
      <alignment horizontal="left" vertical="top" wrapText="1"/>
      <protection locked="0"/>
    </xf>
    <xf numFmtId="0" fontId="110" fillId="2" borderId="0" xfId="0" applyFont="1" applyFill="1" applyAlignment="1">
      <alignment horizontal="left" vertical="center" wrapText="1"/>
    </xf>
    <xf numFmtId="0" fontId="8" fillId="2" borderId="0" xfId="0" applyFont="1" applyFill="1" applyAlignment="1">
      <alignment horizontal="left" vertical="center" wrapText="1"/>
    </xf>
    <xf numFmtId="0" fontId="8" fillId="2" borderId="0" xfId="0" applyFont="1" applyFill="1" applyAlignment="1">
      <alignment horizontal="left" wrapText="1"/>
    </xf>
    <xf numFmtId="0" fontId="63" fillId="2" borderId="0" xfId="0" applyFont="1" applyFill="1" applyBorder="1" applyAlignment="1" applyProtection="1">
      <alignment horizontal="left" vertical="top"/>
      <protection locked="0"/>
    </xf>
    <xf numFmtId="0" fontId="63" fillId="2" borderId="0" xfId="0" applyFont="1" applyFill="1" applyBorder="1" applyAlignment="1" applyProtection="1">
      <alignment horizontal="left"/>
      <protection locked="0"/>
    </xf>
    <xf numFmtId="0" fontId="119" fillId="2" borderId="0" xfId="0" applyFont="1" applyFill="1" applyAlignment="1">
      <alignment horizontal="left" vertical="top" wrapText="1"/>
    </xf>
    <xf numFmtId="0" fontId="9" fillId="0" borderId="0" xfId="24" applyFont="1" applyFill="1" applyBorder="1" applyAlignment="1" applyProtection="1">
      <alignment horizontal="left" vertical="center" indent="2"/>
      <protection locked="0"/>
    </xf>
    <xf numFmtId="0" fontId="5" fillId="0" borderId="0" xfId="34" applyFont="1" applyFill="1" applyBorder="1" applyAlignment="1" applyProtection="1">
      <alignment horizontal="left" vertical="top"/>
      <protection locked="0"/>
    </xf>
    <xf numFmtId="0" fontId="5" fillId="2" borderId="0" xfId="162" applyFont="1" applyFill="1" applyBorder="1" applyAlignment="1" applyProtection="1">
      <alignment horizontal="left" vertical="center" wrapText="1" indent="2"/>
      <protection locked="0"/>
    </xf>
    <xf numFmtId="0" fontId="9" fillId="2" borderId="0" xfId="166" applyFont="1" applyFill="1" applyBorder="1" applyAlignment="1" applyProtection="1">
      <alignment horizontal="left" wrapText="1"/>
      <protection locked="0"/>
    </xf>
    <xf numFmtId="0" fontId="63" fillId="2" borderId="0" xfId="166" applyFont="1" applyFill="1" applyBorder="1" applyAlignment="1" applyProtection="1">
      <alignment horizontal="left" wrapText="1"/>
      <protection locked="0"/>
    </xf>
    <xf numFmtId="0" fontId="9" fillId="2" borderId="0" xfId="166" applyFont="1" applyFill="1" applyBorder="1" applyAlignment="1" applyProtection="1">
      <alignment horizontal="left" vertical="top" wrapText="1"/>
      <protection locked="0"/>
    </xf>
    <xf numFmtId="175" fontId="9" fillId="2" borderId="0" xfId="166" applyNumberFormat="1" applyFont="1" applyFill="1" applyBorder="1" applyAlignment="1" applyProtection="1">
      <alignment horizontal="left" vertical="top" wrapText="1"/>
      <protection locked="0"/>
    </xf>
    <xf numFmtId="0" fontId="9" fillId="2" borderId="0" xfId="166"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175" fontId="38" fillId="2" borderId="0" xfId="0" applyNumberFormat="1" applyFont="1" applyFill="1" applyBorder="1" applyAlignment="1" applyProtection="1">
      <alignment horizontal="left" vertical="center" wrapText="1"/>
      <protection locked="0"/>
    </xf>
    <xf numFmtId="0" fontId="9" fillId="2" borderId="0" xfId="0" applyFont="1" applyFill="1" applyBorder="1" applyAlignment="1" applyProtection="1">
      <alignment horizontal="left" vertical="center" wrapText="1" indent="6"/>
      <protection locked="0"/>
    </xf>
    <xf numFmtId="0" fontId="63" fillId="2" borderId="0" xfId="166" applyFont="1" applyFill="1" applyBorder="1" applyAlignment="1" applyProtection="1">
      <alignment horizontal="left" vertical="top"/>
      <protection locked="0"/>
    </xf>
    <xf numFmtId="0" fontId="105" fillId="2" borderId="0" xfId="166" applyFont="1" applyFill="1" applyBorder="1" applyAlignment="1" applyProtection="1">
      <alignment horizontal="left" vertical="top" wrapText="1"/>
      <protection locked="0"/>
    </xf>
    <xf numFmtId="175" fontId="105" fillId="2" borderId="0" xfId="166" applyNumberFormat="1" applyFont="1" applyFill="1" applyBorder="1" applyAlignment="1" applyProtection="1">
      <alignment horizontal="left" vertical="top" wrapText="1"/>
      <protection locked="0"/>
    </xf>
    <xf numFmtId="0" fontId="9" fillId="0" borderId="0" xfId="0" applyFont="1" applyFill="1" applyBorder="1" applyAlignment="1">
      <alignment horizontal="left" vertical="top" wrapText="1"/>
    </xf>
    <xf numFmtId="0" fontId="11" fillId="2" borderId="0" xfId="0" applyFont="1" applyFill="1" applyBorder="1" applyAlignment="1" applyProtection="1">
      <alignment horizontal="center" vertical="top" wrapText="1"/>
      <protection locked="0"/>
    </xf>
    <xf numFmtId="0" fontId="9" fillId="2" borderId="96" xfId="0" applyFont="1" applyFill="1" applyBorder="1" applyAlignment="1">
      <alignment horizontal="left" vertical="center" wrapText="1"/>
    </xf>
    <xf numFmtId="0" fontId="13" fillId="2" borderId="0" xfId="0"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wrapText="1"/>
      <protection locked="0"/>
    </xf>
    <xf numFmtId="175" fontId="105" fillId="2" borderId="0" xfId="0" applyNumberFormat="1" applyFont="1" applyFill="1" applyBorder="1" applyAlignment="1" applyProtection="1">
      <alignment horizontal="left" vertical="center" wrapText="1"/>
      <protection locked="0"/>
    </xf>
    <xf numFmtId="0" fontId="9" fillId="2" borderId="99" xfId="0" applyFont="1" applyFill="1" applyBorder="1" applyAlignment="1" applyProtection="1">
      <alignment horizontal="left" vertical="center" wrapText="1"/>
      <protection locked="0"/>
    </xf>
    <xf numFmtId="0" fontId="0" fillId="2" borderId="99" xfId="0" applyFill="1" applyBorder="1" applyAlignment="1">
      <alignment horizontal="left" vertical="center" wrapText="1"/>
    </xf>
    <xf numFmtId="0" fontId="9" fillId="2" borderId="113" xfId="0" applyFont="1" applyFill="1" applyBorder="1" applyAlignment="1" applyProtection="1">
      <alignment horizontal="left" vertical="center" wrapText="1"/>
      <protection locked="0"/>
    </xf>
    <xf numFmtId="0" fontId="13" fillId="2" borderId="0" xfId="107" applyFont="1" applyFill="1" applyBorder="1" applyAlignment="1" applyProtection="1">
      <alignment horizontal="left" vertical="center"/>
      <protection locked="0"/>
    </xf>
    <xf numFmtId="0" fontId="38" fillId="2" borderId="0" xfId="0" applyFont="1" applyFill="1" applyAlignment="1">
      <alignment horizontal="left" vertical="center"/>
    </xf>
    <xf numFmtId="0" fontId="13" fillId="2" borderId="113" xfId="107" applyFont="1" applyFill="1" applyBorder="1" applyAlignment="1" applyProtection="1">
      <alignment horizontal="left" vertical="center" wrapText="1"/>
      <protection locked="0"/>
    </xf>
    <xf numFmtId="0" fontId="9" fillId="2" borderId="113" xfId="0" applyFont="1" applyFill="1" applyBorder="1" applyAlignment="1">
      <alignment horizontal="left" vertical="center" wrapText="1"/>
    </xf>
    <xf numFmtId="0" fontId="13" fillId="2" borderId="0" xfId="0" applyFont="1" applyFill="1" applyAlignment="1">
      <alignment horizontal="left" vertical="center"/>
    </xf>
    <xf numFmtId="0" fontId="13" fillId="2" borderId="0" xfId="0" applyFont="1" applyFill="1" applyBorder="1" applyAlignment="1" applyProtection="1">
      <alignment horizontal="left" vertical="center"/>
      <protection locked="0"/>
    </xf>
    <xf numFmtId="0" fontId="11" fillId="2" borderId="0" xfId="0" applyFont="1" applyFill="1" applyBorder="1" applyAlignment="1" applyProtection="1">
      <alignment horizontal="left" vertical="center" wrapText="1"/>
      <protection locked="0"/>
    </xf>
    <xf numFmtId="175" fontId="11" fillId="2" borderId="0" xfId="0" applyNumberFormat="1" applyFont="1" applyFill="1" applyBorder="1" applyAlignment="1" applyProtection="1">
      <alignment horizontal="left" vertical="center" wrapText="1"/>
      <protection locked="0"/>
    </xf>
    <xf numFmtId="0" fontId="13" fillId="0" borderId="0" xfId="0" applyFont="1" applyFill="1" applyBorder="1" applyAlignment="1">
      <alignment horizontal="left" vertical="top" wrapText="1"/>
    </xf>
    <xf numFmtId="0" fontId="38" fillId="0" borderId="0" xfId="0" applyFont="1" applyFill="1" applyBorder="1" applyAlignment="1">
      <alignment horizontal="left" vertical="top"/>
    </xf>
    <xf numFmtId="0" fontId="11" fillId="0" borderId="0" xfId="0" applyFont="1" applyFill="1" applyBorder="1" applyAlignment="1">
      <alignment horizontal="left" vertical="top" wrapText="1"/>
    </xf>
    <xf numFmtId="0" fontId="117" fillId="0" borderId="0" xfId="0" applyFont="1" applyFill="1" applyBorder="1" applyAlignment="1">
      <alignment horizontal="left" vertical="top"/>
    </xf>
    <xf numFmtId="0" fontId="74" fillId="0" borderId="0" xfId="0" applyFont="1" applyFill="1" applyBorder="1" applyAlignment="1">
      <alignment horizontal="right" vertical="center" wrapText="1"/>
    </xf>
    <xf numFmtId="0" fontId="63" fillId="0" borderId="0" xfId="0" applyFont="1" applyFill="1" applyBorder="1" applyAlignment="1">
      <alignment horizontal="right" vertical="center"/>
    </xf>
    <xf numFmtId="0" fontId="9" fillId="0" borderId="0" xfId="0" applyFont="1" applyFill="1" applyBorder="1" applyAlignment="1">
      <alignment vertical="center" wrapText="1"/>
    </xf>
    <xf numFmtId="0" fontId="105" fillId="2" borderId="0" xfId="0" applyFont="1" applyFill="1" applyAlignment="1">
      <alignment horizontal="left" vertical="top" wrapText="1"/>
    </xf>
    <xf numFmtId="0" fontId="5" fillId="2" borderId="0" xfId="162" applyFont="1" applyFill="1" applyBorder="1" applyAlignment="1" applyProtection="1">
      <alignment horizontal="left" vertical="center" wrapText="1"/>
      <protection locked="0"/>
    </xf>
    <xf numFmtId="0" fontId="38" fillId="2" borderId="0" xfId="0" applyFont="1" applyFill="1" applyBorder="1" applyAlignment="1">
      <alignment horizontal="left" vertical="top" wrapText="1"/>
    </xf>
    <xf numFmtId="175" fontId="38" fillId="2" borderId="0" xfId="0" applyNumberFormat="1" applyFont="1" applyFill="1" applyBorder="1" applyAlignment="1">
      <alignment horizontal="left" vertical="top" wrapText="1"/>
    </xf>
    <xf numFmtId="0" fontId="9" fillId="2" borderId="0" xfId="0" applyFont="1" applyFill="1" applyBorder="1" applyAlignment="1" applyProtection="1">
      <alignment horizontal="left" wrapText="1" indent="6"/>
      <protection locked="0"/>
    </xf>
    <xf numFmtId="0" fontId="9" fillId="2" borderId="0" xfId="0" applyFont="1" applyFill="1" applyBorder="1" applyAlignment="1">
      <alignment horizontal="left" vertical="top" wrapText="1"/>
    </xf>
    <xf numFmtId="175" fontId="9" fillId="2" borderId="0" xfId="0" applyNumberFormat="1" applyFont="1" applyFill="1" applyBorder="1" applyAlignment="1">
      <alignment horizontal="left" vertical="top" wrapText="1"/>
    </xf>
    <xf numFmtId="0" fontId="10" fillId="2" borderId="0" xfId="0" applyFont="1" applyFill="1" applyAlignment="1">
      <alignment horizontal="left" vertical="top"/>
    </xf>
    <xf numFmtId="180" fontId="117" fillId="2" borderId="0" xfId="0" applyNumberFormat="1" applyFont="1" applyFill="1" applyAlignment="1">
      <alignment horizontal="left" vertical="top"/>
    </xf>
    <xf numFmtId="0" fontId="13" fillId="2" borderId="0" xfId="0" applyFont="1" applyFill="1" applyBorder="1" applyAlignment="1">
      <alignment horizontal="center" vertical="top" wrapText="1"/>
    </xf>
    <xf numFmtId="0" fontId="11" fillId="2" borderId="0" xfId="0" applyFont="1" applyFill="1" applyBorder="1" applyAlignment="1">
      <alignment horizontal="center" vertical="top" wrapText="1"/>
    </xf>
    <xf numFmtId="0" fontId="40" fillId="2" borderId="0" xfId="0" applyFont="1" applyFill="1" applyBorder="1" applyAlignment="1">
      <alignment horizontal="center" vertical="top" wrapText="1"/>
    </xf>
    <xf numFmtId="0" fontId="38" fillId="2" borderId="0" xfId="0" applyFont="1" applyFill="1" applyBorder="1" applyAlignment="1">
      <alignment horizontal="left" vertical="center" wrapText="1"/>
    </xf>
    <xf numFmtId="175" fontId="38" fillId="2" borderId="0" xfId="0" applyNumberFormat="1" applyFont="1" applyFill="1" applyBorder="1" applyAlignment="1">
      <alignment horizontal="left" vertical="center" wrapText="1"/>
    </xf>
    <xf numFmtId="0" fontId="0" fillId="0" borderId="0" xfId="0" applyAlignment="1">
      <alignment vertical="center" wrapText="1"/>
    </xf>
    <xf numFmtId="0" fontId="12" fillId="2" borderId="0" xfId="0" applyFont="1" applyFill="1" applyBorder="1" applyAlignment="1">
      <alignment horizontal="center" vertical="top" wrapText="1"/>
    </xf>
    <xf numFmtId="0" fontId="63" fillId="2" borderId="0" xfId="0" applyFont="1" applyFill="1" applyBorder="1" applyAlignment="1">
      <alignment horizontal="right" vertical="top"/>
    </xf>
    <xf numFmtId="0" fontId="12" fillId="0" borderId="0" xfId="0" applyFont="1" applyFill="1" applyBorder="1" applyAlignment="1">
      <alignment horizontal="center" vertical="top" wrapText="1"/>
    </xf>
    <xf numFmtId="0" fontId="12" fillId="0" borderId="0" xfId="0" applyFont="1" applyFill="1" applyBorder="1" applyAlignment="1">
      <alignment horizontal="center" vertical="top"/>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0" fontId="40" fillId="0" borderId="0" xfId="0" applyFont="1" applyFill="1" applyBorder="1" applyAlignment="1">
      <alignment horizontal="center" vertical="center" wrapText="1"/>
    </xf>
    <xf numFmtId="0" fontId="9" fillId="2" borderId="99" xfId="0" applyFont="1" applyFill="1" applyBorder="1" applyAlignment="1" applyProtection="1">
      <alignment horizontal="left" wrapText="1"/>
      <protection locked="0"/>
    </xf>
    <xf numFmtId="0" fontId="0" fillId="2" borderId="99" xfId="0" applyFill="1" applyBorder="1" applyAlignment="1">
      <alignment horizontal="left" wrapText="1"/>
    </xf>
    <xf numFmtId="0" fontId="38" fillId="0" borderId="0" xfId="0" applyFont="1" applyFill="1" applyBorder="1" applyAlignment="1">
      <alignment horizontal="left" vertical="top" wrapText="1"/>
    </xf>
    <xf numFmtId="0" fontId="38" fillId="0" borderId="0" xfId="0" applyFont="1" applyFill="1" applyBorder="1" applyAlignment="1">
      <alignment vertical="center" wrapText="1"/>
    </xf>
    <xf numFmtId="15" fontId="82" fillId="0" borderId="0" xfId="161" applyNumberFormat="1" applyFont="1" applyFill="1" applyBorder="1" applyAlignment="1" applyProtection="1">
      <alignment horizontal="left" vertical="top" wrapText="1"/>
    </xf>
    <xf numFmtId="0" fontId="9" fillId="0" borderId="0" xfId="0" applyFont="1" applyFill="1" applyBorder="1" applyAlignment="1">
      <alignment horizontal="left" vertical="top"/>
    </xf>
    <xf numFmtId="0" fontId="9" fillId="2" borderId="100" xfId="0" applyFont="1" applyFill="1" applyBorder="1" applyAlignment="1" applyProtection="1">
      <alignment horizontal="left" vertical="center" wrapText="1"/>
      <protection locked="0"/>
    </xf>
    <xf numFmtId="0" fontId="0" fillId="2" borderId="100" xfId="0" applyFill="1" applyBorder="1" applyAlignment="1">
      <alignment horizontal="left" vertical="center" wrapText="1"/>
    </xf>
    <xf numFmtId="0" fontId="9" fillId="2" borderId="100" xfId="0" applyFont="1" applyFill="1" applyBorder="1" applyAlignment="1">
      <alignment horizontal="left" vertical="center" wrapText="1"/>
    </xf>
    <xf numFmtId="0" fontId="63" fillId="2" borderId="0" xfId="0" applyFont="1" applyFill="1" applyBorder="1" applyAlignment="1">
      <alignment horizontal="right" vertical="top" wrapText="1"/>
    </xf>
    <xf numFmtId="0" fontId="74" fillId="2" borderId="0" xfId="0" applyFont="1" applyFill="1" applyBorder="1" applyAlignment="1" applyProtection="1">
      <alignment horizontal="left" vertical="center" wrapText="1"/>
      <protection locked="0"/>
    </xf>
    <xf numFmtId="0" fontId="117" fillId="2" borderId="0" xfId="0" applyFont="1" applyFill="1" applyAlignment="1">
      <alignment horizontal="left" vertical="center"/>
    </xf>
    <xf numFmtId="0" fontId="9" fillId="2" borderId="0" xfId="0" applyFont="1" applyFill="1" applyBorder="1" applyAlignment="1">
      <alignment horizontal="left" vertical="center" wrapText="1"/>
    </xf>
    <xf numFmtId="0" fontId="11" fillId="2" borderId="0" xfId="107" applyFont="1" applyFill="1" applyBorder="1" applyAlignment="1" applyProtection="1">
      <alignment horizontal="left" vertical="top" wrapText="1"/>
      <protection locked="0"/>
    </xf>
    <xf numFmtId="0" fontId="11" fillId="2" borderId="0" xfId="107" applyFont="1" applyFill="1" applyBorder="1" applyAlignment="1" applyProtection="1">
      <alignment horizontal="left" vertical="center" wrapText="1"/>
      <protection locked="0"/>
    </xf>
    <xf numFmtId="0" fontId="0" fillId="2" borderId="114" xfId="0" applyFill="1" applyBorder="1" applyAlignment="1">
      <alignment horizontal="left" vertical="center" wrapText="1"/>
    </xf>
    <xf numFmtId="0" fontId="38" fillId="2" borderId="0" xfId="0" applyFont="1" applyFill="1" applyBorder="1" applyAlignment="1">
      <alignment horizontal="left" vertical="center"/>
    </xf>
    <xf numFmtId="0" fontId="10" fillId="2" borderId="0" xfId="0" applyFont="1" applyFill="1" applyAlignment="1">
      <alignment horizontal="left" vertical="center" wrapText="1"/>
    </xf>
    <xf numFmtId="0" fontId="10" fillId="2" borderId="0" xfId="0" applyFont="1" applyFill="1" applyAlignment="1">
      <alignment horizontal="left" vertical="center"/>
    </xf>
    <xf numFmtId="175" fontId="9" fillId="2" borderId="0" xfId="0" applyNumberFormat="1" applyFont="1" applyFill="1" applyBorder="1" applyAlignment="1">
      <alignment horizontal="left" vertical="center" wrapText="1"/>
    </xf>
    <xf numFmtId="0" fontId="105" fillId="2" borderId="0" xfId="0" applyFont="1" applyFill="1" applyAlignment="1">
      <alignment horizontal="left" vertical="center" wrapText="1"/>
    </xf>
    <xf numFmtId="0" fontId="0" fillId="2" borderId="0" xfId="0" applyFill="1" applyAlignment="1">
      <alignment horizontal="left" wrapText="1" indent="6"/>
    </xf>
    <xf numFmtId="0" fontId="38" fillId="2" borderId="0" xfId="0" applyFont="1" applyFill="1" applyAlignment="1">
      <alignment vertical="top" wrapText="1"/>
    </xf>
    <xf numFmtId="0" fontId="93" fillId="2" borderId="0" xfId="0" applyFont="1" applyFill="1" applyAlignment="1">
      <alignment horizontal="left" wrapText="1"/>
    </xf>
    <xf numFmtId="0" fontId="66" fillId="2" borderId="0" xfId="0" applyFont="1" applyFill="1" applyAlignment="1">
      <alignment horizontal="left" vertical="top" wrapText="1"/>
    </xf>
    <xf numFmtId="0" fontId="116" fillId="2" borderId="0" xfId="0" applyFont="1" applyFill="1" applyAlignment="1">
      <alignment horizontal="left" vertical="center" wrapText="1"/>
    </xf>
    <xf numFmtId="0" fontId="116" fillId="2" borderId="0" xfId="0" applyFont="1" applyFill="1" applyAlignment="1">
      <alignment horizontal="left" vertical="top" wrapText="1"/>
    </xf>
    <xf numFmtId="0" fontId="38" fillId="0" borderId="0" xfId="0" applyFont="1" applyAlignment="1">
      <alignment horizontal="left" vertical="center" wrapText="1"/>
    </xf>
    <xf numFmtId="0" fontId="8" fillId="2" borderId="0" xfId="0" applyFont="1" applyFill="1" applyAlignment="1">
      <alignment horizontal="left" vertical="top" wrapText="1"/>
    </xf>
    <xf numFmtId="0" fontId="8" fillId="2" borderId="0" xfId="0" applyFont="1" applyFill="1" applyAlignment="1">
      <alignment horizontal="left" wrapText="1" indent="6"/>
    </xf>
    <xf numFmtId="0" fontId="12" fillId="0" borderId="0" xfId="0" applyFont="1" applyAlignment="1">
      <alignment horizontal="center" vertical="center"/>
    </xf>
    <xf numFmtId="0" fontId="11" fillId="0" borderId="0" xfId="0" applyFont="1" applyAlignment="1">
      <alignment horizontal="center" vertical="center"/>
    </xf>
    <xf numFmtId="0" fontId="40" fillId="0" borderId="0" xfId="0" applyFont="1" applyAlignment="1">
      <alignment horizontal="center" vertical="center"/>
    </xf>
    <xf numFmtId="0" fontId="13" fillId="0" borderId="0" xfId="0" applyFont="1" applyAlignment="1">
      <alignment horizontal="center" vertical="center"/>
    </xf>
    <xf numFmtId="0" fontId="110" fillId="0" borderId="0" xfId="0" applyFont="1" applyAlignment="1">
      <alignment horizontal="left" vertical="center" wrapText="1"/>
    </xf>
    <xf numFmtId="0" fontId="13" fillId="0" borderId="0" xfId="0" applyFont="1" applyAlignment="1">
      <alignment horizontal="left" vertical="center" wrapText="1"/>
    </xf>
    <xf numFmtId="0" fontId="13" fillId="0" borderId="0" xfId="0" applyFont="1" applyAlignment="1"/>
    <xf numFmtId="0" fontId="38" fillId="0" borderId="0" xfId="0" applyFont="1" applyAlignment="1">
      <alignment horizontal="left" vertical="top" wrapText="1"/>
    </xf>
    <xf numFmtId="0" fontId="9" fillId="0" borderId="0" xfId="0" applyFont="1" applyFill="1" applyBorder="1" applyAlignment="1">
      <alignment horizontal="left" wrapText="1"/>
    </xf>
    <xf numFmtId="0" fontId="38" fillId="0" borderId="0" xfId="24" applyFont="1" applyFill="1" applyBorder="1" applyAlignment="1">
      <alignment horizontal="left" vertical="center" wrapText="1"/>
    </xf>
    <xf numFmtId="0" fontId="12" fillId="2" borderId="0" xfId="0" applyFont="1" applyFill="1" applyBorder="1" applyAlignment="1" applyProtection="1">
      <alignment horizontal="center" vertical="top" wrapText="1"/>
      <protection locked="0"/>
    </xf>
    <xf numFmtId="0" fontId="40" fillId="2" borderId="0" xfId="0" applyFont="1" applyFill="1" applyBorder="1" applyAlignment="1" applyProtection="1">
      <alignment horizontal="center" vertical="top" wrapText="1"/>
      <protection locked="0"/>
    </xf>
    <xf numFmtId="0" fontId="13" fillId="2" borderId="0" xfId="0" applyFont="1" applyFill="1" applyBorder="1" applyAlignment="1" applyProtection="1">
      <alignment horizontal="center" vertical="top" wrapText="1"/>
      <protection locked="0"/>
    </xf>
    <xf numFmtId="0" fontId="63" fillId="2" borderId="0" xfId="0" applyFont="1" applyFill="1" applyBorder="1" applyAlignment="1" applyProtection="1">
      <alignment horizontal="right" vertical="top" wrapText="1"/>
      <protection locked="0"/>
    </xf>
    <xf numFmtId="0" fontId="81" fillId="2" borderId="0" xfId="0" applyFont="1" applyFill="1" applyBorder="1" applyAlignment="1" applyProtection="1">
      <alignment horizontal="left"/>
      <protection locked="0"/>
    </xf>
    <xf numFmtId="15" fontId="81" fillId="2" borderId="0" xfId="161" applyNumberFormat="1" applyFont="1" applyFill="1" applyBorder="1" applyAlignment="1" applyProtection="1">
      <alignment horizontal="left" vertical="top" wrapText="1"/>
      <protection locked="0"/>
    </xf>
    <xf numFmtId="175" fontId="38" fillId="0" borderId="0" xfId="24" applyNumberFormat="1" applyFont="1" applyFill="1" applyBorder="1" applyAlignment="1">
      <alignment horizontal="left" vertical="center" wrapText="1"/>
    </xf>
    <xf numFmtId="0" fontId="9" fillId="0" borderId="0" xfId="0" applyFont="1" applyFill="1" applyAlignment="1">
      <alignment horizontal="left" wrapText="1" indent="2"/>
    </xf>
    <xf numFmtId="0" fontId="40" fillId="0" borderId="0" xfId="24" applyFont="1" applyFill="1" applyBorder="1" applyAlignment="1">
      <alignment horizontal="center" vertical="center" wrapText="1"/>
    </xf>
    <xf numFmtId="0" fontId="13" fillId="0" borderId="0" xfId="24" applyFont="1" applyFill="1" applyBorder="1" applyAlignment="1">
      <alignment horizontal="center" vertical="center" wrapText="1"/>
    </xf>
    <xf numFmtId="0" fontId="63" fillId="0" borderId="0" xfId="24" applyFont="1" applyFill="1" applyBorder="1" applyAlignment="1">
      <alignment horizontal="right" vertical="center" wrapText="1"/>
    </xf>
    <xf numFmtId="0" fontId="11" fillId="0" borderId="0" xfId="24" applyFont="1" applyFill="1" applyBorder="1" applyAlignment="1" applyProtection="1">
      <alignment horizontal="left" vertical="center" wrapText="1"/>
      <protection locked="0"/>
    </xf>
    <xf numFmtId="0" fontId="105" fillId="0" borderId="0" xfId="24" applyFont="1" applyFill="1" applyBorder="1" applyAlignment="1" applyProtection="1">
      <alignment horizontal="left" vertical="top" wrapText="1"/>
      <protection locked="0"/>
    </xf>
    <xf numFmtId="175" fontId="105" fillId="0" borderId="0" xfId="24" applyNumberFormat="1" applyFont="1" applyFill="1" applyBorder="1" applyAlignment="1" applyProtection="1">
      <alignment horizontal="left" vertical="top" wrapText="1"/>
      <protection locked="0"/>
    </xf>
    <xf numFmtId="0" fontId="12" fillId="0" borderId="0" xfId="24" applyFont="1" applyFill="1" applyBorder="1" applyAlignment="1">
      <alignment horizontal="center" vertical="center" wrapText="1"/>
    </xf>
    <xf numFmtId="0" fontId="11" fillId="0" borderId="0" xfId="24" applyFont="1" applyFill="1" applyBorder="1" applyAlignment="1">
      <alignment horizontal="center" vertical="center" wrapText="1"/>
    </xf>
    <xf numFmtId="175" fontId="11" fillId="0" borderId="0" xfId="24" applyNumberFormat="1" applyFont="1" applyFill="1" applyBorder="1" applyAlignment="1" applyProtection="1">
      <alignment horizontal="left" vertical="center" wrapText="1"/>
      <protection locked="0"/>
    </xf>
    <xf numFmtId="15" fontId="41" fillId="2" borderId="0" xfId="161" applyNumberFormat="1" applyFont="1" applyFill="1" applyAlignment="1" applyProtection="1">
      <alignment horizontal="left" wrapText="1"/>
    </xf>
    <xf numFmtId="0" fontId="105" fillId="0" borderId="0" xfId="0" applyFont="1" applyFill="1" applyAlignment="1">
      <alignment horizontal="left" vertical="top" wrapText="1"/>
    </xf>
    <xf numFmtId="175" fontId="9" fillId="2" borderId="0" xfId="0" applyNumberFormat="1" applyFont="1" applyFill="1" applyBorder="1" applyAlignment="1" applyProtection="1">
      <alignment horizontal="left" vertical="top" wrapText="1"/>
      <protection locked="0"/>
    </xf>
    <xf numFmtId="0" fontId="12" fillId="2" borderId="0" xfId="0" applyFont="1" applyFill="1" applyAlignment="1">
      <alignment horizontal="center" vertical="center"/>
    </xf>
    <xf numFmtId="0" fontId="5" fillId="2" borderId="0" xfId="162" applyFont="1" applyFill="1" applyBorder="1" applyAlignment="1" applyProtection="1">
      <alignment horizontal="left" vertical="top"/>
      <protection locked="0"/>
    </xf>
    <xf numFmtId="0" fontId="63" fillId="2" borderId="0" xfId="166" applyFont="1" applyFill="1" applyBorder="1" applyAlignment="1" applyProtection="1">
      <alignment horizontal="left"/>
      <protection locked="0"/>
    </xf>
    <xf numFmtId="0" fontId="63" fillId="2" borderId="0" xfId="166" applyFont="1" applyFill="1" applyBorder="1" applyAlignment="1" applyProtection="1">
      <alignment horizontal="right" vertical="top" wrapText="1"/>
      <protection locked="0"/>
    </xf>
    <xf numFmtId="0" fontId="11" fillId="2" borderId="0" xfId="166" applyFont="1" applyFill="1" applyBorder="1" applyAlignment="1" applyProtection="1">
      <alignment horizontal="left" vertical="top" wrapText="1"/>
      <protection locked="0"/>
    </xf>
    <xf numFmtId="0" fontId="74" fillId="2" borderId="0" xfId="166" applyFont="1" applyFill="1" applyBorder="1" applyAlignment="1" applyProtection="1">
      <alignment horizontal="left" vertical="top" wrapText="1"/>
      <protection locked="0"/>
    </xf>
    <xf numFmtId="175" fontId="74" fillId="2" borderId="0" xfId="166" applyNumberFormat="1" applyFont="1" applyFill="1" applyBorder="1" applyAlignment="1" applyProtection="1">
      <alignment horizontal="left" vertical="top" wrapText="1"/>
      <protection locked="0"/>
    </xf>
    <xf numFmtId="0" fontId="13" fillId="2" borderId="0" xfId="166" applyFont="1" applyFill="1" applyBorder="1" applyAlignment="1" applyProtection="1">
      <alignment horizontal="center" vertical="top" wrapText="1"/>
      <protection locked="0"/>
    </xf>
    <xf numFmtId="0" fontId="12" fillId="2" borderId="0" xfId="166" applyFont="1" applyFill="1" applyBorder="1" applyAlignment="1" applyProtection="1">
      <alignment horizontal="center" vertical="top" wrapText="1"/>
      <protection locked="0"/>
    </xf>
    <xf numFmtId="0" fontId="11" fillId="2" borderId="0" xfId="166" applyFont="1" applyFill="1" applyBorder="1" applyAlignment="1" applyProtection="1">
      <alignment horizontal="center" vertical="top" wrapText="1"/>
      <protection locked="0"/>
    </xf>
    <xf numFmtId="0" fontId="40" fillId="2" borderId="0" xfId="166" applyFont="1" applyFill="1" applyBorder="1" applyAlignment="1" applyProtection="1">
      <alignment horizontal="center" vertical="top" wrapText="1"/>
      <protection locked="0"/>
    </xf>
    <xf numFmtId="0" fontId="9" fillId="2" borderId="0" xfId="166" applyFont="1" applyFill="1" applyBorder="1" applyAlignment="1" applyProtection="1">
      <alignment horizontal="left" wrapText="1" indent="6"/>
      <protection locked="0"/>
    </xf>
    <xf numFmtId="0" fontId="38" fillId="2" borderId="0" xfId="166" applyFont="1" applyFill="1" applyBorder="1" applyAlignment="1" applyProtection="1">
      <alignment horizontal="left" wrapText="1"/>
      <protection locked="0"/>
    </xf>
    <xf numFmtId="0" fontId="38" fillId="2" borderId="0" xfId="166" applyFont="1" applyFill="1" applyBorder="1" applyAlignment="1" applyProtection="1">
      <alignment horizontal="left" vertical="top" wrapText="1"/>
      <protection locked="0"/>
    </xf>
    <xf numFmtId="175" fontId="38" fillId="2" borderId="0" xfId="166" applyNumberFormat="1" applyFont="1" applyFill="1" applyBorder="1" applyAlignment="1" applyProtection="1">
      <alignment horizontal="left" vertical="top" wrapText="1"/>
      <protection locked="0"/>
    </xf>
    <xf numFmtId="0" fontId="9" fillId="2" borderId="0" xfId="0" applyFont="1" applyFill="1" applyAlignment="1">
      <alignment horizontal="left" vertical="center"/>
    </xf>
    <xf numFmtId="0" fontId="38" fillId="2" borderId="0" xfId="211" applyFont="1" applyFill="1" applyBorder="1" applyAlignment="1">
      <alignment horizontal="left" vertical="top" wrapText="1"/>
    </xf>
    <xf numFmtId="0" fontId="22" fillId="2" borderId="0" xfId="0" applyFont="1" applyFill="1" applyBorder="1" applyAlignment="1" applyProtection="1">
      <alignment horizontal="left"/>
      <protection locked="0"/>
    </xf>
    <xf numFmtId="0" fontId="12" fillId="0"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74" fillId="0" borderId="0" xfId="0" applyFont="1" applyFill="1" applyBorder="1" applyAlignment="1">
      <alignment horizontal="right" vertical="center"/>
    </xf>
    <xf numFmtId="0" fontId="117" fillId="0" borderId="0"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15" fontId="22" fillId="0" borderId="0" xfId="161" applyNumberFormat="1" applyFont="1" applyFill="1" applyBorder="1" applyAlignment="1" applyProtection="1">
      <alignment horizontal="left" vertical="top" wrapText="1"/>
    </xf>
    <xf numFmtId="0" fontId="10" fillId="0" borderId="0" xfId="0" applyFont="1" applyFill="1" applyBorder="1" applyAlignment="1">
      <alignment horizontal="left" vertical="top" wrapText="1"/>
    </xf>
    <xf numFmtId="0" fontId="13" fillId="2" borderId="0" xfId="0" applyFont="1" applyFill="1" applyAlignment="1">
      <alignment horizontal="center" vertical="center"/>
    </xf>
    <xf numFmtId="0" fontId="9" fillId="2" borderId="0" xfId="0" applyFont="1" applyFill="1" applyAlignment="1">
      <alignment horizontal="left" vertical="center" wrapText="1" indent="6"/>
    </xf>
    <xf numFmtId="0" fontId="11" fillId="2" borderId="0" xfId="0" applyFont="1" applyFill="1" applyAlignment="1">
      <alignment horizontal="center" vertical="center" wrapText="1"/>
    </xf>
    <xf numFmtId="0" fontId="9" fillId="2" borderId="0" xfId="0" applyFont="1" applyFill="1" applyAlignment="1">
      <alignment horizontal="left"/>
    </xf>
    <xf numFmtId="0" fontId="0" fillId="2" borderId="0" xfId="0" applyFill="1" applyAlignment="1">
      <alignment vertical="top" wrapText="1"/>
    </xf>
    <xf numFmtId="0" fontId="66" fillId="0" borderId="0" xfId="0" applyFont="1" applyFill="1" applyAlignment="1">
      <alignment horizontal="left" wrapText="1"/>
    </xf>
    <xf numFmtId="0" fontId="0" fillId="0" borderId="0" xfId="0" applyFill="1" applyAlignment="1">
      <alignment horizontal="left" wrapText="1"/>
    </xf>
    <xf numFmtId="0" fontId="11"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110" fillId="0" borderId="0" xfId="0" applyFont="1" applyFill="1" applyBorder="1" applyAlignment="1">
      <alignment horizontal="left" vertical="center" wrapText="1"/>
    </xf>
    <xf numFmtId="0" fontId="74" fillId="0" borderId="0" xfId="0" applyFont="1" applyFill="1" applyBorder="1" applyAlignment="1">
      <alignment horizontal="left" vertical="top" wrapText="1"/>
    </xf>
    <xf numFmtId="0" fontId="13" fillId="0" borderId="0" xfId="0" applyFont="1" applyFill="1" applyBorder="1" applyAlignment="1">
      <alignment horizontal="left"/>
    </xf>
    <xf numFmtId="0" fontId="63" fillId="0" borderId="0" xfId="0" applyFont="1" applyFill="1" applyBorder="1" applyAlignment="1">
      <alignment horizontal="left"/>
    </xf>
    <xf numFmtId="0" fontId="74" fillId="0" borderId="0" xfId="0" applyFont="1" applyFill="1" applyBorder="1" applyAlignment="1">
      <alignment horizontal="left" vertical="center" wrapText="1"/>
    </xf>
    <xf numFmtId="0" fontId="5" fillId="2" borderId="0" xfId="162" applyFont="1" applyFill="1" applyBorder="1" applyAlignment="1" applyProtection="1">
      <alignment horizontal="left" vertical="top" indent="2"/>
      <protection locked="0"/>
    </xf>
    <xf numFmtId="0" fontId="67" fillId="2" borderId="0" xfId="0" applyFont="1" applyFill="1" applyAlignment="1">
      <alignment horizontal="left" vertical="center" wrapText="1"/>
    </xf>
    <xf numFmtId="0" fontId="113" fillId="2" borderId="0" xfId="0" applyFont="1" applyFill="1" applyAlignment="1">
      <alignment horizontal="left" vertical="top" wrapText="1"/>
    </xf>
    <xf numFmtId="15" fontId="41" fillId="2" borderId="0" xfId="161" applyNumberFormat="1" applyFont="1" applyFill="1" applyBorder="1" applyAlignment="1" applyProtection="1">
      <alignment horizontal="left" vertical="top"/>
      <protection locked="0"/>
    </xf>
    <xf numFmtId="0" fontId="5" fillId="0" borderId="0" xfId="162" applyFont="1" applyFill="1" applyBorder="1" applyAlignment="1" applyProtection="1">
      <alignment horizontal="left" vertical="top" wrapText="1"/>
      <protection locked="0"/>
    </xf>
    <xf numFmtId="0" fontId="5" fillId="0" borderId="0" xfId="162" applyFont="1" applyFill="1" applyBorder="1" applyAlignment="1" applyProtection="1">
      <alignment horizontal="left" vertical="center" wrapText="1"/>
      <protection locked="0"/>
    </xf>
    <xf numFmtId="0" fontId="101" fillId="2" borderId="0" xfId="0" applyFont="1" applyFill="1" applyAlignment="1">
      <alignment horizontal="center" vertical="top" wrapText="1"/>
    </xf>
    <xf numFmtId="0" fontId="101" fillId="2" borderId="0" xfId="0" applyFont="1" applyFill="1" applyAlignment="1">
      <alignment horizontal="center" vertical="top"/>
    </xf>
    <xf numFmtId="0" fontId="41" fillId="2" borderId="0" xfId="0" applyFont="1" applyFill="1" applyAlignment="1">
      <alignment horizontal="center" vertical="top" wrapText="1"/>
    </xf>
    <xf numFmtId="0" fontId="41" fillId="2" borderId="0" xfId="0" applyFont="1" applyFill="1" applyAlignment="1">
      <alignment horizontal="center" vertical="top"/>
    </xf>
    <xf numFmtId="0" fontId="18" fillId="2" borderId="0" xfId="0" applyFont="1" applyFill="1" applyAlignment="1">
      <alignment horizontal="center" vertical="top" wrapText="1"/>
    </xf>
    <xf numFmtId="0" fontId="18" fillId="2" borderId="0" xfId="0" applyFont="1" applyFill="1" applyAlignment="1">
      <alignment horizontal="center" vertical="top"/>
    </xf>
    <xf numFmtId="0" fontId="22" fillId="2" borderId="0" xfId="0" applyFont="1" applyFill="1" applyAlignment="1">
      <alignment horizontal="center" vertical="top" wrapText="1"/>
    </xf>
    <xf numFmtId="0" fontId="22" fillId="2" borderId="0" xfId="0" applyFont="1" applyFill="1" applyAlignment="1">
      <alignment horizontal="center" vertical="top"/>
    </xf>
    <xf numFmtId="0" fontId="81" fillId="2" borderId="0" xfId="0" applyFont="1" applyFill="1" applyAlignment="1">
      <alignment horizontal="right" vertical="top" wrapText="1"/>
    </xf>
    <xf numFmtId="0" fontId="81" fillId="2" borderId="0" xfId="0" applyFont="1" applyFill="1" applyAlignment="1">
      <alignment horizontal="right" vertical="top"/>
    </xf>
    <xf numFmtId="0" fontId="41" fillId="2" borderId="0" xfId="0" applyFont="1" applyFill="1" applyAlignment="1">
      <alignment horizontal="left" vertical="top" wrapText="1"/>
    </xf>
    <xf numFmtId="0" fontId="105" fillId="2" borderId="0" xfId="0" applyFont="1" applyFill="1" applyAlignment="1">
      <alignment horizontal="left" vertical="top"/>
    </xf>
    <xf numFmtId="0" fontId="22" fillId="2" borderId="0" xfId="0" applyFont="1" applyFill="1" applyAlignment="1">
      <alignment horizontal="left" vertical="top" wrapText="1"/>
    </xf>
    <xf numFmtId="0" fontId="22" fillId="2" borderId="0" xfId="0" applyFont="1" applyFill="1" applyAlignment="1">
      <alignment horizontal="left" wrapText="1"/>
    </xf>
    <xf numFmtId="0" fontId="105" fillId="2" borderId="0" xfId="0" applyFont="1" applyFill="1" applyAlignment="1">
      <alignment horizontal="left" wrapText="1"/>
    </xf>
    <xf numFmtId="0" fontId="5" fillId="2" borderId="0" xfId="0" applyFont="1" applyFill="1" applyAlignment="1">
      <alignment horizontal="left" wrapText="1"/>
    </xf>
    <xf numFmtId="0" fontId="35" fillId="2" borderId="0" xfId="0" applyFont="1" applyFill="1" applyAlignment="1">
      <alignment horizontal="left" wrapText="1"/>
    </xf>
    <xf numFmtId="0" fontId="5" fillId="2" borderId="0" xfId="0" applyFont="1" applyFill="1" applyBorder="1" applyAlignment="1" applyProtection="1">
      <alignment horizontal="left" wrapText="1"/>
      <protection locked="0"/>
    </xf>
    <xf numFmtId="0" fontId="61" fillId="2" borderId="0" xfId="0" applyFont="1" applyFill="1" applyAlignment="1">
      <alignment horizontal="left" vertical="top"/>
    </xf>
    <xf numFmtId="0" fontId="5" fillId="2" borderId="0" xfId="0" applyFont="1" applyFill="1" applyAlignment="1">
      <alignment horizontal="left" wrapText="1" indent="2"/>
    </xf>
    <xf numFmtId="0" fontId="41" fillId="2" borderId="0" xfId="0" applyFont="1" applyFill="1" applyAlignment="1">
      <alignment horizontal="left" wrapText="1"/>
    </xf>
    <xf numFmtId="0" fontId="5" fillId="2" borderId="0" xfId="0" applyFont="1" applyFill="1" applyAlignment="1">
      <alignment horizontal="left" wrapText="1" indent="6"/>
    </xf>
    <xf numFmtId="0" fontId="5" fillId="2" borderId="0" xfId="0" applyFont="1" applyFill="1" applyAlignment="1">
      <alignment horizontal="left" vertical="top" wrapText="1"/>
    </xf>
    <xf numFmtId="0" fontId="5" fillId="2" borderId="0" xfId="0" applyFont="1" applyFill="1" applyAlignment="1">
      <alignment horizontal="left" vertical="top"/>
    </xf>
    <xf numFmtId="0" fontId="120" fillId="2" borderId="0" xfId="0" applyFont="1" applyFill="1" applyAlignment="1">
      <alignment horizontal="center" vertical="center" wrapText="1"/>
    </xf>
    <xf numFmtId="0" fontId="116" fillId="2" borderId="0" xfId="0" applyFont="1" applyFill="1" applyAlignment="1">
      <alignment horizontal="left" wrapText="1"/>
    </xf>
    <xf numFmtId="0" fontId="9" fillId="2" borderId="0" xfId="0" applyFont="1" applyFill="1" applyAlignment="1">
      <alignment horizontal="left" vertical="top" wrapText="1" indent="2"/>
    </xf>
    <xf numFmtId="0" fontId="12" fillId="0" borderId="0" xfId="0" applyFont="1" applyAlignment="1">
      <alignment horizontal="center" vertical="center" wrapText="1"/>
    </xf>
    <xf numFmtId="0" fontId="0" fillId="0" borderId="0" xfId="0" applyAlignment="1">
      <alignment horizontal="center" wrapText="1"/>
    </xf>
    <xf numFmtId="0" fontId="11" fillId="0" borderId="0" xfId="0" applyFont="1" applyAlignment="1">
      <alignment horizontal="center" vertical="center" wrapText="1"/>
    </xf>
    <xf numFmtId="0" fontId="40" fillId="0" borderId="0" xfId="0" applyFont="1" applyAlignment="1">
      <alignment horizontal="center" vertical="center" wrapText="1"/>
    </xf>
    <xf numFmtId="0" fontId="13" fillId="0" borderId="0" xfId="0" applyFont="1" applyAlignment="1">
      <alignment horizontal="center" vertical="center" wrapText="1"/>
    </xf>
    <xf numFmtId="0" fontId="9" fillId="0" borderId="0" xfId="0" applyFont="1" applyAlignment="1">
      <alignment horizontal="right" vertical="center" wrapText="1"/>
    </xf>
    <xf numFmtId="0" fontId="0" fillId="0" borderId="0" xfId="0" applyFont="1" applyAlignment="1">
      <alignment horizontal="right" vertical="center" wrapText="1"/>
    </xf>
    <xf numFmtId="0" fontId="0" fillId="0" borderId="0" xfId="0" applyAlignment="1">
      <alignment horizontal="left" vertical="top" wrapText="1"/>
    </xf>
    <xf numFmtId="0" fontId="9" fillId="0" borderId="0" xfId="0" applyFont="1" applyAlignment="1">
      <alignment horizontal="left" vertical="top" wrapText="1"/>
    </xf>
    <xf numFmtId="0" fontId="9" fillId="0" borderId="0" xfId="0" applyFont="1" applyAlignment="1"/>
    <xf numFmtId="0" fontId="9" fillId="0" borderId="0" xfId="0" applyFont="1" applyAlignment="1">
      <alignment horizontal="left" indent="2"/>
    </xf>
    <xf numFmtId="0" fontId="38" fillId="0" borderId="0" xfId="0" applyFont="1" applyAlignment="1">
      <alignment wrapText="1"/>
    </xf>
    <xf numFmtId="0" fontId="9" fillId="0" borderId="0" xfId="0" applyFont="1" applyAlignment="1">
      <alignment horizontal="left" indent="5"/>
    </xf>
    <xf numFmtId="0" fontId="39" fillId="2" borderId="0" xfId="0" applyFont="1" applyFill="1" applyAlignment="1">
      <alignment horizontal="left" vertical="top" wrapText="1"/>
    </xf>
    <xf numFmtId="181" fontId="22" fillId="12" borderId="25" xfId="36" applyNumberFormat="1" applyFont="1" applyFill="1" applyBorder="1" applyAlignment="1" applyProtection="1">
      <alignment horizontal="center" vertical="center"/>
    </xf>
    <xf numFmtId="181" fontId="22" fillId="12" borderId="26" xfId="36" applyNumberFormat="1" applyFont="1" applyFill="1" applyBorder="1" applyAlignment="1" applyProtection="1">
      <alignment horizontal="center" vertical="center"/>
    </xf>
    <xf numFmtId="181" fontId="4" fillId="0" borderId="4" xfId="37" applyNumberFormat="1" applyFont="1" applyFill="1" applyBorder="1" applyAlignment="1" applyProtection="1">
      <alignment horizontal="center" vertical="center"/>
    </xf>
    <xf numFmtId="181" fontId="22" fillId="13" borderId="4" xfId="36" applyNumberFormat="1" applyFont="1" applyFill="1" applyBorder="1" applyAlignment="1" applyProtection="1">
      <alignment horizontal="center" vertical="center"/>
    </xf>
    <xf numFmtId="181" fontId="22" fillId="13" borderId="24" xfId="36" applyNumberFormat="1" applyFont="1" applyFill="1" applyBorder="1" applyAlignment="1" applyProtection="1">
      <alignment horizontal="center" vertical="center"/>
    </xf>
    <xf numFmtId="181" fontId="46" fillId="0" borderId="4" xfId="36" applyNumberFormat="1" applyFont="1" applyFill="1" applyBorder="1" applyAlignment="1" applyProtection="1">
      <alignment horizontal="center" vertical="center"/>
    </xf>
    <xf numFmtId="181" fontId="4" fillId="0" borderId="4" xfId="36" applyNumberFormat="1" applyFont="1" applyFill="1" applyBorder="1" applyAlignment="1" applyProtection="1">
      <alignment horizontal="center" vertical="center"/>
    </xf>
    <xf numFmtId="181" fontId="22" fillId="0" borderId="4" xfId="36" applyNumberFormat="1" applyFont="1" applyFill="1" applyBorder="1" applyAlignment="1" applyProtection="1">
      <alignment horizontal="center" vertical="center"/>
    </xf>
  </cellXfs>
  <cellStyles count="278">
    <cellStyle name="$" xfId="1"/>
    <cellStyle name="$.00" xfId="2"/>
    <cellStyle name="$_9. Rev2Cost_GDPIPI" xfId="28"/>
    <cellStyle name="$_9. Rev2Cost_GDPIPI 2" xfId="91"/>
    <cellStyle name="$_9. Rev2Cost_GDPIPI_6.2 CBR B" xfId="243"/>
    <cellStyle name="$_9. Rev2Cost_GDPIPI_9. Shared Tax - Rate Rider" xfId="271"/>
    <cellStyle name="$_lists" xfId="17"/>
    <cellStyle name="$_lists 2" xfId="89"/>
    <cellStyle name="$_lists_4. Current Monthly Fixed Charge" xfId="22"/>
    <cellStyle name="$_lists_6.2 CBR B" xfId="244"/>
    <cellStyle name="$_lists_9. Shared Tax - Rate Rider" xfId="272"/>
    <cellStyle name="$_Sheet4" xfId="32"/>
    <cellStyle name="$_Sheet4 2" xfId="93"/>
    <cellStyle name="$_Sheet4_6.2 CBR B" xfId="245"/>
    <cellStyle name="$_Sheet4_9. Shared Tax - Rate Rider" xfId="273"/>
    <cellStyle name="$M" xfId="3"/>
    <cellStyle name="$M.00" xfId="4"/>
    <cellStyle name="$M_9. Rev2Cost_GDPIPI" xfId="29"/>
    <cellStyle name="20% - Accent1" xfId="136" builtinId="30" customBuiltin="1"/>
    <cellStyle name="20% - Accent1 2" xfId="41"/>
    <cellStyle name="20% - Accent1 2 2" xfId="188"/>
    <cellStyle name="20% - Accent1 2_6.2 CBR B" xfId="246"/>
    <cellStyle name="20% - Accent1 3" xfId="217"/>
    <cellStyle name="20% - Accent2" xfId="140" builtinId="34" customBuiltin="1"/>
    <cellStyle name="20% - Accent2 2" xfId="42"/>
    <cellStyle name="20% - Accent2 2 2" xfId="189"/>
    <cellStyle name="20% - Accent2 2_6.2 CBR B" xfId="247"/>
    <cellStyle name="20% - Accent2 3" xfId="219"/>
    <cellStyle name="20% - Accent3" xfId="144" builtinId="38" customBuiltin="1"/>
    <cellStyle name="20% - Accent3 2" xfId="43"/>
    <cellStyle name="20% - Accent3 2 2" xfId="190"/>
    <cellStyle name="20% - Accent3 2_6.2 CBR B" xfId="248"/>
    <cellStyle name="20% - Accent3 3" xfId="221"/>
    <cellStyle name="20% - Accent4" xfId="148" builtinId="42" customBuiltin="1"/>
    <cellStyle name="20% - Accent4 2" xfId="44"/>
    <cellStyle name="20% - Accent4 2 2" xfId="191"/>
    <cellStyle name="20% - Accent4 2_6.2 CBR B" xfId="249"/>
    <cellStyle name="20% - Accent4 3" xfId="223"/>
    <cellStyle name="20% - Accent5" xfId="152" builtinId="46" customBuiltin="1"/>
    <cellStyle name="20% - Accent5 2" xfId="45"/>
    <cellStyle name="20% - Accent5 2 2" xfId="192"/>
    <cellStyle name="20% - Accent5 2_6.2 CBR B" xfId="250"/>
    <cellStyle name="20% - Accent5 3" xfId="225"/>
    <cellStyle name="20% - Accent6" xfId="156" builtinId="50" customBuiltin="1"/>
    <cellStyle name="20% - Accent6 2" xfId="46"/>
    <cellStyle name="20% - Accent6 2 2" xfId="193"/>
    <cellStyle name="20% - Accent6 2_6.2 CBR B" xfId="251"/>
    <cellStyle name="20% - Accent6 3" xfId="227"/>
    <cellStyle name="40% - Accent1" xfId="137" builtinId="31" customBuiltin="1"/>
    <cellStyle name="40% - Accent1 2" xfId="47"/>
    <cellStyle name="40% - Accent1 2 2" xfId="194"/>
    <cellStyle name="40% - Accent1 2_6.2 CBR B" xfId="252"/>
    <cellStyle name="40% - Accent1 3" xfId="218"/>
    <cellStyle name="40% - Accent2" xfId="141" builtinId="35" customBuiltin="1"/>
    <cellStyle name="40% - Accent2 2" xfId="48"/>
    <cellStyle name="40% - Accent2 2 2" xfId="195"/>
    <cellStyle name="40% - Accent2 2_6.2 CBR B" xfId="253"/>
    <cellStyle name="40% - Accent2 3" xfId="220"/>
    <cellStyle name="40% - Accent3" xfId="145" builtinId="39" customBuiltin="1"/>
    <cellStyle name="40% - Accent3 2" xfId="49"/>
    <cellStyle name="40% - Accent3 2 2" xfId="196"/>
    <cellStyle name="40% - Accent3 2_6.2 CBR B" xfId="254"/>
    <cellStyle name="40% - Accent3 3" xfId="222"/>
    <cellStyle name="40% - Accent4" xfId="149" builtinId="43" customBuiltin="1"/>
    <cellStyle name="40% - Accent4 2" xfId="50"/>
    <cellStyle name="40% - Accent4 2 2" xfId="197"/>
    <cellStyle name="40% - Accent4 2_6.2 CBR B" xfId="255"/>
    <cellStyle name="40% - Accent4 3" xfId="224"/>
    <cellStyle name="40% - Accent5" xfId="153" builtinId="47" customBuiltin="1"/>
    <cellStyle name="40% - Accent5 2" xfId="51"/>
    <cellStyle name="40% - Accent5 2 2" xfId="198"/>
    <cellStyle name="40% - Accent5 2_6.2 CBR B" xfId="256"/>
    <cellStyle name="40% - Accent5 3" xfId="226"/>
    <cellStyle name="40% - Accent6" xfId="157" builtinId="51" customBuiltin="1"/>
    <cellStyle name="40% - Accent6 2" xfId="52"/>
    <cellStyle name="40% - Accent6 2 2" xfId="199"/>
    <cellStyle name="40% - Accent6 2_6.2 CBR B" xfId="257"/>
    <cellStyle name="40% - Accent6 3" xfId="228"/>
    <cellStyle name="60% - Accent1" xfId="138" builtinId="32" customBuiltin="1"/>
    <cellStyle name="60% - Accent1 2" xfId="53"/>
    <cellStyle name="60% - Accent2" xfId="142" builtinId="36" customBuiltin="1"/>
    <cellStyle name="60% - Accent2 2" xfId="54"/>
    <cellStyle name="60% - Accent3" xfId="146" builtinId="40" customBuiltin="1"/>
    <cellStyle name="60% - Accent3 2" xfId="55"/>
    <cellStyle name="60% - Accent4" xfId="150" builtinId="44" customBuiltin="1"/>
    <cellStyle name="60% - Accent4 2" xfId="56"/>
    <cellStyle name="60% - Accent5" xfId="154" builtinId="48" customBuiltin="1"/>
    <cellStyle name="60% - Accent5 2" xfId="57"/>
    <cellStyle name="60% - Accent6" xfId="158" builtinId="52" customBuiltin="1"/>
    <cellStyle name="60% - Accent6 2" xfId="58"/>
    <cellStyle name="Accent1" xfId="135" builtinId="29" customBuiltin="1"/>
    <cellStyle name="Accent1 2" xfId="59"/>
    <cellStyle name="Accent2" xfId="139" builtinId="33" customBuiltin="1"/>
    <cellStyle name="Accent2 2" xfId="60"/>
    <cellStyle name="Accent3" xfId="143" builtinId="37" customBuiltin="1"/>
    <cellStyle name="Accent3 2" xfId="61"/>
    <cellStyle name="Accent4" xfId="147" builtinId="41" customBuiltin="1"/>
    <cellStyle name="Accent4 2" xfId="62"/>
    <cellStyle name="Accent5" xfId="151" builtinId="45" customBuiltin="1"/>
    <cellStyle name="Accent5 2" xfId="63"/>
    <cellStyle name="Accent6" xfId="155" builtinId="49" customBuiltin="1"/>
    <cellStyle name="Accent6 2" xfId="64"/>
    <cellStyle name="Bad" xfId="124" builtinId="27" customBuiltin="1"/>
    <cellStyle name="Bad 2" xfId="65"/>
    <cellStyle name="Calculation" xfId="128" builtinId="22" customBuiltin="1"/>
    <cellStyle name="Calculation 2" xfId="66"/>
    <cellStyle name="Check Cell" xfId="130" builtinId="23" customBuiltin="1"/>
    <cellStyle name="Check Cell 2" xfId="67"/>
    <cellStyle name="Comma" xfId="20" builtinId="3"/>
    <cellStyle name="Comma 2" xfId="68"/>
    <cellStyle name="Comma 2 2" xfId="163"/>
    <cellStyle name="Comma 2 2 2" xfId="170"/>
    <cellStyle name="Comma 2 2 3" xfId="175"/>
    <cellStyle name="Comma 2 2 4" xfId="232"/>
    <cellStyle name="Comma 2 2_Database" xfId="230"/>
    <cellStyle name="Comma 3" xfId="69"/>
    <cellStyle name="Comma 3 2" xfId="97"/>
    <cellStyle name="Comma 3 2 2" xfId="207"/>
    <cellStyle name="Comma 3 3" xfId="200"/>
    <cellStyle name="Comma 4" xfId="88"/>
    <cellStyle name="Comma 5" xfId="178"/>
    <cellStyle name="Comma0" xfId="5"/>
    <cellStyle name="Currency" xfId="35" builtinId="4"/>
    <cellStyle name="Currency 2" xfId="39"/>
    <cellStyle name="Currency 3" xfId="98"/>
    <cellStyle name="Currency 4" xfId="164"/>
    <cellStyle name="Currency 4 2" xfId="169"/>
    <cellStyle name="Currency 4 3" xfId="176"/>
    <cellStyle name="Currency 4 4" xfId="233"/>
    <cellStyle name="Currency 5" xfId="167"/>
    <cellStyle name="Currency 6" xfId="172"/>
    <cellStyle name="Currency_Final - 2004 RAM for rate schedule - milton_2008_IRM_Model_Final Model_Version2.0" xfId="36"/>
    <cellStyle name="Currency0" xfId="6"/>
    <cellStyle name="Date" xfId="7"/>
    <cellStyle name="Explanatory Text" xfId="133" builtinId="53" customBuiltin="1"/>
    <cellStyle name="Explanatory Text 2" xfId="70"/>
    <cellStyle name="Fixed" xfId="8"/>
    <cellStyle name="Followed Hyperlink" xfId="160" builtinId="9" customBuiltin="1"/>
    <cellStyle name="Good" xfId="123" builtinId="26" customBuiltin="1"/>
    <cellStyle name="Good 2" xfId="71"/>
    <cellStyle name="Grey" xfId="9"/>
    <cellStyle name="Heading 1" xfId="119" builtinId="16" customBuiltin="1"/>
    <cellStyle name="Heading 1 2" xfId="72"/>
    <cellStyle name="Heading 2" xfId="120" builtinId="17" customBuiltin="1"/>
    <cellStyle name="Heading 2 2" xfId="73"/>
    <cellStyle name="Heading 3" xfId="121" builtinId="18" customBuiltin="1"/>
    <cellStyle name="Heading 3 2" xfId="74"/>
    <cellStyle name="Heading 4" xfId="122" builtinId="19" customBuiltin="1"/>
    <cellStyle name="Heading 4 2" xfId="75"/>
    <cellStyle name="Hyperlink 2" xfId="159"/>
    <cellStyle name="Input" xfId="126" builtinId="20" customBuiltin="1"/>
    <cellStyle name="Input [yellow]" xfId="10"/>
    <cellStyle name="Input 2" xfId="76"/>
    <cellStyle name="Linked Cell" xfId="129" builtinId="24" customBuiltin="1"/>
    <cellStyle name="Linked Cell 2" xfId="77"/>
    <cellStyle name="M" xfId="11"/>
    <cellStyle name="M.00" xfId="12"/>
    <cellStyle name="M_9. Rev2Cost_GDPIPI" xfId="30"/>
    <cellStyle name="M_9. Rev2Cost_GDPIPI 2" xfId="92"/>
    <cellStyle name="M_9. Rev2Cost_GDPIPI_6.2 CBR B" xfId="258"/>
    <cellStyle name="M_9. Rev2Cost_GDPIPI_9. Shared Tax - Rate Rider" xfId="274"/>
    <cellStyle name="M_lists" xfId="18"/>
    <cellStyle name="M_lists 2" xfId="90"/>
    <cellStyle name="M_lists_4. Current Monthly Fixed Charge" xfId="23"/>
    <cellStyle name="M_lists_6.2 CBR B" xfId="259"/>
    <cellStyle name="M_lists_9. Shared Tax - Rate Rider" xfId="275"/>
    <cellStyle name="M_Sheet4" xfId="33"/>
    <cellStyle name="M_Sheet4 2" xfId="94"/>
    <cellStyle name="M_Sheet4_6.2 CBR B" xfId="260"/>
    <cellStyle name="M_Sheet4_9. Shared Tax - Rate Rider" xfId="276"/>
    <cellStyle name="Neutral" xfId="125" builtinId="28" customBuiltin="1"/>
    <cellStyle name="Neutral 2" xfId="78"/>
    <cellStyle name="Normal" xfId="0" builtinId="0"/>
    <cellStyle name="Normal - Style1" xfId="14"/>
    <cellStyle name="Normal 10 12" xfId="166"/>
    <cellStyle name="Normal 167" xfId="102"/>
    <cellStyle name="Normal 167 2" xfId="211"/>
    <cellStyle name="Normal 167_6.2 CBR B" xfId="261"/>
    <cellStyle name="Normal 168" xfId="103"/>
    <cellStyle name="Normal 168 2" xfId="212"/>
    <cellStyle name="Normal 168_6.2 CBR B" xfId="262"/>
    <cellStyle name="Normal 169" xfId="104"/>
    <cellStyle name="Normal 169 2" xfId="213"/>
    <cellStyle name="Normal 169_6.2 CBR B" xfId="263"/>
    <cellStyle name="Normal 170" xfId="105"/>
    <cellStyle name="Normal 170 2" xfId="214"/>
    <cellStyle name="Normal 170_6.2 CBR B" xfId="264"/>
    <cellStyle name="Normal 171" xfId="106"/>
    <cellStyle name="Normal 171 2" xfId="215"/>
    <cellStyle name="Normal 171_6.2 CBR B" xfId="265"/>
    <cellStyle name="Normal 19" xfId="107"/>
    <cellStyle name="Normal 2" xfId="24"/>
    <cellStyle name="Normal 25" xfId="108"/>
    <cellStyle name="Normal 3" xfId="79"/>
    <cellStyle name="Normal 3 2" xfId="201"/>
    <cellStyle name="Normal 3_6.2 CBR B" xfId="266"/>
    <cellStyle name="Normal 30" xfId="109"/>
    <cellStyle name="Normal 31" xfId="114"/>
    <cellStyle name="Normal 4" xfId="80"/>
    <cellStyle name="Normal 4 2" xfId="202"/>
    <cellStyle name="Normal 4_6.2 CBR B" xfId="267"/>
    <cellStyle name="Normal 41" xfId="110"/>
    <cellStyle name="Normal 42" xfId="115"/>
    <cellStyle name="Normal 5" xfId="81"/>
    <cellStyle name="Normal 5 2" xfId="99"/>
    <cellStyle name="Normal 5 2 2" xfId="208"/>
    <cellStyle name="Normal 5 2_6.2 CBR B" xfId="269"/>
    <cellStyle name="Normal 5 3" xfId="203"/>
    <cellStyle name="Normal 5_6.2 CBR B" xfId="268"/>
    <cellStyle name="Normal 50" xfId="111"/>
    <cellStyle name="Normal 51" xfId="113"/>
    <cellStyle name="Normal 52" xfId="116"/>
    <cellStyle name="Normal 6" xfId="95"/>
    <cellStyle name="Normal 6 2" xfId="206"/>
    <cellStyle name="Normal 6_6.2 CBR B" xfId="270"/>
    <cellStyle name="Normal 60" xfId="112"/>
    <cellStyle name="Normal 61" xfId="117"/>
    <cellStyle name="Normal_14. Bill Impacts" xfId="37"/>
    <cellStyle name="Normal_3. Rate Class Selection" xfId="13"/>
    <cellStyle name="Normal_6. Cost Allocation for Def-Var" xfId="25"/>
    <cellStyle name="Normal_9. Rev2Cost_GDPIPI" xfId="31"/>
    <cellStyle name="Normal_lists" xfId="16"/>
    <cellStyle name="Normal_lists_1" xfId="34"/>
    <cellStyle name="Normal_lists_1 2" xfId="162"/>
    <cellStyle name="Normal_lists_1 3" xfId="165"/>
    <cellStyle name="Normal_Sheet1" xfId="19"/>
    <cellStyle name="Normal_Sheet3" xfId="38"/>
    <cellStyle name="Normal_Sheet4" xfId="277"/>
    <cellStyle name="Normal_Sheet4 2" xfId="161"/>
    <cellStyle name="Normal_Sheet6" xfId="26"/>
    <cellStyle name="Normal_Sheet7" xfId="27"/>
    <cellStyle name="Normal_Tax Rates for 2006-2012_Sep42008" xfId="96"/>
    <cellStyle name="Note" xfId="132" builtinId="10" customBuiltin="1"/>
    <cellStyle name="Note 2" xfId="82"/>
    <cellStyle name="Note 2 2" xfId="204"/>
    <cellStyle name="Note 3" xfId="216"/>
    <cellStyle name="Output" xfId="127" builtinId="21" customBuiltin="1"/>
    <cellStyle name="Output 2" xfId="83"/>
    <cellStyle name="Percent" xfId="21" builtinId="5"/>
    <cellStyle name="Percent [2]" xfId="15"/>
    <cellStyle name="Percent 10" xfId="179"/>
    <cellStyle name="Percent 11" xfId="180"/>
    <cellStyle name="Percent 12" xfId="181"/>
    <cellStyle name="Percent 13" xfId="182"/>
    <cellStyle name="Percent 14" xfId="183"/>
    <cellStyle name="Percent 15" xfId="184"/>
    <cellStyle name="Percent 16" xfId="185"/>
    <cellStyle name="Percent 17" xfId="187"/>
    <cellStyle name="Percent 18" xfId="186"/>
    <cellStyle name="Percent 19" xfId="229"/>
    <cellStyle name="Percent 2" xfId="40"/>
    <cellStyle name="Percent 20" xfId="231"/>
    <cellStyle name="Percent 21" xfId="234"/>
    <cellStyle name="Percent 22" xfId="235"/>
    <cellStyle name="Percent 23" xfId="236"/>
    <cellStyle name="Percent 24" xfId="237"/>
    <cellStyle name="Percent 25" xfId="238"/>
    <cellStyle name="Percent 26" xfId="239"/>
    <cellStyle name="Percent 27" xfId="240"/>
    <cellStyle name="Percent 28" xfId="241"/>
    <cellStyle name="Percent 29" xfId="242"/>
    <cellStyle name="Percent 3" xfId="84"/>
    <cellStyle name="Percent 3 2" xfId="100"/>
    <cellStyle name="Percent 3 2 2" xfId="209"/>
    <cellStyle name="Percent 3 3" xfId="205"/>
    <cellStyle name="Percent 4" xfId="101"/>
    <cellStyle name="Percent 4 2" xfId="210"/>
    <cellStyle name="Percent 5" xfId="168"/>
    <cellStyle name="Percent 6" xfId="173"/>
    <cellStyle name="Percent 7" xfId="174"/>
    <cellStyle name="Percent 8" xfId="171"/>
    <cellStyle name="Percent 9" xfId="177"/>
    <cellStyle name="Title" xfId="118" builtinId="15" customBuiltin="1"/>
    <cellStyle name="Title 2" xfId="85"/>
    <cellStyle name="Total" xfId="134" builtinId="25" customBuiltin="1"/>
    <cellStyle name="Total 2" xfId="86"/>
    <cellStyle name="Warning Text" xfId="131" builtinId="11" customBuiltin="1"/>
    <cellStyle name="Warning Text 2" xfId="87"/>
  </cellStyles>
  <dxfs count="8">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2" defaultPivotStyle="PivotStyleLight16"/>
  <colors>
    <mruColors>
      <color rgb="FFDDDDDD"/>
      <color rgb="FFEAEAEA"/>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4" lockText="1" noThreeD="1"/>
</file>

<file path=xl/ctrlProps/ctrlProp11.xml><?xml version="1.0" encoding="utf-8"?>
<formControlPr xmlns="http://schemas.microsoft.com/office/spreadsheetml/2009/9/main" objectType="CheckBox" checked="Checked" fmlaLink="C3" lockText="1" noThreeD="1"/>
</file>

<file path=xl/ctrlProps/ctrlProp12.xml><?xml version="1.0" encoding="utf-8"?>
<formControlPr xmlns="http://schemas.microsoft.com/office/spreadsheetml/2009/9/main" objectType="CheckBox" checked="Checked" fmlaLink="B2"/>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checked="Checked" fmlaLink="AZ1"/>
</file>

<file path=xl/ctrlProps/ctrlProp3.xml><?xml version="1.0" encoding="utf-8"?>
<formControlPr xmlns="http://schemas.microsoft.com/office/spreadsheetml/2009/9/main" objectType="CheckBox" fmlaLink="CA1" lockText="1" noThreeD="1"/>
</file>

<file path=xl/ctrlProps/ctrlProp4.xml><?xml version="1.0" encoding="utf-8"?>
<formControlPr xmlns="http://schemas.microsoft.com/office/spreadsheetml/2009/9/main" objectType="CheckBox" fmlaLink="CA3" lockText="1" noThreeD="1"/>
</file>

<file path=xl/ctrlProps/ctrlProp5.xml><?xml version="1.0" encoding="utf-8"?>
<formControlPr xmlns="http://schemas.microsoft.com/office/spreadsheetml/2009/9/main" objectType="CheckBox" checked="Checked" fmlaLink="CA2" lockText="1" noThreeD="1"/>
</file>

<file path=xl/ctrlProps/ctrlProp6.xml><?xml version="1.0" encoding="utf-8"?>
<formControlPr xmlns="http://schemas.microsoft.com/office/spreadsheetml/2009/9/main" objectType="CheckBox" fmlaLink="CA5" noThreeD="1"/>
</file>

<file path=xl/ctrlProps/ctrlProp7.xml><?xml version="1.0" encoding="utf-8"?>
<formControlPr xmlns="http://schemas.microsoft.com/office/spreadsheetml/2009/9/main" objectType="CheckBox" fmlaLink="CA8" lockText="1" noThreeD="1"/>
</file>

<file path=xl/ctrlProps/ctrlProp8.xml><?xml version="1.0" encoding="utf-8"?>
<formControlPr xmlns="http://schemas.microsoft.com/office/spreadsheetml/2009/9/main" objectType="CheckBox" fmlaLink="CA9" lockText="1" noThreeD="1"/>
</file>

<file path=xl/ctrlProps/ctrlProp9.xml><?xml version="1.0" encoding="utf-8"?>
<formControlPr xmlns="http://schemas.microsoft.com/office/spreadsheetml/2009/9/main" objectType="CheckBox" checked="Checked" fmlaLink="C2"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s://www.oeb.ca/industry/applications-oeb/electricity-distribution-rates/2019-electricity-distribution-rate" TargetMode="External"/><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mailto:ratemodels@oeb.ca?subject=Current%20IRM%20tariff" TargetMode="External"/><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hyperlink" Target="mailto:ratemodels@oeb.ca" TargetMode="External"/><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49694</xdr:colOff>
      <xdr:row>47</xdr:row>
      <xdr:rowOff>57964</xdr:rowOff>
    </xdr:from>
    <xdr:to>
      <xdr:col>12</xdr:col>
      <xdr:colOff>124239</xdr:colOff>
      <xdr:row>54</xdr:row>
      <xdr:rowOff>107577</xdr:rowOff>
    </xdr:to>
    <xdr:sp macro="" textlink="">
      <xdr:nvSpPr>
        <xdr:cNvPr id="6" name="Text Box 50"/>
        <xdr:cNvSpPr txBox="1">
          <a:spLocks noChangeArrowheads="1"/>
        </xdr:cNvSpPr>
      </xdr:nvSpPr>
      <xdr:spPr bwMode="auto">
        <a:xfrm>
          <a:off x="49694" y="8852340"/>
          <a:ext cx="7497321" cy="1304672"/>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21" name="Group 20"/>
        <xdr:cNvGrpSpPr/>
      </xdr:nvGrpSpPr>
      <xdr:grpSpPr>
        <a:xfrm>
          <a:off x="9524" y="19051"/>
          <a:ext cx="8852036" cy="1924049"/>
          <a:chOff x="9524" y="19051"/>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10" name="Rectangle 9"/>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14</xdr:col>
      <xdr:colOff>57978</xdr:colOff>
      <xdr:row>0</xdr:row>
      <xdr:rowOff>107673</xdr:rowOff>
    </xdr:from>
    <xdr:to>
      <xdr:col>18</xdr:col>
      <xdr:colOff>520975</xdr:colOff>
      <xdr:row>7</xdr:row>
      <xdr:rowOff>114301</xdr:rowOff>
    </xdr:to>
    <xdr:grpSp>
      <xdr:nvGrpSpPr>
        <xdr:cNvPr id="3" name="Group 2"/>
        <xdr:cNvGrpSpPr/>
      </xdr:nvGrpSpPr>
      <xdr:grpSpPr>
        <a:xfrm>
          <a:off x="8906703" y="107673"/>
          <a:ext cx="2901397" cy="1340128"/>
          <a:chOff x="9342782" y="2435086"/>
          <a:chExt cx="2914650" cy="1639957"/>
        </a:xfrm>
      </xdr:grpSpPr>
      <xdr:sp macro="" textlink="">
        <xdr:nvSpPr>
          <xdr:cNvPr id="8" name="Rounded Rectangle 7"/>
          <xdr:cNvSpPr/>
        </xdr:nvSpPr>
        <xdr:spPr>
          <a:xfrm>
            <a:off x="9342782" y="2435086"/>
            <a:ext cx="2914650" cy="163995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sp macro="" textlink="">
        <xdr:nvSpPr>
          <xdr:cNvPr id="2" name="TextBox 1">
            <a:hlinkClick xmlns:r="http://schemas.openxmlformats.org/officeDocument/2006/relationships" r:id="rId3"/>
          </xdr:cNvPr>
          <xdr:cNvSpPr txBox="1"/>
        </xdr:nvSpPr>
        <xdr:spPr>
          <a:xfrm>
            <a:off x="9475304" y="2857501"/>
            <a:ext cx="2501348" cy="55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2019 Electricity Distribution Rates Webpage</a:t>
            </a:r>
            <a:endParaRPr lang="en-CA">
              <a:effectLst/>
            </a:endParaRPr>
          </a:p>
          <a:p>
            <a:endParaRPr lang="en-CA" sz="1100"/>
          </a:p>
        </xdr:txBody>
      </xdr:sp>
      <xdr:sp macro="" textlink="">
        <xdr:nvSpPr>
          <xdr:cNvPr id="11" name="TextBox 10"/>
          <xdr:cNvSpPr txBox="1"/>
        </xdr:nvSpPr>
        <xdr:spPr>
          <a:xfrm>
            <a:off x="9478617" y="2471532"/>
            <a:ext cx="1048578" cy="3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a:t>
            </a:r>
            <a:endParaRPr lang="en-CA" sz="1400" b="1">
              <a:effectLst/>
            </a:endParaRPr>
          </a:p>
          <a:p>
            <a:endParaRPr lang="en-CA" sz="1100"/>
          </a:p>
        </xdr:txBody>
      </xdr:sp>
    </xdr:grpSp>
    <xdr:clientData/>
  </xdr:twoCellAnchor>
  <mc:AlternateContent xmlns:mc="http://schemas.openxmlformats.org/markup-compatibility/2006">
    <mc:Choice xmlns:a14="http://schemas.microsoft.com/office/drawing/2010/main" Requires="a14">
      <xdr:twoCellAnchor>
        <xdr:from>
          <xdr:col>8</xdr:col>
          <xdr:colOff>38100</xdr:colOff>
          <xdr:row>14</xdr:row>
          <xdr:rowOff>0</xdr:rowOff>
        </xdr:from>
        <xdr:to>
          <xdr:col>8</xdr:col>
          <xdr:colOff>247650</xdr:colOff>
          <xdr:row>14</xdr:row>
          <xdr:rowOff>0</xdr:rowOff>
        </xdr:to>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1733550</xdr:colOff>
      <xdr:row>10</xdr:row>
      <xdr:rowOff>95250</xdr:rowOff>
    </xdr:to>
    <xdr:grpSp>
      <xdr:nvGrpSpPr>
        <xdr:cNvPr id="2" name="Group 1"/>
        <xdr:cNvGrpSpPr/>
      </xdr:nvGrpSpPr>
      <xdr:grpSpPr>
        <a:xfrm>
          <a:off x="1" y="0"/>
          <a:ext cx="13677899" cy="2000250"/>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10</xdr:row>
      <xdr:rowOff>10766</xdr:rowOff>
    </xdr:to>
    <xdr:grpSp>
      <xdr:nvGrpSpPr>
        <xdr:cNvPr id="8" name="Group 7"/>
        <xdr:cNvGrpSpPr/>
      </xdr:nvGrpSpPr>
      <xdr:grpSpPr>
        <a:xfrm>
          <a:off x="0" y="0"/>
          <a:ext cx="13763625" cy="191576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333374</xdr:colOff>
      <xdr:row>10</xdr:row>
      <xdr:rowOff>10766</xdr:rowOff>
    </xdr:to>
    <xdr:grpSp>
      <xdr:nvGrpSpPr>
        <xdr:cNvPr id="2" name="Group 1"/>
        <xdr:cNvGrpSpPr/>
      </xdr:nvGrpSpPr>
      <xdr:grpSpPr>
        <a:xfrm>
          <a:off x="0" y="0"/>
          <a:ext cx="8143874"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9525</xdr:colOff>
      <xdr:row>9</xdr:row>
      <xdr:rowOff>180975</xdr:rowOff>
    </xdr:to>
    <xdr:grpSp>
      <xdr:nvGrpSpPr>
        <xdr:cNvPr id="2" name="Group 1"/>
        <xdr:cNvGrpSpPr/>
      </xdr:nvGrpSpPr>
      <xdr:grpSpPr>
        <a:xfrm>
          <a:off x="0" y="0"/>
          <a:ext cx="12630150" cy="1895475"/>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781050</xdr:colOff>
      <xdr:row>11</xdr:row>
      <xdr:rowOff>134591</xdr:rowOff>
    </xdr:to>
    <xdr:grpSp>
      <xdr:nvGrpSpPr>
        <xdr:cNvPr id="6" name="Group 5"/>
        <xdr:cNvGrpSpPr>
          <a:grpSpLocks noChangeAspect="1"/>
        </xdr:cNvGrpSpPr>
      </xdr:nvGrpSpPr>
      <xdr:grpSpPr>
        <a:xfrm>
          <a:off x="0" y="0"/>
          <a:ext cx="14382750" cy="1915766"/>
          <a:chOff x="200024" y="4499942"/>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21167</xdr:colOff>
      <xdr:row>0</xdr:row>
      <xdr:rowOff>21166</xdr:rowOff>
    </xdr:from>
    <xdr:to>
      <xdr:col>9</xdr:col>
      <xdr:colOff>1669676</xdr:colOff>
      <xdr:row>13</xdr:row>
      <xdr:rowOff>22410</xdr:rowOff>
    </xdr:to>
    <xdr:grpSp>
      <xdr:nvGrpSpPr>
        <xdr:cNvPr id="2" name="Group 1"/>
        <xdr:cNvGrpSpPr/>
      </xdr:nvGrpSpPr>
      <xdr:grpSpPr>
        <a:xfrm>
          <a:off x="816785" y="21166"/>
          <a:ext cx="12988862" cy="2040715"/>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38099</xdr:colOff>
      <xdr:row>0</xdr:row>
      <xdr:rowOff>28575</xdr:rowOff>
    </xdr:from>
    <xdr:to>
      <xdr:col>16</xdr:col>
      <xdr:colOff>76199</xdr:colOff>
      <xdr:row>11</xdr:row>
      <xdr:rowOff>47626</xdr:rowOff>
    </xdr:to>
    <xdr:grpSp>
      <xdr:nvGrpSpPr>
        <xdr:cNvPr id="9" name="Group 8"/>
        <xdr:cNvGrpSpPr/>
      </xdr:nvGrpSpPr>
      <xdr:grpSpPr>
        <a:xfrm>
          <a:off x="38099" y="28575"/>
          <a:ext cx="11706225" cy="1800226"/>
          <a:chOff x="200024" y="4499942"/>
          <a:chExt cx="8857420" cy="1915766"/>
        </a:xfrm>
      </xdr:grpSpPr>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25</xdr:col>
      <xdr:colOff>152400</xdr:colOff>
      <xdr:row>2</xdr:row>
      <xdr:rowOff>85722</xdr:rowOff>
    </xdr:from>
    <xdr:to>
      <xdr:col>27</xdr:col>
      <xdr:colOff>114300</xdr:colOff>
      <xdr:row>5</xdr:row>
      <xdr:rowOff>28360</xdr:rowOff>
    </xdr:to>
    <xdr:sp macro="" textlink="">
      <xdr:nvSpPr>
        <xdr:cNvPr id="2"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885825</xdr:colOff>
      <xdr:row>11</xdr:row>
      <xdr:rowOff>134591</xdr:rowOff>
    </xdr:to>
    <xdr:grpSp>
      <xdr:nvGrpSpPr>
        <xdr:cNvPr id="7" name="Group 6"/>
        <xdr:cNvGrpSpPr/>
      </xdr:nvGrpSpPr>
      <xdr:grpSpPr>
        <a:xfrm>
          <a:off x="0" y="0"/>
          <a:ext cx="11658600" cy="1915766"/>
          <a:chOff x="200024" y="4499942"/>
          <a:chExt cx="8857420" cy="1915766"/>
        </a:xfrm>
      </xdr:grpSpPr>
      <xdr:pic>
        <xdr:nvPicPr>
          <xdr:cNvPr id="8" name="Picture 7"/>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9" name="TextBox 8"/>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0" name="Rectangle 9"/>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25</xdr:col>
      <xdr:colOff>371475</xdr:colOff>
      <xdr:row>2</xdr:row>
      <xdr:rowOff>85722</xdr:rowOff>
    </xdr:from>
    <xdr:to>
      <xdr:col>27</xdr:col>
      <xdr:colOff>333375</xdr:colOff>
      <xdr:row>5</xdr:row>
      <xdr:rowOff>28360</xdr:rowOff>
    </xdr:to>
    <xdr:sp macro="" textlink="">
      <xdr:nvSpPr>
        <xdr:cNvPr id="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1019175</xdr:colOff>
      <xdr:row>12</xdr:row>
      <xdr:rowOff>95250</xdr:rowOff>
    </xdr:to>
    <xdr:grpSp>
      <xdr:nvGrpSpPr>
        <xdr:cNvPr id="9" name="Group 8"/>
        <xdr:cNvGrpSpPr/>
      </xdr:nvGrpSpPr>
      <xdr:grpSpPr>
        <a:xfrm>
          <a:off x="0" y="0"/>
          <a:ext cx="11677650" cy="2038350"/>
          <a:chOff x="200024" y="4499942"/>
          <a:chExt cx="8857420" cy="1915766"/>
        </a:xfrm>
      </xdr:grpSpPr>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19049</xdr:colOff>
      <xdr:row>0</xdr:row>
      <xdr:rowOff>0</xdr:rowOff>
    </xdr:from>
    <xdr:to>
      <xdr:col>9</xdr:col>
      <xdr:colOff>781049</xdr:colOff>
      <xdr:row>11</xdr:row>
      <xdr:rowOff>38100</xdr:rowOff>
    </xdr:to>
    <xdr:grpSp>
      <xdr:nvGrpSpPr>
        <xdr:cNvPr id="6" name="Group 5"/>
        <xdr:cNvGrpSpPr/>
      </xdr:nvGrpSpPr>
      <xdr:grpSpPr>
        <a:xfrm>
          <a:off x="19049" y="0"/>
          <a:ext cx="16487775" cy="1819275"/>
          <a:chOff x="200024" y="4499942"/>
          <a:chExt cx="9312502"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53</xdr:col>
      <xdr:colOff>54665</xdr:colOff>
      <xdr:row>10</xdr:row>
      <xdr:rowOff>21718</xdr:rowOff>
    </xdr:to>
    <xdr:grpSp>
      <xdr:nvGrpSpPr>
        <xdr:cNvPr id="15" name="Group 14"/>
        <xdr:cNvGrpSpPr/>
      </xdr:nvGrpSpPr>
      <xdr:grpSpPr>
        <a:xfrm>
          <a:off x="0" y="0"/>
          <a:ext cx="7015853" cy="1966406"/>
          <a:chOff x="200024" y="4499942"/>
          <a:chExt cx="8857420" cy="1915766"/>
        </a:xfrm>
      </xdr:grpSpPr>
      <xdr:pic>
        <xdr:nvPicPr>
          <xdr:cNvPr id="16" name="Picture 15"/>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7" name="TextBox 16"/>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8" name="Rectangle 17"/>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p>
          <a:p>
            <a:pPr algn="ctr" rtl="0"/>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Please wait as macro imports and formats your current tariff schedule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pic>
        <xdr:nvPicPr>
          <xdr:cNvPr id="19" name="Picture 1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editAs="absolute">
    <xdr:from>
      <xdr:col>53</xdr:col>
      <xdr:colOff>140803</xdr:colOff>
      <xdr:row>0</xdr:row>
      <xdr:rowOff>24847</xdr:rowOff>
    </xdr:from>
    <xdr:to>
      <xdr:col>60</xdr:col>
      <xdr:colOff>600074</xdr:colOff>
      <xdr:row>10</xdr:row>
      <xdr:rowOff>76200</xdr:rowOff>
    </xdr:to>
    <xdr:sp macro="" textlink="">
      <xdr:nvSpPr>
        <xdr:cNvPr id="2" name="Rounded Rectangle 1">
          <a:hlinkClick xmlns:r="http://schemas.openxmlformats.org/officeDocument/2006/relationships" r:id="rId3" tooltip="contact"/>
        </xdr:cNvPr>
        <xdr:cNvSpPr/>
      </xdr:nvSpPr>
      <xdr:spPr>
        <a:xfrm>
          <a:off x="7094053" y="24847"/>
          <a:ext cx="4707421" cy="1994453"/>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CA" sz="1100">
              <a:solidFill>
                <a:schemeClr val="tx1"/>
              </a:solidFill>
              <a:latin typeface="Arial" pitchFamily="34" charset="0"/>
              <a:cs typeface="Arial" pitchFamily="34" charset="0"/>
            </a:rPr>
            <a:t>Below is your 2018 OEB-approved Tariff of Rates and Charges. </a:t>
          </a:r>
          <a:r>
            <a:rPr lang="en-CA" sz="1100">
              <a:solidFill>
                <a:schemeClr val="tx1"/>
              </a:solidFill>
              <a:latin typeface="Arial" pitchFamily="34" charset="0"/>
              <a:ea typeface="+mn-ea"/>
              <a:cs typeface="Arial" pitchFamily="34" charset="0"/>
            </a:rPr>
            <a:t>Please review to ensure accuracy. Staff may have made changes to the rate class description and/or rate description to ensure consitency across all LDCs. </a:t>
          </a:r>
        </a:p>
        <a:p>
          <a:pPr marL="0" marR="0" indent="0" algn="l" defTabSz="914400" eaLnBrk="1" fontAlgn="auto" latinLnBrk="0" hangingPunct="1">
            <a:lnSpc>
              <a:spcPct val="100000"/>
            </a:lnSpc>
            <a:spcBef>
              <a:spcPts val="0"/>
            </a:spcBef>
            <a:spcAft>
              <a:spcPts val="0"/>
            </a:spcAft>
            <a:buClrTx/>
            <a:buSzTx/>
            <a:buFontTx/>
            <a:buNone/>
            <a:tabLst/>
            <a:defRPr/>
          </a:pPr>
          <a:endParaRPr lang="en-CA" sz="1100" baseline="0">
            <a:solidFill>
              <a:schemeClr val="tx1"/>
            </a:solidFill>
            <a:latin typeface="Arial" pitchFamily="34" charset="0"/>
            <a:cs typeface="Arial" pitchFamily="34" charset="0"/>
          </a:endParaRPr>
        </a:p>
        <a:p>
          <a:pPr algn="l"/>
          <a:r>
            <a:rPr lang="en-CA" sz="1100" baseline="0">
              <a:solidFill>
                <a:schemeClr val="tx1"/>
              </a:solidFill>
              <a:latin typeface="Arial" pitchFamily="34" charset="0"/>
              <a:cs typeface="Arial" pitchFamily="34" charset="0"/>
            </a:rPr>
            <a:t>Click on the checkbox to confirm the accuracy of tariff sheet below:</a:t>
          </a:r>
        </a:p>
        <a:p>
          <a:pPr algn="l"/>
          <a:endParaRPr lang="en-CA" sz="1100" baseline="0">
            <a:solidFill>
              <a:schemeClr val="tx1"/>
            </a:solidFill>
            <a:latin typeface="Arial" pitchFamily="34" charset="0"/>
            <a:cs typeface="Arial" pitchFamily="34" charset="0"/>
          </a:endParaRPr>
        </a:p>
        <a:p>
          <a:pPr algn="l"/>
          <a:r>
            <a:rPr lang="en-CA" sz="1100" baseline="0">
              <a:solidFill>
                <a:schemeClr val="tx1"/>
              </a:solidFill>
              <a:latin typeface="Arial" pitchFamily="34" charset="0"/>
              <a:cs typeface="Arial" pitchFamily="34" charset="0"/>
            </a:rPr>
            <a:t>If you have identified any discrepancies between this sheet and your approved tariff of rates and charges, please </a:t>
          </a:r>
          <a:r>
            <a:rPr lang="en-CA" sz="1100" baseline="0">
              <a:solidFill>
                <a:srgbClr val="0070C0"/>
              </a:solidFill>
              <a:latin typeface="Arial" pitchFamily="34" charset="0"/>
              <a:cs typeface="Arial" pitchFamily="34" charset="0"/>
            </a:rPr>
            <a:t>contact</a:t>
          </a:r>
          <a:r>
            <a:rPr lang="en-CA" sz="1100" baseline="0">
              <a:solidFill>
                <a:schemeClr val="tx1"/>
              </a:solidFill>
              <a:latin typeface="Arial" pitchFamily="34" charset="0"/>
              <a:cs typeface="Arial" pitchFamily="34" charset="0"/>
            </a:rPr>
            <a:t> the OEB.</a:t>
          </a:r>
          <a:endParaRPr lang="en-CA" sz="1200" baseline="0">
            <a:solidFill>
              <a:schemeClr val="tx1"/>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54</xdr:col>
          <xdr:colOff>581025</xdr:colOff>
          <xdr:row>5</xdr:row>
          <xdr:rowOff>104775</xdr:rowOff>
        </xdr:from>
        <xdr:to>
          <xdr:col>55</xdr:col>
          <xdr:colOff>295275</xdr:colOff>
          <xdr:row>6</xdr:row>
          <xdr:rowOff>171450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19050</xdr:rowOff>
    </xdr:from>
    <xdr:to>
      <xdr:col>8</xdr:col>
      <xdr:colOff>1066800</xdr:colOff>
      <xdr:row>10</xdr:row>
      <xdr:rowOff>39341</xdr:rowOff>
    </xdr:to>
    <xdr:grpSp>
      <xdr:nvGrpSpPr>
        <xdr:cNvPr id="8" name="Group 7"/>
        <xdr:cNvGrpSpPr/>
      </xdr:nvGrpSpPr>
      <xdr:grpSpPr>
        <a:xfrm>
          <a:off x="0" y="19050"/>
          <a:ext cx="13049250" cy="1925291"/>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0</xdr:row>
      <xdr:rowOff>0</xdr:rowOff>
    </xdr:from>
    <xdr:to>
      <xdr:col>10</xdr:col>
      <xdr:colOff>600075</xdr:colOff>
      <xdr:row>10</xdr:row>
      <xdr:rowOff>20291</xdr:rowOff>
    </xdr:to>
    <xdr:grpSp>
      <xdr:nvGrpSpPr>
        <xdr:cNvPr id="2" name="Group 1"/>
        <xdr:cNvGrpSpPr/>
      </xdr:nvGrpSpPr>
      <xdr:grpSpPr>
        <a:xfrm>
          <a:off x="1" y="0"/>
          <a:ext cx="9677399"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104774</xdr:colOff>
      <xdr:row>0</xdr:row>
      <xdr:rowOff>0</xdr:rowOff>
    </xdr:from>
    <xdr:to>
      <xdr:col>6</xdr:col>
      <xdr:colOff>152399</xdr:colOff>
      <xdr:row>9</xdr:row>
      <xdr:rowOff>20291</xdr:rowOff>
    </xdr:to>
    <xdr:grpSp>
      <xdr:nvGrpSpPr>
        <xdr:cNvPr id="9" name="Group 8"/>
        <xdr:cNvGrpSpPr/>
      </xdr:nvGrpSpPr>
      <xdr:grpSpPr>
        <a:xfrm>
          <a:off x="104774" y="0"/>
          <a:ext cx="11420475" cy="2001491"/>
          <a:chOff x="200024" y="4499942"/>
          <a:chExt cx="8857420" cy="1915766"/>
        </a:xfrm>
      </xdr:grpSpPr>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80</xdr:col>
          <xdr:colOff>66675</xdr:colOff>
          <xdr:row>0</xdr:row>
          <xdr:rowOff>85725</xdr:rowOff>
        </xdr:from>
        <xdr:to>
          <xdr:col>82</xdr:col>
          <xdr:colOff>333375</xdr:colOff>
          <xdr:row>3</xdr:row>
          <xdr:rowOff>76200</xdr:rowOff>
        </xdr:to>
        <xdr:sp macro="" textlink="">
          <xdr:nvSpPr>
            <xdr:cNvPr id="41985" name="Button 1" hidden="1">
              <a:extLst>
                <a:ext uri="{63B3BB69-23CF-44E3-9099-C40C66FF867C}">
                  <a14:compatExt spid="_x0000_s4198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Create Tariff in </a:t>
              </a:r>
            </a:p>
            <a:p>
              <a:pPr algn="ctr" rtl="0">
                <a:defRPr sz="1000"/>
              </a:pPr>
              <a:r>
                <a:rPr lang="en-US" sz="1200" b="1" i="0" u="none" strike="noStrike" baseline="0">
                  <a:solidFill>
                    <a:srgbClr val="000000"/>
                  </a:solidFill>
                  <a:latin typeface="Arial"/>
                  <a:cs typeface="Arial"/>
                </a:rPr>
                <a:t>Separate File</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16</xdr:col>
      <xdr:colOff>88543</xdr:colOff>
      <xdr:row>39</xdr:row>
      <xdr:rowOff>44530</xdr:rowOff>
    </xdr:from>
    <xdr:to>
      <xdr:col>18</xdr:col>
      <xdr:colOff>367002</xdr:colOff>
      <xdr:row>43</xdr:row>
      <xdr:rowOff>18676</xdr:rowOff>
    </xdr:to>
    <xdr:sp macro="" textlink="">
      <xdr:nvSpPr>
        <xdr:cNvPr id="9" name="TextBox 8"/>
        <xdr:cNvSpPr txBox="1"/>
      </xdr:nvSpPr>
      <xdr:spPr>
        <a:xfrm>
          <a:off x="14924011" y="6887695"/>
          <a:ext cx="1638292" cy="752475"/>
        </a:xfrm>
        <a:prstGeom prst="rect">
          <a:avLst/>
        </a:prstGeom>
        <a:solidFill>
          <a:srgbClr val="FFFF00"/>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CA" sz="1100"/>
        </a:p>
      </xdr:txBody>
    </xdr:sp>
    <xdr:clientData fPrintsWithSheet="0"/>
  </xdr:twoCellAnchor>
  <xdr:twoCellAnchor>
    <xdr:from>
      <xdr:col>2</xdr:col>
      <xdr:colOff>28575</xdr:colOff>
      <xdr:row>0</xdr:row>
      <xdr:rowOff>57150</xdr:rowOff>
    </xdr:from>
    <xdr:to>
      <xdr:col>13</xdr:col>
      <xdr:colOff>1438275</xdr:colOff>
      <xdr:row>8</xdr:row>
      <xdr:rowOff>1884</xdr:rowOff>
    </xdr:to>
    <xdr:pic>
      <xdr:nvPicPr>
        <xdr:cNvPr id="11" name="Picture 10"/>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 y="57150"/>
          <a:ext cx="13544550" cy="1421109"/>
        </a:xfrm>
        <a:prstGeom prst="rect">
          <a:avLst/>
        </a:prstGeom>
        <a:ln>
          <a:noFill/>
        </a:ln>
        <a:effectLst>
          <a:softEdge rad="112500"/>
        </a:effectLst>
      </xdr:spPr>
    </xdr:pic>
    <xdr:clientData/>
  </xdr:twoCellAnchor>
  <xdr:twoCellAnchor>
    <xdr:from>
      <xdr:col>2</xdr:col>
      <xdr:colOff>166475</xdr:colOff>
      <xdr:row>2</xdr:row>
      <xdr:rowOff>85254</xdr:rowOff>
    </xdr:from>
    <xdr:to>
      <xdr:col>10</xdr:col>
      <xdr:colOff>794085</xdr:colOff>
      <xdr:row>5</xdr:row>
      <xdr:rowOff>84843</xdr:rowOff>
    </xdr:to>
    <xdr:sp macro="" textlink="">
      <xdr:nvSpPr>
        <xdr:cNvPr id="12" name="Rectangle 11"/>
        <xdr:cNvSpPr/>
      </xdr:nvSpPr>
      <xdr:spPr>
        <a:xfrm>
          <a:off x="166475" y="466254"/>
          <a:ext cx="8609560" cy="57108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3</xdr:col>
      <xdr:colOff>16357</xdr:colOff>
      <xdr:row>1</xdr:row>
      <xdr:rowOff>6409</xdr:rowOff>
    </xdr:from>
    <xdr:to>
      <xdr:col>3</xdr:col>
      <xdr:colOff>407593</xdr:colOff>
      <xdr:row>3</xdr:row>
      <xdr:rowOff>20475</xdr:rowOff>
    </xdr:to>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35432" y="196909"/>
          <a:ext cx="391236" cy="395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358613</xdr:colOff>
      <xdr:row>0</xdr:row>
      <xdr:rowOff>165301</xdr:rowOff>
    </xdr:from>
    <xdr:to>
      <xdr:col>4</xdr:col>
      <xdr:colOff>640216</xdr:colOff>
      <xdr:row>2</xdr:row>
      <xdr:rowOff>135597</xdr:rowOff>
    </xdr:to>
    <xdr:sp macro="" textlink="">
      <xdr:nvSpPr>
        <xdr:cNvPr id="14" name="Rectangle 13"/>
        <xdr:cNvSpPr/>
      </xdr:nvSpPr>
      <xdr:spPr>
        <a:xfrm>
          <a:off x="577688" y="165301"/>
          <a:ext cx="2596178" cy="351296"/>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editAs="absolute">
    <xdr:from>
      <xdr:col>16</xdr:col>
      <xdr:colOff>66318</xdr:colOff>
      <xdr:row>28</xdr:row>
      <xdr:rowOff>611531</xdr:rowOff>
    </xdr:from>
    <xdr:to>
      <xdr:col>18</xdr:col>
      <xdr:colOff>346458</xdr:colOff>
      <xdr:row>37</xdr:row>
      <xdr:rowOff>185894</xdr:rowOff>
    </xdr:to>
    <xdr:sp macro="" textlink="">
      <xdr:nvSpPr>
        <xdr:cNvPr id="10" name="TextBox 9"/>
        <xdr:cNvSpPr txBox="1"/>
      </xdr:nvSpPr>
      <xdr:spPr>
        <a:xfrm>
          <a:off x="14910501" y="4620498"/>
          <a:ext cx="1644332" cy="2065679"/>
        </a:xfrm>
        <a:prstGeom prst="rect">
          <a:avLst/>
        </a:prstGeom>
        <a:solidFill>
          <a:srgbClr val="FFFF00"/>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b="1">
              <a:latin typeface="Arial" pitchFamily="34" charset="0"/>
              <a:cs typeface="Arial" pitchFamily="34" charset="0"/>
            </a:rPr>
            <a:t>Once</a:t>
          </a:r>
          <a:r>
            <a:rPr lang="en-CA" sz="1100" b="1" baseline="0">
              <a:latin typeface="Arial" pitchFamily="34" charset="0"/>
              <a:cs typeface="Arial" pitchFamily="34" charset="0"/>
            </a:rPr>
            <a:t> all applicable cells in Table 1 have been entered, click on the UPDATE Button below to generate the associated detailed Bill Impact charts.</a:t>
          </a:r>
        </a:p>
        <a:p>
          <a:pPr algn="ctr"/>
          <a:endParaRPr lang="en-CA" sz="1100"/>
        </a:p>
      </xdr:txBody>
    </xdr:sp>
    <xdr:clientData fPrintsWithSheet="0"/>
  </xdr:twoCellAnchor>
  <mc:AlternateContent xmlns:mc="http://schemas.openxmlformats.org/markup-compatibility/2006">
    <mc:Choice xmlns:a14="http://schemas.microsoft.com/office/drawing/2010/main" Requires="a14">
      <xdr:twoCellAnchor editAs="absolute">
        <xdr:from>
          <xdr:col>16</xdr:col>
          <xdr:colOff>352425</xdr:colOff>
          <xdr:row>35</xdr:row>
          <xdr:rowOff>171450</xdr:rowOff>
        </xdr:from>
        <xdr:to>
          <xdr:col>18</xdr:col>
          <xdr:colOff>123825</xdr:colOff>
          <xdr:row>37</xdr:row>
          <xdr:rowOff>57150</xdr:rowOff>
        </xdr:to>
        <xdr:sp macro="" textlink="">
          <xdr:nvSpPr>
            <xdr:cNvPr id="40963" name="Button 3" hidden="1">
              <a:extLst>
                <a:ext uri="{63B3BB69-23CF-44E3-9099-C40C66FF867C}">
                  <a14:compatExt spid="_x0000_s4096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UPDATE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361950</xdr:colOff>
          <xdr:row>39</xdr:row>
          <xdr:rowOff>114300</xdr:rowOff>
        </xdr:from>
        <xdr:to>
          <xdr:col>18</xdr:col>
          <xdr:colOff>95250</xdr:colOff>
          <xdr:row>42</xdr:row>
          <xdr:rowOff>171450</xdr:rowOff>
        </xdr:to>
        <xdr:sp macro="" textlink="">
          <xdr:nvSpPr>
            <xdr:cNvPr id="40964" name="Button 4" hidden="1">
              <a:extLst>
                <a:ext uri="{63B3BB69-23CF-44E3-9099-C40C66FF867C}">
                  <a14:compatExt spid="_x0000_s4096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rPr>
                <a:t>Click Here to Save Your Additional Scenarios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126996</xdr:colOff>
      <xdr:row>0</xdr:row>
      <xdr:rowOff>0</xdr:rowOff>
    </xdr:from>
    <xdr:to>
      <xdr:col>3</xdr:col>
      <xdr:colOff>698496</xdr:colOff>
      <xdr:row>11</xdr:row>
      <xdr:rowOff>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26996" y="0"/>
          <a:ext cx="6572250" cy="1905000"/>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xdr:cNvSpPr/>
      </xdr:nvSpPr>
      <xdr:spPr>
        <a:xfrm>
          <a:off x="71158" y="661778"/>
          <a:ext cx="6329642" cy="51259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rtl="0"/>
          <a:r>
            <a:rPr lang="en-CA" sz="2800" b="1" i="0" baseline="0">
              <a:effectLst>
                <a:outerShdw blurRad="50800" dist="38100" algn="tr" rotWithShape="0">
                  <a:prstClr val="black">
                    <a:alpha val="40000"/>
                  </a:prstClr>
                </a:outerShdw>
              </a:effectLst>
              <a:latin typeface="+mn-lt"/>
              <a:ea typeface="+mn-ea"/>
              <a:cs typeface="+mn-cs"/>
            </a:rPr>
            <a:t>Incentive Regulation Model for 2019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5317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xdr:cNvSpPr/>
      </xdr:nvSpPr>
      <xdr:spPr>
        <a:xfrm>
          <a:off x="470171" y="122923"/>
          <a:ext cx="2583214" cy="34577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mc:AlternateContent xmlns:mc="http://schemas.openxmlformats.org/markup-compatibility/2006">
    <mc:Choice xmlns:a14="http://schemas.microsoft.com/office/drawing/2010/main" Requires="a14">
      <xdr:twoCellAnchor editAs="absolute">
        <xdr:from>
          <xdr:col>71</xdr:col>
          <xdr:colOff>47625</xdr:colOff>
          <xdr:row>32</xdr:row>
          <xdr:rowOff>19050</xdr:rowOff>
        </xdr:from>
        <xdr:to>
          <xdr:col>71</xdr:col>
          <xdr:colOff>1581150</xdr:colOff>
          <xdr:row>33</xdr:row>
          <xdr:rowOff>9525</xdr:rowOff>
        </xdr:to>
        <xdr:sp macro="" textlink="">
          <xdr:nvSpPr>
            <xdr:cNvPr id="76806" name="Check Box 6" hidden="1">
              <a:extLst>
                <a:ext uri="{63B3BB69-23CF-44E3-9099-C40C66FF867C}">
                  <a14:compatExt spid="_x0000_s7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71</xdr:col>
          <xdr:colOff>57150</xdr:colOff>
          <xdr:row>34</xdr:row>
          <xdr:rowOff>19050</xdr:rowOff>
        </xdr:from>
        <xdr:to>
          <xdr:col>71</xdr:col>
          <xdr:colOff>1600200</xdr:colOff>
          <xdr:row>34</xdr:row>
          <xdr:rowOff>209550</xdr:rowOff>
        </xdr:to>
        <xdr:sp macro="" textlink="">
          <xdr:nvSpPr>
            <xdr:cNvPr id="76807" name="Check Box 7" hidden="1">
              <a:extLst>
                <a:ext uri="{63B3BB69-23CF-44E3-9099-C40C66FF867C}">
                  <a14:compatExt spid="_x0000_s7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71</xdr:col>
          <xdr:colOff>47625</xdr:colOff>
          <xdr:row>33</xdr:row>
          <xdr:rowOff>28575</xdr:rowOff>
        </xdr:from>
        <xdr:to>
          <xdr:col>71</xdr:col>
          <xdr:colOff>1581150</xdr:colOff>
          <xdr:row>33</xdr:row>
          <xdr:rowOff>209550</xdr:rowOff>
        </xdr:to>
        <xdr:sp macro="" textlink="">
          <xdr:nvSpPr>
            <xdr:cNvPr id="76808" name="Check Box 8" hidden="1">
              <a:extLst>
                <a:ext uri="{63B3BB69-23CF-44E3-9099-C40C66FF867C}">
                  <a14:compatExt spid="_x0000_s7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71</xdr:col>
          <xdr:colOff>76200</xdr:colOff>
          <xdr:row>36</xdr:row>
          <xdr:rowOff>419100</xdr:rowOff>
        </xdr:from>
        <xdr:to>
          <xdr:col>71</xdr:col>
          <xdr:colOff>1609725</xdr:colOff>
          <xdr:row>37</xdr:row>
          <xdr:rowOff>38100</xdr:rowOff>
        </xdr:to>
        <xdr:sp macro="" textlink="">
          <xdr:nvSpPr>
            <xdr:cNvPr id="76809" name="Check Box 9" hidden="1">
              <a:extLst>
                <a:ext uri="{63B3BB69-23CF-44E3-9099-C40C66FF867C}">
                  <a14:compatExt spid="_x0000_s7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71</xdr:col>
          <xdr:colOff>28575</xdr:colOff>
          <xdr:row>30</xdr:row>
          <xdr:rowOff>28575</xdr:rowOff>
        </xdr:from>
        <xdr:to>
          <xdr:col>71</xdr:col>
          <xdr:colOff>1552575</xdr:colOff>
          <xdr:row>31</xdr:row>
          <xdr:rowOff>28575</xdr:rowOff>
        </xdr:to>
        <xdr:sp macro="" textlink="">
          <xdr:nvSpPr>
            <xdr:cNvPr id="76810" name="Check Box 10" hidden="1">
              <a:extLst>
                <a:ext uri="{63B3BB69-23CF-44E3-9099-C40C66FF867C}">
                  <a14:compatExt spid="_x0000_s7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71</xdr:col>
          <xdr:colOff>38100</xdr:colOff>
          <xdr:row>31</xdr:row>
          <xdr:rowOff>9525</xdr:rowOff>
        </xdr:from>
        <xdr:to>
          <xdr:col>71</xdr:col>
          <xdr:colOff>1562100</xdr:colOff>
          <xdr:row>32</xdr:row>
          <xdr:rowOff>0</xdr:rowOff>
        </xdr:to>
        <xdr:sp macro="" textlink="">
          <xdr:nvSpPr>
            <xdr:cNvPr id="76811" name="Check Box 11" hidden="1">
              <a:extLst>
                <a:ext uri="{63B3BB69-23CF-44E3-9099-C40C66FF867C}">
                  <a14:compatExt spid="_x0000_s7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xdr:twoCellAnchor>
    <xdr:from>
      <xdr:col>70</xdr:col>
      <xdr:colOff>504786</xdr:colOff>
      <xdr:row>11</xdr:row>
      <xdr:rowOff>255058</xdr:rowOff>
    </xdr:from>
    <xdr:to>
      <xdr:col>73</xdr:col>
      <xdr:colOff>160825</xdr:colOff>
      <xdr:row>14</xdr:row>
      <xdr:rowOff>683682</xdr:rowOff>
    </xdr:to>
    <xdr:sp macro="" textlink="">
      <xdr:nvSpPr>
        <xdr:cNvPr id="24" name="Rounded Rectangle 23"/>
        <xdr:cNvSpPr/>
      </xdr:nvSpPr>
      <xdr:spPr>
        <a:xfrm>
          <a:off x="81551953" y="2160058"/>
          <a:ext cx="5371039" cy="245004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CA" sz="1200">
              <a:solidFill>
                <a:schemeClr val="dk1"/>
              </a:solidFill>
              <a:effectLst/>
              <a:latin typeface="Arial" panose="020B0604020202020204" pitchFamily="34" charset="0"/>
              <a:ea typeface="+mn-ea"/>
              <a:cs typeface="Arial" panose="020B0604020202020204" pitchFamily="34" charset="0"/>
            </a:rPr>
            <a:t>If you had</a:t>
          </a:r>
          <a:r>
            <a:rPr lang="en-CA" sz="1200" baseline="0">
              <a:solidFill>
                <a:schemeClr val="dk1"/>
              </a:solidFill>
              <a:effectLst/>
              <a:latin typeface="Arial" panose="020B0604020202020204" pitchFamily="34" charset="0"/>
              <a:ea typeface="+mn-ea"/>
              <a:cs typeface="Arial" panose="020B0604020202020204" pitchFamily="34" charset="0"/>
            </a:rPr>
            <a:t> any customers classified as Class A at any point during the period where Account 1580, sub-account CBR Class B balance accumulated (i.e. 2017 or 2017 to 2016 or 2015 to 2017), check off the checkbox.</a:t>
          </a:r>
          <a:endParaRPr lang="en-CA" sz="1200">
            <a:effectLst/>
            <a:latin typeface="Arial" panose="020B0604020202020204" pitchFamily="34" charset="0"/>
            <a:cs typeface="Arial" panose="020B0604020202020204" pitchFamily="34" charset="0"/>
          </a:endParaRP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had Class A customer(s) during this period, Tab 6.2 will be generated. Account 1580, sub-account CBR Class B will be disposed through a separate rate rider calculated in Tab 6.2.</a:t>
          </a: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only had Class B customers during this period, the balance in 1580 sub-account CBR Class B will be allocated and disposed with Account 1580 WMS.</a:t>
          </a:r>
          <a:endParaRPr lang="en-CA" sz="1200">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70</xdr:col>
          <xdr:colOff>1514475</xdr:colOff>
          <xdr:row>12</xdr:row>
          <xdr:rowOff>142875</xdr:rowOff>
        </xdr:from>
        <xdr:to>
          <xdr:col>71</xdr:col>
          <xdr:colOff>161925</xdr:colOff>
          <xdr:row>12</xdr:row>
          <xdr:rowOff>390525</xdr:rowOff>
        </xdr:to>
        <xdr:sp macro="" textlink="">
          <xdr:nvSpPr>
            <xdr:cNvPr id="76816" name="Check Box 16" hidden="1">
              <a:extLst>
                <a:ext uri="{63B3BB69-23CF-44E3-9099-C40C66FF867C}">
                  <a14:compatExt spid="_x0000_s76816"/>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71</xdr:col>
          <xdr:colOff>66675</xdr:colOff>
          <xdr:row>35</xdr:row>
          <xdr:rowOff>47625</xdr:rowOff>
        </xdr:from>
        <xdr:to>
          <xdr:col>71</xdr:col>
          <xdr:colOff>1609725</xdr:colOff>
          <xdr:row>36</xdr:row>
          <xdr:rowOff>9525</xdr:rowOff>
        </xdr:to>
        <xdr:sp macro="" textlink="">
          <xdr:nvSpPr>
            <xdr:cNvPr id="76817" name="Check Box 17" hidden="1">
              <a:extLst>
                <a:ext uri="{63B3BB69-23CF-44E3-9099-C40C66FF867C}">
                  <a14:compatExt spid="_x0000_s7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Check to Dispose of Account</a:t>
              </a:r>
            </a:p>
          </xdr:txBody>
        </xdr:sp>
        <xdr:clientData/>
      </xdr:twoCellAnchor>
    </mc:Choice>
    <mc:Fallback/>
  </mc:AlternateContent>
  <xdr:twoCellAnchor>
    <xdr:from>
      <xdr:col>66</xdr:col>
      <xdr:colOff>857251</xdr:colOff>
      <xdr:row>11</xdr:row>
      <xdr:rowOff>265642</xdr:rowOff>
    </xdr:from>
    <xdr:to>
      <xdr:col>70</xdr:col>
      <xdr:colOff>171185</xdr:colOff>
      <xdr:row>14</xdr:row>
      <xdr:rowOff>28575</xdr:rowOff>
    </xdr:to>
    <xdr:sp macro="" textlink="">
      <xdr:nvSpPr>
        <xdr:cNvPr id="22" name="Rounded Rectangle 21"/>
        <xdr:cNvSpPr/>
      </xdr:nvSpPr>
      <xdr:spPr>
        <a:xfrm>
          <a:off x="75952351" y="2189692"/>
          <a:ext cx="5171809" cy="1782233"/>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a:solidFill>
              <a:schemeClr val="tx1"/>
            </a:solidFill>
            <a:latin typeface="Arial" pitchFamily="34" charset="0"/>
            <a:cs typeface="Arial" pitchFamily="34" charset="0"/>
          </a:endParaRPr>
        </a:p>
        <a:p>
          <a:pPr algn="l"/>
          <a:r>
            <a:rPr lang="en-CA" sz="1200">
              <a:solidFill>
                <a:schemeClr val="tx1"/>
              </a:solidFill>
              <a:latin typeface="Arial" pitchFamily="34" charset="0"/>
              <a:cs typeface="Arial" pitchFamily="34" charset="0"/>
            </a:rPr>
            <a:t>If you had any Class A customers at any point during the period that the Account 1589 GA balance accumulated (i.e. from the year the balance was last disposed to 2017), check off the checkbox.</a:t>
          </a:r>
        </a:p>
        <a:p>
          <a:pPr algn="l"/>
          <a:endParaRPr lang="en-CA" sz="1200" baseline="0">
            <a:solidFill>
              <a:schemeClr val="tx1"/>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Arial" pitchFamily="34" charset="0"/>
              <a:cs typeface="Arial" pitchFamily="34" charset="0"/>
            </a:rPr>
            <a:t>If you had Class A customer(s) during this period, Tab 6 will be generated and applicants must complete the information pertaining to Class A customers.</a:t>
          </a:r>
        </a:p>
        <a:p>
          <a:pPr algn="l"/>
          <a:endParaRPr lang="en-CA" sz="1200" baseline="0">
            <a:solidFill>
              <a:schemeClr val="tx1"/>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69</xdr:col>
          <xdr:colOff>1104900</xdr:colOff>
          <xdr:row>12</xdr:row>
          <xdr:rowOff>76200</xdr:rowOff>
        </xdr:from>
        <xdr:to>
          <xdr:col>69</xdr:col>
          <xdr:colOff>1409700</xdr:colOff>
          <xdr:row>12</xdr:row>
          <xdr:rowOff>361950</xdr:rowOff>
        </xdr:to>
        <xdr:sp macro="" textlink="">
          <xdr:nvSpPr>
            <xdr:cNvPr id="76818" name="Check Box 18" hidden="1">
              <a:extLst>
                <a:ext uri="{63B3BB69-23CF-44E3-9099-C40C66FF867C}">
                  <a14:compatExt spid="_x0000_s76818"/>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970720</xdr:colOff>
      <xdr:row>10</xdr:row>
      <xdr:rowOff>29816</xdr:rowOff>
    </xdr:to>
    <xdr:grpSp>
      <xdr:nvGrpSpPr>
        <xdr:cNvPr id="8" name="Group 7"/>
        <xdr:cNvGrpSpPr/>
      </xdr:nvGrpSpPr>
      <xdr:grpSpPr>
        <a:xfrm>
          <a:off x="0" y="9525"/>
          <a:ext cx="8857420" cy="197291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editAs="absolute">
    <xdr:from>
      <xdr:col>5</xdr:col>
      <xdr:colOff>1158154</xdr:colOff>
      <xdr:row>0</xdr:row>
      <xdr:rowOff>114301</xdr:rowOff>
    </xdr:from>
    <xdr:to>
      <xdr:col>9</xdr:col>
      <xdr:colOff>227301</xdr:colOff>
      <xdr:row>9</xdr:row>
      <xdr:rowOff>91786</xdr:rowOff>
    </xdr:to>
    <xdr:sp macro="" textlink="">
      <xdr:nvSpPr>
        <xdr:cNvPr id="14" name="Rounded Rectangle 13">
          <a:hlinkClick xmlns:r="http://schemas.openxmlformats.org/officeDocument/2006/relationships" r:id="rId3"/>
        </xdr:cNvPr>
        <xdr:cNvSpPr/>
      </xdr:nvSpPr>
      <xdr:spPr>
        <a:xfrm>
          <a:off x="9048751" y="114301"/>
          <a:ext cx="3809999" cy="176905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200">
              <a:solidFill>
                <a:schemeClr val="tx1"/>
              </a:solidFill>
              <a:latin typeface="Arial" pitchFamily="34" charset="0"/>
              <a:cs typeface="Arial" pitchFamily="34" charset="0"/>
            </a:rPr>
            <a:t>Data on this worksheet has been populated using your most recent RRR filing.</a:t>
          </a:r>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a:p>
          <a:pPr algn="l"/>
          <a:r>
            <a:rPr lang="en-CA" sz="1200" baseline="0">
              <a:solidFill>
                <a:schemeClr val="tx1"/>
              </a:solidFill>
              <a:latin typeface="Arial" pitchFamily="34" charset="0"/>
              <a:cs typeface="Arial" pitchFamily="34" charset="0"/>
            </a:rPr>
            <a:t>Click on the checkbox to confirm the accuracy of the data below:</a:t>
          </a:r>
        </a:p>
        <a:p>
          <a:pPr algn="l"/>
          <a:endParaRPr lang="en-CA" sz="1200" baseline="0">
            <a:solidFill>
              <a:schemeClr val="tx1"/>
            </a:solidFill>
            <a:latin typeface="Arial" pitchFamily="34" charset="0"/>
            <a:cs typeface="Arial" pitchFamily="34" charset="0"/>
          </a:endParaRPr>
        </a:p>
        <a:p>
          <a:pPr algn="l"/>
          <a:r>
            <a:rPr lang="en-CA" sz="1200" baseline="0">
              <a:solidFill>
                <a:schemeClr val="tx1"/>
              </a:solidFill>
              <a:latin typeface="Arial" pitchFamily="34" charset="0"/>
              <a:cs typeface="Arial" pitchFamily="34" charset="0"/>
            </a:rPr>
            <a:t>If you have identified any issues, please </a:t>
          </a:r>
          <a:r>
            <a:rPr lang="en-CA" sz="1200" baseline="0">
              <a:solidFill>
                <a:srgbClr val="0070C0"/>
              </a:solidFill>
              <a:latin typeface="Arial" pitchFamily="34" charset="0"/>
              <a:cs typeface="Arial" pitchFamily="34" charset="0"/>
            </a:rPr>
            <a:t>contact</a:t>
          </a:r>
          <a:r>
            <a:rPr lang="en-CA" sz="1200" baseline="0">
              <a:solidFill>
                <a:schemeClr val="tx1"/>
              </a:solidFill>
              <a:latin typeface="Arial" pitchFamily="34" charset="0"/>
              <a:cs typeface="Arial" pitchFamily="34" charset="0"/>
            </a:rPr>
            <a:t> the OEB.  </a:t>
          </a:r>
        </a:p>
      </xdr:txBody>
    </xdr:sp>
    <xdr:clientData/>
  </xdr:twoCellAnchor>
  <mc:AlternateContent xmlns:mc="http://schemas.openxmlformats.org/markup-compatibility/2006">
    <mc:Choice xmlns:a14="http://schemas.microsoft.com/office/drawing/2010/main" Requires="a14">
      <xdr:twoCellAnchor editAs="absolute">
        <xdr:from>
          <xdr:col>7</xdr:col>
          <xdr:colOff>28575</xdr:colOff>
          <xdr:row>5</xdr:row>
          <xdr:rowOff>9525</xdr:rowOff>
        </xdr:from>
        <xdr:to>
          <xdr:col>7</xdr:col>
          <xdr:colOff>333375</xdr:colOff>
          <xdr:row>5</xdr:row>
          <xdr:rowOff>123825</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xdr:twoCellAnchor editAs="absolute">
    <xdr:from>
      <xdr:col>9</xdr:col>
      <xdr:colOff>638174</xdr:colOff>
      <xdr:row>0</xdr:row>
      <xdr:rowOff>152400</xdr:rowOff>
    </xdr:from>
    <xdr:to>
      <xdr:col>21</xdr:col>
      <xdr:colOff>571500</xdr:colOff>
      <xdr:row>9</xdr:row>
      <xdr:rowOff>180975</xdr:rowOff>
    </xdr:to>
    <xdr:sp macro="" textlink="">
      <xdr:nvSpPr>
        <xdr:cNvPr id="15" name="Rounded Rectangle 14">
          <a:hlinkClick xmlns:r="http://schemas.openxmlformats.org/officeDocument/2006/relationships" r:id="rId3"/>
        </xdr:cNvPr>
        <xdr:cNvSpPr/>
      </xdr:nvSpPr>
      <xdr:spPr>
        <a:xfrm>
          <a:off x="13268324" y="152400"/>
          <a:ext cx="6096001" cy="178117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200">
              <a:solidFill>
                <a:schemeClr val="tx1"/>
              </a:solidFill>
              <a:latin typeface="Arial" pitchFamily="34" charset="0"/>
              <a:cs typeface="Arial" pitchFamily="34" charset="0"/>
            </a:rPr>
            <a:t>If a distributor uses the actual GA price to bill non-RPP Class B customers for an entire rate class, it must exclude these customers from the allocation of the GA balance and the calculation of the resulting rate riders. These rate classes are not to be charged/refunded the general GA rate rider as they did not contribute to the GA balance.</a:t>
          </a:r>
          <a:r>
            <a:rPr lang="en-CA" sz="1200" baseline="0">
              <a:solidFill>
                <a:schemeClr val="tx1"/>
              </a:solidFill>
              <a:latin typeface="Arial" pitchFamily="34" charset="0"/>
              <a:cs typeface="Arial" pitchFamily="34" charset="0"/>
            </a:rPr>
            <a:t> </a:t>
          </a:r>
        </a:p>
        <a:p>
          <a:pPr algn="l"/>
          <a:endParaRPr lang="en-CA" sz="1200" baseline="0">
            <a:solidFill>
              <a:schemeClr val="tx1"/>
            </a:solidFill>
            <a:latin typeface="Arial" pitchFamily="34" charset="0"/>
            <a:cs typeface="Arial" pitchFamily="34" charset="0"/>
          </a:endParaRPr>
        </a:p>
        <a:p>
          <a:pPr algn="l"/>
          <a:r>
            <a:rPr lang="en-CA" sz="1200" baseline="0">
              <a:solidFill>
                <a:schemeClr val="tx1"/>
              </a:solidFill>
              <a:latin typeface="Arial" pitchFamily="34" charset="0"/>
              <a:cs typeface="Arial" pitchFamily="34" charset="0"/>
            </a:rPr>
            <a:t>Please </a:t>
          </a:r>
          <a:r>
            <a:rPr lang="en-CA" sz="1200" baseline="0">
              <a:solidFill>
                <a:srgbClr val="0070C0"/>
              </a:solidFill>
              <a:latin typeface="Arial" pitchFamily="34" charset="0"/>
              <a:cs typeface="Arial" pitchFamily="34" charset="0"/>
            </a:rPr>
            <a:t>contact</a:t>
          </a:r>
          <a:r>
            <a:rPr lang="en-CA" sz="1200" baseline="0">
              <a:solidFill>
                <a:schemeClr val="tx1"/>
              </a:solidFill>
              <a:latin typeface="Arial" pitchFamily="34" charset="0"/>
              <a:cs typeface="Arial" pitchFamily="34" charset="0"/>
            </a:rPr>
            <a:t> the OEB to make adjustments to the IRM rate generator for this situation.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967545</xdr:colOff>
      <xdr:row>10</xdr:row>
      <xdr:rowOff>42516</xdr:rowOff>
    </xdr:to>
    <xdr:grpSp>
      <xdr:nvGrpSpPr>
        <xdr:cNvPr id="2" name="Group 1"/>
        <xdr:cNvGrpSpPr/>
      </xdr:nvGrpSpPr>
      <xdr:grpSpPr>
        <a:xfrm>
          <a:off x="0" y="31750"/>
          <a:ext cx="10416345"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4</xdr:col>
      <xdr:colOff>1276350</xdr:colOff>
      <xdr:row>11</xdr:row>
      <xdr:rowOff>47624</xdr:rowOff>
    </xdr:to>
    <xdr:grpSp>
      <xdr:nvGrpSpPr>
        <xdr:cNvPr id="2" name="Group 1"/>
        <xdr:cNvGrpSpPr/>
      </xdr:nvGrpSpPr>
      <xdr:grpSpPr>
        <a:xfrm>
          <a:off x="1" y="0"/>
          <a:ext cx="11449049" cy="2143124"/>
          <a:chOff x="200024" y="4499942"/>
          <a:chExt cx="8891405"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xdr:cNvSpPr txBox="1"/>
        </xdr:nvSpPr>
        <xdr:spPr>
          <a:xfrm>
            <a:off x="460952" y="526194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46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3</xdr:col>
          <xdr:colOff>504825</xdr:colOff>
          <xdr:row>24</xdr:row>
          <xdr:rowOff>28575</xdr:rowOff>
        </xdr:from>
        <xdr:to>
          <xdr:col>3</xdr:col>
          <xdr:colOff>2219325</xdr:colOff>
          <xdr:row>25</xdr:row>
          <xdr:rowOff>0</xdr:rowOff>
        </xdr:to>
        <xdr:sp macro="" textlink="">
          <xdr:nvSpPr>
            <xdr:cNvPr id="79877" name="Button 5" hidden="1">
              <a:extLst>
                <a:ext uri="{63B3BB69-23CF-44E3-9099-C40C66FF867C}">
                  <a14:compatExt spid="_x0000_s798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476250</xdr:colOff>
          <xdr:row>486</xdr:row>
          <xdr:rowOff>180975</xdr:rowOff>
        </xdr:from>
        <xdr:to>
          <xdr:col>3</xdr:col>
          <xdr:colOff>2190750</xdr:colOff>
          <xdr:row>486</xdr:row>
          <xdr:rowOff>533400</xdr:rowOff>
        </xdr:to>
        <xdr:sp macro="" textlink="">
          <xdr:nvSpPr>
            <xdr:cNvPr id="79878" name="Button 6" hidden="1">
              <a:extLst>
                <a:ext uri="{63B3BB69-23CF-44E3-9099-C40C66FF867C}">
                  <a14:compatExt spid="_x0000_s7987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Clear All</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1828800</xdr:colOff>
      <xdr:row>10</xdr:row>
      <xdr:rowOff>133350</xdr:rowOff>
    </xdr:to>
    <xdr:grpSp>
      <xdr:nvGrpSpPr>
        <xdr:cNvPr id="2" name="Group 1"/>
        <xdr:cNvGrpSpPr/>
      </xdr:nvGrpSpPr>
      <xdr:grpSpPr>
        <a:xfrm>
          <a:off x="1" y="0"/>
          <a:ext cx="8515349" cy="2038350"/>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104774</xdr:colOff>
      <xdr:row>10</xdr:row>
      <xdr:rowOff>619126</xdr:rowOff>
    </xdr:to>
    <xdr:grpSp>
      <xdr:nvGrpSpPr>
        <xdr:cNvPr id="2" name="Group 1"/>
        <xdr:cNvGrpSpPr/>
      </xdr:nvGrpSpPr>
      <xdr:grpSpPr>
        <a:xfrm>
          <a:off x="0" y="1"/>
          <a:ext cx="10839449" cy="2076450"/>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21166</xdr:colOff>
      <xdr:row>12</xdr:row>
      <xdr:rowOff>186266</xdr:rowOff>
    </xdr:to>
    <xdr:grpSp>
      <xdr:nvGrpSpPr>
        <xdr:cNvPr id="2" name="Group 1"/>
        <xdr:cNvGrpSpPr/>
      </xdr:nvGrpSpPr>
      <xdr:grpSpPr>
        <a:xfrm>
          <a:off x="0" y="0"/>
          <a:ext cx="10689166" cy="24722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2019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sers\AbramoMa\Downloads\2016_Filing_Requirements_Chapter2_Appendices_DRAFT%20(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ramoMa\Downloads\2016_Filing_Requirements_Chapter2_Appendices_DRAFT%20(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anmohsi\AppData\Local\Microsoft\Windows\Temporary%20Internet%20Files\Content.Outlook\O0R69CL9\Users\AbramoMa\Downloads\2016_Filing_Requirements_Chapter2_Appendices_DRAFT%20(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FPS02\Groups\Wangka\%7bprofile%7d\Desktop\Home\Market%20Operations\Department%20Applications\Reports\Rates\Electricity%20Rates%20-%20Billing%20Determinants%20Database\2012%20IRM%20DEVELOPMENT\2012%20IRM%20MODEL%20(2ND%20AND%203R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16,%202016%20-%20Master_KW.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6,%202016%20-%20Mast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_OEB_Module\2016_IRM_RateGen_Model_blankmodel%20-%20Serguei%20-%20Cop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April%2029,%202016%20-%20Master.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Test%20Models\Test_Orillia_2016_IRM_Rate%20Generator_February%204%20CONFIDENTIAL.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anmohsi\AppData\Local\Microsoft\Windows\Temporary%20Internet%20Files\Content.Outlook\O0R69CL9\2018_IRM_RateGen_Model_V2.6_RRR.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FPS02\Groups\Wangka\%7bprofile%7d\Desktop\Applications%20Department\Department%20Applications\Rates\2013%20Electricity%20Rates\$Models\Final%202013%20IRM%20R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Corporation</v>
          </cell>
        </row>
        <row r="7">
          <cell r="AA7" t="str">
            <v>Brant County Power Inc.</v>
          </cell>
        </row>
        <row r="8">
          <cell r="AA8" t="str">
            <v>Brantford Power Inc.</v>
          </cell>
        </row>
        <row r="9">
          <cell r="AA9" t="str">
            <v>Burlington Hydro Inc.</v>
          </cell>
        </row>
        <row r="10">
          <cell r="AA10" t="str">
            <v>Cambridge and North Dumfries Hydro Inc.</v>
          </cell>
        </row>
        <row r="11">
          <cell r="AA11" t="str">
            <v>Canadian Niagara Power Inc.</v>
          </cell>
        </row>
        <row r="12">
          <cell r="AA12" t="str">
            <v>Centre Wellington Hydro Ltd.</v>
          </cell>
        </row>
        <row r="13">
          <cell r="AA13" t="str">
            <v>Chapleau Public Utilities Corporation</v>
          </cell>
        </row>
        <row r="14">
          <cell r="AA14" t="str">
            <v>COLLUS PowerStream Corp.</v>
          </cell>
        </row>
        <row r="15">
          <cell r="AA15" t="str">
            <v>Cooperative Hydro Embrun Inc.</v>
          </cell>
        </row>
        <row r="16">
          <cell r="E16">
            <v>0</v>
          </cell>
          <cell r="AA16" t="str">
            <v>E.L.K. Energy Inc.</v>
          </cell>
        </row>
        <row r="17">
          <cell r="AA17" t="str">
            <v>Enersource Hydro Mississauga Inc.</v>
          </cell>
        </row>
        <row r="18">
          <cell r="AA18" t="str">
            <v>Entegrus Powerlines Inc.</v>
          </cell>
        </row>
        <row r="19">
          <cell r="AA19" t="str">
            <v>EnWin Utilities Ltd.</v>
          </cell>
        </row>
        <row r="20">
          <cell r="AA20" t="str">
            <v>Erie Thames Powerlines Corporation</v>
          </cell>
        </row>
        <row r="21">
          <cell r="AA21" t="str">
            <v>Espanola Regional Hydro Distribution Corporation</v>
          </cell>
        </row>
        <row r="22">
          <cell r="AA22" t="str">
            <v>Essex Powerlines Corporation</v>
          </cell>
        </row>
        <row r="23">
          <cell r="AA23" t="str">
            <v>Festival Hydro Inc.</v>
          </cell>
        </row>
        <row r="24">
          <cell r="E24">
            <v>2016</v>
          </cell>
          <cell r="AA24" t="str">
            <v>Fort Albany Power Corporation</v>
          </cell>
        </row>
        <row r="25">
          <cell r="AA25" t="str">
            <v>Fort Frances Power Corporation</v>
          </cell>
        </row>
        <row r="26">
          <cell r="E26">
            <v>2015</v>
          </cell>
          <cell r="AA26" t="str">
            <v>Greater Sudbury Hydro Inc.</v>
          </cell>
        </row>
        <row r="27">
          <cell r="AA27" t="str">
            <v>Grimsby Power Inc.</v>
          </cell>
        </row>
        <row r="28">
          <cell r="E28">
            <v>2011</v>
          </cell>
          <cell r="AA28" t="str">
            <v>Guelph Hydro Electric Systems Inc.</v>
          </cell>
        </row>
        <row r="29">
          <cell r="AA29" t="str">
            <v>Haldimand County Hydro Inc.</v>
          </cell>
        </row>
        <row r="30">
          <cell r="AA30" t="str">
            <v>Halton Hills Hydro Inc.</v>
          </cell>
        </row>
        <row r="31">
          <cell r="AA31" t="str">
            <v>Hearst Power Distribution Company Limited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Innpower Corporation</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Newmarket-Tay Power Distribution Ltd.</v>
          </cell>
        </row>
        <row r="50">
          <cell r="AA50" t="str">
            <v>Niagara Peninsula Energy Inc.</v>
          </cell>
        </row>
        <row r="51">
          <cell r="AA51" t="str">
            <v>Niagara-on-the-Lake Hydro Inc.</v>
          </cell>
        </row>
        <row r="52">
          <cell r="AA52" t="str">
            <v>Norfolk Power Distribution Inc.</v>
          </cell>
        </row>
        <row r="53">
          <cell r="AA53" t="str">
            <v>North Bay Hydro Distribution Limited</v>
          </cell>
        </row>
        <row r="54">
          <cell r="AA54" t="str">
            <v>Northern Ontario Wires Inc.</v>
          </cell>
        </row>
        <row r="55">
          <cell r="AA55" t="str">
            <v>Oakville Hydro Electricity Distribution Inc.</v>
          </cell>
        </row>
        <row r="56">
          <cell r="AA56" t="str">
            <v>Orangeville Hydro Limited</v>
          </cell>
        </row>
        <row r="57">
          <cell r="AA57" t="str">
            <v>Orillia Power Distribution Corporation</v>
          </cell>
        </row>
        <row r="58">
          <cell r="AA58" t="str">
            <v>Oshawa PUC Networks Inc.</v>
          </cell>
        </row>
        <row r="59">
          <cell r="AA59" t="str">
            <v>Ottawa River Power Corporation</v>
          </cell>
        </row>
        <row r="60">
          <cell r="AA60" t="str">
            <v>Peterborough Distribution Incorporated</v>
          </cell>
        </row>
        <row r="61">
          <cell r="AA61" t="str">
            <v>PowerStream Inc.</v>
          </cell>
        </row>
        <row r="62">
          <cell r="AA62" t="str">
            <v>PUC Distribution Inc.</v>
          </cell>
        </row>
        <row r="63">
          <cell r="AA63" t="str">
            <v>Renfrew Hydro Inc.</v>
          </cell>
        </row>
        <row r="64">
          <cell r="AA64" t="str">
            <v>Rideau St. Lawrence Distribution Inc.</v>
          </cell>
        </row>
        <row r="65">
          <cell r="AA65" t="str">
            <v>Sioux Lookout Hydro Inc.</v>
          </cell>
        </row>
        <row r="66">
          <cell r="AA66" t="str">
            <v>St. Thomas Energy Inc.</v>
          </cell>
        </row>
        <row r="67">
          <cell r="AA67" t="str">
            <v>Thunder Bay Hydro Electricity Distribution Inc.</v>
          </cell>
        </row>
        <row r="68">
          <cell r="AA68" t="str">
            <v>Tillsonburg Hydro Inc.</v>
          </cell>
        </row>
        <row r="69">
          <cell r="AA69" t="str">
            <v>Toronto Hydro-Electric System Limited</v>
          </cell>
        </row>
        <row r="70">
          <cell r="AA70" t="str">
            <v>Veridian Connections Inc.</v>
          </cell>
        </row>
        <row r="71">
          <cell r="AA71" t="str">
            <v>Wasaga Distribution Inc.</v>
          </cell>
        </row>
        <row r="72">
          <cell r="AA72" t="str">
            <v>Waterloo North Hydro Inc.</v>
          </cell>
        </row>
        <row r="73">
          <cell r="AA73" t="str">
            <v>Welland Hydro-Electric System Corp.</v>
          </cell>
        </row>
        <row r="74">
          <cell r="AA74" t="str">
            <v>Wellington North Power Inc.</v>
          </cell>
        </row>
        <row r="75">
          <cell r="AA75" t="str">
            <v>West Coast Huron Energy Inc.</v>
          </cell>
        </row>
        <row r="76">
          <cell r="AA76" t="str">
            <v>Westario Power Inc.</v>
          </cell>
        </row>
        <row r="77">
          <cell r="AA77" t="str">
            <v>Whitby Hydro Electric Corporation</v>
          </cell>
        </row>
        <row r="78">
          <cell r="AA78" t="str">
            <v>Woodstock Hydro Services Inc.</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cell r="AA1" t="str">
            <v>Account set up charge/change of occupancy charge (plus credit agency costs if applicable)</v>
          </cell>
        </row>
        <row r="2">
          <cell r="A2" t="str">
            <v>DISTRIBUTED GENERATION [DGEN]</v>
          </cell>
          <cell r="L2" t="str">
            <v>Total Loss Factor – Primary Metered Customer</v>
          </cell>
          <cell r="N2" t="str">
            <v>$</v>
          </cell>
          <cell r="Z2" t="str">
            <v>Account set up charge/change of occupancy charge</v>
          </cell>
          <cell r="AA2" t="str">
            <v>Administrative Billing Charge</v>
          </cell>
        </row>
        <row r="3">
          <cell r="A3" t="str">
            <v>EMBEDDED DISTRIBUTOR</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EMBEDDED DISTRIBUTOR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SINGLE PHASE ENERGY-BILLED [F1]</v>
          </cell>
          <cell r="L5" t="str">
            <v>Total Loss Factor – Secondary Metered Customer</v>
          </cell>
          <cell r="N5" t="str">
            <v>$/kVA</v>
          </cell>
          <cell r="Z5" t="str">
            <v>Arrears certificate</v>
          </cell>
          <cell r="AA5" t="str">
            <v>Collection of account charge – no disconnection</v>
          </cell>
        </row>
        <row r="6">
          <cell r="A6" t="str">
            <v>FARMS - THREE PHASE ENERGY-BILLED [F3]</v>
          </cell>
          <cell r="L6" t="str">
            <v>Total Loss Factor – Secondary Metered Customer &lt; 5,000 kW</v>
          </cell>
          <cell r="Z6" t="str">
            <v>Arrears certificate (credit reference)</v>
          </cell>
          <cell r="AA6" t="str">
            <v>Collection of account charge – no disconnection – after regular hours</v>
          </cell>
        </row>
        <row r="7">
          <cell r="A7" t="str">
            <v>GENERAL SERVICE - COMMERCIAL</v>
          </cell>
          <cell r="L7">
            <v>0</v>
          </cell>
          <cell r="Z7">
            <v>0</v>
          </cell>
          <cell r="AA7">
            <v>0</v>
          </cell>
        </row>
        <row r="8">
          <cell r="A8" t="str">
            <v>GENERAL SERVICE - INSTITUTIONAL</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2,999 KW</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 INTERVAL METERS</v>
          </cell>
          <cell r="L11" t="str">
            <v>Distribution Loss Factor - Primary Metered Customer &lt; 5,000 kW</v>
          </cell>
          <cell r="Z11" t="str">
            <v>Credit check (plus credit agency costs)</v>
          </cell>
          <cell r="AA11" t="str">
            <v>Credit Card Convenience Charge</v>
          </cell>
        </row>
        <row r="12">
          <cell r="A12" t="str">
            <v>GENERAL SERVICE 1,000 TO 4,999 KW (CO-GENERATION)</v>
          </cell>
          <cell r="L12" t="str">
            <v>Distribution Loss Factor - Primary Metered Customer &gt; 5,000 kW</v>
          </cell>
          <cell r="Z12" t="str">
            <v>Credit reference Letter</v>
          </cell>
          <cell r="AA12" t="str">
            <v>Disconnect/Reconnect at meter – after regular hours</v>
          </cell>
        </row>
        <row r="13">
          <cell r="A13" t="str">
            <v>GENERAL SERVICE 1,500 TO 4,999 KW</v>
          </cell>
          <cell r="L13">
            <v>0</v>
          </cell>
          <cell r="Z13">
            <v>0</v>
          </cell>
          <cell r="AA13">
            <v>0</v>
          </cell>
        </row>
        <row r="14">
          <cell r="A14" t="str">
            <v>GENERAL SERVICE 2,500 TO 4,999 KW</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INTERMEDIATE USE</v>
          </cell>
          <cell r="Z16" t="str">
            <v>Dispute Test – Commercial self contained -- MC</v>
          </cell>
          <cell r="AA16" t="str">
            <v>Disconnect/Reconnect at pole – during regular hours</v>
          </cell>
        </row>
        <row r="17">
          <cell r="A17" t="str">
            <v>GENERAL SERVICE 3,000 TO 4,999 KW - INTERVAL METERED</v>
          </cell>
          <cell r="Z17" t="str">
            <v>Dispute Test – Commercial TT -- MC</v>
          </cell>
          <cell r="AA17" t="str">
            <v>Disconnect/Reconnect Charge – At Meter – After Hours</v>
          </cell>
        </row>
        <row r="18">
          <cell r="A18" t="str">
            <v>GENERAL SERVICE 3,000 TO 4,999 KW - TIME OF USE</v>
          </cell>
          <cell r="Z18" t="str">
            <v>Dispute Test – Residential</v>
          </cell>
          <cell r="AA18" t="str">
            <v>Disconnect/Reconnect Charge – At Meter – During Regular Hours</v>
          </cell>
        </row>
        <row r="19">
          <cell r="A19" t="str">
            <v>GENERAL SERVICE 50 TO 1,000 KW</v>
          </cell>
          <cell r="Z19" t="str">
            <v>Duplicate Invoices for previous billing</v>
          </cell>
          <cell r="AA19" t="str">
            <v>Disconnect/Reconnect Charge – At Pole – After Hours</v>
          </cell>
        </row>
        <row r="20">
          <cell r="A20" t="str">
            <v>GENERAL SERVICE 50 TO 1,000 KW - INTERVAL METERS</v>
          </cell>
          <cell r="Z20" t="str">
            <v>Easement Letter</v>
          </cell>
          <cell r="AA20" t="str">
            <v>Disconnect/Reconnect Charge – At Pole – During Regular Hours</v>
          </cell>
        </row>
        <row r="21">
          <cell r="A21" t="str">
            <v>GENERAL SERVICE 50 TO 1,000 KW - NON INTERVAL METERS</v>
          </cell>
          <cell r="Z21" t="str">
            <v>Income Tax Letter</v>
          </cell>
          <cell r="AA21" t="str">
            <v>Disconnect/Reconnect Charges for non payment of account - At Meter After Hours</v>
          </cell>
        </row>
        <row r="22">
          <cell r="A22" t="str">
            <v>GENERAL SERVICE 50 TO 1,499 KW</v>
          </cell>
          <cell r="Z22" t="str">
            <v>Interval Meter Interrogation</v>
          </cell>
          <cell r="AA22" t="str">
            <v>Disconnect/Reconnect charges for non payment of account – at meter after regular hours</v>
          </cell>
        </row>
        <row r="23">
          <cell r="A23" t="str">
            <v>GENERAL SERVICE 50 TO 1,499 KW - INTERVAL METERED</v>
          </cell>
          <cell r="Z23" t="str">
            <v>Interval meter request change</v>
          </cell>
          <cell r="AA23" t="str">
            <v>Disconnect/Reconnect Charges for non payment of account - At Meter During Regular Hours</v>
          </cell>
        </row>
        <row r="24">
          <cell r="A24" t="str">
            <v>GENERAL SERVICE 50 TO 2,499 KW</v>
          </cell>
          <cell r="Z24" t="str">
            <v>Legal letter</v>
          </cell>
          <cell r="AA24" t="str">
            <v>Disconnect/Reconnect charges for non payment of account – at meter during regular hours</v>
          </cell>
        </row>
        <row r="25">
          <cell r="A25" t="str">
            <v>GENERAL SERVICE 50 TO 2,999 KW</v>
          </cell>
          <cell r="Z25" t="str">
            <v>Legal letter charge</v>
          </cell>
          <cell r="AA25" t="str">
            <v>Disconnect/Reconnect charges for non payment of account – at pole after regular hours</v>
          </cell>
        </row>
        <row r="26">
          <cell r="A26" t="str">
            <v>GENERAL SERVICE 50 TO 2,999 KW - INTERVAL METERED</v>
          </cell>
          <cell r="Z26" t="str">
            <v>Meter dispute charge plus Measurement Canada fees (if meter found correct)</v>
          </cell>
          <cell r="AA26" t="str">
            <v>Disconnect/Reconnect charges for non payment of account – at pole during regular hours</v>
          </cell>
        </row>
        <row r="27">
          <cell r="A27" t="str">
            <v>GENERAL SERVICE 50 TO 2,999 KW - TIME OF USE</v>
          </cell>
          <cell r="Z27" t="str">
            <v>Notification charge</v>
          </cell>
          <cell r="AA27" t="str">
            <v>Disconnect/Reconnection for &gt;300 volts - after regular hours</v>
          </cell>
        </row>
        <row r="28">
          <cell r="A28" t="str">
            <v>GENERAL SERVICE 50 TO 4,999 KW</v>
          </cell>
          <cell r="Z28" t="str">
            <v>Pulling Post Dated Cheques</v>
          </cell>
          <cell r="AA28" t="str">
            <v>Disconnect/Reconnection for &gt;300 volts - during regular hours</v>
          </cell>
        </row>
        <row r="29">
          <cell r="A29" t="str">
            <v>GENERAL SERVICE 50 TO 4,999 KW - INTERVAL METERED</v>
          </cell>
          <cell r="Z29" t="str">
            <v>Request for other billing information</v>
          </cell>
          <cell r="AA29" t="str">
            <v>Disposal of Concrete Poles</v>
          </cell>
        </row>
        <row r="30">
          <cell r="A30" t="str">
            <v>GENERAL SERVICE 50 TO 4,999 KW - TIME OF USE</v>
          </cell>
          <cell r="Z30" t="str">
            <v>Returned cheque (plus bank charges)</v>
          </cell>
          <cell r="AA30" t="str">
            <v>Dispute Test – Commercial TT -- MC</v>
          </cell>
        </row>
        <row r="31">
          <cell r="A31" t="str">
            <v>GENERAL SERVICE 50 TO 4,999 KW (COGENERATION)</v>
          </cell>
          <cell r="Z31" t="str">
            <v>Returned cheque charge (plus bank charges)</v>
          </cell>
          <cell r="AA31" t="str">
            <v>Install/Remove load control device – after regular hours</v>
          </cell>
        </row>
        <row r="32">
          <cell r="A32" t="str">
            <v>GENERAL SERVICE 50 TO 4,999 KW (FORMERLY TIME OF USE)</v>
          </cell>
          <cell r="Z32" t="str">
            <v>Special Billing Service (aggregation)</v>
          </cell>
          <cell r="AA32" t="str">
            <v>Install/Remove load control device – during regular hours</v>
          </cell>
        </row>
        <row r="33">
          <cell r="A33" t="str">
            <v>GENERAL SERVICE 50 TO 499 KW</v>
          </cell>
          <cell r="Z33" t="str">
            <v>Special Billing Service (sub-metering charge per meter)</v>
          </cell>
          <cell r="AA33" t="str">
            <v>Interval Meter Interrogation</v>
          </cell>
        </row>
        <row r="34">
          <cell r="A34" t="str">
            <v>GENERAL SERVICE 50 TO 699 KW</v>
          </cell>
          <cell r="Z34" t="str">
            <v>Special meter reads</v>
          </cell>
          <cell r="AA34" t="str">
            <v>Interval Meter Load Management Tool Charge $/month</v>
          </cell>
        </row>
        <row r="35">
          <cell r="A35" t="str">
            <v>GENERAL SERVICE 50 TO 999 KW</v>
          </cell>
          <cell r="Z35" t="str">
            <v>Statement of Account</v>
          </cell>
          <cell r="AA35" t="str">
            <v>Interval meter request change</v>
          </cell>
        </row>
        <row r="36">
          <cell r="A36" t="str">
            <v>GENERAL SERVICE 50 TO 999 KW - INTERVAL METERED</v>
          </cell>
          <cell r="Z36" t="str">
            <v>Unprocessed Payment Charge (plus bank charges)</v>
          </cell>
          <cell r="AA36" t="str">
            <v>Late Payment – per annum</v>
          </cell>
        </row>
        <row r="37">
          <cell r="A37" t="str">
            <v>GENERAL SERVICE 500 TO 4,999 KW</v>
          </cell>
          <cell r="AA37" t="str">
            <v>Late Payment – per month</v>
          </cell>
        </row>
        <row r="38">
          <cell r="A38" t="str">
            <v>GENERAL SERVICE 700 TO 4,999 KW</v>
          </cell>
          <cell r="AA38" t="str">
            <v>Layout fees</v>
          </cell>
        </row>
        <row r="39">
          <cell r="A39" t="str">
            <v>GENERAL SERVICE DEMAND BILLED (50 KW AND ABOVE) [GSD]</v>
          </cell>
          <cell r="AA39" t="str">
            <v>Meter dispute charge plus Measurement Canada fees (if meter found correct)</v>
          </cell>
        </row>
        <row r="40">
          <cell r="A40" t="str">
            <v>GENERAL SERVICE ENERGY BILLED (LESS THAN 50 KW) [GSE-METERED]</v>
          </cell>
          <cell r="AA40" t="str">
            <v>Meter Interrogation Charge</v>
          </cell>
        </row>
        <row r="41">
          <cell r="A41" t="str">
            <v>GENERAL SERVICE ENERGY BILLED (LESS THAN TO 50 KW) [GSE-UNMETERED]</v>
          </cell>
          <cell r="AA41" t="str">
            <v>Missed Service Appointment</v>
          </cell>
        </row>
        <row r="42">
          <cell r="A42" t="str">
            <v>GENERAL SERVICE EQUAL TO OR GREATER THAN 1,500 KW</v>
          </cell>
          <cell r="AA42" t="str">
            <v>Norfolk Pole Rentals – Billed</v>
          </cell>
        </row>
        <row r="43">
          <cell r="A43" t="str">
            <v>GENERAL SERVICE EQUAL TO OR GREATER THAN 1,500 KW - INTERVAL METERED</v>
          </cell>
          <cell r="AA43" t="str">
            <v>Optional Interval/TOU Meter charge $/month</v>
          </cell>
        </row>
        <row r="44">
          <cell r="A44" t="str">
            <v>GENERAL SERVICE GREATER THAN 1,000 KW</v>
          </cell>
          <cell r="AA44" t="str">
            <v>Overtime Locate</v>
          </cell>
        </row>
        <row r="45">
          <cell r="A45" t="str">
            <v>GENERAL SERVICE GREATER THAN 50 kW - WMP</v>
          </cell>
          <cell r="AA45" t="str">
            <v>Owner Requested Disconnection/Reconnection – after regular hours</v>
          </cell>
        </row>
        <row r="46">
          <cell r="A46" t="str">
            <v>GENERAL SERVICE INTERMEDIATE 1,000 TO 4,999 KW</v>
          </cell>
          <cell r="AA46" t="str">
            <v>Owner Requested Disconnection/Reconnection – during regular hours</v>
          </cell>
        </row>
        <row r="47">
          <cell r="A47" t="str">
            <v>GENERAL SERVICE INTERMEDIATE RATE CLASS 1,000 TO 4,999 KW (FORMERLY GENERAL SERVICE &gt; 50 KW CUSTOMERS)</v>
          </cell>
          <cell r="AA47" t="str">
            <v>Returned cheque (plus bank charges)</v>
          </cell>
        </row>
        <row r="48">
          <cell r="A48" t="str">
            <v>GENERAL SERVICE INTERMEDIATE RATE CLASS 1,000 TO 4,999 KW (FORMERLY LARGE USE CUSTOMERS)</v>
          </cell>
          <cell r="AA48" t="str">
            <v>Rural system expansion / line connection fee</v>
          </cell>
        </row>
        <row r="49">
          <cell r="A49" t="str">
            <v>GENERAL SERVICE LESS THAN 50 KW</v>
          </cell>
          <cell r="AA49" t="str">
            <v>Same Day Open Trench</v>
          </cell>
        </row>
        <row r="50">
          <cell r="A50" t="str">
            <v>GENERAL SERVICE LESS THAN 50 KW - SINGLE PHASE ENERGY-BILLED [G1]</v>
          </cell>
          <cell r="AA50" t="str">
            <v>Scheduled Day Open Trench</v>
          </cell>
        </row>
        <row r="51">
          <cell r="A51" t="str">
            <v>GENERAL SERVICE LESS THAN 50 KW - THREE PHASE ENERGY-BILLED [G3]</v>
          </cell>
          <cell r="AA51" t="str">
            <v>Service call – after regular hours</v>
          </cell>
        </row>
        <row r="52">
          <cell r="A52" t="str">
            <v>GENERAL SERVICE LESS THAN 50 KW - TRANSMISSION CLASS ENERGY-BILLED [T]</v>
          </cell>
          <cell r="AA52" t="str">
            <v>Service call – customer owned equipment</v>
          </cell>
        </row>
        <row r="53">
          <cell r="A53" t="str">
            <v>GENERAL SERVICE LESS THAN 50 KW - URBAN ENERGY-BILLED [UG]</v>
          </cell>
          <cell r="AA53" t="str">
            <v>Service Call – Customer-owned Equipment – After Regular Hours</v>
          </cell>
        </row>
        <row r="54">
          <cell r="A54" t="str">
            <v>GENERAL SERVICE SINGLE PHASE - G1</v>
          </cell>
          <cell r="AA54" t="str">
            <v>Service Call – Customer-owned Equipment – During Regular Hours</v>
          </cell>
        </row>
        <row r="55">
          <cell r="A55" t="str">
            <v>GENERAL SERVICE THREE PHASE - G3</v>
          </cell>
          <cell r="AA55" t="str">
            <v>Service Charge for onsite interrogation of interval meter due to customer phone line failure - required weekly until line repaired $ 6</v>
          </cell>
        </row>
        <row r="56">
          <cell r="A56" t="str">
            <v>INTERMEDIATE USERS</v>
          </cell>
          <cell r="AA56" t="str">
            <v>Service Layout - Commercial</v>
          </cell>
        </row>
        <row r="57">
          <cell r="A57" t="str">
            <v>INTERMEDIATE WITH SELF GENERATION</v>
          </cell>
          <cell r="AA57" t="str">
            <v>Service Layout - ResidentiaI</v>
          </cell>
        </row>
        <row r="58">
          <cell r="A58" t="str">
            <v>LARGE USE</v>
          </cell>
          <cell r="AA58" t="str">
            <v>Special Billing Service (sub-metering charge per meter)</v>
          </cell>
        </row>
        <row r="59">
          <cell r="A59" t="str">
            <v>LARGE USE - 3TS</v>
          </cell>
          <cell r="AA59" t="str">
            <v>Special meter reads</v>
          </cell>
        </row>
        <row r="60">
          <cell r="A60" t="str">
            <v>LARGE USE - FORD ANNEX</v>
          </cell>
          <cell r="AA60" t="str">
            <v>Specific Charge for Access to the Power Poles - $/pole/year</v>
          </cell>
        </row>
        <row r="61">
          <cell r="A61" t="str">
            <v>LARGE USE - REGULAR</v>
          </cell>
          <cell r="AA61" t="str">
            <v>Specific Charge for Bell Canada Access to the Power Poles – per pole/year</v>
          </cell>
        </row>
        <row r="62">
          <cell r="A62" t="str">
            <v>LARGE USE &gt; 5000 KW</v>
          </cell>
          <cell r="AA62" t="str">
            <v>Switching for company maintenance – Charge based on Time and Materials</v>
          </cell>
        </row>
        <row r="63">
          <cell r="A63" t="str">
            <v>microFIT</v>
          </cell>
          <cell r="AA63" t="str">
            <v>Temporary Service – Install &amp; remove – overhead – no transformer</v>
          </cell>
        </row>
        <row r="64">
          <cell r="A64" t="str">
            <v>RESIDENTIAL</v>
          </cell>
          <cell r="AA64" t="str">
            <v>Temporary Service – Install &amp; remove – overhead – with transformer</v>
          </cell>
        </row>
        <row r="65">
          <cell r="A65" t="str">
            <v>RESIDENTIAL - HENSALL</v>
          </cell>
          <cell r="AA65" t="str">
            <v>Temporary Service – Install &amp; remove – underground – no transformer</v>
          </cell>
        </row>
        <row r="66">
          <cell r="A66" t="str">
            <v>RESIDENTIAL - HIGH DENSITY [R1]</v>
          </cell>
          <cell r="AA66" t="str">
            <v>Temporary service install &amp; remove – overhead – no transformer</v>
          </cell>
        </row>
        <row r="67">
          <cell r="A67" t="str">
            <v>RESIDENTIAL - LOW DENSITY [R2]</v>
          </cell>
          <cell r="AA67" t="str">
            <v>Temporary Service Install &amp; Remove – Overhead – With Transformer</v>
          </cell>
        </row>
        <row r="68">
          <cell r="A68" t="str">
            <v>RESIDENTIAL - MEDIUM DENSITY [R1]</v>
          </cell>
          <cell r="AA68" t="str">
            <v>Temporary Service Install &amp; Remove – Underground – No Transformer</v>
          </cell>
        </row>
        <row r="69">
          <cell r="A69" t="str">
            <v>RESIDENTIAL - NORMAL DENSITY [R2]</v>
          </cell>
          <cell r="AA69" t="str">
            <v>Temporary service installation and removal – overhead – no transformer</v>
          </cell>
        </row>
        <row r="70">
          <cell r="A70" t="str">
            <v>RESIDENTIAL - TIME OF USE</v>
          </cell>
          <cell r="AA70" t="str">
            <v>Temporary service installation and removal – overhead – with transformer</v>
          </cell>
        </row>
        <row r="71">
          <cell r="A71" t="str">
            <v>RESIDENTIAL - URBAN [UR]</v>
          </cell>
          <cell r="AA71" t="str">
            <v>Temporary service installation and removal – underground – no transformer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 val="2016_IRM_RateGen_Model_blankmo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4">
          <cell r="E24">
            <v>2014</v>
          </cell>
        </row>
        <row r="26">
          <cell r="E26">
            <v>2013</v>
          </cell>
        </row>
        <row r="28">
          <cell r="E28">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sheetData sheetId="2"/>
      <sheetData sheetId="3"/>
      <sheetData sheetId="4">
        <row r="5">
          <cell r="C5" t="str">
            <v>Former Chatham-Kent Hydro Service Area</v>
          </cell>
        </row>
      </sheetData>
      <sheetData sheetId="5"/>
      <sheetData sheetId="6"/>
      <sheetData sheetId="7"/>
      <sheetData sheetId="8"/>
      <sheetData sheetId="9"/>
      <sheetData sheetId="10"/>
      <sheetData sheetId="11"/>
      <sheetData sheetId="12">
        <row r="19">
          <cell r="N19">
            <v>20805750</v>
          </cell>
        </row>
      </sheetData>
      <sheetData sheetId="13"/>
      <sheetData sheetId="14"/>
      <sheetData sheetId="15"/>
      <sheetData sheetId="16"/>
      <sheetData sheetId="17">
        <row r="109">
          <cell r="F109">
            <v>1659633.076749</v>
          </cell>
        </row>
      </sheetData>
      <sheetData sheetId="18">
        <row r="109">
          <cell r="F109">
            <v>1656231.0048239999</v>
          </cell>
        </row>
      </sheetData>
      <sheetData sheetId="19"/>
      <sheetData sheetId="20">
        <row r="12">
          <cell r="F12">
            <v>11409</v>
          </cell>
        </row>
        <row r="13">
          <cell r="F13">
            <v>109779129</v>
          </cell>
        </row>
        <row r="14">
          <cell r="F14">
            <v>3</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sheetData sheetId="5"/>
      <sheetData sheetId="6"/>
      <sheetData sheetId="7"/>
      <sheetData sheetId="8"/>
      <sheetData sheetId="9"/>
      <sheetData sheetId="10"/>
      <sheetData sheetId="11"/>
      <sheetData sheetId="12">
        <row r="19">
          <cell r="N19">
            <v>0</v>
          </cell>
        </row>
      </sheetData>
      <sheetData sheetId="13"/>
      <sheetData sheetId="14"/>
      <sheetData sheetId="15"/>
      <sheetData sheetId="16"/>
      <sheetData sheetId="17">
        <row r="109">
          <cell r="F109">
            <v>0</v>
          </cell>
        </row>
        <row r="113">
          <cell r="P113">
            <v>0</v>
          </cell>
        </row>
      </sheetData>
      <sheetData sheetId="18">
        <row r="109">
          <cell r="F109">
            <v>0</v>
          </cell>
        </row>
        <row r="113">
          <cell r="P113">
            <v>0</v>
          </cell>
        </row>
      </sheetData>
      <sheetData sheetId="19"/>
      <sheetData sheetId="20">
        <row r="12">
          <cell r="F12">
            <v>0</v>
          </cell>
        </row>
        <row r="13">
          <cell r="F13">
            <v>0</v>
          </cell>
        </row>
        <row r="14">
          <cell r="F14">
            <v>4</v>
          </cell>
        </row>
      </sheetData>
      <sheetData sheetId="21"/>
      <sheetData sheetId="22"/>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refreshError="1"/>
      <sheetData sheetId="2" refreshError="1"/>
      <sheetData sheetId="3">
        <row r="28">
          <cell r="BT28">
            <v>276051</v>
          </cell>
        </row>
      </sheetData>
      <sheetData sheetId="4">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5" refreshError="1"/>
      <sheetData sheetId="6" refreshError="1"/>
      <sheetData sheetId="7" refreshError="1"/>
      <sheetData sheetId="8" refreshError="1"/>
      <sheetData sheetId="9">
        <row r="24">
          <cell r="C24">
            <v>151165193</v>
          </cell>
        </row>
      </sheetData>
      <sheetData sheetId="10" refreshError="1"/>
      <sheetData sheetId="11" refreshError="1"/>
      <sheetData sheetId="12">
        <row r="19">
          <cell r="N19">
            <v>20805750</v>
          </cell>
        </row>
      </sheetData>
      <sheetData sheetId="13" refreshError="1"/>
      <sheetData sheetId="14" refreshError="1"/>
      <sheetData sheetId="15" refreshError="1"/>
      <sheetData sheetId="16" refreshError="1"/>
      <sheetData sheetId="17">
        <row r="109">
          <cell r="F109">
            <v>1661097.1355030003</v>
          </cell>
        </row>
      </sheetData>
      <sheetData sheetId="18">
        <row r="109">
          <cell r="F109">
            <v>1692186.4329740002</v>
          </cell>
        </row>
      </sheetData>
      <sheetData sheetId="19" refreshError="1"/>
      <sheetData sheetId="20">
        <row r="12">
          <cell r="F12">
            <v>11409</v>
          </cell>
        </row>
        <row r="13">
          <cell r="F13">
            <v>109779129</v>
          </cell>
        </row>
        <row r="14">
          <cell r="F1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GA allocation_Class A"/>
      <sheetName val="Mock-up GA calculation"/>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row r="29">
          <cell r="AY29">
            <v>276051.38000000012</v>
          </cell>
        </row>
      </sheetData>
      <sheetData sheetId="5"/>
      <sheetData sheetId="6"/>
      <sheetData sheetId="7"/>
      <sheetData sheetId="8"/>
      <sheetData sheetId="9"/>
      <sheetData sheetId="10"/>
      <sheetData sheetId="11"/>
      <sheetData sheetId="12"/>
      <sheetData sheetId="13">
        <row r="20">
          <cell r="C20">
            <v>147660365</v>
          </cell>
        </row>
      </sheetData>
      <sheetData sheetId="14">
        <row r="19">
          <cell r="N19">
            <v>20805750</v>
          </cell>
        </row>
      </sheetData>
      <sheetData sheetId="15"/>
      <sheetData sheetId="16"/>
      <sheetData sheetId="17"/>
      <sheetData sheetId="18"/>
      <sheetData sheetId="19">
        <row r="109">
          <cell r="F109">
            <v>1686108.5692180004</v>
          </cell>
        </row>
        <row r="113">
          <cell r="P113">
            <v>1266247.3363220003</v>
          </cell>
        </row>
      </sheetData>
      <sheetData sheetId="20">
        <row r="109">
          <cell r="F109">
            <v>1656231.0048239999</v>
          </cell>
        </row>
        <row r="113">
          <cell r="P113">
            <v>1290749.9418240001</v>
          </cell>
        </row>
      </sheetData>
      <sheetData sheetId="21"/>
      <sheetData sheetId="22">
        <row r="12">
          <cell r="F12">
            <v>11409</v>
          </cell>
        </row>
        <row r="13">
          <cell r="F13">
            <v>109779129</v>
          </cell>
        </row>
        <row r="14">
          <cell r="F14">
            <v>4</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Sheet1"/>
      <sheetName val="2. Current Tariff Schedule"/>
      <sheetName val="3. Continuity Schedule"/>
      <sheetName val="2016 List"/>
      <sheetName val="4. Billing Det. for Def-Var"/>
      <sheetName val="2 1 5 TotalConsumptionData_Dist"/>
      <sheetName val="5. Allocating Def-Var Balances"/>
      <sheetName val="6. Class A Consumption Data"/>
      <sheetName val="6.1 GA"/>
      <sheetName val="6.1a GA Allocation"/>
      <sheetName val="6.2 CBR B"/>
      <sheetName val="6.2a CBR B_Allocation"/>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12_Total_Connection_RollUp"/>
      <sheetName val="2.1.7 Filing"/>
      <sheetName val="20. HIDDEN"/>
      <sheetName val="20. Bill Impacts hidden"/>
      <sheetName val="Database"/>
      <sheetName val="lists"/>
      <sheetName val="Sheet2"/>
      <sheetName val="Sheet3"/>
      <sheetName val="2018_IRM_RateGen_Model_V2"/>
    </sheetNames>
    <sheetDataSet>
      <sheetData sheetId="0"/>
      <sheetData sheetId="1"/>
      <sheetData sheetId="2"/>
      <sheetData sheetId="3"/>
      <sheetData sheetId="4">
        <row r="25">
          <cell r="BT25">
            <v>0</v>
          </cell>
        </row>
      </sheetData>
      <sheetData sheetId="5">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cell r="C6" t="str">
            <v>Former Chatham-Kent Hydro Service Area</v>
          </cell>
        </row>
        <row r="7">
          <cell r="A7" t="str">
            <v>Canadian Niagara Power Inc.</v>
          </cell>
          <cell r="C7" t="str">
            <v>Strathroy, Mount Brydges &amp; Parkhill Service Area</v>
          </cell>
        </row>
        <row r="8">
          <cell r="A8" t="str">
            <v>Centre Wellington Hydro Ltd.</v>
          </cell>
          <cell r="C8" t="str">
            <v>Dutton Service Area</v>
          </cell>
        </row>
        <row r="9">
          <cell r="A9" t="str">
            <v>Chapleau Public Utilities Corporation</v>
          </cell>
        </row>
        <row r="10">
          <cell r="A10" t="str">
            <v>Collus PowerStream Corp.</v>
          </cell>
        </row>
        <row r="11">
          <cell r="A11" t="str">
            <v>Cooperative Hydro Embrun Inc.</v>
          </cell>
        </row>
        <row r="12">
          <cell r="A12" t="str">
            <v>E.L.K. Energy Inc.</v>
          </cell>
        </row>
        <row r="13">
          <cell r="A13" t="str">
            <v>Energy+ Inc.</v>
          </cell>
          <cell r="C13" t="str">
            <v>For Former Parry Sound Power Service Area</v>
          </cell>
        </row>
        <row r="14">
          <cell r="A14" t="str">
            <v>Enersource Hydro Mississauga Inc.</v>
          </cell>
          <cell r="C14" t="str">
            <v>Except for the Former Parry Sound Power Service Area</v>
          </cell>
        </row>
        <row r="15">
          <cell r="A15" t="str">
            <v>Entegrus Powerlines Inc.</v>
          </cell>
        </row>
        <row r="16">
          <cell r="A16" t="str">
            <v>EnWin Utilities Ltd.</v>
          </cell>
        </row>
        <row r="17">
          <cell r="A17" t="str">
            <v>Erie Thames Powerlines Corporation</v>
          </cell>
        </row>
        <row r="18">
          <cell r="A18" t="str">
            <v>Espanola Regional Hydro Distribution Corporation</v>
          </cell>
        </row>
        <row r="19">
          <cell r="A19" t="str">
            <v>Essex Powerlines Corporation</v>
          </cell>
        </row>
        <row r="20">
          <cell r="A20" t="str">
            <v>Festival Hydro Inc.</v>
          </cell>
        </row>
        <row r="21">
          <cell r="A21" t="str">
            <v>Fort Frances Power Corporation</v>
          </cell>
        </row>
        <row r="22">
          <cell r="A22" t="str">
            <v>Greater Sudbury Hydro Inc.</v>
          </cell>
        </row>
        <row r="23">
          <cell r="A23" t="str">
            <v>Grimsby Power Incorporated</v>
          </cell>
        </row>
        <row r="24">
          <cell r="A24" t="str">
            <v>Guelph Hydro Electric Systems Inc.</v>
          </cell>
        </row>
        <row r="25">
          <cell r="A25" t="str">
            <v>Halton Hills Hydro Inc.</v>
          </cell>
        </row>
        <row r="26">
          <cell r="A26" t="str">
            <v>Hearst Power Distribution Company Ltd.</v>
          </cell>
        </row>
        <row r="27">
          <cell r="A27" t="str">
            <v>Horizon Utilities Corporation</v>
          </cell>
        </row>
        <row r="28">
          <cell r="A28" t="str">
            <v>Hydro 2000 Inc.</v>
          </cell>
        </row>
        <row r="29">
          <cell r="A29" t="str">
            <v>Hydro Hawkesbury Inc.</v>
          </cell>
        </row>
        <row r="30">
          <cell r="A30" t="str">
            <v>Hydro One Brampton Networks Inc.</v>
          </cell>
        </row>
        <row r="31">
          <cell r="A31" t="str">
            <v>Hydro One Networks Inc.</v>
          </cell>
        </row>
        <row r="32">
          <cell r="A32" t="str">
            <v>Hydro Ottawa Limited</v>
          </cell>
        </row>
        <row r="33">
          <cell r="A33" t="str">
            <v>InnPower Corporation</v>
          </cell>
        </row>
        <row r="34">
          <cell r="A34" t="str">
            <v>Kenora Hydro Electric Corporation Ltd.</v>
          </cell>
        </row>
        <row r="35">
          <cell r="A35" t="str">
            <v>Kingston Hydro Corporation</v>
          </cell>
        </row>
        <row r="36">
          <cell r="A36" t="str">
            <v>Kitchener-Wilmot Hydro Inc.</v>
          </cell>
        </row>
        <row r="37">
          <cell r="A37" t="str">
            <v>Lakefront Utilities Inc.</v>
          </cell>
        </row>
        <row r="38">
          <cell r="A38" t="str">
            <v>Lakeland Power Distribution Ltd.</v>
          </cell>
        </row>
        <row r="39">
          <cell r="A39" t="str">
            <v>London Hydro Inc.</v>
          </cell>
        </row>
        <row r="40">
          <cell r="A40" t="str">
            <v>Midland Power Utility Corporation</v>
          </cell>
        </row>
        <row r="41">
          <cell r="A41" t="str">
            <v>Milton Hydro Distribution Inc.</v>
          </cell>
        </row>
        <row r="42">
          <cell r="A42" t="str">
            <v>Newmarket - Tay Power Distribution Ltd.</v>
          </cell>
        </row>
        <row r="43">
          <cell r="A43" t="str">
            <v>Niagara Peninsula Energy Inc.</v>
          </cell>
        </row>
        <row r="44">
          <cell r="A44" t="str">
            <v>Niagara-on-the-Lake Hydro Inc.</v>
          </cell>
        </row>
        <row r="45">
          <cell r="A45" t="str">
            <v>North Bay Hydro Distribution Limited</v>
          </cell>
        </row>
        <row r="46">
          <cell r="A46" t="str">
            <v>Northern Ontario Wires Inc.</v>
          </cell>
        </row>
        <row r="47">
          <cell r="A47" t="str">
            <v>Oakville Hydro Electricity Distribution Inc.</v>
          </cell>
        </row>
        <row r="48">
          <cell r="A48" t="str">
            <v>Orangeville Hydro Limited</v>
          </cell>
        </row>
        <row r="49">
          <cell r="A49" t="str">
            <v>Orillia Power Distribution Corporation</v>
          </cell>
        </row>
        <row r="50">
          <cell r="A50" t="str">
            <v>Oshawa PUC Networks Inc.</v>
          </cell>
        </row>
        <row r="51">
          <cell r="A51" t="str">
            <v>Ottawa River Power Corporation</v>
          </cell>
        </row>
        <row r="52">
          <cell r="A52" t="str">
            <v>Peterborough Distribution Incorporated</v>
          </cell>
        </row>
        <row r="53">
          <cell r="A53" t="str">
            <v>PUC Distribution Inc.</v>
          </cell>
        </row>
        <row r="54">
          <cell r="A54" t="str">
            <v>Renfrew Hydro Inc.</v>
          </cell>
        </row>
        <row r="55">
          <cell r="A55" t="str">
            <v>Sioux Lookout Hydro Inc.</v>
          </cell>
        </row>
        <row r="56">
          <cell r="A56" t="str">
            <v>St. Thomas Energy Inc.</v>
          </cell>
        </row>
        <row r="57">
          <cell r="A57" t="str">
            <v>Thunder Bay Hydro Electricity Distribution Inc.</v>
          </cell>
        </row>
        <row r="58">
          <cell r="A58" t="str">
            <v>Tillsonburg Hydro Inc.</v>
          </cell>
        </row>
        <row r="59">
          <cell r="A59" t="str">
            <v>Toronto Hydro-Electric System Limited</v>
          </cell>
        </row>
        <row r="60">
          <cell r="A60" t="str">
            <v>Veridian Connections Inc.</v>
          </cell>
        </row>
        <row r="61">
          <cell r="A61" t="str">
            <v>Wasaga Distribution Inc.</v>
          </cell>
        </row>
        <row r="62">
          <cell r="A62" t="str">
            <v>Waterloo North Hydro Inc.</v>
          </cell>
        </row>
        <row r="63">
          <cell r="A63" t="str">
            <v>Welland Hydro-Electric System Corp.</v>
          </cell>
        </row>
        <row r="64">
          <cell r="A64" t="str">
            <v>Wellington North Power Inc.</v>
          </cell>
        </row>
        <row r="65">
          <cell r="A65" t="str">
            <v>West Coast Huron Energy Inc.</v>
          </cell>
        </row>
        <row r="66">
          <cell r="A66" t="str">
            <v>Westario Power Inc.</v>
          </cell>
        </row>
        <row r="67">
          <cell r="A67" t="str">
            <v>Whitby Hydro Electric Corporation</v>
          </cell>
        </row>
      </sheetData>
      <sheetData sheetId="6"/>
      <sheetData sheetId="7"/>
      <sheetData sheetId="8"/>
      <sheetData sheetId="9">
        <row r="14">
          <cell r="C14">
            <v>2015</v>
          </cell>
        </row>
      </sheetData>
      <sheetData sheetId="10"/>
      <sheetData sheetId="11"/>
      <sheetData sheetId="12">
        <row r="13">
          <cell r="B13">
            <v>2016</v>
          </cell>
        </row>
      </sheetData>
      <sheetData sheetId="13"/>
      <sheetData sheetId="14"/>
      <sheetData sheetId="15">
        <row r="19">
          <cell r="N19">
            <v>0</v>
          </cell>
        </row>
      </sheetData>
      <sheetData sheetId="16"/>
      <sheetData sheetId="17"/>
      <sheetData sheetId="18"/>
      <sheetData sheetId="19"/>
      <sheetData sheetId="20">
        <row r="109">
          <cell r="F109">
            <v>0</v>
          </cell>
        </row>
        <row r="113">
          <cell r="P113">
            <v>0</v>
          </cell>
        </row>
      </sheetData>
      <sheetData sheetId="21">
        <row r="109">
          <cell r="F109">
            <v>0</v>
          </cell>
        </row>
        <row r="113">
          <cell r="P113">
            <v>0</v>
          </cell>
        </row>
      </sheetData>
      <sheetData sheetId="22"/>
      <sheetData sheetId="23"/>
      <sheetData sheetId="24">
        <row r="23">
          <cell r="D23">
            <v>7.6999999999999999E-2</v>
          </cell>
        </row>
        <row r="24">
          <cell r="D24">
            <v>0.113</v>
          </cell>
        </row>
        <row r="25">
          <cell r="D25">
            <v>0.157</v>
          </cell>
        </row>
        <row r="29">
          <cell r="D29">
            <v>7.0000000000000001E-3</v>
          </cell>
        </row>
      </sheetData>
      <sheetData sheetId="25"/>
      <sheetData sheetId="26"/>
      <sheetData sheetId="27"/>
      <sheetData sheetId="28"/>
      <sheetData sheetId="29"/>
      <sheetData sheetId="30"/>
      <sheetData sheetId="31"/>
      <sheetData sheetId="32"/>
      <sheetData sheetId="33">
        <row r="1">
          <cell r="O1" t="str">
            <v>Account set up charge/change of occupancy charge (plus credit agency costs if applicable)</v>
          </cell>
        </row>
        <row r="2">
          <cell r="L2" t="str">
            <v>Total Loss Factor – Primary Metered Customer</v>
          </cell>
          <cell r="O2" t="str">
            <v>Administrative Billing Charge</v>
          </cell>
        </row>
        <row r="3">
          <cell r="L3" t="str">
            <v>Total Loss Factor – Primary Metered Customer &lt; 5,000 kW</v>
          </cell>
          <cell r="O3" t="str">
            <v>Bell Canada Pole Rentals</v>
          </cell>
        </row>
        <row r="4">
          <cell r="L4" t="str">
            <v>Total Loss Factor – Primary Metered Customer &gt; 5,000 kW</v>
          </cell>
          <cell r="O4" t="str">
            <v>Clearance Pole Attachment charge $/pole/year</v>
          </cell>
        </row>
        <row r="5">
          <cell r="L5" t="str">
            <v>Total Loss Factor – Secondary Metered Customer</v>
          </cell>
          <cell r="O5" t="str">
            <v>Collection of account charge – no disconnection</v>
          </cell>
        </row>
        <row r="6">
          <cell r="L6" t="str">
            <v>Total Loss Factor – Secondary Metered Customer &lt; 5,000 kW</v>
          </cell>
          <cell r="O6" t="str">
            <v>Collection of account charge – no disconnection – after regular hours</v>
          </cell>
        </row>
        <row r="8">
          <cell r="L8" t="str">
            <v>Total Loss Factor – Secondary Metered Customer &gt; 5,000 kW</v>
          </cell>
          <cell r="O8" t="str">
            <v>Collection of account charge – no disconnection - during regular business hours</v>
          </cell>
        </row>
        <row r="9">
          <cell r="L9" t="str">
            <v>Distribution Loss Factor - Secondary Metered Customer &lt; 5,000 kW</v>
          </cell>
          <cell r="O9" t="str">
            <v>Collection of account charge – no disconnection – during regular hours</v>
          </cell>
        </row>
        <row r="10">
          <cell r="L10" t="str">
            <v>Distribution Loss Factor - Secondary Metered Customer &gt; 5,000 kW</v>
          </cell>
          <cell r="O10" t="str">
            <v>Collection/Disconnection/Load Limiter/Reconnection – if in Community</v>
          </cell>
        </row>
        <row r="11">
          <cell r="L11" t="str">
            <v>Distribution Loss Factor - Primary Metered Customer &lt; 5,000 kW</v>
          </cell>
          <cell r="O11" t="str">
            <v>Credit Card Convenience Charge</v>
          </cell>
        </row>
        <row r="12">
          <cell r="L12" t="str">
            <v>Distribution Loss Factor - Primary Metered Customer &gt; 5,000 kW</v>
          </cell>
          <cell r="O12" t="str">
            <v>Disconnect/Reconnect at meter – after regular hours</v>
          </cell>
        </row>
        <row r="14">
          <cell r="L14" t="str">
            <v>Total Loss Factor - Embedded Distributor</v>
          </cell>
          <cell r="O14" t="str">
            <v>Disconnect/Reconnect at meter – during regular hours</v>
          </cell>
        </row>
        <row r="15">
          <cell r="L15" t="str">
            <v>Total Loss Factor – Embedded Distributor – Hydro One Networks Inc.</v>
          </cell>
          <cell r="O15" t="str">
            <v>Disconnect/Reconnect at pole – after regular hours</v>
          </cell>
        </row>
        <row r="16">
          <cell r="O16" t="str">
            <v>Disconnect/Reconnect at pole – during regular hours</v>
          </cell>
        </row>
        <row r="17">
          <cell r="O17" t="str">
            <v>Disconnect/Reconnect Charge – At Meter – After Hours</v>
          </cell>
        </row>
        <row r="18">
          <cell r="O18" t="str">
            <v>Disconnect/Reconnect Charge – At Meter – During Regular Hours</v>
          </cell>
        </row>
        <row r="19">
          <cell r="O19" t="str">
            <v>Disconnect/Reconnect Charge – At Pole – After Hours</v>
          </cell>
        </row>
        <row r="20">
          <cell r="O20" t="str">
            <v>Disconnect/Reconnect Charge – At Pole – During Regular Hours</v>
          </cell>
        </row>
        <row r="21">
          <cell r="O21" t="str">
            <v>Disconnect/Reconnect Charges for non payment of account - At Meter After Hours</v>
          </cell>
        </row>
        <row r="22">
          <cell r="O22" t="str">
            <v>Disconnect/Reconnect charges for non payment of account – at meter after regular hours</v>
          </cell>
        </row>
        <row r="23">
          <cell r="O23" t="str">
            <v>Disconnect/Reconnect Charges for non payment of account - At Meter During Regular Hours</v>
          </cell>
        </row>
        <row r="24">
          <cell r="O24" t="str">
            <v>Disconnect/Reconnect charges for non payment of account – at meter during regular hours</v>
          </cell>
        </row>
        <row r="25">
          <cell r="O25" t="str">
            <v>Disconnect/Reconnect charges for non payment of account – at pole after regular hours</v>
          </cell>
        </row>
        <row r="26">
          <cell r="O26" t="str">
            <v>Disconnect/Reconnect charges for non payment of account – at pole during regular hours</v>
          </cell>
        </row>
        <row r="27">
          <cell r="O27" t="str">
            <v>Disconnect/Reconnection for &gt;300 volts - after regular hours</v>
          </cell>
        </row>
        <row r="28">
          <cell r="O28" t="str">
            <v>Disconnect/Reconnection for &gt;300 volts - during regular hours</v>
          </cell>
        </row>
        <row r="29">
          <cell r="O29" t="str">
            <v>Disposal of Concrete Poles</v>
          </cell>
        </row>
        <row r="30">
          <cell r="O30" t="str">
            <v>Dispute Test – Commercial TT -- MC</v>
          </cell>
        </row>
        <row r="31">
          <cell r="O31" t="str">
            <v>Install/Remove load control device – after regular hours</v>
          </cell>
        </row>
        <row r="32">
          <cell r="O32" t="str">
            <v>Install/Remove load control device – during regular hours</v>
          </cell>
        </row>
        <row r="33">
          <cell r="O33" t="str">
            <v>Interval Meter Interrogation</v>
          </cell>
        </row>
        <row r="34">
          <cell r="O34" t="str">
            <v>Interval Meter Load Management Tool Charge $/month</v>
          </cell>
        </row>
        <row r="35">
          <cell r="O35" t="str">
            <v>Interval meter request change</v>
          </cell>
        </row>
        <row r="36">
          <cell r="O36" t="str">
            <v>Late Payment – per annum</v>
          </cell>
        </row>
        <row r="37">
          <cell r="O37" t="str">
            <v>Late Payment – per month</v>
          </cell>
        </row>
        <row r="38">
          <cell r="O38" t="str">
            <v>Layout fees</v>
          </cell>
        </row>
        <row r="39">
          <cell r="O39" t="str">
            <v>Meter dispute charge plus Measurement Canada fees (if meter found correct)</v>
          </cell>
        </row>
        <row r="40">
          <cell r="O40" t="str">
            <v>Meter Interrogation Charge</v>
          </cell>
        </row>
        <row r="41">
          <cell r="O41" t="str">
            <v>Missed Service Appointment</v>
          </cell>
        </row>
        <row r="42">
          <cell r="O42" t="str">
            <v>Norfolk Pole Rentals – Billed</v>
          </cell>
        </row>
        <row r="43">
          <cell r="O43" t="str">
            <v>Optional Interval/TOU Meter charge $/month</v>
          </cell>
        </row>
        <row r="44">
          <cell r="O44" t="str">
            <v>Overtime Locate</v>
          </cell>
        </row>
        <row r="45">
          <cell r="O45" t="str">
            <v>Owner Requested Disconnection/Reconnection – after regular hours</v>
          </cell>
        </row>
        <row r="46">
          <cell r="O46" t="str">
            <v>Owner Requested Disconnection/Reconnection – during regular hours</v>
          </cell>
        </row>
        <row r="47">
          <cell r="O47" t="str">
            <v>Returned cheque (plus bank charges)</v>
          </cell>
        </row>
        <row r="48">
          <cell r="O48" t="str">
            <v>Rural system expansion / line connection fee</v>
          </cell>
        </row>
        <row r="49">
          <cell r="O49" t="str">
            <v>Same Day Open Trench</v>
          </cell>
        </row>
        <row r="50">
          <cell r="O50" t="str">
            <v>Scheduled Day Open Trench</v>
          </cell>
        </row>
        <row r="51">
          <cell r="O51" t="str">
            <v>Service call – after regular hours</v>
          </cell>
        </row>
        <row r="52">
          <cell r="O52" t="str">
            <v>Service call – customer owned equipment</v>
          </cell>
        </row>
        <row r="53">
          <cell r="O53" t="str">
            <v>Service Call – Customer-owned Equipment – After Regular Hours</v>
          </cell>
        </row>
        <row r="54">
          <cell r="O54" t="str">
            <v>Service Call – Customer-owned Equipment – During Regular Hours</v>
          </cell>
        </row>
        <row r="55">
          <cell r="O55" t="str">
            <v>Service Charge for onsite interrogation of interval meter due to customer phone line failure - required weekly until line repaired $ 6</v>
          </cell>
        </row>
        <row r="56">
          <cell r="O56" t="str">
            <v>Service Layout - Commercial</v>
          </cell>
        </row>
        <row r="57">
          <cell r="O57" t="str">
            <v>Service Layout - ResidentiaI</v>
          </cell>
        </row>
        <row r="58">
          <cell r="O58" t="str">
            <v>Special Billing Service (sub-metering charge per meter)</v>
          </cell>
        </row>
        <row r="59">
          <cell r="O59" t="str">
            <v>Special meter reads</v>
          </cell>
        </row>
        <row r="60">
          <cell r="O60" t="str">
            <v>Specific Charge for Access to the Power Poles - $/pole/year</v>
          </cell>
        </row>
        <row r="61">
          <cell r="O61" t="str">
            <v>Specific Charge for Bell Canada Access to the Power Poles – per pole/year</v>
          </cell>
        </row>
        <row r="62">
          <cell r="O62" t="str">
            <v>Switching for company maintenance – Charge based on Time and Materials</v>
          </cell>
        </row>
        <row r="63">
          <cell r="O63" t="str">
            <v>Temporary Service – Install &amp; remove – overhead – no transformer</v>
          </cell>
        </row>
        <row r="64">
          <cell r="O64" t="str">
            <v>Temporary Service – Install &amp; remove – overhead – with transformer</v>
          </cell>
        </row>
        <row r="65">
          <cell r="O65" t="str">
            <v>Temporary Service – Install &amp; remove – underground – no transformer</v>
          </cell>
        </row>
        <row r="66">
          <cell r="O66" t="str">
            <v>Temporary service install &amp; remove – overhead – no transformer</v>
          </cell>
        </row>
        <row r="67">
          <cell r="O67" t="str">
            <v>Temporary Service Install &amp; Remove – Overhead – With Transformer</v>
          </cell>
        </row>
        <row r="68">
          <cell r="O68" t="str">
            <v>Temporary Service Install &amp; Remove – Underground – No Transformer</v>
          </cell>
        </row>
        <row r="69">
          <cell r="O69" t="str">
            <v>Temporary service installation and removal – overhead – no transformer</v>
          </cell>
        </row>
        <row r="70">
          <cell r="O70" t="str">
            <v>Temporary service installation and removal – overhead – with transformer</v>
          </cell>
        </row>
        <row r="71">
          <cell r="O71" t="str">
            <v>Temporary service installation and removal – underground – no transformer</v>
          </cell>
        </row>
      </sheetData>
      <sheetData sheetId="34"/>
      <sheetData sheetId="35"/>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trlProp" Target="../ctrlProps/ctrlProp1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1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74"/>
  <sheetViews>
    <sheetView showGridLines="0" workbookViewId="0"/>
  </sheetViews>
  <sheetFormatPr defaultRowHeight="15" x14ac:dyDescent="0.25"/>
  <cols>
    <col min="1" max="1" width="19.28515625" style="915" customWidth="1"/>
    <col min="2" max="2" width="68.140625" style="1443" customWidth="1"/>
    <col min="3" max="3" width="9.140625" style="905"/>
    <col min="4" max="4" width="27.140625" style="927" customWidth="1"/>
    <col min="5" max="5" width="128.85546875" style="841" customWidth="1"/>
    <col min="6" max="16384" width="9.140625" style="841"/>
  </cols>
  <sheetData>
    <row r="1" spans="1:6" x14ac:dyDescent="0.25">
      <c r="A1" s="904" t="s">
        <v>2911</v>
      </c>
      <c r="B1" s="926"/>
    </row>
    <row r="3" spans="1:6" x14ac:dyDescent="0.25">
      <c r="A3" s="906" t="s">
        <v>2912</v>
      </c>
      <c r="B3" s="928" t="s">
        <v>2940</v>
      </c>
      <c r="C3" s="907" t="s">
        <v>2913</v>
      </c>
      <c r="D3" s="929" t="s">
        <v>2914</v>
      </c>
      <c r="E3" s="908"/>
    </row>
    <row r="4" spans="1:6" x14ac:dyDescent="0.25">
      <c r="A4" s="1647" t="s">
        <v>2915</v>
      </c>
      <c r="B4" s="1649" t="s">
        <v>2956</v>
      </c>
      <c r="C4" s="914">
        <v>1</v>
      </c>
      <c r="D4" s="930" t="s">
        <v>2916</v>
      </c>
      <c r="E4" s="908"/>
    </row>
    <row r="5" spans="1:6" ht="48.75" customHeight="1" x14ac:dyDescent="0.25">
      <c r="A5" s="1653"/>
      <c r="B5" s="1654"/>
      <c r="C5" s="912"/>
      <c r="D5" s="1657" t="s">
        <v>6897</v>
      </c>
      <c r="E5" s="1658"/>
      <c r="F5" s="909"/>
    </row>
    <row r="6" spans="1:6" ht="78.75" customHeight="1" x14ac:dyDescent="0.25">
      <c r="A6" s="1653"/>
      <c r="B6" s="1654"/>
      <c r="C6" s="912"/>
      <c r="D6" s="1657" t="s">
        <v>6898</v>
      </c>
      <c r="E6" s="1658"/>
      <c r="F6" s="909"/>
    </row>
    <row r="7" spans="1:6" x14ac:dyDescent="0.25">
      <c r="A7" s="1653"/>
      <c r="B7" s="1654"/>
      <c r="C7" s="912"/>
      <c r="D7" s="931"/>
      <c r="E7" s="910"/>
    </row>
    <row r="8" spans="1:6" ht="30" customHeight="1" x14ac:dyDescent="0.25">
      <c r="A8" s="1653"/>
      <c r="B8" s="1654"/>
      <c r="C8" s="912" t="s">
        <v>2902</v>
      </c>
      <c r="D8" s="1657" t="s">
        <v>6899</v>
      </c>
      <c r="E8" s="1658"/>
      <c r="F8" s="909"/>
    </row>
    <row r="9" spans="1:6" ht="39" customHeight="1" x14ac:dyDescent="0.25">
      <c r="A9" s="1653"/>
      <c r="B9" s="1654"/>
      <c r="C9" s="912"/>
      <c r="D9" s="1655" t="s">
        <v>2951</v>
      </c>
      <c r="E9" s="1656"/>
    </row>
    <row r="10" spans="1:6" x14ac:dyDescent="0.25">
      <c r="A10" s="1653"/>
      <c r="B10" s="1654"/>
      <c r="C10" s="912"/>
      <c r="D10" s="1657" t="s">
        <v>2957</v>
      </c>
      <c r="E10" s="1658"/>
      <c r="F10" s="909"/>
    </row>
    <row r="11" spans="1:6" x14ac:dyDescent="0.25">
      <c r="A11" s="1653"/>
      <c r="B11" s="1654"/>
      <c r="C11" s="912"/>
      <c r="D11" s="932"/>
      <c r="E11" s="1441"/>
    </row>
    <row r="12" spans="1:6" ht="33.75" customHeight="1" x14ac:dyDescent="0.25">
      <c r="A12" s="1653"/>
      <c r="B12" s="1654"/>
      <c r="C12" s="912" t="s">
        <v>2903</v>
      </c>
      <c r="D12" s="1657" t="s">
        <v>6869</v>
      </c>
      <c r="E12" s="1658"/>
    </row>
    <row r="13" spans="1:6" ht="33" customHeight="1" x14ac:dyDescent="0.25">
      <c r="A13" s="1653"/>
      <c r="B13" s="1654"/>
      <c r="C13" s="912"/>
      <c r="D13" s="1645" t="s">
        <v>2952</v>
      </c>
      <c r="E13" s="1646"/>
      <c r="F13" s="909"/>
    </row>
    <row r="14" spans="1:6" ht="30.75" customHeight="1" x14ac:dyDescent="0.25">
      <c r="A14" s="1653"/>
      <c r="B14" s="1654"/>
      <c r="C14" s="912"/>
      <c r="D14" s="1655" t="s">
        <v>2958</v>
      </c>
      <c r="E14" s="1656"/>
      <c r="F14" s="909"/>
    </row>
    <row r="15" spans="1:6" x14ac:dyDescent="0.25">
      <c r="A15" s="1648"/>
      <c r="B15" s="1650"/>
      <c r="C15" s="912"/>
      <c r="D15" s="932"/>
      <c r="E15" s="1441"/>
    </row>
    <row r="16" spans="1:6" x14ac:dyDescent="0.25">
      <c r="A16" s="1647" t="s">
        <v>2917</v>
      </c>
      <c r="B16" s="1649" t="s">
        <v>2941</v>
      </c>
      <c r="C16" s="914">
        <v>3</v>
      </c>
      <c r="D16" s="1659" t="s">
        <v>2942</v>
      </c>
      <c r="E16" s="1660"/>
      <c r="F16" s="909"/>
    </row>
    <row r="17" spans="1:6" x14ac:dyDescent="0.25">
      <c r="A17" s="1653"/>
      <c r="B17" s="1654"/>
      <c r="C17" s="912"/>
      <c r="D17" s="932"/>
      <c r="E17" s="1442"/>
      <c r="F17" s="909"/>
    </row>
    <row r="18" spans="1:6" x14ac:dyDescent="0.25">
      <c r="A18" s="1653"/>
      <c r="B18" s="1654"/>
      <c r="C18" s="912">
        <v>4</v>
      </c>
      <c r="D18" s="1645" t="s">
        <v>2959</v>
      </c>
      <c r="E18" s="1646"/>
      <c r="F18" s="909"/>
    </row>
    <row r="19" spans="1:6" x14ac:dyDescent="0.25">
      <c r="A19" s="1648"/>
      <c r="B19" s="1650"/>
      <c r="C19" s="913"/>
      <c r="D19" s="933"/>
      <c r="E19" s="911"/>
    </row>
    <row r="20" spans="1:6" x14ac:dyDescent="0.25">
      <c r="A20" s="1647" t="s">
        <v>2918</v>
      </c>
      <c r="B20" s="1649" t="s">
        <v>2960</v>
      </c>
      <c r="C20" s="914">
        <v>5</v>
      </c>
      <c r="D20" s="930" t="s">
        <v>2943</v>
      </c>
      <c r="E20" s="908"/>
    </row>
    <row r="21" spans="1:6" x14ac:dyDescent="0.25">
      <c r="A21" s="1653"/>
      <c r="B21" s="1654"/>
      <c r="C21" s="912"/>
      <c r="D21" s="934" t="s">
        <v>2961</v>
      </c>
      <c r="E21" s="910"/>
      <c r="F21" s="909"/>
    </row>
    <row r="22" spans="1:6" x14ac:dyDescent="0.25">
      <c r="A22" s="1653"/>
      <c r="B22" s="1654"/>
      <c r="C22" s="912"/>
      <c r="D22" s="934"/>
      <c r="E22" s="910"/>
    </row>
    <row r="23" spans="1:6" x14ac:dyDescent="0.25">
      <c r="A23" s="1653"/>
      <c r="B23" s="1654"/>
      <c r="C23" s="912">
        <v>6</v>
      </c>
      <c r="D23" s="931" t="s">
        <v>2944</v>
      </c>
      <c r="E23" s="910"/>
    </row>
    <row r="24" spans="1:6" x14ac:dyDescent="0.25">
      <c r="A24" s="1653"/>
      <c r="B24" s="1654"/>
      <c r="C24" s="912"/>
      <c r="D24" s="931" t="s">
        <v>2962</v>
      </c>
      <c r="E24" s="910"/>
    </row>
    <row r="25" spans="1:6" x14ac:dyDescent="0.25">
      <c r="A25" s="1653"/>
      <c r="B25" s="1654"/>
      <c r="C25" s="912"/>
      <c r="D25" s="931" t="s">
        <v>2963</v>
      </c>
      <c r="E25" s="910"/>
    </row>
    <row r="26" spans="1:6" x14ac:dyDescent="0.25">
      <c r="A26" s="1653"/>
      <c r="B26" s="1654"/>
      <c r="C26" s="912"/>
      <c r="D26" s="931" t="s">
        <v>2919</v>
      </c>
      <c r="E26" s="910"/>
      <c r="F26" s="909"/>
    </row>
    <row r="27" spans="1:6" x14ac:dyDescent="0.25">
      <c r="A27" s="1653"/>
      <c r="B27" s="1654"/>
      <c r="C27" s="912"/>
      <c r="D27" s="935" t="s">
        <v>2964</v>
      </c>
      <c r="E27" s="910"/>
      <c r="F27" s="909"/>
    </row>
    <row r="28" spans="1:6" x14ac:dyDescent="0.25">
      <c r="A28" s="1653"/>
      <c r="B28" s="1654"/>
      <c r="C28" s="912"/>
      <c r="D28" s="935" t="s">
        <v>2965</v>
      </c>
      <c r="E28" s="910"/>
    </row>
    <row r="29" spans="1:6" x14ac:dyDescent="0.25">
      <c r="A29" s="1653"/>
      <c r="B29" s="1654"/>
      <c r="C29" s="912"/>
      <c r="D29" s="931"/>
      <c r="E29" s="910"/>
    </row>
    <row r="30" spans="1:6" ht="72.75" customHeight="1" x14ac:dyDescent="0.25">
      <c r="A30" s="1653"/>
      <c r="B30" s="1654"/>
      <c r="C30" s="912">
        <v>7</v>
      </c>
      <c r="D30" s="1655" t="s">
        <v>2966</v>
      </c>
      <c r="E30" s="1656"/>
    </row>
    <row r="31" spans="1:6" x14ac:dyDescent="0.25">
      <c r="A31" s="1653"/>
      <c r="B31" s="1654"/>
      <c r="C31" s="912"/>
      <c r="D31" s="931"/>
      <c r="E31" s="910"/>
    </row>
    <row r="32" spans="1:6" ht="49.5" customHeight="1" x14ac:dyDescent="0.25">
      <c r="A32" s="1653"/>
      <c r="B32" s="1654"/>
      <c r="C32" s="912">
        <v>8</v>
      </c>
      <c r="D32" s="1655" t="s">
        <v>2967</v>
      </c>
      <c r="E32" s="1656"/>
      <c r="F32" s="909"/>
    </row>
    <row r="33" spans="1:6" x14ac:dyDescent="0.25">
      <c r="A33" s="1648"/>
      <c r="B33" s="1650"/>
      <c r="C33" s="913"/>
      <c r="D33" s="933"/>
      <c r="E33" s="911"/>
    </row>
    <row r="34" spans="1:6" x14ac:dyDescent="0.25">
      <c r="A34" s="1647" t="s">
        <v>2920</v>
      </c>
      <c r="B34" s="1649" t="s">
        <v>2968</v>
      </c>
      <c r="C34" s="914">
        <v>9</v>
      </c>
      <c r="D34" s="1651" t="s">
        <v>2969</v>
      </c>
      <c r="E34" s="1652"/>
    </row>
    <row r="35" spans="1:6" ht="37.5" customHeight="1" x14ac:dyDescent="0.25">
      <c r="A35" s="1653"/>
      <c r="B35" s="1654"/>
      <c r="C35" s="912"/>
      <c r="D35" s="1657" t="s">
        <v>2921</v>
      </c>
      <c r="E35" s="1658"/>
    </row>
    <row r="36" spans="1:6" ht="37.5" customHeight="1" x14ac:dyDescent="0.25">
      <c r="A36" s="1653"/>
      <c r="B36" s="1654"/>
      <c r="C36" s="912"/>
      <c r="D36" s="1657" t="s">
        <v>2953</v>
      </c>
      <c r="E36" s="1658"/>
    </row>
    <row r="37" spans="1:6" x14ac:dyDescent="0.25">
      <c r="A37" s="1648"/>
      <c r="B37" s="1650"/>
      <c r="C37" s="913"/>
      <c r="D37" s="933"/>
      <c r="E37" s="911"/>
    </row>
    <row r="38" spans="1:6" ht="33" customHeight="1" x14ac:dyDescent="0.25">
      <c r="A38" s="1647" t="s">
        <v>2922</v>
      </c>
      <c r="B38" s="1649" t="s">
        <v>2945</v>
      </c>
      <c r="C38" s="914">
        <v>10</v>
      </c>
      <c r="D38" s="1651" t="s">
        <v>2923</v>
      </c>
      <c r="E38" s="1652"/>
    </row>
    <row r="39" spans="1:6" ht="23.25" customHeight="1" x14ac:dyDescent="0.25">
      <c r="A39" s="1648"/>
      <c r="B39" s="1650"/>
      <c r="C39" s="913"/>
      <c r="D39" s="933"/>
      <c r="E39" s="911"/>
    </row>
    <row r="40" spans="1:6" x14ac:dyDescent="0.25">
      <c r="A40" s="1647" t="s">
        <v>2924</v>
      </c>
      <c r="B40" s="1649" t="s">
        <v>2946</v>
      </c>
      <c r="C40" s="914">
        <v>11</v>
      </c>
      <c r="D40" s="1661" t="s">
        <v>2925</v>
      </c>
      <c r="E40" s="1662"/>
      <c r="F40" s="909"/>
    </row>
    <row r="41" spans="1:6" x14ac:dyDescent="0.25">
      <c r="A41" s="1653"/>
      <c r="B41" s="1654"/>
      <c r="C41" s="912"/>
      <c r="D41" s="1645" t="s">
        <v>6870</v>
      </c>
      <c r="E41" s="1646"/>
      <c r="F41" s="909"/>
    </row>
    <row r="42" spans="1:6" ht="33" customHeight="1" x14ac:dyDescent="0.25">
      <c r="A42" s="1653"/>
      <c r="B42" s="1654"/>
      <c r="C42" s="912"/>
      <c r="D42" s="1657" t="s">
        <v>2970</v>
      </c>
      <c r="E42" s="1658"/>
      <c r="F42" s="909"/>
    </row>
    <row r="43" spans="1:6" x14ac:dyDescent="0.25">
      <c r="A43" s="1648"/>
      <c r="B43" s="1650"/>
      <c r="C43" s="913"/>
      <c r="D43" s="933"/>
      <c r="E43" s="911"/>
    </row>
    <row r="44" spans="1:6" x14ac:dyDescent="0.25">
      <c r="A44" s="1647" t="s">
        <v>2926</v>
      </c>
      <c r="B44" s="1649" t="s">
        <v>2971</v>
      </c>
      <c r="C44" s="914">
        <v>12</v>
      </c>
      <c r="D44" s="1651" t="s">
        <v>2927</v>
      </c>
      <c r="E44" s="1652"/>
    </row>
    <row r="45" spans="1:6" ht="32.25" customHeight="1" x14ac:dyDescent="0.25">
      <c r="A45" s="1653"/>
      <c r="B45" s="1654"/>
      <c r="C45" s="912"/>
      <c r="D45" s="1655" t="s">
        <v>2928</v>
      </c>
      <c r="E45" s="1656"/>
      <c r="F45" s="909"/>
    </row>
    <row r="46" spans="1:6" ht="48.75" customHeight="1" x14ac:dyDescent="0.25">
      <c r="A46" s="1653"/>
      <c r="B46" s="1654"/>
      <c r="C46" s="912"/>
      <c r="D46" s="1657" t="s">
        <v>2972</v>
      </c>
      <c r="E46" s="1658"/>
    </row>
    <row r="47" spans="1:6" x14ac:dyDescent="0.25">
      <c r="A47" s="1648"/>
      <c r="B47" s="1650"/>
      <c r="C47" s="913"/>
      <c r="D47" s="933"/>
      <c r="E47" s="911"/>
    </row>
    <row r="48" spans="1:6" ht="30" customHeight="1" x14ac:dyDescent="0.25">
      <c r="A48" s="1647" t="s">
        <v>2947</v>
      </c>
      <c r="B48" s="1649" t="s">
        <v>2948</v>
      </c>
      <c r="C48" s="912">
        <v>13</v>
      </c>
      <c r="D48" s="1659" t="s">
        <v>2973</v>
      </c>
      <c r="E48" s="1660"/>
    </row>
    <row r="49" spans="1:5" x14ac:dyDescent="0.25">
      <c r="A49" s="1648"/>
      <c r="B49" s="1650"/>
      <c r="C49" s="912"/>
      <c r="D49" s="931"/>
      <c r="E49" s="910"/>
    </row>
    <row r="50" spans="1:5" ht="30" customHeight="1" x14ac:dyDescent="0.25">
      <c r="A50" s="1647" t="s">
        <v>2929</v>
      </c>
      <c r="B50" s="1649" t="s">
        <v>2949</v>
      </c>
      <c r="C50" s="914">
        <v>14</v>
      </c>
      <c r="D50" s="1651" t="s">
        <v>2930</v>
      </c>
      <c r="E50" s="1652"/>
    </row>
    <row r="51" spans="1:5" x14ac:dyDescent="0.25">
      <c r="A51" s="1648"/>
      <c r="B51" s="1650"/>
      <c r="C51" s="913"/>
      <c r="D51" s="933"/>
      <c r="E51" s="911"/>
    </row>
    <row r="62" spans="1:5" x14ac:dyDescent="0.25">
      <c r="B62" s="937"/>
    </row>
    <row r="63" spans="1:5" x14ac:dyDescent="0.25">
      <c r="B63" s="937"/>
      <c r="C63" s="936"/>
    </row>
    <row r="64" spans="1:5" x14ac:dyDescent="0.25">
      <c r="B64" s="937"/>
      <c r="C64" s="936"/>
    </row>
    <row r="65" spans="1:4" x14ac:dyDescent="0.25">
      <c r="A65" s="841"/>
      <c r="B65" s="745"/>
      <c r="C65" s="936"/>
      <c r="D65" s="841"/>
    </row>
    <row r="66" spans="1:4" x14ac:dyDescent="0.25">
      <c r="A66" s="841"/>
      <c r="B66" s="745"/>
      <c r="C66" s="936"/>
      <c r="D66" s="841"/>
    </row>
    <row r="67" spans="1:4" x14ac:dyDescent="0.25">
      <c r="A67" s="841"/>
      <c r="B67" s="745"/>
      <c r="C67" s="936"/>
      <c r="D67" s="841"/>
    </row>
    <row r="68" spans="1:4" x14ac:dyDescent="0.25">
      <c r="A68" s="841"/>
      <c r="B68" s="745"/>
      <c r="C68" s="936"/>
      <c r="D68" s="841"/>
    </row>
    <row r="69" spans="1:4" x14ac:dyDescent="0.25">
      <c r="A69" s="841"/>
      <c r="B69" s="745"/>
      <c r="C69" s="936"/>
      <c r="D69" s="841"/>
    </row>
    <row r="70" spans="1:4" x14ac:dyDescent="0.25">
      <c r="A70" s="841"/>
      <c r="B70" s="745"/>
      <c r="C70" s="936"/>
      <c r="D70" s="841"/>
    </row>
    <row r="71" spans="1:4" x14ac:dyDescent="0.25">
      <c r="A71" s="841"/>
      <c r="B71" s="745"/>
      <c r="C71" s="936"/>
      <c r="D71" s="841"/>
    </row>
    <row r="72" spans="1:4" x14ac:dyDescent="0.25">
      <c r="A72" s="841"/>
      <c r="B72" s="745"/>
      <c r="C72" s="936"/>
      <c r="D72" s="841"/>
    </row>
    <row r="73" spans="1:4" x14ac:dyDescent="0.25">
      <c r="A73" s="841"/>
      <c r="B73" s="745"/>
      <c r="D73" s="841"/>
    </row>
    <row r="74" spans="1:4" x14ac:dyDescent="0.25">
      <c r="A74" s="841"/>
      <c r="B74" s="745"/>
      <c r="D74" s="841"/>
    </row>
  </sheetData>
  <sheetProtection algorithmName="SHA-512" hashValue="TNg2B2rCSqpoktHdjfm90gUcQ5ACWkFUzwF8vjVbgzLFQKc028QrTPMTFoMi4Ll6UzhDTf8rX8a77cNwu/U8bA==" saltValue="+Ryed8Sme8xnpu7Jr+qCWQ==" spinCount="100000" sheet="1" objects="1" scenarios="1"/>
  <mergeCells count="42">
    <mergeCell ref="A38:A39"/>
    <mergeCell ref="B38:B39"/>
    <mergeCell ref="D38:E38"/>
    <mergeCell ref="A40:A43"/>
    <mergeCell ref="A20:A33"/>
    <mergeCell ref="B20:B33"/>
    <mergeCell ref="D30:E30"/>
    <mergeCell ref="D32:E32"/>
    <mergeCell ref="A34:A37"/>
    <mergeCell ref="B34:B37"/>
    <mergeCell ref="D34:E34"/>
    <mergeCell ref="D35:E35"/>
    <mergeCell ref="D36:E36"/>
    <mergeCell ref="B40:B43"/>
    <mergeCell ref="D40:E40"/>
    <mergeCell ref="D42:E42"/>
    <mergeCell ref="A16:A19"/>
    <mergeCell ref="B16:B19"/>
    <mergeCell ref="D16:E16"/>
    <mergeCell ref="D18:E18"/>
    <mergeCell ref="D13:E13"/>
    <mergeCell ref="A4:A15"/>
    <mergeCell ref="B4:B15"/>
    <mergeCell ref="D5:E5"/>
    <mergeCell ref="D6:E6"/>
    <mergeCell ref="D8:E8"/>
    <mergeCell ref="D9:E9"/>
    <mergeCell ref="D10:E10"/>
    <mergeCell ref="D12:E12"/>
    <mergeCell ref="D14:E14"/>
    <mergeCell ref="D41:E41"/>
    <mergeCell ref="A48:A49"/>
    <mergeCell ref="B48:B49"/>
    <mergeCell ref="A50:A51"/>
    <mergeCell ref="B50:B51"/>
    <mergeCell ref="D50:E50"/>
    <mergeCell ref="A44:A47"/>
    <mergeCell ref="B44:B47"/>
    <mergeCell ref="D44:E44"/>
    <mergeCell ref="D45:E45"/>
    <mergeCell ref="D46:E46"/>
    <mergeCell ref="D48:E4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3:N184"/>
  <sheetViews>
    <sheetView showGridLines="0" topLeftCell="A19" zoomScaleNormal="100" workbookViewId="0">
      <selection activeCell="D20" sqref="D20"/>
    </sheetView>
  </sheetViews>
  <sheetFormatPr defaultRowHeight="15" x14ac:dyDescent="0.25"/>
  <cols>
    <col min="1" max="1" width="55.85546875" style="841" customWidth="1"/>
    <col min="2" max="2" width="9.85546875" style="841" customWidth="1"/>
    <col min="3" max="3" width="31" style="841" bestFit="1" customWidth="1"/>
    <col min="4" max="4" width="31" style="841" customWidth="1"/>
    <col min="5" max="5" width="27.42578125" style="841" hidden="1" customWidth="1"/>
    <col min="6" max="6" width="28.5703125" style="841" hidden="1" customWidth="1"/>
    <col min="7" max="8" width="28.28515625" style="841" hidden="1" customWidth="1"/>
    <col min="9" max="9" width="30.42578125" style="841" customWidth="1"/>
    <col min="10" max="10" width="24.85546875" style="841" customWidth="1"/>
    <col min="11" max="11" width="10.140625" style="841" customWidth="1"/>
    <col min="12" max="13" width="9.140625" style="841"/>
    <col min="14" max="14" width="32.28515625" style="841" customWidth="1"/>
    <col min="15" max="16384" width="9.140625" style="841"/>
  </cols>
  <sheetData>
    <row r="13" spans="1:9" ht="18.75" customHeight="1" x14ac:dyDescent="0.25">
      <c r="A13" s="843"/>
      <c r="B13" s="843"/>
      <c r="C13" s="843"/>
      <c r="D13" s="843"/>
      <c r="E13" s="843"/>
      <c r="F13" s="843"/>
    </row>
    <row r="14" spans="1:9" ht="111" customHeight="1" x14ac:dyDescent="0.25">
      <c r="A14" s="1786" t="s">
        <v>2954</v>
      </c>
      <c r="B14" s="1786"/>
      <c r="C14" s="1786"/>
      <c r="D14" s="1786"/>
      <c r="E14" s="1787"/>
      <c r="F14" s="1787"/>
    </row>
    <row r="15" spans="1:9" x14ac:dyDescent="0.25">
      <c r="A15" s="940"/>
      <c r="B15" s="940"/>
      <c r="C15" s="940"/>
      <c r="D15" s="940"/>
      <c r="E15" s="939"/>
      <c r="F15" s="939"/>
    </row>
    <row r="16" spans="1:9" ht="20.25" customHeight="1" x14ac:dyDescent="0.25">
      <c r="A16" s="938" t="s">
        <v>6071</v>
      </c>
      <c r="B16" s="1024">
        <f>G1LD</f>
        <v>2016</v>
      </c>
      <c r="C16" s="1791"/>
      <c r="D16" s="1780"/>
      <c r="E16" s="1780"/>
      <c r="F16" s="1780"/>
      <c r="G16" s="1780"/>
      <c r="H16" s="1780"/>
      <c r="I16" s="1780"/>
    </row>
    <row r="17" spans="1:14" x14ac:dyDescent="0.25">
      <c r="A17" s="940"/>
      <c r="B17" s="940"/>
      <c r="C17" s="940"/>
      <c r="D17" s="940"/>
      <c r="E17" s="939"/>
      <c r="F17" s="939"/>
    </row>
    <row r="18" spans="1:14" ht="34.5" customHeight="1" x14ac:dyDescent="0.25">
      <c r="A18" s="1786" t="s">
        <v>2573</v>
      </c>
      <c r="B18" s="1786"/>
      <c r="C18" s="1786"/>
      <c r="D18" s="1786"/>
      <c r="E18" s="1786"/>
      <c r="F18" s="1786"/>
    </row>
    <row r="19" spans="1:14" ht="17.25" customHeight="1" thickBot="1" x14ac:dyDescent="0.3">
      <c r="B19" s="551"/>
      <c r="C19" s="613" t="s">
        <v>51</v>
      </c>
      <c r="D19" s="614">
        <v>2017</v>
      </c>
      <c r="E19" s="614">
        <v>2016</v>
      </c>
      <c r="F19" s="614">
        <v>2015</v>
      </c>
      <c r="G19" s="616">
        <v>2014</v>
      </c>
      <c r="H19" s="615">
        <v>2013</v>
      </c>
    </row>
    <row r="20" spans="1:14" s="402" customFormat="1" ht="56.25" customHeight="1" thickBot="1" x14ac:dyDescent="0.3">
      <c r="A20" s="552" t="s">
        <v>6082</v>
      </c>
      <c r="B20" s="608" t="s">
        <v>442</v>
      </c>
      <c r="C20" s="955">
        <f>SUM(D20:G20)</f>
        <v>38851081</v>
      </c>
      <c r="D20" s="982">
        <v>38851081</v>
      </c>
      <c r="E20" s="982"/>
      <c r="F20" s="983"/>
      <c r="G20" s="984"/>
      <c r="H20" s="984"/>
    </row>
    <row r="21" spans="1:14" s="402" customFormat="1" ht="27" thickBot="1" x14ac:dyDescent="0.3">
      <c r="A21" s="552" t="s">
        <v>6076</v>
      </c>
      <c r="B21" s="608" t="s">
        <v>443</v>
      </c>
      <c r="C21" s="955">
        <f>SUM(D21:G21)</f>
        <v>2274430.9400000004</v>
      </c>
      <c r="D21" s="954">
        <f>D184</f>
        <v>2274430.9400000004</v>
      </c>
      <c r="E21" s="954">
        <f>E184</f>
        <v>0</v>
      </c>
      <c r="F21" s="954">
        <f>F184</f>
        <v>0</v>
      </c>
      <c r="G21" s="954">
        <f>G184</f>
        <v>0</v>
      </c>
      <c r="H21" s="954">
        <f>H184</f>
        <v>0</v>
      </c>
    </row>
    <row r="22" spans="1:14" s="402" customFormat="1" ht="15.75" thickBot="1" x14ac:dyDescent="0.3">
      <c r="A22" s="553" t="s">
        <v>2574</v>
      </c>
      <c r="B22" s="609" t="s">
        <v>2441</v>
      </c>
      <c r="C22" s="953">
        <f>IFERROR(+C21/C20,0)</f>
        <v>5.8542282002397833E-2</v>
      </c>
      <c r="D22" s="952"/>
      <c r="E22" s="952"/>
      <c r="F22" s="951"/>
      <c r="G22" s="951"/>
      <c r="H22" s="951"/>
    </row>
    <row r="23" spans="1:14" x14ac:dyDescent="0.25">
      <c r="A23" s="843"/>
      <c r="B23" s="843"/>
      <c r="C23" s="843"/>
      <c r="D23" s="843"/>
      <c r="E23" s="843"/>
      <c r="F23" s="843"/>
    </row>
    <row r="24" spans="1:14" x14ac:dyDescent="0.25">
      <c r="A24" s="843"/>
      <c r="B24" s="843"/>
      <c r="C24" s="949"/>
      <c r="D24" s="949"/>
      <c r="E24" s="950"/>
      <c r="F24" s="949"/>
    </row>
    <row r="25" spans="1:14" ht="15.75" thickBot="1" x14ac:dyDescent="0.3">
      <c r="A25" s="1788" t="s">
        <v>2210</v>
      </c>
      <c r="B25" s="1788"/>
      <c r="C25" s="1788"/>
      <c r="D25" s="941"/>
      <c r="E25" s="843"/>
      <c r="F25" s="610"/>
    </row>
    <row r="26" spans="1:14" ht="15.75" hidden="1" thickBot="1" x14ac:dyDescent="0.3">
      <c r="A26" s="554"/>
      <c r="B26" s="554"/>
      <c r="C26" s="611"/>
      <c r="D26" s="611"/>
      <c r="E26" s="843"/>
      <c r="F26" s="843"/>
      <c r="N26" s="518"/>
    </row>
    <row r="27" spans="1:14" ht="15.75" thickBot="1" x14ac:dyDescent="0.3">
      <c r="A27" s="903" t="s">
        <v>2211</v>
      </c>
      <c r="B27" s="903" t="s">
        <v>2232</v>
      </c>
      <c r="C27" s="948">
        <f>'3. Continuity Schedule'!BT29</f>
        <v>76846.062200000015</v>
      </c>
      <c r="D27" s="943"/>
      <c r="E27" s="843"/>
      <c r="F27" s="843"/>
    </row>
    <row r="28" spans="1:14" ht="15.75" thickBot="1" x14ac:dyDescent="0.3">
      <c r="A28" s="552" t="s">
        <v>2575</v>
      </c>
      <c r="B28" s="612" t="s">
        <v>2442</v>
      </c>
      <c r="C28" s="947">
        <f>+C22*C27</f>
        <v>4498.7438440862052</v>
      </c>
      <c r="D28" s="946"/>
      <c r="E28" s="945"/>
      <c r="F28" s="843"/>
    </row>
    <row r="29" spans="1:14" ht="32.25" customHeight="1" thickBot="1" x14ac:dyDescent="0.3">
      <c r="A29" s="552" t="s">
        <v>2882</v>
      </c>
      <c r="B29" s="612" t="s">
        <v>2443</v>
      </c>
      <c r="C29" s="944">
        <f>+C27-C28</f>
        <v>72347.318355913812</v>
      </c>
      <c r="D29" s="943"/>
      <c r="E29" s="843"/>
      <c r="F29" s="843"/>
    </row>
    <row r="30" spans="1:14" x14ac:dyDescent="0.25">
      <c r="A30" s="843"/>
      <c r="B30" s="843"/>
      <c r="C30" s="843"/>
      <c r="D30" s="843"/>
      <c r="E30" s="843"/>
      <c r="F30" s="843"/>
    </row>
    <row r="31" spans="1:14" x14ac:dyDescent="0.25">
      <c r="A31" s="1789" t="s">
        <v>2879</v>
      </c>
      <c r="B31" s="1789"/>
      <c r="C31" s="1790"/>
      <c r="D31" s="1790"/>
      <c r="E31" s="1790"/>
      <c r="F31" s="843"/>
    </row>
    <row r="32" spans="1:14" x14ac:dyDescent="0.25">
      <c r="A32" s="555" t="s">
        <v>2880</v>
      </c>
      <c r="B32" s="555"/>
      <c r="C32" s="1074">
        <f>Cust3a</f>
        <v>2</v>
      </c>
      <c r="D32" s="1075"/>
      <c r="E32" s="1075"/>
      <c r="F32" s="1075"/>
      <c r="G32" s="1075"/>
      <c r="H32" s="1075"/>
      <c r="I32" s="113"/>
      <c r="J32" s="113"/>
      <c r="K32" s="1012"/>
    </row>
    <row r="33" spans="1:11" ht="65.25" customHeight="1" x14ac:dyDescent="0.25">
      <c r="A33" s="1489" t="s">
        <v>2444</v>
      </c>
      <c r="B33" s="1489"/>
      <c r="C33" s="1492" t="s">
        <v>6072</v>
      </c>
      <c r="D33" s="1492" t="s">
        <v>6073</v>
      </c>
      <c r="E33" s="1492" t="s">
        <v>6083</v>
      </c>
      <c r="F33" s="1492" t="s">
        <v>6084</v>
      </c>
      <c r="G33" s="1492" t="s">
        <v>6085</v>
      </c>
      <c r="H33" s="1492" t="s">
        <v>6086</v>
      </c>
      <c r="I33" s="1495" t="s">
        <v>2343</v>
      </c>
      <c r="J33" s="1499" t="s">
        <v>6074</v>
      </c>
      <c r="K33" s="1011" t="s">
        <v>2445</v>
      </c>
    </row>
    <row r="34" spans="1:11" s="2" customFormat="1" x14ac:dyDescent="0.25">
      <c r="A34" s="1490" t="s">
        <v>2467</v>
      </c>
      <c r="B34" s="1490"/>
      <c r="C34" s="1493">
        <f>SUM(D34:G34)</f>
        <v>607464</v>
      </c>
      <c r="D34" s="1493">
        <f t="array" ref="D34">SUM(IF('6. Class A Consumption Data'!F32:G32="B",'6. Class A Consumption Data'!F30:G30))</f>
        <v>607464</v>
      </c>
      <c r="E34" s="1493">
        <f t="array" ref="E34">SUM(IF('6. Class A Consumption Data'!H32:I32="B",'6. Class A Consumption Data'!H30:I30))</f>
        <v>0</v>
      </c>
      <c r="F34" s="1493">
        <f t="array" ref="F34">SUM(IF('6. Class A Consumption Data'!J32:K32="B",'6. Class A Consumption Data'!J30:K30))</f>
        <v>0</v>
      </c>
      <c r="G34" s="1493">
        <f t="array" ref="G34">SUM(IF('6. Class A Consumption Data'!L32:M32="B",'6. Class A Consumption Data'!L30:M30))</f>
        <v>0</v>
      </c>
      <c r="H34" s="1493">
        <f t="array" ref="H34">SUM(IF('6. Class A Consumption Data'!N32:O32="B",'6. Class A Consumption Data'!N30:O30))</f>
        <v>0</v>
      </c>
      <c r="I34" s="1497">
        <f>IFERROR(+C34/$C$184,0)</f>
        <v>0.26708395023855941</v>
      </c>
      <c r="J34" s="1500">
        <f>+I34*$C$28</f>
        <v>1201.5422769899455</v>
      </c>
      <c r="K34" s="1496">
        <f>+J34/12</f>
        <v>100.12852308249546</v>
      </c>
    </row>
    <row r="35" spans="1:11" s="2" customFormat="1" x14ac:dyDescent="0.25">
      <c r="A35" s="1490" t="s">
        <v>2468</v>
      </c>
      <c r="B35" s="1490"/>
      <c r="C35" s="1493">
        <f>SUM(D35:G35)</f>
        <v>1666966.9400000002</v>
      </c>
      <c r="D35" s="1493">
        <f t="array" ref="D35">SUM(IF('6. Class A Consumption Data'!F35:G35="B",'6. Class A Consumption Data'!F33:G33))</f>
        <v>1666966.9400000002</v>
      </c>
      <c r="E35" s="1493">
        <f t="array" ref="E35">SUM(IF('6. Class A Consumption Data'!H35:I35="B",'6. Class A Consumption Data'!H33:I33))</f>
        <v>0</v>
      </c>
      <c r="F35" s="1493">
        <f t="array" ref="F35">SUM(IF('6. Class A Consumption Data'!J35:K35="B",'6. Class A Consumption Data'!J33:K33))</f>
        <v>0</v>
      </c>
      <c r="G35" s="1493">
        <f t="array" ref="G35">SUM(IF('6. Class A Consumption Data'!L35:M35="B",'6. Class A Consumption Data'!L33:M33))</f>
        <v>0</v>
      </c>
      <c r="H35" s="1493">
        <f t="array" ref="H35">SUM(IF('6. Class A Consumption Data'!N35:O35="B",'6. Class A Consumption Data'!N33:O33))</f>
        <v>0</v>
      </c>
      <c r="I35" s="1497">
        <f t="shared" ref="I35:I98" si="0">IFERROR(+C35/$C$184,0)</f>
        <v>0.73291604976144054</v>
      </c>
      <c r="J35" s="1500">
        <f>+I35*$C$28</f>
        <v>3297.2015670962596</v>
      </c>
      <c r="K35" s="1496">
        <f>+J35/12</f>
        <v>274.76679725802165</v>
      </c>
    </row>
    <row r="36" spans="1:11" s="2" customFormat="1" hidden="1" x14ac:dyDescent="0.25">
      <c r="A36" s="1491" t="s">
        <v>2469</v>
      </c>
      <c r="B36" s="1491"/>
      <c r="C36" s="1494">
        <f>SUM(D36:G36)</f>
        <v>0</v>
      </c>
      <c r="D36" s="1494">
        <f t="array" ref="D36">SUM(IF('6. Class A Consumption Data'!F38:G38="B",'6. Class A Consumption Data'!F36:G36))</f>
        <v>0</v>
      </c>
      <c r="E36" s="1494">
        <f t="array" ref="E36">SUM(IF('6. Class A Consumption Data'!H38:I38="B",'6. Class A Consumption Data'!H36:I36))</f>
        <v>0</v>
      </c>
      <c r="F36" s="1494">
        <f t="array" ref="F36">SUM(IF('6. Class A Consumption Data'!J38:K38="B",'6. Class A Consumption Data'!J36:K36))</f>
        <v>0</v>
      </c>
      <c r="G36" s="1494">
        <f t="array" ref="G36">SUM(IF('6. Class A Consumption Data'!L38:M38="B",'6. Class A Consumption Data'!L36:M36))</f>
        <v>0</v>
      </c>
      <c r="H36" s="1494">
        <f t="array" ref="H36">SUM(IF('6. Class A Consumption Data'!N38:O38="B",'6. Class A Consumption Data'!N36:O36))</f>
        <v>0</v>
      </c>
      <c r="I36" s="1498">
        <f t="shared" si="0"/>
        <v>0</v>
      </c>
      <c r="J36" s="1496">
        <f>+I36*$C$28</f>
        <v>0</v>
      </c>
      <c r="K36" s="969">
        <f>+J36/12</f>
        <v>0</v>
      </c>
    </row>
    <row r="37" spans="1:11" s="2" customFormat="1" hidden="1" x14ac:dyDescent="0.25">
      <c r="A37" s="956" t="s">
        <v>2470</v>
      </c>
      <c r="B37" s="956"/>
      <c r="C37" s="957">
        <f>SUM(D37:G37)</f>
        <v>0</v>
      </c>
      <c r="D37" s="957">
        <f t="array" ref="D37">SUM(IF('6. Class A Consumption Data'!F41:G41="B",'6. Class A Consumption Data'!F39:G39))</f>
        <v>0</v>
      </c>
      <c r="E37" s="957">
        <f t="array" ref="E37">SUM(IF('6. Class A Consumption Data'!H41:I41="B",'6. Class A Consumption Data'!H39:I39))</f>
        <v>0</v>
      </c>
      <c r="F37" s="957">
        <f t="array" ref="F37">SUM(IF('6. Class A Consumption Data'!J41:K41="B",'6. Class A Consumption Data'!J39:K39))</f>
        <v>0</v>
      </c>
      <c r="G37" s="957">
        <f t="array" ref="G37">SUM(IF('6. Class A Consumption Data'!L41:M41="B",'6. Class A Consumption Data'!L39:M39))</f>
        <v>0</v>
      </c>
      <c r="H37" s="957">
        <f t="array" ref="H37">SUM(IF('6. Class A Consumption Data'!N41:O41="B",'6. Class A Consumption Data'!N39:O39))</f>
        <v>0</v>
      </c>
      <c r="I37" s="958">
        <f t="shared" si="0"/>
        <v>0</v>
      </c>
      <c r="J37" s="966">
        <f>+I37*$C$28</f>
        <v>0</v>
      </c>
      <c r="K37" s="969">
        <f>+J37/12</f>
        <v>0</v>
      </c>
    </row>
    <row r="38" spans="1:11" s="2" customFormat="1" hidden="1" x14ac:dyDescent="0.25">
      <c r="A38" s="956" t="s">
        <v>2471</v>
      </c>
      <c r="B38" s="956"/>
      <c r="C38" s="957">
        <f t="shared" ref="C38:C101" si="1">SUM(D38:G38)</f>
        <v>0</v>
      </c>
      <c r="D38" s="957">
        <f t="array" ref="D38">SUM(IF('6. Class A Consumption Data'!F44:G44="B",'6. Class A Consumption Data'!F42:G42))</f>
        <v>0</v>
      </c>
      <c r="E38" s="957">
        <f t="array" ref="E38">SUM(IF('6. Class A Consumption Data'!H44:I44="B",'6. Class A Consumption Data'!H42:I42))</f>
        <v>0</v>
      </c>
      <c r="F38" s="957">
        <f t="array" ref="F38">SUM(IF('6. Class A Consumption Data'!J44:K44="B",'6. Class A Consumption Data'!J42:K42))</f>
        <v>0</v>
      </c>
      <c r="G38" s="957">
        <f t="array" ref="G38">SUM(IF('6. Class A Consumption Data'!L44:M44="B",'6. Class A Consumption Data'!L42:M42))</f>
        <v>0</v>
      </c>
      <c r="H38" s="957">
        <f t="array" ref="H38">SUM(IF('6. Class A Consumption Data'!N44:O44="B",'6. Class A Consumption Data'!N42:O42))</f>
        <v>0</v>
      </c>
      <c r="I38" s="958">
        <f t="shared" si="0"/>
        <v>0</v>
      </c>
      <c r="J38" s="966">
        <f t="shared" ref="J38:J101" si="2">+I38*$C$28</f>
        <v>0</v>
      </c>
      <c r="K38" s="969">
        <f t="shared" ref="K38:K101" si="3">+J38/12</f>
        <v>0</v>
      </c>
    </row>
    <row r="39" spans="1:11" s="2" customFormat="1" hidden="1" x14ac:dyDescent="0.25">
      <c r="A39" s="956" t="s">
        <v>2554</v>
      </c>
      <c r="B39" s="956"/>
      <c r="C39" s="957">
        <f t="shared" si="1"/>
        <v>0</v>
      </c>
      <c r="D39" s="957">
        <f t="array" ref="D39">SUM(IF('6. Class A Consumption Data'!F47:G47="B",'6. Class A Consumption Data'!F45:G45))</f>
        <v>0</v>
      </c>
      <c r="E39" s="957">
        <f t="array" ref="E39">SUM(IF('6. Class A Consumption Data'!H47:I47="B",'6. Class A Consumption Data'!H45:I45))</f>
        <v>0</v>
      </c>
      <c r="F39" s="957">
        <f t="array" ref="F39">SUM(IF('6. Class A Consumption Data'!J47:K47="B",'6. Class A Consumption Data'!J45:K45))</f>
        <v>0</v>
      </c>
      <c r="G39" s="957">
        <f t="array" ref="G39">SUM(IF('6. Class A Consumption Data'!L47:M47="B",'6. Class A Consumption Data'!L45:M45))</f>
        <v>0</v>
      </c>
      <c r="H39" s="957">
        <f t="array" ref="H39">SUM(IF('6. Class A Consumption Data'!N47:O47="B",'6. Class A Consumption Data'!N45:O45))</f>
        <v>0</v>
      </c>
      <c r="I39" s="958">
        <f t="shared" si="0"/>
        <v>0</v>
      </c>
      <c r="J39" s="959">
        <f t="shared" si="2"/>
        <v>0</v>
      </c>
      <c r="K39" s="966">
        <f t="shared" si="3"/>
        <v>0</v>
      </c>
    </row>
    <row r="40" spans="1:11" s="2" customFormat="1" hidden="1" x14ac:dyDescent="0.25">
      <c r="A40" s="967" t="s">
        <v>2555</v>
      </c>
      <c r="B40" s="967"/>
      <c r="C40" s="968">
        <f t="shared" si="1"/>
        <v>0</v>
      </c>
      <c r="D40" s="968">
        <f t="array" ref="D40">SUM(IF('6. Class A Consumption Data'!F50:G50="B",'6. Class A Consumption Data'!F48:G48))</f>
        <v>0</v>
      </c>
      <c r="E40" s="968">
        <f t="array" ref="E40">SUM(IF('6. Class A Consumption Data'!H50:I50="B",'6. Class A Consumption Data'!H48:I48))</f>
        <v>0</v>
      </c>
      <c r="F40" s="968">
        <f t="array" ref="F40">SUM(IF('6. Class A Consumption Data'!J50:K50="B",'6. Class A Consumption Data'!J48:K48))</f>
        <v>0</v>
      </c>
      <c r="G40" s="968">
        <f t="array" ref="G40">SUM(IF('6. Class A Consumption Data'!L50:M50="B",'6. Class A Consumption Data'!L48:M48))</f>
        <v>0</v>
      </c>
      <c r="H40" s="968">
        <f t="array" ref="H40">SUM(IF('6. Class A Consumption Data'!N50:O50="B",'6. Class A Consumption Data'!N48:O48))</f>
        <v>0</v>
      </c>
      <c r="I40" s="963">
        <f t="shared" si="0"/>
        <v>0</v>
      </c>
      <c r="J40" s="970">
        <f t="shared" si="2"/>
        <v>0</v>
      </c>
      <c r="K40" s="960">
        <f t="shared" si="3"/>
        <v>0</v>
      </c>
    </row>
    <row r="41" spans="1:11" s="2" customFormat="1" hidden="1" x14ac:dyDescent="0.25">
      <c r="A41" s="967" t="s">
        <v>2556</v>
      </c>
      <c r="B41" s="967"/>
      <c r="C41" s="968">
        <f t="shared" si="1"/>
        <v>0</v>
      </c>
      <c r="D41" s="968">
        <f t="array" ref="D41">SUM(IF('6. Class A Consumption Data'!F53:G53="B",'6. Class A Consumption Data'!F51:G51))</f>
        <v>0</v>
      </c>
      <c r="E41" s="968">
        <f t="array" ref="E41">SUM(IF('6. Class A Consumption Data'!H53:I53="B",'6. Class A Consumption Data'!H51:I51))</f>
        <v>0</v>
      </c>
      <c r="F41" s="968">
        <f t="array" ref="F41">SUM(IF('6. Class A Consumption Data'!J53:K53="B",'6. Class A Consumption Data'!J51:K51))</f>
        <v>0</v>
      </c>
      <c r="G41" s="968">
        <f t="array" ref="G41">SUM(IF('6. Class A Consumption Data'!L53:M53="B",'6. Class A Consumption Data'!L51:M51))</f>
        <v>0</v>
      </c>
      <c r="H41" s="968">
        <f t="array" ref="H41">SUM(IF('6. Class A Consumption Data'!N53:O53="B",'6. Class A Consumption Data'!N51:O51))</f>
        <v>0</v>
      </c>
      <c r="I41" s="963">
        <f t="shared" si="0"/>
        <v>0</v>
      </c>
      <c r="J41" s="970">
        <f t="shared" si="2"/>
        <v>0</v>
      </c>
      <c r="K41" s="960">
        <f t="shared" si="3"/>
        <v>0</v>
      </c>
    </row>
    <row r="42" spans="1:11" s="2" customFormat="1" hidden="1" x14ac:dyDescent="0.25">
      <c r="A42" s="967" t="s">
        <v>2557</v>
      </c>
      <c r="B42" s="967"/>
      <c r="C42" s="968">
        <f t="shared" si="1"/>
        <v>0</v>
      </c>
      <c r="D42" s="968">
        <f t="array" ref="D42">SUM(IF('6. Class A Consumption Data'!F56:G56="B",'6. Class A Consumption Data'!F54:G54))</f>
        <v>0</v>
      </c>
      <c r="E42" s="968">
        <f t="array" ref="E42">SUM(IF('6. Class A Consumption Data'!H56:I56="B",'6. Class A Consumption Data'!H54:I54))</f>
        <v>0</v>
      </c>
      <c r="F42" s="968">
        <f t="array" ref="F42">SUM(IF('6. Class A Consumption Data'!J56:K56="B",'6. Class A Consumption Data'!J54:K54))</f>
        <v>0</v>
      </c>
      <c r="G42" s="968">
        <f t="array" ref="G42">SUM(IF('6. Class A Consumption Data'!L56:M56="B",'6. Class A Consumption Data'!L54:M54))</f>
        <v>0</v>
      </c>
      <c r="H42" s="968">
        <f t="array" ref="H42">SUM(IF('6. Class A Consumption Data'!N56:O56="B",'6. Class A Consumption Data'!N54:O54))</f>
        <v>0</v>
      </c>
      <c r="I42" s="963">
        <f t="shared" si="0"/>
        <v>0</v>
      </c>
      <c r="J42" s="970">
        <f t="shared" si="2"/>
        <v>0</v>
      </c>
      <c r="K42" s="960">
        <f t="shared" si="3"/>
        <v>0</v>
      </c>
    </row>
    <row r="43" spans="1:11" hidden="1" x14ac:dyDescent="0.25">
      <c r="A43" s="967" t="s">
        <v>2558</v>
      </c>
      <c r="B43" s="967"/>
      <c r="C43" s="968">
        <f t="shared" si="1"/>
        <v>0</v>
      </c>
      <c r="D43" s="968">
        <f t="array" ref="D43">SUM(IF('6. Class A Consumption Data'!F59:G59="B",'6. Class A Consumption Data'!F57:G57))</f>
        <v>0</v>
      </c>
      <c r="E43" s="968">
        <f t="array" ref="E43">SUM(IF('6. Class A Consumption Data'!H59:I59="B",'6. Class A Consumption Data'!H57:I57))</f>
        <v>0</v>
      </c>
      <c r="F43" s="968">
        <f t="array" ref="F43">SUM(IF('6. Class A Consumption Data'!J59:K59="B",'6. Class A Consumption Data'!J57:K57))</f>
        <v>0</v>
      </c>
      <c r="G43" s="968">
        <f t="array" ref="G43">SUM(IF('6. Class A Consumption Data'!L59:M59="B",'6. Class A Consumption Data'!L57:M57))</f>
        <v>0</v>
      </c>
      <c r="H43" s="968">
        <f t="array" ref="H43">SUM(IF('6. Class A Consumption Data'!N59:O59="B",'6. Class A Consumption Data'!N57:O57))</f>
        <v>0</v>
      </c>
      <c r="I43" s="963">
        <f t="shared" si="0"/>
        <v>0</v>
      </c>
      <c r="J43" s="970">
        <f t="shared" si="2"/>
        <v>0</v>
      </c>
      <c r="K43" s="960">
        <f t="shared" si="3"/>
        <v>0</v>
      </c>
    </row>
    <row r="44" spans="1:11" hidden="1" x14ac:dyDescent="0.25">
      <c r="A44" s="967" t="s">
        <v>2559</v>
      </c>
      <c r="B44" s="967"/>
      <c r="C44" s="968">
        <f t="shared" si="1"/>
        <v>0</v>
      </c>
      <c r="D44" s="968">
        <f t="array" ref="D44">SUM(IF('6. Class A Consumption Data'!F62:G62="B",'6. Class A Consumption Data'!F60:G60))</f>
        <v>0</v>
      </c>
      <c r="E44" s="968">
        <f t="array" ref="E44">SUM(IF('6. Class A Consumption Data'!H62:I62="B",'6. Class A Consumption Data'!H60:I60))</f>
        <v>0</v>
      </c>
      <c r="F44" s="968">
        <f t="array" ref="F44">SUM(IF('6. Class A Consumption Data'!J62:K62="B",'6. Class A Consumption Data'!J60:K60))</f>
        <v>0</v>
      </c>
      <c r="G44" s="968">
        <f t="array" ref="G44">SUM(IF('6. Class A Consumption Data'!L62:M62="B",'6. Class A Consumption Data'!L60:M60))</f>
        <v>0</v>
      </c>
      <c r="H44" s="968">
        <f t="array" ref="H44">SUM(IF('6. Class A Consumption Data'!N62:O62="B",'6. Class A Consumption Data'!N60:O60))</f>
        <v>0</v>
      </c>
      <c r="I44" s="963">
        <f t="shared" si="0"/>
        <v>0</v>
      </c>
      <c r="J44" s="970">
        <f t="shared" si="2"/>
        <v>0</v>
      </c>
      <c r="K44" s="960">
        <f t="shared" si="3"/>
        <v>0</v>
      </c>
    </row>
    <row r="45" spans="1:11" hidden="1" x14ac:dyDescent="0.25">
      <c r="A45" s="967" t="s">
        <v>2560</v>
      </c>
      <c r="B45" s="967"/>
      <c r="C45" s="968">
        <f t="shared" si="1"/>
        <v>0</v>
      </c>
      <c r="D45" s="968">
        <f t="array" ref="D45">SUM(IF('6. Class A Consumption Data'!F65:G65="B",'6. Class A Consumption Data'!F63:G63))</f>
        <v>0</v>
      </c>
      <c r="E45" s="968">
        <f t="array" ref="E45">SUM(IF('6. Class A Consumption Data'!H65:I65="B",'6. Class A Consumption Data'!H63:I63))</f>
        <v>0</v>
      </c>
      <c r="F45" s="968">
        <f t="array" ref="F45">SUM(IF('6. Class A Consumption Data'!J65:K65="B",'6. Class A Consumption Data'!J63:K63))</f>
        <v>0</v>
      </c>
      <c r="G45" s="968">
        <f t="array" ref="G45">SUM(IF('6. Class A Consumption Data'!L65:M65="B",'6. Class A Consumption Data'!L63:M63))</f>
        <v>0</v>
      </c>
      <c r="H45" s="968">
        <f t="array" ref="H45">SUM(IF('6. Class A Consumption Data'!N65:O65="B",'6. Class A Consumption Data'!N63:O63))</f>
        <v>0</v>
      </c>
      <c r="I45" s="963">
        <f t="shared" si="0"/>
        <v>0</v>
      </c>
      <c r="J45" s="970">
        <f t="shared" si="2"/>
        <v>0</v>
      </c>
      <c r="K45" s="960">
        <f t="shared" si="3"/>
        <v>0</v>
      </c>
    </row>
    <row r="46" spans="1:11" hidden="1" x14ac:dyDescent="0.25">
      <c r="A46" s="967" t="s">
        <v>2597</v>
      </c>
      <c r="B46" s="967"/>
      <c r="C46" s="968">
        <f t="shared" si="1"/>
        <v>0</v>
      </c>
      <c r="D46" s="968">
        <f t="array" ref="D46">SUM(IF('6. Class A Consumption Data'!F68:G68="B",'6. Class A Consumption Data'!F66:G66))</f>
        <v>0</v>
      </c>
      <c r="E46" s="968">
        <f t="array" ref="E46">SUM(IF('6. Class A Consumption Data'!H68:I68="B",'6. Class A Consumption Data'!H66:I66))</f>
        <v>0</v>
      </c>
      <c r="F46" s="968">
        <f t="array" ref="F46">SUM(IF('6. Class A Consumption Data'!J68:K68="B",'6. Class A Consumption Data'!J66:K66))</f>
        <v>0</v>
      </c>
      <c r="G46" s="968">
        <f t="array" ref="G46">SUM(IF('6. Class A Consumption Data'!L68:M68="B",'6. Class A Consumption Data'!L66:M66))</f>
        <v>0</v>
      </c>
      <c r="H46" s="968">
        <f t="array" ref="H46">SUM(IF('6. Class A Consumption Data'!N68:O68="B",'6. Class A Consumption Data'!N66:O66))</f>
        <v>0</v>
      </c>
      <c r="I46" s="963">
        <f t="shared" si="0"/>
        <v>0</v>
      </c>
      <c r="J46" s="970">
        <f t="shared" si="2"/>
        <v>0</v>
      </c>
      <c r="K46" s="960">
        <f t="shared" si="3"/>
        <v>0</v>
      </c>
    </row>
    <row r="47" spans="1:11" hidden="1" x14ac:dyDescent="0.25">
      <c r="A47" s="967" t="s">
        <v>2598</v>
      </c>
      <c r="B47" s="967"/>
      <c r="C47" s="968">
        <f t="shared" si="1"/>
        <v>0</v>
      </c>
      <c r="D47" s="968">
        <f t="array" ref="D47">SUM(IF('6. Class A Consumption Data'!F71:G71="B",'6. Class A Consumption Data'!F69:G69))</f>
        <v>0</v>
      </c>
      <c r="E47" s="968">
        <f t="array" ref="E47">SUM(IF('6. Class A Consumption Data'!H71:I71="B",'6. Class A Consumption Data'!H69:I69))</f>
        <v>0</v>
      </c>
      <c r="F47" s="968">
        <f t="array" ref="F47">SUM(IF('6. Class A Consumption Data'!J71:K71="B",'6. Class A Consumption Data'!J69:K69))</f>
        <v>0</v>
      </c>
      <c r="G47" s="968">
        <f t="array" ref="G47">SUM(IF('6. Class A Consumption Data'!L71:M71="B",'6. Class A Consumption Data'!L69:M69))</f>
        <v>0</v>
      </c>
      <c r="H47" s="968">
        <f t="array" ref="H47">SUM(IF('6. Class A Consumption Data'!N71:O71="B",'6. Class A Consumption Data'!N69:O69))</f>
        <v>0</v>
      </c>
      <c r="I47" s="963">
        <f t="shared" si="0"/>
        <v>0</v>
      </c>
      <c r="J47" s="970">
        <f t="shared" si="2"/>
        <v>0</v>
      </c>
      <c r="K47" s="960">
        <f t="shared" si="3"/>
        <v>0</v>
      </c>
    </row>
    <row r="48" spans="1:11" hidden="1" x14ac:dyDescent="0.25">
      <c r="A48" s="967" t="s">
        <v>2599</v>
      </c>
      <c r="B48" s="967"/>
      <c r="C48" s="968">
        <f t="shared" si="1"/>
        <v>0</v>
      </c>
      <c r="D48" s="968">
        <f t="array" ref="D48">SUM(IF('6. Class A Consumption Data'!F74:G74="B",'6. Class A Consumption Data'!F72:G72))</f>
        <v>0</v>
      </c>
      <c r="E48" s="968">
        <f t="array" ref="E48">SUM(IF('6. Class A Consumption Data'!H74:I74="B",'6. Class A Consumption Data'!H72:I72))</f>
        <v>0</v>
      </c>
      <c r="F48" s="968">
        <f t="array" ref="F48">SUM(IF('6. Class A Consumption Data'!J74:K74="B",'6. Class A Consumption Data'!J72:K72))</f>
        <v>0</v>
      </c>
      <c r="G48" s="968">
        <f t="array" ref="G48">SUM(IF('6. Class A Consumption Data'!L74:M74="B",'6. Class A Consumption Data'!L72:M72))</f>
        <v>0</v>
      </c>
      <c r="H48" s="968">
        <f t="array" ref="H48">SUM(IF('6. Class A Consumption Data'!N74:O74="B",'6. Class A Consumption Data'!N72:O72))</f>
        <v>0</v>
      </c>
      <c r="I48" s="963">
        <f t="shared" si="0"/>
        <v>0</v>
      </c>
      <c r="J48" s="970">
        <f t="shared" si="2"/>
        <v>0</v>
      </c>
      <c r="K48" s="960">
        <f t="shared" si="3"/>
        <v>0</v>
      </c>
    </row>
    <row r="49" spans="1:11" hidden="1" x14ac:dyDescent="0.25">
      <c r="A49" s="967" t="s">
        <v>2600</v>
      </c>
      <c r="B49" s="967"/>
      <c r="C49" s="968">
        <f t="shared" si="1"/>
        <v>0</v>
      </c>
      <c r="D49" s="968">
        <f t="array" ref="D49">SUM(IF('6. Class A Consumption Data'!F77:G77="B",'6. Class A Consumption Data'!F75:G75))</f>
        <v>0</v>
      </c>
      <c r="E49" s="968">
        <f t="array" ref="E49">SUM(IF('6. Class A Consumption Data'!H77:I77="B",'6. Class A Consumption Data'!H75:I75))</f>
        <v>0</v>
      </c>
      <c r="F49" s="968">
        <f t="array" ref="F49">SUM(IF('6. Class A Consumption Data'!J77:K77="B",'6. Class A Consumption Data'!J75:K75))</f>
        <v>0</v>
      </c>
      <c r="G49" s="968">
        <f t="array" ref="G49">SUM(IF('6. Class A Consumption Data'!L77:M77="B",'6. Class A Consumption Data'!L75:M75))</f>
        <v>0</v>
      </c>
      <c r="H49" s="968">
        <f t="array" ref="H49">SUM(IF('6. Class A Consumption Data'!N77:O77="B",'6. Class A Consumption Data'!N75:O75))</f>
        <v>0</v>
      </c>
      <c r="I49" s="963">
        <f t="shared" si="0"/>
        <v>0</v>
      </c>
      <c r="J49" s="970">
        <f t="shared" si="2"/>
        <v>0</v>
      </c>
      <c r="K49" s="960">
        <f t="shared" si="3"/>
        <v>0</v>
      </c>
    </row>
    <row r="50" spans="1:11" hidden="1" x14ac:dyDescent="0.25">
      <c r="A50" s="967" t="s">
        <v>2601</v>
      </c>
      <c r="B50" s="967"/>
      <c r="C50" s="968">
        <f t="shared" si="1"/>
        <v>0</v>
      </c>
      <c r="D50" s="968">
        <f t="array" ref="D50">SUM(IF('6. Class A Consumption Data'!F80:G80="B",'6. Class A Consumption Data'!F78:G78))</f>
        <v>0</v>
      </c>
      <c r="E50" s="968">
        <f t="array" ref="E50">SUM(IF('6. Class A Consumption Data'!H80:I80="B",'6. Class A Consumption Data'!H78:I78))</f>
        <v>0</v>
      </c>
      <c r="F50" s="968">
        <f t="array" ref="F50">SUM(IF('6. Class A Consumption Data'!J80:K80="B",'6. Class A Consumption Data'!J78:K78))</f>
        <v>0</v>
      </c>
      <c r="G50" s="968">
        <f t="array" ref="G50">SUM(IF('6. Class A Consumption Data'!L80:M80="B",'6. Class A Consumption Data'!L78:M78))</f>
        <v>0</v>
      </c>
      <c r="H50" s="968">
        <f t="array" ref="H50">SUM(IF('6. Class A Consumption Data'!N80:O80="B",'6. Class A Consumption Data'!N78:O78))</f>
        <v>0</v>
      </c>
      <c r="I50" s="963">
        <f t="shared" si="0"/>
        <v>0</v>
      </c>
      <c r="J50" s="970">
        <f t="shared" si="2"/>
        <v>0</v>
      </c>
      <c r="K50" s="960">
        <f t="shared" si="3"/>
        <v>0</v>
      </c>
    </row>
    <row r="51" spans="1:11" hidden="1" x14ac:dyDescent="0.25">
      <c r="A51" s="967" t="s">
        <v>2602</v>
      </c>
      <c r="B51" s="967"/>
      <c r="C51" s="968">
        <f t="shared" si="1"/>
        <v>0</v>
      </c>
      <c r="D51" s="968">
        <f t="array" ref="D51">SUM(IF('6. Class A Consumption Data'!F83:G83="B",'6. Class A Consumption Data'!F81:G81))</f>
        <v>0</v>
      </c>
      <c r="E51" s="968">
        <f t="array" ref="E51">SUM(IF('6. Class A Consumption Data'!H83:I83="B",'6. Class A Consumption Data'!H81:I81))</f>
        <v>0</v>
      </c>
      <c r="F51" s="968">
        <f t="array" ref="F51">SUM(IF('6. Class A Consumption Data'!J83:K83="B",'6. Class A Consumption Data'!J81:K81))</f>
        <v>0</v>
      </c>
      <c r="G51" s="968">
        <f t="array" ref="G51">SUM(IF('6. Class A Consumption Data'!L83:M83="B",'6. Class A Consumption Data'!L81:M81))</f>
        <v>0</v>
      </c>
      <c r="H51" s="968">
        <f t="array" ref="H51">SUM(IF('6. Class A Consumption Data'!N83:O83="B",'6. Class A Consumption Data'!N81:O81))</f>
        <v>0</v>
      </c>
      <c r="I51" s="963">
        <f t="shared" si="0"/>
        <v>0</v>
      </c>
      <c r="J51" s="970">
        <f t="shared" si="2"/>
        <v>0</v>
      </c>
      <c r="K51" s="960">
        <f t="shared" si="3"/>
        <v>0</v>
      </c>
    </row>
    <row r="52" spans="1:11" hidden="1" x14ac:dyDescent="0.25">
      <c r="A52" s="967" t="s">
        <v>2603</v>
      </c>
      <c r="B52" s="967"/>
      <c r="C52" s="968">
        <f t="shared" si="1"/>
        <v>0</v>
      </c>
      <c r="D52" s="968">
        <f t="array" ref="D52">SUM(IF('6. Class A Consumption Data'!F86:G86="B",'6. Class A Consumption Data'!F84:G84))</f>
        <v>0</v>
      </c>
      <c r="E52" s="968">
        <f t="array" ref="E52">SUM(IF('6. Class A Consumption Data'!H86:I86="B",'6. Class A Consumption Data'!H84:I84))</f>
        <v>0</v>
      </c>
      <c r="F52" s="968">
        <f t="array" ref="F52">SUM(IF('6. Class A Consumption Data'!J86:K86="B",'6. Class A Consumption Data'!J84:K84))</f>
        <v>0</v>
      </c>
      <c r="G52" s="968">
        <f t="array" ref="G52">SUM(IF('6. Class A Consumption Data'!L86:M86="B",'6. Class A Consumption Data'!L84:M84))</f>
        <v>0</v>
      </c>
      <c r="H52" s="968">
        <f t="array" ref="H52">SUM(IF('6. Class A Consumption Data'!N86:O86="B",'6. Class A Consumption Data'!N84:O84))</f>
        <v>0</v>
      </c>
      <c r="I52" s="963">
        <f t="shared" si="0"/>
        <v>0</v>
      </c>
      <c r="J52" s="970">
        <f t="shared" si="2"/>
        <v>0</v>
      </c>
      <c r="K52" s="960">
        <f t="shared" si="3"/>
        <v>0</v>
      </c>
    </row>
    <row r="53" spans="1:11" hidden="1" x14ac:dyDescent="0.25">
      <c r="A53" s="967" t="s">
        <v>2604</v>
      </c>
      <c r="B53" s="967"/>
      <c r="C53" s="968">
        <f t="shared" si="1"/>
        <v>0</v>
      </c>
      <c r="D53" s="968">
        <f t="array" ref="D53">SUM(IF('6. Class A Consumption Data'!F89:G89="B",'6. Class A Consumption Data'!F87:G87))</f>
        <v>0</v>
      </c>
      <c r="E53" s="968">
        <f t="array" ref="E53">SUM(IF('6. Class A Consumption Data'!H89:I89="B",'6. Class A Consumption Data'!H87:I87))</f>
        <v>0</v>
      </c>
      <c r="F53" s="968">
        <f t="array" ref="F53">SUM(IF('6. Class A Consumption Data'!J89:K89="B",'6. Class A Consumption Data'!J87:K87))</f>
        <v>0</v>
      </c>
      <c r="G53" s="968">
        <f t="array" ref="G53">SUM(IF('6. Class A Consumption Data'!L89:M89="B",'6. Class A Consumption Data'!L87:M87))</f>
        <v>0</v>
      </c>
      <c r="H53" s="968">
        <f t="array" ref="H53">SUM(IF('6. Class A Consumption Data'!N89:O89="B",'6. Class A Consumption Data'!N87:O87))</f>
        <v>0</v>
      </c>
      <c r="I53" s="963">
        <f t="shared" si="0"/>
        <v>0</v>
      </c>
      <c r="J53" s="970">
        <f t="shared" si="2"/>
        <v>0</v>
      </c>
      <c r="K53" s="960">
        <f t="shared" si="3"/>
        <v>0</v>
      </c>
    </row>
    <row r="54" spans="1:11" hidden="1" x14ac:dyDescent="0.25">
      <c r="A54" s="967" t="s">
        <v>2605</v>
      </c>
      <c r="B54" s="967"/>
      <c r="C54" s="968">
        <f t="shared" si="1"/>
        <v>0</v>
      </c>
      <c r="D54" s="968">
        <f t="array" ref="D54">SUM(IF('6. Class A Consumption Data'!F92:G92="B",'6. Class A Consumption Data'!F90:G90))</f>
        <v>0</v>
      </c>
      <c r="E54" s="968">
        <f t="array" ref="E54">SUM(IF('6. Class A Consumption Data'!H92:I92="B",'6. Class A Consumption Data'!H90:I90))</f>
        <v>0</v>
      </c>
      <c r="F54" s="968">
        <f t="array" ref="F54">SUM(IF('6. Class A Consumption Data'!J92:K92="B",'6. Class A Consumption Data'!J90:K90))</f>
        <v>0</v>
      </c>
      <c r="G54" s="968">
        <f t="array" ref="G54">SUM(IF('6. Class A Consumption Data'!L92:M92="B",'6. Class A Consumption Data'!L90:M90))</f>
        <v>0</v>
      </c>
      <c r="H54" s="968">
        <f t="array" ref="H54">SUM(IF('6. Class A Consumption Data'!N92:O92="B",'6. Class A Consumption Data'!N90:O90))</f>
        <v>0</v>
      </c>
      <c r="I54" s="963">
        <f t="shared" si="0"/>
        <v>0</v>
      </c>
      <c r="J54" s="970">
        <f t="shared" si="2"/>
        <v>0</v>
      </c>
      <c r="K54" s="960">
        <f t="shared" si="3"/>
        <v>0</v>
      </c>
    </row>
    <row r="55" spans="1:11" hidden="1" x14ac:dyDescent="0.25">
      <c r="A55" s="967" t="s">
        <v>2606</v>
      </c>
      <c r="B55" s="967"/>
      <c r="C55" s="968">
        <f t="shared" si="1"/>
        <v>0</v>
      </c>
      <c r="D55" s="968">
        <f t="array" ref="D55">SUM(IF('6. Class A Consumption Data'!F95:G95="B",'6. Class A Consumption Data'!F93:G93))</f>
        <v>0</v>
      </c>
      <c r="E55" s="968">
        <f t="array" ref="E55">SUM(IF('6. Class A Consumption Data'!H95:I95="B",'6. Class A Consumption Data'!H93:I93))</f>
        <v>0</v>
      </c>
      <c r="F55" s="968">
        <f t="array" ref="F55">SUM(IF('6. Class A Consumption Data'!J95:K95="B",'6. Class A Consumption Data'!J93:K93))</f>
        <v>0</v>
      </c>
      <c r="G55" s="968">
        <f t="array" ref="G55">SUM(IF('6. Class A Consumption Data'!L95:M95="B",'6. Class A Consumption Data'!L93:M93))</f>
        <v>0</v>
      </c>
      <c r="H55" s="968">
        <f t="array" ref="H55">SUM(IF('6. Class A Consumption Data'!N95:O95="B",'6. Class A Consumption Data'!N93:O93))</f>
        <v>0</v>
      </c>
      <c r="I55" s="963">
        <f t="shared" si="0"/>
        <v>0</v>
      </c>
      <c r="J55" s="970">
        <f t="shared" si="2"/>
        <v>0</v>
      </c>
      <c r="K55" s="960">
        <f t="shared" si="3"/>
        <v>0</v>
      </c>
    </row>
    <row r="56" spans="1:11" hidden="1" x14ac:dyDescent="0.25">
      <c r="A56" s="967" t="s">
        <v>2607</v>
      </c>
      <c r="B56" s="967"/>
      <c r="C56" s="968">
        <f t="shared" si="1"/>
        <v>0</v>
      </c>
      <c r="D56" s="968">
        <f t="array" ref="D56">SUM(IF('6. Class A Consumption Data'!F98:G98="B",'6. Class A Consumption Data'!F96:G96))</f>
        <v>0</v>
      </c>
      <c r="E56" s="968">
        <f t="array" ref="E56">SUM(IF('6. Class A Consumption Data'!H98:I98="B",'6. Class A Consumption Data'!H96:I96))</f>
        <v>0</v>
      </c>
      <c r="F56" s="968">
        <f t="array" ref="F56">SUM(IF('6. Class A Consumption Data'!J98:K98="B",'6. Class A Consumption Data'!J96:K96))</f>
        <v>0</v>
      </c>
      <c r="G56" s="968">
        <f t="array" ref="G56">SUM(IF('6. Class A Consumption Data'!L98:M98="B",'6. Class A Consumption Data'!L96:M96))</f>
        <v>0</v>
      </c>
      <c r="H56" s="968">
        <f t="array" ref="H56">SUM(IF('6. Class A Consumption Data'!N98:O98="B",'6. Class A Consumption Data'!N96:O96))</f>
        <v>0</v>
      </c>
      <c r="I56" s="963">
        <f t="shared" si="0"/>
        <v>0</v>
      </c>
      <c r="J56" s="970">
        <f t="shared" si="2"/>
        <v>0</v>
      </c>
      <c r="K56" s="960">
        <f t="shared" si="3"/>
        <v>0</v>
      </c>
    </row>
    <row r="57" spans="1:11" hidden="1" x14ac:dyDescent="0.25">
      <c r="A57" s="967" t="s">
        <v>2608</v>
      </c>
      <c r="B57" s="967"/>
      <c r="C57" s="968">
        <f t="shared" si="1"/>
        <v>0</v>
      </c>
      <c r="D57" s="968">
        <f t="array" ref="D57">SUM(IF('6. Class A Consumption Data'!F101:G101="B",'6. Class A Consumption Data'!F99:G99))</f>
        <v>0</v>
      </c>
      <c r="E57" s="968">
        <f t="array" ref="E57">SUM(IF('6. Class A Consumption Data'!H101:I101="B",'6. Class A Consumption Data'!H99:I99))</f>
        <v>0</v>
      </c>
      <c r="F57" s="968">
        <f t="array" ref="F57">SUM(IF('6. Class A Consumption Data'!J101:K101="B",'6. Class A Consumption Data'!J99:K99))</f>
        <v>0</v>
      </c>
      <c r="G57" s="968">
        <f t="array" ref="G57">SUM(IF('6. Class A Consumption Data'!L101:M101="B",'6. Class A Consumption Data'!L99:M99))</f>
        <v>0</v>
      </c>
      <c r="H57" s="968">
        <f t="array" ref="H57">SUM(IF('6. Class A Consumption Data'!N101:O101="B",'6. Class A Consumption Data'!N99:O99))</f>
        <v>0</v>
      </c>
      <c r="I57" s="963">
        <f t="shared" si="0"/>
        <v>0</v>
      </c>
      <c r="J57" s="970">
        <f t="shared" si="2"/>
        <v>0</v>
      </c>
      <c r="K57" s="960">
        <f t="shared" si="3"/>
        <v>0</v>
      </c>
    </row>
    <row r="58" spans="1:11" hidden="1" x14ac:dyDescent="0.25">
      <c r="A58" s="967" t="s">
        <v>2609</v>
      </c>
      <c r="B58" s="967"/>
      <c r="C58" s="968">
        <f t="shared" si="1"/>
        <v>0</v>
      </c>
      <c r="D58" s="968">
        <f t="array" ref="D58">SUM(IF('6. Class A Consumption Data'!F104:G104="B",'6. Class A Consumption Data'!F102:G102))</f>
        <v>0</v>
      </c>
      <c r="E58" s="968">
        <f t="array" ref="E58">SUM(IF('6. Class A Consumption Data'!H104:I104="B",'6. Class A Consumption Data'!H102:I102))</f>
        <v>0</v>
      </c>
      <c r="F58" s="968">
        <f t="array" ref="F58">SUM(IF('6. Class A Consumption Data'!J104:K104="B",'6. Class A Consumption Data'!J102:K102))</f>
        <v>0</v>
      </c>
      <c r="G58" s="968">
        <f t="array" ref="G58">SUM(IF('6. Class A Consumption Data'!L104:M104="B",'6. Class A Consumption Data'!L102:M102))</f>
        <v>0</v>
      </c>
      <c r="H58" s="968">
        <f t="array" ref="H58">SUM(IF('6. Class A Consumption Data'!N104:O104="B",'6. Class A Consumption Data'!N102:O102))</f>
        <v>0</v>
      </c>
      <c r="I58" s="963">
        <f t="shared" si="0"/>
        <v>0</v>
      </c>
      <c r="J58" s="970">
        <f t="shared" si="2"/>
        <v>0</v>
      </c>
      <c r="K58" s="960">
        <f t="shared" si="3"/>
        <v>0</v>
      </c>
    </row>
    <row r="59" spans="1:11" hidden="1" x14ac:dyDescent="0.25">
      <c r="A59" s="967" t="s">
        <v>2610</v>
      </c>
      <c r="B59" s="967"/>
      <c r="C59" s="968">
        <f t="shared" si="1"/>
        <v>0</v>
      </c>
      <c r="D59" s="968">
        <f t="array" ref="D59">SUM(IF('6. Class A Consumption Data'!F107:G107="B",'6. Class A Consumption Data'!F105:G105))</f>
        <v>0</v>
      </c>
      <c r="E59" s="968">
        <f t="array" ref="E59">SUM(IF('6. Class A Consumption Data'!H107:I107="B",'6. Class A Consumption Data'!H105:I105))</f>
        <v>0</v>
      </c>
      <c r="F59" s="968">
        <f t="array" ref="F59">SUM(IF('6. Class A Consumption Data'!J107:K107="B",'6. Class A Consumption Data'!J105:K105))</f>
        <v>0</v>
      </c>
      <c r="G59" s="968">
        <f t="array" ref="G59">SUM(IF('6. Class A Consumption Data'!L107:M107="B",'6. Class A Consumption Data'!L105:M105))</f>
        <v>0</v>
      </c>
      <c r="H59" s="968">
        <f t="array" ref="H59">SUM(IF('6. Class A Consumption Data'!N107:O107="B",'6. Class A Consumption Data'!N105:O105))</f>
        <v>0</v>
      </c>
      <c r="I59" s="963">
        <f t="shared" si="0"/>
        <v>0</v>
      </c>
      <c r="J59" s="970">
        <f t="shared" si="2"/>
        <v>0</v>
      </c>
      <c r="K59" s="960">
        <f t="shared" si="3"/>
        <v>0</v>
      </c>
    </row>
    <row r="60" spans="1:11" hidden="1" x14ac:dyDescent="0.25">
      <c r="A60" s="967" t="s">
        <v>2611</v>
      </c>
      <c r="B60" s="967"/>
      <c r="C60" s="968">
        <f t="shared" si="1"/>
        <v>0</v>
      </c>
      <c r="D60" s="968">
        <f t="array" ref="D60">SUM(IF('6. Class A Consumption Data'!F110:G110="B",'6. Class A Consumption Data'!F108:G108))</f>
        <v>0</v>
      </c>
      <c r="E60" s="968">
        <f t="array" ref="E60">SUM(IF('6. Class A Consumption Data'!H110:I110="B",'6. Class A Consumption Data'!H108:I108))</f>
        <v>0</v>
      </c>
      <c r="F60" s="968">
        <f t="array" ref="F60">SUM(IF('6. Class A Consumption Data'!J110:K110="B",'6. Class A Consumption Data'!J108:K108))</f>
        <v>0</v>
      </c>
      <c r="G60" s="968">
        <f t="array" ref="G60">SUM(IF('6. Class A Consumption Data'!L110:M110="B",'6. Class A Consumption Data'!L108:M108))</f>
        <v>0</v>
      </c>
      <c r="H60" s="968">
        <f t="array" ref="H60">SUM(IF('6. Class A Consumption Data'!N110:O110="B",'6. Class A Consumption Data'!N108:O108))</f>
        <v>0</v>
      </c>
      <c r="I60" s="963">
        <f t="shared" si="0"/>
        <v>0</v>
      </c>
      <c r="J60" s="970">
        <f t="shared" si="2"/>
        <v>0</v>
      </c>
      <c r="K60" s="960">
        <f t="shared" si="3"/>
        <v>0</v>
      </c>
    </row>
    <row r="61" spans="1:11" hidden="1" x14ac:dyDescent="0.25">
      <c r="A61" s="967" t="s">
        <v>2612</v>
      </c>
      <c r="B61" s="967"/>
      <c r="C61" s="968">
        <f t="shared" si="1"/>
        <v>0</v>
      </c>
      <c r="D61" s="968">
        <f t="array" ref="D61">SUM(IF('6. Class A Consumption Data'!F113:G113="B",'6. Class A Consumption Data'!F111:G111))</f>
        <v>0</v>
      </c>
      <c r="E61" s="968">
        <f t="array" ref="E61">SUM(IF('6. Class A Consumption Data'!H113:I113="B",'6. Class A Consumption Data'!H111:I111))</f>
        <v>0</v>
      </c>
      <c r="F61" s="968">
        <f t="array" ref="F61">SUM(IF('6. Class A Consumption Data'!J113:K113="B",'6. Class A Consumption Data'!J111:K111))</f>
        <v>0</v>
      </c>
      <c r="G61" s="968">
        <f t="array" ref="G61">SUM(IF('6. Class A Consumption Data'!L113:M113="B",'6. Class A Consumption Data'!L111:M111))</f>
        <v>0</v>
      </c>
      <c r="H61" s="968">
        <f t="array" ref="H61">SUM(IF('6. Class A Consumption Data'!N113:O113="B",'6. Class A Consumption Data'!N111:O111))</f>
        <v>0</v>
      </c>
      <c r="I61" s="963">
        <f t="shared" si="0"/>
        <v>0</v>
      </c>
      <c r="J61" s="970">
        <f t="shared" si="2"/>
        <v>0</v>
      </c>
      <c r="K61" s="960">
        <f t="shared" si="3"/>
        <v>0</v>
      </c>
    </row>
    <row r="62" spans="1:11" hidden="1" x14ac:dyDescent="0.25">
      <c r="A62" s="967" t="s">
        <v>2613</v>
      </c>
      <c r="B62" s="967"/>
      <c r="C62" s="968">
        <f t="shared" si="1"/>
        <v>0</v>
      </c>
      <c r="D62" s="968">
        <f t="array" ref="D62">SUM(IF('6. Class A Consumption Data'!F116:G116="B",'6. Class A Consumption Data'!F114:G114))</f>
        <v>0</v>
      </c>
      <c r="E62" s="968">
        <f t="array" ref="E62">SUM(IF('6. Class A Consumption Data'!H116:I116="B",'6. Class A Consumption Data'!H114:I114))</f>
        <v>0</v>
      </c>
      <c r="F62" s="968">
        <f t="array" ref="F62">SUM(IF('6. Class A Consumption Data'!J116:K116="B",'6. Class A Consumption Data'!J114:K114))</f>
        <v>0</v>
      </c>
      <c r="G62" s="968">
        <f t="array" ref="G62">SUM(IF('6. Class A Consumption Data'!L116:M116="B",'6. Class A Consumption Data'!L114:M114))</f>
        <v>0</v>
      </c>
      <c r="H62" s="968">
        <f t="array" ref="H62">SUM(IF('6. Class A Consumption Data'!N116:O116="B",'6. Class A Consumption Data'!N114:O114))</f>
        <v>0</v>
      </c>
      <c r="I62" s="963">
        <f t="shared" si="0"/>
        <v>0</v>
      </c>
      <c r="J62" s="970">
        <f t="shared" si="2"/>
        <v>0</v>
      </c>
      <c r="K62" s="960">
        <f t="shared" si="3"/>
        <v>0</v>
      </c>
    </row>
    <row r="63" spans="1:11" hidden="1" x14ac:dyDescent="0.25">
      <c r="A63" s="967" t="s">
        <v>2614</v>
      </c>
      <c r="B63" s="967"/>
      <c r="C63" s="968">
        <f t="shared" si="1"/>
        <v>0</v>
      </c>
      <c r="D63" s="968">
        <f t="array" ref="D63">SUM(IF('6. Class A Consumption Data'!F119:G119="B",'6. Class A Consumption Data'!F117:G117))</f>
        <v>0</v>
      </c>
      <c r="E63" s="968">
        <f t="array" ref="E63">SUM(IF('6. Class A Consumption Data'!H119:I119="B",'6. Class A Consumption Data'!H117:I117))</f>
        <v>0</v>
      </c>
      <c r="F63" s="968">
        <f t="array" ref="F63">SUM(IF('6. Class A Consumption Data'!J119:K119="B",'6. Class A Consumption Data'!J117:K117))</f>
        <v>0</v>
      </c>
      <c r="G63" s="968">
        <f t="array" ref="G63">SUM(IF('6. Class A Consumption Data'!L119:M119="B",'6. Class A Consumption Data'!L117:M117))</f>
        <v>0</v>
      </c>
      <c r="H63" s="968">
        <f t="array" ref="H63">SUM(IF('6. Class A Consumption Data'!N119:O119="B",'6. Class A Consumption Data'!N117:O117))</f>
        <v>0</v>
      </c>
      <c r="I63" s="963">
        <f t="shared" si="0"/>
        <v>0</v>
      </c>
      <c r="J63" s="970">
        <f t="shared" si="2"/>
        <v>0</v>
      </c>
      <c r="K63" s="960">
        <f t="shared" si="3"/>
        <v>0</v>
      </c>
    </row>
    <row r="64" spans="1:11" hidden="1" x14ac:dyDescent="0.25">
      <c r="A64" s="967" t="s">
        <v>2615</v>
      </c>
      <c r="B64" s="967"/>
      <c r="C64" s="968">
        <f t="shared" si="1"/>
        <v>0</v>
      </c>
      <c r="D64" s="968">
        <f t="array" ref="D64">SUM(IF('6. Class A Consumption Data'!F122:G122="B",'6. Class A Consumption Data'!F120:G120))</f>
        <v>0</v>
      </c>
      <c r="E64" s="968">
        <f t="array" ref="E64">SUM(IF('6. Class A Consumption Data'!H122:I122="B",'6. Class A Consumption Data'!H120:I120))</f>
        <v>0</v>
      </c>
      <c r="F64" s="968">
        <f t="array" ref="F64">SUM(IF('6. Class A Consumption Data'!J122:K122="B",'6. Class A Consumption Data'!J120:K120))</f>
        <v>0</v>
      </c>
      <c r="G64" s="968">
        <f t="array" ref="G64">SUM(IF('6. Class A Consumption Data'!L122:M122="B",'6. Class A Consumption Data'!L120:M120))</f>
        <v>0</v>
      </c>
      <c r="H64" s="968">
        <f t="array" ref="H64">SUM(IF('6. Class A Consumption Data'!N122:O122="B",'6. Class A Consumption Data'!N120:O120))</f>
        <v>0</v>
      </c>
      <c r="I64" s="963">
        <f t="shared" si="0"/>
        <v>0</v>
      </c>
      <c r="J64" s="970">
        <f t="shared" si="2"/>
        <v>0</v>
      </c>
      <c r="K64" s="960">
        <f t="shared" si="3"/>
        <v>0</v>
      </c>
    </row>
    <row r="65" spans="1:11" hidden="1" x14ac:dyDescent="0.25">
      <c r="A65" s="967" t="s">
        <v>2616</v>
      </c>
      <c r="B65" s="967"/>
      <c r="C65" s="968">
        <f t="shared" si="1"/>
        <v>0</v>
      </c>
      <c r="D65" s="968">
        <f t="array" ref="D65">SUM(IF('6. Class A Consumption Data'!F125:G125="B",'6. Class A Consumption Data'!F123:G123))</f>
        <v>0</v>
      </c>
      <c r="E65" s="968">
        <f t="array" ref="E65">SUM(IF('6. Class A Consumption Data'!H125:I125="B",'6. Class A Consumption Data'!H123:I123))</f>
        <v>0</v>
      </c>
      <c r="F65" s="968">
        <f t="array" ref="F65">SUM(IF('6. Class A Consumption Data'!J125:K125="B",'6. Class A Consumption Data'!J123:K123))</f>
        <v>0</v>
      </c>
      <c r="G65" s="968">
        <f t="array" ref="G65">SUM(IF('6. Class A Consumption Data'!L125:M125="B",'6. Class A Consumption Data'!L123:M123))</f>
        <v>0</v>
      </c>
      <c r="H65" s="968">
        <f t="array" ref="H65">SUM(IF('6. Class A Consumption Data'!N125:O125="B",'6. Class A Consumption Data'!N123:O123))</f>
        <v>0</v>
      </c>
      <c r="I65" s="963">
        <f t="shared" si="0"/>
        <v>0</v>
      </c>
      <c r="J65" s="970">
        <f t="shared" si="2"/>
        <v>0</v>
      </c>
      <c r="K65" s="960">
        <f t="shared" si="3"/>
        <v>0</v>
      </c>
    </row>
    <row r="66" spans="1:11" hidden="1" x14ac:dyDescent="0.25">
      <c r="A66" s="967" t="s">
        <v>2617</v>
      </c>
      <c r="B66" s="967"/>
      <c r="C66" s="968">
        <f t="shared" si="1"/>
        <v>0</v>
      </c>
      <c r="D66" s="968">
        <f t="array" ref="D66">SUM(IF('6. Class A Consumption Data'!F128:G128="B",'6. Class A Consumption Data'!F126:G126))</f>
        <v>0</v>
      </c>
      <c r="E66" s="968">
        <f t="array" ref="E66">SUM(IF('6. Class A Consumption Data'!H128:I128="B",'6. Class A Consumption Data'!H126:I126))</f>
        <v>0</v>
      </c>
      <c r="F66" s="968">
        <f t="array" ref="F66">SUM(IF('6. Class A Consumption Data'!J128:K128="B",'6. Class A Consumption Data'!J126:K126))</f>
        <v>0</v>
      </c>
      <c r="G66" s="968">
        <f t="array" ref="G66">SUM(IF('6. Class A Consumption Data'!L128:M128="B",'6. Class A Consumption Data'!L126:M126))</f>
        <v>0</v>
      </c>
      <c r="H66" s="968">
        <f t="array" ref="H66">SUM(IF('6. Class A Consumption Data'!N128:O128="B",'6. Class A Consumption Data'!N126:O126))</f>
        <v>0</v>
      </c>
      <c r="I66" s="963">
        <f t="shared" si="0"/>
        <v>0</v>
      </c>
      <c r="J66" s="970">
        <f t="shared" si="2"/>
        <v>0</v>
      </c>
      <c r="K66" s="960">
        <f t="shared" si="3"/>
        <v>0</v>
      </c>
    </row>
    <row r="67" spans="1:11" hidden="1" x14ac:dyDescent="0.25">
      <c r="A67" s="967" t="s">
        <v>2618</v>
      </c>
      <c r="B67" s="967"/>
      <c r="C67" s="968">
        <f t="shared" si="1"/>
        <v>0</v>
      </c>
      <c r="D67" s="968">
        <f t="array" ref="D67">SUM(IF('6. Class A Consumption Data'!F131:G131="B",'6. Class A Consumption Data'!F129:G129))</f>
        <v>0</v>
      </c>
      <c r="E67" s="968">
        <f t="array" ref="E67">SUM(IF('6. Class A Consumption Data'!H131:I131="B",'6. Class A Consumption Data'!H129:I129))</f>
        <v>0</v>
      </c>
      <c r="F67" s="968">
        <f t="array" ref="F67">SUM(IF('6. Class A Consumption Data'!J131:K131="B",'6. Class A Consumption Data'!J129:K129))</f>
        <v>0</v>
      </c>
      <c r="G67" s="968">
        <f t="array" ref="G67">SUM(IF('6. Class A Consumption Data'!L131:M131="B",'6. Class A Consumption Data'!L129:M129))</f>
        <v>0</v>
      </c>
      <c r="H67" s="968">
        <f t="array" ref="H67">SUM(IF('6. Class A Consumption Data'!N131:O131="B",'6. Class A Consumption Data'!N129:O129))</f>
        <v>0</v>
      </c>
      <c r="I67" s="963">
        <f t="shared" si="0"/>
        <v>0</v>
      </c>
      <c r="J67" s="970">
        <f t="shared" si="2"/>
        <v>0</v>
      </c>
      <c r="K67" s="960">
        <f t="shared" si="3"/>
        <v>0</v>
      </c>
    </row>
    <row r="68" spans="1:11" hidden="1" x14ac:dyDescent="0.25">
      <c r="A68" s="967" t="s">
        <v>2619</v>
      </c>
      <c r="B68" s="967"/>
      <c r="C68" s="968">
        <f t="shared" si="1"/>
        <v>0</v>
      </c>
      <c r="D68" s="968">
        <f t="array" ref="D68">SUM(IF('6. Class A Consumption Data'!F134:G134="B",'6. Class A Consumption Data'!F132:G132))</f>
        <v>0</v>
      </c>
      <c r="E68" s="968">
        <f t="array" ref="E68">SUM(IF('6. Class A Consumption Data'!H134:I134="B",'6. Class A Consumption Data'!H132:I132))</f>
        <v>0</v>
      </c>
      <c r="F68" s="968">
        <f t="array" ref="F68">SUM(IF('6. Class A Consumption Data'!J134:K134="B",'6. Class A Consumption Data'!J132:K132))</f>
        <v>0</v>
      </c>
      <c r="G68" s="968">
        <f t="array" ref="G68">SUM(IF('6. Class A Consumption Data'!L134:M134="B",'6. Class A Consumption Data'!L132:M132))</f>
        <v>0</v>
      </c>
      <c r="H68" s="968">
        <f t="array" ref="H68">SUM(IF('6. Class A Consumption Data'!N134:O134="B",'6. Class A Consumption Data'!N132:O132))</f>
        <v>0</v>
      </c>
      <c r="I68" s="963">
        <f t="shared" si="0"/>
        <v>0</v>
      </c>
      <c r="J68" s="970">
        <f t="shared" si="2"/>
        <v>0</v>
      </c>
      <c r="K68" s="960">
        <f t="shared" si="3"/>
        <v>0</v>
      </c>
    </row>
    <row r="69" spans="1:11" hidden="1" x14ac:dyDescent="0.25">
      <c r="A69" s="967" t="s">
        <v>2620</v>
      </c>
      <c r="B69" s="967"/>
      <c r="C69" s="968">
        <f t="shared" si="1"/>
        <v>0</v>
      </c>
      <c r="D69" s="968">
        <f t="array" ref="D69">SUM(IF('6. Class A Consumption Data'!F137:G137="B",'6. Class A Consumption Data'!F135:G135))</f>
        <v>0</v>
      </c>
      <c r="E69" s="968">
        <f t="array" ref="E69">SUM(IF('6. Class A Consumption Data'!H137:I137="B",'6. Class A Consumption Data'!H135:I135))</f>
        <v>0</v>
      </c>
      <c r="F69" s="968">
        <f t="array" ref="F69">SUM(IF('6. Class A Consumption Data'!J137:K137="B",'6. Class A Consumption Data'!J135:K135))</f>
        <v>0</v>
      </c>
      <c r="G69" s="968">
        <f t="array" ref="G69">SUM(IF('6. Class A Consumption Data'!L137:M137="B",'6. Class A Consumption Data'!L135:M135))</f>
        <v>0</v>
      </c>
      <c r="H69" s="968">
        <f t="array" ref="H69">SUM(IF('6. Class A Consumption Data'!N137:O137="B",'6. Class A Consumption Data'!N135:O135))</f>
        <v>0</v>
      </c>
      <c r="I69" s="963">
        <f t="shared" si="0"/>
        <v>0</v>
      </c>
      <c r="J69" s="970">
        <f t="shared" si="2"/>
        <v>0</v>
      </c>
      <c r="K69" s="960">
        <f t="shared" si="3"/>
        <v>0</v>
      </c>
    </row>
    <row r="70" spans="1:11" hidden="1" x14ac:dyDescent="0.25">
      <c r="A70" s="967" t="s">
        <v>2621</v>
      </c>
      <c r="B70" s="967"/>
      <c r="C70" s="968">
        <f t="shared" si="1"/>
        <v>0</v>
      </c>
      <c r="D70" s="968">
        <f t="array" ref="D70">SUM(IF('6. Class A Consumption Data'!F140:G140="B",'6. Class A Consumption Data'!F138:G138))</f>
        <v>0</v>
      </c>
      <c r="E70" s="968">
        <f t="array" ref="E70">SUM(IF('6. Class A Consumption Data'!H140:I140="B",'6. Class A Consumption Data'!H138:I138))</f>
        <v>0</v>
      </c>
      <c r="F70" s="968">
        <f t="array" ref="F70">SUM(IF('6. Class A Consumption Data'!J140:K140="B",'6. Class A Consumption Data'!J138:K138))</f>
        <v>0</v>
      </c>
      <c r="G70" s="968">
        <f t="array" ref="G70">SUM(IF('6. Class A Consumption Data'!L140:M140="B",'6. Class A Consumption Data'!L138:M138))</f>
        <v>0</v>
      </c>
      <c r="H70" s="968">
        <f t="array" ref="H70">SUM(IF('6. Class A Consumption Data'!N140:O140="B",'6. Class A Consumption Data'!N138:O138))</f>
        <v>0</v>
      </c>
      <c r="I70" s="963">
        <f t="shared" si="0"/>
        <v>0</v>
      </c>
      <c r="J70" s="970">
        <f t="shared" si="2"/>
        <v>0</v>
      </c>
      <c r="K70" s="960">
        <f t="shared" si="3"/>
        <v>0</v>
      </c>
    </row>
    <row r="71" spans="1:11" hidden="1" x14ac:dyDescent="0.25">
      <c r="A71" s="967" t="s">
        <v>2622</v>
      </c>
      <c r="B71" s="967"/>
      <c r="C71" s="968">
        <f t="shared" si="1"/>
        <v>0</v>
      </c>
      <c r="D71" s="968">
        <f t="array" ref="D71">SUM(IF('6. Class A Consumption Data'!F143:G143="B",'6. Class A Consumption Data'!F141:G141))</f>
        <v>0</v>
      </c>
      <c r="E71" s="968">
        <f t="array" ref="E71">SUM(IF('6. Class A Consumption Data'!H143:I143="B",'6. Class A Consumption Data'!H141:I141))</f>
        <v>0</v>
      </c>
      <c r="F71" s="968">
        <f t="array" ref="F71">SUM(IF('6. Class A Consumption Data'!J143:K143="B",'6. Class A Consumption Data'!J141:K141))</f>
        <v>0</v>
      </c>
      <c r="G71" s="968">
        <f t="array" ref="G71">SUM(IF('6. Class A Consumption Data'!L143:M143="B",'6. Class A Consumption Data'!L141:M141))</f>
        <v>0</v>
      </c>
      <c r="H71" s="968">
        <f t="array" ref="H71">SUM(IF('6. Class A Consumption Data'!N143:O143="B",'6. Class A Consumption Data'!N141:O141))</f>
        <v>0</v>
      </c>
      <c r="I71" s="963">
        <f t="shared" si="0"/>
        <v>0</v>
      </c>
      <c r="J71" s="970">
        <f t="shared" si="2"/>
        <v>0</v>
      </c>
      <c r="K71" s="960">
        <f t="shared" si="3"/>
        <v>0</v>
      </c>
    </row>
    <row r="72" spans="1:11" hidden="1" x14ac:dyDescent="0.25">
      <c r="A72" s="967" t="s">
        <v>2623</v>
      </c>
      <c r="B72" s="967"/>
      <c r="C72" s="968">
        <f t="shared" si="1"/>
        <v>0</v>
      </c>
      <c r="D72" s="968">
        <f t="array" ref="D72">SUM(IF('6. Class A Consumption Data'!F146:G146="B",'6. Class A Consumption Data'!F144:G144))</f>
        <v>0</v>
      </c>
      <c r="E72" s="968">
        <f t="array" ref="E72">SUM(IF('6. Class A Consumption Data'!H146:I146="B",'6. Class A Consumption Data'!H144:I144))</f>
        <v>0</v>
      </c>
      <c r="F72" s="968">
        <f t="array" ref="F72">SUM(IF('6. Class A Consumption Data'!J146:K146="B",'6. Class A Consumption Data'!J144:K144))</f>
        <v>0</v>
      </c>
      <c r="G72" s="968">
        <f t="array" ref="G72">SUM(IF('6. Class A Consumption Data'!L146:M146="B",'6. Class A Consumption Data'!L144:M144))</f>
        <v>0</v>
      </c>
      <c r="H72" s="968">
        <f t="array" ref="H72">SUM(IF('6. Class A Consumption Data'!N146:O146="B",'6. Class A Consumption Data'!N144:O144))</f>
        <v>0</v>
      </c>
      <c r="I72" s="963">
        <f t="shared" si="0"/>
        <v>0</v>
      </c>
      <c r="J72" s="970">
        <f t="shared" si="2"/>
        <v>0</v>
      </c>
      <c r="K72" s="960">
        <f t="shared" si="3"/>
        <v>0</v>
      </c>
    </row>
    <row r="73" spans="1:11" hidden="1" x14ac:dyDescent="0.25">
      <c r="A73" s="967" t="s">
        <v>2624</v>
      </c>
      <c r="B73" s="967"/>
      <c r="C73" s="968">
        <f t="shared" si="1"/>
        <v>0</v>
      </c>
      <c r="D73" s="968">
        <f t="array" ref="D73">SUM(IF('6. Class A Consumption Data'!F149:G149="B",'6. Class A Consumption Data'!F147:G147))</f>
        <v>0</v>
      </c>
      <c r="E73" s="968">
        <f t="array" ref="E73">SUM(IF('6. Class A Consumption Data'!H149:I149="B",'6. Class A Consumption Data'!H147:I147))</f>
        <v>0</v>
      </c>
      <c r="F73" s="968">
        <f t="array" ref="F73">SUM(IF('6. Class A Consumption Data'!J149:K149="B",'6. Class A Consumption Data'!J147:K147))</f>
        <v>0</v>
      </c>
      <c r="G73" s="968">
        <f t="array" ref="G73">SUM(IF('6. Class A Consumption Data'!L149:M149="B",'6. Class A Consumption Data'!L147:M147))</f>
        <v>0</v>
      </c>
      <c r="H73" s="968">
        <f t="array" ref="H73">SUM(IF('6. Class A Consumption Data'!N149:O149="B",'6. Class A Consumption Data'!N147:O147))</f>
        <v>0</v>
      </c>
      <c r="I73" s="963">
        <f t="shared" si="0"/>
        <v>0</v>
      </c>
      <c r="J73" s="970">
        <f t="shared" si="2"/>
        <v>0</v>
      </c>
      <c r="K73" s="960">
        <f t="shared" si="3"/>
        <v>0</v>
      </c>
    </row>
    <row r="74" spans="1:11" hidden="1" x14ac:dyDescent="0.25">
      <c r="A74" s="967" t="s">
        <v>2625</v>
      </c>
      <c r="B74" s="967"/>
      <c r="C74" s="968">
        <f t="shared" si="1"/>
        <v>0</v>
      </c>
      <c r="D74" s="968">
        <f t="array" ref="D74">SUM(IF('6. Class A Consumption Data'!F152:G152="B",'6. Class A Consumption Data'!F150:G150))</f>
        <v>0</v>
      </c>
      <c r="E74" s="968">
        <f t="array" ref="E74">SUM(IF('6. Class A Consumption Data'!H152:I152="B",'6. Class A Consumption Data'!H150:I150))</f>
        <v>0</v>
      </c>
      <c r="F74" s="968">
        <f t="array" ref="F74">SUM(IF('6. Class A Consumption Data'!J152:K152="B",'6. Class A Consumption Data'!J150:K150))</f>
        <v>0</v>
      </c>
      <c r="G74" s="968">
        <f t="array" ref="G74">SUM(IF('6. Class A Consumption Data'!L152:M152="B",'6. Class A Consumption Data'!L150:M150))</f>
        <v>0</v>
      </c>
      <c r="H74" s="968">
        <f t="array" ref="H74">SUM(IF('6. Class A Consumption Data'!N152:O152="B",'6. Class A Consumption Data'!N150:O150))</f>
        <v>0</v>
      </c>
      <c r="I74" s="963">
        <f t="shared" si="0"/>
        <v>0</v>
      </c>
      <c r="J74" s="970">
        <f t="shared" si="2"/>
        <v>0</v>
      </c>
      <c r="K74" s="960">
        <f t="shared" si="3"/>
        <v>0</v>
      </c>
    </row>
    <row r="75" spans="1:11" hidden="1" x14ac:dyDescent="0.25">
      <c r="A75" s="967" t="s">
        <v>2626</v>
      </c>
      <c r="B75" s="967"/>
      <c r="C75" s="968">
        <f t="shared" si="1"/>
        <v>0</v>
      </c>
      <c r="D75" s="968">
        <f t="array" ref="D75">SUM(IF('6. Class A Consumption Data'!F155:G155="B",'6. Class A Consumption Data'!F153:G153))</f>
        <v>0</v>
      </c>
      <c r="E75" s="968">
        <f t="array" ref="E75">SUM(IF('6. Class A Consumption Data'!H155:I155="B",'6. Class A Consumption Data'!H153:I153))</f>
        <v>0</v>
      </c>
      <c r="F75" s="968">
        <f t="array" ref="F75">SUM(IF('6. Class A Consumption Data'!J155:K155="B",'6. Class A Consumption Data'!J153:K153))</f>
        <v>0</v>
      </c>
      <c r="G75" s="968">
        <f t="array" ref="G75">SUM(IF('6. Class A Consumption Data'!L155:M155="B",'6. Class A Consumption Data'!L153:M153))</f>
        <v>0</v>
      </c>
      <c r="H75" s="968">
        <f t="array" ref="H75">SUM(IF('6. Class A Consumption Data'!N155:O155="B",'6. Class A Consumption Data'!N153:O153))</f>
        <v>0</v>
      </c>
      <c r="I75" s="963">
        <f t="shared" si="0"/>
        <v>0</v>
      </c>
      <c r="J75" s="970">
        <f t="shared" si="2"/>
        <v>0</v>
      </c>
      <c r="K75" s="960">
        <f t="shared" si="3"/>
        <v>0</v>
      </c>
    </row>
    <row r="76" spans="1:11" hidden="1" x14ac:dyDescent="0.25">
      <c r="A76" s="967" t="s">
        <v>2627</v>
      </c>
      <c r="B76" s="967"/>
      <c r="C76" s="968">
        <f t="shared" si="1"/>
        <v>0</v>
      </c>
      <c r="D76" s="968">
        <f t="array" ref="D76">SUM(IF('6. Class A Consumption Data'!F158:G158="B",'6. Class A Consumption Data'!F156:G156))</f>
        <v>0</v>
      </c>
      <c r="E76" s="968">
        <f t="array" ref="E76">SUM(IF('6. Class A Consumption Data'!H158:I158="B",'6. Class A Consumption Data'!H156:I156))</f>
        <v>0</v>
      </c>
      <c r="F76" s="968">
        <f t="array" ref="F76">SUM(IF('6. Class A Consumption Data'!J158:K158="B",'6. Class A Consumption Data'!J156:K156))</f>
        <v>0</v>
      </c>
      <c r="G76" s="968">
        <f t="array" ref="G76">SUM(IF('6. Class A Consumption Data'!L158:M158="B",'6. Class A Consumption Data'!L156:M156))</f>
        <v>0</v>
      </c>
      <c r="H76" s="968">
        <f t="array" ref="H76">SUM(IF('6. Class A Consumption Data'!N158:O158="B",'6. Class A Consumption Data'!N156:O156))</f>
        <v>0</v>
      </c>
      <c r="I76" s="963">
        <f t="shared" si="0"/>
        <v>0</v>
      </c>
      <c r="J76" s="970">
        <f t="shared" si="2"/>
        <v>0</v>
      </c>
      <c r="K76" s="960">
        <f t="shared" si="3"/>
        <v>0</v>
      </c>
    </row>
    <row r="77" spans="1:11" hidden="1" x14ac:dyDescent="0.25">
      <c r="A77" s="967" t="s">
        <v>2628</v>
      </c>
      <c r="B77" s="967"/>
      <c r="C77" s="968">
        <f t="shared" si="1"/>
        <v>0</v>
      </c>
      <c r="D77" s="968">
        <f t="array" ref="D77">SUM(IF('6. Class A Consumption Data'!F161:G161="B",'6. Class A Consumption Data'!F159:G159))</f>
        <v>0</v>
      </c>
      <c r="E77" s="968">
        <f t="array" ref="E77">SUM(IF('6. Class A Consumption Data'!H161:I161="B",'6. Class A Consumption Data'!H159:I159))</f>
        <v>0</v>
      </c>
      <c r="F77" s="968">
        <f t="array" ref="F77">SUM(IF('6. Class A Consumption Data'!J161:K161="B",'6. Class A Consumption Data'!J159:K159))</f>
        <v>0</v>
      </c>
      <c r="G77" s="968">
        <f t="array" ref="G77">SUM(IF('6. Class A Consumption Data'!L161:M161="B",'6. Class A Consumption Data'!L159:M159))</f>
        <v>0</v>
      </c>
      <c r="H77" s="968">
        <f t="array" ref="H77">SUM(IF('6. Class A Consumption Data'!N161:O161="B",'6. Class A Consumption Data'!N159:O159))</f>
        <v>0</v>
      </c>
      <c r="I77" s="963">
        <f t="shared" si="0"/>
        <v>0</v>
      </c>
      <c r="J77" s="970">
        <f t="shared" si="2"/>
        <v>0</v>
      </c>
      <c r="K77" s="960">
        <f t="shared" si="3"/>
        <v>0</v>
      </c>
    </row>
    <row r="78" spans="1:11" hidden="1" x14ac:dyDescent="0.25">
      <c r="A78" s="967" t="s">
        <v>2629</v>
      </c>
      <c r="B78" s="967"/>
      <c r="C78" s="968">
        <f t="shared" si="1"/>
        <v>0</v>
      </c>
      <c r="D78" s="968">
        <f t="array" ref="D78">SUM(IF('6. Class A Consumption Data'!F164:G164="B",'6. Class A Consumption Data'!F162:G162))</f>
        <v>0</v>
      </c>
      <c r="E78" s="968">
        <f t="array" ref="E78">SUM(IF('6. Class A Consumption Data'!H164:I164="B",'6. Class A Consumption Data'!H162:I162))</f>
        <v>0</v>
      </c>
      <c r="F78" s="968">
        <f t="array" ref="F78">SUM(IF('6. Class A Consumption Data'!J164:K164="B",'6. Class A Consumption Data'!J162:K162))</f>
        <v>0</v>
      </c>
      <c r="G78" s="968">
        <f t="array" ref="G78">SUM(IF('6. Class A Consumption Data'!L164:M164="B",'6. Class A Consumption Data'!L162:M162))</f>
        <v>0</v>
      </c>
      <c r="H78" s="968">
        <f t="array" ref="H78">SUM(IF('6. Class A Consumption Data'!N164:O164="B",'6. Class A Consumption Data'!N162:O162))</f>
        <v>0</v>
      </c>
      <c r="I78" s="963">
        <f t="shared" si="0"/>
        <v>0</v>
      </c>
      <c r="J78" s="970">
        <f t="shared" si="2"/>
        <v>0</v>
      </c>
      <c r="K78" s="960">
        <f t="shared" si="3"/>
        <v>0</v>
      </c>
    </row>
    <row r="79" spans="1:11" hidden="1" x14ac:dyDescent="0.25">
      <c r="A79" s="967" t="s">
        <v>2630</v>
      </c>
      <c r="B79" s="967"/>
      <c r="C79" s="968">
        <f t="shared" si="1"/>
        <v>0</v>
      </c>
      <c r="D79" s="968">
        <f t="array" ref="D79">SUM(IF('6. Class A Consumption Data'!F167:G167="B",'6. Class A Consumption Data'!F165:G165))</f>
        <v>0</v>
      </c>
      <c r="E79" s="968">
        <f t="array" ref="E79">SUM(IF('6. Class A Consumption Data'!H167:I167="B",'6. Class A Consumption Data'!H165:I165))</f>
        <v>0</v>
      </c>
      <c r="F79" s="968">
        <f t="array" ref="F79">SUM(IF('6. Class A Consumption Data'!J167:K167="B",'6. Class A Consumption Data'!J165:K165))</f>
        <v>0</v>
      </c>
      <c r="G79" s="968">
        <f t="array" ref="G79">SUM(IF('6. Class A Consumption Data'!L167:M167="B",'6. Class A Consumption Data'!L165:M165))</f>
        <v>0</v>
      </c>
      <c r="H79" s="968">
        <f t="array" ref="H79">SUM(IF('6. Class A Consumption Data'!N167:O167="B",'6. Class A Consumption Data'!N165:O165))</f>
        <v>0</v>
      </c>
      <c r="I79" s="963">
        <f t="shared" si="0"/>
        <v>0</v>
      </c>
      <c r="J79" s="970">
        <f t="shared" si="2"/>
        <v>0</v>
      </c>
      <c r="K79" s="960">
        <f t="shared" si="3"/>
        <v>0</v>
      </c>
    </row>
    <row r="80" spans="1:11" hidden="1" x14ac:dyDescent="0.25">
      <c r="A80" s="967" t="s">
        <v>2631</v>
      </c>
      <c r="B80" s="967"/>
      <c r="C80" s="968">
        <f t="shared" si="1"/>
        <v>0</v>
      </c>
      <c r="D80" s="968">
        <f t="array" ref="D80">SUM(IF('6. Class A Consumption Data'!F170:G170="B",'6. Class A Consumption Data'!F168:G168))</f>
        <v>0</v>
      </c>
      <c r="E80" s="968">
        <f t="array" ref="E80">SUM(IF('6. Class A Consumption Data'!H170:I170="B",'6. Class A Consumption Data'!H168:I168))</f>
        <v>0</v>
      </c>
      <c r="F80" s="968">
        <f t="array" ref="F80">SUM(IF('6. Class A Consumption Data'!J170:K170="B",'6. Class A Consumption Data'!J168:K168))</f>
        <v>0</v>
      </c>
      <c r="G80" s="968">
        <f t="array" ref="G80">SUM(IF('6. Class A Consumption Data'!L170:M170="B",'6. Class A Consumption Data'!L168:M168))</f>
        <v>0</v>
      </c>
      <c r="H80" s="968">
        <f t="array" ref="H80">SUM(IF('6. Class A Consumption Data'!N170:O170="B",'6. Class A Consumption Data'!N168:O168))</f>
        <v>0</v>
      </c>
      <c r="I80" s="963">
        <f t="shared" si="0"/>
        <v>0</v>
      </c>
      <c r="J80" s="970">
        <f t="shared" si="2"/>
        <v>0</v>
      </c>
      <c r="K80" s="960">
        <f t="shared" si="3"/>
        <v>0</v>
      </c>
    </row>
    <row r="81" spans="1:11" hidden="1" x14ac:dyDescent="0.25">
      <c r="A81" s="967" t="s">
        <v>2632</v>
      </c>
      <c r="B81" s="967"/>
      <c r="C81" s="968">
        <f t="shared" si="1"/>
        <v>0</v>
      </c>
      <c r="D81" s="968">
        <f t="array" ref="D81">SUM(IF('6. Class A Consumption Data'!F173:G173="B",'6. Class A Consumption Data'!F171:G171))</f>
        <v>0</v>
      </c>
      <c r="E81" s="968">
        <f t="array" ref="E81">SUM(IF('6. Class A Consumption Data'!H173:I173="B",'6. Class A Consumption Data'!H171:I171))</f>
        <v>0</v>
      </c>
      <c r="F81" s="968">
        <f t="array" ref="F81">SUM(IF('6. Class A Consumption Data'!J173:K173="B",'6. Class A Consumption Data'!J171:K171))</f>
        <v>0</v>
      </c>
      <c r="G81" s="968">
        <f t="array" ref="G81">SUM(IF('6. Class A Consumption Data'!L173:M173="B",'6. Class A Consumption Data'!L171:M171))</f>
        <v>0</v>
      </c>
      <c r="H81" s="968">
        <f t="array" ref="H81">SUM(IF('6. Class A Consumption Data'!N173:O173="B",'6. Class A Consumption Data'!N171:O171))</f>
        <v>0</v>
      </c>
      <c r="I81" s="963">
        <f t="shared" si="0"/>
        <v>0</v>
      </c>
      <c r="J81" s="970">
        <f t="shared" si="2"/>
        <v>0</v>
      </c>
      <c r="K81" s="960">
        <f t="shared" si="3"/>
        <v>0</v>
      </c>
    </row>
    <row r="82" spans="1:11" hidden="1" x14ac:dyDescent="0.25">
      <c r="A82" s="967" t="s">
        <v>2633</v>
      </c>
      <c r="B82" s="967"/>
      <c r="C82" s="968">
        <f t="shared" si="1"/>
        <v>0</v>
      </c>
      <c r="D82" s="968">
        <f t="array" ref="D82">SUM(IF('6. Class A Consumption Data'!F176:G176="B",'6. Class A Consumption Data'!F174:G174))</f>
        <v>0</v>
      </c>
      <c r="E82" s="968">
        <f t="array" ref="E82">SUM(IF('6. Class A Consumption Data'!H176:I176="B",'6. Class A Consumption Data'!H174:I174))</f>
        <v>0</v>
      </c>
      <c r="F82" s="968">
        <f t="array" ref="F82">SUM(IF('6. Class A Consumption Data'!J176:K176="B",'6. Class A Consumption Data'!J174:K174))</f>
        <v>0</v>
      </c>
      <c r="G82" s="968">
        <f t="array" ref="G82">SUM(IF('6. Class A Consumption Data'!L176:M176="B",'6. Class A Consumption Data'!L174:M174))</f>
        <v>0</v>
      </c>
      <c r="H82" s="968">
        <f t="array" ref="H82">SUM(IF('6. Class A Consumption Data'!N176:O176="B",'6. Class A Consumption Data'!N174:O174))</f>
        <v>0</v>
      </c>
      <c r="I82" s="963">
        <f t="shared" si="0"/>
        <v>0</v>
      </c>
      <c r="J82" s="970">
        <f t="shared" si="2"/>
        <v>0</v>
      </c>
      <c r="K82" s="960">
        <f t="shared" si="3"/>
        <v>0</v>
      </c>
    </row>
    <row r="83" spans="1:11" hidden="1" x14ac:dyDescent="0.25">
      <c r="A83" s="967" t="s">
        <v>2634</v>
      </c>
      <c r="B83" s="967"/>
      <c r="C83" s="968">
        <f t="shared" si="1"/>
        <v>0</v>
      </c>
      <c r="D83" s="968">
        <f t="array" ref="D83">SUM(IF('6. Class A Consumption Data'!F179:G179="B",'6. Class A Consumption Data'!F177:G177))</f>
        <v>0</v>
      </c>
      <c r="E83" s="968">
        <f t="array" ref="E83">SUM(IF('6. Class A Consumption Data'!H179:I179="B",'6. Class A Consumption Data'!H177:I177))</f>
        <v>0</v>
      </c>
      <c r="F83" s="968">
        <f t="array" ref="F83">SUM(IF('6. Class A Consumption Data'!J179:K179="B",'6. Class A Consumption Data'!J177:K177))</f>
        <v>0</v>
      </c>
      <c r="G83" s="968">
        <f t="array" ref="G83">SUM(IF('6. Class A Consumption Data'!L179:M179="B",'6. Class A Consumption Data'!L177:M177))</f>
        <v>0</v>
      </c>
      <c r="H83" s="968">
        <f t="array" ref="H83">SUM(IF('6. Class A Consumption Data'!N179:O179="B",'6. Class A Consumption Data'!N177:O177))</f>
        <v>0</v>
      </c>
      <c r="I83" s="963">
        <f t="shared" si="0"/>
        <v>0</v>
      </c>
      <c r="J83" s="970">
        <f t="shared" si="2"/>
        <v>0</v>
      </c>
      <c r="K83" s="960">
        <f t="shared" si="3"/>
        <v>0</v>
      </c>
    </row>
    <row r="84" spans="1:11" hidden="1" x14ac:dyDescent="0.25">
      <c r="A84" s="967" t="s">
        <v>2635</v>
      </c>
      <c r="B84" s="967"/>
      <c r="C84" s="968">
        <f t="shared" si="1"/>
        <v>0</v>
      </c>
      <c r="D84" s="968">
        <f t="array" ref="D84">SUM(IF('6. Class A Consumption Data'!F182:G182="B",'6. Class A Consumption Data'!F180:G180))</f>
        <v>0</v>
      </c>
      <c r="E84" s="968">
        <f t="array" ref="E84">SUM(IF('6. Class A Consumption Data'!H182:I182="B",'6. Class A Consumption Data'!H180:I180))</f>
        <v>0</v>
      </c>
      <c r="F84" s="968">
        <f t="array" ref="F84">SUM(IF('6. Class A Consumption Data'!J182:K182="B",'6. Class A Consumption Data'!J180:K180))</f>
        <v>0</v>
      </c>
      <c r="G84" s="968">
        <f t="array" ref="G84">SUM(IF('6. Class A Consumption Data'!L182:M182="B",'6. Class A Consumption Data'!L180:M180))</f>
        <v>0</v>
      </c>
      <c r="H84" s="968">
        <f t="array" ref="H84">SUM(IF('6. Class A Consumption Data'!N182:O182="B",'6. Class A Consumption Data'!N180:O180))</f>
        <v>0</v>
      </c>
      <c r="I84" s="963">
        <f t="shared" si="0"/>
        <v>0</v>
      </c>
      <c r="J84" s="970">
        <f t="shared" si="2"/>
        <v>0</v>
      </c>
      <c r="K84" s="960">
        <f t="shared" si="3"/>
        <v>0</v>
      </c>
    </row>
    <row r="85" spans="1:11" hidden="1" x14ac:dyDescent="0.25">
      <c r="A85" s="967" t="s">
        <v>2636</v>
      </c>
      <c r="B85" s="967"/>
      <c r="C85" s="968">
        <f t="shared" si="1"/>
        <v>0</v>
      </c>
      <c r="D85" s="968">
        <f t="array" ref="D85">SUM(IF('6. Class A Consumption Data'!F185:G185="B",'6. Class A Consumption Data'!F183:G183))</f>
        <v>0</v>
      </c>
      <c r="E85" s="968">
        <f t="array" ref="E85">SUM(IF('6. Class A Consumption Data'!H185:I185="B",'6. Class A Consumption Data'!H183:I183))</f>
        <v>0</v>
      </c>
      <c r="F85" s="968">
        <f t="array" ref="F85">SUM(IF('6. Class A Consumption Data'!J185:K185="B",'6. Class A Consumption Data'!J183:K183))</f>
        <v>0</v>
      </c>
      <c r="G85" s="968">
        <f t="array" ref="G85">SUM(IF('6. Class A Consumption Data'!L185:M185="B",'6. Class A Consumption Data'!L183:M183))</f>
        <v>0</v>
      </c>
      <c r="H85" s="968">
        <f t="array" ref="H85">SUM(IF('6. Class A Consumption Data'!N185:O185="B",'6. Class A Consumption Data'!N183:O183))</f>
        <v>0</v>
      </c>
      <c r="I85" s="963">
        <f t="shared" si="0"/>
        <v>0</v>
      </c>
      <c r="J85" s="970">
        <f t="shared" si="2"/>
        <v>0</v>
      </c>
      <c r="K85" s="960">
        <f t="shared" si="3"/>
        <v>0</v>
      </c>
    </row>
    <row r="86" spans="1:11" hidden="1" x14ac:dyDescent="0.25">
      <c r="A86" s="967" t="s">
        <v>2637</v>
      </c>
      <c r="B86" s="967"/>
      <c r="C86" s="968">
        <f t="shared" si="1"/>
        <v>0</v>
      </c>
      <c r="D86" s="968">
        <f t="array" ref="D86">SUM(IF('6. Class A Consumption Data'!F188:G188="B",'6. Class A Consumption Data'!F186:G186))</f>
        <v>0</v>
      </c>
      <c r="E86" s="968">
        <f t="array" ref="E86">SUM(IF('6. Class A Consumption Data'!H188:I188="B",'6. Class A Consumption Data'!H186:I186))</f>
        <v>0</v>
      </c>
      <c r="F86" s="968">
        <f t="array" ref="F86">SUM(IF('6. Class A Consumption Data'!J188:K188="B",'6. Class A Consumption Data'!J186:K186))</f>
        <v>0</v>
      </c>
      <c r="G86" s="968">
        <f t="array" ref="G86">SUM(IF('6. Class A Consumption Data'!L188:M188="B",'6. Class A Consumption Data'!L186:M186))</f>
        <v>0</v>
      </c>
      <c r="H86" s="968">
        <f t="array" ref="H86">SUM(IF('6. Class A Consumption Data'!N188:O188="B",'6. Class A Consumption Data'!N186:O186))</f>
        <v>0</v>
      </c>
      <c r="I86" s="963">
        <f t="shared" si="0"/>
        <v>0</v>
      </c>
      <c r="J86" s="970">
        <f t="shared" si="2"/>
        <v>0</v>
      </c>
      <c r="K86" s="960">
        <f t="shared" si="3"/>
        <v>0</v>
      </c>
    </row>
    <row r="87" spans="1:11" hidden="1" x14ac:dyDescent="0.25">
      <c r="A87" s="967" t="s">
        <v>2638</v>
      </c>
      <c r="B87" s="967"/>
      <c r="C87" s="968">
        <f t="shared" si="1"/>
        <v>0</v>
      </c>
      <c r="D87" s="968">
        <f t="array" ref="D87">SUM(IF('6. Class A Consumption Data'!F191:G191="B",'6. Class A Consumption Data'!F189:G189))</f>
        <v>0</v>
      </c>
      <c r="E87" s="968">
        <f t="array" ref="E87">SUM(IF('6. Class A Consumption Data'!H191:I191="B",'6. Class A Consumption Data'!H189:I189))</f>
        <v>0</v>
      </c>
      <c r="F87" s="968">
        <f t="array" ref="F87">SUM(IF('6. Class A Consumption Data'!J191:K191="B",'6. Class A Consumption Data'!J189:K189))</f>
        <v>0</v>
      </c>
      <c r="G87" s="968">
        <f t="array" ref="G87">SUM(IF('6. Class A Consumption Data'!L191:M191="B",'6. Class A Consumption Data'!L189:M189))</f>
        <v>0</v>
      </c>
      <c r="H87" s="968">
        <f t="array" ref="H87">SUM(IF('6. Class A Consumption Data'!N191:O191="B",'6. Class A Consumption Data'!N189:O189))</f>
        <v>0</v>
      </c>
      <c r="I87" s="963">
        <f t="shared" si="0"/>
        <v>0</v>
      </c>
      <c r="J87" s="970">
        <f t="shared" si="2"/>
        <v>0</v>
      </c>
      <c r="K87" s="960">
        <f t="shared" si="3"/>
        <v>0</v>
      </c>
    </row>
    <row r="88" spans="1:11" hidden="1" x14ac:dyDescent="0.25">
      <c r="A88" s="967" t="s">
        <v>2639</v>
      </c>
      <c r="B88" s="967"/>
      <c r="C88" s="968">
        <f t="shared" si="1"/>
        <v>0</v>
      </c>
      <c r="D88" s="968">
        <f t="array" ref="D88">SUM(IF('6. Class A Consumption Data'!F194:G194="B",'6. Class A Consumption Data'!F192:G192))</f>
        <v>0</v>
      </c>
      <c r="E88" s="968">
        <f t="array" ref="E88">SUM(IF('6. Class A Consumption Data'!H194:I194="B",'6. Class A Consumption Data'!H192:I192))</f>
        <v>0</v>
      </c>
      <c r="F88" s="968">
        <f t="array" ref="F88">SUM(IF('6. Class A Consumption Data'!J194:K194="B",'6. Class A Consumption Data'!J192:K192))</f>
        <v>0</v>
      </c>
      <c r="G88" s="968">
        <f t="array" ref="G88">SUM(IF('6. Class A Consumption Data'!L194:M194="B",'6. Class A Consumption Data'!L192:M192))</f>
        <v>0</v>
      </c>
      <c r="H88" s="968">
        <f t="array" ref="H88">SUM(IF('6. Class A Consumption Data'!N194:O194="B",'6. Class A Consumption Data'!N192:O192))</f>
        <v>0</v>
      </c>
      <c r="I88" s="963">
        <f t="shared" si="0"/>
        <v>0</v>
      </c>
      <c r="J88" s="970">
        <f t="shared" si="2"/>
        <v>0</v>
      </c>
      <c r="K88" s="960">
        <f t="shared" si="3"/>
        <v>0</v>
      </c>
    </row>
    <row r="89" spans="1:11" hidden="1" x14ac:dyDescent="0.25">
      <c r="A89" s="967" t="s">
        <v>2640</v>
      </c>
      <c r="B89" s="967"/>
      <c r="C89" s="968">
        <f t="shared" si="1"/>
        <v>0</v>
      </c>
      <c r="D89" s="968">
        <f t="array" ref="D89">SUM(IF('6. Class A Consumption Data'!F197:G197="B",'6. Class A Consumption Data'!F195:G195))</f>
        <v>0</v>
      </c>
      <c r="E89" s="968">
        <f t="array" ref="E89">SUM(IF('6. Class A Consumption Data'!H197:I197="B",'6. Class A Consumption Data'!H195:I195))</f>
        <v>0</v>
      </c>
      <c r="F89" s="968">
        <f t="array" ref="F89">SUM(IF('6. Class A Consumption Data'!J197:K197="B",'6. Class A Consumption Data'!J195:K195))</f>
        <v>0</v>
      </c>
      <c r="G89" s="968">
        <f t="array" ref="G89">SUM(IF('6. Class A Consumption Data'!L197:M197="B",'6. Class A Consumption Data'!L195:M195))</f>
        <v>0</v>
      </c>
      <c r="H89" s="968">
        <f t="array" ref="H89">SUM(IF('6. Class A Consumption Data'!N197:O197="B",'6. Class A Consumption Data'!N195:O195))</f>
        <v>0</v>
      </c>
      <c r="I89" s="963">
        <f t="shared" si="0"/>
        <v>0</v>
      </c>
      <c r="J89" s="970">
        <f t="shared" si="2"/>
        <v>0</v>
      </c>
      <c r="K89" s="960">
        <f t="shared" si="3"/>
        <v>0</v>
      </c>
    </row>
    <row r="90" spans="1:11" hidden="1" x14ac:dyDescent="0.25">
      <c r="A90" s="967" t="s">
        <v>2641</v>
      </c>
      <c r="B90" s="967"/>
      <c r="C90" s="968">
        <f t="shared" si="1"/>
        <v>0</v>
      </c>
      <c r="D90" s="968">
        <f t="array" ref="D90">SUM(IF('6. Class A Consumption Data'!F200:G200="B",'6. Class A Consumption Data'!F198:G198))</f>
        <v>0</v>
      </c>
      <c r="E90" s="968">
        <f t="array" ref="E90">SUM(IF('6. Class A Consumption Data'!H200:I200="B",'6. Class A Consumption Data'!H198:I198))</f>
        <v>0</v>
      </c>
      <c r="F90" s="968">
        <f t="array" ref="F90">SUM(IF('6. Class A Consumption Data'!J200:K200="B",'6. Class A Consumption Data'!J198:K198))</f>
        <v>0</v>
      </c>
      <c r="G90" s="968">
        <f t="array" ref="G90">SUM(IF('6. Class A Consumption Data'!L200:M200="B",'6. Class A Consumption Data'!L198:M198))</f>
        <v>0</v>
      </c>
      <c r="H90" s="968">
        <f t="array" ref="H90">SUM(IF('6. Class A Consumption Data'!N200:O200="B",'6. Class A Consumption Data'!N198:O198))</f>
        <v>0</v>
      </c>
      <c r="I90" s="963">
        <f t="shared" si="0"/>
        <v>0</v>
      </c>
      <c r="J90" s="970">
        <f t="shared" si="2"/>
        <v>0</v>
      </c>
      <c r="K90" s="960">
        <f t="shared" si="3"/>
        <v>0</v>
      </c>
    </row>
    <row r="91" spans="1:11" hidden="1" x14ac:dyDescent="0.25">
      <c r="A91" s="967" t="s">
        <v>2642</v>
      </c>
      <c r="B91" s="967"/>
      <c r="C91" s="968">
        <f t="shared" si="1"/>
        <v>0</v>
      </c>
      <c r="D91" s="968">
        <f t="array" ref="D91">SUM(IF('6. Class A Consumption Data'!F203:G203="B",'6. Class A Consumption Data'!F201:G201))</f>
        <v>0</v>
      </c>
      <c r="E91" s="968">
        <f t="array" ref="E91">SUM(IF('6. Class A Consumption Data'!H203:I203="B",'6. Class A Consumption Data'!H201:I201))</f>
        <v>0</v>
      </c>
      <c r="F91" s="968">
        <f t="array" ref="F91">SUM(IF('6. Class A Consumption Data'!J203:K203="B",'6. Class A Consumption Data'!J201:K201))</f>
        <v>0</v>
      </c>
      <c r="G91" s="968">
        <f t="array" ref="G91">SUM(IF('6. Class A Consumption Data'!L203:M203="B",'6. Class A Consumption Data'!L201:M201))</f>
        <v>0</v>
      </c>
      <c r="H91" s="968">
        <f t="array" ref="H91">SUM(IF('6. Class A Consumption Data'!N203:O203="B",'6. Class A Consumption Data'!N201:O201))</f>
        <v>0</v>
      </c>
      <c r="I91" s="963">
        <f t="shared" si="0"/>
        <v>0</v>
      </c>
      <c r="J91" s="970">
        <f t="shared" si="2"/>
        <v>0</v>
      </c>
      <c r="K91" s="960">
        <f t="shared" si="3"/>
        <v>0</v>
      </c>
    </row>
    <row r="92" spans="1:11" hidden="1" x14ac:dyDescent="0.25">
      <c r="A92" s="967" t="s">
        <v>2643</v>
      </c>
      <c r="B92" s="967"/>
      <c r="C92" s="968">
        <f t="shared" si="1"/>
        <v>0</v>
      </c>
      <c r="D92" s="968">
        <f t="array" ref="D92">SUM(IF('6. Class A Consumption Data'!F206:G206="B",'6. Class A Consumption Data'!F204:G204))</f>
        <v>0</v>
      </c>
      <c r="E92" s="968">
        <f t="array" ref="E92">SUM(IF('6. Class A Consumption Data'!H206:I206="B",'6. Class A Consumption Data'!H204:I204))</f>
        <v>0</v>
      </c>
      <c r="F92" s="968">
        <f t="array" ref="F92">SUM(IF('6. Class A Consumption Data'!J206:K206="B",'6. Class A Consumption Data'!J204:K204))</f>
        <v>0</v>
      </c>
      <c r="G92" s="968">
        <f t="array" ref="G92">SUM(IF('6. Class A Consumption Data'!L206:M206="B",'6. Class A Consumption Data'!L204:M204))</f>
        <v>0</v>
      </c>
      <c r="H92" s="968">
        <f t="array" ref="H92">SUM(IF('6. Class A Consumption Data'!N206:O206="B",'6. Class A Consumption Data'!N204:O204))</f>
        <v>0</v>
      </c>
      <c r="I92" s="963">
        <f t="shared" si="0"/>
        <v>0</v>
      </c>
      <c r="J92" s="970">
        <f t="shared" si="2"/>
        <v>0</v>
      </c>
      <c r="K92" s="960">
        <f t="shared" si="3"/>
        <v>0</v>
      </c>
    </row>
    <row r="93" spans="1:11" hidden="1" x14ac:dyDescent="0.25">
      <c r="A93" s="967" t="s">
        <v>2644</v>
      </c>
      <c r="B93" s="967"/>
      <c r="C93" s="968">
        <f t="shared" si="1"/>
        <v>0</v>
      </c>
      <c r="D93" s="968">
        <f t="array" ref="D93">SUM(IF('6. Class A Consumption Data'!F209:G209="B",'6. Class A Consumption Data'!F207:G207))</f>
        <v>0</v>
      </c>
      <c r="E93" s="968">
        <f t="array" ref="E93">SUM(IF('6. Class A Consumption Data'!H209:I209="B",'6. Class A Consumption Data'!H207:I207))</f>
        <v>0</v>
      </c>
      <c r="F93" s="968">
        <f t="array" ref="F93">SUM(IF('6. Class A Consumption Data'!J209:K209="B",'6. Class A Consumption Data'!J207:K207))</f>
        <v>0</v>
      </c>
      <c r="G93" s="968">
        <f t="array" ref="G93">SUM(IF('6. Class A Consumption Data'!L209:M209="B",'6. Class A Consumption Data'!L207:M207))</f>
        <v>0</v>
      </c>
      <c r="H93" s="968">
        <f t="array" ref="H93">SUM(IF('6. Class A Consumption Data'!N209:O209="B",'6. Class A Consumption Data'!N207:O207))</f>
        <v>0</v>
      </c>
      <c r="I93" s="963">
        <f t="shared" si="0"/>
        <v>0</v>
      </c>
      <c r="J93" s="970">
        <f t="shared" si="2"/>
        <v>0</v>
      </c>
      <c r="K93" s="960">
        <f t="shared" si="3"/>
        <v>0</v>
      </c>
    </row>
    <row r="94" spans="1:11" hidden="1" x14ac:dyDescent="0.25">
      <c r="A94" s="967" t="s">
        <v>2645</v>
      </c>
      <c r="B94" s="967"/>
      <c r="C94" s="968">
        <f t="shared" si="1"/>
        <v>0</v>
      </c>
      <c r="D94" s="968">
        <f t="array" ref="D94">SUM(IF('6. Class A Consumption Data'!F212:G212="B",'6. Class A Consumption Data'!F210:G210))</f>
        <v>0</v>
      </c>
      <c r="E94" s="968">
        <f t="array" ref="E94">SUM(IF('6. Class A Consumption Data'!H212:I212="B",'6. Class A Consumption Data'!H210:I210))</f>
        <v>0</v>
      </c>
      <c r="F94" s="968">
        <f t="array" ref="F94">SUM(IF('6. Class A Consumption Data'!J212:K212="B",'6. Class A Consumption Data'!J210:K210))</f>
        <v>0</v>
      </c>
      <c r="G94" s="968">
        <f t="array" ref="G94">SUM(IF('6. Class A Consumption Data'!L212:M212="B",'6. Class A Consumption Data'!L210:M210))</f>
        <v>0</v>
      </c>
      <c r="H94" s="968">
        <f t="array" ref="H94">SUM(IF('6. Class A Consumption Data'!N212:O212="B",'6. Class A Consumption Data'!N210:O210))</f>
        <v>0</v>
      </c>
      <c r="I94" s="963">
        <f t="shared" si="0"/>
        <v>0</v>
      </c>
      <c r="J94" s="970">
        <f t="shared" si="2"/>
        <v>0</v>
      </c>
      <c r="K94" s="960">
        <f t="shared" si="3"/>
        <v>0</v>
      </c>
    </row>
    <row r="95" spans="1:11" hidden="1" x14ac:dyDescent="0.25">
      <c r="A95" s="967" t="s">
        <v>2646</v>
      </c>
      <c r="B95" s="967"/>
      <c r="C95" s="968">
        <f t="shared" si="1"/>
        <v>0</v>
      </c>
      <c r="D95" s="968">
        <f t="array" ref="D95">SUM(IF('6. Class A Consumption Data'!F215:G215="B",'6. Class A Consumption Data'!F213:G213))</f>
        <v>0</v>
      </c>
      <c r="E95" s="968">
        <f t="array" ref="E95">SUM(IF('6. Class A Consumption Data'!H215:I215="B",'6. Class A Consumption Data'!H213:I213))</f>
        <v>0</v>
      </c>
      <c r="F95" s="968">
        <f t="array" ref="F95">SUM(IF('6. Class A Consumption Data'!J215:K215="B",'6. Class A Consumption Data'!J213:K213))</f>
        <v>0</v>
      </c>
      <c r="G95" s="968">
        <f t="array" ref="G95">SUM(IF('6. Class A Consumption Data'!L215:M215="B",'6. Class A Consumption Data'!L213:M213))</f>
        <v>0</v>
      </c>
      <c r="H95" s="968">
        <f t="array" ref="H95">SUM(IF('6. Class A Consumption Data'!N215:O215="B",'6. Class A Consumption Data'!N213:O213))</f>
        <v>0</v>
      </c>
      <c r="I95" s="963">
        <f t="shared" si="0"/>
        <v>0</v>
      </c>
      <c r="J95" s="970">
        <f t="shared" si="2"/>
        <v>0</v>
      </c>
      <c r="K95" s="960">
        <f t="shared" si="3"/>
        <v>0</v>
      </c>
    </row>
    <row r="96" spans="1:11" hidden="1" x14ac:dyDescent="0.25">
      <c r="A96" s="967" t="s">
        <v>2647</v>
      </c>
      <c r="B96" s="967"/>
      <c r="C96" s="968">
        <f t="shared" si="1"/>
        <v>0</v>
      </c>
      <c r="D96" s="968">
        <f t="array" ref="D96">SUM(IF('6. Class A Consumption Data'!F218:G218="B",'6. Class A Consumption Data'!F216:G216))</f>
        <v>0</v>
      </c>
      <c r="E96" s="968">
        <f t="array" ref="E96">SUM(IF('6. Class A Consumption Data'!H218:I218="B",'6. Class A Consumption Data'!H216:I216))</f>
        <v>0</v>
      </c>
      <c r="F96" s="968">
        <f t="array" ref="F96">SUM(IF('6. Class A Consumption Data'!J218:K218="B",'6. Class A Consumption Data'!J216:K216))</f>
        <v>0</v>
      </c>
      <c r="G96" s="968">
        <f t="array" ref="G96">SUM(IF('6. Class A Consumption Data'!L218:M218="B",'6. Class A Consumption Data'!L216:M216))</f>
        <v>0</v>
      </c>
      <c r="H96" s="968">
        <f t="array" ref="H96">SUM(IF('6. Class A Consumption Data'!N218:O218="B",'6. Class A Consumption Data'!N216:O216))</f>
        <v>0</v>
      </c>
      <c r="I96" s="963">
        <f t="shared" si="0"/>
        <v>0</v>
      </c>
      <c r="J96" s="970">
        <f t="shared" si="2"/>
        <v>0</v>
      </c>
      <c r="K96" s="960">
        <f t="shared" si="3"/>
        <v>0</v>
      </c>
    </row>
    <row r="97" spans="1:11" hidden="1" x14ac:dyDescent="0.25">
      <c r="A97" s="967" t="s">
        <v>2648</v>
      </c>
      <c r="B97" s="967"/>
      <c r="C97" s="968">
        <f t="shared" si="1"/>
        <v>0</v>
      </c>
      <c r="D97" s="968">
        <f t="array" ref="D97">SUM(IF('6. Class A Consumption Data'!F221:G221="B",'6. Class A Consumption Data'!F219:G219))</f>
        <v>0</v>
      </c>
      <c r="E97" s="968">
        <f t="array" ref="E97">SUM(IF('6. Class A Consumption Data'!H221:I221="B",'6. Class A Consumption Data'!H219:I219))</f>
        <v>0</v>
      </c>
      <c r="F97" s="968">
        <f t="array" ref="F97">SUM(IF('6. Class A Consumption Data'!J221:K221="B",'6. Class A Consumption Data'!J219:K219))</f>
        <v>0</v>
      </c>
      <c r="G97" s="968">
        <f t="array" ref="G97">SUM(IF('6. Class A Consumption Data'!L221:M221="B",'6. Class A Consumption Data'!L219:M219))</f>
        <v>0</v>
      </c>
      <c r="H97" s="968">
        <f t="array" ref="H97">SUM(IF('6. Class A Consumption Data'!N221:O221="B",'6. Class A Consumption Data'!N219:O219))</f>
        <v>0</v>
      </c>
      <c r="I97" s="963">
        <f t="shared" si="0"/>
        <v>0</v>
      </c>
      <c r="J97" s="970">
        <f t="shared" si="2"/>
        <v>0</v>
      </c>
      <c r="K97" s="960">
        <f t="shared" si="3"/>
        <v>0</v>
      </c>
    </row>
    <row r="98" spans="1:11" hidden="1" x14ac:dyDescent="0.25">
      <c r="A98" s="967" t="s">
        <v>2649</v>
      </c>
      <c r="B98" s="967"/>
      <c r="C98" s="968">
        <f t="shared" si="1"/>
        <v>0</v>
      </c>
      <c r="D98" s="968">
        <f t="array" ref="D98">SUM(IF('6. Class A Consumption Data'!F224:G224="B",'6. Class A Consumption Data'!F222:G222))</f>
        <v>0</v>
      </c>
      <c r="E98" s="968">
        <f t="array" ref="E98">SUM(IF('6. Class A Consumption Data'!H224:I224="B",'6. Class A Consumption Data'!H222:I222))</f>
        <v>0</v>
      </c>
      <c r="F98" s="968">
        <f t="array" ref="F98">SUM(IF('6. Class A Consumption Data'!J224:K224="B",'6. Class A Consumption Data'!J222:K222))</f>
        <v>0</v>
      </c>
      <c r="G98" s="968">
        <f t="array" ref="G98">SUM(IF('6. Class A Consumption Data'!L224:M224="B",'6. Class A Consumption Data'!L222:M222))</f>
        <v>0</v>
      </c>
      <c r="H98" s="968">
        <f t="array" ref="H98">SUM(IF('6. Class A Consumption Data'!N224:O224="B",'6. Class A Consumption Data'!N222:O222))</f>
        <v>0</v>
      </c>
      <c r="I98" s="963">
        <f t="shared" si="0"/>
        <v>0</v>
      </c>
      <c r="J98" s="970">
        <f t="shared" si="2"/>
        <v>0</v>
      </c>
      <c r="K98" s="960">
        <f t="shared" si="3"/>
        <v>0</v>
      </c>
    </row>
    <row r="99" spans="1:11" hidden="1" x14ac:dyDescent="0.25">
      <c r="A99" s="967" t="s">
        <v>2650</v>
      </c>
      <c r="B99" s="967"/>
      <c r="C99" s="968">
        <f t="shared" si="1"/>
        <v>0</v>
      </c>
      <c r="D99" s="968">
        <f t="array" ref="D99">SUM(IF('6. Class A Consumption Data'!F227:G227="B",'6. Class A Consumption Data'!F225:G225))</f>
        <v>0</v>
      </c>
      <c r="E99" s="968">
        <f t="array" ref="E99">SUM(IF('6. Class A Consumption Data'!H227:I227="B",'6. Class A Consumption Data'!H225:I225))</f>
        <v>0</v>
      </c>
      <c r="F99" s="968">
        <f t="array" ref="F99">SUM(IF('6. Class A Consumption Data'!J227:K227="B",'6. Class A Consumption Data'!J225:K225))</f>
        <v>0</v>
      </c>
      <c r="G99" s="968">
        <f t="array" ref="G99">SUM(IF('6. Class A Consumption Data'!L227:M227="B",'6. Class A Consumption Data'!L225:M225))</f>
        <v>0</v>
      </c>
      <c r="H99" s="968">
        <f t="array" ref="H99">SUM(IF('6. Class A Consumption Data'!N227:O227="B",'6. Class A Consumption Data'!N225:O225))</f>
        <v>0</v>
      </c>
      <c r="I99" s="963">
        <f t="shared" ref="I99:I162" si="4">IFERROR(+C99/$C$184,0)</f>
        <v>0</v>
      </c>
      <c r="J99" s="970">
        <f t="shared" si="2"/>
        <v>0</v>
      </c>
      <c r="K99" s="960">
        <f t="shared" si="3"/>
        <v>0</v>
      </c>
    </row>
    <row r="100" spans="1:11" hidden="1" x14ac:dyDescent="0.25">
      <c r="A100" s="967" t="s">
        <v>2651</v>
      </c>
      <c r="B100" s="967"/>
      <c r="C100" s="968">
        <f t="shared" si="1"/>
        <v>0</v>
      </c>
      <c r="D100" s="968">
        <f t="array" ref="D100">SUM(IF('6. Class A Consumption Data'!F230:G230="B",'6. Class A Consumption Data'!F228:G228))</f>
        <v>0</v>
      </c>
      <c r="E100" s="968">
        <f t="array" ref="E100">SUM(IF('6. Class A Consumption Data'!H230:I230="B",'6. Class A Consumption Data'!H228:I228))</f>
        <v>0</v>
      </c>
      <c r="F100" s="968">
        <f t="array" ref="F100">SUM(IF('6. Class A Consumption Data'!J230:K230="B",'6. Class A Consumption Data'!J228:K228))</f>
        <v>0</v>
      </c>
      <c r="G100" s="968">
        <f t="array" ref="G100">SUM(IF('6. Class A Consumption Data'!L230:M230="B",'6. Class A Consumption Data'!L228:M228))</f>
        <v>0</v>
      </c>
      <c r="H100" s="968">
        <f t="array" ref="H100">SUM(IF('6. Class A Consumption Data'!N230:O230="B",'6. Class A Consumption Data'!N228:O228))</f>
        <v>0</v>
      </c>
      <c r="I100" s="963">
        <f t="shared" si="4"/>
        <v>0</v>
      </c>
      <c r="J100" s="970">
        <f t="shared" si="2"/>
        <v>0</v>
      </c>
      <c r="K100" s="960">
        <f t="shared" si="3"/>
        <v>0</v>
      </c>
    </row>
    <row r="101" spans="1:11" hidden="1" x14ac:dyDescent="0.25">
      <c r="A101" s="967" t="s">
        <v>2652</v>
      </c>
      <c r="B101" s="967"/>
      <c r="C101" s="968">
        <f t="shared" si="1"/>
        <v>0</v>
      </c>
      <c r="D101" s="968">
        <f t="array" ref="D101">SUM(IF('6. Class A Consumption Data'!F233:G233="B",'6. Class A Consumption Data'!F231:G231))</f>
        <v>0</v>
      </c>
      <c r="E101" s="968">
        <f t="array" ref="E101">SUM(IF('6. Class A Consumption Data'!H233:I233="B",'6. Class A Consumption Data'!H231:I231))</f>
        <v>0</v>
      </c>
      <c r="F101" s="968">
        <f t="array" ref="F101">SUM(IF('6. Class A Consumption Data'!J233:K233="B",'6. Class A Consumption Data'!J231:K231))</f>
        <v>0</v>
      </c>
      <c r="G101" s="968">
        <f t="array" ref="G101">SUM(IF('6. Class A Consumption Data'!L233:M233="B",'6. Class A Consumption Data'!L231:M231))</f>
        <v>0</v>
      </c>
      <c r="H101" s="968">
        <f t="array" ref="H101">SUM(IF('6. Class A Consumption Data'!N233:O233="B",'6. Class A Consumption Data'!N231:O231))</f>
        <v>0</v>
      </c>
      <c r="I101" s="963">
        <f t="shared" si="4"/>
        <v>0</v>
      </c>
      <c r="J101" s="970">
        <f t="shared" si="2"/>
        <v>0</v>
      </c>
      <c r="K101" s="960">
        <f t="shared" si="3"/>
        <v>0</v>
      </c>
    </row>
    <row r="102" spans="1:11" hidden="1" x14ac:dyDescent="0.25">
      <c r="A102" s="967" t="s">
        <v>2653</v>
      </c>
      <c r="B102" s="967"/>
      <c r="C102" s="968">
        <f t="shared" ref="C102:C165" si="5">SUM(D102:G102)</f>
        <v>0</v>
      </c>
      <c r="D102" s="968">
        <f t="array" ref="D102">SUM(IF('6. Class A Consumption Data'!F236:G236="B",'6. Class A Consumption Data'!F234:G234))</f>
        <v>0</v>
      </c>
      <c r="E102" s="968">
        <f t="array" ref="E102">SUM(IF('6. Class A Consumption Data'!H236:I236="B",'6. Class A Consumption Data'!H234:I234))</f>
        <v>0</v>
      </c>
      <c r="F102" s="968">
        <f t="array" ref="F102">SUM(IF('6. Class A Consumption Data'!J236:K236="B",'6. Class A Consumption Data'!J234:K234))</f>
        <v>0</v>
      </c>
      <c r="G102" s="968">
        <f t="array" ref="G102">SUM(IF('6. Class A Consumption Data'!L236:M236="B",'6. Class A Consumption Data'!L234:M234))</f>
        <v>0</v>
      </c>
      <c r="H102" s="968">
        <f t="array" ref="H102">SUM(IF('6. Class A Consumption Data'!N236:O236="B",'6. Class A Consumption Data'!N234:O234))</f>
        <v>0</v>
      </c>
      <c r="I102" s="963">
        <f t="shared" si="4"/>
        <v>0</v>
      </c>
      <c r="J102" s="970">
        <f t="shared" ref="J102:J165" si="6">+I102*$C$28</f>
        <v>0</v>
      </c>
      <c r="K102" s="960">
        <f t="shared" ref="K102:K165" si="7">+J102/12</f>
        <v>0</v>
      </c>
    </row>
    <row r="103" spans="1:11" hidden="1" x14ac:dyDescent="0.25">
      <c r="A103" s="967" t="s">
        <v>2654</v>
      </c>
      <c r="B103" s="967"/>
      <c r="C103" s="968">
        <f t="shared" si="5"/>
        <v>0</v>
      </c>
      <c r="D103" s="968">
        <f t="array" ref="D103">SUM(IF('6. Class A Consumption Data'!F239:G239="B",'6. Class A Consumption Data'!F237:G237))</f>
        <v>0</v>
      </c>
      <c r="E103" s="968">
        <f t="array" ref="E103">SUM(IF('6. Class A Consumption Data'!H239:I239="B",'6. Class A Consumption Data'!H237:I237))</f>
        <v>0</v>
      </c>
      <c r="F103" s="968">
        <f t="array" ref="F103">SUM(IF('6. Class A Consumption Data'!J239:K239="B",'6. Class A Consumption Data'!J237:K237))</f>
        <v>0</v>
      </c>
      <c r="G103" s="968">
        <f t="array" ref="G103">SUM(IF('6. Class A Consumption Data'!L239:M239="B",'6. Class A Consumption Data'!L237:M237))</f>
        <v>0</v>
      </c>
      <c r="H103" s="968">
        <f t="array" ref="H103">SUM(IF('6. Class A Consumption Data'!N239:O239="B",'6. Class A Consumption Data'!N237:O237))</f>
        <v>0</v>
      </c>
      <c r="I103" s="963">
        <f t="shared" si="4"/>
        <v>0</v>
      </c>
      <c r="J103" s="970">
        <f t="shared" si="6"/>
        <v>0</v>
      </c>
      <c r="K103" s="960">
        <f t="shared" si="7"/>
        <v>0</v>
      </c>
    </row>
    <row r="104" spans="1:11" hidden="1" x14ac:dyDescent="0.25">
      <c r="A104" s="967" t="s">
        <v>2655</v>
      </c>
      <c r="B104" s="967"/>
      <c r="C104" s="968">
        <f t="shared" si="5"/>
        <v>0</v>
      </c>
      <c r="D104" s="968">
        <f t="array" ref="D104">SUM(IF('6. Class A Consumption Data'!F242:G242="B",'6. Class A Consumption Data'!F240:G240))</f>
        <v>0</v>
      </c>
      <c r="E104" s="968">
        <f t="array" ref="E104">SUM(IF('6. Class A Consumption Data'!H242:I242="B",'6. Class A Consumption Data'!H240:I240))</f>
        <v>0</v>
      </c>
      <c r="F104" s="968">
        <f t="array" ref="F104">SUM(IF('6. Class A Consumption Data'!J242:K242="B",'6. Class A Consumption Data'!J240:K240))</f>
        <v>0</v>
      </c>
      <c r="G104" s="968">
        <f t="array" ref="G104">SUM(IF('6. Class A Consumption Data'!L242:M242="B",'6. Class A Consumption Data'!L240:M240))</f>
        <v>0</v>
      </c>
      <c r="H104" s="968">
        <f t="array" ref="H104">SUM(IF('6. Class A Consumption Data'!N242:O242="B",'6. Class A Consumption Data'!N240:O240))</f>
        <v>0</v>
      </c>
      <c r="I104" s="963">
        <f t="shared" si="4"/>
        <v>0</v>
      </c>
      <c r="J104" s="970">
        <f t="shared" si="6"/>
        <v>0</v>
      </c>
      <c r="K104" s="960">
        <f t="shared" si="7"/>
        <v>0</v>
      </c>
    </row>
    <row r="105" spans="1:11" hidden="1" x14ac:dyDescent="0.25">
      <c r="A105" s="967" t="s">
        <v>2656</v>
      </c>
      <c r="B105" s="967"/>
      <c r="C105" s="968">
        <f t="shared" si="5"/>
        <v>0</v>
      </c>
      <c r="D105" s="968">
        <f t="array" ref="D105">SUM(IF('6. Class A Consumption Data'!F245:G245="B",'6. Class A Consumption Data'!F243:G243))</f>
        <v>0</v>
      </c>
      <c r="E105" s="968">
        <f t="array" ref="E105">SUM(IF('6. Class A Consumption Data'!H245:I245="B",'6. Class A Consumption Data'!H243:I243))</f>
        <v>0</v>
      </c>
      <c r="F105" s="968">
        <f t="array" ref="F105">SUM(IF('6. Class A Consumption Data'!J245:K245="B",'6. Class A Consumption Data'!J243:K243))</f>
        <v>0</v>
      </c>
      <c r="G105" s="968">
        <f t="array" ref="G105">SUM(IF('6. Class A Consumption Data'!L245:M245="B",'6. Class A Consumption Data'!L243:M243))</f>
        <v>0</v>
      </c>
      <c r="H105" s="968">
        <f t="array" ref="H105">SUM(IF('6. Class A Consumption Data'!N245:O245="B",'6. Class A Consumption Data'!N243:O243))</f>
        <v>0</v>
      </c>
      <c r="I105" s="963">
        <f t="shared" si="4"/>
        <v>0</v>
      </c>
      <c r="J105" s="970">
        <f t="shared" si="6"/>
        <v>0</v>
      </c>
      <c r="K105" s="960">
        <f t="shared" si="7"/>
        <v>0</v>
      </c>
    </row>
    <row r="106" spans="1:11" hidden="1" x14ac:dyDescent="0.25">
      <c r="A106" s="967" t="s">
        <v>2657</v>
      </c>
      <c r="B106" s="967"/>
      <c r="C106" s="968">
        <f t="shared" si="5"/>
        <v>0</v>
      </c>
      <c r="D106" s="968">
        <f t="array" ref="D106">SUM(IF('6. Class A Consumption Data'!F248:G248="B",'6. Class A Consumption Data'!F246:G246))</f>
        <v>0</v>
      </c>
      <c r="E106" s="968">
        <f t="array" ref="E106">SUM(IF('6. Class A Consumption Data'!H248:I248="B",'6. Class A Consumption Data'!H246:I246))</f>
        <v>0</v>
      </c>
      <c r="F106" s="968">
        <f t="array" ref="F106">SUM(IF('6. Class A Consumption Data'!J248:K248="B",'6. Class A Consumption Data'!J246:K246))</f>
        <v>0</v>
      </c>
      <c r="G106" s="968">
        <f t="array" ref="G106">SUM(IF('6. Class A Consumption Data'!L248:M248="B",'6. Class A Consumption Data'!L246:M246))</f>
        <v>0</v>
      </c>
      <c r="H106" s="968">
        <f t="array" ref="H106">SUM(IF('6. Class A Consumption Data'!N248:O248="B",'6. Class A Consumption Data'!N246:O246))</f>
        <v>0</v>
      </c>
      <c r="I106" s="963">
        <f t="shared" si="4"/>
        <v>0</v>
      </c>
      <c r="J106" s="970">
        <f t="shared" si="6"/>
        <v>0</v>
      </c>
      <c r="K106" s="960">
        <f t="shared" si="7"/>
        <v>0</v>
      </c>
    </row>
    <row r="107" spans="1:11" hidden="1" x14ac:dyDescent="0.25">
      <c r="A107" s="967" t="s">
        <v>2658</v>
      </c>
      <c r="B107" s="967"/>
      <c r="C107" s="968">
        <f t="shared" si="5"/>
        <v>0</v>
      </c>
      <c r="D107" s="968">
        <f t="array" ref="D107">SUM(IF('6. Class A Consumption Data'!F251:G251="B",'6. Class A Consumption Data'!F249:G249))</f>
        <v>0</v>
      </c>
      <c r="E107" s="968">
        <f t="array" ref="E107">SUM(IF('6. Class A Consumption Data'!H251:I251="B",'6. Class A Consumption Data'!H249:I249))</f>
        <v>0</v>
      </c>
      <c r="F107" s="968">
        <f t="array" ref="F107">SUM(IF('6. Class A Consumption Data'!J251:K251="B",'6. Class A Consumption Data'!J249:K249))</f>
        <v>0</v>
      </c>
      <c r="G107" s="968">
        <f t="array" ref="G107">SUM(IF('6. Class A Consumption Data'!L251:M251="B",'6. Class A Consumption Data'!L249:M249))</f>
        <v>0</v>
      </c>
      <c r="H107" s="968">
        <f t="array" ref="H107">SUM(IF('6. Class A Consumption Data'!N251:O251="B",'6. Class A Consumption Data'!N249:O249))</f>
        <v>0</v>
      </c>
      <c r="I107" s="963">
        <f t="shared" si="4"/>
        <v>0</v>
      </c>
      <c r="J107" s="970">
        <f t="shared" si="6"/>
        <v>0</v>
      </c>
      <c r="K107" s="960">
        <f t="shared" si="7"/>
        <v>0</v>
      </c>
    </row>
    <row r="108" spans="1:11" hidden="1" x14ac:dyDescent="0.25">
      <c r="A108" s="967" t="s">
        <v>2659</v>
      </c>
      <c r="B108" s="967"/>
      <c r="C108" s="968">
        <f t="shared" si="5"/>
        <v>0</v>
      </c>
      <c r="D108" s="968">
        <f t="array" ref="D108">SUM(IF('6. Class A Consumption Data'!F254:G254="B",'6. Class A Consumption Data'!F252:G252))</f>
        <v>0</v>
      </c>
      <c r="E108" s="968">
        <f t="array" ref="E108">SUM(IF('6. Class A Consumption Data'!H254:I254="B",'6. Class A Consumption Data'!H252:I252))</f>
        <v>0</v>
      </c>
      <c r="F108" s="968">
        <f t="array" ref="F108">SUM(IF('6. Class A Consumption Data'!J254:K254="B",'6. Class A Consumption Data'!J252:K252))</f>
        <v>0</v>
      </c>
      <c r="G108" s="968">
        <f t="array" ref="G108">SUM(IF('6. Class A Consumption Data'!L254:M254="B",'6. Class A Consumption Data'!L252:M252))</f>
        <v>0</v>
      </c>
      <c r="H108" s="968">
        <f t="array" ref="H108">SUM(IF('6. Class A Consumption Data'!N254:O254="B",'6. Class A Consumption Data'!N252:O252))</f>
        <v>0</v>
      </c>
      <c r="I108" s="963">
        <f t="shared" si="4"/>
        <v>0</v>
      </c>
      <c r="J108" s="970">
        <f t="shared" si="6"/>
        <v>0</v>
      </c>
      <c r="K108" s="960">
        <f t="shared" si="7"/>
        <v>0</v>
      </c>
    </row>
    <row r="109" spans="1:11" hidden="1" x14ac:dyDescent="0.25">
      <c r="A109" s="967" t="s">
        <v>2660</v>
      </c>
      <c r="B109" s="967"/>
      <c r="C109" s="968">
        <f t="shared" si="5"/>
        <v>0</v>
      </c>
      <c r="D109" s="968">
        <f t="array" ref="D109">SUM(IF('6. Class A Consumption Data'!F257:G257="B",'6. Class A Consumption Data'!F255:G255))</f>
        <v>0</v>
      </c>
      <c r="E109" s="968">
        <f t="array" ref="E109">SUM(IF('6. Class A Consumption Data'!H257:I257="B",'6. Class A Consumption Data'!H255:I255))</f>
        <v>0</v>
      </c>
      <c r="F109" s="968">
        <f t="array" ref="F109">SUM(IF('6. Class A Consumption Data'!J257:K257="B",'6. Class A Consumption Data'!J255:K255))</f>
        <v>0</v>
      </c>
      <c r="G109" s="968">
        <f t="array" ref="G109">SUM(IF('6. Class A Consumption Data'!L257:M257="B",'6. Class A Consumption Data'!L255:M255))</f>
        <v>0</v>
      </c>
      <c r="H109" s="968">
        <f t="array" ref="H109">SUM(IF('6. Class A Consumption Data'!N257:O257="B",'6. Class A Consumption Data'!N255:O255))</f>
        <v>0</v>
      </c>
      <c r="I109" s="963">
        <f t="shared" si="4"/>
        <v>0</v>
      </c>
      <c r="J109" s="970">
        <f t="shared" si="6"/>
        <v>0</v>
      </c>
      <c r="K109" s="960">
        <f t="shared" si="7"/>
        <v>0</v>
      </c>
    </row>
    <row r="110" spans="1:11" hidden="1" x14ac:dyDescent="0.25">
      <c r="A110" s="967" t="s">
        <v>2661</v>
      </c>
      <c r="B110" s="967"/>
      <c r="C110" s="968">
        <f t="shared" si="5"/>
        <v>0</v>
      </c>
      <c r="D110" s="968">
        <f t="array" ref="D110">SUM(IF('6. Class A Consumption Data'!F260:G260="B",'6. Class A Consumption Data'!F258:G258))</f>
        <v>0</v>
      </c>
      <c r="E110" s="968">
        <f t="array" ref="E110">SUM(IF('6. Class A Consumption Data'!H260:I260="B",'6. Class A Consumption Data'!H258:I258))</f>
        <v>0</v>
      </c>
      <c r="F110" s="968">
        <f t="array" ref="F110">SUM(IF('6. Class A Consumption Data'!J260:K260="B",'6. Class A Consumption Data'!J258:K258))</f>
        <v>0</v>
      </c>
      <c r="G110" s="968">
        <f t="array" ref="G110">SUM(IF('6. Class A Consumption Data'!L260:M260="B",'6. Class A Consumption Data'!L258:M258))</f>
        <v>0</v>
      </c>
      <c r="H110" s="968">
        <f t="array" ref="H110">SUM(IF('6. Class A Consumption Data'!N260:O260="B",'6. Class A Consumption Data'!N258:O258))</f>
        <v>0</v>
      </c>
      <c r="I110" s="963">
        <f t="shared" si="4"/>
        <v>0</v>
      </c>
      <c r="J110" s="970">
        <f t="shared" si="6"/>
        <v>0</v>
      </c>
      <c r="K110" s="960">
        <f t="shared" si="7"/>
        <v>0</v>
      </c>
    </row>
    <row r="111" spans="1:11" hidden="1" x14ac:dyDescent="0.25">
      <c r="A111" s="967" t="s">
        <v>2662</v>
      </c>
      <c r="B111" s="967"/>
      <c r="C111" s="968">
        <f t="shared" si="5"/>
        <v>0</v>
      </c>
      <c r="D111" s="968">
        <f t="array" ref="D111">SUM(IF('6. Class A Consumption Data'!F263:G263="B",'6. Class A Consumption Data'!F261:G261))</f>
        <v>0</v>
      </c>
      <c r="E111" s="968">
        <f t="array" ref="E111">SUM(IF('6. Class A Consumption Data'!H263:I263="B",'6. Class A Consumption Data'!H261:I261))</f>
        <v>0</v>
      </c>
      <c r="F111" s="968">
        <f t="array" ref="F111">SUM(IF('6. Class A Consumption Data'!J263:K263="B",'6. Class A Consumption Data'!J261:K261))</f>
        <v>0</v>
      </c>
      <c r="G111" s="968">
        <f t="array" ref="G111">SUM(IF('6. Class A Consumption Data'!L263:M263="B",'6. Class A Consumption Data'!L261:M261))</f>
        <v>0</v>
      </c>
      <c r="H111" s="968">
        <f t="array" ref="H111">SUM(IF('6. Class A Consumption Data'!N263:O263="B",'6. Class A Consumption Data'!N261:O261))</f>
        <v>0</v>
      </c>
      <c r="I111" s="963">
        <f t="shared" si="4"/>
        <v>0</v>
      </c>
      <c r="J111" s="970">
        <f t="shared" si="6"/>
        <v>0</v>
      </c>
      <c r="K111" s="960">
        <f t="shared" si="7"/>
        <v>0</v>
      </c>
    </row>
    <row r="112" spans="1:11" hidden="1" x14ac:dyDescent="0.25">
      <c r="A112" s="967" t="s">
        <v>2663</v>
      </c>
      <c r="B112" s="967"/>
      <c r="C112" s="968">
        <f t="shared" si="5"/>
        <v>0</v>
      </c>
      <c r="D112" s="968">
        <f t="array" ref="D112">SUM(IF('6. Class A Consumption Data'!F266:G266="B",'6. Class A Consumption Data'!F264:G264))</f>
        <v>0</v>
      </c>
      <c r="E112" s="968">
        <f t="array" ref="E112">SUM(IF('6. Class A Consumption Data'!H266:I266="B",'6. Class A Consumption Data'!H264:I264))</f>
        <v>0</v>
      </c>
      <c r="F112" s="968">
        <f t="array" ref="F112">SUM(IF('6. Class A Consumption Data'!J266:K266="B",'6. Class A Consumption Data'!J264:K264))</f>
        <v>0</v>
      </c>
      <c r="G112" s="968">
        <f t="array" ref="G112">SUM(IF('6. Class A Consumption Data'!L266:M266="B",'6. Class A Consumption Data'!L264:M264))</f>
        <v>0</v>
      </c>
      <c r="H112" s="968">
        <f t="array" ref="H112">SUM(IF('6. Class A Consumption Data'!N266:O266="B",'6. Class A Consumption Data'!N264:O264))</f>
        <v>0</v>
      </c>
      <c r="I112" s="963">
        <f t="shared" si="4"/>
        <v>0</v>
      </c>
      <c r="J112" s="970">
        <f t="shared" si="6"/>
        <v>0</v>
      </c>
      <c r="K112" s="960">
        <f t="shared" si="7"/>
        <v>0</v>
      </c>
    </row>
    <row r="113" spans="1:11" hidden="1" x14ac:dyDescent="0.25">
      <c r="A113" s="967" t="s">
        <v>2664</v>
      </c>
      <c r="B113" s="967"/>
      <c r="C113" s="968">
        <f t="shared" si="5"/>
        <v>0</v>
      </c>
      <c r="D113" s="968">
        <f t="array" ref="D113">SUM(IF('6. Class A Consumption Data'!F269:G269="B",'6. Class A Consumption Data'!F267:G267))</f>
        <v>0</v>
      </c>
      <c r="E113" s="968">
        <f t="array" ref="E113">SUM(IF('6. Class A Consumption Data'!H269:I269="B",'6. Class A Consumption Data'!H267:I267))</f>
        <v>0</v>
      </c>
      <c r="F113" s="968">
        <f t="array" ref="F113">SUM(IF('6. Class A Consumption Data'!J269:K269="B",'6. Class A Consumption Data'!J267:K267))</f>
        <v>0</v>
      </c>
      <c r="G113" s="968">
        <f t="array" ref="G113">SUM(IF('6. Class A Consumption Data'!L269:M269="B",'6. Class A Consumption Data'!L267:M267))</f>
        <v>0</v>
      </c>
      <c r="H113" s="968">
        <f t="array" ref="H113">SUM(IF('6. Class A Consumption Data'!N269:O269="B",'6. Class A Consumption Data'!N267:O267))</f>
        <v>0</v>
      </c>
      <c r="I113" s="963">
        <f t="shared" si="4"/>
        <v>0</v>
      </c>
      <c r="J113" s="970">
        <f t="shared" si="6"/>
        <v>0</v>
      </c>
      <c r="K113" s="960">
        <f t="shared" si="7"/>
        <v>0</v>
      </c>
    </row>
    <row r="114" spans="1:11" hidden="1" x14ac:dyDescent="0.25">
      <c r="A114" s="967" t="s">
        <v>2665</v>
      </c>
      <c r="B114" s="967"/>
      <c r="C114" s="968">
        <f t="shared" si="5"/>
        <v>0</v>
      </c>
      <c r="D114" s="968">
        <f t="array" ref="D114">SUM(IF('6. Class A Consumption Data'!F272:G272="B",'6. Class A Consumption Data'!F270:G270))</f>
        <v>0</v>
      </c>
      <c r="E114" s="968">
        <f t="array" ref="E114">SUM(IF('6. Class A Consumption Data'!H272:I272="B",'6. Class A Consumption Data'!H270:I270))</f>
        <v>0</v>
      </c>
      <c r="F114" s="968">
        <f t="array" ref="F114">SUM(IF('6. Class A Consumption Data'!J272:K272="B",'6. Class A Consumption Data'!J270:K270))</f>
        <v>0</v>
      </c>
      <c r="G114" s="968">
        <f t="array" ref="G114">SUM(IF('6. Class A Consumption Data'!L272:M272="B",'6. Class A Consumption Data'!L270:M270))</f>
        <v>0</v>
      </c>
      <c r="H114" s="968">
        <f t="array" ref="H114">SUM(IF('6. Class A Consumption Data'!N272:O272="B",'6. Class A Consumption Data'!N270:O270))</f>
        <v>0</v>
      </c>
      <c r="I114" s="963">
        <f t="shared" si="4"/>
        <v>0</v>
      </c>
      <c r="J114" s="970">
        <f t="shared" si="6"/>
        <v>0</v>
      </c>
      <c r="K114" s="960">
        <f t="shared" si="7"/>
        <v>0</v>
      </c>
    </row>
    <row r="115" spans="1:11" hidden="1" x14ac:dyDescent="0.25">
      <c r="A115" s="967" t="s">
        <v>2666</v>
      </c>
      <c r="B115" s="967"/>
      <c r="C115" s="968">
        <f t="shared" si="5"/>
        <v>0</v>
      </c>
      <c r="D115" s="968">
        <f t="array" ref="D115">SUM(IF('6. Class A Consumption Data'!F275:G275="B",'6. Class A Consumption Data'!F273:G273))</f>
        <v>0</v>
      </c>
      <c r="E115" s="968">
        <f t="array" ref="E115">SUM(IF('6. Class A Consumption Data'!H275:I275="B",'6. Class A Consumption Data'!H273:I273))</f>
        <v>0</v>
      </c>
      <c r="F115" s="968">
        <f t="array" ref="F115">SUM(IF('6. Class A Consumption Data'!J275:K275="B",'6. Class A Consumption Data'!J273:K273))</f>
        <v>0</v>
      </c>
      <c r="G115" s="968">
        <f t="array" ref="G115">SUM(IF('6. Class A Consumption Data'!L275:M275="B",'6. Class A Consumption Data'!L273:M273))</f>
        <v>0</v>
      </c>
      <c r="H115" s="968">
        <f t="array" ref="H115">SUM(IF('6. Class A Consumption Data'!N275:O275="B",'6. Class A Consumption Data'!N273:O273))</f>
        <v>0</v>
      </c>
      <c r="I115" s="963">
        <f t="shared" si="4"/>
        <v>0</v>
      </c>
      <c r="J115" s="970">
        <f t="shared" si="6"/>
        <v>0</v>
      </c>
      <c r="K115" s="960">
        <f t="shared" si="7"/>
        <v>0</v>
      </c>
    </row>
    <row r="116" spans="1:11" hidden="1" x14ac:dyDescent="0.25">
      <c r="A116" s="967" t="s">
        <v>2667</v>
      </c>
      <c r="B116" s="967"/>
      <c r="C116" s="968">
        <f t="shared" si="5"/>
        <v>0</v>
      </c>
      <c r="D116" s="968">
        <f t="array" ref="D116">SUM(IF('6. Class A Consumption Data'!F278:G278="B",'6. Class A Consumption Data'!F276:G276))</f>
        <v>0</v>
      </c>
      <c r="E116" s="968">
        <f t="array" ref="E116">SUM(IF('6. Class A Consumption Data'!H278:I278="B",'6. Class A Consumption Data'!H276:I276))</f>
        <v>0</v>
      </c>
      <c r="F116" s="968">
        <f t="array" ref="F116">SUM(IF('6. Class A Consumption Data'!J278:K278="B",'6. Class A Consumption Data'!J276:K276))</f>
        <v>0</v>
      </c>
      <c r="G116" s="968">
        <f t="array" ref="G116">SUM(IF('6. Class A Consumption Data'!L278:M278="B",'6. Class A Consumption Data'!L276:M276))</f>
        <v>0</v>
      </c>
      <c r="H116" s="968">
        <f t="array" ref="H116">SUM(IF('6. Class A Consumption Data'!N278:O278="B",'6. Class A Consumption Data'!N276:O276))</f>
        <v>0</v>
      </c>
      <c r="I116" s="963">
        <f t="shared" si="4"/>
        <v>0</v>
      </c>
      <c r="J116" s="970">
        <f t="shared" si="6"/>
        <v>0</v>
      </c>
      <c r="K116" s="960">
        <f t="shared" si="7"/>
        <v>0</v>
      </c>
    </row>
    <row r="117" spans="1:11" hidden="1" x14ac:dyDescent="0.25">
      <c r="A117" s="967" t="s">
        <v>2668</v>
      </c>
      <c r="B117" s="967"/>
      <c r="C117" s="968">
        <f t="shared" si="5"/>
        <v>0</v>
      </c>
      <c r="D117" s="968">
        <f t="array" ref="D117">SUM(IF('6. Class A Consumption Data'!F281:G281="B",'6. Class A Consumption Data'!F279:G279))</f>
        <v>0</v>
      </c>
      <c r="E117" s="968">
        <f t="array" ref="E117">SUM(IF('6. Class A Consumption Data'!H281:I281="B",'6. Class A Consumption Data'!H279:I279))</f>
        <v>0</v>
      </c>
      <c r="F117" s="968">
        <f t="array" ref="F117">SUM(IF('6. Class A Consumption Data'!J281:K281="B",'6. Class A Consumption Data'!J279:K279))</f>
        <v>0</v>
      </c>
      <c r="G117" s="968">
        <f t="array" ref="G117">SUM(IF('6. Class A Consumption Data'!L281:M281="B",'6. Class A Consumption Data'!L279:M279))</f>
        <v>0</v>
      </c>
      <c r="H117" s="968">
        <f t="array" ref="H117">SUM(IF('6. Class A Consumption Data'!N281:O281="B",'6. Class A Consumption Data'!N279:O279))</f>
        <v>0</v>
      </c>
      <c r="I117" s="963">
        <f t="shared" si="4"/>
        <v>0</v>
      </c>
      <c r="J117" s="970">
        <f t="shared" si="6"/>
        <v>0</v>
      </c>
      <c r="K117" s="960">
        <f t="shared" si="7"/>
        <v>0</v>
      </c>
    </row>
    <row r="118" spans="1:11" hidden="1" x14ac:dyDescent="0.25">
      <c r="A118" s="967" t="s">
        <v>2669</v>
      </c>
      <c r="B118" s="967"/>
      <c r="C118" s="968">
        <f t="shared" si="5"/>
        <v>0</v>
      </c>
      <c r="D118" s="968">
        <f t="array" ref="D118">SUM(IF('6. Class A Consumption Data'!F284:G284="B",'6. Class A Consumption Data'!F282:G282))</f>
        <v>0</v>
      </c>
      <c r="E118" s="968">
        <f t="array" ref="E118">SUM(IF('6. Class A Consumption Data'!H284:I284="B",'6. Class A Consumption Data'!H282:I282))</f>
        <v>0</v>
      </c>
      <c r="F118" s="968">
        <f t="array" ref="F118">SUM(IF('6. Class A Consumption Data'!J284:K284="B",'6. Class A Consumption Data'!J282:K282))</f>
        <v>0</v>
      </c>
      <c r="G118" s="968">
        <f t="array" ref="G118">SUM(IF('6. Class A Consumption Data'!L284:M284="B",'6. Class A Consumption Data'!L282:M282))</f>
        <v>0</v>
      </c>
      <c r="H118" s="968">
        <f t="array" ref="H118">SUM(IF('6. Class A Consumption Data'!N284:O284="B",'6. Class A Consumption Data'!N282:O282))</f>
        <v>0</v>
      </c>
      <c r="I118" s="963">
        <f t="shared" si="4"/>
        <v>0</v>
      </c>
      <c r="J118" s="970">
        <f t="shared" si="6"/>
        <v>0</v>
      </c>
      <c r="K118" s="960">
        <f t="shared" si="7"/>
        <v>0</v>
      </c>
    </row>
    <row r="119" spans="1:11" hidden="1" x14ac:dyDescent="0.25">
      <c r="A119" s="967" t="s">
        <v>2670</v>
      </c>
      <c r="B119" s="967"/>
      <c r="C119" s="968">
        <f t="shared" si="5"/>
        <v>0</v>
      </c>
      <c r="D119" s="968">
        <f t="array" ref="D119">SUM(IF('6. Class A Consumption Data'!F287:G287="B",'6. Class A Consumption Data'!F285:G285))</f>
        <v>0</v>
      </c>
      <c r="E119" s="968">
        <f t="array" ref="E119">SUM(IF('6. Class A Consumption Data'!H287:I287="B",'6. Class A Consumption Data'!H285:I285))</f>
        <v>0</v>
      </c>
      <c r="F119" s="968">
        <f t="array" ref="F119">SUM(IF('6. Class A Consumption Data'!J287:K287="B",'6. Class A Consumption Data'!J285:K285))</f>
        <v>0</v>
      </c>
      <c r="G119" s="968">
        <f t="array" ref="G119">SUM(IF('6. Class A Consumption Data'!L287:M287="B",'6. Class A Consumption Data'!L285:M285))</f>
        <v>0</v>
      </c>
      <c r="H119" s="968">
        <f t="array" ref="H119">SUM(IF('6. Class A Consumption Data'!N287:O287="B",'6. Class A Consumption Data'!N285:O285))</f>
        <v>0</v>
      </c>
      <c r="I119" s="963">
        <f t="shared" si="4"/>
        <v>0</v>
      </c>
      <c r="J119" s="970">
        <f t="shared" si="6"/>
        <v>0</v>
      </c>
      <c r="K119" s="960">
        <f t="shared" si="7"/>
        <v>0</v>
      </c>
    </row>
    <row r="120" spans="1:11" hidden="1" x14ac:dyDescent="0.25">
      <c r="A120" s="967" t="s">
        <v>2671</v>
      </c>
      <c r="B120" s="967"/>
      <c r="C120" s="968">
        <f t="shared" si="5"/>
        <v>0</v>
      </c>
      <c r="D120" s="968">
        <f t="array" ref="D120">SUM(IF('6. Class A Consumption Data'!F290:G290="B",'6. Class A Consumption Data'!F288:G288))</f>
        <v>0</v>
      </c>
      <c r="E120" s="968">
        <f t="array" ref="E120">SUM(IF('6. Class A Consumption Data'!H290:I290="B",'6. Class A Consumption Data'!H288:I288))</f>
        <v>0</v>
      </c>
      <c r="F120" s="968">
        <f t="array" ref="F120">SUM(IF('6. Class A Consumption Data'!J290:K290="B",'6. Class A Consumption Data'!J288:K288))</f>
        <v>0</v>
      </c>
      <c r="G120" s="968">
        <f t="array" ref="G120">SUM(IF('6. Class A Consumption Data'!L290:M290="B",'6. Class A Consumption Data'!L288:M288))</f>
        <v>0</v>
      </c>
      <c r="H120" s="968">
        <f t="array" ref="H120">SUM(IF('6. Class A Consumption Data'!N290:O290="B",'6. Class A Consumption Data'!N288:O288))</f>
        <v>0</v>
      </c>
      <c r="I120" s="963">
        <f t="shared" si="4"/>
        <v>0</v>
      </c>
      <c r="J120" s="970">
        <f t="shared" si="6"/>
        <v>0</v>
      </c>
      <c r="K120" s="960">
        <f t="shared" si="7"/>
        <v>0</v>
      </c>
    </row>
    <row r="121" spans="1:11" hidden="1" x14ac:dyDescent="0.25">
      <c r="A121" s="967" t="s">
        <v>2672</v>
      </c>
      <c r="B121" s="967"/>
      <c r="C121" s="968">
        <f t="shared" si="5"/>
        <v>0</v>
      </c>
      <c r="D121" s="968">
        <f t="array" ref="D121">SUM(IF('6. Class A Consumption Data'!F293:G293="B",'6. Class A Consumption Data'!F291:G291))</f>
        <v>0</v>
      </c>
      <c r="E121" s="968">
        <f t="array" ref="E121">SUM(IF('6. Class A Consumption Data'!H293:I293="B",'6. Class A Consumption Data'!H291:I291))</f>
        <v>0</v>
      </c>
      <c r="F121" s="968">
        <f t="array" ref="F121">SUM(IF('6. Class A Consumption Data'!J293:K293="B",'6. Class A Consumption Data'!J291:K291))</f>
        <v>0</v>
      </c>
      <c r="G121" s="968">
        <f t="array" ref="G121">SUM(IF('6. Class A Consumption Data'!L293:M293="B",'6. Class A Consumption Data'!L291:M291))</f>
        <v>0</v>
      </c>
      <c r="H121" s="968">
        <f t="array" ref="H121">SUM(IF('6. Class A Consumption Data'!N293:O293="B",'6. Class A Consumption Data'!N291:O291))</f>
        <v>0</v>
      </c>
      <c r="I121" s="963">
        <f t="shared" si="4"/>
        <v>0</v>
      </c>
      <c r="J121" s="970">
        <f t="shared" si="6"/>
        <v>0</v>
      </c>
      <c r="K121" s="960">
        <f t="shared" si="7"/>
        <v>0</v>
      </c>
    </row>
    <row r="122" spans="1:11" hidden="1" x14ac:dyDescent="0.25">
      <c r="A122" s="967" t="s">
        <v>2673</v>
      </c>
      <c r="B122" s="967"/>
      <c r="C122" s="968">
        <f t="shared" si="5"/>
        <v>0</v>
      </c>
      <c r="D122" s="968">
        <f t="array" ref="D122">SUM(IF('6. Class A Consumption Data'!F296:G296="B",'6. Class A Consumption Data'!F294:G294))</f>
        <v>0</v>
      </c>
      <c r="E122" s="968">
        <f t="array" ref="E122">SUM(IF('6. Class A Consumption Data'!H296:I296="B",'6. Class A Consumption Data'!H294:I294))</f>
        <v>0</v>
      </c>
      <c r="F122" s="968">
        <f t="array" ref="F122">SUM(IF('6. Class A Consumption Data'!J296:K296="B",'6. Class A Consumption Data'!J294:K294))</f>
        <v>0</v>
      </c>
      <c r="G122" s="968">
        <f t="array" ref="G122">SUM(IF('6. Class A Consumption Data'!L296:M296="B",'6. Class A Consumption Data'!L294:M294))</f>
        <v>0</v>
      </c>
      <c r="H122" s="968">
        <f t="array" ref="H122">SUM(IF('6. Class A Consumption Data'!N296:O296="B",'6. Class A Consumption Data'!N294:O294))</f>
        <v>0</v>
      </c>
      <c r="I122" s="963">
        <f t="shared" si="4"/>
        <v>0</v>
      </c>
      <c r="J122" s="970">
        <f t="shared" si="6"/>
        <v>0</v>
      </c>
      <c r="K122" s="960">
        <f t="shared" si="7"/>
        <v>0</v>
      </c>
    </row>
    <row r="123" spans="1:11" hidden="1" x14ac:dyDescent="0.25">
      <c r="A123" s="967" t="s">
        <v>2674</v>
      </c>
      <c r="B123" s="967"/>
      <c r="C123" s="968">
        <f t="shared" si="5"/>
        <v>0</v>
      </c>
      <c r="D123" s="968">
        <f t="array" ref="D123">SUM(IF('6. Class A Consumption Data'!F299:G299="B",'6. Class A Consumption Data'!F297:G297))</f>
        <v>0</v>
      </c>
      <c r="E123" s="968">
        <f t="array" ref="E123">SUM(IF('6. Class A Consumption Data'!H299:I299="B",'6. Class A Consumption Data'!H297:I297))</f>
        <v>0</v>
      </c>
      <c r="F123" s="968">
        <f t="array" ref="F123">SUM(IF('6. Class A Consumption Data'!J299:K299="B",'6. Class A Consumption Data'!J297:K297))</f>
        <v>0</v>
      </c>
      <c r="G123" s="968">
        <f t="array" ref="G123">SUM(IF('6. Class A Consumption Data'!L299:M299="B",'6. Class A Consumption Data'!L297:M297))</f>
        <v>0</v>
      </c>
      <c r="H123" s="968">
        <f t="array" ref="H123">SUM(IF('6. Class A Consumption Data'!N299:O299="B",'6. Class A Consumption Data'!N297:O297))</f>
        <v>0</v>
      </c>
      <c r="I123" s="963">
        <f t="shared" si="4"/>
        <v>0</v>
      </c>
      <c r="J123" s="970">
        <f t="shared" si="6"/>
        <v>0</v>
      </c>
      <c r="K123" s="960">
        <f t="shared" si="7"/>
        <v>0</v>
      </c>
    </row>
    <row r="124" spans="1:11" hidden="1" x14ac:dyDescent="0.25">
      <c r="A124" s="967" t="s">
        <v>2675</v>
      </c>
      <c r="B124" s="967"/>
      <c r="C124" s="968">
        <f t="shared" si="5"/>
        <v>0</v>
      </c>
      <c r="D124" s="968">
        <f t="array" ref="D124">SUM(IF('6. Class A Consumption Data'!F302:G302="B",'6. Class A Consumption Data'!F300:G300))</f>
        <v>0</v>
      </c>
      <c r="E124" s="968">
        <f t="array" ref="E124">SUM(IF('6. Class A Consumption Data'!H302:I302="B",'6. Class A Consumption Data'!H300:I300))</f>
        <v>0</v>
      </c>
      <c r="F124" s="968">
        <f t="array" ref="F124">SUM(IF('6. Class A Consumption Data'!J302:K302="B",'6. Class A Consumption Data'!J300:K300))</f>
        <v>0</v>
      </c>
      <c r="G124" s="968">
        <f t="array" ref="G124">SUM(IF('6. Class A Consumption Data'!L302:M302="B",'6. Class A Consumption Data'!L300:M300))</f>
        <v>0</v>
      </c>
      <c r="H124" s="968">
        <f t="array" ref="H124">SUM(IF('6. Class A Consumption Data'!N302:O302="B",'6. Class A Consumption Data'!N300:O300))</f>
        <v>0</v>
      </c>
      <c r="I124" s="963">
        <f t="shared" si="4"/>
        <v>0</v>
      </c>
      <c r="J124" s="970">
        <f t="shared" si="6"/>
        <v>0</v>
      </c>
      <c r="K124" s="960">
        <f t="shared" si="7"/>
        <v>0</v>
      </c>
    </row>
    <row r="125" spans="1:11" hidden="1" x14ac:dyDescent="0.25">
      <c r="A125" s="967" t="s">
        <v>2676</v>
      </c>
      <c r="B125" s="967"/>
      <c r="C125" s="968">
        <f t="shared" si="5"/>
        <v>0</v>
      </c>
      <c r="D125" s="968">
        <f t="array" ref="D125">SUM(IF('6. Class A Consumption Data'!F305:G305="B",'6. Class A Consumption Data'!F303:G303))</f>
        <v>0</v>
      </c>
      <c r="E125" s="968">
        <f t="array" ref="E125">SUM(IF('6. Class A Consumption Data'!H305:I305="B",'6. Class A Consumption Data'!H303:I303))</f>
        <v>0</v>
      </c>
      <c r="F125" s="968">
        <f t="array" ref="F125">SUM(IF('6. Class A Consumption Data'!J305:K305="B",'6. Class A Consumption Data'!J303:K303))</f>
        <v>0</v>
      </c>
      <c r="G125" s="968">
        <f t="array" ref="G125">SUM(IF('6. Class A Consumption Data'!L305:M305="B",'6. Class A Consumption Data'!L303:M303))</f>
        <v>0</v>
      </c>
      <c r="H125" s="968">
        <f t="array" ref="H125">SUM(IF('6. Class A Consumption Data'!N305:O305="B",'6. Class A Consumption Data'!N303:O303))</f>
        <v>0</v>
      </c>
      <c r="I125" s="963">
        <f t="shared" si="4"/>
        <v>0</v>
      </c>
      <c r="J125" s="970">
        <f t="shared" si="6"/>
        <v>0</v>
      </c>
      <c r="K125" s="960">
        <f t="shared" si="7"/>
        <v>0</v>
      </c>
    </row>
    <row r="126" spans="1:11" hidden="1" x14ac:dyDescent="0.25">
      <c r="A126" s="967" t="s">
        <v>2677</v>
      </c>
      <c r="B126" s="967"/>
      <c r="C126" s="968">
        <f t="shared" si="5"/>
        <v>0</v>
      </c>
      <c r="D126" s="968">
        <f t="array" ref="D126">SUM(IF('6. Class A Consumption Data'!F308:G308="B",'6. Class A Consumption Data'!F306:G306))</f>
        <v>0</v>
      </c>
      <c r="E126" s="968">
        <f t="array" ref="E126">SUM(IF('6. Class A Consumption Data'!H308:I308="B",'6. Class A Consumption Data'!H306:I306))</f>
        <v>0</v>
      </c>
      <c r="F126" s="968">
        <f t="array" ref="F126">SUM(IF('6. Class A Consumption Data'!J308:K308="B",'6. Class A Consumption Data'!J306:K306))</f>
        <v>0</v>
      </c>
      <c r="G126" s="968">
        <f t="array" ref="G126">SUM(IF('6. Class A Consumption Data'!L308:M308="B",'6. Class A Consumption Data'!L306:M306))</f>
        <v>0</v>
      </c>
      <c r="H126" s="968">
        <f t="array" ref="H126">SUM(IF('6. Class A Consumption Data'!N308:O308="B",'6. Class A Consumption Data'!N306:O306))</f>
        <v>0</v>
      </c>
      <c r="I126" s="963">
        <f t="shared" si="4"/>
        <v>0</v>
      </c>
      <c r="J126" s="970">
        <f t="shared" si="6"/>
        <v>0</v>
      </c>
      <c r="K126" s="960">
        <f t="shared" si="7"/>
        <v>0</v>
      </c>
    </row>
    <row r="127" spans="1:11" hidden="1" x14ac:dyDescent="0.25">
      <c r="A127" s="967" t="s">
        <v>2678</v>
      </c>
      <c r="B127" s="967"/>
      <c r="C127" s="968">
        <f t="shared" si="5"/>
        <v>0</v>
      </c>
      <c r="D127" s="968">
        <f t="array" ref="D127">SUM(IF('6. Class A Consumption Data'!F311:G311="B",'6. Class A Consumption Data'!F309:G309))</f>
        <v>0</v>
      </c>
      <c r="E127" s="968">
        <f t="array" ref="E127">SUM(IF('6. Class A Consumption Data'!H311:I311="B",'6. Class A Consumption Data'!H309:I309))</f>
        <v>0</v>
      </c>
      <c r="F127" s="968">
        <f t="array" ref="F127">SUM(IF('6. Class A Consumption Data'!J311:K311="B",'6. Class A Consumption Data'!J309:K309))</f>
        <v>0</v>
      </c>
      <c r="G127" s="968">
        <f t="array" ref="G127">SUM(IF('6. Class A Consumption Data'!L311:M311="B",'6. Class A Consumption Data'!L309:M309))</f>
        <v>0</v>
      </c>
      <c r="H127" s="968">
        <f t="array" ref="H127">SUM(IF('6. Class A Consumption Data'!N311:O311="B",'6. Class A Consumption Data'!N309:O309))</f>
        <v>0</v>
      </c>
      <c r="I127" s="963">
        <f t="shared" si="4"/>
        <v>0</v>
      </c>
      <c r="J127" s="970">
        <f t="shared" si="6"/>
        <v>0</v>
      </c>
      <c r="K127" s="960">
        <f t="shared" si="7"/>
        <v>0</v>
      </c>
    </row>
    <row r="128" spans="1:11" hidden="1" x14ac:dyDescent="0.25">
      <c r="A128" s="967" t="s">
        <v>2679</v>
      </c>
      <c r="B128" s="967"/>
      <c r="C128" s="968">
        <f t="shared" si="5"/>
        <v>0</v>
      </c>
      <c r="D128" s="968">
        <f t="array" ref="D128">SUM(IF('6. Class A Consumption Data'!F314:G314="B",'6. Class A Consumption Data'!F312:G312))</f>
        <v>0</v>
      </c>
      <c r="E128" s="968">
        <f t="array" ref="E128">SUM(IF('6. Class A Consumption Data'!H314:I314="B",'6. Class A Consumption Data'!H312:I312))</f>
        <v>0</v>
      </c>
      <c r="F128" s="968">
        <f t="array" ref="F128">SUM(IF('6. Class A Consumption Data'!J314:K314="B",'6. Class A Consumption Data'!J312:K312))</f>
        <v>0</v>
      </c>
      <c r="G128" s="968">
        <f t="array" ref="G128">SUM(IF('6. Class A Consumption Data'!L314:M314="B",'6. Class A Consumption Data'!L312:M312))</f>
        <v>0</v>
      </c>
      <c r="H128" s="968">
        <f t="array" ref="H128">SUM(IF('6. Class A Consumption Data'!N314:O314="B",'6. Class A Consumption Data'!N312:O312))</f>
        <v>0</v>
      </c>
      <c r="I128" s="963">
        <f t="shared" si="4"/>
        <v>0</v>
      </c>
      <c r="J128" s="970">
        <f t="shared" si="6"/>
        <v>0</v>
      </c>
      <c r="K128" s="960">
        <f t="shared" si="7"/>
        <v>0</v>
      </c>
    </row>
    <row r="129" spans="1:11" hidden="1" x14ac:dyDescent="0.25">
      <c r="A129" s="967" t="s">
        <v>2680</v>
      </c>
      <c r="B129" s="967"/>
      <c r="C129" s="968">
        <f t="shared" si="5"/>
        <v>0</v>
      </c>
      <c r="D129" s="968">
        <f t="array" ref="D129">SUM(IF('6. Class A Consumption Data'!F317:G317="B",'6. Class A Consumption Data'!F315:G315))</f>
        <v>0</v>
      </c>
      <c r="E129" s="968">
        <f t="array" ref="E129">SUM(IF('6. Class A Consumption Data'!H317:I317="B",'6. Class A Consumption Data'!H315:I315))</f>
        <v>0</v>
      </c>
      <c r="F129" s="968">
        <f t="array" ref="F129">SUM(IF('6. Class A Consumption Data'!J317:K317="B",'6. Class A Consumption Data'!J315:K315))</f>
        <v>0</v>
      </c>
      <c r="G129" s="968">
        <f t="array" ref="G129">SUM(IF('6. Class A Consumption Data'!L317:M317="B",'6. Class A Consumption Data'!L315:M315))</f>
        <v>0</v>
      </c>
      <c r="H129" s="968">
        <f t="array" ref="H129">SUM(IF('6. Class A Consumption Data'!N317:O317="B",'6. Class A Consumption Data'!N315:O315))</f>
        <v>0</v>
      </c>
      <c r="I129" s="963">
        <f t="shared" si="4"/>
        <v>0</v>
      </c>
      <c r="J129" s="970">
        <f t="shared" si="6"/>
        <v>0</v>
      </c>
      <c r="K129" s="960">
        <f t="shared" si="7"/>
        <v>0</v>
      </c>
    </row>
    <row r="130" spans="1:11" hidden="1" x14ac:dyDescent="0.25">
      <c r="A130" s="967" t="s">
        <v>2681</v>
      </c>
      <c r="B130" s="967"/>
      <c r="C130" s="968">
        <f t="shared" si="5"/>
        <v>0</v>
      </c>
      <c r="D130" s="968">
        <f t="array" ref="D130">SUM(IF('6. Class A Consumption Data'!F320:G320="B",'6. Class A Consumption Data'!F318:G318))</f>
        <v>0</v>
      </c>
      <c r="E130" s="968">
        <f t="array" ref="E130">SUM(IF('6. Class A Consumption Data'!H320:I320="B",'6. Class A Consumption Data'!H318:I318))</f>
        <v>0</v>
      </c>
      <c r="F130" s="968">
        <f t="array" ref="F130">SUM(IF('6. Class A Consumption Data'!J320:K320="B",'6. Class A Consumption Data'!J318:K318))</f>
        <v>0</v>
      </c>
      <c r="G130" s="968">
        <f t="array" ref="G130">SUM(IF('6. Class A Consumption Data'!L320:M320="B",'6. Class A Consumption Data'!L318:M318))</f>
        <v>0</v>
      </c>
      <c r="H130" s="968">
        <f t="array" ref="H130">SUM(IF('6. Class A Consumption Data'!N320:O320="B",'6. Class A Consumption Data'!N318:O318))</f>
        <v>0</v>
      </c>
      <c r="I130" s="963">
        <f t="shared" si="4"/>
        <v>0</v>
      </c>
      <c r="J130" s="970">
        <f t="shared" si="6"/>
        <v>0</v>
      </c>
      <c r="K130" s="960">
        <f t="shared" si="7"/>
        <v>0</v>
      </c>
    </row>
    <row r="131" spans="1:11" hidden="1" x14ac:dyDescent="0.25">
      <c r="A131" s="967" t="s">
        <v>2682</v>
      </c>
      <c r="B131" s="967"/>
      <c r="C131" s="968">
        <f t="shared" si="5"/>
        <v>0</v>
      </c>
      <c r="D131" s="968">
        <f t="array" ref="D131">SUM(IF('6. Class A Consumption Data'!F323:G323="B",'6. Class A Consumption Data'!F321:G321))</f>
        <v>0</v>
      </c>
      <c r="E131" s="968">
        <f t="array" ref="E131">SUM(IF('6. Class A Consumption Data'!H323:I323="B",'6. Class A Consumption Data'!H321:I321))</f>
        <v>0</v>
      </c>
      <c r="F131" s="968">
        <f t="array" ref="F131">SUM(IF('6. Class A Consumption Data'!J323:K323="B",'6. Class A Consumption Data'!J321:K321))</f>
        <v>0</v>
      </c>
      <c r="G131" s="968">
        <f t="array" ref="G131">SUM(IF('6. Class A Consumption Data'!L323:M323="B",'6. Class A Consumption Data'!L321:M321))</f>
        <v>0</v>
      </c>
      <c r="H131" s="968">
        <f t="array" ref="H131">SUM(IF('6. Class A Consumption Data'!N323:O323="B",'6. Class A Consumption Data'!N321:O321))</f>
        <v>0</v>
      </c>
      <c r="I131" s="963">
        <f t="shared" si="4"/>
        <v>0</v>
      </c>
      <c r="J131" s="970">
        <f t="shared" si="6"/>
        <v>0</v>
      </c>
      <c r="K131" s="960">
        <f t="shared" si="7"/>
        <v>0</v>
      </c>
    </row>
    <row r="132" spans="1:11" hidden="1" x14ac:dyDescent="0.25">
      <c r="A132" s="967" t="s">
        <v>2683</v>
      </c>
      <c r="B132" s="967"/>
      <c r="C132" s="968">
        <f t="shared" si="5"/>
        <v>0</v>
      </c>
      <c r="D132" s="968">
        <f t="array" ref="D132">SUM(IF('6. Class A Consumption Data'!F326:G326="B",'6. Class A Consumption Data'!F324:G324))</f>
        <v>0</v>
      </c>
      <c r="E132" s="968">
        <f t="array" ref="E132">SUM(IF('6. Class A Consumption Data'!H326:I326="B",'6. Class A Consumption Data'!H324:I324))</f>
        <v>0</v>
      </c>
      <c r="F132" s="968">
        <f t="array" ref="F132">SUM(IF('6. Class A Consumption Data'!J326:K326="B",'6. Class A Consumption Data'!J324:K324))</f>
        <v>0</v>
      </c>
      <c r="G132" s="968">
        <f t="array" ref="G132">SUM(IF('6. Class A Consumption Data'!L326:M326="B",'6. Class A Consumption Data'!L324:M324))</f>
        <v>0</v>
      </c>
      <c r="H132" s="968">
        <f t="array" ref="H132">SUM(IF('6. Class A Consumption Data'!N326:O326="B",'6. Class A Consumption Data'!N324:O324))</f>
        <v>0</v>
      </c>
      <c r="I132" s="963">
        <f t="shared" si="4"/>
        <v>0</v>
      </c>
      <c r="J132" s="970">
        <f t="shared" si="6"/>
        <v>0</v>
      </c>
      <c r="K132" s="960">
        <f t="shared" si="7"/>
        <v>0</v>
      </c>
    </row>
    <row r="133" spans="1:11" hidden="1" x14ac:dyDescent="0.25">
      <c r="A133" s="967" t="s">
        <v>2684</v>
      </c>
      <c r="B133" s="967"/>
      <c r="C133" s="968">
        <f t="shared" si="5"/>
        <v>0</v>
      </c>
      <c r="D133" s="968">
        <f t="array" ref="D133">SUM(IF('6. Class A Consumption Data'!F329:G329="B",'6. Class A Consumption Data'!F327:G327))</f>
        <v>0</v>
      </c>
      <c r="E133" s="968">
        <f t="array" ref="E133">SUM(IF('6. Class A Consumption Data'!H329:I329="B",'6. Class A Consumption Data'!H327:I327))</f>
        <v>0</v>
      </c>
      <c r="F133" s="968">
        <f t="array" ref="F133">SUM(IF('6. Class A Consumption Data'!J329:K329="B",'6. Class A Consumption Data'!J327:K327))</f>
        <v>0</v>
      </c>
      <c r="G133" s="968">
        <f t="array" ref="G133">SUM(IF('6. Class A Consumption Data'!L329:M329="B",'6. Class A Consumption Data'!L327:M327))</f>
        <v>0</v>
      </c>
      <c r="H133" s="968">
        <f t="array" ref="H133">SUM(IF('6. Class A Consumption Data'!N329:O329="B",'6. Class A Consumption Data'!N327:O327))</f>
        <v>0</v>
      </c>
      <c r="I133" s="963">
        <f t="shared" si="4"/>
        <v>0</v>
      </c>
      <c r="J133" s="970">
        <f t="shared" si="6"/>
        <v>0</v>
      </c>
      <c r="K133" s="960">
        <f t="shared" si="7"/>
        <v>0</v>
      </c>
    </row>
    <row r="134" spans="1:11" hidden="1" x14ac:dyDescent="0.25">
      <c r="A134" s="967" t="s">
        <v>2685</v>
      </c>
      <c r="B134" s="967"/>
      <c r="C134" s="968">
        <f t="shared" si="5"/>
        <v>0</v>
      </c>
      <c r="D134" s="968">
        <f t="array" ref="D134">SUM(IF('6. Class A Consumption Data'!F332:G332="B",'6. Class A Consumption Data'!F330:G330))</f>
        <v>0</v>
      </c>
      <c r="E134" s="968">
        <f t="array" ref="E134">SUM(IF('6. Class A Consumption Data'!H332:I332="B",'6. Class A Consumption Data'!H330:I330))</f>
        <v>0</v>
      </c>
      <c r="F134" s="968">
        <f t="array" ref="F134">SUM(IF('6. Class A Consumption Data'!J332:K332="B",'6. Class A Consumption Data'!J330:K330))</f>
        <v>0</v>
      </c>
      <c r="G134" s="968">
        <f t="array" ref="G134">SUM(IF('6. Class A Consumption Data'!L332:M332="B",'6. Class A Consumption Data'!L330:M330))</f>
        <v>0</v>
      </c>
      <c r="H134" s="968">
        <f t="array" ref="H134">SUM(IF('6. Class A Consumption Data'!N332:O332="B",'6. Class A Consumption Data'!N330:O330))</f>
        <v>0</v>
      </c>
      <c r="I134" s="963">
        <f t="shared" si="4"/>
        <v>0</v>
      </c>
      <c r="J134" s="970">
        <f t="shared" si="6"/>
        <v>0</v>
      </c>
      <c r="K134" s="960">
        <f t="shared" si="7"/>
        <v>0</v>
      </c>
    </row>
    <row r="135" spans="1:11" hidden="1" x14ac:dyDescent="0.25">
      <c r="A135" s="967" t="s">
        <v>2686</v>
      </c>
      <c r="B135" s="967"/>
      <c r="C135" s="968">
        <f t="shared" si="5"/>
        <v>0</v>
      </c>
      <c r="D135" s="968">
        <f t="array" ref="D135">SUM(IF('6. Class A Consumption Data'!F335:G335="B",'6. Class A Consumption Data'!F333:G333))</f>
        <v>0</v>
      </c>
      <c r="E135" s="968">
        <f t="array" ref="E135">SUM(IF('6. Class A Consumption Data'!H335:I335="B",'6. Class A Consumption Data'!H333:I333))</f>
        <v>0</v>
      </c>
      <c r="F135" s="968">
        <f t="array" ref="F135">SUM(IF('6. Class A Consumption Data'!J335:K335="B",'6. Class A Consumption Data'!J333:K333))</f>
        <v>0</v>
      </c>
      <c r="G135" s="968">
        <f t="array" ref="G135">SUM(IF('6. Class A Consumption Data'!L335:M335="B",'6. Class A Consumption Data'!L333:M333))</f>
        <v>0</v>
      </c>
      <c r="H135" s="968">
        <f t="array" ref="H135">SUM(IF('6. Class A Consumption Data'!N335:O335="B",'6. Class A Consumption Data'!N333:O333))</f>
        <v>0</v>
      </c>
      <c r="I135" s="963">
        <f t="shared" si="4"/>
        <v>0</v>
      </c>
      <c r="J135" s="970">
        <f t="shared" si="6"/>
        <v>0</v>
      </c>
      <c r="K135" s="960">
        <f t="shared" si="7"/>
        <v>0</v>
      </c>
    </row>
    <row r="136" spans="1:11" hidden="1" x14ac:dyDescent="0.25">
      <c r="A136" s="967" t="s">
        <v>2687</v>
      </c>
      <c r="B136" s="967"/>
      <c r="C136" s="968">
        <f t="shared" si="5"/>
        <v>0</v>
      </c>
      <c r="D136" s="968">
        <f t="array" ref="D136">SUM(IF('6. Class A Consumption Data'!F338:G338="B",'6. Class A Consumption Data'!F336:G336))</f>
        <v>0</v>
      </c>
      <c r="E136" s="968">
        <f t="array" ref="E136">SUM(IF('6. Class A Consumption Data'!H338:I338="B",'6. Class A Consumption Data'!H336:I336))</f>
        <v>0</v>
      </c>
      <c r="F136" s="968">
        <f t="array" ref="F136">SUM(IF('6. Class A Consumption Data'!J338:K338="B",'6. Class A Consumption Data'!J336:K336))</f>
        <v>0</v>
      </c>
      <c r="G136" s="968">
        <f t="array" ref="G136">SUM(IF('6. Class A Consumption Data'!L338:M338="B",'6. Class A Consumption Data'!L336:M336))</f>
        <v>0</v>
      </c>
      <c r="H136" s="968">
        <f t="array" ref="H136">SUM(IF('6. Class A Consumption Data'!N338:O338="B",'6. Class A Consumption Data'!N336:O336))</f>
        <v>0</v>
      </c>
      <c r="I136" s="963">
        <f t="shared" si="4"/>
        <v>0</v>
      </c>
      <c r="J136" s="970">
        <f t="shared" si="6"/>
        <v>0</v>
      </c>
      <c r="K136" s="960">
        <f t="shared" si="7"/>
        <v>0</v>
      </c>
    </row>
    <row r="137" spans="1:11" hidden="1" x14ac:dyDescent="0.25">
      <c r="A137" s="967" t="s">
        <v>2688</v>
      </c>
      <c r="B137" s="967"/>
      <c r="C137" s="968">
        <f t="shared" si="5"/>
        <v>0</v>
      </c>
      <c r="D137" s="968">
        <f t="array" ref="D137">SUM(IF('6. Class A Consumption Data'!F341:G341="B",'6. Class A Consumption Data'!F339:G339))</f>
        <v>0</v>
      </c>
      <c r="E137" s="968">
        <f t="array" ref="E137">SUM(IF('6. Class A Consumption Data'!H341:I341="B",'6. Class A Consumption Data'!H339:I339))</f>
        <v>0</v>
      </c>
      <c r="F137" s="968">
        <f t="array" ref="F137">SUM(IF('6. Class A Consumption Data'!J341:K341="B",'6. Class A Consumption Data'!J339:K339))</f>
        <v>0</v>
      </c>
      <c r="G137" s="968">
        <f t="array" ref="G137">SUM(IF('6. Class A Consumption Data'!L341:M341="B",'6. Class A Consumption Data'!L339:M339))</f>
        <v>0</v>
      </c>
      <c r="H137" s="968">
        <f t="array" ref="H137">SUM(IF('6. Class A Consumption Data'!N341:O341="B",'6. Class A Consumption Data'!N339:O339))</f>
        <v>0</v>
      </c>
      <c r="I137" s="963">
        <f t="shared" si="4"/>
        <v>0</v>
      </c>
      <c r="J137" s="970">
        <f t="shared" si="6"/>
        <v>0</v>
      </c>
      <c r="K137" s="960">
        <f t="shared" si="7"/>
        <v>0</v>
      </c>
    </row>
    <row r="138" spans="1:11" hidden="1" x14ac:dyDescent="0.25">
      <c r="A138" s="967" t="s">
        <v>2689</v>
      </c>
      <c r="B138" s="967"/>
      <c r="C138" s="968">
        <f t="shared" si="5"/>
        <v>0</v>
      </c>
      <c r="D138" s="968">
        <f t="array" ref="D138">SUM(IF('6. Class A Consumption Data'!F344:G344="B",'6. Class A Consumption Data'!F342:G342))</f>
        <v>0</v>
      </c>
      <c r="E138" s="968">
        <f t="array" ref="E138">SUM(IF('6. Class A Consumption Data'!H344:I344="B",'6. Class A Consumption Data'!H342:I342))</f>
        <v>0</v>
      </c>
      <c r="F138" s="968">
        <f t="array" ref="F138">SUM(IF('6. Class A Consumption Data'!J344:K344="B",'6. Class A Consumption Data'!J342:K342))</f>
        <v>0</v>
      </c>
      <c r="G138" s="968">
        <f t="array" ref="G138">SUM(IF('6. Class A Consumption Data'!L344:M344="B",'6. Class A Consumption Data'!L342:M342))</f>
        <v>0</v>
      </c>
      <c r="H138" s="968">
        <f t="array" ref="H138">SUM(IF('6. Class A Consumption Data'!N344:O344="B",'6. Class A Consumption Data'!N342:O342))</f>
        <v>0</v>
      </c>
      <c r="I138" s="963">
        <f t="shared" si="4"/>
        <v>0</v>
      </c>
      <c r="J138" s="970">
        <f t="shared" si="6"/>
        <v>0</v>
      </c>
      <c r="K138" s="960">
        <f t="shared" si="7"/>
        <v>0</v>
      </c>
    </row>
    <row r="139" spans="1:11" hidden="1" x14ac:dyDescent="0.25">
      <c r="A139" s="967" t="s">
        <v>2690</v>
      </c>
      <c r="B139" s="967"/>
      <c r="C139" s="968">
        <f t="shared" si="5"/>
        <v>0</v>
      </c>
      <c r="D139" s="968">
        <f t="array" ref="D139">SUM(IF('6. Class A Consumption Data'!F347:G347="B",'6. Class A Consumption Data'!F345:G345))</f>
        <v>0</v>
      </c>
      <c r="E139" s="968">
        <f t="array" ref="E139">SUM(IF('6. Class A Consumption Data'!H347:I347="B",'6. Class A Consumption Data'!H345:I345))</f>
        <v>0</v>
      </c>
      <c r="F139" s="968">
        <f t="array" ref="F139">SUM(IF('6. Class A Consumption Data'!J347:K347="B",'6. Class A Consumption Data'!J345:K345))</f>
        <v>0</v>
      </c>
      <c r="G139" s="968">
        <f t="array" ref="G139">SUM(IF('6. Class A Consumption Data'!L347:M347="B",'6. Class A Consumption Data'!L345:M345))</f>
        <v>0</v>
      </c>
      <c r="H139" s="968">
        <f t="array" ref="H139">SUM(IF('6. Class A Consumption Data'!N347:O347="B",'6. Class A Consumption Data'!N345:O345))</f>
        <v>0</v>
      </c>
      <c r="I139" s="963">
        <f t="shared" si="4"/>
        <v>0</v>
      </c>
      <c r="J139" s="970">
        <f t="shared" si="6"/>
        <v>0</v>
      </c>
      <c r="K139" s="960">
        <f t="shared" si="7"/>
        <v>0</v>
      </c>
    </row>
    <row r="140" spans="1:11" hidden="1" x14ac:dyDescent="0.25">
      <c r="A140" s="967" t="s">
        <v>2691</v>
      </c>
      <c r="B140" s="967"/>
      <c r="C140" s="968">
        <f t="shared" si="5"/>
        <v>0</v>
      </c>
      <c r="D140" s="968">
        <f t="array" ref="D140">SUM(IF('6. Class A Consumption Data'!F350:G350="B",'6. Class A Consumption Data'!F348:G348))</f>
        <v>0</v>
      </c>
      <c r="E140" s="968">
        <f t="array" ref="E140">SUM(IF('6. Class A Consumption Data'!H350:I350="B",'6. Class A Consumption Data'!H348:I348))</f>
        <v>0</v>
      </c>
      <c r="F140" s="968">
        <f t="array" ref="F140">SUM(IF('6. Class A Consumption Data'!J350:K350="B",'6. Class A Consumption Data'!J348:K348))</f>
        <v>0</v>
      </c>
      <c r="G140" s="968">
        <f t="array" ref="G140">SUM(IF('6. Class A Consumption Data'!L350:M350="B",'6. Class A Consumption Data'!L348:M348))</f>
        <v>0</v>
      </c>
      <c r="H140" s="968">
        <f t="array" ref="H140">SUM(IF('6. Class A Consumption Data'!N350:O350="B",'6. Class A Consumption Data'!N348:O348))</f>
        <v>0</v>
      </c>
      <c r="I140" s="963">
        <f t="shared" si="4"/>
        <v>0</v>
      </c>
      <c r="J140" s="970">
        <f t="shared" si="6"/>
        <v>0</v>
      </c>
      <c r="K140" s="960">
        <f t="shared" si="7"/>
        <v>0</v>
      </c>
    </row>
    <row r="141" spans="1:11" hidden="1" x14ac:dyDescent="0.25">
      <c r="A141" s="967" t="s">
        <v>2692</v>
      </c>
      <c r="B141" s="967"/>
      <c r="C141" s="968">
        <f t="shared" si="5"/>
        <v>0</v>
      </c>
      <c r="D141" s="968">
        <f t="array" ref="D141">SUM(IF('6. Class A Consumption Data'!F353:G353="B",'6. Class A Consumption Data'!F351:G351))</f>
        <v>0</v>
      </c>
      <c r="E141" s="968">
        <f t="array" ref="E141">SUM(IF('6. Class A Consumption Data'!H353:I353="B",'6. Class A Consumption Data'!H351:I351))</f>
        <v>0</v>
      </c>
      <c r="F141" s="968">
        <f t="array" ref="F141">SUM(IF('6. Class A Consumption Data'!J353:K353="B",'6. Class A Consumption Data'!J351:K351))</f>
        <v>0</v>
      </c>
      <c r="G141" s="968">
        <f t="array" ref="G141">SUM(IF('6. Class A Consumption Data'!L353:M353="B",'6. Class A Consumption Data'!L351:M351))</f>
        <v>0</v>
      </c>
      <c r="H141" s="968">
        <f t="array" ref="H141">SUM(IF('6. Class A Consumption Data'!N353:O353="B",'6. Class A Consumption Data'!N351:O351))</f>
        <v>0</v>
      </c>
      <c r="I141" s="963">
        <f t="shared" si="4"/>
        <v>0</v>
      </c>
      <c r="J141" s="970">
        <f t="shared" si="6"/>
        <v>0</v>
      </c>
      <c r="K141" s="960">
        <f t="shared" si="7"/>
        <v>0</v>
      </c>
    </row>
    <row r="142" spans="1:11" hidden="1" x14ac:dyDescent="0.25">
      <c r="A142" s="967" t="s">
        <v>2693</v>
      </c>
      <c r="B142" s="967"/>
      <c r="C142" s="968">
        <f t="shared" si="5"/>
        <v>0</v>
      </c>
      <c r="D142" s="968">
        <f t="array" ref="D142">SUM(IF('6. Class A Consumption Data'!F356:G356="B",'6. Class A Consumption Data'!F354:G354))</f>
        <v>0</v>
      </c>
      <c r="E142" s="968">
        <f t="array" ref="E142">SUM(IF('6. Class A Consumption Data'!H356:I356="B",'6. Class A Consumption Data'!H354:I354))</f>
        <v>0</v>
      </c>
      <c r="F142" s="968">
        <f t="array" ref="F142">SUM(IF('6. Class A Consumption Data'!J356:K356="B",'6. Class A Consumption Data'!J354:K354))</f>
        <v>0</v>
      </c>
      <c r="G142" s="968">
        <f t="array" ref="G142">SUM(IF('6. Class A Consumption Data'!L356:M356="B",'6. Class A Consumption Data'!L354:M354))</f>
        <v>0</v>
      </c>
      <c r="H142" s="968">
        <f t="array" ref="H142">SUM(IF('6. Class A Consumption Data'!N356:O356="B",'6. Class A Consumption Data'!N354:O354))</f>
        <v>0</v>
      </c>
      <c r="I142" s="963">
        <f t="shared" si="4"/>
        <v>0</v>
      </c>
      <c r="J142" s="970">
        <f t="shared" si="6"/>
        <v>0</v>
      </c>
      <c r="K142" s="960">
        <f t="shared" si="7"/>
        <v>0</v>
      </c>
    </row>
    <row r="143" spans="1:11" hidden="1" x14ac:dyDescent="0.25">
      <c r="A143" s="967" t="s">
        <v>2694</v>
      </c>
      <c r="B143" s="967"/>
      <c r="C143" s="968">
        <f t="shared" si="5"/>
        <v>0</v>
      </c>
      <c r="D143" s="968">
        <f t="array" ref="D143">SUM(IF('6. Class A Consumption Data'!F359:G359="B",'6. Class A Consumption Data'!F357:G357))</f>
        <v>0</v>
      </c>
      <c r="E143" s="968">
        <f t="array" ref="E143">SUM(IF('6. Class A Consumption Data'!H359:I359="B",'6. Class A Consumption Data'!H357:I357))</f>
        <v>0</v>
      </c>
      <c r="F143" s="968">
        <f t="array" ref="F143">SUM(IF('6. Class A Consumption Data'!J359:K359="B",'6. Class A Consumption Data'!J357:K357))</f>
        <v>0</v>
      </c>
      <c r="G143" s="968">
        <f t="array" ref="G143">SUM(IF('6. Class A Consumption Data'!L359:M359="B",'6. Class A Consumption Data'!L357:M357))</f>
        <v>0</v>
      </c>
      <c r="H143" s="968">
        <f t="array" ref="H143">SUM(IF('6. Class A Consumption Data'!N359:O359="B",'6. Class A Consumption Data'!N357:O357))</f>
        <v>0</v>
      </c>
      <c r="I143" s="963">
        <f t="shared" si="4"/>
        <v>0</v>
      </c>
      <c r="J143" s="970">
        <f t="shared" si="6"/>
        <v>0</v>
      </c>
      <c r="K143" s="960">
        <f t="shared" si="7"/>
        <v>0</v>
      </c>
    </row>
    <row r="144" spans="1:11" hidden="1" x14ac:dyDescent="0.25">
      <c r="A144" s="967" t="s">
        <v>2695</v>
      </c>
      <c r="B144" s="967"/>
      <c r="C144" s="968">
        <f t="shared" si="5"/>
        <v>0</v>
      </c>
      <c r="D144" s="968">
        <f t="array" ref="D144">SUM(IF('6. Class A Consumption Data'!F362:G362="B",'6. Class A Consumption Data'!F360:G360))</f>
        <v>0</v>
      </c>
      <c r="E144" s="968">
        <f t="array" ref="E144">SUM(IF('6. Class A Consumption Data'!H362:I362="B",'6. Class A Consumption Data'!H360:I360))</f>
        <v>0</v>
      </c>
      <c r="F144" s="968">
        <f t="array" ref="F144">SUM(IF('6. Class A Consumption Data'!J362:K362="B",'6. Class A Consumption Data'!J360:K360))</f>
        <v>0</v>
      </c>
      <c r="G144" s="968">
        <f t="array" ref="G144">SUM(IF('6. Class A Consumption Data'!L362:M362="B",'6. Class A Consumption Data'!L360:M360))</f>
        <v>0</v>
      </c>
      <c r="H144" s="968">
        <f t="array" ref="H144">SUM(IF('6. Class A Consumption Data'!N362:O362="B",'6. Class A Consumption Data'!N360:O360))</f>
        <v>0</v>
      </c>
      <c r="I144" s="963">
        <f t="shared" si="4"/>
        <v>0</v>
      </c>
      <c r="J144" s="970">
        <f t="shared" si="6"/>
        <v>0</v>
      </c>
      <c r="K144" s="960">
        <f t="shared" si="7"/>
        <v>0</v>
      </c>
    </row>
    <row r="145" spans="1:11" hidden="1" x14ac:dyDescent="0.25">
      <c r="A145" s="967" t="s">
        <v>2696</v>
      </c>
      <c r="B145" s="967"/>
      <c r="C145" s="968">
        <f t="shared" si="5"/>
        <v>0</v>
      </c>
      <c r="D145" s="968">
        <f t="array" ref="D145">SUM(IF('6. Class A Consumption Data'!F365:G365="B",'6. Class A Consumption Data'!F363:G363))</f>
        <v>0</v>
      </c>
      <c r="E145" s="968">
        <f t="array" ref="E145">SUM(IF('6. Class A Consumption Data'!H365:I365="B",'6. Class A Consumption Data'!H363:I363))</f>
        <v>0</v>
      </c>
      <c r="F145" s="968">
        <f t="array" ref="F145">SUM(IF('6. Class A Consumption Data'!J365:K365="B",'6. Class A Consumption Data'!J363:K363))</f>
        <v>0</v>
      </c>
      <c r="G145" s="968">
        <f t="array" ref="G145">SUM(IF('6. Class A Consumption Data'!L365:M365="B",'6. Class A Consumption Data'!L363:M363))</f>
        <v>0</v>
      </c>
      <c r="H145" s="968">
        <f t="array" ref="H145">SUM(IF('6. Class A Consumption Data'!N365:O365="B",'6. Class A Consumption Data'!N363:O363))</f>
        <v>0</v>
      </c>
      <c r="I145" s="963">
        <f t="shared" si="4"/>
        <v>0</v>
      </c>
      <c r="J145" s="970">
        <f t="shared" si="6"/>
        <v>0</v>
      </c>
      <c r="K145" s="960">
        <f t="shared" si="7"/>
        <v>0</v>
      </c>
    </row>
    <row r="146" spans="1:11" hidden="1" x14ac:dyDescent="0.25">
      <c r="A146" s="967" t="s">
        <v>2697</v>
      </c>
      <c r="B146" s="967"/>
      <c r="C146" s="968">
        <f t="shared" si="5"/>
        <v>0</v>
      </c>
      <c r="D146" s="968">
        <f t="array" ref="D146">SUM(IF('6. Class A Consumption Data'!F368:G368="B",'6. Class A Consumption Data'!F366:G366))</f>
        <v>0</v>
      </c>
      <c r="E146" s="968">
        <f t="array" ref="E146">SUM(IF('6. Class A Consumption Data'!H368:I368="B",'6. Class A Consumption Data'!H366:I366))</f>
        <v>0</v>
      </c>
      <c r="F146" s="968">
        <f t="array" ref="F146">SUM(IF('6. Class A Consumption Data'!J368:K368="B",'6. Class A Consumption Data'!J366:K366))</f>
        <v>0</v>
      </c>
      <c r="G146" s="968">
        <f t="array" ref="G146">SUM(IF('6. Class A Consumption Data'!L368:M368="B",'6. Class A Consumption Data'!L366:M366))</f>
        <v>0</v>
      </c>
      <c r="H146" s="968">
        <f t="array" ref="H146">SUM(IF('6. Class A Consumption Data'!N368:O368="B",'6. Class A Consumption Data'!N366:O366))</f>
        <v>0</v>
      </c>
      <c r="I146" s="963">
        <f t="shared" si="4"/>
        <v>0</v>
      </c>
      <c r="J146" s="970">
        <f t="shared" si="6"/>
        <v>0</v>
      </c>
      <c r="K146" s="960">
        <f t="shared" si="7"/>
        <v>0</v>
      </c>
    </row>
    <row r="147" spans="1:11" hidden="1" x14ac:dyDescent="0.25">
      <c r="A147" s="967" t="s">
        <v>2698</v>
      </c>
      <c r="B147" s="967"/>
      <c r="C147" s="968">
        <f t="shared" si="5"/>
        <v>0</v>
      </c>
      <c r="D147" s="968">
        <f t="array" ref="D147">SUM(IF('6. Class A Consumption Data'!F371:G371="B",'6. Class A Consumption Data'!F369:G369))</f>
        <v>0</v>
      </c>
      <c r="E147" s="968">
        <f t="array" ref="E147">SUM(IF('6. Class A Consumption Data'!H371:I371="B",'6. Class A Consumption Data'!H369:I369))</f>
        <v>0</v>
      </c>
      <c r="F147" s="968">
        <f t="array" ref="F147">SUM(IF('6. Class A Consumption Data'!J371:K371="B",'6. Class A Consumption Data'!J369:K369))</f>
        <v>0</v>
      </c>
      <c r="G147" s="968">
        <f t="array" ref="G147">SUM(IF('6. Class A Consumption Data'!L371:M371="B",'6. Class A Consumption Data'!L369:M369))</f>
        <v>0</v>
      </c>
      <c r="H147" s="968">
        <f t="array" ref="H147">SUM(IF('6. Class A Consumption Data'!N371:O371="B",'6. Class A Consumption Data'!N369:O369))</f>
        <v>0</v>
      </c>
      <c r="I147" s="963">
        <f t="shared" si="4"/>
        <v>0</v>
      </c>
      <c r="J147" s="970">
        <f t="shared" si="6"/>
        <v>0</v>
      </c>
      <c r="K147" s="960">
        <f t="shared" si="7"/>
        <v>0</v>
      </c>
    </row>
    <row r="148" spans="1:11" hidden="1" x14ac:dyDescent="0.25">
      <c r="A148" s="967" t="s">
        <v>2699</v>
      </c>
      <c r="B148" s="967"/>
      <c r="C148" s="968">
        <f t="shared" si="5"/>
        <v>0</v>
      </c>
      <c r="D148" s="968">
        <f t="array" ref="D148">SUM(IF('6. Class A Consumption Data'!F374:G374="B",'6. Class A Consumption Data'!F372:G372))</f>
        <v>0</v>
      </c>
      <c r="E148" s="968">
        <f t="array" ref="E148">SUM(IF('6. Class A Consumption Data'!H374:I374="B",'6. Class A Consumption Data'!H372:I372))</f>
        <v>0</v>
      </c>
      <c r="F148" s="968">
        <f t="array" ref="F148">SUM(IF('6. Class A Consumption Data'!J374:K374="B",'6. Class A Consumption Data'!J372:K372))</f>
        <v>0</v>
      </c>
      <c r="G148" s="968">
        <f t="array" ref="G148">SUM(IF('6. Class A Consumption Data'!L374:M374="B",'6. Class A Consumption Data'!L372:M372))</f>
        <v>0</v>
      </c>
      <c r="H148" s="968">
        <f t="array" ref="H148">SUM(IF('6. Class A Consumption Data'!N374:O374="B",'6. Class A Consumption Data'!N372:O372))</f>
        <v>0</v>
      </c>
      <c r="I148" s="963">
        <f t="shared" si="4"/>
        <v>0</v>
      </c>
      <c r="J148" s="970">
        <f t="shared" si="6"/>
        <v>0</v>
      </c>
      <c r="K148" s="960">
        <f t="shared" si="7"/>
        <v>0</v>
      </c>
    </row>
    <row r="149" spans="1:11" hidden="1" x14ac:dyDescent="0.25">
      <c r="A149" s="967" t="s">
        <v>2700</v>
      </c>
      <c r="B149" s="967"/>
      <c r="C149" s="968">
        <f t="shared" si="5"/>
        <v>0</v>
      </c>
      <c r="D149" s="968">
        <f t="array" ref="D149">SUM(IF('6. Class A Consumption Data'!F377:G377="B",'6. Class A Consumption Data'!F375:G375))</f>
        <v>0</v>
      </c>
      <c r="E149" s="968">
        <f t="array" ref="E149">SUM(IF('6. Class A Consumption Data'!H377:I377="B",'6. Class A Consumption Data'!H375:I375))</f>
        <v>0</v>
      </c>
      <c r="F149" s="968">
        <f t="array" ref="F149">SUM(IF('6. Class A Consumption Data'!J377:K377="B",'6. Class A Consumption Data'!J375:K375))</f>
        <v>0</v>
      </c>
      <c r="G149" s="968">
        <f t="array" ref="G149">SUM(IF('6. Class A Consumption Data'!L377:M377="B",'6. Class A Consumption Data'!L375:M375))</f>
        <v>0</v>
      </c>
      <c r="H149" s="968">
        <f t="array" ref="H149">SUM(IF('6. Class A Consumption Data'!N377:O377="B",'6. Class A Consumption Data'!N375:O375))</f>
        <v>0</v>
      </c>
      <c r="I149" s="963">
        <f t="shared" si="4"/>
        <v>0</v>
      </c>
      <c r="J149" s="970">
        <f t="shared" si="6"/>
        <v>0</v>
      </c>
      <c r="K149" s="960">
        <f t="shared" si="7"/>
        <v>0</v>
      </c>
    </row>
    <row r="150" spans="1:11" hidden="1" x14ac:dyDescent="0.25">
      <c r="A150" s="967" t="s">
        <v>2701</v>
      </c>
      <c r="B150" s="967"/>
      <c r="C150" s="968">
        <f t="shared" si="5"/>
        <v>0</v>
      </c>
      <c r="D150" s="968">
        <f t="array" ref="D150">SUM(IF('6. Class A Consumption Data'!F380:G380="B",'6. Class A Consumption Data'!F378:G378))</f>
        <v>0</v>
      </c>
      <c r="E150" s="968">
        <f t="array" ref="E150">SUM(IF('6. Class A Consumption Data'!H380:I380="B",'6. Class A Consumption Data'!H378:I378))</f>
        <v>0</v>
      </c>
      <c r="F150" s="968">
        <f t="array" ref="F150">SUM(IF('6. Class A Consumption Data'!J380:K380="B",'6. Class A Consumption Data'!J378:K378))</f>
        <v>0</v>
      </c>
      <c r="G150" s="968">
        <f t="array" ref="G150">SUM(IF('6. Class A Consumption Data'!L380:M380="B",'6. Class A Consumption Data'!L378:M378))</f>
        <v>0</v>
      </c>
      <c r="H150" s="968">
        <f t="array" ref="H150">SUM(IF('6. Class A Consumption Data'!N380:O380="B",'6. Class A Consumption Data'!N378:O378))</f>
        <v>0</v>
      </c>
      <c r="I150" s="963">
        <f t="shared" si="4"/>
        <v>0</v>
      </c>
      <c r="J150" s="970">
        <f t="shared" si="6"/>
        <v>0</v>
      </c>
      <c r="K150" s="960">
        <f t="shared" si="7"/>
        <v>0</v>
      </c>
    </row>
    <row r="151" spans="1:11" hidden="1" x14ac:dyDescent="0.25">
      <c r="A151" s="967" t="s">
        <v>2702</v>
      </c>
      <c r="B151" s="967"/>
      <c r="C151" s="968">
        <f t="shared" si="5"/>
        <v>0</v>
      </c>
      <c r="D151" s="968">
        <f t="array" ref="D151">SUM(IF('6. Class A Consumption Data'!F383:G383="B",'6. Class A Consumption Data'!F381:G381))</f>
        <v>0</v>
      </c>
      <c r="E151" s="968">
        <f t="array" ref="E151">SUM(IF('6. Class A Consumption Data'!H383:I383="B",'6. Class A Consumption Data'!H381:I381))</f>
        <v>0</v>
      </c>
      <c r="F151" s="968">
        <f t="array" ref="F151">SUM(IF('6. Class A Consumption Data'!J383:K383="B",'6. Class A Consumption Data'!J381:K381))</f>
        <v>0</v>
      </c>
      <c r="G151" s="968">
        <f t="array" ref="G151">SUM(IF('6. Class A Consumption Data'!L383:M383="B",'6. Class A Consumption Data'!L381:M381))</f>
        <v>0</v>
      </c>
      <c r="H151" s="968">
        <f t="array" ref="H151">SUM(IF('6. Class A Consumption Data'!N383:O383="B",'6. Class A Consumption Data'!N381:O381))</f>
        <v>0</v>
      </c>
      <c r="I151" s="963">
        <f t="shared" si="4"/>
        <v>0</v>
      </c>
      <c r="J151" s="970">
        <f t="shared" si="6"/>
        <v>0</v>
      </c>
      <c r="K151" s="960">
        <f t="shared" si="7"/>
        <v>0</v>
      </c>
    </row>
    <row r="152" spans="1:11" hidden="1" x14ac:dyDescent="0.25">
      <c r="A152" s="967" t="s">
        <v>2703</v>
      </c>
      <c r="B152" s="967"/>
      <c r="C152" s="968">
        <f t="shared" si="5"/>
        <v>0</v>
      </c>
      <c r="D152" s="968">
        <f t="array" ref="D152">SUM(IF('6. Class A Consumption Data'!F386:G386="B",'6. Class A Consumption Data'!F384:G384))</f>
        <v>0</v>
      </c>
      <c r="E152" s="968">
        <f t="array" ref="E152">SUM(IF('6. Class A Consumption Data'!H386:I386="B",'6. Class A Consumption Data'!H384:I384))</f>
        <v>0</v>
      </c>
      <c r="F152" s="968">
        <f t="array" ref="F152">SUM(IF('6. Class A Consumption Data'!J386:K386="B",'6. Class A Consumption Data'!J384:K384))</f>
        <v>0</v>
      </c>
      <c r="G152" s="968">
        <f t="array" ref="G152">SUM(IF('6. Class A Consumption Data'!L386:M386="B",'6. Class A Consumption Data'!L384:M384))</f>
        <v>0</v>
      </c>
      <c r="H152" s="968">
        <f t="array" ref="H152">SUM(IF('6. Class A Consumption Data'!N386:O386="B",'6. Class A Consumption Data'!N384:O384))</f>
        <v>0</v>
      </c>
      <c r="I152" s="963">
        <f t="shared" si="4"/>
        <v>0</v>
      </c>
      <c r="J152" s="970">
        <f t="shared" si="6"/>
        <v>0</v>
      </c>
      <c r="K152" s="960">
        <f t="shared" si="7"/>
        <v>0</v>
      </c>
    </row>
    <row r="153" spans="1:11" hidden="1" x14ac:dyDescent="0.25">
      <c r="A153" s="967" t="s">
        <v>2704</v>
      </c>
      <c r="B153" s="967"/>
      <c r="C153" s="968">
        <f t="shared" si="5"/>
        <v>0</v>
      </c>
      <c r="D153" s="968">
        <f t="array" ref="D153">SUM(IF('6. Class A Consumption Data'!F389:G389="B",'6. Class A Consumption Data'!F387:G387))</f>
        <v>0</v>
      </c>
      <c r="E153" s="968">
        <f t="array" ref="E153">SUM(IF('6. Class A Consumption Data'!H389:I389="B",'6. Class A Consumption Data'!H387:I387))</f>
        <v>0</v>
      </c>
      <c r="F153" s="968">
        <f t="array" ref="F153">SUM(IF('6. Class A Consumption Data'!J389:K389="B",'6. Class A Consumption Data'!J387:K387))</f>
        <v>0</v>
      </c>
      <c r="G153" s="968">
        <f t="array" ref="G153">SUM(IF('6. Class A Consumption Data'!L389:M389="B",'6. Class A Consumption Data'!L387:M387))</f>
        <v>0</v>
      </c>
      <c r="H153" s="968">
        <f t="array" ref="H153">SUM(IF('6. Class A Consumption Data'!N389:O389="B",'6. Class A Consumption Data'!N387:O387))</f>
        <v>0</v>
      </c>
      <c r="I153" s="963">
        <f t="shared" si="4"/>
        <v>0</v>
      </c>
      <c r="J153" s="970">
        <f t="shared" si="6"/>
        <v>0</v>
      </c>
      <c r="K153" s="960">
        <f t="shared" si="7"/>
        <v>0</v>
      </c>
    </row>
    <row r="154" spans="1:11" hidden="1" x14ac:dyDescent="0.25">
      <c r="A154" s="967" t="s">
        <v>2705</v>
      </c>
      <c r="B154" s="967"/>
      <c r="C154" s="968">
        <f t="shared" si="5"/>
        <v>0</v>
      </c>
      <c r="D154" s="968">
        <f t="array" ref="D154">SUM(IF('6. Class A Consumption Data'!F392:G392="B",'6. Class A Consumption Data'!F390:G390))</f>
        <v>0</v>
      </c>
      <c r="E154" s="968">
        <f t="array" ref="E154">SUM(IF('6. Class A Consumption Data'!H392:I392="B",'6. Class A Consumption Data'!H390:I390))</f>
        <v>0</v>
      </c>
      <c r="F154" s="968">
        <f t="array" ref="F154">SUM(IF('6. Class A Consumption Data'!J392:K392="B",'6. Class A Consumption Data'!J390:K390))</f>
        <v>0</v>
      </c>
      <c r="G154" s="968">
        <f t="array" ref="G154">SUM(IF('6. Class A Consumption Data'!L392:M392="B",'6. Class A Consumption Data'!L390:M390))</f>
        <v>0</v>
      </c>
      <c r="H154" s="968">
        <f t="array" ref="H154">SUM(IF('6. Class A Consumption Data'!N392:O392="B",'6. Class A Consumption Data'!N390:O390))</f>
        <v>0</v>
      </c>
      <c r="I154" s="963">
        <f t="shared" si="4"/>
        <v>0</v>
      </c>
      <c r="J154" s="970">
        <f t="shared" si="6"/>
        <v>0</v>
      </c>
      <c r="K154" s="960">
        <f t="shared" si="7"/>
        <v>0</v>
      </c>
    </row>
    <row r="155" spans="1:11" hidden="1" x14ac:dyDescent="0.25">
      <c r="A155" s="967" t="s">
        <v>2706</v>
      </c>
      <c r="B155" s="967"/>
      <c r="C155" s="968">
        <f t="shared" si="5"/>
        <v>0</v>
      </c>
      <c r="D155" s="968">
        <f t="array" ref="D155">SUM(IF('6. Class A Consumption Data'!F395:G395="B",'6. Class A Consumption Data'!F393:G393))</f>
        <v>0</v>
      </c>
      <c r="E155" s="968">
        <f t="array" ref="E155">SUM(IF('6. Class A Consumption Data'!H395:I395="B",'6. Class A Consumption Data'!H393:I393))</f>
        <v>0</v>
      </c>
      <c r="F155" s="968">
        <f t="array" ref="F155">SUM(IF('6. Class A Consumption Data'!J395:K395="B",'6. Class A Consumption Data'!J393:K393))</f>
        <v>0</v>
      </c>
      <c r="G155" s="968">
        <f t="array" ref="G155">SUM(IF('6. Class A Consumption Data'!L395:M395="B",'6. Class A Consumption Data'!L393:M393))</f>
        <v>0</v>
      </c>
      <c r="H155" s="968">
        <f t="array" ref="H155">SUM(IF('6. Class A Consumption Data'!N395:O395="B",'6. Class A Consumption Data'!N393:O393))</f>
        <v>0</v>
      </c>
      <c r="I155" s="963">
        <f t="shared" si="4"/>
        <v>0</v>
      </c>
      <c r="J155" s="970">
        <f t="shared" si="6"/>
        <v>0</v>
      </c>
      <c r="K155" s="960">
        <f t="shared" si="7"/>
        <v>0</v>
      </c>
    </row>
    <row r="156" spans="1:11" hidden="1" x14ac:dyDescent="0.25">
      <c r="A156" s="967" t="s">
        <v>2707</v>
      </c>
      <c r="B156" s="967"/>
      <c r="C156" s="968">
        <f t="shared" si="5"/>
        <v>0</v>
      </c>
      <c r="D156" s="968">
        <f t="array" ref="D156">SUM(IF('6. Class A Consumption Data'!F398:G398="B",'6. Class A Consumption Data'!F396:G396))</f>
        <v>0</v>
      </c>
      <c r="E156" s="968">
        <f t="array" ref="E156">SUM(IF('6. Class A Consumption Data'!H398:I398="B",'6. Class A Consumption Data'!H396:I396))</f>
        <v>0</v>
      </c>
      <c r="F156" s="968">
        <f t="array" ref="F156">SUM(IF('6. Class A Consumption Data'!J398:K398="B",'6. Class A Consumption Data'!J396:K396))</f>
        <v>0</v>
      </c>
      <c r="G156" s="968">
        <f t="array" ref="G156">SUM(IF('6. Class A Consumption Data'!L398:M398="B",'6. Class A Consumption Data'!L396:M396))</f>
        <v>0</v>
      </c>
      <c r="H156" s="968">
        <f t="array" ref="H156">SUM(IF('6. Class A Consumption Data'!N398:O398="B",'6. Class A Consumption Data'!N396:O396))</f>
        <v>0</v>
      </c>
      <c r="I156" s="963">
        <f t="shared" si="4"/>
        <v>0</v>
      </c>
      <c r="J156" s="970">
        <f t="shared" si="6"/>
        <v>0</v>
      </c>
      <c r="K156" s="960">
        <f t="shared" si="7"/>
        <v>0</v>
      </c>
    </row>
    <row r="157" spans="1:11" hidden="1" x14ac:dyDescent="0.25">
      <c r="A157" s="967" t="s">
        <v>2708</v>
      </c>
      <c r="B157" s="967"/>
      <c r="C157" s="968">
        <f t="shared" si="5"/>
        <v>0</v>
      </c>
      <c r="D157" s="968">
        <f t="array" ref="D157">SUM(IF('6. Class A Consumption Data'!F401:G401="B",'6. Class A Consumption Data'!F399:G399))</f>
        <v>0</v>
      </c>
      <c r="E157" s="968">
        <f t="array" ref="E157">SUM(IF('6. Class A Consumption Data'!H401:I401="B",'6. Class A Consumption Data'!H399:I399))</f>
        <v>0</v>
      </c>
      <c r="F157" s="968">
        <f t="array" ref="F157">SUM(IF('6. Class A Consumption Data'!J401:K401="B",'6. Class A Consumption Data'!J399:K399))</f>
        <v>0</v>
      </c>
      <c r="G157" s="968">
        <f t="array" ref="G157">SUM(IF('6. Class A Consumption Data'!L401:M401="B",'6. Class A Consumption Data'!L399:M399))</f>
        <v>0</v>
      </c>
      <c r="H157" s="968">
        <f t="array" ref="H157">SUM(IF('6. Class A Consumption Data'!N401:O401="B",'6. Class A Consumption Data'!N399:O399))</f>
        <v>0</v>
      </c>
      <c r="I157" s="963">
        <f t="shared" si="4"/>
        <v>0</v>
      </c>
      <c r="J157" s="970">
        <f t="shared" si="6"/>
        <v>0</v>
      </c>
      <c r="K157" s="960">
        <f t="shared" si="7"/>
        <v>0</v>
      </c>
    </row>
    <row r="158" spans="1:11" hidden="1" x14ac:dyDescent="0.25">
      <c r="A158" s="967" t="s">
        <v>2709</v>
      </c>
      <c r="B158" s="967"/>
      <c r="C158" s="968">
        <f t="shared" si="5"/>
        <v>0</v>
      </c>
      <c r="D158" s="968">
        <f t="array" ref="D158">SUM(IF('6. Class A Consumption Data'!F404:G404="B",'6. Class A Consumption Data'!F402:G402))</f>
        <v>0</v>
      </c>
      <c r="E158" s="968">
        <f t="array" ref="E158">SUM(IF('6. Class A Consumption Data'!H404:I404="B",'6. Class A Consumption Data'!H402:I402))</f>
        <v>0</v>
      </c>
      <c r="F158" s="968">
        <f t="array" ref="F158">SUM(IF('6. Class A Consumption Data'!J404:K404="B",'6. Class A Consumption Data'!J402:K402))</f>
        <v>0</v>
      </c>
      <c r="G158" s="968">
        <f t="array" ref="G158">SUM(IF('6. Class A Consumption Data'!L404:M404="B",'6. Class A Consumption Data'!L402:M402))</f>
        <v>0</v>
      </c>
      <c r="H158" s="968">
        <f t="array" ref="H158">SUM(IF('6. Class A Consumption Data'!N404:O404="B",'6. Class A Consumption Data'!N402:O402))</f>
        <v>0</v>
      </c>
      <c r="I158" s="963">
        <f t="shared" si="4"/>
        <v>0</v>
      </c>
      <c r="J158" s="970">
        <f t="shared" si="6"/>
        <v>0</v>
      </c>
      <c r="K158" s="960">
        <f t="shared" si="7"/>
        <v>0</v>
      </c>
    </row>
    <row r="159" spans="1:11" hidden="1" x14ac:dyDescent="0.25">
      <c r="A159" s="967" t="s">
        <v>2710</v>
      </c>
      <c r="B159" s="967"/>
      <c r="C159" s="968">
        <f t="shared" si="5"/>
        <v>0</v>
      </c>
      <c r="D159" s="968">
        <f t="array" ref="D159">SUM(IF('6. Class A Consumption Data'!F407:G407="B",'6. Class A Consumption Data'!F405:G405))</f>
        <v>0</v>
      </c>
      <c r="E159" s="968">
        <f t="array" ref="E159">SUM(IF('6. Class A Consumption Data'!H407:I407="B",'6. Class A Consumption Data'!H405:I405))</f>
        <v>0</v>
      </c>
      <c r="F159" s="968">
        <f t="array" ref="F159">SUM(IF('6. Class A Consumption Data'!J407:K407="B",'6. Class A Consumption Data'!J405:K405))</f>
        <v>0</v>
      </c>
      <c r="G159" s="968">
        <f t="array" ref="G159">SUM(IF('6. Class A Consumption Data'!L407:M407="B",'6. Class A Consumption Data'!L405:M405))</f>
        <v>0</v>
      </c>
      <c r="H159" s="968">
        <f t="array" ref="H159">SUM(IF('6. Class A Consumption Data'!N407:O407="B",'6. Class A Consumption Data'!N405:O405))</f>
        <v>0</v>
      </c>
      <c r="I159" s="963">
        <f t="shared" si="4"/>
        <v>0</v>
      </c>
      <c r="J159" s="970">
        <f t="shared" si="6"/>
        <v>0</v>
      </c>
      <c r="K159" s="960">
        <f t="shared" si="7"/>
        <v>0</v>
      </c>
    </row>
    <row r="160" spans="1:11" hidden="1" x14ac:dyDescent="0.25">
      <c r="A160" s="967" t="s">
        <v>2711</v>
      </c>
      <c r="B160" s="967"/>
      <c r="C160" s="968">
        <f t="shared" si="5"/>
        <v>0</v>
      </c>
      <c r="D160" s="968">
        <f t="array" ref="D160">SUM(IF('6. Class A Consumption Data'!F410:G410="B",'6. Class A Consumption Data'!F408:G408))</f>
        <v>0</v>
      </c>
      <c r="E160" s="968">
        <f t="array" ref="E160">SUM(IF('6. Class A Consumption Data'!H410:I410="B",'6. Class A Consumption Data'!H408:I408))</f>
        <v>0</v>
      </c>
      <c r="F160" s="968">
        <f t="array" ref="F160">SUM(IF('6. Class A Consumption Data'!J410:K410="B",'6. Class A Consumption Data'!J408:K408))</f>
        <v>0</v>
      </c>
      <c r="G160" s="968">
        <f t="array" ref="G160">SUM(IF('6. Class A Consumption Data'!L410:M410="B",'6. Class A Consumption Data'!L408:M408))</f>
        <v>0</v>
      </c>
      <c r="H160" s="968">
        <f t="array" ref="H160">SUM(IF('6. Class A Consumption Data'!N410:O410="B",'6. Class A Consumption Data'!N408:O408))</f>
        <v>0</v>
      </c>
      <c r="I160" s="963">
        <f t="shared" si="4"/>
        <v>0</v>
      </c>
      <c r="J160" s="970">
        <f t="shared" si="6"/>
        <v>0</v>
      </c>
      <c r="K160" s="960">
        <f t="shared" si="7"/>
        <v>0</v>
      </c>
    </row>
    <row r="161" spans="1:11" hidden="1" x14ac:dyDescent="0.25">
      <c r="A161" s="967" t="s">
        <v>2712</v>
      </c>
      <c r="B161" s="967"/>
      <c r="C161" s="968">
        <f t="shared" si="5"/>
        <v>0</v>
      </c>
      <c r="D161" s="968">
        <f t="array" ref="D161">SUM(IF('6. Class A Consumption Data'!F413:G413="B",'6. Class A Consumption Data'!F411:G411))</f>
        <v>0</v>
      </c>
      <c r="E161" s="968">
        <f t="array" ref="E161">SUM(IF('6. Class A Consumption Data'!H413:I413="B",'6. Class A Consumption Data'!H411:I411))</f>
        <v>0</v>
      </c>
      <c r="F161" s="968">
        <f t="array" ref="F161">SUM(IF('6. Class A Consumption Data'!J413:K413="B",'6. Class A Consumption Data'!J411:K411))</f>
        <v>0</v>
      </c>
      <c r="G161" s="968">
        <f t="array" ref="G161">SUM(IF('6. Class A Consumption Data'!L413:M413="B",'6. Class A Consumption Data'!L411:M411))</f>
        <v>0</v>
      </c>
      <c r="H161" s="968">
        <f t="array" ref="H161">SUM(IF('6. Class A Consumption Data'!N413:O413="B",'6. Class A Consumption Data'!N411:O411))</f>
        <v>0</v>
      </c>
      <c r="I161" s="963">
        <f t="shared" si="4"/>
        <v>0</v>
      </c>
      <c r="J161" s="970">
        <f t="shared" si="6"/>
        <v>0</v>
      </c>
      <c r="K161" s="960">
        <f t="shared" si="7"/>
        <v>0</v>
      </c>
    </row>
    <row r="162" spans="1:11" hidden="1" x14ac:dyDescent="0.25">
      <c r="A162" s="967" t="s">
        <v>2713</v>
      </c>
      <c r="B162" s="967"/>
      <c r="C162" s="968">
        <f t="shared" si="5"/>
        <v>0</v>
      </c>
      <c r="D162" s="968">
        <f t="array" ref="D162">SUM(IF('6. Class A Consumption Data'!F416:G416="B",'6. Class A Consumption Data'!F414:G414))</f>
        <v>0</v>
      </c>
      <c r="E162" s="968">
        <f t="array" ref="E162">SUM(IF('6. Class A Consumption Data'!H416:I416="B",'6. Class A Consumption Data'!H414:I414))</f>
        <v>0</v>
      </c>
      <c r="F162" s="968">
        <f t="array" ref="F162">SUM(IF('6. Class A Consumption Data'!J416:K416="B",'6. Class A Consumption Data'!J414:K414))</f>
        <v>0</v>
      </c>
      <c r="G162" s="968">
        <f t="array" ref="G162">SUM(IF('6. Class A Consumption Data'!L416:M416="B",'6. Class A Consumption Data'!L414:M414))</f>
        <v>0</v>
      </c>
      <c r="H162" s="968">
        <f t="array" ref="H162">SUM(IF('6. Class A Consumption Data'!N416:O416="B",'6. Class A Consumption Data'!N414:O414))</f>
        <v>0</v>
      </c>
      <c r="I162" s="963">
        <f t="shared" si="4"/>
        <v>0</v>
      </c>
      <c r="J162" s="970">
        <f t="shared" si="6"/>
        <v>0</v>
      </c>
      <c r="K162" s="960">
        <f t="shared" si="7"/>
        <v>0</v>
      </c>
    </row>
    <row r="163" spans="1:11" hidden="1" x14ac:dyDescent="0.25">
      <c r="A163" s="967" t="s">
        <v>2714</v>
      </c>
      <c r="B163" s="967"/>
      <c r="C163" s="968">
        <f t="shared" si="5"/>
        <v>0</v>
      </c>
      <c r="D163" s="968">
        <f t="array" ref="D163">SUM(IF('6. Class A Consumption Data'!F419:G419="B",'6. Class A Consumption Data'!F417:G417))</f>
        <v>0</v>
      </c>
      <c r="E163" s="968">
        <f t="array" ref="E163">SUM(IF('6. Class A Consumption Data'!H419:I419="B",'6. Class A Consumption Data'!H417:I417))</f>
        <v>0</v>
      </c>
      <c r="F163" s="968">
        <f t="array" ref="F163">SUM(IF('6. Class A Consumption Data'!J419:K419="B",'6. Class A Consumption Data'!J417:K417))</f>
        <v>0</v>
      </c>
      <c r="G163" s="968">
        <f t="array" ref="G163">SUM(IF('6. Class A Consumption Data'!L419:M419="B",'6. Class A Consumption Data'!L417:M417))</f>
        <v>0</v>
      </c>
      <c r="H163" s="968">
        <f t="array" ref="H163">SUM(IF('6. Class A Consumption Data'!N419:O419="B",'6. Class A Consumption Data'!N417:O417))</f>
        <v>0</v>
      </c>
      <c r="I163" s="963">
        <f t="shared" ref="I163:I183" si="8">IFERROR(+C163/$C$184,0)</f>
        <v>0</v>
      </c>
      <c r="J163" s="970">
        <f t="shared" si="6"/>
        <v>0</v>
      </c>
      <c r="K163" s="960">
        <f t="shared" si="7"/>
        <v>0</v>
      </c>
    </row>
    <row r="164" spans="1:11" hidden="1" x14ac:dyDescent="0.25">
      <c r="A164" s="967" t="s">
        <v>2715</v>
      </c>
      <c r="B164" s="967"/>
      <c r="C164" s="968">
        <f t="shared" si="5"/>
        <v>0</v>
      </c>
      <c r="D164" s="968">
        <f t="array" ref="D164">SUM(IF('6. Class A Consumption Data'!F422:G422="B",'6. Class A Consumption Data'!F420:G420))</f>
        <v>0</v>
      </c>
      <c r="E164" s="968">
        <f t="array" ref="E164">SUM(IF('6. Class A Consumption Data'!H422:I422="B",'6. Class A Consumption Data'!H420:I420))</f>
        <v>0</v>
      </c>
      <c r="F164" s="968">
        <f t="array" ref="F164">SUM(IF('6. Class A Consumption Data'!J422:K422="B",'6. Class A Consumption Data'!J420:K420))</f>
        <v>0</v>
      </c>
      <c r="G164" s="968">
        <f t="array" ref="G164">SUM(IF('6. Class A Consumption Data'!L422:M422="B",'6. Class A Consumption Data'!L420:M420))</f>
        <v>0</v>
      </c>
      <c r="H164" s="968">
        <f t="array" ref="H164">SUM(IF('6. Class A Consumption Data'!N422:O422="B",'6. Class A Consumption Data'!N420:O420))</f>
        <v>0</v>
      </c>
      <c r="I164" s="963">
        <f t="shared" si="8"/>
        <v>0</v>
      </c>
      <c r="J164" s="970">
        <f t="shared" si="6"/>
        <v>0</v>
      </c>
      <c r="K164" s="960">
        <f t="shared" si="7"/>
        <v>0</v>
      </c>
    </row>
    <row r="165" spans="1:11" hidden="1" x14ac:dyDescent="0.25">
      <c r="A165" s="967" t="s">
        <v>2716</v>
      </c>
      <c r="B165" s="967"/>
      <c r="C165" s="968">
        <f t="shared" si="5"/>
        <v>0</v>
      </c>
      <c r="D165" s="968">
        <f t="array" ref="D165">SUM(IF('6. Class A Consumption Data'!F425:G425="B",'6. Class A Consumption Data'!F423:G423))</f>
        <v>0</v>
      </c>
      <c r="E165" s="968">
        <f t="array" ref="E165">SUM(IF('6. Class A Consumption Data'!H425:I425="B",'6. Class A Consumption Data'!H423:I423))</f>
        <v>0</v>
      </c>
      <c r="F165" s="968">
        <f t="array" ref="F165">SUM(IF('6. Class A Consumption Data'!J425:K425="B",'6. Class A Consumption Data'!J423:K423))</f>
        <v>0</v>
      </c>
      <c r="G165" s="968">
        <f t="array" ref="G165">SUM(IF('6. Class A Consumption Data'!L425:M425="B",'6. Class A Consumption Data'!L423:M423))</f>
        <v>0</v>
      </c>
      <c r="H165" s="968">
        <f t="array" ref="H165">SUM(IF('6. Class A Consumption Data'!N425:O425="B",'6. Class A Consumption Data'!N423:O423))</f>
        <v>0</v>
      </c>
      <c r="I165" s="963">
        <f t="shared" si="8"/>
        <v>0</v>
      </c>
      <c r="J165" s="970">
        <f t="shared" si="6"/>
        <v>0</v>
      </c>
      <c r="K165" s="960">
        <f t="shared" si="7"/>
        <v>0</v>
      </c>
    </row>
    <row r="166" spans="1:11" hidden="1" x14ac:dyDescent="0.25">
      <c r="A166" s="967" t="s">
        <v>2717</v>
      </c>
      <c r="B166" s="967"/>
      <c r="C166" s="968">
        <f t="shared" ref="C166:C183" si="9">SUM(D166:G166)</f>
        <v>0</v>
      </c>
      <c r="D166" s="968">
        <f t="array" ref="D166">SUM(IF('6. Class A Consumption Data'!F428:G428="B",'6. Class A Consumption Data'!F426:G426))</f>
        <v>0</v>
      </c>
      <c r="E166" s="968">
        <f t="array" ref="E166">SUM(IF('6. Class A Consumption Data'!H428:I428="B",'6. Class A Consumption Data'!H426:I426))</f>
        <v>0</v>
      </c>
      <c r="F166" s="968">
        <f t="array" ref="F166">SUM(IF('6. Class A Consumption Data'!J428:K428="B",'6. Class A Consumption Data'!J426:K426))</f>
        <v>0</v>
      </c>
      <c r="G166" s="968">
        <f t="array" ref="G166">SUM(IF('6. Class A Consumption Data'!L428:M428="B",'6. Class A Consumption Data'!L426:M426))</f>
        <v>0</v>
      </c>
      <c r="H166" s="968">
        <f t="array" ref="H166">SUM(IF('6. Class A Consumption Data'!N428:O428="B",'6. Class A Consumption Data'!N426:O426))</f>
        <v>0</v>
      </c>
      <c r="I166" s="963">
        <f t="shared" si="8"/>
        <v>0</v>
      </c>
      <c r="J166" s="970">
        <f t="shared" ref="J166:J183" si="10">+I166*$C$28</f>
        <v>0</v>
      </c>
      <c r="K166" s="960">
        <f t="shared" ref="K166:K183" si="11">+J166/12</f>
        <v>0</v>
      </c>
    </row>
    <row r="167" spans="1:11" hidden="1" x14ac:dyDescent="0.25">
      <c r="A167" s="967" t="s">
        <v>2718</v>
      </c>
      <c r="B167" s="967"/>
      <c r="C167" s="968">
        <f t="shared" si="9"/>
        <v>0</v>
      </c>
      <c r="D167" s="968">
        <f t="array" ref="D167">SUM(IF('6. Class A Consumption Data'!F431:G431="B",'6. Class A Consumption Data'!F429:G429))</f>
        <v>0</v>
      </c>
      <c r="E167" s="968">
        <f t="array" ref="E167">SUM(IF('6. Class A Consumption Data'!H431:I431="B",'6. Class A Consumption Data'!H429:I429))</f>
        <v>0</v>
      </c>
      <c r="F167" s="968">
        <f t="array" ref="F167">SUM(IF('6. Class A Consumption Data'!J431:K431="B",'6. Class A Consumption Data'!J429:K429))</f>
        <v>0</v>
      </c>
      <c r="G167" s="968">
        <f t="array" ref="G167">SUM(IF('6. Class A Consumption Data'!L431:M431="B",'6. Class A Consumption Data'!L429:M429))</f>
        <v>0</v>
      </c>
      <c r="H167" s="968">
        <f t="array" ref="H167">SUM(IF('6. Class A Consumption Data'!N431:O431="B",'6. Class A Consumption Data'!N429:O429))</f>
        <v>0</v>
      </c>
      <c r="I167" s="963">
        <f t="shared" si="8"/>
        <v>0</v>
      </c>
      <c r="J167" s="970">
        <f t="shared" si="10"/>
        <v>0</v>
      </c>
      <c r="K167" s="960">
        <f t="shared" si="11"/>
        <v>0</v>
      </c>
    </row>
    <row r="168" spans="1:11" hidden="1" x14ac:dyDescent="0.25">
      <c r="A168" s="967" t="s">
        <v>2719</v>
      </c>
      <c r="B168" s="967"/>
      <c r="C168" s="968">
        <f t="shared" si="9"/>
        <v>0</v>
      </c>
      <c r="D168" s="968">
        <f t="array" ref="D168">SUM(IF('6. Class A Consumption Data'!F434:G434="B",'6. Class A Consumption Data'!F432:G432))</f>
        <v>0</v>
      </c>
      <c r="E168" s="968">
        <f t="array" ref="E168">SUM(IF('6. Class A Consumption Data'!H434:I434="B",'6. Class A Consumption Data'!H432:I432))</f>
        <v>0</v>
      </c>
      <c r="F168" s="968">
        <f t="array" ref="F168">SUM(IF('6. Class A Consumption Data'!J434:K434="B",'6. Class A Consumption Data'!J432:K432))</f>
        <v>0</v>
      </c>
      <c r="G168" s="968">
        <f t="array" ref="G168">SUM(IF('6. Class A Consumption Data'!L434:M434="B",'6. Class A Consumption Data'!L432:M432))</f>
        <v>0</v>
      </c>
      <c r="H168" s="968">
        <f t="array" ref="H168">SUM(IF('6. Class A Consumption Data'!N434:O434="B",'6. Class A Consumption Data'!N432:O432))</f>
        <v>0</v>
      </c>
      <c r="I168" s="963">
        <f t="shared" si="8"/>
        <v>0</v>
      </c>
      <c r="J168" s="970">
        <f t="shared" si="10"/>
        <v>0</v>
      </c>
      <c r="K168" s="960">
        <f t="shared" si="11"/>
        <v>0</v>
      </c>
    </row>
    <row r="169" spans="1:11" hidden="1" x14ac:dyDescent="0.25">
      <c r="A169" s="967" t="s">
        <v>2720</v>
      </c>
      <c r="B169" s="967"/>
      <c r="C169" s="968">
        <f t="shared" si="9"/>
        <v>0</v>
      </c>
      <c r="D169" s="968">
        <f t="array" ref="D169">SUM(IF('6. Class A Consumption Data'!F437:G437="B",'6. Class A Consumption Data'!F435:G435))</f>
        <v>0</v>
      </c>
      <c r="E169" s="968">
        <f t="array" ref="E169">SUM(IF('6. Class A Consumption Data'!H437:I437="B",'6. Class A Consumption Data'!H435:I435))</f>
        <v>0</v>
      </c>
      <c r="F169" s="968">
        <f t="array" ref="F169">SUM(IF('6. Class A Consumption Data'!J437:K437="B",'6. Class A Consumption Data'!J435:K435))</f>
        <v>0</v>
      </c>
      <c r="G169" s="968">
        <f t="array" ref="G169">SUM(IF('6. Class A Consumption Data'!L437:M437="B",'6. Class A Consumption Data'!L435:M435))</f>
        <v>0</v>
      </c>
      <c r="H169" s="968">
        <f t="array" ref="H169">SUM(IF('6. Class A Consumption Data'!N437:O437="B",'6. Class A Consumption Data'!N435:O435))</f>
        <v>0</v>
      </c>
      <c r="I169" s="963">
        <f t="shared" si="8"/>
        <v>0</v>
      </c>
      <c r="J169" s="970">
        <f t="shared" si="10"/>
        <v>0</v>
      </c>
      <c r="K169" s="960">
        <f t="shared" si="11"/>
        <v>0</v>
      </c>
    </row>
    <row r="170" spans="1:11" hidden="1" x14ac:dyDescent="0.25">
      <c r="A170" s="967" t="s">
        <v>2721</v>
      </c>
      <c r="B170" s="967"/>
      <c r="C170" s="968">
        <f t="shared" si="9"/>
        <v>0</v>
      </c>
      <c r="D170" s="968">
        <f t="array" ref="D170">SUM(IF('6. Class A Consumption Data'!F440:G440="B",'6. Class A Consumption Data'!F438:G438))</f>
        <v>0</v>
      </c>
      <c r="E170" s="968">
        <f t="array" ref="E170">SUM(IF('6. Class A Consumption Data'!H440:I440="B",'6. Class A Consumption Data'!H438:I438))</f>
        <v>0</v>
      </c>
      <c r="F170" s="968">
        <f t="array" ref="F170">SUM(IF('6. Class A Consumption Data'!J440:K440="B",'6. Class A Consumption Data'!J438:K438))</f>
        <v>0</v>
      </c>
      <c r="G170" s="968">
        <f t="array" ref="G170">SUM(IF('6. Class A Consumption Data'!L440:M440="B",'6. Class A Consumption Data'!L438:M438))</f>
        <v>0</v>
      </c>
      <c r="H170" s="968">
        <f t="array" ref="H170">SUM(IF('6. Class A Consumption Data'!N440:O440="B",'6. Class A Consumption Data'!N438:O438))</f>
        <v>0</v>
      </c>
      <c r="I170" s="963">
        <f t="shared" si="8"/>
        <v>0</v>
      </c>
      <c r="J170" s="970">
        <f t="shared" si="10"/>
        <v>0</v>
      </c>
      <c r="K170" s="960">
        <f t="shared" si="11"/>
        <v>0</v>
      </c>
    </row>
    <row r="171" spans="1:11" hidden="1" x14ac:dyDescent="0.25">
      <c r="A171" s="967" t="s">
        <v>2722</v>
      </c>
      <c r="B171" s="967"/>
      <c r="C171" s="968">
        <f t="shared" si="9"/>
        <v>0</v>
      </c>
      <c r="D171" s="968">
        <f t="array" ref="D171">SUM(IF('6. Class A Consumption Data'!F443:G443="B",'6. Class A Consumption Data'!F441:G441))</f>
        <v>0</v>
      </c>
      <c r="E171" s="968">
        <f t="array" ref="E171">SUM(IF('6. Class A Consumption Data'!H443:I443="B",'6. Class A Consumption Data'!H441:I441))</f>
        <v>0</v>
      </c>
      <c r="F171" s="968">
        <f t="array" ref="F171">SUM(IF('6. Class A Consumption Data'!J443:K443="B",'6. Class A Consumption Data'!J441:K441))</f>
        <v>0</v>
      </c>
      <c r="G171" s="968">
        <f t="array" ref="G171">SUM(IF('6. Class A Consumption Data'!L443:M443="B",'6. Class A Consumption Data'!L441:M441))</f>
        <v>0</v>
      </c>
      <c r="H171" s="968">
        <f t="array" ref="H171">SUM(IF('6. Class A Consumption Data'!N443:O443="B",'6. Class A Consumption Data'!N441:O441))</f>
        <v>0</v>
      </c>
      <c r="I171" s="963">
        <f t="shared" si="8"/>
        <v>0</v>
      </c>
      <c r="J171" s="970">
        <f t="shared" si="10"/>
        <v>0</v>
      </c>
      <c r="K171" s="960">
        <f t="shared" si="11"/>
        <v>0</v>
      </c>
    </row>
    <row r="172" spans="1:11" hidden="1" x14ac:dyDescent="0.25">
      <c r="A172" s="967" t="s">
        <v>2723</v>
      </c>
      <c r="B172" s="967"/>
      <c r="C172" s="968">
        <f t="shared" si="9"/>
        <v>0</v>
      </c>
      <c r="D172" s="968">
        <f t="array" ref="D172">SUM(IF('6. Class A Consumption Data'!F446:G446="B",'6. Class A Consumption Data'!F444:G444))</f>
        <v>0</v>
      </c>
      <c r="E172" s="968">
        <f t="array" ref="E172">SUM(IF('6. Class A Consumption Data'!H446:I446="B",'6. Class A Consumption Data'!H444:I444))</f>
        <v>0</v>
      </c>
      <c r="F172" s="968">
        <f t="array" ref="F172">SUM(IF('6. Class A Consumption Data'!J446:K446="B",'6. Class A Consumption Data'!J444:K444))</f>
        <v>0</v>
      </c>
      <c r="G172" s="968">
        <f t="array" ref="G172">SUM(IF('6. Class A Consumption Data'!L446:M446="B",'6. Class A Consumption Data'!L444:M444))</f>
        <v>0</v>
      </c>
      <c r="H172" s="968">
        <f t="array" ref="H172">SUM(IF('6. Class A Consumption Data'!N446:O446="B",'6. Class A Consumption Data'!N444:O444))</f>
        <v>0</v>
      </c>
      <c r="I172" s="963">
        <f t="shared" si="8"/>
        <v>0</v>
      </c>
      <c r="J172" s="970">
        <f t="shared" si="10"/>
        <v>0</v>
      </c>
      <c r="K172" s="960">
        <f t="shared" si="11"/>
        <v>0</v>
      </c>
    </row>
    <row r="173" spans="1:11" hidden="1" x14ac:dyDescent="0.25">
      <c r="A173" s="967" t="s">
        <v>2724</v>
      </c>
      <c r="B173" s="967"/>
      <c r="C173" s="968">
        <f t="shared" si="9"/>
        <v>0</v>
      </c>
      <c r="D173" s="968">
        <f t="array" ref="D173">SUM(IF('6. Class A Consumption Data'!F449:G449="B",'6. Class A Consumption Data'!F447:G447))</f>
        <v>0</v>
      </c>
      <c r="E173" s="968">
        <f t="array" ref="E173">SUM(IF('6. Class A Consumption Data'!H449:I449="B",'6. Class A Consumption Data'!H447:I447))</f>
        <v>0</v>
      </c>
      <c r="F173" s="968">
        <f t="array" ref="F173">SUM(IF('6. Class A Consumption Data'!J449:K449="B",'6. Class A Consumption Data'!J447:K447))</f>
        <v>0</v>
      </c>
      <c r="G173" s="968">
        <f t="array" ref="G173">SUM(IF('6. Class A Consumption Data'!L449:M449="B",'6. Class A Consumption Data'!L447:M447))</f>
        <v>0</v>
      </c>
      <c r="H173" s="968">
        <f t="array" ref="H173">SUM(IF('6. Class A Consumption Data'!N449:O449="B",'6. Class A Consumption Data'!N447:O447))</f>
        <v>0</v>
      </c>
      <c r="I173" s="963">
        <f t="shared" si="8"/>
        <v>0</v>
      </c>
      <c r="J173" s="970">
        <f t="shared" si="10"/>
        <v>0</v>
      </c>
      <c r="K173" s="960">
        <f t="shared" si="11"/>
        <v>0</v>
      </c>
    </row>
    <row r="174" spans="1:11" hidden="1" x14ac:dyDescent="0.25">
      <c r="A174" s="967" t="s">
        <v>2725</v>
      </c>
      <c r="B174" s="967"/>
      <c r="C174" s="968">
        <f t="shared" si="9"/>
        <v>0</v>
      </c>
      <c r="D174" s="968">
        <f t="array" ref="D174">SUM(IF('6. Class A Consumption Data'!F452:G452="B",'6. Class A Consumption Data'!F450:G450))</f>
        <v>0</v>
      </c>
      <c r="E174" s="968">
        <f t="array" ref="E174">SUM(IF('6. Class A Consumption Data'!H452:I452="B",'6. Class A Consumption Data'!H450:I450))</f>
        <v>0</v>
      </c>
      <c r="F174" s="968">
        <f t="array" ref="F174">SUM(IF('6. Class A Consumption Data'!J452:K452="B",'6. Class A Consumption Data'!J450:K450))</f>
        <v>0</v>
      </c>
      <c r="G174" s="968">
        <f t="array" ref="G174">SUM(IF('6. Class A Consumption Data'!L452:M452="B",'6. Class A Consumption Data'!L450:M450))</f>
        <v>0</v>
      </c>
      <c r="H174" s="968">
        <f t="array" ref="H174">SUM(IF('6. Class A Consumption Data'!N452:O452="B",'6. Class A Consumption Data'!N450:O450))</f>
        <v>0</v>
      </c>
      <c r="I174" s="963">
        <f t="shared" si="8"/>
        <v>0</v>
      </c>
      <c r="J174" s="970">
        <f t="shared" si="10"/>
        <v>0</v>
      </c>
      <c r="K174" s="960">
        <f t="shared" si="11"/>
        <v>0</v>
      </c>
    </row>
    <row r="175" spans="1:11" hidden="1" x14ac:dyDescent="0.25">
      <c r="A175" s="967" t="s">
        <v>2726</v>
      </c>
      <c r="B175" s="967"/>
      <c r="C175" s="968">
        <f t="shared" si="9"/>
        <v>0</v>
      </c>
      <c r="D175" s="968">
        <f t="array" ref="D175">SUM(IF('6. Class A Consumption Data'!F455:G455="B",'6. Class A Consumption Data'!F453:G453))</f>
        <v>0</v>
      </c>
      <c r="E175" s="968">
        <f t="array" ref="E175">SUM(IF('6. Class A Consumption Data'!H455:I455="B",'6. Class A Consumption Data'!H453:I453))</f>
        <v>0</v>
      </c>
      <c r="F175" s="968">
        <f t="array" ref="F175">SUM(IF('6. Class A Consumption Data'!J455:K455="B",'6. Class A Consumption Data'!J453:K453))</f>
        <v>0</v>
      </c>
      <c r="G175" s="968">
        <f t="array" ref="G175">SUM(IF('6. Class A Consumption Data'!L455:M455="B",'6. Class A Consumption Data'!L453:M453))</f>
        <v>0</v>
      </c>
      <c r="H175" s="968">
        <f t="array" ref="H175">SUM(IF('6. Class A Consumption Data'!N455:O455="B",'6. Class A Consumption Data'!N453:O453))</f>
        <v>0</v>
      </c>
      <c r="I175" s="963">
        <f t="shared" si="8"/>
        <v>0</v>
      </c>
      <c r="J175" s="970">
        <f t="shared" si="10"/>
        <v>0</v>
      </c>
      <c r="K175" s="960">
        <f t="shared" si="11"/>
        <v>0</v>
      </c>
    </row>
    <row r="176" spans="1:11" hidden="1" x14ac:dyDescent="0.25">
      <c r="A176" s="967" t="s">
        <v>2727</v>
      </c>
      <c r="B176" s="967"/>
      <c r="C176" s="968">
        <f t="shared" si="9"/>
        <v>0</v>
      </c>
      <c r="D176" s="968">
        <f t="array" ref="D176">SUM(IF('6. Class A Consumption Data'!F458:G458="B",'6. Class A Consumption Data'!F456:G456))</f>
        <v>0</v>
      </c>
      <c r="E176" s="968">
        <f t="array" ref="E176">SUM(IF('6. Class A Consumption Data'!H458:I458="B",'6. Class A Consumption Data'!H456:I456))</f>
        <v>0</v>
      </c>
      <c r="F176" s="968">
        <f t="array" ref="F176">SUM(IF('6. Class A Consumption Data'!J458:K458="B",'6. Class A Consumption Data'!J456:K456))</f>
        <v>0</v>
      </c>
      <c r="G176" s="968">
        <f t="array" ref="G176">SUM(IF('6. Class A Consumption Data'!L458:M458="B",'6. Class A Consumption Data'!L456:M456))</f>
        <v>0</v>
      </c>
      <c r="H176" s="968">
        <f t="array" ref="H176">SUM(IF('6. Class A Consumption Data'!N458:O458="B",'6. Class A Consumption Data'!N456:O456))</f>
        <v>0</v>
      </c>
      <c r="I176" s="963">
        <f t="shared" si="8"/>
        <v>0</v>
      </c>
      <c r="J176" s="970">
        <f t="shared" si="10"/>
        <v>0</v>
      </c>
      <c r="K176" s="960">
        <f t="shared" si="11"/>
        <v>0</v>
      </c>
    </row>
    <row r="177" spans="1:11" hidden="1" x14ac:dyDescent="0.25">
      <c r="A177" s="967" t="s">
        <v>2728</v>
      </c>
      <c r="B177" s="967"/>
      <c r="C177" s="968">
        <f t="shared" si="9"/>
        <v>0</v>
      </c>
      <c r="D177" s="968">
        <f t="array" ref="D177">SUM(IF('6. Class A Consumption Data'!F461:G461="B",'6. Class A Consumption Data'!F459:G459))</f>
        <v>0</v>
      </c>
      <c r="E177" s="968">
        <f t="array" ref="E177">SUM(IF('6. Class A Consumption Data'!H461:I461="B",'6. Class A Consumption Data'!H459:I459))</f>
        <v>0</v>
      </c>
      <c r="F177" s="968">
        <f t="array" ref="F177">SUM(IF('6. Class A Consumption Data'!J461:K461="B",'6. Class A Consumption Data'!J459:K459))</f>
        <v>0</v>
      </c>
      <c r="G177" s="968">
        <f t="array" ref="G177">SUM(IF('6. Class A Consumption Data'!L461:M461="B",'6. Class A Consumption Data'!L459:M459))</f>
        <v>0</v>
      </c>
      <c r="H177" s="968">
        <f t="array" ref="H177">SUM(IF('6. Class A Consumption Data'!N461:O461="B",'6. Class A Consumption Data'!N459:O459))</f>
        <v>0</v>
      </c>
      <c r="I177" s="963">
        <f t="shared" si="8"/>
        <v>0</v>
      </c>
      <c r="J177" s="970">
        <f t="shared" si="10"/>
        <v>0</v>
      </c>
      <c r="K177" s="960">
        <f t="shared" si="11"/>
        <v>0</v>
      </c>
    </row>
    <row r="178" spans="1:11" hidden="1" x14ac:dyDescent="0.25">
      <c r="A178" s="967" t="s">
        <v>2729</v>
      </c>
      <c r="B178" s="967"/>
      <c r="C178" s="968">
        <f t="shared" si="9"/>
        <v>0</v>
      </c>
      <c r="D178" s="968">
        <f t="array" ref="D178">SUM(IF('6. Class A Consumption Data'!F464:G464="B",'6. Class A Consumption Data'!F462:G462))</f>
        <v>0</v>
      </c>
      <c r="E178" s="968">
        <f t="array" ref="E178">SUM(IF('6. Class A Consumption Data'!H464:I464="B",'6. Class A Consumption Data'!H462:I462))</f>
        <v>0</v>
      </c>
      <c r="F178" s="968">
        <f t="array" ref="F178">SUM(IF('6. Class A Consumption Data'!J464:K464="B",'6. Class A Consumption Data'!J462:K462))</f>
        <v>0</v>
      </c>
      <c r="G178" s="968">
        <f t="array" ref="G178">SUM(IF('6. Class A Consumption Data'!L464:M464="B",'6. Class A Consumption Data'!L462:M462))</f>
        <v>0</v>
      </c>
      <c r="H178" s="968">
        <f t="array" ref="H178">SUM(IF('6. Class A Consumption Data'!N464:O464="B",'6. Class A Consumption Data'!N462:O462))</f>
        <v>0</v>
      </c>
      <c r="I178" s="963">
        <f t="shared" si="8"/>
        <v>0</v>
      </c>
      <c r="J178" s="970">
        <f t="shared" si="10"/>
        <v>0</v>
      </c>
      <c r="K178" s="960">
        <f t="shared" si="11"/>
        <v>0</v>
      </c>
    </row>
    <row r="179" spans="1:11" hidden="1" x14ac:dyDescent="0.25">
      <c r="A179" s="967" t="s">
        <v>2730</v>
      </c>
      <c r="B179" s="967"/>
      <c r="C179" s="968">
        <f t="shared" si="9"/>
        <v>0</v>
      </c>
      <c r="D179" s="968">
        <f t="array" ref="D179">SUM(IF('6. Class A Consumption Data'!F467:G467="B",'6. Class A Consumption Data'!F465:G465))</f>
        <v>0</v>
      </c>
      <c r="E179" s="968">
        <f t="array" ref="E179">SUM(IF('6. Class A Consumption Data'!H467:I467="B",'6. Class A Consumption Data'!H465:I465))</f>
        <v>0</v>
      </c>
      <c r="F179" s="968">
        <f t="array" ref="F179">SUM(IF('6. Class A Consumption Data'!J467:K467="B",'6. Class A Consumption Data'!J465:K465))</f>
        <v>0</v>
      </c>
      <c r="G179" s="968">
        <f t="array" ref="G179">SUM(IF('6. Class A Consumption Data'!L467:M467="B",'6. Class A Consumption Data'!L465:M465))</f>
        <v>0</v>
      </c>
      <c r="H179" s="968">
        <f t="array" ref="H179">SUM(IF('6. Class A Consumption Data'!N467:O467="B",'6. Class A Consumption Data'!N465:O465))</f>
        <v>0</v>
      </c>
      <c r="I179" s="963">
        <f t="shared" si="8"/>
        <v>0</v>
      </c>
      <c r="J179" s="970">
        <f t="shared" si="10"/>
        <v>0</v>
      </c>
      <c r="K179" s="960">
        <f t="shared" si="11"/>
        <v>0</v>
      </c>
    </row>
    <row r="180" spans="1:11" hidden="1" x14ac:dyDescent="0.25">
      <c r="A180" s="967" t="s">
        <v>2731</v>
      </c>
      <c r="B180" s="967"/>
      <c r="C180" s="968">
        <f t="shared" si="9"/>
        <v>0</v>
      </c>
      <c r="D180" s="968">
        <f t="array" ref="D180">SUM(IF('6. Class A Consumption Data'!F470:G470="B",'6. Class A Consumption Data'!F468:G468))</f>
        <v>0</v>
      </c>
      <c r="E180" s="968">
        <f t="array" ref="E180">SUM(IF('6. Class A Consumption Data'!H470:I470="B",'6. Class A Consumption Data'!H468:I468))</f>
        <v>0</v>
      </c>
      <c r="F180" s="968">
        <f t="array" ref="F180">SUM(IF('6. Class A Consumption Data'!J470:K470="B",'6. Class A Consumption Data'!J468:K468))</f>
        <v>0</v>
      </c>
      <c r="G180" s="968">
        <f t="array" ref="G180">SUM(IF('6. Class A Consumption Data'!L470:M470="B",'6. Class A Consumption Data'!L468:M468))</f>
        <v>0</v>
      </c>
      <c r="H180" s="968">
        <f t="array" ref="H180">SUM(IF('6. Class A Consumption Data'!N470:O470="B",'6. Class A Consumption Data'!N468:O468))</f>
        <v>0</v>
      </c>
      <c r="I180" s="963">
        <f t="shared" si="8"/>
        <v>0</v>
      </c>
      <c r="J180" s="970">
        <f t="shared" si="10"/>
        <v>0</v>
      </c>
      <c r="K180" s="960">
        <f t="shared" si="11"/>
        <v>0</v>
      </c>
    </row>
    <row r="181" spans="1:11" hidden="1" x14ac:dyDescent="0.25">
      <c r="A181" s="967" t="s">
        <v>2732</v>
      </c>
      <c r="B181" s="967"/>
      <c r="C181" s="968">
        <f t="shared" si="9"/>
        <v>0</v>
      </c>
      <c r="D181" s="968">
        <f t="array" ref="D181">SUM(IF('6. Class A Consumption Data'!F473:G473="B",'6. Class A Consumption Data'!F471:G471))</f>
        <v>0</v>
      </c>
      <c r="E181" s="968">
        <f t="array" ref="E181">SUM(IF('6. Class A Consumption Data'!H473:I473="B",'6. Class A Consumption Data'!H471:I471))</f>
        <v>0</v>
      </c>
      <c r="F181" s="968">
        <f t="array" ref="F181">SUM(IF('6. Class A Consumption Data'!J473:K473="B",'6. Class A Consumption Data'!J471:K471))</f>
        <v>0</v>
      </c>
      <c r="G181" s="968">
        <f t="array" ref="G181">SUM(IF('6. Class A Consumption Data'!L473:M473="B",'6. Class A Consumption Data'!L471:M471))</f>
        <v>0</v>
      </c>
      <c r="H181" s="968">
        <f t="array" ref="H181">SUM(IF('6. Class A Consumption Data'!N473:O473="B",'6. Class A Consumption Data'!N471:O471))</f>
        <v>0</v>
      </c>
      <c r="I181" s="963">
        <f t="shared" si="8"/>
        <v>0</v>
      </c>
      <c r="J181" s="970">
        <f t="shared" si="10"/>
        <v>0</v>
      </c>
      <c r="K181" s="960">
        <f t="shared" si="11"/>
        <v>0</v>
      </c>
    </row>
    <row r="182" spans="1:11" hidden="1" x14ac:dyDescent="0.25">
      <c r="A182" s="967" t="s">
        <v>2733</v>
      </c>
      <c r="B182" s="967"/>
      <c r="C182" s="968">
        <f t="shared" si="9"/>
        <v>0</v>
      </c>
      <c r="D182" s="968">
        <f t="array" ref="D182">SUM(IF('6. Class A Consumption Data'!F476:G476="B",'6. Class A Consumption Data'!F474:G474))</f>
        <v>0</v>
      </c>
      <c r="E182" s="968">
        <f t="array" ref="E182">SUM(IF('6. Class A Consumption Data'!H476:I476="B",'6. Class A Consumption Data'!H474:I474))</f>
        <v>0</v>
      </c>
      <c r="F182" s="968">
        <f t="array" ref="F182">SUM(IF('6. Class A Consumption Data'!J476:K476="B",'6. Class A Consumption Data'!J474:K474))</f>
        <v>0</v>
      </c>
      <c r="G182" s="968">
        <f t="array" ref="G182">SUM(IF('6. Class A Consumption Data'!L476:M476="B",'6. Class A Consumption Data'!L474:M474))</f>
        <v>0</v>
      </c>
      <c r="H182" s="968">
        <f t="array" ref="H182">SUM(IF('6. Class A Consumption Data'!N476:O476="B",'6. Class A Consumption Data'!N474:O474))</f>
        <v>0</v>
      </c>
      <c r="I182" s="963">
        <f t="shared" si="8"/>
        <v>0</v>
      </c>
      <c r="J182" s="970">
        <f t="shared" si="10"/>
        <v>0</v>
      </c>
      <c r="K182" s="960">
        <f t="shared" si="11"/>
        <v>0</v>
      </c>
    </row>
    <row r="183" spans="1:11" hidden="1" x14ac:dyDescent="0.25">
      <c r="A183" s="961" t="s">
        <v>2734</v>
      </c>
      <c r="B183" s="961"/>
      <c r="C183" s="962">
        <f t="shared" si="9"/>
        <v>0</v>
      </c>
      <c r="D183" s="962">
        <f t="array" ref="D183">SUM(IF('6. Class A Consumption Data'!F479:G479="B",'6. Class A Consumption Data'!F477:G477))</f>
        <v>0</v>
      </c>
      <c r="E183" s="962">
        <f t="array" ref="E183">SUM(IF('6. Class A Consumption Data'!H479:I479="B",'6. Class A Consumption Data'!H477:I477))</f>
        <v>0</v>
      </c>
      <c r="F183" s="962">
        <f t="array" ref="F183">SUM(IF('6. Class A Consumption Data'!J479:K479="B",'6. Class A Consumption Data'!J477:K477))</f>
        <v>0</v>
      </c>
      <c r="G183" s="962">
        <f t="array" ref="G183">SUM(IF('6. Class A Consumption Data'!L479:M479="B",'6. Class A Consumption Data'!L477:M477))</f>
        <v>0</v>
      </c>
      <c r="H183" s="962">
        <f t="array" ref="H183">SUM(IF('6. Class A Consumption Data'!N479:O479="B",'6. Class A Consumption Data'!N477:O477))</f>
        <v>0</v>
      </c>
      <c r="I183" s="965">
        <f t="shared" si="8"/>
        <v>0</v>
      </c>
      <c r="J183" s="964">
        <f t="shared" si="10"/>
        <v>0</v>
      </c>
      <c r="K183" s="960">
        <f t="shared" si="11"/>
        <v>0</v>
      </c>
    </row>
    <row r="184" spans="1:11" x14ac:dyDescent="0.25">
      <c r="A184" s="967" t="s">
        <v>51</v>
      </c>
      <c r="B184" s="967"/>
      <c r="C184" s="968">
        <f>SUM(C34:C183)</f>
        <v>2274430.9400000004</v>
      </c>
      <c r="D184" s="968">
        <f>SUM(D34:D183)</f>
        <v>2274430.9400000004</v>
      </c>
      <c r="E184" s="968">
        <f>SUM(E34:E183)</f>
        <v>0</v>
      </c>
      <c r="F184" s="968">
        <f>SUM(F34:F183)</f>
        <v>0</v>
      </c>
      <c r="G184" s="968">
        <f>SUM(G34:G45)</f>
        <v>0</v>
      </c>
      <c r="H184" s="968">
        <f>SUM(H34:H45)</f>
        <v>0</v>
      </c>
      <c r="I184" s="963">
        <f>SUM(I34:I183)</f>
        <v>1</v>
      </c>
      <c r="J184" s="960">
        <f>SUM(J34:J183)</f>
        <v>4498.7438440862052</v>
      </c>
      <c r="K184" s="971"/>
    </row>
  </sheetData>
  <sheetProtection algorithmName="SHA-512" hashValue="ZjrCUAwlifaBCbmjZIkNlRCOT0iCQCbpOm8UUbC+UhPwdt2V6MCZLsQYIYlIAc4j/ROON2S+dSQ3Hj6VX0I3IA==" saltValue="7ORpLYSyos+hu5nvdbW3Tg==" spinCount="100000" sheet="1" objects="1" scenarios="1"/>
  <mergeCells count="5">
    <mergeCell ref="A14:F14"/>
    <mergeCell ref="A25:C25"/>
    <mergeCell ref="A31:E31"/>
    <mergeCell ref="A18:F18"/>
    <mergeCell ref="C16:I16"/>
  </mergeCells>
  <pageMargins left="0.7" right="0.7" top="0.75" bottom="0.75" header="0.3" footer="0.3"/>
  <pageSetup orientation="portrait" verticalDpi="597"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Z30"/>
  <sheetViews>
    <sheetView showGridLines="0" topLeftCell="B13" zoomScaleNormal="100" workbookViewId="0">
      <selection activeCell="B16" sqref="B16"/>
    </sheetView>
  </sheetViews>
  <sheetFormatPr defaultColWidth="9.140625" defaultRowHeight="15" x14ac:dyDescent="0.25"/>
  <cols>
    <col min="1" max="1" width="56" style="432" bestFit="1" customWidth="1"/>
    <col min="2" max="2" width="13.7109375" style="432" customWidth="1"/>
    <col min="3" max="3" width="30.28515625" style="432" customWidth="1"/>
    <col min="4" max="4" width="20.7109375" style="432" hidden="1" customWidth="1"/>
    <col min="5" max="5" width="29.140625" style="432" customWidth="1"/>
    <col min="6" max="6" width="18.5703125" style="432" hidden="1" customWidth="1"/>
    <col min="7" max="7" width="31.85546875" style="432" customWidth="1"/>
    <col min="8" max="8" width="18.5703125" style="432" hidden="1" customWidth="1"/>
    <col min="9" max="9" width="41.7109375" style="432" customWidth="1"/>
    <col min="10" max="10" width="24.85546875" style="432" hidden="1" customWidth="1"/>
    <col min="11" max="11" width="18.5703125" style="432" customWidth="1"/>
    <col min="12" max="12" width="18.85546875" style="432" bestFit="1" customWidth="1"/>
    <col min="13" max="13" width="18.28515625" style="432" customWidth="1"/>
    <col min="14" max="14" width="9.42578125" style="496" customWidth="1"/>
    <col min="15" max="16384" width="9.140625" style="432"/>
  </cols>
  <sheetData>
    <row r="1" spans="1:26" ht="21" customHeight="1" x14ac:dyDescent="0.25">
      <c r="A1" s="1026"/>
      <c r="B1" s="1026"/>
      <c r="C1" s="1026"/>
      <c r="D1" s="1026"/>
      <c r="E1" s="1026"/>
      <c r="F1" s="1026"/>
      <c r="G1" s="1026"/>
      <c r="H1" s="1026"/>
      <c r="I1" s="1026"/>
      <c r="J1" s="1026"/>
      <c r="K1" s="1026"/>
      <c r="L1" s="1026"/>
      <c r="M1" s="1026"/>
      <c r="N1" s="1529"/>
      <c r="O1" s="1026"/>
      <c r="P1" s="1026"/>
      <c r="Q1" s="1026"/>
      <c r="R1" s="1026"/>
      <c r="S1" s="1026"/>
      <c r="T1" s="1026"/>
      <c r="U1" s="1026"/>
      <c r="V1" s="1026"/>
      <c r="W1" s="1026"/>
      <c r="X1" s="1026"/>
      <c r="Y1" s="1026"/>
      <c r="Z1" s="1026"/>
    </row>
    <row r="2" spans="1:26" ht="10.5" customHeight="1" x14ac:dyDescent="0.25">
      <c r="A2" s="1026"/>
      <c r="B2" s="844" t="b">
        <v>1</v>
      </c>
      <c r="C2" s="1026"/>
      <c r="D2" s="1026"/>
      <c r="E2" s="1026"/>
      <c r="F2" s="1026"/>
      <c r="G2" s="1026"/>
      <c r="H2" s="1026"/>
      <c r="I2" s="1026"/>
      <c r="J2" s="1026"/>
      <c r="K2" s="1026"/>
      <c r="L2" s="1026"/>
      <c r="M2" s="1026"/>
      <c r="N2" s="1529"/>
      <c r="O2" s="1026"/>
      <c r="P2" s="1026"/>
      <c r="Q2" s="1026"/>
      <c r="R2" s="1026"/>
      <c r="S2" s="1026"/>
      <c r="T2" s="1026"/>
      <c r="U2" s="1026"/>
      <c r="V2" s="1026"/>
      <c r="W2" s="1026"/>
      <c r="X2" s="1026"/>
      <c r="Y2" s="1026"/>
      <c r="Z2" s="1026"/>
    </row>
    <row r="3" spans="1:26" ht="10.5" customHeight="1" x14ac:dyDescent="0.25">
      <c r="A3" s="1026"/>
      <c r="B3" s="1026"/>
      <c r="C3" s="1026"/>
      <c r="D3" s="1026"/>
      <c r="E3" s="1026"/>
      <c r="F3" s="1026"/>
      <c r="G3" s="1026"/>
      <c r="H3" s="1026"/>
      <c r="I3" s="1026"/>
      <c r="J3" s="1026"/>
      <c r="K3" s="1026"/>
      <c r="L3" s="1026"/>
      <c r="M3" s="1026"/>
      <c r="N3" s="1529"/>
      <c r="O3" s="1026"/>
      <c r="P3" s="1026"/>
      <c r="Q3" s="1026"/>
      <c r="R3" s="1026"/>
      <c r="S3" s="1026"/>
      <c r="T3" s="1026"/>
      <c r="U3" s="1026"/>
      <c r="V3" s="1026"/>
      <c r="W3" s="1026"/>
      <c r="X3" s="1026"/>
      <c r="Y3" s="1026"/>
      <c r="Z3" s="1026"/>
    </row>
    <row r="4" spans="1:26" ht="10.5" customHeight="1" x14ac:dyDescent="0.25">
      <c r="A4" s="1026"/>
      <c r="B4" s="1026"/>
      <c r="C4" s="1026"/>
      <c r="D4" s="1026"/>
      <c r="E4" s="1026"/>
      <c r="F4" s="1026"/>
      <c r="G4" s="1026"/>
      <c r="H4" s="1026"/>
      <c r="I4" s="1026"/>
      <c r="J4" s="1026"/>
      <c r="K4" s="1026"/>
      <c r="L4" s="1026"/>
      <c r="M4" s="1026"/>
      <c r="N4" s="1529"/>
      <c r="O4" s="1026"/>
      <c r="P4" s="1026"/>
      <c r="Q4" s="1026"/>
      <c r="R4" s="1026"/>
      <c r="S4" s="1026"/>
      <c r="T4" s="1026"/>
      <c r="U4" s="1026"/>
      <c r="V4" s="1026"/>
      <c r="W4" s="1026"/>
      <c r="X4" s="1026"/>
      <c r="Y4" s="1026"/>
      <c r="Z4" s="1026"/>
    </row>
    <row r="5" spans="1:26" ht="10.5" customHeight="1" x14ac:dyDescent="0.25">
      <c r="A5" s="1026"/>
      <c r="B5" s="1026"/>
      <c r="C5" s="1026"/>
      <c r="D5" s="1026"/>
      <c r="E5" s="1026"/>
      <c r="F5" s="1026"/>
      <c r="G5" s="1026"/>
      <c r="H5" s="1026"/>
      <c r="I5" s="1026"/>
      <c r="J5" s="1026"/>
      <c r="K5" s="1026"/>
      <c r="L5" s="1026"/>
      <c r="M5" s="1026"/>
      <c r="N5" s="1529"/>
      <c r="O5" s="1026"/>
      <c r="P5" s="1026"/>
      <c r="Q5" s="1026"/>
      <c r="R5" s="1026"/>
      <c r="S5" s="1026"/>
      <c r="T5" s="1026"/>
      <c r="U5" s="1026"/>
      <c r="V5" s="1026"/>
      <c r="W5" s="1026"/>
      <c r="X5" s="1026"/>
      <c r="Y5" s="1026"/>
      <c r="Z5" s="1026"/>
    </row>
    <row r="6" spans="1:26" ht="10.5" customHeight="1" x14ac:dyDescent="0.25">
      <c r="A6" s="1026"/>
      <c r="B6" s="1026" t="s">
        <v>51</v>
      </c>
      <c r="C6" s="1026"/>
      <c r="D6" s="1026"/>
      <c r="E6" s="1026"/>
      <c r="F6" s="1026"/>
      <c r="G6" s="1026"/>
      <c r="H6" s="1026"/>
      <c r="I6" s="1026"/>
      <c r="J6" s="1026"/>
      <c r="K6" s="1026"/>
      <c r="L6" s="1026"/>
      <c r="M6" s="1026"/>
      <c r="N6" s="1529"/>
      <c r="O6" s="1026"/>
      <c r="P6" s="1026"/>
      <c r="Q6" s="1026"/>
      <c r="R6" s="1026"/>
      <c r="S6" s="1026"/>
      <c r="T6" s="1026"/>
      <c r="U6" s="1026"/>
      <c r="V6" s="1026"/>
      <c r="W6" s="1026"/>
      <c r="X6" s="1026"/>
      <c r="Y6" s="1026"/>
      <c r="Z6" s="1026"/>
    </row>
    <row r="7" spans="1:26" ht="10.5" customHeight="1" x14ac:dyDescent="0.25">
      <c r="A7" s="1026"/>
      <c r="B7" s="1026"/>
      <c r="C7" s="1026"/>
      <c r="D7" s="1026"/>
      <c r="E7" s="1026"/>
      <c r="F7" s="1026"/>
      <c r="G7" s="1026"/>
      <c r="H7" s="1026"/>
      <c r="I7" s="1026"/>
      <c r="J7" s="1026"/>
      <c r="K7" s="1026"/>
      <c r="L7" s="1026"/>
      <c r="M7" s="1026"/>
      <c r="N7" s="1529"/>
      <c r="O7" s="1026"/>
      <c r="P7" s="1026"/>
      <c r="Q7" s="1026"/>
      <c r="R7" s="1026"/>
      <c r="S7" s="1026"/>
      <c r="T7" s="1026"/>
      <c r="U7" s="1026"/>
      <c r="V7" s="1026"/>
      <c r="W7" s="1026"/>
      <c r="X7" s="1026"/>
      <c r="Y7" s="1026"/>
      <c r="Z7" s="1026"/>
    </row>
    <row r="8" spans="1:26" ht="10.5" customHeight="1" x14ac:dyDescent="0.25">
      <c r="A8" s="1026"/>
      <c r="B8" s="1026"/>
      <c r="C8" s="1026"/>
      <c r="D8" s="1026"/>
      <c r="E8" s="1026"/>
      <c r="F8" s="1026"/>
      <c r="G8" s="1026"/>
      <c r="H8" s="1026"/>
      <c r="I8" s="1026"/>
      <c r="J8" s="1026"/>
      <c r="K8" s="1026"/>
      <c r="L8" s="1026"/>
      <c r="M8" s="1026"/>
      <c r="N8" s="1529"/>
      <c r="O8" s="1026"/>
      <c r="P8" s="1026"/>
      <c r="Q8" s="1026"/>
      <c r="R8" s="1026"/>
      <c r="S8" s="1026"/>
      <c r="T8" s="1026"/>
      <c r="U8" s="1026"/>
      <c r="V8" s="1026"/>
      <c r="W8" s="1026"/>
      <c r="X8" s="1026"/>
      <c r="Y8" s="1026"/>
      <c r="Z8" s="1026"/>
    </row>
    <row r="9" spans="1:26" ht="10.5" customHeight="1" x14ac:dyDescent="0.25">
      <c r="A9" s="1026"/>
      <c r="B9" s="1026"/>
      <c r="C9" s="1026"/>
      <c r="D9" s="1026"/>
      <c r="E9" s="1026"/>
      <c r="F9" s="1026"/>
      <c r="G9" s="1026"/>
      <c r="H9" s="1026"/>
      <c r="I9" s="1026"/>
      <c r="J9" s="1026"/>
      <c r="K9" s="1026"/>
      <c r="L9" s="1026"/>
      <c r="M9" s="1026"/>
      <c r="N9" s="1529"/>
      <c r="O9" s="1026"/>
      <c r="P9" s="1026"/>
      <c r="Q9" s="1026"/>
      <c r="R9" s="1026"/>
      <c r="S9" s="1026"/>
      <c r="T9" s="1026"/>
      <c r="U9" s="1026"/>
      <c r="V9" s="1026"/>
      <c r="W9" s="1026"/>
      <c r="X9" s="1026"/>
      <c r="Y9" s="1026"/>
      <c r="Z9" s="1026"/>
    </row>
    <row r="10" spans="1:26" ht="9.75" customHeight="1" x14ac:dyDescent="0.25">
      <c r="A10" s="1026"/>
      <c r="B10" s="1026"/>
      <c r="C10" s="1026"/>
      <c r="D10" s="1026"/>
      <c r="E10" s="1026"/>
      <c r="F10" s="1026"/>
      <c r="G10" s="1026"/>
      <c r="H10" s="1026"/>
      <c r="I10" s="1026"/>
      <c r="J10" s="1026"/>
      <c r="K10" s="1026"/>
      <c r="L10" s="1026"/>
      <c r="M10" s="1026"/>
      <c r="N10" s="1529"/>
      <c r="O10" s="1026"/>
      <c r="P10" s="1026"/>
      <c r="Q10" s="1026"/>
      <c r="R10" s="1026"/>
      <c r="S10" s="1026"/>
      <c r="T10" s="1026"/>
      <c r="U10" s="1026"/>
      <c r="V10" s="1026"/>
      <c r="W10" s="1026"/>
      <c r="X10" s="1026"/>
      <c r="Y10" s="1026"/>
      <c r="Z10" s="1026"/>
    </row>
    <row r="11" spans="1:26" ht="63.75" customHeight="1" x14ac:dyDescent="0.25">
      <c r="A11" s="1026"/>
      <c r="B11" s="1026"/>
      <c r="C11" s="1026"/>
      <c r="D11" s="1026"/>
      <c r="E11" s="1026"/>
      <c r="F11" s="1026"/>
      <c r="G11" s="1026"/>
      <c r="H11" s="1026"/>
      <c r="I11" s="1026"/>
      <c r="J11" s="1026"/>
      <c r="K11" s="1026"/>
      <c r="L11" s="1026"/>
      <c r="M11" s="1026"/>
      <c r="N11" s="1529"/>
      <c r="O11" s="1026"/>
      <c r="P11" s="1026"/>
      <c r="Q11" s="1026"/>
      <c r="R11" s="1026"/>
      <c r="S11" s="1026"/>
      <c r="T11" s="1026"/>
      <c r="U11" s="1026"/>
      <c r="V11" s="1026"/>
      <c r="W11" s="1026"/>
      <c r="X11" s="1026"/>
      <c r="Y11" s="1026"/>
      <c r="Z11" s="1026"/>
    </row>
    <row r="12" spans="1:26" ht="129.75" customHeight="1" x14ac:dyDescent="0.25">
      <c r="A12" s="1792" t="s">
        <v>3030</v>
      </c>
      <c r="B12" s="1793"/>
      <c r="C12" s="1793"/>
      <c r="D12" s="1793"/>
      <c r="E12" s="1793"/>
      <c r="F12" s="1793"/>
      <c r="G12" s="1793"/>
      <c r="H12" s="875"/>
      <c r="I12" s="1794" t="s">
        <v>1614</v>
      </c>
      <c r="J12" s="1795"/>
      <c r="K12" s="868">
        <v>12</v>
      </c>
      <c r="L12" s="875"/>
      <c r="M12" s="1026"/>
      <c r="N12" s="1529"/>
      <c r="O12" s="1026"/>
      <c r="P12" s="1026"/>
      <c r="Q12" s="1026"/>
      <c r="R12" s="1026"/>
      <c r="S12" s="1026"/>
      <c r="T12" s="1026"/>
      <c r="U12" s="1026"/>
      <c r="V12" s="1026"/>
      <c r="W12" s="1026"/>
      <c r="X12" s="1026"/>
      <c r="Y12" s="1026"/>
      <c r="Z12" s="1026"/>
    </row>
    <row r="13" spans="1:26" ht="45" customHeight="1" x14ac:dyDescent="0.25">
      <c r="A13" s="1026"/>
      <c r="B13" s="1026"/>
      <c r="C13" s="1026"/>
      <c r="D13" s="1026"/>
      <c r="E13" s="1026"/>
      <c r="F13" s="1026"/>
      <c r="G13" s="1026"/>
      <c r="H13" s="1026"/>
      <c r="I13" s="1796" t="s">
        <v>1615</v>
      </c>
      <c r="J13" s="1796"/>
      <c r="K13" s="1345">
        <v>12</v>
      </c>
      <c r="L13" s="1797" t="str">
        <f>IF(K13&gt;0, "Rate Rider Recovery to be used below", "If no rate rider recovery period is proposed then the default recovery period of 12 months will be used")</f>
        <v>Rate Rider Recovery to be used below</v>
      </c>
      <c r="M13" s="1787"/>
      <c r="N13" s="1529"/>
      <c r="O13" s="1026"/>
      <c r="P13" s="1026"/>
      <c r="Q13" s="1026"/>
      <c r="R13" s="1026"/>
      <c r="S13" s="1026"/>
      <c r="T13" s="1026"/>
      <c r="U13" s="1026"/>
      <c r="V13" s="1026"/>
      <c r="W13" s="1026"/>
      <c r="X13" s="1026"/>
      <c r="Y13" s="1026"/>
      <c r="Z13" s="1026"/>
    </row>
    <row r="14" spans="1:26" s="402" customFormat="1" ht="66" customHeight="1" x14ac:dyDescent="0.25">
      <c r="A14" s="862"/>
      <c r="B14" s="863"/>
      <c r="C14" s="1527" t="s">
        <v>6054</v>
      </c>
      <c r="D14" s="1527"/>
      <c r="E14" s="1527" t="s">
        <v>6055</v>
      </c>
      <c r="F14" s="1527"/>
      <c r="G14" s="1527" t="s">
        <v>6056</v>
      </c>
      <c r="H14" s="1527"/>
      <c r="I14" s="1527" t="s">
        <v>2909</v>
      </c>
      <c r="J14" s="864"/>
      <c r="K14" s="865" t="s">
        <v>1811</v>
      </c>
      <c r="L14" s="1527" t="s">
        <v>2342</v>
      </c>
      <c r="M14" s="865" t="s">
        <v>1813</v>
      </c>
      <c r="N14" s="1528"/>
      <c r="O14" s="862"/>
      <c r="P14" s="862"/>
      <c r="Q14" s="862"/>
      <c r="R14" s="862"/>
      <c r="S14" s="862"/>
      <c r="T14" s="862"/>
      <c r="U14" s="862"/>
      <c r="V14" s="862"/>
      <c r="W14" s="862"/>
      <c r="X14" s="862"/>
      <c r="Y14" s="862"/>
      <c r="Z14" s="862"/>
    </row>
    <row r="15" spans="1:26" s="496" customFormat="1" ht="15.75" customHeight="1" x14ac:dyDescent="0.25">
      <c r="A15" s="1529"/>
      <c r="B15" s="1529"/>
      <c r="C15" s="866" t="s">
        <v>158</v>
      </c>
      <c r="D15" s="866" t="s">
        <v>159</v>
      </c>
      <c r="E15" s="866" t="s">
        <v>158</v>
      </c>
      <c r="F15" s="866" t="s">
        <v>159</v>
      </c>
      <c r="G15" s="866" t="s">
        <v>158</v>
      </c>
      <c r="H15" s="866" t="s">
        <v>159</v>
      </c>
      <c r="I15" s="866" t="s">
        <v>158</v>
      </c>
      <c r="J15" s="866" t="s">
        <v>159</v>
      </c>
      <c r="K15" s="1529"/>
      <c r="L15" s="1529"/>
      <c r="M15" s="1529"/>
      <c r="N15" s="1529"/>
      <c r="O15" s="1529"/>
      <c r="P15" s="1529"/>
      <c r="Q15" s="1529"/>
      <c r="R15" s="1529"/>
      <c r="S15" s="1529"/>
      <c r="T15" s="1529"/>
      <c r="U15" s="1529"/>
      <c r="V15" s="1529"/>
      <c r="W15" s="1529"/>
      <c r="X15" s="1529"/>
      <c r="Y15" s="1529"/>
      <c r="Z15" s="1529"/>
    </row>
    <row r="16" spans="1:26" x14ac:dyDescent="0.25">
      <c r="A16" s="1026"/>
      <c r="B16" s="1026"/>
      <c r="C16" s="1026"/>
      <c r="D16" s="1026"/>
      <c r="E16" s="1026"/>
      <c r="F16" s="1026"/>
      <c r="G16" s="1026"/>
      <c r="H16" s="1026"/>
      <c r="I16" s="1026"/>
      <c r="J16" s="1026"/>
      <c r="K16" s="1026"/>
      <c r="L16" s="1026"/>
      <c r="M16" s="1026"/>
      <c r="N16" s="1529"/>
      <c r="O16" s="1026"/>
      <c r="P16" s="1026"/>
      <c r="Q16" s="1026"/>
      <c r="R16" s="1026"/>
      <c r="S16" s="1026"/>
      <c r="T16" s="1026"/>
      <c r="U16" s="1026"/>
      <c r="V16" s="1026"/>
      <c r="W16" s="1026"/>
      <c r="X16" s="1026"/>
      <c r="Y16" s="1026"/>
      <c r="Z16" s="1026"/>
    </row>
    <row r="17" spans="1:26" ht="15.75" customHeight="1" x14ac:dyDescent="0.25">
      <c r="A17" s="1525" t="s">
        <v>438</v>
      </c>
      <c r="B17" s="867" t="s">
        <v>158</v>
      </c>
      <c r="C17" s="1355">
        <v>1206252</v>
      </c>
      <c r="D17" s="1355">
        <v>0</v>
      </c>
      <c r="E17" s="1512">
        <f t="array" ref="E17">SUM(IF('6. Class A Consumption Data'!D492:D791=A17,'6. Class A Consumption Data'!F492:F791))</f>
        <v>0</v>
      </c>
      <c r="F17" s="1355"/>
      <c r="G17" s="1512">
        <f t="array" ref="G17">SUM(IF('6. Class A Consumption Data'!D30:D479=A17,'6. Class A Consumption Data'!F30:G479))</f>
        <v>0</v>
      </c>
      <c r="H17" s="1026"/>
      <c r="I17" s="1355">
        <f t="shared" ref="I17:I22" si="0">ROUND((C17-E17-G17),0)</f>
        <v>1206252</v>
      </c>
      <c r="J17" s="1355">
        <f t="shared" ref="J17:J22" si="1">(D17-F17-H17)</f>
        <v>0</v>
      </c>
      <c r="K17" s="1485">
        <f>(I17/I23)</f>
        <v>3.2978744636263845E-2</v>
      </c>
      <c r="L17" s="1504">
        <f t="shared" ref="L17:L22" si="2">ROUND((72347.3184*K17),0)</f>
        <v>2386</v>
      </c>
      <c r="M17" s="1505">
        <f>ROUND(IF(ISERROR(L17/I17),0,IF(OR(ISBLANK(K13), OR(K13=0, K13="")), L17/I17/(K12/12), L17/I17/(K13/12))),4)</f>
        <v>2E-3</v>
      </c>
      <c r="N17" s="1529" t="s">
        <v>158</v>
      </c>
      <c r="O17" s="1026"/>
      <c r="P17" s="1026"/>
      <c r="Q17" s="1026"/>
      <c r="R17" s="1026"/>
      <c r="S17" s="1026"/>
      <c r="T17" s="1026"/>
      <c r="U17" s="1026"/>
      <c r="V17" s="1026"/>
      <c r="W17" s="1026"/>
      <c r="X17" s="1026"/>
      <c r="Y17" s="1026"/>
      <c r="Z17" s="1026"/>
    </row>
    <row r="18" spans="1:26" ht="15.75" customHeight="1" x14ac:dyDescent="0.25">
      <c r="A18" s="1525" t="s">
        <v>3214</v>
      </c>
      <c r="B18" s="867" t="s">
        <v>158</v>
      </c>
      <c r="C18" s="1355">
        <v>2980954</v>
      </c>
      <c r="D18" s="1355">
        <v>0</v>
      </c>
      <c r="E18" s="1512">
        <f t="array" ref="E18">SUM(IF('6. Class A Consumption Data'!D492:D791=A18,'6. Class A Consumption Data'!F492:F791))</f>
        <v>0</v>
      </c>
      <c r="F18" s="1355"/>
      <c r="G18" s="1512">
        <f t="array" ref="G18">SUM(IF('6. Class A Consumption Data'!D30:D479=A18,'6. Class A Consumption Data'!F30:G479))</f>
        <v>0</v>
      </c>
      <c r="H18" s="1026"/>
      <c r="I18" s="1355">
        <f t="shared" si="0"/>
        <v>2980954</v>
      </c>
      <c r="J18" s="1355">
        <f t="shared" si="1"/>
        <v>0</v>
      </c>
      <c r="K18" s="1485">
        <f>(I18/I23)</f>
        <v>8.1498825070092526E-2</v>
      </c>
      <c r="L18" s="1504">
        <f t="shared" si="2"/>
        <v>5896</v>
      </c>
      <c r="M18" s="1505">
        <f>ROUND(IF(ISERROR(L18/I18),0,IF(OR(ISBLANK(K13), OR(K13=0, K13="")), L18/I18/(K12/12), L18/I18/(K13/12))),4)</f>
        <v>2E-3</v>
      </c>
      <c r="N18" s="1529" t="s">
        <v>158</v>
      </c>
      <c r="O18" s="1026"/>
      <c r="P18" s="1026"/>
      <c r="Q18" s="1026"/>
      <c r="R18" s="1026"/>
      <c r="S18" s="1026"/>
      <c r="T18" s="1026"/>
      <c r="U18" s="1026"/>
      <c r="V18" s="1026"/>
      <c r="W18" s="1026"/>
      <c r="X18" s="1026"/>
      <c r="Y18" s="1026"/>
      <c r="Z18" s="1026"/>
    </row>
    <row r="19" spans="1:26" ht="15.75" customHeight="1" x14ac:dyDescent="0.25">
      <c r="A19" s="1525" t="s">
        <v>4819</v>
      </c>
      <c r="B19" s="867" t="s">
        <v>158</v>
      </c>
      <c r="C19" s="1355">
        <v>36238163</v>
      </c>
      <c r="D19" s="1355">
        <v>105963</v>
      </c>
      <c r="E19" s="1512">
        <f t="array" ref="E19">SUM(IF('6. Class A Consumption Data'!D492:D791=A19,'6. Class A Consumption Data'!F492:F791))</f>
        <v>0</v>
      </c>
      <c r="F19" s="1355"/>
      <c r="G19" s="1512">
        <f t="array" ref="G19">SUM(IF('6. Class A Consumption Data'!D30:D479=A19,'6. Class A Consumption Data'!F30:G479))</f>
        <v>4468026.9400000004</v>
      </c>
      <c r="H19" s="1026"/>
      <c r="I19" s="1355">
        <f t="shared" si="0"/>
        <v>31770136</v>
      </c>
      <c r="J19" s="1355">
        <f t="shared" si="1"/>
        <v>105963</v>
      </c>
      <c r="K19" s="1485">
        <f>(I19/I23)</f>
        <v>0.86859064457789326</v>
      </c>
      <c r="L19" s="1504">
        <f t="shared" si="2"/>
        <v>62840</v>
      </c>
      <c r="M19" s="1505">
        <f>ROUND(IF(ISERROR(L19/I19),0,IF(OR(ISBLANK(K13), OR(K13=0, K13="")), L19/I19/(K12/12), L19/I19/(K13/12))),4)</f>
        <v>2E-3</v>
      </c>
      <c r="N19" s="1529" t="s">
        <v>158</v>
      </c>
      <c r="O19" s="1026"/>
      <c r="P19" s="1026"/>
      <c r="Q19" s="1026"/>
      <c r="R19" s="1026"/>
      <c r="S19" s="1026"/>
      <c r="T19" s="1026"/>
      <c r="U19" s="1026"/>
      <c r="V19" s="1026"/>
      <c r="W19" s="1026"/>
      <c r="X19" s="1026"/>
      <c r="Y19" s="1026"/>
      <c r="Z19" s="1026"/>
    </row>
    <row r="20" spans="1:26" ht="15.75" customHeight="1" x14ac:dyDescent="0.25">
      <c r="A20" s="1525" t="s">
        <v>617</v>
      </c>
      <c r="B20" s="867" t="s">
        <v>158</v>
      </c>
      <c r="C20" s="1355">
        <v>51612</v>
      </c>
      <c r="D20" s="1355">
        <v>0</v>
      </c>
      <c r="E20" s="1512">
        <f t="array" ref="E20">SUM(IF('6. Class A Consumption Data'!D492:D791=A20,'6. Class A Consumption Data'!F492:F791))</f>
        <v>0</v>
      </c>
      <c r="F20" s="1355"/>
      <c r="G20" s="1512">
        <f t="array" ref="G20">SUM(IF('6. Class A Consumption Data'!D30:D479=A20,'6. Class A Consumption Data'!F30:G479))</f>
        <v>0</v>
      </c>
      <c r="H20" s="1026"/>
      <c r="I20" s="1355">
        <f t="shared" si="0"/>
        <v>51612</v>
      </c>
      <c r="J20" s="1355">
        <f t="shared" si="1"/>
        <v>0</v>
      </c>
      <c r="K20" s="1485">
        <f>(I20/I23)</f>
        <v>1.411064162518984E-3</v>
      </c>
      <c r="L20" s="1504">
        <f t="shared" si="2"/>
        <v>102</v>
      </c>
      <c r="M20" s="1505">
        <f>ROUND(IF(ISERROR(L20/I20),0,IF(OR(ISBLANK(K13), OR(K13=0, K13="")), L20/I20/(K12/12), L20/I20/(K13/12))),4)</f>
        <v>2E-3</v>
      </c>
      <c r="N20" s="1529" t="s">
        <v>158</v>
      </c>
      <c r="O20" s="1026"/>
      <c r="P20" s="1026"/>
      <c r="Q20" s="1026"/>
      <c r="R20" s="1026"/>
      <c r="S20" s="1026"/>
      <c r="T20" s="1026"/>
      <c r="U20" s="1026"/>
      <c r="V20" s="1026"/>
      <c r="W20" s="1026"/>
      <c r="X20" s="1026"/>
      <c r="Y20" s="1026"/>
      <c r="Z20" s="1026"/>
    </row>
    <row r="21" spans="1:26" ht="15.75" customHeight="1" x14ac:dyDescent="0.25">
      <c r="A21" s="1525" t="s">
        <v>629</v>
      </c>
      <c r="B21" s="867" t="s">
        <v>158</v>
      </c>
      <c r="C21" s="1355">
        <v>2645</v>
      </c>
      <c r="D21" s="1355">
        <v>7</v>
      </c>
      <c r="E21" s="1512">
        <f t="array" ref="E21">SUM(IF('6. Class A Consumption Data'!D492:D791=A21,'6. Class A Consumption Data'!F492:F791))</f>
        <v>0</v>
      </c>
      <c r="F21" s="1355"/>
      <c r="G21" s="1512">
        <f t="array" ref="G21">SUM(IF('6. Class A Consumption Data'!D30:D479=A21,'6. Class A Consumption Data'!F30:G479))</f>
        <v>0</v>
      </c>
      <c r="H21" s="1026"/>
      <c r="I21" s="1355">
        <f t="shared" si="0"/>
        <v>2645</v>
      </c>
      <c r="J21" s="1355">
        <f t="shared" si="1"/>
        <v>7</v>
      </c>
      <c r="K21" s="1485">
        <f>(I21/I23)</f>
        <v>7.2313894246739386E-5</v>
      </c>
      <c r="L21" s="1504">
        <f t="shared" si="2"/>
        <v>5</v>
      </c>
      <c r="M21" s="1505">
        <f>ROUND(IF(ISERROR(L21/I21),0,IF(OR(ISBLANK(K13), OR(K13=0, K13="")), L21/I21/(K12/12), L21/I21/(K13/12))),4)</f>
        <v>1.9E-3</v>
      </c>
      <c r="N21" s="1529" t="s">
        <v>158</v>
      </c>
      <c r="O21" s="1026"/>
      <c r="P21" s="1026"/>
      <c r="Q21" s="1026"/>
      <c r="R21" s="1026"/>
      <c r="S21" s="1026"/>
      <c r="T21" s="1026"/>
      <c r="U21" s="1026"/>
      <c r="V21" s="1026"/>
      <c r="W21" s="1026"/>
      <c r="X21" s="1026"/>
      <c r="Y21" s="1026"/>
      <c r="Z21" s="1026"/>
    </row>
    <row r="22" spans="1:26" ht="15.75" customHeight="1" thickBot="1" x14ac:dyDescent="0.3">
      <c r="A22" s="1525" t="s">
        <v>615</v>
      </c>
      <c r="B22" s="867" t="s">
        <v>158</v>
      </c>
      <c r="C22" s="1355">
        <v>565051</v>
      </c>
      <c r="D22" s="1355">
        <v>1533</v>
      </c>
      <c r="E22" s="1512">
        <f t="array" ref="E22">SUM(IF('6. Class A Consumption Data'!D492:D791=A22,'6. Class A Consumption Data'!F492:F791))</f>
        <v>0</v>
      </c>
      <c r="F22" s="1355"/>
      <c r="G22" s="1512">
        <f t="array" ref="G22">SUM(IF('6. Class A Consumption Data'!D30:D479=A22,'6. Class A Consumption Data'!F30:G479))</f>
        <v>0</v>
      </c>
      <c r="H22" s="1026"/>
      <c r="I22" s="1355">
        <f t="shared" si="0"/>
        <v>565051</v>
      </c>
      <c r="J22" s="1355">
        <f t="shared" si="1"/>
        <v>1533</v>
      </c>
      <c r="K22" s="1485">
        <f>(I22/I23)</f>
        <v>1.5448407658984625E-2</v>
      </c>
      <c r="L22" s="1504">
        <f t="shared" si="2"/>
        <v>1118</v>
      </c>
      <c r="M22" s="1505">
        <f>ROUND(IF(ISERROR(L22/I22),0,IF(OR(ISBLANK(K13), OR(K13=0, K13="")), L22/I22/(K12/12), L22/I22/(K13/12))),4)</f>
        <v>2E-3</v>
      </c>
      <c r="N22" s="1529" t="s">
        <v>158</v>
      </c>
      <c r="O22" s="1026"/>
      <c r="P22" s="1026"/>
      <c r="Q22" s="1026"/>
      <c r="R22" s="1026"/>
      <c r="S22" s="1026"/>
      <c r="T22" s="1026"/>
      <c r="U22" s="1026"/>
      <c r="V22" s="1026"/>
      <c r="W22" s="1026"/>
      <c r="X22" s="1026"/>
      <c r="Y22" s="1026"/>
      <c r="Z22" s="1026"/>
    </row>
    <row r="23" spans="1:26" x14ac:dyDescent="0.25">
      <c r="A23" s="1026"/>
      <c r="B23" s="1506" t="s">
        <v>51</v>
      </c>
      <c r="C23" s="1507">
        <v>41044677</v>
      </c>
      <c r="D23" s="1507">
        <v>107503</v>
      </c>
      <c r="E23" s="1507">
        <f t="shared" ref="E23:L23" si="3">SUM(E17:E22)</f>
        <v>0</v>
      </c>
      <c r="F23" s="1507">
        <f t="shared" si="3"/>
        <v>0</v>
      </c>
      <c r="G23" s="1507">
        <f t="shared" si="3"/>
        <v>4468026.9400000004</v>
      </c>
      <c r="H23" s="1508">
        <f t="shared" si="3"/>
        <v>0</v>
      </c>
      <c r="I23" s="1507">
        <f t="shared" si="3"/>
        <v>36576650</v>
      </c>
      <c r="J23" s="1507">
        <f t="shared" si="3"/>
        <v>107503</v>
      </c>
      <c r="K23" s="1509">
        <f t="shared" si="3"/>
        <v>1</v>
      </c>
      <c r="L23" s="1510">
        <f t="shared" si="3"/>
        <v>72347</v>
      </c>
      <c r="M23" s="1511"/>
      <c r="N23" s="1529"/>
      <c r="O23" s="1026"/>
      <c r="P23" s="1026"/>
      <c r="Q23" s="1026"/>
      <c r="R23" s="1026"/>
      <c r="S23" s="1026"/>
      <c r="T23" s="1026"/>
      <c r="U23" s="1026"/>
      <c r="V23" s="1026"/>
      <c r="W23" s="1026"/>
      <c r="X23" s="1026"/>
      <c r="Y23" s="1026"/>
      <c r="Z23" s="1026"/>
    </row>
    <row r="24" spans="1:26" x14ac:dyDescent="0.25">
      <c r="A24" s="1026"/>
      <c r="B24" s="1026"/>
      <c r="C24" s="1026"/>
      <c r="D24" s="1026"/>
      <c r="E24" s="1026"/>
      <c r="F24" s="1026"/>
      <c r="G24" s="1026"/>
      <c r="H24" s="1026"/>
      <c r="I24" s="1026"/>
      <c r="J24" s="1026"/>
      <c r="K24" s="1026"/>
      <c r="L24" s="1026"/>
      <c r="M24" s="1026"/>
      <c r="N24" s="1529"/>
      <c r="O24" s="1026"/>
      <c r="P24" s="1026"/>
      <c r="Q24" s="1026"/>
      <c r="R24" s="1026"/>
      <c r="S24" s="1026"/>
      <c r="T24" s="1026"/>
      <c r="U24" s="1026"/>
      <c r="V24" s="1026"/>
      <c r="W24" s="1026"/>
      <c r="X24" s="1026"/>
      <c r="Y24" s="1026"/>
      <c r="Z24" s="1026"/>
    </row>
    <row r="25" spans="1:26" x14ac:dyDescent="0.25">
      <c r="A25" s="1026"/>
      <c r="B25" s="1026"/>
      <c r="C25" s="1026"/>
      <c r="D25" s="1026"/>
      <c r="E25" s="1026"/>
      <c r="F25" s="1026"/>
      <c r="G25" s="1026"/>
      <c r="H25" s="1026"/>
      <c r="I25" s="1026"/>
      <c r="J25" s="1026"/>
      <c r="K25" s="1026"/>
      <c r="L25" s="1026"/>
      <c r="M25" s="1026"/>
      <c r="N25" s="1529"/>
      <c r="O25" s="1026"/>
      <c r="P25" s="1026"/>
      <c r="Q25" s="1026"/>
      <c r="R25" s="1026"/>
      <c r="S25" s="1026"/>
      <c r="T25" s="1026"/>
      <c r="U25" s="1026"/>
      <c r="V25" s="1026"/>
      <c r="W25" s="1026"/>
      <c r="X25" s="1026"/>
      <c r="Y25" s="1026"/>
      <c r="Z25" s="1026"/>
    </row>
    <row r="26" spans="1:26" x14ac:dyDescent="0.25">
      <c r="A26" s="1026"/>
      <c r="B26" s="1026"/>
      <c r="C26" s="1026"/>
      <c r="D26" s="1026"/>
      <c r="E26" s="1026"/>
      <c r="F26" s="1026"/>
      <c r="G26" s="1026"/>
      <c r="H26" s="1026"/>
      <c r="I26" s="1026"/>
      <c r="J26" s="1026"/>
      <c r="K26" s="1026"/>
      <c r="L26" s="1026"/>
      <c r="M26" s="1026"/>
      <c r="N26" s="1529"/>
      <c r="O26" s="1026"/>
      <c r="P26" s="1026"/>
      <c r="Q26" s="1026"/>
      <c r="R26" s="1026"/>
      <c r="S26" s="1026"/>
      <c r="T26" s="1026"/>
      <c r="U26" s="1026"/>
      <c r="V26" s="1026"/>
      <c r="W26" s="1026"/>
      <c r="X26" s="1026"/>
      <c r="Y26" s="1026"/>
      <c r="Z26" s="1026"/>
    </row>
    <row r="27" spans="1:26" x14ac:dyDescent="0.25">
      <c r="A27" s="1026"/>
      <c r="B27" s="1026"/>
      <c r="C27" s="1026"/>
      <c r="D27" s="1026"/>
      <c r="E27" s="1026"/>
      <c r="F27" s="1026"/>
      <c r="G27" s="1026"/>
      <c r="H27" s="1026"/>
      <c r="I27" s="1026"/>
      <c r="J27" s="1026"/>
      <c r="K27" s="1026"/>
      <c r="L27" s="1026"/>
      <c r="M27" s="1026"/>
      <c r="N27" s="1529"/>
      <c r="O27" s="1026"/>
      <c r="P27" s="1026"/>
      <c r="Q27" s="1026"/>
      <c r="R27" s="1026"/>
      <c r="S27" s="1026"/>
      <c r="T27" s="1026"/>
      <c r="U27" s="1026"/>
      <c r="V27" s="1026"/>
      <c r="W27" s="1026"/>
      <c r="X27" s="1026"/>
      <c r="Y27" s="1026"/>
      <c r="Z27" s="1026"/>
    </row>
    <row r="28" spans="1:26" x14ac:dyDescent="0.25">
      <c r="A28" s="1026"/>
      <c r="B28" s="1026"/>
      <c r="C28" s="1026"/>
      <c r="D28" s="1026"/>
      <c r="E28" s="1026"/>
      <c r="F28" s="1026"/>
      <c r="G28" s="1026"/>
      <c r="H28" s="1026"/>
      <c r="I28" s="1026"/>
      <c r="J28" s="1026"/>
      <c r="K28" s="1026"/>
      <c r="L28" s="1026"/>
      <c r="M28" s="1026"/>
      <c r="N28" s="1529"/>
      <c r="O28" s="1026"/>
      <c r="P28" s="1026"/>
      <c r="Q28" s="1026"/>
      <c r="R28" s="1026"/>
      <c r="S28" s="1026"/>
      <c r="T28" s="1026"/>
      <c r="U28" s="1026"/>
      <c r="V28" s="1026"/>
      <c r="W28" s="1026"/>
      <c r="X28" s="1026"/>
      <c r="Y28" s="1026"/>
      <c r="Z28" s="1026"/>
    </row>
    <row r="29" spans="1:26" x14ac:dyDescent="0.25">
      <c r="A29" s="1026"/>
      <c r="B29" s="1026"/>
      <c r="C29" s="1026"/>
      <c r="D29" s="1026"/>
      <c r="E29" s="1026"/>
      <c r="F29" s="1026"/>
      <c r="G29" s="1026"/>
      <c r="H29" s="1026"/>
      <c r="I29" s="1026"/>
      <c r="J29" s="1026"/>
      <c r="K29" s="1026"/>
      <c r="L29" s="1026"/>
      <c r="M29" s="1026"/>
      <c r="N29" s="1529"/>
      <c r="O29" s="1026"/>
      <c r="P29" s="1026"/>
      <c r="Q29" s="1026"/>
      <c r="R29" s="1026"/>
      <c r="S29" s="1026"/>
      <c r="T29" s="1026"/>
      <c r="U29" s="1026"/>
      <c r="V29" s="1026"/>
      <c r="W29" s="1026"/>
      <c r="X29" s="1026"/>
      <c r="Y29" s="1026"/>
      <c r="Z29" s="1026"/>
    </row>
    <row r="30" spans="1:26" x14ac:dyDescent="0.25">
      <c r="A30" s="1026"/>
      <c r="B30" s="1026"/>
      <c r="C30" s="1026"/>
      <c r="D30" s="1026"/>
      <c r="E30" s="1026"/>
      <c r="F30" s="1026"/>
      <c r="G30" s="1026"/>
      <c r="H30" s="1026"/>
      <c r="I30" s="1026"/>
      <c r="J30" s="1026"/>
      <c r="K30" s="1026"/>
      <c r="L30" s="1026"/>
      <c r="M30" s="1026"/>
      <c r="N30" s="1529"/>
      <c r="O30" s="1026"/>
      <c r="P30" s="1026"/>
      <c r="Q30" s="1026"/>
      <c r="R30" s="1026"/>
      <c r="S30" s="1026"/>
      <c r="T30" s="1026"/>
      <c r="U30" s="1026"/>
      <c r="V30" s="1026"/>
      <c r="W30" s="1026"/>
      <c r="X30" s="1026"/>
      <c r="Y30" s="1026"/>
      <c r="Z30" s="1026"/>
    </row>
  </sheetData>
  <sheetProtection algorithmName="SHA-512" hashValue="EVp4x4Sv1gBnfL3FvgogYdnIg9rsZfjH9PmAmcD/LTPFB8Xsp7GA2kpLmqcTdSX1cLihxugfPbVbjEN7zQ2Tgg==" saltValue="9afz/b87pWBoWytpodOQLg==" spinCount="100000" sheet="1" objects="1" scenarios="1"/>
  <mergeCells count="4">
    <mergeCell ref="A12:G12"/>
    <mergeCell ref="I12:J12"/>
    <mergeCell ref="I13:J13"/>
    <mergeCell ref="L13:M13"/>
  </mergeCells>
  <pageMargins left="0.7" right="0.7" top="0.75" bottom="0.75" header="0.3" footer="0.3"/>
  <pageSetup orientation="portrait"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pageSetUpPr fitToPage="1"/>
  </sheetPr>
  <dimension ref="A13:I184"/>
  <sheetViews>
    <sheetView showGridLines="0" topLeftCell="A25" workbookViewId="0">
      <selection activeCell="C20" sqref="C20:C21"/>
    </sheetView>
  </sheetViews>
  <sheetFormatPr defaultColWidth="9.140625" defaultRowHeight="15" x14ac:dyDescent="0.25"/>
  <cols>
    <col min="1" max="1" width="55.85546875" style="841" customWidth="1"/>
    <col min="2" max="2" width="15.28515625" style="841" customWidth="1"/>
    <col min="3" max="3" width="31" style="841" bestFit="1" customWidth="1"/>
    <col min="4" max="4" width="27.42578125" style="841" customWidth="1"/>
    <col min="5" max="6" width="28.5703125" style="841" hidden="1" customWidth="1"/>
    <col min="7" max="7" width="30.42578125" style="841" customWidth="1"/>
    <col min="8" max="8" width="24.85546875" style="841" customWidth="1"/>
    <col min="9" max="9" width="14.28515625" style="841" customWidth="1"/>
    <col min="10" max="11" width="9.140625" style="841"/>
    <col min="12" max="12" width="32.28515625" style="841" customWidth="1"/>
    <col min="13" max="16384" width="9.140625" style="841"/>
  </cols>
  <sheetData>
    <row r="13" spans="1:7" x14ac:dyDescent="0.25">
      <c r="A13" s="843"/>
      <c r="B13" s="843"/>
      <c r="C13" s="843"/>
      <c r="D13" s="843"/>
      <c r="E13" s="843"/>
    </row>
    <row r="14" spans="1:7" s="1" customFormat="1" ht="99" customHeight="1" x14ac:dyDescent="0.25">
      <c r="A14" s="1798" t="s">
        <v>2955</v>
      </c>
      <c r="B14" s="1798"/>
      <c r="C14" s="1798"/>
      <c r="D14" s="1799"/>
      <c r="E14" s="1799"/>
    </row>
    <row r="15" spans="1:7" x14ac:dyDescent="0.25">
      <c r="A15" s="940"/>
      <c r="B15" s="940"/>
      <c r="C15" s="940"/>
      <c r="D15" s="23"/>
      <c r="E15" s="939"/>
    </row>
    <row r="16" spans="1:7" ht="30" x14ac:dyDescent="0.25">
      <c r="A16" s="938" t="s">
        <v>6057</v>
      </c>
      <c r="B16" s="1003">
        <v>2016</v>
      </c>
      <c r="C16" s="1791" t="s">
        <v>2586</v>
      </c>
      <c r="D16" s="1780"/>
      <c r="E16" s="1780"/>
      <c r="F16" s="1780"/>
      <c r="G16" s="1780"/>
    </row>
    <row r="17" spans="1:6" x14ac:dyDescent="0.25">
      <c r="A17" s="940"/>
      <c r="B17" s="940"/>
      <c r="C17" s="940"/>
      <c r="D17" s="786"/>
      <c r="E17" s="939"/>
    </row>
    <row r="18" spans="1:6" ht="34.5" customHeight="1" x14ac:dyDescent="0.25">
      <c r="A18" s="1786" t="s">
        <v>2585</v>
      </c>
      <c r="B18" s="1786"/>
      <c r="C18" s="1786"/>
      <c r="D18" s="1786"/>
      <c r="E18" s="1786"/>
      <c r="F18" s="808"/>
    </row>
    <row r="19" spans="1:6" s="1" customFormat="1" ht="17.25" customHeight="1" thickBot="1" x14ac:dyDescent="0.3">
      <c r="B19" s="807"/>
      <c r="C19" s="788" t="s">
        <v>51</v>
      </c>
      <c r="D19" s="806">
        <v>2017</v>
      </c>
      <c r="E19" s="806">
        <v>2016</v>
      </c>
      <c r="F19" s="806">
        <v>2015</v>
      </c>
    </row>
    <row r="20" spans="1:6" s="799" customFormat="1" ht="56.25" customHeight="1" thickBot="1" x14ac:dyDescent="0.3">
      <c r="A20" s="791" t="s">
        <v>6075</v>
      </c>
      <c r="B20" s="805" t="s">
        <v>442</v>
      </c>
      <c r="C20" s="804">
        <f>SUM(D20:E20)</f>
        <v>96644713</v>
      </c>
      <c r="D20" s="982">
        <f>98838309-(475920+1717676)</f>
        <v>96644713</v>
      </c>
      <c r="E20" s="984"/>
      <c r="F20" s="984"/>
    </row>
    <row r="21" spans="1:6" s="799" customFormat="1" ht="27" thickBot="1" x14ac:dyDescent="0.3">
      <c r="A21" s="791" t="s">
        <v>6076</v>
      </c>
      <c r="B21" s="805" t="s">
        <v>443</v>
      </c>
      <c r="C21" s="804">
        <f>SUM(D21:E21)</f>
        <v>2274430.9400000004</v>
      </c>
      <c r="D21" s="803">
        <f>D184</f>
        <v>2274430.9400000004</v>
      </c>
      <c r="E21" s="802">
        <f>E184</f>
        <v>0</v>
      </c>
      <c r="F21" s="802">
        <f>G184</f>
        <v>1</v>
      </c>
    </row>
    <row r="22" spans="1:6" s="799" customFormat="1" ht="15.75" thickBot="1" x14ac:dyDescent="0.3">
      <c r="A22" s="801" t="s">
        <v>2574</v>
      </c>
      <c r="B22" s="800" t="s">
        <v>2441</v>
      </c>
      <c r="C22" s="886">
        <f>IFERROR(C21/C20,0)</f>
        <v>2.3533940651259428E-2</v>
      </c>
      <c r="D22" s="887">
        <f>D20-D21</f>
        <v>94370282.060000002</v>
      </c>
      <c r="E22" s="887">
        <f>E20-E21</f>
        <v>0</v>
      </c>
      <c r="F22" s="887">
        <f>F20-F21</f>
        <v>-1</v>
      </c>
    </row>
    <row r="23" spans="1:6" s="1" customFormat="1" x14ac:dyDescent="0.25">
      <c r="A23" s="23"/>
      <c r="B23" s="23"/>
      <c r="C23" s="23"/>
      <c r="D23" s="23"/>
      <c r="E23" s="23"/>
    </row>
    <row r="24" spans="1:6" s="1" customFormat="1" x14ac:dyDescent="0.25">
      <c r="A24" s="23"/>
      <c r="B24" s="23"/>
      <c r="C24" s="797"/>
      <c r="D24" s="798"/>
      <c r="E24" s="797"/>
    </row>
    <row r="25" spans="1:6" s="1" customFormat="1" x14ac:dyDescent="0.25">
      <c r="D25" s="23"/>
      <c r="E25" s="796"/>
    </row>
    <row r="26" spans="1:6" s="1" customFormat="1" ht="15.75" thickBot="1" x14ac:dyDescent="0.3">
      <c r="A26" s="1800" t="s">
        <v>2584</v>
      </c>
      <c r="B26" s="1800"/>
      <c r="C26" s="1800"/>
      <c r="E26" s="796"/>
    </row>
    <row r="27" spans="1:6" s="1" customFormat="1" ht="15.75" thickBot="1" x14ac:dyDescent="0.3">
      <c r="A27" s="795" t="s">
        <v>2583</v>
      </c>
      <c r="B27" s="795" t="s">
        <v>2232</v>
      </c>
      <c r="C27" s="790">
        <f>'3. Continuity Schedule'!BT25</f>
        <v>-1661.2403508771915</v>
      </c>
      <c r="D27" s="794"/>
      <c r="E27" s="23"/>
    </row>
    <row r="28" spans="1:6" s="1" customFormat="1" ht="15.75" thickBot="1" x14ac:dyDescent="0.3">
      <c r="A28" s="791" t="s">
        <v>2582</v>
      </c>
      <c r="B28" s="791" t="s">
        <v>2581</v>
      </c>
      <c r="C28" s="793">
        <f>+C22*C27</f>
        <v>-39.095531825021212</v>
      </c>
      <c r="D28" s="792"/>
      <c r="E28" s="23"/>
    </row>
    <row r="29" spans="1:6" s="1" customFormat="1" ht="27" thickBot="1" x14ac:dyDescent="0.3">
      <c r="A29" s="791" t="s">
        <v>2881</v>
      </c>
      <c r="B29" s="791" t="s">
        <v>2443</v>
      </c>
      <c r="C29" s="790">
        <f>+C27-C28</f>
        <v>-1622.1448190521703</v>
      </c>
      <c r="D29" s="23"/>
      <c r="E29" s="23"/>
    </row>
    <row r="30" spans="1:6" s="1" customFormat="1" x14ac:dyDescent="0.25">
      <c r="A30" s="23"/>
      <c r="B30" s="23"/>
      <c r="C30" s="23"/>
      <c r="D30" s="23"/>
      <c r="E30" s="23"/>
    </row>
    <row r="31" spans="1:6" ht="14.45" customHeight="1" x14ac:dyDescent="0.25">
      <c r="A31" s="1801" t="s">
        <v>2580</v>
      </c>
      <c r="B31" s="1801"/>
      <c r="C31" s="1802"/>
      <c r="D31" s="1802"/>
      <c r="E31" s="23"/>
    </row>
    <row r="32" spans="1:6" ht="14.45" customHeight="1" x14ac:dyDescent="0.25">
      <c r="A32" s="555" t="s">
        <v>2880</v>
      </c>
      <c r="B32" s="787"/>
      <c r="C32" s="976">
        <f>COUNTIF(C34:C183,"&lt;&gt;0")</f>
        <v>2</v>
      </c>
      <c r="D32" s="942"/>
      <c r="E32" s="23"/>
    </row>
    <row r="33" spans="1:9" ht="69" customHeight="1" x14ac:dyDescent="0.25">
      <c r="A33" s="787" t="s">
        <v>2579</v>
      </c>
      <c r="B33" s="789"/>
      <c r="C33" s="785" t="s">
        <v>6077</v>
      </c>
      <c r="D33" s="785" t="s">
        <v>6078</v>
      </c>
      <c r="E33" s="785" t="s">
        <v>6080</v>
      </c>
      <c r="F33" s="785" t="s">
        <v>6081</v>
      </c>
      <c r="G33" s="788" t="s">
        <v>2343</v>
      </c>
      <c r="H33" s="555" t="s">
        <v>6079</v>
      </c>
      <c r="I33" s="555" t="s">
        <v>2445</v>
      </c>
    </row>
    <row r="34" spans="1:9" s="2" customFormat="1" ht="14.45" customHeight="1" x14ac:dyDescent="0.25">
      <c r="A34" s="888" t="s">
        <v>2467</v>
      </c>
      <c r="B34" s="888"/>
      <c r="C34" s="973">
        <f t="shared" ref="C34:C65" si="0">SUM(D34:E34)</f>
        <v>607464</v>
      </c>
      <c r="D34" s="974">
        <f t="array" ref="D34">SUM(IF(('6. Class A Consumption Data'!F32:G32="B")*('6. Class A Consumption Data'!B30="2017 - kwh"),'6. Class A Consumption Data'!F30:G30))</f>
        <v>607464</v>
      </c>
      <c r="E34" s="975"/>
      <c r="F34" s="975">
        <f t="array" ref="F34">SUM(IF(('6. Class A Consumption Data'!J32:K32="B")*('6. Class A Consumption Data'!B30&lt;&gt;"N/A"),'6. Class A Consumption Data'!J30:K30))</f>
        <v>0</v>
      </c>
      <c r="G34" s="889">
        <f t="shared" ref="G34:G65" si="1">IFERROR(+C34/($C$184),0)</f>
        <v>0.26708395023855941</v>
      </c>
      <c r="H34" s="890">
        <f t="shared" ref="H34:H65" si="2">+G34*$C$28</f>
        <v>-10.441789076503982</v>
      </c>
      <c r="I34" s="890">
        <f t="shared" ref="I34:I65" si="3">+H34/12</f>
        <v>-0.87014908970866511</v>
      </c>
    </row>
    <row r="35" spans="1:9" s="2" customFormat="1" ht="14.45" customHeight="1" x14ac:dyDescent="0.25">
      <c r="A35" s="888" t="s">
        <v>2468</v>
      </c>
      <c r="B35" s="888"/>
      <c r="C35" s="973">
        <f t="shared" si="0"/>
        <v>1666966.9400000002</v>
      </c>
      <c r="D35" s="974">
        <f t="array" ref="D35">SUM(IF(('6. Class A Consumption Data'!F35:G35="B")*('6. Class A Consumption Data'!B33="2017 - kwh"),'6. Class A Consumption Data'!F33:G33))</f>
        <v>1666966.9400000002</v>
      </c>
      <c r="E35" s="974"/>
      <c r="F35" s="974">
        <f t="array" ref="F35">SUM(IF(('6. Class A Consumption Data'!J35:K35="B")*('6. Class A Consumption Data'!B33&lt;&gt;"N/A"),'6. Class A Consumption Data'!J33:K33))</f>
        <v>0</v>
      </c>
      <c r="G35" s="889">
        <f t="shared" si="1"/>
        <v>0.73291604976144054</v>
      </c>
      <c r="H35" s="890">
        <f t="shared" si="2"/>
        <v>-28.653742748517228</v>
      </c>
      <c r="I35" s="890">
        <f t="shared" si="3"/>
        <v>-2.3878118957097691</v>
      </c>
    </row>
    <row r="36" spans="1:9" s="2" customFormat="1" ht="14.45" hidden="1" customHeight="1" x14ac:dyDescent="0.25">
      <c r="A36" s="888" t="s">
        <v>2469</v>
      </c>
      <c r="B36" s="888"/>
      <c r="C36" s="973">
        <f t="shared" si="0"/>
        <v>0</v>
      </c>
      <c r="D36" s="974">
        <f t="array" ref="D36">SUM(IF(('6. Class A Consumption Data'!F38:G38="B")*('6. Class A Consumption Data'!B36="2017 - kwh"),'6. Class A Consumption Data'!F36:G36))</f>
        <v>0</v>
      </c>
      <c r="E36" s="974"/>
      <c r="F36" s="974">
        <f t="array" ref="F36">SUM(IF(('6. Class A Consumption Data'!J38:K38="B")*('6. Class A Consumption Data'!B36&lt;&gt;"N/A"),'6. Class A Consumption Data'!J36:K36))</f>
        <v>0</v>
      </c>
      <c r="G36" s="889">
        <f t="shared" si="1"/>
        <v>0</v>
      </c>
      <c r="H36" s="890">
        <f t="shared" si="2"/>
        <v>0</v>
      </c>
      <c r="I36" s="890">
        <f t="shared" si="3"/>
        <v>0</v>
      </c>
    </row>
    <row r="37" spans="1:9" s="2" customFormat="1" ht="14.45" hidden="1" customHeight="1" x14ac:dyDescent="0.25">
      <c r="A37" s="888" t="s">
        <v>2470</v>
      </c>
      <c r="B37" s="888"/>
      <c r="C37" s="973">
        <f t="shared" si="0"/>
        <v>0</v>
      </c>
      <c r="D37" s="974">
        <f t="array" ref="D37">SUM(IF(('6. Class A Consumption Data'!F41:G41="B")*('6. Class A Consumption Data'!B39="2017 - kwh"),'6. Class A Consumption Data'!F39:G39))</f>
        <v>0</v>
      </c>
      <c r="E37" s="974"/>
      <c r="F37" s="974">
        <f t="array" ref="F37">SUM(IF(('6. Class A Consumption Data'!J41:K41="B")*('6. Class A Consumption Data'!B39&lt;&gt;"N/A"),'6. Class A Consumption Data'!J39:K39))</f>
        <v>0</v>
      </c>
      <c r="G37" s="889">
        <f t="shared" si="1"/>
        <v>0</v>
      </c>
      <c r="H37" s="890">
        <f t="shared" si="2"/>
        <v>0</v>
      </c>
      <c r="I37" s="890">
        <f t="shared" si="3"/>
        <v>0</v>
      </c>
    </row>
    <row r="38" spans="1:9" s="2" customFormat="1" ht="14.45" hidden="1" customHeight="1" x14ac:dyDescent="0.25">
      <c r="A38" s="888" t="s">
        <v>2471</v>
      </c>
      <c r="B38" s="888"/>
      <c r="C38" s="973">
        <f t="shared" si="0"/>
        <v>0</v>
      </c>
      <c r="D38" s="974">
        <f t="array" ref="D38">SUM(IF(('6. Class A Consumption Data'!F44:G44="B")*('6. Class A Consumption Data'!B42="2017 - kwh"),'6. Class A Consumption Data'!F42:G42))</f>
        <v>0</v>
      </c>
      <c r="E38" s="974"/>
      <c r="F38" s="974">
        <f t="array" ref="F38">SUM(IF(('6. Class A Consumption Data'!J44:K44="B")*('6. Class A Consumption Data'!B42&lt;&gt;"N/A"),'6. Class A Consumption Data'!J42:K42))</f>
        <v>0</v>
      </c>
      <c r="G38" s="889">
        <f t="shared" si="1"/>
        <v>0</v>
      </c>
      <c r="H38" s="890">
        <f t="shared" si="2"/>
        <v>0</v>
      </c>
      <c r="I38" s="890">
        <f t="shared" si="3"/>
        <v>0</v>
      </c>
    </row>
    <row r="39" spans="1:9" s="2" customFormat="1" ht="14.45" hidden="1" customHeight="1" x14ac:dyDescent="0.25">
      <c r="A39" s="888" t="s">
        <v>2554</v>
      </c>
      <c r="B39" s="888"/>
      <c r="C39" s="973">
        <f t="shared" si="0"/>
        <v>0</v>
      </c>
      <c r="D39" s="974">
        <f t="array" ref="D39">SUM(IF(('6. Class A Consumption Data'!F47:G47="B")*('6. Class A Consumption Data'!B45="2017 - kwh"),'6. Class A Consumption Data'!F45:G45))</f>
        <v>0</v>
      </c>
      <c r="E39" s="974"/>
      <c r="F39" s="974">
        <f t="array" ref="F39">SUM(IF(('6. Class A Consumption Data'!J47:K47="B")*('6. Class A Consumption Data'!B45&lt;&gt;"N/A"),'6. Class A Consumption Data'!J45:K45))</f>
        <v>0</v>
      </c>
      <c r="G39" s="889">
        <f t="shared" si="1"/>
        <v>0</v>
      </c>
      <c r="H39" s="890">
        <f t="shared" si="2"/>
        <v>0</v>
      </c>
      <c r="I39" s="890">
        <f t="shared" si="3"/>
        <v>0</v>
      </c>
    </row>
    <row r="40" spans="1:9" s="2" customFormat="1" ht="14.45" hidden="1" customHeight="1" x14ac:dyDescent="0.25">
      <c r="A40" s="888" t="s">
        <v>2555</v>
      </c>
      <c r="B40" s="888"/>
      <c r="C40" s="973">
        <f t="shared" si="0"/>
        <v>0</v>
      </c>
      <c r="D40" s="974">
        <f t="array" ref="D40">SUM(IF(('6. Class A Consumption Data'!F50:G50="B")*('6. Class A Consumption Data'!B48="2017 - kwh"),'6. Class A Consumption Data'!F48:G48))</f>
        <v>0</v>
      </c>
      <c r="E40" s="974"/>
      <c r="F40" s="974">
        <f t="array" ref="F40">SUM(IF(('6. Class A Consumption Data'!J50:K50="B")*('6. Class A Consumption Data'!B48&lt;&gt;"N/A"),'6. Class A Consumption Data'!J48:K48))</f>
        <v>0</v>
      </c>
      <c r="G40" s="889">
        <f t="shared" si="1"/>
        <v>0</v>
      </c>
      <c r="H40" s="890">
        <f t="shared" si="2"/>
        <v>0</v>
      </c>
      <c r="I40" s="890">
        <f t="shared" si="3"/>
        <v>0</v>
      </c>
    </row>
    <row r="41" spans="1:9" s="2" customFormat="1" ht="14.45" hidden="1" customHeight="1" x14ac:dyDescent="0.25">
      <c r="A41" s="888" t="s">
        <v>2556</v>
      </c>
      <c r="B41" s="888"/>
      <c r="C41" s="973">
        <f t="shared" si="0"/>
        <v>0</v>
      </c>
      <c r="D41" s="974">
        <f t="array" ref="D41">SUM(IF(('6. Class A Consumption Data'!F53:G53="B")*('6. Class A Consumption Data'!B51="2017 - kwh"),'6. Class A Consumption Data'!F51:G51))</f>
        <v>0</v>
      </c>
      <c r="E41" s="974"/>
      <c r="F41" s="974">
        <f t="array" ref="F41">SUM(IF(('6. Class A Consumption Data'!J53:K53="B")*('6. Class A Consumption Data'!B51&lt;&gt;"N/A"),'6. Class A Consumption Data'!J51:K51))</f>
        <v>0</v>
      </c>
      <c r="G41" s="889">
        <f t="shared" si="1"/>
        <v>0</v>
      </c>
      <c r="H41" s="890">
        <f t="shared" si="2"/>
        <v>0</v>
      </c>
      <c r="I41" s="890">
        <f t="shared" si="3"/>
        <v>0</v>
      </c>
    </row>
    <row r="42" spans="1:9" s="2" customFormat="1" ht="14.45" hidden="1" customHeight="1" x14ac:dyDescent="0.25">
      <c r="A42" s="888" t="s">
        <v>2557</v>
      </c>
      <c r="B42" s="888"/>
      <c r="C42" s="973">
        <f t="shared" si="0"/>
        <v>0</v>
      </c>
      <c r="D42" s="974">
        <f t="array" ref="D42">SUM(IF(('6. Class A Consumption Data'!F56:G56="B")*('6. Class A Consumption Data'!B54="2017 - kwh"),'6. Class A Consumption Data'!F54:G54))</f>
        <v>0</v>
      </c>
      <c r="E42" s="974"/>
      <c r="F42" s="974">
        <f t="array" ref="F42">SUM(IF(('6. Class A Consumption Data'!J56:K56="B")*('6. Class A Consumption Data'!B54&lt;&gt;"N/A"),'6. Class A Consumption Data'!J54:K54))</f>
        <v>0</v>
      </c>
      <c r="G42" s="889">
        <f t="shared" si="1"/>
        <v>0</v>
      </c>
      <c r="H42" s="890">
        <f t="shared" si="2"/>
        <v>0</v>
      </c>
      <c r="I42" s="890">
        <f t="shared" si="3"/>
        <v>0</v>
      </c>
    </row>
    <row r="43" spans="1:9" s="2" customFormat="1" ht="14.45" hidden="1" customHeight="1" x14ac:dyDescent="0.25">
      <c r="A43" s="888" t="s">
        <v>2558</v>
      </c>
      <c r="B43" s="888"/>
      <c r="C43" s="973">
        <f t="shared" si="0"/>
        <v>0</v>
      </c>
      <c r="D43" s="974">
        <f t="array" ref="D43">SUM(IF(('6. Class A Consumption Data'!F59:G59="B")*('6. Class A Consumption Data'!B57="2017 - kwh"),'6. Class A Consumption Data'!F57:G57))</f>
        <v>0</v>
      </c>
      <c r="E43" s="974"/>
      <c r="F43" s="974">
        <f t="array" ref="F43">SUM(IF(('6. Class A Consumption Data'!J59:K59="B")*('6. Class A Consumption Data'!B57&lt;&gt;"N/A"),'6. Class A Consumption Data'!J57:K57))</f>
        <v>0</v>
      </c>
      <c r="G43" s="889">
        <f t="shared" si="1"/>
        <v>0</v>
      </c>
      <c r="H43" s="890">
        <f t="shared" si="2"/>
        <v>0</v>
      </c>
      <c r="I43" s="890">
        <f t="shared" si="3"/>
        <v>0</v>
      </c>
    </row>
    <row r="44" spans="1:9" s="2" customFormat="1" ht="14.25" hidden="1" customHeight="1" x14ac:dyDescent="0.25">
      <c r="A44" s="888" t="s">
        <v>2559</v>
      </c>
      <c r="B44" s="888"/>
      <c r="C44" s="973">
        <f t="shared" si="0"/>
        <v>0</v>
      </c>
      <c r="D44" s="974">
        <f t="array" ref="D44">SUM(IF(('6. Class A Consumption Data'!F62:G62="B")*('6. Class A Consumption Data'!B60="2017 - kwh"),'6. Class A Consumption Data'!F60:G60))</f>
        <v>0</v>
      </c>
      <c r="E44" s="974"/>
      <c r="F44" s="974">
        <f t="array" ref="F44">SUM(IF(('6. Class A Consumption Data'!J62:K62="B")*('6. Class A Consumption Data'!B60&lt;&gt;"N/A"),'6. Class A Consumption Data'!J60:K60))</f>
        <v>0</v>
      </c>
      <c r="G44" s="889">
        <f t="shared" si="1"/>
        <v>0</v>
      </c>
      <c r="H44" s="890">
        <f t="shared" si="2"/>
        <v>0</v>
      </c>
      <c r="I44" s="890">
        <f t="shared" si="3"/>
        <v>0</v>
      </c>
    </row>
    <row r="45" spans="1:9" s="2" customFormat="1" ht="14.45" hidden="1" customHeight="1" x14ac:dyDescent="0.25">
      <c r="A45" s="888" t="s">
        <v>2560</v>
      </c>
      <c r="B45" s="888"/>
      <c r="C45" s="973">
        <f t="shared" si="0"/>
        <v>0</v>
      </c>
      <c r="D45" s="974">
        <f t="array" ref="D45">SUM(IF(('6. Class A Consumption Data'!F65:G65="B")*('6. Class A Consumption Data'!B63="2017 - kwh"),'6. Class A Consumption Data'!F63:G63))</f>
        <v>0</v>
      </c>
      <c r="E45" s="974"/>
      <c r="F45" s="974">
        <f t="array" ref="F45">SUM(IF(('6. Class A Consumption Data'!J65:K65="B")*('6. Class A Consumption Data'!B63&lt;&gt;"N/A"),'6. Class A Consumption Data'!J63:K63))</f>
        <v>0</v>
      </c>
      <c r="G45" s="889">
        <f t="shared" si="1"/>
        <v>0</v>
      </c>
      <c r="H45" s="890">
        <f t="shared" si="2"/>
        <v>0</v>
      </c>
      <c r="I45" s="890">
        <f t="shared" si="3"/>
        <v>0</v>
      </c>
    </row>
    <row r="46" spans="1:9" s="2" customFormat="1" hidden="1" x14ac:dyDescent="0.25">
      <c r="A46" s="888" t="s">
        <v>2597</v>
      </c>
      <c r="B46" s="888"/>
      <c r="C46" s="973">
        <f t="shared" si="0"/>
        <v>0</v>
      </c>
      <c r="D46" s="974">
        <f t="array" ref="D46">SUM(IF(('6. Class A Consumption Data'!F68:G68="B")*('6. Class A Consumption Data'!B66="2017 - kwh"),'6. Class A Consumption Data'!F66:G66))</f>
        <v>0</v>
      </c>
      <c r="E46" s="974"/>
      <c r="F46" s="974">
        <f t="array" ref="F46">SUM(IF(('6. Class A Consumption Data'!J68:K68="B")*('6. Class A Consumption Data'!B66&lt;&gt;"N/A"),'6. Class A Consumption Data'!J66:K66))</f>
        <v>0</v>
      </c>
      <c r="G46" s="889">
        <f t="shared" si="1"/>
        <v>0</v>
      </c>
      <c r="H46" s="890">
        <f t="shared" si="2"/>
        <v>0</v>
      </c>
      <c r="I46" s="890">
        <f t="shared" si="3"/>
        <v>0</v>
      </c>
    </row>
    <row r="47" spans="1:9" s="2" customFormat="1" hidden="1" x14ac:dyDescent="0.25">
      <c r="A47" s="888" t="s">
        <v>2598</v>
      </c>
      <c r="B47" s="888"/>
      <c r="C47" s="973">
        <f t="shared" si="0"/>
        <v>0</v>
      </c>
      <c r="D47" s="974">
        <f t="array" ref="D47">SUM(IF(('6. Class A Consumption Data'!F71:G71="B")*('6. Class A Consumption Data'!B69="2017 - kwh"),'6. Class A Consumption Data'!F69:G69))</f>
        <v>0</v>
      </c>
      <c r="E47" s="974"/>
      <c r="F47" s="974">
        <f t="array" ref="F47">SUM(IF(('6. Class A Consumption Data'!J71:K71="B")*('6. Class A Consumption Data'!B69&lt;&gt;"N/A"),'6. Class A Consumption Data'!J69:K69))</f>
        <v>0</v>
      </c>
      <c r="G47" s="889">
        <f t="shared" si="1"/>
        <v>0</v>
      </c>
      <c r="H47" s="890">
        <f t="shared" si="2"/>
        <v>0</v>
      </c>
      <c r="I47" s="890">
        <f t="shared" si="3"/>
        <v>0</v>
      </c>
    </row>
    <row r="48" spans="1:9" s="1" customFormat="1" hidden="1" x14ac:dyDescent="0.25">
      <c r="A48" s="888" t="s">
        <v>2599</v>
      </c>
      <c r="B48" s="888"/>
      <c r="C48" s="973">
        <f t="shared" si="0"/>
        <v>0</v>
      </c>
      <c r="D48" s="974">
        <f t="array" ref="D48">SUM(IF(('6. Class A Consumption Data'!F74:G74="B")*('6. Class A Consumption Data'!B72="2017 - kwh"),'6. Class A Consumption Data'!F72:G72))</f>
        <v>0</v>
      </c>
      <c r="E48" s="974"/>
      <c r="F48" s="974">
        <f t="array" ref="F48">SUM(IF(('6. Class A Consumption Data'!J74:K74="B")*('6. Class A Consumption Data'!B72&lt;&gt;"N/A"),'6. Class A Consumption Data'!J72:K72))</f>
        <v>0</v>
      </c>
      <c r="G48" s="889">
        <f t="shared" si="1"/>
        <v>0</v>
      </c>
      <c r="H48" s="890">
        <f t="shared" si="2"/>
        <v>0</v>
      </c>
      <c r="I48" s="890">
        <f t="shared" si="3"/>
        <v>0</v>
      </c>
    </row>
    <row r="49" spans="1:9" hidden="1" x14ac:dyDescent="0.25">
      <c r="A49" s="888" t="s">
        <v>2600</v>
      </c>
      <c r="B49" s="888"/>
      <c r="C49" s="973">
        <f t="shared" si="0"/>
        <v>0</v>
      </c>
      <c r="D49" s="974">
        <f t="array" ref="D49">SUM(IF(('6. Class A Consumption Data'!F77:G77="B")*('6. Class A Consumption Data'!B75="2017 - kwh"),'6. Class A Consumption Data'!F75:G75))</f>
        <v>0</v>
      </c>
      <c r="E49" s="974"/>
      <c r="F49" s="974">
        <f t="array" ref="F49">SUM(IF(('6. Class A Consumption Data'!J77:K77="B")*('6. Class A Consumption Data'!B75&lt;&gt;"N/A"),'6. Class A Consumption Data'!J75:K75))</f>
        <v>0</v>
      </c>
      <c r="G49" s="889">
        <f t="shared" si="1"/>
        <v>0</v>
      </c>
      <c r="H49" s="890">
        <f t="shared" si="2"/>
        <v>0</v>
      </c>
      <c r="I49" s="890">
        <f t="shared" si="3"/>
        <v>0</v>
      </c>
    </row>
    <row r="50" spans="1:9" hidden="1" x14ac:dyDescent="0.25">
      <c r="A50" s="888" t="s">
        <v>2601</v>
      </c>
      <c r="B50" s="888"/>
      <c r="C50" s="973">
        <f t="shared" si="0"/>
        <v>0</v>
      </c>
      <c r="D50" s="974">
        <f t="array" ref="D50">SUM(IF(('6. Class A Consumption Data'!F80:G80="B")*('6. Class A Consumption Data'!B78="2017 - kwh"),'6. Class A Consumption Data'!F78:G78))</f>
        <v>0</v>
      </c>
      <c r="E50" s="974"/>
      <c r="F50" s="974">
        <f t="array" ref="F50">SUM(IF(('6. Class A Consumption Data'!J80:K80="B")*('6. Class A Consumption Data'!B78&lt;&gt;"N/A"),'6. Class A Consumption Data'!J78:K78))</f>
        <v>0</v>
      </c>
      <c r="G50" s="889">
        <f t="shared" si="1"/>
        <v>0</v>
      </c>
      <c r="H50" s="890">
        <f t="shared" si="2"/>
        <v>0</v>
      </c>
      <c r="I50" s="890">
        <f t="shared" si="3"/>
        <v>0</v>
      </c>
    </row>
    <row r="51" spans="1:9" hidden="1" x14ac:dyDescent="0.25">
      <c r="A51" s="888" t="s">
        <v>2602</v>
      </c>
      <c r="B51" s="888"/>
      <c r="C51" s="973">
        <f t="shared" si="0"/>
        <v>0</v>
      </c>
      <c r="D51" s="974">
        <f t="array" ref="D51">SUM(IF(('6. Class A Consumption Data'!F83:G83="B")*('6. Class A Consumption Data'!B81="2017 - kwh"),'6. Class A Consumption Data'!F81:G81))</f>
        <v>0</v>
      </c>
      <c r="E51" s="974"/>
      <c r="F51" s="974">
        <f t="array" ref="F51">SUM(IF(('6. Class A Consumption Data'!J83:K83="B")*('6. Class A Consumption Data'!B81&lt;&gt;"N/A"),'6. Class A Consumption Data'!J81:K81))</f>
        <v>0</v>
      </c>
      <c r="G51" s="889">
        <f t="shared" si="1"/>
        <v>0</v>
      </c>
      <c r="H51" s="890">
        <f t="shared" si="2"/>
        <v>0</v>
      </c>
      <c r="I51" s="890">
        <f t="shared" si="3"/>
        <v>0</v>
      </c>
    </row>
    <row r="52" spans="1:9" hidden="1" x14ac:dyDescent="0.25">
      <c r="A52" s="888" t="s">
        <v>2603</v>
      </c>
      <c r="B52" s="888"/>
      <c r="C52" s="973">
        <f t="shared" si="0"/>
        <v>0</v>
      </c>
      <c r="D52" s="974">
        <f t="array" ref="D52">SUM(IF(('6. Class A Consumption Data'!F86:G86="B")*('6. Class A Consumption Data'!B84="2017 - kwh"),'6. Class A Consumption Data'!F84:G84))</f>
        <v>0</v>
      </c>
      <c r="E52" s="974"/>
      <c r="F52" s="974">
        <f t="array" ref="F52">SUM(IF(('6. Class A Consumption Data'!J86:K86="B")*('6. Class A Consumption Data'!B84&lt;&gt;"N/A"),'6. Class A Consumption Data'!J84:K84))</f>
        <v>0</v>
      </c>
      <c r="G52" s="889">
        <f t="shared" si="1"/>
        <v>0</v>
      </c>
      <c r="H52" s="890">
        <f t="shared" si="2"/>
        <v>0</v>
      </c>
      <c r="I52" s="890">
        <f t="shared" si="3"/>
        <v>0</v>
      </c>
    </row>
    <row r="53" spans="1:9" hidden="1" x14ac:dyDescent="0.25">
      <c r="A53" s="888" t="s">
        <v>2604</v>
      </c>
      <c r="B53" s="888"/>
      <c r="C53" s="973">
        <f t="shared" si="0"/>
        <v>0</v>
      </c>
      <c r="D53" s="974">
        <f t="array" ref="D53">SUM(IF(('6. Class A Consumption Data'!F89:G89="B")*('6. Class A Consumption Data'!B87="2017 - kwh"),'6. Class A Consumption Data'!F87:G87))</f>
        <v>0</v>
      </c>
      <c r="E53" s="974"/>
      <c r="F53" s="974">
        <f t="array" ref="F53">SUM(IF(('6. Class A Consumption Data'!J89:K89="B")*('6. Class A Consumption Data'!B87&lt;&gt;"N/A"),'6. Class A Consumption Data'!J87:K87))</f>
        <v>0</v>
      </c>
      <c r="G53" s="889">
        <f t="shared" si="1"/>
        <v>0</v>
      </c>
      <c r="H53" s="890">
        <f t="shared" si="2"/>
        <v>0</v>
      </c>
      <c r="I53" s="890">
        <f t="shared" si="3"/>
        <v>0</v>
      </c>
    </row>
    <row r="54" spans="1:9" hidden="1" x14ac:dyDescent="0.25">
      <c r="A54" s="888" t="s">
        <v>2605</v>
      </c>
      <c r="B54" s="888"/>
      <c r="C54" s="973">
        <f t="shared" si="0"/>
        <v>0</v>
      </c>
      <c r="D54" s="974">
        <f t="array" ref="D54">SUM(IF(('6. Class A Consumption Data'!F92:G92="B")*('6. Class A Consumption Data'!B90="2017 - kwh"),'6. Class A Consumption Data'!F90:G90))</f>
        <v>0</v>
      </c>
      <c r="E54" s="974"/>
      <c r="F54" s="974">
        <f t="array" ref="F54">SUM(IF(('6. Class A Consumption Data'!J92:K92="B")*('6. Class A Consumption Data'!B90&lt;&gt;"N/A"),'6. Class A Consumption Data'!J90:K90))</f>
        <v>0</v>
      </c>
      <c r="G54" s="889">
        <f t="shared" si="1"/>
        <v>0</v>
      </c>
      <c r="H54" s="890">
        <f t="shared" si="2"/>
        <v>0</v>
      </c>
      <c r="I54" s="890">
        <f t="shared" si="3"/>
        <v>0</v>
      </c>
    </row>
    <row r="55" spans="1:9" hidden="1" x14ac:dyDescent="0.25">
      <c r="A55" s="888" t="s">
        <v>2606</v>
      </c>
      <c r="B55" s="888"/>
      <c r="C55" s="973">
        <f t="shared" si="0"/>
        <v>0</v>
      </c>
      <c r="D55" s="974">
        <f t="array" ref="D55">SUM(IF(('6. Class A Consumption Data'!F95:G95="B")*('6. Class A Consumption Data'!B93="2017 - kwh"),'6. Class A Consumption Data'!F93:G93))</f>
        <v>0</v>
      </c>
      <c r="E55" s="974"/>
      <c r="F55" s="974">
        <f t="array" ref="F55">SUM(IF(('6. Class A Consumption Data'!J95:K95="B")*('6. Class A Consumption Data'!B93&lt;&gt;"N/A"),'6. Class A Consumption Data'!J93:K93))</f>
        <v>0</v>
      </c>
      <c r="G55" s="889">
        <f t="shared" si="1"/>
        <v>0</v>
      </c>
      <c r="H55" s="890">
        <f t="shared" si="2"/>
        <v>0</v>
      </c>
      <c r="I55" s="890">
        <f t="shared" si="3"/>
        <v>0</v>
      </c>
    </row>
    <row r="56" spans="1:9" hidden="1" x14ac:dyDescent="0.25">
      <c r="A56" s="888" t="s">
        <v>2607</v>
      </c>
      <c r="B56" s="888"/>
      <c r="C56" s="973">
        <f t="shared" si="0"/>
        <v>0</v>
      </c>
      <c r="D56" s="974">
        <f t="array" ref="D56">SUM(IF(('6. Class A Consumption Data'!F98:G98="B")*('6. Class A Consumption Data'!B96="2017 - kwh"),'6. Class A Consumption Data'!F96:G96))</f>
        <v>0</v>
      </c>
      <c r="E56" s="974"/>
      <c r="F56" s="974">
        <f t="array" ref="F56">SUM(IF(('6. Class A Consumption Data'!J98:K98="B")*('6. Class A Consumption Data'!B96&lt;&gt;"N/A"),'6. Class A Consumption Data'!J96:K96))</f>
        <v>0</v>
      </c>
      <c r="G56" s="889">
        <f t="shared" si="1"/>
        <v>0</v>
      </c>
      <c r="H56" s="890">
        <f t="shared" si="2"/>
        <v>0</v>
      </c>
      <c r="I56" s="890">
        <f t="shared" si="3"/>
        <v>0</v>
      </c>
    </row>
    <row r="57" spans="1:9" hidden="1" x14ac:dyDescent="0.25">
      <c r="A57" s="888" t="s">
        <v>2608</v>
      </c>
      <c r="B57" s="888"/>
      <c r="C57" s="973">
        <f t="shared" si="0"/>
        <v>0</v>
      </c>
      <c r="D57" s="974">
        <f t="array" ref="D57">SUM(IF(('6. Class A Consumption Data'!F101:G101="B")*('6. Class A Consumption Data'!B99="2017 - kwh"),'6. Class A Consumption Data'!F99:G99))</f>
        <v>0</v>
      </c>
      <c r="E57" s="974"/>
      <c r="F57" s="974">
        <f t="array" ref="F57">SUM(IF(('6. Class A Consumption Data'!J101:K101="B")*('6. Class A Consumption Data'!B99&lt;&gt;"N/A"),'6. Class A Consumption Data'!J99:K99))</f>
        <v>0</v>
      </c>
      <c r="G57" s="889">
        <f t="shared" si="1"/>
        <v>0</v>
      </c>
      <c r="H57" s="890">
        <f t="shared" si="2"/>
        <v>0</v>
      </c>
      <c r="I57" s="890">
        <f t="shared" si="3"/>
        <v>0</v>
      </c>
    </row>
    <row r="58" spans="1:9" hidden="1" x14ac:dyDescent="0.25">
      <c r="A58" s="888" t="s">
        <v>2609</v>
      </c>
      <c r="B58" s="888"/>
      <c r="C58" s="973">
        <f t="shared" si="0"/>
        <v>0</v>
      </c>
      <c r="D58" s="974">
        <f t="array" ref="D58">SUM(IF(('6. Class A Consumption Data'!F104:G104="B")*('6. Class A Consumption Data'!B102="2017 - kwh"),'6. Class A Consumption Data'!F102:G102))</f>
        <v>0</v>
      </c>
      <c r="E58" s="974"/>
      <c r="F58" s="974">
        <f t="array" ref="F58">SUM(IF(('6. Class A Consumption Data'!J104:K104="B")*('6. Class A Consumption Data'!B102&lt;&gt;"N/A"),'6. Class A Consumption Data'!J102:K102))</f>
        <v>0</v>
      </c>
      <c r="G58" s="889">
        <f t="shared" si="1"/>
        <v>0</v>
      </c>
      <c r="H58" s="890">
        <f t="shared" si="2"/>
        <v>0</v>
      </c>
      <c r="I58" s="890">
        <f t="shared" si="3"/>
        <v>0</v>
      </c>
    </row>
    <row r="59" spans="1:9" hidden="1" x14ac:dyDescent="0.25">
      <c r="A59" s="888" t="s">
        <v>2610</v>
      </c>
      <c r="B59" s="888"/>
      <c r="C59" s="973">
        <f t="shared" si="0"/>
        <v>0</v>
      </c>
      <c r="D59" s="974">
        <f t="array" ref="D59">SUM(IF(('6. Class A Consumption Data'!F107:G107="B")*('6. Class A Consumption Data'!B105="2017 - kwh"),'6. Class A Consumption Data'!F105:G105))</f>
        <v>0</v>
      </c>
      <c r="E59" s="974"/>
      <c r="F59" s="974">
        <f t="array" ref="F59">SUM(IF(('6. Class A Consumption Data'!J107:K107="B")*('6. Class A Consumption Data'!B105&lt;&gt;"N/A"),'6. Class A Consumption Data'!J105:K105))</f>
        <v>0</v>
      </c>
      <c r="G59" s="889">
        <f t="shared" si="1"/>
        <v>0</v>
      </c>
      <c r="H59" s="890">
        <f t="shared" si="2"/>
        <v>0</v>
      </c>
      <c r="I59" s="890">
        <f t="shared" si="3"/>
        <v>0</v>
      </c>
    </row>
    <row r="60" spans="1:9" hidden="1" x14ac:dyDescent="0.25">
      <c r="A60" s="888" t="s">
        <v>2611</v>
      </c>
      <c r="B60" s="888"/>
      <c r="C60" s="973">
        <f t="shared" si="0"/>
        <v>0</v>
      </c>
      <c r="D60" s="974">
        <f t="array" ref="D60">SUM(IF(('6. Class A Consumption Data'!F110:G110="B")*('6. Class A Consumption Data'!B108="2017 - kwh"),'6. Class A Consumption Data'!F108:G108))</f>
        <v>0</v>
      </c>
      <c r="E60" s="974"/>
      <c r="F60" s="974">
        <f t="array" ref="F60">SUM(IF(('6. Class A Consumption Data'!J110:K110="B")*('6. Class A Consumption Data'!B108&lt;&gt;"N/A"),'6. Class A Consumption Data'!J108:K108))</f>
        <v>0</v>
      </c>
      <c r="G60" s="889">
        <f t="shared" si="1"/>
        <v>0</v>
      </c>
      <c r="H60" s="890">
        <f t="shared" si="2"/>
        <v>0</v>
      </c>
      <c r="I60" s="890">
        <f t="shared" si="3"/>
        <v>0</v>
      </c>
    </row>
    <row r="61" spans="1:9" hidden="1" x14ac:dyDescent="0.25">
      <c r="A61" s="888" t="s">
        <v>2612</v>
      </c>
      <c r="B61" s="888"/>
      <c r="C61" s="973">
        <f t="shared" si="0"/>
        <v>0</v>
      </c>
      <c r="D61" s="974">
        <f t="array" ref="D61">SUM(IF(('6. Class A Consumption Data'!F113:G113="B")*('6. Class A Consumption Data'!B111="2017 - kwh"),'6. Class A Consumption Data'!F111:G111))</f>
        <v>0</v>
      </c>
      <c r="E61" s="974"/>
      <c r="F61" s="974">
        <f t="array" ref="F61">SUM(IF(('6. Class A Consumption Data'!J113:K113="B")*('6. Class A Consumption Data'!B111&lt;&gt;"N/A"),'6. Class A Consumption Data'!J111:K111))</f>
        <v>0</v>
      </c>
      <c r="G61" s="889">
        <f t="shared" si="1"/>
        <v>0</v>
      </c>
      <c r="H61" s="890">
        <f t="shared" si="2"/>
        <v>0</v>
      </c>
      <c r="I61" s="890">
        <f t="shared" si="3"/>
        <v>0</v>
      </c>
    </row>
    <row r="62" spans="1:9" hidden="1" x14ac:dyDescent="0.25">
      <c r="A62" s="888" t="s">
        <v>2613</v>
      </c>
      <c r="B62" s="888"/>
      <c r="C62" s="973">
        <f t="shared" si="0"/>
        <v>0</v>
      </c>
      <c r="D62" s="974">
        <f t="array" ref="D62">SUM(IF(('6. Class A Consumption Data'!F116:G116="B")*('6. Class A Consumption Data'!B114="2017 - kwh"),'6. Class A Consumption Data'!F114:G114))</f>
        <v>0</v>
      </c>
      <c r="E62" s="974"/>
      <c r="F62" s="974">
        <f t="array" ref="F62">SUM(IF(('6. Class A Consumption Data'!J116:K116="B")*('6. Class A Consumption Data'!B114&lt;&gt;"N/A"),'6. Class A Consumption Data'!J114:K114))</f>
        <v>0</v>
      </c>
      <c r="G62" s="889">
        <f t="shared" si="1"/>
        <v>0</v>
      </c>
      <c r="H62" s="890">
        <f t="shared" si="2"/>
        <v>0</v>
      </c>
      <c r="I62" s="890">
        <f t="shared" si="3"/>
        <v>0</v>
      </c>
    </row>
    <row r="63" spans="1:9" hidden="1" x14ac:dyDescent="0.25">
      <c r="A63" s="888" t="s">
        <v>2614</v>
      </c>
      <c r="B63" s="888"/>
      <c r="C63" s="973">
        <f t="shared" si="0"/>
        <v>0</v>
      </c>
      <c r="D63" s="974">
        <f t="array" ref="D63">SUM(IF(('6. Class A Consumption Data'!F119:G119="B")*('6. Class A Consumption Data'!B117="2017 - kwh"),'6. Class A Consumption Data'!F117:G117))</f>
        <v>0</v>
      </c>
      <c r="E63" s="974"/>
      <c r="F63" s="974">
        <f t="array" ref="F63">SUM(IF(('6. Class A Consumption Data'!J119:K119="B")*('6. Class A Consumption Data'!B117&lt;&gt;"N/A"),'6. Class A Consumption Data'!J117:K117))</f>
        <v>0</v>
      </c>
      <c r="G63" s="889">
        <f t="shared" si="1"/>
        <v>0</v>
      </c>
      <c r="H63" s="890">
        <f t="shared" si="2"/>
        <v>0</v>
      </c>
      <c r="I63" s="890">
        <f t="shared" si="3"/>
        <v>0</v>
      </c>
    </row>
    <row r="64" spans="1:9" hidden="1" x14ac:dyDescent="0.25">
      <c r="A64" s="888" t="s">
        <v>2615</v>
      </c>
      <c r="B64" s="888"/>
      <c r="C64" s="973">
        <f t="shared" si="0"/>
        <v>0</v>
      </c>
      <c r="D64" s="974">
        <f t="array" ref="D64">SUM(IF(('6. Class A Consumption Data'!F122:G122="B")*('6. Class A Consumption Data'!B120="2017 - kwh"),'6. Class A Consumption Data'!F120:G120))</f>
        <v>0</v>
      </c>
      <c r="E64" s="974"/>
      <c r="F64" s="974">
        <f t="array" ref="F64">SUM(IF(('6. Class A Consumption Data'!J122:K122="B")*('6. Class A Consumption Data'!B120&lt;&gt;"N/A"),'6. Class A Consumption Data'!J120:K120))</f>
        <v>0</v>
      </c>
      <c r="G64" s="889">
        <f t="shared" si="1"/>
        <v>0</v>
      </c>
      <c r="H64" s="890">
        <f t="shared" si="2"/>
        <v>0</v>
      </c>
      <c r="I64" s="890">
        <f t="shared" si="3"/>
        <v>0</v>
      </c>
    </row>
    <row r="65" spans="1:9" hidden="1" x14ac:dyDescent="0.25">
      <c r="A65" s="888" t="s">
        <v>2616</v>
      </c>
      <c r="B65" s="888"/>
      <c r="C65" s="973">
        <f t="shared" si="0"/>
        <v>0</v>
      </c>
      <c r="D65" s="974">
        <f t="array" ref="D65">SUM(IF(('6. Class A Consumption Data'!F125:G125="B")*('6. Class A Consumption Data'!B123="2017 - kwh"),'6. Class A Consumption Data'!F123:G123))</f>
        <v>0</v>
      </c>
      <c r="E65" s="974"/>
      <c r="F65" s="974">
        <f t="array" ref="F65">SUM(IF(('6. Class A Consumption Data'!J125:K125="B")*('6. Class A Consumption Data'!B123&lt;&gt;"N/A"),'6. Class A Consumption Data'!J123:K123))</f>
        <v>0</v>
      </c>
      <c r="G65" s="889">
        <f t="shared" si="1"/>
        <v>0</v>
      </c>
      <c r="H65" s="890">
        <f t="shared" si="2"/>
        <v>0</v>
      </c>
      <c r="I65" s="890">
        <f t="shared" si="3"/>
        <v>0</v>
      </c>
    </row>
    <row r="66" spans="1:9" hidden="1" x14ac:dyDescent="0.25">
      <c r="A66" s="888" t="s">
        <v>2617</v>
      </c>
      <c r="B66" s="888"/>
      <c r="C66" s="973">
        <f t="shared" ref="C66:C97" si="4">SUM(D66:E66)</f>
        <v>0</v>
      </c>
      <c r="D66" s="974">
        <f t="array" ref="D66">SUM(IF(('6. Class A Consumption Data'!F128:G128="B")*('6. Class A Consumption Data'!B126="2017 - kwh"),'6. Class A Consumption Data'!F126:G126))</f>
        <v>0</v>
      </c>
      <c r="E66" s="974"/>
      <c r="F66" s="974">
        <f t="array" ref="F66">SUM(IF(('6. Class A Consumption Data'!J128:K128="B")*('6. Class A Consumption Data'!B126&lt;&gt;"N/A"),'6. Class A Consumption Data'!J126:K126))</f>
        <v>0</v>
      </c>
      <c r="G66" s="889">
        <f t="shared" ref="G66:G97" si="5">IFERROR(+C66/($C$184),0)</f>
        <v>0</v>
      </c>
      <c r="H66" s="890">
        <f t="shared" ref="H66:H97" si="6">+G66*$C$28</f>
        <v>0</v>
      </c>
      <c r="I66" s="890">
        <f t="shared" ref="I66:I97" si="7">+H66/12</f>
        <v>0</v>
      </c>
    </row>
    <row r="67" spans="1:9" hidden="1" x14ac:dyDescent="0.25">
      <c r="A67" s="888" t="s">
        <v>2618</v>
      </c>
      <c r="B67" s="888"/>
      <c r="C67" s="973">
        <f t="shared" si="4"/>
        <v>0</v>
      </c>
      <c r="D67" s="974">
        <f t="array" ref="D67">SUM(IF(('6. Class A Consumption Data'!F131:G131="B")*('6. Class A Consumption Data'!B129="2017 - kwh"),'6. Class A Consumption Data'!F129:G129))</f>
        <v>0</v>
      </c>
      <c r="E67" s="974"/>
      <c r="F67" s="974">
        <f t="array" ref="F67">SUM(IF(('6. Class A Consumption Data'!J131:K131="B")*('6. Class A Consumption Data'!B129&lt;&gt;"N/A"),'6. Class A Consumption Data'!J129:K129))</f>
        <v>0</v>
      </c>
      <c r="G67" s="889">
        <f t="shared" si="5"/>
        <v>0</v>
      </c>
      <c r="H67" s="890">
        <f t="shared" si="6"/>
        <v>0</v>
      </c>
      <c r="I67" s="890">
        <f t="shared" si="7"/>
        <v>0</v>
      </c>
    </row>
    <row r="68" spans="1:9" hidden="1" x14ac:dyDescent="0.25">
      <c r="A68" s="888" t="s">
        <v>2619</v>
      </c>
      <c r="B68" s="888"/>
      <c r="C68" s="973">
        <f t="shared" si="4"/>
        <v>0</v>
      </c>
      <c r="D68" s="974">
        <f t="array" ref="D68">SUM(IF(('6. Class A Consumption Data'!F134:G134="B")*('6. Class A Consumption Data'!B132="2017 - kwh"),'6. Class A Consumption Data'!F132:G132))</f>
        <v>0</v>
      </c>
      <c r="E68" s="974"/>
      <c r="F68" s="974">
        <f t="array" ref="F68">SUM(IF(('6. Class A Consumption Data'!J134:K134="B")*('6. Class A Consumption Data'!B132&lt;&gt;"N/A"),'6. Class A Consumption Data'!J132:K132))</f>
        <v>0</v>
      </c>
      <c r="G68" s="889">
        <f t="shared" si="5"/>
        <v>0</v>
      </c>
      <c r="H68" s="890">
        <f t="shared" si="6"/>
        <v>0</v>
      </c>
      <c r="I68" s="890">
        <f t="shared" si="7"/>
        <v>0</v>
      </c>
    </row>
    <row r="69" spans="1:9" hidden="1" x14ac:dyDescent="0.25">
      <c r="A69" s="888" t="s">
        <v>2620</v>
      </c>
      <c r="B69" s="888"/>
      <c r="C69" s="973">
        <f t="shared" si="4"/>
        <v>0</v>
      </c>
      <c r="D69" s="974">
        <f t="array" ref="D69">SUM(IF(('6. Class A Consumption Data'!F137:G137="B")*('6. Class A Consumption Data'!B135="2017 - kwh"),'6. Class A Consumption Data'!F135:G135))</f>
        <v>0</v>
      </c>
      <c r="E69" s="974"/>
      <c r="F69" s="974">
        <f t="array" ref="F69">SUM(IF(('6. Class A Consumption Data'!J137:K137="B")*('6. Class A Consumption Data'!B135&lt;&gt;"N/A"),'6. Class A Consumption Data'!J135:K135))</f>
        <v>0</v>
      </c>
      <c r="G69" s="889">
        <f t="shared" si="5"/>
        <v>0</v>
      </c>
      <c r="H69" s="890">
        <f t="shared" si="6"/>
        <v>0</v>
      </c>
      <c r="I69" s="890">
        <f t="shared" si="7"/>
        <v>0</v>
      </c>
    </row>
    <row r="70" spans="1:9" hidden="1" x14ac:dyDescent="0.25">
      <c r="A70" s="888" t="s">
        <v>2621</v>
      </c>
      <c r="B70" s="888"/>
      <c r="C70" s="973">
        <f t="shared" si="4"/>
        <v>0</v>
      </c>
      <c r="D70" s="974">
        <f t="array" ref="D70">SUM(IF(('6. Class A Consumption Data'!F140:G140="B")*('6. Class A Consumption Data'!B138="2017 - kwh"),'6. Class A Consumption Data'!F138:G138))</f>
        <v>0</v>
      </c>
      <c r="E70" s="974"/>
      <c r="F70" s="974">
        <f t="array" ref="F70">SUM(IF(('6. Class A Consumption Data'!J140:K140="B")*('6. Class A Consumption Data'!B138&lt;&gt;"N/A"),'6. Class A Consumption Data'!J138:K138))</f>
        <v>0</v>
      </c>
      <c r="G70" s="889">
        <f t="shared" si="5"/>
        <v>0</v>
      </c>
      <c r="H70" s="890">
        <f t="shared" si="6"/>
        <v>0</v>
      </c>
      <c r="I70" s="890">
        <f t="shared" si="7"/>
        <v>0</v>
      </c>
    </row>
    <row r="71" spans="1:9" hidden="1" x14ac:dyDescent="0.25">
      <c r="A71" s="888" t="s">
        <v>2622</v>
      </c>
      <c r="B71" s="888"/>
      <c r="C71" s="973">
        <f t="shared" si="4"/>
        <v>0</v>
      </c>
      <c r="D71" s="974">
        <f t="array" ref="D71">SUM(IF(('6. Class A Consumption Data'!F143:G143="B")*('6. Class A Consumption Data'!B141="2017 - kwh"),'6. Class A Consumption Data'!F141:G141))</f>
        <v>0</v>
      </c>
      <c r="E71" s="974"/>
      <c r="F71" s="974">
        <f t="array" ref="F71">SUM(IF(('6. Class A Consumption Data'!J143:K143="B")*('6. Class A Consumption Data'!B141&lt;&gt;"N/A"),'6. Class A Consumption Data'!J141:K141))</f>
        <v>0</v>
      </c>
      <c r="G71" s="889">
        <f t="shared" si="5"/>
        <v>0</v>
      </c>
      <c r="H71" s="890">
        <f t="shared" si="6"/>
        <v>0</v>
      </c>
      <c r="I71" s="890">
        <f t="shared" si="7"/>
        <v>0</v>
      </c>
    </row>
    <row r="72" spans="1:9" hidden="1" x14ac:dyDescent="0.25">
      <c r="A72" s="888" t="s">
        <v>2623</v>
      </c>
      <c r="B72" s="888"/>
      <c r="C72" s="973">
        <f t="shared" si="4"/>
        <v>0</v>
      </c>
      <c r="D72" s="974">
        <f t="array" ref="D72">SUM(IF(('6. Class A Consumption Data'!F146:G146="B")*('6. Class A Consumption Data'!B144="2017 - kwh"),'6. Class A Consumption Data'!F144:G144))</f>
        <v>0</v>
      </c>
      <c r="E72" s="974"/>
      <c r="F72" s="974">
        <f t="array" ref="F72">SUM(IF(('6. Class A Consumption Data'!J146:K146="B")*('6. Class A Consumption Data'!B144&lt;&gt;"N/A"),'6. Class A Consumption Data'!J144:K144))</f>
        <v>0</v>
      </c>
      <c r="G72" s="889">
        <f t="shared" si="5"/>
        <v>0</v>
      </c>
      <c r="H72" s="890">
        <f t="shared" si="6"/>
        <v>0</v>
      </c>
      <c r="I72" s="890">
        <f t="shared" si="7"/>
        <v>0</v>
      </c>
    </row>
    <row r="73" spans="1:9" hidden="1" x14ac:dyDescent="0.25">
      <c r="A73" s="888" t="s">
        <v>2624</v>
      </c>
      <c r="B73" s="888"/>
      <c r="C73" s="973">
        <f t="shared" si="4"/>
        <v>0</v>
      </c>
      <c r="D73" s="974">
        <f t="array" ref="D73">SUM(IF(('6. Class A Consumption Data'!F149:G149="B")*('6. Class A Consumption Data'!B147="2017 - kwh"),'6. Class A Consumption Data'!F147:G147))</f>
        <v>0</v>
      </c>
      <c r="E73" s="974"/>
      <c r="F73" s="974">
        <f t="array" ref="F73">SUM(IF(('6. Class A Consumption Data'!J149:K149="B")*('6. Class A Consumption Data'!B147&lt;&gt;"N/A"),'6. Class A Consumption Data'!J147:K147))</f>
        <v>0</v>
      </c>
      <c r="G73" s="889">
        <f t="shared" si="5"/>
        <v>0</v>
      </c>
      <c r="H73" s="890">
        <f t="shared" si="6"/>
        <v>0</v>
      </c>
      <c r="I73" s="890">
        <f t="shared" si="7"/>
        <v>0</v>
      </c>
    </row>
    <row r="74" spans="1:9" hidden="1" x14ac:dyDescent="0.25">
      <c r="A74" s="888" t="s">
        <v>2625</v>
      </c>
      <c r="B74" s="888"/>
      <c r="C74" s="973">
        <f t="shared" si="4"/>
        <v>0</v>
      </c>
      <c r="D74" s="974">
        <f t="array" ref="D74">SUM(IF(('6. Class A Consumption Data'!F152:G152="B")*('6. Class A Consumption Data'!B150="2017 - kwh"),'6. Class A Consumption Data'!F150:G150))</f>
        <v>0</v>
      </c>
      <c r="E74" s="974"/>
      <c r="F74" s="974">
        <f t="array" ref="F74">SUM(IF(('6. Class A Consumption Data'!J152:K152="B")*('6. Class A Consumption Data'!B150&lt;&gt;"N/A"),'6. Class A Consumption Data'!J150:K150))</f>
        <v>0</v>
      </c>
      <c r="G74" s="889">
        <f t="shared" si="5"/>
        <v>0</v>
      </c>
      <c r="H74" s="890">
        <f t="shared" si="6"/>
        <v>0</v>
      </c>
      <c r="I74" s="890">
        <f t="shared" si="7"/>
        <v>0</v>
      </c>
    </row>
    <row r="75" spans="1:9" hidden="1" x14ac:dyDescent="0.25">
      <c r="A75" s="888" t="s">
        <v>2626</v>
      </c>
      <c r="B75" s="888"/>
      <c r="C75" s="973">
        <f t="shared" si="4"/>
        <v>0</v>
      </c>
      <c r="D75" s="974">
        <f t="array" ref="D75">SUM(IF(('6. Class A Consumption Data'!F155:G155="B")*('6. Class A Consumption Data'!B153="2017 - kwh"),'6. Class A Consumption Data'!F153:G153))</f>
        <v>0</v>
      </c>
      <c r="E75" s="974"/>
      <c r="F75" s="974">
        <f t="array" ref="F75">SUM(IF(('6. Class A Consumption Data'!J155:K155="B")*('6. Class A Consumption Data'!B153&lt;&gt;"N/A"),'6. Class A Consumption Data'!J153:K153))</f>
        <v>0</v>
      </c>
      <c r="G75" s="889">
        <f t="shared" si="5"/>
        <v>0</v>
      </c>
      <c r="H75" s="890">
        <f t="shared" si="6"/>
        <v>0</v>
      </c>
      <c r="I75" s="890">
        <f t="shared" si="7"/>
        <v>0</v>
      </c>
    </row>
    <row r="76" spans="1:9" hidden="1" x14ac:dyDescent="0.25">
      <c r="A76" s="888" t="s">
        <v>2627</v>
      </c>
      <c r="B76" s="888"/>
      <c r="C76" s="973">
        <f t="shared" si="4"/>
        <v>0</v>
      </c>
      <c r="D76" s="974">
        <f t="array" ref="D76">SUM(IF(('6. Class A Consumption Data'!F158:G158="B")*('6. Class A Consumption Data'!B156="2017 - kwh"),'6. Class A Consumption Data'!F156:G156))</f>
        <v>0</v>
      </c>
      <c r="E76" s="974"/>
      <c r="F76" s="974">
        <f t="array" ref="F76">SUM(IF(('6. Class A Consumption Data'!J158:K158="B")*('6. Class A Consumption Data'!B156&lt;&gt;"N/A"),'6. Class A Consumption Data'!J156:K156))</f>
        <v>0</v>
      </c>
      <c r="G76" s="889">
        <f t="shared" si="5"/>
        <v>0</v>
      </c>
      <c r="H76" s="890">
        <f t="shared" si="6"/>
        <v>0</v>
      </c>
      <c r="I76" s="890">
        <f t="shared" si="7"/>
        <v>0</v>
      </c>
    </row>
    <row r="77" spans="1:9" hidden="1" x14ac:dyDescent="0.25">
      <c r="A77" s="888" t="s">
        <v>2628</v>
      </c>
      <c r="B77" s="888"/>
      <c r="C77" s="973">
        <f t="shared" si="4"/>
        <v>0</v>
      </c>
      <c r="D77" s="974">
        <f t="array" ref="D77">SUM(IF(('6. Class A Consumption Data'!F161:G161="B")*('6. Class A Consumption Data'!B159="2017 - kwh"),'6. Class A Consumption Data'!F159:G159))</f>
        <v>0</v>
      </c>
      <c r="E77" s="974"/>
      <c r="F77" s="974">
        <f t="array" ref="F77">SUM(IF(('6. Class A Consumption Data'!J161:K161="B")*('6. Class A Consumption Data'!B159&lt;&gt;"N/A"),'6. Class A Consumption Data'!J159:K159))</f>
        <v>0</v>
      </c>
      <c r="G77" s="889">
        <f t="shared" si="5"/>
        <v>0</v>
      </c>
      <c r="H77" s="890">
        <f t="shared" si="6"/>
        <v>0</v>
      </c>
      <c r="I77" s="890">
        <f t="shared" si="7"/>
        <v>0</v>
      </c>
    </row>
    <row r="78" spans="1:9" hidden="1" x14ac:dyDescent="0.25">
      <c r="A78" s="888" t="s">
        <v>2629</v>
      </c>
      <c r="B78" s="888"/>
      <c r="C78" s="973">
        <f t="shared" si="4"/>
        <v>0</v>
      </c>
      <c r="D78" s="974">
        <f t="array" ref="D78">SUM(IF(('6. Class A Consumption Data'!F164:G164="B")*('6. Class A Consumption Data'!B162="2017 - kwh"),'6. Class A Consumption Data'!F162:G162))</f>
        <v>0</v>
      </c>
      <c r="E78" s="974"/>
      <c r="F78" s="974">
        <f t="array" ref="F78">SUM(IF(('6. Class A Consumption Data'!J164:K164="B")*('6. Class A Consumption Data'!B162&lt;&gt;"N/A"),'6. Class A Consumption Data'!J162:K162))</f>
        <v>0</v>
      </c>
      <c r="G78" s="889">
        <f t="shared" si="5"/>
        <v>0</v>
      </c>
      <c r="H78" s="890">
        <f t="shared" si="6"/>
        <v>0</v>
      </c>
      <c r="I78" s="890">
        <f t="shared" si="7"/>
        <v>0</v>
      </c>
    </row>
    <row r="79" spans="1:9" hidden="1" x14ac:dyDescent="0.25">
      <c r="A79" s="888" t="s">
        <v>2630</v>
      </c>
      <c r="B79" s="888"/>
      <c r="C79" s="973">
        <f t="shared" si="4"/>
        <v>0</v>
      </c>
      <c r="D79" s="974">
        <f t="array" ref="D79">SUM(IF(('6. Class A Consumption Data'!F167:G167="B")*('6. Class A Consumption Data'!B165="2017 - kwh"),'6. Class A Consumption Data'!F165:G165))</f>
        <v>0</v>
      </c>
      <c r="E79" s="974"/>
      <c r="F79" s="974">
        <f t="array" ref="F79">SUM(IF(('6. Class A Consumption Data'!J167:K167="B")*('6. Class A Consumption Data'!B165&lt;&gt;"N/A"),'6. Class A Consumption Data'!J165:K165))</f>
        <v>0</v>
      </c>
      <c r="G79" s="889">
        <f t="shared" si="5"/>
        <v>0</v>
      </c>
      <c r="H79" s="890">
        <f t="shared" si="6"/>
        <v>0</v>
      </c>
      <c r="I79" s="890">
        <f t="shared" si="7"/>
        <v>0</v>
      </c>
    </row>
    <row r="80" spans="1:9" hidden="1" x14ac:dyDescent="0.25">
      <c r="A80" s="888" t="s">
        <v>2631</v>
      </c>
      <c r="B80" s="888"/>
      <c r="C80" s="973">
        <f t="shared" si="4"/>
        <v>0</v>
      </c>
      <c r="D80" s="974">
        <f t="array" ref="D80">SUM(IF(('6. Class A Consumption Data'!F170:G170="B")*('6. Class A Consumption Data'!B168="2017 - kwh"),'6. Class A Consumption Data'!F168:G168))</f>
        <v>0</v>
      </c>
      <c r="E80" s="974"/>
      <c r="F80" s="974">
        <f t="array" ref="F80">SUM(IF(('6. Class A Consumption Data'!J170:K170="B")*('6. Class A Consumption Data'!B168&lt;&gt;"N/A"),'6. Class A Consumption Data'!J168:K168))</f>
        <v>0</v>
      </c>
      <c r="G80" s="889">
        <f t="shared" si="5"/>
        <v>0</v>
      </c>
      <c r="H80" s="890">
        <f t="shared" si="6"/>
        <v>0</v>
      </c>
      <c r="I80" s="890">
        <f t="shared" si="7"/>
        <v>0</v>
      </c>
    </row>
    <row r="81" spans="1:9" hidden="1" x14ac:dyDescent="0.25">
      <c r="A81" s="888" t="s">
        <v>2632</v>
      </c>
      <c r="B81" s="888"/>
      <c r="C81" s="973">
        <f t="shared" si="4"/>
        <v>0</v>
      </c>
      <c r="D81" s="974">
        <f t="array" ref="D81">SUM(IF(('6. Class A Consumption Data'!F173:G173="B")*('6. Class A Consumption Data'!B171="2017 - kwh"),'6. Class A Consumption Data'!F171:G171))</f>
        <v>0</v>
      </c>
      <c r="E81" s="974"/>
      <c r="F81" s="974">
        <f t="array" ref="F81">SUM(IF(('6. Class A Consumption Data'!J173:K173="B")*('6. Class A Consumption Data'!B171&lt;&gt;"N/A"),'6. Class A Consumption Data'!J171:K171))</f>
        <v>0</v>
      </c>
      <c r="G81" s="889">
        <f t="shared" si="5"/>
        <v>0</v>
      </c>
      <c r="H81" s="890">
        <f t="shared" si="6"/>
        <v>0</v>
      </c>
      <c r="I81" s="890">
        <f t="shared" si="7"/>
        <v>0</v>
      </c>
    </row>
    <row r="82" spans="1:9" hidden="1" x14ac:dyDescent="0.25">
      <c r="A82" s="888" t="s">
        <v>2633</v>
      </c>
      <c r="B82" s="888"/>
      <c r="C82" s="973">
        <f t="shared" si="4"/>
        <v>0</v>
      </c>
      <c r="D82" s="974">
        <f t="array" ref="D82">SUM(IF(('6. Class A Consumption Data'!F176:G176="B")*('6. Class A Consumption Data'!B174="2017 - kwh"),'6. Class A Consumption Data'!F174:G174))</f>
        <v>0</v>
      </c>
      <c r="E82" s="974"/>
      <c r="F82" s="974">
        <f t="array" ref="F82">SUM(IF(('6. Class A Consumption Data'!J176:K176="B")*('6. Class A Consumption Data'!B174&lt;&gt;"N/A"),'6. Class A Consumption Data'!J174:K174))</f>
        <v>0</v>
      </c>
      <c r="G82" s="889">
        <f t="shared" si="5"/>
        <v>0</v>
      </c>
      <c r="H82" s="890">
        <f t="shared" si="6"/>
        <v>0</v>
      </c>
      <c r="I82" s="890">
        <f t="shared" si="7"/>
        <v>0</v>
      </c>
    </row>
    <row r="83" spans="1:9" hidden="1" x14ac:dyDescent="0.25">
      <c r="A83" s="888" t="s">
        <v>2634</v>
      </c>
      <c r="B83" s="888"/>
      <c r="C83" s="973">
        <f t="shared" si="4"/>
        <v>0</v>
      </c>
      <c r="D83" s="974">
        <f t="array" ref="D83">SUM(IF(('6. Class A Consumption Data'!F179:G179="B")*('6. Class A Consumption Data'!B177="2017 - kwh"),'6. Class A Consumption Data'!F177:G177))</f>
        <v>0</v>
      </c>
      <c r="E83" s="974"/>
      <c r="F83" s="974">
        <f t="array" ref="F83">SUM(IF(('6. Class A Consumption Data'!J179:K179="B")*('6. Class A Consumption Data'!B177&lt;&gt;"N/A"),'6. Class A Consumption Data'!J177:K177))</f>
        <v>0</v>
      </c>
      <c r="G83" s="889">
        <f t="shared" si="5"/>
        <v>0</v>
      </c>
      <c r="H83" s="890">
        <f t="shared" si="6"/>
        <v>0</v>
      </c>
      <c r="I83" s="890">
        <f t="shared" si="7"/>
        <v>0</v>
      </c>
    </row>
    <row r="84" spans="1:9" hidden="1" x14ac:dyDescent="0.25">
      <c r="A84" s="888" t="s">
        <v>2635</v>
      </c>
      <c r="B84" s="888"/>
      <c r="C84" s="973">
        <f t="shared" si="4"/>
        <v>0</v>
      </c>
      <c r="D84" s="974">
        <f t="array" ref="D84">SUM(IF(('6. Class A Consumption Data'!F182:G182="B")*('6. Class A Consumption Data'!B180="2017 - kwh"),'6. Class A Consumption Data'!F180:G180))</f>
        <v>0</v>
      </c>
      <c r="E84" s="974"/>
      <c r="F84" s="974">
        <f t="array" ref="F84">SUM(IF(('6. Class A Consumption Data'!J182:K182="B")*('6. Class A Consumption Data'!B180&lt;&gt;"N/A"),'6. Class A Consumption Data'!J180:K180))</f>
        <v>0</v>
      </c>
      <c r="G84" s="889">
        <f t="shared" si="5"/>
        <v>0</v>
      </c>
      <c r="H84" s="890">
        <f t="shared" si="6"/>
        <v>0</v>
      </c>
      <c r="I84" s="890">
        <f t="shared" si="7"/>
        <v>0</v>
      </c>
    </row>
    <row r="85" spans="1:9" hidden="1" x14ac:dyDescent="0.25">
      <c r="A85" s="888" t="s">
        <v>2636</v>
      </c>
      <c r="B85" s="888"/>
      <c r="C85" s="973">
        <f t="shared" si="4"/>
        <v>0</v>
      </c>
      <c r="D85" s="974">
        <f t="array" ref="D85">SUM(IF(('6. Class A Consumption Data'!F185:G185="B")*('6. Class A Consumption Data'!B183="2017 - kwh"),'6. Class A Consumption Data'!F183:G183))</f>
        <v>0</v>
      </c>
      <c r="E85" s="974"/>
      <c r="F85" s="974">
        <f t="array" ref="F85">SUM(IF(('6. Class A Consumption Data'!J185:K185="B")*('6. Class A Consumption Data'!B183&lt;&gt;"N/A"),'6. Class A Consumption Data'!J183:K183))</f>
        <v>0</v>
      </c>
      <c r="G85" s="889">
        <f t="shared" si="5"/>
        <v>0</v>
      </c>
      <c r="H85" s="890">
        <f t="shared" si="6"/>
        <v>0</v>
      </c>
      <c r="I85" s="890">
        <f t="shared" si="7"/>
        <v>0</v>
      </c>
    </row>
    <row r="86" spans="1:9" hidden="1" x14ac:dyDescent="0.25">
      <c r="A86" s="888" t="s">
        <v>2637</v>
      </c>
      <c r="B86" s="888"/>
      <c r="C86" s="973">
        <f t="shared" si="4"/>
        <v>0</v>
      </c>
      <c r="D86" s="974">
        <f t="array" ref="D86">SUM(IF(('6. Class A Consumption Data'!F188:G188="B")*('6. Class A Consumption Data'!B186="2017 - kwh"),'6. Class A Consumption Data'!F186:G186))</f>
        <v>0</v>
      </c>
      <c r="E86" s="974"/>
      <c r="F86" s="974">
        <f t="array" ref="F86">SUM(IF(('6. Class A Consumption Data'!J188:K188="B")*('6. Class A Consumption Data'!B186&lt;&gt;"N/A"),'6. Class A Consumption Data'!J186:K186))</f>
        <v>0</v>
      </c>
      <c r="G86" s="889">
        <f t="shared" si="5"/>
        <v>0</v>
      </c>
      <c r="H86" s="890">
        <f t="shared" si="6"/>
        <v>0</v>
      </c>
      <c r="I86" s="890">
        <f t="shared" si="7"/>
        <v>0</v>
      </c>
    </row>
    <row r="87" spans="1:9" hidden="1" x14ac:dyDescent="0.25">
      <c r="A87" s="888" t="s">
        <v>2638</v>
      </c>
      <c r="B87" s="888"/>
      <c r="C87" s="973">
        <f t="shared" si="4"/>
        <v>0</v>
      </c>
      <c r="D87" s="974">
        <f t="array" ref="D87">SUM(IF(('6. Class A Consumption Data'!F191:G191="B")*('6. Class A Consumption Data'!B189="2017 - kwh"),'6. Class A Consumption Data'!F189:G189))</f>
        <v>0</v>
      </c>
      <c r="E87" s="974"/>
      <c r="F87" s="974">
        <f t="array" ref="F87">SUM(IF(('6. Class A Consumption Data'!J191:K191="B")*('6. Class A Consumption Data'!B189&lt;&gt;"N/A"),'6. Class A Consumption Data'!J189:K189))</f>
        <v>0</v>
      </c>
      <c r="G87" s="889">
        <f t="shared" si="5"/>
        <v>0</v>
      </c>
      <c r="H87" s="890">
        <f t="shared" si="6"/>
        <v>0</v>
      </c>
      <c r="I87" s="890">
        <f t="shared" si="7"/>
        <v>0</v>
      </c>
    </row>
    <row r="88" spans="1:9" hidden="1" x14ac:dyDescent="0.25">
      <c r="A88" s="888" t="s">
        <v>2639</v>
      </c>
      <c r="B88" s="888"/>
      <c r="C88" s="973">
        <f t="shared" si="4"/>
        <v>0</v>
      </c>
      <c r="D88" s="974">
        <f t="array" ref="D88">SUM(IF(('6. Class A Consumption Data'!F194:G194="B")*('6. Class A Consumption Data'!B192="2017 - kwh"),'6. Class A Consumption Data'!F192:G192))</f>
        <v>0</v>
      </c>
      <c r="E88" s="974"/>
      <c r="F88" s="974">
        <f t="array" ref="F88">SUM(IF(('6. Class A Consumption Data'!J194:K194="B")*('6. Class A Consumption Data'!B192&lt;&gt;"N/A"),'6. Class A Consumption Data'!J192:K192))</f>
        <v>0</v>
      </c>
      <c r="G88" s="889">
        <f t="shared" si="5"/>
        <v>0</v>
      </c>
      <c r="H88" s="890">
        <f t="shared" si="6"/>
        <v>0</v>
      </c>
      <c r="I88" s="890">
        <f t="shared" si="7"/>
        <v>0</v>
      </c>
    </row>
    <row r="89" spans="1:9" hidden="1" x14ac:dyDescent="0.25">
      <c r="A89" s="888" t="s">
        <v>2640</v>
      </c>
      <c r="B89" s="888"/>
      <c r="C89" s="973">
        <f t="shared" si="4"/>
        <v>0</v>
      </c>
      <c r="D89" s="974">
        <f t="array" ref="D89">SUM(IF(('6. Class A Consumption Data'!F197:G197="B")*('6. Class A Consumption Data'!B195="2017 - kwh"),'6. Class A Consumption Data'!F195:G195))</f>
        <v>0</v>
      </c>
      <c r="E89" s="974"/>
      <c r="F89" s="974">
        <f t="array" ref="F89">SUM(IF(('6. Class A Consumption Data'!J197:K197="B")*('6. Class A Consumption Data'!B195&lt;&gt;"N/A"),'6. Class A Consumption Data'!J195:K195))</f>
        <v>0</v>
      </c>
      <c r="G89" s="889">
        <f t="shared" si="5"/>
        <v>0</v>
      </c>
      <c r="H89" s="890">
        <f t="shared" si="6"/>
        <v>0</v>
      </c>
      <c r="I89" s="890">
        <f t="shared" si="7"/>
        <v>0</v>
      </c>
    </row>
    <row r="90" spans="1:9" hidden="1" x14ac:dyDescent="0.25">
      <c r="A90" s="888" t="s">
        <v>2641</v>
      </c>
      <c r="B90" s="888"/>
      <c r="C90" s="973">
        <f t="shared" si="4"/>
        <v>0</v>
      </c>
      <c r="D90" s="974">
        <f t="array" ref="D90">SUM(IF(('6. Class A Consumption Data'!F200:G200="B")*('6. Class A Consumption Data'!B198="2017 - kwh"),'6. Class A Consumption Data'!F198:G198))</f>
        <v>0</v>
      </c>
      <c r="E90" s="974"/>
      <c r="F90" s="974">
        <f t="array" ref="F90">SUM(IF(('6. Class A Consumption Data'!J200:K200="B")*('6. Class A Consumption Data'!B198&lt;&gt;"N/A"),'6. Class A Consumption Data'!J198:K198))</f>
        <v>0</v>
      </c>
      <c r="G90" s="889">
        <f t="shared" si="5"/>
        <v>0</v>
      </c>
      <c r="H90" s="890">
        <f t="shared" si="6"/>
        <v>0</v>
      </c>
      <c r="I90" s="890">
        <f t="shared" si="7"/>
        <v>0</v>
      </c>
    </row>
    <row r="91" spans="1:9" hidden="1" x14ac:dyDescent="0.25">
      <c r="A91" s="888" t="s">
        <v>2642</v>
      </c>
      <c r="B91" s="888"/>
      <c r="C91" s="973">
        <f t="shared" si="4"/>
        <v>0</v>
      </c>
      <c r="D91" s="974">
        <f t="array" ref="D91">SUM(IF(('6. Class A Consumption Data'!F203:G203="B")*('6. Class A Consumption Data'!B201="2017 - kwh"),'6. Class A Consumption Data'!F201:G201))</f>
        <v>0</v>
      </c>
      <c r="E91" s="974"/>
      <c r="F91" s="974">
        <f t="array" ref="F91">SUM(IF(('6. Class A Consumption Data'!J203:K203="B")*('6. Class A Consumption Data'!B201&lt;&gt;"N/A"),'6. Class A Consumption Data'!J201:K201))</f>
        <v>0</v>
      </c>
      <c r="G91" s="889">
        <f t="shared" si="5"/>
        <v>0</v>
      </c>
      <c r="H91" s="890">
        <f t="shared" si="6"/>
        <v>0</v>
      </c>
      <c r="I91" s="890">
        <f t="shared" si="7"/>
        <v>0</v>
      </c>
    </row>
    <row r="92" spans="1:9" hidden="1" x14ac:dyDescent="0.25">
      <c r="A92" s="888" t="s">
        <v>2643</v>
      </c>
      <c r="B92" s="888"/>
      <c r="C92" s="973">
        <f t="shared" si="4"/>
        <v>0</v>
      </c>
      <c r="D92" s="974">
        <f t="array" ref="D92">SUM(IF(('6. Class A Consumption Data'!F206:G206="B")*('6. Class A Consumption Data'!B204="2017 - kwh"),'6. Class A Consumption Data'!F204:G204))</f>
        <v>0</v>
      </c>
      <c r="E92" s="974"/>
      <c r="F92" s="974">
        <f t="array" ref="F92">SUM(IF(('6. Class A Consumption Data'!J206:K206="B")*('6. Class A Consumption Data'!B204&lt;&gt;"N/A"),'6. Class A Consumption Data'!J204:K204))</f>
        <v>0</v>
      </c>
      <c r="G92" s="889">
        <f t="shared" si="5"/>
        <v>0</v>
      </c>
      <c r="H92" s="890">
        <f t="shared" si="6"/>
        <v>0</v>
      </c>
      <c r="I92" s="890">
        <f t="shared" si="7"/>
        <v>0</v>
      </c>
    </row>
    <row r="93" spans="1:9" hidden="1" x14ac:dyDescent="0.25">
      <c r="A93" s="888" t="s">
        <v>2644</v>
      </c>
      <c r="B93" s="888"/>
      <c r="C93" s="973">
        <f t="shared" si="4"/>
        <v>0</v>
      </c>
      <c r="D93" s="974">
        <f t="array" ref="D93">SUM(IF(('6. Class A Consumption Data'!F209:G209="B")*('6. Class A Consumption Data'!B207="2017 - kwh"),'6. Class A Consumption Data'!F207:G207))</f>
        <v>0</v>
      </c>
      <c r="E93" s="974"/>
      <c r="F93" s="974">
        <f t="array" ref="F93">SUM(IF(('6. Class A Consumption Data'!J209:K209="B")*('6. Class A Consumption Data'!B207&lt;&gt;"N/A"),'6. Class A Consumption Data'!J207:K207))</f>
        <v>0</v>
      </c>
      <c r="G93" s="889">
        <f t="shared" si="5"/>
        <v>0</v>
      </c>
      <c r="H93" s="890">
        <f t="shared" si="6"/>
        <v>0</v>
      </c>
      <c r="I93" s="890">
        <f t="shared" si="7"/>
        <v>0</v>
      </c>
    </row>
    <row r="94" spans="1:9" hidden="1" x14ac:dyDescent="0.25">
      <c r="A94" s="888" t="s">
        <v>2645</v>
      </c>
      <c r="B94" s="888"/>
      <c r="C94" s="973">
        <f t="shared" si="4"/>
        <v>0</v>
      </c>
      <c r="D94" s="974">
        <f t="array" ref="D94">SUM(IF(('6. Class A Consumption Data'!F212:G212="B")*('6. Class A Consumption Data'!B210="2017 - kwh"),'6. Class A Consumption Data'!F210:G210))</f>
        <v>0</v>
      </c>
      <c r="E94" s="974"/>
      <c r="F94" s="974">
        <f t="array" ref="F94">SUM(IF(('6. Class A Consumption Data'!J212:K212="B")*('6. Class A Consumption Data'!B210&lt;&gt;"N/A"),'6. Class A Consumption Data'!J210:K210))</f>
        <v>0</v>
      </c>
      <c r="G94" s="889">
        <f t="shared" si="5"/>
        <v>0</v>
      </c>
      <c r="H94" s="890">
        <f t="shared" si="6"/>
        <v>0</v>
      </c>
      <c r="I94" s="890">
        <f t="shared" si="7"/>
        <v>0</v>
      </c>
    </row>
    <row r="95" spans="1:9" hidden="1" x14ac:dyDescent="0.25">
      <c r="A95" s="888" t="s">
        <v>2646</v>
      </c>
      <c r="B95" s="888"/>
      <c r="C95" s="973">
        <f t="shared" si="4"/>
        <v>0</v>
      </c>
      <c r="D95" s="974">
        <f t="array" ref="D95">SUM(IF(('6. Class A Consumption Data'!F215:G215="B")*('6. Class A Consumption Data'!B213="2017 - kwh"),'6. Class A Consumption Data'!F213:G213))</f>
        <v>0</v>
      </c>
      <c r="E95" s="974"/>
      <c r="F95" s="974">
        <f t="array" ref="F95">SUM(IF(('6. Class A Consumption Data'!J215:K215="B")*('6. Class A Consumption Data'!B213&lt;&gt;"N/A"),'6. Class A Consumption Data'!J213:K213))</f>
        <v>0</v>
      </c>
      <c r="G95" s="889">
        <f t="shared" si="5"/>
        <v>0</v>
      </c>
      <c r="H95" s="890">
        <f t="shared" si="6"/>
        <v>0</v>
      </c>
      <c r="I95" s="890">
        <f t="shared" si="7"/>
        <v>0</v>
      </c>
    </row>
    <row r="96" spans="1:9" hidden="1" x14ac:dyDescent="0.25">
      <c r="A96" s="888" t="s">
        <v>2647</v>
      </c>
      <c r="B96" s="888"/>
      <c r="C96" s="973">
        <f t="shared" si="4"/>
        <v>0</v>
      </c>
      <c r="D96" s="974">
        <f t="array" ref="D96">SUM(IF(('6. Class A Consumption Data'!F218:G218="B")*('6. Class A Consumption Data'!B216="2017 - kwh"),'6. Class A Consumption Data'!F216:G216))</f>
        <v>0</v>
      </c>
      <c r="E96" s="974"/>
      <c r="F96" s="974">
        <f t="array" ref="F96">SUM(IF(('6. Class A Consumption Data'!J218:K218="B")*('6. Class A Consumption Data'!B216&lt;&gt;"N/A"),'6. Class A Consumption Data'!J216:K216))</f>
        <v>0</v>
      </c>
      <c r="G96" s="889">
        <f t="shared" si="5"/>
        <v>0</v>
      </c>
      <c r="H96" s="890">
        <f t="shared" si="6"/>
        <v>0</v>
      </c>
      <c r="I96" s="890">
        <f t="shared" si="7"/>
        <v>0</v>
      </c>
    </row>
    <row r="97" spans="1:9" hidden="1" x14ac:dyDescent="0.25">
      <c r="A97" s="888" t="s">
        <v>2648</v>
      </c>
      <c r="B97" s="888"/>
      <c r="C97" s="973">
        <f t="shared" si="4"/>
        <v>0</v>
      </c>
      <c r="D97" s="974">
        <f t="array" ref="D97">SUM(IF(('6. Class A Consumption Data'!F221:G221="B")*('6. Class A Consumption Data'!B219="2017 - kwh"),'6. Class A Consumption Data'!F219:G219))</f>
        <v>0</v>
      </c>
      <c r="E97" s="974"/>
      <c r="F97" s="974">
        <f t="array" ref="F97">SUM(IF(('6. Class A Consumption Data'!J221:K221="B")*('6. Class A Consumption Data'!B219&lt;&gt;"N/A"),'6. Class A Consumption Data'!J219:K219))</f>
        <v>0</v>
      </c>
      <c r="G97" s="889">
        <f t="shared" si="5"/>
        <v>0</v>
      </c>
      <c r="H97" s="890">
        <f t="shared" si="6"/>
        <v>0</v>
      </c>
      <c r="I97" s="890">
        <f t="shared" si="7"/>
        <v>0</v>
      </c>
    </row>
    <row r="98" spans="1:9" hidden="1" x14ac:dyDescent="0.25">
      <c r="A98" s="888" t="s">
        <v>2649</v>
      </c>
      <c r="B98" s="888"/>
      <c r="C98" s="973">
        <f t="shared" ref="C98:C129" si="8">SUM(D98:E98)</f>
        <v>0</v>
      </c>
      <c r="D98" s="974">
        <f t="array" ref="D98">SUM(IF(('6. Class A Consumption Data'!F224:G224="B")*('6. Class A Consumption Data'!B222="2017 - kwh"),'6. Class A Consumption Data'!F222:G222))</f>
        <v>0</v>
      </c>
      <c r="E98" s="974"/>
      <c r="F98" s="974">
        <f t="array" ref="F98">SUM(IF(('6. Class A Consumption Data'!J224:K224="B")*('6. Class A Consumption Data'!B222&lt;&gt;"N/A"),'6. Class A Consumption Data'!J222:K222))</f>
        <v>0</v>
      </c>
      <c r="G98" s="889">
        <f t="shared" ref="G98:G129" si="9">IFERROR(+C98/($C$184),0)</f>
        <v>0</v>
      </c>
      <c r="H98" s="890">
        <f t="shared" ref="H98:H129" si="10">+G98*$C$28</f>
        <v>0</v>
      </c>
      <c r="I98" s="890">
        <f t="shared" ref="I98:I129" si="11">+H98/12</f>
        <v>0</v>
      </c>
    </row>
    <row r="99" spans="1:9" hidden="1" x14ac:dyDescent="0.25">
      <c r="A99" s="888" t="s">
        <v>2650</v>
      </c>
      <c r="B99" s="888"/>
      <c r="C99" s="973">
        <f t="shared" si="8"/>
        <v>0</v>
      </c>
      <c r="D99" s="974">
        <f t="array" ref="D99">SUM(IF(('6. Class A Consumption Data'!F227:G227="B")*('6. Class A Consumption Data'!B225="2017 - kwh"),'6. Class A Consumption Data'!F225:G225))</f>
        <v>0</v>
      </c>
      <c r="E99" s="974"/>
      <c r="F99" s="974">
        <f t="array" ref="F99">SUM(IF(('6. Class A Consumption Data'!J227:K227="B")*('6. Class A Consumption Data'!B225&lt;&gt;"N/A"),'6. Class A Consumption Data'!J225:K225))</f>
        <v>0</v>
      </c>
      <c r="G99" s="889">
        <f t="shared" si="9"/>
        <v>0</v>
      </c>
      <c r="H99" s="890">
        <f t="shared" si="10"/>
        <v>0</v>
      </c>
      <c r="I99" s="890">
        <f t="shared" si="11"/>
        <v>0</v>
      </c>
    </row>
    <row r="100" spans="1:9" hidden="1" x14ac:dyDescent="0.25">
      <c r="A100" s="888" t="s">
        <v>2651</v>
      </c>
      <c r="B100" s="888"/>
      <c r="C100" s="973">
        <f t="shared" si="8"/>
        <v>0</v>
      </c>
      <c r="D100" s="974">
        <f t="array" ref="D100">SUM(IF(('6. Class A Consumption Data'!F230:G230="B")*('6. Class A Consumption Data'!B228="2017 - kwh"),'6. Class A Consumption Data'!F228:G228))</f>
        <v>0</v>
      </c>
      <c r="E100" s="974"/>
      <c r="F100" s="974">
        <f t="array" ref="F100">SUM(IF(('6. Class A Consumption Data'!J230:K230="B")*('6. Class A Consumption Data'!B228&lt;&gt;"N/A"),'6. Class A Consumption Data'!J228:K228))</f>
        <v>0</v>
      </c>
      <c r="G100" s="889">
        <f t="shared" si="9"/>
        <v>0</v>
      </c>
      <c r="H100" s="890">
        <f t="shared" si="10"/>
        <v>0</v>
      </c>
      <c r="I100" s="890">
        <f t="shared" si="11"/>
        <v>0</v>
      </c>
    </row>
    <row r="101" spans="1:9" hidden="1" x14ac:dyDescent="0.25">
      <c r="A101" s="888" t="s">
        <v>2652</v>
      </c>
      <c r="B101" s="888"/>
      <c r="C101" s="973">
        <f t="shared" si="8"/>
        <v>0</v>
      </c>
      <c r="D101" s="974">
        <f t="array" ref="D101">SUM(IF(('6. Class A Consumption Data'!F233:G233="B")*('6. Class A Consumption Data'!B231="2017 - kwh"),'6. Class A Consumption Data'!F231:G231))</f>
        <v>0</v>
      </c>
      <c r="E101" s="974"/>
      <c r="F101" s="974">
        <f t="array" ref="F101">SUM(IF(('6. Class A Consumption Data'!J233:K233="B")*('6. Class A Consumption Data'!B231&lt;&gt;"N/A"),'6. Class A Consumption Data'!J231:K231))</f>
        <v>0</v>
      </c>
      <c r="G101" s="889">
        <f t="shared" si="9"/>
        <v>0</v>
      </c>
      <c r="H101" s="890">
        <f t="shared" si="10"/>
        <v>0</v>
      </c>
      <c r="I101" s="890">
        <f t="shared" si="11"/>
        <v>0</v>
      </c>
    </row>
    <row r="102" spans="1:9" hidden="1" x14ac:dyDescent="0.25">
      <c r="A102" s="888" t="s">
        <v>2653</v>
      </c>
      <c r="B102" s="888"/>
      <c r="C102" s="973">
        <f t="shared" si="8"/>
        <v>0</v>
      </c>
      <c r="D102" s="974">
        <f t="array" ref="D102">SUM(IF(('6. Class A Consumption Data'!F236:G236="B")*('6. Class A Consumption Data'!B234="2017 - kwh"),'6. Class A Consumption Data'!F234:G234))</f>
        <v>0</v>
      </c>
      <c r="E102" s="974"/>
      <c r="F102" s="974">
        <f t="array" ref="F102">SUM(IF(('6. Class A Consumption Data'!J236:K236="B")*('6. Class A Consumption Data'!B234&lt;&gt;"N/A"),'6. Class A Consumption Data'!J234:K234))</f>
        <v>0</v>
      </c>
      <c r="G102" s="889">
        <f t="shared" si="9"/>
        <v>0</v>
      </c>
      <c r="H102" s="890">
        <f t="shared" si="10"/>
        <v>0</v>
      </c>
      <c r="I102" s="890">
        <f t="shared" si="11"/>
        <v>0</v>
      </c>
    </row>
    <row r="103" spans="1:9" hidden="1" x14ac:dyDescent="0.25">
      <c r="A103" s="888" t="s">
        <v>2654</v>
      </c>
      <c r="B103" s="888"/>
      <c r="C103" s="973">
        <f t="shared" si="8"/>
        <v>0</v>
      </c>
      <c r="D103" s="974">
        <f t="array" ref="D103">SUM(IF(('6. Class A Consumption Data'!F239:G239="B")*('6. Class A Consumption Data'!B237="2017 - kwh"),'6. Class A Consumption Data'!F237:G237))</f>
        <v>0</v>
      </c>
      <c r="E103" s="974"/>
      <c r="F103" s="974">
        <f t="array" ref="F103">SUM(IF(('6. Class A Consumption Data'!J239:K239="B")*('6. Class A Consumption Data'!B237&lt;&gt;"N/A"),'6. Class A Consumption Data'!J237:K237))</f>
        <v>0</v>
      </c>
      <c r="G103" s="889">
        <f t="shared" si="9"/>
        <v>0</v>
      </c>
      <c r="H103" s="890">
        <f t="shared" si="10"/>
        <v>0</v>
      </c>
      <c r="I103" s="890">
        <f t="shared" si="11"/>
        <v>0</v>
      </c>
    </row>
    <row r="104" spans="1:9" hidden="1" x14ac:dyDescent="0.25">
      <c r="A104" s="888" t="s">
        <v>2655</v>
      </c>
      <c r="B104" s="888"/>
      <c r="C104" s="973">
        <f t="shared" si="8"/>
        <v>0</v>
      </c>
      <c r="D104" s="974">
        <f t="array" ref="D104">SUM(IF(('6. Class A Consumption Data'!F242:G242="B")*('6. Class A Consumption Data'!B240="2017 - kwh"),'6. Class A Consumption Data'!F240:G240))</f>
        <v>0</v>
      </c>
      <c r="E104" s="974"/>
      <c r="F104" s="974">
        <f t="array" ref="F104">SUM(IF(('6. Class A Consumption Data'!J242:K242="B")*('6. Class A Consumption Data'!B240&lt;&gt;"N/A"),'6. Class A Consumption Data'!J240:K240))</f>
        <v>0</v>
      </c>
      <c r="G104" s="889">
        <f t="shared" si="9"/>
        <v>0</v>
      </c>
      <c r="H104" s="890">
        <f t="shared" si="10"/>
        <v>0</v>
      </c>
      <c r="I104" s="890">
        <f t="shared" si="11"/>
        <v>0</v>
      </c>
    </row>
    <row r="105" spans="1:9" hidden="1" x14ac:dyDescent="0.25">
      <c r="A105" s="888" t="s">
        <v>2656</v>
      </c>
      <c r="B105" s="888"/>
      <c r="C105" s="973">
        <f t="shared" si="8"/>
        <v>0</v>
      </c>
      <c r="D105" s="974">
        <f t="array" ref="D105">SUM(IF(('6. Class A Consumption Data'!F245:G245="B")*('6. Class A Consumption Data'!B243="2017 - kwh"),'6. Class A Consumption Data'!F243:G243))</f>
        <v>0</v>
      </c>
      <c r="E105" s="974"/>
      <c r="F105" s="974">
        <f t="array" ref="F105">SUM(IF(('6. Class A Consumption Data'!J245:K245="B")*('6. Class A Consumption Data'!B243&lt;&gt;"N/A"),'6. Class A Consumption Data'!J243:K243))</f>
        <v>0</v>
      </c>
      <c r="G105" s="889">
        <f t="shared" si="9"/>
        <v>0</v>
      </c>
      <c r="H105" s="890">
        <f t="shared" si="10"/>
        <v>0</v>
      </c>
      <c r="I105" s="890">
        <f t="shared" si="11"/>
        <v>0</v>
      </c>
    </row>
    <row r="106" spans="1:9" hidden="1" x14ac:dyDescent="0.25">
      <c r="A106" s="888" t="s">
        <v>2657</v>
      </c>
      <c r="B106" s="888"/>
      <c r="C106" s="973">
        <f t="shared" si="8"/>
        <v>0</v>
      </c>
      <c r="D106" s="974">
        <f t="array" ref="D106">SUM(IF(('6. Class A Consumption Data'!F248:G248="B")*('6. Class A Consumption Data'!B246="2017 - kwh"),'6. Class A Consumption Data'!F246:G246))</f>
        <v>0</v>
      </c>
      <c r="E106" s="974"/>
      <c r="F106" s="974">
        <f t="array" ref="F106">SUM(IF(('6. Class A Consumption Data'!J248:K248="B")*('6. Class A Consumption Data'!B246&lt;&gt;"N/A"),'6. Class A Consumption Data'!J246:K246))</f>
        <v>0</v>
      </c>
      <c r="G106" s="889">
        <f t="shared" si="9"/>
        <v>0</v>
      </c>
      <c r="H106" s="890">
        <f t="shared" si="10"/>
        <v>0</v>
      </c>
      <c r="I106" s="890">
        <f t="shared" si="11"/>
        <v>0</v>
      </c>
    </row>
    <row r="107" spans="1:9" hidden="1" x14ac:dyDescent="0.25">
      <c r="A107" s="888" t="s">
        <v>2658</v>
      </c>
      <c r="B107" s="888"/>
      <c r="C107" s="973">
        <f t="shared" si="8"/>
        <v>0</v>
      </c>
      <c r="D107" s="974">
        <f t="array" ref="D107">SUM(IF(('6. Class A Consumption Data'!F251:G251="B")*('6. Class A Consumption Data'!B249="2017 - kwh"),'6. Class A Consumption Data'!F249:G249))</f>
        <v>0</v>
      </c>
      <c r="E107" s="974"/>
      <c r="F107" s="974">
        <f t="array" ref="F107">SUM(IF(('6. Class A Consumption Data'!J251:K251="B")*('6. Class A Consumption Data'!B249&lt;&gt;"N/A"),'6. Class A Consumption Data'!J249:K249))</f>
        <v>0</v>
      </c>
      <c r="G107" s="889">
        <f t="shared" si="9"/>
        <v>0</v>
      </c>
      <c r="H107" s="890">
        <f t="shared" si="10"/>
        <v>0</v>
      </c>
      <c r="I107" s="890">
        <f t="shared" si="11"/>
        <v>0</v>
      </c>
    </row>
    <row r="108" spans="1:9" hidden="1" x14ac:dyDescent="0.25">
      <c r="A108" s="888" t="s">
        <v>2659</v>
      </c>
      <c r="B108" s="888"/>
      <c r="C108" s="973">
        <f t="shared" si="8"/>
        <v>0</v>
      </c>
      <c r="D108" s="974">
        <f t="array" ref="D108">SUM(IF(('6. Class A Consumption Data'!F254:G254="B")*('6. Class A Consumption Data'!B252="2017 - kwh"),'6. Class A Consumption Data'!F252:G252))</f>
        <v>0</v>
      </c>
      <c r="E108" s="974"/>
      <c r="F108" s="974">
        <f t="array" ref="F108">SUM(IF(('6. Class A Consumption Data'!J254:K254="B")*('6. Class A Consumption Data'!B252&lt;&gt;"N/A"),'6. Class A Consumption Data'!J252:K252))</f>
        <v>0</v>
      </c>
      <c r="G108" s="889">
        <f t="shared" si="9"/>
        <v>0</v>
      </c>
      <c r="H108" s="890">
        <f t="shared" si="10"/>
        <v>0</v>
      </c>
      <c r="I108" s="890">
        <f t="shared" si="11"/>
        <v>0</v>
      </c>
    </row>
    <row r="109" spans="1:9" hidden="1" x14ac:dyDescent="0.25">
      <c r="A109" s="888" t="s">
        <v>2660</v>
      </c>
      <c r="B109" s="888"/>
      <c r="C109" s="973">
        <f t="shared" si="8"/>
        <v>0</v>
      </c>
      <c r="D109" s="974">
        <f t="array" ref="D109">SUM(IF(('6. Class A Consumption Data'!F257:G257="B")*('6. Class A Consumption Data'!B255="2017 - kwh"),'6. Class A Consumption Data'!F255:G255))</f>
        <v>0</v>
      </c>
      <c r="E109" s="974"/>
      <c r="F109" s="974">
        <f t="array" ref="F109">SUM(IF(('6. Class A Consumption Data'!J257:K257="B")*('6. Class A Consumption Data'!B255&lt;&gt;"N/A"),'6. Class A Consumption Data'!J255:K255))</f>
        <v>0</v>
      </c>
      <c r="G109" s="889">
        <f t="shared" si="9"/>
        <v>0</v>
      </c>
      <c r="H109" s="890">
        <f t="shared" si="10"/>
        <v>0</v>
      </c>
      <c r="I109" s="890">
        <f t="shared" si="11"/>
        <v>0</v>
      </c>
    </row>
    <row r="110" spans="1:9" hidden="1" x14ac:dyDescent="0.25">
      <c r="A110" s="888" t="s">
        <v>2661</v>
      </c>
      <c r="B110" s="888"/>
      <c r="C110" s="973">
        <f t="shared" si="8"/>
        <v>0</v>
      </c>
      <c r="D110" s="974">
        <f t="array" ref="D110">SUM(IF(('6. Class A Consumption Data'!F260:G260="B")*('6. Class A Consumption Data'!B258="2017 - kwh"),'6. Class A Consumption Data'!F258:G258))</f>
        <v>0</v>
      </c>
      <c r="E110" s="974"/>
      <c r="F110" s="974">
        <f t="array" ref="F110">SUM(IF(('6. Class A Consumption Data'!J260:K260="B")*('6. Class A Consumption Data'!B258&lt;&gt;"N/A"),'6. Class A Consumption Data'!J258:K258))</f>
        <v>0</v>
      </c>
      <c r="G110" s="889">
        <f t="shared" si="9"/>
        <v>0</v>
      </c>
      <c r="H110" s="890">
        <f t="shared" si="10"/>
        <v>0</v>
      </c>
      <c r="I110" s="890">
        <f t="shared" si="11"/>
        <v>0</v>
      </c>
    </row>
    <row r="111" spans="1:9" hidden="1" x14ac:dyDescent="0.25">
      <c r="A111" s="888" t="s">
        <v>2662</v>
      </c>
      <c r="B111" s="888"/>
      <c r="C111" s="973">
        <f t="shared" si="8"/>
        <v>0</v>
      </c>
      <c r="D111" s="974">
        <f t="array" ref="D111">SUM(IF(('6. Class A Consumption Data'!F263:G263="B")*('6. Class A Consumption Data'!B261="2017 - kwh"),'6. Class A Consumption Data'!F261:G261))</f>
        <v>0</v>
      </c>
      <c r="E111" s="974"/>
      <c r="F111" s="974">
        <f t="array" ref="F111">SUM(IF(('6. Class A Consumption Data'!J263:K263="B")*('6. Class A Consumption Data'!B261&lt;&gt;"N/A"),'6. Class A Consumption Data'!J261:K261))</f>
        <v>0</v>
      </c>
      <c r="G111" s="889">
        <f t="shared" si="9"/>
        <v>0</v>
      </c>
      <c r="H111" s="890">
        <f t="shared" si="10"/>
        <v>0</v>
      </c>
      <c r="I111" s="890">
        <f t="shared" si="11"/>
        <v>0</v>
      </c>
    </row>
    <row r="112" spans="1:9" hidden="1" x14ac:dyDescent="0.25">
      <c r="A112" s="888" t="s">
        <v>2663</v>
      </c>
      <c r="B112" s="888"/>
      <c r="C112" s="973">
        <f t="shared" si="8"/>
        <v>0</v>
      </c>
      <c r="D112" s="974">
        <f t="array" ref="D112">SUM(IF(('6. Class A Consumption Data'!F266:G266="B")*('6. Class A Consumption Data'!B264="2017 - kwh"),'6. Class A Consumption Data'!F264:G264))</f>
        <v>0</v>
      </c>
      <c r="E112" s="974"/>
      <c r="F112" s="974">
        <f t="array" ref="F112">SUM(IF(('6. Class A Consumption Data'!J266:K266="B")*('6. Class A Consumption Data'!B264&lt;&gt;"N/A"),'6. Class A Consumption Data'!J264:K264))</f>
        <v>0</v>
      </c>
      <c r="G112" s="889">
        <f t="shared" si="9"/>
        <v>0</v>
      </c>
      <c r="H112" s="890">
        <f t="shared" si="10"/>
        <v>0</v>
      </c>
      <c r="I112" s="890">
        <f t="shared" si="11"/>
        <v>0</v>
      </c>
    </row>
    <row r="113" spans="1:9" hidden="1" x14ac:dyDescent="0.25">
      <c r="A113" s="888" t="s">
        <v>2664</v>
      </c>
      <c r="B113" s="888"/>
      <c r="C113" s="973">
        <f t="shared" si="8"/>
        <v>0</v>
      </c>
      <c r="D113" s="974">
        <f t="array" ref="D113">SUM(IF(('6. Class A Consumption Data'!F269:G269="B")*('6. Class A Consumption Data'!B267="2017 - kwh"),'6. Class A Consumption Data'!F267:G267))</f>
        <v>0</v>
      </c>
      <c r="E113" s="974"/>
      <c r="F113" s="974">
        <f t="array" ref="F113">SUM(IF(('6. Class A Consumption Data'!J269:K269="B")*('6. Class A Consumption Data'!B267&lt;&gt;"N/A"),'6. Class A Consumption Data'!J267:K267))</f>
        <v>0</v>
      </c>
      <c r="G113" s="889">
        <f t="shared" si="9"/>
        <v>0</v>
      </c>
      <c r="H113" s="890">
        <f t="shared" si="10"/>
        <v>0</v>
      </c>
      <c r="I113" s="890">
        <f t="shared" si="11"/>
        <v>0</v>
      </c>
    </row>
    <row r="114" spans="1:9" hidden="1" x14ac:dyDescent="0.25">
      <c r="A114" s="888" t="s">
        <v>2665</v>
      </c>
      <c r="B114" s="888"/>
      <c r="C114" s="973">
        <f t="shared" si="8"/>
        <v>0</v>
      </c>
      <c r="D114" s="974">
        <f t="array" ref="D114">SUM(IF(('6. Class A Consumption Data'!F272:G272="B")*('6. Class A Consumption Data'!B270="2017 - kwh"),'6. Class A Consumption Data'!F270:G270))</f>
        <v>0</v>
      </c>
      <c r="E114" s="974"/>
      <c r="F114" s="974">
        <f t="array" ref="F114">SUM(IF(('6. Class A Consumption Data'!J272:K272="B")*('6. Class A Consumption Data'!B270&lt;&gt;"N/A"),'6. Class A Consumption Data'!J270:K270))</f>
        <v>0</v>
      </c>
      <c r="G114" s="889">
        <f t="shared" si="9"/>
        <v>0</v>
      </c>
      <c r="H114" s="890">
        <f t="shared" si="10"/>
        <v>0</v>
      </c>
      <c r="I114" s="890">
        <f t="shared" si="11"/>
        <v>0</v>
      </c>
    </row>
    <row r="115" spans="1:9" hidden="1" x14ac:dyDescent="0.25">
      <c r="A115" s="888" t="s">
        <v>2666</v>
      </c>
      <c r="B115" s="888"/>
      <c r="C115" s="973">
        <f t="shared" si="8"/>
        <v>0</v>
      </c>
      <c r="D115" s="974">
        <f t="array" ref="D115">SUM(IF(('6. Class A Consumption Data'!F275:G275="B")*('6. Class A Consumption Data'!B273="2017 - kwh"),'6. Class A Consumption Data'!F273:G273))</f>
        <v>0</v>
      </c>
      <c r="E115" s="974"/>
      <c r="F115" s="974">
        <f t="array" ref="F115">SUM(IF(('6. Class A Consumption Data'!J275:K275="B")*('6. Class A Consumption Data'!B273&lt;&gt;"N/A"),'6. Class A Consumption Data'!J273:K273))</f>
        <v>0</v>
      </c>
      <c r="G115" s="889">
        <f t="shared" si="9"/>
        <v>0</v>
      </c>
      <c r="H115" s="890">
        <f t="shared" si="10"/>
        <v>0</v>
      </c>
      <c r="I115" s="890">
        <f t="shared" si="11"/>
        <v>0</v>
      </c>
    </row>
    <row r="116" spans="1:9" hidden="1" x14ac:dyDescent="0.25">
      <c r="A116" s="888" t="s">
        <v>2667</v>
      </c>
      <c r="B116" s="888"/>
      <c r="C116" s="973">
        <f t="shared" si="8"/>
        <v>0</v>
      </c>
      <c r="D116" s="974">
        <f t="array" ref="D116">SUM(IF(('6. Class A Consumption Data'!F278:G278="B")*('6. Class A Consumption Data'!B276="2017 - kwh"),'6. Class A Consumption Data'!F276:G276))</f>
        <v>0</v>
      </c>
      <c r="E116" s="974"/>
      <c r="F116" s="974">
        <f t="array" ref="F116">SUM(IF(('6. Class A Consumption Data'!J278:K278="B")*('6. Class A Consumption Data'!B276&lt;&gt;"N/A"),'6. Class A Consumption Data'!J276:K276))</f>
        <v>0</v>
      </c>
      <c r="G116" s="889">
        <f t="shared" si="9"/>
        <v>0</v>
      </c>
      <c r="H116" s="890">
        <f t="shared" si="10"/>
        <v>0</v>
      </c>
      <c r="I116" s="890">
        <f t="shared" si="11"/>
        <v>0</v>
      </c>
    </row>
    <row r="117" spans="1:9" hidden="1" x14ac:dyDescent="0.25">
      <c r="A117" s="888" t="s">
        <v>2668</v>
      </c>
      <c r="B117" s="888"/>
      <c r="C117" s="973">
        <f t="shared" si="8"/>
        <v>0</v>
      </c>
      <c r="D117" s="974">
        <f t="array" ref="D117">SUM(IF(('6. Class A Consumption Data'!F281:G281="B")*('6. Class A Consumption Data'!B279="2017 - kwh"),'6. Class A Consumption Data'!F279:G279))</f>
        <v>0</v>
      </c>
      <c r="E117" s="974"/>
      <c r="F117" s="974">
        <f t="array" ref="F117">SUM(IF(('6. Class A Consumption Data'!J281:K281="B")*('6. Class A Consumption Data'!B279&lt;&gt;"N/A"),'6. Class A Consumption Data'!J279:K279))</f>
        <v>0</v>
      </c>
      <c r="G117" s="889">
        <f t="shared" si="9"/>
        <v>0</v>
      </c>
      <c r="H117" s="890">
        <f t="shared" si="10"/>
        <v>0</v>
      </c>
      <c r="I117" s="890">
        <f t="shared" si="11"/>
        <v>0</v>
      </c>
    </row>
    <row r="118" spans="1:9" hidden="1" x14ac:dyDescent="0.25">
      <c r="A118" s="888" t="s">
        <v>2669</v>
      </c>
      <c r="B118" s="888"/>
      <c r="C118" s="973">
        <f t="shared" si="8"/>
        <v>0</v>
      </c>
      <c r="D118" s="974">
        <f t="array" ref="D118">SUM(IF(('6. Class A Consumption Data'!F284:G284="B")*('6. Class A Consumption Data'!B282="2017 - kwh"),'6. Class A Consumption Data'!F282:G282))</f>
        <v>0</v>
      </c>
      <c r="E118" s="974"/>
      <c r="F118" s="974">
        <f t="array" ref="F118">SUM(IF(('6. Class A Consumption Data'!J284:K284="B")*('6. Class A Consumption Data'!B282&lt;&gt;"N/A"),'6. Class A Consumption Data'!J282:K282))</f>
        <v>0</v>
      </c>
      <c r="G118" s="889">
        <f t="shared" si="9"/>
        <v>0</v>
      </c>
      <c r="H118" s="890">
        <f t="shared" si="10"/>
        <v>0</v>
      </c>
      <c r="I118" s="890">
        <f t="shared" si="11"/>
        <v>0</v>
      </c>
    </row>
    <row r="119" spans="1:9" hidden="1" x14ac:dyDescent="0.25">
      <c r="A119" s="888" t="s">
        <v>2670</v>
      </c>
      <c r="B119" s="888"/>
      <c r="C119" s="973">
        <f t="shared" si="8"/>
        <v>0</v>
      </c>
      <c r="D119" s="974">
        <f t="array" ref="D119">SUM(IF(('6. Class A Consumption Data'!F287:G287="B")*('6. Class A Consumption Data'!B285="2017 - kwh"),'6. Class A Consumption Data'!F285:G285))</f>
        <v>0</v>
      </c>
      <c r="E119" s="974"/>
      <c r="F119" s="974">
        <f t="array" ref="F119">SUM(IF(('6. Class A Consumption Data'!J287:K287="B")*('6. Class A Consumption Data'!B285&lt;&gt;"N/A"),'6. Class A Consumption Data'!J285:K285))</f>
        <v>0</v>
      </c>
      <c r="G119" s="889">
        <f t="shared" si="9"/>
        <v>0</v>
      </c>
      <c r="H119" s="890">
        <f t="shared" si="10"/>
        <v>0</v>
      </c>
      <c r="I119" s="890">
        <f t="shared" si="11"/>
        <v>0</v>
      </c>
    </row>
    <row r="120" spans="1:9" hidden="1" x14ac:dyDescent="0.25">
      <c r="A120" s="888" t="s">
        <v>2671</v>
      </c>
      <c r="B120" s="888"/>
      <c r="C120" s="973">
        <f t="shared" si="8"/>
        <v>0</v>
      </c>
      <c r="D120" s="974">
        <f t="array" ref="D120">SUM(IF(('6. Class A Consumption Data'!F290:G290="B")*('6. Class A Consumption Data'!B288="2017 - kwh"),'6. Class A Consumption Data'!F288:G288))</f>
        <v>0</v>
      </c>
      <c r="E120" s="974"/>
      <c r="F120" s="974">
        <f t="array" ref="F120">SUM(IF(('6. Class A Consumption Data'!J290:K290="B")*('6. Class A Consumption Data'!B288&lt;&gt;"N/A"),'6. Class A Consumption Data'!J288:K288))</f>
        <v>0</v>
      </c>
      <c r="G120" s="889">
        <f t="shared" si="9"/>
        <v>0</v>
      </c>
      <c r="H120" s="890">
        <f t="shared" si="10"/>
        <v>0</v>
      </c>
      <c r="I120" s="890">
        <f t="shared" si="11"/>
        <v>0</v>
      </c>
    </row>
    <row r="121" spans="1:9" hidden="1" x14ac:dyDescent="0.25">
      <c r="A121" s="888" t="s">
        <v>2672</v>
      </c>
      <c r="B121" s="888"/>
      <c r="C121" s="973">
        <f t="shared" si="8"/>
        <v>0</v>
      </c>
      <c r="D121" s="974">
        <f t="array" ref="D121">SUM(IF(('6. Class A Consumption Data'!F293:G293="B")*('6. Class A Consumption Data'!B291="2017 - kwh"),'6. Class A Consumption Data'!F291:G291))</f>
        <v>0</v>
      </c>
      <c r="E121" s="974"/>
      <c r="F121" s="974">
        <f t="array" ref="F121">SUM(IF(('6. Class A Consumption Data'!J293:K293="B")*('6. Class A Consumption Data'!B291&lt;&gt;"N/A"),'6. Class A Consumption Data'!J291:K291))</f>
        <v>0</v>
      </c>
      <c r="G121" s="889">
        <f t="shared" si="9"/>
        <v>0</v>
      </c>
      <c r="H121" s="890">
        <f t="shared" si="10"/>
        <v>0</v>
      </c>
      <c r="I121" s="890">
        <f t="shared" si="11"/>
        <v>0</v>
      </c>
    </row>
    <row r="122" spans="1:9" hidden="1" x14ac:dyDescent="0.25">
      <c r="A122" s="888" t="s">
        <v>2673</v>
      </c>
      <c r="B122" s="888"/>
      <c r="C122" s="973">
        <f t="shared" si="8"/>
        <v>0</v>
      </c>
      <c r="D122" s="974">
        <f t="array" ref="D122">SUM(IF(('6. Class A Consumption Data'!F296:G296="B")*('6. Class A Consumption Data'!B294="2017 - kwh"),'6. Class A Consumption Data'!F294:G294))</f>
        <v>0</v>
      </c>
      <c r="E122" s="974"/>
      <c r="F122" s="974">
        <f t="array" ref="F122">SUM(IF(('6. Class A Consumption Data'!J296:K296="B")*('6. Class A Consumption Data'!B294&lt;&gt;"N/A"),'6. Class A Consumption Data'!J294:K294))</f>
        <v>0</v>
      </c>
      <c r="G122" s="889">
        <f t="shared" si="9"/>
        <v>0</v>
      </c>
      <c r="H122" s="890">
        <f t="shared" si="10"/>
        <v>0</v>
      </c>
      <c r="I122" s="890">
        <f t="shared" si="11"/>
        <v>0</v>
      </c>
    </row>
    <row r="123" spans="1:9" hidden="1" x14ac:dyDescent="0.25">
      <c r="A123" s="888" t="s">
        <v>2674</v>
      </c>
      <c r="B123" s="888"/>
      <c r="C123" s="973">
        <f t="shared" si="8"/>
        <v>0</v>
      </c>
      <c r="D123" s="974">
        <f t="array" ref="D123">SUM(IF(('6. Class A Consumption Data'!F299:G299="B")*('6. Class A Consumption Data'!B297="2017 - kwh"),'6. Class A Consumption Data'!F297:G297))</f>
        <v>0</v>
      </c>
      <c r="E123" s="974"/>
      <c r="F123" s="974">
        <f t="array" ref="F123">SUM(IF(('6. Class A Consumption Data'!J299:K299="B")*('6. Class A Consumption Data'!B297&lt;&gt;"N/A"),'6. Class A Consumption Data'!J297:K297))</f>
        <v>0</v>
      </c>
      <c r="G123" s="889">
        <f t="shared" si="9"/>
        <v>0</v>
      </c>
      <c r="H123" s="890">
        <f t="shared" si="10"/>
        <v>0</v>
      </c>
      <c r="I123" s="890">
        <f t="shared" si="11"/>
        <v>0</v>
      </c>
    </row>
    <row r="124" spans="1:9" hidden="1" x14ac:dyDescent="0.25">
      <c r="A124" s="888" t="s">
        <v>2675</v>
      </c>
      <c r="B124" s="888"/>
      <c r="C124" s="973">
        <f t="shared" si="8"/>
        <v>0</v>
      </c>
      <c r="D124" s="974">
        <f t="array" ref="D124">SUM(IF(('6. Class A Consumption Data'!F302:G302="B")*('6. Class A Consumption Data'!B300="2017 - kwh"),'6. Class A Consumption Data'!F300:G300))</f>
        <v>0</v>
      </c>
      <c r="E124" s="974"/>
      <c r="F124" s="974">
        <f t="array" ref="F124">SUM(IF(('6. Class A Consumption Data'!J302:K302="B")*('6. Class A Consumption Data'!B300&lt;&gt;"N/A"),'6. Class A Consumption Data'!J300:K300))</f>
        <v>0</v>
      </c>
      <c r="G124" s="889">
        <f t="shared" si="9"/>
        <v>0</v>
      </c>
      <c r="H124" s="890">
        <f t="shared" si="10"/>
        <v>0</v>
      </c>
      <c r="I124" s="890">
        <f t="shared" si="11"/>
        <v>0</v>
      </c>
    </row>
    <row r="125" spans="1:9" hidden="1" x14ac:dyDescent="0.25">
      <c r="A125" s="888" t="s">
        <v>2676</v>
      </c>
      <c r="B125" s="888"/>
      <c r="C125" s="973">
        <f t="shared" si="8"/>
        <v>0</v>
      </c>
      <c r="D125" s="974">
        <f t="array" ref="D125">SUM(IF(('6. Class A Consumption Data'!F305:G305="B")*('6. Class A Consumption Data'!B303="2017 - kwh"),'6. Class A Consumption Data'!F303:G303))</f>
        <v>0</v>
      </c>
      <c r="E125" s="974"/>
      <c r="F125" s="974">
        <f t="array" ref="F125">SUM(IF(('6. Class A Consumption Data'!J305:K305="B")*('6. Class A Consumption Data'!B303&lt;&gt;"N/A"),'6. Class A Consumption Data'!J303:K303))</f>
        <v>0</v>
      </c>
      <c r="G125" s="889">
        <f t="shared" si="9"/>
        <v>0</v>
      </c>
      <c r="H125" s="890">
        <f t="shared" si="10"/>
        <v>0</v>
      </c>
      <c r="I125" s="890">
        <f t="shared" si="11"/>
        <v>0</v>
      </c>
    </row>
    <row r="126" spans="1:9" hidden="1" x14ac:dyDescent="0.25">
      <c r="A126" s="888" t="s">
        <v>2677</v>
      </c>
      <c r="B126" s="888"/>
      <c r="C126" s="973">
        <f t="shared" si="8"/>
        <v>0</v>
      </c>
      <c r="D126" s="974">
        <f t="array" ref="D126">SUM(IF(('6. Class A Consumption Data'!F308:G308="B")*('6. Class A Consumption Data'!B306="2017 - kwh"),'6. Class A Consumption Data'!F306:G306))</f>
        <v>0</v>
      </c>
      <c r="E126" s="974"/>
      <c r="F126" s="974">
        <f t="array" ref="F126">SUM(IF(('6. Class A Consumption Data'!J308:K308="B")*('6. Class A Consumption Data'!B306&lt;&gt;"N/A"),'6. Class A Consumption Data'!J306:K306))</f>
        <v>0</v>
      </c>
      <c r="G126" s="889">
        <f t="shared" si="9"/>
        <v>0</v>
      </c>
      <c r="H126" s="890">
        <f t="shared" si="10"/>
        <v>0</v>
      </c>
      <c r="I126" s="890">
        <f t="shared" si="11"/>
        <v>0</v>
      </c>
    </row>
    <row r="127" spans="1:9" hidden="1" x14ac:dyDescent="0.25">
      <c r="A127" s="888" t="s">
        <v>2678</v>
      </c>
      <c r="B127" s="888"/>
      <c r="C127" s="973">
        <f t="shared" si="8"/>
        <v>0</v>
      </c>
      <c r="D127" s="974">
        <f t="array" ref="D127">SUM(IF(('6. Class A Consumption Data'!F311:G311="B")*('6. Class A Consumption Data'!B309="2017 - kwh"),'6. Class A Consumption Data'!F309:G309))</f>
        <v>0</v>
      </c>
      <c r="E127" s="974"/>
      <c r="F127" s="974">
        <f t="array" ref="F127">SUM(IF(('6. Class A Consumption Data'!J311:K311="B")*('6. Class A Consumption Data'!B309&lt;&gt;"N/A"),'6. Class A Consumption Data'!J309:K309))</f>
        <v>0</v>
      </c>
      <c r="G127" s="889">
        <f t="shared" si="9"/>
        <v>0</v>
      </c>
      <c r="H127" s="890">
        <f t="shared" si="10"/>
        <v>0</v>
      </c>
      <c r="I127" s="890">
        <f t="shared" si="11"/>
        <v>0</v>
      </c>
    </row>
    <row r="128" spans="1:9" hidden="1" x14ac:dyDescent="0.25">
      <c r="A128" s="888" t="s">
        <v>2679</v>
      </c>
      <c r="B128" s="888"/>
      <c r="C128" s="973">
        <f t="shared" si="8"/>
        <v>0</v>
      </c>
      <c r="D128" s="974">
        <f t="array" ref="D128">SUM(IF(('6. Class A Consumption Data'!F314:G314="B")*('6. Class A Consumption Data'!B312="2017 - kwh"),'6. Class A Consumption Data'!F312:G312))</f>
        <v>0</v>
      </c>
      <c r="E128" s="974"/>
      <c r="F128" s="974">
        <f t="array" ref="F128">SUM(IF(('6. Class A Consumption Data'!J314:K314="B")*('6. Class A Consumption Data'!B312&lt;&gt;"N/A"),'6. Class A Consumption Data'!J312:K312))</f>
        <v>0</v>
      </c>
      <c r="G128" s="889">
        <f t="shared" si="9"/>
        <v>0</v>
      </c>
      <c r="H128" s="890">
        <f t="shared" si="10"/>
        <v>0</v>
      </c>
      <c r="I128" s="890">
        <f t="shared" si="11"/>
        <v>0</v>
      </c>
    </row>
    <row r="129" spans="1:9" hidden="1" x14ac:dyDescent="0.25">
      <c r="A129" s="888" t="s">
        <v>2680</v>
      </c>
      <c r="B129" s="888"/>
      <c r="C129" s="973">
        <f t="shared" si="8"/>
        <v>0</v>
      </c>
      <c r="D129" s="974">
        <f t="array" ref="D129">SUM(IF(('6. Class A Consumption Data'!F317:G317="B")*('6. Class A Consumption Data'!B315="2017 - kwh"),'6. Class A Consumption Data'!F315:G315))</f>
        <v>0</v>
      </c>
      <c r="E129" s="974"/>
      <c r="F129" s="974">
        <f t="array" ref="F129">SUM(IF(('6. Class A Consumption Data'!J317:K317="B")*('6. Class A Consumption Data'!B315&lt;&gt;"N/A"),'6. Class A Consumption Data'!J315:K315))</f>
        <v>0</v>
      </c>
      <c r="G129" s="889">
        <f t="shared" si="9"/>
        <v>0</v>
      </c>
      <c r="H129" s="890">
        <f t="shared" si="10"/>
        <v>0</v>
      </c>
      <c r="I129" s="890">
        <f t="shared" si="11"/>
        <v>0</v>
      </c>
    </row>
    <row r="130" spans="1:9" hidden="1" x14ac:dyDescent="0.25">
      <c r="A130" s="888" t="s">
        <v>2681</v>
      </c>
      <c r="B130" s="888"/>
      <c r="C130" s="973">
        <f t="shared" ref="C130:C161" si="12">SUM(D130:E130)</f>
        <v>0</v>
      </c>
      <c r="D130" s="974">
        <f t="array" ref="D130">SUM(IF(('6. Class A Consumption Data'!F320:G320="B")*('6. Class A Consumption Data'!B318="2017 - kwh"),'6. Class A Consumption Data'!F318:G318))</f>
        <v>0</v>
      </c>
      <c r="E130" s="974"/>
      <c r="F130" s="974">
        <f t="array" ref="F130">SUM(IF(('6. Class A Consumption Data'!J320:K320="B")*('6. Class A Consumption Data'!B318&lt;&gt;"N/A"),'6. Class A Consumption Data'!J318:K318))</f>
        <v>0</v>
      </c>
      <c r="G130" s="889">
        <f t="shared" ref="G130:G161" si="13">IFERROR(+C130/($C$184),0)</f>
        <v>0</v>
      </c>
      <c r="H130" s="890">
        <f t="shared" ref="H130:H161" si="14">+G130*$C$28</f>
        <v>0</v>
      </c>
      <c r="I130" s="890">
        <f t="shared" ref="I130:I161" si="15">+H130/12</f>
        <v>0</v>
      </c>
    </row>
    <row r="131" spans="1:9" hidden="1" x14ac:dyDescent="0.25">
      <c r="A131" s="888" t="s">
        <v>2682</v>
      </c>
      <c r="B131" s="888"/>
      <c r="C131" s="973">
        <f t="shared" si="12"/>
        <v>0</v>
      </c>
      <c r="D131" s="974">
        <f t="array" ref="D131">SUM(IF(('6. Class A Consumption Data'!F323:G323="B")*('6. Class A Consumption Data'!B321="2017 - kwh"),'6. Class A Consumption Data'!F321:G321))</f>
        <v>0</v>
      </c>
      <c r="E131" s="974"/>
      <c r="F131" s="974">
        <f t="array" ref="F131">SUM(IF(('6. Class A Consumption Data'!J323:K323="B")*('6. Class A Consumption Data'!B321&lt;&gt;"N/A"),'6. Class A Consumption Data'!J321:K321))</f>
        <v>0</v>
      </c>
      <c r="G131" s="889">
        <f t="shared" si="13"/>
        <v>0</v>
      </c>
      <c r="H131" s="890">
        <f t="shared" si="14"/>
        <v>0</v>
      </c>
      <c r="I131" s="890">
        <f t="shared" si="15"/>
        <v>0</v>
      </c>
    </row>
    <row r="132" spans="1:9" hidden="1" x14ac:dyDescent="0.25">
      <c r="A132" s="888" t="s">
        <v>2683</v>
      </c>
      <c r="B132" s="888"/>
      <c r="C132" s="973">
        <f t="shared" si="12"/>
        <v>0</v>
      </c>
      <c r="D132" s="974">
        <f t="array" ref="D132">SUM(IF(('6. Class A Consumption Data'!F326:G326="B")*('6. Class A Consumption Data'!B324="2017 - kwh"),'6. Class A Consumption Data'!F324:G324))</f>
        <v>0</v>
      </c>
      <c r="E132" s="974"/>
      <c r="F132" s="974">
        <f t="array" ref="F132">SUM(IF(('6. Class A Consumption Data'!J326:K326="B")*('6. Class A Consumption Data'!B324&lt;&gt;"N/A"),'6. Class A Consumption Data'!J324:K324))</f>
        <v>0</v>
      </c>
      <c r="G132" s="889">
        <f t="shared" si="13"/>
        <v>0</v>
      </c>
      <c r="H132" s="890">
        <f t="shared" si="14"/>
        <v>0</v>
      </c>
      <c r="I132" s="890">
        <f t="shared" si="15"/>
        <v>0</v>
      </c>
    </row>
    <row r="133" spans="1:9" hidden="1" x14ac:dyDescent="0.25">
      <c r="A133" s="888" t="s">
        <v>2684</v>
      </c>
      <c r="B133" s="888"/>
      <c r="C133" s="973">
        <f t="shared" si="12"/>
        <v>0</v>
      </c>
      <c r="D133" s="974">
        <f t="array" ref="D133">SUM(IF(('6. Class A Consumption Data'!F329:G329="B")*('6. Class A Consumption Data'!B327="2017 - kwh"),'6. Class A Consumption Data'!F327:G327))</f>
        <v>0</v>
      </c>
      <c r="E133" s="974"/>
      <c r="F133" s="974">
        <f t="array" ref="F133">SUM(IF(('6. Class A Consumption Data'!J329:K329="B")*('6. Class A Consumption Data'!B327&lt;&gt;"N/A"),'6. Class A Consumption Data'!J327:K327))</f>
        <v>0</v>
      </c>
      <c r="G133" s="889">
        <f t="shared" si="13"/>
        <v>0</v>
      </c>
      <c r="H133" s="890">
        <f t="shared" si="14"/>
        <v>0</v>
      </c>
      <c r="I133" s="890">
        <f t="shared" si="15"/>
        <v>0</v>
      </c>
    </row>
    <row r="134" spans="1:9" hidden="1" x14ac:dyDescent="0.25">
      <c r="A134" s="888" t="s">
        <v>2685</v>
      </c>
      <c r="B134" s="888"/>
      <c r="C134" s="973">
        <f t="shared" si="12"/>
        <v>0</v>
      </c>
      <c r="D134" s="974">
        <f t="array" ref="D134">SUM(IF(('6. Class A Consumption Data'!F332:G332="B")*('6. Class A Consumption Data'!B330="2017 - kwh"),'6. Class A Consumption Data'!F330:G330))</f>
        <v>0</v>
      </c>
      <c r="E134" s="974"/>
      <c r="F134" s="974">
        <f t="array" ref="F134">SUM(IF(('6. Class A Consumption Data'!J332:K332="B")*('6. Class A Consumption Data'!B330&lt;&gt;"N/A"),'6. Class A Consumption Data'!J330:K330))</f>
        <v>0</v>
      </c>
      <c r="G134" s="889">
        <f t="shared" si="13"/>
        <v>0</v>
      </c>
      <c r="H134" s="890">
        <f t="shared" si="14"/>
        <v>0</v>
      </c>
      <c r="I134" s="890">
        <f t="shared" si="15"/>
        <v>0</v>
      </c>
    </row>
    <row r="135" spans="1:9" hidden="1" x14ac:dyDescent="0.25">
      <c r="A135" s="888" t="s">
        <v>2686</v>
      </c>
      <c r="B135" s="888"/>
      <c r="C135" s="973">
        <f t="shared" si="12"/>
        <v>0</v>
      </c>
      <c r="D135" s="974">
        <f t="array" ref="D135">SUM(IF(('6. Class A Consumption Data'!F335:G335="B")*('6. Class A Consumption Data'!B333="2017 - kwh"),'6. Class A Consumption Data'!F333:G333))</f>
        <v>0</v>
      </c>
      <c r="E135" s="974"/>
      <c r="F135" s="974">
        <f t="array" ref="F135">SUM(IF(('6. Class A Consumption Data'!J335:K335="B")*('6. Class A Consumption Data'!B333&lt;&gt;"N/A"),'6. Class A Consumption Data'!J333:K333))</f>
        <v>0</v>
      </c>
      <c r="G135" s="889">
        <f t="shared" si="13"/>
        <v>0</v>
      </c>
      <c r="H135" s="890">
        <f t="shared" si="14"/>
        <v>0</v>
      </c>
      <c r="I135" s="890">
        <f t="shared" si="15"/>
        <v>0</v>
      </c>
    </row>
    <row r="136" spans="1:9" hidden="1" x14ac:dyDescent="0.25">
      <c r="A136" s="888" t="s">
        <v>2687</v>
      </c>
      <c r="B136" s="888"/>
      <c r="C136" s="973">
        <f t="shared" si="12"/>
        <v>0</v>
      </c>
      <c r="D136" s="974">
        <f t="array" ref="D136">SUM(IF(('6. Class A Consumption Data'!F338:G338="B")*('6. Class A Consumption Data'!B336="2017 - kwh"),'6. Class A Consumption Data'!F336:G336))</f>
        <v>0</v>
      </c>
      <c r="E136" s="974"/>
      <c r="F136" s="974">
        <f t="array" ref="F136">SUM(IF(('6. Class A Consumption Data'!J338:K338="B")*('6. Class A Consumption Data'!B336&lt;&gt;"N/A"),'6. Class A Consumption Data'!J336:K336))</f>
        <v>0</v>
      </c>
      <c r="G136" s="889">
        <f t="shared" si="13"/>
        <v>0</v>
      </c>
      <c r="H136" s="890">
        <f t="shared" si="14"/>
        <v>0</v>
      </c>
      <c r="I136" s="890">
        <f t="shared" si="15"/>
        <v>0</v>
      </c>
    </row>
    <row r="137" spans="1:9" hidden="1" x14ac:dyDescent="0.25">
      <c r="A137" s="888" t="s">
        <v>2688</v>
      </c>
      <c r="B137" s="888"/>
      <c r="C137" s="973">
        <f t="shared" si="12"/>
        <v>0</v>
      </c>
      <c r="D137" s="974">
        <f t="array" ref="D137">SUM(IF(('6. Class A Consumption Data'!F341:G341="B")*('6. Class A Consumption Data'!B339="2017 - kwh"),'6. Class A Consumption Data'!F339:G339))</f>
        <v>0</v>
      </c>
      <c r="E137" s="974"/>
      <c r="F137" s="974">
        <f t="array" ref="F137">SUM(IF(('6. Class A Consumption Data'!J341:K341="B")*('6. Class A Consumption Data'!B339&lt;&gt;"N/A"),'6. Class A Consumption Data'!J339:K339))</f>
        <v>0</v>
      </c>
      <c r="G137" s="889">
        <f t="shared" si="13"/>
        <v>0</v>
      </c>
      <c r="H137" s="890">
        <f t="shared" si="14"/>
        <v>0</v>
      </c>
      <c r="I137" s="890">
        <f t="shared" si="15"/>
        <v>0</v>
      </c>
    </row>
    <row r="138" spans="1:9" hidden="1" x14ac:dyDescent="0.25">
      <c r="A138" s="888" t="s">
        <v>2689</v>
      </c>
      <c r="B138" s="888"/>
      <c r="C138" s="973">
        <f t="shared" si="12"/>
        <v>0</v>
      </c>
      <c r="D138" s="974">
        <f t="array" ref="D138">SUM(IF(('6. Class A Consumption Data'!F344:G344="B")*('6. Class A Consumption Data'!B342="2017 - kwh"),'6. Class A Consumption Data'!F342:G342))</f>
        <v>0</v>
      </c>
      <c r="E138" s="974"/>
      <c r="F138" s="974">
        <f t="array" ref="F138">SUM(IF(('6. Class A Consumption Data'!J344:K344="B")*('6. Class A Consumption Data'!B342&lt;&gt;"N/A"),'6. Class A Consumption Data'!J342:K342))</f>
        <v>0</v>
      </c>
      <c r="G138" s="889">
        <f t="shared" si="13"/>
        <v>0</v>
      </c>
      <c r="H138" s="890">
        <f t="shared" si="14"/>
        <v>0</v>
      </c>
      <c r="I138" s="890">
        <f t="shared" si="15"/>
        <v>0</v>
      </c>
    </row>
    <row r="139" spans="1:9" hidden="1" x14ac:dyDescent="0.25">
      <c r="A139" s="888" t="s">
        <v>2690</v>
      </c>
      <c r="B139" s="888"/>
      <c r="C139" s="973">
        <f t="shared" si="12"/>
        <v>0</v>
      </c>
      <c r="D139" s="974">
        <f t="array" ref="D139">SUM(IF(('6. Class A Consumption Data'!F347:G347="B")*('6. Class A Consumption Data'!B345="2017 - kwh"),'6. Class A Consumption Data'!F345:G345))</f>
        <v>0</v>
      </c>
      <c r="E139" s="974"/>
      <c r="F139" s="974">
        <f t="array" ref="F139">SUM(IF(('6. Class A Consumption Data'!J347:K347="B")*('6. Class A Consumption Data'!B345&lt;&gt;"N/A"),'6. Class A Consumption Data'!J345:K345))</f>
        <v>0</v>
      </c>
      <c r="G139" s="889">
        <f t="shared" si="13"/>
        <v>0</v>
      </c>
      <c r="H139" s="890">
        <f t="shared" si="14"/>
        <v>0</v>
      </c>
      <c r="I139" s="890">
        <f t="shared" si="15"/>
        <v>0</v>
      </c>
    </row>
    <row r="140" spans="1:9" hidden="1" x14ac:dyDescent="0.25">
      <c r="A140" s="888" t="s">
        <v>2691</v>
      </c>
      <c r="B140" s="888"/>
      <c r="C140" s="973">
        <f t="shared" si="12"/>
        <v>0</v>
      </c>
      <c r="D140" s="974">
        <f t="array" ref="D140">SUM(IF(('6. Class A Consumption Data'!F350:G350="B")*('6. Class A Consumption Data'!B348="2017 - kwh"),'6. Class A Consumption Data'!F348:G348))</f>
        <v>0</v>
      </c>
      <c r="E140" s="974"/>
      <c r="F140" s="974">
        <f t="array" ref="F140">SUM(IF(('6. Class A Consumption Data'!J350:K350="B")*('6. Class A Consumption Data'!B348&lt;&gt;"N/A"),'6. Class A Consumption Data'!J348:K348))</f>
        <v>0</v>
      </c>
      <c r="G140" s="889">
        <f t="shared" si="13"/>
        <v>0</v>
      </c>
      <c r="H140" s="890">
        <f t="shared" si="14"/>
        <v>0</v>
      </c>
      <c r="I140" s="890">
        <f t="shared" si="15"/>
        <v>0</v>
      </c>
    </row>
    <row r="141" spans="1:9" hidden="1" x14ac:dyDescent="0.25">
      <c r="A141" s="888" t="s">
        <v>2692</v>
      </c>
      <c r="B141" s="888"/>
      <c r="C141" s="973">
        <f t="shared" si="12"/>
        <v>0</v>
      </c>
      <c r="D141" s="974">
        <f t="array" ref="D141">SUM(IF(('6. Class A Consumption Data'!F353:G353="B")*('6. Class A Consumption Data'!B351="2017 - kwh"),'6. Class A Consumption Data'!F351:G351))</f>
        <v>0</v>
      </c>
      <c r="E141" s="974"/>
      <c r="F141" s="974">
        <f t="array" ref="F141">SUM(IF(('6. Class A Consumption Data'!J353:K353="B")*('6. Class A Consumption Data'!B351&lt;&gt;"N/A"),'6. Class A Consumption Data'!J351:K351))</f>
        <v>0</v>
      </c>
      <c r="G141" s="889">
        <f t="shared" si="13"/>
        <v>0</v>
      </c>
      <c r="H141" s="890">
        <f t="shared" si="14"/>
        <v>0</v>
      </c>
      <c r="I141" s="890">
        <f t="shared" si="15"/>
        <v>0</v>
      </c>
    </row>
    <row r="142" spans="1:9" hidden="1" x14ac:dyDescent="0.25">
      <c r="A142" s="888" t="s">
        <v>2693</v>
      </c>
      <c r="B142" s="888"/>
      <c r="C142" s="973">
        <f t="shared" si="12"/>
        <v>0</v>
      </c>
      <c r="D142" s="974">
        <f t="array" ref="D142">SUM(IF(('6. Class A Consumption Data'!F356:G356="B")*('6. Class A Consumption Data'!B354="2017 - kwh"),'6. Class A Consumption Data'!F354:G354))</f>
        <v>0</v>
      </c>
      <c r="E142" s="974"/>
      <c r="F142" s="974">
        <f t="array" ref="F142">SUM(IF(('6. Class A Consumption Data'!J356:K356="B")*('6. Class A Consumption Data'!B354&lt;&gt;"N/A"),'6. Class A Consumption Data'!J354:K354))</f>
        <v>0</v>
      </c>
      <c r="G142" s="889">
        <f t="shared" si="13"/>
        <v>0</v>
      </c>
      <c r="H142" s="890">
        <f t="shared" si="14"/>
        <v>0</v>
      </c>
      <c r="I142" s="890">
        <f t="shared" si="15"/>
        <v>0</v>
      </c>
    </row>
    <row r="143" spans="1:9" hidden="1" x14ac:dyDescent="0.25">
      <c r="A143" s="888" t="s">
        <v>2694</v>
      </c>
      <c r="B143" s="888"/>
      <c r="C143" s="973">
        <f t="shared" si="12"/>
        <v>0</v>
      </c>
      <c r="D143" s="974">
        <f t="array" ref="D143">SUM(IF(('6. Class A Consumption Data'!F359:G359="B")*('6. Class A Consumption Data'!B357="2017 - kwh"),'6. Class A Consumption Data'!F357:G357))</f>
        <v>0</v>
      </c>
      <c r="E143" s="974"/>
      <c r="F143" s="974">
        <f t="array" ref="F143">SUM(IF(('6. Class A Consumption Data'!J359:K359="B")*('6. Class A Consumption Data'!B357&lt;&gt;"N/A"),'6. Class A Consumption Data'!J357:K357))</f>
        <v>0</v>
      </c>
      <c r="G143" s="889">
        <f t="shared" si="13"/>
        <v>0</v>
      </c>
      <c r="H143" s="890">
        <f t="shared" si="14"/>
        <v>0</v>
      </c>
      <c r="I143" s="890">
        <f t="shared" si="15"/>
        <v>0</v>
      </c>
    </row>
    <row r="144" spans="1:9" hidden="1" x14ac:dyDescent="0.25">
      <c r="A144" s="888" t="s">
        <v>2695</v>
      </c>
      <c r="B144" s="888"/>
      <c r="C144" s="973">
        <f t="shared" si="12"/>
        <v>0</v>
      </c>
      <c r="D144" s="974">
        <f t="array" ref="D144">SUM(IF(('6. Class A Consumption Data'!F362:G362="B")*('6. Class A Consumption Data'!B360="2017 - kwh"),'6. Class A Consumption Data'!F360:G360))</f>
        <v>0</v>
      </c>
      <c r="E144" s="974"/>
      <c r="F144" s="974">
        <f t="array" ref="F144">SUM(IF(('6. Class A Consumption Data'!J362:K362="B")*('6. Class A Consumption Data'!B360&lt;&gt;"N/A"),'6. Class A Consumption Data'!J360:K360))</f>
        <v>0</v>
      </c>
      <c r="G144" s="889">
        <f t="shared" si="13"/>
        <v>0</v>
      </c>
      <c r="H144" s="890">
        <f t="shared" si="14"/>
        <v>0</v>
      </c>
      <c r="I144" s="890">
        <f t="shared" si="15"/>
        <v>0</v>
      </c>
    </row>
    <row r="145" spans="1:9" hidden="1" x14ac:dyDescent="0.25">
      <c r="A145" s="888" t="s">
        <v>2696</v>
      </c>
      <c r="B145" s="888"/>
      <c r="C145" s="973">
        <f t="shared" si="12"/>
        <v>0</v>
      </c>
      <c r="D145" s="974">
        <f t="array" ref="D145">SUM(IF(('6. Class A Consumption Data'!F365:G365="B")*('6. Class A Consumption Data'!B363="2017 - kwh"),'6. Class A Consumption Data'!F363:G363))</f>
        <v>0</v>
      </c>
      <c r="E145" s="974"/>
      <c r="F145" s="974">
        <f t="array" ref="F145">SUM(IF(('6. Class A Consumption Data'!J365:K365="B")*('6. Class A Consumption Data'!B363&lt;&gt;"N/A"),'6. Class A Consumption Data'!J363:K363))</f>
        <v>0</v>
      </c>
      <c r="G145" s="889">
        <f t="shared" si="13"/>
        <v>0</v>
      </c>
      <c r="H145" s="890">
        <f t="shared" si="14"/>
        <v>0</v>
      </c>
      <c r="I145" s="890">
        <f t="shared" si="15"/>
        <v>0</v>
      </c>
    </row>
    <row r="146" spans="1:9" hidden="1" x14ac:dyDescent="0.25">
      <c r="A146" s="888" t="s">
        <v>2697</v>
      </c>
      <c r="B146" s="888"/>
      <c r="C146" s="973">
        <f t="shared" si="12"/>
        <v>0</v>
      </c>
      <c r="D146" s="974">
        <f t="array" ref="D146">SUM(IF(('6. Class A Consumption Data'!F368:G368="B")*('6. Class A Consumption Data'!B366="2017 - kwh"),'6. Class A Consumption Data'!F366:G366))</f>
        <v>0</v>
      </c>
      <c r="E146" s="974"/>
      <c r="F146" s="974">
        <f t="array" ref="F146">SUM(IF(('6. Class A Consumption Data'!J368:K368="B")*('6. Class A Consumption Data'!B366&lt;&gt;"N/A"),'6. Class A Consumption Data'!J366:K366))</f>
        <v>0</v>
      </c>
      <c r="G146" s="889">
        <f t="shared" si="13"/>
        <v>0</v>
      </c>
      <c r="H146" s="890">
        <f t="shared" si="14"/>
        <v>0</v>
      </c>
      <c r="I146" s="890">
        <f t="shared" si="15"/>
        <v>0</v>
      </c>
    </row>
    <row r="147" spans="1:9" hidden="1" x14ac:dyDescent="0.25">
      <c r="A147" s="888" t="s">
        <v>2698</v>
      </c>
      <c r="B147" s="888"/>
      <c r="C147" s="973">
        <f t="shared" si="12"/>
        <v>0</v>
      </c>
      <c r="D147" s="974">
        <f t="array" ref="D147">SUM(IF(('6. Class A Consumption Data'!F371:G371="B")*('6. Class A Consumption Data'!B369="2017 - kwh"),'6. Class A Consumption Data'!F369:G369))</f>
        <v>0</v>
      </c>
      <c r="E147" s="974"/>
      <c r="F147" s="974">
        <f t="array" ref="F147">SUM(IF(('6. Class A Consumption Data'!J371:K371="B")*('6. Class A Consumption Data'!B369&lt;&gt;"N/A"),'6. Class A Consumption Data'!J369:K369))</f>
        <v>0</v>
      </c>
      <c r="G147" s="889">
        <f t="shared" si="13"/>
        <v>0</v>
      </c>
      <c r="H147" s="890">
        <f t="shared" si="14"/>
        <v>0</v>
      </c>
      <c r="I147" s="890">
        <f t="shared" si="15"/>
        <v>0</v>
      </c>
    </row>
    <row r="148" spans="1:9" hidden="1" x14ac:dyDescent="0.25">
      <c r="A148" s="888" t="s">
        <v>2699</v>
      </c>
      <c r="B148" s="888"/>
      <c r="C148" s="973">
        <f t="shared" si="12"/>
        <v>0</v>
      </c>
      <c r="D148" s="974">
        <f t="array" ref="D148">SUM(IF(('6. Class A Consumption Data'!F374:G374="B")*('6. Class A Consumption Data'!B372="2017 - kwh"),'6. Class A Consumption Data'!F372:G372))</f>
        <v>0</v>
      </c>
      <c r="E148" s="974"/>
      <c r="F148" s="974">
        <f t="array" ref="F148">SUM(IF(('6. Class A Consumption Data'!J374:K374="B")*('6. Class A Consumption Data'!B372&lt;&gt;"N/A"),'6. Class A Consumption Data'!J372:K372))</f>
        <v>0</v>
      </c>
      <c r="G148" s="889">
        <f t="shared" si="13"/>
        <v>0</v>
      </c>
      <c r="H148" s="890">
        <f t="shared" si="14"/>
        <v>0</v>
      </c>
      <c r="I148" s="890">
        <f t="shared" si="15"/>
        <v>0</v>
      </c>
    </row>
    <row r="149" spans="1:9" hidden="1" x14ac:dyDescent="0.25">
      <c r="A149" s="888" t="s">
        <v>2700</v>
      </c>
      <c r="B149" s="888"/>
      <c r="C149" s="973">
        <f t="shared" si="12"/>
        <v>0</v>
      </c>
      <c r="D149" s="974">
        <f t="array" ref="D149">SUM(IF(('6. Class A Consumption Data'!F377:G377="B")*('6. Class A Consumption Data'!B375="2017 - kwh"),'6. Class A Consumption Data'!F375:G375))</f>
        <v>0</v>
      </c>
      <c r="E149" s="974"/>
      <c r="F149" s="974">
        <f t="array" ref="F149">SUM(IF(('6. Class A Consumption Data'!J377:K377="B")*('6. Class A Consumption Data'!B375&lt;&gt;"N/A"),'6. Class A Consumption Data'!J375:K375))</f>
        <v>0</v>
      </c>
      <c r="G149" s="889">
        <f t="shared" si="13"/>
        <v>0</v>
      </c>
      <c r="H149" s="890">
        <f t="shared" si="14"/>
        <v>0</v>
      </c>
      <c r="I149" s="890">
        <f t="shared" si="15"/>
        <v>0</v>
      </c>
    </row>
    <row r="150" spans="1:9" hidden="1" x14ac:dyDescent="0.25">
      <c r="A150" s="888" t="s">
        <v>2701</v>
      </c>
      <c r="B150" s="888"/>
      <c r="C150" s="973">
        <f t="shared" si="12"/>
        <v>0</v>
      </c>
      <c r="D150" s="974">
        <f t="array" ref="D150">SUM(IF(('6. Class A Consumption Data'!F380:G380="B")*('6. Class A Consumption Data'!B378="2017 - kwh"),'6. Class A Consumption Data'!F378:G378))</f>
        <v>0</v>
      </c>
      <c r="E150" s="974"/>
      <c r="F150" s="974">
        <f t="array" ref="F150">SUM(IF(('6. Class A Consumption Data'!J380:K380="B")*('6. Class A Consumption Data'!B378&lt;&gt;"N/A"),'6. Class A Consumption Data'!J378:K378))</f>
        <v>0</v>
      </c>
      <c r="G150" s="889">
        <f t="shared" si="13"/>
        <v>0</v>
      </c>
      <c r="H150" s="890">
        <f t="shared" si="14"/>
        <v>0</v>
      </c>
      <c r="I150" s="890">
        <f t="shared" si="15"/>
        <v>0</v>
      </c>
    </row>
    <row r="151" spans="1:9" hidden="1" x14ac:dyDescent="0.25">
      <c r="A151" s="888" t="s">
        <v>2702</v>
      </c>
      <c r="B151" s="888"/>
      <c r="C151" s="973">
        <f t="shared" si="12"/>
        <v>0</v>
      </c>
      <c r="D151" s="974">
        <f t="array" ref="D151">SUM(IF(('6. Class A Consumption Data'!F383:G383="B")*('6. Class A Consumption Data'!B381="2017 - kwh"),'6. Class A Consumption Data'!F381:G381))</f>
        <v>0</v>
      </c>
      <c r="E151" s="974"/>
      <c r="F151" s="974">
        <f t="array" ref="F151">SUM(IF(('6. Class A Consumption Data'!J383:K383="B")*('6. Class A Consumption Data'!B381&lt;&gt;"N/A"),'6. Class A Consumption Data'!J381:K381))</f>
        <v>0</v>
      </c>
      <c r="G151" s="889">
        <f t="shared" si="13"/>
        <v>0</v>
      </c>
      <c r="H151" s="890">
        <f t="shared" si="14"/>
        <v>0</v>
      </c>
      <c r="I151" s="890">
        <f t="shared" si="15"/>
        <v>0</v>
      </c>
    </row>
    <row r="152" spans="1:9" hidden="1" x14ac:dyDescent="0.25">
      <c r="A152" s="888" t="s">
        <v>2703</v>
      </c>
      <c r="B152" s="888"/>
      <c r="C152" s="973">
        <f t="shared" si="12"/>
        <v>0</v>
      </c>
      <c r="D152" s="974">
        <f t="array" ref="D152">SUM(IF(('6. Class A Consumption Data'!F386:G386="B")*('6. Class A Consumption Data'!B384="2017 - kwh"),'6. Class A Consumption Data'!F384:G384))</f>
        <v>0</v>
      </c>
      <c r="E152" s="974"/>
      <c r="F152" s="974">
        <f t="array" ref="F152">SUM(IF(('6. Class A Consumption Data'!J386:K386="B")*('6. Class A Consumption Data'!B384&lt;&gt;"N/A"),'6. Class A Consumption Data'!J384:K384))</f>
        <v>0</v>
      </c>
      <c r="G152" s="889">
        <f t="shared" si="13"/>
        <v>0</v>
      </c>
      <c r="H152" s="890">
        <f t="shared" si="14"/>
        <v>0</v>
      </c>
      <c r="I152" s="890">
        <f t="shared" si="15"/>
        <v>0</v>
      </c>
    </row>
    <row r="153" spans="1:9" hidden="1" x14ac:dyDescent="0.25">
      <c r="A153" s="888" t="s">
        <v>2704</v>
      </c>
      <c r="B153" s="888"/>
      <c r="C153" s="973">
        <f t="shared" si="12"/>
        <v>0</v>
      </c>
      <c r="D153" s="974">
        <f t="array" ref="D153">SUM(IF(('6. Class A Consumption Data'!F389:G389="B")*('6. Class A Consumption Data'!B387="2017 - kwh"),'6. Class A Consumption Data'!F387:G387))</f>
        <v>0</v>
      </c>
      <c r="E153" s="974"/>
      <c r="F153" s="974">
        <f t="array" ref="F153">SUM(IF(('6. Class A Consumption Data'!J389:K389="B")*('6. Class A Consumption Data'!B387&lt;&gt;"N/A"),'6. Class A Consumption Data'!J387:K387))</f>
        <v>0</v>
      </c>
      <c r="G153" s="889">
        <f t="shared" si="13"/>
        <v>0</v>
      </c>
      <c r="H153" s="890">
        <f t="shared" si="14"/>
        <v>0</v>
      </c>
      <c r="I153" s="890">
        <f t="shared" si="15"/>
        <v>0</v>
      </c>
    </row>
    <row r="154" spans="1:9" hidden="1" x14ac:dyDescent="0.25">
      <c r="A154" s="888" t="s">
        <v>2705</v>
      </c>
      <c r="B154" s="888"/>
      <c r="C154" s="973">
        <f t="shared" si="12"/>
        <v>0</v>
      </c>
      <c r="D154" s="974">
        <f t="array" ref="D154">SUM(IF(('6. Class A Consumption Data'!F392:G392="B")*('6. Class A Consumption Data'!B390="2017 - kwh"),'6. Class A Consumption Data'!F390:G390))</f>
        <v>0</v>
      </c>
      <c r="E154" s="974"/>
      <c r="F154" s="974">
        <f t="array" ref="F154">SUM(IF(('6. Class A Consumption Data'!J392:K392="B")*('6. Class A Consumption Data'!B390&lt;&gt;"N/A"),'6. Class A Consumption Data'!J390:K390))</f>
        <v>0</v>
      </c>
      <c r="G154" s="889">
        <f t="shared" si="13"/>
        <v>0</v>
      </c>
      <c r="H154" s="890">
        <f t="shared" si="14"/>
        <v>0</v>
      </c>
      <c r="I154" s="890">
        <f t="shared" si="15"/>
        <v>0</v>
      </c>
    </row>
    <row r="155" spans="1:9" hidden="1" x14ac:dyDescent="0.25">
      <c r="A155" s="888" t="s">
        <v>2706</v>
      </c>
      <c r="B155" s="888"/>
      <c r="C155" s="973">
        <f t="shared" si="12"/>
        <v>0</v>
      </c>
      <c r="D155" s="974">
        <f t="array" ref="D155">SUM(IF(('6. Class A Consumption Data'!F395:G395="B")*('6. Class A Consumption Data'!B393="2017 - kwh"),'6. Class A Consumption Data'!F393:G393))</f>
        <v>0</v>
      </c>
      <c r="E155" s="974"/>
      <c r="F155" s="974">
        <f t="array" ref="F155">SUM(IF(('6. Class A Consumption Data'!J395:K395="B")*('6. Class A Consumption Data'!B393&lt;&gt;"N/A"),'6. Class A Consumption Data'!J393:K393))</f>
        <v>0</v>
      </c>
      <c r="G155" s="889">
        <f t="shared" si="13"/>
        <v>0</v>
      </c>
      <c r="H155" s="890">
        <f t="shared" si="14"/>
        <v>0</v>
      </c>
      <c r="I155" s="890">
        <f t="shared" si="15"/>
        <v>0</v>
      </c>
    </row>
    <row r="156" spans="1:9" ht="15" hidden="1" customHeight="1" x14ac:dyDescent="0.25">
      <c r="A156" s="888" t="s">
        <v>2707</v>
      </c>
      <c r="B156" s="888"/>
      <c r="C156" s="973">
        <f t="shared" si="12"/>
        <v>0</v>
      </c>
      <c r="D156" s="974">
        <f t="array" ref="D156">SUM(IF(('6. Class A Consumption Data'!F398:G398="B")*('6. Class A Consumption Data'!B396="2017 - kwh"),'6. Class A Consumption Data'!F396:G396))</f>
        <v>0</v>
      </c>
      <c r="E156" s="974"/>
      <c r="F156" s="974">
        <f t="array" ref="F156">SUM(IF(('6. Class A Consumption Data'!J398:K398="B")*('6. Class A Consumption Data'!B396&lt;&gt;"N/A"),'6. Class A Consumption Data'!J396:K396))</f>
        <v>0</v>
      </c>
      <c r="G156" s="889">
        <f t="shared" si="13"/>
        <v>0</v>
      </c>
      <c r="H156" s="890">
        <f t="shared" si="14"/>
        <v>0</v>
      </c>
      <c r="I156" s="890">
        <f t="shared" si="15"/>
        <v>0</v>
      </c>
    </row>
    <row r="157" spans="1:9" hidden="1" x14ac:dyDescent="0.25">
      <c r="A157" s="888" t="s">
        <v>2708</v>
      </c>
      <c r="B157" s="888"/>
      <c r="C157" s="973">
        <f t="shared" si="12"/>
        <v>0</v>
      </c>
      <c r="D157" s="974">
        <f t="array" ref="D157">SUM(IF(('6. Class A Consumption Data'!F401:G401="B")*('6. Class A Consumption Data'!B399="2017 - kwh"),'6. Class A Consumption Data'!F399:G399))</f>
        <v>0</v>
      </c>
      <c r="E157" s="974"/>
      <c r="F157" s="974">
        <f t="array" ref="F157">SUM(IF(('6. Class A Consumption Data'!J401:K401="B")*('6. Class A Consumption Data'!B399&lt;&gt;"N/A"),'6. Class A Consumption Data'!J399:K399))</f>
        <v>0</v>
      </c>
      <c r="G157" s="889">
        <f t="shared" si="13"/>
        <v>0</v>
      </c>
      <c r="H157" s="890">
        <f t="shared" si="14"/>
        <v>0</v>
      </c>
      <c r="I157" s="890">
        <f t="shared" si="15"/>
        <v>0</v>
      </c>
    </row>
    <row r="158" spans="1:9" hidden="1" x14ac:dyDescent="0.25">
      <c r="A158" s="888" t="s">
        <v>2709</v>
      </c>
      <c r="B158" s="888"/>
      <c r="C158" s="973">
        <f t="shared" si="12"/>
        <v>0</v>
      </c>
      <c r="D158" s="974">
        <f t="array" ref="D158">SUM(IF(('6. Class A Consumption Data'!F404:G404="B")*('6. Class A Consumption Data'!B402="2017 - kwh"),'6. Class A Consumption Data'!F402:G402))</f>
        <v>0</v>
      </c>
      <c r="E158" s="974"/>
      <c r="F158" s="974">
        <f t="array" ref="F158">SUM(IF(('6. Class A Consumption Data'!J404:K404="B")*('6. Class A Consumption Data'!B402&lt;&gt;"N/A"),'6. Class A Consumption Data'!J402:K402))</f>
        <v>0</v>
      </c>
      <c r="G158" s="889">
        <f t="shared" si="13"/>
        <v>0</v>
      </c>
      <c r="H158" s="890">
        <f t="shared" si="14"/>
        <v>0</v>
      </c>
      <c r="I158" s="890">
        <f t="shared" si="15"/>
        <v>0</v>
      </c>
    </row>
    <row r="159" spans="1:9" hidden="1" x14ac:dyDescent="0.25">
      <c r="A159" s="888" t="s">
        <v>2710</v>
      </c>
      <c r="B159" s="888"/>
      <c r="C159" s="973">
        <f t="shared" si="12"/>
        <v>0</v>
      </c>
      <c r="D159" s="974">
        <f t="array" ref="D159">SUM(IF(('6. Class A Consumption Data'!F407:G407="B")*('6. Class A Consumption Data'!B405="2017 - kwh"),'6. Class A Consumption Data'!F405:G405))</f>
        <v>0</v>
      </c>
      <c r="E159" s="974"/>
      <c r="F159" s="974">
        <f t="array" ref="F159">SUM(IF(('6. Class A Consumption Data'!J407:K407="B")*('6. Class A Consumption Data'!B405&lt;&gt;"N/A"),'6. Class A Consumption Data'!J405:K405))</f>
        <v>0</v>
      </c>
      <c r="G159" s="889">
        <f t="shared" si="13"/>
        <v>0</v>
      </c>
      <c r="H159" s="890">
        <f t="shared" si="14"/>
        <v>0</v>
      </c>
      <c r="I159" s="890">
        <f t="shared" si="15"/>
        <v>0</v>
      </c>
    </row>
    <row r="160" spans="1:9" hidden="1" x14ac:dyDescent="0.25">
      <c r="A160" s="888" t="s">
        <v>2711</v>
      </c>
      <c r="B160" s="888"/>
      <c r="C160" s="973">
        <f t="shared" si="12"/>
        <v>0</v>
      </c>
      <c r="D160" s="974">
        <f t="array" ref="D160">SUM(IF(('6. Class A Consumption Data'!F410:G410="B")*('6. Class A Consumption Data'!B408="2017 - kwh"),'6. Class A Consumption Data'!F408:G408))</f>
        <v>0</v>
      </c>
      <c r="E160" s="974"/>
      <c r="F160" s="974">
        <f t="array" ref="F160">SUM(IF(('6. Class A Consumption Data'!J410:K410="B")*('6. Class A Consumption Data'!B408&lt;&gt;"N/A"),'6. Class A Consumption Data'!J408:K408))</f>
        <v>0</v>
      </c>
      <c r="G160" s="889">
        <f t="shared" si="13"/>
        <v>0</v>
      </c>
      <c r="H160" s="890">
        <f t="shared" si="14"/>
        <v>0</v>
      </c>
      <c r="I160" s="890">
        <f t="shared" si="15"/>
        <v>0</v>
      </c>
    </row>
    <row r="161" spans="1:9" hidden="1" x14ac:dyDescent="0.25">
      <c r="A161" s="888" t="s">
        <v>2712</v>
      </c>
      <c r="B161" s="888"/>
      <c r="C161" s="973">
        <f t="shared" si="12"/>
        <v>0</v>
      </c>
      <c r="D161" s="974">
        <f t="array" ref="D161">SUM(IF(('6. Class A Consumption Data'!F413:G413="B")*('6. Class A Consumption Data'!B411="2017 - kwh"),'6. Class A Consumption Data'!F411:G411))</f>
        <v>0</v>
      </c>
      <c r="E161" s="974"/>
      <c r="F161" s="974">
        <f t="array" ref="F161">SUM(IF(('6. Class A Consumption Data'!J413:K413="B")*('6. Class A Consumption Data'!B411&lt;&gt;"N/A"),'6. Class A Consumption Data'!J411:K411))</f>
        <v>0</v>
      </c>
      <c r="G161" s="889">
        <f t="shared" si="13"/>
        <v>0</v>
      </c>
      <c r="H161" s="890">
        <f t="shared" si="14"/>
        <v>0</v>
      </c>
      <c r="I161" s="890">
        <f t="shared" si="15"/>
        <v>0</v>
      </c>
    </row>
    <row r="162" spans="1:9" hidden="1" x14ac:dyDescent="0.25">
      <c r="A162" s="888" t="s">
        <v>2713</v>
      </c>
      <c r="B162" s="888"/>
      <c r="C162" s="973">
        <f t="shared" ref="C162:C183" si="16">SUM(D162:E162)</f>
        <v>0</v>
      </c>
      <c r="D162" s="974">
        <f t="array" ref="D162">SUM(IF(('6. Class A Consumption Data'!F416:G416="B")*('6. Class A Consumption Data'!B414="2017 - kwh"),'6. Class A Consumption Data'!F414:G414))</f>
        <v>0</v>
      </c>
      <c r="E162" s="974"/>
      <c r="F162" s="974">
        <f t="array" ref="F162">SUM(IF(('6. Class A Consumption Data'!J416:K416="B")*('6. Class A Consumption Data'!B414&lt;&gt;"N/A"),'6. Class A Consumption Data'!J414:K414))</f>
        <v>0</v>
      </c>
      <c r="G162" s="889">
        <f t="shared" ref="G162:G183" si="17">IFERROR(+C162/($C$184),0)</f>
        <v>0</v>
      </c>
      <c r="H162" s="890">
        <f t="shared" ref="H162:H183" si="18">+G162*$C$28</f>
        <v>0</v>
      </c>
      <c r="I162" s="890">
        <f t="shared" ref="I162:I183" si="19">+H162/12</f>
        <v>0</v>
      </c>
    </row>
    <row r="163" spans="1:9" hidden="1" x14ac:dyDescent="0.25">
      <c r="A163" s="888" t="s">
        <v>2714</v>
      </c>
      <c r="B163" s="888"/>
      <c r="C163" s="973">
        <f t="shared" si="16"/>
        <v>0</v>
      </c>
      <c r="D163" s="974">
        <f t="array" ref="D163">SUM(IF(('6. Class A Consumption Data'!F419:G419="B")*('6. Class A Consumption Data'!B417="2017 - kwh"),'6. Class A Consumption Data'!F417:G417))</f>
        <v>0</v>
      </c>
      <c r="E163" s="974"/>
      <c r="F163" s="974">
        <f t="array" ref="F163">SUM(IF(('6. Class A Consumption Data'!J419:K419="B")*('6. Class A Consumption Data'!B417&lt;&gt;"N/A"),'6. Class A Consumption Data'!J417:K417))</f>
        <v>0</v>
      </c>
      <c r="G163" s="889">
        <f t="shared" si="17"/>
        <v>0</v>
      </c>
      <c r="H163" s="890">
        <f t="shared" si="18"/>
        <v>0</v>
      </c>
      <c r="I163" s="890">
        <f t="shared" si="19"/>
        <v>0</v>
      </c>
    </row>
    <row r="164" spans="1:9" hidden="1" x14ac:dyDescent="0.25">
      <c r="A164" s="888" t="s">
        <v>2715</v>
      </c>
      <c r="B164" s="888"/>
      <c r="C164" s="973">
        <f t="shared" si="16"/>
        <v>0</v>
      </c>
      <c r="D164" s="974">
        <f t="array" ref="D164">SUM(IF(('6. Class A Consumption Data'!F422:G422="B")*('6. Class A Consumption Data'!B420="2017 - kwh"),'6. Class A Consumption Data'!F420:G420))</f>
        <v>0</v>
      </c>
      <c r="E164" s="974"/>
      <c r="F164" s="974">
        <f t="array" ref="F164">SUM(IF(('6. Class A Consumption Data'!J422:K422="B")*('6. Class A Consumption Data'!B420&lt;&gt;"N/A"),'6. Class A Consumption Data'!J420:K420))</f>
        <v>0</v>
      </c>
      <c r="G164" s="889">
        <f t="shared" si="17"/>
        <v>0</v>
      </c>
      <c r="H164" s="890">
        <f t="shared" si="18"/>
        <v>0</v>
      </c>
      <c r="I164" s="890">
        <f t="shared" si="19"/>
        <v>0</v>
      </c>
    </row>
    <row r="165" spans="1:9" hidden="1" x14ac:dyDescent="0.25">
      <c r="A165" s="888" t="s">
        <v>2716</v>
      </c>
      <c r="B165" s="888"/>
      <c r="C165" s="973">
        <f t="shared" si="16"/>
        <v>0</v>
      </c>
      <c r="D165" s="974">
        <f t="array" ref="D165">SUM(IF(('6. Class A Consumption Data'!F425:G425="B")*('6. Class A Consumption Data'!B423="2017 - kwh"),'6. Class A Consumption Data'!F423:G423))</f>
        <v>0</v>
      </c>
      <c r="E165" s="974"/>
      <c r="F165" s="974">
        <f t="array" ref="F165">SUM(IF(('6. Class A Consumption Data'!J425:K425="B")*('6. Class A Consumption Data'!B423&lt;&gt;"N/A"),'6. Class A Consumption Data'!J423:K423))</f>
        <v>0</v>
      </c>
      <c r="G165" s="889">
        <f t="shared" si="17"/>
        <v>0</v>
      </c>
      <c r="H165" s="890">
        <f t="shared" si="18"/>
        <v>0</v>
      </c>
      <c r="I165" s="890">
        <f t="shared" si="19"/>
        <v>0</v>
      </c>
    </row>
    <row r="166" spans="1:9" hidden="1" x14ac:dyDescent="0.25">
      <c r="A166" s="888" t="s">
        <v>2717</v>
      </c>
      <c r="B166" s="888"/>
      <c r="C166" s="973">
        <f t="shared" si="16"/>
        <v>0</v>
      </c>
      <c r="D166" s="974">
        <f t="array" ref="D166">SUM(IF(('6. Class A Consumption Data'!F428:G428="B")*('6. Class A Consumption Data'!B426="2017 - kwh"),'6. Class A Consumption Data'!F426:G426))</f>
        <v>0</v>
      </c>
      <c r="E166" s="974"/>
      <c r="F166" s="974">
        <f t="array" ref="F166">SUM(IF(('6. Class A Consumption Data'!J428:K428="B")*('6. Class A Consumption Data'!B426&lt;&gt;"N/A"),'6. Class A Consumption Data'!J426:K426))</f>
        <v>0</v>
      </c>
      <c r="G166" s="889">
        <f t="shared" si="17"/>
        <v>0</v>
      </c>
      <c r="H166" s="890">
        <f t="shared" si="18"/>
        <v>0</v>
      </c>
      <c r="I166" s="890">
        <f t="shared" si="19"/>
        <v>0</v>
      </c>
    </row>
    <row r="167" spans="1:9" hidden="1" x14ac:dyDescent="0.25">
      <c r="A167" s="888" t="s">
        <v>2718</v>
      </c>
      <c r="B167" s="888"/>
      <c r="C167" s="973">
        <f t="shared" si="16"/>
        <v>0</v>
      </c>
      <c r="D167" s="974">
        <f t="array" ref="D167">SUM(IF(('6. Class A Consumption Data'!F431:G431="B")*('6. Class A Consumption Data'!B429="2017 - kwh"),'6. Class A Consumption Data'!F429:G429))</f>
        <v>0</v>
      </c>
      <c r="E167" s="974"/>
      <c r="F167" s="974">
        <f t="array" ref="F167">SUM(IF(('6. Class A Consumption Data'!J431:K431="B")*('6. Class A Consumption Data'!B429&lt;&gt;"N/A"),'6. Class A Consumption Data'!J429:K429))</f>
        <v>0</v>
      </c>
      <c r="G167" s="889">
        <f t="shared" si="17"/>
        <v>0</v>
      </c>
      <c r="H167" s="890">
        <f t="shared" si="18"/>
        <v>0</v>
      </c>
      <c r="I167" s="890">
        <f t="shared" si="19"/>
        <v>0</v>
      </c>
    </row>
    <row r="168" spans="1:9" hidden="1" x14ac:dyDescent="0.25">
      <c r="A168" s="888" t="s">
        <v>2719</v>
      </c>
      <c r="B168" s="888"/>
      <c r="C168" s="973">
        <f t="shared" si="16"/>
        <v>0</v>
      </c>
      <c r="D168" s="974">
        <f t="array" ref="D168">SUM(IF(('6. Class A Consumption Data'!F434:G434="B")*('6. Class A Consumption Data'!B432="2017 - kwh"),'6. Class A Consumption Data'!F432:G432))</f>
        <v>0</v>
      </c>
      <c r="E168" s="974"/>
      <c r="F168" s="974">
        <f t="array" ref="F168">SUM(IF(('6. Class A Consumption Data'!J434:K434="B")*('6. Class A Consumption Data'!B432&lt;&gt;"N/A"),'6. Class A Consumption Data'!J432:K432))</f>
        <v>0</v>
      </c>
      <c r="G168" s="889">
        <f t="shared" si="17"/>
        <v>0</v>
      </c>
      <c r="H168" s="890">
        <f t="shared" si="18"/>
        <v>0</v>
      </c>
      <c r="I168" s="890">
        <f t="shared" si="19"/>
        <v>0</v>
      </c>
    </row>
    <row r="169" spans="1:9" hidden="1" x14ac:dyDescent="0.25">
      <c r="A169" s="888" t="s">
        <v>2720</v>
      </c>
      <c r="B169" s="888"/>
      <c r="C169" s="973">
        <f t="shared" si="16"/>
        <v>0</v>
      </c>
      <c r="D169" s="974">
        <f t="array" ref="D169">SUM(IF(('6. Class A Consumption Data'!F437:G437="B")*('6. Class A Consumption Data'!B435="2017 - kwh"),'6. Class A Consumption Data'!F435:G435))</f>
        <v>0</v>
      </c>
      <c r="E169" s="974"/>
      <c r="F169" s="974">
        <f t="array" ref="F169">SUM(IF(('6. Class A Consumption Data'!J437:K437="B")*('6. Class A Consumption Data'!B435&lt;&gt;"N/A"),'6. Class A Consumption Data'!J435:K435))</f>
        <v>0</v>
      </c>
      <c r="G169" s="889">
        <f t="shared" si="17"/>
        <v>0</v>
      </c>
      <c r="H169" s="890">
        <f t="shared" si="18"/>
        <v>0</v>
      </c>
      <c r="I169" s="890">
        <f t="shared" si="19"/>
        <v>0</v>
      </c>
    </row>
    <row r="170" spans="1:9" hidden="1" x14ac:dyDescent="0.25">
      <c r="A170" s="888" t="s">
        <v>2721</v>
      </c>
      <c r="B170" s="888"/>
      <c r="C170" s="973">
        <f t="shared" si="16"/>
        <v>0</v>
      </c>
      <c r="D170" s="974">
        <f t="array" ref="D170">SUM(IF(('6. Class A Consumption Data'!F440:G440="B")*('6. Class A Consumption Data'!B438="2017 - kwh"),'6. Class A Consumption Data'!F438:G438))</f>
        <v>0</v>
      </c>
      <c r="E170" s="974"/>
      <c r="F170" s="974">
        <f t="array" ref="F170">SUM(IF(('6. Class A Consumption Data'!J440:K440="B")*('6. Class A Consumption Data'!B438&lt;&gt;"N/A"),'6. Class A Consumption Data'!J438:K438))</f>
        <v>0</v>
      </c>
      <c r="G170" s="889">
        <f t="shared" si="17"/>
        <v>0</v>
      </c>
      <c r="H170" s="890">
        <f t="shared" si="18"/>
        <v>0</v>
      </c>
      <c r="I170" s="890">
        <f t="shared" si="19"/>
        <v>0</v>
      </c>
    </row>
    <row r="171" spans="1:9" hidden="1" x14ac:dyDescent="0.25">
      <c r="A171" s="888" t="s">
        <v>2722</v>
      </c>
      <c r="B171" s="888"/>
      <c r="C171" s="973">
        <f t="shared" si="16"/>
        <v>0</v>
      </c>
      <c r="D171" s="974">
        <f t="array" ref="D171">SUM(IF(('6. Class A Consumption Data'!F443:G443="B")*('6. Class A Consumption Data'!B441="2017 - kwh"),'6. Class A Consumption Data'!F441:G441))</f>
        <v>0</v>
      </c>
      <c r="E171" s="974"/>
      <c r="F171" s="974">
        <f t="array" ref="F171">SUM(IF(('6. Class A Consumption Data'!J443:K443="B")*('6. Class A Consumption Data'!B441&lt;&gt;"N/A"),'6. Class A Consumption Data'!J441:K441))</f>
        <v>0</v>
      </c>
      <c r="G171" s="889">
        <f t="shared" si="17"/>
        <v>0</v>
      </c>
      <c r="H171" s="890">
        <f t="shared" si="18"/>
        <v>0</v>
      </c>
      <c r="I171" s="890">
        <f t="shared" si="19"/>
        <v>0</v>
      </c>
    </row>
    <row r="172" spans="1:9" hidden="1" x14ac:dyDescent="0.25">
      <c r="A172" s="888" t="s">
        <v>2723</v>
      </c>
      <c r="B172" s="888"/>
      <c r="C172" s="973">
        <f t="shared" si="16"/>
        <v>0</v>
      </c>
      <c r="D172" s="974">
        <f t="array" ref="D172">SUM(IF(('6. Class A Consumption Data'!F446:G446="B")*('6. Class A Consumption Data'!B444="2017 - kwh"),'6. Class A Consumption Data'!F444:G444))</f>
        <v>0</v>
      </c>
      <c r="E172" s="974"/>
      <c r="F172" s="974">
        <f t="array" ref="F172">SUM(IF(('6. Class A Consumption Data'!J446:K446="B")*('6. Class A Consumption Data'!B444&lt;&gt;"N/A"),'6. Class A Consumption Data'!J444:K444))</f>
        <v>0</v>
      </c>
      <c r="G172" s="889">
        <f t="shared" si="17"/>
        <v>0</v>
      </c>
      <c r="H172" s="890">
        <f t="shared" si="18"/>
        <v>0</v>
      </c>
      <c r="I172" s="890">
        <f t="shared" si="19"/>
        <v>0</v>
      </c>
    </row>
    <row r="173" spans="1:9" hidden="1" x14ac:dyDescent="0.25">
      <c r="A173" s="888" t="s">
        <v>2724</v>
      </c>
      <c r="B173" s="888"/>
      <c r="C173" s="973">
        <f t="shared" si="16"/>
        <v>0</v>
      </c>
      <c r="D173" s="974">
        <f t="array" ref="D173">SUM(IF(('6. Class A Consumption Data'!F449:G449="B")*('6. Class A Consumption Data'!B447="2017 - kwh"),'6. Class A Consumption Data'!F447:G447))</f>
        <v>0</v>
      </c>
      <c r="E173" s="974"/>
      <c r="F173" s="974">
        <f t="array" ref="F173">SUM(IF(('6. Class A Consumption Data'!J449:K449="B")*('6. Class A Consumption Data'!B447&lt;&gt;"N/A"),'6. Class A Consumption Data'!J447:K447))</f>
        <v>0</v>
      </c>
      <c r="G173" s="889">
        <f t="shared" si="17"/>
        <v>0</v>
      </c>
      <c r="H173" s="890">
        <f t="shared" si="18"/>
        <v>0</v>
      </c>
      <c r="I173" s="890">
        <f t="shared" si="19"/>
        <v>0</v>
      </c>
    </row>
    <row r="174" spans="1:9" hidden="1" x14ac:dyDescent="0.25">
      <c r="A174" s="888" t="s">
        <v>2725</v>
      </c>
      <c r="B174" s="888"/>
      <c r="C174" s="973">
        <f t="shared" si="16"/>
        <v>0</v>
      </c>
      <c r="D174" s="974">
        <f t="array" ref="D174">SUM(IF(('6. Class A Consumption Data'!F452:G452="B")*('6. Class A Consumption Data'!B450="2017 - kwh"),'6. Class A Consumption Data'!F450:G450))</f>
        <v>0</v>
      </c>
      <c r="E174" s="974"/>
      <c r="F174" s="974">
        <f t="array" ref="F174">SUM(IF(('6. Class A Consumption Data'!J452:K452="B")*('6. Class A Consumption Data'!B450&lt;&gt;"N/A"),'6. Class A Consumption Data'!J450:K450))</f>
        <v>0</v>
      </c>
      <c r="G174" s="889">
        <f t="shared" si="17"/>
        <v>0</v>
      </c>
      <c r="H174" s="890">
        <f t="shared" si="18"/>
        <v>0</v>
      </c>
      <c r="I174" s="890">
        <f t="shared" si="19"/>
        <v>0</v>
      </c>
    </row>
    <row r="175" spans="1:9" hidden="1" x14ac:dyDescent="0.25">
      <c r="A175" s="888" t="s">
        <v>2726</v>
      </c>
      <c r="B175" s="888"/>
      <c r="C175" s="973">
        <f t="shared" si="16"/>
        <v>0</v>
      </c>
      <c r="D175" s="974">
        <f t="array" ref="D175">SUM(IF(('6. Class A Consumption Data'!F455:G455="B")*('6. Class A Consumption Data'!B453="2017 - kwh"),'6. Class A Consumption Data'!F453:G453))</f>
        <v>0</v>
      </c>
      <c r="E175" s="974"/>
      <c r="F175" s="974">
        <f t="array" ref="F175">SUM(IF(('6. Class A Consumption Data'!J455:K455="B")*('6. Class A Consumption Data'!B453&lt;&gt;"N/A"),'6. Class A Consumption Data'!J453:K453))</f>
        <v>0</v>
      </c>
      <c r="G175" s="889">
        <f t="shared" si="17"/>
        <v>0</v>
      </c>
      <c r="H175" s="890">
        <f t="shared" si="18"/>
        <v>0</v>
      </c>
      <c r="I175" s="890">
        <f t="shared" si="19"/>
        <v>0</v>
      </c>
    </row>
    <row r="176" spans="1:9" hidden="1" x14ac:dyDescent="0.25">
      <c r="A176" s="888" t="s">
        <v>2727</v>
      </c>
      <c r="B176" s="888"/>
      <c r="C176" s="973">
        <f t="shared" si="16"/>
        <v>0</v>
      </c>
      <c r="D176" s="974">
        <f t="array" ref="D176">SUM(IF(('6. Class A Consumption Data'!F458:G458="B")*('6. Class A Consumption Data'!B456="2017 - kwh"),'6. Class A Consumption Data'!F456:G456))</f>
        <v>0</v>
      </c>
      <c r="E176" s="974"/>
      <c r="F176" s="974">
        <f t="array" ref="F176">SUM(IF(('6. Class A Consumption Data'!J458:K458="B")*('6. Class A Consumption Data'!B456&lt;&gt;"N/A"),'6. Class A Consumption Data'!J456:K456))</f>
        <v>0</v>
      </c>
      <c r="G176" s="889">
        <f t="shared" si="17"/>
        <v>0</v>
      </c>
      <c r="H176" s="890">
        <f t="shared" si="18"/>
        <v>0</v>
      </c>
      <c r="I176" s="890">
        <f t="shared" si="19"/>
        <v>0</v>
      </c>
    </row>
    <row r="177" spans="1:9" hidden="1" x14ac:dyDescent="0.25">
      <c r="A177" s="888" t="s">
        <v>2728</v>
      </c>
      <c r="B177" s="888"/>
      <c r="C177" s="973">
        <f t="shared" si="16"/>
        <v>0</v>
      </c>
      <c r="D177" s="974">
        <f t="array" ref="D177">SUM(IF(('6. Class A Consumption Data'!F461:G461="B")*('6. Class A Consumption Data'!B459="2017 - kwh"),'6. Class A Consumption Data'!F459:G459))</f>
        <v>0</v>
      </c>
      <c r="E177" s="974"/>
      <c r="F177" s="974">
        <f t="array" ref="F177">SUM(IF(('6. Class A Consumption Data'!J461:K461="B")*('6. Class A Consumption Data'!B459&lt;&gt;"N/A"),'6. Class A Consumption Data'!J459:K459))</f>
        <v>0</v>
      </c>
      <c r="G177" s="889">
        <f t="shared" si="17"/>
        <v>0</v>
      </c>
      <c r="H177" s="890">
        <f t="shared" si="18"/>
        <v>0</v>
      </c>
      <c r="I177" s="890">
        <f t="shared" si="19"/>
        <v>0</v>
      </c>
    </row>
    <row r="178" spans="1:9" hidden="1" x14ac:dyDescent="0.25">
      <c r="A178" s="888" t="s">
        <v>2729</v>
      </c>
      <c r="B178" s="888"/>
      <c r="C178" s="973">
        <f t="shared" si="16"/>
        <v>0</v>
      </c>
      <c r="D178" s="974">
        <f t="array" ref="D178">SUM(IF(('6. Class A Consumption Data'!F464:G464="B")*('6. Class A Consumption Data'!B462="2017 - kwh"),'6. Class A Consumption Data'!F462:G462))</f>
        <v>0</v>
      </c>
      <c r="E178" s="974"/>
      <c r="F178" s="974">
        <f t="array" ref="F178">SUM(IF(('6. Class A Consumption Data'!J464:K464="B")*('6. Class A Consumption Data'!B462&lt;&gt;"N/A"),'6. Class A Consumption Data'!J462:K462))</f>
        <v>0</v>
      </c>
      <c r="G178" s="889">
        <f t="shared" si="17"/>
        <v>0</v>
      </c>
      <c r="H178" s="890">
        <f t="shared" si="18"/>
        <v>0</v>
      </c>
      <c r="I178" s="890">
        <f t="shared" si="19"/>
        <v>0</v>
      </c>
    </row>
    <row r="179" spans="1:9" hidden="1" x14ac:dyDescent="0.25">
      <c r="A179" s="888" t="s">
        <v>2730</v>
      </c>
      <c r="B179" s="888"/>
      <c r="C179" s="973">
        <f t="shared" si="16"/>
        <v>0</v>
      </c>
      <c r="D179" s="974">
        <f t="array" ref="D179">SUM(IF(('6. Class A Consumption Data'!F467:G467="B")*('6. Class A Consumption Data'!B465="2017 - kwh"),'6. Class A Consumption Data'!F465:G465))</f>
        <v>0</v>
      </c>
      <c r="E179" s="974"/>
      <c r="F179" s="974">
        <f t="array" ref="F179">SUM(IF(('6. Class A Consumption Data'!J467:K467="B")*('6. Class A Consumption Data'!B465&lt;&gt;"N/A"),'6. Class A Consumption Data'!J465:K465))</f>
        <v>0</v>
      </c>
      <c r="G179" s="889">
        <f t="shared" si="17"/>
        <v>0</v>
      </c>
      <c r="H179" s="890">
        <f t="shared" si="18"/>
        <v>0</v>
      </c>
      <c r="I179" s="890">
        <f t="shared" si="19"/>
        <v>0</v>
      </c>
    </row>
    <row r="180" spans="1:9" hidden="1" x14ac:dyDescent="0.25">
      <c r="A180" s="888" t="s">
        <v>2731</v>
      </c>
      <c r="B180" s="888"/>
      <c r="C180" s="973">
        <f t="shared" si="16"/>
        <v>0</v>
      </c>
      <c r="D180" s="974">
        <f t="array" ref="D180">SUM(IF(('6. Class A Consumption Data'!F470:G470="B")*('6. Class A Consumption Data'!B468="2017 - kwh"),'6. Class A Consumption Data'!F468:G468))</f>
        <v>0</v>
      </c>
      <c r="E180" s="974"/>
      <c r="F180" s="974">
        <f t="array" ref="F180">SUM(IF(('6. Class A Consumption Data'!J470:K470="B")*('6. Class A Consumption Data'!B468&lt;&gt;"N/A"),'6. Class A Consumption Data'!J468:K468))</f>
        <v>0</v>
      </c>
      <c r="G180" s="889">
        <f t="shared" si="17"/>
        <v>0</v>
      </c>
      <c r="H180" s="890">
        <f t="shared" si="18"/>
        <v>0</v>
      </c>
      <c r="I180" s="890">
        <f t="shared" si="19"/>
        <v>0</v>
      </c>
    </row>
    <row r="181" spans="1:9" hidden="1" x14ac:dyDescent="0.25">
      <c r="A181" s="888" t="s">
        <v>2732</v>
      </c>
      <c r="B181" s="888"/>
      <c r="C181" s="973">
        <f t="shared" si="16"/>
        <v>0</v>
      </c>
      <c r="D181" s="974">
        <f t="array" ref="D181">SUM(IF(('6. Class A Consumption Data'!F473:G473="B")*('6. Class A Consumption Data'!B471="2017 - kwh"),'6. Class A Consumption Data'!F471:G471))</f>
        <v>0</v>
      </c>
      <c r="E181" s="974"/>
      <c r="F181" s="974">
        <f t="array" ref="F181">SUM(IF(('6. Class A Consumption Data'!J473:K473="B")*('6. Class A Consumption Data'!B471&lt;&gt;"N/A"),'6. Class A Consumption Data'!J471:K471))</f>
        <v>0</v>
      </c>
      <c r="G181" s="889">
        <f t="shared" si="17"/>
        <v>0</v>
      </c>
      <c r="H181" s="890">
        <f t="shared" si="18"/>
        <v>0</v>
      </c>
      <c r="I181" s="890">
        <f t="shared" si="19"/>
        <v>0</v>
      </c>
    </row>
    <row r="182" spans="1:9" hidden="1" x14ac:dyDescent="0.25">
      <c r="A182" s="888" t="s">
        <v>2733</v>
      </c>
      <c r="B182" s="888"/>
      <c r="C182" s="973">
        <f t="shared" si="16"/>
        <v>0</v>
      </c>
      <c r="D182" s="974">
        <f t="array" ref="D182">SUM(IF(('6. Class A Consumption Data'!F476:G476="B")*('6. Class A Consumption Data'!B474="2017 - kwh"),'6. Class A Consumption Data'!F474:G474))</f>
        <v>0</v>
      </c>
      <c r="E182" s="974"/>
      <c r="F182" s="974">
        <f t="array" ref="F182">SUM(IF(('6. Class A Consumption Data'!J476:K476="B")*('6. Class A Consumption Data'!B474&lt;&gt;"N/A"),'6. Class A Consumption Data'!J474:K474))</f>
        <v>0</v>
      </c>
      <c r="G182" s="889">
        <f t="shared" si="17"/>
        <v>0</v>
      </c>
      <c r="H182" s="890">
        <f t="shared" si="18"/>
        <v>0</v>
      </c>
      <c r="I182" s="890">
        <f t="shared" si="19"/>
        <v>0</v>
      </c>
    </row>
    <row r="183" spans="1:9" hidden="1" x14ac:dyDescent="0.25">
      <c r="A183" s="888" t="s">
        <v>2734</v>
      </c>
      <c r="B183" s="888"/>
      <c r="C183" s="973">
        <f t="shared" si="16"/>
        <v>0</v>
      </c>
      <c r="D183" s="974">
        <f t="array" ref="D183">SUM(IF(('6. Class A Consumption Data'!F479:G479="B")*('6. Class A Consumption Data'!B477="2017 - kwh"),'6. Class A Consumption Data'!F477:G477))</f>
        <v>0</v>
      </c>
      <c r="E183" s="974"/>
      <c r="F183" s="974">
        <f t="array" ref="F183">SUM(IF(('6. Class A Consumption Data'!J479:K479="B")*('6. Class A Consumption Data'!B477&lt;&gt;"N/A"),'6. Class A Consumption Data'!J477:K477))</f>
        <v>0</v>
      </c>
      <c r="G183" s="889">
        <f t="shared" si="17"/>
        <v>0</v>
      </c>
      <c r="H183" s="890">
        <f t="shared" si="18"/>
        <v>0</v>
      </c>
      <c r="I183" s="890">
        <f t="shared" si="19"/>
        <v>0</v>
      </c>
    </row>
    <row r="184" spans="1:9" x14ac:dyDescent="0.25">
      <c r="A184" s="891" t="s">
        <v>51</v>
      </c>
      <c r="B184" s="891"/>
      <c r="C184" s="973">
        <f t="shared" ref="C184:I184" si="20">SUM(C34:C183)</f>
        <v>2274430.9400000004</v>
      </c>
      <c r="D184" s="973">
        <f t="shared" si="20"/>
        <v>2274430.9400000004</v>
      </c>
      <c r="E184" s="973">
        <f t="shared" si="20"/>
        <v>0</v>
      </c>
      <c r="F184" s="973">
        <f t="shared" si="20"/>
        <v>0</v>
      </c>
      <c r="G184" s="892">
        <f t="shared" si="20"/>
        <v>1</v>
      </c>
      <c r="H184" s="893">
        <f t="shared" si="20"/>
        <v>-39.095531825021212</v>
      </c>
      <c r="I184" s="890">
        <f t="shared" si="20"/>
        <v>-3.2579609854184342</v>
      </c>
    </row>
  </sheetData>
  <sheetProtection algorithmName="SHA-512" hashValue="TV4Ik8v4JVZMvQY/yTqezT1WTPmCQSJdmY3ztuhGZ5BH1/a8p+cynZz5XtQYzI0rPI93UDMt2TnSwrH8skmIzA==" saltValue="sXavKnTXDjRBAv0CaqsuXw==" spinCount="100000" sheet="1" objects="1" scenarios="1"/>
  <mergeCells count="5">
    <mergeCell ref="A14:E14"/>
    <mergeCell ref="C16:G16"/>
    <mergeCell ref="A18:E18"/>
    <mergeCell ref="A26:C26"/>
    <mergeCell ref="A31:D31"/>
  </mergeCells>
  <dataValidations count="1">
    <dataValidation type="list" allowBlank="1" showInputMessage="1" showErrorMessage="1" sqref="B16">
      <formula1>"Never Disposed, 2015, 2016"</formula1>
    </dataValidation>
  </dataValidations>
  <pageMargins left="0.7" right="0.7" top="0.75" bottom="0.75" header="0.3" footer="0.3"/>
  <pageSetup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30"/>
  <sheetViews>
    <sheetView showGridLines="0" topLeftCell="A10" workbookViewId="0">
      <selection activeCell="B16" sqref="B16"/>
    </sheetView>
  </sheetViews>
  <sheetFormatPr defaultColWidth="9.140625" defaultRowHeight="15" x14ac:dyDescent="0.25"/>
  <cols>
    <col min="1" max="1" width="56" style="779" bestFit="1" customWidth="1"/>
    <col min="2" max="2" width="14.85546875" style="779" customWidth="1"/>
    <col min="3" max="3" width="17.85546875" style="779" customWidth="1"/>
    <col min="4" max="4" width="11" style="779" customWidth="1"/>
    <col min="5" max="5" width="22" style="779" customWidth="1"/>
    <col min="6" max="6" width="14.5703125" style="779" customWidth="1"/>
    <col min="7" max="7" width="24.28515625" style="779" customWidth="1"/>
    <col min="8" max="8" width="18.5703125" style="779" customWidth="1"/>
    <col min="9" max="9" width="26.42578125" style="779" customWidth="1"/>
    <col min="10" max="10" width="17.140625" style="779" customWidth="1"/>
    <col min="11" max="11" width="18.5703125" style="779" customWidth="1"/>
    <col min="12" max="12" width="19.5703125" style="779" customWidth="1"/>
    <col min="13" max="13" width="18.28515625" style="779" customWidth="1"/>
    <col min="14" max="14" width="9.42578125" style="496" customWidth="1"/>
    <col min="15" max="16384" width="9.140625" style="779"/>
  </cols>
  <sheetData>
    <row r="1" spans="1:26" x14ac:dyDescent="0.25">
      <c r="A1" s="1026"/>
      <c r="B1" s="1026"/>
      <c r="C1" s="1026"/>
      <c r="D1" s="1026"/>
      <c r="E1" s="1026"/>
      <c r="F1" s="1026"/>
      <c r="G1" s="1026"/>
      <c r="H1" s="1026"/>
      <c r="I1" s="1026"/>
      <c r="J1" s="1026"/>
      <c r="K1" s="1026"/>
      <c r="L1" s="1026"/>
      <c r="M1" s="1026"/>
      <c r="N1" s="1529"/>
      <c r="O1" s="1026"/>
      <c r="P1" s="1026"/>
      <c r="Q1" s="1026"/>
      <c r="R1" s="1026"/>
      <c r="S1" s="1026"/>
      <c r="T1" s="1026"/>
      <c r="U1" s="1026"/>
      <c r="V1" s="1026"/>
      <c r="W1" s="1026"/>
      <c r="X1" s="1026"/>
      <c r="Y1" s="1026"/>
      <c r="Z1" s="1026"/>
    </row>
    <row r="2" spans="1:26" x14ac:dyDescent="0.25">
      <c r="A2" s="1026"/>
      <c r="B2" s="844" t="b">
        <v>0</v>
      </c>
      <c r="C2" s="1026" t="b">
        <v>1</v>
      </c>
      <c r="D2" s="1026"/>
      <c r="E2" s="1026"/>
      <c r="F2" s="1026"/>
      <c r="G2" s="1026"/>
      <c r="H2" s="1026"/>
      <c r="I2" s="1026"/>
      <c r="J2" s="1026"/>
      <c r="K2" s="1026"/>
      <c r="L2" s="1026"/>
      <c r="M2" s="1026"/>
      <c r="N2" s="1529"/>
      <c r="O2" s="1026"/>
      <c r="P2" s="1026"/>
      <c r="Q2" s="1026"/>
      <c r="R2" s="1026"/>
      <c r="S2" s="1026"/>
      <c r="T2" s="1026"/>
      <c r="U2" s="1026"/>
      <c r="V2" s="1026"/>
      <c r="W2" s="1026"/>
      <c r="X2" s="1026"/>
      <c r="Y2" s="1026"/>
      <c r="Z2" s="1026"/>
    </row>
    <row r="3" spans="1:26" x14ac:dyDescent="0.25">
      <c r="A3" s="1026"/>
      <c r="B3" s="1026"/>
      <c r="C3" s="1026"/>
      <c r="D3" s="1026"/>
      <c r="E3" s="1026"/>
      <c r="F3" s="1026"/>
      <c r="G3" s="1026"/>
      <c r="H3" s="1026"/>
      <c r="I3" s="1026"/>
      <c r="J3" s="1026"/>
      <c r="K3" s="1026"/>
      <c r="L3" s="1026"/>
      <c r="M3" s="1026"/>
      <c r="N3" s="1529"/>
      <c r="O3" s="1026"/>
      <c r="P3" s="1026"/>
      <c r="Q3" s="1026"/>
      <c r="R3" s="1026"/>
      <c r="S3" s="1026"/>
      <c r="T3" s="1026"/>
      <c r="U3" s="1026"/>
      <c r="V3" s="1026"/>
      <c r="W3" s="1026"/>
      <c r="X3" s="1026"/>
      <c r="Y3" s="1026"/>
      <c r="Z3" s="1026"/>
    </row>
    <row r="4" spans="1:26" x14ac:dyDescent="0.25">
      <c r="A4" s="1026"/>
      <c r="B4" s="1026"/>
      <c r="C4" s="1026"/>
      <c r="D4" s="1026"/>
      <c r="E4" s="1026"/>
      <c r="F4" s="1026"/>
      <c r="G4" s="1026"/>
      <c r="H4" s="1026"/>
      <c r="I4" s="1026"/>
      <c r="J4" s="1026"/>
      <c r="K4" s="1026"/>
      <c r="L4" s="1026"/>
      <c r="M4" s="1026"/>
      <c r="N4" s="1529"/>
      <c r="O4" s="1026"/>
      <c r="P4" s="1026"/>
      <c r="Q4" s="1026"/>
      <c r="R4" s="1026"/>
      <c r="S4" s="1026"/>
      <c r="T4" s="1026"/>
      <c r="U4" s="1026"/>
      <c r="V4" s="1026"/>
      <c r="W4" s="1026"/>
      <c r="X4" s="1026"/>
      <c r="Y4" s="1026"/>
      <c r="Z4" s="1026"/>
    </row>
    <row r="5" spans="1:26" x14ac:dyDescent="0.25">
      <c r="A5" s="1026"/>
      <c r="B5" s="1026"/>
      <c r="C5" s="1026"/>
      <c r="D5" s="1026"/>
      <c r="E5" s="1026"/>
      <c r="F5" s="1026"/>
      <c r="G5" s="1026"/>
      <c r="H5" s="1026"/>
      <c r="I5" s="1026"/>
      <c r="J5" s="1026"/>
      <c r="K5" s="1026"/>
      <c r="L5" s="1026"/>
      <c r="M5" s="1026"/>
      <c r="N5" s="1529"/>
      <c r="O5" s="1026"/>
      <c r="P5" s="1026"/>
      <c r="Q5" s="1026"/>
      <c r="R5" s="1026"/>
      <c r="S5" s="1026"/>
      <c r="T5" s="1026"/>
      <c r="U5" s="1026"/>
      <c r="V5" s="1026"/>
      <c r="W5" s="1026"/>
      <c r="X5" s="1026"/>
      <c r="Y5" s="1026"/>
      <c r="Z5" s="1026"/>
    </row>
    <row r="6" spans="1:26" x14ac:dyDescent="0.25">
      <c r="A6" s="1026"/>
      <c r="B6" s="1026" t="s">
        <v>51</v>
      </c>
      <c r="C6" s="1026"/>
      <c r="D6" s="1026"/>
      <c r="E6" s="1026"/>
      <c r="F6" s="1026"/>
      <c r="G6" s="1026"/>
      <c r="H6" s="1026"/>
      <c r="I6" s="1026"/>
      <c r="J6" s="1026"/>
      <c r="K6" s="1026"/>
      <c r="L6" s="1026"/>
      <c r="M6" s="1026"/>
      <c r="N6" s="1529"/>
      <c r="O6" s="1026"/>
      <c r="P6" s="1026"/>
      <c r="Q6" s="1026"/>
      <c r="R6" s="1026"/>
      <c r="S6" s="1026"/>
      <c r="T6" s="1026"/>
      <c r="U6" s="1026"/>
      <c r="V6" s="1026"/>
      <c r="W6" s="1026"/>
      <c r="X6" s="1026"/>
      <c r="Y6" s="1026"/>
      <c r="Z6" s="1026"/>
    </row>
    <row r="7" spans="1:26" x14ac:dyDescent="0.25">
      <c r="A7" s="1026"/>
      <c r="B7" s="1026"/>
      <c r="C7" s="1026"/>
      <c r="D7" s="1026"/>
      <c r="E7" s="1026"/>
      <c r="F7" s="1026"/>
      <c r="G7" s="1026"/>
      <c r="H7" s="1026"/>
      <c r="I7" s="1026"/>
      <c r="J7" s="1026"/>
      <c r="K7" s="1026"/>
      <c r="L7" s="1026"/>
      <c r="M7" s="1026"/>
      <c r="N7" s="1529"/>
      <c r="O7" s="1026"/>
      <c r="P7" s="1026"/>
      <c r="Q7" s="1026"/>
      <c r="R7" s="1026"/>
      <c r="S7" s="1026"/>
      <c r="T7" s="1026"/>
      <c r="U7" s="1026"/>
      <c r="V7" s="1026"/>
      <c r="W7" s="1026"/>
      <c r="X7" s="1026"/>
      <c r="Y7" s="1026"/>
      <c r="Z7" s="1026"/>
    </row>
    <row r="8" spans="1:26" x14ac:dyDescent="0.25">
      <c r="A8" s="1026"/>
      <c r="B8" s="1026"/>
      <c r="C8" s="1026"/>
      <c r="D8" s="1026"/>
      <c r="E8" s="1026"/>
      <c r="F8" s="1026"/>
      <c r="G8" s="1026"/>
      <c r="H8" s="1026"/>
      <c r="I8" s="1026"/>
      <c r="J8" s="1026"/>
      <c r="K8" s="1026"/>
      <c r="L8" s="1026"/>
      <c r="M8" s="1026"/>
      <c r="N8" s="1529"/>
      <c r="O8" s="1026"/>
      <c r="P8" s="1026"/>
      <c r="Q8" s="1026"/>
      <c r="R8" s="1026"/>
      <c r="S8" s="1026"/>
      <c r="T8" s="1026"/>
      <c r="U8" s="1026"/>
      <c r="V8" s="1026"/>
      <c r="W8" s="1026"/>
      <c r="X8" s="1026"/>
      <c r="Y8" s="1026"/>
      <c r="Z8" s="1026"/>
    </row>
    <row r="9" spans="1:26" x14ac:dyDescent="0.25">
      <c r="A9" s="1026"/>
      <c r="B9" s="1026"/>
      <c r="C9" s="1026"/>
      <c r="D9" s="1026"/>
      <c r="E9" s="1026"/>
      <c r="F9" s="1026"/>
      <c r="G9" s="1026"/>
      <c r="H9" s="1026"/>
      <c r="I9" s="1026"/>
      <c r="J9" s="1026"/>
      <c r="K9" s="1026"/>
      <c r="L9" s="1026"/>
      <c r="M9" s="1026"/>
      <c r="N9" s="1529"/>
      <c r="O9" s="1026"/>
      <c r="P9" s="1026"/>
      <c r="Q9" s="1026"/>
      <c r="R9" s="1026"/>
      <c r="S9" s="1026"/>
      <c r="T9" s="1026"/>
      <c r="U9" s="1026"/>
      <c r="V9" s="1026"/>
      <c r="W9" s="1026"/>
      <c r="X9" s="1026"/>
      <c r="Y9" s="1026"/>
      <c r="Z9" s="1026"/>
    </row>
    <row r="10" spans="1:26" x14ac:dyDescent="0.25">
      <c r="A10" s="1026"/>
      <c r="B10" s="1026"/>
      <c r="C10" s="1026"/>
      <c r="D10" s="1026"/>
      <c r="E10" s="1026"/>
      <c r="F10" s="1026"/>
      <c r="G10" s="1026"/>
      <c r="H10" s="1026"/>
      <c r="I10" s="1026"/>
      <c r="J10" s="1026"/>
      <c r="K10" s="1026"/>
      <c r="L10" s="1026"/>
      <c r="M10" s="1026"/>
      <c r="N10" s="1529"/>
      <c r="O10" s="1026"/>
      <c r="P10" s="1026"/>
      <c r="Q10" s="1026"/>
      <c r="R10" s="1026"/>
      <c r="S10" s="1026"/>
      <c r="T10" s="1026"/>
      <c r="U10" s="1026"/>
      <c r="V10" s="1026"/>
      <c r="W10" s="1026"/>
      <c r="X10" s="1026"/>
      <c r="Y10" s="1026"/>
      <c r="Z10" s="1026"/>
    </row>
    <row r="11" spans="1:26" x14ac:dyDescent="0.25">
      <c r="A11" s="1026"/>
      <c r="B11" s="1026"/>
      <c r="C11" s="1026"/>
      <c r="D11" s="1026"/>
      <c r="E11" s="1026"/>
      <c r="F11" s="1026"/>
      <c r="G11" s="1026"/>
      <c r="H11" s="1026"/>
      <c r="I11" s="1026"/>
      <c r="J11" s="1026"/>
      <c r="K11" s="1026"/>
      <c r="L11" s="1026"/>
      <c r="M11" s="1026"/>
      <c r="N11" s="1529"/>
      <c r="O11" s="1026"/>
      <c r="P11" s="1026"/>
      <c r="Q11" s="1026"/>
      <c r="R11" s="1026"/>
      <c r="S11" s="1026"/>
      <c r="T11" s="1026"/>
      <c r="U11" s="1026"/>
      <c r="V11" s="1026"/>
      <c r="W11" s="1026"/>
      <c r="X11" s="1026"/>
      <c r="Y11" s="1026"/>
      <c r="Z11" s="1026"/>
    </row>
    <row r="12" spans="1:26" s="744" customFormat="1" ht="35.25" customHeight="1" x14ac:dyDescent="0.25">
      <c r="A12" s="1812" t="s">
        <v>2908</v>
      </c>
      <c r="B12" s="1813"/>
      <c r="C12" s="1813"/>
      <c r="D12" s="1813"/>
      <c r="E12" s="1813"/>
      <c r="F12" s="1813"/>
      <c r="G12" s="1813"/>
      <c r="H12" s="1076"/>
      <c r="I12" s="1026"/>
      <c r="J12" s="1026"/>
      <c r="K12" s="1026"/>
      <c r="L12" s="1026"/>
      <c r="M12" s="1026"/>
      <c r="N12" s="1026"/>
      <c r="O12" s="1526"/>
      <c r="P12" s="1526"/>
      <c r="Q12" s="1526"/>
      <c r="R12" s="1526"/>
      <c r="S12" s="1526"/>
      <c r="T12" s="1526"/>
      <c r="U12" s="1526"/>
      <c r="V12" s="1526"/>
      <c r="W12" s="1526"/>
      <c r="X12" s="1526"/>
      <c r="Y12" s="1526"/>
      <c r="Z12" s="1526"/>
    </row>
    <row r="13" spans="1:26" ht="31.5" customHeight="1" x14ac:dyDescent="0.25">
      <c r="A13" s="1524" t="s">
        <v>6574</v>
      </c>
      <c r="B13" s="1003">
        <v>2016</v>
      </c>
      <c r="C13" s="1791" t="s">
        <v>2586</v>
      </c>
      <c r="D13" s="1780"/>
      <c r="E13" s="1780"/>
      <c r="F13" s="1780"/>
      <c r="G13" s="1780"/>
      <c r="H13" s="1026"/>
      <c r="I13" s="1026"/>
      <c r="J13" s="1026"/>
      <c r="K13" s="1026"/>
      <c r="L13" s="1026"/>
      <c r="M13" s="1026"/>
      <c r="N13" s="1026"/>
      <c r="O13" s="1026"/>
      <c r="P13" s="1026"/>
      <c r="Q13" s="1026"/>
      <c r="R13" s="1026"/>
      <c r="S13" s="1026"/>
      <c r="T13" s="1026"/>
      <c r="U13" s="1026"/>
      <c r="V13" s="1026"/>
      <c r="W13" s="1026"/>
      <c r="X13" s="1026"/>
      <c r="Y13" s="1026"/>
      <c r="Z13" s="1026"/>
    </row>
    <row r="14" spans="1:26" s="402" customFormat="1" ht="63" customHeight="1" x14ac:dyDescent="0.25">
      <c r="A14" s="862"/>
      <c r="B14" s="863"/>
      <c r="C14" s="1815" t="s">
        <v>6053</v>
      </c>
      <c r="D14" s="1815"/>
      <c r="E14" s="1814" t="s">
        <v>6051</v>
      </c>
      <c r="F14" s="1814"/>
      <c r="G14" s="1814" t="s">
        <v>6052</v>
      </c>
      <c r="H14" s="1814"/>
      <c r="I14" s="1814" t="s">
        <v>2578</v>
      </c>
      <c r="J14" s="1814"/>
      <c r="K14" s="865" t="s">
        <v>1811</v>
      </c>
      <c r="L14" s="1527" t="s">
        <v>2577</v>
      </c>
      <c r="M14" s="1527" t="s">
        <v>2576</v>
      </c>
      <c r="N14" s="869" t="s">
        <v>53</v>
      </c>
      <c r="O14" s="862"/>
      <c r="P14" s="862"/>
      <c r="Q14" s="862"/>
      <c r="R14" s="862"/>
      <c r="S14" s="862"/>
      <c r="T14" s="862"/>
      <c r="U14" s="862"/>
      <c r="V14" s="862"/>
      <c r="W14" s="862"/>
      <c r="X14" s="862"/>
      <c r="Y14" s="862"/>
      <c r="Z14" s="862"/>
    </row>
    <row r="15" spans="1:26" s="496" customFormat="1" x14ac:dyDescent="0.25">
      <c r="A15" s="1529"/>
      <c r="B15" s="1529"/>
      <c r="C15" s="866" t="s">
        <v>158</v>
      </c>
      <c r="D15" s="866" t="s">
        <v>159</v>
      </c>
      <c r="E15" s="866" t="s">
        <v>158</v>
      </c>
      <c r="F15" s="866" t="s">
        <v>159</v>
      </c>
      <c r="G15" s="866" t="s">
        <v>158</v>
      </c>
      <c r="H15" s="866" t="s">
        <v>159</v>
      </c>
      <c r="I15" s="866" t="s">
        <v>158</v>
      </c>
      <c r="J15" s="866" t="s">
        <v>159</v>
      </c>
      <c r="K15" s="1529"/>
      <c r="L15" s="1529"/>
      <c r="M15" s="1529"/>
      <c r="N15" s="1529"/>
      <c r="O15" s="1529"/>
      <c r="P15" s="1529"/>
      <c r="Q15" s="1529"/>
      <c r="R15" s="1529"/>
      <c r="S15" s="1529"/>
      <c r="T15" s="1529"/>
      <c r="U15" s="1529"/>
      <c r="V15" s="1529"/>
      <c r="W15" s="1529"/>
      <c r="X15" s="1529"/>
      <c r="Y15" s="1529"/>
      <c r="Z15" s="1529"/>
    </row>
    <row r="16" spans="1:26" ht="15.75" thickBot="1" x14ac:dyDescent="0.3">
      <c r="A16" s="1026"/>
      <c r="B16" s="1026"/>
      <c r="C16" s="1026"/>
      <c r="D16" s="1026"/>
      <c r="E16" s="1026"/>
      <c r="F16" s="1026"/>
      <c r="G16" s="1026"/>
      <c r="H16" s="1026"/>
      <c r="I16" s="1026"/>
      <c r="J16" s="1026"/>
      <c r="K16" s="1026"/>
      <c r="L16" s="1026"/>
      <c r="M16" s="1026"/>
      <c r="N16" s="1529"/>
      <c r="O16" s="1026"/>
      <c r="P16" s="1026"/>
      <c r="Q16" s="1026"/>
      <c r="R16" s="1026"/>
      <c r="S16" s="1026"/>
      <c r="T16" s="1026"/>
      <c r="U16" s="1026"/>
      <c r="V16" s="1026"/>
      <c r="W16" s="1026"/>
      <c r="X16" s="1026"/>
      <c r="Y16" s="1026"/>
      <c r="Z16" s="1026"/>
    </row>
    <row r="17" spans="1:26" ht="15.75" customHeight="1" x14ac:dyDescent="0.25">
      <c r="A17" s="1525" t="s">
        <v>438</v>
      </c>
      <c r="B17" s="867" t="s">
        <v>158</v>
      </c>
      <c r="C17" s="1355">
        <v>39379535</v>
      </c>
      <c r="D17" s="1355">
        <v>0</v>
      </c>
      <c r="E17" s="1512">
        <f t="array" ref="E17">SUM(IF('6. Class A Consumption Data'!D492:D791=A17,'6. Class A Consumption Data'!F492:F791)) + SUM(IF(('6. Class A Consumption Data'!D30:D479=A17)*('6. Class A Consumption Data'!A30:A479= "2017 - kwh"),'6. Class A Consumption Data'!F30:G479))</f>
        <v>0</v>
      </c>
      <c r="F17" s="1355">
        <f t="array" ref="F17">SUM(IF('6. Class A Consumption Data'!D492:D791=A17&amp;"kW",'6. Class A Consumption Data'!F492:F791)) + SUM(IF(('6. Class A Consumption Data'!D30:D479=A17&amp;"kW")*('6. Class A Consumption Data'!A30:A479= "2017 - kw"),'6. Class A Consumption Data'!F30:G479))</f>
        <v>0</v>
      </c>
      <c r="G17" s="1512">
        <f t="array" ref="G17">SUM(IF(('6. Class A Consumption Data'!D30:D479=A17)*('6. Class A Consumption Data'!B30:B479= "2017 - kwh"),'6. Class A Consumption Data'!F30:G479))</f>
        <v>0</v>
      </c>
      <c r="H17" s="1355">
        <f t="array" ref="H17">SUM(IF(('6. Class A Consumption Data'!D30:D479=A17&amp;"kW")*('6. Class A Consumption Data'!B30:B479= "2017 - kw"),'6. Class A Consumption Data'!F30:G479))</f>
        <v>0</v>
      </c>
      <c r="I17" s="1355">
        <f t="shared" ref="I17:I22" si="0">ROUND((C17-E17-G17),0)</f>
        <v>39379535</v>
      </c>
      <c r="J17" s="1355">
        <f t="shared" ref="J17:J22" si="1">(D17-F17-H17)</f>
        <v>0</v>
      </c>
      <c r="K17" s="1485">
        <f>(I17/I23)</f>
        <v>0.41728745708315251</v>
      </c>
      <c r="L17" s="1504">
        <f t="shared" ref="L17:L22" si="2">ROUND((-1622.1448*K17),0)</f>
        <v>-677</v>
      </c>
      <c r="M17" s="1505">
        <v>0</v>
      </c>
      <c r="N17" s="1529" t="s">
        <v>158</v>
      </c>
      <c r="O17" s="1803" t="s">
        <v>6917</v>
      </c>
      <c r="P17" s="1804"/>
      <c r="Q17" s="1804"/>
      <c r="R17" s="1804"/>
      <c r="S17" s="1804"/>
      <c r="T17" s="1804"/>
      <c r="U17" s="1805"/>
      <c r="V17" s="1026"/>
      <c r="W17" s="1026"/>
      <c r="X17" s="1026"/>
      <c r="Y17" s="1026"/>
      <c r="Z17" s="1026"/>
    </row>
    <row r="18" spans="1:26" ht="15.75" customHeight="1" x14ac:dyDescent="0.25">
      <c r="A18" s="1525" t="s">
        <v>3214</v>
      </c>
      <c r="B18" s="867" t="s">
        <v>158</v>
      </c>
      <c r="C18" s="1355">
        <v>19816423</v>
      </c>
      <c r="D18" s="1355">
        <v>0</v>
      </c>
      <c r="E18" s="1512">
        <f t="array" ref="E18">SUM(IF('6. Class A Consumption Data'!D492:D791=A18,'6. Class A Consumption Data'!F492:F791)) + SUM(IF(('6. Class A Consumption Data'!D30:D479=A18)*('6. Class A Consumption Data'!A30:A479= "2017 - kwh"),'6. Class A Consumption Data'!F30:G479))</f>
        <v>0</v>
      </c>
      <c r="F18" s="1355">
        <f t="array" ref="F18">SUM(IF('6. Class A Consumption Data'!D492:D791=A18&amp;"kW",'6. Class A Consumption Data'!F492:F791)) + SUM(IF(('6. Class A Consumption Data'!D30:D479=A18&amp;"kW")*('6. Class A Consumption Data'!A30:A479= "2017 - kw"),'6. Class A Consumption Data'!F30:G479))</f>
        <v>0</v>
      </c>
      <c r="G18" s="1512">
        <f t="array" ref="G18">SUM(IF(('6. Class A Consumption Data'!D30:D479=A18)*('6. Class A Consumption Data'!B30:B479= "2017 - kwh"),'6. Class A Consumption Data'!F30:G479))</f>
        <v>0</v>
      </c>
      <c r="H18" s="1355">
        <f t="array" ref="H18">SUM(IF(('6. Class A Consumption Data'!D30:D479=A18&amp;"kW")*('6. Class A Consumption Data'!B30:B479= "2017 - kw"),'6. Class A Consumption Data'!F30:G479))</f>
        <v>0</v>
      </c>
      <c r="I18" s="1355">
        <f t="shared" si="0"/>
        <v>19816423</v>
      </c>
      <c r="J18" s="1355">
        <f t="shared" si="1"/>
        <v>0</v>
      </c>
      <c r="K18" s="1485">
        <f>(I18/I23)</f>
        <v>0.20998584066962944</v>
      </c>
      <c r="L18" s="1504">
        <f t="shared" si="2"/>
        <v>-341</v>
      </c>
      <c r="M18" s="1505">
        <v>0</v>
      </c>
      <c r="N18" s="1529" t="s">
        <v>158</v>
      </c>
      <c r="O18" s="1806"/>
      <c r="P18" s="1807"/>
      <c r="Q18" s="1807"/>
      <c r="R18" s="1807"/>
      <c r="S18" s="1807"/>
      <c r="T18" s="1807"/>
      <c r="U18" s="1808"/>
      <c r="V18" s="1026"/>
      <c r="W18" s="1026"/>
      <c r="X18" s="1026"/>
      <c r="Y18" s="1026"/>
      <c r="Z18" s="1026"/>
    </row>
    <row r="19" spans="1:26" ht="15.75" customHeight="1" x14ac:dyDescent="0.25">
      <c r="A19" s="1525" t="s">
        <v>4819</v>
      </c>
      <c r="B19" s="867" t="s">
        <v>158</v>
      </c>
      <c r="C19" s="1355">
        <v>38286678</v>
      </c>
      <c r="D19" s="1355">
        <v>111704</v>
      </c>
      <c r="E19" s="1512">
        <f t="array" ref="E19">SUM(IF('6. Class A Consumption Data'!D492:D791=A19,'6. Class A Consumption Data'!F492:F791)) + SUM(IF(('6. Class A Consumption Data'!D30:D479=A19)*('6. Class A Consumption Data'!A30:A479= "2017 - kwh"),'6. Class A Consumption Data'!F30:G479))</f>
        <v>0</v>
      </c>
      <c r="F19" s="1355">
        <f t="array" ref="F19">SUM(IF('6. Class A Consumption Data'!D492:D791=A19&amp;"kW",'6. Class A Consumption Data'!F492:F791)) + SUM(IF(('6. Class A Consumption Data'!D30:D479=A19&amp;"kW")*('6. Class A Consumption Data'!A30:A479= "2017 - kw"),'6. Class A Consumption Data'!F30:G479))</f>
        <v>0</v>
      </c>
      <c r="G19" s="1512">
        <f t="array" ref="G19">SUM(IF(('6. Class A Consumption Data'!D30:D479=A19)*('6. Class A Consumption Data'!B30:B479= "2017 - kwh"),'6. Class A Consumption Data'!F30:G479))</f>
        <v>4468026.9400000004</v>
      </c>
      <c r="H19" s="1355">
        <f t="array" ref="H19">SUM(IF(('6. Class A Consumption Data'!D30:D479=A19&amp;"kW")*('6. Class A Consumption Data'!B30:B479= "2017 - kw"),'6. Class A Consumption Data'!F30:G479))</f>
        <v>14850.272000000001</v>
      </c>
      <c r="I19" s="1355">
        <f t="shared" si="0"/>
        <v>33818651</v>
      </c>
      <c r="J19" s="1355">
        <f t="shared" si="1"/>
        <v>96853.728000000003</v>
      </c>
      <c r="K19" s="1485">
        <f>(I19/I23)</f>
        <v>0.35836123706825418</v>
      </c>
      <c r="L19" s="1504">
        <f t="shared" si="2"/>
        <v>-581</v>
      </c>
      <c r="M19" s="1505">
        <v>0</v>
      </c>
      <c r="N19" s="1529" t="s">
        <v>159</v>
      </c>
      <c r="O19" s="1806"/>
      <c r="P19" s="1807"/>
      <c r="Q19" s="1807"/>
      <c r="R19" s="1807"/>
      <c r="S19" s="1807"/>
      <c r="T19" s="1807"/>
      <c r="U19" s="1808"/>
      <c r="V19" s="1026"/>
      <c r="W19" s="1026"/>
      <c r="X19" s="1026"/>
      <c r="Y19" s="1026"/>
      <c r="Z19" s="1026"/>
    </row>
    <row r="20" spans="1:26" ht="15.75" customHeight="1" x14ac:dyDescent="0.25">
      <c r="A20" s="1525" t="s">
        <v>617</v>
      </c>
      <c r="B20" s="867" t="s">
        <v>158</v>
      </c>
      <c r="C20" s="1355">
        <v>539097</v>
      </c>
      <c r="D20" s="1355">
        <v>0</v>
      </c>
      <c r="E20" s="1512">
        <f t="array" ref="E20">SUM(IF('6. Class A Consumption Data'!D492:D791=A20,'6. Class A Consumption Data'!F492:F791)) + SUM(IF(('6. Class A Consumption Data'!D30:D479=A20)*('6. Class A Consumption Data'!A30:A479= "2017 - kwh"),'6. Class A Consumption Data'!F30:G479))</f>
        <v>0</v>
      </c>
      <c r="F20" s="1355">
        <f t="array" ref="F20">SUM(IF('6. Class A Consumption Data'!D492:D791=A20&amp;"kW",'6. Class A Consumption Data'!F492:F791)) + SUM(IF(('6. Class A Consumption Data'!D30:D479=A20&amp;"kW")*('6. Class A Consumption Data'!A30:A479= "2017 - kw"),'6. Class A Consumption Data'!F30:G479))</f>
        <v>0</v>
      </c>
      <c r="G20" s="1512">
        <f t="array" ref="G20">SUM(IF(('6. Class A Consumption Data'!D30:D479=A20)*('6. Class A Consumption Data'!B30:B479= "2017 - kwh"),'6. Class A Consumption Data'!F30:G479))</f>
        <v>0</v>
      </c>
      <c r="H20" s="1355">
        <f t="array" ref="H20">SUM(IF(('6. Class A Consumption Data'!D30:D479=A20&amp;"kW")*('6. Class A Consumption Data'!B30:B479= "2017 - kw"),'6. Class A Consumption Data'!F30:G479))</f>
        <v>0</v>
      </c>
      <c r="I20" s="1355">
        <f t="shared" si="0"/>
        <v>539097</v>
      </c>
      <c r="J20" s="1355">
        <f t="shared" si="1"/>
        <v>0</v>
      </c>
      <c r="K20" s="1485">
        <f>(I20/I23)</f>
        <v>5.7125716759011064E-3</v>
      </c>
      <c r="L20" s="1504">
        <f t="shared" si="2"/>
        <v>-9</v>
      </c>
      <c r="M20" s="1505">
        <v>0</v>
      </c>
      <c r="N20" s="1529" t="s">
        <v>158</v>
      </c>
      <c r="O20" s="1806"/>
      <c r="P20" s="1807"/>
      <c r="Q20" s="1807"/>
      <c r="R20" s="1807"/>
      <c r="S20" s="1807"/>
      <c r="T20" s="1807"/>
      <c r="U20" s="1808"/>
      <c r="V20" s="1026"/>
      <c r="W20" s="1026"/>
      <c r="X20" s="1026"/>
      <c r="Y20" s="1026"/>
      <c r="Z20" s="1026"/>
    </row>
    <row r="21" spans="1:26" ht="15.75" customHeight="1" x14ac:dyDescent="0.25">
      <c r="A21" s="1525" t="s">
        <v>629</v>
      </c>
      <c r="B21" s="867" t="s">
        <v>158</v>
      </c>
      <c r="C21" s="1355">
        <v>99906</v>
      </c>
      <c r="D21" s="1355">
        <v>298</v>
      </c>
      <c r="E21" s="1512">
        <f t="array" ref="E21">SUM(IF('6. Class A Consumption Data'!D492:D791=A21,'6. Class A Consumption Data'!F492:F791)) + SUM(IF(('6. Class A Consumption Data'!D30:D479=A21)*('6. Class A Consumption Data'!A30:A479= "2017 - kwh"),'6. Class A Consumption Data'!F30:G479))</f>
        <v>0</v>
      </c>
      <c r="F21" s="1355">
        <f t="array" ref="F21">SUM(IF('6. Class A Consumption Data'!D492:D791=A21&amp;"kW",'6. Class A Consumption Data'!F492:F791)) + SUM(IF(('6. Class A Consumption Data'!D30:D479=A21&amp;"kW")*('6. Class A Consumption Data'!A30:A479= "2017 - kw"),'6. Class A Consumption Data'!F30:G479))</f>
        <v>0</v>
      </c>
      <c r="G21" s="1512">
        <f t="array" ref="G21">SUM(IF(('6. Class A Consumption Data'!D30:D479=A21)*('6. Class A Consumption Data'!B30:B479= "2017 - kwh"),'6. Class A Consumption Data'!F30:G479))</f>
        <v>0</v>
      </c>
      <c r="H21" s="1355">
        <f t="array" ref="H21">SUM(IF(('6. Class A Consumption Data'!D30:D479=A21&amp;"kW")*('6. Class A Consumption Data'!B30:B479= "2017 - kw"),'6. Class A Consumption Data'!F30:G479))</f>
        <v>0</v>
      </c>
      <c r="I21" s="1355">
        <f t="shared" si="0"/>
        <v>99906</v>
      </c>
      <c r="J21" s="1355">
        <f t="shared" si="1"/>
        <v>298</v>
      </c>
      <c r="K21" s="1485">
        <f>(I21/I23)</f>
        <v>1.0586595470807219E-3</v>
      </c>
      <c r="L21" s="1504">
        <f t="shared" si="2"/>
        <v>-2</v>
      </c>
      <c r="M21" s="1505">
        <v>0</v>
      </c>
      <c r="N21" s="1529" t="s">
        <v>159</v>
      </c>
      <c r="O21" s="1806"/>
      <c r="P21" s="1807"/>
      <c r="Q21" s="1807"/>
      <c r="R21" s="1807"/>
      <c r="S21" s="1807"/>
      <c r="T21" s="1807"/>
      <c r="U21" s="1808"/>
      <c r="V21" s="1026"/>
      <c r="W21" s="1026"/>
      <c r="X21" s="1026"/>
      <c r="Y21" s="1026"/>
      <c r="Z21" s="1026"/>
    </row>
    <row r="22" spans="1:26" ht="15.75" customHeight="1" thickBot="1" x14ac:dyDescent="0.3">
      <c r="A22" s="1525" t="s">
        <v>615</v>
      </c>
      <c r="B22" s="867" t="s">
        <v>158</v>
      </c>
      <c r="C22" s="1355">
        <v>716670</v>
      </c>
      <c r="D22" s="1355">
        <v>1945</v>
      </c>
      <c r="E22" s="1512">
        <f t="array" ref="E22">SUM(IF('6. Class A Consumption Data'!D492:D791=A22,'6. Class A Consumption Data'!F492:F791)) + SUM(IF(('6. Class A Consumption Data'!D30:D479=A22)*('6. Class A Consumption Data'!A30:A479= "2017 - kwh"),'6. Class A Consumption Data'!F30:G479))</f>
        <v>0</v>
      </c>
      <c r="F22" s="1355">
        <f t="array" ref="F22">SUM(IF('6. Class A Consumption Data'!D492:D791=A22&amp;"kW",'6. Class A Consumption Data'!F492:F791)) + SUM(IF(('6. Class A Consumption Data'!D30:D479=A22&amp;"kW")*('6. Class A Consumption Data'!A30:A479= "2017 - kw"),'6. Class A Consumption Data'!F30:G479))</f>
        <v>0</v>
      </c>
      <c r="G22" s="1512">
        <f t="array" ref="G22">SUM(IF(('6. Class A Consumption Data'!D30:D479=A22)*('6. Class A Consumption Data'!B30:B479= "2017 - kwh"),'6. Class A Consumption Data'!F30:G479))</f>
        <v>0</v>
      </c>
      <c r="H22" s="1355">
        <f t="array" ref="H22">SUM(IF(('6. Class A Consumption Data'!D30:D479=A22&amp;"kW")*('6. Class A Consumption Data'!B30:B479= "2017 - kw"),'6. Class A Consumption Data'!F30:G479))</f>
        <v>0</v>
      </c>
      <c r="I22" s="1355">
        <f t="shared" si="0"/>
        <v>716670</v>
      </c>
      <c r="J22" s="1355">
        <f t="shared" si="1"/>
        <v>1945</v>
      </c>
      <c r="K22" s="1485">
        <f>(I22/I23)</f>
        <v>7.5942339559820328E-3</v>
      </c>
      <c r="L22" s="1504">
        <f t="shared" si="2"/>
        <v>-12</v>
      </c>
      <c r="M22" s="1505">
        <v>0</v>
      </c>
      <c r="N22" s="1529" t="s">
        <v>159</v>
      </c>
      <c r="O22" s="1806"/>
      <c r="P22" s="1807"/>
      <c r="Q22" s="1807"/>
      <c r="R22" s="1807"/>
      <c r="S22" s="1807"/>
      <c r="T22" s="1807"/>
      <c r="U22" s="1808"/>
      <c r="V22" s="1026"/>
      <c r="W22" s="1026"/>
      <c r="X22" s="1026"/>
      <c r="Y22" s="1026"/>
      <c r="Z22" s="1026"/>
    </row>
    <row r="23" spans="1:26" ht="15.75" thickBot="1" x14ac:dyDescent="0.3">
      <c r="A23" s="1026"/>
      <c r="B23" s="1506" t="s">
        <v>51</v>
      </c>
      <c r="C23" s="1507">
        <v>98838309</v>
      </c>
      <c r="D23" s="1507">
        <v>113947</v>
      </c>
      <c r="E23" s="1513">
        <f t="shared" ref="E23:L23" si="3">SUM(E17:E22)</f>
        <v>0</v>
      </c>
      <c r="F23" s="1507">
        <f t="shared" si="3"/>
        <v>0</v>
      </c>
      <c r="G23" s="1513">
        <f t="shared" si="3"/>
        <v>4468026.9400000004</v>
      </c>
      <c r="H23" s="1507">
        <f t="shared" si="3"/>
        <v>14850.272000000001</v>
      </c>
      <c r="I23" s="1507">
        <f t="shared" si="3"/>
        <v>94370282</v>
      </c>
      <c r="J23" s="1507">
        <f t="shared" si="3"/>
        <v>99096.728000000003</v>
      </c>
      <c r="K23" s="1509">
        <f t="shared" si="3"/>
        <v>1</v>
      </c>
      <c r="L23" s="1510">
        <f t="shared" si="3"/>
        <v>-1622</v>
      </c>
      <c r="M23" s="1511">
        <v>0</v>
      </c>
      <c r="N23" s="1529"/>
      <c r="O23" s="1809"/>
      <c r="P23" s="1810"/>
      <c r="Q23" s="1810"/>
      <c r="R23" s="1810"/>
      <c r="S23" s="1810"/>
      <c r="T23" s="1810"/>
      <c r="U23" s="1811"/>
      <c r="V23" s="1026"/>
      <c r="W23" s="1026"/>
      <c r="X23" s="1026"/>
      <c r="Y23" s="1026"/>
      <c r="Z23" s="1026"/>
    </row>
    <row r="24" spans="1:26" x14ac:dyDescent="0.25">
      <c r="A24" s="1026"/>
      <c r="B24" s="1026"/>
      <c r="C24" s="1026"/>
      <c r="D24" s="1026"/>
      <c r="E24" s="1355"/>
      <c r="F24" s="1355"/>
      <c r="G24" s="1355"/>
      <c r="H24" s="1026"/>
      <c r="I24" s="1026"/>
      <c r="J24" s="1026"/>
      <c r="K24" s="1026"/>
      <c r="L24" s="1026"/>
      <c r="M24" s="1026"/>
      <c r="N24" s="1529"/>
      <c r="O24" s="1026"/>
      <c r="P24" s="1026"/>
      <c r="Q24" s="1026"/>
      <c r="R24" s="1026"/>
      <c r="S24" s="1026"/>
      <c r="T24" s="1026"/>
      <c r="U24" s="1026"/>
      <c r="V24" s="1026"/>
      <c r="W24" s="1026"/>
      <c r="X24" s="1026"/>
      <c r="Y24" s="1026"/>
      <c r="Z24" s="1026"/>
    </row>
    <row r="25" spans="1:26" x14ac:dyDescent="0.25">
      <c r="A25" s="1026"/>
      <c r="B25" s="1026"/>
      <c r="C25" s="1026"/>
      <c r="D25" s="1026"/>
      <c r="E25" s="1026"/>
      <c r="F25" s="1026"/>
      <c r="G25" s="1026"/>
      <c r="H25" s="1026"/>
      <c r="I25" s="1026"/>
      <c r="J25" s="1026"/>
      <c r="K25" s="1026"/>
      <c r="L25" s="1026"/>
      <c r="M25" s="1026"/>
      <c r="N25" s="1529"/>
      <c r="O25" s="1026"/>
      <c r="P25" s="1026"/>
      <c r="Q25" s="1026"/>
      <c r="R25" s="1026"/>
      <c r="S25" s="1026"/>
      <c r="T25" s="1026"/>
      <c r="U25" s="1026"/>
      <c r="V25" s="1026"/>
      <c r="W25" s="1026"/>
      <c r="X25" s="1026"/>
      <c r="Y25" s="1026"/>
      <c r="Z25" s="1026"/>
    </row>
    <row r="26" spans="1:26" x14ac:dyDescent="0.25">
      <c r="A26" s="1026"/>
      <c r="B26" s="1026"/>
      <c r="C26" s="1026"/>
      <c r="D26" s="1026"/>
      <c r="E26" s="1026"/>
      <c r="F26" s="1026"/>
      <c r="G26" s="1026"/>
      <c r="H26" s="1026"/>
      <c r="I26" s="1026"/>
      <c r="J26" s="1026"/>
      <c r="K26" s="1026"/>
      <c r="L26" s="1026"/>
      <c r="M26" s="1026"/>
      <c r="N26" s="1529"/>
      <c r="O26" s="1026"/>
      <c r="P26" s="1026"/>
      <c r="Q26" s="1026"/>
      <c r="R26" s="1026"/>
      <c r="S26" s="1026"/>
      <c r="T26" s="1026"/>
      <c r="U26" s="1026"/>
      <c r="V26" s="1026"/>
      <c r="W26" s="1026"/>
      <c r="X26" s="1026"/>
      <c r="Y26" s="1026"/>
      <c r="Z26" s="1026"/>
    </row>
    <row r="27" spans="1:26" x14ac:dyDescent="0.25">
      <c r="A27" s="1026"/>
      <c r="B27" s="1026"/>
      <c r="C27" s="1026"/>
      <c r="D27" s="1026"/>
      <c r="E27" s="1026"/>
      <c r="F27" s="1026"/>
      <c r="G27" s="1026"/>
      <c r="H27" s="1026"/>
      <c r="I27" s="1026"/>
      <c r="J27" s="1026"/>
      <c r="K27" s="1026"/>
      <c r="L27" s="1026"/>
      <c r="M27" s="1026"/>
      <c r="N27" s="1529"/>
      <c r="O27" s="1026"/>
      <c r="P27" s="1026"/>
      <c r="Q27" s="1026"/>
      <c r="R27" s="1026"/>
      <c r="S27" s="1026"/>
      <c r="T27" s="1026"/>
      <c r="U27" s="1026"/>
      <c r="V27" s="1026"/>
      <c r="W27" s="1026"/>
      <c r="X27" s="1026"/>
      <c r="Y27" s="1026"/>
      <c r="Z27" s="1026"/>
    </row>
    <row r="28" spans="1:26" x14ac:dyDescent="0.25">
      <c r="A28" s="1026"/>
      <c r="B28" s="1026"/>
      <c r="C28" s="1026"/>
      <c r="D28" s="1026"/>
      <c r="E28" s="1026"/>
      <c r="F28" s="1026"/>
      <c r="G28" s="1026"/>
      <c r="H28" s="1026"/>
      <c r="I28" s="1026"/>
      <c r="J28" s="1026"/>
      <c r="K28" s="1026"/>
      <c r="L28" s="1026"/>
      <c r="M28" s="1026"/>
      <c r="N28" s="1529"/>
      <c r="O28" s="1026"/>
      <c r="P28" s="1026"/>
      <c r="Q28" s="1026"/>
      <c r="R28" s="1026"/>
      <c r="S28" s="1026"/>
      <c r="T28" s="1026"/>
      <c r="U28" s="1026"/>
      <c r="V28" s="1026"/>
      <c r="W28" s="1026"/>
      <c r="X28" s="1026"/>
      <c r="Y28" s="1026"/>
      <c r="Z28" s="1026"/>
    </row>
    <row r="29" spans="1:26" x14ac:dyDescent="0.25">
      <c r="A29" s="1026"/>
      <c r="B29" s="1026"/>
      <c r="C29" s="1026"/>
      <c r="D29" s="1026"/>
      <c r="E29" s="1026"/>
      <c r="F29" s="1026"/>
      <c r="G29" s="1026"/>
      <c r="H29" s="1026"/>
      <c r="I29" s="1026"/>
      <c r="J29" s="1026"/>
      <c r="K29" s="1026"/>
      <c r="L29" s="1026"/>
      <c r="M29" s="1026"/>
      <c r="N29" s="1529"/>
      <c r="O29" s="1026"/>
      <c r="P29" s="1026"/>
      <c r="Q29" s="1026"/>
      <c r="R29" s="1026"/>
      <c r="S29" s="1026"/>
      <c r="T29" s="1026"/>
      <c r="U29" s="1026"/>
      <c r="V29" s="1026"/>
      <c r="W29" s="1026"/>
      <c r="X29" s="1026"/>
      <c r="Y29" s="1026"/>
      <c r="Z29" s="1026"/>
    </row>
    <row r="30" spans="1:26" x14ac:dyDescent="0.25">
      <c r="A30" s="1026"/>
      <c r="B30" s="1026"/>
      <c r="C30" s="1026"/>
      <c r="D30" s="1026"/>
      <c r="E30" s="1026"/>
      <c r="F30" s="1026"/>
      <c r="G30" s="1026"/>
      <c r="H30" s="1026"/>
      <c r="I30" s="1026"/>
      <c r="J30" s="1026"/>
      <c r="K30" s="1026"/>
      <c r="L30" s="1026"/>
      <c r="M30" s="1026"/>
      <c r="N30" s="1529"/>
      <c r="O30" s="1026"/>
      <c r="P30" s="1026"/>
      <c r="Q30" s="1026"/>
      <c r="R30" s="1026"/>
      <c r="S30" s="1026"/>
      <c r="T30" s="1026"/>
      <c r="U30" s="1026"/>
      <c r="V30" s="1026"/>
      <c r="W30" s="1026"/>
      <c r="X30" s="1026"/>
      <c r="Y30" s="1026"/>
      <c r="Z30" s="1026"/>
    </row>
  </sheetData>
  <sheetProtection algorithmName="SHA-512" hashValue="ruBKYwnDYtNF9LhqeZ2aGwUM7Mbt1pAzKNDZZxz/TwVbibj3gqzfnzWjeTXmb3N8PWrKefbS8c14kIj8D8Oypw==" saltValue="22RWVaLaQma2g8nZ2gwF6g==" spinCount="100000" sheet="1" objects="1" scenarios="1"/>
  <mergeCells count="7">
    <mergeCell ref="O17:U23"/>
    <mergeCell ref="A12:G12"/>
    <mergeCell ref="E14:F14"/>
    <mergeCell ref="G14:H14"/>
    <mergeCell ref="C14:D14"/>
    <mergeCell ref="I14:J14"/>
    <mergeCell ref="C13:G13"/>
  </mergeCells>
  <dataValidations count="1">
    <dataValidation type="list" allowBlank="1" showInputMessage="1" showErrorMessage="1" sqref="B13">
      <formula1>"Never Disposed, 2015, 2016"</formula1>
    </dataValidation>
  </dataValidations>
  <pageMargins left="0.7" right="0.7" top="0.75" bottom="0.75" header="0.3" footer="0.3"/>
  <pageSetup scale="3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31"/>
  <sheetViews>
    <sheetView showGridLines="0" zoomScaleNormal="100" workbookViewId="0"/>
  </sheetViews>
  <sheetFormatPr defaultColWidth="9.140625" defaultRowHeight="15" x14ac:dyDescent="0.25"/>
  <cols>
    <col min="1" max="1" width="56.7109375" style="1026" bestFit="1" customWidth="1"/>
    <col min="2" max="2" width="9.140625" style="1026"/>
    <col min="3" max="3" width="14.140625" style="1026" customWidth="1"/>
    <col min="4" max="6" width="14.42578125" style="1026" customWidth="1"/>
    <col min="7" max="8" width="22.5703125" style="1026" customWidth="1"/>
    <col min="9" max="9" width="16.7109375" style="1026" customWidth="1"/>
    <col min="10" max="10" width="21.28515625" style="1026" customWidth="1"/>
    <col min="11" max="11" width="13.5703125" style="1026" customWidth="1"/>
    <col min="12" max="12" width="17.85546875" style="1026" hidden="1" customWidth="1"/>
    <col min="13" max="13" width="20.140625" style="1026" hidden="1" customWidth="1"/>
    <col min="14" max="14" width="15.28515625" style="1026" bestFit="1" customWidth="1"/>
    <col min="15" max="16384" width="9.140625" style="1026"/>
  </cols>
  <sheetData>
    <row r="1" spans="1:14" x14ac:dyDescent="0.25">
      <c r="A1" s="1026" t="s">
        <v>2217</v>
      </c>
    </row>
    <row r="11" spans="1:14" ht="39.75" customHeight="1" x14ac:dyDescent="0.25">
      <c r="A11" s="1767" t="s">
        <v>6868</v>
      </c>
      <c r="B11" s="1767"/>
      <c r="C11" s="1767"/>
      <c r="D11" s="1767"/>
      <c r="E11" s="1767"/>
      <c r="F11" s="1767"/>
      <c r="G11" s="1767"/>
      <c r="H11" s="1767"/>
      <c r="I11" s="1767"/>
      <c r="J11" s="1767"/>
    </row>
    <row r="12" spans="1:14" ht="15" customHeight="1" x14ac:dyDescent="0.25">
      <c r="A12" s="1822" t="s">
        <v>1614</v>
      </c>
      <c r="B12" s="1823"/>
      <c r="C12" s="868">
        <v>12</v>
      </c>
      <c r="D12" s="781"/>
      <c r="E12" s="781"/>
      <c r="F12" s="781"/>
      <c r="G12" s="781"/>
      <c r="H12" s="781"/>
      <c r="I12" s="781"/>
      <c r="J12" s="781"/>
      <c r="K12" s="1625"/>
    </row>
    <row r="13" spans="1:14" x14ac:dyDescent="0.25">
      <c r="A13" s="1822" t="s">
        <v>4868</v>
      </c>
      <c r="B13" s="1823"/>
      <c r="C13" s="1345">
        <v>12</v>
      </c>
      <c r="D13" s="782" t="str">
        <f>IF(C13&gt;0, "Rate Rider Recovery to be used below", "If no rate rider recovery period is proposed then the default recovery period of 12 months will be used")</f>
        <v>Rate Rider Recovery to be used below</v>
      </c>
      <c r="E13" s="782"/>
      <c r="F13" s="782"/>
      <c r="K13" s="1625"/>
    </row>
    <row r="14" spans="1:14" ht="15" customHeight="1" x14ac:dyDescent="0.25">
      <c r="A14" s="1822" t="s">
        <v>4869</v>
      </c>
      <c r="B14" s="1823"/>
      <c r="C14" s="1345">
        <v>12</v>
      </c>
      <c r="D14" s="782" t="str">
        <f>IF(C14&gt;0, "Rate Rider Recovery to be used below", "If no rate rider recovery period is proposed then the default recovery period of 12 months will be used")</f>
        <v>Rate Rider Recovery to be used below</v>
      </c>
      <c r="G14" s="867"/>
      <c r="H14" s="867"/>
    </row>
    <row r="15" spans="1:14" ht="42" customHeight="1" x14ac:dyDescent="0.25">
      <c r="A15" s="1624"/>
      <c r="B15" s="783"/>
      <c r="C15" s="1821" t="s">
        <v>1618</v>
      </c>
      <c r="D15" s="1820" t="s">
        <v>1616</v>
      </c>
      <c r="E15" s="1820" t="s">
        <v>1611</v>
      </c>
      <c r="F15" s="1820" t="s">
        <v>1612</v>
      </c>
      <c r="G15" s="1825" t="s">
        <v>2345</v>
      </c>
      <c r="H15" s="1825" t="s">
        <v>2346</v>
      </c>
      <c r="I15" s="1824" t="s">
        <v>2347</v>
      </c>
      <c r="J15" s="1824" t="s">
        <v>2348</v>
      </c>
      <c r="K15" s="1824" t="s">
        <v>522</v>
      </c>
      <c r="M15" s="1626"/>
    </row>
    <row r="16" spans="1:14" ht="27" customHeight="1" x14ac:dyDescent="0.25">
      <c r="A16" s="784" t="s">
        <v>52</v>
      </c>
      <c r="B16" s="869" t="s">
        <v>53</v>
      </c>
      <c r="C16" s="1821"/>
      <c r="D16" s="1820"/>
      <c r="E16" s="1820"/>
      <c r="F16" s="1820"/>
      <c r="G16" s="1825"/>
      <c r="H16" s="1825"/>
      <c r="I16" s="1824"/>
      <c r="J16" s="1824"/>
      <c r="K16" s="1824"/>
      <c r="L16" s="1818" t="s">
        <v>1866</v>
      </c>
      <c r="M16" s="1819"/>
      <c r="N16" s="862" t="s">
        <v>2344</v>
      </c>
    </row>
    <row r="17" spans="1:14" ht="15.75" customHeight="1" x14ac:dyDescent="0.25">
      <c r="A17" s="1627" t="s">
        <v>438</v>
      </c>
      <c r="B17" s="1535" t="s">
        <v>158</v>
      </c>
      <c r="C17" s="1536">
        <v>39379535</v>
      </c>
      <c r="D17" s="1536">
        <v>0</v>
      </c>
      <c r="E17" s="1536">
        <v>39379535</v>
      </c>
      <c r="F17" s="1536">
        <v>0</v>
      </c>
      <c r="G17" s="1537">
        <v>-70694.165682661507</v>
      </c>
      <c r="I17" s="1538">
        <f>ROUND(IF(ISERROR(G17/C17),0,IF(OR(ISBLANK(C13), OR(C13=0, C13="")), G17/C17/(C12/12), G17/C17/(C13/12))),4)</f>
        <v>-1.8E-3</v>
      </c>
      <c r="K17" s="1538">
        <f>ROUND(IF(ISERROR(11522.3391957833/C17), 0, IF(OR(ISBLANK(C14), OR(C14=0, C14="")), (11522.3391957833/C17)/(C12/12), (11522.3391957833/C17)/(C14/12))),4)</f>
        <v>2.9999999999999997E-4</v>
      </c>
      <c r="L17" s="1540">
        <f>C17*I17*(C13/12)</f>
        <v>-70883.163</v>
      </c>
      <c r="M17" s="1540">
        <f>E17*J17</f>
        <v>0</v>
      </c>
    </row>
    <row r="18" spans="1:14" ht="15.75" customHeight="1" x14ac:dyDescent="0.25">
      <c r="A18" s="1627" t="s">
        <v>3214</v>
      </c>
      <c r="B18" s="1535" t="s">
        <v>158</v>
      </c>
      <c r="C18" s="1536">
        <v>19816423</v>
      </c>
      <c r="D18" s="1536">
        <v>0</v>
      </c>
      <c r="E18" s="1536">
        <v>19816423</v>
      </c>
      <c r="F18" s="1536">
        <v>0</v>
      </c>
      <c r="G18" s="1537">
        <v>-36625.111753337733</v>
      </c>
      <c r="I18" s="1538">
        <f>ROUND(IF(ISERROR(G18/C18),0,IF(OR(ISBLANK(C13), OR(C13=0, C13="")), G18/C18/(C12/12), G18/C18/(C13/12))),4)</f>
        <v>-1.8E-3</v>
      </c>
      <c r="K18" s="1538">
        <f>ROUND(IF(ISERROR(12027.968251873/C18), 0, IF(OR(ISBLANK(C14), OR(C14=0, C14="")), (12027.968251873/C18)/(C12/12), (12027.968251873/C18)/(C14/12))),4)</f>
        <v>5.9999999999999995E-4</v>
      </c>
      <c r="L18" s="1540">
        <f>C18*I18*(C13/12)</f>
        <v>-35669.561399999999</v>
      </c>
      <c r="M18" s="1540">
        <f>E18*J18</f>
        <v>0</v>
      </c>
    </row>
    <row r="19" spans="1:14" ht="15.75" customHeight="1" x14ac:dyDescent="0.25">
      <c r="A19" s="1627" t="s">
        <v>4819</v>
      </c>
      <c r="B19" s="1535" t="s">
        <v>159</v>
      </c>
      <c r="C19" s="1536">
        <v>38286678</v>
      </c>
      <c r="D19" s="1536">
        <v>111704</v>
      </c>
      <c r="E19" s="1536">
        <v>38286678</v>
      </c>
      <c r="F19" s="1536">
        <v>111704</v>
      </c>
      <c r="G19" s="1537">
        <v>-68093.852643767168</v>
      </c>
      <c r="I19" s="1538">
        <f>ROUND(IF(ISERROR(G19/D19),0,IF(OR(ISBLANK(C13), OR(C13=0, C13="")), G19/D19/(C12/12), G19/D19/(C13/12))),4)</f>
        <v>-0.60960000000000003</v>
      </c>
      <c r="K19" s="1538">
        <f>ROUND(IF(ISERROR(4964.54599708574/D19), 0, IF(OR(ISBLANK(C14), OR(C14=0, C14="")), (4964.54599708574/D19)/(C12/12), (4964.54599708574/D19)/(C14/12))),4)</f>
        <v>4.4400000000000002E-2</v>
      </c>
      <c r="L19" s="1540">
        <f>D19*I19*(C13/12)</f>
        <v>-68094.758400000006</v>
      </c>
      <c r="M19" s="1540">
        <f>F19*J19</f>
        <v>0</v>
      </c>
    </row>
    <row r="20" spans="1:14" ht="15.75" customHeight="1" x14ac:dyDescent="0.25">
      <c r="A20" s="1627" t="s">
        <v>617</v>
      </c>
      <c r="B20" s="1535" t="s">
        <v>158</v>
      </c>
      <c r="C20" s="1536">
        <v>539097</v>
      </c>
      <c r="D20" s="1536">
        <v>0</v>
      </c>
      <c r="E20" s="1536">
        <v>539097</v>
      </c>
      <c r="F20" s="1536">
        <v>0</v>
      </c>
      <c r="G20" s="1537">
        <v>-1244.1826490310013</v>
      </c>
      <c r="I20" s="1538">
        <f>ROUND(IF(ISERROR(G20/C20),0,IF(OR(ISBLANK(C13), OR(C13=0, C13="")), G20/C20/(C12/12), G20/C20/(C13/12))),4)</f>
        <v>-2.3E-3</v>
      </c>
      <c r="K20" s="1538">
        <f>ROUND(IF(ISERROR(0/C20), 0, IF(OR(ISBLANK(C14), OR(C14=0, C14="")), (0/C20)/(C12/12), (0/C20)/(C14/12))),4)</f>
        <v>0</v>
      </c>
      <c r="L20" s="1540">
        <f>C20*I20*(C13/12)</f>
        <v>-1239.9231</v>
      </c>
      <c r="M20" s="1540">
        <f>E20*J20</f>
        <v>0</v>
      </c>
    </row>
    <row r="21" spans="1:14" ht="15.75" customHeight="1" x14ac:dyDescent="0.25">
      <c r="A21" s="1627" t="s">
        <v>629</v>
      </c>
      <c r="B21" s="1535" t="s">
        <v>159</v>
      </c>
      <c r="C21" s="1536">
        <v>99906</v>
      </c>
      <c r="D21" s="1536">
        <v>298</v>
      </c>
      <c r="E21" s="1536">
        <v>99906</v>
      </c>
      <c r="F21" s="1536">
        <v>298</v>
      </c>
      <c r="G21" s="1537">
        <v>-230.57318392439808</v>
      </c>
      <c r="I21" s="1538">
        <f>ROUND(IF(ISERROR(G21/D21),0,IF(OR(ISBLANK(C13), OR(C13=0, C13="")), G21/D21/(C12/12), G21/D21/(C13/12))),4)</f>
        <v>-0.77370000000000005</v>
      </c>
      <c r="K21" s="1538">
        <f>ROUND(IF(ISERROR(0/D21), 0, IF(OR(ISBLANK(C14), OR(C14=0, C14="")), (0/D21)/(C12/12), (0/D21)/(C14/12))),4)</f>
        <v>0</v>
      </c>
      <c r="L21" s="1540">
        <f>D21*I21*(C13/12)</f>
        <v>-230.5626</v>
      </c>
      <c r="M21" s="1540">
        <f>F21*J21</f>
        <v>0</v>
      </c>
    </row>
    <row r="22" spans="1:14" ht="15.75" customHeight="1" x14ac:dyDescent="0.25">
      <c r="A22" s="1627" t="s">
        <v>615</v>
      </c>
      <c r="B22" s="1535" t="s">
        <v>159</v>
      </c>
      <c r="C22" s="1536">
        <v>716670</v>
      </c>
      <c r="D22" s="1536">
        <v>1945</v>
      </c>
      <c r="E22" s="1536">
        <v>716670</v>
      </c>
      <c r="F22" s="1536">
        <v>1945</v>
      </c>
      <c r="G22" s="1537">
        <v>-640.60260061556153</v>
      </c>
      <c r="I22" s="1538">
        <f>ROUND(IF(ISERROR(G22/D22),0,IF(OR(ISBLANK(C13), OR(C13=0, C13="")), G22/D22/(C12/12), G22/D22/(C13/12))),4)</f>
        <v>-0.32940000000000003</v>
      </c>
      <c r="K22" s="1538">
        <f>ROUND(IF(ISERROR(18196.9833462743/D22), 0, IF(OR(ISBLANK(C14), OR(C14=0, C14="")), (18196.9833462743/D22)/(C12/12), (18196.9833462743/D22)/(C14/12))),4)</f>
        <v>9.3558000000000003</v>
      </c>
      <c r="L22" s="1540">
        <f>D22*I22*(C13/12)</f>
        <v>-640.68300000000011</v>
      </c>
      <c r="M22" s="1540">
        <f>F22*J22</f>
        <v>0</v>
      </c>
    </row>
    <row r="23" spans="1:14" x14ac:dyDescent="0.25">
      <c r="L23" s="1539">
        <f>SUM(L17:L22)</f>
        <v>-176758.65150000001</v>
      </c>
      <c r="M23" s="1539">
        <f>SUM(M17:M22)</f>
        <v>0</v>
      </c>
      <c r="N23" s="1539">
        <f>SUM(L23:M23)</f>
        <v>-176758.65150000001</v>
      </c>
    </row>
    <row r="30" spans="1:14" ht="17.25" x14ac:dyDescent="0.25">
      <c r="A30" s="1456" t="s">
        <v>6920</v>
      </c>
    </row>
    <row r="31" spans="1:14" ht="30" customHeight="1" x14ac:dyDescent="0.25">
      <c r="A31" s="1816" t="s">
        <v>6921</v>
      </c>
      <c r="B31" s="1817"/>
      <c r="C31" s="1817"/>
      <c r="D31" s="1817"/>
      <c r="E31" s="1817"/>
      <c r="F31" s="1817"/>
      <c r="G31" s="1817"/>
      <c r="H31" s="1817"/>
      <c r="I31" s="1817"/>
      <c r="J31" s="1817"/>
      <c r="K31" s="1817"/>
    </row>
  </sheetData>
  <sheetProtection algorithmName="SHA-512" hashValue="jZqO0QCbYWNmJzivP32Txmqnf2rrKtpoNns+sAYw3ZIaC2mN5YGWDWSf3mFxSnrjgvbelg27GhSwnRBCE3GMjA==" saltValue="A2hpPvn2/weKM2i+HXiTWQ==" spinCount="100000" sheet="1" objects="1" scenarios="1"/>
  <mergeCells count="15">
    <mergeCell ref="A31:K31"/>
    <mergeCell ref="L16:M16"/>
    <mergeCell ref="D15:D16"/>
    <mergeCell ref="C15:C16"/>
    <mergeCell ref="A11:J11"/>
    <mergeCell ref="A12:B12"/>
    <mergeCell ref="A13:B13"/>
    <mergeCell ref="E15:E16"/>
    <mergeCell ref="F15:F16"/>
    <mergeCell ref="K15:K16"/>
    <mergeCell ref="G15:G16"/>
    <mergeCell ref="I15:I16"/>
    <mergeCell ref="H15:H16"/>
    <mergeCell ref="J15:J16"/>
    <mergeCell ref="A14:B14"/>
  </mergeCells>
  <pageMargins left="0.25" right="0.25" top="0.75" bottom="0.75" header="0.3" footer="0.3"/>
  <pageSetup scale="46" orientation="portrait" verticalDpi="4" r:id="rId1"/>
  <headerFooter>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U50"/>
  <sheetViews>
    <sheetView showGridLines="0" topLeftCell="A22" zoomScaleNormal="100" workbookViewId="0">
      <selection activeCell="N46" sqref="N46"/>
    </sheetView>
  </sheetViews>
  <sheetFormatPr defaultColWidth="9.140625" defaultRowHeight="15" x14ac:dyDescent="0.25"/>
  <cols>
    <col min="1" max="8" width="9.140625" style="22"/>
    <col min="9" max="9" width="2.5703125" style="22" customWidth="1"/>
    <col min="10" max="10" width="1.85546875" style="22" customWidth="1"/>
    <col min="11" max="11" width="1.7109375" style="22" customWidth="1"/>
    <col min="12" max="12" width="17" style="22" customWidth="1"/>
    <col min="13" max="13" width="4.42578125" style="22" customWidth="1"/>
    <col min="14" max="14" width="16.42578125" style="22" customWidth="1"/>
    <col min="15" max="19" width="9.140625" style="22"/>
    <col min="20" max="20" width="32.140625" style="22" hidden="1" customWidth="1"/>
    <col min="21" max="21" width="15.140625" style="22" hidden="1" customWidth="1"/>
    <col min="22" max="22" width="0" style="22" hidden="1" customWidth="1"/>
    <col min="23" max="16384" width="9.140625" style="22"/>
  </cols>
  <sheetData>
    <row r="1" spans="1:21" x14ac:dyDescent="0.25">
      <c r="A1" s="1026"/>
      <c r="B1" s="1026"/>
      <c r="C1" s="1026"/>
      <c r="D1" s="1026"/>
      <c r="E1" s="1026"/>
      <c r="F1" s="1026"/>
      <c r="G1" s="1026"/>
      <c r="H1" s="1026"/>
      <c r="I1" s="1026"/>
      <c r="J1" s="1026"/>
      <c r="K1" s="1026"/>
      <c r="L1" s="1026"/>
      <c r="M1" s="1026"/>
      <c r="N1" s="1026"/>
      <c r="T1" s="127" t="s">
        <v>1623</v>
      </c>
      <c r="U1" s="117" t="s">
        <v>1622</v>
      </c>
    </row>
    <row r="2" spans="1:21" x14ac:dyDescent="0.25">
      <c r="A2" s="1026"/>
      <c r="B2" s="1026"/>
      <c r="C2" s="1026"/>
      <c r="D2" s="1026"/>
      <c r="E2" s="1026"/>
      <c r="F2" s="1026"/>
      <c r="G2" s="1026"/>
      <c r="H2" s="1026"/>
      <c r="I2" s="1026"/>
      <c r="J2" s="1026"/>
      <c r="K2" s="1026"/>
      <c r="L2" s="1026"/>
      <c r="M2" s="1026"/>
      <c r="N2" s="1026"/>
      <c r="T2" s="127" t="s">
        <v>1624</v>
      </c>
      <c r="U2" s="118">
        <v>42370</v>
      </c>
    </row>
    <row r="3" spans="1:21" x14ac:dyDescent="0.25">
      <c r="A3" s="1026"/>
      <c r="B3" s="1026"/>
      <c r="C3" s="1026"/>
      <c r="D3" s="1026"/>
      <c r="E3" s="1026"/>
      <c r="F3" s="1026"/>
      <c r="G3" s="1026"/>
      <c r="H3" s="1026"/>
      <c r="I3" s="1026"/>
      <c r="J3" s="1026"/>
      <c r="K3" s="1026"/>
      <c r="L3" s="1026"/>
      <c r="M3" s="1026"/>
      <c r="N3" s="1026"/>
      <c r="T3" s="127" t="s">
        <v>1625</v>
      </c>
      <c r="U3" s="117"/>
    </row>
    <row r="4" spans="1:21" x14ac:dyDescent="0.25">
      <c r="A4" s="1026"/>
      <c r="B4" s="1026"/>
      <c r="C4" s="1026"/>
      <c r="D4" s="1026"/>
      <c r="E4" s="1026"/>
      <c r="F4" s="1026"/>
      <c r="G4" s="1026"/>
      <c r="H4" s="1026"/>
      <c r="I4" s="1026"/>
      <c r="J4" s="1026"/>
      <c r="K4" s="1026"/>
      <c r="L4" s="1026"/>
      <c r="M4" s="1026"/>
      <c r="N4" s="1026"/>
      <c r="T4" s="119"/>
      <c r="U4" s="119"/>
    </row>
    <row r="5" spans="1:21" x14ac:dyDescent="0.25">
      <c r="A5" s="1026"/>
      <c r="B5" s="1026"/>
      <c r="C5" s="1026"/>
      <c r="D5" s="1026"/>
      <c r="E5" s="1026"/>
      <c r="F5" s="1026"/>
      <c r="G5" s="1026"/>
      <c r="H5" s="1026"/>
      <c r="I5" s="1026"/>
      <c r="J5" s="1026"/>
      <c r="K5" s="1026"/>
      <c r="L5" s="1026"/>
      <c r="M5" s="1026"/>
      <c r="N5" s="1026"/>
      <c r="T5" s="127" t="s">
        <v>1626</v>
      </c>
      <c r="U5" s="120">
        <v>0.38</v>
      </c>
    </row>
    <row r="6" spans="1:21" x14ac:dyDescent="0.25">
      <c r="A6" s="1026"/>
      <c r="B6" s="1026"/>
      <c r="C6" s="1026"/>
      <c r="D6" s="1026"/>
      <c r="E6" s="1026"/>
      <c r="F6" s="1026"/>
      <c r="G6" s="1026"/>
      <c r="H6" s="1026"/>
      <c r="I6" s="1026"/>
      <c r="J6" s="1026"/>
      <c r="K6" s="1026"/>
      <c r="L6" s="1026"/>
      <c r="M6" s="1026"/>
      <c r="N6" s="1026"/>
      <c r="T6" s="119" t="s">
        <v>1627</v>
      </c>
      <c r="U6" s="121">
        <v>-0.1</v>
      </c>
    </row>
    <row r="7" spans="1:21" x14ac:dyDescent="0.25">
      <c r="A7" s="1026"/>
      <c r="B7" s="1026"/>
      <c r="C7" s="1026"/>
      <c r="D7" s="1026"/>
      <c r="E7" s="1026"/>
      <c r="F7" s="1026"/>
      <c r="G7" s="1026"/>
      <c r="H7" s="1026"/>
      <c r="I7" s="1026"/>
      <c r="J7" s="1026"/>
      <c r="K7" s="1026"/>
      <c r="L7" s="1026"/>
      <c r="M7" s="1026"/>
      <c r="N7" s="1026"/>
      <c r="T7" s="119" t="s">
        <v>1628</v>
      </c>
      <c r="U7" s="120">
        <f>SUM(U5:U6)</f>
        <v>0.28000000000000003</v>
      </c>
    </row>
    <row r="8" spans="1:21" x14ac:dyDescent="0.25">
      <c r="A8" s="1026"/>
      <c r="B8" s="1026"/>
      <c r="C8" s="1026"/>
      <c r="D8" s="1026"/>
      <c r="E8" s="1026"/>
      <c r="F8" s="1026"/>
      <c r="G8" s="1026"/>
      <c r="H8" s="1026"/>
      <c r="I8" s="1026"/>
      <c r="J8" s="1026"/>
      <c r="K8" s="1026"/>
      <c r="L8" s="1026"/>
      <c r="M8" s="1026"/>
      <c r="N8" s="1026"/>
      <c r="T8" s="119" t="s">
        <v>1629</v>
      </c>
      <c r="U8" s="122">
        <v>-0.13</v>
      </c>
    </row>
    <row r="9" spans="1:21" x14ac:dyDescent="0.25">
      <c r="A9" s="1026"/>
      <c r="B9" s="1026"/>
      <c r="C9" s="1026"/>
      <c r="D9" s="1026"/>
      <c r="E9" s="1026"/>
      <c r="F9" s="1026"/>
      <c r="G9" s="1026"/>
      <c r="H9" s="1026"/>
      <c r="I9" s="1026"/>
      <c r="J9" s="1026"/>
      <c r="K9" s="1026"/>
      <c r="L9" s="1026"/>
      <c r="M9" s="1026"/>
      <c r="N9" s="1026"/>
      <c r="T9" s="119" t="s">
        <v>1630</v>
      </c>
      <c r="U9" s="123">
        <f>U7+U8</f>
        <v>0.15000000000000002</v>
      </c>
    </row>
    <row r="10" spans="1:21" x14ac:dyDescent="0.25">
      <c r="A10" s="1026"/>
      <c r="B10" s="1026"/>
      <c r="C10" s="1026"/>
      <c r="D10" s="1026"/>
      <c r="E10" s="1026"/>
      <c r="F10" s="1026"/>
      <c r="G10" s="1026"/>
      <c r="H10" s="1026"/>
      <c r="I10" s="1026"/>
      <c r="J10" s="1026"/>
      <c r="K10" s="1026"/>
      <c r="L10" s="1026"/>
      <c r="M10" s="1026"/>
      <c r="N10" s="1026"/>
      <c r="T10" s="127" t="s">
        <v>1631</v>
      </c>
      <c r="U10" s="121">
        <v>0.115</v>
      </c>
    </row>
    <row r="11" spans="1:21" x14ac:dyDescent="0.25">
      <c r="A11" s="1026"/>
      <c r="B11" s="1026"/>
      <c r="C11" s="1026"/>
      <c r="D11" s="1026"/>
      <c r="E11" s="1026"/>
      <c r="F11" s="1026"/>
      <c r="G11" s="1026"/>
      <c r="H11" s="1026"/>
      <c r="I11" s="1026"/>
      <c r="J11" s="1026"/>
      <c r="K11" s="1026"/>
      <c r="L11" s="1026"/>
      <c r="M11" s="1026"/>
      <c r="N11" s="1026"/>
      <c r="T11" s="119"/>
      <c r="U11" s="124"/>
    </row>
    <row r="12" spans="1:21" ht="15.75" thickBot="1" x14ac:dyDescent="0.3">
      <c r="A12" s="1026"/>
      <c r="B12" s="1026"/>
      <c r="C12" s="1026"/>
      <c r="D12" s="1026"/>
      <c r="E12" s="1026"/>
      <c r="F12" s="1026"/>
      <c r="G12" s="1026"/>
      <c r="H12" s="1026"/>
      <c r="I12" s="1026"/>
      <c r="J12" s="1026"/>
      <c r="K12" s="1026"/>
      <c r="L12" s="1026"/>
      <c r="M12" s="1026"/>
      <c r="N12" s="1026"/>
      <c r="T12" s="127" t="s">
        <v>1632</v>
      </c>
      <c r="U12" s="125">
        <f>U9+U10</f>
        <v>0.26500000000000001</v>
      </c>
    </row>
    <row r="13" spans="1:21" ht="18" x14ac:dyDescent="0.25">
      <c r="A13" s="1037" t="s">
        <v>523</v>
      </c>
      <c r="B13" s="1026"/>
      <c r="C13" s="1026"/>
      <c r="D13" s="1026"/>
      <c r="E13" s="1026"/>
      <c r="F13" s="1026"/>
      <c r="G13" s="1026"/>
      <c r="H13" s="1026"/>
      <c r="I13" s="1026"/>
      <c r="J13" s="1026"/>
      <c r="K13" s="1026"/>
      <c r="L13" s="1026"/>
      <c r="M13" s="1026"/>
      <c r="N13" s="1026"/>
    </row>
    <row r="14" spans="1:21" x14ac:dyDescent="0.25">
      <c r="A14" s="1026"/>
      <c r="B14" s="1026"/>
      <c r="C14" s="1026"/>
      <c r="D14" s="1026"/>
      <c r="E14" s="1026"/>
      <c r="F14" s="1026"/>
      <c r="G14" s="1026"/>
      <c r="H14" s="1026"/>
      <c r="I14" s="1026"/>
      <c r="J14" s="1026"/>
      <c r="K14" s="1026"/>
      <c r="L14" s="1026"/>
      <c r="M14" s="1026"/>
      <c r="N14" s="1026"/>
      <c r="T14" s="127" t="s">
        <v>1633</v>
      </c>
    </row>
    <row r="15" spans="1:21" ht="30" customHeight="1" x14ac:dyDescent="0.25">
      <c r="A15" s="1826" t="str">
        <f>"For the " &amp; '1. Information Sheet'!F32 &amp; " year, enter any Tax Credits from the Cost of Service Tax Calculation (Positive #)"</f>
        <v>For the 2016 year, enter any Tax Credits from the Cost of Service Tax Calculation (Positive #)</v>
      </c>
      <c r="B15" s="1826"/>
      <c r="C15" s="1826"/>
      <c r="D15" s="1826"/>
      <c r="E15" s="1826"/>
      <c r="F15" s="1826"/>
      <c r="G15" s="1826"/>
      <c r="H15" s="1826"/>
      <c r="I15" s="1826"/>
      <c r="J15" s="1826"/>
      <c r="K15" s="1826"/>
      <c r="L15" s="1045"/>
      <c r="M15" s="1026"/>
      <c r="N15" s="1026"/>
      <c r="T15" s="128" t="s">
        <v>1634</v>
      </c>
      <c r="U15" s="126">
        <v>500000</v>
      </c>
    </row>
    <row r="16" spans="1:21" x14ac:dyDescent="0.25">
      <c r="A16" s="1026"/>
      <c r="B16" s="1026"/>
      <c r="C16" s="1026"/>
      <c r="D16" s="1026"/>
      <c r="E16" s="1026"/>
      <c r="F16" s="1026"/>
      <c r="G16" s="1026"/>
      <c r="H16" s="1026"/>
      <c r="I16" s="1026"/>
      <c r="J16" s="1026"/>
      <c r="K16" s="1026"/>
      <c r="L16" s="1026"/>
      <c r="M16" s="1026"/>
      <c r="N16" s="1026"/>
      <c r="T16" s="119" t="s">
        <v>1635</v>
      </c>
      <c r="U16" s="126">
        <v>500000</v>
      </c>
    </row>
    <row r="17" spans="1:21" ht="15.75" x14ac:dyDescent="0.25">
      <c r="A17" s="1026"/>
      <c r="B17" s="1026"/>
      <c r="C17" s="1026"/>
      <c r="D17" s="1026"/>
      <c r="E17" s="1026"/>
      <c r="F17" s="1026"/>
      <c r="G17" s="1026"/>
      <c r="H17" s="1026"/>
      <c r="I17" s="1026"/>
      <c r="J17" s="1026"/>
      <c r="K17" s="1026"/>
      <c r="L17" s="1026"/>
      <c r="M17" s="1026"/>
      <c r="N17" s="1026"/>
      <c r="T17" s="119"/>
      <c r="U17" s="131"/>
    </row>
    <row r="18" spans="1:21" s="28" customFormat="1" ht="27.75" customHeight="1" x14ac:dyDescent="0.2">
      <c r="A18" s="1038" t="s">
        <v>524</v>
      </c>
      <c r="B18" s="1625"/>
      <c r="C18" s="1625"/>
      <c r="D18" s="1625"/>
      <c r="E18" s="1625"/>
      <c r="F18" s="1625"/>
      <c r="G18" s="1625"/>
      <c r="H18" s="1625"/>
      <c r="I18" s="1625"/>
      <c r="J18" s="1625"/>
      <c r="K18" s="1625"/>
      <c r="L18" s="1044">
        <f>'1. Information Sheet'!F32</f>
        <v>2016</v>
      </c>
      <c r="M18" s="1049"/>
      <c r="N18" s="1044">
        <v>2018</v>
      </c>
      <c r="T18" s="119" t="s">
        <v>1636</v>
      </c>
      <c r="U18" s="120">
        <v>0.105</v>
      </c>
    </row>
    <row r="19" spans="1:21" s="131" customFormat="1" ht="33" customHeight="1" x14ac:dyDescent="0.25">
      <c r="A19" s="1827" t="s">
        <v>2205</v>
      </c>
      <c r="B19" s="1827"/>
      <c r="C19" s="1827"/>
      <c r="D19" s="1827"/>
      <c r="E19" s="1827"/>
      <c r="F19" s="1827"/>
      <c r="G19" s="1827"/>
      <c r="H19" s="1827"/>
      <c r="I19" s="1029"/>
      <c r="J19" s="1029"/>
      <c r="K19" s="1029"/>
      <c r="L19" s="1045">
        <v>6891027</v>
      </c>
      <c r="M19" s="1028"/>
      <c r="N19" s="1050">
        <f>L19</f>
        <v>6891027</v>
      </c>
      <c r="T19" s="119"/>
      <c r="U19" s="120"/>
    </row>
    <row r="20" spans="1:21" s="131" customFormat="1" ht="15.75" x14ac:dyDescent="0.25">
      <c r="A20" s="1028"/>
      <c r="B20" s="1029"/>
      <c r="C20" s="1029"/>
      <c r="D20" s="1029"/>
      <c r="E20" s="1029"/>
      <c r="F20" s="1029"/>
      <c r="G20" s="1029"/>
      <c r="H20" s="1029"/>
      <c r="I20" s="1029"/>
      <c r="J20" s="1029"/>
      <c r="K20" s="1029"/>
      <c r="L20" s="1028"/>
      <c r="M20" s="1028"/>
      <c r="N20" s="1051"/>
      <c r="T20" s="119" t="s">
        <v>1637</v>
      </c>
      <c r="U20" s="120">
        <v>4.4999999999999998E-2</v>
      </c>
    </row>
    <row r="21" spans="1:21" s="131" customFormat="1" ht="15.75" x14ac:dyDescent="0.25">
      <c r="A21" s="1058" t="s">
        <v>525</v>
      </c>
      <c r="B21" s="1029"/>
      <c r="C21" s="1029"/>
      <c r="D21" s="1029"/>
      <c r="E21" s="1029"/>
      <c r="F21" s="1029"/>
      <c r="G21" s="1029"/>
      <c r="H21" s="1029"/>
      <c r="I21" s="1029"/>
      <c r="J21" s="1029"/>
      <c r="K21" s="1029"/>
      <c r="L21" s="1541">
        <f>L19</f>
        <v>6891027</v>
      </c>
      <c r="M21" s="1028"/>
      <c r="N21" s="1050">
        <f>L21</f>
        <v>6891027</v>
      </c>
    </row>
    <row r="22" spans="1:21" s="131" customFormat="1" ht="15.75" x14ac:dyDescent="0.25">
      <c r="A22" s="1028"/>
      <c r="B22" s="1029"/>
      <c r="C22" s="1029"/>
      <c r="D22" s="1029"/>
      <c r="E22" s="1029"/>
      <c r="F22" s="1029"/>
      <c r="G22" s="1029"/>
      <c r="H22" s="1029"/>
      <c r="I22" s="1029"/>
      <c r="J22" s="1029"/>
      <c r="K22" s="1029"/>
      <c r="L22" s="1028"/>
      <c r="M22" s="1028"/>
      <c r="N22" s="1051"/>
    </row>
    <row r="23" spans="1:21" s="131" customFormat="1" ht="15.75" x14ac:dyDescent="0.25">
      <c r="A23" s="1028" t="s">
        <v>526</v>
      </c>
      <c r="B23" s="1029"/>
      <c r="C23" s="1029"/>
      <c r="D23" s="1029"/>
      <c r="E23" s="1029"/>
      <c r="F23" s="1029"/>
      <c r="G23" s="1029"/>
      <c r="H23" s="1029"/>
      <c r="I23" s="1029"/>
      <c r="J23" s="1029"/>
      <c r="K23" s="1029"/>
      <c r="L23" s="253">
        <f>L19-L21</f>
        <v>0</v>
      </c>
      <c r="M23" s="1028"/>
      <c r="N23" s="1050">
        <f>N19-N21</f>
        <v>0</v>
      </c>
    </row>
    <row r="24" spans="1:21" s="131" customFormat="1" ht="15.75" x14ac:dyDescent="0.25">
      <c r="A24" s="1028"/>
      <c r="B24" s="1029"/>
      <c r="C24" s="1029"/>
      <c r="D24" s="1029"/>
      <c r="E24" s="1029"/>
      <c r="F24" s="1029"/>
      <c r="G24" s="1029"/>
      <c r="H24" s="1029"/>
      <c r="I24" s="1029"/>
      <c r="J24" s="1029"/>
      <c r="K24" s="1029"/>
      <c r="L24" s="1028"/>
      <c r="M24" s="1028"/>
      <c r="N24" s="1051"/>
    </row>
    <row r="25" spans="1:21" s="131" customFormat="1" ht="15.75" x14ac:dyDescent="0.25">
      <c r="A25" s="1028" t="s">
        <v>352</v>
      </c>
      <c r="B25" s="1029"/>
      <c r="C25" s="1029"/>
      <c r="D25" s="1029"/>
      <c r="E25" s="1029"/>
      <c r="F25" s="1029"/>
      <c r="G25" s="1029"/>
      <c r="H25" s="1029"/>
      <c r="I25" s="1029"/>
      <c r="J25" s="1029"/>
      <c r="K25" s="1029"/>
      <c r="L25" s="114">
        <v>0.15</v>
      </c>
      <c r="M25" s="1028"/>
      <c r="N25" s="254">
        <v>0</v>
      </c>
      <c r="T25" s="116" t="s">
        <v>1619</v>
      </c>
    </row>
    <row r="26" spans="1:21" s="131" customFormat="1" ht="15.75" x14ac:dyDescent="0.25">
      <c r="A26" s="1028"/>
      <c r="B26" s="1029"/>
      <c r="C26" s="1029"/>
      <c r="D26" s="1029"/>
      <c r="E26" s="1029"/>
      <c r="F26" s="1029"/>
      <c r="G26" s="1029"/>
      <c r="H26" s="1029"/>
      <c r="I26" s="1029"/>
      <c r="J26" s="1029"/>
      <c r="K26" s="1029"/>
      <c r="L26" s="1028"/>
      <c r="M26" s="1028"/>
      <c r="N26" s="1051"/>
      <c r="T26" s="116" t="s">
        <v>1620</v>
      </c>
    </row>
    <row r="27" spans="1:21" s="131" customFormat="1" ht="15.75" x14ac:dyDescent="0.25">
      <c r="A27" s="1028" t="s">
        <v>527</v>
      </c>
      <c r="B27" s="1029"/>
      <c r="C27" s="1029"/>
      <c r="D27" s="1029"/>
      <c r="E27" s="1029"/>
      <c r="F27" s="1029"/>
      <c r="G27" s="1029"/>
      <c r="H27" s="1029"/>
      <c r="I27" s="1029"/>
      <c r="J27" s="1029"/>
      <c r="K27" s="1029"/>
      <c r="L27" s="253">
        <f>IF(L23&gt;0, L23*L25, 0)*181/365</f>
        <v>0</v>
      </c>
      <c r="M27" s="1028"/>
      <c r="N27" s="255">
        <v>0</v>
      </c>
      <c r="T27" s="116" t="s">
        <v>1621</v>
      </c>
    </row>
    <row r="28" spans="1:21" s="131" customFormat="1" ht="15.75" x14ac:dyDescent="0.25">
      <c r="A28" s="1028"/>
      <c r="B28" s="1029"/>
      <c r="C28" s="1029"/>
      <c r="D28" s="1029"/>
      <c r="E28" s="1029"/>
      <c r="F28" s="1029"/>
      <c r="G28" s="1029"/>
      <c r="H28" s="1029"/>
      <c r="I28" s="1029"/>
      <c r="J28" s="1029"/>
      <c r="K28" s="1029"/>
      <c r="L28" s="1028"/>
      <c r="M28" s="1028"/>
      <c r="N28" s="1051"/>
    </row>
    <row r="29" spans="1:21" ht="18.75" x14ac:dyDescent="0.3">
      <c r="A29" s="1039" t="s">
        <v>528</v>
      </c>
      <c r="B29" s="1026"/>
      <c r="C29" s="1026"/>
      <c r="D29" s="1026"/>
      <c r="E29" s="1026"/>
      <c r="F29" s="1026"/>
      <c r="G29" s="1026"/>
      <c r="H29" s="1026"/>
      <c r="I29" s="1026"/>
      <c r="J29" s="1026"/>
      <c r="K29" s="1026"/>
      <c r="L29" s="1028"/>
      <c r="M29" s="1028"/>
      <c r="N29" s="1051"/>
    </row>
    <row r="30" spans="1:21" s="131" customFormat="1" ht="15.75" x14ac:dyDescent="0.25">
      <c r="A30" s="1040" t="s">
        <v>529</v>
      </c>
      <c r="B30" s="1031"/>
      <c r="C30" s="1029"/>
      <c r="D30" s="1029"/>
      <c r="E30" s="1029"/>
      <c r="F30" s="1029"/>
      <c r="G30" s="1029"/>
      <c r="H30" s="1029"/>
      <c r="I30" s="1029"/>
      <c r="J30" s="1029"/>
      <c r="K30" s="1029"/>
      <c r="L30" s="105">
        <v>130913</v>
      </c>
      <c r="M30" s="1028"/>
      <c r="N30" s="1050">
        <f>L30</f>
        <v>130913</v>
      </c>
    </row>
    <row r="31" spans="1:21" s="131" customFormat="1" ht="15.75" x14ac:dyDescent="0.25">
      <c r="A31" s="1040"/>
      <c r="B31" s="1031"/>
      <c r="C31" s="1029"/>
      <c r="D31" s="1029"/>
      <c r="E31" s="1029"/>
      <c r="F31" s="1029"/>
      <c r="G31" s="1029"/>
      <c r="H31" s="1029"/>
      <c r="I31" s="1029"/>
      <c r="J31" s="1029"/>
      <c r="K31" s="1029"/>
      <c r="L31" s="1028"/>
      <c r="M31" s="1028"/>
      <c r="N31" s="1051"/>
    </row>
    <row r="32" spans="1:21" s="131" customFormat="1" ht="15.75" x14ac:dyDescent="0.25">
      <c r="A32" s="1040" t="s">
        <v>530</v>
      </c>
      <c r="B32" s="1031"/>
      <c r="C32" s="1029"/>
      <c r="D32" s="1029"/>
      <c r="E32" s="1029"/>
      <c r="F32" s="1029"/>
      <c r="G32" s="1029"/>
      <c r="H32" s="1029"/>
      <c r="I32" s="1029"/>
      <c r="J32" s="1029"/>
      <c r="K32" s="1029"/>
      <c r="L32" s="922">
        <v>0.15</v>
      </c>
      <c r="M32" s="1028"/>
      <c r="N32" s="972">
        <f>IF(ratebase&gt;15000000, 26.5%, IF(ratebase&lt;10000000, 12.5%, 12.5%+11.5%*((ratebase-10000000)/5000000)))</f>
        <v>0.125</v>
      </c>
    </row>
    <row r="33" spans="1:14" s="131" customFormat="1" ht="15.75" x14ac:dyDescent="0.25">
      <c r="A33" s="1040"/>
      <c r="B33" s="1031"/>
      <c r="C33" s="1029"/>
      <c r="D33" s="1029"/>
      <c r="E33" s="1029"/>
      <c r="F33" s="1029"/>
      <c r="G33" s="1029"/>
      <c r="H33" s="1029"/>
      <c r="I33" s="1029"/>
      <c r="J33" s="1029"/>
      <c r="K33" s="1029"/>
      <c r="L33" s="1028"/>
      <c r="M33" s="1028"/>
      <c r="N33" s="1051"/>
    </row>
    <row r="34" spans="1:14" s="131" customFormat="1" ht="15.75" x14ac:dyDescent="0.25">
      <c r="A34" s="1040" t="s">
        <v>531</v>
      </c>
      <c r="B34" s="1031"/>
      <c r="C34" s="1029"/>
      <c r="D34" s="1029"/>
      <c r="E34" s="1029"/>
      <c r="F34" s="1029"/>
      <c r="G34" s="1029"/>
      <c r="H34" s="1029"/>
      <c r="I34" s="1029"/>
      <c r="J34" s="1029"/>
      <c r="K34" s="1029"/>
      <c r="L34" s="105">
        <v>19637</v>
      </c>
      <c r="M34" s="1028"/>
      <c r="N34" s="1050">
        <f>IF(N30&lt;=0,0,N30*N32-L15)</f>
        <v>16364.125</v>
      </c>
    </row>
    <row r="35" spans="1:14" s="131" customFormat="1" ht="15.75" x14ac:dyDescent="0.25">
      <c r="A35" s="1028"/>
      <c r="B35" s="1029"/>
      <c r="C35" s="1029"/>
      <c r="D35" s="1029"/>
      <c r="E35" s="1029"/>
      <c r="F35" s="1029"/>
      <c r="G35" s="1029"/>
      <c r="H35" s="1029"/>
      <c r="I35" s="1029"/>
      <c r="J35" s="1029"/>
      <c r="K35" s="1029"/>
      <c r="L35" s="1028"/>
      <c r="M35" s="1028"/>
      <c r="N35" s="1051"/>
    </row>
    <row r="36" spans="1:14" ht="15.75" x14ac:dyDescent="0.25">
      <c r="A36" s="1041" t="s">
        <v>532</v>
      </c>
      <c r="B36" s="1026"/>
      <c r="C36" s="1026"/>
      <c r="D36" s="1026"/>
      <c r="E36" s="1026"/>
      <c r="F36" s="1026"/>
      <c r="G36" s="1026"/>
      <c r="H36" s="1026"/>
      <c r="I36" s="1026"/>
      <c r="J36" s="1026"/>
      <c r="K36" s="1026"/>
      <c r="L36" s="105">
        <v>23102</v>
      </c>
      <c r="M36" s="1028"/>
      <c r="N36" s="1050">
        <f>N34/(1-N32)</f>
        <v>18701.857142857141</v>
      </c>
    </row>
    <row r="37" spans="1:14" ht="15" customHeight="1" x14ac:dyDescent="0.25">
      <c r="A37" s="1027"/>
      <c r="B37" s="1026"/>
      <c r="C37" s="1026"/>
      <c r="D37" s="1026"/>
      <c r="E37" s="1026"/>
      <c r="F37" s="1026"/>
      <c r="G37" s="1026"/>
      <c r="H37" s="1026"/>
      <c r="I37" s="1026"/>
      <c r="J37" s="1026"/>
      <c r="K37" s="1026"/>
      <c r="L37" s="1028"/>
      <c r="M37" s="1028"/>
      <c r="N37" s="1051"/>
    </row>
    <row r="38" spans="1:14" s="131" customFormat="1" ht="15.75" x14ac:dyDescent="0.25">
      <c r="A38" s="1042" t="s">
        <v>533</v>
      </c>
      <c r="B38" s="1029"/>
      <c r="C38" s="1029"/>
      <c r="D38" s="1029"/>
      <c r="E38" s="1029"/>
      <c r="F38" s="1029"/>
      <c r="G38" s="1029"/>
      <c r="H38" s="1029"/>
      <c r="I38" s="1029"/>
      <c r="J38" s="1029"/>
      <c r="K38" s="1029"/>
      <c r="L38" s="1052">
        <f>L27</f>
        <v>0</v>
      </c>
      <c r="M38" s="1028"/>
      <c r="N38" s="1050">
        <f>N27</f>
        <v>0</v>
      </c>
    </row>
    <row r="39" spans="1:14" s="131" customFormat="1" ht="15.75" x14ac:dyDescent="0.25">
      <c r="A39" s="1042"/>
      <c r="B39" s="1029"/>
      <c r="C39" s="1029"/>
      <c r="D39" s="1029"/>
      <c r="E39" s="1029"/>
      <c r="F39" s="1029"/>
      <c r="G39" s="1029"/>
      <c r="H39" s="1029"/>
      <c r="I39" s="1029"/>
      <c r="J39" s="1029"/>
      <c r="K39" s="1029"/>
      <c r="L39" s="1028"/>
      <c r="M39" s="1028"/>
      <c r="N39" s="1051"/>
    </row>
    <row r="40" spans="1:14" s="131" customFormat="1" ht="15.75" x14ac:dyDescent="0.25">
      <c r="A40" s="1042" t="s">
        <v>534</v>
      </c>
      <c r="B40" s="1029"/>
      <c r="C40" s="1029"/>
      <c r="D40" s="1029"/>
      <c r="E40" s="1029"/>
      <c r="F40" s="1029"/>
      <c r="G40" s="1029"/>
      <c r="H40" s="1029"/>
      <c r="I40" s="1029"/>
      <c r="J40" s="1029"/>
      <c r="K40" s="1029"/>
      <c r="L40" s="1052">
        <f>L36</f>
        <v>23102</v>
      </c>
      <c r="M40" s="1028"/>
      <c r="N40" s="1050">
        <f>N36</f>
        <v>18701.857142857141</v>
      </c>
    </row>
    <row r="41" spans="1:14" s="131" customFormat="1" ht="15.75" x14ac:dyDescent="0.25">
      <c r="A41" s="1042"/>
      <c r="B41" s="1029"/>
      <c r="C41" s="1029"/>
      <c r="D41" s="1029"/>
      <c r="E41" s="1029"/>
      <c r="F41" s="1029"/>
      <c r="G41" s="1029"/>
      <c r="H41" s="1029"/>
      <c r="I41" s="1029"/>
      <c r="J41" s="1029"/>
      <c r="K41" s="1029"/>
      <c r="L41" s="1028"/>
      <c r="M41" s="1028"/>
      <c r="N41" s="1051"/>
    </row>
    <row r="42" spans="1:14" s="131" customFormat="1" ht="15.75" x14ac:dyDescent="0.25">
      <c r="A42" s="1042" t="s">
        <v>535</v>
      </c>
      <c r="B42" s="1029"/>
      <c r="C42" s="1029"/>
      <c r="D42" s="1029"/>
      <c r="E42" s="1029"/>
      <c r="F42" s="1029"/>
      <c r="G42" s="1029"/>
      <c r="H42" s="1029"/>
      <c r="I42" s="1029"/>
      <c r="J42" s="1029"/>
      <c r="K42" s="1029"/>
      <c r="L42" s="1052">
        <f>SUM(L40,L38)</f>
        <v>23102</v>
      </c>
      <c r="M42" s="1028"/>
      <c r="N42" s="1050">
        <f>SUM(N40,N38)</f>
        <v>18701.857142857141</v>
      </c>
    </row>
    <row r="43" spans="1:14" s="131" customFormat="1" ht="15.75" x14ac:dyDescent="0.25">
      <c r="A43" s="1042"/>
      <c r="B43" s="1029"/>
      <c r="C43" s="1029"/>
      <c r="D43" s="1029"/>
      <c r="E43" s="1029"/>
      <c r="F43" s="1029"/>
      <c r="G43" s="1029"/>
      <c r="H43" s="1029"/>
      <c r="I43" s="1029"/>
      <c r="J43" s="1029"/>
      <c r="K43" s="1029"/>
      <c r="L43" s="1028"/>
      <c r="M43" s="1028"/>
      <c r="N43" s="1051"/>
    </row>
    <row r="44" spans="1:14" s="131" customFormat="1" ht="15.75" x14ac:dyDescent="0.25">
      <c r="A44" s="1042" t="s">
        <v>536</v>
      </c>
      <c r="B44" s="1029"/>
      <c r="C44" s="1029"/>
      <c r="D44" s="1029"/>
      <c r="E44" s="1029"/>
      <c r="F44" s="1029"/>
      <c r="G44" s="1029"/>
      <c r="H44" s="1029"/>
      <c r="I44" s="1029"/>
      <c r="J44" s="1029"/>
      <c r="K44" s="1029"/>
      <c r="L44" s="1028"/>
      <c r="M44" s="1028"/>
      <c r="N44" s="1050">
        <f>N42-L42</f>
        <v>-4400.1428571428587</v>
      </c>
    </row>
    <row r="45" spans="1:14" s="131" customFormat="1" ht="15.75" x14ac:dyDescent="0.25">
      <c r="A45" s="1042"/>
      <c r="B45" s="1029"/>
      <c r="C45" s="1029"/>
      <c r="D45" s="1029"/>
      <c r="E45" s="1029"/>
      <c r="F45" s="1029"/>
      <c r="G45" s="1029"/>
      <c r="H45" s="1029"/>
      <c r="I45" s="1029"/>
      <c r="J45" s="1029"/>
      <c r="K45" s="1029"/>
      <c r="L45" s="1028"/>
      <c r="M45" s="1028"/>
      <c r="N45" s="1051"/>
    </row>
    <row r="46" spans="1:14" s="131" customFormat="1" ht="15.75" x14ac:dyDescent="0.25">
      <c r="A46" s="1043" t="s">
        <v>1638</v>
      </c>
      <c r="B46" s="1053"/>
      <c r="C46" s="1053"/>
      <c r="D46" s="1053"/>
      <c r="E46" s="1053"/>
      <c r="F46" s="1053"/>
      <c r="G46" s="1053"/>
      <c r="H46" s="1053"/>
      <c r="I46" s="1053"/>
      <c r="J46" s="1053"/>
      <c r="K46" s="1053"/>
      <c r="L46" s="1054"/>
      <c r="M46" s="1054"/>
      <c r="N46" s="1055">
        <f>0.5*N44</f>
        <v>-2200.0714285714294</v>
      </c>
    </row>
    <row r="47" spans="1:14" s="131" customFormat="1" x14ac:dyDescent="0.2">
      <c r="A47" s="1029"/>
      <c r="B47" s="1029"/>
      <c r="C47" s="1029"/>
      <c r="D47" s="1029"/>
      <c r="E47" s="1029"/>
      <c r="F47" s="1029"/>
      <c r="G47" s="1029"/>
      <c r="H47" s="1029"/>
      <c r="I47" s="1029"/>
      <c r="J47" s="1029"/>
      <c r="K47" s="1029"/>
      <c r="L47" s="1029"/>
      <c r="M47" s="1029"/>
      <c r="N47" s="1029"/>
    </row>
    <row r="48" spans="1:14" ht="18.75" x14ac:dyDescent="0.3">
      <c r="A48" s="1026"/>
      <c r="B48" s="1026"/>
      <c r="C48" s="1026"/>
      <c r="D48" s="1026"/>
      <c r="E48" s="1026"/>
      <c r="F48" s="1026"/>
      <c r="G48" s="1026"/>
      <c r="H48" s="1026"/>
      <c r="I48" s="1026"/>
      <c r="J48" s="1026"/>
      <c r="K48" s="1026"/>
      <c r="L48" s="1056"/>
      <c r="M48" s="1056"/>
      <c r="N48" s="1056"/>
    </row>
    <row r="49" spans="1:14" x14ac:dyDescent="0.25">
      <c r="A49" s="1026"/>
      <c r="B49" s="1026"/>
      <c r="C49" s="1026"/>
      <c r="D49" s="1026"/>
      <c r="E49" s="1026"/>
      <c r="F49" s="1026"/>
      <c r="G49" s="1026"/>
      <c r="H49" s="1026"/>
      <c r="I49" s="1026"/>
      <c r="J49" s="1026"/>
      <c r="K49" s="1026"/>
      <c r="L49" s="1026"/>
      <c r="M49" s="1026"/>
      <c r="N49" s="1026"/>
    </row>
    <row r="50" spans="1:14" x14ac:dyDescent="0.25">
      <c r="A50" s="1026"/>
      <c r="B50" s="1026"/>
      <c r="C50" s="1026"/>
      <c r="D50" s="1026"/>
      <c r="E50" s="1026"/>
      <c r="F50" s="1026"/>
      <c r="G50" s="1026"/>
      <c r="H50" s="1026"/>
      <c r="I50" s="1026"/>
      <c r="J50" s="1026"/>
      <c r="K50" s="1026"/>
      <c r="L50" s="1026"/>
      <c r="M50" s="1026"/>
      <c r="N50" s="1026"/>
    </row>
  </sheetData>
  <sheetProtection algorithmName="SHA-512" hashValue="VhQ2yp3exU2JuUhzmSfeWGl13QJvjpH49eBGPElYZcZ4kPfmngwPNsVJsgU1xjMWiYPR5hCIRRHPP9KLpFjUNQ==" saltValue="wty5Lyn+UiTzjf/cKqoM/Q==" spinCount="100000" sheet="1" objects="1" scenarios="1"/>
  <mergeCells count="2">
    <mergeCell ref="A15:K15"/>
    <mergeCell ref="A19:H19"/>
  </mergeCells>
  <pageMargins left="0.25" right="0.25" top="0.75" bottom="0.75" header="0.3" footer="0.3"/>
  <pageSetup scale="82" orientation="portrait" verticalDpi="4" r:id="rId1"/>
  <headerFooter>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2:X37"/>
  <sheetViews>
    <sheetView showGridLines="0" topLeftCell="A12" workbookViewId="0">
      <selection activeCell="B2" sqref="B2"/>
    </sheetView>
  </sheetViews>
  <sheetFormatPr defaultColWidth="9.140625" defaultRowHeight="15" x14ac:dyDescent="0.25"/>
  <cols>
    <col min="1" max="1" width="61.5703125" style="1026" bestFit="1" customWidth="1"/>
    <col min="2" max="2" width="9.140625" style="1026"/>
    <col min="3" max="3" width="23.5703125" style="1026" customWidth="1"/>
    <col min="4" max="5" width="16" style="1026" bestFit="1" customWidth="1"/>
    <col min="6" max="6" width="12.7109375" style="1026" bestFit="1" customWidth="1"/>
    <col min="7" max="7" width="16.5703125" style="1026" bestFit="1" customWidth="1"/>
    <col min="8" max="9" width="16.85546875" style="1026" bestFit="1" customWidth="1"/>
    <col min="10" max="10" width="19.7109375" style="1026" customWidth="1"/>
    <col min="11" max="11" width="15.42578125" style="1026" bestFit="1" customWidth="1"/>
    <col min="12" max="13" width="16.85546875" style="1026" bestFit="1" customWidth="1"/>
    <col min="14" max="14" width="19.28515625" style="1026" bestFit="1" customWidth="1"/>
    <col min="15" max="15" width="23.42578125" style="1026" customWidth="1"/>
    <col min="16" max="16" width="17.85546875" style="1026" bestFit="1" customWidth="1"/>
    <col min="17" max="18" width="19.28515625" style="1026" bestFit="1" customWidth="1"/>
    <col min="19" max="19" width="17.5703125" style="1026" bestFit="1" customWidth="1"/>
    <col min="20" max="16384" width="9.140625" style="1026"/>
  </cols>
  <sheetData>
    <row r="2" spans="1:16" x14ac:dyDescent="0.25">
      <c r="B2" s="1062"/>
    </row>
    <row r="12" spans="1:16" ht="33" customHeight="1" x14ac:dyDescent="0.25">
      <c r="A12" s="1828" t="s">
        <v>2218</v>
      </c>
      <c r="B12" s="1787"/>
      <c r="C12" s="1787"/>
      <c r="D12" s="1787"/>
      <c r="E12" s="1787"/>
      <c r="F12" s="1787"/>
      <c r="G12" s="1787"/>
      <c r="H12" s="1787"/>
    </row>
    <row r="13" spans="1:16" ht="30" customHeight="1" x14ac:dyDescent="0.25">
      <c r="A13" s="1030" t="s">
        <v>2448</v>
      </c>
    </row>
    <row r="15" spans="1:16" s="1061" customFormat="1" ht="51" x14ac:dyDescent="0.2">
      <c r="A15" s="1059" t="s">
        <v>52</v>
      </c>
      <c r="B15" s="1060"/>
      <c r="C15" s="1060" t="s">
        <v>2219</v>
      </c>
      <c r="D15" s="1060" t="s">
        <v>2220</v>
      </c>
      <c r="E15" s="1060" t="s">
        <v>2221</v>
      </c>
      <c r="F15" s="1060" t="s">
        <v>2894</v>
      </c>
      <c r="G15" s="1060" t="s">
        <v>2222</v>
      </c>
      <c r="H15" s="1060" t="s">
        <v>2223</v>
      </c>
      <c r="I15" s="1060" t="s">
        <v>2224</v>
      </c>
      <c r="J15" s="1060" t="s">
        <v>2225</v>
      </c>
      <c r="K15" s="1060" t="s">
        <v>2226</v>
      </c>
      <c r="L15" s="1060" t="s">
        <v>2227</v>
      </c>
      <c r="M15" s="1060" t="s">
        <v>2228</v>
      </c>
      <c r="N15" s="1060" t="s">
        <v>2229</v>
      </c>
      <c r="O15" s="1060" t="s">
        <v>2230</v>
      </c>
      <c r="P15" s="1060" t="s">
        <v>2231</v>
      </c>
    </row>
    <row r="17" spans="1:24" ht="15.75" customHeight="1" thickBot="1" x14ac:dyDescent="0.3">
      <c r="A17" s="1628" t="s">
        <v>438</v>
      </c>
      <c r="B17" s="1026" t="s">
        <v>158</v>
      </c>
      <c r="C17" s="1542">
        <v>5071</v>
      </c>
      <c r="D17" s="1543">
        <v>40480043.329000004</v>
      </c>
      <c r="E17" s="1543"/>
      <c r="F17" s="1548">
        <v>17.03</v>
      </c>
      <c r="G17" s="1551">
        <v>1.2213517016953463E-2</v>
      </c>
      <c r="H17" s="1552"/>
      <c r="I17" s="1557">
        <f t="shared" ref="I17:I22" si="0">F17*C17*12</f>
        <v>1036309.56</v>
      </c>
      <c r="J17" s="1557">
        <f t="shared" ref="J17:K22" si="1">D17*G17</f>
        <v>494403.69804575504</v>
      </c>
      <c r="K17" s="1557">
        <f t="shared" si="1"/>
        <v>0</v>
      </c>
      <c r="L17" s="1557">
        <f t="shared" ref="L17:L22" si="2">I17+J17+K17</f>
        <v>1530713.2580457551</v>
      </c>
      <c r="M17" s="1560">
        <f t="shared" ref="M17:M22" si="3">IF(ISERROR(I17/L17),0,I17/L17)</f>
        <v>0.67701089969198092</v>
      </c>
      <c r="N17" s="1560">
        <f t="shared" ref="N17:N22" si="4">IF(ISERROR(J17/L17),0,J17/L17)</f>
        <v>0.32298910030801903</v>
      </c>
      <c r="O17" s="1560">
        <f t="shared" ref="O17:O22" si="5">IF(ISERROR(K17/L17),0,K17/L17)</f>
        <v>0</v>
      </c>
      <c r="P17" s="1560">
        <f>IF(ISERROR(L17/L23),0,L17/L23)</f>
        <v>0.58334756591867287</v>
      </c>
    </row>
    <row r="18" spans="1:24" ht="15.75" customHeight="1" thickBot="1" x14ac:dyDescent="0.3">
      <c r="A18" s="1628" t="s">
        <v>3214</v>
      </c>
      <c r="B18" s="1026" t="s">
        <v>158</v>
      </c>
      <c r="C18" s="1544">
        <v>740</v>
      </c>
      <c r="D18" s="1545">
        <v>20348622.955000002</v>
      </c>
      <c r="E18" s="1545"/>
      <c r="F18" s="1549">
        <v>30.52</v>
      </c>
      <c r="G18" s="1553">
        <v>1.0978938513007075E-2</v>
      </c>
      <c r="H18" s="1554"/>
      <c r="I18" s="1557">
        <f t="shared" si="0"/>
        <v>271017.59999999998</v>
      </c>
      <c r="J18" s="1557">
        <f t="shared" si="1"/>
        <v>223406.28024730936</v>
      </c>
      <c r="K18" s="1557">
        <f t="shared" si="1"/>
        <v>0</v>
      </c>
      <c r="L18" s="1557">
        <f t="shared" si="2"/>
        <v>494423.88024730934</v>
      </c>
      <c r="M18" s="1560">
        <f t="shared" si="3"/>
        <v>0.54814828091320711</v>
      </c>
      <c r="N18" s="1560">
        <f t="shared" si="4"/>
        <v>0.45185171908679295</v>
      </c>
      <c r="O18" s="1560">
        <f t="shared" si="5"/>
        <v>0</v>
      </c>
      <c r="P18" s="1560">
        <f>IF(ISERROR(L18/L23),0,L18/L23)</f>
        <v>0.18842259682427864</v>
      </c>
    </row>
    <row r="19" spans="1:24" ht="15.75" customHeight="1" thickBot="1" x14ac:dyDescent="0.3">
      <c r="A19" s="1628" t="s">
        <v>4819</v>
      </c>
      <c r="B19" s="1026" t="s">
        <v>159</v>
      </c>
      <c r="C19" s="1544">
        <v>64</v>
      </c>
      <c r="D19" s="1545">
        <v>39456019</v>
      </c>
      <c r="E19" s="1545">
        <v>115477</v>
      </c>
      <c r="F19" s="1549">
        <v>290.85000000000002</v>
      </c>
      <c r="G19" s="1553"/>
      <c r="H19" s="1554">
        <v>2.239351965463007</v>
      </c>
      <c r="I19" s="1557">
        <f t="shared" si="0"/>
        <v>223372.80000000002</v>
      </c>
      <c r="J19" s="1557">
        <f t="shared" si="1"/>
        <v>0</v>
      </c>
      <c r="K19" s="1557">
        <f t="shared" si="1"/>
        <v>258593.64691577165</v>
      </c>
      <c r="L19" s="1557">
        <f t="shared" si="2"/>
        <v>481966.4469157717</v>
      </c>
      <c r="M19" s="1560">
        <f t="shared" si="3"/>
        <v>0.46346130820811388</v>
      </c>
      <c r="N19" s="1560">
        <f t="shared" si="4"/>
        <v>0</v>
      </c>
      <c r="O19" s="1560">
        <f t="shared" si="5"/>
        <v>0.53653869179188607</v>
      </c>
      <c r="P19" s="1560">
        <f>IF(ISERROR(L19/L23),0,L19/L23)</f>
        <v>0.18367512803915534</v>
      </c>
    </row>
    <row r="20" spans="1:24" ht="15.75" customHeight="1" thickBot="1" x14ac:dyDescent="0.3">
      <c r="A20" s="1628" t="s">
        <v>617</v>
      </c>
      <c r="B20" s="1026" t="s">
        <v>158</v>
      </c>
      <c r="C20" s="1544">
        <v>58</v>
      </c>
      <c r="D20" s="1545">
        <v>546384</v>
      </c>
      <c r="E20" s="1545"/>
      <c r="F20" s="1549">
        <v>4.3052028597659717</v>
      </c>
      <c r="G20" s="1553">
        <v>1.974566725155822E-2</v>
      </c>
      <c r="H20" s="1554"/>
      <c r="I20" s="1557">
        <f t="shared" si="0"/>
        <v>2996.4211903971163</v>
      </c>
      <c r="J20" s="1557">
        <f t="shared" si="1"/>
        <v>10788.716655575387</v>
      </c>
      <c r="K20" s="1557">
        <f t="shared" si="1"/>
        <v>0</v>
      </c>
      <c r="L20" s="1557">
        <f t="shared" si="2"/>
        <v>13785.137845972502</v>
      </c>
      <c r="M20" s="1560">
        <f t="shared" si="3"/>
        <v>0.2173660665477174</v>
      </c>
      <c r="N20" s="1560">
        <f t="shared" si="4"/>
        <v>0.78263393345228272</v>
      </c>
      <c r="O20" s="1560">
        <f t="shared" si="5"/>
        <v>0</v>
      </c>
      <c r="P20" s="1560">
        <f>IF(ISERROR(L20/L23),0,L20/L23)</f>
        <v>5.2534506812647363E-3</v>
      </c>
    </row>
    <row r="21" spans="1:24" ht="15.75" customHeight="1" thickBot="1" x14ac:dyDescent="0.3">
      <c r="A21" s="1628" t="s">
        <v>629</v>
      </c>
      <c r="B21" s="1026" t="s">
        <v>159</v>
      </c>
      <c r="C21" s="1544">
        <v>73</v>
      </c>
      <c r="D21" s="1545">
        <v>106791</v>
      </c>
      <c r="E21" s="1545">
        <v>302</v>
      </c>
      <c r="F21" s="1549">
        <v>2.6672894625307042</v>
      </c>
      <c r="G21" s="1553"/>
      <c r="H21" s="1554">
        <v>19.481481514780604</v>
      </c>
      <c r="I21" s="1557">
        <f t="shared" si="0"/>
        <v>2336.5455691768966</v>
      </c>
      <c r="J21" s="1557">
        <f t="shared" si="1"/>
        <v>0</v>
      </c>
      <c r="K21" s="1557">
        <f t="shared" si="1"/>
        <v>5883.4074174637426</v>
      </c>
      <c r="L21" s="1557">
        <f t="shared" si="2"/>
        <v>8219.9529866406392</v>
      </c>
      <c r="M21" s="1560">
        <f t="shared" si="3"/>
        <v>0.28425291154028909</v>
      </c>
      <c r="N21" s="1560">
        <f t="shared" si="4"/>
        <v>0</v>
      </c>
      <c r="O21" s="1560">
        <f t="shared" si="5"/>
        <v>0.71574708845971091</v>
      </c>
      <c r="P21" s="1560">
        <f>IF(ISERROR(L21/L23),0,L21/L23)</f>
        <v>3.1325851145005308E-3</v>
      </c>
    </row>
    <row r="22" spans="1:24" ht="15.75" customHeight="1" thickBot="1" x14ac:dyDescent="0.3">
      <c r="A22" s="1449" t="s">
        <v>615</v>
      </c>
      <c r="B22" s="421" t="s">
        <v>159</v>
      </c>
      <c r="C22" s="1546">
        <v>1711</v>
      </c>
      <c r="D22" s="1547">
        <v>773158</v>
      </c>
      <c r="E22" s="1547">
        <v>2070</v>
      </c>
      <c r="F22" s="1550">
        <v>3.337666449426091</v>
      </c>
      <c r="G22" s="1555"/>
      <c r="H22" s="1556">
        <v>12.743094073683837</v>
      </c>
      <c r="I22" s="1558">
        <f t="shared" si="0"/>
        <v>68528.967539616497</v>
      </c>
      <c r="J22" s="1558">
        <f t="shared" si="1"/>
        <v>0</v>
      </c>
      <c r="K22" s="1558">
        <f t="shared" si="1"/>
        <v>26378.204732525541</v>
      </c>
      <c r="L22" s="1558">
        <f t="shared" si="2"/>
        <v>94907.172272142037</v>
      </c>
      <c r="M22" s="1561">
        <f t="shared" si="3"/>
        <v>0.72206310544278751</v>
      </c>
      <c r="N22" s="1561">
        <f t="shared" si="4"/>
        <v>0</v>
      </c>
      <c r="O22" s="1561">
        <f t="shared" si="5"/>
        <v>0.27793689455721249</v>
      </c>
      <c r="P22" s="1561">
        <f>IF(ISERROR(L22/L23),0,L22/L23)</f>
        <v>3.6168673422127845E-2</v>
      </c>
      <c r="Q22" s="113"/>
      <c r="R22" s="113"/>
      <c r="S22" s="113"/>
      <c r="T22" s="113"/>
      <c r="U22" s="113"/>
      <c r="V22" s="113"/>
      <c r="W22" s="113"/>
      <c r="X22" s="113"/>
    </row>
    <row r="23" spans="1:24" x14ac:dyDescent="0.25">
      <c r="A23" s="846" t="s">
        <v>51</v>
      </c>
      <c r="C23" s="1559">
        <f>SUM(C17:C22)</f>
        <v>7717</v>
      </c>
      <c r="D23" s="1559">
        <f>SUM(D17:D22)</f>
        <v>101711018.28400001</v>
      </c>
      <c r="E23" s="1559">
        <f>SUM(E17:E22)</f>
        <v>117849</v>
      </c>
      <c r="I23" s="1557">
        <f>SUM(I17:I22)</f>
        <v>1604561.8942991905</v>
      </c>
      <c r="J23" s="1557">
        <f>SUM(J17:J22)</f>
        <v>728598.69494863984</v>
      </c>
      <c r="K23" s="1557">
        <f>SUM(K17:K22)</f>
        <v>290855.25906576088</v>
      </c>
      <c r="L23" s="1557">
        <f>SUM(L17:L22)</f>
        <v>2624015.8483135914</v>
      </c>
      <c r="P23" s="1562">
        <f>SUM(P17:P22)</f>
        <v>0.99999999999999989</v>
      </c>
    </row>
    <row r="26" spans="1:24" ht="39" thickBot="1" x14ac:dyDescent="0.3">
      <c r="A26" s="1564" t="s">
        <v>52</v>
      </c>
      <c r="B26" s="1563"/>
      <c r="C26" s="1563" t="s">
        <v>6922</v>
      </c>
      <c r="D26" s="1563" t="s">
        <v>6923</v>
      </c>
      <c r="E26" s="1563" t="s">
        <v>6924</v>
      </c>
      <c r="F26" s="1563" t="s">
        <v>6925</v>
      </c>
      <c r="G26" s="1563"/>
      <c r="H26" s="1563"/>
      <c r="I26" s="1563"/>
    </row>
    <row r="27" spans="1:24" ht="15.75" customHeight="1" x14ac:dyDescent="0.25">
      <c r="A27" s="1628" t="s">
        <v>438</v>
      </c>
      <c r="B27" s="1026" t="s">
        <v>158</v>
      </c>
      <c r="C27" s="1565">
        <v>39379535</v>
      </c>
      <c r="D27" s="1565">
        <v>0</v>
      </c>
      <c r="E27" s="1557">
        <f>P17*E33</f>
        <v>-1283.4054793506948</v>
      </c>
      <c r="F27" s="1568">
        <v>0</v>
      </c>
      <c r="G27" s="1026" t="s">
        <v>6926</v>
      </c>
      <c r="H27" s="1829" t="s">
        <v>6927</v>
      </c>
      <c r="I27" s="1830"/>
      <c r="J27" s="1830"/>
      <c r="K27" s="1831"/>
    </row>
    <row r="28" spans="1:24" ht="15.75" customHeight="1" x14ac:dyDescent="0.25">
      <c r="A28" s="1628" t="s">
        <v>3214</v>
      </c>
      <c r="B28" s="1026" t="s">
        <v>158</v>
      </c>
      <c r="C28" s="1565">
        <v>19816423</v>
      </c>
      <c r="D28" s="1565">
        <v>0</v>
      </c>
      <c r="E28" s="1557">
        <f>P18*E33</f>
        <v>-414.54290259519075</v>
      </c>
      <c r="F28" s="1569">
        <v>0</v>
      </c>
      <c r="G28" s="1026" t="s">
        <v>158</v>
      </c>
      <c r="H28" s="1832"/>
      <c r="I28" s="1833"/>
      <c r="J28" s="1833"/>
      <c r="K28" s="1834"/>
    </row>
    <row r="29" spans="1:24" ht="15.75" customHeight="1" x14ac:dyDescent="0.25">
      <c r="A29" s="1628" t="s">
        <v>4819</v>
      </c>
      <c r="B29" s="1026" t="s">
        <v>159</v>
      </c>
      <c r="C29" s="1565">
        <v>38286678</v>
      </c>
      <c r="D29" s="1565">
        <v>111704</v>
      </c>
      <c r="E29" s="1557">
        <f>P19*E33</f>
        <v>-404.09813894510449</v>
      </c>
      <c r="F29" s="1569">
        <v>0</v>
      </c>
      <c r="G29" s="1026" t="s">
        <v>159</v>
      </c>
      <c r="H29" s="1832"/>
      <c r="I29" s="1833"/>
      <c r="J29" s="1833"/>
      <c r="K29" s="1834"/>
    </row>
    <row r="30" spans="1:24" ht="15.75" customHeight="1" x14ac:dyDescent="0.25">
      <c r="A30" s="1628" t="s">
        <v>617</v>
      </c>
      <c r="B30" s="1026" t="s">
        <v>158</v>
      </c>
      <c r="C30" s="1565">
        <v>539097</v>
      </c>
      <c r="D30" s="1565">
        <v>0</v>
      </c>
      <c r="E30" s="1557">
        <f>P20*E33</f>
        <v>-11.55795924033011</v>
      </c>
      <c r="F30" s="1569">
        <v>0</v>
      </c>
      <c r="G30" s="1026" t="s">
        <v>158</v>
      </c>
      <c r="H30" s="1832"/>
      <c r="I30" s="1833"/>
      <c r="J30" s="1833"/>
      <c r="K30" s="1834"/>
    </row>
    <row r="31" spans="1:24" ht="15.75" customHeight="1" x14ac:dyDescent="0.25">
      <c r="A31" s="1628" t="s">
        <v>629</v>
      </c>
      <c r="B31" s="1026" t="s">
        <v>159</v>
      </c>
      <c r="C31" s="1565">
        <v>99906</v>
      </c>
      <c r="D31" s="1565">
        <v>298</v>
      </c>
      <c r="E31" s="1557">
        <f>P21*E33</f>
        <v>-6.8919065328591831</v>
      </c>
      <c r="F31" s="1569">
        <v>0</v>
      </c>
      <c r="G31" s="1026" t="s">
        <v>159</v>
      </c>
      <c r="H31" s="1832"/>
      <c r="I31" s="1833"/>
      <c r="J31" s="1833"/>
      <c r="K31" s="1834"/>
    </row>
    <row r="32" spans="1:24" ht="15.75" customHeight="1" thickBot="1" x14ac:dyDescent="0.3">
      <c r="A32" s="1449" t="s">
        <v>615</v>
      </c>
      <c r="B32" s="421" t="s">
        <v>159</v>
      </c>
      <c r="C32" s="1566">
        <v>716670</v>
      </c>
      <c r="D32" s="1566">
        <v>1945</v>
      </c>
      <c r="E32" s="1558">
        <f>P22*E33</f>
        <v>-79.573613335820809</v>
      </c>
      <c r="F32" s="1570">
        <v>0</v>
      </c>
      <c r="G32" s="421" t="s">
        <v>159</v>
      </c>
      <c r="H32" s="1835"/>
      <c r="I32" s="1836"/>
      <c r="J32" s="1836"/>
      <c r="K32" s="1837"/>
    </row>
    <row r="33" spans="1:6" x14ac:dyDescent="0.25">
      <c r="A33" s="846" t="s">
        <v>51</v>
      </c>
      <c r="C33" s="1565">
        <f>SUM(C27:C32)</f>
        <v>98838309</v>
      </c>
      <c r="D33" s="1565">
        <f>SUM(D27:D32)</f>
        <v>113947</v>
      </c>
      <c r="E33" s="1567">
        <f>ROUND('8. STS - Tax Change'!N46,2)</f>
        <v>-2200.0700000000002</v>
      </c>
      <c r="F33" s="1569"/>
    </row>
    <row r="37" spans="1:6" ht="15.75" x14ac:dyDescent="0.25">
      <c r="A37" s="1571"/>
    </row>
  </sheetData>
  <sheetProtection algorithmName="SHA-512" hashValue="Hwe76ZFU/mjGXfHUe2mFKEtzfJB/NvOF8hQIuGLsSOANO1nWnx6ax26ozXzB4tsXINZzIgRBHkKwsEakoXCiHw==" saltValue="Icb0v8RE1i5eJcKecLZzsA==" spinCount="100000" sheet="1" objects="1" scenarios="1"/>
  <mergeCells count="2">
    <mergeCell ref="A12:H12"/>
    <mergeCell ref="H27:K32"/>
  </mergeCells>
  <pageMargins left="0.25" right="0.25" top="0.75" bottom="0.75" header="0.3" footer="0.3"/>
  <pageSetup scale="31" orientation="portrait" r:id="rId1"/>
  <headerFooter>
    <oddFooter>&amp;C&amp;A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Z50"/>
  <sheetViews>
    <sheetView showGridLines="0" zoomScaleNormal="100" workbookViewId="0">
      <pane ySplit="15" topLeftCell="A16" activePane="bottomLeft" state="frozenSplit"/>
      <selection activeCell="F18" sqref="F18:H18"/>
      <selection pane="bottomLeft" activeCell="F33" sqref="F33"/>
    </sheetView>
  </sheetViews>
  <sheetFormatPr defaultColWidth="13.7109375" defaultRowHeight="12.75" x14ac:dyDescent="0.2"/>
  <cols>
    <col min="1" max="1" width="65.140625" style="60" customWidth="1"/>
    <col min="2" max="2" width="76" style="60" bestFit="1" customWidth="1"/>
    <col min="3" max="3" width="6.42578125" style="60" bestFit="1" customWidth="1"/>
    <col min="4" max="4" width="10.5703125" style="60" customWidth="1"/>
    <col min="5" max="5" width="18.140625" style="60" customWidth="1"/>
    <col min="6" max="6" width="14" style="60" customWidth="1"/>
    <col min="7" max="7" width="13.7109375" style="60"/>
    <col min="8" max="8" width="14.5703125" style="60" customWidth="1"/>
    <col min="9" max="16384" width="13.7109375" style="60"/>
  </cols>
  <sheetData>
    <row r="1" spans="1:52" x14ac:dyDescent="0.2">
      <c r="AZ1" s="60">
        <v>1</v>
      </c>
    </row>
    <row r="13" spans="1:52" ht="33" customHeight="1" x14ac:dyDescent="0.2">
      <c r="A13" s="1745" t="s">
        <v>6087</v>
      </c>
      <c r="B13" s="1745"/>
      <c r="C13" s="1745"/>
      <c r="D13" s="1745"/>
      <c r="E13" s="1745"/>
      <c r="F13" s="1745"/>
      <c r="G13" s="1745"/>
      <c r="H13" s="1745"/>
      <c r="I13" s="256"/>
      <c r="J13" s="256"/>
      <c r="K13" s="256"/>
      <c r="L13" s="256"/>
    </row>
    <row r="15" spans="1:52" ht="45" x14ac:dyDescent="0.25">
      <c r="A15" s="4" t="s">
        <v>52</v>
      </c>
      <c r="B15" s="4" t="s">
        <v>148</v>
      </c>
      <c r="C15" s="257" t="s">
        <v>53</v>
      </c>
      <c r="D15" s="258" t="s">
        <v>352</v>
      </c>
      <c r="E15" s="259" t="s">
        <v>445</v>
      </c>
      <c r="F15" s="259" t="s">
        <v>446</v>
      </c>
      <c r="G15" s="260" t="s">
        <v>1678</v>
      </c>
      <c r="H15" s="261" t="s">
        <v>447</v>
      </c>
      <c r="I15" s="261"/>
    </row>
    <row r="16" spans="1:52" x14ac:dyDescent="0.2">
      <c r="D16" s="263"/>
      <c r="E16" s="262"/>
      <c r="F16" s="262"/>
      <c r="G16" s="263"/>
    </row>
    <row r="17" spans="1:8" x14ac:dyDescent="0.2">
      <c r="A17" s="60" t="s">
        <v>6928</v>
      </c>
      <c r="B17" s="60" t="s">
        <v>4815</v>
      </c>
      <c r="C17" s="264" t="s">
        <v>24</v>
      </c>
      <c r="D17" s="1356">
        <v>6.3E-3</v>
      </c>
      <c r="E17" s="1573">
        <v>39379535</v>
      </c>
      <c r="F17" s="1573">
        <v>0</v>
      </c>
      <c r="G17" s="1572">
        <v>1.0819000000000001</v>
      </c>
      <c r="H17" s="262">
        <f>E17*G17</f>
        <v>42604718.916500002</v>
      </c>
    </row>
    <row r="18" spans="1:8" x14ac:dyDescent="0.2">
      <c r="A18" s="60" t="s">
        <v>6928</v>
      </c>
      <c r="B18" s="60" t="s">
        <v>3628</v>
      </c>
      <c r="C18" s="264" t="s">
        <v>24</v>
      </c>
      <c r="D18" s="1356">
        <v>5.1000000000000004E-3</v>
      </c>
      <c r="E18" s="1573">
        <v>39379535</v>
      </c>
      <c r="F18" s="1573">
        <v>0</v>
      </c>
      <c r="G18" s="1572">
        <v>1.0819000000000001</v>
      </c>
      <c r="H18" s="262">
        <f>E18*G18</f>
        <v>42604718.916500002</v>
      </c>
    </row>
    <row r="19" spans="1:8" x14ac:dyDescent="0.2">
      <c r="A19" s="60" t="s">
        <v>6932</v>
      </c>
      <c r="B19" s="60" t="s">
        <v>4815</v>
      </c>
      <c r="C19" s="264" t="s">
        <v>24</v>
      </c>
      <c r="D19" s="1356">
        <v>5.7999999999999996E-3</v>
      </c>
      <c r="E19" s="1573">
        <v>19816423</v>
      </c>
      <c r="F19" s="1573">
        <v>0</v>
      </c>
      <c r="G19" s="1572">
        <v>1.0819000000000001</v>
      </c>
      <c r="H19" s="262">
        <f>E19*G19</f>
        <v>21439388.043700002</v>
      </c>
    </row>
    <row r="20" spans="1:8" x14ac:dyDescent="0.2">
      <c r="A20" s="60" t="s">
        <v>6932</v>
      </c>
      <c r="B20" s="60" t="s">
        <v>3628</v>
      </c>
      <c r="C20" s="264" t="s">
        <v>24</v>
      </c>
      <c r="D20" s="1356">
        <v>4.7000000000000002E-3</v>
      </c>
      <c r="E20" s="1573">
        <v>19816423</v>
      </c>
      <c r="F20" s="1573">
        <v>0</v>
      </c>
      <c r="G20" s="1572">
        <v>1.0819000000000001</v>
      </c>
      <c r="H20" s="262">
        <f>E20*G20</f>
        <v>21439388.043700002</v>
      </c>
    </row>
    <row r="21" spans="1:8" x14ac:dyDescent="0.2">
      <c r="A21" s="60" t="s">
        <v>6933</v>
      </c>
      <c r="B21" s="60" t="s">
        <v>4815</v>
      </c>
      <c r="C21" s="264" t="s">
        <v>33</v>
      </c>
      <c r="D21" s="1356">
        <v>2.4327000000000001</v>
      </c>
      <c r="E21" s="1575">
        <v>34547787</v>
      </c>
      <c r="F21" s="1576">
        <v>101080.09999999999</v>
      </c>
      <c r="G21" s="263"/>
    </row>
    <row r="22" spans="1:8" x14ac:dyDescent="0.2">
      <c r="A22" s="60" t="s">
        <v>6933</v>
      </c>
      <c r="B22" s="60" t="s">
        <v>217</v>
      </c>
      <c r="C22" s="264" t="s">
        <v>33</v>
      </c>
      <c r="D22" s="1356">
        <v>1.8726</v>
      </c>
      <c r="E22" s="1575">
        <f>E21</f>
        <v>34547787</v>
      </c>
      <c r="F22" s="1575">
        <f>F21</f>
        <v>101080.09999999999</v>
      </c>
      <c r="G22" s="263"/>
    </row>
    <row r="23" spans="1:8" x14ac:dyDescent="0.2">
      <c r="A23" s="60" t="s">
        <v>6933</v>
      </c>
      <c r="B23" s="60" t="s">
        <v>4821</v>
      </c>
      <c r="C23" s="264" t="s">
        <v>33</v>
      </c>
      <c r="D23" s="1356">
        <v>2.7179000000000002</v>
      </c>
      <c r="E23" s="1575">
        <v>3738891</v>
      </c>
      <c r="F23" s="1576">
        <v>10624.1</v>
      </c>
      <c r="G23" s="263"/>
    </row>
    <row r="24" spans="1:8" x14ac:dyDescent="0.2">
      <c r="A24" s="60" t="s">
        <v>6933</v>
      </c>
      <c r="B24" s="60" t="s">
        <v>219</v>
      </c>
      <c r="C24" s="264" t="s">
        <v>33</v>
      </c>
      <c r="D24" s="1356">
        <v>2.0872999999999999</v>
      </c>
      <c r="E24" s="1574">
        <f>E23</f>
        <v>3738891</v>
      </c>
      <c r="F24" s="1574">
        <f>F23</f>
        <v>10624.1</v>
      </c>
      <c r="G24" s="263"/>
    </row>
    <row r="25" spans="1:8" x14ac:dyDescent="0.2">
      <c r="A25" s="60" t="s">
        <v>6929</v>
      </c>
      <c r="B25" s="60" t="s">
        <v>4815</v>
      </c>
      <c r="C25" s="264" t="s">
        <v>24</v>
      </c>
      <c r="D25" s="1356">
        <v>5.7999999999999996E-3</v>
      </c>
      <c r="E25" s="1573">
        <v>539097</v>
      </c>
      <c r="F25" s="1573">
        <v>0</v>
      </c>
      <c r="G25" s="1572">
        <v>1.0819000000000001</v>
      </c>
      <c r="H25" s="262">
        <f>E25*G25</f>
        <v>583249.04430000007</v>
      </c>
    </row>
    <row r="26" spans="1:8" x14ac:dyDescent="0.2">
      <c r="A26" s="60" t="s">
        <v>6929</v>
      </c>
      <c r="B26" s="60" t="s">
        <v>3628</v>
      </c>
      <c r="C26" s="264" t="s">
        <v>24</v>
      </c>
      <c r="D26" s="1356">
        <v>4.7000000000000002E-3</v>
      </c>
      <c r="E26" s="1573">
        <v>539097</v>
      </c>
      <c r="F26" s="1573">
        <v>0</v>
      </c>
      <c r="G26" s="1572">
        <v>1.0819000000000001</v>
      </c>
      <c r="H26" s="262">
        <f>E26*G26</f>
        <v>583249.04430000007</v>
      </c>
    </row>
    <row r="27" spans="1:8" x14ac:dyDescent="0.2">
      <c r="A27" s="60" t="s">
        <v>6930</v>
      </c>
      <c r="B27" s="60" t="s">
        <v>221</v>
      </c>
      <c r="C27" s="264" t="s">
        <v>33</v>
      </c>
      <c r="D27" s="1356">
        <v>1.8439000000000001</v>
      </c>
      <c r="E27" s="1573">
        <v>99906</v>
      </c>
      <c r="F27" s="1573">
        <v>298</v>
      </c>
      <c r="G27" s="263"/>
    </row>
    <row r="28" spans="1:8" x14ac:dyDescent="0.2">
      <c r="A28" s="60" t="s">
        <v>6930</v>
      </c>
      <c r="B28" s="60" t="s">
        <v>3628</v>
      </c>
      <c r="C28" s="264" t="s">
        <v>33</v>
      </c>
      <c r="D28" s="1356">
        <v>1.4779</v>
      </c>
      <c r="E28" s="1573">
        <v>99906</v>
      </c>
      <c r="F28" s="1573">
        <v>298</v>
      </c>
      <c r="G28" s="263"/>
    </row>
    <row r="29" spans="1:8" x14ac:dyDescent="0.2">
      <c r="A29" s="60" t="s">
        <v>6931</v>
      </c>
      <c r="B29" s="60" t="s">
        <v>4815</v>
      </c>
      <c r="C29" s="264" t="s">
        <v>33</v>
      </c>
      <c r="D29" s="1356">
        <v>1.8346</v>
      </c>
      <c r="E29" s="1573">
        <v>716670</v>
      </c>
      <c r="F29" s="1573">
        <v>1945</v>
      </c>
      <c r="G29" s="263"/>
    </row>
    <row r="30" spans="1:8" x14ac:dyDescent="0.2">
      <c r="A30" s="60" t="s">
        <v>6931</v>
      </c>
      <c r="B30" s="60" t="s">
        <v>3628</v>
      </c>
      <c r="C30" s="264" t="s">
        <v>33</v>
      </c>
      <c r="D30" s="1356">
        <v>1.4479</v>
      </c>
      <c r="E30" s="1573">
        <v>716670</v>
      </c>
      <c r="F30" s="1573">
        <v>1945</v>
      </c>
      <c r="G30" s="263"/>
    </row>
    <row r="31" spans="1:8" x14ac:dyDescent="0.2">
      <c r="C31" s="264"/>
      <c r="D31" s="264"/>
    </row>
    <row r="32" spans="1:8" x14ac:dyDescent="0.2">
      <c r="C32" s="264"/>
      <c r="D32" s="264"/>
    </row>
    <row r="33" spans="3:4" x14ac:dyDescent="0.2">
      <c r="C33" s="264"/>
      <c r="D33" s="264"/>
    </row>
    <row r="34" spans="3:4" x14ac:dyDescent="0.2">
      <c r="C34" s="264"/>
      <c r="D34" s="264"/>
    </row>
    <row r="35" spans="3:4" x14ac:dyDescent="0.2">
      <c r="C35" s="264"/>
      <c r="D35" s="264"/>
    </row>
    <row r="36" spans="3:4" x14ac:dyDescent="0.2">
      <c r="C36" s="264"/>
      <c r="D36" s="264"/>
    </row>
    <row r="37" spans="3:4" x14ac:dyDescent="0.2">
      <c r="C37" s="264"/>
      <c r="D37" s="264"/>
    </row>
    <row r="38" spans="3:4" x14ac:dyDescent="0.2">
      <c r="C38" s="264"/>
      <c r="D38" s="264"/>
    </row>
    <row r="39" spans="3:4" x14ac:dyDescent="0.2">
      <c r="C39" s="264"/>
      <c r="D39" s="264"/>
    </row>
    <row r="40" spans="3:4" x14ac:dyDescent="0.2">
      <c r="C40" s="264"/>
      <c r="D40" s="264"/>
    </row>
    <row r="41" spans="3:4" x14ac:dyDescent="0.2">
      <c r="C41" s="264"/>
      <c r="D41" s="264"/>
    </row>
    <row r="42" spans="3:4" x14ac:dyDescent="0.2">
      <c r="C42" s="264"/>
      <c r="D42" s="264"/>
    </row>
    <row r="43" spans="3:4" x14ac:dyDescent="0.2">
      <c r="C43" s="264"/>
      <c r="D43" s="264"/>
    </row>
    <row r="44" spans="3:4" x14ac:dyDescent="0.2">
      <c r="C44" s="264"/>
      <c r="D44" s="264"/>
    </row>
    <row r="45" spans="3:4" x14ac:dyDescent="0.2">
      <c r="C45" s="264"/>
      <c r="D45" s="264"/>
    </row>
    <row r="46" spans="3:4" x14ac:dyDescent="0.2">
      <c r="C46" s="264"/>
      <c r="D46" s="264"/>
    </row>
    <row r="47" spans="3:4" x14ac:dyDescent="0.2">
      <c r="C47" s="264"/>
      <c r="D47" s="264"/>
    </row>
    <row r="48" spans="3:4" x14ac:dyDescent="0.2">
      <c r="C48" s="264"/>
      <c r="D48" s="264"/>
    </row>
    <row r="49" spans="3:4" x14ac:dyDescent="0.2">
      <c r="C49" s="264"/>
      <c r="D49" s="264"/>
    </row>
    <row r="50" spans="3:4" x14ac:dyDescent="0.2">
      <c r="C50" s="264"/>
      <c r="D50" s="264"/>
    </row>
  </sheetData>
  <sheetProtection algorithmName="SHA-512" hashValue="Xm26xHhslRLF2uVWZ5lE5ut+t+Zlbb13T2KiUg1/W0zIiWGXNLRD8tty35esZ87MT0TXPxaXXc3BAYTUVlnd0A==" saltValue="Wg6xW+GkSOREu2EQrd58Wg==" spinCount="100000" sheet="1" objects="1" scenarios="1"/>
  <mergeCells count="1">
    <mergeCell ref="A13:H13"/>
  </mergeCells>
  <pageMargins left="0.25" right="0.25" top="0.75" bottom="0.75" header="0.3" footer="0.3"/>
  <pageSetup scale="12" orientation="portrait" r:id="rId1"/>
  <headerFooter>
    <oddFooter>&amp;C&amp;A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15:J76"/>
  <sheetViews>
    <sheetView showGridLines="0" zoomScale="85" zoomScaleNormal="85" workbookViewId="0">
      <pane ySplit="16" topLeftCell="A26" activePane="bottomLeft" state="frozenSplit"/>
      <selection activeCell="F18" sqref="F18:H18"/>
      <selection pane="bottomLeft" activeCell="M29" sqref="M29"/>
    </sheetView>
  </sheetViews>
  <sheetFormatPr defaultColWidth="9.140625" defaultRowHeight="12.75" x14ac:dyDescent="0.2"/>
  <cols>
    <col min="1" max="1" width="11.85546875" style="60" customWidth="1"/>
    <col min="2" max="2" width="69" style="60" customWidth="1"/>
    <col min="3" max="3" width="15.42578125" style="60" customWidth="1"/>
    <col min="4" max="4" width="9.140625" style="60"/>
    <col min="5" max="5" width="14.140625" style="60" bestFit="1" customWidth="1"/>
    <col min="6" max="6" width="25.140625" style="60" bestFit="1" customWidth="1"/>
    <col min="7" max="7" width="6.28515625" style="60" customWidth="1"/>
    <col min="8" max="8" width="25.5703125" style="60" customWidth="1"/>
    <col min="9" max="9" width="5.42578125" style="60" customWidth="1"/>
    <col min="10" max="10" width="26.28515625" style="60" customWidth="1"/>
    <col min="11" max="16384" width="9.140625" style="60"/>
  </cols>
  <sheetData>
    <row r="15" spans="2:10" x14ac:dyDescent="0.2">
      <c r="B15" s="265"/>
      <c r="C15" s="266"/>
      <c r="D15" s="84"/>
      <c r="E15" s="84"/>
      <c r="F15" s="266"/>
      <c r="G15" s="84"/>
      <c r="H15" s="266"/>
      <c r="I15" s="84"/>
      <c r="J15" s="266"/>
    </row>
    <row r="17" spans="2:10" ht="15.75" x14ac:dyDescent="0.25">
      <c r="B17" s="85"/>
      <c r="C17" s="85"/>
      <c r="D17" s="86"/>
      <c r="E17" s="86"/>
      <c r="F17" s="87"/>
      <c r="G17" s="85"/>
      <c r="H17" s="87"/>
      <c r="I17" s="85"/>
    </row>
    <row r="18" spans="2:10" ht="29.25" customHeight="1" x14ac:dyDescent="0.2">
      <c r="B18" s="267" t="s">
        <v>448</v>
      </c>
      <c r="C18" s="268" t="s">
        <v>53</v>
      </c>
      <c r="D18" s="131"/>
      <c r="E18" s="1844">
        <v>2017</v>
      </c>
      <c r="F18" s="1844"/>
      <c r="G18" s="131"/>
      <c r="H18" s="268">
        <v>2018</v>
      </c>
      <c r="I18" s="131"/>
      <c r="J18" s="268">
        <v>2019</v>
      </c>
    </row>
    <row r="19" spans="2:10" ht="15" x14ac:dyDescent="0.2">
      <c r="B19" s="131"/>
      <c r="C19" s="131"/>
      <c r="D19" s="131"/>
      <c r="E19" s="131"/>
      <c r="F19" s="131"/>
      <c r="G19" s="131"/>
      <c r="H19" s="131"/>
      <c r="I19" s="131"/>
      <c r="J19" s="131"/>
    </row>
    <row r="20" spans="2:10" ht="15.75" x14ac:dyDescent="0.25">
      <c r="B20" s="136" t="s">
        <v>148</v>
      </c>
      <c r="C20" s="136"/>
      <c r="D20" s="130"/>
      <c r="E20" s="1842" t="s">
        <v>352</v>
      </c>
      <c r="F20" s="1842"/>
      <c r="G20" s="130"/>
      <c r="H20" s="106" t="s">
        <v>352</v>
      </c>
      <c r="I20" s="130"/>
      <c r="J20" s="106" t="s">
        <v>352</v>
      </c>
    </row>
    <row r="21" spans="2:10" ht="15" customHeight="1" x14ac:dyDescent="0.2">
      <c r="B21" s="131"/>
      <c r="C21" s="131"/>
      <c r="D21" s="131"/>
      <c r="E21" s="131"/>
      <c r="F21" s="131"/>
      <c r="G21" s="131"/>
      <c r="H21" s="131"/>
      <c r="I21" s="131"/>
      <c r="J21" s="131"/>
    </row>
    <row r="22" spans="2:10" ht="15.75" x14ac:dyDescent="0.25">
      <c r="B22" s="139" t="s">
        <v>449</v>
      </c>
      <c r="C22" s="140" t="s">
        <v>159</v>
      </c>
      <c r="D22" s="133"/>
      <c r="E22" s="1839">
        <v>3.66</v>
      </c>
      <c r="F22" s="1839"/>
      <c r="G22" s="133"/>
      <c r="H22" s="1025">
        <v>3.61</v>
      </c>
      <c r="I22" s="130"/>
      <c r="J22" s="132">
        <f>H22</f>
        <v>3.61</v>
      </c>
    </row>
    <row r="23" spans="2:10" ht="15.75" x14ac:dyDescent="0.25">
      <c r="B23" s="133"/>
      <c r="C23" s="133"/>
      <c r="D23" s="133"/>
      <c r="E23" s="88"/>
      <c r="F23" s="88"/>
      <c r="G23" s="133"/>
      <c r="H23" s="1025"/>
      <c r="I23" s="130"/>
      <c r="J23" s="88"/>
    </row>
    <row r="24" spans="2:10" ht="15.75" x14ac:dyDescent="0.25">
      <c r="B24" s="139" t="s">
        <v>450</v>
      </c>
      <c r="C24" s="140" t="s">
        <v>159</v>
      </c>
      <c r="D24" s="133"/>
      <c r="E24" s="1839">
        <v>0.87</v>
      </c>
      <c r="F24" s="1839"/>
      <c r="G24" s="133"/>
      <c r="H24" s="1025">
        <v>0.95</v>
      </c>
      <c r="I24" s="130"/>
      <c r="J24" s="132">
        <f>H24</f>
        <v>0.95</v>
      </c>
    </row>
    <row r="25" spans="2:10" ht="15.75" x14ac:dyDescent="0.25">
      <c r="B25" s="133"/>
      <c r="C25" s="133"/>
      <c r="D25" s="133"/>
      <c r="E25" s="88"/>
      <c r="F25" s="88"/>
      <c r="G25" s="133"/>
      <c r="H25" s="1025"/>
      <c r="I25" s="130"/>
      <c r="J25" s="88"/>
    </row>
    <row r="26" spans="2:10" ht="15.75" x14ac:dyDescent="0.25">
      <c r="B26" s="139" t="s">
        <v>451</v>
      </c>
      <c r="C26" s="140" t="s">
        <v>159</v>
      </c>
      <c r="D26" s="133"/>
      <c r="E26" s="1839">
        <v>2.02</v>
      </c>
      <c r="F26" s="1839"/>
      <c r="G26" s="133"/>
      <c r="H26" s="1025">
        <v>2.34</v>
      </c>
      <c r="I26" s="130"/>
      <c r="J26" s="132">
        <f>H26</f>
        <v>2.34</v>
      </c>
    </row>
    <row r="27" spans="2:10" ht="15" x14ac:dyDescent="0.2">
      <c r="B27" s="131"/>
      <c r="C27" s="131"/>
      <c r="D27" s="131"/>
      <c r="E27" s="131"/>
      <c r="F27" s="131"/>
      <c r="G27" s="131"/>
      <c r="H27" s="131"/>
      <c r="I27" s="131"/>
      <c r="J27" s="131"/>
    </row>
    <row r="28" spans="2:10" ht="15" x14ac:dyDescent="0.2">
      <c r="B28" s="131"/>
      <c r="C28" s="131"/>
      <c r="D28" s="131"/>
      <c r="E28" s="131"/>
      <c r="F28" s="131"/>
      <c r="G28" s="131"/>
      <c r="H28" s="131"/>
      <c r="I28" s="131"/>
      <c r="J28" s="131"/>
    </row>
    <row r="29" spans="2:10" ht="28.5" customHeight="1" x14ac:dyDescent="0.2">
      <c r="B29" s="267" t="s">
        <v>452</v>
      </c>
      <c r="C29" s="268" t="s">
        <v>53</v>
      </c>
      <c r="D29" s="131"/>
      <c r="E29" s="1844">
        <v>2017</v>
      </c>
      <c r="F29" s="1844"/>
      <c r="G29" s="131"/>
      <c r="H29" s="268">
        <v>2018</v>
      </c>
      <c r="I29" s="131"/>
      <c r="J29" s="268">
        <v>2019</v>
      </c>
    </row>
    <row r="30" spans="2:10" ht="15.75" customHeight="1" x14ac:dyDescent="0.25">
      <c r="B30" s="107"/>
      <c r="C30" s="141"/>
      <c r="D30" s="131"/>
      <c r="E30" s="1845"/>
      <c r="F30" s="1845"/>
      <c r="G30" s="441"/>
      <c r="H30" s="659"/>
      <c r="I30" s="134"/>
      <c r="J30" s="131"/>
    </row>
    <row r="31" spans="2:10" ht="3" customHeight="1" x14ac:dyDescent="0.25">
      <c r="B31" s="134"/>
      <c r="C31" s="141"/>
      <c r="D31" s="131"/>
      <c r="E31" s="131"/>
      <c r="F31" s="134"/>
      <c r="G31" s="134"/>
      <c r="H31" s="110"/>
      <c r="I31" s="134"/>
      <c r="J31" s="131"/>
    </row>
    <row r="32" spans="2:10" ht="3" customHeight="1" x14ac:dyDescent="0.2">
      <c r="B32" s="131"/>
      <c r="C32" s="131"/>
      <c r="D32" s="131"/>
      <c r="E32" s="131"/>
      <c r="F32" s="134"/>
      <c r="G32" s="131"/>
      <c r="H32" s="131"/>
      <c r="I32" s="131"/>
      <c r="J32" s="131"/>
    </row>
    <row r="33" spans="2:10" ht="15.75" x14ac:dyDescent="0.25">
      <c r="B33" s="136" t="s">
        <v>148</v>
      </c>
      <c r="C33" s="136"/>
      <c r="D33" s="130"/>
      <c r="E33" s="1842" t="s">
        <v>352</v>
      </c>
      <c r="F33" s="1842"/>
      <c r="G33" s="130"/>
      <c r="H33" s="106" t="s">
        <v>352</v>
      </c>
      <c r="I33" s="131"/>
      <c r="J33" s="106" t="s">
        <v>352</v>
      </c>
    </row>
    <row r="34" spans="2:10" ht="15" x14ac:dyDescent="0.2">
      <c r="B34" s="131"/>
      <c r="C34" s="131"/>
      <c r="D34" s="131"/>
      <c r="E34" s="131"/>
      <c r="F34" s="134"/>
      <c r="G34" s="131"/>
      <c r="H34" s="131"/>
      <c r="I34" s="131"/>
      <c r="J34" s="131"/>
    </row>
    <row r="35" spans="2:10" ht="15.75" x14ac:dyDescent="0.25">
      <c r="B35" s="139" t="s">
        <v>449</v>
      </c>
      <c r="C35" s="140" t="s">
        <v>159</v>
      </c>
      <c r="D35" s="133"/>
      <c r="E35" s="1846">
        <v>3.1941999999999999</v>
      </c>
      <c r="F35" s="1846"/>
      <c r="G35" s="133"/>
      <c r="H35" s="89">
        <v>3.1941999999999999</v>
      </c>
      <c r="I35" s="134"/>
      <c r="J35" s="135">
        <f>H35</f>
        <v>3.1941999999999999</v>
      </c>
    </row>
    <row r="36" spans="2:10" ht="15.75" x14ac:dyDescent="0.25">
      <c r="B36" s="134"/>
      <c r="C36" s="134"/>
      <c r="D36" s="134"/>
      <c r="E36" s="442"/>
      <c r="F36" s="89"/>
      <c r="G36" s="134"/>
      <c r="H36" s="89"/>
      <c r="I36" s="134"/>
      <c r="J36" s="89"/>
    </row>
    <row r="37" spans="2:10" ht="15.75" x14ac:dyDescent="0.25">
      <c r="B37" s="139" t="s">
        <v>450</v>
      </c>
      <c r="C37" s="140" t="s">
        <v>159</v>
      </c>
      <c r="D37" s="133"/>
      <c r="E37" s="1846">
        <v>0.77100000000000002</v>
      </c>
      <c r="F37" s="1846"/>
      <c r="G37" s="133"/>
      <c r="H37" s="89">
        <v>0.77100000000000002</v>
      </c>
      <c r="I37" s="134"/>
      <c r="J37" s="135">
        <f>H37</f>
        <v>0.77100000000000002</v>
      </c>
    </row>
    <row r="38" spans="2:10" ht="15.75" x14ac:dyDescent="0.25">
      <c r="B38" s="134"/>
      <c r="C38" s="134"/>
      <c r="D38" s="134"/>
      <c r="E38" s="442"/>
      <c r="F38" s="89"/>
      <c r="G38" s="134"/>
      <c r="H38" s="89"/>
      <c r="I38" s="134"/>
      <c r="J38" s="89"/>
    </row>
    <row r="39" spans="2:10" ht="15.75" x14ac:dyDescent="0.25">
      <c r="B39" s="139" t="s">
        <v>451</v>
      </c>
      <c r="C39" s="140" t="s">
        <v>159</v>
      </c>
      <c r="D39" s="133"/>
      <c r="E39" s="1846">
        <v>1.7493000000000001</v>
      </c>
      <c r="F39" s="1846"/>
      <c r="G39" s="133"/>
      <c r="H39" s="89">
        <v>1.7493000000000001</v>
      </c>
      <c r="I39" s="134"/>
      <c r="J39" s="135">
        <f>H39</f>
        <v>1.7493000000000001</v>
      </c>
    </row>
    <row r="40" spans="2:10" ht="15.75" x14ac:dyDescent="0.25">
      <c r="B40" s="134"/>
      <c r="C40" s="134"/>
      <c r="D40" s="134"/>
      <c r="E40" s="442"/>
      <c r="F40" s="88"/>
      <c r="G40" s="134"/>
      <c r="H40" s="88"/>
      <c r="I40" s="134"/>
      <c r="J40" s="89"/>
    </row>
    <row r="41" spans="2:10" ht="15.75" x14ac:dyDescent="0.25">
      <c r="B41" s="139" t="s">
        <v>453</v>
      </c>
      <c r="C41" s="140" t="s">
        <v>159</v>
      </c>
      <c r="D41" s="133"/>
      <c r="E41" s="1846">
        <f>SUM(E37,E39)</f>
        <v>2.5203000000000002</v>
      </c>
      <c r="F41" s="1846"/>
      <c r="G41" s="133"/>
      <c r="H41" s="89">
        <f>SUM(H39,H37)</f>
        <v>2.5203000000000002</v>
      </c>
      <c r="I41" s="134"/>
      <c r="J41" s="135">
        <f>H41</f>
        <v>2.5203000000000002</v>
      </c>
    </row>
    <row r="42" spans="2:10" ht="15.75" x14ac:dyDescent="0.25">
      <c r="B42" s="109"/>
      <c r="C42" s="109"/>
      <c r="D42" s="22"/>
      <c r="E42" s="22"/>
      <c r="F42" s="88"/>
      <c r="G42" s="22"/>
      <c r="H42" s="88"/>
      <c r="I42" s="22"/>
      <c r="J42" s="22"/>
    </row>
    <row r="43" spans="2:10" ht="15" x14ac:dyDescent="0.25">
      <c r="B43" s="22"/>
      <c r="C43" s="22"/>
      <c r="D43" s="22"/>
      <c r="E43" s="22"/>
      <c r="F43" s="22"/>
      <c r="G43" s="22"/>
      <c r="H43" s="22"/>
      <c r="I43" s="22"/>
      <c r="J43" s="22"/>
    </row>
    <row r="44" spans="2:10" ht="26.25" customHeight="1" x14ac:dyDescent="0.25">
      <c r="B44" s="269" t="s">
        <v>1669</v>
      </c>
      <c r="C44" s="270" t="s">
        <v>53</v>
      </c>
      <c r="D44" s="22"/>
      <c r="E44" s="1841">
        <v>2017</v>
      </c>
      <c r="F44" s="1841"/>
      <c r="G44" s="22"/>
      <c r="H44" s="270">
        <v>2018</v>
      </c>
      <c r="I44" s="22"/>
      <c r="J44" s="270">
        <v>2019</v>
      </c>
    </row>
    <row r="45" spans="2:10" ht="15.75" x14ac:dyDescent="0.25">
      <c r="B45" s="107"/>
      <c r="C45" s="108"/>
      <c r="D45" s="22"/>
      <c r="E45" s="22"/>
      <c r="F45" s="109"/>
      <c r="G45" s="109"/>
      <c r="H45" s="109"/>
      <c r="I45" s="109"/>
      <c r="J45" s="22"/>
    </row>
    <row r="46" spans="2:10" ht="3" customHeight="1" x14ac:dyDescent="0.25">
      <c r="B46" s="109"/>
      <c r="C46" s="108"/>
      <c r="D46" s="22"/>
      <c r="E46" s="22"/>
      <c r="F46" s="110"/>
      <c r="G46" s="109"/>
      <c r="H46" s="110"/>
      <c r="I46" s="109"/>
      <c r="J46" s="22"/>
    </row>
    <row r="47" spans="2:10" ht="3" customHeight="1" x14ac:dyDescent="0.25">
      <c r="B47" s="22"/>
      <c r="C47" s="22"/>
      <c r="D47" s="22"/>
      <c r="E47" s="22"/>
      <c r="F47" s="22"/>
      <c r="G47" s="22"/>
      <c r="H47" s="22"/>
      <c r="I47" s="22"/>
      <c r="J47" s="22"/>
    </row>
    <row r="48" spans="2:10" ht="15.75" x14ac:dyDescent="0.25">
      <c r="B48" s="136" t="s">
        <v>148</v>
      </c>
      <c r="C48" s="136"/>
      <c r="D48" s="271"/>
      <c r="E48" s="1842" t="s">
        <v>352</v>
      </c>
      <c r="F48" s="1842"/>
      <c r="G48" s="130"/>
      <c r="H48" s="106" t="s">
        <v>352</v>
      </c>
      <c r="I48" s="131"/>
      <c r="J48" s="106" t="s">
        <v>352</v>
      </c>
    </row>
    <row r="49" spans="2:10" ht="15" x14ac:dyDescent="0.2">
      <c r="B49" s="32"/>
      <c r="C49" s="32"/>
      <c r="D49" s="32"/>
      <c r="E49" s="32"/>
      <c r="F49" s="131"/>
      <c r="G49" s="131"/>
      <c r="H49" s="131"/>
      <c r="I49" s="131"/>
      <c r="J49" s="131"/>
    </row>
    <row r="50" spans="2:10" ht="16.5" x14ac:dyDescent="0.25">
      <c r="B50" s="137" t="s">
        <v>449</v>
      </c>
      <c r="C50" s="138" t="s">
        <v>159</v>
      </c>
      <c r="D50" s="272"/>
      <c r="E50" s="1838"/>
      <c r="F50" s="1838"/>
      <c r="G50" s="133"/>
      <c r="H50" s="132"/>
      <c r="I50" s="134"/>
      <c r="J50" s="132"/>
    </row>
    <row r="51" spans="2:10" ht="15.75" x14ac:dyDescent="0.25">
      <c r="B51" s="129"/>
      <c r="C51" s="129"/>
      <c r="D51" s="129"/>
      <c r="E51" s="129"/>
      <c r="F51" s="88"/>
      <c r="G51" s="134"/>
      <c r="H51" s="88"/>
      <c r="I51" s="134"/>
      <c r="J51" s="88"/>
    </row>
    <row r="52" spans="2:10" ht="16.5" x14ac:dyDescent="0.25">
      <c r="B52" s="137" t="s">
        <v>450</v>
      </c>
      <c r="C52" s="138" t="s">
        <v>159</v>
      </c>
      <c r="D52" s="272"/>
      <c r="E52" s="1838"/>
      <c r="F52" s="1838"/>
      <c r="G52" s="133"/>
      <c r="H52" s="132"/>
      <c r="I52" s="134"/>
      <c r="J52" s="132"/>
    </row>
    <row r="53" spans="2:10" ht="15.75" x14ac:dyDescent="0.25">
      <c r="B53" s="129"/>
      <c r="C53" s="129"/>
      <c r="D53" s="129"/>
      <c r="E53" s="129"/>
      <c r="F53" s="88"/>
      <c r="G53" s="134"/>
      <c r="H53" s="88"/>
      <c r="I53" s="134"/>
      <c r="J53" s="88"/>
    </row>
    <row r="54" spans="2:10" ht="16.5" x14ac:dyDescent="0.25">
      <c r="B54" s="137" t="s">
        <v>451</v>
      </c>
      <c r="C54" s="138" t="s">
        <v>159</v>
      </c>
      <c r="D54" s="272"/>
      <c r="E54" s="1838"/>
      <c r="F54" s="1838"/>
      <c r="G54" s="133"/>
      <c r="H54" s="132"/>
      <c r="I54" s="134"/>
      <c r="J54" s="132"/>
    </row>
    <row r="55" spans="2:10" ht="15.75" x14ac:dyDescent="0.25">
      <c r="B55" s="129"/>
      <c r="C55" s="129"/>
      <c r="D55" s="129"/>
      <c r="E55" s="129"/>
      <c r="F55" s="88"/>
      <c r="G55" s="134"/>
      <c r="H55" s="88"/>
      <c r="I55" s="134"/>
      <c r="J55" s="88"/>
    </row>
    <row r="56" spans="2:10" ht="16.5" x14ac:dyDescent="0.25">
      <c r="B56" s="137" t="s">
        <v>453</v>
      </c>
      <c r="C56" s="138" t="s">
        <v>159</v>
      </c>
      <c r="D56" s="272"/>
      <c r="E56" s="1839">
        <f>E54+E52</f>
        <v>0</v>
      </c>
      <c r="F56" s="1839"/>
      <c r="G56" s="133"/>
      <c r="H56" s="88">
        <f>H54+H52</f>
        <v>0</v>
      </c>
      <c r="I56" s="134"/>
      <c r="J56" s="88">
        <f>J54+J52</f>
        <v>0</v>
      </c>
    </row>
    <row r="57" spans="2:10" ht="15.75" x14ac:dyDescent="0.25">
      <c r="B57" s="109"/>
      <c r="C57" s="109"/>
      <c r="D57" s="22"/>
      <c r="E57" s="22"/>
      <c r="F57" s="88"/>
      <c r="G57" s="22"/>
      <c r="H57" s="88"/>
      <c r="I57" s="22"/>
      <c r="J57" s="22"/>
    </row>
    <row r="58" spans="2:10" ht="15" x14ac:dyDescent="0.25">
      <c r="B58" s="22"/>
      <c r="C58" s="22"/>
      <c r="D58" s="22"/>
      <c r="E58" s="22"/>
      <c r="F58" s="22"/>
      <c r="G58" s="22"/>
      <c r="H58" s="22"/>
      <c r="I58" s="22"/>
      <c r="J58" s="22"/>
    </row>
    <row r="59" spans="2:10" ht="27" customHeight="1" x14ac:dyDescent="0.25">
      <c r="B59" s="269" t="s">
        <v>1668</v>
      </c>
      <c r="C59" s="270" t="s">
        <v>53</v>
      </c>
      <c r="D59" s="22"/>
      <c r="E59" s="1841">
        <v>2017</v>
      </c>
      <c r="F59" s="1841"/>
      <c r="G59" s="22"/>
      <c r="H59" s="270">
        <v>2018</v>
      </c>
      <c r="I59" s="22"/>
      <c r="J59" s="270">
        <v>2019</v>
      </c>
    </row>
    <row r="60" spans="2:10" ht="15.75" x14ac:dyDescent="0.25">
      <c r="B60" s="107"/>
      <c r="C60" s="108"/>
      <c r="D60" s="22"/>
      <c r="E60" s="22"/>
      <c r="F60" s="109"/>
      <c r="G60" s="109"/>
      <c r="H60" s="109"/>
      <c r="I60" s="109"/>
      <c r="J60" s="22"/>
    </row>
    <row r="61" spans="2:10" ht="3" customHeight="1" x14ac:dyDescent="0.25">
      <c r="B61" s="109"/>
      <c r="C61" s="108"/>
      <c r="D61" s="22"/>
      <c r="E61" s="22"/>
      <c r="F61" s="110"/>
      <c r="G61" s="109"/>
      <c r="H61" s="110"/>
      <c r="I61" s="109"/>
      <c r="J61" s="22"/>
    </row>
    <row r="62" spans="2:10" ht="3" customHeight="1" x14ac:dyDescent="0.25">
      <c r="B62" s="22"/>
      <c r="C62" s="22"/>
      <c r="D62" s="22"/>
      <c r="E62" s="22"/>
      <c r="F62" s="22"/>
      <c r="G62" s="22"/>
      <c r="H62" s="22"/>
      <c r="I62" s="22"/>
      <c r="J62" s="22"/>
    </row>
    <row r="63" spans="2:10" ht="15.75" x14ac:dyDescent="0.25">
      <c r="B63" s="136" t="s">
        <v>148</v>
      </c>
      <c r="C63" s="136"/>
      <c r="D63" s="130"/>
      <c r="E63" s="1842" t="s">
        <v>352</v>
      </c>
      <c r="F63" s="1842"/>
      <c r="G63" s="130"/>
      <c r="H63" s="106" t="s">
        <v>352</v>
      </c>
      <c r="I63" s="131"/>
      <c r="J63" s="106" t="s">
        <v>352</v>
      </c>
    </row>
    <row r="64" spans="2:10" ht="15" x14ac:dyDescent="0.2">
      <c r="B64" s="131"/>
      <c r="C64" s="131"/>
      <c r="D64" s="131"/>
      <c r="E64" s="131"/>
      <c r="F64" s="131"/>
      <c r="G64" s="131"/>
      <c r="H64" s="131"/>
      <c r="I64" s="131"/>
      <c r="J64" s="131"/>
    </row>
    <row r="65" spans="2:10" ht="15.75" x14ac:dyDescent="0.25">
      <c r="B65" s="139" t="s">
        <v>449</v>
      </c>
      <c r="C65" s="140" t="s">
        <v>159</v>
      </c>
      <c r="D65" s="133"/>
      <c r="E65" s="1838"/>
      <c r="F65" s="1838"/>
      <c r="G65" s="133"/>
      <c r="H65" s="132"/>
      <c r="I65" s="134"/>
      <c r="J65" s="132"/>
    </row>
    <row r="66" spans="2:10" ht="15.75" x14ac:dyDescent="0.25">
      <c r="B66" s="134"/>
      <c r="C66" s="134"/>
      <c r="D66" s="134"/>
      <c r="E66" s="134"/>
      <c r="F66" s="88"/>
      <c r="G66" s="134"/>
      <c r="H66" s="88"/>
      <c r="I66" s="134"/>
      <c r="J66" s="88"/>
    </row>
    <row r="67" spans="2:10" ht="15.75" x14ac:dyDescent="0.25">
      <c r="B67" s="139" t="s">
        <v>450</v>
      </c>
      <c r="C67" s="140" t="s">
        <v>159</v>
      </c>
      <c r="D67" s="133"/>
      <c r="E67" s="1838"/>
      <c r="F67" s="1838"/>
      <c r="G67" s="133"/>
      <c r="H67" s="132"/>
      <c r="I67" s="134"/>
      <c r="J67" s="132"/>
    </row>
    <row r="68" spans="2:10" ht="15.75" x14ac:dyDescent="0.25">
      <c r="B68" s="134"/>
      <c r="C68" s="134"/>
      <c r="D68" s="134"/>
      <c r="E68" s="134"/>
      <c r="F68" s="88"/>
      <c r="G68" s="134"/>
      <c r="H68" s="88"/>
      <c r="I68" s="134"/>
      <c r="J68" s="88"/>
    </row>
    <row r="69" spans="2:10" ht="15.75" x14ac:dyDescent="0.25">
      <c r="B69" s="139" t="s">
        <v>451</v>
      </c>
      <c r="C69" s="140" t="s">
        <v>159</v>
      </c>
      <c r="D69" s="133"/>
      <c r="E69" s="1838"/>
      <c r="F69" s="1838"/>
      <c r="G69" s="133"/>
      <c r="H69" s="132"/>
      <c r="I69" s="134"/>
      <c r="J69" s="132"/>
    </row>
    <row r="70" spans="2:10" ht="15.75" x14ac:dyDescent="0.25">
      <c r="B70" s="134"/>
      <c r="C70" s="134"/>
      <c r="D70" s="134"/>
      <c r="E70" s="134"/>
      <c r="F70" s="88"/>
      <c r="G70" s="134"/>
      <c r="H70" s="88"/>
      <c r="I70" s="134"/>
      <c r="J70" s="88"/>
    </row>
    <row r="71" spans="2:10" ht="15.75" x14ac:dyDescent="0.25">
      <c r="B71" s="139" t="s">
        <v>453</v>
      </c>
      <c r="C71" s="140" t="s">
        <v>159</v>
      </c>
      <c r="D71" s="133"/>
      <c r="E71" s="1839">
        <f>E69+E67</f>
        <v>0</v>
      </c>
      <c r="F71" s="1839"/>
      <c r="G71" s="133"/>
      <c r="H71" s="88">
        <f>H69+H67</f>
        <v>0</v>
      </c>
      <c r="I71" s="134"/>
      <c r="J71" s="88">
        <f>J69+J67</f>
        <v>0</v>
      </c>
    </row>
    <row r="72" spans="2:10" ht="15.75" x14ac:dyDescent="0.25">
      <c r="B72" s="109"/>
      <c r="C72" s="109"/>
      <c r="D72" s="22"/>
      <c r="E72" s="22"/>
      <c r="F72" s="88"/>
      <c r="G72" s="22"/>
      <c r="H72" s="88"/>
      <c r="I72" s="22"/>
      <c r="J72" s="22"/>
    </row>
    <row r="73" spans="2:10" s="84" customFormat="1" ht="15.75" x14ac:dyDescent="0.2">
      <c r="B73" s="403"/>
      <c r="C73" s="403"/>
      <c r="D73" s="403"/>
      <c r="E73" s="1843" t="s">
        <v>6058</v>
      </c>
      <c r="F73" s="1843"/>
      <c r="G73" s="404"/>
      <c r="H73" s="404" t="s">
        <v>6059</v>
      </c>
      <c r="I73" s="404"/>
      <c r="J73" s="404" t="s">
        <v>6060</v>
      </c>
    </row>
    <row r="74" spans="2:10" s="84" customFormat="1" ht="31.5" x14ac:dyDescent="0.25">
      <c r="B74" s="405" t="s">
        <v>1830</v>
      </c>
      <c r="C74" s="406" t="s">
        <v>23</v>
      </c>
      <c r="D74" s="403"/>
      <c r="E74" s="1840"/>
      <c r="F74" s="1840"/>
      <c r="G74" s="407"/>
      <c r="H74" s="408"/>
      <c r="I74" s="407"/>
      <c r="J74" s="408"/>
    </row>
    <row r="75" spans="2:10" s="84" customFormat="1" x14ac:dyDescent="0.2"/>
    <row r="76" spans="2:10" s="84" customFormat="1" x14ac:dyDescent="0.2"/>
  </sheetData>
  <sheetProtection algorithmName="SHA-512" hashValue="iltkqwJ+Xij6cufj0CX0zsGKKktayRZSgZMoRIqZp/W6ocumH9xSd2UlDbQEcYE0ONr0xAhcTMnmvF11NPukEQ==" saltValue="fBxJANH8XkiZkTaqPGzBtQ==" spinCount="100000" sheet="1" objects="1" scenarios="1"/>
  <mergeCells count="26">
    <mergeCell ref="E29:F29"/>
    <mergeCell ref="E33:F33"/>
    <mergeCell ref="E44:F44"/>
    <mergeCell ref="E48:F48"/>
    <mergeCell ref="E50:F50"/>
    <mergeCell ref="E30:F30"/>
    <mergeCell ref="E35:F35"/>
    <mergeCell ref="E37:F37"/>
    <mergeCell ref="E39:F39"/>
    <mergeCell ref="E41:F41"/>
    <mergeCell ref="E18:F18"/>
    <mergeCell ref="E20:F20"/>
    <mergeCell ref="E22:F22"/>
    <mergeCell ref="E24:F24"/>
    <mergeCell ref="E26:F26"/>
    <mergeCell ref="E54:F54"/>
    <mergeCell ref="E52:F52"/>
    <mergeCell ref="E56:F56"/>
    <mergeCell ref="E71:F71"/>
    <mergeCell ref="E74:F74"/>
    <mergeCell ref="E59:F59"/>
    <mergeCell ref="E63:F63"/>
    <mergeCell ref="E65:F65"/>
    <mergeCell ref="E67:F67"/>
    <mergeCell ref="E69:F69"/>
    <mergeCell ref="E73:F73"/>
  </mergeCells>
  <pageMargins left="0.25" right="0.25" top="0.75" bottom="0.75" header="0.3" footer="0.3"/>
  <pageSetup scale="51" orientation="portrait" r:id="rId1"/>
  <headerFooter>
    <oddFooter>&amp;C&amp;A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3:Q112"/>
  <sheetViews>
    <sheetView showGridLines="0" topLeftCell="B20" zoomScaleNormal="100" workbookViewId="0">
      <selection activeCell="M49" sqref="M49"/>
    </sheetView>
  </sheetViews>
  <sheetFormatPr defaultColWidth="9.140625" defaultRowHeight="12.75" x14ac:dyDescent="0.2"/>
  <cols>
    <col min="1" max="1" width="11.85546875" style="60" hidden="1" customWidth="1"/>
    <col min="2" max="2" width="30.140625" style="60" customWidth="1"/>
    <col min="3" max="3" width="3.85546875" style="60" customWidth="1"/>
    <col min="4" max="4" width="13.28515625" style="60" customWidth="1"/>
    <col min="5" max="5" width="15.140625" style="60" customWidth="1"/>
    <col min="6" max="6" width="13.28515625" style="60" customWidth="1"/>
    <col min="7" max="7" width="2.85546875" style="60" customWidth="1"/>
    <col min="8" max="8" width="13.28515625" style="60" customWidth="1"/>
    <col min="9" max="9" width="9.42578125" style="60" bestFit="1" customWidth="1"/>
    <col min="10" max="10" width="13.28515625" style="60" customWidth="1"/>
    <col min="11" max="11" width="3.140625" style="60" customWidth="1"/>
    <col min="12" max="12" width="13.28515625" style="60" customWidth="1"/>
    <col min="13" max="13" width="9.42578125" style="60" bestFit="1" customWidth="1"/>
    <col min="14" max="14" width="13.28515625" style="60" customWidth="1"/>
    <col min="15" max="15" width="3.7109375" style="60" customWidth="1"/>
    <col min="16" max="16" width="17.5703125" style="60" customWidth="1"/>
    <col min="17" max="16384" width="9.140625" style="60"/>
  </cols>
  <sheetData>
    <row r="13" spans="2:17" ht="68.25" customHeight="1" x14ac:dyDescent="0.25">
      <c r="B13" s="1848" t="s">
        <v>6088</v>
      </c>
      <c r="C13" s="1817"/>
      <c r="D13" s="1817"/>
      <c r="E13" s="1817"/>
      <c r="F13" s="1817"/>
      <c r="G13" s="1817"/>
      <c r="H13" s="1817"/>
      <c r="I13" s="1817"/>
      <c r="J13" s="1817"/>
      <c r="K13" s="1817"/>
      <c r="L13" s="1817"/>
      <c r="M13" s="1817"/>
      <c r="N13" s="1817"/>
      <c r="O13" s="1817"/>
      <c r="P13" s="1817"/>
    </row>
    <row r="16" spans="2:17" ht="15.75" x14ac:dyDescent="0.25">
      <c r="B16" s="250" t="s">
        <v>454</v>
      </c>
      <c r="C16" s="142"/>
      <c r="D16" s="1847" t="s">
        <v>455</v>
      </c>
      <c r="E16" s="1847"/>
      <c r="F16" s="1847"/>
      <c r="G16" s="142"/>
      <c r="H16" s="1847" t="s">
        <v>456</v>
      </c>
      <c r="I16" s="1847"/>
      <c r="J16" s="1847"/>
      <c r="K16" s="142"/>
      <c r="L16" s="1847" t="s">
        <v>457</v>
      </c>
      <c r="M16" s="1847"/>
      <c r="N16" s="1847"/>
      <c r="O16" s="142"/>
      <c r="P16" s="250" t="s">
        <v>3032</v>
      </c>
      <c r="Q16" s="90"/>
    </row>
    <row r="17" spans="2:17" ht="15" x14ac:dyDescent="0.3">
      <c r="B17" s="252" t="s">
        <v>458</v>
      </c>
      <c r="C17" s="91"/>
      <c r="D17" s="143" t="s">
        <v>459</v>
      </c>
      <c r="E17" s="143" t="s">
        <v>352</v>
      </c>
      <c r="F17" s="143" t="s">
        <v>149</v>
      </c>
      <c r="G17" s="91"/>
      <c r="H17" s="143" t="s">
        <v>459</v>
      </c>
      <c r="I17" s="143" t="s">
        <v>352</v>
      </c>
      <c r="J17" s="143" t="s">
        <v>149</v>
      </c>
      <c r="K17" s="91"/>
      <c r="L17" s="143" t="s">
        <v>459</v>
      </c>
      <c r="M17" s="143" t="s">
        <v>352</v>
      </c>
      <c r="N17" s="143" t="s">
        <v>149</v>
      </c>
      <c r="O17" s="91"/>
      <c r="P17" s="143" t="s">
        <v>149</v>
      </c>
      <c r="Q17" s="85"/>
    </row>
    <row r="18" spans="2:17" x14ac:dyDescent="0.2">
      <c r="C18" s="144"/>
      <c r="D18" s="144"/>
      <c r="E18" s="144"/>
      <c r="F18" s="144"/>
      <c r="G18" s="144"/>
      <c r="H18" s="144"/>
      <c r="I18" s="144"/>
      <c r="J18" s="144"/>
      <c r="K18" s="144"/>
      <c r="L18" s="144"/>
      <c r="M18" s="144"/>
      <c r="N18" s="144"/>
      <c r="O18" s="144"/>
      <c r="P18" s="144"/>
      <c r="Q18" s="85"/>
    </row>
    <row r="19" spans="2:17" x14ac:dyDescent="0.2">
      <c r="B19" s="147" t="s">
        <v>34</v>
      </c>
      <c r="C19" s="144"/>
      <c r="D19" s="92"/>
      <c r="E19" s="593">
        <f t="shared" ref="E19:E30" si="0">IF(D19&lt;&gt;0,F19/D19,0)</f>
        <v>0</v>
      </c>
      <c r="F19" s="93"/>
      <c r="G19" s="144"/>
      <c r="H19" s="92"/>
      <c r="I19" s="593">
        <f t="shared" ref="I19:I30" si="1">IF(H19&lt;&gt;0,J19/H19,0)</f>
        <v>0</v>
      </c>
      <c r="J19" s="921"/>
      <c r="K19" s="144"/>
      <c r="L19" s="92"/>
      <c r="M19" s="593">
        <f t="shared" ref="M19:M30" si="2">IF(L19&lt;&gt;0,N19/L19,0)</f>
        <v>0</v>
      </c>
      <c r="N19" s="93"/>
      <c r="O19" s="144"/>
      <c r="P19" s="94">
        <f t="shared" ref="P19:P30" si="3">J19+N19</f>
        <v>0</v>
      </c>
      <c r="Q19" s="85"/>
    </row>
    <row r="20" spans="2:17" x14ac:dyDescent="0.2">
      <c r="B20" s="147" t="s">
        <v>35</v>
      </c>
      <c r="C20" s="144"/>
      <c r="D20" s="92"/>
      <c r="E20" s="593">
        <f t="shared" si="0"/>
        <v>0</v>
      </c>
      <c r="F20" s="93"/>
      <c r="G20" s="144"/>
      <c r="H20" s="92"/>
      <c r="I20" s="593">
        <f t="shared" si="1"/>
        <v>0</v>
      </c>
      <c r="J20" s="921"/>
      <c r="K20" s="144"/>
      <c r="L20" s="92"/>
      <c r="M20" s="593">
        <f t="shared" si="2"/>
        <v>0</v>
      </c>
      <c r="N20" s="93"/>
      <c r="O20" s="144"/>
      <c r="P20" s="94">
        <f t="shared" si="3"/>
        <v>0</v>
      </c>
      <c r="Q20" s="85"/>
    </row>
    <row r="21" spans="2:17" x14ac:dyDescent="0.2">
      <c r="B21" s="147" t="s">
        <v>36</v>
      </c>
      <c r="C21" s="144"/>
      <c r="D21" s="92"/>
      <c r="E21" s="593">
        <f t="shared" si="0"/>
        <v>0</v>
      </c>
      <c r="F21" s="93"/>
      <c r="G21" s="144"/>
      <c r="H21" s="92"/>
      <c r="I21" s="593">
        <f t="shared" si="1"/>
        <v>0</v>
      </c>
      <c r="J21" s="921"/>
      <c r="K21" s="144"/>
      <c r="L21" s="92"/>
      <c r="M21" s="593">
        <f t="shared" si="2"/>
        <v>0</v>
      </c>
      <c r="N21" s="93"/>
      <c r="O21" s="144"/>
      <c r="P21" s="94">
        <f t="shared" si="3"/>
        <v>0</v>
      </c>
      <c r="Q21" s="85"/>
    </row>
    <row r="22" spans="2:17" x14ac:dyDescent="0.2">
      <c r="B22" s="147" t="s">
        <v>37</v>
      </c>
      <c r="C22" s="144"/>
      <c r="D22" s="92"/>
      <c r="E22" s="593">
        <f t="shared" si="0"/>
        <v>0</v>
      </c>
      <c r="F22" s="93"/>
      <c r="G22" s="144"/>
      <c r="H22" s="92"/>
      <c r="I22" s="593">
        <f t="shared" si="1"/>
        <v>0</v>
      </c>
      <c r="J22" s="921"/>
      <c r="K22" s="144"/>
      <c r="L22" s="92"/>
      <c r="M22" s="593">
        <f t="shared" si="2"/>
        <v>0</v>
      </c>
      <c r="N22" s="93"/>
      <c r="O22" s="144"/>
      <c r="P22" s="94">
        <f t="shared" si="3"/>
        <v>0</v>
      </c>
      <c r="Q22" s="85"/>
    </row>
    <row r="23" spans="2:17" x14ac:dyDescent="0.2">
      <c r="B23" s="147" t="s">
        <v>38</v>
      </c>
      <c r="C23" s="144"/>
      <c r="D23" s="92"/>
      <c r="E23" s="593">
        <f t="shared" si="0"/>
        <v>0</v>
      </c>
      <c r="F23" s="93"/>
      <c r="G23" s="144"/>
      <c r="H23" s="92"/>
      <c r="I23" s="593">
        <f t="shared" si="1"/>
        <v>0</v>
      </c>
      <c r="J23" s="921"/>
      <c r="K23" s="144"/>
      <c r="L23" s="92"/>
      <c r="M23" s="593">
        <f t="shared" si="2"/>
        <v>0</v>
      </c>
      <c r="N23" s="93"/>
      <c r="O23" s="144"/>
      <c r="P23" s="94">
        <f t="shared" si="3"/>
        <v>0</v>
      </c>
      <c r="Q23" s="85"/>
    </row>
    <row r="24" spans="2:17" x14ac:dyDescent="0.2">
      <c r="B24" s="147" t="s">
        <v>39</v>
      </c>
      <c r="C24" s="144"/>
      <c r="D24" s="92"/>
      <c r="E24" s="593">
        <f t="shared" si="0"/>
        <v>0</v>
      </c>
      <c r="F24" s="93"/>
      <c r="G24" s="144"/>
      <c r="H24" s="92"/>
      <c r="I24" s="593">
        <f t="shared" si="1"/>
        <v>0</v>
      </c>
      <c r="J24" s="921"/>
      <c r="K24" s="144"/>
      <c r="L24" s="92"/>
      <c r="M24" s="593">
        <f t="shared" si="2"/>
        <v>0</v>
      </c>
      <c r="N24" s="93"/>
      <c r="O24" s="144"/>
      <c r="P24" s="94">
        <f t="shared" si="3"/>
        <v>0</v>
      </c>
      <c r="Q24" s="85"/>
    </row>
    <row r="25" spans="2:17" x14ac:dyDescent="0.2">
      <c r="B25" s="147" t="s">
        <v>40</v>
      </c>
      <c r="C25" s="144"/>
      <c r="D25" s="92"/>
      <c r="E25" s="593">
        <f t="shared" si="0"/>
        <v>0</v>
      </c>
      <c r="F25" s="93"/>
      <c r="G25" s="144"/>
      <c r="H25" s="92"/>
      <c r="I25" s="593">
        <f t="shared" si="1"/>
        <v>0</v>
      </c>
      <c r="J25" s="921"/>
      <c r="K25" s="144"/>
      <c r="L25" s="92"/>
      <c r="M25" s="593">
        <f t="shared" si="2"/>
        <v>0</v>
      </c>
      <c r="N25" s="93"/>
      <c r="O25" s="144"/>
      <c r="P25" s="94">
        <f t="shared" si="3"/>
        <v>0</v>
      </c>
      <c r="Q25" s="85"/>
    </row>
    <row r="26" spans="2:17" x14ac:dyDescent="0.2">
      <c r="B26" s="147" t="s">
        <v>41</v>
      </c>
      <c r="C26" s="144"/>
      <c r="D26" s="92"/>
      <c r="E26" s="593">
        <f t="shared" si="0"/>
        <v>0</v>
      </c>
      <c r="F26" s="93"/>
      <c r="G26" s="144"/>
      <c r="H26" s="92"/>
      <c r="I26" s="593">
        <f t="shared" si="1"/>
        <v>0</v>
      </c>
      <c r="J26" s="921"/>
      <c r="K26" s="144"/>
      <c r="L26" s="92"/>
      <c r="M26" s="593">
        <f t="shared" si="2"/>
        <v>0</v>
      </c>
      <c r="N26" s="93"/>
      <c r="O26" s="144"/>
      <c r="P26" s="94">
        <f t="shared" si="3"/>
        <v>0</v>
      </c>
      <c r="Q26" s="85"/>
    </row>
    <row r="27" spans="2:17" x14ac:dyDescent="0.2">
      <c r="B27" s="147" t="s">
        <v>42</v>
      </c>
      <c r="C27" s="144"/>
      <c r="D27" s="92"/>
      <c r="E27" s="593">
        <f t="shared" si="0"/>
        <v>0</v>
      </c>
      <c r="F27" s="93"/>
      <c r="G27" s="144"/>
      <c r="H27" s="92"/>
      <c r="I27" s="593">
        <f t="shared" si="1"/>
        <v>0</v>
      </c>
      <c r="J27" s="921"/>
      <c r="K27" s="144"/>
      <c r="L27" s="92"/>
      <c r="M27" s="593">
        <f t="shared" si="2"/>
        <v>0</v>
      </c>
      <c r="N27" s="93"/>
      <c r="O27" s="144"/>
      <c r="P27" s="94">
        <f t="shared" si="3"/>
        <v>0</v>
      </c>
      <c r="Q27" s="85"/>
    </row>
    <row r="28" spans="2:17" x14ac:dyDescent="0.2">
      <c r="B28" s="147" t="s">
        <v>43</v>
      </c>
      <c r="C28" s="144"/>
      <c r="D28" s="92"/>
      <c r="E28" s="593">
        <f t="shared" si="0"/>
        <v>0</v>
      </c>
      <c r="F28" s="93"/>
      <c r="G28" s="144"/>
      <c r="H28" s="92"/>
      <c r="I28" s="593">
        <f t="shared" si="1"/>
        <v>0</v>
      </c>
      <c r="J28" s="921"/>
      <c r="K28" s="144"/>
      <c r="L28" s="92"/>
      <c r="M28" s="593">
        <f t="shared" si="2"/>
        <v>0</v>
      </c>
      <c r="N28" s="93"/>
      <c r="O28" s="144"/>
      <c r="P28" s="94">
        <f t="shared" si="3"/>
        <v>0</v>
      </c>
      <c r="Q28" s="85"/>
    </row>
    <row r="29" spans="2:17" x14ac:dyDescent="0.2">
      <c r="B29" s="147" t="s">
        <v>44</v>
      </c>
      <c r="C29" s="144"/>
      <c r="D29" s="92"/>
      <c r="E29" s="593">
        <f t="shared" si="0"/>
        <v>0</v>
      </c>
      <c r="F29" s="93"/>
      <c r="G29" s="144"/>
      <c r="H29" s="92"/>
      <c r="I29" s="593">
        <f t="shared" si="1"/>
        <v>0</v>
      </c>
      <c r="J29" s="921"/>
      <c r="K29" s="144"/>
      <c r="L29" s="92"/>
      <c r="M29" s="593">
        <f t="shared" si="2"/>
        <v>0</v>
      </c>
      <c r="N29" s="93"/>
      <c r="O29" s="144"/>
      <c r="P29" s="94">
        <f t="shared" si="3"/>
        <v>0</v>
      </c>
      <c r="Q29" s="85"/>
    </row>
    <row r="30" spans="2:17" x14ac:dyDescent="0.2">
      <c r="B30" s="147" t="s">
        <v>45</v>
      </c>
      <c r="C30" s="144"/>
      <c r="D30" s="92"/>
      <c r="E30" s="593">
        <f t="shared" si="0"/>
        <v>0</v>
      </c>
      <c r="F30" s="93"/>
      <c r="G30" s="144"/>
      <c r="H30" s="92"/>
      <c r="I30" s="593">
        <f t="shared" si="1"/>
        <v>0</v>
      </c>
      <c r="J30" s="921"/>
      <c r="K30" s="144"/>
      <c r="L30" s="92"/>
      <c r="M30" s="593">
        <f t="shared" si="2"/>
        <v>0</v>
      </c>
      <c r="N30" s="93"/>
      <c r="O30" s="144"/>
      <c r="P30" s="94">
        <f t="shared" si="3"/>
        <v>0</v>
      </c>
      <c r="Q30" s="85"/>
    </row>
    <row r="31" spans="2:17" x14ac:dyDescent="0.2">
      <c r="B31" s="144"/>
      <c r="C31" s="144"/>
      <c r="D31" s="144"/>
      <c r="E31" s="144"/>
      <c r="F31" s="144"/>
      <c r="G31" s="144"/>
      <c r="H31" s="144"/>
      <c r="I31" s="144"/>
      <c r="J31" s="144"/>
      <c r="K31" s="144"/>
      <c r="L31" s="144"/>
      <c r="M31" s="144"/>
      <c r="N31" s="144"/>
      <c r="O31" s="144"/>
      <c r="P31" s="144"/>
      <c r="Q31" s="85"/>
    </row>
    <row r="32" spans="2:17" ht="13.5" thickBot="1" x14ac:dyDescent="0.25">
      <c r="B32" s="252" t="s">
        <v>51</v>
      </c>
      <c r="C32" s="144"/>
      <c r="D32" s="95">
        <f>SUM(D19:D30)</f>
        <v>0</v>
      </c>
      <c r="E32" s="96">
        <f>IF(D32&lt;&gt;0,F32/D32,0)</f>
        <v>0</v>
      </c>
      <c r="F32" s="97">
        <f>SUM(F19:F30)</f>
        <v>0</v>
      </c>
      <c r="G32" s="144"/>
      <c r="H32" s="95">
        <f>SUM(H19:H30)</f>
        <v>0</v>
      </c>
      <c r="I32" s="96">
        <f>IF(H32&lt;&gt;0,J32/H32,0)</f>
        <v>0</v>
      </c>
      <c r="J32" s="97">
        <f>SUM(J19:J30)</f>
        <v>0</v>
      </c>
      <c r="K32" s="144"/>
      <c r="L32" s="95">
        <f>SUM(L19:L30)</f>
        <v>0</v>
      </c>
      <c r="M32" s="96">
        <f>IF(L32&lt;&gt;0,N32/L32,0)</f>
        <v>0</v>
      </c>
      <c r="N32" s="97">
        <f>SUM(N19:N30)</f>
        <v>0</v>
      </c>
      <c r="O32" s="144"/>
      <c r="P32" s="97">
        <f>SUM(P19:P30)</f>
        <v>0</v>
      </c>
      <c r="Q32" s="85"/>
    </row>
    <row r="33" spans="2:17" x14ac:dyDescent="0.2">
      <c r="B33" s="144"/>
      <c r="C33" s="144"/>
      <c r="D33" s="144"/>
      <c r="E33" s="144"/>
      <c r="F33" s="144"/>
      <c r="G33" s="144"/>
      <c r="H33" s="144"/>
      <c r="I33" s="144"/>
      <c r="J33" s="144"/>
      <c r="K33" s="144"/>
      <c r="L33" s="144"/>
      <c r="M33" s="144"/>
      <c r="N33" s="144"/>
      <c r="O33" s="144"/>
      <c r="P33" s="144"/>
      <c r="Q33" s="85"/>
    </row>
    <row r="34" spans="2:17" x14ac:dyDescent="0.2">
      <c r="B34" s="250" t="s">
        <v>460</v>
      </c>
      <c r="C34" s="142"/>
      <c r="D34" s="1847" t="s">
        <v>455</v>
      </c>
      <c r="E34" s="1847"/>
      <c r="F34" s="1847"/>
      <c r="G34" s="142"/>
      <c r="H34" s="1847" t="s">
        <v>456</v>
      </c>
      <c r="I34" s="1847"/>
      <c r="J34" s="1847"/>
      <c r="K34" s="142"/>
      <c r="L34" s="1847" t="s">
        <v>457</v>
      </c>
      <c r="M34" s="1847"/>
      <c r="N34" s="1847"/>
      <c r="O34" s="142"/>
      <c r="P34" s="1013" t="s">
        <v>3032</v>
      </c>
      <c r="Q34" s="85"/>
    </row>
    <row r="35" spans="2:17" ht="15" x14ac:dyDescent="0.3">
      <c r="B35" s="252"/>
      <c r="C35" s="91"/>
      <c r="D35" s="143"/>
      <c r="E35" s="143"/>
      <c r="F35" s="143"/>
      <c r="G35" s="91"/>
      <c r="H35" s="143"/>
      <c r="I35" s="143"/>
      <c r="J35" s="143"/>
      <c r="K35" s="91"/>
      <c r="L35" s="143"/>
      <c r="M35" s="143"/>
      <c r="N35" s="143"/>
      <c r="O35" s="91"/>
      <c r="P35" s="143"/>
      <c r="Q35" s="85"/>
    </row>
    <row r="36" spans="2:17" ht="15" x14ac:dyDescent="0.3">
      <c r="B36" s="252" t="s">
        <v>458</v>
      </c>
      <c r="C36" s="91"/>
      <c r="D36" s="143" t="s">
        <v>459</v>
      </c>
      <c r="E36" s="143" t="s">
        <v>352</v>
      </c>
      <c r="F36" s="143" t="s">
        <v>149</v>
      </c>
      <c r="G36" s="91"/>
      <c r="H36" s="143" t="s">
        <v>459</v>
      </c>
      <c r="I36" s="143" t="s">
        <v>352</v>
      </c>
      <c r="J36" s="143" t="s">
        <v>149</v>
      </c>
      <c r="K36" s="91"/>
      <c r="L36" s="143" t="s">
        <v>459</v>
      </c>
      <c r="M36" s="143" t="s">
        <v>352</v>
      </c>
      <c r="N36" s="143" t="s">
        <v>149</v>
      </c>
      <c r="O36" s="91"/>
      <c r="P36" s="143" t="s">
        <v>149</v>
      </c>
      <c r="Q36" s="85"/>
    </row>
    <row r="37" spans="2:17" x14ac:dyDescent="0.2">
      <c r="B37" s="144"/>
      <c r="C37" s="144"/>
      <c r="D37" s="144"/>
      <c r="E37" s="144"/>
      <c r="F37" s="144"/>
      <c r="G37" s="144"/>
      <c r="H37" s="144"/>
      <c r="I37" s="144"/>
      <c r="J37" s="144"/>
      <c r="K37" s="144"/>
      <c r="L37" s="144"/>
      <c r="M37" s="144"/>
      <c r="N37" s="144"/>
      <c r="O37" s="144"/>
      <c r="P37" s="144"/>
      <c r="Q37" s="85"/>
    </row>
    <row r="38" spans="2:17" x14ac:dyDescent="0.2">
      <c r="B38" s="147" t="s">
        <v>34</v>
      </c>
      <c r="C38" s="144"/>
      <c r="D38" s="92">
        <v>19077.89</v>
      </c>
      <c r="E38" s="1597">
        <f>IF(D38&lt;&gt;0,F38/D38,0)</f>
        <v>3.1942169705350016</v>
      </c>
      <c r="F38" s="93">
        <v>60938.92</v>
      </c>
      <c r="G38" s="144"/>
      <c r="H38" s="92">
        <v>19077.990000000002</v>
      </c>
      <c r="I38" s="1597">
        <f t="shared" ref="I38:I49" si="4">IF(H38&lt;&gt;0,J38/H38,0)</f>
        <v>0.77099998479923715</v>
      </c>
      <c r="J38" s="93">
        <v>14709.13</v>
      </c>
      <c r="K38" s="144"/>
      <c r="L38" s="92">
        <v>19077.990000000002</v>
      </c>
      <c r="M38" s="1597">
        <f t="shared" ref="M38:M49" si="5">IF(L38&lt;&gt;0,N38/L38,0)</f>
        <v>1.7493001097075738</v>
      </c>
      <c r="N38" s="93">
        <v>33373.129999999997</v>
      </c>
      <c r="O38" s="144"/>
      <c r="P38" s="94">
        <f>J38+N38</f>
        <v>48082.259999999995</v>
      </c>
      <c r="Q38" s="85"/>
    </row>
    <row r="39" spans="2:17" x14ac:dyDescent="0.2">
      <c r="B39" s="147" t="s">
        <v>35</v>
      </c>
      <c r="C39" s="144"/>
      <c r="D39" s="92">
        <v>23361.99</v>
      </c>
      <c r="E39" s="1597">
        <f t="shared" ref="E39:E49" si="6">IF(D39&lt;&gt;0,F39/D39,0)</f>
        <v>3.1942004940503783</v>
      </c>
      <c r="F39" s="93">
        <v>74622.880000000005</v>
      </c>
      <c r="G39" s="144"/>
      <c r="H39" s="92">
        <v>23593.1</v>
      </c>
      <c r="I39" s="1597">
        <f t="shared" si="4"/>
        <v>0.7709999957614726</v>
      </c>
      <c r="J39" s="93">
        <v>18190.28</v>
      </c>
      <c r="K39" s="144"/>
      <c r="L39" s="92">
        <v>23593.1</v>
      </c>
      <c r="M39" s="1597">
        <f t="shared" si="5"/>
        <v>1.74929958335276</v>
      </c>
      <c r="N39" s="93">
        <v>41271.4</v>
      </c>
      <c r="O39" s="144"/>
      <c r="P39" s="94">
        <f t="shared" ref="P39:P49" si="7">J39+N39</f>
        <v>59461.68</v>
      </c>
      <c r="Q39" s="85"/>
    </row>
    <row r="40" spans="2:17" x14ac:dyDescent="0.2">
      <c r="B40" s="147" t="s">
        <v>36</v>
      </c>
      <c r="C40" s="144"/>
      <c r="D40" s="92">
        <v>17233.3</v>
      </c>
      <c r="E40" s="1597">
        <f t="shared" si="6"/>
        <v>3.1942007624772972</v>
      </c>
      <c r="F40" s="93">
        <v>55046.62</v>
      </c>
      <c r="G40" s="144"/>
      <c r="H40" s="92">
        <v>17273.97</v>
      </c>
      <c r="I40" s="1597">
        <f t="shared" si="4"/>
        <v>0.77099937072948477</v>
      </c>
      <c r="J40" s="93">
        <v>13318.22</v>
      </c>
      <c r="K40" s="144"/>
      <c r="L40" s="92">
        <v>17273.97</v>
      </c>
      <c r="M40" s="1597">
        <f t="shared" si="5"/>
        <v>1.7492996688080387</v>
      </c>
      <c r="N40" s="93">
        <v>30217.35</v>
      </c>
      <c r="O40" s="144"/>
      <c r="P40" s="94">
        <f t="shared" si="7"/>
        <v>43535.57</v>
      </c>
      <c r="Q40" s="85"/>
    </row>
    <row r="41" spans="2:17" x14ac:dyDescent="0.2">
      <c r="B41" s="147" t="s">
        <v>37</v>
      </c>
      <c r="C41" s="144"/>
      <c r="D41" s="92">
        <v>19022.03</v>
      </c>
      <c r="E41" s="1597">
        <f t="shared" si="6"/>
        <v>3.1941990418477948</v>
      </c>
      <c r="F41" s="93">
        <v>60760.15</v>
      </c>
      <c r="G41" s="144"/>
      <c r="H41" s="92">
        <v>19093.169999999998</v>
      </c>
      <c r="I41" s="1597">
        <f t="shared" si="4"/>
        <v>0.77099926308727162</v>
      </c>
      <c r="J41" s="93">
        <v>14720.82</v>
      </c>
      <c r="K41" s="144"/>
      <c r="L41" s="92">
        <v>19093.169999999998</v>
      </c>
      <c r="M41" s="1597">
        <f t="shared" si="5"/>
        <v>1.749298833038202</v>
      </c>
      <c r="N41" s="93">
        <v>33399.660000000003</v>
      </c>
      <c r="O41" s="144"/>
      <c r="P41" s="94">
        <f t="shared" si="7"/>
        <v>48120.480000000003</v>
      </c>
      <c r="Q41" s="85"/>
    </row>
    <row r="42" spans="2:17" x14ac:dyDescent="0.2">
      <c r="B42" s="147" t="s">
        <v>38</v>
      </c>
      <c r="C42" s="144"/>
      <c r="D42" s="92">
        <v>16583.759999999998</v>
      </c>
      <c r="E42" s="1597">
        <f t="shared" si="6"/>
        <v>3.1942002296222332</v>
      </c>
      <c r="F42" s="93">
        <v>52971.85</v>
      </c>
      <c r="G42" s="144"/>
      <c r="H42" s="92">
        <v>16592.75</v>
      </c>
      <c r="I42" s="1597">
        <f t="shared" si="4"/>
        <v>0.77099998493317867</v>
      </c>
      <c r="J42" s="93">
        <v>12793.01</v>
      </c>
      <c r="K42" s="144"/>
      <c r="L42" s="92">
        <v>16592.75</v>
      </c>
      <c r="M42" s="1597">
        <f t="shared" si="5"/>
        <v>1.7493001461481672</v>
      </c>
      <c r="N42" s="93">
        <v>29025.7</v>
      </c>
      <c r="O42" s="144"/>
      <c r="P42" s="94">
        <f t="shared" si="7"/>
        <v>41818.71</v>
      </c>
      <c r="Q42" s="85"/>
    </row>
    <row r="43" spans="2:17" x14ac:dyDescent="0.2">
      <c r="B43" s="147" t="s">
        <v>39</v>
      </c>
      <c r="C43" s="144"/>
      <c r="D43" s="92">
        <v>15738.51</v>
      </c>
      <c r="E43" s="1597">
        <f t="shared" si="6"/>
        <v>3.1942013570534948</v>
      </c>
      <c r="F43" s="93">
        <v>50271.97</v>
      </c>
      <c r="G43" s="144"/>
      <c r="H43" s="92">
        <v>15776.98</v>
      </c>
      <c r="I43" s="1597">
        <f t="shared" si="4"/>
        <v>0.77099989985409123</v>
      </c>
      <c r="J43" s="93">
        <v>12164.05</v>
      </c>
      <c r="K43" s="144"/>
      <c r="L43" s="92">
        <v>15776.98</v>
      </c>
      <c r="M43" s="1597">
        <f t="shared" si="5"/>
        <v>1.7492999293907958</v>
      </c>
      <c r="N43" s="93">
        <v>27598.67</v>
      </c>
      <c r="O43" s="144"/>
      <c r="P43" s="94">
        <f t="shared" si="7"/>
        <v>39762.720000000001</v>
      </c>
      <c r="Q43" s="85"/>
    </row>
    <row r="44" spans="2:17" x14ac:dyDescent="0.2">
      <c r="B44" s="147" t="s">
        <v>40</v>
      </c>
      <c r="C44" s="144"/>
      <c r="D44" s="92">
        <v>16585.650000000001</v>
      </c>
      <c r="E44" s="1597">
        <f t="shared" si="6"/>
        <v>3.1941992023224897</v>
      </c>
      <c r="F44" s="93">
        <v>52977.87</v>
      </c>
      <c r="G44" s="144"/>
      <c r="H44" s="92">
        <v>16585.650000000001</v>
      </c>
      <c r="I44" s="1597">
        <f t="shared" si="4"/>
        <v>0.77100023212837598</v>
      </c>
      <c r="J44" s="93">
        <v>12787.54</v>
      </c>
      <c r="K44" s="144"/>
      <c r="L44" s="92">
        <v>16585.650000000001</v>
      </c>
      <c r="M44" s="1597">
        <f t="shared" si="5"/>
        <v>1.7492995450886759</v>
      </c>
      <c r="N44" s="93">
        <v>29013.27</v>
      </c>
      <c r="O44" s="144"/>
      <c r="P44" s="94">
        <f t="shared" si="7"/>
        <v>41800.81</v>
      </c>
      <c r="Q44" s="85"/>
    </row>
    <row r="45" spans="2:17" x14ac:dyDescent="0.2">
      <c r="B45" s="147" t="s">
        <v>41</v>
      </c>
      <c r="C45" s="144"/>
      <c r="D45" s="92">
        <v>17178.43</v>
      </c>
      <c r="E45" s="1597">
        <f t="shared" si="6"/>
        <v>3.1941993534915589</v>
      </c>
      <c r="F45" s="93">
        <v>54871.33</v>
      </c>
      <c r="G45" s="144"/>
      <c r="H45" s="92">
        <v>17178.43</v>
      </c>
      <c r="I45" s="1597">
        <f t="shared" si="4"/>
        <v>0.77099944523451791</v>
      </c>
      <c r="J45" s="93">
        <v>13244.56</v>
      </c>
      <c r="K45" s="144"/>
      <c r="L45" s="92">
        <v>17178.43</v>
      </c>
      <c r="M45" s="1597">
        <f t="shared" si="5"/>
        <v>1.7493001397683023</v>
      </c>
      <c r="N45" s="93">
        <v>30050.23</v>
      </c>
      <c r="O45" s="144"/>
      <c r="P45" s="94">
        <f t="shared" si="7"/>
        <v>43294.79</v>
      </c>
      <c r="Q45" s="85"/>
    </row>
    <row r="46" spans="2:17" x14ac:dyDescent="0.2">
      <c r="B46" s="147" t="s">
        <v>42</v>
      </c>
      <c r="C46" s="144"/>
      <c r="D46" s="92">
        <v>17878.89</v>
      </c>
      <c r="E46" s="1597">
        <f t="shared" si="6"/>
        <v>3.1941988568641571</v>
      </c>
      <c r="F46" s="93">
        <v>57108.73</v>
      </c>
      <c r="G46" s="144"/>
      <c r="H46" s="92">
        <v>17878.89</v>
      </c>
      <c r="I46" s="1597">
        <f t="shared" si="4"/>
        <v>0.77099417245701496</v>
      </c>
      <c r="J46" s="93">
        <v>13784.52</v>
      </c>
      <c r="K46" s="144"/>
      <c r="L46" s="92">
        <v>17878.89</v>
      </c>
      <c r="M46" s="1597">
        <f t="shared" si="5"/>
        <v>1.7492993133242611</v>
      </c>
      <c r="N46" s="93">
        <v>31275.53</v>
      </c>
      <c r="O46" s="144"/>
      <c r="P46" s="94">
        <f t="shared" si="7"/>
        <v>45060.05</v>
      </c>
      <c r="Q46" s="85"/>
    </row>
    <row r="47" spans="2:17" x14ac:dyDescent="0.2">
      <c r="B47" s="147" t="s">
        <v>43</v>
      </c>
      <c r="C47" s="144"/>
      <c r="D47" s="92">
        <v>14120.38</v>
      </c>
      <c r="E47" s="1597">
        <f t="shared" si="6"/>
        <v>3.194202280675166</v>
      </c>
      <c r="F47" s="93">
        <v>45103.35</v>
      </c>
      <c r="G47" s="144"/>
      <c r="H47" s="92">
        <v>14155.2</v>
      </c>
      <c r="I47" s="1597">
        <f t="shared" si="4"/>
        <v>0.77100076297049847</v>
      </c>
      <c r="J47" s="93">
        <v>10913.67</v>
      </c>
      <c r="K47" s="144"/>
      <c r="L47" s="92">
        <v>14155.2</v>
      </c>
      <c r="M47" s="1597">
        <f t="shared" si="5"/>
        <v>1.7493006103763988</v>
      </c>
      <c r="N47" s="93">
        <v>24761.7</v>
      </c>
      <c r="O47" s="144"/>
      <c r="P47" s="94">
        <f t="shared" si="7"/>
        <v>35675.370000000003</v>
      </c>
      <c r="Q47" s="85"/>
    </row>
    <row r="48" spans="2:17" x14ac:dyDescent="0.2">
      <c r="B48" s="147" t="s">
        <v>44</v>
      </c>
      <c r="C48" s="144"/>
      <c r="D48" s="92">
        <v>16806.349999999999</v>
      </c>
      <c r="E48" s="1597">
        <f t="shared" si="6"/>
        <v>3.1941998113808174</v>
      </c>
      <c r="F48" s="93">
        <v>53682.84</v>
      </c>
      <c r="G48" s="144"/>
      <c r="H48" s="92">
        <v>16811.43</v>
      </c>
      <c r="I48" s="1597">
        <f t="shared" si="4"/>
        <v>0.77099984950715084</v>
      </c>
      <c r="J48" s="93">
        <v>12961.61</v>
      </c>
      <c r="K48" s="144"/>
      <c r="L48" s="92">
        <v>16811.43</v>
      </c>
      <c r="M48" s="1597">
        <f t="shared" si="5"/>
        <v>1.7493003272178513</v>
      </c>
      <c r="N48" s="93">
        <v>29408.240000000002</v>
      </c>
      <c r="O48" s="144"/>
      <c r="P48" s="94">
        <f t="shared" si="7"/>
        <v>42369.850000000006</v>
      </c>
      <c r="Q48" s="85"/>
    </row>
    <row r="49" spans="2:17" x14ac:dyDescent="0.2">
      <c r="B49" s="147" t="s">
        <v>45</v>
      </c>
      <c r="C49" s="144"/>
      <c r="D49" s="92">
        <v>19578.419999999998</v>
      </c>
      <c r="E49" s="1597">
        <f t="shared" si="6"/>
        <v>3.194200042700075</v>
      </c>
      <c r="F49" s="93">
        <v>62537.39</v>
      </c>
      <c r="G49" s="144"/>
      <c r="H49" s="92">
        <v>19614.37</v>
      </c>
      <c r="I49" s="1597">
        <f t="shared" si="4"/>
        <v>0.77100003721761146</v>
      </c>
      <c r="J49" s="93">
        <v>15122.68</v>
      </c>
      <c r="K49" s="144"/>
      <c r="L49" s="92">
        <v>19614.37</v>
      </c>
      <c r="M49" s="1597">
        <f t="shared" si="5"/>
        <v>1.749300130465572</v>
      </c>
      <c r="N49" s="93">
        <v>34311.42</v>
      </c>
      <c r="O49" s="144"/>
      <c r="P49" s="94">
        <f t="shared" si="7"/>
        <v>49434.1</v>
      </c>
      <c r="Q49" s="85"/>
    </row>
    <row r="50" spans="2:17" x14ac:dyDescent="0.2">
      <c r="B50" s="144"/>
      <c r="C50" s="144"/>
      <c r="D50" s="144"/>
      <c r="E50" s="144"/>
      <c r="F50" s="144"/>
      <c r="G50" s="144"/>
      <c r="H50" s="144"/>
      <c r="I50" s="144"/>
      <c r="J50" s="144"/>
      <c r="K50" s="144"/>
      <c r="L50" s="144"/>
      <c r="M50" s="144"/>
      <c r="N50" s="144"/>
      <c r="O50" s="144"/>
      <c r="P50" s="144"/>
      <c r="Q50" s="85"/>
    </row>
    <row r="51" spans="2:17" ht="13.5" thickBot="1" x14ac:dyDescent="0.25">
      <c r="B51" s="252" t="s">
        <v>51</v>
      </c>
      <c r="C51" s="144"/>
      <c r="D51" s="95">
        <f>SUM(D38:D49)</f>
        <v>213165.60000000003</v>
      </c>
      <c r="E51" s="985">
        <f>IF(D51&lt;&gt;0,F51/D51,0)</f>
        <v>3.1942015972558422</v>
      </c>
      <c r="F51" s="97">
        <f>SUM(F38:F49)</f>
        <v>680893.9</v>
      </c>
      <c r="G51" s="144"/>
      <c r="H51" s="95">
        <f>SUM(H38:H49)</f>
        <v>213631.93</v>
      </c>
      <c r="I51" s="985">
        <f>IF(H51&lt;&gt;0,J51/H51,0)</f>
        <v>0.77099940069820072</v>
      </c>
      <c r="J51" s="97">
        <f>SUM(J38:J49)</f>
        <v>164710.08999999997</v>
      </c>
      <c r="K51" s="144"/>
      <c r="L51" s="95">
        <f>SUM(L38:L49)</f>
        <v>213631.93</v>
      </c>
      <c r="M51" s="985">
        <f>IF(L51&lt;&gt;0,N51/L51,0)</f>
        <v>1.7492998354693516</v>
      </c>
      <c r="N51" s="97">
        <f>SUM(N38:N49)</f>
        <v>373706.30000000005</v>
      </c>
      <c r="O51" s="144"/>
      <c r="P51" s="97">
        <f>SUM(P38:P49)</f>
        <v>538416.39</v>
      </c>
      <c r="Q51" s="85"/>
    </row>
    <row r="52" spans="2:17" x14ac:dyDescent="0.2">
      <c r="B52" s="144"/>
      <c r="C52" s="144"/>
      <c r="D52" s="144"/>
      <c r="E52" s="144"/>
      <c r="F52" s="144"/>
      <c r="G52" s="144"/>
      <c r="H52" s="144"/>
      <c r="I52" s="144"/>
      <c r="J52" s="144"/>
      <c r="K52" s="144"/>
      <c r="L52" s="144"/>
      <c r="M52" s="144"/>
      <c r="N52" s="144"/>
      <c r="O52" s="144"/>
      <c r="P52" s="144"/>
      <c r="Q52" s="85"/>
    </row>
    <row r="53" spans="2:17" x14ac:dyDescent="0.2">
      <c r="B53" s="273" t="s">
        <v>461</v>
      </c>
      <c r="C53" s="142"/>
      <c r="D53" s="1847" t="s">
        <v>455</v>
      </c>
      <c r="E53" s="1847"/>
      <c r="F53" s="1847"/>
      <c r="G53" s="142"/>
      <c r="H53" s="1847" t="s">
        <v>456</v>
      </c>
      <c r="I53" s="1847"/>
      <c r="J53" s="1847"/>
      <c r="K53" s="142"/>
      <c r="L53" s="1847" t="s">
        <v>457</v>
      </c>
      <c r="M53" s="1847"/>
      <c r="N53" s="1847"/>
      <c r="O53" s="142"/>
      <c r="P53" s="1013" t="s">
        <v>3032</v>
      </c>
      <c r="Q53" s="85"/>
    </row>
    <row r="54" spans="2:17" ht="15" x14ac:dyDescent="0.3">
      <c r="B54" s="148" t="s">
        <v>462</v>
      </c>
      <c r="C54" s="91"/>
      <c r="D54" s="143"/>
      <c r="E54" s="143"/>
      <c r="F54" s="143"/>
      <c r="G54" s="91"/>
      <c r="H54" s="143"/>
      <c r="I54" s="143"/>
      <c r="J54" s="143"/>
      <c r="K54" s="91"/>
      <c r="L54" s="143"/>
      <c r="M54" s="143"/>
      <c r="N54" s="143"/>
      <c r="O54" s="91"/>
      <c r="P54" s="143"/>
      <c r="Q54" s="85"/>
    </row>
    <row r="55" spans="2:17" ht="15" x14ac:dyDescent="0.3">
      <c r="B55" s="252" t="s">
        <v>458</v>
      </c>
      <c r="C55" s="91"/>
      <c r="D55" s="143" t="s">
        <v>459</v>
      </c>
      <c r="E55" s="143" t="s">
        <v>352</v>
      </c>
      <c r="F55" s="143" t="s">
        <v>149</v>
      </c>
      <c r="G55" s="91"/>
      <c r="H55" s="143" t="s">
        <v>459</v>
      </c>
      <c r="I55" s="143" t="s">
        <v>352</v>
      </c>
      <c r="J55" s="143" t="s">
        <v>149</v>
      </c>
      <c r="K55" s="91"/>
      <c r="L55" s="143" t="s">
        <v>459</v>
      </c>
      <c r="M55" s="143" t="s">
        <v>352</v>
      </c>
      <c r="N55" s="143" t="s">
        <v>149</v>
      </c>
      <c r="O55" s="91"/>
      <c r="P55" s="143" t="s">
        <v>149</v>
      </c>
      <c r="Q55" s="85"/>
    </row>
    <row r="56" spans="2:17" x14ac:dyDescent="0.2">
      <c r="B56" s="144"/>
      <c r="C56" s="144"/>
      <c r="D56" s="144"/>
      <c r="E56" s="144"/>
      <c r="F56" s="144"/>
      <c r="G56" s="144"/>
      <c r="H56" s="144"/>
      <c r="I56" s="144"/>
      <c r="J56" s="144"/>
      <c r="K56" s="144"/>
      <c r="L56" s="144"/>
      <c r="M56" s="144"/>
      <c r="N56" s="144"/>
      <c r="O56" s="144"/>
      <c r="P56" s="144"/>
      <c r="Q56" s="85"/>
    </row>
    <row r="57" spans="2:17" x14ac:dyDescent="0.2">
      <c r="B57" s="147" t="s">
        <v>34</v>
      </c>
      <c r="C57" s="144"/>
      <c r="D57" s="92"/>
      <c r="E57" s="488">
        <f t="shared" ref="E57:E68" si="8">IF(D57&lt;&gt;0,F57/D57,0)</f>
        <v>0</v>
      </c>
      <c r="F57" s="93"/>
      <c r="G57" s="144"/>
      <c r="H57" s="92"/>
      <c r="I57" s="488">
        <f t="shared" ref="I57:I68" si="9">IF(H57&lt;&gt;0,J57/H57,0)</f>
        <v>0</v>
      </c>
      <c r="J57" s="145"/>
      <c r="K57" s="144"/>
      <c r="L57" s="92"/>
      <c r="M57" s="488">
        <f t="shared" ref="M57:M68" si="10">IF(L57&lt;&gt;0,N57/L57,0)</f>
        <v>0</v>
      </c>
      <c r="N57" s="93"/>
      <c r="O57" s="144"/>
      <c r="P57" s="94">
        <f t="shared" ref="P57:P68" si="11">J57+N57</f>
        <v>0</v>
      </c>
      <c r="Q57" s="85"/>
    </row>
    <row r="58" spans="2:17" x14ac:dyDescent="0.2">
      <c r="B58" s="147" t="s">
        <v>35</v>
      </c>
      <c r="C58" s="144"/>
      <c r="D58" s="92"/>
      <c r="E58" s="488">
        <f t="shared" si="8"/>
        <v>0</v>
      </c>
      <c r="F58" s="93"/>
      <c r="G58" s="144"/>
      <c r="H58" s="92"/>
      <c r="I58" s="488">
        <f t="shared" si="9"/>
        <v>0</v>
      </c>
      <c r="J58" s="145"/>
      <c r="K58" s="144"/>
      <c r="L58" s="92"/>
      <c r="M58" s="488">
        <f t="shared" si="10"/>
        <v>0</v>
      </c>
      <c r="N58" s="93"/>
      <c r="O58" s="144"/>
      <c r="P58" s="94">
        <f t="shared" si="11"/>
        <v>0</v>
      </c>
      <c r="Q58" s="85"/>
    </row>
    <row r="59" spans="2:17" x14ac:dyDescent="0.2">
      <c r="B59" s="147" t="s">
        <v>36</v>
      </c>
      <c r="C59" s="144"/>
      <c r="D59" s="92"/>
      <c r="E59" s="488">
        <f t="shared" si="8"/>
        <v>0</v>
      </c>
      <c r="F59" s="93"/>
      <c r="G59" s="144"/>
      <c r="H59" s="92"/>
      <c r="I59" s="488">
        <f t="shared" si="9"/>
        <v>0</v>
      </c>
      <c r="J59" s="145"/>
      <c r="K59" s="144"/>
      <c r="L59" s="92"/>
      <c r="M59" s="488">
        <f t="shared" si="10"/>
        <v>0</v>
      </c>
      <c r="N59" s="93"/>
      <c r="O59" s="144"/>
      <c r="P59" s="94">
        <f t="shared" si="11"/>
        <v>0</v>
      </c>
      <c r="Q59" s="85"/>
    </row>
    <row r="60" spans="2:17" x14ac:dyDescent="0.2">
      <c r="B60" s="147" t="s">
        <v>37</v>
      </c>
      <c r="C60" s="144"/>
      <c r="D60" s="92"/>
      <c r="E60" s="488">
        <f t="shared" si="8"/>
        <v>0</v>
      </c>
      <c r="F60" s="93"/>
      <c r="G60" s="144"/>
      <c r="H60" s="92"/>
      <c r="I60" s="488">
        <f t="shared" si="9"/>
        <v>0</v>
      </c>
      <c r="J60" s="145"/>
      <c r="K60" s="144"/>
      <c r="L60" s="92"/>
      <c r="M60" s="488">
        <f t="shared" si="10"/>
        <v>0</v>
      </c>
      <c r="N60" s="93"/>
      <c r="O60" s="144"/>
      <c r="P60" s="94">
        <f t="shared" si="11"/>
        <v>0</v>
      </c>
      <c r="Q60" s="85"/>
    </row>
    <row r="61" spans="2:17" x14ac:dyDescent="0.2">
      <c r="B61" s="147" t="s">
        <v>38</v>
      </c>
      <c r="C61" s="144"/>
      <c r="D61" s="92"/>
      <c r="E61" s="488">
        <f t="shared" si="8"/>
        <v>0</v>
      </c>
      <c r="F61" s="93"/>
      <c r="G61" s="144"/>
      <c r="H61" s="92"/>
      <c r="I61" s="488">
        <f t="shared" si="9"/>
        <v>0</v>
      </c>
      <c r="J61" s="145"/>
      <c r="K61" s="144"/>
      <c r="L61" s="92"/>
      <c r="M61" s="488">
        <f t="shared" si="10"/>
        <v>0</v>
      </c>
      <c r="N61" s="93"/>
      <c r="O61" s="144"/>
      <c r="P61" s="94">
        <f t="shared" si="11"/>
        <v>0</v>
      </c>
      <c r="Q61" s="85"/>
    </row>
    <row r="62" spans="2:17" x14ac:dyDescent="0.2">
      <c r="B62" s="147" t="s">
        <v>39</v>
      </c>
      <c r="C62" s="144"/>
      <c r="D62" s="92"/>
      <c r="E62" s="488">
        <f t="shared" si="8"/>
        <v>0</v>
      </c>
      <c r="F62" s="93"/>
      <c r="G62" s="144"/>
      <c r="H62" s="92"/>
      <c r="I62" s="488">
        <f t="shared" si="9"/>
        <v>0</v>
      </c>
      <c r="J62" s="145"/>
      <c r="K62" s="144"/>
      <c r="L62" s="92"/>
      <c r="M62" s="488">
        <f t="shared" si="10"/>
        <v>0</v>
      </c>
      <c r="N62" s="93"/>
      <c r="O62" s="144"/>
      <c r="P62" s="94">
        <f t="shared" si="11"/>
        <v>0</v>
      </c>
      <c r="Q62" s="85"/>
    </row>
    <row r="63" spans="2:17" x14ac:dyDescent="0.2">
      <c r="B63" s="147" t="s">
        <v>40</v>
      </c>
      <c r="C63" s="144"/>
      <c r="D63" s="92"/>
      <c r="E63" s="488">
        <f t="shared" si="8"/>
        <v>0</v>
      </c>
      <c r="F63" s="93"/>
      <c r="G63" s="144"/>
      <c r="H63" s="92"/>
      <c r="I63" s="488">
        <f t="shared" si="9"/>
        <v>0</v>
      </c>
      <c r="J63" s="145"/>
      <c r="K63" s="144"/>
      <c r="L63" s="92"/>
      <c r="M63" s="488">
        <f t="shared" si="10"/>
        <v>0</v>
      </c>
      <c r="N63" s="93"/>
      <c r="O63" s="144"/>
      <c r="P63" s="94">
        <f t="shared" si="11"/>
        <v>0</v>
      </c>
      <c r="Q63" s="85"/>
    </row>
    <row r="64" spans="2:17" x14ac:dyDescent="0.2">
      <c r="B64" s="147" t="s">
        <v>41</v>
      </c>
      <c r="C64" s="144"/>
      <c r="D64" s="92"/>
      <c r="E64" s="488">
        <f t="shared" si="8"/>
        <v>0</v>
      </c>
      <c r="F64" s="93"/>
      <c r="G64" s="144"/>
      <c r="H64" s="92"/>
      <c r="I64" s="488">
        <f t="shared" si="9"/>
        <v>0</v>
      </c>
      <c r="J64" s="145"/>
      <c r="K64" s="144"/>
      <c r="L64" s="92"/>
      <c r="M64" s="488">
        <f t="shared" si="10"/>
        <v>0</v>
      </c>
      <c r="N64" s="93"/>
      <c r="O64" s="144"/>
      <c r="P64" s="94">
        <f t="shared" si="11"/>
        <v>0</v>
      </c>
      <c r="Q64" s="85"/>
    </row>
    <row r="65" spans="2:17" x14ac:dyDescent="0.2">
      <c r="B65" s="147" t="s">
        <v>42</v>
      </c>
      <c r="C65" s="144"/>
      <c r="D65" s="92"/>
      <c r="E65" s="488">
        <f t="shared" si="8"/>
        <v>0</v>
      </c>
      <c r="F65" s="93"/>
      <c r="G65" s="144"/>
      <c r="H65" s="92"/>
      <c r="I65" s="488">
        <f t="shared" si="9"/>
        <v>0</v>
      </c>
      <c r="J65" s="145"/>
      <c r="K65" s="144"/>
      <c r="L65" s="92"/>
      <c r="M65" s="488">
        <f t="shared" si="10"/>
        <v>0</v>
      </c>
      <c r="N65" s="93"/>
      <c r="O65" s="144"/>
      <c r="P65" s="94">
        <f t="shared" si="11"/>
        <v>0</v>
      </c>
      <c r="Q65" s="85"/>
    </row>
    <row r="66" spans="2:17" x14ac:dyDescent="0.2">
      <c r="B66" s="147" t="s">
        <v>43</v>
      </c>
      <c r="C66" s="144"/>
      <c r="D66" s="92"/>
      <c r="E66" s="488">
        <f t="shared" si="8"/>
        <v>0</v>
      </c>
      <c r="F66" s="93"/>
      <c r="G66" s="144"/>
      <c r="H66" s="92"/>
      <c r="I66" s="488">
        <f t="shared" si="9"/>
        <v>0</v>
      </c>
      <c r="J66" s="145"/>
      <c r="K66" s="144"/>
      <c r="L66" s="92"/>
      <c r="M66" s="488">
        <f t="shared" si="10"/>
        <v>0</v>
      </c>
      <c r="N66" s="93"/>
      <c r="O66" s="144"/>
      <c r="P66" s="94">
        <f t="shared" si="11"/>
        <v>0</v>
      </c>
      <c r="Q66" s="85"/>
    </row>
    <row r="67" spans="2:17" x14ac:dyDescent="0.2">
      <c r="B67" s="147" t="s">
        <v>44</v>
      </c>
      <c r="C67" s="144"/>
      <c r="D67" s="92"/>
      <c r="E67" s="488">
        <f t="shared" si="8"/>
        <v>0</v>
      </c>
      <c r="F67" s="93"/>
      <c r="G67" s="144"/>
      <c r="H67" s="92"/>
      <c r="I67" s="488">
        <f t="shared" si="9"/>
        <v>0</v>
      </c>
      <c r="J67" s="145"/>
      <c r="K67" s="144"/>
      <c r="L67" s="92"/>
      <c r="M67" s="488">
        <f t="shared" si="10"/>
        <v>0</v>
      </c>
      <c r="N67" s="93"/>
      <c r="O67" s="144"/>
      <c r="P67" s="94">
        <f t="shared" si="11"/>
        <v>0</v>
      </c>
      <c r="Q67" s="85"/>
    </row>
    <row r="68" spans="2:17" x14ac:dyDescent="0.2">
      <c r="B68" s="147" t="s">
        <v>45</v>
      </c>
      <c r="C68" s="144"/>
      <c r="D68" s="92"/>
      <c r="E68" s="488">
        <f t="shared" si="8"/>
        <v>0</v>
      </c>
      <c r="F68" s="93"/>
      <c r="G68" s="144"/>
      <c r="H68" s="92"/>
      <c r="I68" s="488">
        <f t="shared" si="9"/>
        <v>0</v>
      </c>
      <c r="J68" s="145"/>
      <c r="K68" s="144"/>
      <c r="L68" s="92"/>
      <c r="M68" s="488">
        <f t="shared" si="10"/>
        <v>0</v>
      </c>
      <c r="N68" s="93"/>
      <c r="O68" s="144"/>
      <c r="P68" s="94">
        <f t="shared" si="11"/>
        <v>0</v>
      </c>
      <c r="Q68" s="85"/>
    </row>
    <row r="69" spans="2:17" x14ac:dyDescent="0.2">
      <c r="B69" s="144"/>
      <c r="C69" s="144"/>
      <c r="D69" s="144"/>
      <c r="E69" s="144"/>
      <c r="F69" s="144"/>
      <c r="G69" s="144"/>
      <c r="H69" s="144"/>
      <c r="I69" s="144"/>
      <c r="J69" s="144"/>
      <c r="K69" s="144"/>
      <c r="L69" s="144"/>
      <c r="M69" s="144"/>
      <c r="N69" s="144"/>
      <c r="O69" s="144"/>
      <c r="P69" s="144"/>
      <c r="Q69" s="85"/>
    </row>
    <row r="70" spans="2:17" ht="13.5" thickBot="1" x14ac:dyDescent="0.25">
      <c r="B70" s="252" t="s">
        <v>51</v>
      </c>
      <c r="C70" s="144"/>
      <c r="D70" s="95">
        <f>SUM(D57:D68)</f>
        <v>0</v>
      </c>
      <c r="E70" s="96">
        <f>IF(D70&lt;&gt;0,F70/D70,0)</f>
        <v>0</v>
      </c>
      <c r="F70" s="97">
        <f>SUM(F57:F68)</f>
        <v>0</v>
      </c>
      <c r="G70" s="144"/>
      <c r="H70" s="95">
        <f>SUM(H57:H68)</f>
        <v>0</v>
      </c>
      <c r="I70" s="96">
        <f>IF(H70&lt;&gt;0,J70/H70,0)</f>
        <v>0</v>
      </c>
      <c r="J70" s="97">
        <f>SUM(J57:J68)</f>
        <v>0</v>
      </c>
      <c r="K70" s="144"/>
      <c r="L70" s="95">
        <f>SUM(L57:L68)</f>
        <v>0</v>
      </c>
      <c r="M70" s="96">
        <f>IF(L70&lt;&gt;0,N70/L70,0)</f>
        <v>0</v>
      </c>
      <c r="N70" s="97">
        <f>SUM(N57:N68)</f>
        <v>0</v>
      </c>
      <c r="O70" s="144"/>
      <c r="P70" s="97">
        <f>SUM(P57:P68)</f>
        <v>0</v>
      </c>
      <c r="Q70" s="85"/>
    </row>
    <row r="71" spans="2:17" x14ac:dyDescent="0.2">
      <c r="B71" s="144"/>
      <c r="C71" s="144"/>
      <c r="D71" s="144"/>
      <c r="E71" s="144"/>
      <c r="F71" s="144"/>
      <c r="G71" s="144"/>
      <c r="H71" s="144"/>
      <c r="I71" s="144"/>
      <c r="J71" s="144"/>
      <c r="K71" s="144"/>
      <c r="L71" s="144"/>
      <c r="M71" s="144"/>
      <c r="N71" s="144"/>
      <c r="O71" s="144"/>
      <c r="P71" s="144"/>
      <c r="Q71" s="85"/>
    </row>
    <row r="72" spans="2:17" x14ac:dyDescent="0.2">
      <c r="B72" s="273" t="s">
        <v>463</v>
      </c>
      <c r="C72" s="142"/>
      <c r="D72" s="1847" t="s">
        <v>455</v>
      </c>
      <c r="E72" s="1847"/>
      <c r="F72" s="1847"/>
      <c r="G72" s="142"/>
      <c r="H72" s="1847" t="s">
        <v>456</v>
      </c>
      <c r="I72" s="1847"/>
      <c r="J72" s="1847"/>
      <c r="K72" s="142"/>
      <c r="L72" s="1847" t="s">
        <v>457</v>
      </c>
      <c r="M72" s="1847"/>
      <c r="N72" s="1847"/>
      <c r="O72" s="142"/>
      <c r="P72" s="1013" t="s">
        <v>3032</v>
      </c>
      <c r="Q72" s="85"/>
    </row>
    <row r="73" spans="2:17" ht="15" x14ac:dyDescent="0.3">
      <c r="B73" s="148" t="s">
        <v>462</v>
      </c>
      <c r="C73" s="91"/>
      <c r="D73" s="143"/>
      <c r="E73" s="143"/>
      <c r="F73" s="143"/>
      <c r="G73" s="91"/>
      <c r="H73" s="143"/>
      <c r="I73" s="143"/>
      <c r="J73" s="143"/>
      <c r="K73" s="91"/>
      <c r="L73" s="143"/>
      <c r="M73" s="143"/>
      <c r="N73" s="143"/>
      <c r="O73" s="91"/>
      <c r="P73" s="143"/>
      <c r="Q73" s="85"/>
    </row>
    <row r="74" spans="2:17" ht="15" x14ac:dyDescent="0.3">
      <c r="B74" s="252" t="s">
        <v>458</v>
      </c>
      <c r="C74" s="91"/>
      <c r="D74" s="143" t="s">
        <v>459</v>
      </c>
      <c r="E74" s="143" t="s">
        <v>352</v>
      </c>
      <c r="F74" s="143" t="s">
        <v>149</v>
      </c>
      <c r="G74" s="91"/>
      <c r="H74" s="143" t="s">
        <v>459</v>
      </c>
      <c r="I74" s="143" t="s">
        <v>352</v>
      </c>
      <c r="J74" s="143" t="s">
        <v>149</v>
      </c>
      <c r="K74" s="91"/>
      <c r="L74" s="143" t="s">
        <v>459</v>
      </c>
      <c r="M74" s="143" t="s">
        <v>352</v>
      </c>
      <c r="N74" s="143" t="s">
        <v>149</v>
      </c>
      <c r="O74" s="91"/>
      <c r="P74" s="143" t="s">
        <v>149</v>
      </c>
      <c r="Q74" s="85"/>
    </row>
    <row r="75" spans="2:17" x14ac:dyDescent="0.2">
      <c r="B75" s="144"/>
      <c r="C75" s="144"/>
      <c r="D75" s="144"/>
      <c r="E75" s="144"/>
      <c r="F75" s="144"/>
      <c r="G75" s="144"/>
      <c r="H75" s="144"/>
      <c r="I75" s="144"/>
      <c r="J75" s="144"/>
      <c r="K75" s="144"/>
      <c r="L75" s="144"/>
      <c r="M75" s="144"/>
      <c r="N75" s="144"/>
      <c r="O75" s="144"/>
      <c r="P75" s="144"/>
      <c r="Q75" s="85"/>
    </row>
    <row r="76" spans="2:17" x14ac:dyDescent="0.2">
      <c r="B76" s="147" t="s">
        <v>34</v>
      </c>
      <c r="C76" s="144"/>
      <c r="D76" s="92"/>
      <c r="E76" s="488">
        <f t="shared" ref="E76:E87" si="12">IF(D76&lt;&gt;0,F76/D76,0)</f>
        <v>0</v>
      </c>
      <c r="F76" s="93"/>
      <c r="G76" s="144"/>
      <c r="H76" s="92"/>
      <c r="I76" s="488">
        <f t="shared" ref="I76:I87" si="13">IF(H76&lt;&gt;0,J76/H76,0)</f>
        <v>0</v>
      </c>
      <c r="J76" s="145"/>
      <c r="K76" s="144"/>
      <c r="L76" s="92"/>
      <c r="M76" s="488">
        <f t="shared" ref="M76:M87" si="14">IF(L76&lt;&gt;0,N76/L76,0)</f>
        <v>0</v>
      </c>
      <c r="N76" s="93"/>
      <c r="O76" s="144"/>
      <c r="P76" s="94">
        <f t="shared" ref="P76:P87" si="15">J76+N76</f>
        <v>0</v>
      </c>
      <c r="Q76" s="85"/>
    </row>
    <row r="77" spans="2:17" x14ac:dyDescent="0.2">
      <c r="B77" s="147" t="s">
        <v>35</v>
      </c>
      <c r="C77" s="144"/>
      <c r="D77" s="92"/>
      <c r="E77" s="488">
        <f t="shared" si="12"/>
        <v>0</v>
      </c>
      <c r="F77" s="93"/>
      <c r="G77" s="144"/>
      <c r="H77" s="92"/>
      <c r="I77" s="488">
        <f t="shared" si="13"/>
        <v>0</v>
      </c>
      <c r="J77" s="145"/>
      <c r="K77" s="144"/>
      <c r="L77" s="92"/>
      <c r="M77" s="488">
        <f t="shared" si="14"/>
        <v>0</v>
      </c>
      <c r="N77" s="93"/>
      <c r="O77" s="144"/>
      <c r="P77" s="94">
        <f t="shared" si="15"/>
        <v>0</v>
      </c>
      <c r="Q77" s="85"/>
    </row>
    <row r="78" spans="2:17" x14ac:dyDescent="0.2">
      <c r="B78" s="147" t="s">
        <v>36</v>
      </c>
      <c r="C78" s="144"/>
      <c r="D78" s="92"/>
      <c r="E78" s="488">
        <f t="shared" si="12"/>
        <v>0</v>
      </c>
      <c r="F78" s="93"/>
      <c r="G78" s="144"/>
      <c r="H78" s="92"/>
      <c r="I78" s="488">
        <f t="shared" si="13"/>
        <v>0</v>
      </c>
      <c r="J78" s="145"/>
      <c r="K78" s="144"/>
      <c r="L78" s="92"/>
      <c r="M78" s="488">
        <f t="shared" si="14"/>
        <v>0</v>
      </c>
      <c r="N78" s="93"/>
      <c r="O78" s="144"/>
      <c r="P78" s="94">
        <f t="shared" si="15"/>
        <v>0</v>
      </c>
      <c r="Q78" s="85"/>
    </row>
    <row r="79" spans="2:17" x14ac:dyDescent="0.2">
      <c r="B79" s="147" t="s">
        <v>37</v>
      </c>
      <c r="C79" s="144"/>
      <c r="D79" s="92"/>
      <c r="E79" s="488">
        <f t="shared" si="12"/>
        <v>0</v>
      </c>
      <c r="F79" s="93"/>
      <c r="G79" s="144"/>
      <c r="H79" s="92"/>
      <c r="I79" s="488">
        <f t="shared" si="13"/>
        <v>0</v>
      </c>
      <c r="J79" s="145"/>
      <c r="K79" s="144"/>
      <c r="L79" s="92"/>
      <c r="M79" s="488">
        <f t="shared" si="14"/>
        <v>0</v>
      </c>
      <c r="N79" s="93"/>
      <c r="O79" s="144"/>
      <c r="P79" s="94">
        <f t="shared" si="15"/>
        <v>0</v>
      </c>
      <c r="Q79" s="85"/>
    </row>
    <row r="80" spans="2:17" x14ac:dyDescent="0.2">
      <c r="B80" s="147" t="s">
        <v>38</v>
      </c>
      <c r="C80" s="144"/>
      <c r="D80" s="92"/>
      <c r="E80" s="488">
        <f t="shared" si="12"/>
        <v>0</v>
      </c>
      <c r="F80" s="93"/>
      <c r="G80" s="144"/>
      <c r="H80" s="92"/>
      <c r="I80" s="488">
        <f t="shared" si="13"/>
        <v>0</v>
      </c>
      <c r="J80" s="145"/>
      <c r="K80" s="144"/>
      <c r="L80" s="92"/>
      <c r="M80" s="488">
        <f t="shared" si="14"/>
        <v>0</v>
      </c>
      <c r="N80" s="93"/>
      <c r="O80" s="144"/>
      <c r="P80" s="94">
        <f t="shared" si="15"/>
        <v>0</v>
      </c>
      <c r="Q80" s="85"/>
    </row>
    <row r="81" spans="2:17" x14ac:dyDescent="0.2">
      <c r="B81" s="147" t="s">
        <v>39</v>
      </c>
      <c r="C81" s="144"/>
      <c r="D81" s="92"/>
      <c r="E81" s="488">
        <f t="shared" si="12"/>
        <v>0</v>
      </c>
      <c r="F81" s="93"/>
      <c r="G81" s="144"/>
      <c r="H81" s="92"/>
      <c r="I81" s="488">
        <f t="shared" si="13"/>
        <v>0</v>
      </c>
      <c r="J81" s="145"/>
      <c r="K81" s="144"/>
      <c r="L81" s="92"/>
      <c r="M81" s="488">
        <f t="shared" si="14"/>
        <v>0</v>
      </c>
      <c r="N81" s="93"/>
      <c r="O81" s="144"/>
      <c r="P81" s="94">
        <f t="shared" si="15"/>
        <v>0</v>
      </c>
      <c r="Q81" s="85"/>
    </row>
    <row r="82" spans="2:17" x14ac:dyDescent="0.2">
      <c r="B82" s="147" t="s">
        <v>40</v>
      </c>
      <c r="C82" s="144"/>
      <c r="D82" s="92"/>
      <c r="E82" s="488">
        <f t="shared" si="12"/>
        <v>0</v>
      </c>
      <c r="F82" s="93"/>
      <c r="G82" s="144"/>
      <c r="H82" s="92"/>
      <c r="I82" s="488">
        <f t="shared" si="13"/>
        <v>0</v>
      </c>
      <c r="J82" s="145"/>
      <c r="K82" s="144"/>
      <c r="L82" s="92"/>
      <c r="M82" s="488">
        <f t="shared" si="14"/>
        <v>0</v>
      </c>
      <c r="N82" s="93"/>
      <c r="O82" s="144"/>
      <c r="P82" s="94">
        <f t="shared" si="15"/>
        <v>0</v>
      </c>
      <c r="Q82" s="85"/>
    </row>
    <row r="83" spans="2:17" x14ac:dyDescent="0.2">
      <c r="B83" s="147" t="s">
        <v>41</v>
      </c>
      <c r="C83" s="144"/>
      <c r="D83" s="92"/>
      <c r="E83" s="488">
        <f t="shared" si="12"/>
        <v>0</v>
      </c>
      <c r="F83" s="93"/>
      <c r="G83" s="144"/>
      <c r="H83" s="92"/>
      <c r="I83" s="488">
        <f t="shared" si="13"/>
        <v>0</v>
      </c>
      <c r="J83" s="145"/>
      <c r="K83" s="144"/>
      <c r="L83" s="92"/>
      <c r="M83" s="488">
        <f t="shared" si="14"/>
        <v>0</v>
      </c>
      <c r="N83" s="93"/>
      <c r="O83" s="144"/>
      <c r="P83" s="94">
        <f t="shared" si="15"/>
        <v>0</v>
      </c>
      <c r="Q83" s="85"/>
    </row>
    <row r="84" spans="2:17" x14ac:dyDescent="0.2">
      <c r="B84" s="147" t="s">
        <v>42</v>
      </c>
      <c r="C84" s="144"/>
      <c r="D84" s="92"/>
      <c r="E84" s="488">
        <f t="shared" si="12"/>
        <v>0</v>
      </c>
      <c r="F84" s="93"/>
      <c r="G84" s="144"/>
      <c r="H84" s="92"/>
      <c r="I84" s="488">
        <f t="shared" si="13"/>
        <v>0</v>
      </c>
      <c r="J84" s="145"/>
      <c r="K84" s="144"/>
      <c r="L84" s="92"/>
      <c r="M84" s="488">
        <f t="shared" si="14"/>
        <v>0</v>
      </c>
      <c r="N84" s="93"/>
      <c r="O84" s="144"/>
      <c r="P84" s="94">
        <f t="shared" si="15"/>
        <v>0</v>
      </c>
      <c r="Q84" s="85"/>
    </row>
    <row r="85" spans="2:17" x14ac:dyDescent="0.2">
      <c r="B85" s="147" t="s">
        <v>43</v>
      </c>
      <c r="C85" s="144"/>
      <c r="D85" s="92"/>
      <c r="E85" s="488">
        <f t="shared" si="12"/>
        <v>0</v>
      </c>
      <c r="F85" s="93"/>
      <c r="G85" s="144"/>
      <c r="H85" s="92"/>
      <c r="I85" s="488">
        <f t="shared" si="13"/>
        <v>0</v>
      </c>
      <c r="J85" s="145"/>
      <c r="K85" s="144"/>
      <c r="L85" s="92"/>
      <c r="M85" s="488">
        <f t="shared" si="14"/>
        <v>0</v>
      </c>
      <c r="N85" s="93"/>
      <c r="O85" s="144"/>
      <c r="P85" s="94">
        <f t="shared" si="15"/>
        <v>0</v>
      </c>
      <c r="Q85" s="85"/>
    </row>
    <row r="86" spans="2:17" x14ac:dyDescent="0.2">
      <c r="B86" s="147" t="s">
        <v>44</v>
      </c>
      <c r="C86" s="144"/>
      <c r="D86" s="92"/>
      <c r="E86" s="488">
        <f t="shared" si="12"/>
        <v>0</v>
      </c>
      <c r="F86" s="93"/>
      <c r="G86" s="144"/>
      <c r="H86" s="92"/>
      <c r="I86" s="488">
        <f t="shared" si="13"/>
        <v>0</v>
      </c>
      <c r="J86" s="145"/>
      <c r="K86" s="144"/>
      <c r="L86" s="92"/>
      <c r="M86" s="488">
        <f t="shared" si="14"/>
        <v>0</v>
      </c>
      <c r="N86" s="93"/>
      <c r="O86" s="144"/>
      <c r="P86" s="94">
        <f t="shared" si="15"/>
        <v>0</v>
      </c>
      <c r="Q86" s="85"/>
    </row>
    <row r="87" spans="2:17" x14ac:dyDescent="0.2">
      <c r="B87" s="147" t="s">
        <v>45</v>
      </c>
      <c r="C87" s="144"/>
      <c r="D87" s="92"/>
      <c r="E87" s="488">
        <f t="shared" si="12"/>
        <v>0</v>
      </c>
      <c r="F87" s="93"/>
      <c r="G87" s="144"/>
      <c r="H87" s="92"/>
      <c r="I87" s="488">
        <f t="shared" si="13"/>
        <v>0</v>
      </c>
      <c r="J87" s="145"/>
      <c r="K87" s="144"/>
      <c r="L87" s="92"/>
      <c r="M87" s="488">
        <f t="shared" si="14"/>
        <v>0</v>
      </c>
      <c r="N87" s="93"/>
      <c r="O87" s="144"/>
      <c r="P87" s="94">
        <f t="shared" si="15"/>
        <v>0</v>
      </c>
      <c r="Q87" s="85"/>
    </row>
    <row r="88" spans="2:17" x14ac:dyDescent="0.2">
      <c r="B88" s="144"/>
      <c r="C88" s="144"/>
      <c r="D88" s="144"/>
      <c r="E88" s="144"/>
      <c r="F88" s="144"/>
      <c r="G88" s="144"/>
      <c r="H88" s="144"/>
      <c r="I88" s="144"/>
      <c r="J88" s="144"/>
      <c r="K88" s="144"/>
      <c r="L88" s="144"/>
      <c r="M88" s="144"/>
      <c r="N88" s="144"/>
      <c r="O88" s="144"/>
      <c r="P88" s="144"/>
      <c r="Q88" s="85"/>
    </row>
    <row r="89" spans="2:17" ht="13.5" thickBot="1" x14ac:dyDescent="0.25">
      <c r="B89" s="252" t="s">
        <v>51</v>
      </c>
      <c r="C89" s="144"/>
      <c r="D89" s="95">
        <f>SUM(D76:D87)</f>
        <v>0</v>
      </c>
      <c r="E89" s="96">
        <f>IF(D89&lt;&gt;0,F89/D89,0)</f>
        <v>0</v>
      </c>
      <c r="F89" s="97">
        <f>SUM(F76:F87)</f>
        <v>0</v>
      </c>
      <c r="G89" s="144"/>
      <c r="H89" s="95">
        <f>SUM(H76:H87)</f>
        <v>0</v>
      </c>
      <c r="I89" s="96">
        <f>IF(H89&lt;&gt;0,J89/H89,0)</f>
        <v>0</v>
      </c>
      <c r="J89" s="97">
        <f>SUM(J76:J87)</f>
        <v>0</v>
      </c>
      <c r="K89" s="144"/>
      <c r="L89" s="95">
        <f>SUM(L76:L87)</f>
        <v>0</v>
      </c>
      <c r="M89" s="96">
        <f>IF(L89&lt;&gt;0,N89/L89,0)</f>
        <v>0</v>
      </c>
      <c r="N89" s="97">
        <f>SUM(N76:N87)</f>
        <v>0</v>
      </c>
      <c r="O89" s="144"/>
      <c r="P89" s="97">
        <f>SUM(P76:P87)</f>
        <v>0</v>
      </c>
      <c r="Q89" s="85"/>
    </row>
    <row r="90" spans="2:17" x14ac:dyDescent="0.2">
      <c r="B90" s="144"/>
      <c r="C90" s="144"/>
      <c r="D90" s="144"/>
      <c r="E90" s="144"/>
      <c r="F90" s="144"/>
      <c r="G90" s="144"/>
      <c r="H90" s="144"/>
      <c r="I90" s="144"/>
      <c r="J90" s="144"/>
      <c r="K90" s="144"/>
      <c r="L90" s="144"/>
      <c r="M90" s="144"/>
      <c r="N90" s="144"/>
      <c r="O90" s="144"/>
      <c r="P90" s="144"/>
      <c r="Q90" s="85"/>
    </row>
    <row r="91" spans="2:17" x14ac:dyDescent="0.2">
      <c r="B91" s="250" t="s">
        <v>51</v>
      </c>
      <c r="C91" s="142"/>
      <c r="D91" s="1847" t="s">
        <v>455</v>
      </c>
      <c r="E91" s="1847"/>
      <c r="F91" s="1847"/>
      <c r="G91" s="142"/>
      <c r="H91" s="1847" t="s">
        <v>456</v>
      </c>
      <c r="I91" s="1847"/>
      <c r="J91" s="1847"/>
      <c r="K91" s="142"/>
      <c r="L91" s="1847" t="s">
        <v>457</v>
      </c>
      <c r="M91" s="1847"/>
      <c r="N91" s="1847"/>
      <c r="O91" s="142"/>
      <c r="P91" s="1013" t="s">
        <v>3032</v>
      </c>
      <c r="Q91" s="85"/>
    </row>
    <row r="92" spans="2:17" x14ac:dyDescent="0.2">
      <c r="B92" s="144"/>
      <c r="C92" s="144"/>
      <c r="D92" s="1849"/>
      <c r="E92" s="1849"/>
      <c r="F92" s="1849"/>
      <c r="G92" s="146"/>
      <c r="H92" s="1849"/>
      <c r="I92" s="1849"/>
      <c r="J92" s="1849"/>
      <c r="K92" s="146"/>
      <c r="L92" s="1849"/>
      <c r="M92" s="1849"/>
      <c r="N92" s="1849"/>
      <c r="O92" s="146"/>
      <c r="P92" s="251"/>
      <c r="Q92" s="85"/>
    </row>
    <row r="93" spans="2:17" ht="15" x14ac:dyDescent="0.3">
      <c r="B93" s="252" t="s">
        <v>458</v>
      </c>
      <c r="C93" s="144"/>
      <c r="D93" s="143" t="s">
        <v>459</v>
      </c>
      <c r="E93" s="143" t="s">
        <v>352</v>
      </c>
      <c r="F93" s="143" t="s">
        <v>149</v>
      </c>
      <c r="G93" s="91"/>
      <c r="H93" s="143" t="s">
        <v>459</v>
      </c>
      <c r="I93" s="143" t="s">
        <v>352</v>
      </c>
      <c r="J93" s="143" t="s">
        <v>149</v>
      </c>
      <c r="K93" s="91"/>
      <c r="L93" s="143" t="s">
        <v>459</v>
      </c>
      <c r="M93" s="143" t="s">
        <v>352</v>
      </c>
      <c r="N93" s="143" t="s">
        <v>149</v>
      </c>
      <c r="O93" s="91"/>
      <c r="P93" s="143" t="s">
        <v>149</v>
      </c>
      <c r="Q93" s="85"/>
    </row>
    <row r="94" spans="2:17" x14ac:dyDescent="0.2">
      <c r="B94" s="144"/>
      <c r="C94" s="144"/>
      <c r="D94" s="144"/>
      <c r="E94" s="144"/>
      <c r="F94" s="144"/>
      <c r="G94" s="144"/>
      <c r="H94" s="144"/>
      <c r="I94" s="144"/>
      <c r="J94" s="144"/>
      <c r="K94" s="144"/>
      <c r="L94" s="144"/>
      <c r="M94" s="144"/>
      <c r="N94" s="144"/>
      <c r="O94" s="144"/>
      <c r="P94" s="144"/>
      <c r="Q94" s="85"/>
    </row>
    <row r="95" spans="2:17" x14ac:dyDescent="0.2">
      <c r="B95" s="147" t="s">
        <v>34</v>
      </c>
      <c r="C95" s="144"/>
      <c r="D95" s="98">
        <f>D19+D38+D57+D76</f>
        <v>19077.89</v>
      </c>
      <c r="E95" s="102">
        <f t="shared" ref="E95:E106" si="16">IF(D95&lt;&gt;0,F95/D95,0)</f>
        <v>3.1942169705350016</v>
      </c>
      <c r="F95" s="94">
        <f>F19+F38+F57+F76</f>
        <v>60938.92</v>
      </c>
      <c r="G95" s="144"/>
      <c r="H95" s="98">
        <f>H19+H38+H57+H76</f>
        <v>19077.990000000002</v>
      </c>
      <c r="I95" s="102">
        <f t="shared" ref="I95:I106" si="17">IF(H95&lt;&gt;0,J95/H95,0)</f>
        <v>0.77099998479923715</v>
      </c>
      <c r="J95" s="94">
        <f>J19+J38+J57+J76</f>
        <v>14709.13</v>
      </c>
      <c r="K95" s="144"/>
      <c r="L95" s="98">
        <f>L19+L38+L57+L76</f>
        <v>19077.990000000002</v>
      </c>
      <c r="M95" s="102">
        <f t="shared" ref="M95:M106" si="18">IF(L95&lt;&gt;0,N95/L95,0)</f>
        <v>1.7493001097075738</v>
      </c>
      <c r="N95" s="94">
        <f>N19+N38+N57+N76</f>
        <v>33373.129999999997</v>
      </c>
      <c r="O95" s="144"/>
      <c r="P95" s="94">
        <f t="shared" ref="P95:P106" si="19">J95+N95</f>
        <v>48082.259999999995</v>
      </c>
      <c r="Q95" s="85"/>
    </row>
    <row r="96" spans="2:17" x14ac:dyDescent="0.2">
      <c r="B96" s="147" t="s">
        <v>35</v>
      </c>
      <c r="C96" s="144"/>
      <c r="D96" s="98">
        <f t="shared" ref="D96:D106" si="20">D20+D39+D58+D77</f>
        <v>23361.99</v>
      </c>
      <c r="E96" s="102">
        <f t="shared" si="16"/>
        <v>3.1942004940503783</v>
      </c>
      <c r="F96" s="94">
        <f t="shared" ref="F96:F106" si="21">F20+F39+F58+F77</f>
        <v>74622.880000000005</v>
      </c>
      <c r="G96" s="144"/>
      <c r="H96" s="98">
        <f t="shared" ref="H96:H106" si="22">H20+H39+H58+H77</f>
        <v>23593.1</v>
      </c>
      <c r="I96" s="102">
        <f t="shared" si="17"/>
        <v>0.7709999957614726</v>
      </c>
      <c r="J96" s="94">
        <f t="shared" ref="J96:J106" si="23">J20+J39+J58+J77</f>
        <v>18190.28</v>
      </c>
      <c r="K96" s="144"/>
      <c r="L96" s="98">
        <f t="shared" ref="L96:L106" si="24">L20+L39+L58+L77</f>
        <v>23593.1</v>
      </c>
      <c r="M96" s="102">
        <f t="shared" si="18"/>
        <v>1.74929958335276</v>
      </c>
      <c r="N96" s="94">
        <f t="shared" ref="N96:N106" si="25">N20+N39+N58+N77</f>
        <v>41271.4</v>
      </c>
      <c r="O96" s="144"/>
      <c r="P96" s="94">
        <f t="shared" si="19"/>
        <v>59461.68</v>
      </c>
      <c r="Q96" s="85"/>
    </row>
    <row r="97" spans="2:17" x14ac:dyDescent="0.2">
      <c r="B97" s="147" t="s">
        <v>36</v>
      </c>
      <c r="C97" s="144"/>
      <c r="D97" s="98">
        <f t="shared" si="20"/>
        <v>17233.3</v>
      </c>
      <c r="E97" s="102">
        <f t="shared" si="16"/>
        <v>3.1942007624772972</v>
      </c>
      <c r="F97" s="94">
        <f t="shared" si="21"/>
        <v>55046.62</v>
      </c>
      <c r="G97" s="144"/>
      <c r="H97" s="98">
        <f t="shared" si="22"/>
        <v>17273.97</v>
      </c>
      <c r="I97" s="102">
        <f t="shared" si="17"/>
        <v>0.77099937072948477</v>
      </c>
      <c r="J97" s="94">
        <f t="shared" si="23"/>
        <v>13318.22</v>
      </c>
      <c r="K97" s="144"/>
      <c r="L97" s="98">
        <f t="shared" si="24"/>
        <v>17273.97</v>
      </c>
      <c r="M97" s="102">
        <f t="shared" si="18"/>
        <v>1.7492996688080387</v>
      </c>
      <c r="N97" s="94">
        <f t="shared" si="25"/>
        <v>30217.35</v>
      </c>
      <c r="O97" s="144"/>
      <c r="P97" s="94">
        <f t="shared" si="19"/>
        <v>43535.57</v>
      </c>
      <c r="Q97" s="85"/>
    </row>
    <row r="98" spans="2:17" x14ac:dyDescent="0.2">
      <c r="B98" s="147" t="s">
        <v>37</v>
      </c>
      <c r="C98" s="144"/>
      <c r="D98" s="98">
        <f t="shared" si="20"/>
        <v>19022.03</v>
      </c>
      <c r="E98" s="102">
        <f t="shared" si="16"/>
        <v>3.1941990418477948</v>
      </c>
      <c r="F98" s="94">
        <f t="shared" si="21"/>
        <v>60760.15</v>
      </c>
      <c r="G98" s="144"/>
      <c r="H98" s="98">
        <f t="shared" si="22"/>
        <v>19093.169999999998</v>
      </c>
      <c r="I98" s="102">
        <f t="shared" si="17"/>
        <v>0.77099926308727162</v>
      </c>
      <c r="J98" s="94">
        <f t="shared" si="23"/>
        <v>14720.82</v>
      </c>
      <c r="K98" s="144"/>
      <c r="L98" s="98">
        <f t="shared" si="24"/>
        <v>19093.169999999998</v>
      </c>
      <c r="M98" s="102">
        <f t="shared" si="18"/>
        <v>1.749298833038202</v>
      </c>
      <c r="N98" s="94">
        <f t="shared" si="25"/>
        <v>33399.660000000003</v>
      </c>
      <c r="O98" s="144"/>
      <c r="P98" s="94">
        <f t="shared" si="19"/>
        <v>48120.480000000003</v>
      </c>
      <c r="Q98" s="85"/>
    </row>
    <row r="99" spans="2:17" x14ac:dyDescent="0.2">
      <c r="B99" s="147" t="s">
        <v>38</v>
      </c>
      <c r="C99" s="144"/>
      <c r="D99" s="98">
        <f t="shared" si="20"/>
        <v>16583.759999999998</v>
      </c>
      <c r="E99" s="102">
        <f t="shared" si="16"/>
        <v>3.1942002296222332</v>
      </c>
      <c r="F99" s="94">
        <f t="shared" si="21"/>
        <v>52971.85</v>
      </c>
      <c r="G99" s="144"/>
      <c r="H99" s="98">
        <f t="shared" si="22"/>
        <v>16592.75</v>
      </c>
      <c r="I99" s="102">
        <f t="shared" si="17"/>
        <v>0.77099998493317867</v>
      </c>
      <c r="J99" s="94">
        <f t="shared" si="23"/>
        <v>12793.01</v>
      </c>
      <c r="K99" s="144"/>
      <c r="L99" s="98">
        <f t="shared" si="24"/>
        <v>16592.75</v>
      </c>
      <c r="M99" s="102">
        <f t="shared" si="18"/>
        <v>1.7493001461481672</v>
      </c>
      <c r="N99" s="94">
        <f t="shared" si="25"/>
        <v>29025.7</v>
      </c>
      <c r="O99" s="144"/>
      <c r="P99" s="94">
        <f t="shared" si="19"/>
        <v>41818.71</v>
      </c>
      <c r="Q99" s="85"/>
    </row>
    <row r="100" spans="2:17" x14ac:dyDescent="0.2">
      <c r="B100" s="147" t="s">
        <v>39</v>
      </c>
      <c r="C100" s="144"/>
      <c r="D100" s="98">
        <f t="shared" si="20"/>
        <v>15738.51</v>
      </c>
      <c r="E100" s="102">
        <f t="shared" si="16"/>
        <v>3.1942013570534948</v>
      </c>
      <c r="F100" s="94">
        <f t="shared" si="21"/>
        <v>50271.97</v>
      </c>
      <c r="G100" s="144"/>
      <c r="H100" s="98">
        <f t="shared" si="22"/>
        <v>15776.98</v>
      </c>
      <c r="I100" s="102">
        <f t="shared" si="17"/>
        <v>0.77099989985409123</v>
      </c>
      <c r="J100" s="94">
        <f t="shared" si="23"/>
        <v>12164.05</v>
      </c>
      <c r="K100" s="144"/>
      <c r="L100" s="98">
        <f t="shared" si="24"/>
        <v>15776.98</v>
      </c>
      <c r="M100" s="102">
        <f t="shared" si="18"/>
        <v>1.7492999293907958</v>
      </c>
      <c r="N100" s="94">
        <f t="shared" si="25"/>
        <v>27598.67</v>
      </c>
      <c r="O100" s="144"/>
      <c r="P100" s="94">
        <f t="shared" si="19"/>
        <v>39762.720000000001</v>
      </c>
      <c r="Q100" s="85"/>
    </row>
    <row r="101" spans="2:17" x14ac:dyDescent="0.2">
      <c r="B101" s="147" t="s">
        <v>40</v>
      </c>
      <c r="C101" s="144"/>
      <c r="D101" s="98">
        <f t="shared" si="20"/>
        <v>16585.650000000001</v>
      </c>
      <c r="E101" s="102">
        <f t="shared" si="16"/>
        <v>3.1941992023224897</v>
      </c>
      <c r="F101" s="94">
        <f t="shared" si="21"/>
        <v>52977.87</v>
      </c>
      <c r="G101" s="144"/>
      <c r="H101" s="98">
        <f t="shared" si="22"/>
        <v>16585.650000000001</v>
      </c>
      <c r="I101" s="102">
        <f t="shared" si="17"/>
        <v>0.77100023212837598</v>
      </c>
      <c r="J101" s="94">
        <f t="shared" si="23"/>
        <v>12787.54</v>
      </c>
      <c r="K101" s="144"/>
      <c r="L101" s="98">
        <f t="shared" si="24"/>
        <v>16585.650000000001</v>
      </c>
      <c r="M101" s="102">
        <f t="shared" si="18"/>
        <v>1.7492995450886759</v>
      </c>
      <c r="N101" s="94">
        <f t="shared" si="25"/>
        <v>29013.27</v>
      </c>
      <c r="O101" s="144"/>
      <c r="P101" s="94">
        <f t="shared" si="19"/>
        <v>41800.81</v>
      </c>
      <c r="Q101" s="85"/>
    </row>
    <row r="102" spans="2:17" x14ac:dyDescent="0.2">
      <c r="B102" s="147" t="s">
        <v>41</v>
      </c>
      <c r="C102" s="144"/>
      <c r="D102" s="98">
        <f t="shared" si="20"/>
        <v>17178.43</v>
      </c>
      <c r="E102" s="102">
        <f t="shared" si="16"/>
        <v>3.1941993534915589</v>
      </c>
      <c r="F102" s="94">
        <f t="shared" si="21"/>
        <v>54871.33</v>
      </c>
      <c r="G102" s="144"/>
      <c r="H102" s="98">
        <f t="shared" si="22"/>
        <v>17178.43</v>
      </c>
      <c r="I102" s="102">
        <f t="shared" si="17"/>
        <v>0.77099944523451791</v>
      </c>
      <c r="J102" s="94">
        <f t="shared" si="23"/>
        <v>13244.56</v>
      </c>
      <c r="K102" s="144"/>
      <c r="L102" s="98">
        <f t="shared" si="24"/>
        <v>17178.43</v>
      </c>
      <c r="M102" s="102">
        <f t="shared" si="18"/>
        <v>1.7493001397683023</v>
      </c>
      <c r="N102" s="94">
        <f t="shared" si="25"/>
        <v>30050.23</v>
      </c>
      <c r="O102" s="144"/>
      <c r="P102" s="94">
        <f t="shared" si="19"/>
        <v>43294.79</v>
      </c>
      <c r="Q102" s="85"/>
    </row>
    <row r="103" spans="2:17" x14ac:dyDescent="0.2">
      <c r="B103" s="147" t="s">
        <v>42</v>
      </c>
      <c r="C103" s="144"/>
      <c r="D103" s="98">
        <f t="shared" si="20"/>
        <v>17878.89</v>
      </c>
      <c r="E103" s="102">
        <f t="shared" si="16"/>
        <v>3.1941988568641571</v>
      </c>
      <c r="F103" s="94">
        <f t="shared" si="21"/>
        <v>57108.73</v>
      </c>
      <c r="G103" s="144"/>
      <c r="H103" s="98">
        <f t="shared" si="22"/>
        <v>17878.89</v>
      </c>
      <c r="I103" s="102">
        <f t="shared" si="17"/>
        <v>0.77099417245701496</v>
      </c>
      <c r="J103" s="94">
        <f t="shared" si="23"/>
        <v>13784.52</v>
      </c>
      <c r="K103" s="144"/>
      <c r="L103" s="98">
        <f t="shared" si="24"/>
        <v>17878.89</v>
      </c>
      <c r="M103" s="102">
        <f t="shared" si="18"/>
        <v>1.7492993133242611</v>
      </c>
      <c r="N103" s="94">
        <f t="shared" si="25"/>
        <v>31275.53</v>
      </c>
      <c r="O103" s="144"/>
      <c r="P103" s="94">
        <f t="shared" si="19"/>
        <v>45060.05</v>
      </c>
      <c r="Q103" s="85"/>
    </row>
    <row r="104" spans="2:17" x14ac:dyDescent="0.2">
      <c r="B104" s="147" t="s">
        <v>43</v>
      </c>
      <c r="C104" s="144"/>
      <c r="D104" s="98">
        <f t="shared" si="20"/>
        <v>14120.38</v>
      </c>
      <c r="E104" s="102">
        <f t="shared" si="16"/>
        <v>3.194202280675166</v>
      </c>
      <c r="F104" s="94">
        <f t="shared" si="21"/>
        <v>45103.35</v>
      </c>
      <c r="G104" s="144"/>
      <c r="H104" s="98">
        <f t="shared" si="22"/>
        <v>14155.2</v>
      </c>
      <c r="I104" s="102">
        <f t="shared" si="17"/>
        <v>0.77100076297049847</v>
      </c>
      <c r="J104" s="94">
        <f t="shared" si="23"/>
        <v>10913.67</v>
      </c>
      <c r="K104" s="144"/>
      <c r="L104" s="98">
        <f t="shared" si="24"/>
        <v>14155.2</v>
      </c>
      <c r="M104" s="102">
        <f t="shared" si="18"/>
        <v>1.7493006103763988</v>
      </c>
      <c r="N104" s="94">
        <f t="shared" si="25"/>
        <v>24761.7</v>
      </c>
      <c r="O104" s="144"/>
      <c r="P104" s="94">
        <f t="shared" si="19"/>
        <v>35675.370000000003</v>
      </c>
      <c r="Q104" s="85"/>
    </row>
    <row r="105" spans="2:17" x14ac:dyDescent="0.2">
      <c r="B105" s="147" t="s">
        <v>44</v>
      </c>
      <c r="C105" s="144"/>
      <c r="D105" s="98">
        <f t="shared" si="20"/>
        <v>16806.349999999999</v>
      </c>
      <c r="E105" s="102">
        <f t="shared" si="16"/>
        <v>3.1941998113808174</v>
      </c>
      <c r="F105" s="94">
        <f t="shared" si="21"/>
        <v>53682.84</v>
      </c>
      <c r="G105" s="144"/>
      <c r="H105" s="98">
        <f t="shared" si="22"/>
        <v>16811.43</v>
      </c>
      <c r="I105" s="102">
        <f t="shared" si="17"/>
        <v>0.77099984950715084</v>
      </c>
      <c r="J105" s="94">
        <f t="shared" si="23"/>
        <v>12961.61</v>
      </c>
      <c r="K105" s="144"/>
      <c r="L105" s="98">
        <f t="shared" si="24"/>
        <v>16811.43</v>
      </c>
      <c r="M105" s="102">
        <f t="shared" si="18"/>
        <v>1.7493003272178513</v>
      </c>
      <c r="N105" s="94">
        <f t="shared" si="25"/>
        <v>29408.240000000002</v>
      </c>
      <c r="O105" s="144"/>
      <c r="P105" s="94">
        <f t="shared" si="19"/>
        <v>42369.850000000006</v>
      </c>
      <c r="Q105" s="85"/>
    </row>
    <row r="106" spans="2:17" x14ac:dyDescent="0.2">
      <c r="B106" s="147" t="s">
        <v>45</v>
      </c>
      <c r="C106" s="144"/>
      <c r="D106" s="98">
        <f t="shared" si="20"/>
        <v>19578.419999999998</v>
      </c>
      <c r="E106" s="102">
        <f t="shared" si="16"/>
        <v>3.194200042700075</v>
      </c>
      <c r="F106" s="94">
        <f t="shared" si="21"/>
        <v>62537.39</v>
      </c>
      <c r="G106" s="144"/>
      <c r="H106" s="98">
        <f t="shared" si="22"/>
        <v>19614.37</v>
      </c>
      <c r="I106" s="102">
        <f t="shared" si="17"/>
        <v>0.77100003721761146</v>
      </c>
      <c r="J106" s="94">
        <f t="shared" si="23"/>
        <v>15122.68</v>
      </c>
      <c r="K106" s="144"/>
      <c r="L106" s="98">
        <f t="shared" si="24"/>
        <v>19614.37</v>
      </c>
      <c r="M106" s="102">
        <f t="shared" si="18"/>
        <v>1.749300130465572</v>
      </c>
      <c r="N106" s="94">
        <f t="shared" si="25"/>
        <v>34311.42</v>
      </c>
      <c r="O106" s="144"/>
      <c r="P106" s="94">
        <f t="shared" si="19"/>
        <v>49434.1</v>
      </c>
      <c r="Q106" s="85"/>
    </row>
    <row r="107" spans="2:17" x14ac:dyDescent="0.2">
      <c r="B107" s="144"/>
      <c r="C107" s="144"/>
      <c r="D107" s="144"/>
      <c r="E107" s="144"/>
      <c r="F107" s="144"/>
      <c r="G107" s="144"/>
      <c r="H107" s="144"/>
      <c r="I107" s="144"/>
      <c r="J107" s="144"/>
      <c r="K107" s="144"/>
      <c r="L107" s="144"/>
      <c r="M107" s="144"/>
      <c r="N107" s="144"/>
      <c r="O107" s="144"/>
      <c r="P107" s="94"/>
      <c r="Q107" s="85"/>
    </row>
    <row r="108" spans="2:17" ht="13.5" thickBot="1" x14ac:dyDescent="0.25">
      <c r="B108" s="252" t="s">
        <v>51</v>
      </c>
      <c r="C108" s="144"/>
      <c r="D108" s="95">
        <f>SUM(D95:D106)</f>
        <v>213165.60000000003</v>
      </c>
      <c r="E108" s="96">
        <f>IF(D108&lt;&gt;0,F108/D108,0)</f>
        <v>3.1942015972558422</v>
      </c>
      <c r="F108" s="97">
        <f>SUM(F95:F106)</f>
        <v>680893.9</v>
      </c>
      <c r="G108" s="144"/>
      <c r="H108" s="95">
        <f>SUM(H95:H106)</f>
        <v>213631.93</v>
      </c>
      <c r="I108" s="96">
        <f>IF(H108&lt;&gt;0,J108/H108,0)</f>
        <v>0.77099940069820072</v>
      </c>
      <c r="J108" s="97">
        <f>SUM(J95:J106)</f>
        <v>164710.08999999997</v>
      </c>
      <c r="K108" s="144"/>
      <c r="L108" s="95">
        <f>SUM(L95:L106)</f>
        <v>213631.93</v>
      </c>
      <c r="M108" s="96">
        <f>IF(L108&lt;&gt;0,N108/L108,0)</f>
        <v>1.7492998354693516</v>
      </c>
      <c r="N108" s="97">
        <f>SUM(N95:N106)</f>
        <v>373706.30000000005</v>
      </c>
      <c r="O108" s="144"/>
      <c r="P108" s="97">
        <f>SUM(P95:P106)</f>
        <v>538416.39</v>
      </c>
      <c r="Q108" s="85"/>
    </row>
    <row r="109" spans="2:17" x14ac:dyDescent="0.2">
      <c r="B109" s="6"/>
      <c r="C109" s="6"/>
      <c r="D109" s="6"/>
      <c r="E109" s="6"/>
      <c r="F109" s="6"/>
      <c r="G109" s="6"/>
      <c r="H109" s="6"/>
      <c r="I109" s="6"/>
      <c r="J109" s="6"/>
      <c r="K109" s="6"/>
      <c r="L109" s="6"/>
      <c r="M109" s="6"/>
      <c r="N109" s="6"/>
      <c r="O109" s="6"/>
      <c r="P109" s="94"/>
    </row>
    <row r="110" spans="2:17" x14ac:dyDescent="0.2">
      <c r="B110" s="6"/>
      <c r="C110" s="6"/>
      <c r="D110" s="6"/>
      <c r="E110" s="6"/>
      <c r="F110" s="6"/>
      <c r="G110" s="6"/>
      <c r="H110" s="6"/>
      <c r="I110" s="6"/>
      <c r="J110" s="6"/>
      <c r="K110" s="6"/>
      <c r="L110" s="6"/>
      <c r="M110" s="75"/>
      <c r="N110" s="99" t="s">
        <v>2206</v>
      </c>
      <c r="O110" s="6"/>
      <c r="P110" s="100">
        <f>'11. RTSR - UTRs &amp; Sub-Tx'!E74</f>
        <v>0</v>
      </c>
    </row>
    <row r="111" spans="2:17" x14ac:dyDescent="0.2">
      <c r="B111" s="6"/>
      <c r="C111" s="6"/>
      <c r="D111" s="6"/>
      <c r="E111" s="6"/>
      <c r="F111" s="6"/>
      <c r="G111" s="6"/>
      <c r="H111" s="6"/>
      <c r="I111" s="6"/>
      <c r="J111" s="6"/>
      <c r="K111" s="6"/>
      <c r="L111" s="6"/>
      <c r="M111" s="6"/>
      <c r="N111" s="6"/>
      <c r="O111" s="6"/>
      <c r="P111" s="6"/>
    </row>
    <row r="112" spans="2:17" ht="13.5" thickBot="1" x14ac:dyDescent="0.25">
      <c r="B112" s="6"/>
      <c r="C112" s="6"/>
      <c r="D112" s="6"/>
      <c r="E112" s="6"/>
      <c r="F112" s="6"/>
      <c r="G112" s="6"/>
      <c r="H112" s="6"/>
      <c r="I112" s="6"/>
      <c r="J112" s="6"/>
      <c r="K112" s="6"/>
      <c r="L112" s="6"/>
      <c r="M112" s="6"/>
      <c r="N112" s="62" t="s">
        <v>2207</v>
      </c>
      <c r="O112" s="6"/>
      <c r="P112" s="97">
        <f>P108+P110</f>
        <v>538416.39</v>
      </c>
    </row>
  </sheetData>
  <sheetProtection algorithmName="SHA-512" hashValue="UYGjXZwfDIP5soq1sMKAJwbeiH2L7TrM//Yql6Hd38UqAc3RTAu1QHQALaMy0T8320fEB3d3kcS1YV0NnLKwpg==" saltValue="NGC8QDtQWSWbOAcVgq5m0Q==" spinCount="100000" sheet="1" objects="1" scenarios="1"/>
  <mergeCells count="19">
    <mergeCell ref="B13:P13"/>
    <mergeCell ref="D92:F92"/>
    <mergeCell ref="H92:J92"/>
    <mergeCell ref="L92:N92"/>
    <mergeCell ref="D53:F53"/>
    <mergeCell ref="H53:J53"/>
    <mergeCell ref="L53:N53"/>
    <mergeCell ref="D72:F72"/>
    <mergeCell ref="H72:J72"/>
    <mergeCell ref="L72:N72"/>
    <mergeCell ref="D34:F34"/>
    <mergeCell ref="H34:J34"/>
    <mergeCell ref="L34:N34"/>
    <mergeCell ref="D91:F91"/>
    <mergeCell ref="H91:J91"/>
    <mergeCell ref="L91:N91"/>
    <mergeCell ref="D16:F16"/>
    <mergeCell ref="H16:J16"/>
    <mergeCell ref="L16:N16"/>
  </mergeCells>
  <pageMargins left="0.25" right="0.25" top="0.75" bottom="0.75" header="0.3" footer="0.3"/>
  <pageSetup scale="40" orientation="portrait" r:id="rId1"/>
  <headerFooter>
    <oddFooter>&amp;C&amp;A</oddFooter>
  </headerFooter>
  <colBreaks count="1" manualBreakCount="1">
    <brk id="24" max="72"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U60"/>
  <sheetViews>
    <sheetView showGridLines="0" topLeftCell="A23" zoomScaleNormal="100" workbookViewId="0">
      <selection activeCell="L45" sqref="L45"/>
    </sheetView>
  </sheetViews>
  <sheetFormatPr defaultColWidth="9.140625" defaultRowHeight="15" x14ac:dyDescent="0.25"/>
  <cols>
    <col min="1" max="1" width="13.28515625" style="22" customWidth="1"/>
    <col min="2" max="2" width="3.42578125" style="22" customWidth="1"/>
    <col min="3" max="4" width="9.140625" style="22"/>
    <col min="5" max="5" width="9.140625" style="22" customWidth="1"/>
    <col min="6" max="10" width="9.140625" style="22"/>
    <col min="11" max="11" width="11.140625" style="22" bestFit="1" customWidth="1"/>
    <col min="12" max="12" width="9.140625" style="22"/>
    <col min="13" max="13" width="13.42578125" style="22" customWidth="1"/>
    <col min="14" max="26" width="9.140625" style="22"/>
    <col min="27" max="27" width="9.140625" style="22" customWidth="1"/>
    <col min="28" max="16384" width="9.140625" style="22"/>
  </cols>
  <sheetData>
    <row r="1" spans="1:73" x14ac:dyDescent="0.25">
      <c r="A1" s="25"/>
      <c r="B1" s="25"/>
      <c r="C1" s="25"/>
      <c r="D1" s="25"/>
      <c r="E1" s="25"/>
      <c r="F1" s="25"/>
      <c r="G1" s="25"/>
      <c r="H1" s="25"/>
      <c r="I1" s="25"/>
      <c r="J1" s="25"/>
      <c r="K1" s="25"/>
      <c r="L1" s="25"/>
      <c r="M1" s="25"/>
      <c r="N1" s="25"/>
      <c r="O1" s="25"/>
      <c r="P1" s="25"/>
      <c r="Q1" s="25"/>
      <c r="R1" s="25"/>
      <c r="S1" s="25"/>
      <c r="T1" s="25"/>
      <c r="U1" s="531" t="s">
        <v>437</v>
      </c>
      <c r="V1" s="25"/>
      <c r="W1" s="25"/>
      <c r="X1" s="25"/>
      <c r="Y1" s="25"/>
      <c r="Z1" s="25"/>
      <c r="BU1" s="25"/>
    </row>
    <row r="2" spans="1:73" x14ac:dyDescent="0.25">
      <c r="A2" s="25"/>
      <c r="B2" s="25"/>
      <c r="C2" s="25"/>
      <c r="D2" s="25"/>
      <c r="E2" s="25"/>
      <c r="F2" s="25"/>
      <c r="G2" s="25"/>
      <c r="H2" s="25"/>
      <c r="I2" s="25"/>
      <c r="J2" s="25"/>
      <c r="K2" s="25"/>
      <c r="L2" s="25"/>
      <c r="M2" s="25"/>
      <c r="N2" s="25"/>
      <c r="O2" s="25"/>
      <c r="P2" s="25"/>
      <c r="Q2" s="25"/>
      <c r="R2" s="25"/>
      <c r="S2" s="25"/>
      <c r="T2" s="25"/>
      <c r="U2" s="25"/>
      <c r="V2" s="25"/>
      <c r="W2" s="25"/>
      <c r="X2" s="25"/>
      <c r="Y2" s="25"/>
      <c r="Z2" s="25"/>
    </row>
    <row r="3" spans="1:73" x14ac:dyDescent="0.25">
      <c r="A3" s="25"/>
      <c r="B3" s="25"/>
      <c r="C3" s="25"/>
      <c r="D3" s="25"/>
      <c r="E3" s="25"/>
      <c r="F3" s="25"/>
      <c r="G3" s="25"/>
      <c r="H3" s="25"/>
      <c r="I3" s="25"/>
      <c r="J3" s="25"/>
      <c r="K3" s="25"/>
      <c r="L3" s="25"/>
      <c r="M3" s="25"/>
      <c r="N3" s="25"/>
      <c r="O3" s="25"/>
      <c r="P3" s="25"/>
      <c r="Q3" s="25"/>
      <c r="R3" s="25"/>
      <c r="S3" s="25"/>
      <c r="T3" s="25"/>
      <c r="U3" s="25"/>
      <c r="V3" s="25"/>
      <c r="W3" s="25"/>
      <c r="X3" s="25"/>
      <c r="Y3" s="25"/>
      <c r="Z3" s="25"/>
    </row>
    <row r="4" spans="1:73" x14ac:dyDescent="0.25">
      <c r="A4" s="25"/>
      <c r="B4" s="25"/>
      <c r="C4" s="25"/>
      <c r="D4" s="25"/>
      <c r="E4" s="25"/>
      <c r="F4" s="25"/>
      <c r="G4" s="25"/>
      <c r="H4" s="25"/>
      <c r="I4" s="25"/>
      <c r="J4" s="25"/>
      <c r="K4" s="25"/>
      <c r="L4" s="25"/>
      <c r="M4" s="25"/>
      <c r="N4" s="25"/>
      <c r="O4" s="25"/>
      <c r="P4" s="25"/>
      <c r="Q4" s="25"/>
      <c r="R4" s="25"/>
      <c r="S4" s="25"/>
      <c r="T4" s="25"/>
      <c r="U4" s="25"/>
      <c r="V4" s="25"/>
      <c r="W4" s="25"/>
      <c r="X4" s="25"/>
      <c r="Y4" s="25"/>
      <c r="Z4" s="25"/>
    </row>
    <row r="5" spans="1:73" x14ac:dyDescent="0.25">
      <c r="A5" s="25"/>
      <c r="B5" s="25"/>
      <c r="C5" s="25"/>
      <c r="D5" s="25"/>
      <c r="E5" s="25"/>
      <c r="F5" s="25"/>
      <c r="G5" s="25"/>
      <c r="H5" s="25"/>
      <c r="I5" s="25"/>
      <c r="J5" s="25"/>
      <c r="K5" s="25"/>
      <c r="L5" s="25"/>
      <c r="M5" s="25"/>
      <c r="N5" s="25"/>
      <c r="O5" s="25"/>
      <c r="P5" s="25"/>
      <c r="Q5" s="25"/>
      <c r="R5" s="25"/>
      <c r="S5" s="25"/>
      <c r="T5" s="25"/>
      <c r="U5" s="25"/>
      <c r="V5" s="25"/>
      <c r="W5" s="25"/>
      <c r="X5" s="25"/>
      <c r="Y5" s="25"/>
      <c r="Z5" s="25"/>
    </row>
    <row r="6" spans="1:73" x14ac:dyDescent="0.25">
      <c r="A6" s="25"/>
      <c r="B6" s="25"/>
      <c r="C6" s="25"/>
      <c r="D6" s="25"/>
      <c r="E6" s="25"/>
      <c r="F6" s="25"/>
      <c r="G6" s="25"/>
      <c r="H6" s="25"/>
      <c r="I6" s="25"/>
      <c r="J6" s="25"/>
      <c r="K6" s="25"/>
      <c r="L6" s="25"/>
      <c r="M6" s="25"/>
      <c r="N6" s="25"/>
      <c r="O6" s="25"/>
      <c r="P6" s="25"/>
      <c r="Q6" s="25"/>
      <c r="R6" s="25"/>
      <c r="S6" s="25"/>
      <c r="T6" s="25"/>
      <c r="U6" s="25"/>
      <c r="V6" s="25"/>
      <c r="W6" s="25"/>
      <c r="X6" s="25"/>
      <c r="Y6" s="25"/>
      <c r="Z6" s="25"/>
    </row>
    <row r="7" spans="1:73" x14ac:dyDescent="0.25">
      <c r="A7" s="25"/>
      <c r="B7" s="25"/>
      <c r="C7" s="25"/>
      <c r="D7" s="25"/>
      <c r="E7" s="25"/>
      <c r="F7" s="25"/>
      <c r="G7" s="25"/>
      <c r="H7" s="25"/>
      <c r="I7" s="25"/>
      <c r="J7" s="25"/>
      <c r="K7" s="25"/>
      <c r="L7" s="25"/>
      <c r="M7" s="25"/>
      <c r="N7" s="25"/>
      <c r="O7" s="25"/>
      <c r="P7" s="25"/>
      <c r="Q7" s="25"/>
      <c r="R7" s="25"/>
      <c r="S7" s="25"/>
      <c r="T7" s="25"/>
      <c r="U7" s="25"/>
      <c r="V7" s="25"/>
      <c r="W7" s="25"/>
      <c r="X7" s="25"/>
      <c r="Y7" s="25"/>
      <c r="Z7" s="25"/>
    </row>
    <row r="8" spans="1:73" x14ac:dyDescent="0.25">
      <c r="A8" s="25"/>
      <c r="B8" s="25"/>
      <c r="C8" s="25"/>
      <c r="D8" s="25"/>
      <c r="E8" s="25"/>
      <c r="F8" s="25"/>
      <c r="G8" s="25"/>
      <c r="H8" s="25"/>
      <c r="I8" s="25"/>
      <c r="J8" s="25"/>
      <c r="K8" s="25"/>
      <c r="L8" s="25"/>
      <c r="M8" s="25"/>
      <c r="N8" s="25"/>
      <c r="O8" s="25"/>
      <c r="P8" s="25"/>
      <c r="Q8" s="25"/>
      <c r="R8" s="25"/>
      <c r="S8" s="25"/>
      <c r="T8" s="25"/>
      <c r="U8" s="25"/>
      <c r="V8" s="25"/>
      <c r="W8" s="25"/>
      <c r="X8" s="25"/>
      <c r="Y8" s="25"/>
      <c r="Z8" s="25"/>
    </row>
    <row r="9" spans="1:73" x14ac:dyDescent="0.25">
      <c r="A9" s="25"/>
      <c r="B9" s="25"/>
      <c r="C9" s="25"/>
      <c r="D9" s="25"/>
      <c r="E9" s="25"/>
      <c r="F9" s="25"/>
      <c r="G9" s="25"/>
      <c r="H9" s="25"/>
      <c r="I9" s="25"/>
      <c r="J9" s="25"/>
      <c r="K9" s="25"/>
      <c r="L9" s="25"/>
      <c r="M9" s="25"/>
      <c r="N9" s="25"/>
      <c r="O9" s="25"/>
      <c r="P9" s="25"/>
      <c r="Q9" s="25"/>
      <c r="R9" s="25"/>
      <c r="S9" s="25"/>
      <c r="T9" s="25"/>
      <c r="U9" s="25"/>
      <c r="V9" s="25"/>
      <c r="W9" s="25"/>
      <c r="X9" s="25"/>
      <c r="Y9" s="25"/>
      <c r="Z9" s="25"/>
    </row>
    <row r="10" spans="1:73" x14ac:dyDescent="0.25">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row>
    <row r="11" spans="1:73" x14ac:dyDescent="0.25">
      <c r="A11" s="25"/>
      <c r="B11" s="25"/>
      <c r="C11" s="25"/>
      <c r="D11" s="25"/>
      <c r="E11" s="25"/>
      <c r="F11" s="25"/>
      <c r="G11" s="532"/>
      <c r="H11" s="25"/>
      <c r="I11" s="25"/>
      <c r="J11" s="25"/>
      <c r="K11" s="25"/>
      <c r="L11" s="25"/>
      <c r="M11" s="25"/>
      <c r="N11" s="25"/>
      <c r="O11" s="25"/>
      <c r="P11" s="25"/>
      <c r="Q11" s="25"/>
      <c r="R11" s="25"/>
      <c r="S11" s="25"/>
      <c r="T11" s="25"/>
      <c r="U11" s="25"/>
      <c r="V11" s="25"/>
      <c r="W11" s="25"/>
      <c r="X11" s="25"/>
      <c r="Y11" s="25"/>
      <c r="Z11" s="25"/>
    </row>
    <row r="12" spans="1:73" x14ac:dyDescent="0.25">
      <c r="A12" s="25"/>
      <c r="B12" s="533"/>
      <c r="C12" s="533"/>
      <c r="D12" s="533"/>
      <c r="E12" s="533"/>
      <c r="F12" s="533"/>
      <c r="G12" s="532"/>
      <c r="H12" s="25"/>
      <c r="I12" s="25"/>
      <c r="J12" s="25"/>
      <c r="K12" s="25"/>
      <c r="L12" s="25"/>
      <c r="M12" s="534" t="s">
        <v>0</v>
      </c>
      <c r="N12" s="535">
        <v>2</v>
      </c>
      <c r="O12" s="25"/>
      <c r="P12" s="25"/>
      <c r="Q12" s="25"/>
      <c r="R12" s="25"/>
      <c r="S12" s="25"/>
      <c r="T12" s="25"/>
      <c r="U12" s="25"/>
      <c r="V12" s="25"/>
      <c r="W12" s="25"/>
      <c r="X12" s="25"/>
      <c r="Y12" s="25"/>
      <c r="Z12" s="25"/>
    </row>
    <row r="13" spans="1:73" ht="15.75" thickBot="1" x14ac:dyDescent="0.3">
      <c r="A13" s="25"/>
      <c r="B13" s="25"/>
      <c r="C13" s="25"/>
      <c r="D13" s="25"/>
      <c r="E13" s="25"/>
      <c r="F13" s="25"/>
      <c r="G13" s="532"/>
      <c r="H13" s="25"/>
      <c r="I13" s="25"/>
      <c r="J13" s="25"/>
      <c r="K13" s="25"/>
      <c r="L13" s="25"/>
      <c r="M13" s="25"/>
      <c r="N13" s="25"/>
      <c r="O13" s="25"/>
      <c r="P13" s="25"/>
      <c r="Q13" s="25"/>
      <c r="R13" s="25"/>
      <c r="S13" s="25"/>
      <c r="T13" s="25"/>
      <c r="U13" s="25"/>
      <c r="V13" s="25"/>
      <c r="W13" s="25"/>
      <c r="X13" s="25"/>
      <c r="Y13" s="25"/>
      <c r="Z13" s="25"/>
    </row>
    <row r="14" spans="1:73" ht="16.5" customHeight="1" thickTop="1" thickBot="1" x14ac:dyDescent="0.3">
      <c r="A14" s="25"/>
      <c r="B14" s="25"/>
      <c r="C14" s="25"/>
      <c r="D14" s="25"/>
      <c r="E14" s="536" t="s">
        <v>1</v>
      </c>
      <c r="F14" s="1669" t="s">
        <v>208</v>
      </c>
      <c r="G14" s="1670"/>
      <c r="H14" s="1670"/>
      <c r="I14" s="1670"/>
      <c r="J14" s="1670"/>
      <c r="K14" s="1670"/>
      <c r="L14" s="1671"/>
      <c r="M14" s="25"/>
      <c r="N14" s="25"/>
      <c r="O14" s="25"/>
      <c r="P14" s="25"/>
      <c r="Q14" s="25"/>
      <c r="R14" s="25"/>
      <c r="S14" s="25"/>
      <c r="T14" s="25"/>
      <c r="U14" s="25"/>
      <c r="V14" s="25"/>
      <c r="W14" s="25"/>
      <c r="X14" s="25"/>
      <c r="Y14" s="25"/>
      <c r="Z14" s="25"/>
    </row>
    <row r="15" spans="1:73" ht="15.75" hidden="1" thickBot="1" x14ac:dyDescent="0.3">
      <c r="A15" s="25"/>
      <c r="B15" s="25"/>
      <c r="C15" s="25"/>
      <c r="D15" s="25"/>
      <c r="E15" s="537"/>
      <c r="F15" s="538"/>
      <c r="G15" s="539"/>
      <c r="H15" s="538"/>
      <c r="I15" s="538"/>
      <c r="J15" s="538"/>
      <c r="K15" s="25"/>
      <c r="L15" s="25"/>
      <c r="M15" s="25"/>
      <c r="N15" s="25"/>
      <c r="O15" s="25"/>
      <c r="P15" s="25"/>
      <c r="Q15" s="25"/>
      <c r="R15" s="25"/>
      <c r="S15" s="25"/>
      <c r="T15" s="25"/>
      <c r="U15" s="25"/>
      <c r="V15" s="25"/>
      <c r="W15" s="25"/>
      <c r="X15" s="25"/>
      <c r="Y15" s="25"/>
      <c r="Z15" s="25"/>
    </row>
    <row r="16" spans="1:73" ht="16.5" hidden="1" thickTop="1" thickBot="1" x14ac:dyDescent="0.3">
      <c r="A16" s="25"/>
      <c r="B16" s="25"/>
      <c r="C16" s="25"/>
      <c r="D16" s="25"/>
      <c r="E16" s="540" t="s">
        <v>9</v>
      </c>
      <c r="F16" s="1672"/>
      <c r="G16" s="1673"/>
      <c r="H16" s="1673"/>
      <c r="I16" s="1673"/>
      <c r="J16" s="1674"/>
      <c r="K16" s="25"/>
      <c r="L16" s="25"/>
      <c r="M16" s="25"/>
      <c r="N16" s="25"/>
      <c r="O16" s="25"/>
      <c r="P16" s="25"/>
      <c r="Q16" s="25"/>
      <c r="R16" s="25"/>
      <c r="S16" s="25"/>
      <c r="T16" s="25"/>
      <c r="U16" s="25"/>
      <c r="V16" s="25"/>
      <c r="W16" s="25"/>
      <c r="X16" s="25"/>
      <c r="Y16" s="25"/>
      <c r="Z16" s="25"/>
    </row>
    <row r="17" spans="1:26" ht="15.75" thickBot="1" x14ac:dyDescent="0.3">
      <c r="A17" s="25"/>
      <c r="B17" s="25"/>
      <c r="C17" s="25"/>
      <c r="D17" s="25"/>
      <c r="E17" s="541"/>
      <c r="F17" s="25"/>
      <c r="G17" s="25"/>
      <c r="H17" s="25"/>
      <c r="I17" s="25"/>
      <c r="J17" s="25"/>
      <c r="K17" s="25"/>
      <c r="L17" s="25"/>
      <c r="M17" s="25"/>
      <c r="N17" s="25"/>
      <c r="O17" s="25"/>
      <c r="P17" s="25"/>
      <c r="Q17" s="25"/>
      <c r="R17" s="25"/>
      <c r="S17" s="25"/>
      <c r="T17" s="25"/>
      <c r="U17" s="25"/>
      <c r="V17" s="25"/>
      <c r="W17" s="25"/>
      <c r="X17" s="25"/>
      <c r="Y17" s="25"/>
      <c r="Z17" s="25"/>
    </row>
    <row r="18" spans="1:26" ht="16.5" thickTop="1" thickBot="1" x14ac:dyDescent="0.3">
      <c r="A18" s="25"/>
      <c r="B18" s="25"/>
      <c r="C18" s="25"/>
      <c r="D18" s="25"/>
      <c r="E18" s="540" t="s">
        <v>10</v>
      </c>
      <c r="F18" s="1685" t="s">
        <v>6901</v>
      </c>
      <c r="G18" s="1686"/>
      <c r="H18" s="1686"/>
      <c r="I18" s="25"/>
      <c r="J18" s="25"/>
      <c r="K18" s="25"/>
      <c r="L18" s="25"/>
      <c r="M18" s="25"/>
      <c r="N18" s="25"/>
      <c r="O18" s="25"/>
      <c r="P18" s="25"/>
      <c r="Q18" s="25"/>
      <c r="R18" s="25"/>
      <c r="S18" s="25"/>
      <c r="T18" s="25"/>
      <c r="U18" s="25"/>
      <c r="V18" s="25"/>
      <c r="W18" s="25"/>
      <c r="X18" s="25"/>
      <c r="Y18" s="25"/>
      <c r="Z18" s="25"/>
    </row>
    <row r="19" spans="1:26" ht="15.75" thickBot="1" x14ac:dyDescent="0.3">
      <c r="A19" s="25"/>
      <c r="B19" s="25"/>
      <c r="C19" s="25"/>
      <c r="D19" s="25"/>
      <c r="E19" s="541"/>
      <c r="F19" s="25"/>
      <c r="G19" s="25"/>
      <c r="H19" s="25"/>
      <c r="I19" s="25"/>
      <c r="J19" s="25"/>
      <c r="K19" s="25"/>
      <c r="L19" s="25"/>
      <c r="M19" s="25"/>
      <c r="N19" s="25"/>
      <c r="O19" s="25"/>
      <c r="P19" s="25"/>
      <c r="Q19" s="25"/>
      <c r="R19" s="25"/>
      <c r="S19" s="25"/>
      <c r="T19" s="25"/>
      <c r="U19" s="25"/>
      <c r="V19" s="25"/>
      <c r="W19" s="25"/>
      <c r="X19" s="25"/>
      <c r="Y19" s="25"/>
      <c r="Z19" s="25"/>
    </row>
    <row r="20" spans="1:26" ht="16.5" thickTop="1" thickBot="1" x14ac:dyDescent="0.3">
      <c r="A20" s="25"/>
      <c r="B20" s="25"/>
      <c r="C20" s="25"/>
      <c r="D20" s="25"/>
      <c r="E20" s="540" t="s">
        <v>213</v>
      </c>
      <c r="F20" s="1685" t="s">
        <v>6902</v>
      </c>
      <c r="G20" s="1686"/>
      <c r="H20" s="1686"/>
      <c r="I20" s="1686"/>
      <c r="J20" s="1686"/>
      <c r="K20" s="1686"/>
      <c r="L20" s="25"/>
      <c r="M20" s="542"/>
      <c r="N20" s="25"/>
      <c r="O20" s="25"/>
      <c r="P20" s="25"/>
      <c r="Q20" s="25"/>
      <c r="R20" s="25"/>
      <c r="S20" s="25"/>
      <c r="T20" s="25"/>
      <c r="U20" s="25"/>
      <c r="V20" s="25"/>
      <c r="W20" s="25"/>
      <c r="X20" s="25"/>
      <c r="Y20" s="25"/>
      <c r="Z20" s="25"/>
    </row>
    <row r="21" spans="1:26" ht="15.75" thickBot="1" x14ac:dyDescent="0.3">
      <c r="A21" s="25"/>
      <c r="B21" s="25"/>
      <c r="C21" s="25"/>
      <c r="D21" s="25"/>
      <c r="E21" s="543"/>
      <c r="F21" s="538"/>
      <c r="G21" s="539"/>
      <c r="H21" s="538"/>
      <c r="I21" s="538"/>
      <c r="J21" s="538"/>
      <c r="K21" s="25"/>
      <c r="L21" s="25"/>
      <c r="M21" s="25"/>
      <c r="N21" s="25"/>
      <c r="O21" s="25"/>
      <c r="P21" s="25"/>
      <c r="Q21" s="25"/>
      <c r="R21" s="25"/>
      <c r="S21" s="25"/>
      <c r="T21" s="25"/>
      <c r="U21" s="25"/>
      <c r="V21" s="25"/>
      <c r="W21" s="25"/>
      <c r="X21" s="25"/>
      <c r="Y21" s="25"/>
      <c r="Z21" s="25"/>
    </row>
    <row r="22" spans="1:26" ht="16.5" thickTop="1" thickBot="1" x14ac:dyDescent="0.3">
      <c r="A22" s="25"/>
      <c r="B22" s="25"/>
      <c r="C22" s="25"/>
      <c r="D22" s="25"/>
      <c r="E22" s="536" t="s">
        <v>2</v>
      </c>
      <c r="F22" s="1685" t="s">
        <v>6903</v>
      </c>
      <c r="G22" s="1686"/>
      <c r="H22" s="1686"/>
      <c r="I22" s="25"/>
      <c r="J22" s="25"/>
      <c r="K22" s="25"/>
      <c r="L22" s="25"/>
      <c r="M22" s="25"/>
      <c r="N22" s="25"/>
      <c r="O22" s="25"/>
      <c r="P22" s="25"/>
      <c r="Q22" s="25"/>
      <c r="R22" s="25"/>
      <c r="S22" s="25"/>
      <c r="T22" s="25"/>
      <c r="U22" s="25"/>
      <c r="V22" s="25"/>
      <c r="W22" s="25"/>
      <c r="X22" s="25"/>
      <c r="Y22" s="25"/>
      <c r="Z22" s="25"/>
    </row>
    <row r="23" spans="1:26" ht="15.75" thickBot="1" x14ac:dyDescent="0.3">
      <c r="A23" s="25"/>
      <c r="B23" s="25"/>
      <c r="C23" s="25"/>
      <c r="D23" s="25"/>
      <c r="E23" s="543"/>
      <c r="F23" s="538"/>
      <c r="G23" s="539"/>
      <c r="H23" s="538"/>
      <c r="I23" s="538"/>
      <c r="J23" s="538"/>
      <c r="K23" s="25"/>
      <c r="L23" s="25"/>
      <c r="M23" s="25"/>
      <c r="N23" s="25"/>
      <c r="O23" s="25"/>
      <c r="P23" s="25"/>
      <c r="Q23" s="25"/>
      <c r="R23" s="25"/>
      <c r="S23" s="25"/>
      <c r="T23" s="25"/>
      <c r="U23" s="25"/>
      <c r="V23" s="25"/>
      <c r="W23" s="25"/>
      <c r="X23" s="25"/>
      <c r="Y23" s="25"/>
      <c r="Z23" s="25"/>
    </row>
    <row r="24" spans="1:26" ht="16.5" thickTop="1" thickBot="1" x14ac:dyDescent="0.3">
      <c r="A24" s="25"/>
      <c r="B24" s="25"/>
      <c r="C24" s="25"/>
      <c r="D24" s="25"/>
      <c r="E24" s="536" t="s">
        <v>3</v>
      </c>
      <c r="F24" s="1677" t="s">
        <v>6904</v>
      </c>
      <c r="G24" s="1678"/>
      <c r="H24" s="1678"/>
      <c r="I24" s="1678"/>
      <c r="J24" s="1679"/>
      <c r="K24" s="25"/>
      <c r="L24" s="25"/>
      <c r="M24" s="25"/>
      <c r="N24" s="25"/>
      <c r="O24" s="25"/>
      <c r="P24" s="25"/>
      <c r="Q24" s="25"/>
      <c r="R24" s="25"/>
      <c r="S24" s="25"/>
      <c r="T24" s="25"/>
      <c r="U24" s="25"/>
      <c r="V24" s="25"/>
      <c r="W24" s="25"/>
      <c r="X24" s="25"/>
      <c r="Y24" s="25"/>
      <c r="Z24" s="25"/>
    </row>
    <row r="25" spans="1:26" ht="15.75" thickBot="1" x14ac:dyDescent="0.3">
      <c r="A25" s="25"/>
      <c r="B25" s="25"/>
      <c r="C25" s="25"/>
      <c r="D25" s="25"/>
      <c r="E25" s="543"/>
      <c r="F25" s="538"/>
      <c r="G25" s="539"/>
      <c r="H25" s="538"/>
      <c r="I25" s="538"/>
      <c r="J25" s="538"/>
      <c r="K25" s="25"/>
      <c r="L25" s="25"/>
      <c r="M25" s="25"/>
      <c r="N25" s="25"/>
      <c r="O25" s="25"/>
      <c r="P25" s="25"/>
      <c r="Q25" s="25"/>
      <c r="R25" s="25"/>
      <c r="S25" s="25"/>
      <c r="T25" s="25"/>
      <c r="U25" s="25"/>
      <c r="V25" s="25"/>
      <c r="W25" s="25"/>
      <c r="X25" s="25"/>
      <c r="Y25" s="25"/>
      <c r="Z25" s="25"/>
    </row>
    <row r="26" spans="1:26" ht="16.5" thickTop="1" thickBot="1" x14ac:dyDescent="0.3">
      <c r="A26" s="25"/>
      <c r="B26" s="25"/>
      <c r="C26" s="25"/>
      <c r="D26" s="25"/>
      <c r="E26" s="536" t="s">
        <v>4</v>
      </c>
      <c r="F26" s="1666">
        <v>43586</v>
      </c>
      <c r="G26" s="1667"/>
      <c r="H26" s="1667"/>
      <c r="I26" s="25"/>
      <c r="J26" s="25"/>
      <c r="K26" s="894"/>
      <c r="L26" s="25"/>
      <c r="M26" s="25"/>
      <c r="N26" s="25"/>
      <c r="O26" s="25"/>
      <c r="P26" s="25"/>
      <c r="Q26" s="25"/>
      <c r="R26" s="25"/>
      <c r="S26" s="25"/>
      <c r="T26" s="25"/>
      <c r="U26" s="25"/>
      <c r="V26" s="25"/>
      <c r="W26" s="25"/>
      <c r="X26" s="25"/>
      <c r="Y26" s="25"/>
      <c r="Z26" s="25"/>
    </row>
    <row r="27" spans="1:26" ht="15.75" thickBot="1" x14ac:dyDescent="0.3">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6.5" thickTop="1" thickBot="1" x14ac:dyDescent="0.3">
      <c r="A28" s="25"/>
      <c r="B28" s="25"/>
      <c r="C28" s="25"/>
      <c r="D28" s="25"/>
      <c r="E28" s="544" t="s">
        <v>247</v>
      </c>
      <c r="F28" s="1680" t="s">
        <v>6905</v>
      </c>
      <c r="G28" s="1681"/>
      <c r="H28" s="1682"/>
      <c r="I28" s="25"/>
      <c r="J28" s="25"/>
      <c r="K28" s="25"/>
      <c r="L28" s="25"/>
      <c r="M28" s="25"/>
      <c r="N28" s="25"/>
      <c r="O28" s="25"/>
      <c r="P28" s="25"/>
      <c r="Q28" s="25"/>
      <c r="R28" s="25"/>
      <c r="S28" s="25"/>
      <c r="T28" s="25"/>
      <c r="U28" s="25"/>
      <c r="V28" s="25"/>
      <c r="W28" s="25"/>
      <c r="X28" s="25"/>
      <c r="Y28" s="25"/>
      <c r="Z28" s="25"/>
    </row>
    <row r="29" spans="1:26" ht="15.75" thickBot="1" x14ac:dyDescent="0.3">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28.5" customHeight="1" thickTop="1" thickBot="1" x14ac:dyDescent="0.3">
      <c r="A30" s="1683" t="s">
        <v>431</v>
      </c>
      <c r="B30" s="1683"/>
      <c r="C30" s="1683"/>
      <c r="D30" s="1683"/>
      <c r="E30" s="1684"/>
      <c r="F30" s="1680">
        <v>2018</v>
      </c>
      <c r="G30" s="1681"/>
      <c r="H30" s="1682"/>
      <c r="I30" s="25"/>
      <c r="J30" s="25"/>
      <c r="K30" s="25"/>
      <c r="L30" s="25"/>
      <c r="M30" s="25"/>
      <c r="N30" s="25"/>
      <c r="O30" s="25"/>
      <c r="P30" s="25"/>
      <c r="Q30" s="25"/>
      <c r="R30" s="25"/>
      <c r="S30" s="25"/>
      <c r="T30" s="25"/>
      <c r="U30" s="25"/>
      <c r="V30" s="25"/>
      <c r="W30" s="25"/>
      <c r="X30" s="25"/>
      <c r="Y30" s="25"/>
      <c r="Z30" s="25"/>
    </row>
    <row r="31" spans="1:26" ht="9.75" customHeight="1" thickBot="1" x14ac:dyDescent="0.3">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28.5" customHeight="1" thickTop="1" thickBot="1" x14ac:dyDescent="0.3">
      <c r="A32" s="1683" t="s">
        <v>441</v>
      </c>
      <c r="B32" s="1683"/>
      <c r="C32" s="1683"/>
      <c r="D32" s="1683"/>
      <c r="E32" s="1684"/>
      <c r="F32" s="1680">
        <v>2016</v>
      </c>
      <c r="G32" s="1681"/>
      <c r="H32" s="1682"/>
      <c r="I32" s="25"/>
      <c r="J32" s="25"/>
      <c r="K32" s="25"/>
      <c r="L32" s="25"/>
      <c r="M32" s="25"/>
      <c r="N32" s="25"/>
      <c r="O32" s="25"/>
      <c r="P32" s="25"/>
      <c r="Q32" s="25"/>
      <c r="R32" s="25"/>
      <c r="S32" s="25"/>
      <c r="T32" s="25"/>
      <c r="U32" s="25"/>
      <c r="V32" s="25"/>
      <c r="W32" s="25"/>
      <c r="X32" s="25"/>
      <c r="Y32" s="25"/>
      <c r="Z32" s="25"/>
    </row>
    <row r="33" spans="1:26" ht="9.75"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9.75" customHeight="1"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x14ac:dyDescent="0.25">
      <c r="A35" s="25"/>
      <c r="B35" s="545" t="s">
        <v>2910</v>
      </c>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75" thickBot="1" x14ac:dyDescent="0.3">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75" thickBot="1" x14ac:dyDescent="0.3">
      <c r="A37" s="25"/>
      <c r="B37" s="546"/>
      <c r="C37" s="1663" t="s">
        <v>214</v>
      </c>
      <c r="D37" s="1663"/>
      <c r="E37" s="1663"/>
      <c r="F37" s="1663"/>
      <c r="G37" s="1663"/>
      <c r="H37" s="1663"/>
      <c r="I37" s="1663"/>
      <c r="J37" s="1663"/>
      <c r="K37" s="1663"/>
      <c r="L37" s="1663"/>
      <c r="M37" s="25"/>
      <c r="N37" s="25"/>
      <c r="O37" s="25"/>
      <c r="P37" s="25"/>
      <c r="Q37" s="25"/>
      <c r="R37" s="25"/>
      <c r="S37" s="25"/>
      <c r="T37" s="25"/>
      <c r="U37" s="25"/>
      <c r="V37" s="25"/>
      <c r="W37" s="25"/>
      <c r="X37" s="25"/>
      <c r="Y37" s="25"/>
      <c r="Z37" s="25"/>
    </row>
    <row r="38" spans="1:26" ht="15.75" thickBot="1" x14ac:dyDescent="0.3">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75" thickBot="1" x14ac:dyDescent="0.3">
      <c r="A39" s="25"/>
      <c r="B39" s="547"/>
      <c r="C39" s="1664" t="s">
        <v>215</v>
      </c>
      <c r="D39" s="1665"/>
      <c r="E39" s="1665"/>
      <c r="F39" s="1665"/>
      <c r="G39" s="1665"/>
      <c r="H39" s="1665"/>
      <c r="I39" s="1665"/>
      <c r="J39" s="1665"/>
      <c r="K39" s="1665"/>
      <c r="L39" s="1665"/>
      <c r="M39" s="1665"/>
      <c r="N39" s="1665"/>
      <c r="O39" s="25"/>
      <c r="P39" s="25"/>
      <c r="Q39" s="25"/>
      <c r="R39" s="25"/>
      <c r="S39" s="25"/>
      <c r="T39" s="25"/>
      <c r="U39" s="25"/>
      <c r="V39" s="25"/>
      <c r="W39" s="25"/>
      <c r="X39" s="25"/>
      <c r="Y39" s="25"/>
      <c r="Z39" s="25"/>
    </row>
    <row r="40" spans="1:26" ht="15.75" thickBot="1" x14ac:dyDescent="0.3">
      <c r="A40" s="25"/>
      <c r="B40" s="512"/>
      <c r="C40" s="594"/>
      <c r="D40" s="594"/>
      <c r="E40" s="594"/>
      <c r="F40" s="594"/>
      <c r="G40" s="594"/>
      <c r="H40" s="594"/>
      <c r="I40" s="594"/>
      <c r="J40" s="594"/>
      <c r="K40" s="594"/>
      <c r="L40" s="594"/>
      <c r="M40" s="594"/>
      <c r="N40" s="594"/>
      <c r="O40" s="25"/>
      <c r="P40" s="25"/>
      <c r="Q40" s="25"/>
      <c r="R40" s="25"/>
      <c r="S40" s="25"/>
      <c r="T40" s="25"/>
      <c r="U40" s="25"/>
      <c r="V40" s="25"/>
      <c r="W40" s="25"/>
      <c r="X40" s="25"/>
      <c r="Y40" s="25"/>
      <c r="Z40" s="25"/>
    </row>
    <row r="41" spans="1:26" ht="15.75" customHeight="1" thickBot="1" x14ac:dyDescent="0.3">
      <c r="A41" s="25"/>
      <c r="B41" s="548"/>
      <c r="C41" s="1664" t="s">
        <v>1812</v>
      </c>
      <c r="D41" s="1665"/>
      <c r="E41" s="1665"/>
      <c r="F41" s="1665"/>
      <c r="G41" s="1665"/>
      <c r="H41" s="1665"/>
      <c r="I41" s="1665"/>
      <c r="J41" s="1665"/>
      <c r="K41" s="1665"/>
      <c r="L41" s="1665"/>
      <c r="M41" s="594"/>
      <c r="N41" s="594"/>
      <c r="O41" s="25"/>
      <c r="P41" s="25"/>
      <c r="Q41" s="25"/>
      <c r="R41" s="25"/>
      <c r="S41" s="25"/>
      <c r="T41" s="25"/>
      <c r="U41" s="25"/>
      <c r="V41" s="25"/>
      <c r="W41" s="25"/>
      <c r="X41" s="25"/>
      <c r="Y41" s="25"/>
      <c r="Z41" s="25"/>
    </row>
    <row r="42" spans="1:26" ht="15.75" thickBot="1" x14ac:dyDescent="0.3">
      <c r="A42" s="25"/>
      <c r="B42" s="549"/>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thickBot="1" x14ac:dyDescent="0.3">
      <c r="A43" s="25"/>
      <c r="B43" s="550"/>
      <c r="C43" s="1675" t="s">
        <v>216</v>
      </c>
      <c r="D43" s="1676"/>
      <c r="E43" s="1676"/>
      <c r="F43" s="1676"/>
      <c r="G43" s="1676"/>
      <c r="H43" s="1676"/>
      <c r="I43" s="1676"/>
      <c r="J43" s="1676"/>
      <c r="K43" s="1676"/>
      <c r="L43" s="1676"/>
      <c r="M43" s="1676"/>
      <c r="N43" s="25"/>
      <c r="O43" s="25"/>
      <c r="P43" s="25"/>
      <c r="Q43" s="25"/>
      <c r="R43" s="25"/>
      <c r="S43" s="25"/>
      <c r="T43" s="25"/>
      <c r="U43" s="25"/>
      <c r="V43" s="25"/>
      <c r="W43" s="25"/>
      <c r="X43" s="25"/>
      <c r="Y43" s="25"/>
      <c r="Z43" s="25"/>
    </row>
    <row r="44" spans="1:26" ht="4.5" customHeight="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30.75" customHeight="1" x14ac:dyDescent="0.25">
      <c r="A46" s="1668" t="s">
        <v>432</v>
      </c>
      <c r="B46" s="1668"/>
      <c r="C46" s="1668"/>
      <c r="D46" s="1668"/>
      <c r="E46" s="1668"/>
      <c r="F46" s="1668"/>
      <c r="G46" s="1668"/>
      <c r="H46" s="25"/>
      <c r="I46" s="25"/>
      <c r="J46" s="25"/>
      <c r="K46" s="25"/>
      <c r="L46" s="25"/>
      <c r="M46" s="25"/>
      <c r="N46" s="25"/>
      <c r="O46" s="25"/>
      <c r="P46" s="25"/>
      <c r="Q46" s="25"/>
      <c r="R46" s="25"/>
      <c r="S46" s="25"/>
      <c r="T46" s="25"/>
      <c r="U46" s="25"/>
      <c r="V46" s="25"/>
      <c r="W46" s="25"/>
      <c r="X46" s="25"/>
      <c r="Y46" s="25"/>
      <c r="Z46" s="25"/>
    </row>
    <row r="47" spans="1:26"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sheetData>
  <sheetProtection algorithmName="SHA-512" hashValue="aZZABObKpBDv4jgig4ItT16mdXqwuIH0sEuEmoFygAVPc3xLw+Zk18dZGuc4nIAll96IkWEPl/GkSTzuxn1SZw==" saltValue="s6gZiGN3XfZD51pNz0Lv5g==" spinCount="100000" sheet="1" objects="1" scenarios="1"/>
  <mergeCells count="17">
    <mergeCell ref="F14:L14"/>
    <mergeCell ref="F16:J16"/>
    <mergeCell ref="C43:M43"/>
    <mergeCell ref="F24:J24"/>
    <mergeCell ref="F28:H28"/>
    <mergeCell ref="F30:H30"/>
    <mergeCell ref="A30:E30"/>
    <mergeCell ref="A32:E32"/>
    <mergeCell ref="F32:H32"/>
    <mergeCell ref="F18:H18"/>
    <mergeCell ref="F20:K20"/>
    <mergeCell ref="F22:H22"/>
    <mergeCell ref="C37:L37"/>
    <mergeCell ref="C39:N39"/>
    <mergeCell ref="C41:L41"/>
    <mergeCell ref="F26:H26"/>
    <mergeCell ref="A46:G46"/>
  </mergeCells>
  <dataValidations count="6">
    <dataValidation allowBlank="1" showInputMessage="1" showErrorMessage="1" prompt="First and last name, title" sqref="F20"/>
    <dataValidation type="list" showErrorMessage="1" errorTitle="Selection Needed" error="Please select an option from the drop-down list." prompt="Use the following format eg: January 1, 2013" sqref="F28:H28">
      <formula1>"Price Cap IR, Annual IR Index"</formula1>
    </dataValidation>
    <dataValidation type="list" errorTitle="Selection Needed" error="Please select an option from the drop-down list." prompt="Use the following format eg: January 1, 2013" sqref="F32:H32">
      <formula1>"2009, 2010, 2011, 2012, 2013, 2014, 2015, 2016, 2017, 2018"</formula1>
    </dataValidation>
    <dataValidation type="list" errorTitle="Selection Needed" error="Please select an option from the drop-down list." prompt="Use the following format eg: January 1, 2013" sqref="F30:H30">
      <formula1>"2012, 2013, 2014, 2015, 2016, 2017, 2018"</formula1>
    </dataValidation>
    <dataValidation type="list" allowBlank="1" showInputMessage="1" showErrorMessage="1" sqref="F14:L14">
      <formula1>LDCList</formula1>
    </dataValidation>
    <dataValidation type="list" allowBlank="1" showInputMessage="1" showErrorMessage="1" sqref="F16:J16">
      <formula1>Lakeland_SA</formula1>
    </dataValidation>
  </dataValidations>
  <pageMargins left="0.25" right="0.25" top="0.75" bottom="0.75" header="0.3" footer="0.3"/>
  <pageSetup scale="45" orientation="portrait" r:id="rId1"/>
  <headerFooter>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loadCalendar">
                <anchor moveWithCells="1" sizeWithCells="1">
                  <from>
                    <xdr:col>8</xdr:col>
                    <xdr:colOff>38100</xdr:colOff>
                    <xdr:row>14</xdr:row>
                    <xdr:rowOff>0</xdr:rowOff>
                  </from>
                  <to>
                    <xdr:col>8</xdr:col>
                    <xdr:colOff>247650</xdr:colOff>
                    <xdr:row>14</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3:Q113"/>
  <sheetViews>
    <sheetView showGridLines="0" topLeftCell="B70" zoomScaleNormal="100" workbookViewId="0">
      <selection activeCell="Q41" sqref="Q41"/>
    </sheetView>
  </sheetViews>
  <sheetFormatPr defaultColWidth="9.140625" defaultRowHeight="12.75" x14ac:dyDescent="0.2"/>
  <cols>
    <col min="1" max="1" width="11.85546875" style="60" hidden="1" customWidth="1"/>
    <col min="2" max="2" width="30.140625" style="60" customWidth="1"/>
    <col min="3" max="3" width="3.85546875" style="60" customWidth="1"/>
    <col min="4" max="4" width="13.85546875" style="60" customWidth="1"/>
    <col min="5" max="5" width="15.140625" style="60" customWidth="1"/>
    <col min="6" max="6" width="13.85546875" style="60" customWidth="1"/>
    <col min="7" max="7" width="2.85546875" style="60" customWidth="1"/>
    <col min="8" max="8" width="13.85546875" style="60" customWidth="1"/>
    <col min="9" max="9" width="10.140625" style="60" bestFit="1" customWidth="1"/>
    <col min="10" max="10" width="13.85546875" style="60" customWidth="1"/>
    <col min="11" max="11" width="3.140625" style="60" customWidth="1"/>
    <col min="12" max="12" width="13.85546875" style="60" customWidth="1"/>
    <col min="13" max="13" width="9.42578125" style="60" bestFit="1" customWidth="1"/>
    <col min="14" max="14" width="13.85546875" style="60" customWidth="1"/>
    <col min="15" max="15" width="3.7109375" style="60" customWidth="1"/>
    <col min="16" max="16" width="18.140625" style="60" customWidth="1"/>
    <col min="17" max="16384" width="9.140625" style="60"/>
  </cols>
  <sheetData>
    <row r="13" spans="2:17" ht="18.75" customHeight="1" x14ac:dyDescent="0.25">
      <c r="B13" s="1850" t="s">
        <v>6061</v>
      </c>
      <c r="C13" s="1817"/>
      <c r="D13" s="1817"/>
      <c r="E13" s="1817"/>
      <c r="F13" s="1817"/>
      <c r="G13" s="1817"/>
      <c r="H13" s="1817"/>
      <c r="I13" s="1817"/>
      <c r="J13" s="1817"/>
      <c r="K13" s="1817"/>
      <c r="L13" s="1817"/>
      <c r="M13" s="1817"/>
      <c r="N13" s="1817"/>
      <c r="O13" s="1817"/>
      <c r="P13" s="1817"/>
    </row>
    <row r="16" spans="2:17" x14ac:dyDescent="0.2">
      <c r="B16" s="250" t="s">
        <v>454</v>
      </c>
      <c r="C16" s="142"/>
      <c r="D16" s="1847" t="s">
        <v>455</v>
      </c>
      <c r="E16" s="1847"/>
      <c r="F16" s="1847"/>
      <c r="G16" s="142"/>
      <c r="H16" s="1847" t="s">
        <v>456</v>
      </c>
      <c r="I16" s="1847"/>
      <c r="J16" s="1847"/>
      <c r="K16" s="142"/>
      <c r="L16" s="1847" t="s">
        <v>457</v>
      </c>
      <c r="M16" s="1847"/>
      <c r="N16" s="1847"/>
      <c r="O16" s="142"/>
      <c r="P16" s="250" t="s">
        <v>3032</v>
      </c>
      <c r="Q16" s="85"/>
    </row>
    <row r="17" spans="2:17" ht="15.75" x14ac:dyDescent="0.25">
      <c r="B17" s="144"/>
      <c r="C17" s="144"/>
      <c r="D17" s="1849"/>
      <c r="E17" s="1849"/>
      <c r="F17" s="1849"/>
      <c r="G17" s="146"/>
      <c r="H17" s="1849"/>
      <c r="I17" s="1849"/>
      <c r="J17" s="1849"/>
      <c r="K17" s="146"/>
      <c r="L17" s="1849"/>
      <c r="M17" s="1849"/>
      <c r="N17" s="1849"/>
      <c r="O17" s="144"/>
      <c r="P17" s="251"/>
      <c r="Q17" s="90"/>
    </row>
    <row r="18" spans="2:17" x14ac:dyDescent="0.2">
      <c r="B18" s="252" t="s">
        <v>458</v>
      </c>
      <c r="C18" s="144"/>
      <c r="D18" s="149" t="s">
        <v>459</v>
      </c>
      <c r="E18" s="149" t="s">
        <v>352</v>
      </c>
      <c r="F18" s="149" t="s">
        <v>149</v>
      </c>
      <c r="G18" s="144"/>
      <c r="H18" s="149" t="s">
        <v>459</v>
      </c>
      <c r="I18" s="149" t="s">
        <v>352</v>
      </c>
      <c r="J18" s="149" t="s">
        <v>149</v>
      </c>
      <c r="K18" s="144"/>
      <c r="L18" s="149" t="s">
        <v>459</v>
      </c>
      <c r="M18" s="149" t="s">
        <v>352</v>
      </c>
      <c r="N18" s="149" t="s">
        <v>149</v>
      </c>
      <c r="O18" s="144"/>
      <c r="P18" s="149" t="s">
        <v>149</v>
      </c>
      <c r="Q18" s="85"/>
    </row>
    <row r="19" spans="2:17" x14ac:dyDescent="0.2">
      <c r="B19" s="144"/>
      <c r="C19" s="144"/>
      <c r="D19" s="144"/>
      <c r="E19" s="144"/>
      <c r="F19" s="144"/>
      <c r="G19" s="144"/>
      <c r="H19" s="144"/>
      <c r="I19" s="144"/>
      <c r="J19" s="144"/>
      <c r="K19" s="144"/>
      <c r="L19" s="144"/>
      <c r="M19" s="144"/>
      <c r="N19" s="144"/>
      <c r="O19" s="144"/>
      <c r="P19" s="144"/>
      <c r="Q19" s="85"/>
    </row>
    <row r="20" spans="2:17" x14ac:dyDescent="0.2">
      <c r="B20" s="147" t="s">
        <v>34</v>
      </c>
      <c r="C20" s="144"/>
      <c r="D20" s="101">
        <f>'12. RTSR - Historical Wholesale'!D19</f>
        <v>0</v>
      </c>
      <c r="E20" s="102">
        <f>'11. RTSR - UTRs &amp; Sub-Tx'!H22</f>
        <v>3.61</v>
      </c>
      <c r="F20" s="103">
        <f>D20*E20</f>
        <v>0</v>
      </c>
      <c r="G20" s="144"/>
      <c r="H20" s="101">
        <f>'12. RTSR - Historical Wholesale'!H19</f>
        <v>0</v>
      </c>
      <c r="I20" s="102">
        <f>'11. RTSR - UTRs &amp; Sub-Tx'!H24</f>
        <v>0.95</v>
      </c>
      <c r="J20" s="103">
        <f>H20*I20</f>
        <v>0</v>
      </c>
      <c r="K20" s="144"/>
      <c r="L20" s="101">
        <f>'12. RTSR - Historical Wholesale'!L19</f>
        <v>0</v>
      </c>
      <c r="M20" s="102">
        <f>'11. RTSR - UTRs &amp; Sub-Tx'!H26</f>
        <v>2.34</v>
      </c>
      <c r="N20" s="103">
        <f>L20*M20</f>
        <v>0</v>
      </c>
      <c r="O20" s="144"/>
      <c r="P20" s="94">
        <f t="shared" ref="P20:P31" si="0">J20+N20</f>
        <v>0</v>
      </c>
      <c r="Q20" s="85"/>
    </row>
    <row r="21" spans="2:17" x14ac:dyDescent="0.2">
      <c r="B21" s="147" t="s">
        <v>35</v>
      </c>
      <c r="C21" s="144"/>
      <c r="D21" s="101">
        <f>'12. RTSR - Historical Wholesale'!D20</f>
        <v>0</v>
      </c>
      <c r="E21" s="102">
        <f>E20</f>
        <v>3.61</v>
      </c>
      <c r="F21" s="103">
        <f t="shared" ref="F21:F31" si="1">D21*E21</f>
        <v>0</v>
      </c>
      <c r="G21" s="144"/>
      <c r="H21" s="101">
        <f>'12. RTSR - Historical Wholesale'!H20</f>
        <v>0</v>
      </c>
      <c r="I21" s="102">
        <f>I20</f>
        <v>0.95</v>
      </c>
      <c r="J21" s="103">
        <f t="shared" ref="J21:J31" si="2">H21*I21</f>
        <v>0</v>
      </c>
      <c r="K21" s="144"/>
      <c r="L21" s="101">
        <f>'12. RTSR - Historical Wholesale'!L20</f>
        <v>0</v>
      </c>
      <c r="M21" s="102">
        <f>M20</f>
        <v>2.34</v>
      </c>
      <c r="N21" s="103">
        <f t="shared" ref="N21:N31" si="3">L21*M21</f>
        <v>0</v>
      </c>
      <c r="O21" s="144"/>
      <c r="P21" s="94">
        <f t="shared" si="0"/>
        <v>0</v>
      </c>
      <c r="Q21" s="85"/>
    </row>
    <row r="22" spans="2:17" x14ac:dyDescent="0.2">
      <c r="B22" s="147" t="s">
        <v>36</v>
      </c>
      <c r="C22" s="144"/>
      <c r="D22" s="101">
        <f>'12. RTSR - Historical Wholesale'!D21</f>
        <v>0</v>
      </c>
      <c r="E22" s="102">
        <f t="shared" ref="E22:E31" si="4">E21</f>
        <v>3.61</v>
      </c>
      <c r="F22" s="103">
        <f t="shared" si="1"/>
        <v>0</v>
      </c>
      <c r="G22" s="144"/>
      <c r="H22" s="101">
        <f>'12. RTSR - Historical Wholesale'!H21</f>
        <v>0</v>
      </c>
      <c r="I22" s="102">
        <f t="shared" ref="I22:I31" si="5">I21</f>
        <v>0.95</v>
      </c>
      <c r="J22" s="103">
        <f t="shared" si="2"/>
        <v>0</v>
      </c>
      <c r="K22" s="144"/>
      <c r="L22" s="101">
        <f>'12. RTSR - Historical Wholesale'!L21</f>
        <v>0</v>
      </c>
      <c r="M22" s="102">
        <f t="shared" ref="M22:M31" si="6">M21</f>
        <v>2.34</v>
      </c>
      <c r="N22" s="103">
        <f t="shared" si="3"/>
        <v>0</v>
      </c>
      <c r="O22" s="144"/>
      <c r="P22" s="94">
        <f t="shared" si="0"/>
        <v>0</v>
      </c>
      <c r="Q22" s="85"/>
    </row>
    <row r="23" spans="2:17" x14ac:dyDescent="0.2">
      <c r="B23" s="147" t="s">
        <v>37</v>
      </c>
      <c r="C23" s="144"/>
      <c r="D23" s="101">
        <f>'12. RTSR - Historical Wholesale'!D22</f>
        <v>0</v>
      </c>
      <c r="E23" s="102">
        <f t="shared" si="4"/>
        <v>3.61</v>
      </c>
      <c r="F23" s="103">
        <f t="shared" si="1"/>
        <v>0</v>
      </c>
      <c r="G23" s="144"/>
      <c r="H23" s="101">
        <f>'12. RTSR - Historical Wholesale'!H22</f>
        <v>0</v>
      </c>
      <c r="I23" s="102">
        <f t="shared" si="5"/>
        <v>0.95</v>
      </c>
      <c r="J23" s="103">
        <f t="shared" si="2"/>
        <v>0</v>
      </c>
      <c r="K23" s="144"/>
      <c r="L23" s="101">
        <f>'12. RTSR - Historical Wholesale'!L22</f>
        <v>0</v>
      </c>
      <c r="M23" s="102">
        <f t="shared" si="6"/>
        <v>2.34</v>
      </c>
      <c r="N23" s="103">
        <f t="shared" si="3"/>
        <v>0</v>
      </c>
      <c r="O23" s="144"/>
      <c r="P23" s="94">
        <f t="shared" si="0"/>
        <v>0</v>
      </c>
      <c r="Q23" s="85"/>
    </row>
    <row r="24" spans="2:17" x14ac:dyDescent="0.2">
      <c r="B24" s="147" t="s">
        <v>38</v>
      </c>
      <c r="C24" s="144"/>
      <c r="D24" s="101">
        <f>'12. RTSR - Historical Wholesale'!D23</f>
        <v>0</v>
      </c>
      <c r="E24" s="102">
        <f t="shared" si="4"/>
        <v>3.61</v>
      </c>
      <c r="F24" s="103">
        <f t="shared" si="1"/>
        <v>0</v>
      </c>
      <c r="G24" s="144"/>
      <c r="H24" s="101">
        <f>'12. RTSR - Historical Wholesale'!H23</f>
        <v>0</v>
      </c>
      <c r="I24" s="102">
        <f t="shared" si="5"/>
        <v>0.95</v>
      </c>
      <c r="J24" s="103">
        <f t="shared" si="2"/>
        <v>0</v>
      </c>
      <c r="K24" s="144"/>
      <c r="L24" s="101">
        <f>'12. RTSR - Historical Wholesale'!L23</f>
        <v>0</v>
      </c>
      <c r="M24" s="102">
        <f t="shared" si="6"/>
        <v>2.34</v>
      </c>
      <c r="N24" s="103">
        <f t="shared" si="3"/>
        <v>0</v>
      </c>
      <c r="O24" s="144"/>
      <c r="P24" s="94">
        <f t="shared" si="0"/>
        <v>0</v>
      </c>
      <c r="Q24" s="85"/>
    </row>
    <row r="25" spans="2:17" x14ac:dyDescent="0.2">
      <c r="B25" s="147" t="s">
        <v>39</v>
      </c>
      <c r="C25" s="144"/>
      <c r="D25" s="101">
        <f>'12. RTSR - Historical Wholesale'!D24</f>
        <v>0</v>
      </c>
      <c r="E25" s="102">
        <f t="shared" si="4"/>
        <v>3.61</v>
      </c>
      <c r="F25" s="103">
        <f t="shared" si="1"/>
        <v>0</v>
      </c>
      <c r="G25" s="144"/>
      <c r="H25" s="101">
        <f>'12. RTSR - Historical Wholesale'!H24</f>
        <v>0</v>
      </c>
      <c r="I25" s="102">
        <f t="shared" si="5"/>
        <v>0.95</v>
      </c>
      <c r="J25" s="103">
        <f t="shared" si="2"/>
        <v>0</v>
      </c>
      <c r="K25" s="144"/>
      <c r="L25" s="101">
        <f>'12. RTSR - Historical Wholesale'!L24</f>
        <v>0</v>
      </c>
      <c r="M25" s="102">
        <f t="shared" si="6"/>
        <v>2.34</v>
      </c>
      <c r="N25" s="103">
        <f t="shared" si="3"/>
        <v>0</v>
      </c>
      <c r="O25" s="144"/>
      <c r="P25" s="94">
        <f t="shared" si="0"/>
        <v>0</v>
      </c>
      <c r="Q25" s="85"/>
    </row>
    <row r="26" spans="2:17" x14ac:dyDescent="0.2">
      <c r="B26" s="147" t="s">
        <v>40</v>
      </c>
      <c r="C26" s="144"/>
      <c r="D26" s="101">
        <f>'12. RTSR - Historical Wholesale'!D25</f>
        <v>0</v>
      </c>
      <c r="E26" s="102">
        <f t="shared" si="4"/>
        <v>3.61</v>
      </c>
      <c r="F26" s="103">
        <f t="shared" si="1"/>
        <v>0</v>
      </c>
      <c r="G26" s="144"/>
      <c r="H26" s="101">
        <f>'12. RTSR - Historical Wholesale'!H25</f>
        <v>0</v>
      </c>
      <c r="I26" s="102">
        <f t="shared" si="5"/>
        <v>0.95</v>
      </c>
      <c r="J26" s="103">
        <f t="shared" si="2"/>
        <v>0</v>
      </c>
      <c r="K26" s="144"/>
      <c r="L26" s="101">
        <f>'12. RTSR - Historical Wholesale'!L25</f>
        <v>0</v>
      </c>
      <c r="M26" s="102">
        <f t="shared" si="6"/>
        <v>2.34</v>
      </c>
      <c r="N26" s="103">
        <f t="shared" si="3"/>
        <v>0</v>
      </c>
      <c r="O26" s="144"/>
      <c r="P26" s="94">
        <f t="shared" si="0"/>
        <v>0</v>
      </c>
      <c r="Q26" s="85"/>
    </row>
    <row r="27" spans="2:17" x14ac:dyDescent="0.2">
      <c r="B27" s="147" t="s">
        <v>41</v>
      </c>
      <c r="C27" s="144"/>
      <c r="D27" s="101">
        <f>'12. RTSR - Historical Wholesale'!D26</f>
        <v>0</v>
      </c>
      <c r="E27" s="102">
        <f t="shared" si="4"/>
        <v>3.61</v>
      </c>
      <c r="F27" s="103">
        <f t="shared" si="1"/>
        <v>0</v>
      </c>
      <c r="G27" s="144"/>
      <c r="H27" s="101">
        <f>'12. RTSR - Historical Wholesale'!H26</f>
        <v>0</v>
      </c>
      <c r="I27" s="102">
        <f t="shared" si="5"/>
        <v>0.95</v>
      </c>
      <c r="J27" s="103">
        <f t="shared" si="2"/>
        <v>0</v>
      </c>
      <c r="K27" s="144"/>
      <c r="L27" s="101">
        <f>'12. RTSR - Historical Wholesale'!L26</f>
        <v>0</v>
      </c>
      <c r="M27" s="102">
        <f t="shared" si="6"/>
        <v>2.34</v>
      </c>
      <c r="N27" s="103">
        <f t="shared" si="3"/>
        <v>0</v>
      </c>
      <c r="O27" s="144"/>
      <c r="P27" s="94">
        <f t="shared" si="0"/>
        <v>0</v>
      </c>
      <c r="Q27" s="85"/>
    </row>
    <row r="28" spans="2:17" x14ac:dyDescent="0.2">
      <c r="B28" s="147" t="s">
        <v>42</v>
      </c>
      <c r="C28" s="144"/>
      <c r="D28" s="101">
        <f>'12. RTSR - Historical Wholesale'!D27</f>
        <v>0</v>
      </c>
      <c r="E28" s="102">
        <f t="shared" si="4"/>
        <v>3.61</v>
      </c>
      <c r="F28" s="103">
        <f t="shared" si="1"/>
        <v>0</v>
      </c>
      <c r="G28" s="144"/>
      <c r="H28" s="101">
        <f>'12. RTSR - Historical Wholesale'!H27</f>
        <v>0</v>
      </c>
      <c r="I28" s="102">
        <f t="shared" si="5"/>
        <v>0.95</v>
      </c>
      <c r="J28" s="103">
        <f t="shared" si="2"/>
        <v>0</v>
      </c>
      <c r="K28" s="144"/>
      <c r="L28" s="101">
        <f>'12. RTSR - Historical Wholesale'!L27</f>
        <v>0</v>
      </c>
      <c r="M28" s="102">
        <f t="shared" si="6"/>
        <v>2.34</v>
      </c>
      <c r="N28" s="103">
        <f t="shared" si="3"/>
        <v>0</v>
      </c>
      <c r="O28" s="144"/>
      <c r="P28" s="94">
        <f t="shared" si="0"/>
        <v>0</v>
      </c>
      <c r="Q28" s="85"/>
    </row>
    <row r="29" spans="2:17" x14ac:dyDescent="0.2">
      <c r="B29" s="147" t="s">
        <v>43</v>
      </c>
      <c r="C29" s="144"/>
      <c r="D29" s="101">
        <f>'12. RTSR - Historical Wholesale'!D28</f>
        <v>0</v>
      </c>
      <c r="E29" s="102">
        <f t="shared" si="4"/>
        <v>3.61</v>
      </c>
      <c r="F29" s="103">
        <f t="shared" si="1"/>
        <v>0</v>
      </c>
      <c r="G29" s="144"/>
      <c r="H29" s="101">
        <f>'12. RTSR - Historical Wholesale'!H28</f>
        <v>0</v>
      </c>
      <c r="I29" s="102">
        <f t="shared" si="5"/>
        <v>0.95</v>
      </c>
      <c r="J29" s="103">
        <f t="shared" si="2"/>
        <v>0</v>
      </c>
      <c r="K29" s="144"/>
      <c r="L29" s="101">
        <f>'12. RTSR - Historical Wholesale'!L28</f>
        <v>0</v>
      </c>
      <c r="M29" s="102">
        <f t="shared" si="6"/>
        <v>2.34</v>
      </c>
      <c r="N29" s="103">
        <f t="shared" si="3"/>
        <v>0</v>
      </c>
      <c r="O29" s="144"/>
      <c r="P29" s="94">
        <f t="shared" si="0"/>
        <v>0</v>
      </c>
      <c r="Q29" s="85"/>
    </row>
    <row r="30" spans="2:17" x14ac:dyDescent="0.2">
      <c r="B30" s="147" t="s">
        <v>44</v>
      </c>
      <c r="C30" s="144"/>
      <c r="D30" s="101">
        <f>'12. RTSR - Historical Wholesale'!D29</f>
        <v>0</v>
      </c>
      <c r="E30" s="102">
        <f t="shared" si="4"/>
        <v>3.61</v>
      </c>
      <c r="F30" s="103">
        <f t="shared" si="1"/>
        <v>0</v>
      </c>
      <c r="G30" s="144"/>
      <c r="H30" s="101">
        <f>'12. RTSR - Historical Wholesale'!H29</f>
        <v>0</v>
      </c>
      <c r="I30" s="102">
        <f t="shared" si="5"/>
        <v>0.95</v>
      </c>
      <c r="J30" s="103">
        <f t="shared" si="2"/>
        <v>0</v>
      </c>
      <c r="K30" s="144"/>
      <c r="L30" s="101">
        <f>'12. RTSR - Historical Wholesale'!L29</f>
        <v>0</v>
      </c>
      <c r="M30" s="102">
        <f t="shared" si="6"/>
        <v>2.34</v>
      </c>
      <c r="N30" s="103">
        <f t="shared" si="3"/>
        <v>0</v>
      </c>
      <c r="O30" s="144"/>
      <c r="P30" s="94">
        <f t="shared" si="0"/>
        <v>0</v>
      </c>
      <c r="Q30" s="85"/>
    </row>
    <row r="31" spans="2:17" x14ac:dyDescent="0.2">
      <c r="B31" s="147" t="s">
        <v>45</v>
      </c>
      <c r="C31" s="144"/>
      <c r="D31" s="101">
        <f>'12. RTSR - Historical Wholesale'!D30</f>
        <v>0</v>
      </c>
      <c r="E31" s="102">
        <f t="shared" si="4"/>
        <v>3.61</v>
      </c>
      <c r="F31" s="103">
        <f t="shared" si="1"/>
        <v>0</v>
      </c>
      <c r="G31" s="144"/>
      <c r="H31" s="101">
        <f>'12. RTSR - Historical Wholesale'!H30</f>
        <v>0</v>
      </c>
      <c r="I31" s="102">
        <f t="shared" si="5"/>
        <v>0.95</v>
      </c>
      <c r="J31" s="103">
        <f t="shared" si="2"/>
        <v>0</v>
      </c>
      <c r="K31" s="144"/>
      <c r="L31" s="101">
        <f>'12. RTSR - Historical Wholesale'!L30</f>
        <v>0</v>
      </c>
      <c r="M31" s="102">
        <f t="shared" si="6"/>
        <v>2.34</v>
      </c>
      <c r="N31" s="103">
        <f t="shared" si="3"/>
        <v>0</v>
      </c>
      <c r="O31" s="144"/>
      <c r="P31" s="94">
        <f t="shared" si="0"/>
        <v>0</v>
      </c>
      <c r="Q31" s="85"/>
    </row>
    <row r="32" spans="2:17" x14ac:dyDescent="0.2">
      <c r="B32" s="144"/>
      <c r="C32" s="144"/>
      <c r="D32" s="144"/>
      <c r="E32" s="144"/>
      <c r="F32" s="144"/>
      <c r="G32" s="144"/>
      <c r="H32" s="144"/>
      <c r="I32" s="144"/>
      <c r="J32" s="144"/>
      <c r="K32" s="144"/>
      <c r="L32" s="144"/>
      <c r="M32" s="144"/>
      <c r="N32" s="144"/>
      <c r="O32" s="144"/>
      <c r="P32" s="144"/>
      <c r="Q32" s="85"/>
    </row>
    <row r="33" spans="2:17" ht="13.5" thickBot="1" x14ac:dyDescent="0.25">
      <c r="B33" s="252" t="s">
        <v>51</v>
      </c>
      <c r="C33" s="144"/>
      <c r="D33" s="95">
        <f>SUM(D20:D31)</f>
        <v>0</v>
      </c>
      <c r="E33" s="96">
        <f>IF(D33&lt;&gt;0,F33/D33,0)</f>
        <v>0</v>
      </c>
      <c r="F33" s="97">
        <f>SUM(F20:F31)</f>
        <v>0</v>
      </c>
      <c r="G33" s="144"/>
      <c r="H33" s="95">
        <f>SUM(H20:H31)</f>
        <v>0</v>
      </c>
      <c r="I33" s="96">
        <f>IF(H33&lt;&gt;0,J33/H33,0)</f>
        <v>0</v>
      </c>
      <c r="J33" s="97">
        <f>SUM(J20:J31)</f>
        <v>0</v>
      </c>
      <c r="K33" s="144"/>
      <c r="L33" s="95">
        <f>SUM(L20:L31)</f>
        <v>0</v>
      </c>
      <c r="M33" s="96">
        <f>IF(L33&lt;&gt;0,N33/L33,0)</f>
        <v>0</v>
      </c>
      <c r="N33" s="97">
        <f>SUM(N20:N31)</f>
        <v>0</v>
      </c>
      <c r="O33" s="144"/>
      <c r="P33" s="97">
        <f>SUM(P20:P31)</f>
        <v>0</v>
      </c>
      <c r="Q33" s="85"/>
    </row>
    <row r="34" spans="2:17" x14ac:dyDescent="0.2">
      <c r="B34" s="144"/>
      <c r="C34" s="144"/>
      <c r="D34" s="144"/>
      <c r="E34" s="144"/>
      <c r="F34" s="144"/>
      <c r="G34" s="144"/>
      <c r="H34" s="144"/>
      <c r="I34" s="144"/>
      <c r="J34" s="144"/>
      <c r="K34" s="144"/>
      <c r="L34" s="144"/>
      <c r="M34" s="144"/>
      <c r="N34" s="144"/>
      <c r="O34" s="144"/>
      <c r="P34" s="144"/>
      <c r="Q34" s="85"/>
    </row>
    <row r="35" spans="2:17" x14ac:dyDescent="0.2">
      <c r="B35" s="250" t="s">
        <v>460</v>
      </c>
      <c r="C35" s="142"/>
      <c r="D35" s="1847" t="s">
        <v>455</v>
      </c>
      <c r="E35" s="1847"/>
      <c r="F35" s="1847"/>
      <c r="G35" s="142"/>
      <c r="H35" s="1847" t="s">
        <v>456</v>
      </c>
      <c r="I35" s="1847"/>
      <c r="J35" s="1847"/>
      <c r="K35" s="142"/>
      <c r="L35" s="1847" t="s">
        <v>457</v>
      </c>
      <c r="M35" s="1847"/>
      <c r="N35" s="1847"/>
      <c r="O35" s="142"/>
      <c r="P35" s="1013" t="s">
        <v>3032</v>
      </c>
      <c r="Q35" s="85"/>
    </row>
    <row r="36" spans="2:17" x14ac:dyDescent="0.2">
      <c r="B36" s="252"/>
      <c r="C36" s="144"/>
      <c r="D36" s="149"/>
      <c r="E36" s="149"/>
      <c r="F36" s="149"/>
      <c r="G36" s="144"/>
      <c r="H36" s="149"/>
      <c r="I36" s="149"/>
      <c r="J36" s="149"/>
      <c r="K36" s="144"/>
      <c r="L36" s="149"/>
      <c r="M36" s="149"/>
      <c r="N36" s="149"/>
      <c r="O36" s="144"/>
      <c r="P36" s="149"/>
      <c r="Q36" s="85"/>
    </row>
    <row r="37" spans="2:17" x14ac:dyDescent="0.2">
      <c r="B37" s="252" t="s">
        <v>458</v>
      </c>
      <c r="C37" s="144"/>
      <c r="D37" s="149" t="s">
        <v>459</v>
      </c>
      <c r="E37" s="149" t="s">
        <v>352</v>
      </c>
      <c r="F37" s="149" t="s">
        <v>149</v>
      </c>
      <c r="G37" s="144"/>
      <c r="H37" s="149" t="s">
        <v>459</v>
      </c>
      <c r="I37" s="149" t="s">
        <v>352</v>
      </c>
      <c r="J37" s="149" t="s">
        <v>149</v>
      </c>
      <c r="K37" s="144"/>
      <c r="L37" s="149" t="s">
        <v>459</v>
      </c>
      <c r="M37" s="149" t="s">
        <v>352</v>
      </c>
      <c r="N37" s="149" t="s">
        <v>149</v>
      </c>
      <c r="O37" s="144"/>
      <c r="P37" s="149" t="s">
        <v>149</v>
      </c>
      <c r="Q37" s="85"/>
    </row>
    <row r="38" spans="2:17" x14ac:dyDescent="0.2">
      <c r="B38" s="144"/>
      <c r="C38" s="144"/>
      <c r="D38" s="144"/>
      <c r="E38" s="144"/>
      <c r="F38" s="144"/>
      <c r="G38" s="144"/>
      <c r="H38" s="144"/>
      <c r="I38" s="144"/>
      <c r="J38" s="144"/>
      <c r="K38" s="144"/>
      <c r="L38" s="144"/>
      <c r="M38" s="144"/>
      <c r="N38" s="144"/>
      <c r="O38" s="144"/>
      <c r="P38" s="144"/>
      <c r="Q38" s="85"/>
    </row>
    <row r="39" spans="2:17" x14ac:dyDescent="0.2">
      <c r="B39" s="147" t="s">
        <v>34</v>
      </c>
      <c r="C39" s="144"/>
      <c r="D39" s="101">
        <f>'12. RTSR - Historical Wholesale'!D38</f>
        <v>19077.89</v>
      </c>
      <c r="E39" s="102">
        <f>'11. RTSR - UTRs &amp; Sub-Tx'!H35</f>
        <v>3.1941999999999999</v>
      </c>
      <c r="F39" s="103">
        <f>D39*E39</f>
        <v>60938.596237999998</v>
      </c>
      <c r="G39" s="144"/>
      <c r="H39" s="101">
        <f>'12. RTSR - Historical Wholesale'!H38</f>
        <v>19077.990000000002</v>
      </c>
      <c r="I39" s="102">
        <f>'11. RTSR - UTRs &amp; Sub-Tx'!H37</f>
        <v>0.77100000000000002</v>
      </c>
      <c r="J39" s="103">
        <f>H39*I39</f>
        <v>14709.130290000001</v>
      </c>
      <c r="K39" s="144"/>
      <c r="L39" s="101">
        <f>'12. RTSR - Historical Wholesale'!L38</f>
        <v>19077.990000000002</v>
      </c>
      <c r="M39" s="102">
        <f>'11. RTSR - UTRs &amp; Sub-Tx'!H39</f>
        <v>1.7493000000000001</v>
      </c>
      <c r="N39" s="103">
        <f>L39*M39</f>
        <v>33373.127907000002</v>
      </c>
      <c r="O39" s="144"/>
      <c r="P39" s="94">
        <f t="shared" ref="P39:P50" si="7">J39+N39</f>
        <v>48082.258197000003</v>
      </c>
      <c r="Q39" s="85"/>
    </row>
    <row r="40" spans="2:17" x14ac:dyDescent="0.2">
      <c r="B40" s="147" t="s">
        <v>35</v>
      </c>
      <c r="C40" s="144"/>
      <c r="D40" s="101">
        <f>'12. RTSR - Historical Wholesale'!D39</f>
        <v>23361.99</v>
      </c>
      <c r="E40" s="102">
        <f>'11. RTSR - UTRs &amp; Sub-Tx'!H35</f>
        <v>3.1941999999999999</v>
      </c>
      <c r="F40" s="103">
        <f t="shared" ref="F40:F50" si="8">D40*E40</f>
        <v>74622.868457999997</v>
      </c>
      <c r="G40" s="144"/>
      <c r="H40" s="101">
        <f>'12. RTSR - Historical Wholesale'!H39</f>
        <v>23593.1</v>
      </c>
      <c r="I40" s="102">
        <f>'11. RTSR - UTRs &amp; Sub-Tx'!H37</f>
        <v>0.77100000000000002</v>
      </c>
      <c r="J40" s="103">
        <f t="shared" ref="J40:J50" si="9">H40*I40</f>
        <v>18190.2801</v>
      </c>
      <c r="K40" s="144"/>
      <c r="L40" s="101">
        <f>'12. RTSR - Historical Wholesale'!L39</f>
        <v>23593.1</v>
      </c>
      <c r="M40" s="102">
        <f>'11. RTSR - UTRs &amp; Sub-Tx'!H39</f>
        <v>1.7493000000000001</v>
      </c>
      <c r="N40" s="103">
        <f t="shared" ref="N40:N50" si="10">L40*M40</f>
        <v>41271.409829999997</v>
      </c>
      <c r="O40" s="144"/>
      <c r="P40" s="94">
        <f t="shared" si="7"/>
        <v>59461.689929999993</v>
      </c>
      <c r="Q40" s="85"/>
    </row>
    <row r="41" spans="2:17" x14ac:dyDescent="0.2">
      <c r="B41" s="147" t="s">
        <v>36</v>
      </c>
      <c r="C41" s="144"/>
      <c r="D41" s="101">
        <f>'12. RTSR - Historical Wholesale'!D40</f>
        <v>17233.3</v>
      </c>
      <c r="E41" s="102">
        <f t="shared" ref="E41:E50" si="11">E40</f>
        <v>3.1941999999999999</v>
      </c>
      <c r="F41" s="103">
        <f t="shared" si="8"/>
        <v>55046.60686</v>
      </c>
      <c r="G41" s="144"/>
      <c r="H41" s="101">
        <f>'12. RTSR - Historical Wholesale'!H40</f>
        <v>17273.97</v>
      </c>
      <c r="I41" s="102">
        <f t="shared" ref="I41:I50" si="12">I40</f>
        <v>0.77100000000000002</v>
      </c>
      <c r="J41" s="103">
        <f t="shared" si="9"/>
        <v>13318.230870000001</v>
      </c>
      <c r="K41" s="144"/>
      <c r="L41" s="101">
        <f>'12. RTSR - Historical Wholesale'!L40</f>
        <v>17273.97</v>
      </c>
      <c r="M41" s="102">
        <f>M40</f>
        <v>1.7493000000000001</v>
      </c>
      <c r="N41" s="103">
        <f t="shared" si="10"/>
        <v>30217.355721000004</v>
      </c>
      <c r="O41" s="144"/>
      <c r="P41" s="94">
        <f t="shared" si="7"/>
        <v>43535.586591000007</v>
      </c>
      <c r="Q41" s="85"/>
    </row>
    <row r="42" spans="2:17" x14ac:dyDescent="0.2">
      <c r="B42" s="147" t="s">
        <v>37</v>
      </c>
      <c r="C42" s="144"/>
      <c r="D42" s="101">
        <f>'12. RTSR - Historical Wholesale'!D41</f>
        <v>19022.03</v>
      </c>
      <c r="E42" s="102">
        <f t="shared" si="11"/>
        <v>3.1941999999999999</v>
      </c>
      <c r="F42" s="103">
        <f t="shared" si="8"/>
        <v>60760.168225999994</v>
      </c>
      <c r="G42" s="144"/>
      <c r="H42" s="101">
        <f>'12. RTSR - Historical Wholesale'!H41</f>
        <v>19093.169999999998</v>
      </c>
      <c r="I42" s="102">
        <f t="shared" si="12"/>
        <v>0.77100000000000002</v>
      </c>
      <c r="J42" s="103">
        <f t="shared" si="9"/>
        <v>14720.834069999999</v>
      </c>
      <c r="K42" s="144"/>
      <c r="L42" s="101">
        <f>'12. RTSR - Historical Wholesale'!L41</f>
        <v>19093.169999999998</v>
      </c>
      <c r="M42" s="102">
        <f t="shared" ref="M42:M50" si="13">M41</f>
        <v>1.7493000000000001</v>
      </c>
      <c r="N42" s="103">
        <f t="shared" si="10"/>
        <v>33399.682281000001</v>
      </c>
      <c r="O42" s="144"/>
      <c r="P42" s="94">
        <f t="shared" si="7"/>
        <v>48120.516350999998</v>
      </c>
      <c r="Q42" s="85"/>
    </row>
    <row r="43" spans="2:17" x14ac:dyDescent="0.2">
      <c r="B43" s="147" t="s">
        <v>38</v>
      </c>
      <c r="C43" s="144"/>
      <c r="D43" s="101">
        <f>'12. RTSR - Historical Wholesale'!D42</f>
        <v>16583.759999999998</v>
      </c>
      <c r="E43" s="102">
        <f t="shared" si="11"/>
        <v>3.1941999999999999</v>
      </c>
      <c r="F43" s="103">
        <f t="shared" si="8"/>
        <v>52971.846191999997</v>
      </c>
      <c r="G43" s="144"/>
      <c r="H43" s="101">
        <f>'12. RTSR - Historical Wholesale'!H42</f>
        <v>16592.75</v>
      </c>
      <c r="I43" s="102">
        <f t="shared" si="12"/>
        <v>0.77100000000000002</v>
      </c>
      <c r="J43" s="103">
        <f t="shared" si="9"/>
        <v>12793.010250000001</v>
      </c>
      <c r="K43" s="144"/>
      <c r="L43" s="101">
        <f>'12. RTSR - Historical Wholesale'!L42</f>
        <v>16592.75</v>
      </c>
      <c r="M43" s="102">
        <f t="shared" si="13"/>
        <v>1.7493000000000001</v>
      </c>
      <c r="N43" s="103">
        <f t="shared" si="10"/>
        <v>29025.697575000002</v>
      </c>
      <c r="O43" s="144"/>
      <c r="P43" s="94">
        <f t="shared" si="7"/>
        <v>41818.707825000005</v>
      </c>
      <c r="Q43" s="85"/>
    </row>
    <row r="44" spans="2:17" x14ac:dyDescent="0.2">
      <c r="B44" s="147" t="s">
        <v>39</v>
      </c>
      <c r="C44" s="144"/>
      <c r="D44" s="101">
        <f>'12. RTSR - Historical Wholesale'!D43</f>
        <v>15738.51</v>
      </c>
      <c r="E44" s="102">
        <f t="shared" si="11"/>
        <v>3.1941999999999999</v>
      </c>
      <c r="F44" s="103">
        <f t="shared" si="8"/>
        <v>50271.948642000003</v>
      </c>
      <c r="G44" s="144"/>
      <c r="H44" s="101">
        <f>'12. RTSR - Historical Wholesale'!H43</f>
        <v>15776.98</v>
      </c>
      <c r="I44" s="102">
        <f t="shared" si="12"/>
        <v>0.77100000000000002</v>
      </c>
      <c r="J44" s="103">
        <f t="shared" si="9"/>
        <v>12164.051579999999</v>
      </c>
      <c r="K44" s="144"/>
      <c r="L44" s="101">
        <f>'12. RTSR - Historical Wholesale'!L43</f>
        <v>15776.98</v>
      </c>
      <c r="M44" s="102">
        <f t="shared" si="13"/>
        <v>1.7493000000000001</v>
      </c>
      <c r="N44" s="103">
        <f t="shared" si="10"/>
        <v>27598.671114000001</v>
      </c>
      <c r="O44" s="144"/>
      <c r="P44" s="94">
        <f t="shared" si="7"/>
        <v>39762.722693999996</v>
      </c>
      <c r="Q44" s="85"/>
    </row>
    <row r="45" spans="2:17" x14ac:dyDescent="0.2">
      <c r="B45" s="147" t="s">
        <v>40</v>
      </c>
      <c r="C45" s="144"/>
      <c r="D45" s="101">
        <f>'12. RTSR - Historical Wholesale'!D44</f>
        <v>16585.650000000001</v>
      </c>
      <c r="E45" s="102">
        <f t="shared" si="11"/>
        <v>3.1941999999999999</v>
      </c>
      <c r="F45" s="103">
        <f t="shared" si="8"/>
        <v>52977.883230000007</v>
      </c>
      <c r="G45" s="144"/>
      <c r="H45" s="101">
        <f>'12. RTSR - Historical Wholesale'!H44</f>
        <v>16585.650000000001</v>
      </c>
      <c r="I45" s="102">
        <f t="shared" si="12"/>
        <v>0.77100000000000002</v>
      </c>
      <c r="J45" s="103">
        <f t="shared" si="9"/>
        <v>12787.536150000002</v>
      </c>
      <c r="K45" s="144"/>
      <c r="L45" s="101">
        <f>'12. RTSR - Historical Wholesale'!L44</f>
        <v>16585.650000000001</v>
      </c>
      <c r="M45" s="102">
        <f t="shared" si="13"/>
        <v>1.7493000000000001</v>
      </c>
      <c r="N45" s="103">
        <f t="shared" si="10"/>
        <v>29013.277545000004</v>
      </c>
      <c r="O45" s="144"/>
      <c r="P45" s="94">
        <f t="shared" si="7"/>
        <v>41800.813695000004</v>
      </c>
      <c r="Q45" s="85"/>
    </row>
    <row r="46" spans="2:17" x14ac:dyDescent="0.2">
      <c r="B46" s="147" t="s">
        <v>41</v>
      </c>
      <c r="C46" s="144"/>
      <c r="D46" s="101">
        <f>'12. RTSR - Historical Wholesale'!D45</f>
        <v>17178.43</v>
      </c>
      <c r="E46" s="102">
        <f t="shared" si="11"/>
        <v>3.1941999999999999</v>
      </c>
      <c r="F46" s="103">
        <f t="shared" si="8"/>
        <v>54871.341106</v>
      </c>
      <c r="G46" s="144"/>
      <c r="H46" s="101">
        <f>'12. RTSR - Historical Wholesale'!H45</f>
        <v>17178.43</v>
      </c>
      <c r="I46" s="102">
        <f t="shared" si="12"/>
        <v>0.77100000000000002</v>
      </c>
      <c r="J46" s="103">
        <f t="shared" si="9"/>
        <v>13244.569530000001</v>
      </c>
      <c r="K46" s="144"/>
      <c r="L46" s="101">
        <f>'12. RTSR - Historical Wholesale'!L45</f>
        <v>17178.43</v>
      </c>
      <c r="M46" s="102">
        <f t="shared" si="13"/>
        <v>1.7493000000000001</v>
      </c>
      <c r="N46" s="103">
        <f t="shared" si="10"/>
        <v>30050.227599000002</v>
      </c>
      <c r="O46" s="144"/>
      <c r="P46" s="94">
        <f t="shared" si="7"/>
        <v>43294.797128999999</v>
      </c>
      <c r="Q46" s="85"/>
    </row>
    <row r="47" spans="2:17" x14ac:dyDescent="0.2">
      <c r="B47" s="147" t="s">
        <v>42</v>
      </c>
      <c r="C47" s="144"/>
      <c r="D47" s="101">
        <f>'12. RTSR - Historical Wholesale'!D46</f>
        <v>17878.89</v>
      </c>
      <c r="E47" s="102">
        <f t="shared" si="11"/>
        <v>3.1941999999999999</v>
      </c>
      <c r="F47" s="103">
        <f t="shared" si="8"/>
        <v>57108.750437999995</v>
      </c>
      <c r="G47" s="144"/>
      <c r="H47" s="101">
        <f>'12. RTSR - Historical Wholesale'!H46</f>
        <v>17878.89</v>
      </c>
      <c r="I47" s="102">
        <f t="shared" si="12"/>
        <v>0.77100000000000002</v>
      </c>
      <c r="J47" s="103">
        <f t="shared" si="9"/>
        <v>13784.62419</v>
      </c>
      <c r="K47" s="144"/>
      <c r="L47" s="101">
        <f>'12. RTSR - Historical Wholesale'!L46</f>
        <v>17878.89</v>
      </c>
      <c r="M47" s="102">
        <f t="shared" si="13"/>
        <v>1.7493000000000001</v>
      </c>
      <c r="N47" s="103">
        <f t="shared" si="10"/>
        <v>31275.542277</v>
      </c>
      <c r="O47" s="144"/>
      <c r="P47" s="94">
        <f t="shared" si="7"/>
        <v>45060.166467000003</v>
      </c>
      <c r="Q47" s="85"/>
    </row>
    <row r="48" spans="2:17" x14ac:dyDescent="0.2">
      <c r="B48" s="147" t="s">
        <v>43</v>
      </c>
      <c r="C48" s="144"/>
      <c r="D48" s="101">
        <f>'12. RTSR - Historical Wholesale'!D47</f>
        <v>14120.38</v>
      </c>
      <c r="E48" s="102">
        <f t="shared" si="11"/>
        <v>3.1941999999999999</v>
      </c>
      <c r="F48" s="103">
        <f t="shared" si="8"/>
        <v>45103.317795999996</v>
      </c>
      <c r="G48" s="144"/>
      <c r="H48" s="101">
        <f>'12. RTSR - Historical Wholesale'!H47</f>
        <v>14155.2</v>
      </c>
      <c r="I48" s="102">
        <f t="shared" si="12"/>
        <v>0.77100000000000002</v>
      </c>
      <c r="J48" s="103">
        <f t="shared" si="9"/>
        <v>10913.6592</v>
      </c>
      <c r="K48" s="144"/>
      <c r="L48" s="101">
        <f>'12. RTSR - Historical Wholesale'!L47</f>
        <v>14155.2</v>
      </c>
      <c r="M48" s="102">
        <f t="shared" si="13"/>
        <v>1.7493000000000001</v>
      </c>
      <c r="N48" s="103">
        <f t="shared" si="10"/>
        <v>24761.691360000001</v>
      </c>
      <c r="O48" s="144"/>
      <c r="P48" s="94">
        <f t="shared" si="7"/>
        <v>35675.350559999999</v>
      </c>
      <c r="Q48" s="85"/>
    </row>
    <row r="49" spans="2:17" x14ac:dyDescent="0.2">
      <c r="B49" s="147" t="s">
        <v>44</v>
      </c>
      <c r="C49" s="144"/>
      <c r="D49" s="101">
        <f>'12. RTSR - Historical Wholesale'!D48</f>
        <v>16806.349999999999</v>
      </c>
      <c r="E49" s="102">
        <f t="shared" si="11"/>
        <v>3.1941999999999999</v>
      </c>
      <c r="F49" s="103">
        <f t="shared" si="8"/>
        <v>53682.843169999993</v>
      </c>
      <c r="G49" s="144"/>
      <c r="H49" s="101">
        <f>'12. RTSR - Historical Wholesale'!H48</f>
        <v>16811.43</v>
      </c>
      <c r="I49" s="102">
        <f t="shared" si="12"/>
        <v>0.77100000000000002</v>
      </c>
      <c r="J49" s="103">
        <f t="shared" si="9"/>
        <v>12961.61253</v>
      </c>
      <c r="K49" s="144"/>
      <c r="L49" s="101">
        <f>'12. RTSR - Historical Wholesale'!L48</f>
        <v>16811.43</v>
      </c>
      <c r="M49" s="102">
        <f t="shared" si="13"/>
        <v>1.7493000000000001</v>
      </c>
      <c r="N49" s="103">
        <f t="shared" si="10"/>
        <v>29408.234499000002</v>
      </c>
      <c r="O49" s="144"/>
      <c r="P49" s="94">
        <f t="shared" si="7"/>
        <v>42369.847029000004</v>
      </c>
      <c r="Q49" s="85"/>
    </row>
    <row r="50" spans="2:17" x14ac:dyDescent="0.2">
      <c r="B50" s="147" t="s">
        <v>45</v>
      </c>
      <c r="C50" s="144"/>
      <c r="D50" s="101">
        <f>'12. RTSR - Historical Wholesale'!D49</f>
        <v>19578.419999999998</v>
      </c>
      <c r="E50" s="102">
        <f t="shared" si="11"/>
        <v>3.1941999999999999</v>
      </c>
      <c r="F50" s="103">
        <f t="shared" si="8"/>
        <v>62537.389163999993</v>
      </c>
      <c r="G50" s="144"/>
      <c r="H50" s="101">
        <f>'12. RTSR - Historical Wholesale'!H49</f>
        <v>19614.37</v>
      </c>
      <c r="I50" s="102">
        <f t="shared" si="12"/>
        <v>0.77100000000000002</v>
      </c>
      <c r="J50" s="103">
        <f t="shared" si="9"/>
        <v>15122.679269999999</v>
      </c>
      <c r="K50" s="144"/>
      <c r="L50" s="101">
        <f>'12. RTSR - Historical Wholesale'!L49</f>
        <v>19614.37</v>
      </c>
      <c r="M50" s="102">
        <f t="shared" si="13"/>
        <v>1.7493000000000001</v>
      </c>
      <c r="N50" s="103">
        <f t="shared" si="10"/>
        <v>34311.417440999998</v>
      </c>
      <c r="O50" s="144"/>
      <c r="P50" s="94">
        <f t="shared" si="7"/>
        <v>49434.096710999998</v>
      </c>
      <c r="Q50" s="85"/>
    </row>
    <row r="51" spans="2:17" x14ac:dyDescent="0.2">
      <c r="B51" s="144"/>
      <c r="C51" s="144"/>
      <c r="D51" s="144"/>
      <c r="E51" s="144"/>
      <c r="F51" s="144"/>
      <c r="G51" s="144"/>
      <c r="H51" s="144"/>
      <c r="I51" s="144"/>
      <c r="J51" s="144"/>
      <c r="K51" s="144"/>
      <c r="L51" s="144"/>
      <c r="M51" s="144"/>
      <c r="N51" s="144"/>
      <c r="O51" s="144"/>
      <c r="P51" s="144"/>
      <c r="Q51" s="85"/>
    </row>
    <row r="52" spans="2:17" ht="13.5" thickBot="1" x14ac:dyDescent="0.25">
      <c r="B52" s="252" t="s">
        <v>51</v>
      </c>
      <c r="C52" s="144"/>
      <c r="D52" s="95">
        <f>SUM(D39:D50)</f>
        <v>213165.60000000003</v>
      </c>
      <c r="E52" s="96">
        <f>IF(D52&lt;&gt;0,F52/D52,0)</f>
        <v>3.194199999999999</v>
      </c>
      <c r="F52" s="97">
        <f>SUM(F39:F50)</f>
        <v>680893.55951999989</v>
      </c>
      <c r="G52" s="144"/>
      <c r="H52" s="95">
        <f>SUM(H39:H50)</f>
        <v>213631.93</v>
      </c>
      <c r="I52" s="96">
        <f>IF(H52&lt;&gt;0,J52/H52,0)</f>
        <v>0.77100000000000013</v>
      </c>
      <c r="J52" s="97">
        <f>SUM(J39:J50)</f>
        <v>164710.21803000002</v>
      </c>
      <c r="K52" s="144"/>
      <c r="L52" s="95">
        <f>SUM(L39:L50)</f>
        <v>213631.93</v>
      </c>
      <c r="M52" s="96">
        <f>IF(L52&lt;&gt;0,N52/L52,0)</f>
        <v>1.7493000000000001</v>
      </c>
      <c r="N52" s="97">
        <f>SUM(N39:N50)</f>
        <v>373706.33514899999</v>
      </c>
      <c r="O52" s="144"/>
      <c r="P52" s="97">
        <f>SUM(P39:P50)</f>
        <v>538416.55317900004</v>
      </c>
      <c r="Q52" s="85"/>
    </row>
    <row r="53" spans="2:17" x14ac:dyDescent="0.2">
      <c r="B53" s="144"/>
      <c r="C53" s="144"/>
      <c r="D53" s="144"/>
      <c r="E53" s="144"/>
      <c r="F53" s="144"/>
      <c r="G53" s="144"/>
      <c r="H53" s="144"/>
      <c r="I53" s="144"/>
      <c r="J53" s="144"/>
      <c r="K53" s="144"/>
      <c r="L53" s="144"/>
      <c r="M53" s="144"/>
      <c r="N53" s="144"/>
      <c r="O53" s="144"/>
      <c r="P53" s="144"/>
      <c r="Q53" s="85"/>
    </row>
    <row r="54" spans="2:17" x14ac:dyDescent="0.2">
      <c r="B54" s="250" t="str">
        <f>'12. RTSR - Historical Wholesale'!B53</f>
        <v>Add Extra Host Here (I)</v>
      </c>
      <c r="C54" s="142"/>
      <c r="D54" s="1847" t="s">
        <v>455</v>
      </c>
      <c r="E54" s="1847"/>
      <c r="F54" s="1847"/>
      <c r="G54" s="142"/>
      <c r="H54" s="1847" t="s">
        <v>456</v>
      </c>
      <c r="I54" s="1847"/>
      <c r="J54" s="1847"/>
      <c r="K54" s="142"/>
      <c r="L54" s="1847" t="s">
        <v>457</v>
      </c>
      <c r="M54" s="1847"/>
      <c r="N54" s="1847"/>
      <c r="O54" s="142"/>
      <c r="P54" s="1013" t="s">
        <v>3032</v>
      </c>
      <c r="Q54" s="85"/>
    </row>
    <row r="55" spans="2:17" x14ac:dyDescent="0.2">
      <c r="B55" s="252"/>
      <c r="C55" s="144"/>
      <c r="D55" s="149"/>
      <c r="E55" s="149"/>
      <c r="F55" s="149"/>
      <c r="G55" s="144"/>
      <c r="H55" s="149"/>
      <c r="I55" s="149"/>
      <c r="J55" s="149"/>
      <c r="K55" s="144"/>
      <c r="L55" s="149"/>
      <c r="M55" s="149"/>
      <c r="N55" s="149"/>
      <c r="O55" s="144"/>
      <c r="P55" s="149"/>
      <c r="Q55" s="85"/>
    </row>
    <row r="56" spans="2:17" x14ac:dyDescent="0.2">
      <c r="B56" s="252" t="s">
        <v>458</v>
      </c>
      <c r="C56" s="144"/>
      <c r="D56" s="149" t="s">
        <v>459</v>
      </c>
      <c r="E56" s="149" t="s">
        <v>352</v>
      </c>
      <c r="F56" s="149" t="s">
        <v>149</v>
      </c>
      <c r="G56" s="144"/>
      <c r="H56" s="149" t="s">
        <v>459</v>
      </c>
      <c r="I56" s="149" t="s">
        <v>352</v>
      </c>
      <c r="J56" s="149" t="s">
        <v>149</v>
      </c>
      <c r="K56" s="144"/>
      <c r="L56" s="149" t="s">
        <v>459</v>
      </c>
      <c r="M56" s="149" t="s">
        <v>352</v>
      </c>
      <c r="N56" s="149" t="s">
        <v>149</v>
      </c>
      <c r="O56" s="144"/>
      <c r="P56" s="149" t="s">
        <v>149</v>
      </c>
      <c r="Q56" s="85"/>
    </row>
    <row r="57" spans="2:17" x14ac:dyDescent="0.2">
      <c r="B57" s="144"/>
      <c r="C57" s="144"/>
      <c r="D57" s="144"/>
      <c r="E57" s="144"/>
      <c r="F57" s="144"/>
      <c r="G57" s="144"/>
      <c r="H57" s="144"/>
      <c r="I57" s="144"/>
      <c r="J57" s="144"/>
      <c r="K57" s="144"/>
      <c r="L57" s="144"/>
      <c r="M57" s="144"/>
      <c r="N57" s="144"/>
      <c r="O57" s="144"/>
      <c r="P57" s="144"/>
      <c r="Q57" s="85"/>
    </row>
    <row r="58" spans="2:17" x14ac:dyDescent="0.2">
      <c r="B58" s="147" t="s">
        <v>34</v>
      </c>
      <c r="C58" s="144"/>
      <c r="D58" s="101">
        <f>'12. RTSR - Historical Wholesale'!D57</f>
        <v>0</v>
      </c>
      <c r="E58" s="102">
        <f>'11. RTSR - UTRs &amp; Sub-Tx'!H50</f>
        <v>0</v>
      </c>
      <c r="F58" s="103">
        <f>D58*E58</f>
        <v>0</v>
      </c>
      <c r="G58" s="144"/>
      <c r="H58" s="101">
        <f>'12. RTSR - Historical Wholesale'!H57</f>
        <v>0</v>
      </c>
      <c r="I58" s="102">
        <f>'11. RTSR - UTRs &amp; Sub-Tx'!H52</f>
        <v>0</v>
      </c>
      <c r="J58" s="103">
        <f>H58*I58</f>
        <v>0</v>
      </c>
      <c r="K58" s="144"/>
      <c r="L58" s="101">
        <f>'12. RTSR - Historical Wholesale'!L57</f>
        <v>0</v>
      </c>
      <c r="M58" s="102">
        <f>'11. RTSR - UTRs &amp; Sub-Tx'!H54</f>
        <v>0</v>
      </c>
      <c r="N58" s="103">
        <f>L58*M58</f>
        <v>0</v>
      </c>
      <c r="O58" s="144"/>
      <c r="P58" s="94">
        <f t="shared" ref="P58:P69" si="14">J58+N58</f>
        <v>0</v>
      </c>
      <c r="Q58" s="85"/>
    </row>
    <row r="59" spans="2:17" x14ac:dyDescent="0.2">
      <c r="B59" s="147" t="s">
        <v>35</v>
      </c>
      <c r="C59" s="144"/>
      <c r="D59" s="101">
        <f>'12. RTSR - Historical Wholesale'!D58</f>
        <v>0</v>
      </c>
      <c r="E59" s="102">
        <f>E58</f>
        <v>0</v>
      </c>
      <c r="F59" s="103">
        <f t="shared" ref="F59:F69" si="15">D59*E59</f>
        <v>0</v>
      </c>
      <c r="G59" s="144"/>
      <c r="H59" s="101">
        <f>'12. RTSR - Historical Wholesale'!H58</f>
        <v>0</v>
      </c>
      <c r="I59" s="102">
        <f>I58</f>
        <v>0</v>
      </c>
      <c r="J59" s="103">
        <f t="shared" ref="J59:J69" si="16">H59*I59</f>
        <v>0</v>
      </c>
      <c r="K59" s="144"/>
      <c r="L59" s="101">
        <f>'12. RTSR - Historical Wholesale'!L58</f>
        <v>0</v>
      </c>
      <c r="M59" s="102">
        <f>M58</f>
        <v>0</v>
      </c>
      <c r="N59" s="103">
        <f t="shared" ref="N59:N69" si="17">L59*M59</f>
        <v>0</v>
      </c>
      <c r="O59" s="144"/>
      <c r="P59" s="94">
        <f t="shared" si="14"/>
        <v>0</v>
      </c>
      <c r="Q59" s="85"/>
    </row>
    <row r="60" spans="2:17" x14ac:dyDescent="0.2">
      <c r="B60" s="147" t="s">
        <v>36</v>
      </c>
      <c r="C60" s="144"/>
      <c r="D60" s="101">
        <f>'12. RTSR - Historical Wholesale'!D59</f>
        <v>0</v>
      </c>
      <c r="E60" s="102">
        <f t="shared" ref="E60:E69" si="18">E59</f>
        <v>0</v>
      </c>
      <c r="F60" s="103">
        <f t="shared" si="15"/>
        <v>0</v>
      </c>
      <c r="G60" s="144"/>
      <c r="H60" s="101">
        <f>'12. RTSR - Historical Wholesale'!H59</f>
        <v>0</v>
      </c>
      <c r="I60" s="102">
        <f t="shared" ref="I60:I69" si="19">I59</f>
        <v>0</v>
      </c>
      <c r="J60" s="103">
        <f t="shared" si="16"/>
        <v>0</v>
      </c>
      <c r="K60" s="144"/>
      <c r="L60" s="101">
        <f>'12. RTSR - Historical Wholesale'!L59</f>
        <v>0</v>
      </c>
      <c r="M60" s="102">
        <f>M59</f>
        <v>0</v>
      </c>
      <c r="N60" s="103">
        <f t="shared" si="17"/>
        <v>0</v>
      </c>
      <c r="O60" s="144"/>
      <c r="P60" s="94">
        <f t="shared" si="14"/>
        <v>0</v>
      </c>
      <c r="Q60" s="85"/>
    </row>
    <row r="61" spans="2:17" x14ac:dyDescent="0.2">
      <c r="B61" s="147" t="s">
        <v>37</v>
      </c>
      <c r="C61" s="144"/>
      <c r="D61" s="101">
        <f>'12. RTSR - Historical Wholesale'!D60</f>
        <v>0</v>
      </c>
      <c r="E61" s="102">
        <f t="shared" si="18"/>
        <v>0</v>
      </c>
      <c r="F61" s="103">
        <f t="shared" si="15"/>
        <v>0</v>
      </c>
      <c r="G61" s="144"/>
      <c r="H61" s="101">
        <f>'12. RTSR - Historical Wholesale'!H60</f>
        <v>0</v>
      </c>
      <c r="I61" s="102">
        <f t="shared" si="19"/>
        <v>0</v>
      </c>
      <c r="J61" s="103">
        <f t="shared" si="16"/>
        <v>0</v>
      </c>
      <c r="K61" s="144"/>
      <c r="L61" s="101">
        <f>'12. RTSR - Historical Wholesale'!L60</f>
        <v>0</v>
      </c>
      <c r="M61" s="102">
        <f t="shared" ref="M61:M69" si="20">M60</f>
        <v>0</v>
      </c>
      <c r="N61" s="103">
        <f t="shared" si="17"/>
        <v>0</v>
      </c>
      <c r="O61" s="144"/>
      <c r="P61" s="94">
        <f t="shared" si="14"/>
        <v>0</v>
      </c>
      <c r="Q61" s="85"/>
    </row>
    <row r="62" spans="2:17" x14ac:dyDescent="0.2">
      <c r="B62" s="147" t="s">
        <v>38</v>
      </c>
      <c r="C62" s="144"/>
      <c r="D62" s="101">
        <f>'12. RTSR - Historical Wholesale'!D61</f>
        <v>0</v>
      </c>
      <c r="E62" s="102">
        <f t="shared" si="18"/>
        <v>0</v>
      </c>
      <c r="F62" s="103">
        <f t="shared" si="15"/>
        <v>0</v>
      </c>
      <c r="G62" s="144"/>
      <c r="H62" s="101">
        <f>'12. RTSR - Historical Wholesale'!H61</f>
        <v>0</v>
      </c>
      <c r="I62" s="102">
        <f t="shared" si="19"/>
        <v>0</v>
      </c>
      <c r="J62" s="103">
        <f t="shared" si="16"/>
        <v>0</v>
      </c>
      <c r="K62" s="144"/>
      <c r="L62" s="101">
        <f>'12. RTSR - Historical Wholesale'!L61</f>
        <v>0</v>
      </c>
      <c r="M62" s="102">
        <f t="shared" si="20"/>
        <v>0</v>
      </c>
      <c r="N62" s="103">
        <f t="shared" si="17"/>
        <v>0</v>
      </c>
      <c r="O62" s="144"/>
      <c r="P62" s="94">
        <f t="shared" si="14"/>
        <v>0</v>
      </c>
      <c r="Q62" s="85"/>
    </row>
    <row r="63" spans="2:17" x14ac:dyDescent="0.2">
      <c r="B63" s="147" t="s">
        <v>39</v>
      </c>
      <c r="C63" s="144"/>
      <c r="D63" s="101">
        <f>'12. RTSR - Historical Wholesale'!D62</f>
        <v>0</v>
      </c>
      <c r="E63" s="102">
        <f t="shared" si="18"/>
        <v>0</v>
      </c>
      <c r="F63" s="103">
        <f t="shared" si="15"/>
        <v>0</v>
      </c>
      <c r="G63" s="144"/>
      <c r="H63" s="101">
        <f>'12. RTSR - Historical Wholesale'!H62</f>
        <v>0</v>
      </c>
      <c r="I63" s="102">
        <f t="shared" si="19"/>
        <v>0</v>
      </c>
      <c r="J63" s="103">
        <f t="shared" si="16"/>
        <v>0</v>
      </c>
      <c r="K63" s="144"/>
      <c r="L63" s="101">
        <f>'12. RTSR - Historical Wholesale'!L62</f>
        <v>0</v>
      </c>
      <c r="M63" s="102">
        <f t="shared" si="20"/>
        <v>0</v>
      </c>
      <c r="N63" s="103">
        <f t="shared" si="17"/>
        <v>0</v>
      </c>
      <c r="O63" s="144"/>
      <c r="P63" s="94">
        <f t="shared" si="14"/>
        <v>0</v>
      </c>
      <c r="Q63" s="85"/>
    </row>
    <row r="64" spans="2:17" x14ac:dyDescent="0.2">
      <c r="B64" s="147" t="s">
        <v>40</v>
      </c>
      <c r="C64" s="144"/>
      <c r="D64" s="101">
        <f>'12. RTSR - Historical Wholesale'!D63</f>
        <v>0</v>
      </c>
      <c r="E64" s="102">
        <f t="shared" si="18"/>
        <v>0</v>
      </c>
      <c r="F64" s="103">
        <f t="shared" si="15"/>
        <v>0</v>
      </c>
      <c r="G64" s="144"/>
      <c r="H64" s="101">
        <f>'12. RTSR - Historical Wholesale'!H63</f>
        <v>0</v>
      </c>
      <c r="I64" s="102">
        <f t="shared" si="19"/>
        <v>0</v>
      </c>
      <c r="J64" s="103">
        <f t="shared" si="16"/>
        <v>0</v>
      </c>
      <c r="K64" s="144"/>
      <c r="L64" s="101">
        <f>'12. RTSR - Historical Wholesale'!L63</f>
        <v>0</v>
      </c>
      <c r="M64" s="102">
        <f t="shared" si="20"/>
        <v>0</v>
      </c>
      <c r="N64" s="103">
        <f t="shared" si="17"/>
        <v>0</v>
      </c>
      <c r="O64" s="144"/>
      <c r="P64" s="94">
        <f t="shared" si="14"/>
        <v>0</v>
      </c>
      <c r="Q64" s="85"/>
    </row>
    <row r="65" spans="2:17" x14ac:dyDescent="0.2">
      <c r="B65" s="147" t="s">
        <v>41</v>
      </c>
      <c r="C65" s="144"/>
      <c r="D65" s="101">
        <f>'12. RTSR - Historical Wholesale'!D64</f>
        <v>0</v>
      </c>
      <c r="E65" s="102">
        <f t="shared" si="18"/>
        <v>0</v>
      </c>
      <c r="F65" s="103">
        <f t="shared" si="15"/>
        <v>0</v>
      </c>
      <c r="G65" s="144"/>
      <c r="H65" s="101">
        <f>'12. RTSR - Historical Wholesale'!H64</f>
        <v>0</v>
      </c>
      <c r="I65" s="102">
        <f t="shared" si="19"/>
        <v>0</v>
      </c>
      <c r="J65" s="103">
        <f t="shared" si="16"/>
        <v>0</v>
      </c>
      <c r="K65" s="144"/>
      <c r="L65" s="101">
        <f>'12. RTSR - Historical Wholesale'!L64</f>
        <v>0</v>
      </c>
      <c r="M65" s="102">
        <f t="shared" si="20"/>
        <v>0</v>
      </c>
      <c r="N65" s="103">
        <f t="shared" si="17"/>
        <v>0</v>
      </c>
      <c r="O65" s="144"/>
      <c r="P65" s="94">
        <f t="shared" si="14"/>
        <v>0</v>
      </c>
      <c r="Q65" s="85"/>
    </row>
    <row r="66" spans="2:17" x14ac:dyDescent="0.2">
      <c r="B66" s="147" t="s">
        <v>42</v>
      </c>
      <c r="C66" s="144"/>
      <c r="D66" s="101">
        <f>'12. RTSR - Historical Wholesale'!D65</f>
        <v>0</v>
      </c>
      <c r="E66" s="102">
        <f t="shared" si="18"/>
        <v>0</v>
      </c>
      <c r="F66" s="103">
        <f t="shared" si="15"/>
        <v>0</v>
      </c>
      <c r="G66" s="144"/>
      <c r="H66" s="101">
        <f>'12. RTSR - Historical Wholesale'!H65</f>
        <v>0</v>
      </c>
      <c r="I66" s="102">
        <f t="shared" si="19"/>
        <v>0</v>
      </c>
      <c r="J66" s="103">
        <f t="shared" si="16"/>
        <v>0</v>
      </c>
      <c r="K66" s="144"/>
      <c r="L66" s="101">
        <f>'12. RTSR - Historical Wholesale'!L65</f>
        <v>0</v>
      </c>
      <c r="M66" s="102">
        <f t="shared" si="20"/>
        <v>0</v>
      </c>
      <c r="N66" s="103">
        <f t="shared" si="17"/>
        <v>0</v>
      </c>
      <c r="O66" s="144"/>
      <c r="P66" s="94">
        <f t="shared" si="14"/>
        <v>0</v>
      </c>
      <c r="Q66" s="85"/>
    </row>
    <row r="67" spans="2:17" x14ac:dyDescent="0.2">
      <c r="B67" s="147" t="s">
        <v>43</v>
      </c>
      <c r="C67" s="144"/>
      <c r="D67" s="101">
        <f>'12. RTSR - Historical Wholesale'!D66</f>
        <v>0</v>
      </c>
      <c r="E67" s="102">
        <f t="shared" si="18"/>
        <v>0</v>
      </c>
      <c r="F67" s="103">
        <f t="shared" si="15"/>
        <v>0</v>
      </c>
      <c r="G67" s="144"/>
      <c r="H67" s="101">
        <f>'12. RTSR - Historical Wholesale'!H66</f>
        <v>0</v>
      </c>
      <c r="I67" s="102">
        <f t="shared" si="19"/>
        <v>0</v>
      </c>
      <c r="J67" s="103">
        <f t="shared" si="16"/>
        <v>0</v>
      </c>
      <c r="K67" s="144"/>
      <c r="L67" s="101">
        <f>'12. RTSR - Historical Wholesale'!L66</f>
        <v>0</v>
      </c>
      <c r="M67" s="102">
        <f t="shared" si="20"/>
        <v>0</v>
      </c>
      <c r="N67" s="103">
        <f t="shared" si="17"/>
        <v>0</v>
      </c>
      <c r="O67" s="144"/>
      <c r="P67" s="94">
        <f t="shared" si="14"/>
        <v>0</v>
      </c>
      <c r="Q67" s="85"/>
    </row>
    <row r="68" spans="2:17" x14ac:dyDescent="0.2">
      <c r="B68" s="147" t="s">
        <v>44</v>
      </c>
      <c r="C68" s="144"/>
      <c r="D68" s="101">
        <f>'12. RTSR - Historical Wholesale'!D67</f>
        <v>0</v>
      </c>
      <c r="E68" s="102">
        <f t="shared" si="18"/>
        <v>0</v>
      </c>
      <c r="F68" s="103">
        <f t="shared" si="15"/>
        <v>0</v>
      </c>
      <c r="G68" s="144"/>
      <c r="H68" s="101">
        <f>'12. RTSR - Historical Wholesale'!H67</f>
        <v>0</v>
      </c>
      <c r="I68" s="102">
        <f t="shared" si="19"/>
        <v>0</v>
      </c>
      <c r="J68" s="103">
        <f t="shared" si="16"/>
        <v>0</v>
      </c>
      <c r="K68" s="144"/>
      <c r="L68" s="101">
        <f>'12. RTSR - Historical Wholesale'!L67</f>
        <v>0</v>
      </c>
      <c r="M68" s="102">
        <f t="shared" si="20"/>
        <v>0</v>
      </c>
      <c r="N68" s="103">
        <f t="shared" si="17"/>
        <v>0</v>
      </c>
      <c r="O68" s="144"/>
      <c r="P68" s="94">
        <f t="shared" si="14"/>
        <v>0</v>
      </c>
      <c r="Q68" s="85"/>
    </row>
    <row r="69" spans="2:17" x14ac:dyDescent="0.2">
      <c r="B69" s="147" t="s">
        <v>45</v>
      </c>
      <c r="C69" s="144"/>
      <c r="D69" s="101">
        <f>'12. RTSR - Historical Wholesale'!D68</f>
        <v>0</v>
      </c>
      <c r="E69" s="102">
        <f t="shared" si="18"/>
        <v>0</v>
      </c>
      <c r="F69" s="103">
        <f t="shared" si="15"/>
        <v>0</v>
      </c>
      <c r="G69" s="144"/>
      <c r="H69" s="101">
        <f>'12. RTSR - Historical Wholesale'!H68</f>
        <v>0</v>
      </c>
      <c r="I69" s="102">
        <f t="shared" si="19"/>
        <v>0</v>
      </c>
      <c r="J69" s="103">
        <f t="shared" si="16"/>
        <v>0</v>
      </c>
      <c r="K69" s="144"/>
      <c r="L69" s="101">
        <f>'12. RTSR - Historical Wholesale'!L68</f>
        <v>0</v>
      </c>
      <c r="M69" s="102">
        <f t="shared" si="20"/>
        <v>0</v>
      </c>
      <c r="N69" s="103">
        <f t="shared" si="17"/>
        <v>0</v>
      </c>
      <c r="O69" s="144"/>
      <c r="P69" s="94">
        <f t="shared" si="14"/>
        <v>0</v>
      </c>
      <c r="Q69" s="85"/>
    </row>
    <row r="70" spans="2:17" x14ac:dyDescent="0.2">
      <c r="B70" s="144"/>
      <c r="C70" s="144"/>
      <c r="D70" s="144"/>
      <c r="E70" s="144"/>
      <c r="F70" s="144"/>
      <c r="G70" s="144"/>
      <c r="H70" s="144"/>
      <c r="I70" s="144"/>
      <c r="J70" s="144"/>
      <c r="K70" s="144"/>
      <c r="L70" s="144"/>
      <c r="M70" s="144"/>
      <c r="N70" s="144"/>
      <c r="O70" s="144"/>
      <c r="P70" s="144"/>
      <c r="Q70" s="85"/>
    </row>
    <row r="71" spans="2:17" ht="13.5" thickBot="1" x14ac:dyDescent="0.25">
      <c r="B71" s="252" t="s">
        <v>51</v>
      </c>
      <c r="C71" s="144"/>
      <c r="D71" s="95">
        <f>SUM(D58:D69)</f>
        <v>0</v>
      </c>
      <c r="E71" s="96">
        <f>IF(D71&lt;&gt;0,F71/D71,0)</f>
        <v>0</v>
      </c>
      <c r="F71" s="97">
        <f>SUM(F58:F69)</f>
        <v>0</v>
      </c>
      <c r="G71" s="144"/>
      <c r="H71" s="95">
        <f>SUM(H58:H69)</f>
        <v>0</v>
      </c>
      <c r="I71" s="96">
        <f>IF(H71&lt;&gt;0,J71/H71,0)</f>
        <v>0</v>
      </c>
      <c r="J71" s="97">
        <f>SUM(J58:J69)</f>
        <v>0</v>
      </c>
      <c r="K71" s="144"/>
      <c r="L71" s="95">
        <f>SUM(L58:L69)</f>
        <v>0</v>
      </c>
      <c r="M71" s="96">
        <f>IF(L71&lt;&gt;0,N71/L71,0)</f>
        <v>0</v>
      </c>
      <c r="N71" s="97">
        <f>SUM(N58:N69)</f>
        <v>0</v>
      </c>
      <c r="O71" s="144"/>
      <c r="P71" s="97">
        <f>SUM(P58:P69)</f>
        <v>0</v>
      </c>
      <c r="Q71" s="85"/>
    </row>
    <row r="72" spans="2:17" x14ac:dyDescent="0.2">
      <c r="B72" s="144"/>
      <c r="C72" s="144"/>
      <c r="D72" s="144"/>
      <c r="E72" s="144"/>
      <c r="F72" s="144"/>
      <c r="G72" s="144"/>
      <c r="H72" s="144"/>
      <c r="I72" s="144"/>
      <c r="J72" s="144"/>
      <c r="K72" s="144"/>
      <c r="L72" s="144"/>
      <c r="M72" s="144"/>
      <c r="N72" s="144"/>
      <c r="O72" s="144"/>
      <c r="P72" s="144"/>
      <c r="Q72" s="85"/>
    </row>
    <row r="73" spans="2:17" x14ac:dyDescent="0.2">
      <c r="B73" s="250" t="str">
        <f>'12. RTSR - Historical Wholesale'!B72</f>
        <v>Add Extra Host Here (II)</v>
      </c>
      <c r="C73" s="142"/>
      <c r="D73" s="1847" t="s">
        <v>455</v>
      </c>
      <c r="E73" s="1847"/>
      <c r="F73" s="1847"/>
      <c r="G73" s="142"/>
      <c r="H73" s="1847" t="s">
        <v>456</v>
      </c>
      <c r="I73" s="1847"/>
      <c r="J73" s="1847"/>
      <c r="K73" s="142"/>
      <c r="L73" s="1847" t="s">
        <v>457</v>
      </c>
      <c r="M73" s="1847"/>
      <c r="N73" s="1847"/>
      <c r="O73" s="142"/>
      <c r="P73" s="1013" t="s">
        <v>3032</v>
      </c>
      <c r="Q73" s="85"/>
    </row>
    <row r="74" spans="2:17" x14ac:dyDescent="0.2">
      <c r="B74" s="252"/>
      <c r="C74" s="144"/>
      <c r="D74" s="149"/>
      <c r="E74" s="149"/>
      <c r="F74" s="149"/>
      <c r="G74" s="144"/>
      <c r="H74" s="149"/>
      <c r="I74" s="149"/>
      <c r="J74" s="149"/>
      <c r="K74" s="144"/>
      <c r="L74" s="149"/>
      <c r="M74" s="149"/>
      <c r="N74" s="149"/>
      <c r="O74" s="144"/>
      <c r="P74" s="149"/>
      <c r="Q74" s="85"/>
    </row>
    <row r="75" spans="2:17" x14ac:dyDescent="0.2">
      <c r="B75" s="252" t="s">
        <v>458</v>
      </c>
      <c r="C75" s="144"/>
      <c r="D75" s="149" t="s">
        <v>459</v>
      </c>
      <c r="E75" s="149" t="s">
        <v>352</v>
      </c>
      <c r="F75" s="149" t="s">
        <v>149</v>
      </c>
      <c r="G75" s="144"/>
      <c r="H75" s="149" t="s">
        <v>459</v>
      </c>
      <c r="I75" s="149" t="s">
        <v>352</v>
      </c>
      <c r="J75" s="149" t="s">
        <v>149</v>
      </c>
      <c r="K75" s="144"/>
      <c r="L75" s="149" t="s">
        <v>459</v>
      </c>
      <c r="M75" s="149" t="s">
        <v>352</v>
      </c>
      <c r="N75" s="149" t="s">
        <v>149</v>
      </c>
      <c r="O75" s="144"/>
      <c r="P75" s="149" t="s">
        <v>149</v>
      </c>
      <c r="Q75" s="85"/>
    </row>
    <row r="76" spans="2:17" x14ac:dyDescent="0.2">
      <c r="B76" s="144"/>
      <c r="C76" s="144"/>
      <c r="D76" s="144"/>
      <c r="E76" s="144"/>
      <c r="F76" s="144"/>
      <c r="G76" s="144"/>
      <c r="H76" s="144"/>
      <c r="I76" s="144"/>
      <c r="J76" s="144"/>
      <c r="K76" s="144"/>
      <c r="L76" s="144"/>
      <c r="M76" s="144"/>
      <c r="N76" s="144"/>
      <c r="O76" s="144"/>
      <c r="P76" s="144"/>
      <c r="Q76" s="85"/>
    </row>
    <row r="77" spans="2:17" x14ac:dyDescent="0.2">
      <c r="B77" s="147" t="s">
        <v>34</v>
      </c>
      <c r="C77" s="144"/>
      <c r="D77" s="101">
        <f>'12. RTSR - Historical Wholesale'!D76</f>
        <v>0</v>
      </c>
      <c r="E77" s="102">
        <f>'11. RTSR - UTRs &amp; Sub-Tx'!H65</f>
        <v>0</v>
      </c>
      <c r="F77" s="103">
        <f>D77*E77</f>
        <v>0</v>
      </c>
      <c r="G77" s="144"/>
      <c r="H77" s="101">
        <f>'12. RTSR - Historical Wholesale'!H76</f>
        <v>0</v>
      </c>
      <c r="I77" s="102">
        <f>'11. RTSR - UTRs &amp; Sub-Tx'!H67</f>
        <v>0</v>
      </c>
      <c r="J77" s="103">
        <f>H77*I77</f>
        <v>0</v>
      </c>
      <c r="K77" s="144"/>
      <c r="L77" s="101">
        <f>'12. RTSR - Historical Wholesale'!L76</f>
        <v>0</v>
      </c>
      <c r="M77" s="102">
        <f>'11. RTSR - UTRs &amp; Sub-Tx'!H69</f>
        <v>0</v>
      </c>
      <c r="N77" s="103">
        <f>L77*M77</f>
        <v>0</v>
      </c>
      <c r="O77" s="144"/>
      <c r="P77" s="94">
        <f t="shared" ref="P77:P88" si="21">J77+N77</f>
        <v>0</v>
      </c>
      <c r="Q77" s="85"/>
    </row>
    <row r="78" spans="2:17" x14ac:dyDescent="0.2">
      <c r="B78" s="147" t="s">
        <v>35</v>
      </c>
      <c r="C78" s="144"/>
      <c r="D78" s="101">
        <f>'12. RTSR - Historical Wholesale'!D77</f>
        <v>0</v>
      </c>
      <c r="E78" s="102">
        <f>E77</f>
        <v>0</v>
      </c>
      <c r="F78" s="103">
        <f t="shared" ref="F78:F88" si="22">D78*E78</f>
        <v>0</v>
      </c>
      <c r="G78" s="144"/>
      <c r="H78" s="101">
        <f>'12. RTSR - Historical Wholesale'!H77</f>
        <v>0</v>
      </c>
      <c r="I78" s="102">
        <f>I77</f>
        <v>0</v>
      </c>
      <c r="J78" s="103">
        <f t="shared" ref="J78:J88" si="23">H78*I78</f>
        <v>0</v>
      </c>
      <c r="K78" s="144"/>
      <c r="L78" s="101">
        <f>'12. RTSR - Historical Wholesale'!L77</f>
        <v>0</v>
      </c>
      <c r="M78" s="102">
        <f>M77</f>
        <v>0</v>
      </c>
      <c r="N78" s="103">
        <f t="shared" ref="N78:N88" si="24">L78*M78</f>
        <v>0</v>
      </c>
      <c r="O78" s="144"/>
      <c r="P78" s="94">
        <f t="shared" si="21"/>
        <v>0</v>
      </c>
      <c r="Q78" s="85"/>
    </row>
    <row r="79" spans="2:17" x14ac:dyDescent="0.2">
      <c r="B79" s="147" t="s">
        <v>36</v>
      </c>
      <c r="C79" s="144"/>
      <c r="D79" s="101">
        <f>'12. RTSR - Historical Wholesale'!D78</f>
        <v>0</v>
      </c>
      <c r="E79" s="102">
        <f t="shared" ref="E79:E88" si="25">E78</f>
        <v>0</v>
      </c>
      <c r="F79" s="103">
        <f t="shared" si="22"/>
        <v>0</v>
      </c>
      <c r="G79" s="144"/>
      <c r="H79" s="101">
        <f>'12. RTSR - Historical Wholesale'!H78</f>
        <v>0</v>
      </c>
      <c r="I79" s="102">
        <f t="shared" ref="I79:I88" si="26">I78</f>
        <v>0</v>
      </c>
      <c r="J79" s="103">
        <f t="shared" si="23"/>
        <v>0</v>
      </c>
      <c r="K79" s="144"/>
      <c r="L79" s="101">
        <f>'12. RTSR - Historical Wholesale'!L78</f>
        <v>0</v>
      </c>
      <c r="M79" s="102">
        <f>M78</f>
        <v>0</v>
      </c>
      <c r="N79" s="103">
        <f t="shared" si="24"/>
        <v>0</v>
      </c>
      <c r="O79" s="144"/>
      <c r="P79" s="94">
        <f t="shared" si="21"/>
        <v>0</v>
      </c>
      <c r="Q79" s="85"/>
    </row>
    <row r="80" spans="2:17" x14ac:dyDescent="0.2">
      <c r="B80" s="147" t="s">
        <v>37</v>
      </c>
      <c r="C80" s="144"/>
      <c r="D80" s="101">
        <f>'12. RTSR - Historical Wholesale'!D79</f>
        <v>0</v>
      </c>
      <c r="E80" s="102">
        <f t="shared" si="25"/>
        <v>0</v>
      </c>
      <c r="F80" s="103">
        <f t="shared" si="22"/>
        <v>0</v>
      </c>
      <c r="G80" s="144"/>
      <c r="H80" s="101">
        <f>'12. RTSR - Historical Wholesale'!H79</f>
        <v>0</v>
      </c>
      <c r="I80" s="102">
        <f t="shared" si="26"/>
        <v>0</v>
      </c>
      <c r="J80" s="103">
        <f t="shared" si="23"/>
        <v>0</v>
      </c>
      <c r="K80" s="144"/>
      <c r="L80" s="101">
        <f>'12. RTSR - Historical Wholesale'!L79</f>
        <v>0</v>
      </c>
      <c r="M80" s="102">
        <f t="shared" ref="M80:M88" si="27">M79</f>
        <v>0</v>
      </c>
      <c r="N80" s="103">
        <f t="shared" si="24"/>
        <v>0</v>
      </c>
      <c r="O80" s="144"/>
      <c r="P80" s="94">
        <f t="shared" si="21"/>
        <v>0</v>
      </c>
      <c r="Q80" s="85"/>
    </row>
    <row r="81" spans="2:17" x14ac:dyDescent="0.2">
      <c r="B81" s="147" t="s">
        <v>38</v>
      </c>
      <c r="C81" s="144"/>
      <c r="D81" s="101">
        <f>'12. RTSR - Historical Wholesale'!D80</f>
        <v>0</v>
      </c>
      <c r="E81" s="102">
        <f t="shared" si="25"/>
        <v>0</v>
      </c>
      <c r="F81" s="103">
        <f t="shared" si="22"/>
        <v>0</v>
      </c>
      <c r="G81" s="144"/>
      <c r="H81" s="101">
        <f>'12. RTSR - Historical Wholesale'!H80</f>
        <v>0</v>
      </c>
      <c r="I81" s="102">
        <f t="shared" si="26"/>
        <v>0</v>
      </c>
      <c r="J81" s="103">
        <f t="shared" si="23"/>
        <v>0</v>
      </c>
      <c r="K81" s="144"/>
      <c r="L81" s="101">
        <f>'12. RTSR - Historical Wholesale'!L80</f>
        <v>0</v>
      </c>
      <c r="M81" s="102">
        <f t="shared" si="27"/>
        <v>0</v>
      </c>
      <c r="N81" s="103">
        <f t="shared" si="24"/>
        <v>0</v>
      </c>
      <c r="O81" s="144"/>
      <c r="P81" s="94">
        <f t="shared" si="21"/>
        <v>0</v>
      </c>
      <c r="Q81" s="85"/>
    </row>
    <row r="82" spans="2:17" x14ac:dyDescent="0.2">
      <c r="B82" s="147" t="s">
        <v>39</v>
      </c>
      <c r="C82" s="144"/>
      <c r="D82" s="101">
        <f>'12. RTSR - Historical Wholesale'!D81</f>
        <v>0</v>
      </c>
      <c r="E82" s="102">
        <f t="shared" si="25"/>
        <v>0</v>
      </c>
      <c r="F82" s="103">
        <f t="shared" si="22"/>
        <v>0</v>
      </c>
      <c r="G82" s="144"/>
      <c r="H82" s="101">
        <f>'12. RTSR - Historical Wholesale'!H81</f>
        <v>0</v>
      </c>
      <c r="I82" s="102">
        <f t="shared" si="26"/>
        <v>0</v>
      </c>
      <c r="J82" s="103">
        <f t="shared" si="23"/>
        <v>0</v>
      </c>
      <c r="K82" s="144"/>
      <c r="L82" s="101">
        <f>'12. RTSR - Historical Wholesale'!L81</f>
        <v>0</v>
      </c>
      <c r="M82" s="102">
        <f t="shared" si="27"/>
        <v>0</v>
      </c>
      <c r="N82" s="103">
        <f t="shared" si="24"/>
        <v>0</v>
      </c>
      <c r="O82" s="144"/>
      <c r="P82" s="94">
        <f t="shared" si="21"/>
        <v>0</v>
      </c>
      <c r="Q82" s="85"/>
    </row>
    <row r="83" spans="2:17" x14ac:dyDescent="0.2">
      <c r="B83" s="147" t="s">
        <v>40</v>
      </c>
      <c r="C83" s="144"/>
      <c r="D83" s="101">
        <f>'12. RTSR - Historical Wholesale'!D82</f>
        <v>0</v>
      </c>
      <c r="E83" s="102">
        <f t="shared" si="25"/>
        <v>0</v>
      </c>
      <c r="F83" s="103">
        <f t="shared" si="22"/>
        <v>0</v>
      </c>
      <c r="G83" s="144"/>
      <c r="H83" s="101">
        <f>'12. RTSR - Historical Wholesale'!H82</f>
        <v>0</v>
      </c>
      <c r="I83" s="102">
        <f t="shared" si="26"/>
        <v>0</v>
      </c>
      <c r="J83" s="103">
        <f t="shared" si="23"/>
        <v>0</v>
      </c>
      <c r="K83" s="144"/>
      <c r="L83" s="101">
        <f>'12. RTSR - Historical Wholesale'!L82</f>
        <v>0</v>
      </c>
      <c r="M83" s="102">
        <f t="shared" si="27"/>
        <v>0</v>
      </c>
      <c r="N83" s="103">
        <f t="shared" si="24"/>
        <v>0</v>
      </c>
      <c r="O83" s="144"/>
      <c r="P83" s="94">
        <f t="shared" si="21"/>
        <v>0</v>
      </c>
      <c r="Q83" s="85"/>
    </row>
    <row r="84" spans="2:17" x14ac:dyDescent="0.2">
      <c r="B84" s="147" t="s">
        <v>41</v>
      </c>
      <c r="C84" s="144"/>
      <c r="D84" s="101">
        <f>'12. RTSR - Historical Wholesale'!D83</f>
        <v>0</v>
      </c>
      <c r="E84" s="102">
        <f t="shared" si="25"/>
        <v>0</v>
      </c>
      <c r="F84" s="103">
        <f t="shared" si="22"/>
        <v>0</v>
      </c>
      <c r="G84" s="144"/>
      <c r="H84" s="101">
        <f>'12. RTSR - Historical Wholesale'!H83</f>
        <v>0</v>
      </c>
      <c r="I84" s="102">
        <f t="shared" si="26"/>
        <v>0</v>
      </c>
      <c r="J84" s="103">
        <f t="shared" si="23"/>
        <v>0</v>
      </c>
      <c r="K84" s="144"/>
      <c r="L84" s="101">
        <f>'12. RTSR - Historical Wholesale'!L83</f>
        <v>0</v>
      </c>
      <c r="M84" s="102">
        <f t="shared" si="27"/>
        <v>0</v>
      </c>
      <c r="N84" s="103">
        <f t="shared" si="24"/>
        <v>0</v>
      </c>
      <c r="O84" s="144"/>
      <c r="P84" s="94">
        <f t="shared" si="21"/>
        <v>0</v>
      </c>
      <c r="Q84" s="85"/>
    </row>
    <row r="85" spans="2:17" x14ac:dyDescent="0.2">
      <c r="B85" s="147" t="s">
        <v>42</v>
      </c>
      <c r="C85" s="144"/>
      <c r="D85" s="101">
        <f>'12. RTSR - Historical Wholesale'!D84</f>
        <v>0</v>
      </c>
      <c r="E85" s="102">
        <f t="shared" si="25"/>
        <v>0</v>
      </c>
      <c r="F85" s="103">
        <f t="shared" si="22"/>
        <v>0</v>
      </c>
      <c r="G85" s="144"/>
      <c r="H85" s="101">
        <f>'12. RTSR - Historical Wholesale'!H84</f>
        <v>0</v>
      </c>
      <c r="I85" s="102">
        <f t="shared" si="26"/>
        <v>0</v>
      </c>
      <c r="J85" s="103">
        <f t="shared" si="23"/>
        <v>0</v>
      </c>
      <c r="K85" s="144"/>
      <c r="L85" s="101">
        <f>'12. RTSR - Historical Wholesale'!L84</f>
        <v>0</v>
      </c>
      <c r="M85" s="102">
        <f t="shared" si="27"/>
        <v>0</v>
      </c>
      <c r="N85" s="103">
        <f t="shared" si="24"/>
        <v>0</v>
      </c>
      <c r="O85" s="144"/>
      <c r="P85" s="94">
        <f t="shared" si="21"/>
        <v>0</v>
      </c>
      <c r="Q85" s="85"/>
    </row>
    <row r="86" spans="2:17" x14ac:dyDescent="0.2">
      <c r="B86" s="147" t="s">
        <v>43</v>
      </c>
      <c r="C86" s="144"/>
      <c r="D86" s="101">
        <f>'12. RTSR - Historical Wholesale'!D85</f>
        <v>0</v>
      </c>
      <c r="E86" s="102">
        <f t="shared" si="25"/>
        <v>0</v>
      </c>
      <c r="F86" s="103">
        <f t="shared" si="22"/>
        <v>0</v>
      </c>
      <c r="G86" s="144"/>
      <c r="H86" s="101">
        <f>'12. RTSR - Historical Wholesale'!H85</f>
        <v>0</v>
      </c>
      <c r="I86" s="102">
        <f t="shared" si="26"/>
        <v>0</v>
      </c>
      <c r="J86" s="103">
        <f t="shared" si="23"/>
        <v>0</v>
      </c>
      <c r="K86" s="144"/>
      <c r="L86" s="101">
        <f>'12. RTSR - Historical Wholesale'!L85</f>
        <v>0</v>
      </c>
      <c r="M86" s="102">
        <f t="shared" si="27"/>
        <v>0</v>
      </c>
      <c r="N86" s="103">
        <f t="shared" si="24"/>
        <v>0</v>
      </c>
      <c r="O86" s="144"/>
      <c r="P86" s="94">
        <f t="shared" si="21"/>
        <v>0</v>
      </c>
      <c r="Q86" s="85"/>
    </row>
    <row r="87" spans="2:17" x14ac:dyDescent="0.2">
      <c r="B87" s="147" t="s">
        <v>44</v>
      </c>
      <c r="C87" s="144"/>
      <c r="D87" s="101">
        <f>'12. RTSR - Historical Wholesale'!D86</f>
        <v>0</v>
      </c>
      <c r="E87" s="102">
        <f t="shared" si="25"/>
        <v>0</v>
      </c>
      <c r="F87" s="103">
        <f t="shared" si="22"/>
        <v>0</v>
      </c>
      <c r="G87" s="144"/>
      <c r="H87" s="101">
        <f>'12. RTSR - Historical Wholesale'!H86</f>
        <v>0</v>
      </c>
      <c r="I87" s="102">
        <f t="shared" si="26"/>
        <v>0</v>
      </c>
      <c r="J87" s="103">
        <f t="shared" si="23"/>
        <v>0</v>
      </c>
      <c r="K87" s="144"/>
      <c r="L87" s="101">
        <f>'12. RTSR - Historical Wholesale'!L86</f>
        <v>0</v>
      </c>
      <c r="M87" s="102">
        <f t="shared" si="27"/>
        <v>0</v>
      </c>
      <c r="N87" s="103">
        <f t="shared" si="24"/>
        <v>0</v>
      </c>
      <c r="O87" s="144"/>
      <c r="P87" s="94">
        <f t="shared" si="21"/>
        <v>0</v>
      </c>
      <c r="Q87" s="85"/>
    </row>
    <row r="88" spans="2:17" x14ac:dyDescent="0.2">
      <c r="B88" s="147" t="s">
        <v>45</v>
      </c>
      <c r="C88" s="144"/>
      <c r="D88" s="101">
        <f>'12. RTSR - Historical Wholesale'!D87</f>
        <v>0</v>
      </c>
      <c r="E88" s="102">
        <f t="shared" si="25"/>
        <v>0</v>
      </c>
      <c r="F88" s="103">
        <f t="shared" si="22"/>
        <v>0</v>
      </c>
      <c r="G88" s="144"/>
      <c r="H88" s="101">
        <f>'12. RTSR - Historical Wholesale'!H87</f>
        <v>0</v>
      </c>
      <c r="I88" s="102">
        <f t="shared" si="26"/>
        <v>0</v>
      </c>
      <c r="J88" s="103">
        <f t="shared" si="23"/>
        <v>0</v>
      </c>
      <c r="K88" s="144"/>
      <c r="L88" s="101">
        <f>'12. RTSR - Historical Wholesale'!L87</f>
        <v>0</v>
      </c>
      <c r="M88" s="102">
        <f t="shared" si="27"/>
        <v>0</v>
      </c>
      <c r="N88" s="103">
        <f t="shared" si="24"/>
        <v>0</v>
      </c>
      <c r="O88" s="144"/>
      <c r="P88" s="94">
        <f t="shared" si="21"/>
        <v>0</v>
      </c>
      <c r="Q88" s="85"/>
    </row>
    <row r="89" spans="2:17" x14ac:dyDescent="0.2">
      <c r="B89" s="144"/>
      <c r="C89" s="144"/>
      <c r="D89" s="144"/>
      <c r="E89" s="144"/>
      <c r="F89" s="144"/>
      <c r="G89" s="144"/>
      <c r="H89" s="144"/>
      <c r="I89" s="144"/>
      <c r="J89" s="144"/>
      <c r="K89" s="144"/>
      <c r="L89" s="144"/>
      <c r="M89" s="144"/>
      <c r="N89" s="144"/>
      <c r="O89" s="144"/>
      <c r="P89" s="144"/>
      <c r="Q89" s="85"/>
    </row>
    <row r="90" spans="2:17" ht="13.5" thickBot="1" x14ac:dyDescent="0.25">
      <c r="B90" s="252" t="s">
        <v>51</v>
      </c>
      <c r="C90" s="144"/>
      <c r="D90" s="95">
        <f>SUM(D77:D88)</f>
        <v>0</v>
      </c>
      <c r="E90" s="96">
        <f>IF(D90&lt;&gt;0,F90/D90,0)</f>
        <v>0</v>
      </c>
      <c r="F90" s="97">
        <f>SUM(F77:F88)</f>
        <v>0</v>
      </c>
      <c r="G90" s="144"/>
      <c r="H90" s="95">
        <f>SUM(H77:H88)</f>
        <v>0</v>
      </c>
      <c r="I90" s="96">
        <f>IF(H90&lt;&gt;0,J90/H90,0)</f>
        <v>0</v>
      </c>
      <c r="J90" s="97">
        <f>SUM(J77:J88)</f>
        <v>0</v>
      </c>
      <c r="K90" s="144"/>
      <c r="L90" s="95">
        <f>SUM(L77:L88)</f>
        <v>0</v>
      </c>
      <c r="M90" s="96">
        <f>IF(L90&lt;&gt;0,N90/L90,0)</f>
        <v>0</v>
      </c>
      <c r="N90" s="97">
        <f>SUM(N77:N88)</f>
        <v>0</v>
      </c>
      <c r="O90" s="144"/>
      <c r="P90" s="97">
        <f>SUM(P77:P88)</f>
        <v>0</v>
      </c>
      <c r="Q90" s="85"/>
    </row>
    <row r="91" spans="2:17" x14ac:dyDescent="0.2">
      <c r="B91" s="144"/>
      <c r="C91" s="144"/>
      <c r="D91" s="144"/>
      <c r="E91" s="144"/>
      <c r="F91" s="144"/>
      <c r="G91" s="144"/>
      <c r="H91" s="144"/>
      <c r="I91" s="144"/>
      <c r="J91" s="144"/>
      <c r="K91" s="144"/>
      <c r="L91" s="144"/>
      <c r="M91" s="144"/>
      <c r="N91" s="144"/>
      <c r="O91" s="144"/>
      <c r="P91" s="144"/>
      <c r="Q91" s="85"/>
    </row>
    <row r="92" spans="2:17" x14ac:dyDescent="0.2">
      <c r="B92" s="250" t="s">
        <v>51</v>
      </c>
      <c r="C92" s="142"/>
      <c r="D92" s="1847" t="s">
        <v>455</v>
      </c>
      <c r="E92" s="1847"/>
      <c r="F92" s="1847"/>
      <c r="G92" s="142"/>
      <c r="H92" s="1847" t="s">
        <v>456</v>
      </c>
      <c r="I92" s="1847"/>
      <c r="J92" s="1847"/>
      <c r="K92" s="142"/>
      <c r="L92" s="1847" t="s">
        <v>457</v>
      </c>
      <c r="M92" s="1847"/>
      <c r="N92" s="1847"/>
      <c r="O92" s="142"/>
      <c r="P92" s="1013" t="s">
        <v>3032</v>
      </c>
      <c r="Q92" s="85"/>
    </row>
    <row r="93" spans="2:17" x14ac:dyDescent="0.2">
      <c r="B93" s="144"/>
      <c r="C93" s="144"/>
      <c r="D93" s="1849"/>
      <c r="E93" s="1849"/>
      <c r="F93" s="1849"/>
      <c r="G93" s="146"/>
      <c r="H93" s="1849"/>
      <c r="I93" s="1849"/>
      <c r="J93" s="1849"/>
      <c r="K93" s="146"/>
      <c r="L93" s="1849"/>
      <c r="M93" s="1849"/>
      <c r="N93" s="1849"/>
      <c r="O93" s="146"/>
      <c r="P93" s="251"/>
      <c r="Q93" s="85"/>
    </row>
    <row r="94" spans="2:17" x14ac:dyDescent="0.2">
      <c r="B94" s="252" t="s">
        <v>458</v>
      </c>
      <c r="C94" s="144"/>
      <c r="D94" s="149" t="s">
        <v>459</v>
      </c>
      <c r="E94" s="149" t="s">
        <v>352</v>
      </c>
      <c r="F94" s="149" t="s">
        <v>149</v>
      </c>
      <c r="G94" s="144"/>
      <c r="H94" s="149" t="s">
        <v>459</v>
      </c>
      <c r="I94" s="149" t="s">
        <v>352</v>
      </c>
      <c r="J94" s="149" t="s">
        <v>149</v>
      </c>
      <c r="K94" s="144"/>
      <c r="L94" s="149" t="s">
        <v>459</v>
      </c>
      <c r="M94" s="149" t="s">
        <v>352</v>
      </c>
      <c r="N94" s="149" t="s">
        <v>149</v>
      </c>
      <c r="O94" s="144"/>
      <c r="P94" s="149" t="s">
        <v>149</v>
      </c>
      <c r="Q94" s="85"/>
    </row>
    <row r="95" spans="2:17" x14ac:dyDescent="0.2">
      <c r="B95" s="144"/>
      <c r="C95" s="144"/>
      <c r="D95" s="144"/>
      <c r="E95" s="144"/>
      <c r="F95" s="144"/>
      <c r="G95" s="144"/>
      <c r="H95" s="144"/>
      <c r="I95" s="144"/>
      <c r="J95" s="144"/>
      <c r="K95" s="144"/>
      <c r="L95" s="144"/>
      <c r="M95" s="144"/>
      <c r="N95" s="144"/>
      <c r="O95" s="144"/>
      <c r="P95" s="144"/>
      <c r="Q95" s="85"/>
    </row>
    <row r="96" spans="2:17" x14ac:dyDescent="0.2">
      <c r="B96" s="147" t="s">
        <v>34</v>
      </c>
      <c r="C96" s="144"/>
      <c r="D96" s="98">
        <f>D20+D39+D58+D77</f>
        <v>19077.89</v>
      </c>
      <c r="E96" s="102">
        <f t="shared" ref="E96:E107" si="28">IF(D96&lt;&gt;0,F96/D96,0)</f>
        <v>3.1941999999999999</v>
      </c>
      <c r="F96" s="94">
        <f>F20+F39+F58+F77</f>
        <v>60938.596237999998</v>
      </c>
      <c r="G96" s="144"/>
      <c r="H96" s="98">
        <f>H20+H39+H58+H77</f>
        <v>19077.990000000002</v>
      </c>
      <c r="I96" s="102">
        <f t="shared" ref="I96:I107" si="29">IF(H96&lt;&gt;0,J96/H96,0)</f>
        <v>0.77100000000000002</v>
      </c>
      <c r="J96" s="94">
        <f>J20+J39+J58+J77</f>
        <v>14709.130290000001</v>
      </c>
      <c r="K96" s="144"/>
      <c r="L96" s="98">
        <f>L20+L39+L58+L77</f>
        <v>19077.990000000002</v>
      </c>
      <c r="M96" s="102">
        <f t="shared" ref="M96:M107" si="30">IF(L96&lt;&gt;0,N96/L96,0)</f>
        <v>1.7492999999999999</v>
      </c>
      <c r="N96" s="94">
        <f>N20+N39+N58+N77</f>
        <v>33373.127907000002</v>
      </c>
      <c r="O96" s="144"/>
      <c r="P96" s="94">
        <f t="shared" ref="P96:P107" si="31">J96+N96</f>
        <v>48082.258197000003</v>
      </c>
      <c r="Q96" s="85"/>
    </row>
    <row r="97" spans="2:17" x14ac:dyDescent="0.2">
      <c r="B97" s="147" t="s">
        <v>35</v>
      </c>
      <c r="C97" s="144"/>
      <c r="D97" s="98">
        <f t="shared" ref="D97:D107" si="32">D21+D40+D59+D78</f>
        <v>23361.99</v>
      </c>
      <c r="E97" s="102">
        <f t="shared" si="28"/>
        <v>3.1941999999999995</v>
      </c>
      <c r="F97" s="94">
        <f t="shared" ref="F97:F107" si="33">F21+F40+F59+F78</f>
        <v>74622.868457999997</v>
      </c>
      <c r="G97" s="144"/>
      <c r="H97" s="98">
        <f t="shared" ref="H97:H107" si="34">H21+H40+H59+H78</f>
        <v>23593.1</v>
      </c>
      <c r="I97" s="102">
        <f t="shared" si="29"/>
        <v>0.77100000000000002</v>
      </c>
      <c r="J97" s="94">
        <f t="shared" ref="J97:J107" si="35">J21+J40+J59+J78</f>
        <v>18190.2801</v>
      </c>
      <c r="K97" s="144"/>
      <c r="L97" s="98">
        <f t="shared" ref="L97:L107" si="36">L21+L40+L59+L78</f>
        <v>23593.1</v>
      </c>
      <c r="M97" s="102">
        <f t="shared" si="30"/>
        <v>1.7493000000000001</v>
      </c>
      <c r="N97" s="94">
        <f t="shared" ref="N97:N107" si="37">N21+N40+N59+N78</f>
        <v>41271.409829999997</v>
      </c>
      <c r="O97" s="144"/>
      <c r="P97" s="94">
        <f t="shared" si="31"/>
        <v>59461.689929999993</v>
      </c>
      <c r="Q97" s="85"/>
    </row>
    <row r="98" spans="2:17" x14ac:dyDescent="0.2">
      <c r="B98" s="147" t="s">
        <v>36</v>
      </c>
      <c r="C98" s="144"/>
      <c r="D98" s="98">
        <f t="shared" si="32"/>
        <v>17233.3</v>
      </c>
      <c r="E98" s="102">
        <f t="shared" si="28"/>
        <v>3.1941999999999999</v>
      </c>
      <c r="F98" s="94">
        <f t="shared" si="33"/>
        <v>55046.60686</v>
      </c>
      <c r="G98" s="144"/>
      <c r="H98" s="98">
        <f t="shared" si="34"/>
        <v>17273.97</v>
      </c>
      <c r="I98" s="102">
        <f t="shared" si="29"/>
        <v>0.77100000000000002</v>
      </c>
      <c r="J98" s="94">
        <f t="shared" si="35"/>
        <v>13318.230870000001</v>
      </c>
      <c r="K98" s="144"/>
      <c r="L98" s="98">
        <f t="shared" si="36"/>
        <v>17273.97</v>
      </c>
      <c r="M98" s="102">
        <f t="shared" si="30"/>
        <v>1.7493000000000001</v>
      </c>
      <c r="N98" s="94">
        <f t="shared" si="37"/>
        <v>30217.355721000004</v>
      </c>
      <c r="O98" s="144"/>
      <c r="P98" s="94">
        <f t="shared" si="31"/>
        <v>43535.586591000007</v>
      </c>
      <c r="Q98" s="85"/>
    </row>
    <row r="99" spans="2:17" x14ac:dyDescent="0.2">
      <c r="B99" s="147" t="s">
        <v>37</v>
      </c>
      <c r="C99" s="144"/>
      <c r="D99" s="98">
        <f t="shared" si="32"/>
        <v>19022.03</v>
      </c>
      <c r="E99" s="102">
        <f t="shared" si="28"/>
        <v>3.1941999999999999</v>
      </c>
      <c r="F99" s="94">
        <f t="shared" si="33"/>
        <v>60760.168225999994</v>
      </c>
      <c r="G99" s="144"/>
      <c r="H99" s="98">
        <f t="shared" si="34"/>
        <v>19093.169999999998</v>
      </c>
      <c r="I99" s="102">
        <f t="shared" si="29"/>
        <v>0.77100000000000002</v>
      </c>
      <c r="J99" s="94">
        <f t="shared" si="35"/>
        <v>14720.834069999999</v>
      </c>
      <c r="K99" s="144"/>
      <c r="L99" s="98">
        <f t="shared" si="36"/>
        <v>19093.169999999998</v>
      </c>
      <c r="M99" s="102">
        <f t="shared" si="30"/>
        <v>1.7493000000000003</v>
      </c>
      <c r="N99" s="94">
        <f t="shared" si="37"/>
        <v>33399.682281000001</v>
      </c>
      <c r="O99" s="144"/>
      <c r="P99" s="94">
        <f t="shared" si="31"/>
        <v>48120.516350999998</v>
      </c>
      <c r="Q99" s="85"/>
    </row>
    <row r="100" spans="2:17" x14ac:dyDescent="0.2">
      <c r="B100" s="147" t="s">
        <v>38</v>
      </c>
      <c r="C100" s="144"/>
      <c r="D100" s="98">
        <f t="shared" si="32"/>
        <v>16583.759999999998</v>
      </c>
      <c r="E100" s="102">
        <f t="shared" si="28"/>
        <v>3.1941999999999999</v>
      </c>
      <c r="F100" s="94">
        <f t="shared" si="33"/>
        <v>52971.846191999997</v>
      </c>
      <c r="G100" s="144"/>
      <c r="H100" s="98">
        <f t="shared" si="34"/>
        <v>16592.75</v>
      </c>
      <c r="I100" s="102">
        <f t="shared" si="29"/>
        <v>0.77100000000000002</v>
      </c>
      <c r="J100" s="94">
        <f t="shared" si="35"/>
        <v>12793.010250000001</v>
      </c>
      <c r="K100" s="144"/>
      <c r="L100" s="98">
        <f t="shared" si="36"/>
        <v>16592.75</v>
      </c>
      <c r="M100" s="102">
        <f t="shared" si="30"/>
        <v>1.7493000000000001</v>
      </c>
      <c r="N100" s="94">
        <f t="shared" si="37"/>
        <v>29025.697575000002</v>
      </c>
      <c r="O100" s="144"/>
      <c r="P100" s="94">
        <f t="shared" si="31"/>
        <v>41818.707825000005</v>
      </c>
      <c r="Q100" s="85"/>
    </row>
    <row r="101" spans="2:17" x14ac:dyDescent="0.2">
      <c r="B101" s="147" t="s">
        <v>39</v>
      </c>
      <c r="C101" s="144"/>
      <c r="D101" s="98">
        <f t="shared" si="32"/>
        <v>15738.51</v>
      </c>
      <c r="E101" s="102">
        <f t="shared" si="28"/>
        <v>3.1941999999999999</v>
      </c>
      <c r="F101" s="94">
        <f t="shared" si="33"/>
        <v>50271.948642000003</v>
      </c>
      <c r="G101" s="144"/>
      <c r="H101" s="98">
        <f t="shared" si="34"/>
        <v>15776.98</v>
      </c>
      <c r="I101" s="102">
        <f t="shared" si="29"/>
        <v>0.77100000000000002</v>
      </c>
      <c r="J101" s="94">
        <f t="shared" si="35"/>
        <v>12164.051579999999</v>
      </c>
      <c r="K101" s="144"/>
      <c r="L101" s="98">
        <f t="shared" si="36"/>
        <v>15776.98</v>
      </c>
      <c r="M101" s="102">
        <f t="shared" si="30"/>
        <v>1.7493000000000001</v>
      </c>
      <c r="N101" s="94">
        <f t="shared" si="37"/>
        <v>27598.671114000001</v>
      </c>
      <c r="O101" s="144"/>
      <c r="P101" s="94">
        <f t="shared" si="31"/>
        <v>39762.722693999996</v>
      </c>
      <c r="Q101" s="85"/>
    </row>
    <row r="102" spans="2:17" x14ac:dyDescent="0.2">
      <c r="B102" s="147" t="s">
        <v>40</v>
      </c>
      <c r="C102" s="144"/>
      <c r="D102" s="98">
        <f t="shared" si="32"/>
        <v>16585.650000000001</v>
      </c>
      <c r="E102" s="102">
        <f t="shared" si="28"/>
        <v>3.1941999999999999</v>
      </c>
      <c r="F102" s="94">
        <f t="shared" si="33"/>
        <v>52977.883230000007</v>
      </c>
      <c r="G102" s="144"/>
      <c r="H102" s="98">
        <f t="shared" si="34"/>
        <v>16585.650000000001</v>
      </c>
      <c r="I102" s="102">
        <f t="shared" si="29"/>
        <v>0.77100000000000002</v>
      </c>
      <c r="J102" s="94">
        <f t="shared" si="35"/>
        <v>12787.536150000002</v>
      </c>
      <c r="K102" s="144"/>
      <c r="L102" s="98">
        <f t="shared" si="36"/>
        <v>16585.650000000001</v>
      </c>
      <c r="M102" s="102">
        <f t="shared" si="30"/>
        <v>1.7493000000000001</v>
      </c>
      <c r="N102" s="94">
        <f t="shared" si="37"/>
        <v>29013.277545000004</v>
      </c>
      <c r="O102" s="144"/>
      <c r="P102" s="94">
        <f t="shared" si="31"/>
        <v>41800.813695000004</v>
      </c>
      <c r="Q102" s="85"/>
    </row>
    <row r="103" spans="2:17" x14ac:dyDescent="0.2">
      <c r="B103" s="147" t="s">
        <v>41</v>
      </c>
      <c r="C103" s="144"/>
      <c r="D103" s="98">
        <f t="shared" si="32"/>
        <v>17178.43</v>
      </c>
      <c r="E103" s="102">
        <f t="shared" si="28"/>
        <v>3.1941999999999999</v>
      </c>
      <c r="F103" s="94">
        <f t="shared" si="33"/>
        <v>54871.341106</v>
      </c>
      <c r="G103" s="144"/>
      <c r="H103" s="98">
        <f t="shared" si="34"/>
        <v>17178.43</v>
      </c>
      <c r="I103" s="102">
        <f t="shared" si="29"/>
        <v>0.77100000000000002</v>
      </c>
      <c r="J103" s="94">
        <f t="shared" si="35"/>
        <v>13244.569530000001</v>
      </c>
      <c r="K103" s="144"/>
      <c r="L103" s="98">
        <f t="shared" si="36"/>
        <v>17178.43</v>
      </c>
      <c r="M103" s="102">
        <f t="shared" si="30"/>
        <v>1.7493000000000001</v>
      </c>
      <c r="N103" s="94">
        <f t="shared" si="37"/>
        <v>30050.227599000002</v>
      </c>
      <c r="O103" s="144"/>
      <c r="P103" s="94">
        <f t="shared" si="31"/>
        <v>43294.797128999999</v>
      </c>
      <c r="Q103" s="85"/>
    </row>
    <row r="104" spans="2:17" x14ac:dyDescent="0.2">
      <c r="B104" s="147" t="s">
        <v>42</v>
      </c>
      <c r="C104" s="144"/>
      <c r="D104" s="98">
        <f t="shared" si="32"/>
        <v>17878.89</v>
      </c>
      <c r="E104" s="102">
        <f t="shared" si="28"/>
        <v>3.1941999999999999</v>
      </c>
      <c r="F104" s="94">
        <f t="shared" si="33"/>
        <v>57108.750437999995</v>
      </c>
      <c r="G104" s="144"/>
      <c r="H104" s="98">
        <f t="shared" si="34"/>
        <v>17878.89</v>
      </c>
      <c r="I104" s="102">
        <f t="shared" si="29"/>
        <v>0.77100000000000002</v>
      </c>
      <c r="J104" s="94">
        <f t="shared" si="35"/>
        <v>13784.62419</v>
      </c>
      <c r="K104" s="144"/>
      <c r="L104" s="98">
        <f t="shared" si="36"/>
        <v>17878.89</v>
      </c>
      <c r="M104" s="102">
        <f t="shared" si="30"/>
        <v>1.7493000000000001</v>
      </c>
      <c r="N104" s="94">
        <f t="shared" si="37"/>
        <v>31275.542277</v>
      </c>
      <c r="O104" s="144"/>
      <c r="P104" s="94">
        <f t="shared" si="31"/>
        <v>45060.166467000003</v>
      </c>
      <c r="Q104" s="85"/>
    </row>
    <row r="105" spans="2:17" x14ac:dyDescent="0.2">
      <c r="B105" s="147" t="s">
        <v>43</v>
      </c>
      <c r="C105" s="144"/>
      <c r="D105" s="98">
        <f t="shared" si="32"/>
        <v>14120.38</v>
      </c>
      <c r="E105" s="102">
        <f t="shared" si="28"/>
        <v>3.1941999999999999</v>
      </c>
      <c r="F105" s="94">
        <f t="shared" si="33"/>
        <v>45103.317795999996</v>
      </c>
      <c r="G105" s="144"/>
      <c r="H105" s="98">
        <f t="shared" si="34"/>
        <v>14155.2</v>
      </c>
      <c r="I105" s="102">
        <f t="shared" si="29"/>
        <v>0.77100000000000002</v>
      </c>
      <c r="J105" s="94">
        <f t="shared" si="35"/>
        <v>10913.6592</v>
      </c>
      <c r="K105" s="144"/>
      <c r="L105" s="98">
        <f t="shared" si="36"/>
        <v>14155.2</v>
      </c>
      <c r="M105" s="102">
        <f t="shared" si="30"/>
        <v>1.7492999999999999</v>
      </c>
      <c r="N105" s="94">
        <f t="shared" si="37"/>
        <v>24761.691360000001</v>
      </c>
      <c r="O105" s="144"/>
      <c r="P105" s="94">
        <f t="shared" si="31"/>
        <v>35675.350559999999</v>
      </c>
      <c r="Q105" s="85"/>
    </row>
    <row r="106" spans="2:17" x14ac:dyDescent="0.2">
      <c r="B106" s="147" t="s">
        <v>44</v>
      </c>
      <c r="C106" s="144"/>
      <c r="D106" s="98">
        <f t="shared" si="32"/>
        <v>16806.349999999999</v>
      </c>
      <c r="E106" s="102">
        <f t="shared" si="28"/>
        <v>3.1941999999999999</v>
      </c>
      <c r="F106" s="94">
        <f t="shared" si="33"/>
        <v>53682.843169999993</v>
      </c>
      <c r="G106" s="144"/>
      <c r="H106" s="98">
        <f t="shared" si="34"/>
        <v>16811.43</v>
      </c>
      <c r="I106" s="102">
        <f t="shared" si="29"/>
        <v>0.77100000000000002</v>
      </c>
      <c r="J106" s="94">
        <f t="shared" si="35"/>
        <v>12961.61253</v>
      </c>
      <c r="K106" s="144"/>
      <c r="L106" s="98">
        <f t="shared" si="36"/>
        <v>16811.43</v>
      </c>
      <c r="M106" s="102">
        <f t="shared" si="30"/>
        <v>1.7493000000000001</v>
      </c>
      <c r="N106" s="94">
        <f t="shared" si="37"/>
        <v>29408.234499000002</v>
      </c>
      <c r="O106" s="144"/>
      <c r="P106" s="94">
        <f t="shared" si="31"/>
        <v>42369.847029000004</v>
      </c>
      <c r="Q106" s="85"/>
    </row>
    <row r="107" spans="2:17" x14ac:dyDescent="0.2">
      <c r="B107" s="147" t="s">
        <v>45</v>
      </c>
      <c r="C107" s="144"/>
      <c r="D107" s="98">
        <f t="shared" si="32"/>
        <v>19578.419999999998</v>
      </c>
      <c r="E107" s="102">
        <f t="shared" si="28"/>
        <v>3.1941999999999999</v>
      </c>
      <c r="F107" s="94">
        <f t="shared" si="33"/>
        <v>62537.389163999993</v>
      </c>
      <c r="G107" s="144"/>
      <c r="H107" s="98">
        <f t="shared" si="34"/>
        <v>19614.37</v>
      </c>
      <c r="I107" s="102">
        <f t="shared" si="29"/>
        <v>0.77100000000000002</v>
      </c>
      <c r="J107" s="94">
        <f t="shared" si="35"/>
        <v>15122.679269999999</v>
      </c>
      <c r="K107" s="144"/>
      <c r="L107" s="98">
        <f t="shared" si="36"/>
        <v>19614.37</v>
      </c>
      <c r="M107" s="102">
        <f t="shared" si="30"/>
        <v>1.7493000000000001</v>
      </c>
      <c r="N107" s="94">
        <f t="shared" si="37"/>
        <v>34311.417440999998</v>
      </c>
      <c r="O107" s="144"/>
      <c r="P107" s="94">
        <f t="shared" si="31"/>
        <v>49434.096710999998</v>
      </c>
      <c r="Q107" s="85"/>
    </row>
    <row r="108" spans="2:17" x14ac:dyDescent="0.2">
      <c r="B108" s="144"/>
      <c r="C108" s="144"/>
      <c r="D108" s="144"/>
      <c r="E108" s="144"/>
      <c r="F108" s="144"/>
      <c r="G108" s="144"/>
      <c r="H108" s="144"/>
      <c r="I108" s="144"/>
      <c r="J108" s="144"/>
      <c r="K108" s="144"/>
      <c r="L108" s="144"/>
      <c r="M108" s="144"/>
      <c r="N108" s="144"/>
      <c r="O108" s="144"/>
      <c r="P108" s="94"/>
      <c r="Q108" s="85"/>
    </row>
    <row r="109" spans="2:17" ht="13.5" thickBot="1" x14ac:dyDescent="0.25">
      <c r="B109" s="252" t="s">
        <v>51</v>
      </c>
      <c r="C109" s="144"/>
      <c r="D109" s="95">
        <f>SUM(D96:D107)</f>
        <v>213165.60000000003</v>
      </c>
      <c r="E109" s="96">
        <f>IF(D109&lt;&gt;0,F109/D109,0)</f>
        <v>3.194199999999999</v>
      </c>
      <c r="F109" s="97">
        <f>SUM(F96:F107)</f>
        <v>680893.55951999989</v>
      </c>
      <c r="G109" s="144"/>
      <c r="H109" s="95">
        <f>SUM(H96:H107)</f>
        <v>213631.93</v>
      </c>
      <c r="I109" s="96">
        <f>IF(H109&lt;&gt;0,J109/H109,0)</f>
        <v>0.77100000000000013</v>
      </c>
      <c r="J109" s="97">
        <f>SUM(J96:J107)</f>
        <v>164710.21803000002</v>
      </c>
      <c r="K109" s="144"/>
      <c r="L109" s="95">
        <f>SUM(L96:L107)</f>
        <v>213631.93</v>
      </c>
      <c r="M109" s="96">
        <f>IF(L109&lt;&gt;0,N109/L109,0)</f>
        <v>1.7493000000000001</v>
      </c>
      <c r="N109" s="97">
        <f>SUM(N96:N107)</f>
        <v>373706.33514899999</v>
      </c>
      <c r="O109" s="144"/>
      <c r="P109" s="97">
        <f>SUM(P96:P107)</f>
        <v>538416.55317900004</v>
      </c>
      <c r="Q109" s="85"/>
    </row>
    <row r="110" spans="2:17" x14ac:dyDescent="0.2">
      <c r="B110" s="6"/>
      <c r="C110" s="6"/>
      <c r="D110" s="6"/>
      <c r="E110" s="6"/>
      <c r="F110" s="6"/>
      <c r="G110" s="6"/>
      <c r="H110" s="6"/>
      <c r="I110" s="6"/>
      <c r="J110" s="6"/>
      <c r="K110" s="6"/>
      <c r="L110" s="6"/>
      <c r="M110" s="6"/>
      <c r="N110" s="6"/>
      <c r="O110" s="6"/>
      <c r="P110" s="6"/>
    </row>
    <row r="111" spans="2:17" x14ac:dyDescent="0.2">
      <c r="B111" s="6"/>
      <c r="C111" s="6"/>
      <c r="D111" s="6"/>
      <c r="E111" s="6"/>
      <c r="F111" s="6"/>
      <c r="G111" s="6"/>
      <c r="H111" s="6"/>
      <c r="I111" s="6"/>
      <c r="J111" s="6"/>
      <c r="K111" s="6"/>
      <c r="L111" s="6"/>
      <c r="M111" s="6"/>
      <c r="N111" s="99" t="s">
        <v>2206</v>
      </c>
      <c r="O111" s="6"/>
      <c r="P111" s="100">
        <f>'11. RTSR - UTRs &amp; Sub-Tx'!H74</f>
        <v>0</v>
      </c>
    </row>
    <row r="112" spans="2:17" x14ac:dyDescent="0.2">
      <c r="B112" s="6"/>
      <c r="C112" s="6"/>
      <c r="D112" s="6"/>
      <c r="E112" s="6"/>
      <c r="F112" s="6"/>
      <c r="G112" s="6"/>
      <c r="H112" s="6"/>
      <c r="I112" s="6"/>
      <c r="J112" s="6"/>
      <c r="K112" s="6"/>
      <c r="L112" s="6"/>
      <c r="M112" s="6"/>
      <c r="N112" s="6"/>
      <c r="O112" s="6"/>
      <c r="P112" s="6"/>
    </row>
    <row r="113" spans="2:16" ht="13.5" thickBot="1" x14ac:dyDescent="0.25">
      <c r="B113" s="6"/>
      <c r="C113" s="6"/>
      <c r="D113" s="6"/>
      <c r="E113" s="6"/>
      <c r="F113" s="6"/>
      <c r="G113" s="6"/>
      <c r="H113" s="6"/>
      <c r="I113" s="6"/>
      <c r="J113" s="6"/>
      <c r="K113" s="6"/>
      <c r="L113" s="6"/>
      <c r="M113" s="6"/>
      <c r="N113" s="62" t="s">
        <v>2207</v>
      </c>
      <c r="O113" s="6"/>
      <c r="P113" s="97">
        <f>P109+P111</f>
        <v>538416.55317900004</v>
      </c>
    </row>
  </sheetData>
  <sheetProtection algorithmName="SHA-512" hashValue="kMDqJiFASht+RlTZw8avXGXZZjhR7wiCRG86RJM2NLDyRWifUczTniyIGM1hZXX2BluRG7gDSBj2cZ84zzvkVg==" saltValue="nXGZaUBlD/Nhg+j6pF8IOQ==" spinCount="100000" sheet="1" objects="1" scenarios="1"/>
  <mergeCells count="22">
    <mergeCell ref="D35:F35"/>
    <mergeCell ref="H35:J35"/>
    <mergeCell ref="L35:N35"/>
    <mergeCell ref="D54:F54"/>
    <mergeCell ref="H54:J54"/>
    <mergeCell ref="L54:N54"/>
    <mergeCell ref="D93:F93"/>
    <mergeCell ref="H93:J93"/>
    <mergeCell ref="L93:N93"/>
    <mergeCell ref="D73:F73"/>
    <mergeCell ref="H73:J73"/>
    <mergeCell ref="L73:N73"/>
    <mergeCell ref="D92:F92"/>
    <mergeCell ref="H92:J92"/>
    <mergeCell ref="L92:N92"/>
    <mergeCell ref="B13:P13"/>
    <mergeCell ref="D16:F16"/>
    <mergeCell ref="H16:J16"/>
    <mergeCell ref="L16:N16"/>
    <mergeCell ref="D17:F17"/>
    <mergeCell ref="H17:J17"/>
    <mergeCell ref="L17:N17"/>
  </mergeCells>
  <pageMargins left="0.25" right="0.25" top="0.75" bottom="0.75" header="0.3" footer="0.3"/>
  <pageSetup scale="42" orientation="portrait" r:id="rId1"/>
  <headerFooter>
    <oddFooter>&amp;C&amp;A</oddFooter>
  </headerFooter>
  <rowBreaks count="1" manualBreakCount="1">
    <brk id="72" max="15" man="1"/>
  </rowBreaks>
  <colBreaks count="1" manualBreakCount="1">
    <brk id="24" max="7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2:Q113"/>
  <sheetViews>
    <sheetView showGridLines="0" topLeftCell="B79" zoomScaleNormal="100" workbookViewId="0">
      <selection activeCell="Q20" sqref="Q20"/>
    </sheetView>
  </sheetViews>
  <sheetFormatPr defaultColWidth="9.140625" defaultRowHeight="12.75" x14ac:dyDescent="0.2"/>
  <cols>
    <col min="1" max="1" width="11.85546875" style="60" hidden="1" customWidth="1"/>
    <col min="2" max="2" width="30.140625" style="60" customWidth="1"/>
    <col min="3" max="3" width="3.85546875" style="60" customWidth="1"/>
    <col min="4" max="4" width="14.42578125" style="60" customWidth="1"/>
    <col min="5" max="5" width="10.140625" style="60" bestFit="1" customWidth="1"/>
    <col min="6" max="6" width="14.42578125" style="60" customWidth="1"/>
    <col min="7" max="7" width="2.85546875" style="60" customWidth="1"/>
    <col min="8" max="8" width="14.42578125" style="60" customWidth="1"/>
    <col min="9" max="9" width="9.7109375" style="60" bestFit="1" customWidth="1"/>
    <col min="10" max="10" width="14.42578125" style="60" customWidth="1"/>
    <col min="11" max="11" width="3.140625" style="60" customWidth="1"/>
    <col min="12" max="12" width="14.42578125" style="60" customWidth="1"/>
    <col min="13" max="13" width="9.7109375" style="60" bestFit="1" customWidth="1"/>
    <col min="14" max="14" width="14.42578125" style="60" customWidth="1"/>
    <col min="15" max="15" width="3.7109375" style="60" customWidth="1"/>
    <col min="16" max="16" width="16.5703125" style="60" customWidth="1"/>
    <col min="17" max="16384" width="9.140625" style="60"/>
  </cols>
  <sheetData>
    <row r="12" spans="2:17" ht="12.75" customHeight="1" x14ac:dyDescent="0.2"/>
    <row r="13" spans="2:17" ht="22.5" customHeight="1" x14ac:dyDescent="0.25">
      <c r="B13" s="1851" t="s">
        <v>6062</v>
      </c>
      <c r="C13" s="1852"/>
      <c r="D13" s="1852"/>
      <c r="E13" s="1852"/>
      <c r="F13" s="1852"/>
      <c r="G13" s="1852"/>
      <c r="H13" s="1852"/>
      <c r="I13" s="1852"/>
      <c r="J13" s="1852"/>
      <c r="K13" s="1852"/>
      <c r="L13" s="1852"/>
      <c r="M13" s="1852"/>
      <c r="N13" s="1852"/>
      <c r="O13" s="1852"/>
      <c r="P13" s="1852"/>
    </row>
    <row r="14" spans="2:17" x14ac:dyDescent="0.2">
      <c r="B14" s="6"/>
      <c r="C14" s="6"/>
      <c r="D14" s="6"/>
      <c r="E14" s="6"/>
      <c r="F14" s="6"/>
      <c r="G14" s="6"/>
      <c r="H14" s="6"/>
      <c r="I14" s="6"/>
      <c r="J14" s="6"/>
      <c r="K14" s="6"/>
      <c r="L14" s="6"/>
      <c r="M14" s="6"/>
      <c r="N14" s="6"/>
      <c r="O14" s="6"/>
      <c r="P14" s="6"/>
    </row>
    <row r="15" spans="2:17" ht="14.25" customHeight="1" x14ac:dyDescent="0.2">
      <c r="B15" s="6"/>
      <c r="C15" s="6"/>
      <c r="D15" s="6"/>
      <c r="E15" s="6"/>
      <c r="F15" s="6"/>
      <c r="G15" s="6"/>
      <c r="H15" s="6"/>
      <c r="I15" s="6"/>
      <c r="J15" s="6"/>
      <c r="K15" s="6"/>
      <c r="L15" s="6"/>
      <c r="M15" s="6"/>
      <c r="N15" s="6"/>
      <c r="O15" s="6"/>
      <c r="P15" s="6"/>
    </row>
    <row r="16" spans="2:17" x14ac:dyDescent="0.2">
      <c r="B16" s="250" t="s">
        <v>454</v>
      </c>
      <c r="C16" s="142"/>
      <c r="D16" s="1847" t="s">
        <v>455</v>
      </c>
      <c r="E16" s="1847"/>
      <c r="F16" s="1847"/>
      <c r="G16" s="142"/>
      <c r="H16" s="1847" t="s">
        <v>456</v>
      </c>
      <c r="I16" s="1847"/>
      <c r="J16" s="1847"/>
      <c r="K16" s="142"/>
      <c r="L16" s="1847" t="s">
        <v>457</v>
      </c>
      <c r="M16" s="1847"/>
      <c r="N16" s="1847"/>
      <c r="O16" s="142"/>
      <c r="P16" s="250" t="s">
        <v>3032</v>
      </c>
      <c r="Q16" s="85"/>
    </row>
    <row r="17" spans="2:17" ht="15.75" x14ac:dyDescent="0.25">
      <c r="B17" s="144"/>
      <c r="C17" s="144"/>
      <c r="D17" s="1849"/>
      <c r="E17" s="1849"/>
      <c r="F17" s="1849"/>
      <c r="G17" s="146"/>
      <c r="H17" s="1849"/>
      <c r="I17" s="1849"/>
      <c r="J17" s="1849"/>
      <c r="K17" s="146"/>
      <c r="L17" s="1849"/>
      <c r="M17" s="1849"/>
      <c r="N17" s="1849"/>
      <c r="O17" s="144"/>
      <c r="P17" s="251"/>
      <c r="Q17" s="90"/>
    </row>
    <row r="18" spans="2:17" x14ac:dyDescent="0.2">
      <c r="B18" s="252" t="s">
        <v>458</v>
      </c>
      <c r="C18" s="144"/>
      <c r="D18" s="149" t="s">
        <v>459</v>
      </c>
      <c r="E18" s="149" t="s">
        <v>352</v>
      </c>
      <c r="F18" s="149" t="s">
        <v>149</v>
      </c>
      <c r="G18" s="144"/>
      <c r="H18" s="149" t="s">
        <v>459</v>
      </c>
      <c r="I18" s="149" t="s">
        <v>352</v>
      </c>
      <c r="J18" s="149" t="s">
        <v>149</v>
      </c>
      <c r="K18" s="144"/>
      <c r="L18" s="149" t="s">
        <v>459</v>
      </c>
      <c r="M18" s="149" t="s">
        <v>352</v>
      </c>
      <c r="N18" s="149" t="s">
        <v>149</v>
      </c>
      <c r="O18" s="144"/>
      <c r="P18" s="149" t="s">
        <v>149</v>
      </c>
      <c r="Q18" s="85"/>
    </row>
    <row r="19" spans="2:17" x14ac:dyDescent="0.2">
      <c r="B19" s="144"/>
      <c r="C19" s="144"/>
      <c r="D19" s="144"/>
      <c r="E19" s="144"/>
      <c r="F19" s="144"/>
      <c r="G19" s="144"/>
      <c r="H19" s="144"/>
      <c r="I19" s="144"/>
      <c r="J19" s="144"/>
      <c r="K19" s="144"/>
      <c r="L19" s="144"/>
      <c r="M19" s="144"/>
      <c r="N19" s="144"/>
      <c r="O19" s="144"/>
      <c r="P19" s="144"/>
      <c r="Q19" s="85"/>
    </row>
    <row r="20" spans="2:17" x14ac:dyDescent="0.2">
      <c r="B20" s="147" t="s">
        <v>34</v>
      </c>
      <c r="C20" s="144"/>
      <c r="D20" s="101">
        <f>'12. RTSR - Historical Wholesale'!D19</f>
        <v>0</v>
      </c>
      <c r="E20" s="102">
        <f>'11. RTSR - UTRs &amp; Sub-Tx'!J22</f>
        <v>3.61</v>
      </c>
      <c r="F20" s="103">
        <f t="shared" ref="F20:F31" si="0">D20*E20</f>
        <v>0</v>
      </c>
      <c r="G20" s="144"/>
      <c r="H20" s="101">
        <f>'12. RTSR - Historical Wholesale'!H19</f>
        <v>0</v>
      </c>
      <c r="I20" s="102">
        <f>'11. RTSR - UTRs &amp; Sub-Tx'!J24</f>
        <v>0.95</v>
      </c>
      <c r="J20" s="103">
        <f t="shared" ref="J20:J31" si="1">H20*I20</f>
        <v>0</v>
      </c>
      <c r="K20" s="144"/>
      <c r="L20" s="101">
        <f>'12. RTSR - Historical Wholesale'!L19</f>
        <v>0</v>
      </c>
      <c r="M20" s="102">
        <f>'11. RTSR - UTRs &amp; Sub-Tx'!J26</f>
        <v>2.34</v>
      </c>
      <c r="N20" s="103">
        <f t="shared" ref="N20:N31" si="2">L20*M20</f>
        <v>0</v>
      </c>
      <c r="O20" s="144"/>
      <c r="P20" s="94">
        <f t="shared" ref="P20:P31" si="3">J20+N20</f>
        <v>0</v>
      </c>
      <c r="Q20" s="85"/>
    </row>
    <row r="21" spans="2:17" x14ac:dyDescent="0.2">
      <c r="B21" s="147" t="s">
        <v>35</v>
      </c>
      <c r="C21" s="144"/>
      <c r="D21" s="101">
        <f>'12. RTSR - Historical Wholesale'!D20</f>
        <v>0</v>
      </c>
      <c r="E21" s="102">
        <f t="shared" ref="E21:E31" si="4">E20</f>
        <v>3.61</v>
      </c>
      <c r="F21" s="103">
        <f t="shared" si="0"/>
        <v>0</v>
      </c>
      <c r="G21" s="144"/>
      <c r="H21" s="101">
        <f>'12. RTSR - Historical Wholesale'!H20</f>
        <v>0</v>
      </c>
      <c r="I21" s="102">
        <f t="shared" ref="I21:I31" si="5">I20</f>
        <v>0.95</v>
      </c>
      <c r="J21" s="103">
        <f t="shared" si="1"/>
        <v>0</v>
      </c>
      <c r="K21" s="144"/>
      <c r="L21" s="101">
        <f>'12. RTSR - Historical Wholesale'!L20</f>
        <v>0</v>
      </c>
      <c r="M21" s="102">
        <f t="shared" ref="M21:M31" si="6">M20</f>
        <v>2.34</v>
      </c>
      <c r="N21" s="103">
        <f t="shared" si="2"/>
        <v>0</v>
      </c>
      <c r="O21" s="144"/>
      <c r="P21" s="94">
        <f t="shared" si="3"/>
        <v>0</v>
      </c>
      <c r="Q21" s="85"/>
    </row>
    <row r="22" spans="2:17" x14ac:dyDescent="0.2">
      <c r="B22" s="147" t="s">
        <v>36</v>
      </c>
      <c r="C22" s="144"/>
      <c r="D22" s="101">
        <f>'12. RTSR - Historical Wholesale'!D21</f>
        <v>0</v>
      </c>
      <c r="E22" s="102">
        <f t="shared" si="4"/>
        <v>3.61</v>
      </c>
      <c r="F22" s="103">
        <f t="shared" si="0"/>
        <v>0</v>
      </c>
      <c r="G22" s="144"/>
      <c r="H22" s="101">
        <f>'12. RTSR - Historical Wholesale'!H21</f>
        <v>0</v>
      </c>
      <c r="I22" s="102">
        <f t="shared" si="5"/>
        <v>0.95</v>
      </c>
      <c r="J22" s="103">
        <f t="shared" si="1"/>
        <v>0</v>
      </c>
      <c r="K22" s="144"/>
      <c r="L22" s="101">
        <f>'12. RTSR - Historical Wholesale'!L21</f>
        <v>0</v>
      </c>
      <c r="M22" s="102">
        <f t="shared" si="6"/>
        <v>2.34</v>
      </c>
      <c r="N22" s="103">
        <f t="shared" si="2"/>
        <v>0</v>
      </c>
      <c r="O22" s="144"/>
      <c r="P22" s="94">
        <f t="shared" si="3"/>
        <v>0</v>
      </c>
      <c r="Q22" s="85"/>
    </row>
    <row r="23" spans="2:17" x14ac:dyDescent="0.2">
      <c r="B23" s="147" t="s">
        <v>37</v>
      </c>
      <c r="C23" s="144"/>
      <c r="D23" s="101">
        <f>'12. RTSR - Historical Wholesale'!D22</f>
        <v>0</v>
      </c>
      <c r="E23" s="102">
        <f t="shared" si="4"/>
        <v>3.61</v>
      </c>
      <c r="F23" s="103">
        <f t="shared" si="0"/>
        <v>0</v>
      </c>
      <c r="G23" s="144"/>
      <c r="H23" s="101">
        <f>'12. RTSR - Historical Wholesale'!H22</f>
        <v>0</v>
      </c>
      <c r="I23" s="102">
        <f t="shared" si="5"/>
        <v>0.95</v>
      </c>
      <c r="J23" s="103">
        <f t="shared" si="1"/>
        <v>0</v>
      </c>
      <c r="K23" s="144"/>
      <c r="L23" s="101">
        <f>'12. RTSR - Historical Wholesale'!L22</f>
        <v>0</v>
      </c>
      <c r="M23" s="102">
        <f t="shared" si="6"/>
        <v>2.34</v>
      </c>
      <c r="N23" s="103">
        <f t="shared" si="2"/>
        <v>0</v>
      </c>
      <c r="O23" s="144"/>
      <c r="P23" s="94">
        <f t="shared" si="3"/>
        <v>0</v>
      </c>
      <c r="Q23" s="85"/>
    </row>
    <row r="24" spans="2:17" x14ac:dyDescent="0.2">
      <c r="B24" s="147" t="s">
        <v>38</v>
      </c>
      <c r="C24" s="144"/>
      <c r="D24" s="101">
        <f>'12. RTSR - Historical Wholesale'!D23</f>
        <v>0</v>
      </c>
      <c r="E24" s="102">
        <f t="shared" si="4"/>
        <v>3.61</v>
      </c>
      <c r="F24" s="103">
        <f t="shared" si="0"/>
        <v>0</v>
      </c>
      <c r="G24" s="144"/>
      <c r="H24" s="101">
        <f>'12. RTSR - Historical Wholesale'!H23</f>
        <v>0</v>
      </c>
      <c r="I24" s="102">
        <f t="shared" si="5"/>
        <v>0.95</v>
      </c>
      <c r="J24" s="103">
        <f t="shared" si="1"/>
        <v>0</v>
      </c>
      <c r="K24" s="144"/>
      <c r="L24" s="101">
        <f>'12. RTSR - Historical Wholesale'!L23</f>
        <v>0</v>
      </c>
      <c r="M24" s="102">
        <f t="shared" si="6"/>
        <v>2.34</v>
      </c>
      <c r="N24" s="103">
        <f t="shared" si="2"/>
        <v>0</v>
      </c>
      <c r="O24" s="144"/>
      <c r="P24" s="94">
        <f t="shared" si="3"/>
        <v>0</v>
      </c>
      <c r="Q24" s="85"/>
    </row>
    <row r="25" spans="2:17" x14ac:dyDescent="0.2">
      <c r="B25" s="147" t="s">
        <v>39</v>
      </c>
      <c r="C25" s="144"/>
      <c r="D25" s="101">
        <f>'12. RTSR - Historical Wholesale'!D24</f>
        <v>0</v>
      </c>
      <c r="E25" s="102">
        <f t="shared" si="4"/>
        <v>3.61</v>
      </c>
      <c r="F25" s="103">
        <f t="shared" si="0"/>
        <v>0</v>
      </c>
      <c r="G25" s="144"/>
      <c r="H25" s="101">
        <f>'12. RTSR - Historical Wholesale'!H24</f>
        <v>0</v>
      </c>
      <c r="I25" s="102">
        <f t="shared" si="5"/>
        <v>0.95</v>
      </c>
      <c r="J25" s="103">
        <f t="shared" si="1"/>
        <v>0</v>
      </c>
      <c r="K25" s="144"/>
      <c r="L25" s="101">
        <f>'12. RTSR - Historical Wholesale'!L24</f>
        <v>0</v>
      </c>
      <c r="M25" s="102">
        <f t="shared" si="6"/>
        <v>2.34</v>
      </c>
      <c r="N25" s="103">
        <f t="shared" si="2"/>
        <v>0</v>
      </c>
      <c r="O25" s="144"/>
      <c r="P25" s="94">
        <f t="shared" si="3"/>
        <v>0</v>
      </c>
      <c r="Q25" s="85"/>
    </row>
    <row r="26" spans="2:17" x14ac:dyDescent="0.2">
      <c r="B26" s="147" t="s">
        <v>40</v>
      </c>
      <c r="C26" s="144"/>
      <c r="D26" s="101">
        <f>'12. RTSR - Historical Wholesale'!D25</f>
        <v>0</v>
      </c>
      <c r="E26" s="102">
        <f t="shared" si="4"/>
        <v>3.61</v>
      </c>
      <c r="F26" s="103">
        <f t="shared" si="0"/>
        <v>0</v>
      </c>
      <c r="G26" s="144"/>
      <c r="H26" s="101">
        <f>'12. RTSR - Historical Wholesale'!H25</f>
        <v>0</v>
      </c>
      <c r="I26" s="102">
        <f t="shared" si="5"/>
        <v>0.95</v>
      </c>
      <c r="J26" s="103">
        <f t="shared" si="1"/>
        <v>0</v>
      </c>
      <c r="K26" s="144"/>
      <c r="L26" s="101">
        <f>'12. RTSR - Historical Wholesale'!L25</f>
        <v>0</v>
      </c>
      <c r="M26" s="102">
        <f t="shared" si="6"/>
        <v>2.34</v>
      </c>
      <c r="N26" s="103">
        <f t="shared" si="2"/>
        <v>0</v>
      </c>
      <c r="O26" s="144"/>
      <c r="P26" s="94">
        <f t="shared" si="3"/>
        <v>0</v>
      </c>
      <c r="Q26" s="85"/>
    </row>
    <row r="27" spans="2:17" x14ac:dyDescent="0.2">
      <c r="B27" s="147" t="s">
        <v>41</v>
      </c>
      <c r="C27" s="144"/>
      <c r="D27" s="101">
        <f>'12. RTSR - Historical Wholesale'!D26</f>
        <v>0</v>
      </c>
      <c r="E27" s="102">
        <f t="shared" si="4"/>
        <v>3.61</v>
      </c>
      <c r="F27" s="103">
        <f t="shared" si="0"/>
        <v>0</v>
      </c>
      <c r="G27" s="144"/>
      <c r="H27" s="101">
        <f>'12. RTSR - Historical Wholesale'!H26</f>
        <v>0</v>
      </c>
      <c r="I27" s="102">
        <f t="shared" si="5"/>
        <v>0.95</v>
      </c>
      <c r="J27" s="103">
        <f t="shared" si="1"/>
        <v>0</v>
      </c>
      <c r="K27" s="144"/>
      <c r="L27" s="101">
        <f>'12. RTSR - Historical Wholesale'!L26</f>
        <v>0</v>
      </c>
      <c r="M27" s="102">
        <f t="shared" si="6"/>
        <v>2.34</v>
      </c>
      <c r="N27" s="103">
        <f t="shared" si="2"/>
        <v>0</v>
      </c>
      <c r="O27" s="144"/>
      <c r="P27" s="94">
        <f t="shared" si="3"/>
        <v>0</v>
      </c>
      <c r="Q27" s="85"/>
    </row>
    <row r="28" spans="2:17" x14ac:dyDescent="0.2">
      <c r="B28" s="147" t="s">
        <v>42</v>
      </c>
      <c r="C28" s="144"/>
      <c r="D28" s="101">
        <f>'12. RTSR - Historical Wholesale'!D27</f>
        <v>0</v>
      </c>
      <c r="E28" s="102">
        <f t="shared" si="4"/>
        <v>3.61</v>
      </c>
      <c r="F28" s="103">
        <f t="shared" si="0"/>
        <v>0</v>
      </c>
      <c r="G28" s="144"/>
      <c r="H28" s="101">
        <f>'12. RTSR - Historical Wholesale'!H27</f>
        <v>0</v>
      </c>
      <c r="I28" s="102">
        <f t="shared" si="5"/>
        <v>0.95</v>
      </c>
      <c r="J28" s="103">
        <f t="shared" si="1"/>
        <v>0</v>
      </c>
      <c r="K28" s="144"/>
      <c r="L28" s="101">
        <f>'12. RTSR - Historical Wholesale'!L27</f>
        <v>0</v>
      </c>
      <c r="M28" s="102">
        <f t="shared" si="6"/>
        <v>2.34</v>
      </c>
      <c r="N28" s="103">
        <f t="shared" si="2"/>
        <v>0</v>
      </c>
      <c r="O28" s="144"/>
      <c r="P28" s="94">
        <f t="shared" si="3"/>
        <v>0</v>
      </c>
      <c r="Q28" s="85"/>
    </row>
    <row r="29" spans="2:17" x14ac:dyDescent="0.2">
      <c r="B29" s="147" t="s">
        <v>43</v>
      </c>
      <c r="C29" s="144"/>
      <c r="D29" s="101">
        <f>'12. RTSR - Historical Wholesale'!D28</f>
        <v>0</v>
      </c>
      <c r="E29" s="102">
        <f t="shared" si="4"/>
        <v>3.61</v>
      </c>
      <c r="F29" s="103">
        <f t="shared" si="0"/>
        <v>0</v>
      </c>
      <c r="G29" s="144"/>
      <c r="H29" s="101">
        <f>'12. RTSR - Historical Wholesale'!H28</f>
        <v>0</v>
      </c>
      <c r="I29" s="102">
        <f t="shared" si="5"/>
        <v>0.95</v>
      </c>
      <c r="J29" s="103">
        <f t="shared" si="1"/>
        <v>0</v>
      </c>
      <c r="K29" s="144"/>
      <c r="L29" s="101">
        <f>'12. RTSR - Historical Wholesale'!L28</f>
        <v>0</v>
      </c>
      <c r="M29" s="102">
        <f t="shared" si="6"/>
        <v>2.34</v>
      </c>
      <c r="N29" s="103">
        <f t="shared" si="2"/>
        <v>0</v>
      </c>
      <c r="O29" s="144"/>
      <c r="P29" s="94">
        <f t="shared" si="3"/>
        <v>0</v>
      </c>
      <c r="Q29" s="85"/>
    </row>
    <row r="30" spans="2:17" x14ac:dyDescent="0.2">
      <c r="B30" s="147" t="s">
        <v>44</v>
      </c>
      <c r="C30" s="144"/>
      <c r="D30" s="101">
        <f>'12. RTSR - Historical Wholesale'!D29</f>
        <v>0</v>
      </c>
      <c r="E30" s="102">
        <f t="shared" si="4"/>
        <v>3.61</v>
      </c>
      <c r="F30" s="103">
        <f t="shared" si="0"/>
        <v>0</v>
      </c>
      <c r="G30" s="144"/>
      <c r="H30" s="101">
        <f>'12. RTSR - Historical Wholesale'!H29</f>
        <v>0</v>
      </c>
      <c r="I30" s="102">
        <f t="shared" si="5"/>
        <v>0.95</v>
      </c>
      <c r="J30" s="103">
        <f t="shared" si="1"/>
        <v>0</v>
      </c>
      <c r="K30" s="144"/>
      <c r="L30" s="101">
        <f>'12. RTSR - Historical Wholesale'!L29</f>
        <v>0</v>
      </c>
      <c r="M30" s="102">
        <f t="shared" si="6"/>
        <v>2.34</v>
      </c>
      <c r="N30" s="103">
        <f t="shared" si="2"/>
        <v>0</v>
      </c>
      <c r="O30" s="144"/>
      <c r="P30" s="94">
        <f t="shared" si="3"/>
        <v>0</v>
      </c>
      <c r="Q30" s="85"/>
    </row>
    <row r="31" spans="2:17" x14ac:dyDescent="0.2">
      <c r="B31" s="147" t="s">
        <v>45</v>
      </c>
      <c r="C31" s="144"/>
      <c r="D31" s="101">
        <f>'12. RTSR - Historical Wholesale'!D30</f>
        <v>0</v>
      </c>
      <c r="E31" s="102">
        <f t="shared" si="4"/>
        <v>3.61</v>
      </c>
      <c r="F31" s="103">
        <f t="shared" si="0"/>
        <v>0</v>
      </c>
      <c r="G31" s="144"/>
      <c r="H31" s="101">
        <f>'12. RTSR - Historical Wholesale'!H30</f>
        <v>0</v>
      </c>
      <c r="I31" s="102">
        <f t="shared" si="5"/>
        <v>0.95</v>
      </c>
      <c r="J31" s="103">
        <f t="shared" si="1"/>
        <v>0</v>
      </c>
      <c r="K31" s="144"/>
      <c r="L31" s="101">
        <f>'12. RTSR - Historical Wholesale'!L30</f>
        <v>0</v>
      </c>
      <c r="M31" s="102">
        <f t="shared" si="6"/>
        <v>2.34</v>
      </c>
      <c r="N31" s="103">
        <f t="shared" si="2"/>
        <v>0</v>
      </c>
      <c r="O31" s="144"/>
      <c r="P31" s="94">
        <f t="shared" si="3"/>
        <v>0</v>
      </c>
      <c r="Q31" s="85"/>
    </row>
    <row r="32" spans="2:17" x14ac:dyDescent="0.2">
      <c r="B32" s="144"/>
      <c r="C32" s="144"/>
      <c r="D32" s="144"/>
      <c r="E32" s="144"/>
      <c r="F32" s="144"/>
      <c r="G32" s="144"/>
      <c r="H32" s="144"/>
      <c r="I32" s="144"/>
      <c r="J32" s="144"/>
      <c r="K32" s="144"/>
      <c r="L32" s="144"/>
      <c r="M32" s="144"/>
      <c r="N32" s="144"/>
      <c r="O32" s="144"/>
      <c r="P32" s="144"/>
      <c r="Q32" s="85"/>
    </row>
    <row r="33" spans="2:17" ht="13.5" thickBot="1" x14ac:dyDescent="0.25">
      <c r="B33" s="252" t="s">
        <v>51</v>
      </c>
      <c r="C33" s="144"/>
      <c r="D33" s="95">
        <f>SUM(D20:D31)</f>
        <v>0</v>
      </c>
      <c r="E33" s="96">
        <f>IF(D33&lt;&gt;0,F33/D33,0)</f>
        <v>0</v>
      </c>
      <c r="F33" s="97">
        <f>SUM(F20:F31)</f>
        <v>0</v>
      </c>
      <c r="G33" s="144"/>
      <c r="H33" s="95">
        <f>SUM(H20:H31)</f>
        <v>0</v>
      </c>
      <c r="I33" s="96">
        <f>IF(H33&lt;&gt;0,J33/H33,0)</f>
        <v>0</v>
      </c>
      <c r="J33" s="97">
        <f>SUM(J20:J31)</f>
        <v>0</v>
      </c>
      <c r="K33" s="144"/>
      <c r="L33" s="95">
        <f>SUM(L20:L31)</f>
        <v>0</v>
      </c>
      <c r="M33" s="96">
        <f>IF(L33&lt;&gt;0,N33/L33,0)</f>
        <v>0</v>
      </c>
      <c r="N33" s="97">
        <f>SUM(N20:N31)</f>
        <v>0</v>
      </c>
      <c r="O33" s="144"/>
      <c r="P33" s="97">
        <f>SUM(P20:P31)</f>
        <v>0</v>
      </c>
      <c r="Q33" s="85"/>
    </row>
    <row r="34" spans="2:17" x14ac:dyDescent="0.2">
      <c r="B34" s="144"/>
      <c r="C34" s="144"/>
      <c r="D34" s="144"/>
      <c r="E34" s="144"/>
      <c r="F34" s="144"/>
      <c r="G34" s="144"/>
      <c r="H34" s="144"/>
      <c r="I34" s="144"/>
      <c r="J34" s="144"/>
      <c r="K34" s="144"/>
      <c r="L34" s="144"/>
      <c r="M34" s="144"/>
      <c r="N34" s="144"/>
      <c r="O34" s="144"/>
      <c r="P34" s="144"/>
      <c r="Q34" s="85"/>
    </row>
    <row r="35" spans="2:17" x14ac:dyDescent="0.2">
      <c r="B35" s="250" t="s">
        <v>460</v>
      </c>
      <c r="C35" s="144"/>
      <c r="D35" s="1847" t="s">
        <v>455</v>
      </c>
      <c r="E35" s="1847"/>
      <c r="F35" s="1847"/>
      <c r="G35" s="142"/>
      <c r="H35" s="1847" t="s">
        <v>456</v>
      </c>
      <c r="I35" s="1847"/>
      <c r="J35" s="1847"/>
      <c r="K35" s="142"/>
      <c r="L35" s="1847" t="s">
        <v>457</v>
      </c>
      <c r="M35" s="1847"/>
      <c r="N35" s="1847"/>
      <c r="O35" s="142"/>
      <c r="P35" s="1013" t="s">
        <v>3032</v>
      </c>
      <c r="Q35" s="85"/>
    </row>
    <row r="36" spans="2:17" x14ac:dyDescent="0.2">
      <c r="B36" s="252"/>
      <c r="C36" s="144"/>
      <c r="D36" s="149"/>
      <c r="E36" s="149"/>
      <c r="F36" s="149"/>
      <c r="G36" s="144"/>
      <c r="H36" s="149"/>
      <c r="I36" s="149"/>
      <c r="J36" s="149"/>
      <c r="K36" s="144"/>
      <c r="L36" s="149"/>
      <c r="M36" s="149"/>
      <c r="N36" s="149"/>
      <c r="O36" s="144"/>
      <c r="P36" s="149"/>
      <c r="Q36" s="85"/>
    </row>
    <row r="37" spans="2:17" x14ac:dyDescent="0.2">
      <c r="B37" s="252" t="s">
        <v>458</v>
      </c>
      <c r="C37" s="144"/>
      <c r="D37" s="149" t="s">
        <v>459</v>
      </c>
      <c r="E37" s="149" t="s">
        <v>352</v>
      </c>
      <c r="F37" s="149" t="s">
        <v>149</v>
      </c>
      <c r="G37" s="144"/>
      <c r="H37" s="149" t="s">
        <v>459</v>
      </c>
      <c r="I37" s="149" t="s">
        <v>352</v>
      </c>
      <c r="J37" s="149" t="s">
        <v>149</v>
      </c>
      <c r="K37" s="144"/>
      <c r="L37" s="149" t="s">
        <v>459</v>
      </c>
      <c r="M37" s="149" t="s">
        <v>352</v>
      </c>
      <c r="N37" s="149" t="s">
        <v>149</v>
      </c>
      <c r="O37" s="144"/>
      <c r="P37" s="149" t="s">
        <v>149</v>
      </c>
      <c r="Q37" s="85"/>
    </row>
    <row r="38" spans="2:17" x14ac:dyDescent="0.2">
      <c r="B38" s="144"/>
      <c r="C38" s="144"/>
      <c r="D38" s="144"/>
      <c r="E38" s="144"/>
      <c r="F38" s="144"/>
      <c r="G38" s="144"/>
      <c r="H38" s="144"/>
      <c r="I38" s="144"/>
      <c r="J38" s="144"/>
      <c r="K38" s="144"/>
      <c r="L38" s="144"/>
      <c r="M38" s="144"/>
      <c r="N38" s="144"/>
      <c r="O38" s="144"/>
      <c r="P38" s="144"/>
      <c r="Q38" s="85"/>
    </row>
    <row r="39" spans="2:17" x14ac:dyDescent="0.2">
      <c r="B39" s="147" t="s">
        <v>34</v>
      </c>
      <c r="C39" s="144"/>
      <c r="D39" s="101">
        <f>'12. RTSR - Historical Wholesale'!D38</f>
        <v>19077.89</v>
      </c>
      <c r="E39" s="102">
        <f>'11. RTSR - UTRs &amp; Sub-Tx'!J35</f>
        <v>3.1941999999999999</v>
      </c>
      <c r="F39" s="103">
        <f t="shared" ref="F39:F50" si="7">D39*E39</f>
        <v>60938.596237999998</v>
      </c>
      <c r="G39" s="144"/>
      <c r="H39" s="101">
        <f>'12. RTSR - Historical Wholesale'!H38</f>
        <v>19077.990000000002</v>
      </c>
      <c r="I39" s="102">
        <f>'11. RTSR - UTRs &amp; Sub-Tx'!J37</f>
        <v>0.77100000000000002</v>
      </c>
      <c r="J39" s="103">
        <f t="shared" ref="J39:J50" si="8">H39*I39</f>
        <v>14709.130290000001</v>
      </c>
      <c r="K39" s="144"/>
      <c r="L39" s="101">
        <f>'12. RTSR - Historical Wholesale'!L38</f>
        <v>19077.990000000002</v>
      </c>
      <c r="M39" s="102">
        <f>'11. RTSR - UTRs &amp; Sub-Tx'!J39</f>
        <v>1.7493000000000001</v>
      </c>
      <c r="N39" s="103">
        <f t="shared" ref="N39:N50" si="9">L39*M39</f>
        <v>33373.127907000002</v>
      </c>
      <c r="O39" s="144"/>
      <c r="P39" s="94">
        <f t="shared" ref="P39:P50" si="10">J39+N39</f>
        <v>48082.258197000003</v>
      </c>
      <c r="Q39" s="85"/>
    </row>
    <row r="40" spans="2:17" x14ac:dyDescent="0.2">
      <c r="B40" s="147" t="s">
        <v>35</v>
      </c>
      <c r="C40" s="144"/>
      <c r="D40" s="101">
        <f>'12. RTSR - Historical Wholesale'!D39</f>
        <v>23361.99</v>
      </c>
      <c r="E40" s="102">
        <f t="shared" ref="E40:E50" si="11">E39</f>
        <v>3.1941999999999999</v>
      </c>
      <c r="F40" s="103">
        <f t="shared" si="7"/>
        <v>74622.868457999997</v>
      </c>
      <c r="G40" s="144"/>
      <c r="H40" s="101">
        <f>'12. RTSR - Historical Wholesale'!H39</f>
        <v>23593.1</v>
      </c>
      <c r="I40" s="102">
        <f t="shared" ref="I40:I50" si="12">I39</f>
        <v>0.77100000000000002</v>
      </c>
      <c r="J40" s="103">
        <f t="shared" si="8"/>
        <v>18190.2801</v>
      </c>
      <c r="K40" s="144"/>
      <c r="L40" s="101">
        <f>'12. RTSR - Historical Wholesale'!L39</f>
        <v>23593.1</v>
      </c>
      <c r="M40" s="102">
        <f t="shared" ref="M40:M50" si="13">M39</f>
        <v>1.7493000000000001</v>
      </c>
      <c r="N40" s="103">
        <f t="shared" si="9"/>
        <v>41271.409829999997</v>
      </c>
      <c r="O40" s="144"/>
      <c r="P40" s="94">
        <f t="shared" si="10"/>
        <v>59461.689929999993</v>
      </c>
      <c r="Q40" s="85"/>
    </row>
    <row r="41" spans="2:17" x14ac:dyDescent="0.2">
      <c r="B41" s="147" t="s">
        <v>36</v>
      </c>
      <c r="C41" s="144"/>
      <c r="D41" s="101">
        <f>'12. RTSR - Historical Wholesale'!D40</f>
        <v>17233.3</v>
      </c>
      <c r="E41" s="102">
        <f t="shared" si="11"/>
        <v>3.1941999999999999</v>
      </c>
      <c r="F41" s="103">
        <f t="shared" si="7"/>
        <v>55046.60686</v>
      </c>
      <c r="G41" s="144"/>
      <c r="H41" s="101">
        <f>'12. RTSR - Historical Wholesale'!H40</f>
        <v>17273.97</v>
      </c>
      <c r="I41" s="102">
        <f t="shared" si="12"/>
        <v>0.77100000000000002</v>
      </c>
      <c r="J41" s="103">
        <f t="shared" si="8"/>
        <v>13318.230870000001</v>
      </c>
      <c r="K41" s="144"/>
      <c r="L41" s="101">
        <f>'12. RTSR - Historical Wholesale'!L40</f>
        <v>17273.97</v>
      </c>
      <c r="M41" s="102">
        <f t="shared" si="13"/>
        <v>1.7493000000000001</v>
      </c>
      <c r="N41" s="103">
        <f t="shared" si="9"/>
        <v>30217.355721000004</v>
      </c>
      <c r="O41" s="144"/>
      <c r="P41" s="94">
        <f t="shared" si="10"/>
        <v>43535.586591000007</v>
      </c>
      <c r="Q41" s="85"/>
    </row>
    <row r="42" spans="2:17" x14ac:dyDescent="0.2">
      <c r="B42" s="147" t="s">
        <v>37</v>
      </c>
      <c r="C42" s="144"/>
      <c r="D42" s="101">
        <f>'12. RTSR - Historical Wholesale'!D41</f>
        <v>19022.03</v>
      </c>
      <c r="E42" s="102">
        <f t="shared" si="11"/>
        <v>3.1941999999999999</v>
      </c>
      <c r="F42" s="103">
        <f t="shared" si="7"/>
        <v>60760.168225999994</v>
      </c>
      <c r="G42" s="144"/>
      <c r="H42" s="101">
        <f>'12. RTSR - Historical Wholesale'!H41</f>
        <v>19093.169999999998</v>
      </c>
      <c r="I42" s="102">
        <f t="shared" si="12"/>
        <v>0.77100000000000002</v>
      </c>
      <c r="J42" s="103">
        <f t="shared" si="8"/>
        <v>14720.834069999999</v>
      </c>
      <c r="K42" s="144"/>
      <c r="L42" s="101">
        <f>'12. RTSR - Historical Wholesale'!L41</f>
        <v>19093.169999999998</v>
      </c>
      <c r="M42" s="102">
        <f t="shared" si="13"/>
        <v>1.7493000000000001</v>
      </c>
      <c r="N42" s="103">
        <f t="shared" si="9"/>
        <v>33399.682281000001</v>
      </c>
      <c r="O42" s="144"/>
      <c r="P42" s="94">
        <f t="shared" si="10"/>
        <v>48120.516350999998</v>
      </c>
      <c r="Q42" s="85"/>
    </row>
    <row r="43" spans="2:17" x14ac:dyDescent="0.2">
      <c r="B43" s="147" t="s">
        <v>38</v>
      </c>
      <c r="C43" s="144"/>
      <c r="D43" s="101">
        <f>'12. RTSR - Historical Wholesale'!D42</f>
        <v>16583.759999999998</v>
      </c>
      <c r="E43" s="102">
        <f t="shared" si="11"/>
        <v>3.1941999999999999</v>
      </c>
      <c r="F43" s="103">
        <f t="shared" si="7"/>
        <v>52971.846191999997</v>
      </c>
      <c r="G43" s="144"/>
      <c r="H43" s="101">
        <f>'12. RTSR - Historical Wholesale'!H42</f>
        <v>16592.75</v>
      </c>
      <c r="I43" s="102">
        <f t="shared" si="12"/>
        <v>0.77100000000000002</v>
      </c>
      <c r="J43" s="103">
        <f t="shared" si="8"/>
        <v>12793.010250000001</v>
      </c>
      <c r="K43" s="144"/>
      <c r="L43" s="101">
        <f>'12. RTSR - Historical Wholesale'!L42</f>
        <v>16592.75</v>
      </c>
      <c r="M43" s="102">
        <f t="shared" si="13"/>
        <v>1.7493000000000001</v>
      </c>
      <c r="N43" s="103">
        <f t="shared" si="9"/>
        <v>29025.697575000002</v>
      </c>
      <c r="O43" s="144"/>
      <c r="P43" s="94">
        <f t="shared" si="10"/>
        <v>41818.707825000005</v>
      </c>
      <c r="Q43" s="85"/>
    </row>
    <row r="44" spans="2:17" x14ac:dyDescent="0.2">
      <c r="B44" s="147" t="s">
        <v>39</v>
      </c>
      <c r="C44" s="144"/>
      <c r="D44" s="101">
        <f>'12. RTSR - Historical Wholesale'!D43</f>
        <v>15738.51</v>
      </c>
      <c r="E44" s="102">
        <f t="shared" si="11"/>
        <v>3.1941999999999999</v>
      </c>
      <c r="F44" s="103">
        <f t="shared" si="7"/>
        <v>50271.948642000003</v>
      </c>
      <c r="G44" s="144"/>
      <c r="H44" s="101">
        <f>'12. RTSR - Historical Wholesale'!H43</f>
        <v>15776.98</v>
      </c>
      <c r="I44" s="102">
        <f t="shared" si="12"/>
        <v>0.77100000000000002</v>
      </c>
      <c r="J44" s="103">
        <f t="shared" si="8"/>
        <v>12164.051579999999</v>
      </c>
      <c r="K44" s="144"/>
      <c r="L44" s="101">
        <f>'12. RTSR - Historical Wholesale'!L43</f>
        <v>15776.98</v>
      </c>
      <c r="M44" s="102">
        <f t="shared" si="13"/>
        <v>1.7493000000000001</v>
      </c>
      <c r="N44" s="103">
        <f t="shared" si="9"/>
        <v>27598.671114000001</v>
      </c>
      <c r="O44" s="144"/>
      <c r="P44" s="94">
        <f t="shared" si="10"/>
        <v>39762.722693999996</v>
      </c>
      <c r="Q44" s="85"/>
    </row>
    <row r="45" spans="2:17" x14ac:dyDescent="0.2">
      <c r="B45" s="147" t="s">
        <v>40</v>
      </c>
      <c r="C45" s="144"/>
      <c r="D45" s="101">
        <f>'12. RTSR - Historical Wholesale'!D44</f>
        <v>16585.650000000001</v>
      </c>
      <c r="E45" s="102">
        <f t="shared" si="11"/>
        <v>3.1941999999999999</v>
      </c>
      <c r="F45" s="103">
        <f t="shared" si="7"/>
        <v>52977.883230000007</v>
      </c>
      <c r="G45" s="144"/>
      <c r="H45" s="101">
        <f>'12. RTSR - Historical Wholesale'!H44</f>
        <v>16585.650000000001</v>
      </c>
      <c r="I45" s="102">
        <f t="shared" si="12"/>
        <v>0.77100000000000002</v>
      </c>
      <c r="J45" s="103">
        <f t="shared" si="8"/>
        <v>12787.536150000002</v>
      </c>
      <c r="K45" s="144"/>
      <c r="L45" s="101">
        <f>'12. RTSR - Historical Wholesale'!L44</f>
        <v>16585.650000000001</v>
      </c>
      <c r="M45" s="102">
        <f t="shared" si="13"/>
        <v>1.7493000000000001</v>
      </c>
      <c r="N45" s="103">
        <f t="shared" si="9"/>
        <v>29013.277545000004</v>
      </c>
      <c r="O45" s="144"/>
      <c r="P45" s="94">
        <f t="shared" si="10"/>
        <v>41800.813695000004</v>
      </c>
      <c r="Q45" s="85"/>
    </row>
    <row r="46" spans="2:17" x14ac:dyDescent="0.2">
      <c r="B46" s="147" t="s">
        <v>41</v>
      </c>
      <c r="C46" s="144"/>
      <c r="D46" s="101">
        <f>'12. RTSR - Historical Wholesale'!D45</f>
        <v>17178.43</v>
      </c>
      <c r="E46" s="102">
        <f t="shared" si="11"/>
        <v>3.1941999999999999</v>
      </c>
      <c r="F46" s="103">
        <f t="shared" si="7"/>
        <v>54871.341106</v>
      </c>
      <c r="G46" s="144"/>
      <c r="H46" s="101">
        <f>'12. RTSR - Historical Wholesale'!H45</f>
        <v>17178.43</v>
      </c>
      <c r="I46" s="102">
        <f t="shared" si="12"/>
        <v>0.77100000000000002</v>
      </c>
      <c r="J46" s="103">
        <f t="shared" si="8"/>
        <v>13244.569530000001</v>
      </c>
      <c r="K46" s="144"/>
      <c r="L46" s="101">
        <f>'12. RTSR - Historical Wholesale'!L45</f>
        <v>17178.43</v>
      </c>
      <c r="M46" s="102">
        <f t="shared" si="13"/>
        <v>1.7493000000000001</v>
      </c>
      <c r="N46" s="103">
        <f t="shared" si="9"/>
        <v>30050.227599000002</v>
      </c>
      <c r="O46" s="144"/>
      <c r="P46" s="94">
        <f t="shared" si="10"/>
        <v>43294.797128999999</v>
      </c>
      <c r="Q46" s="85"/>
    </row>
    <row r="47" spans="2:17" x14ac:dyDescent="0.2">
      <c r="B47" s="147" t="s">
        <v>42</v>
      </c>
      <c r="C47" s="144"/>
      <c r="D47" s="101">
        <f>'12. RTSR - Historical Wholesale'!D46</f>
        <v>17878.89</v>
      </c>
      <c r="E47" s="102">
        <f t="shared" si="11"/>
        <v>3.1941999999999999</v>
      </c>
      <c r="F47" s="103">
        <f t="shared" si="7"/>
        <v>57108.750437999995</v>
      </c>
      <c r="G47" s="144"/>
      <c r="H47" s="101">
        <f>'12. RTSR - Historical Wholesale'!H46</f>
        <v>17878.89</v>
      </c>
      <c r="I47" s="102">
        <f t="shared" si="12"/>
        <v>0.77100000000000002</v>
      </c>
      <c r="J47" s="103">
        <f t="shared" si="8"/>
        <v>13784.62419</v>
      </c>
      <c r="K47" s="144"/>
      <c r="L47" s="101">
        <f>'12. RTSR - Historical Wholesale'!L46</f>
        <v>17878.89</v>
      </c>
      <c r="M47" s="102">
        <f t="shared" si="13"/>
        <v>1.7493000000000001</v>
      </c>
      <c r="N47" s="103">
        <f t="shared" si="9"/>
        <v>31275.542277</v>
      </c>
      <c r="O47" s="144"/>
      <c r="P47" s="94">
        <f t="shared" si="10"/>
        <v>45060.166467000003</v>
      </c>
      <c r="Q47" s="85"/>
    </row>
    <row r="48" spans="2:17" x14ac:dyDescent="0.2">
      <c r="B48" s="147" t="s">
        <v>43</v>
      </c>
      <c r="C48" s="144"/>
      <c r="D48" s="101">
        <f>'12. RTSR - Historical Wholesale'!D47</f>
        <v>14120.38</v>
      </c>
      <c r="E48" s="102">
        <f t="shared" si="11"/>
        <v>3.1941999999999999</v>
      </c>
      <c r="F48" s="103">
        <f t="shared" si="7"/>
        <v>45103.317795999996</v>
      </c>
      <c r="G48" s="144"/>
      <c r="H48" s="101">
        <f>'12. RTSR - Historical Wholesale'!H47</f>
        <v>14155.2</v>
      </c>
      <c r="I48" s="102">
        <f t="shared" si="12"/>
        <v>0.77100000000000002</v>
      </c>
      <c r="J48" s="103">
        <f t="shared" si="8"/>
        <v>10913.6592</v>
      </c>
      <c r="K48" s="144"/>
      <c r="L48" s="101">
        <f>'12. RTSR - Historical Wholesale'!L47</f>
        <v>14155.2</v>
      </c>
      <c r="M48" s="102">
        <f t="shared" si="13"/>
        <v>1.7493000000000001</v>
      </c>
      <c r="N48" s="103">
        <f t="shared" si="9"/>
        <v>24761.691360000001</v>
      </c>
      <c r="O48" s="144"/>
      <c r="P48" s="94">
        <f t="shared" si="10"/>
        <v>35675.350559999999</v>
      </c>
      <c r="Q48" s="85"/>
    </row>
    <row r="49" spans="2:17" x14ac:dyDescent="0.2">
      <c r="B49" s="147" t="s">
        <v>44</v>
      </c>
      <c r="C49" s="144"/>
      <c r="D49" s="101">
        <f>'12. RTSR - Historical Wholesale'!D48</f>
        <v>16806.349999999999</v>
      </c>
      <c r="E49" s="102">
        <f t="shared" si="11"/>
        <v>3.1941999999999999</v>
      </c>
      <c r="F49" s="103">
        <f t="shared" si="7"/>
        <v>53682.843169999993</v>
      </c>
      <c r="G49" s="144"/>
      <c r="H49" s="101">
        <f>'12. RTSR - Historical Wholesale'!H48</f>
        <v>16811.43</v>
      </c>
      <c r="I49" s="102">
        <f t="shared" si="12"/>
        <v>0.77100000000000002</v>
      </c>
      <c r="J49" s="103">
        <f t="shared" si="8"/>
        <v>12961.61253</v>
      </c>
      <c r="K49" s="144"/>
      <c r="L49" s="101">
        <f>'12. RTSR - Historical Wholesale'!L48</f>
        <v>16811.43</v>
      </c>
      <c r="M49" s="102">
        <f t="shared" si="13"/>
        <v>1.7493000000000001</v>
      </c>
      <c r="N49" s="103">
        <f t="shared" si="9"/>
        <v>29408.234499000002</v>
      </c>
      <c r="O49" s="144"/>
      <c r="P49" s="94">
        <f t="shared" si="10"/>
        <v>42369.847029000004</v>
      </c>
      <c r="Q49" s="85"/>
    </row>
    <row r="50" spans="2:17" x14ac:dyDescent="0.2">
      <c r="B50" s="147" t="s">
        <v>45</v>
      </c>
      <c r="C50" s="144"/>
      <c r="D50" s="101">
        <f>'12. RTSR - Historical Wholesale'!D49</f>
        <v>19578.419999999998</v>
      </c>
      <c r="E50" s="102">
        <f t="shared" si="11"/>
        <v>3.1941999999999999</v>
      </c>
      <c r="F50" s="103">
        <f t="shared" si="7"/>
        <v>62537.389163999993</v>
      </c>
      <c r="G50" s="144"/>
      <c r="H50" s="101">
        <f>'12. RTSR - Historical Wholesale'!H49</f>
        <v>19614.37</v>
      </c>
      <c r="I50" s="102">
        <f t="shared" si="12"/>
        <v>0.77100000000000002</v>
      </c>
      <c r="J50" s="103">
        <f t="shared" si="8"/>
        <v>15122.679269999999</v>
      </c>
      <c r="K50" s="144"/>
      <c r="L50" s="101">
        <f>'12. RTSR - Historical Wholesale'!L49</f>
        <v>19614.37</v>
      </c>
      <c r="M50" s="102">
        <f t="shared" si="13"/>
        <v>1.7493000000000001</v>
      </c>
      <c r="N50" s="103">
        <f t="shared" si="9"/>
        <v>34311.417440999998</v>
      </c>
      <c r="O50" s="144"/>
      <c r="P50" s="94">
        <f t="shared" si="10"/>
        <v>49434.096710999998</v>
      </c>
      <c r="Q50" s="85"/>
    </row>
    <row r="51" spans="2:17" x14ac:dyDescent="0.2">
      <c r="B51" s="144"/>
      <c r="C51" s="144"/>
      <c r="D51" s="144"/>
      <c r="E51" s="144"/>
      <c r="F51" s="144"/>
      <c r="G51" s="144"/>
      <c r="H51" s="144"/>
      <c r="I51" s="144"/>
      <c r="J51" s="144"/>
      <c r="K51" s="144"/>
      <c r="L51" s="144"/>
      <c r="M51" s="144"/>
      <c r="N51" s="144"/>
      <c r="O51" s="144"/>
      <c r="P51" s="144"/>
      <c r="Q51" s="85"/>
    </row>
    <row r="52" spans="2:17" ht="13.5" thickBot="1" x14ac:dyDescent="0.25">
      <c r="B52" s="252" t="s">
        <v>51</v>
      </c>
      <c r="C52" s="144"/>
      <c r="D52" s="95">
        <f>SUM(D39:D50)</f>
        <v>213165.60000000003</v>
      </c>
      <c r="E52" s="96">
        <f>IF(D52&lt;&gt;0,F52/D52,0)</f>
        <v>3.194199999999999</v>
      </c>
      <c r="F52" s="97">
        <f>SUM(F39:F50)</f>
        <v>680893.55951999989</v>
      </c>
      <c r="G52" s="144"/>
      <c r="H52" s="95">
        <f>SUM(H39:H50)</f>
        <v>213631.93</v>
      </c>
      <c r="I52" s="96">
        <f>IF(H52&lt;&gt;0,J52/H52,0)</f>
        <v>0.77100000000000013</v>
      </c>
      <c r="J52" s="97">
        <f>SUM(J39:J50)</f>
        <v>164710.21803000002</v>
      </c>
      <c r="K52" s="144"/>
      <c r="L52" s="95">
        <f>SUM(L39:L50)</f>
        <v>213631.93</v>
      </c>
      <c r="M52" s="96">
        <f>IF(L52&lt;&gt;0,N52/L52,0)</f>
        <v>1.7493000000000001</v>
      </c>
      <c r="N52" s="97">
        <f>SUM(N39:N50)</f>
        <v>373706.33514899999</v>
      </c>
      <c r="O52" s="144"/>
      <c r="P52" s="97">
        <f>SUM(P39:P50)</f>
        <v>538416.55317900004</v>
      </c>
      <c r="Q52" s="85"/>
    </row>
    <row r="53" spans="2:17" x14ac:dyDescent="0.2">
      <c r="B53" s="144"/>
      <c r="C53" s="144"/>
      <c r="D53" s="144"/>
      <c r="E53" s="144"/>
      <c r="F53" s="144"/>
      <c r="G53" s="144"/>
      <c r="H53" s="144"/>
      <c r="I53" s="144"/>
      <c r="J53" s="144"/>
      <c r="K53" s="144"/>
      <c r="L53" s="144"/>
      <c r="M53" s="144"/>
      <c r="N53" s="144"/>
      <c r="O53" s="144"/>
      <c r="P53" s="144"/>
      <c r="Q53" s="85"/>
    </row>
    <row r="54" spans="2:17" x14ac:dyDescent="0.2">
      <c r="B54" s="250" t="str">
        <f>'12. RTSR - Historical Wholesale'!B53</f>
        <v>Add Extra Host Here (I)</v>
      </c>
      <c r="C54" s="144"/>
      <c r="D54" s="1847" t="s">
        <v>455</v>
      </c>
      <c r="E54" s="1847"/>
      <c r="F54" s="1847"/>
      <c r="G54" s="142"/>
      <c r="H54" s="1847" t="s">
        <v>456</v>
      </c>
      <c r="I54" s="1847"/>
      <c r="J54" s="1847"/>
      <c r="K54" s="142"/>
      <c r="L54" s="1847" t="s">
        <v>457</v>
      </c>
      <c r="M54" s="1847"/>
      <c r="N54" s="1847"/>
      <c r="O54" s="142"/>
      <c r="P54" s="1013" t="s">
        <v>3032</v>
      </c>
      <c r="Q54" s="85"/>
    </row>
    <row r="55" spans="2:17" x14ac:dyDescent="0.2">
      <c r="B55" s="252"/>
      <c r="C55" s="144"/>
      <c r="D55" s="149"/>
      <c r="E55" s="149"/>
      <c r="F55" s="149"/>
      <c r="G55" s="144"/>
      <c r="H55" s="149"/>
      <c r="I55" s="149"/>
      <c r="J55" s="149"/>
      <c r="K55" s="144"/>
      <c r="L55" s="149"/>
      <c r="M55" s="149"/>
      <c r="N55" s="149"/>
      <c r="O55" s="144"/>
      <c r="P55" s="149"/>
      <c r="Q55" s="85"/>
    </row>
    <row r="56" spans="2:17" x14ac:dyDescent="0.2">
      <c r="B56" s="252" t="s">
        <v>458</v>
      </c>
      <c r="C56" s="144"/>
      <c r="D56" s="149" t="s">
        <v>459</v>
      </c>
      <c r="E56" s="149" t="s">
        <v>352</v>
      </c>
      <c r="F56" s="149" t="s">
        <v>149</v>
      </c>
      <c r="G56" s="144"/>
      <c r="H56" s="149" t="s">
        <v>459</v>
      </c>
      <c r="I56" s="149" t="s">
        <v>352</v>
      </c>
      <c r="J56" s="149" t="s">
        <v>149</v>
      </c>
      <c r="K56" s="144"/>
      <c r="L56" s="149" t="s">
        <v>459</v>
      </c>
      <c r="M56" s="149" t="s">
        <v>352</v>
      </c>
      <c r="N56" s="149" t="s">
        <v>149</v>
      </c>
      <c r="O56" s="144"/>
      <c r="P56" s="149" t="s">
        <v>149</v>
      </c>
      <c r="Q56" s="85"/>
    </row>
    <row r="57" spans="2:17" x14ac:dyDescent="0.2">
      <c r="B57" s="144"/>
      <c r="C57" s="144"/>
      <c r="D57" s="144"/>
      <c r="E57" s="144"/>
      <c r="F57" s="144"/>
      <c r="G57" s="144"/>
      <c r="H57" s="144"/>
      <c r="I57" s="144"/>
      <c r="J57" s="144"/>
      <c r="K57" s="144"/>
      <c r="L57" s="144"/>
      <c r="M57" s="144"/>
      <c r="N57" s="144"/>
      <c r="O57" s="144"/>
      <c r="P57" s="144"/>
      <c r="Q57" s="85"/>
    </row>
    <row r="58" spans="2:17" x14ac:dyDescent="0.2">
      <c r="B58" s="147" t="s">
        <v>34</v>
      </c>
      <c r="C58" s="144"/>
      <c r="D58" s="101">
        <f>'12. RTSR - Historical Wholesale'!D57</f>
        <v>0</v>
      </c>
      <c r="E58" s="102">
        <f>'11. RTSR - UTRs &amp; Sub-Tx'!J50</f>
        <v>0</v>
      </c>
      <c r="F58" s="103">
        <f t="shared" ref="F58:F69" si="14">D58*E58</f>
        <v>0</v>
      </c>
      <c r="G58" s="144"/>
      <c r="H58" s="101">
        <f>'12. RTSR - Historical Wholesale'!H57</f>
        <v>0</v>
      </c>
      <c r="I58" s="102">
        <f>'11. RTSR - UTRs &amp; Sub-Tx'!J52</f>
        <v>0</v>
      </c>
      <c r="J58" s="103">
        <f t="shared" ref="J58:J69" si="15">H58*I58</f>
        <v>0</v>
      </c>
      <c r="K58" s="144"/>
      <c r="L58" s="101">
        <f>'12. RTSR - Historical Wholesale'!L57</f>
        <v>0</v>
      </c>
      <c r="M58" s="102">
        <f>'11. RTSR - UTRs &amp; Sub-Tx'!J54</f>
        <v>0</v>
      </c>
      <c r="N58" s="103">
        <f t="shared" ref="N58:N69" si="16">L58*M58</f>
        <v>0</v>
      </c>
      <c r="O58" s="144"/>
      <c r="P58" s="94">
        <f t="shared" ref="P58:P69" si="17">J58+N58</f>
        <v>0</v>
      </c>
      <c r="Q58" s="85"/>
    </row>
    <row r="59" spans="2:17" x14ac:dyDescent="0.2">
      <c r="B59" s="147" t="s">
        <v>35</v>
      </c>
      <c r="C59" s="144"/>
      <c r="D59" s="101">
        <f>'12. RTSR - Historical Wholesale'!D58</f>
        <v>0</v>
      </c>
      <c r="E59" s="102">
        <f t="shared" ref="E59:E69" si="18">E58</f>
        <v>0</v>
      </c>
      <c r="F59" s="103">
        <f t="shared" si="14"/>
        <v>0</v>
      </c>
      <c r="G59" s="144"/>
      <c r="H59" s="101">
        <f>'12. RTSR - Historical Wholesale'!H58</f>
        <v>0</v>
      </c>
      <c r="I59" s="102">
        <f t="shared" ref="I59:I69" si="19">I58</f>
        <v>0</v>
      </c>
      <c r="J59" s="103">
        <f t="shared" si="15"/>
        <v>0</v>
      </c>
      <c r="K59" s="144"/>
      <c r="L59" s="101">
        <f>'12. RTSR - Historical Wholesale'!L58</f>
        <v>0</v>
      </c>
      <c r="M59" s="102">
        <f t="shared" ref="M59:M69" si="20">M58</f>
        <v>0</v>
      </c>
      <c r="N59" s="103">
        <f t="shared" si="16"/>
        <v>0</v>
      </c>
      <c r="O59" s="144"/>
      <c r="P59" s="94">
        <f t="shared" si="17"/>
        <v>0</v>
      </c>
      <c r="Q59" s="85"/>
    </row>
    <row r="60" spans="2:17" x14ac:dyDescent="0.2">
      <c r="B60" s="147" t="s">
        <v>36</v>
      </c>
      <c r="C60" s="144"/>
      <c r="D60" s="101">
        <f>'12. RTSR - Historical Wholesale'!D59</f>
        <v>0</v>
      </c>
      <c r="E60" s="102">
        <f t="shared" si="18"/>
        <v>0</v>
      </c>
      <c r="F60" s="103">
        <f t="shared" si="14"/>
        <v>0</v>
      </c>
      <c r="G60" s="144"/>
      <c r="H60" s="101">
        <f>'12. RTSR - Historical Wholesale'!H59</f>
        <v>0</v>
      </c>
      <c r="I60" s="102">
        <f t="shared" si="19"/>
        <v>0</v>
      </c>
      <c r="J60" s="103">
        <f t="shared" si="15"/>
        <v>0</v>
      </c>
      <c r="K60" s="144"/>
      <c r="L60" s="101">
        <f>'12. RTSR - Historical Wholesale'!L59</f>
        <v>0</v>
      </c>
      <c r="M60" s="102">
        <f t="shared" si="20"/>
        <v>0</v>
      </c>
      <c r="N60" s="103">
        <f t="shared" si="16"/>
        <v>0</v>
      </c>
      <c r="O60" s="144"/>
      <c r="P60" s="94">
        <f t="shared" si="17"/>
        <v>0</v>
      </c>
      <c r="Q60" s="85"/>
    </row>
    <row r="61" spans="2:17" x14ac:dyDescent="0.2">
      <c r="B61" s="147" t="s">
        <v>37</v>
      </c>
      <c r="C61" s="144"/>
      <c r="D61" s="101">
        <f>'12. RTSR - Historical Wholesale'!D60</f>
        <v>0</v>
      </c>
      <c r="E61" s="102">
        <f t="shared" si="18"/>
        <v>0</v>
      </c>
      <c r="F61" s="103">
        <f t="shared" si="14"/>
        <v>0</v>
      </c>
      <c r="G61" s="144"/>
      <c r="H61" s="101">
        <f>'12. RTSR - Historical Wholesale'!H60</f>
        <v>0</v>
      </c>
      <c r="I61" s="102">
        <f t="shared" si="19"/>
        <v>0</v>
      </c>
      <c r="J61" s="103">
        <f t="shared" si="15"/>
        <v>0</v>
      </c>
      <c r="K61" s="144"/>
      <c r="L61" s="101">
        <f>'12. RTSR - Historical Wholesale'!L60</f>
        <v>0</v>
      </c>
      <c r="M61" s="102">
        <f t="shared" si="20"/>
        <v>0</v>
      </c>
      <c r="N61" s="103">
        <f t="shared" si="16"/>
        <v>0</v>
      </c>
      <c r="O61" s="144"/>
      <c r="P61" s="94">
        <f t="shared" si="17"/>
        <v>0</v>
      </c>
      <c r="Q61" s="85"/>
    </row>
    <row r="62" spans="2:17" x14ac:dyDescent="0.2">
      <c r="B62" s="147" t="s">
        <v>38</v>
      </c>
      <c r="C62" s="144"/>
      <c r="D62" s="101">
        <f>'12. RTSR - Historical Wholesale'!D61</f>
        <v>0</v>
      </c>
      <c r="E62" s="102">
        <f t="shared" si="18"/>
        <v>0</v>
      </c>
      <c r="F62" s="103">
        <f t="shared" si="14"/>
        <v>0</v>
      </c>
      <c r="G62" s="144"/>
      <c r="H62" s="101">
        <f>'12. RTSR - Historical Wholesale'!H61</f>
        <v>0</v>
      </c>
      <c r="I62" s="102">
        <f t="shared" si="19"/>
        <v>0</v>
      </c>
      <c r="J62" s="103">
        <f t="shared" si="15"/>
        <v>0</v>
      </c>
      <c r="K62" s="144"/>
      <c r="L62" s="101">
        <f>'12. RTSR - Historical Wholesale'!L61</f>
        <v>0</v>
      </c>
      <c r="M62" s="102">
        <f t="shared" si="20"/>
        <v>0</v>
      </c>
      <c r="N62" s="103">
        <f t="shared" si="16"/>
        <v>0</v>
      </c>
      <c r="O62" s="144"/>
      <c r="P62" s="94">
        <f t="shared" si="17"/>
        <v>0</v>
      </c>
      <c r="Q62" s="85"/>
    </row>
    <row r="63" spans="2:17" x14ac:dyDescent="0.2">
      <c r="B63" s="147" t="s">
        <v>39</v>
      </c>
      <c r="C63" s="144"/>
      <c r="D63" s="101">
        <f>'12. RTSR - Historical Wholesale'!D62</f>
        <v>0</v>
      </c>
      <c r="E63" s="102">
        <f t="shared" si="18"/>
        <v>0</v>
      </c>
      <c r="F63" s="103">
        <f t="shared" si="14"/>
        <v>0</v>
      </c>
      <c r="G63" s="144"/>
      <c r="H63" s="101">
        <f>'12. RTSR - Historical Wholesale'!H62</f>
        <v>0</v>
      </c>
      <c r="I63" s="102">
        <f t="shared" si="19"/>
        <v>0</v>
      </c>
      <c r="J63" s="103">
        <f t="shared" si="15"/>
        <v>0</v>
      </c>
      <c r="K63" s="144"/>
      <c r="L63" s="101">
        <f>'12. RTSR - Historical Wholesale'!L62</f>
        <v>0</v>
      </c>
      <c r="M63" s="102">
        <f t="shared" si="20"/>
        <v>0</v>
      </c>
      <c r="N63" s="103">
        <f t="shared" si="16"/>
        <v>0</v>
      </c>
      <c r="O63" s="144"/>
      <c r="P63" s="94">
        <f t="shared" si="17"/>
        <v>0</v>
      </c>
      <c r="Q63" s="85"/>
    </row>
    <row r="64" spans="2:17" x14ac:dyDescent="0.2">
      <c r="B64" s="147" t="s">
        <v>40</v>
      </c>
      <c r="C64" s="144"/>
      <c r="D64" s="101">
        <f>'12. RTSR - Historical Wholesale'!D63</f>
        <v>0</v>
      </c>
      <c r="E64" s="102">
        <f t="shared" si="18"/>
        <v>0</v>
      </c>
      <c r="F64" s="103">
        <f t="shared" si="14"/>
        <v>0</v>
      </c>
      <c r="G64" s="144"/>
      <c r="H64" s="101">
        <f>'12. RTSR - Historical Wholesale'!H63</f>
        <v>0</v>
      </c>
      <c r="I64" s="102">
        <f t="shared" si="19"/>
        <v>0</v>
      </c>
      <c r="J64" s="103">
        <f t="shared" si="15"/>
        <v>0</v>
      </c>
      <c r="K64" s="144"/>
      <c r="L64" s="101">
        <f>'12. RTSR - Historical Wholesale'!L63</f>
        <v>0</v>
      </c>
      <c r="M64" s="102">
        <f t="shared" si="20"/>
        <v>0</v>
      </c>
      <c r="N64" s="103">
        <f t="shared" si="16"/>
        <v>0</v>
      </c>
      <c r="O64" s="144"/>
      <c r="P64" s="94">
        <f t="shared" si="17"/>
        <v>0</v>
      </c>
      <c r="Q64" s="85"/>
    </row>
    <row r="65" spans="2:17" x14ac:dyDescent="0.2">
      <c r="B65" s="147" t="s">
        <v>41</v>
      </c>
      <c r="C65" s="144"/>
      <c r="D65" s="101">
        <f>'12. RTSR - Historical Wholesale'!D64</f>
        <v>0</v>
      </c>
      <c r="E65" s="102">
        <f t="shared" si="18"/>
        <v>0</v>
      </c>
      <c r="F65" s="103">
        <f t="shared" si="14"/>
        <v>0</v>
      </c>
      <c r="G65" s="144"/>
      <c r="H65" s="101">
        <f>'12. RTSR - Historical Wholesale'!H64</f>
        <v>0</v>
      </c>
      <c r="I65" s="102">
        <f t="shared" si="19"/>
        <v>0</v>
      </c>
      <c r="J65" s="103">
        <f t="shared" si="15"/>
        <v>0</v>
      </c>
      <c r="K65" s="144"/>
      <c r="L65" s="101">
        <f>'12. RTSR - Historical Wholesale'!L64</f>
        <v>0</v>
      </c>
      <c r="M65" s="102">
        <f t="shared" si="20"/>
        <v>0</v>
      </c>
      <c r="N65" s="103">
        <f t="shared" si="16"/>
        <v>0</v>
      </c>
      <c r="O65" s="144"/>
      <c r="P65" s="94">
        <f t="shared" si="17"/>
        <v>0</v>
      </c>
      <c r="Q65" s="85"/>
    </row>
    <row r="66" spans="2:17" x14ac:dyDescent="0.2">
      <c r="B66" s="147" t="s">
        <v>42</v>
      </c>
      <c r="C66" s="144"/>
      <c r="D66" s="101">
        <f>'12. RTSR - Historical Wholesale'!D65</f>
        <v>0</v>
      </c>
      <c r="E66" s="102">
        <f t="shared" si="18"/>
        <v>0</v>
      </c>
      <c r="F66" s="103">
        <f t="shared" si="14"/>
        <v>0</v>
      </c>
      <c r="G66" s="144"/>
      <c r="H66" s="101">
        <f>'12. RTSR - Historical Wholesale'!H65</f>
        <v>0</v>
      </c>
      <c r="I66" s="102">
        <f t="shared" si="19"/>
        <v>0</v>
      </c>
      <c r="J66" s="103">
        <f t="shared" si="15"/>
        <v>0</v>
      </c>
      <c r="K66" s="144"/>
      <c r="L66" s="101">
        <f>'12. RTSR - Historical Wholesale'!L65</f>
        <v>0</v>
      </c>
      <c r="M66" s="102">
        <f t="shared" si="20"/>
        <v>0</v>
      </c>
      <c r="N66" s="103">
        <f t="shared" si="16"/>
        <v>0</v>
      </c>
      <c r="O66" s="144"/>
      <c r="P66" s="94">
        <f t="shared" si="17"/>
        <v>0</v>
      </c>
      <c r="Q66" s="85"/>
    </row>
    <row r="67" spans="2:17" x14ac:dyDescent="0.2">
      <c r="B67" s="147" t="s">
        <v>43</v>
      </c>
      <c r="C67" s="144"/>
      <c r="D67" s="101">
        <f>'12. RTSR - Historical Wholesale'!D66</f>
        <v>0</v>
      </c>
      <c r="E67" s="102">
        <f t="shared" si="18"/>
        <v>0</v>
      </c>
      <c r="F67" s="103">
        <f t="shared" si="14"/>
        <v>0</v>
      </c>
      <c r="G67" s="144"/>
      <c r="H67" s="101">
        <f>'12. RTSR - Historical Wholesale'!H66</f>
        <v>0</v>
      </c>
      <c r="I67" s="102">
        <f t="shared" si="19"/>
        <v>0</v>
      </c>
      <c r="J67" s="103">
        <f t="shared" si="15"/>
        <v>0</v>
      </c>
      <c r="K67" s="144"/>
      <c r="L67" s="101">
        <f>'12. RTSR - Historical Wholesale'!L66</f>
        <v>0</v>
      </c>
      <c r="M67" s="102">
        <f t="shared" si="20"/>
        <v>0</v>
      </c>
      <c r="N67" s="103">
        <f t="shared" si="16"/>
        <v>0</v>
      </c>
      <c r="O67" s="144"/>
      <c r="P67" s="94">
        <f t="shared" si="17"/>
        <v>0</v>
      </c>
      <c r="Q67" s="85"/>
    </row>
    <row r="68" spans="2:17" x14ac:dyDescent="0.2">
      <c r="B68" s="147" t="s">
        <v>44</v>
      </c>
      <c r="C68" s="144"/>
      <c r="D68" s="101">
        <f>'12. RTSR - Historical Wholesale'!D67</f>
        <v>0</v>
      </c>
      <c r="E68" s="102">
        <f t="shared" si="18"/>
        <v>0</v>
      </c>
      <c r="F68" s="103">
        <f t="shared" si="14"/>
        <v>0</v>
      </c>
      <c r="G68" s="144"/>
      <c r="H68" s="101">
        <f>'12. RTSR - Historical Wholesale'!H67</f>
        <v>0</v>
      </c>
      <c r="I68" s="102">
        <f t="shared" si="19"/>
        <v>0</v>
      </c>
      <c r="J68" s="103">
        <f t="shared" si="15"/>
        <v>0</v>
      </c>
      <c r="K68" s="144"/>
      <c r="L68" s="101">
        <f>'12. RTSR - Historical Wholesale'!L67</f>
        <v>0</v>
      </c>
      <c r="M68" s="102">
        <f t="shared" si="20"/>
        <v>0</v>
      </c>
      <c r="N68" s="103">
        <f t="shared" si="16"/>
        <v>0</v>
      </c>
      <c r="O68" s="144"/>
      <c r="P68" s="94">
        <f t="shared" si="17"/>
        <v>0</v>
      </c>
      <c r="Q68" s="85"/>
    </row>
    <row r="69" spans="2:17" x14ac:dyDescent="0.2">
      <c r="B69" s="147" t="s">
        <v>45</v>
      </c>
      <c r="C69" s="144"/>
      <c r="D69" s="101">
        <f>'12. RTSR - Historical Wholesale'!D68</f>
        <v>0</v>
      </c>
      <c r="E69" s="102">
        <f t="shared" si="18"/>
        <v>0</v>
      </c>
      <c r="F69" s="103">
        <f t="shared" si="14"/>
        <v>0</v>
      </c>
      <c r="G69" s="144"/>
      <c r="H69" s="101">
        <f>'12. RTSR - Historical Wholesale'!H68</f>
        <v>0</v>
      </c>
      <c r="I69" s="102">
        <f t="shared" si="19"/>
        <v>0</v>
      </c>
      <c r="J69" s="103">
        <f t="shared" si="15"/>
        <v>0</v>
      </c>
      <c r="K69" s="144"/>
      <c r="L69" s="101">
        <f>'12. RTSR - Historical Wholesale'!L68</f>
        <v>0</v>
      </c>
      <c r="M69" s="102">
        <f t="shared" si="20"/>
        <v>0</v>
      </c>
      <c r="N69" s="103">
        <f t="shared" si="16"/>
        <v>0</v>
      </c>
      <c r="O69" s="144"/>
      <c r="P69" s="94">
        <f t="shared" si="17"/>
        <v>0</v>
      </c>
      <c r="Q69" s="85"/>
    </row>
    <row r="70" spans="2:17" x14ac:dyDescent="0.2">
      <c r="B70" s="144"/>
      <c r="C70" s="144"/>
      <c r="D70" s="144"/>
      <c r="E70" s="144"/>
      <c r="F70" s="144"/>
      <c r="G70" s="144"/>
      <c r="H70" s="144"/>
      <c r="I70" s="144"/>
      <c r="J70" s="144"/>
      <c r="K70" s="144"/>
      <c r="L70" s="144"/>
      <c r="M70" s="144"/>
      <c r="N70" s="144"/>
      <c r="O70" s="144"/>
      <c r="P70" s="144"/>
      <c r="Q70" s="85"/>
    </row>
    <row r="71" spans="2:17" ht="13.5" thickBot="1" x14ac:dyDescent="0.25">
      <c r="B71" s="252" t="s">
        <v>51</v>
      </c>
      <c r="C71" s="144"/>
      <c r="D71" s="95">
        <f>SUM(D58:D69)</f>
        <v>0</v>
      </c>
      <c r="E71" s="96">
        <f>IF(D71&lt;&gt;0,F71/D71,0)</f>
        <v>0</v>
      </c>
      <c r="F71" s="97">
        <f>SUM(F58:F69)</f>
        <v>0</v>
      </c>
      <c r="G71" s="144"/>
      <c r="H71" s="95">
        <f>SUM(H58:H69)</f>
        <v>0</v>
      </c>
      <c r="I71" s="96">
        <f>IF(H71&lt;&gt;0,J71/H71,0)</f>
        <v>0</v>
      </c>
      <c r="J71" s="97">
        <f>SUM(J58:J69)</f>
        <v>0</v>
      </c>
      <c r="K71" s="144"/>
      <c r="L71" s="95">
        <f>SUM(L58:L69)</f>
        <v>0</v>
      </c>
      <c r="M71" s="96">
        <f>IF(L71&lt;&gt;0,N71/L71,0)</f>
        <v>0</v>
      </c>
      <c r="N71" s="97">
        <f>SUM(N58:N69)</f>
        <v>0</v>
      </c>
      <c r="O71" s="144"/>
      <c r="P71" s="97">
        <f>SUM(P58:P69)</f>
        <v>0</v>
      </c>
      <c r="Q71" s="85"/>
    </row>
    <row r="72" spans="2:17" x14ac:dyDescent="0.2">
      <c r="B72" s="144"/>
      <c r="C72" s="144"/>
      <c r="D72" s="144"/>
      <c r="E72" s="144"/>
      <c r="F72" s="144"/>
      <c r="G72" s="144"/>
      <c r="H72" s="144"/>
      <c r="I72" s="144"/>
      <c r="J72" s="144"/>
      <c r="K72" s="144"/>
      <c r="L72" s="144"/>
      <c r="M72" s="144"/>
      <c r="N72" s="144"/>
      <c r="O72" s="144"/>
      <c r="P72" s="144"/>
      <c r="Q72" s="85"/>
    </row>
    <row r="73" spans="2:17" x14ac:dyDescent="0.2">
      <c r="B73" s="250" t="str">
        <f>'12. RTSR - Historical Wholesale'!B72</f>
        <v>Add Extra Host Here (II)</v>
      </c>
      <c r="C73" s="144"/>
      <c r="D73" s="1847" t="s">
        <v>455</v>
      </c>
      <c r="E73" s="1847"/>
      <c r="F73" s="1847"/>
      <c r="G73" s="142"/>
      <c r="H73" s="1847" t="s">
        <v>456</v>
      </c>
      <c r="I73" s="1847"/>
      <c r="J73" s="1847"/>
      <c r="K73" s="142"/>
      <c r="L73" s="1847" t="s">
        <v>457</v>
      </c>
      <c r="M73" s="1847"/>
      <c r="N73" s="1847"/>
      <c r="O73" s="142"/>
      <c r="P73" s="1013" t="s">
        <v>3032</v>
      </c>
      <c r="Q73" s="85"/>
    </row>
    <row r="74" spans="2:17" x14ac:dyDescent="0.2">
      <c r="B74" s="252"/>
      <c r="C74" s="144"/>
      <c r="D74" s="149"/>
      <c r="E74" s="149"/>
      <c r="F74" s="149"/>
      <c r="G74" s="144"/>
      <c r="H74" s="149"/>
      <c r="I74" s="149"/>
      <c r="J74" s="149"/>
      <c r="K74" s="144"/>
      <c r="L74" s="149"/>
      <c r="M74" s="149"/>
      <c r="N74" s="149"/>
      <c r="O74" s="144"/>
      <c r="P74" s="149"/>
      <c r="Q74" s="85"/>
    </row>
    <row r="75" spans="2:17" x14ac:dyDescent="0.2">
      <c r="B75" s="252" t="s">
        <v>458</v>
      </c>
      <c r="C75" s="144"/>
      <c r="D75" s="149" t="s">
        <v>459</v>
      </c>
      <c r="E75" s="149" t="s">
        <v>352</v>
      </c>
      <c r="F75" s="149" t="s">
        <v>149</v>
      </c>
      <c r="G75" s="144"/>
      <c r="H75" s="149" t="s">
        <v>459</v>
      </c>
      <c r="I75" s="149" t="s">
        <v>352</v>
      </c>
      <c r="J75" s="149" t="s">
        <v>149</v>
      </c>
      <c r="K75" s="144"/>
      <c r="L75" s="149" t="s">
        <v>459</v>
      </c>
      <c r="M75" s="149" t="s">
        <v>352</v>
      </c>
      <c r="N75" s="149" t="s">
        <v>149</v>
      </c>
      <c r="O75" s="144"/>
      <c r="P75" s="149" t="s">
        <v>149</v>
      </c>
      <c r="Q75" s="85"/>
    </row>
    <row r="76" spans="2:17" x14ac:dyDescent="0.2">
      <c r="B76" s="144"/>
      <c r="C76" s="144"/>
      <c r="D76" s="144"/>
      <c r="E76" s="144"/>
      <c r="F76" s="144"/>
      <c r="G76" s="144"/>
      <c r="H76" s="144"/>
      <c r="I76" s="144"/>
      <c r="J76" s="144"/>
      <c r="K76" s="144"/>
      <c r="L76" s="144"/>
      <c r="M76" s="144"/>
      <c r="N76" s="144"/>
      <c r="O76" s="144"/>
      <c r="P76" s="144"/>
      <c r="Q76" s="85"/>
    </row>
    <row r="77" spans="2:17" x14ac:dyDescent="0.2">
      <c r="B77" s="147" t="s">
        <v>34</v>
      </c>
      <c r="C77" s="144"/>
      <c r="D77" s="101">
        <f>'12. RTSR - Historical Wholesale'!D76</f>
        <v>0</v>
      </c>
      <c r="E77" s="102">
        <f>'11. RTSR - UTRs &amp; Sub-Tx'!J65</f>
        <v>0</v>
      </c>
      <c r="F77" s="103">
        <f t="shared" ref="F77:F88" si="21">D77*E77</f>
        <v>0</v>
      </c>
      <c r="G77" s="144"/>
      <c r="H77" s="101">
        <f>'12. RTSR - Historical Wholesale'!H76</f>
        <v>0</v>
      </c>
      <c r="I77" s="102">
        <f>'11. RTSR - UTRs &amp; Sub-Tx'!J67</f>
        <v>0</v>
      </c>
      <c r="J77" s="103">
        <f t="shared" ref="J77:J88" si="22">H77*I77</f>
        <v>0</v>
      </c>
      <c r="K77" s="144"/>
      <c r="L77" s="101">
        <f>'12. RTSR - Historical Wholesale'!L76</f>
        <v>0</v>
      </c>
      <c r="M77" s="102">
        <f>'11. RTSR - UTRs &amp; Sub-Tx'!J69</f>
        <v>0</v>
      </c>
      <c r="N77" s="103">
        <f t="shared" ref="N77:N88" si="23">L77*M77</f>
        <v>0</v>
      </c>
      <c r="O77" s="144"/>
      <c r="P77" s="94">
        <f t="shared" ref="P77:P88" si="24">J77+N77</f>
        <v>0</v>
      </c>
      <c r="Q77" s="85"/>
    </row>
    <row r="78" spans="2:17" x14ac:dyDescent="0.2">
      <c r="B78" s="147" t="s">
        <v>35</v>
      </c>
      <c r="C78" s="144"/>
      <c r="D78" s="101">
        <f>'12. RTSR - Historical Wholesale'!D77</f>
        <v>0</v>
      </c>
      <c r="E78" s="102">
        <f t="shared" ref="E78:E88" si="25">E77</f>
        <v>0</v>
      </c>
      <c r="F78" s="103">
        <f t="shared" si="21"/>
        <v>0</v>
      </c>
      <c r="G78" s="144"/>
      <c r="H78" s="101">
        <f>'12. RTSR - Historical Wholesale'!H77</f>
        <v>0</v>
      </c>
      <c r="I78" s="102">
        <f t="shared" ref="I78:I88" si="26">I77</f>
        <v>0</v>
      </c>
      <c r="J78" s="103">
        <f t="shared" si="22"/>
        <v>0</v>
      </c>
      <c r="K78" s="144"/>
      <c r="L78" s="101">
        <f>'12. RTSR - Historical Wholesale'!L77</f>
        <v>0</v>
      </c>
      <c r="M78" s="102">
        <f t="shared" ref="M78:M88" si="27">M77</f>
        <v>0</v>
      </c>
      <c r="N78" s="103">
        <f t="shared" si="23"/>
        <v>0</v>
      </c>
      <c r="O78" s="144"/>
      <c r="P78" s="94">
        <f t="shared" si="24"/>
        <v>0</v>
      </c>
      <c r="Q78" s="85"/>
    </row>
    <row r="79" spans="2:17" x14ac:dyDescent="0.2">
      <c r="B79" s="147" t="s">
        <v>36</v>
      </c>
      <c r="C79" s="144"/>
      <c r="D79" s="101">
        <f>'12. RTSR - Historical Wholesale'!D78</f>
        <v>0</v>
      </c>
      <c r="E79" s="102">
        <f t="shared" si="25"/>
        <v>0</v>
      </c>
      <c r="F79" s="103">
        <f t="shared" si="21"/>
        <v>0</v>
      </c>
      <c r="G79" s="144"/>
      <c r="H79" s="101">
        <f>'12. RTSR - Historical Wholesale'!H78</f>
        <v>0</v>
      </c>
      <c r="I79" s="102">
        <f t="shared" si="26"/>
        <v>0</v>
      </c>
      <c r="J79" s="103">
        <f t="shared" si="22"/>
        <v>0</v>
      </c>
      <c r="K79" s="144"/>
      <c r="L79" s="101">
        <f>'12. RTSR - Historical Wholesale'!L78</f>
        <v>0</v>
      </c>
      <c r="M79" s="102">
        <f t="shared" si="27"/>
        <v>0</v>
      </c>
      <c r="N79" s="103">
        <f t="shared" si="23"/>
        <v>0</v>
      </c>
      <c r="O79" s="144"/>
      <c r="P79" s="94">
        <f t="shared" si="24"/>
        <v>0</v>
      </c>
      <c r="Q79" s="85"/>
    </row>
    <row r="80" spans="2:17" x14ac:dyDescent="0.2">
      <c r="B80" s="147" t="s">
        <v>37</v>
      </c>
      <c r="C80" s="144"/>
      <c r="D80" s="101">
        <f>'12. RTSR - Historical Wholesale'!D79</f>
        <v>0</v>
      </c>
      <c r="E80" s="102">
        <f t="shared" si="25"/>
        <v>0</v>
      </c>
      <c r="F80" s="103">
        <f t="shared" si="21"/>
        <v>0</v>
      </c>
      <c r="G80" s="144"/>
      <c r="H80" s="101">
        <f>'12. RTSR - Historical Wholesale'!H79</f>
        <v>0</v>
      </c>
      <c r="I80" s="102">
        <f t="shared" si="26"/>
        <v>0</v>
      </c>
      <c r="J80" s="103">
        <f t="shared" si="22"/>
        <v>0</v>
      </c>
      <c r="K80" s="144"/>
      <c r="L80" s="101">
        <f>'12. RTSR - Historical Wholesale'!L79</f>
        <v>0</v>
      </c>
      <c r="M80" s="102">
        <f t="shared" si="27"/>
        <v>0</v>
      </c>
      <c r="N80" s="103">
        <f t="shared" si="23"/>
        <v>0</v>
      </c>
      <c r="O80" s="144"/>
      <c r="P80" s="94">
        <f t="shared" si="24"/>
        <v>0</v>
      </c>
      <c r="Q80" s="85"/>
    </row>
    <row r="81" spans="2:17" x14ac:dyDescent="0.2">
      <c r="B81" s="147" t="s">
        <v>38</v>
      </c>
      <c r="C81" s="144"/>
      <c r="D81" s="101">
        <f>'12. RTSR - Historical Wholesale'!D80</f>
        <v>0</v>
      </c>
      <c r="E81" s="102">
        <f t="shared" si="25"/>
        <v>0</v>
      </c>
      <c r="F81" s="103">
        <f t="shared" si="21"/>
        <v>0</v>
      </c>
      <c r="G81" s="144"/>
      <c r="H81" s="101">
        <f>'12. RTSR - Historical Wholesale'!H80</f>
        <v>0</v>
      </c>
      <c r="I81" s="102">
        <f t="shared" si="26"/>
        <v>0</v>
      </c>
      <c r="J81" s="103">
        <f t="shared" si="22"/>
        <v>0</v>
      </c>
      <c r="K81" s="144"/>
      <c r="L81" s="101">
        <f>'12. RTSR - Historical Wholesale'!L80</f>
        <v>0</v>
      </c>
      <c r="M81" s="102">
        <f t="shared" si="27"/>
        <v>0</v>
      </c>
      <c r="N81" s="103">
        <f t="shared" si="23"/>
        <v>0</v>
      </c>
      <c r="O81" s="144"/>
      <c r="P81" s="94">
        <f t="shared" si="24"/>
        <v>0</v>
      </c>
      <c r="Q81" s="85"/>
    </row>
    <row r="82" spans="2:17" x14ac:dyDescent="0.2">
      <c r="B82" s="147" t="s">
        <v>39</v>
      </c>
      <c r="C82" s="144"/>
      <c r="D82" s="101">
        <f>'12. RTSR - Historical Wholesale'!D81</f>
        <v>0</v>
      </c>
      <c r="E82" s="102">
        <f t="shared" si="25"/>
        <v>0</v>
      </c>
      <c r="F82" s="103">
        <f t="shared" si="21"/>
        <v>0</v>
      </c>
      <c r="G82" s="144"/>
      <c r="H82" s="101">
        <f>'12. RTSR - Historical Wholesale'!H81</f>
        <v>0</v>
      </c>
      <c r="I82" s="102">
        <f t="shared" si="26"/>
        <v>0</v>
      </c>
      <c r="J82" s="103">
        <f t="shared" si="22"/>
        <v>0</v>
      </c>
      <c r="K82" s="144"/>
      <c r="L82" s="101">
        <f>'12. RTSR - Historical Wholesale'!L81</f>
        <v>0</v>
      </c>
      <c r="M82" s="102">
        <f t="shared" si="27"/>
        <v>0</v>
      </c>
      <c r="N82" s="103">
        <f t="shared" si="23"/>
        <v>0</v>
      </c>
      <c r="O82" s="144"/>
      <c r="P82" s="94">
        <f t="shared" si="24"/>
        <v>0</v>
      </c>
      <c r="Q82" s="85"/>
    </row>
    <row r="83" spans="2:17" x14ac:dyDescent="0.2">
      <c r="B83" s="147" t="s">
        <v>40</v>
      </c>
      <c r="C83" s="144"/>
      <c r="D83" s="101">
        <f>'12. RTSR - Historical Wholesale'!D82</f>
        <v>0</v>
      </c>
      <c r="E83" s="102">
        <f t="shared" si="25"/>
        <v>0</v>
      </c>
      <c r="F83" s="103">
        <f t="shared" si="21"/>
        <v>0</v>
      </c>
      <c r="G83" s="144"/>
      <c r="H83" s="101">
        <f>'12. RTSR - Historical Wholesale'!H82</f>
        <v>0</v>
      </c>
      <c r="I83" s="102">
        <f t="shared" si="26"/>
        <v>0</v>
      </c>
      <c r="J83" s="103">
        <f t="shared" si="22"/>
        <v>0</v>
      </c>
      <c r="K83" s="144"/>
      <c r="L83" s="101">
        <f>'12. RTSR - Historical Wholesale'!L82</f>
        <v>0</v>
      </c>
      <c r="M83" s="102">
        <f t="shared" si="27"/>
        <v>0</v>
      </c>
      <c r="N83" s="103">
        <f t="shared" si="23"/>
        <v>0</v>
      </c>
      <c r="O83" s="144"/>
      <c r="P83" s="94">
        <f t="shared" si="24"/>
        <v>0</v>
      </c>
      <c r="Q83" s="85"/>
    </row>
    <row r="84" spans="2:17" x14ac:dyDescent="0.2">
      <c r="B84" s="147" t="s">
        <v>41</v>
      </c>
      <c r="C84" s="144"/>
      <c r="D84" s="101">
        <f>'12. RTSR - Historical Wholesale'!D83</f>
        <v>0</v>
      </c>
      <c r="E84" s="102">
        <f t="shared" si="25"/>
        <v>0</v>
      </c>
      <c r="F84" s="103">
        <f t="shared" si="21"/>
        <v>0</v>
      </c>
      <c r="G84" s="144"/>
      <c r="H84" s="101">
        <f>'12. RTSR - Historical Wholesale'!H83</f>
        <v>0</v>
      </c>
      <c r="I84" s="102">
        <f t="shared" si="26"/>
        <v>0</v>
      </c>
      <c r="J84" s="103">
        <f t="shared" si="22"/>
        <v>0</v>
      </c>
      <c r="K84" s="144"/>
      <c r="L84" s="101">
        <f>'12. RTSR - Historical Wholesale'!L83</f>
        <v>0</v>
      </c>
      <c r="M84" s="102">
        <f t="shared" si="27"/>
        <v>0</v>
      </c>
      <c r="N84" s="103">
        <f t="shared" si="23"/>
        <v>0</v>
      </c>
      <c r="O84" s="144"/>
      <c r="P84" s="94">
        <f t="shared" si="24"/>
        <v>0</v>
      </c>
      <c r="Q84" s="85"/>
    </row>
    <row r="85" spans="2:17" x14ac:dyDescent="0.2">
      <c r="B85" s="147" t="s">
        <v>42</v>
      </c>
      <c r="C85" s="144"/>
      <c r="D85" s="101">
        <f>'12. RTSR - Historical Wholesale'!D84</f>
        <v>0</v>
      </c>
      <c r="E85" s="102">
        <f t="shared" si="25"/>
        <v>0</v>
      </c>
      <c r="F85" s="103">
        <f t="shared" si="21"/>
        <v>0</v>
      </c>
      <c r="G85" s="144"/>
      <c r="H85" s="101">
        <f>'12. RTSR - Historical Wholesale'!H84</f>
        <v>0</v>
      </c>
      <c r="I85" s="102">
        <f t="shared" si="26"/>
        <v>0</v>
      </c>
      <c r="J85" s="103">
        <f t="shared" si="22"/>
        <v>0</v>
      </c>
      <c r="K85" s="144"/>
      <c r="L85" s="101">
        <f>'12. RTSR - Historical Wholesale'!L84</f>
        <v>0</v>
      </c>
      <c r="M85" s="102">
        <f t="shared" si="27"/>
        <v>0</v>
      </c>
      <c r="N85" s="103">
        <f t="shared" si="23"/>
        <v>0</v>
      </c>
      <c r="O85" s="144"/>
      <c r="P85" s="94">
        <f t="shared" si="24"/>
        <v>0</v>
      </c>
      <c r="Q85" s="85"/>
    </row>
    <row r="86" spans="2:17" x14ac:dyDescent="0.2">
      <c r="B86" s="147" t="s">
        <v>43</v>
      </c>
      <c r="C86" s="144"/>
      <c r="D86" s="101">
        <f>'12. RTSR - Historical Wholesale'!D85</f>
        <v>0</v>
      </c>
      <c r="E86" s="102">
        <f t="shared" si="25"/>
        <v>0</v>
      </c>
      <c r="F86" s="103">
        <f t="shared" si="21"/>
        <v>0</v>
      </c>
      <c r="G86" s="144"/>
      <c r="H86" s="101">
        <f>'12. RTSR - Historical Wholesale'!H85</f>
        <v>0</v>
      </c>
      <c r="I86" s="102">
        <f t="shared" si="26"/>
        <v>0</v>
      </c>
      <c r="J86" s="103">
        <f t="shared" si="22"/>
        <v>0</v>
      </c>
      <c r="K86" s="144"/>
      <c r="L86" s="101">
        <f>'12. RTSR - Historical Wholesale'!L85</f>
        <v>0</v>
      </c>
      <c r="M86" s="102">
        <f t="shared" si="27"/>
        <v>0</v>
      </c>
      <c r="N86" s="103">
        <f t="shared" si="23"/>
        <v>0</v>
      </c>
      <c r="O86" s="144"/>
      <c r="P86" s="94">
        <f t="shared" si="24"/>
        <v>0</v>
      </c>
      <c r="Q86" s="85"/>
    </row>
    <row r="87" spans="2:17" x14ac:dyDescent="0.2">
      <c r="B87" s="147" t="s">
        <v>44</v>
      </c>
      <c r="C87" s="144"/>
      <c r="D87" s="101">
        <f>'12. RTSR - Historical Wholesale'!D86</f>
        <v>0</v>
      </c>
      <c r="E87" s="102">
        <f t="shared" si="25"/>
        <v>0</v>
      </c>
      <c r="F87" s="103">
        <f t="shared" si="21"/>
        <v>0</v>
      </c>
      <c r="G87" s="144"/>
      <c r="H87" s="101">
        <f>'12. RTSR - Historical Wholesale'!H86</f>
        <v>0</v>
      </c>
      <c r="I87" s="102">
        <f t="shared" si="26"/>
        <v>0</v>
      </c>
      <c r="J87" s="103">
        <f t="shared" si="22"/>
        <v>0</v>
      </c>
      <c r="K87" s="144"/>
      <c r="L87" s="101">
        <f>'12. RTSR - Historical Wholesale'!L86</f>
        <v>0</v>
      </c>
      <c r="M87" s="102">
        <f t="shared" si="27"/>
        <v>0</v>
      </c>
      <c r="N87" s="103">
        <f t="shared" si="23"/>
        <v>0</v>
      </c>
      <c r="O87" s="144"/>
      <c r="P87" s="94">
        <f t="shared" si="24"/>
        <v>0</v>
      </c>
      <c r="Q87" s="85"/>
    </row>
    <row r="88" spans="2:17" x14ac:dyDescent="0.2">
      <c r="B88" s="147" t="s">
        <v>45</v>
      </c>
      <c r="C88" s="144"/>
      <c r="D88" s="101">
        <f>'12. RTSR - Historical Wholesale'!D87</f>
        <v>0</v>
      </c>
      <c r="E88" s="102">
        <f t="shared" si="25"/>
        <v>0</v>
      </c>
      <c r="F88" s="103">
        <f t="shared" si="21"/>
        <v>0</v>
      </c>
      <c r="G88" s="144"/>
      <c r="H88" s="101">
        <f>'12. RTSR - Historical Wholesale'!H87</f>
        <v>0</v>
      </c>
      <c r="I88" s="102">
        <f t="shared" si="26"/>
        <v>0</v>
      </c>
      <c r="J88" s="103">
        <f t="shared" si="22"/>
        <v>0</v>
      </c>
      <c r="K88" s="144"/>
      <c r="L88" s="101">
        <f>'12. RTSR - Historical Wholesale'!L87</f>
        <v>0</v>
      </c>
      <c r="M88" s="102">
        <f t="shared" si="27"/>
        <v>0</v>
      </c>
      <c r="N88" s="103">
        <f t="shared" si="23"/>
        <v>0</v>
      </c>
      <c r="O88" s="144"/>
      <c r="P88" s="94">
        <f t="shared" si="24"/>
        <v>0</v>
      </c>
      <c r="Q88" s="85"/>
    </row>
    <row r="89" spans="2:17" x14ac:dyDescent="0.2">
      <c r="B89" s="144"/>
      <c r="C89" s="144"/>
      <c r="D89" s="144"/>
      <c r="E89" s="144"/>
      <c r="F89" s="144"/>
      <c r="G89" s="144"/>
      <c r="H89" s="144"/>
      <c r="I89" s="144"/>
      <c r="J89" s="144"/>
      <c r="K89" s="144"/>
      <c r="L89" s="144"/>
      <c r="M89" s="144"/>
      <c r="N89" s="144"/>
      <c r="O89" s="144"/>
      <c r="P89" s="144"/>
      <c r="Q89" s="85"/>
    </row>
    <row r="90" spans="2:17" ht="13.5" thickBot="1" x14ac:dyDescent="0.25">
      <c r="B90" s="252" t="s">
        <v>51</v>
      </c>
      <c r="C90" s="144"/>
      <c r="D90" s="95">
        <f>SUM(D77:D88)</f>
        <v>0</v>
      </c>
      <c r="E90" s="96">
        <f>IF(D90&lt;&gt;0,F90/D90,0)</f>
        <v>0</v>
      </c>
      <c r="F90" s="97">
        <f>SUM(F77:F88)</f>
        <v>0</v>
      </c>
      <c r="G90" s="144"/>
      <c r="H90" s="95">
        <f>SUM(H77:H88)</f>
        <v>0</v>
      </c>
      <c r="I90" s="96">
        <f>IF(H90&lt;&gt;0,J90/H90,0)</f>
        <v>0</v>
      </c>
      <c r="J90" s="97">
        <f>SUM(J77:J88)</f>
        <v>0</v>
      </c>
      <c r="K90" s="144"/>
      <c r="L90" s="95">
        <f>SUM(L77:L88)</f>
        <v>0</v>
      </c>
      <c r="M90" s="96">
        <f>IF(L90&lt;&gt;0,N90/L90,0)</f>
        <v>0</v>
      </c>
      <c r="N90" s="97">
        <f>SUM(N77:N88)</f>
        <v>0</v>
      </c>
      <c r="O90" s="144"/>
      <c r="P90" s="97">
        <f>SUM(P77:P88)</f>
        <v>0</v>
      </c>
      <c r="Q90" s="85"/>
    </row>
    <row r="91" spans="2:17" x14ac:dyDescent="0.2">
      <c r="B91" s="144"/>
      <c r="C91" s="144"/>
      <c r="D91" s="144"/>
      <c r="E91" s="144"/>
      <c r="F91" s="144"/>
      <c r="G91" s="144"/>
      <c r="H91" s="144"/>
      <c r="I91" s="144"/>
      <c r="J91" s="144"/>
      <c r="K91" s="144"/>
      <c r="L91" s="144"/>
      <c r="M91" s="144"/>
      <c r="N91" s="144"/>
      <c r="O91" s="144"/>
      <c r="P91" s="144"/>
      <c r="Q91" s="85"/>
    </row>
    <row r="92" spans="2:17" x14ac:dyDescent="0.2">
      <c r="B92" s="250" t="s">
        <v>51</v>
      </c>
      <c r="C92" s="144"/>
      <c r="D92" s="1847" t="s">
        <v>455</v>
      </c>
      <c r="E92" s="1847"/>
      <c r="F92" s="1847"/>
      <c r="G92" s="142"/>
      <c r="H92" s="1847" t="s">
        <v>456</v>
      </c>
      <c r="I92" s="1847"/>
      <c r="J92" s="1847"/>
      <c r="K92" s="142"/>
      <c r="L92" s="1847" t="s">
        <v>457</v>
      </c>
      <c r="M92" s="1847"/>
      <c r="N92" s="1847"/>
      <c r="O92" s="142"/>
      <c r="P92" s="1013" t="s">
        <v>3032</v>
      </c>
      <c r="Q92" s="85"/>
    </row>
    <row r="93" spans="2:17" x14ac:dyDescent="0.2">
      <c r="B93" s="144"/>
      <c r="C93" s="144"/>
      <c r="D93" s="1849"/>
      <c r="E93" s="1849"/>
      <c r="F93" s="1849"/>
      <c r="G93" s="146"/>
      <c r="H93" s="1849"/>
      <c r="I93" s="1849"/>
      <c r="J93" s="1849"/>
      <c r="K93" s="146"/>
      <c r="L93" s="1849"/>
      <c r="M93" s="1849"/>
      <c r="N93" s="1849"/>
      <c r="O93" s="146"/>
      <c r="P93" s="251"/>
      <c r="Q93" s="85"/>
    </row>
    <row r="94" spans="2:17" x14ac:dyDescent="0.2">
      <c r="B94" s="252" t="s">
        <v>458</v>
      </c>
      <c r="C94" s="144"/>
      <c r="D94" s="149" t="s">
        <v>459</v>
      </c>
      <c r="E94" s="149" t="s">
        <v>352</v>
      </c>
      <c r="F94" s="149" t="s">
        <v>149</v>
      </c>
      <c r="G94" s="144"/>
      <c r="H94" s="149" t="s">
        <v>459</v>
      </c>
      <c r="I94" s="149" t="s">
        <v>352</v>
      </c>
      <c r="J94" s="149" t="s">
        <v>149</v>
      </c>
      <c r="K94" s="144"/>
      <c r="L94" s="149" t="s">
        <v>459</v>
      </c>
      <c r="M94" s="149" t="s">
        <v>352</v>
      </c>
      <c r="N94" s="149" t="s">
        <v>149</v>
      </c>
      <c r="O94" s="144"/>
      <c r="P94" s="149" t="s">
        <v>149</v>
      </c>
      <c r="Q94" s="85"/>
    </row>
    <row r="95" spans="2:17" x14ac:dyDescent="0.2">
      <c r="B95" s="144"/>
      <c r="C95" s="144"/>
      <c r="D95" s="144"/>
      <c r="E95" s="144"/>
      <c r="F95" s="144"/>
      <c r="G95" s="144"/>
      <c r="H95" s="144"/>
      <c r="I95" s="144"/>
      <c r="J95" s="144"/>
      <c r="K95" s="144"/>
      <c r="L95" s="144"/>
      <c r="M95" s="144"/>
      <c r="N95" s="144"/>
      <c r="O95" s="144"/>
      <c r="P95" s="144"/>
      <c r="Q95" s="85"/>
    </row>
    <row r="96" spans="2:17" x14ac:dyDescent="0.2">
      <c r="B96" s="147" t="s">
        <v>34</v>
      </c>
      <c r="C96" s="144"/>
      <c r="D96" s="98">
        <f>D20+D39+D58+D77</f>
        <v>19077.89</v>
      </c>
      <c r="E96" s="104">
        <f t="shared" ref="E96:E107" si="28">IF(D96&lt;&gt;0,F96/D96,0)</f>
        <v>3.1941999999999999</v>
      </c>
      <c r="F96" s="94">
        <f>F20+F39+F58+F77</f>
        <v>60938.596237999998</v>
      </c>
      <c r="G96" s="144"/>
      <c r="H96" s="98">
        <f>H20+H39+H58+H77</f>
        <v>19077.990000000002</v>
      </c>
      <c r="I96" s="104">
        <f t="shared" ref="I96:I107" si="29">IF(H96&lt;&gt;0,J96/H96,0)</f>
        <v>0.77100000000000002</v>
      </c>
      <c r="J96" s="94">
        <f>J20+J39+J58+J77</f>
        <v>14709.130290000001</v>
      </c>
      <c r="K96" s="144"/>
      <c r="L96" s="98">
        <f>L20+L39+L58+L77</f>
        <v>19077.990000000002</v>
      </c>
      <c r="M96" s="104">
        <f t="shared" ref="M96:M107" si="30">IF(L96&lt;&gt;0,N96/L96,0)</f>
        <v>1.7492999999999999</v>
      </c>
      <c r="N96" s="94">
        <f>N20+N39+N58+N77</f>
        <v>33373.127907000002</v>
      </c>
      <c r="O96" s="144"/>
      <c r="P96" s="94">
        <f t="shared" ref="P96:P107" si="31">J96+N96</f>
        <v>48082.258197000003</v>
      </c>
      <c r="Q96" s="85"/>
    </row>
    <row r="97" spans="2:17" x14ac:dyDescent="0.2">
      <c r="B97" s="147" t="s">
        <v>35</v>
      </c>
      <c r="C97" s="144"/>
      <c r="D97" s="98">
        <f t="shared" ref="D97:D107" si="32">D21+D40+D59+D78</f>
        <v>23361.99</v>
      </c>
      <c r="E97" s="104">
        <f t="shared" si="28"/>
        <v>3.1941999999999995</v>
      </c>
      <c r="F97" s="94">
        <f t="shared" ref="F97:F107" si="33">F21+F40+F59+F78</f>
        <v>74622.868457999997</v>
      </c>
      <c r="G97" s="144"/>
      <c r="H97" s="98">
        <f t="shared" ref="H97:H107" si="34">H21+H40+H59+H78</f>
        <v>23593.1</v>
      </c>
      <c r="I97" s="104">
        <f t="shared" si="29"/>
        <v>0.77100000000000002</v>
      </c>
      <c r="J97" s="94">
        <f t="shared" ref="J97:J107" si="35">J21+J40+J59+J78</f>
        <v>18190.2801</v>
      </c>
      <c r="K97" s="144"/>
      <c r="L97" s="98">
        <f t="shared" ref="L97:L107" si="36">L21+L40+L59+L78</f>
        <v>23593.1</v>
      </c>
      <c r="M97" s="104">
        <f t="shared" si="30"/>
        <v>1.7493000000000001</v>
      </c>
      <c r="N97" s="94">
        <f t="shared" ref="N97:N107" si="37">N21+N40+N59+N78</f>
        <v>41271.409829999997</v>
      </c>
      <c r="O97" s="144"/>
      <c r="P97" s="94">
        <f t="shared" si="31"/>
        <v>59461.689929999993</v>
      </c>
      <c r="Q97" s="85"/>
    </row>
    <row r="98" spans="2:17" x14ac:dyDescent="0.2">
      <c r="B98" s="147" t="s">
        <v>36</v>
      </c>
      <c r="C98" s="144"/>
      <c r="D98" s="98">
        <f t="shared" si="32"/>
        <v>17233.3</v>
      </c>
      <c r="E98" s="104">
        <f t="shared" si="28"/>
        <v>3.1941999999999999</v>
      </c>
      <c r="F98" s="94">
        <f t="shared" si="33"/>
        <v>55046.60686</v>
      </c>
      <c r="G98" s="144"/>
      <c r="H98" s="98">
        <f t="shared" si="34"/>
        <v>17273.97</v>
      </c>
      <c r="I98" s="104">
        <f t="shared" si="29"/>
        <v>0.77100000000000002</v>
      </c>
      <c r="J98" s="94">
        <f t="shared" si="35"/>
        <v>13318.230870000001</v>
      </c>
      <c r="K98" s="144"/>
      <c r="L98" s="98">
        <f t="shared" si="36"/>
        <v>17273.97</v>
      </c>
      <c r="M98" s="104">
        <f t="shared" si="30"/>
        <v>1.7493000000000001</v>
      </c>
      <c r="N98" s="94">
        <f t="shared" si="37"/>
        <v>30217.355721000004</v>
      </c>
      <c r="O98" s="144"/>
      <c r="P98" s="94">
        <f t="shared" si="31"/>
        <v>43535.586591000007</v>
      </c>
      <c r="Q98" s="85"/>
    </row>
    <row r="99" spans="2:17" x14ac:dyDescent="0.2">
      <c r="B99" s="147" t="s">
        <v>37</v>
      </c>
      <c r="C99" s="144"/>
      <c r="D99" s="98">
        <f t="shared" si="32"/>
        <v>19022.03</v>
      </c>
      <c r="E99" s="104">
        <f t="shared" si="28"/>
        <v>3.1941999999999999</v>
      </c>
      <c r="F99" s="94">
        <f t="shared" si="33"/>
        <v>60760.168225999994</v>
      </c>
      <c r="G99" s="144"/>
      <c r="H99" s="98">
        <f t="shared" si="34"/>
        <v>19093.169999999998</v>
      </c>
      <c r="I99" s="104">
        <f t="shared" si="29"/>
        <v>0.77100000000000002</v>
      </c>
      <c r="J99" s="94">
        <f t="shared" si="35"/>
        <v>14720.834069999999</v>
      </c>
      <c r="K99" s="144"/>
      <c r="L99" s="98">
        <f t="shared" si="36"/>
        <v>19093.169999999998</v>
      </c>
      <c r="M99" s="104">
        <f t="shared" si="30"/>
        <v>1.7493000000000003</v>
      </c>
      <c r="N99" s="94">
        <f t="shared" si="37"/>
        <v>33399.682281000001</v>
      </c>
      <c r="O99" s="144"/>
      <c r="P99" s="94">
        <f t="shared" si="31"/>
        <v>48120.516350999998</v>
      </c>
      <c r="Q99" s="85"/>
    </row>
    <row r="100" spans="2:17" x14ac:dyDescent="0.2">
      <c r="B100" s="147" t="s">
        <v>38</v>
      </c>
      <c r="C100" s="144"/>
      <c r="D100" s="98">
        <f t="shared" si="32"/>
        <v>16583.759999999998</v>
      </c>
      <c r="E100" s="104">
        <f t="shared" si="28"/>
        <v>3.1941999999999999</v>
      </c>
      <c r="F100" s="94">
        <f t="shared" si="33"/>
        <v>52971.846191999997</v>
      </c>
      <c r="G100" s="144"/>
      <c r="H100" s="98">
        <f t="shared" si="34"/>
        <v>16592.75</v>
      </c>
      <c r="I100" s="104">
        <f t="shared" si="29"/>
        <v>0.77100000000000002</v>
      </c>
      <c r="J100" s="94">
        <f t="shared" si="35"/>
        <v>12793.010250000001</v>
      </c>
      <c r="K100" s="144"/>
      <c r="L100" s="98">
        <f t="shared" si="36"/>
        <v>16592.75</v>
      </c>
      <c r="M100" s="104">
        <f t="shared" si="30"/>
        <v>1.7493000000000001</v>
      </c>
      <c r="N100" s="94">
        <f t="shared" si="37"/>
        <v>29025.697575000002</v>
      </c>
      <c r="O100" s="144"/>
      <c r="P100" s="94">
        <f t="shared" si="31"/>
        <v>41818.707825000005</v>
      </c>
      <c r="Q100" s="85"/>
    </row>
    <row r="101" spans="2:17" x14ac:dyDescent="0.2">
      <c r="B101" s="147" t="s">
        <v>39</v>
      </c>
      <c r="C101" s="144"/>
      <c r="D101" s="98">
        <f t="shared" si="32"/>
        <v>15738.51</v>
      </c>
      <c r="E101" s="104">
        <f t="shared" si="28"/>
        <v>3.1941999999999999</v>
      </c>
      <c r="F101" s="94">
        <f t="shared" si="33"/>
        <v>50271.948642000003</v>
      </c>
      <c r="G101" s="144"/>
      <c r="H101" s="98">
        <f t="shared" si="34"/>
        <v>15776.98</v>
      </c>
      <c r="I101" s="104">
        <f t="shared" si="29"/>
        <v>0.77100000000000002</v>
      </c>
      <c r="J101" s="94">
        <f t="shared" si="35"/>
        <v>12164.051579999999</v>
      </c>
      <c r="K101" s="144"/>
      <c r="L101" s="98">
        <f t="shared" si="36"/>
        <v>15776.98</v>
      </c>
      <c r="M101" s="104">
        <f t="shared" si="30"/>
        <v>1.7493000000000001</v>
      </c>
      <c r="N101" s="94">
        <f t="shared" si="37"/>
        <v>27598.671114000001</v>
      </c>
      <c r="O101" s="144"/>
      <c r="P101" s="94">
        <f t="shared" si="31"/>
        <v>39762.722693999996</v>
      </c>
      <c r="Q101" s="85"/>
    </row>
    <row r="102" spans="2:17" x14ac:dyDescent="0.2">
      <c r="B102" s="147" t="s">
        <v>40</v>
      </c>
      <c r="C102" s="144"/>
      <c r="D102" s="98">
        <f t="shared" si="32"/>
        <v>16585.650000000001</v>
      </c>
      <c r="E102" s="104">
        <f t="shared" si="28"/>
        <v>3.1941999999999999</v>
      </c>
      <c r="F102" s="94">
        <f t="shared" si="33"/>
        <v>52977.883230000007</v>
      </c>
      <c r="G102" s="144"/>
      <c r="H102" s="98">
        <f t="shared" si="34"/>
        <v>16585.650000000001</v>
      </c>
      <c r="I102" s="104">
        <f t="shared" si="29"/>
        <v>0.77100000000000002</v>
      </c>
      <c r="J102" s="94">
        <f t="shared" si="35"/>
        <v>12787.536150000002</v>
      </c>
      <c r="K102" s="144"/>
      <c r="L102" s="98">
        <f t="shared" si="36"/>
        <v>16585.650000000001</v>
      </c>
      <c r="M102" s="104">
        <f t="shared" si="30"/>
        <v>1.7493000000000001</v>
      </c>
      <c r="N102" s="94">
        <f t="shared" si="37"/>
        <v>29013.277545000004</v>
      </c>
      <c r="O102" s="144"/>
      <c r="P102" s="94">
        <f t="shared" si="31"/>
        <v>41800.813695000004</v>
      </c>
      <c r="Q102" s="85"/>
    </row>
    <row r="103" spans="2:17" x14ac:dyDescent="0.2">
      <c r="B103" s="147" t="s">
        <v>41</v>
      </c>
      <c r="C103" s="144"/>
      <c r="D103" s="98">
        <f t="shared" si="32"/>
        <v>17178.43</v>
      </c>
      <c r="E103" s="104">
        <f t="shared" si="28"/>
        <v>3.1941999999999999</v>
      </c>
      <c r="F103" s="94">
        <f t="shared" si="33"/>
        <v>54871.341106</v>
      </c>
      <c r="G103" s="144"/>
      <c r="H103" s="98">
        <f t="shared" si="34"/>
        <v>17178.43</v>
      </c>
      <c r="I103" s="104">
        <f t="shared" si="29"/>
        <v>0.77100000000000002</v>
      </c>
      <c r="J103" s="94">
        <f t="shared" si="35"/>
        <v>13244.569530000001</v>
      </c>
      <c r="K103" s="144"/>
      <c r="L103" s="98">
        <f t="shared" si="36"/>
        <v>17178.43</v>
      </c>
      <c r="M103" s="104">
        <f t="shared" si="30"/>
        <v>1.7493000000000001</v>
      </c>
      <c r="N103" s="94">
        <f t="shared" si="37"/>
        <v>30050.227599000002</v>
      </c>
      <c r="O103" s="144"/>
      <c r="P103" s="94">
        <f t="shared" si="31"/>
        <v>43294.797128999999</v>
      </c>
      <c r="Q103" s="85"/>
    </row>
    <row r="104" spans="2:17" x14ac:dyDescent="0.2">
      <c r="B104" s="147" t="s">
        <v>42</v>
      </c>
      <c r="C104" s="144"/>
      <c r="D104" s="98">
        <f t="shared" si="32"/>
        <v>17878.89</v>
      </c>
      <c r="E104" s="104">
        <f t="shared" si="28"/>
        <v>3.1941999999999999</v>
      </c>
      <c r="F104" s="94">
        <f t="shared" si="33"/>
        <v>57108.750437999995</v>
      </c>
      <c r="G104" s="144"/>
      <c r="H104" s="98">
        <f t="shared" si="34"/>
        <v>17878.89</v>
      </c>
      <c r="I104" s="104">
        <f t="shared" si="29"/>
        <v>0.77100000000000002</v>
      </c>
      <c r="J104" s="94">
        <f t="shared" si="35"/>
        <v>13784.62419</v>
      </c>
      <c r="K104" s="144"/>
      <c r="L104" s="98">
        <f t="shared" si="36"/>
        <v>17878.89</v>
      </c>
      <c r="M104" s="104">
        <f t="shared" si="30"/>
        <v>1.7493000000000001</v>
      </c>
      <c r="N104" s="94">
        <f t="shared" si="37"/>
        <v>31275.542277</v>
      </c>
      <c r="O104" s="144"/>
      <c r="P104" s="94">
        <f t="shared" si="31"/>
        <v>45060.166467000003</v>
      </c>
      <c r="Q104" s="85"/>
    </row>
    <row r="105" spans="2:17" x14ac:dyDescent="0.2">
      <c r="B105" s="147" t="s">
        <v>43</v>
      </c>
      <c r="C105" s="144"/>
      <c r="D105" s="98">
        <f t="shared" si="32"/>
        <v>14120.38</v>
      </c>
      <c r="E105" s="104">
        <f t="shared" si="28"/>
        <v>3.1941999999999999</v>
      </c>
      <c r="F105" s="94">
        <f t="shared" si="33"/>
        <v>45103.317795999996</v>
      </c>
      <c r="G105" s="144"/>
      <c r="H105" s="98">
        <f t="shared" si="34"/>
        <v>14155.2</v>
      </c>
      <c r="I105" s="104">
        <f t="shared" si="29"/>
        <v>0.77100000000000002</v>
      </c>
      <c r="J105" s="94">
        <f t="shared" si="35"/>
        <v>10913.6592</v>
      </c>
      <c r="K105" s="144"/>
      <c r="L105" s="98">
        <f t="shared" si="36"/>
        <v>14155.2</v>
      </c>
      <c r="M105" s="104">
        <f t="shared" si="30"/>
        <v>1.7492999999999999</v>
      </c>
      <c r="N105" s="94">
        <f t="shared" si="37"/>
        <v>24761.691360000001</v>
      </c>
      <c r="O105" s="144"/>
      <c r="P105" s="94">
        <f t="shared" si="31"/>
        <v>35675.350559999999</v>
      </c>
      <c r="Q105" s="85"/>
    </row>
    <row r="106" spans="2:17" x14ac:dyDescent="0.2">
      <c r="B106" s="147" t="s">
        <v>44</v>
      </c>
      <c r="C106" s="144"/>
      <c r="D106" s="98">
        <f t="shared" si="32"/>
        <v>16806.349999999999</v>
      </c>
      <c r="E106" s="104">
        <f t="shared" si="28"/>
        <v>3.1941999999999999</v>
      </c>
      <c r="F106" s="94">
        <f t="shared" si="33"/>
        <v>53682.843169999993</v>
      </c>
      <c r="G106" s="144"/>
      <c r="H106" s="98">
        <f t="shared" si="34"/>
        <v>16811.43</v>
      </c>
      <c r="I106" s="104">
        <f t="shared" si="29"/>
        <v>0.77100000000000002</v>
      </c>
      <c r="J106" s="94">
        <f t="shared" si="35"/>
        <v>12961.61253</v>
      </c>
      <c r="K106" s="144"/>
      <c r="L106" s="98">
        <f t="shared" si="36"/>
        <v>16811.43</v>
      </c>
      <c r="M106" s="104">
        <f t="shared" si="30"/>
        <v>1.7493000000000001</v>
      </c>
      <c r="N106" s="94">
        <f t="shared" si="37"/>
        <v>29408.234499000002</v>
      </c>
      <c r="O106" s="144"/>
      <c r="P106" s="94">
        <f t="shared" si="31"/>
        <v>42369.847029000004</v>
      </c>
      <c r="Q106" s="85"/>
    </row>
    <row r="107" spans="2:17" x14ac:dyDescent="0.2">
      <c r="B107" s="147" t="s">
        <v>45</v>
      </c>
      <c r="C107" s="144"/>
      <c r="D107" s="98">
        <f t="shared" si="32"/>
        <v>19578.419999999998</v>
      </c>
      <c r="E107" s="104">
        <f t="shared" si="28"/>
        <v>3.1941999999999999</v>
      </c>
      <c r="F107" s="94">
        <f t="shared" si="33"/>
        <v>62537.389163999993</v>
      </c>
      <c r="G107" s="144"/>
      <c r="H107" s="98">
        <f t="shared" si="34"/>
        <v>19614.37</v>
      </c>
      <c r="I107" s="104">
        <f t="shared" si="29"/>
        <v>0.77100000000000002</v>
      </c>
      <c r="J107" s="94">
        <f t="shared" si="35"/>
        <v>15122.679269999999</v>
      </c>
      <c r="K107" s="144"/>
      <c r="L107" s="98">
        <f t="shared" si="36"/>
        <v>19614.37</v>
      </c>
      <c r="M107" s="104">
        <f t="shared" si="30"/>
        <v>1.7493000000000001</v>
      </c>
      <c r="N107" s="94">
        <f t="shared" si="37"/>
        <v>34311.417440999998</v>
      </c>
      <c r="O107" s="144"/>
      <c r="P107" s="94">
        <f t="shared" si="31"/>
        <v>49434.096710999998</v>
      </c>
      <c r="Q107" s="85"/>
    </row>
    <row r="108" spans="2:17" x14ac:dyDescent="0.2">
      <c r="B108" s="144"/>
      <c r="C108" s="144"/>
      <c r="D108" s="144"/>
      <c r="E108" s="144"/>
      <c r="F108" s="144"/>
      <c r="G108" s="144"/>
      <c r="H108" s="144"/>
      <c r="I108" s="144"/>
      <c r="J108" s="144"/>
      <c r="K108" s="144"/>
      <c r="L108" s="144"/>
      <c r="M108" s="144"/>
      <c r="N108" s="144"/>
      <c r="O108" s="144"/>
      <c r="P108" s="94"/>
      <c r="Q108" s="85"/>
    </row>
    <row r="109" spans="2:17" ht="13.5" thickBot="1" x14ac:dyDescent="0.25">
      <c r="B109" s="252" t="s">
        <v>51</v>
      </c>
      <c r="C109" s="144"/>
      <c r="D109" s="95">
        <f>SUM(D96:D107)</f>
        <v>213165.60000000003</v>
      </c>
      <c r="E109" s="96">
        <f>IF(D109&lt;&gt;0,F109/D109,0)</f>
        <v>3.194199999999999</v>
      </c>
      <c r="F109" s="97">
        <f>SUM(F96:F107)</f>
        <v>680893.55951999989</v>
      </c>
      <c r="G109" s="144"/>
      <c r="H109" s="95">
        <f>SUM(H96:H107)</f>
        <v>213631.93</v>
      </c>
      <c r="I109" s="96">
        <f>IF(H109&lt;&gt;0,J109/H109,0)</f>
        <v>0.77100000000000013</v>
      </c>
      <c r="J109" s="97">
        <f>SUM(J96:J107)</f>
        <v>164710.21803000002</v>
      </c>
      <c r="K109" s="144"/>
      <c r="L109" s="95">
        <f>SUM(L96:L107)</f>
        <v>213631.93</v>
      </c>
      <c r="M109" s="96">
        <f>IF(L109&lt;&gt;0,N109/L109,0)</f>
        <v>1.7493000000000001</v>
      </c>
      <c r="N109" s="97">
        <f>SUM(N96:N107)</f>
        <v>373706.33514899999</v>
      </c>
      <c r="O109" s="144"/>
      <c r="P109" s="97">
        <f>SUM(P96:P107)</f>
        <v>538416.55317900004</v>
      </c>
      <c r="Q109" s="85"/>
    </row>
    <row r="110" spans="2:17" x14ac:dyDescent="0.2">
      <c r="B110" s="6"/>
      <c r="C110" s="6"/>
      <c r="D110" s="6"/>
      <c r="E110" s="6"/>
      <c r="F110" s="6"/>
      <c r="G110" s="6"/>
      <c r="H110" s="6"/>
      <c r="I110" s="6"/>
      <c r="J110" s="6"/>
      <c r="K110" s="6"/>
      <c r="L110" s="6"/>
      <c r="M110" s="6"/>
      <c r="N110" s="6"/>
      <c r="O110" s="6"/>
      <c r="P110" s="6"/>
    </row>
    <row r="111" spans="2:17" x14ac:dyDescent="0.2">
      <c r="B111" s="6"/>
      <c r="C111" s="6"/>
      <c r="D111" s="6"/>
      <c r="E111" s="6"/>
      <c r="F111" s="6"/>
      <c r="G111" s="6"/>
      <c r="H111" s="6"/>
      <c r="I111" s="6"/>
      <c r="J111" s="6"/>
      <c r="K111" s="6"/>
      <c r="L111" s="6"/>
      <c r="M111" s="6"/>
      <c r="N111" s="99" t="s">
        <v>2206</v>
      </c>
      <c r="O111" s="6"/>
      <c r="P111" s="100">
        <f>'11. RTSR - UTRs &amp; Sub-Tx'!J74</f>
        <v>0</v>
      </c>
    </row>
    <row r="112" spans="2:17" x14ac:dyDescent="0.2">
      <c r="B112" s="6"/>
      <c r="C112" s="6"/>
      <c r="D112" s="6"/>
      <c r="E112" s="6"/>
      <c r="F112" s="6"/>
      <c r="G112" s="6"/>
      <c r="H112" s="6"/>
      <c r="I112" s="6"/>
      <c r="J112" s="6"/>
      <c r="K112" s="6"/>
      <c r="L112" s="6"/>
      <c r="M112" s="6"/>
      <c r="N112" s="6"/>
      <c r="O112" s="6"/>
      <c r="P112" s="6"/>
    </row>
    <row r="113" spans="2:16" ht="13.5" thickBot="1" x14ac:dyDescent="0.25">
      <c r="B113" s="6"/>
      <c r="C113" s="6"/>
      <c r="D113" s="6"/>
      <c r="E113" s="6"/>
      <c r="F113" s="6"/>
      <c r="G113" s="6"/>
      <c r="H113" s="6"/>
      <c r="I113" s="6"/>
      <c r="J113" s="6"/>
      <c r="K113" s="6"/>
      <c r="L113" s="6"/>
      <c r="M113" s="6"/>
      <c r="N113" s="62" t="s">
        <v>2207</v>
      </c>
      <c r="O113" s="6"/>
      <c r="P113" s="97">
        <f>P109+P111</f>
        <v>538416.55317900004</v>
      </c>
    </row>
  </sheetData>
  <sheetProtection algorithmName="SHA-512" hashValue="xalaUxe/pL26UuQJDHpdb8SH/LSc79fYB6WQ1BrNkuOBk0QJlstRhyaqeqcn+f3CSyiU01JTU06azT4NQ9CoFQ==" saltValue="HF4OH6VlJOkaXX7JrDhYGw==" spinCount="100000" sheet="1" objects="1" scenarios="1"/>
  <mergeCells count="22">
    <mergeCell ref="D93:F93"/>
    <mergeCell ref="H93:J93"/>
    <mergeCell ref="L93:N93"/>
    <mergeCell ref="D73:F73"/>
    <mergeCell ref="H73:J73"/>
    <mergeCell ref="L73:N73"/>
    <mergeCell ref="D92:F92"/>
    <mergeCell ref="H92:J92"/>
    <mergeCell ref="L92:N92"/>
    <mergeCell ref="B13:P13"/>
    <mergeCell ref="D35:F35"/>
    <mergeCell ref="H35:J35"/>
    <mergeCell ref="L35:N35"/>
    <mergeCell ref="D54:F54"/>
    <mergeCell ref="H54:J54"/>
    <mergeCell ref="L54:N54"/>
    <mergeCell ref="D16:F16"/>
    <mergeCell ref="H16:J16"/>
    <mergeCell ref="L16:N16"/>
    <mergeCell ref="D17:F17"/>
    <mergeCell ref="H17:J17"/>
    <mergeCell ref="L17:N17"/>
  </mergeCells>
  <pageMargins left="0.25" right="0.25" top="0.75" bottom="0.75" header="0.3" footer="0.3"/>
  <pageSetup scale="42" orientation="portrait" r:id="rId1"/>
  <headerFooter>
    <oddFooter>&amp;C&amp;A</oddFooter>
  </headerFooter>
  <rowBreaks count="1" manualBreakCount="1">
    <brk id="72" max="15" man="1"/>
  </rowBreaks>
  <colBreaks count="1" manualBreakCount="1">
    <brk id="24" max="72"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3:J56"/>
  <sheetViews>
    <sheetView showGridLines="0" topLeftCell="B16" workbookViewId="0">
      <selection activeCell="B31" sqref="A31:XFD31"/>
    </sheetView>
  </sheetViews>
  <sheetFormatPr defaultColWidth="9.140625" defaultRowHeight="12.75" x14ac:dyDescent="0.2"/>
  <cols>
    <col min="1" max="1" width="56.7109375" style="60" customWidth="1"/>
    <col min="2" max="2" width="79.85546875" style="60" customWidth="1"/>
    <col min="3" max="3" width="9.140625" style="274"/>
    <col min="4" max="4" width="16.140625" style="274" customWidth="1"/>
    <col min="5" max="5" width="17.42578125" style="274" customWidth="1"/>
    <col min="6" max="6" width="16.140625" style="274" customWidth="1"/>
    <col min="7" max="7" width="14.5703125" style="274" customWidth="1"/>
    <col min="8" max="8" width="11.5703125" style="274" customWidth="1"/>
    <col min="9" max="9" width="14.28515625" style="274" customWidth="1"/>
    <col min="10" max="10" width="14.42578125" style="274" customWidth="1"/>
    <col min="11" max="16384" width="9.140625" style="60"/>
  </cols>
  <sheetData>
    <row r="3" spans="1:10" x14ac:dyDescent="0.2">
      <c r="D3" s="275"/>
      <c r="E3" s="276"/>
      <c r="F3" s="276"/>
      <c r="G3" s="276"/>
      <c r="H3" s="277"/>
      <c r="I3" s="276"/>
      <c r="J3" s="275"/>
    </row>
    <row r="4" spans="1:10" x14ac:dyDescent="0.2">
      <c r="D4" s="275"/>
      <c r="E4" s="276"/>
      <c r="F4" s="276"/>
      <c r="G4" s="276"/>
      <c r="H4" s="277"/>
      <c r="I4" s="276"/>
      <c r="J4" s="275"/>
    </row>
    <row r="5" spans="1:10" x14ac:dyDescent="0.2">
      <c r="D5" s="275"/>
      <c r="E5" s="276"/>
      <c r="F5" s="276"/>
      <c r="G5" s="276"/>
      <c r="H5" s="277"/>
      <c r="I5" s="276"/>
      <c r="J5" s="275"/>
    </row>
    <row r="6" spans="1:10" x14ac:dyDescent="0.2">
      <c r="D6" s="275"/>
      <c r="E6" s="276"/>
      <c r="F6" s="276"/>
      <c r="G6" s="276"/>
      <c r="H6" s="277"/>
      <c r="I6" s="276"/>
      <c r="J6" s="275"/>
    </row>
    <row r="7" spans="1:10" x14ac:dyDescent="0.2">
      <c r="D7" s="275"/>
      <c r="E7" s="276"/>
      <c r="F7" s="276"/>
      <c r="G7" s="276"/>
      <c r="H7" s="277"/>
      <c r="I7" s="276"/>
      <c r="J7" s="275"/>
    </row>
    <row r="8" spans="1:10" x14ac:dyDescent="0.2">
      <c r="D8" s="275"/>
      <c r="E8" s="276"/>
      <c r="F8" s="276"/>
      <c r="G8" s="276"/>
      <c r="H8" s="277"/>
      <c r="I8" s="276"/>
      <c r="J8" s="275"/>
    </row>
    <row r="9" spans="1:10" x14ac:dyDescent="0.2">
      <c r="D9" s="275"/>
      <c r="E9" s="276"/>
      <c r="F9" s="276"/>
      <c r="G9" s="276"/>
      <c r="H9" s="277"/>
      <c r="I9" s="276"/>
      <c r="J9" s="275"/>
    </row>
    <row r="10" spans="1:10" x14ac:dyDescent="0.2">
      <c r="D10" s="275"/>
      <c r="E10" s="276"/>
      <c r="F10" s="276"/>
      <c r="G10" s="276"/>
      <c r="H10" s="277"/>
      <c r="I10" s="276"/>
      <c r="J10" s="275"/>
    </row>
    <row r="11" spans="1:10" x14ac:dyDescent="0.2">
      <c r="D11" s="275"/>
      <c r="E11" s="276"/>
      <c r="F11" s="276"/>
      <c r="G11" s="276"/>
      <c r="H11" s="277"/>
      <c r="I11" s="276"/>
      <c r="J11" s="275"/>
    </row>
    <row r="12" spans="1:10" x14ac:dyDescent="0.2">
      <c r="D12" s="275"/>
      <c r="E12" s="276"/>
      <c r="F12" s="276"/>
      <c r="G12" s="276"/>
      <c r="H12" s="277"/>
      <c r="I12" s="276"/>
      <c r="J12" s="275"/>
    </row>
    <row r="13" spans="1:10" ht="15.75" x14ac:dyDescent="0.25">
      <c r="A13" s="171" t="s">
        <v>1639</v>
      </c>
      <c r="D13" s="275"/>
      <c r="E13" s="276"/>
      <c r="F13" s="276"/>
      <c r="G13" s="276"/>
      <c r="H13" s="277"/>
      <c r="I13" s="276"/>
      <c r="J13" s="275"/>
    </row>
    <row r="14" spans="1:10" x14ac:dyDescent="0.2">
      <c r="D14" s="275"/>
      <c r="E14" s="276"/>
      <c r="F14" s="276"/>
      <c r="G14" s="276"/>
      <c r="H14" s="277"/>
      <c r="I14" s="276"/>
      <c r="J14" s="275"/>
    </row>
    <row r="15" spans="1:10" ht="47.25" x14ac:dyDescent="0.2">
      <c r="A15" s="1348" t="s">
        <v>52</v>
      </c>
      <c r="B15" s="1348" t="s">
        <v>148</v>
      </c>
      <c r="C15" s="1349" t="s">
        <v>53</v>
      </c>
      <c r="D15" s="1063" t="s">
        <v>6047</v>
      </c>
      <c r="E15" s="1350" t="s">
        <v>447</v>
      </c>
      <c r="F15" s="1350" t="s">
        <v>6048</v>
      </c>
      <c r="G15" s="1350" t="s">
        <v>6091</v>
      </c>
      <c r="H15" s="1353" t="s">
        <v>6092</v>
      </c>
      <c r="I15" s="1350" t="s">
        <v>6093</v>
      </c>
      <c r="J15" s="1063" t="s">
        <v>6094</v>
      </c>
    </row>
    <row r="17" spans="1:10" x14ac:dyDescent="0.2">
      <c r="A17" s="60" t="s">
        <v>6928</v>
      </c>
      <c r="B17" s="60" t="s">
        <v>4815</v>
      </c>
      <c r="C17" s="274" t="s">
        <v>24</v>
      </c>
      <c r="D17" s="275">
        <v>6.3E-3</v>
      </c>
      <c r="E17" s="1579">
        <v>42604718.916500002</v>
      </c>
      <c r="F17" s="1579">
        <v>0</v>
      </c>
      <c r="G17" s="1579">
        <f>IF(ISERROR(D17*E17), 0, ROUND(D17*E17, 2))</f>
        <v>268409.73</v>
      </c>
      <c r="H17" s="1580">
        <f t="shared" ref="H17:H23" si="0">G17/675031.6</f>
        <v>0.39762542968358811</v>
      </c>
      <c r="I17" s="1579">
        <f t="shared" ref="I17:I23" si="1">H17*total_current_wholesale_network</f>
        <v>270740.59417292773</v>
      </c>
      <c r="J17" s="275">
        <f>IF(ISERROR(I17/E17), 0, I17/E17)</f>
        <v>6.3547090805491742E-3</v>
      </c>
    </row>
    <row r="18" spans="1:10" x14ac:dyDescent="0.2">
      <c r="A18" s="60" t="s">
        <v>6932</v>
      </c>
      <c r="B18" s="60" t="s">
        <v>4815</v>
      </c>
      <c r="C18" s="274" t="s">
        <v>24</v>
      </c>
      <c r="D18" s="275">
        <v>5.7999999999999996E-3</v>
      </c>
      <c r="E18" s="1579">
        <v>21439388.043700002</v>
      </c>
      <c r="F18" s="1579">
        <v>0</v>
      </c>
      <c r="G18" s="1579">
        <f>IF(ISERROR(D18*E18), 0, ROUND(D18*E18, 2))</f>
        <v>124348.45</v>
      </c>
      <c r="H18" s="1580">
        <f t="shared" si="0"/>
        <v>0.18421130210793094</v>
      </c>
      <c r="I18" s="1579">
        <f t="shared" si="1"/>
        <v>125428.28919608315</v>
      </c>
      <c r="J18" s="275">
        <f>IF(ISERROR(I18/E18), 0, I18/E18)</f>
        <v>5.8503670412803806E-3</v>
      </c>
    </row>
    <row r="19" spans="1:10" x14ac:dyDescent="0.2">
      <c r="A19" s="60" t="s">
        <v>6933</v>
      </c>
      <c r="B19" s="60" t="s">
        <v>4815</v>
      </c>
      <c r="C19" s="274" t="s">
        <v>33</v>
      </c>
      <c r="D19" s="275">
        <v>2.4327000000000001</v>
      </c>
      <c r="E19" s="1579"/>
      <c r="F19" s="1579">
        <v>101080.09999999999</v>
      </c>
      <c r="G19" s="1579">
        <f>IF(ISERROR(D19*F19), 0, ROUND(D19*F19, 2))</f>
        <v>245897.56</v>
      </c>
      <c r="H19" s="1580">
        <f t="shared" si="0"/>
        <v>0.3642756279854158</v>
      </c>
      <c r="I19" s="1579">
        <f t="shared" si="1"/>
        <v>248032.92898537306</v>
      </c>
      <c r="J19" s="275">
        <f>IF(ISERROR(I19/F19), 0, I19/F19)</f>
        <v>2.4538255204078059</v>
      </c>
    </row>
    <row r="20" spans="1:10" x14ac:dyDescent="0.2">
      <c r="A20" s="60" t="s">
        <v>6933</v>
      </c>
      <c r="B20" s="60" t="s">
        <v>4821</v>
      </c>
      <c r="C20" s="274" t="s">
        <v>33</v>
      </c>
      <c r="D20" s="275">
        <v>2.7179000000000002</v>
      </c>
      <c r="E20" s="1579"/>
      <c r="F20" s="1579">
        <v>10624.1</v>
      </c>
      <c r="G20" s="1579">
        <f>IF(ISERROR(D20*F20), 0, ROUND(D20*F20, 2))</f>
        <v>28875.24</v>
      </c>
      <c r="H20" s="1580">
        <f t="shared" si="0"/>
        <v>4.2776130776692532E-2</v>
      </c>
      <c r="I20" s="1579">
        <f t="shared" si="1"/>
        <v>29125.991947035196</v>
      </c>
      <c r="J20" s="275">
        <f>IF(ISERROR(I20/F20), 0, I20/F20)</f>
        <v>2.7415020516594528</v>
      </c>
    </row>
    <row r="21" spans="1:10" x14ac:dyDescent="0.2">
      <c r="A21" s="60" t="s">
        <v>6929</v>
      </c>
      <c r="B21" s="60" t="s">
        <v>4815</v>
      </c>
      <c r="C21" s="274" t="s">
        <v>24</v>
      </c>
      <c r="D21" s="275">
        <v>5.7999999999999996E-3</v>
      </c>
      <c r="E21" s="1579">
        <v>583249.04430000007</v>
      </c>
      <c r="F21" s="1579">
        <v>0</v>
      </c>
      <c r="G21" s="1579">
        <f>IF(ISERROR(D21*E21), 0, ROUND(D21*E21, 2))</f>
        <v>3382.84</v>
      </c>
      <c r="H21" s="1580">
        <f t="shared" si="0"/>
        <v>5.0113802079784124E-3</v>
      </c>
      <c r="I21" s="1579">
        <f t="shared" si="1"/>
        <v>3412.2165079184988</v>
      </c>
      <c r="J21" s="275">
        <f>IF(ISERROR(I21/E21), 0, I21/E21)</f>
        <v>5.8503593640924865E-3</v>
      </c>
    </row>
    <row r="22" spans="1:10" x14ac:dyDescent="0.2">
      <c r="A22" s="60" t="s">
        <v>6930</v>
      </c>
      <c r="B22" s="60" t="s">
        <v>221</v>
      </c>
      <c r="C22" s="274" t="s">
        <v>33</v>
      </c>
      <c r="D22" s="275">
        <v>1.8439000000000001</v>
      </c>
      <c r="E22" s="1579"/>
      <c r="F22" s="1579">
        <v>298</v>
      </c>
      <c r="G22" s="1579">
        <f>IF(ISERROR(D22*F22), 0, ROUND(D22*F22, 2))</f>
        <v>549.48</v>
      </c>
      <c r="H22" s="1580">
        <f t="shared" si="0"/>
        <v>8.1400633688852493E-4</v>
      </c>
      <c r="I22" s="1579">
        <f t="shared" si="1"/>
        <v>554.25167219586399</v>
      </c>
      <c r="J22" s="275">
        <f>IF(ISERROR(I22/F22), 0, I22/F22)</f>
        <v>1.8599049402545771</v>
      </c>
    </row>
    <row r="23" spans="1:10" x14ac:dyDescent="0.2">
      <c r="A23" s="60" t="s">
        <v>6931</v>
      </c>
      <c r="B23" s="60" t="s">
        <v>4815</v>
      </c>
      <c r="C23" s="274" t="s">
        <v>33</v>
      </c>
      <c r="D23" s="275">
        <v>1.8346</v>
      </c>
      <c r="E23" s="1579"/>
      <c r="F23" s="1579">
        <v>1945</v>
      </c>
      <c r="G23" s="1579">
        <f>IF(ISERROR(D23*F23), 0, ROUND(D23*F23, 2))</f>
        <v>3568.3</v>
      </c>
      <c r="H23" s="1580">
        <f t="shared" si="0"/>
        <v>5.2861229015056486E-3</v>
      </c>
      <c r="I23" s="1579">
        <f t="shared" si="1"/>
        <v>3599.2870384663711</v>
      </c>
      <c r="J23" s="275">
        <f>IF(ISERROR(I23/F23), 0, I23/F23)</f>
        <v>1.850533181730782</v>
      </c>
    </row>
    <row r="25" spans="1:10" ht="15.75" x14ac:dyDescent="0.25">
      <c r="A25" s="171" t="s">
        <v>6936</v>
      </c>
    </row>
    <row r="26" spans="1:10" ht="47.25" x14ac:dyDescent="0.2">
      <c r="A26" s="1348" t="s">
        <v>52</v>
      </c>
      <c r="B26" s="1348" t="s">
        <v>148</v>
      </c>
      <c r="C26" s="1349" t="s">
        <v>53</v>
      </c>
      <c r="D26" s="1063" t="s">
        <v>6934</v>
      </c>
      <c r="E26" s="1350" t="s">
        <v>447</v>
      </c>
      <c r="F26" s="1350" t="s">
        <v>6048</v>
      </c>
      <c r="G26" s="1350" t="s">
        <v>6091</v>
      </c>
      <c r="H26" s="1353" t="s">
        <v>6092</v>
      </c>
      <c r="I26" s="1350" t="s">
        <v>6093</v>
      </c>
      <c r="J26" s="1063" t="s">
        <v>6935</v>
      </c>
    </row>
    <row r="28" spans="1:10" x14ac:dyDescent="0.2">
      <c r="A28" s="60" t="s">
        <v>6928</v>
      </c>
      <c r="B28" s="60" t="s">
        <v>3628</v>
      </c>
      <c r="C28" s="274" t="s">
        <v>24</v>
      </c>
      <c r="D28" s="275">
        <v>5.1000000000000004E-3</v>
      </c>
      <c r="E28" s="1579">
        <v>42604718.916500002</v>
      </c>
      <c r="F28" s="1579">
        <v>0</v>
      </c>
      <c r="G28" s="1579">
        <f>IF(ISERROR(D28*E28), 0, ROUND(D28*E28, 2))</f>
        <v>217284.07</v>
      </c>
      <c r="H28" s="1580">
        <f t="shared" ref="H28:H34" si="2">G28/535505.32</f>
        <v>0.40575520332832554</v>
      </c>
      <c r="I28" s="1579">
        <f t="shared" ref="I28:I34" si="3">H28*Total_Current_Wholesale_Lineplus</f>
        <v>218465.31801048137</v>
      </c>
      <c r="J28" s="275">
        <f>IF(ISERROR(I28/E28), 0, I28/E28)</f>
        <v>5.127725838037952E-3</v>
      </c>
    </row>
    <row r="29" spans="1:10" x14ac:dyDescent="0.2">
      <c r="A29" s="60" t="s">
        <v>6932</v>
      </c>
      <c r="B29" s="60" t="s">
        <v>3628</v>
      </c>
      <c r="C29" s="274" t="s">
        <v>24</v>
      </c>
      <c r="D29" s="275">
        <v>4.7000000000000002E-3</v>
      </c>
      <c r="E29" s="1579">
        <v>21439388.043700002</v>
      </c>
      <c r="F29" s="1579">
        <v>0</v>
      </c>
      <c r="G29" s="1579">
        <f>IF(ISERROR(D29*E29), 0, ROUND(D29*E29, 2))</f>
        <v>100765.12</v>
      </c>
      <c r="H29" s="1580">
        <f t="shared" si="2"/>
        <v>0.18816828934584628</v>
      </c>
      <c r="I29" s="1579">
        <f t="shared" si="3"/>
        <v>101312.92176717932</v>
      </c>
      <c r="J29" s="275">
        <f>IF(ISERROR(I29/E29), 0, I29/E29)</f>
        <v>4.7255510073642365E-3</v>
      </c>
    </row>
    <row r="30" spans="1:10" x14ac:dyDescent="0.2">
      <c r="A30" s="60" t="s">
        <v>6933</v>
      </c>
      <c r="B30" s="60" t="s">
        <v>217</v>
      </c>
      <c r="C30" s="274" t="s">
        <v>33</v>
      </c>
      <c r="D30" s="275">
        <v>1.8726</v>
      </c>
      <c r="E30" s="1579"/>
      <c r="F30" s="1579">
        <v>101080.09999999999</v>
      </c>
      <c r="G30" s="1579">
        <f>IF(ISERROR(D30*F30), 0, ROUND(D30*F30, 2))</f>
        <v>189282.6</v>
      </c>
      <c r="H30" s="1580">
        <f t="shared" si="2"/>
        <v>0.35346539601137861</v>
      </c>
      <c r="I30" s="1579">
        <f t="shared" si="3"/>
        <v>190311.62018849674</v>
      </c>
      <c r="J30" s="275">
        <f>IF(ISERROR(I30/F30), 0, I30/F30)</f>
        <v>1.8827802919515984</v>
      </c>
    </row>
    <row r="31" spans="1:10" x14ac:dyDescent="0.2">
      <c r="A31" s="60" t="s">
        <v>6933</v>
      </c>
      <c r="B31" s="60" t="s">
        <v>219</v>
      </c>
      <c r="C31" s="274" t="s">
        <v>33</v>
      </c>
      <c r="D31" s="275">
        <v>2.0872999999999999</v>
      </c>
      <c r="E31" s="1579"/>
      <c r="F31" s="1579">
        <v>10624.1</v>
      </c>
      <c r="G31" s="1579">
        <f>IF(ISERROR(D31*F31), 0, ROUND(D31*F31, 2))</f>
        <v>22175.68</v>
      </c>
      <c r="H31" s="1580">
        <f t="shared" si="2"/>
        <v>4.1410755732548099E-2</v>
      </c>
      <c r="I31" s="1579">
        <f t="shared" si="3"/>
        <v>22296.236366056066</v>
      </c>
      <c r="J31" s="275">
        <f>IF(ISERROR(I31/F31), 0, I31/F31)</f>
        <v>2.0986470727926192</v>
      </c>
    </row>
    <row r="32" spans="1:10" x14ac:dyDescent="0.2">
      <c r="A32" s="60" t="s">
        <v>6929</v>
      </c>
      <c r="B32" s="60" t="s">
        <v>3628</v>
      </c>
      <c r="C32" s="274" t="s">
        <v>24</v>
      </c>
      <c r="D32" s="275">
        <v>4.7000000000000002E-3</v>
      </c>
      <c r="E32" s="1579">
        <v>583249.04430000007</v>
      </c>
      <c r="F32" s="1579">
        <v>0</v>
      </c>
      <c r="G32" s="1579">
        <f>IF(ISERROR(D32*E32), 0, ROUND(D32*E32, 2))</f>
        <v>2741.27</v>
      </c>
      <c r="H32" s="1580">
        <f t="shared" si="2"/>
        <v>5.1190341115565389E-3</v>
      </c>
      <c r="I32" s="1579">
        <f t="shared" si="3"/>
        <v>2756.1727019499963</v>
      </c>
      <c r="J32" s="275">
        <f>IF(ISERROR(I32/E32), 0, I32/E32)</f>
        <v>4.72555030974441E-3</v>
      </c>
    </row>
    <row r="33" spans="1:10" x14ac:dyDescent="0.2">
      <c r="A33" s="60" t="s">
        <v>6930</v>
      </c>
      <c r="B33" s="60" t="s">
        <v>3628</v>
      </c>
      <c r="C33" s="274" t="s">
        <v>33</v>
      </c>
      <c r="D33" s="275">
        <v>1.4779</v>
      </c>
      <c r="E33" s="1579"/>
      <c r="F33" s="1579">
        <v>298</v>
      </c>
      <c r="G33" s="1579">
        <f>IF(ISERROR(D33*F33), 0, ROUND(D33*F33, 2))</f>
        <v>440.41</v>
      </c>
      <c r="H33" s="1580">
        <f t="shared" si="2"/>
        <v>8.2241946727998902E-4</v>
      </c>
      <c r="I33" s="1579">
        <f t="shared" si="3"/>
        <v>442.80425484020111</v>
      </c>
      <c r="J33" s="275">
        <f>IF(ISERROR(I33/F33), 0, I33/F33)</f>
        <v>1.4859203182557084</v>
      </c>
    </row>
    <row r="34" spans="1:10" x14ac:dyDescent="0.2">
      <c r="A34" s="60" t="s">
        <v>6931</v>
      </c>
      <c r="B34" s="60" t="s">
        <v>3628</v>
      </c>
      <c r="C34" s="274" t="s">
        <v>33</v>
      </c>
      <c r="D34" s="275">
        <v>1.4479</v>
      </c>
      <c r="E34" s="1579"/>
      <c r="F34" s="1579">
        <v>1945</v>
      </c>
      <c r="G34" s="1579">
        <f>IF(ISERROR(D34*F34), 0, ROUND(D34*F34, 2))</f>
        <v>2816.17</v>
      </c>
      <c r="H34" s="1580">
        <f t="shared" si="2"/>
        <v>5.2589020030650684E-3</v>
      </c>
      <c r="I34" s="1579">
        <f t="shared" si="3"/>
        <v>2831.479889996433</v>
      </c>
      <c r="J34" s="275">
        <f>IF(ISERROR(I34/F34), 0, I34/F34)</f>
        <v>1.4557737223632046</v>
      </c>
    </row>
    <row r="36" spans="1:10" ht="15.75" x14ac:dyDescent="0.25">
      <c r="A36" s="171" t="s">
        <v>6939</v>
      </c>
    </row>
    <row r="37" spans="1:10" ht="47.25" x14ac:dyDescent="0.2">
      <c r="A37" s="1348" t="s">
        <v>52</v>
      </c>
      <c r="B37" s="1348" t="s">
        <v>148</v>
      </c>
      <c r="C37" s="1349" t="s">
        <v>53</v>
      </c>
      <c r="D37" s="1063" t="s">
        <v>6937</v>
      </c>
      <c r="E37" s="1350" t="s">
        <v>447</v>
      </c>
      <c r="F37" s="1350" t="s">
        <v>6048</v>
      </c>
      <c r="G37" s="1350" t="s">
        <v>6091</v>
      </c>
      <c r="H37" s="1353" t="s">
        <v>6092</v>
      </c>
      <c r="I37" s="1350" t="s">
        <v>6093</v>
      </c>
      <c r="J37" s="1063" t="s">
        <v>6938</v>
      </c>
    </row>
    <row r="39" spans="1:10" x14ac:dyDescent="0.2">
      <c r="A39" s="60" t="s">
        <v>6928</v>
      </c>
      <c r="B39" s="60" t="s">
        <v>4815</v>
      </c>
      <c r="C39" s="274" t="s">
        <v>24</v>
      </c>
      <c r="D39" s="275">
        <v>6.3547090805491742E-3</v>
      </c>
      <c r="E39" s="1579">
        <v>42604718.916500002</v>
      </c>
      <c r="F39" s="1579">
        <v>0</v>
      </c>
      <c r="G39" s="1579">
        <f>IF(ISERROR(D39*E39), 0, ROUND(D39*E39, 2))</f>
        <v>270740.59000000003</v>
      </c>
      <c r="H39" s="1580">
        <f t="shared" ref="H39:H45" si="4">G39/680893.56</f>
        <v>0.39762542327467454</v>
      </c>
      <c r="I39" s="1579">
        <f t="shared" ref="I39:I45" si="5">H39*forecast_wholesale_network</f>
        <v>270740.58980913978</v>
      </c>
      <c r="J39" s="1581">
        <f>IF(ISERROR(I39/E39), 0, I39/E39)</f>
        <v>6.3547089781241829E-3</v>
      </c>
    </row>
    <row r="40" spans="1:10" x14ac:dyDescent="0.2">
      <c r="A40" s="60" t="s">
        <v>6932</v>
      </c>
      <c r="B40" s="60" t="s">
        <v>4815</v>
      </c>
      <c r="C40" s="274" t="s">
        <v>24</v>
      </c>
      <c r="D40" s="275">
        <v>5.8503670412803806E-3</v>
      </c>
      <c r="E40" s="1579">
        <v>21439388.043700002</v>
      </c>
      <c r="F40" s="1579">
        <v>0</v>
      </c>
      <c r="G40" s="1579">
        <f>IF(ISERROR(D40*E40), 0, ROUND(D40*E40, 2))</f>
        <v>125428.29</v>
      </c>
      <c r="H40" s="1580">
        <f t="shared" si="4"/>
        <v>0.1842113031587492</v>
      </c>
      <c r="I40" s="1579">
        <f t="shared" si="5"/>
        <v>125428.28991157854</v>
      </c>
      <c r="J40" s="1581">
        <f>IF(ISERROR(I40/E40), 0, I40/E40)</f>
        <v>5.8503670746533195E-3</v>
      </c>
    </row>
    <row r="41" spans="1:10" x14ac:dyDescent="0.2">
      <c r="A41" s="60" t="s">
        <v>6933</v>
      </c>
      <c r="B41" s="60" t="s">
        <v>4815</v>
      </c>
      <c r="C41" s="274" t="s">
        <v>33</v>
      </c>
      <c r="D41" s="275">
        <v>2.4538255204078059</v>
      </c>
      <c r="E41" s="1579"/>
      <c r="F41" s="1579">
        <v>101080.09999999999</v>
      </c>
      <c r="G41" s="1579">
        <f>IF(ISERROR(D41*F41), 0, ROUND(D41*F41, 2))</f>
        <v>248032.93</v>
      </c>
      <c r="H41" s="1580">
        <f t="shared" si="4"/>
        <v>0.36427562921875772</v>
      </c>
      <c r="I41" s="1579">
        <f t="shared" si="5"/>
        <v>248032.92982514761</v>
      </c>
      <c r="J41" s="1581">
        <f>IF(ISERROR(I41/F41), 0, I41/F41)</f>
        <v>2.4538255287158166</v>
      </c>
    </row>
    <row r="42" spans="1:10" x14ac:dyDescent="0.2">
      <c r="A42" s="60" t="s">
        <v>6933</v>
      </c>
      <c r="B42" s="60" t="s">
        <v>4821</v>
      </c>
      <c r="C42" s="274" t="s">
        <v>33</v>
      </c>
      <c r="D42" s="275">
        <v>2.7415020516594528</v>
      </c>
      <c r="E42" s="1579"/>
      <c r="F42" s="1579">
        <v>10624.1</v>
      </c>
      <c r="G42" s="1579">
        <f>IF(ISERROR(D42*F42), 0, ROUND(D42*F42, 2))</f>
        <v>29125.99</v>
      </c>
      <c r="H42" s="1580">
        <f t="shared" si="4"/>
        <v>4.277612788700777E-2</v>
      </c>
      <c r="I42" s="1579">
        <f t="shared" si="5"/>
        <v>29125.989979467453</v>
      </c>
      <c r="J42" s="1581">
        <f>IF(ISERROR(I42/F42), 0, I42/F42)</f>
        <v>2.7415018664609194</v>
      </c>
    </row>
    <row r="43" spans="1:10" x14ac:dyDescent="0.2">
      <c r="A43" s="60" t="s">
        <v>6929</v>
      </c>
      <c r="B43" s="60" t="s">
        <v>4815</v>
      </c>
      <c r="C43" s="274" t="s">
        <v>24</v>
      </c>
      <c r="D43" s="275">
        <v>5.8503593640924865E-3</v>
      </c>
      <c r="E43" s="1579">
        <v>583249.04430000007</v>
      </c>
      <c r="F43" s="1579">
        <v>0</v>
      </c>
      <c r="G43" s="1579">
        <f>IF(ISERROR(D43*E43), 0, ROUND(D43*E43, 2))</f>
        <v>3412.22</v>
      </c>
      <c r="H43" s="1580">
        <f t="shared" si="4"/>
        <v>5.0113853331202008E-3</v>
      </c>
      <c r="I43" s="1579">
        <f t="shared" si="5"/>
        <v>3412.2199975945341</v>
      </c>
      <c r="J43" s="1581">
        <f>IF(ISERROR(I43/E43), 0, I43/E43)</f>
        <v>5.8503653472588013E-3</v>
      </c>
    </row>
    <row r="44" spans="1:10" x14ac:dyDescent="0.2">
      <c r="A44" s="60" t="s">
        <v>6930</v>
      </c>
      <c r="B44" s="60" t="s">
        <v>221</v>
      </c>
      <c r="C44" s="274" t="s">
        <v>33</v>
      </c>
      <c r="D44" s="275">
        <v>1.8599049402545771</v>
      </c>
      <c r="E44" s="1579"/>
      <c r="F44" s="1579">
        <v>298</v>
      </c>
      <c r="G44" s="1579">
        <f>IF(ISERROR(D44*F44), 0, ROUND(D44*F44, 2))</f>
        <v>554.25</v>
      </c>
      <c r="H44" s="1580">
        <f t="shared" si="4"/>
        <v>8.14003880430298E-4</v>
      </c>
      <c r="I44" s="1579">
        <f t="shared" si="5"/>
        <v>554.24999960927801</v>
      </c>
      <c r="J44" s="1581">
        <f>IF(ISERROR(I44/F44), 0, I44/F44)</f>
        <v>1.8598993275479128</v>
      </c>
    </row>
    <row r="45" spans="1:10" x14ac:dyDescent="0.2">
      <c r="A45" s="60" t="s">
        <v>6931</v>
      </c>
      <c r="B45" s="60" t="s">
        <v>4815</v>
      </c>
      <c r="C45" s="274" t="s">
        <v>33</v>
      </c>
      <c r="D45" s="275">
        <v>1.850533181730782</v>
      </c>
      <c r="E45" s="1579"/>
      <c r="F45" s="1579">
        <v>1945</v>
      </c>
      <c r="G45" s="1579">
        <f>IF(ISERROR(D45*F45), 0, ROUND(D45*F45, 2))</f>
        <v>3599.29</v>
      </c>
      <c r="H45" s="1580">
        <f t="shared" si="4"/>
        <v>5.2861272472602026E-3</v>
      </c>
      <c r="I45" s="1579">
        <f t="shared" si="5"/>
        <v>3599.289997462658</v>
      </c>
      <c r="J45" s="1581">
        <f>IF(ISERROR(I45/F45), 0, I45/F45)</f>
        <v>1.8505347030656338</v>
      </c>
    </row>
    <row r="47" spans="1:10" ht="15.75" x14ac:dyDescent="0.25">
      <c r="A47" s="171" t="s">
        <v>6941</v>
      </c>
    </row>
    <row r="48" spans="1:10" ht="47.25" x14ac:dyDescent="0.2">
      <c r="A48" s="1348" t="s">
        <v>52</v>
      </c>
      <c r="B48" s="1348" t="s">
        <v>148</v>
      </c>
      <c r="C48" s="1349" t="s">
        <v>53</v>
      </c>
      <c r="D48" s="1063" t="s">
        <v>6935</v>
      </c>
      <c r="E48" s="1350" t="s">
        <v>447</v>
      </c>
      <c r="F48" s="1350" t="s">
        <v>6048</v>
      </c>
      <c r="G48" s="1350" t="s">
        <v>6091</v>
      </c>
      <c r="H48" s="1353" t="s">
        <v>6092</v>
      </c>
      <c r="I48" s="1350" t="s">
        <v>6093</v>
      </c>
      <c r="J48" s="1063" t="s">
        <v>6940</v>
      </c>
    </row>
    <row r="50" spans="1:10" x14ac:dyDescent="0.2">
      <c r="A50" s="60" t="s">
        <v>6928</v>
      </c>
      <c r="B50" s="60" t="s">
        <v>3628</v>
      </c>
      <c r="C50" s="274" t="s">
        <v>24</v>
      </c>
      <c r="D50" s="275">
        <v>5.127725838037952E-3</v>
      </c>
      <c r="E50" s="1579">
        <v>42604718.916500002</v>
      </c>
      <c r="F50" s="1579">
        <v>0</v>
      </c>
      <c r="G50" s="1579">
        <f>IF(ISERROR(D50*E50), 0, ROUND(D50*E50, 2))</f>
        <v>218465.32</v>
      </c>
      <c r="H50" s="1580">
        <f t="shared" ref="H50:H56" si="6">G50/538416.55</f>
        <v>0.40575520941917553</v>
      </c>
      <c r="I50" s="1579">
        <f t="shared" ref="I50:I56" si="7">H50*forecast_wholesale_lineplus</f>
        <v>218465.32128989583</v>
      </c>
      <c r="J50" s="1581">
        <f>IF(ISERROR(I50/E50), 0, I50/E50)</f>
        <v>5.1277259150109859E-3</v>
      </c>
    </row>
    <row r="51" spans="1:10" x14ac:dyDescent="0.2">
      <c r="A51" s="60" t="s">
        <v>6932</v>
      </c>
      <c r="B51" s="60" t="s">
        <v>3628</v>
      </c>
      <c r="C51" s="274" t="s">
        <v>24</v>
      </c>
      <c r="D51" s="275">
        <v>4.7255510073642365E-3</v>
      </c>
      <c r="E51" s="1579">
        <v>21439388.043700002</v>
      </c>
      <c r="F51" s="1579">
        <v>0</v>
      </c>
      <c r="G51" s="1579">
        <f>IF(ISERROR(D51*E51), 0, ROUND(D51*E51, 2))</f>
        <v>101312.92</v>
      </c>
      <c r="H51" s="1580">
        <f t="shared" si="6"/>
        <v>0.18816828717467915</v>
      </c>
      <c r="I51" s="1579">
        <f t="shared" si="7"/>
        <v>101312.92059818699</v>
      </c>
      <c r="J51" s="1581">
        <f>IF(ISERROR(I51/E51), 0, I51/E51)</f>
        <v>4.7255509528387847E-3</v>
      </c>
    </row>
    <row r="52" spans="1:10" x14ac:dyDescent="0.2">
      <c r="A52" s="60" t="s">
        <v>6933</v>
      </c>
      <c r="B52" s="60" t="s">
        <v>217</v>
      </c>
      <c r="C52" s="274" t="s">
        <v>33</v>
      </c>
      <c r="D52" s="275">
        <v>1.8827802919515984</v>
      </c>
      <c r="E52" s="1579"/>
      <c r="F52" s="1579">
        <v>101080.09999999999</v>
      </c>
      <c r="G52" s="1579">
        <f>IF(ISERROR(D52*F52), 0, ROUND(D52*F52, 2))</f>
        <v>190311.62</v>
      </c>
      <c r="H52" s="1580">
        <f t="shared" si="6"/>
        <v>0.35346539774826752</v>
      </c>
      <c r="I52" s="1579">
        <f t="shared" si="7"/>
        <v>190311.62112366647</v>
      </c>
      <c r="J52" s="1581">
        <f>IF(ISERROR(I52/F52), 0, I52/F52)</f>
        <v>1.8827803012033673</v>
      </c>
    </row>
    <row r="53" spans="1:10" x14ac:dyDescent="0.2">
      <c r="A53" s="60" t="s">
        <v>6933</v>
      </c>
      <c r="B53" s="60" t="s">
        <v>219</v>
      </c>
      <c r="C53" s="274" t="s">
        <v>33</v>
      </c>
      <c r="D53" s="275">
        <v>2.0986470727926192</v>
      </c>
      <c r="E53" s="1579"/>
      <c r="F53" s="1579">
        <v>10624.1</v>
      </c>
      <c r="G53" s="1579">
        <f>IF(ISERROR(D53*F53), 0, ROUND(D53*F53, 2))</f>
        <v>22296.240000000002</v>
      </c>
      <c r="H53" s="1580">
        <f t="shared" si="6"/>
        <v>4.1410762726368643E-2</v>
      </c>
      <c r="I53" s="1579">
        <f t="shared" si="7"/>
        <v>22296.240131644816</v>
      </c>
      <c r="J53" s="1581">
        <f>IF(ISERROR(I53/F53), 0, I53/F53)</f>
        <v>2.0986474272309952</v>
      </c>
    </row>
    <row r="54" spans="1:10" x14ac:dyDescent="0.2">
      <c r="A54" s="60" t="s">
        <v>6929</v>
      </c>
      <c r="B54" s="60" t="s">
        <v>3628</v>
      </c>
      <c r="C54" s="274" t="s">
        <v>24</v>
      </c>
      <c r="D54" s="275">
        <v>4.72555030974441E-3</v>
      </c>
      <c r="E54" s="1579">
        <v>583249.04430000007</v>
      </c>
      <c r="F54" s="1579">
        <v>0</v>
      </c>
      <c r="G54" s="1579">
        <f>IF(ISERROR(D54*E54), 0, ROUND(D54*E54, 2))</f>
        <v>2756.17</v>
      </c>
      <c r="H54" s="1580">
        <f t="shared" si="6"/>
        <v>5.1190291234546933E-3</v>
      </c>
      <c r="I54" s="1579">
        <f t="shared" si="7"/>
        <v>2756.1700162733937</v>
      </c>
      <c r="J54" s="1581">
        <f>IF(ISERROR(I54/E54), 0, I54/E54)</f>
        <v>4.7255457050620212E-3</v>
      </c>
    </row>
    <row r="55" spans="1:10" x14ac:dyDescent="0.2">
      <c r="A55" s="60" t="s">
        <v>6930</v>
      </c>
      <c r="B55" s="60" t="s">
        <v>3628</v>
      </c>
      <c r="C55" s="274" t="s">
        <v>33</v>
      </c>
      <c r="D55" s="275">
        <v>1.4859203182557084</v>
      </c>
      <c r="E55" s="1579"/>
      <c r="F55" s="1579">
        <v>298</v>
      </c>
      <c r="G55" s="1579">
        <f>IF(ISERROR(D55*F55), 0, ROUND(D55*F55, 2))</f>
        <v>442.8</v>
      </c>
      <c r="H55" s="1580">
        <f t="shared" si="6"/>
        <v>8.224115696294996E-4</v>
      </c>
      <c r="I55" s="1579">
        <f t="shared" si="7"/>
        <v>442.80000261444638</v>
      </c>
      <c r="J55" s="1581">
        <f>IF(ISERROR(I55/F55), 0, I55/F55)</f>
        <v>1.4859060490417664</v>
      </c>
    </row>
    <row r="56" spans="1:10" x14ac:dyDescent="0.2">
      <c r="A56" s="60" t="s">
        <v>6931</v>
      </c>
      <c r="B56" s="60" t="s">
        <v>3628</v>
      </c>
      <c r="C56" s="274" t="s">
        <v>33</v>
      </c>
      <c r="D56" s="275">
        <v>1.4557737223632046</v>
      </c>
      <c r="E56" s="1579"/>
      <c r="F56" s="1579">
        <v>1945</v>
      </c>
      <c r="G56" s="1579">
        <f>IF(ISERROR(D56*F56), 0, ROUND(D56*F56, 2))</f>
        <v>2831.48</v>
      </c>
      <c r="H56" s="1580">
        <f t="shared" si="6"/>
        <v>5.2589022384248773E-3</v>
      </c>
      <c r="I56" s="1579">
        <f t="shared" si="7"/>
        <v>2831.4800167180501</v>
      </c>
      <c r="J56" s="1581">
        <f>IF(ISERROR(I56/F56), 0, I56/F56)</f>
        <v>1.4557737875157071</v>
      </c>
    </row>
  </sheetData>
  <sheetProtection algorithmName="SHA-512" hashValue="MrPJtkbmiDXC0gRxs/myXU+GY/iUOUnp+0Qya5puH/ANLilVJM4VUMGuCjOiuIuotNQtobHc4xM2q5F8ooAGQA==" saltValue="hHPCKg8YEwDgijPR555W1Q==" spinCount="100000" sheet="1" objects="1" scenarios="1"/>
  <pageMargins left="0.25" right="0.25" top="0.75" bottom="0.75" header="0.3" footer="0.3"/>
  <pageSetup scale="40" orientation="portrait" r:id="rId1"/>
  <headerFooter>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C100"/>
  <sheetViews>
    <sheetView showGridLines="0" tabSelected="1" topLeftCell="A5" zoomScaleNormal="100" workbookViewId="0">
      <selection activeCell="F14" sqref="F14"/>
    </sheetView>
  </sheetViews>
  <sheetFormatPr defaultColWidth="9.140625" defaultRowHeight="15" x14ac:dyDescent="0.25"/>
  <cols>
    <col min="1" max="1" width="56.7109375" style="22" customWidth="1"/>
    <col min="2" max="2" width="11.42578125" style="22" customWidth="1"/>
    <col min="3" max="3" width="15.5703125" style="22" customWidth="1"/>
    <col min="4" max="4" width="17.140625" style="22" customWidth="1"/>
    <col min="5" max="5" width="29.7109375" style="22" bestFit="1" customWidth="1"/>
    <col min="6" max="6" width="16.7109375" style="22" customWidth="1"/>
    <col min="7" max="7" width="18.140625" style="22" customWidth="1"/>
    <col min="8" max="8" width="14.28515625" style="22" customWidth="1"/>
    <col min="9" max="9" width="16.42578125" style="22" customWidth="1"/>
    <col min="10" max="10" width="9.140625" style="22"/>
    <col min="11" max="11" width="13.5703125" style="22" customWidth="1"/>
    <col min="12" max="12" width="13.28515625" style="22" customWidth="1"/>
    <col min="13" max="13" width="11.42578125" style="22" customWidth="1"/>
    <col min="14" max="24" width="9.140625" style="22"/>
    <col min="25" max="26" width="9.140625" style="22" hidden="1" customWidth="1"/>
    <col min="27" max="28" width="0" style="22" hidden="1" customWidth="1"/>
    <col min="29" max="16384" width="9.140625" style="22"/>
  </cols>
  <sheetData>
    <row r="1" spans="1:29" x14ac:dyDescent="0.25">
      <c r="Y1" s="22" t="b">
        <v>0</v>
      </c>
      <c r="Z1" s="22">
        <v>0</v>
      </c>
      <c r="AC1" s="278" t="s">
        <v>537</v>
      </c>
    </row>
    <row r="2" spans="1:29" x14ac:dyDescent="0.25">
      <c r="Y2" s="22" t="b">
        <v>1</v>
      </c>
    </row>
    <row r="3" spans="1:29" x14ac:dyDescent="0.25">
      <c r="K3" s="31"/>
      <c r="L3" s="27"/>
      <c r="M3" s="27"/>
    </row>
    <row r="4" spans="1:29" x14ac:dyDescent="0.25">
      <c r="I4" s="27"/>
      <c r="J4" s="27"/>
      <c r="K4" s="27"/>
      <c r="M4" s="27"/>
    </row>
    <row r="5" spans="1:29" x14ac:dyDescent="0.25">
      <c r="K5" s="27"/>
    </row>
    <row r="6" spans="1:29" x14ac:dyDescent="0.25">
      <c r="K6" s="27"/>
    </row>
    <row r="7" spans="1:29" x14ac:dyDescent="0.25">
      <c r="K7" s="27"/>
    </row>
    <row r="8" spans="1:29" x14ac:dyDescent="0.25">
      <c r="B8" s="22">
        <v>0</v>
      </c>
      <c r="K8" s="27"/>
    </row>
    <row r="9" spans="1:29" x14ac:dyDescent="0.25">
      <c r="B9" s="22">
        <v>0</v>
      </c>
    </row>
    <row r="10" spans="1:29" x14ac:dyDescent="0.25">
      <c r="B10" s="897">
        <v>0</v>
      </c>
    </row>
    <row r="11" spans="1:29" ht="35.25" customHeight="1" x14ac:dyDescent="0.25">
      <c r="A11" s="1853" t="s">
        <v>6089</v>
      </c>
      <c r="B11" s="1852"/>
      <c r="C11" s="1852"/>
      <c r="D11" s="1852"/>
      <c r="E11" s="1852"/>
      <c r="F11" s="1852"/>
      <c r="G11" s="1852"/>
      <c r="H11" s="1852"/>
      <c r="I11" s="1852"/>
    </row>
    <row r="12" spans="1:29" ht="65.25" customHeight="1" thickBot="1" x14ac:dyDescent="0.3">
      <c r="A12" s="150" t="s">
        <v>75</v>
      </c>
      <c r="B12" s="151">
        <v>1.2E-2</v>
      </c>
      <c r="C12" s="152" t="s">
        <v>76</v>
      </c>
      <c r="D12" s="153">
        <v>0</v>
      </c>
      <c r="E12" s="158" t="s">
        <v>2356</v>
      </c>
      <c r="F12" s="159">
        <v>5071</v>
      </c>
      <c r="G12" s="596" t="s">
        <v>2354</v>
      </c>
      <c r="H12" s="431">
        <v>2017</v>
      </c>
    </row>
    <row r="13" spans="1:29" ht="58.15" customHeight="1" thickBot="1" x14ac:dyDescent="0.3">
      <c r="A13" s="154" t="s">
        <v>72</v>
      </c>
      <c r="B13" s="155" t="s">
        <v>6954</v>
      </c>
      <c r="C13" s="152" t="s">
        <v>74</v>
      </c>
      <c r="D13" s="287">
        <f>B12-D12-B14</f>
        <v>9.0000000000000011E-3</v>
      </c>
      <c r="E13" s="158" t="s">
        <v>2355</v>
      </c>
      <c r="F13" s="159">
        <v>40480043</v>
      </c>
      <c r="G13" s="430" t="s">
        <v>2208</v>
      </c>
      <c r="H13" s="431">
        <v>4</v>
      </c>
      <c r="I13" s="26"/>
      <c r="J13" s="26"/>
      <c r="K13" s="26"/>
    </row>
    <row r="14" spans="1:29" s="27" customFormat="1" ht="30" customHeight="1" x14ac:dyDescent="0.25">
      <c r="A14" s="150" t="s">
        <v>73</v>
      </c>
      <c r="B14" s="156">
        <f>IF(B13="I", 0%, IF(B13="II", 0.15%, IF(B13="III", 0.3%, IF(B13="IV", 0.45%,IF(B13="V",0.6%, 0)))))</f>
        <v>3.0000000000000001E-3</v>
      </c>
      <c r="C14" s="157"/>
      <c r="D14" s="157"/>
      <c r="E14" s="161" t="s">
        <v>1640</v>
      </c>
      <c r="F14" s="618">
        <v>1</v>
      </c>
    </row>
    <row r="15" spans="1:29" s="27" customFormat="1" ht="64.5" customHeight="1" x14ac:dyDescent="0.25">
      <c r="A15" s="8" t="s">
        <v>52</v>
      </c>
      <c r="B15" s="160" t="s">
        <v>78</v>
      </c>
      <c r="C15" s="160" t="s">
        <v>80</v>
      </c>
      <c r="D15" s="160" t="s">
        <v>79</v>
      </c>
      <c r="E15" s="160" t="s">
        <v>81</v>
      </c>
      <c r="F15" s="160" t="s">
        <v>95</v>
      </c>
      <c r="G15" s="160" t="s">
        <v>82</v>
      </c>
      <c r="H15" s="160" t="s">
        <v>83</v>
      </c>
      <c r="I15" s="1027"/>
    </row>
    <row r="16" spans="1:29" x14ac:dyDescent="0.25">
      <c r="A16" s="1026"/>
      <c r="B16" s="1639"/>
      <c r="C16" s="1639"/>
      <c r="D16" s="1639"/>
      <c r="E16" s="1639"/>
      <c r="F16" s="1639"/>
      <c r="G16" s="1639"/>
      <c r="H16" s="1639"/>
      <c r="I16" s="1026"/>
    </row>
    <row r="17" spans="1:9" x14ac:dyDescent="0.25">
      <c r="A17" s="1026" t="s">
        <v>438</v>
      </c>
      <c r="B17" s="1639">
        <v>19.920000000000002</v>
      </c>
      <c r="C17" s="1583"/>
      <c r="D17" s="1639">
        <v>8.2000000000000007E-3</v>
      </c>
      <c r="E17" s="1583"/>
      <c r="F17" s="1584">
        <f>D13</f>
        <v>9.0000000000000011E-3</v>
      </c>
      <c r="G17" s="1595">
        <f>H26*(1+D13)</f>
        <v>25.598329999999997</v>
      </c>
      <c r="H17" s="1596">
        <f>H27*(1+D13)</f>
        <v>0</v>
      </c>
      <c r="I17" s="1026"/>
    </row>
    <row r="18" spans="1:9" x14ac:dyDescent="0.25">
      <c r="A18" s="1026" t="s">
        <v>3214</v>
      </c>
      <c r="B18" s="1639">
        <v>30.79</v>
      </c>
      <c r="C18" s="1587"/>
      <c r="D18" s="1639">
        <v>1.11E-2</v>
      </c>
      <c r="E18" s="1587"/>
      <c r="F18" s="1584">
        <f>D13</f>
        <v>9.0000000000000011E-3</v>
      </c>
      <c r="G18" s="1585">
        <f>(B18+C18)*(1+D13)</f>
        <v>31.067109999999996</v>
      </c>
      <c r="H18" s="1586">
        <f>(D18+E18)*(1+D13)</f>
        <v>1.1199899999999999E-2</v>
      </c>
      <c r="I18" s="1026"/>
    </row>
    <row r="19" spans="1:9" x14ac:dyDescent="0.25">
      <c r="A19" s="1026" t="s">
        <v>4819</v>
      </c>
      <c r="B19" s="1639">
        <v>293.47000000000003</v>
      </c>
      <c r="C19" s="1587"/>
      <c r="D19" s="1639">
        <v>2.2595999999999998</v>
      </c>
      <c r="E19" s="1587"/>
      <c r="F19" s="1584">
        <f>D13</f>
        <v>9.0000000000000011E-3</v>
      </c>
      <c r="G19" s="1585">
        <f>(B19+C19)*(1+D13)</f>
        <v>296.11122999999998</v>
      </c>
      <c r="H19" s="1586">
        <f>(D19+E19)*(1+D13)</f>
        <v>2.2799363999999995</v>
      </c>
      <c r="I19" s="1026"/>
    </row>
    <row r="20" spans="1:9" x14ac:dyDescent="0.25">
      <c r="A20" s="1026" t="s">
        <v>617</v>
      </c>
      <c r="B20" s="1639">
        <v>4.3499999999999996</v>
      </c>
      <c r="C20" s="1587"/>
      <c r="D20" s="1639">
        <v>1.9900000000000001E-2</v>
      </c>
      <c r="E20" s="1587"/>
      <c r="F20" s="1584">
        <f>D13</f>
        <v>9.0000000000000011E-3</v>
      </c>
      <c r="G20" s="1585">
        <f>(B20+C20)*(1+D13)</f>
        <v>4.389149999999999</v>
      </c>
      <c r="H20" s="1586">
        <f>(D20+E20)*(1+D13)</f>
        <v>2.0079099999999999E-2</v>
      </c>
      <c r="I20" s="1026"/>
    </row>
    <row r="21" spans="1:9" x14ac:dyDescent="0.25">
      <c r="A21" s="1026" t="s">
        <v>629</v>
      </c>
      <c r="B21" s="1639">
        <v>2.69</v>
      </c>
      <c r="C21" s="1587"/>
      <c r="D21" s="1639">
        <v>19.6568</v>
      </c>
      <c r="E21" s="1587"/>
      <c r="F21" s="1584">
        <f>D13</f>
        <v>9.0000000000000011E-3</v>
      </c>
      <c r="G21" s="1585">
        <f>(B21+C21)*(1+D13)</f>
        <v>2.7142099999999996</v>
      </c>
      <c r="H21" s="1586">
        <f>(D21+E21)*(1+D13)</f>
        <v>19.8337112</v>
      </c>
      <c r="I21" s="1026"/>
    </row>
    <row r="22" spans="1:9" x14ac:dyDescent="0.25">
      <c r="A22" s="1026" t="s">
        <v>615</v>
      </c>
      <c r="B22" s="1639">
        <v>3.37</v>
      </c>
      <c r="C22" s="1588"/>
      <c r="D22" s="1639">
        <v>12.857799999999999</v>
      </c>
      <c r="E22" s="1588"/>
      <c r="F22" s="1584">
        <f>D13</f>
        <v>9.0000000000000011E-3</v>
      </c>
      <c r="G22" s="1585">
        <f>(B22+C22)*(1+D13)</f>
        <v>3.4003299999999999</v>
      </c>
      <c r="H22" s="1586">
        <f>(D22+E22)*(1+D13)</f>
        <v>12.973520199999998</v>
      </c>
      <c r="I22" s="1026"/>
    </row>
    <row r="23" spans="1:9" x14ac:dyDescent="0.25">
      <c r="A23" s="1026" t="s">
        <v>618</v>
      </c>
      <c r="B23" s="1639">
        <v>17.2</v>
      </c>
      <c r="C23" s="1589"/>
      <c r="D23" s="1639"/>
      <c r="E23" s="1589"/>
      <c r="F23" s="1639"/>
      <c r="G23" s="1639">
        <f>B23</f>
        <v>17.2</v>
      </c>
      <c r="H23" s="1639"/>
      <c r="I23" s="1026"/>
    </row>
    <row r="24" spans="1:9" x14ac:dyDescent="0.25">
      <c r="A24" s="1026"/>
      <c r="B24" s="1639"/>
      <c r="C24" s="1639"/>
      <c r="D24" s="1639"/>
      <c r="E24" s="1639"/>
      <c r="F24" s="1639"/>
      <c r="G24" s="1639"/>
      <c r="H24" s="1639"/>
      <c r="I24" s="1026"/>
    </row>
    <row r="25" spans="1:9" ht="38.25" x14ac:dyDescent="0.25">
      <c r="A25" s="1590" t="s">
        <v>6942</v>
      </c>
      <c r="B25" s="1639"/>
      <c r="C25" s="1563" t="s">
        <v>6943</v>
      </c>
      <c r="D25" s="1563" t="s">
        <v>6944</v>
      </c>
      <c r="E25" s="1563" t="s">
        <v>6945</v>
      </c>
      <c r="F25" s="1563" t="s">
        <v>6946</v>
      </c>
      <c r="G25" s="1563" t="s">
        <v>6947</v>
      </c>
      <c r="H25" s="1563" t="s">
        <v>6948</v>
      </c>
      <c r="I25" s="1563" t="s">
        <v>6951</v>
      </c>
    </row>
    <row r="26" spans="1:9" x14ac:dyDescent="0.25">
      <c r="A26" s="1026" t="s">
        <v>6952</v>
      </c>
      <c r="B26" s="1586">
        <f>B17+C17</f>
        <v>19.920000000000002</v>
      </c>
      <c r="C26" s="1557">
        <f>B26*COS_RES_CUSTOMERS*12</f>
        <v>1212171.8400000001</v>
      </c>
      <c r="D26" s="1562">
        <f>IF(ISERROR(C26/C28), 0, C26/C28)</f>
        <v>0.78503037922421803</v>
      </c>
      <c r="E26" s="1562">
        <f>IF(ISERROR((1-D26)/YRS_LEFT), 0, (1-D26)/YRS_LEFT)</f>
        <v>0.21496962077578197</v>
      </c>
      <c r="F26" s="1591">
        <f>IF(ISERROR(ROUND(E26*C28/COS_RES_CUSTOMERS/12, 2)), 0, ROUND(E26*C28/COS_RES_CUSTOMERS/12, 2))</f>
        <v>5.45</v>
      </c>
      <c r="G26" s="1562">
        <f>E26+D26</f>
        <v>1</v>
      </c>
      <c r="H26" s="1592">
        <f>IF(ISERROR(ROUND(G26*C28/COS_RES_CUSTOMERS/12, 2)), 0, ROUND(G26*C28/COS_RES_CUSTOMERS/12, 2))</f>
        <v>25.37</v>
      </c>
      <c r="I26" s="1557">
        <f>ROUND(H26*COS_RES_CUSTOMERS*12, 2)</f>
        <v>1543815.24</v>
      </c>
    </row>
    <row r="27" spans="1:9" ht="15.75" thickBot="1" x14ac:dyDescent="0.3">
      <c r="A27" s="1026" t="s">
        <v>6953</v>
      </c>
      <c r="B27" s="1586">
        <f>D17+E17</f>
        <v>8.2000000000000007E-3</v>
      </c>
      <c r="C27" s="1558">
        <f>B27*COS_RES_KWH</f>
        <v>331936.35260000004</v>
      </c>
      <c r="D27" s="1562">
        <f>IF(ISERROR(C27/C28), 0, C27/C28)</f>
        <v>0.21496962077578191</v>
      </c>
      <c r="E27" s="1639"/>
      <c r="F27" s="1639"/>
      <c r="G27" s="1562">
        <f>1-G26</f>
        <v>0</v>
      </c>
      <c r="H27" s="1593">
        <f>IF(ISERROR(ROUND(G27*C28/COS_RES_KWH, 4)), 0, ROUND(G27*C28/COS_RES_KWH, 4))</f>
        <v>0</v>
      </c>
      <c r="I27" s="1558">
        <f>ROUND(H27*COS_RES_KWH, 2)</f>
        <v>0</v>
      </c>
    </row>
    <row r="28" spans="1:9" x14ac:dyDescent="0.25">
      <c r="A28" s="1026"/>
      <c r="B28" s="1639"/>
      <c r="C28" s="1557">
        <f>SUM(C26+C27)</f>
        <v>1544108.1926000002</v>
      </c>
      <c r="D28" s="1639"/>
      <c r="E28" s="1639"/>
      <c r="F28" s="1639"/>
      <c r="G28" s="1639"/>
      <c r="H28" s="1639"/>
      <c r="I28" s="1557">
        <f>SUM(I26+I27)</f>
        <v>1543815.24</v>
      </c>
    </row>
    <row r="29" spans="1:9" x14ac:dyDescent="0.25">
      <c r="A29" s="1026"/>
      <c r="B29" s="1639"/>
      <c r="C29" s="1639"/>
      <c r="D29" s="1639"/>
      <c r="E29" s="1639"/>
      <c r="F29" s="1639"/>
      <c r="G29" s="1639"/>
      <c r="H29" s="1639"/>
      <c r="I29" s="1026"/>
    </row>
    <row r="30" spans="1:9" x14ac:dyDescent="0.25">
      <c r="A30" s="1026"/>
      <c r="B30" s="1639"/>
      <c r="C30" s="1639"/>
      <c r="D30" s="1639"/>
      <c r="E30" s="1639"/>
      <c r="F30" s="1639"/>
      <c r="G30" s="1639"/>
      <c r="H30" s="1639"/>
      <c r="I30" s="1026"/>
    </row>
    <row r="31" spans="1:9" x14ac:dyDescent="0.25">
      <c r="A31" s="1594" t="str">
        <f>IF((H26-B26)&gt;=4, "The Rate Design Transition has calculated a monthly fixed charge greater than or equal to $4.  Please refer to Section 3.2.3 of the Chapter 3 Filing Requirements for mitigation instructions.", "")</f>
        <v>The Rate Design Transition has calculated a monthly fixed charge greater than or equal to $4.  Please refer to Section 3.2.3 of the Chapter 3 Filing Requirements for mitigation instructions.</v>
      </c>
      <c r="B31" s="1639"/>
      <c r="C31" s="1639"/>
      <c r="D31" s="1639"/>
      <c r="E31" s="1639"/>
      <c r="F31" s="1639"/>
      <c r="G31" s="1639"/>
      <c r="H31" s="1639"/>
      <c r="I31" s="1026"/>
    </row>
    <row r="32" spans="1:9" x14ac:dyDescent="0.25">
      <c r="A32" s="1026"/>
      <c r="B32" s="1639"/>
      <c r="C32" s="1639"/>
      <c r="D32" s="1639"/>
      <c r="E32" s="1639"/>
      <c r="F32" s="1639"/>
      <c r="G32" s="1639"/>
      <c r="H32" s="1639"/>
      <c r="I32" s="1026"/>
    </row>
    <row r="33" spans="1:9" ht="17.25" x14ac:dyDescent="0.25">
      <c r="A33" s="1456" t="s">
        <v>6949</v>
      </c>
      <c r="B33" s="1639"/>
      <c r="C33" s="1639"/>
      <c r="D33" s="1639"/>
      <c r="E33" s="1639"/>
      <c r="F33" s="1639"/>
      <c r="G33" s="1639"/>
      <c r="H33" s="1639"/>
      <c r="I33" s="1026"/>
    </row>
    <row r="34" spans="1:9" x14ac:dyDescent="0.25">
      <c r="A34" s="1026" t="s">
        <v>6950</v>
      </c>
      <c r="B34" s="1639"/>
      <c r="C34" s="1639"/>
      <c r="D34" s="1639"/>
      <c r="E34" s="1639"/>
      <c r="F34" s="1639"/>
      <c r="G34" s="1639"/>
      <c r="H34" s="1639"/>
      <c r="I34" s="1026"/>
    </row>
    <row r="35" spans="1:9" x14ac:dyDescent="0.25">
      <c r="A35" s="1026"/>
      <c r="B35" s="1639"/>
      <c r="C35" s="1639"/>
      <c r="D35" s="1639"/>
      <c r="E35" s="1639"/>
      <c r="F35" s="1639"/>
      <c r="G35" s="1639"/>
      <c r="H35" s="1639"/>
      <c r="I35" s="1026"/>
    </row>
    <row r="36" spans="1:9" x14ac:dyDescent="0.25">
      <c r="A36" s="1026"/>
      <c r="B36" s="1639"/>
      <c r="C36" s="1639"/>
      <c r="D36" s="1639"/>
      <c r="E36" s="1639"/>
      <c r="F36" s="1639"/>
      <c r="G36" s="1639"/>
      <c r="H36" s="1639"/>
      <c r="I36" s="1026"/>
    </row>
    <row r="37" spans="1:9" x14ac:dyDescent="0.25">
      <c r="A37" s="1026"/>
      <c r="B37" s="1639"/>
      <c r="C37" s="1639"/>
      <c r="D37" s="1639"/>
      <c r="E37" s="1639"/>
      <c r="F37" s="1639"/>
      <c r="G37" s="1639"/>
      <c r="H37" s="1639"/>
      <c r="I37" s="1026"/>
    </row>
    <row r="38" spans="1:9" x14ac:dyDescent="0.25">
      <c r="A38" s="1026"/>
      <c r="B38" s="1639"/>
      <c r="C38" s="1639"/>
      <c r="D38" s="1639"/>
      <c r="E38" s="1639"/>
      <c r="F38" s="1639"/>
      <c r="G38" s="1639"/>
      <c r="H38" s="1639"/>
      <c r="I38" s="1026"/>
    </row>
    <row r="39" spans="1:9" x14ac:dyDescent="0.25">
      <c r="A39" s="1026"/>
      <c r="B39" s="1639"/>
      <c r="C39" s="1639"/>
      <c r="D39" s="1639"/>
      <c r="E39" s="1639"/>
      <c r="F39" s="1639"/>
      <c r="G39" s="1639"/>
      <c r="H39" s="1639"/>
      <c r="I39" s="1026"/>
    </row>
    <row r="40" spans="1:9" x14ac:dyDescent="0.25">
      <c r="A40" s="1026"/>
      <c r="B40" s="1639"/>
      <c r="C40" s="1639"/>
      <c r="D40" s="1639"/>
      <c r="E40" s="1639"/>
      <c r="F40" s="1639"/>
      <c r="G40" s="1639"/>
      <c r="H40" s="1639"/>
      <c r="I40" s="1026"/>
    </row>
    <row r="41" spans="1:9" x14ac:dyDescent="0.25">
      <c r="A41" s="1026"/>
      <c r="B41" s="1639"/>
      <c r="C41" s="1639"/>
      <c r="D41" s="1639"/>
      <c r="E41" s="1639"/>
      <c r="F41" s="1639"/>
      <c r="G41" s="1639"/>
      <c r="H41" s="1639"/>
      <c r="I41" s="1026"/>
    </row>
    <row r="42" spans="1:9" x14ac:dyDescent="0.25">
      <c r="A42" s="1026"/>
      <c r="B42" s="1639"/>
      <c r="C42" s="1639"/>
      <c r="D42" s="1639"/>
      <c r="E42" s="1639"/>
      <c r="F42" s="1639"/>
      <c r="G42" s="1639"/>
      <c r="H42" s="1639"/>
      <c r="I42" s="1026"/>
    </row>
    <row r="43" spans="1:9" x14ac:dyDescent="0.25">
      <c r="A43" s="1026"/>
      <c r="B43" s="1639"/>
      <c r="C43" s="1639"/>
      <c r="D43" s="1639"/>
      <c r="E43" s="1639"/>
      <c r="F43" s="1639"/>
      <c r="G43" s="1639"/>
      <c r="H43" s="1639"/>
      <c r="I43" s="1026"/>
    </row>
    <row r="44" spans="1:9" x14ac:dyDescent="0.25">
      <c r="A44" s="1026"/>
      <c r="B44" s="1639"/>
      <c r="C44" s="1639"/>
      <c r="D44" s="1639"/>
      <c r="E44" s="1639"/>
      <c r="F44" s="1639"/>
      <c r="G44" s="1639"/>
      <c r="H44" s="1639"/>
      <c r="I44" s="1026"/>
    </row>
    <row r="45" spans="1:9" x14ac:dyDescent="0.25">
      <c r="A45" s="1026"/>
      <c r="B45" s="1639"/>
      <c r="C45" s="1639"/>
      <c r="D45" s="1639"/>
      <c r="E45" s="1639"/>
      <c r="F45" s="1639"/>
      <c r="G45" s="1639"/>
      <c r="H45" s="1639"/>
      <c r="I45" s="1026"/>
    </row>
    <row r="46" spans="1:9" x14ac:dyDescent="0.25">
      <c r="A46" s="1026"/>
      <c r="B46" s="1639"/>
      <c r="C46" s="1639"/>
      <c r="D46" s="1639"/>
      <c r="E46" s="1639"/>
      <c r="F46" s="1639"/>
      <c r="G46" s="1639"/>
      <c r="H46" s="1639"/>
      <c r="I46" s="1026"/>
    </row>
    <row r="47" spans="1:9" x14ac:dyDescent="0.25">
      <c r="A47" s="1026"/>
      <c r="B47" s="1639"/>
      <c r="C47" s="1639"/>
      <c r="D47" s="1639"/>
      <c r="E47" s="1639"/>
      <c r="F47" s="1639"/>
      <c r="G47" s="1639"/>
      <c r="H47" s="1639"/>
      <c r="I47" s="1026"/>
    </row>
    <row r="48" spans="1:9" x14ac:dyDescent="0.25">
      <c r="A48" s="1026"/>
      <c r="B48" s="1639"/>
      <c r="C48" s="1639"/>
      <c r="D48" s="1639"/>
      <c r="E48" s="1639"/>
      <c r="F48" s="1639"/>
      <c r="G48" s="1639"/>
      <c r="H48" s="1639"/>
      <c r="I48" s="1026"/>
    </row>
    <row r="49" spans="1:9" x14ac:dyDescent="0.25">
      <c r="A49" s="1026"/>
      <c r="B49" s="1639"/>
      <c r="C49" s="1639"/>
      <c r="D49" s="1639"/>
      <c r="E49" s="1639"/>
      <c r="F49" s="1639"/>
      <c r="G49" s="1639"/>
      <c r="H49" s="1639"/>
      <c r="I49" s="1026"/>
    </row>
    <row r="50" spans="1:9" x14ac:dyDescent="0.25">
      <c r="A50" s="1026"/>
      <c r="B50" s="1639"/>
      <c r="C50" s="1639"/>
      <c r="D50" s="1639"/>
      <c r="E50" s="1639"/>
      <c r="F50" s="1639"/>
      <c r="G50" s="1639"/>
      <c r="H50" s="1639"/>
      <c r="I50" s="1026"/>
    </row>
    <row r="51" spans="1:9" x14ac:dyDescent="0.25">
      <c r="A51" s="1026"/>
      <c r="B51" s="1639"/>
      <c r="C51" s="1639"/>
      <c r="D51" s="1639"/>
      <c r="E51" s="1639"/>
      <c r="F51" s="1639"/>
      <c r="G51" s="1639"/>
      <c r="H51" s="1639"/>
      <c r="I51" s="1026"/>
    </row>
    <row r="52" spans="1:9" x14ac:dyDescent="0.25">
      <c r="A52" s="1026"/>
      <c r="B52" s="1639"/>
      <c r="C52" s="1639"/>
      <c r="D52" s="1639"/>
      <c r="E52" s="1639"/>
      <c r="F52" s="1639"/>
      <c r="G52" s="1639"/>
      <c r="H52" s="1639"/>
      <c r="I52" s="1026"/>
    </row>
    <row r="53" spans="1:9" x14ac:dyDescent="0.25">
      <c r="A53" s="1026"/>
      <c r="B53" s="1639"/>
      <c r="C53" s="1639"/>
      <c r="D53" s="1639"/>
      <c r="E53" s="1639"/>
      <c r="F53" s="1639"/>
      <c r="G53" s="1639"/>
      <c r="H53" s="1639"/>
      <c r="I53" s="1026"/>
    </row>
    <row r="54" spans="1:9" x14ac:dyDescent="0.25">
      <c r="A54" s="1026"/>
      <c r="B54" s="1639"/>
      <c r="C54" s="1639"/>
      <c r="D54" s="1639"/>
      <c r="E54" s="1639"/>
      <c r="F54" s="1639"/>
      <c r="G54" s="1639"/>
      <c r="H54" s="1639"/>
      <c r="I54" s="1026"/>
    </row>
    <row r="55" spans="1:9" x14ac:dyDescent="0.25">
      <c r="A55" s="1026"/>
      <c r="B55" s="1639"/>
      <c r="C55" s="1639"/>
      <c r="D55" s="1639"/>
      <c r="E55" s="1639"/>
      <c r="F55" s="1639"/>
      <c r="G55" s="1639"/>
      <c r="H55" s="1639"/>
      <c r="I55" s="1026"/>
    </row>
    <row r="56" spans="1:9" x14ac:dyDescent="0.25">
      <c r="A56" s="1026"/>
      <c r="B56" s="1639"/>
      <c r="C56" s="1639"/>
      <c r="D56" s="1639"/>
      <c r="E56" s="1639"/>
      <c r="F56" s="1639"/>
      <c r="G56" s="1639"/>
      <c r="H56" s="1639"/>
      <c r="I56" s="1026"/>
    </row>
    <row r="57" spans="1:9" x14ac:dyDescent="0.25">
      <c r="A57" s="1026"/>
      <c r="B57" s="1639"/>
      <c r="C57" s="1639"/>
      <c r="D57" s="1639"/>
      <c r="E57" s="1639"/>
      <c r="F57" s="1639"/>
      <c r="G57" s="1639"/>
      <c r="H57" s="1639"/>
      <c r="I57" s="1026"/>
    </row>
    <row r="58" spans="1:9" x14ac:dyDescent="0.25">
      <c r="A58" s="1026"/>
      <c r="B58" s="1639"/>
      <c r="C58" s="1639"/>
      <c r="D58" s="1639"/>
      <c r="E58" s="1639"/>
      <c r="F58" s="1639"/>
      <c r="G58" s="1639"/>
      <c r="H58" s="1639"/>
      <c r="I58" s="1026"/>
    </row>
    <row r="59" spans="1:9" x14ac:dyDescent="0.25">
      <c r="A59" s="1026"/>
      <c r="B59" s="1639"/>
      <c r="C59" s="1639"/>
      <c r="D59" s="1639"/>
      <c r="E59" s="1639"/>
      <c r="F59" s="1639"/>
      <c r="G59" s="1639"/>
      <c r="H59" s="1639"/>
      <c r="I59" s="1026"/>
    </row>
    <row r="60" spans="1:9" x14ac:dyDescent="0.25">
      <c r="A60" s="1026"/>
      <c r="B60" s="1639"/>
      <c r="C60" s="1639"/>
      <c r="D60" s="1639"/>
      <c r="E60" s="1639"/>
      <c r="F60" s="1639"/>
      <c r="G60" s="1639"/>
      <c r="H60" s="1639"/>
      <c r="I60" s="1026"/>
    </row>
    <row r="61" spans="1:9" x14ac:dyDescent="0.25">
      <c r="A61" s="1026"/>
      <c r="B61" s="1639"/>
      <c r="C61" s="1639"/>
      <c r="D61" s="1639"/>
      <c r="E61" s="1639"/>
      <c r="F61" s="1639"/>
      <c r="G61" s="1639"/>
      <c r="H61" s="1639"/>
      <c r="I61" s="1026"/>
    </row>
    <row r="62" spans="1:9" x14ac:dyDescent="0.25">
      <c r="A62" s="1026"/>
      <c r="B62" s="1639"/>
      <c r="C62" s="1639"/>
      <c r="D62" s="1639"/>
      <c r="E62" s="1639"/>
      <c r="F62" s="1639"/>
      <c r="G62" s="1639"/>
      <c r="H62" s="1639"/>
      <c r="I62" s="1026"/>
    </row>
    <row r="63" spans="1:9" x14ac:dyDescent="0.25">
      <c r="A63" s="1026"/>
      <c r="B63" s="1639"/>
      <c r="C63" s="1639"/>
      <c r="D63" s="1639"/>
      <c r="E63" s="1639"/>
      <c r="F63" s="1639"/>
      <c r="G63" s="1639"/>
      <c r="H63" s="1639"/>
      <c r="I63" s="1026"/>
    </row>
    <row r="64" spans="1:9" x14ac:dyDescent="0.25">
      <c r="A64" s="1026"/>
      <c r="B64" s="1639"/>
      <c r="C64" s="1639"/>
      <c r="D64" s="1639"/>
      <c r="E64" s="1639"/>
      <c r="F64" s="1639"/>
      <c r="G64" s="1639"/>
      <c r="H64" s="1639"/>
      <c r="I64" s="1026"/>
    </row>
    <row r="65" spans="1:9" x14ac:dyDescent="0.25">
      <c r="A65" s="1026"/>
      <c r="B65" s="1639"/>
      <c r="C65" s="1639"/>
      <c r="D65" s="1639"/>
      <c r="E65" s="1639"/>
      <c r="F65" s="1639"/>
      <c r="G65" s="1639"/>
      <c r="H65" s="1639"/>
      <c r="I65" s="1026"/>
    </row>
    <row r="66" spans="1:9" x14ac:dyDescent="0.25">
      <c r="A66" s="1026"/>
      <c r="B66" s="1639"/>
      <c r="C66" s="1639"/>
      <c r="D66" s="1639"/>
      <c r="E66" s="1639"/>
      <c r="F66" s="1639"/>
      <c r="G66" s="1639"/>
      <c r="H66" s="1639"/>
      <c r="I66" s="1026"/>
    </row>
    <row r="67" spans="1:9" x14ac:dyDescent="0.25">
      <c r="A67" s="1026"/>
      <c r="B67" s="1639"/>
      <c r="C67" s="1639"/>
      <c r="D67" s="1639"/>
      <c r="E67" s="1639"/>
      <c r="F67" s="1639"/>
      <c r="G67" s="1639"/>
      <c r="H67" s="1639"/>
      <c r="I67" s="1026"/>
    </row>
    <row r="68" spans="1:9" x14ac:dyDescent="0.25">
      <c r="A68" s="1026"/>
      <c r="B68" s="1639"/>
      <c r="C68" s="1639"/>
      <c r="D68" s="1639"/>
      <c r="E68" s="1639"/>
      <c r="F68" s="1639"/>
      <c r="G68" s="1639"/>
      <c r="H68" s="1639"/>
      <c r="I68" s="1026"/>
    </row>
    <row r="69" spans="1:9" x14ac:dyDescent="0.25">
      <c r="A69" s="1026"/>
      <c r="B69" s="1639"/>
      <c r="C69" s="1639"/>
      <c r="D69" s="1639"/>
      <c r="E69" s="1639"/>
      <c r="F69" s="1639"/>
      <c r="G69" s="1639"/>
      <c r="H69" s="1639"/>
      <c r="I69" s="1026"/>
    </row>
    <row r="70" spans="1:9" x14ac:dyDescent="0.25">
      <c r="A70" s="1026"/>
      <c r="B70" s="1639"/>
      <c r="C70" s="1639"/>
      <c r="D70" s="1639"/>
      <c r="E70" s="1639"/>
      <c r="F70" s="1639"/>
      <c r="G70" s="1639"/>
      <c r="H70" s="1639"/>
      <c r="I70" s="1026"/>
    </row>
    <row r="71" spans="1:9" x14ac:dyDescent="0.25">
      <c r="A71" s="1026"/>
      <c r="B71" s="1639"/>
      <c r="C71" s="1639"/>
      <c r="D71" s="1639"/>
      <c r="E71" s="1639"/>
      <c r="F71" s="1639"/>
      <c r="G71" s="1639"/>
      <c r="H71" s="1639"/>
      <c r="I71" s="1026"/>
    </row>
    <row r="72" spans="1:9" x14ac:dyDescent="0.25">
      <c r="A72" s="1026"/>
      <c r="B72" s="1639"/>
      <c r="C72" s="1639"/>
      <c r="D72" s="1639"/>
      <c r="E72" s="1639"/>
      <c r="F72" s="1639"/>
      <c r="G72" s="1639"/>
      <c r="H72" s="1639"/>
      <c r="I72" s="1026"/>
    </row>
    <row r="73" spans="1:9" x14ac:dyDescent="0.25">
      <c r="A73" s="1026"/>
      <c r="B73" s="1639"/>
      <c r="C73" s="1639"/>
      <c r="D73" s="1639"/>
      <c r="E73" s="1639"/>
      <c r="F73" s="1639"/>
      <c r="G73" s="1639"/>
      <c r="H73" s="1639"/>
      <c r="I73" s="1026"/>
    </row>
    <row r="74" spans="1:9" x14ac:dyDescent="0.25">
      <c r="A74" s="1026"/>
      <c r="B74" s="1639"/>
      <c r="C74" s="1639"/>
      <c r="D74" s="1639"/>
      <c r="E74" s="1639"/>
      <c r="F74" s="1639"/>
      <c r="G74" s="1639"/>
      <c r="H74" s="1639"/>
      <c r="I74" s="1026"/>
    </row>
    <row r="75" spans="1:9" x14ac:dyDescent="0.25">
      <c r="A75" s="1026"/>
      <c r="B75" s="1639"/>
      <c r="C75" s="1639"/>
      <c r="D75" s="1639"/>
      <c r="E75" s="1639"/>
      <c r="F75" s="1639"/>
      <c r="G75" s="1639"/>
      <c r="H75" s="1639"/>
      <c r="I75" s="1026"/>
    </row>
    <row r="76" spans="1:9" x14ac:dyDescent="0.25">
      <c r="A76" s="1026"/>
      <c r="B76" s="1639"/>
      <c r="C76" s="1639"/>
      <c r="D76" s="1639"/>
      <c r="E76" s="1639"/>
      <c r="F76" s="1639"/>
      <c r="G76" s="1639"/>
      <c r="H76" s="1639"/>
      <c r="I76" s="1026"/>
    </row>
    <row r="77" spans="1:9" x14ac:dyDescent="0.25">
      <c r="A77" s="1026"/>
      <c r="B77" s="1639"/>
      <c r="C77" s="1639"/>
      <c r="D77" s="1639"/>
      <c r="E77" s="1639"/>
      <c r="F77" s="1639"/>
      <c r="G77" s="1639"/>
      <c r="H77" s="1639"/>
      <c r="I77" s="1026"/>
    </row>
    <row r="78" spans="1:9" x14ac:dyDescent="0.25">
      <c r="A78" s="1026"/>
      <c r="B78" s="1639"/>
      <c r="C78" s="1639"/>
      <c r="D78" s="1639"/>
      <c r="E78" s="1639"/>
      <c r="F78" s="1639"/>
      <c r="G78" s="1639"/>
      <c r="H78" s="1639"/>
      <c r="I78" s="1026"/>
    </row>
    <row r="79" spans="1:9" x14ac:dyDescent="0.25">
      <c r="A79" s="1026"/>
      <c r="B79" s="1639"/>
      <c r="C79" s="1639"/>
      <c r="D79" s="1639"/>
      <c r="E79" s="1639"/>
      <c r="F79" s="1639"/>
      <c r="G79" s="1639"/>
      <c r="H79" s="1639"/>
      <c r="I79" s="1026"/>
    </row>
    <row r="80" spans="1:9" x14ac:dyDescent="0.25">
      <c r="A80" s="1026"/>
      <c r="B80" s="1639"/>
      <c r="C80" s="1639"/>
      <c r="D80" s="1639"/>
      <c r="E80" s="1639"/>
      <c r="F80" s="1639"/>
      <c r="G80" s="1639"/>
      <c r="H80" s="1639"/>
      <c r="I80" s="1026"/>
    </row>
    <row r="81" spans="1:9" x14ac:dyDescent="0.25">
      <c r="A81" s="1026"/>
      <c r="B81" s="1639"/>
      <c r="C81" s="1639"/>
      <c r="D81" s="1639"/>
      <c r="E81" s="1639"/>
      <c r="F81" s="1639"/>
      <c r="G81" s="1639"/>
      <c r="H81" s="1639"/>
      <c r="I81" s="1026"/>
    </row>
    <row r="82" spans="1:9" x14ac:dyDescent="0.25">
      <c r="A82" s="1026"/>
      <c r="B82" s="1639"/>
      <c r="C82" s="1639"/>
      <c r="D82" s="1639"/>
      <c r="E82" s="1639"/>
      <c r="F82" s="1639"/>
      <c r="G82" s="1639"/>
      <c r="H82" s="1639"/>
      <c r="I82" s="1026"/>
    </row>
    <row r="83" spans="1:9" x14ac:dyDescent="0.25">
      <c r="A83" s="1026"/>
      <c r="B83" s="1639"/>
      <c r="C83" s="1639"/>
      <c r="D83" s="1639"/>
      <c r="E83" s="1639"/>
      <c r="F83" s="1639"/>
      <c r="G83" s="1639"/>
      <c r="H83" s="1639"/>
      <c r="I83" s="1026"/>
    </row>
    <row r="84" spans="1:9" x14ac:dyDescent="0.25">
      <c r="A84" s="1026"/>
      <c r="B84" s="1639"/>
      <c r="C84" s="1639"/>
      <c r="D84" s="1639"/>
      <c r="E84" s="1639"/>
      <c r="F84" s="1639"/>
      <c r="G84" s="1639"/>
      <c r="H84" s="1639"/>
      <c r="I84" s="1026"/>
    </row>
    <row r="85" spans="1:9" x14ac:dyDescent="0.25">
      <c r="A85" s="1026"/>
      <c r="B85" s="1639"/>
      <c r="C85" s="1639"/>
      <c r="D85" s="1639"/>
      <c r="E85" s="1639"/>
      <c r="F85" s="1639"/>
      <c r="G85" s="1639"/>
      <c r="H85" s="1639"/>
      <c r="I85" s="1026"/>
    </row>
    <row r="86" spans="1:9" x14ac:dyDescent="0.25">
      <c r="A86" s="1026"/>
      <c r="B86" s="1639"/>
      <c r="C86" s="1639"/>
      <c r="D86" s="1639"/>
      <c r="E86" s="1639"/>
      <c r="F86" s="1639"/>
      <c r="G86" s="1639"/>
      <c r="H86" s="1639"/>
      <c r="I86" s="1026"/>
    </row>
    <row r="87" spans="1:9" x14ac:dyDescent="0.25">
      <c r="A87" s="1026"/>
      <c r="B87" s="1639"/>
      <c r="C87" s="1639"/>
      <c r="D87" s="1639"/>
      <c r="E87" s="1639"/>
      <c r="F87" s="1639"/>
      <c r="G87" s="1639"/>
      <c r="H87" s="1639"/>
      <c r="I87" s="1026"/>
    </row>
    <row r="88" spans="1:9" x14ac:dyDescent="0.25">
      <c r="A88" s="1026"/>
      <c r="B88" s="1639"/>
      <c r="C88" s="1639"/>
      <c r="D88" s="1639"/>
      <c r="E88" s="1639"/>
      <c r="F88" s="1639"/>
      <c r="G88" s="1639"/>
      <c r="H88" s="1639"/>
      <c r="I88" s="1026"/>
    </row>
    <row r="89" spans="1:9" x14ac:dyDescent="0.25">
      <c r="A89" s="1026"/>
      <c r="B89" s="1639"/>
      <c r="C89" s="1639"/>
      <c r="D89" s="1639"/>
      <c r="E89" s="1639"/>
      <c r="F89" s="1639"/>
      <c r="G89" s="1639"/>
      <c r="H89" s="1639"/>
      <c r="I89" s="1026"/>
    </row>
    <row r="90" spans="1:9" x14ac:dyDescent="0.25">
      <c r="A90" s="1026"/>
      <c r="B90" s="1639"/>
      <c r="C90" s="1639"/>
      <c r="D90" s="1639"/>
      <c r="E90" s="1639"/>
      <c r="F90" s="1639"/>
      <c r="G90" s="1639"/>
      <c r="H90" s="1639"/>
      <c r="I90" s="1026"/>
    </row>
    <row r="91" spans="1:9" x14ac:dyDescent="0.25">
      <c r="A91" s="1026"/>
      <c r="B91" s="1639"/>
      <c r="C91" s="1639"/>
      <c r="D91" s="1639"/>
      <c r="E91" s="1639"/>
      <c r="F91" s="1639"/>
      <c r="G91" s="1639"/>
      <c r="H91" s="1639"/>
      <c r="I91" s="1026"/>
    </row>
    <row r="92" spans="1:9" x14ac:dyDescent="0.25">
      <c r="A92" s="1026"/>
      <c r="B92" s="1639"/>
      <c r="C92" s="1639"/>
      <c r="D92" s="1639"/>
      <c r="E92" s="1639"/>
      <c r="F92" s="1639"/>
      <c r="G92" s="1639"/>
      <c r="H92" s="1639"/>
      <c r="I92" s="1026"/>
    </row>
    <row r="93" spans="1:9" x14ac:dyDescent="0.25">
      <c r="A93" s="1026"/>
      <c r="B93" s="1639"/>
      <c r="C93" s="1639"/>
      <c r="D93" s="1639"/>
      <c r="E93" s="1639"/>
      <c r="F93" s="1639"/>
      <c r="G93" s="1639"/>
      <c r="H93" s="1639"/>
      <c r="I93" s="1026"/>
    </row>
    <row r="94" spans="1:9" x14ac:dyDescent="0.25">
      <c r="A94" s="1026"/>
      <c r="B94" s="1639"/>
      <c r="C94" s="1639"/>
      <c r="D94" s="1639"/>
      <c r="E94" s="1639"/>
      <c r="F94" s="1639"/>
      <c r="G94" s="1639"/>
      <c r="H94" s="1639"/>
      <c r="I94" s="1026"/>
    </row>
    <row r="95" spans="1:9" x14ac:dyDescent="0.25">
      <c r="A95" s="1026"/>
      <c r="B95" s="1639"/>
      <c r="C95" s="1639"/>
      <c r="D95" s="1639"/>
      <c r="E95" s="1639"/>
      <c r="F95" s="1639"/>
      <c r="G95" s="1639"/>
      <c r="H95" s="1639"/>
      <c r="I95" s="1026"/>
    </row>
    <row r="96" spans="1:9" x14ac:dyDescent="0.25">
      <c r="A96" s="1026"/>
      <c r="B96" s="1639"/>
      <c r="C96" s="1639"/>
      <c r="D96" s="1639"/>
      <c r="E96" s="1639"/>
      <c r="F96" s="1639"/>
      <c r="G96" s="1639"/>
      <c r="H96" s="1639"/>
      <c r="I96" s="1026"/>
    </row>
    <row r="97" spans="1:9" x14ac:dyDescent="0.25">
      <c r="A97" s="1026"/>
      <c r="B97" s="1639"/>
      <c r="C97" s="1639"/>
      <c r="D97" s="1639"/>
      <c r="E97" s="1639"/>
      <c r="F97" s="1639"/>
      <c r="G97" s="1639"/>
      <c r="H97" s="1639"/>
      <c r="I97" s="1026"/>
    </row>
    <row r="98" spans="1:9" x14ac:dyDescent="0.25">
      <c r="A98" s="1026"/>
      <c r="B98" s="1639"/>
      <c r="C98" s="1639"/>
      <c r="D98" s="1639"/>
      <c r="E98" s="1639"/>
      <c r="F98" s="1639"/>
      <c r="G98" s="1639"/>
      <c r="H98" s="1639"/>
      <c r="I98" s="1026"/>
    </row>
    <row r="99" spans="1:9" x14ac:dyDescent="0.25">
      <c r="A99" s="1026"/>
      <c r="B99" s="1639"/>
      <c r="C99" s="1639"/>
      <c r="D99" s="1639"/>
      <c r="E99" s="1639"/>
      <c r="F99" s="1639"/>
      <c r="G99" s="1639"/>
      <c r="H99" s="1639"/>
      <c r="I99" s="1026"/>
    </row>
    <row r="100" spans="1:9" x14ac:dyDescent="0.25">
      <c r="A100" s="1026"/>
      <c r="B100" s="1639"/>
      <c r="C100" s="1639"/>
      <c r="D100" s="1639"/>
      <c r="E100" s="1639"/>
      <c r="F100" s="1639"/>
      <c r="G100" s="1639"/>
      <c r="H100" s="1639"/>
      <c r="I100" s="1026"/>
    </row>
  </sheetData>
  <sheetProtection algorithmName="SHA-512" hashValue="h42TLbnABCw+1zlcxvffkKS/hHo2ScwN3Rfg6n4hvgMlCCOEb/ZTsIxCLhJAHmA4QdEL7QDjqIX5GaSoGd+BzA==" saltValue="0XdAAV+YCjRUyayUrRT86Q==" spinCount="100000" sheet="1" objects="1" scenarios="1"/>
  <mergeCells count="1">
    <mergeCell ref="A11:I11"/>
  </mergeCells>
  <dataValidations count="2">
    <dataValidation type="list" allowBlank="1" showInputMessage="1" showErrorMessage="1" sqref="B13">
      <formula1>"I, II, III, IV, V"</formula1>
    </dataValidation>
    <dataValidation type="list" allowBlank="1" showInputMessage="1" showErrorMessage="1" sqref="AC1">
      <formula1>"YES, NO"</formula1>
    </dataValidation>
  </dataValidations>
  <pageMargins left="0.25" right="0.25" top="0.75" bottom="0.75" header="0.3" footer="0.3"/>
  <pageSetup scale="49" orientation="portrait" r:id="rId1"/>
  <headerFooter>
    <oddFooter>&amp;C&amp;A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2:K33"/>
  <sheetViews>
    <sheetView showGridLines="0" topLeftCell="A10" zoomScaleNormal="100" workbookViewId="0">
      <selection activeCell="D33" sqref="D33"/>
    </sheetView>
  </sheetViews>
  <sheetFormatPr defaultRowHeight="15" x14ac:dyDescent="0.25"/>
  <cols>
    <col min="2" max="2" width="56" customWidth="1"/>
    <col min="3" max="3" width="6.7109375" customWidth="1"/>
    <col min="4" max="4" width="9.42578125" customWidth="1"/>
  </cols>
  <sheetData>
    <row r="12" spans="2:4" ht="33" customHeight="1" x14ac:dyDescent="0.25">
      <c r="B12" s="1854" t="s">
        <v>2209</v>
      </c>
      <c r="C12" s="1854"/>
      <c r="D12" s="1854"/>
    </row>
    <row r="13" spans="2:4" ht="15.75" customHeight="1" thickBot="1" x14ac:dyDescent="0.3">
      <c r="B13" s="24" t="s">
        <v>2451</v>
      </c>
      <c r="C13" s="22"/>
      <c r="D13" s="24" t="s">
        <v>350</v>
      </c>
    </row>
    <row r="14" spans="2:4" ht="26.25" customHeight="1" thickBot="1" x14ac:dyDescent="0.3">
      <c r="B14" s="163" t="s">
        <v>2449</v>
      </c>
      <c r="C14" s="164" t="s">
        <v>24</v>
      </c>
      <c r="D14" s="387">
        <v>3.2000000000000002E-3</v>
      </c>
    </row>
    <row r="15" spans="2:4" s="432" customFormat="1" ht="29.25" customHeight="1" thickBot="1" x14ac:dyDescent="0.3">
      <c r="B15" s="163" t="s">
        <v>2450</v>
      </c>
      <c r="C15" s="164" t="s">
        <v>24</v>
      </c>
      <c r="D15" s="387">
        <v>4.0000000000000002E-4</v>
      </c>
    </row>
    <row r="16" spans="2:4" ht="26.25" customHeight="1" thickBot="1" x14ac:dyDescent="0.3">
      <c r="B16" s="163" t="s">
        <v>439</v>
      </c>
      <c r="C16" s="164" t="s">
        <v>24</v>
      </c>
      <c r="D16" s="387">
        <v>2.9999999999999997E-4</v>
      </c>
    </row>
    <row r="17" spans="1:11" ht="26.25" customHeight="1" thickBot="1" x14ac:dyDescent="0.3">
      <c r="B17" s="163" t="s">
        <v>32</v>
      </c>
      <c r="C17" s="164" t="s">
        <v>23</v>
      </c>
      <c r="D17" s="388">
        <v>0.25</v>
      </c>
    </row>
    <row r="18" spans="1:11" ht="26.25" hidden="1" customHeight="1" thickBot="1" x14ac:dyDescent="0.3">
      <c r="B18" s="163" t="s">
        <v>1690</v>
      </c>
      <c r="C18" s="164" t="s">
        <v>24</v>
      </c>
      <c r="D18" s="389">
        <v>0</v>
      </c>
    </row>
    <row r="21" spans="1:11" ht="15.75" thickBot="1" x14ac:dyDescent="0.3">
      <c r="B21" s="24" t="s">
        <v>2452</v>
      </c>
      <c r="C21" s="22"/>
    </row>
    <row r="22" spans="1:11" s="432" customFormat="1" ht="15.75" thickBot="1" x14ac:dyDescent="0.3">
      <c r="B22" s="163" t="s">
        <v>2453</v>
      </c>
      <c r="C22" s="1855">
        <v>43221</v>
      </c>
      <c r="D22" s="1856"/>
    </row>
    <row r="23" spans="1:11" ht="15.75" thickBot="1" x14ac:dyDescent="0.3">
      <c r="B23" s="163" t="s">
        <v>2454</v>
      </c>
      <c r="C23" s="164" t="s">
        <v>24</v>
      </c>
      <c r="D23" s="387">
        <v>6.5000000000000002E-2</v>
      </c>
    </row>
    <row r="24" spans="1:11" ht="15.75" thickBot="1" x14ac:dyDescent="0.3">
      <c r="B24" s="163" t="s">
        <v>2456</v>
      </c>
      <c r="C24" s="164" t="s">
        <v>24</v>
      </c>
      <c r="D24" s="387">
        <v>9.4E-2</v>
      </c>
    </row>
    <row r="25" spans="1:11" ht="15.75" thickBot="1" x14ac:dyDescent="0.3">
      <c r="B25" s="163" t="s">
        <v>2455</v>
      </c>
      <c r="C25" s="164" t="s">
        <v>24</v>
      </c>
      <c r="D25" s="387">
        <v>0.13200000000000001</v>
      </c>
    </row>
    <row r="28" spans="1:11" ht="15.75" thickBot="1" x14ac:dyDescent="0.3">
      <c r="B28" s="901" t="s">
        <v>151</v>
      </c>
      <c r="C28" s="843"/>
      <c r="D28" s="841"/>
    </row>
    <row r="29" spans="1:11" ht="15.75" thickBot="1" x14ac:dyDescent="0.3">
      <c r="B29" s="163" t="s">
        <v>151</v>
      </c>
      <c r="C29" s="902" t="s">
        <v>24</v>
      </c>
      <c r="D29" s="1346">
        <v>0</v>
      </c>
      <c r="E29" s="1857"/>
      <c r="F29" s="1857"/>
      <c r="G29" s="1857"/>
      <c r="H29" s="1857"/>
      <c r="I29" s="1857"/>
      <c r="J29" s="1857"/>
      <c r="K29" s="1857"/>
    </row>
    <row r="30" spans="1:11" x14ac:dyDescent="0.25">
      <c r="E30" s="1857"/>
      <c r="F30" s="1857"/>
      <c r="G30" s="1857"/>
      <c r="H30" s="1857"/>
      <c r="I30" s="1857"/>
      <c r="J30" s="1857"/>
      <c r="K30" s="1857"/>
    </row>
    <row r="31" spans="1:11" x14ac:dyDescent="0.25">
      <c r="A31" s="745"/>
    </row>
    <row r="32" spans="1:11" ht="15.75" thickBot="1" x14ac:dyDescent="0.3">
      <c r="B32" s="901" t="s">
        <v>4867</v>
      </c>
      <c r="C32" s="1026"/>
      <c r="D32" s="841"/>
    </row>
    <row r="33" spans="2:4" ht="15.75" thickBot="1" x14ac:dyDescent="0.3">
      <c r="B33" s="163" t="s">
        <v>4867</v>
      </c>
      <c r="C33" s="164" t="s">
        <v>23</v>
      </c>
      <c r="D33" s="388">
        <v>0.56999999999999995</v>
      </c>
    </row>
  </sheetData>
  <sheetProtection algorithmName="SHA-512" hashValue="tph3KkaQ0M94bq4dIKBupf2ptBaOb7dp1OaY69R1rQKpE1zLqjCb3j4zRZBT4rIhyj4dSKjp1rFFyr9cqTVJ4g==" saltValue="WWWNj+iSH7nZ+eRPodBPzA==" spinCount="100000" sheet="1" objects="1" scenarios="1"/>
  <mergeCells count="3">
    <mergeCell ref="B12:D12"/>
    <mergeCell ref="C22:D22"/>
    <mergeCell ref="E29:K30"/>
  </mergeCells>
  <pageMargins left="0.7" right="0.7" top="0.75" bottom="0.75" header="0.3" footer="0.3"/>
  <pageSetup scale="62"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A105"/>
  <sheetViews>
    <sheetView showGridLines="0" zoomScaleNormal="100" workbookViewId="0">
      <selection activeCell="H21" sqref="H21"/>
    </sheetView>
  </sheetViews>
  <sheetFormatPr defaultColWidth="9.140625" defaultRowHeight="15" x14ac:dyDescent="0.25"/>
  <cols>
    <col min="1" max="1" width="78.42578125" style="1026" customWidth="1"/>
    <col min="2" max="2" width="10.28515625" style="1026" customWidth="1"/>
    <col min="3" max="3" width="16" style="497" customWidth="1"/>
    <col min="4" max="4" width="17.7109375" style="1026" customWidth="1"/>
    <col min="5" max="5" width="42.42578125" style="515" customWidth="1"/>
    <col min="6" max="6" width="5.7109375" style="434" customWidth="1"/>
    <col min="7" max="7" width="2.28515625" style="1026" bestFit="1" customWidth="1"/>
    <col min="8" max="8" width="62.42578125" style="1026" customWidth="1"/>
    <col min="9" max="9" width="34.7109375" style="1026" customWidth="1"/>
    <col min="10" max="10" width="6.7109375" style="1026" customWidth="1"/>
    <col min="11" max="11" width="9.42578125" style="1026" bestFit="1" customWidth="1"/>
    <col min="12" max="13" width="18.140625" style="1026" customWidth="1"/>
    <col min="14" max="16" width="9.140625" style="1026" customWidth="1"/>
    <col min="17" max="17" width="14.85546875" style="1026" customWidth="1"/>
    <col min="18" max="25" width="9.140625" style="1026"/>
    <col min="26" max="28" width="9.140625" style="1026" customWidth="1"/>
    <col min="29" max="16384" width="9.140625" style="1026"/>
  </cols>
  <sheetData>
    <row r="1" spans="1:27" ht="33" customHeight="1" x14ac:dyDescent="0.25">
      <c r="AA1" s="279">
        <v>3</v>
      </c>
    </row>
    <row r="2" spans="1:27" x14ac:dyDescent="0.25">
      <c r="B2" s="1026" t="s">
        <v>2269</v>
      </c>
      <c r="AA2" s="279"/>
    </row>
    <row r="3" spans="1:27" ht="18" x14ac:dyDescent="0.25">
      <c r="B3" s="111" t="s">
        <v>2270</v>
      </c>
      <c r="J3" s="844"/>
      <c r="AA3" s="279"/>
    </row>
    <row r="4" spans="1:27" x14ac:dyDescent="0.25">
      <c r="J4" s="844"/>
      <c r="AA4" s="279"/>
    </row>
    <row r="5" spans="1:27" x14ac:dyDescent="0.25">
      <c r="B5" s="1858"/>
      <c r="C5" s="1859"/>
      <c r="D5" s="1859"/>
      <c r="E5" s="1859"/>
      <c r="J5" s="844"/>
      <c r="AA5" s="279"/>
    </row>
    <row r="6" spans="1:27" x14ac:dyDescent="0.25">
      <c r="J6" s="844"/>
      <c r="AA6" s="279"/>
    </row>
    <row r="7" spans="1:27" x14ac:dyDescent="0.25">
      <c r="B7" s="846"/>
      <c r="AA7" s="279"/>
    </row>
    <row r="8" spans="1:27" x14ac:dyDescent="0.25">
      <c r="AA8" s="279"/>
    </row>
    <row r="9" spans="1:27" x14ac:dyDescent="0.25">
      <c r="B9" s="1860"/>
      <c r="C9" s="1861"/>
      <c r="D9" s="1861"/>
      <c r="E9" s="1861"/>
    </row>
    <row r="11" spans="1:27" ht="96" customHeight="1" x14ac:dyDescent="0.25">
      <c r="A11" s="1853" t="s">
        <v>6090</v>
      </c>
      <c r="B11" s="1853"/>
      <c r="C11" s="1853"/>
      <c r="D11" s="1853"/>
      <c r="E11" s="1853"/>
      <c r="F11" s="1853"/>
      <c r="G11" s="495"/>
      <c r="H11" s="437"/>
      <c r="I11" s="438"/>
      <c r="J11" s="438"/>
      <c r="K11" s="438"/>
      <c r="L11" s="23"/>
      <c r="AA11" s="279"/>
    </row>
    <row r="12" spans="1:27" ht="4.5" customHeight="1" x14ac:dyDescent="0.25">
      <c r="A12" s="162"/>
      <c r="B12" s="162"/>
      <c r="C12" s="498"/>
      <c r="D12" s="162"/>
      <c r="E12" s="516"/>
      <c r="F12" s="435"/>
      <c r="G12" s="162"/>
      <c r="H12" s="438"/>
      <c r="I12" s="438"/>
      <c r="J12" s="438"/>
      <c r="K12" s="438"/>
      <c r="L12" s="439"/>
      <c r="M12" s="845"/>
      <c r="N12" s="845"/>
      <c r="O12" s="845"/>
      <c r="AA12" s="279"/>
    </row>
    <row r="13" spans="1:27" ht="4.5" customHeight="1" x14ac:dyDescent="0.25">
      <c r="A13" s="162"/>
      <c r="B13" s="162"/>
      <c r="C13" s="498"/>
      <c r="D13" s="162"/>
      <c r="E13" s="516"/>
      <c r="F13" s="435"/>
      <c r="G13" s="162"/>
      <c r="H13" s="438"/>
      <c r="I13" s="438"/>
      <c r="J13" s="438"/>
      <c r="K13" s="438"/>
      <c r="L13" s="439"/>
      <c r="M13" s="845"/>
      <c r="N13" s="845"/>
      <c r="O13" s="845"/>
    </row>
    <row r="14" spans="1:27" ht="4.5" customHeight="1" x14ac:dyDescent="0.25">
      <c r="A14" s="162"/>
      <c r="B14" s="162"/>
      <c r="C14" s="498"/>
      <c r="D14" s="162"/>
      <c r="E14" s="516"/>
      <c r="F14" s="435"/>
      <c r="G14" s="162"/>
      <c r="H14" s="438"/>
      <c r="I14" s="438"/>
      <c r="J14" s="438"/>
      <c r="K14" s="438"/>
      <c r="L14" s="439"/>
      <c r="M14" s="845"/>
      <c r="N14" s="845"/>
      <c r="O14" s="845"/>
    </row>
    <row r="15" spans="1:27" ht="4.5" customHeight="1" x14ac:dyDescent="0.25">
      <c r="E15" s="517"/>
      <c r="F15" s="436"/>
      <c r="G15" s="112"/>
      <c r="H15" s="440"/>
      <c r="I15" s="23"/>
      <c r="J15" s="23"/>
      <c r="K15" s="23"/>
      <c r="L15" s="439"/>
      <c r="M15" s="845"/>
      <c r="N15" s="845"/>
      <c r="O15" s="845"/>
    </row>
    <row r="16" spans="1:27" ht="4.5" customHeight="1" x14ac:dyDescent="0.25">
      <c r="A16" s="112"/>
      <c r="B16" s="112"/>
      <c r="C16" s="499"/>
      <c r="D16" s="112"/>
      <c r="E16" s="517"/>
      <c r="F16" s="436"/>
      <c r="G16" s="112"/>
      <c r="H16" s="440"/>
      <c r="I16" s="23"/>
      <c r="J16" s="23"/>
      <c r="K16" s="23"/>
      <c r="L16" s="439"/>
      <c r="M16" s="845"/>
      <c r="N16" s="845"/>
      <c r="O16" s="845"/>
    </row>
    <row r="17" spans="1:7" ht="15.75" customHeight="1" x14ac:dyDescent="0.25">
      <c r="A17" s="1571" t="s">
        <v>438</v>
      </c>
    </row>
    <row r="18" spans="1:7" ht="15.75" thickBot="1" x14ac:dyDescent="0.3">
      <c r="A18" s="1598"/>
      <c r="B18" s="1577"/>
      <c r="C18" s="1582"/>
      <c r="D18" s="1599" t="s">
        <v>6955</v>
      </c>
      <c r="E18" s="1600"/>
      <c r="F18" s="1599"/>
      <c r="G18" s="1577"/>
    </row>
    <row r="19" spans="1:7" ht="15.75" thickBot="1" x14ac:dyDescent="0.3">
      <c r="A19" s="1605"/>
      <c r="B19" s="1578"/>
      <c r="C19" s="1608"/>
      <c r="D19" s="1606" t="s">
        <v>6955</v>
      </c>
      <c r="E19" s="1607"/>
      <c r="F19" s="1606"/>
      <c r="G19" s="1578"/>
    </row>
    <row r="20" spans="1:7" ht="15.75" thickBot="1" x14ac:dyDescent="0.3">
      <c r="A20" s="1605"/>
      <c r="B20" s="1578"/>
      <c r="C20" s="1608"/>
      <c r="D20" s="1606" t="s">
        <v>6955</v>
      </c>
      <c r="E20" s="1607"/>
      <c r="F20" s="1606"/>
      <c r="G20" s="1578"/>
    </row>
    <row r="21" spans="1:7" ht="15.75" thickBot="1" x14ac:dyDescent="0.3">
      <c r="A21" s="1605"/>
      <c r="B21" s="1578"/>
      <c r="C21" s="1608"/>
      <c r="D21" s="1606" t="s">
        <v>6955</v>
      </c>
      <c r="E21" s="1607"/>
      <c r="F21" s="1606"/>
      <c r="G21" s="1578"/>
    </row>
    <row r="22" spans="1:7" ht="15.75" thickBot="1" x14ac:dyDescent="0.3">
      <c r="A22" s="1605"/>
      <c r="B22" s="1578"/>
      <c r="C22" s="1608"/>
      <c r="D22" s="1606" t="s">
        <v>6955</v>
      </c>
      <c r="E22" s="1607"/>
      <c r="F22" s="1606"/>
      <c r="G22" s="1578"/>
    </row>
    <row r="23" spans="1:7" ht="15.75" thickBot="1" x14ac:dyDescent="0.3">
      <c r="A23" s="1605"/>
      <c r="B23" s="1578"/>
      <c r="C23" s="1608"/>
      <c r="D23" s="1606" t="s">
        <v>6955</v>
      </c>
      <c r="E23" s="1607"/>
      <c r="F23" s="1606"/>
      <c r="G23" s="1578"/>
    </row>
    <row r="24" spans="1:7" ht="15.75" thickBot="1" x14ac:dyDescent="0.3">
      <c r="A24" s="1605"/>
      <c r="B24" s="1578"/>
      <c r="C24" s="1608"/>
      <c r="D24" s="1606" t="s">
        <v>6955</v>
      </c>
      <c r="E24" s="1607"/>
      <c r="F24" s="1606"/>
      <c r="G24" s="1578"/>
    </row>
    <row r="25" spans="1:7" ht="15.75" thickBot="1" x14ac:dyDescent="0.3">
      <c r="A25" s="1605"/>
      <c r="B25" s="1578"/>
      <c r="C25" s="1608"/>
      <c r="D25" s="1606" t="s">
        <v>6955</v>
      </c>
      <c r="E25" s="1607"/>
      <c r="F25" s="1606"/>
      <c r="G25" s="1578"/>
    </row>
    <row r="26" spans="1:7" ht="15.75" thickBot="1" x14ac:dyDescent="0.3">
      <c r="A26" s="1605"/>
      <c r="B26" s="1578"/>
      <c r="C26" s="1608"/>
      <c r="D26" s="1606" t="s">
        <v>6955</v>
      </c>
      <c r="E26" s="1607"/>
      <c r="F26" s="1606"/>
      <c r="G26" s="1578"/>
    </row>
    <row r="27" spans="1:7" ht="15.75" thickBot="1" x14ac:dyDescent="0.3">
      <c r="A27" s="1601"/>
      <c r="B27" s="1602"/>
      <c r="C27" s="1609"/>
      <c r="D27" s="1603" t="s">
        <v>6955</v>
      </c>
      <c r="E27" s="1604"/>
      <c r="F27" s="1603"/>
      <c r="G27" s="1602"/>
    </row>
    <row r="30" spans="1:7" ht="15.75" customHeight="1" x14ac:dyDescent="0.25">
      <c r="A30" s="1571" t="s">
        <v>3214</v>
      </c>
    </row>
    <row r="31" spans="1:7" ht="15.75" thickBot="1" x14ac:dyDescent="0.3">
      <c r="A31" s="1598"/>
      <c r="B31" s="1577"/>
      <c r="C31" s="1582"/>
      <c r="D31" s="1599" t="s">
        <v>6955</v>
      </c>
      <c r="E31" s="1600"/>
      <c r="F31" s="1599"/>
      <c r="G31" s="1577"/>
    </row>
    <row r="32" spans="1:7" ht="15.75" thickBot="1" x14ac:dyDescent="0.3">
      <c r="A32" s="1605"/>
      <c r="B32" s="1578"/>
      <c r="C32" s="1608"/>
      <c r="D32" s="1606" t="s">
        <v>6955</v>
      </c>
      <c r="E32" s="1607"/>
      <c r="F32" s="1606"/>
      <c r="G32" s="1578"/>
    </row>
    <row r="33" spans="1:7" ht="15.75" thickBot="1" x14ac:dyDescent="0.3">
      <c r="A33" s="1605"/>
      <c r="B33" s="1578"/>
      <c r="C33" s="1608"/>
      <c r="D33" s="1606" t="s">
        <v>6955</v>
      </c>
      <c r="E33" s="1607"/>
      <c r="F33" s="1606"/>
      <c r="G33" s="1578"/>
    </row>
    <row r="34" spans="1:7" ht="15.75" thickBot="1" x14ac:dyDescent="0.3">
      <c r="A34" s="1605"/>
      <c r="B34" s="1578"/>
      <c r="C34" s="1608"/>
      <c r="D34" s="1606" t="s">
        <v>6955</v>
      </c>
      <c r="E34" s="1607"/>
      <c r="F34" s="1606"/>
      <c r="G34" s="1578"/>
    </row>
    <row r="35" spans="1:7" ht="15.75" thickBot="1" x14ac:dyDescent="0.3">
      <c r="A35" s="1605"/>
      <c r="B35" s="1578"/>
      <c r="C35" s="1608"/>
      <c r="D35" s="1606" t="s">
        <v>6955</v>
      </c>
      <c r="E35" s="1607"/>
      <c r="F35" s="1606"/>
      <c r="G35" s="1578"/>
    </row>
    <row r="36" spans="1:7" ht="15.75" thickBot="1" x14ac:dyDescent="0.3">
      <c r="A36" s="1605"/>
      <c r="B36" s="1578"/>
      <c r="C36" s="1608"/>
      <c r="D36" s="1606" t="s">
        <v>6955</v>
      </c>
      <c r="E36" s="1607"/>
      <c r="F36" s="1606"/>
      <c r="G36" s="1578"/>
    </row>
    <row r="37" spans="1:7" ht="15.75" thickBot="1" x14ac:dyDescent="0.3">
      <c r="A37" s="1605"/>
      <c r="B37" s="1578"/>
      <c r="C37" s="1608"/>
      <c r="D37" s="1606" t="s">
        <v>6955</v>
      </c>
      <c r="E37" s="1607"/>
      <c r="F37" s="1606"/>
      <c r="G37" s="1578"/>
    </row>
    <row r="38" spans="1:7" ht="15.75" thickBot="1" x14ac:dyDescent="0.3">
      <c r="A38" s="1605"/>
      <c r="B38" s="1578"/>
      <c r="C38" s="1608"/>
      <c r="D38" s="1606" t="s">
        <v>6955</v>
      </c>
      <c r="E38" s="1607"/>
      <c r="F38" s="1606"/>
      <c r="G38" s="1578"/>
    </row>
    <row r="39" spans="1:7" ht="15.75" thickBot="1" x14ac:dyDescent="0.3">
      <c r="A39" s="1605"/>
      <c r="B39" s="1578"/>
      <c r="C39" s="1608"/>
      <c r="D39" s="1606" t="s">
        <v>6955</v>
      </c>
      <c r="E39" s="1607"/>
      <c r="F39" s="1606"/>
      <c r="G39" s="1578"/>
    </row>
    <row r="40" spans="1:7" ht="15.75" thickBot="1" x14ac:dyDescent="0.3">
      <c r="A40" s="1601"/>
      <c r="B40" s="1602"/>
      <c r="C40" s="1609"/>
      <c r="D40" s="1603" t="s">
        <v>6955</v>
      </c>
      <c r="E40" s="1604"/>
      <c r="F40" s="1603"/>
      <c r="G40" s="1602"/>
    </row>
    <row r="43" spans="1:7" ht="15.75" customHeight="1" x14ac:dyDescent="0.25">
      <c r="A43" s="1571" t="s">
        <v>4819</v>
      </c>
    </row>
    <row r="44" spans="1:7" ht="15.75" thickBot="1" x14ac:dyDescent="0.3">
      <c r="A44" s="1598"/>
      <c r="B44" s="1577"/>
      <c r="C44" s="1582"/>
      <c r="D44" s="1599" t="s">
        <v>6955</v>
      </c>
      <c r="E44" s="1600"/>
      <c r="F44" s="1599"/>
      <c r="G44" s="1577"/>
    </row>
    <row r="45" spans="1:7" ht="15.75" thickBot="1" x14ac:dyDescent="0.3">
      <c r="A45" s="1605"/>
      <c r="B45" s="1578"/>
      <c r="C45" s="1608"/>
      <c r="D45" s="1606" t="s">
        <v>6955</v>
      </c>
      <c r="E45" s="1607"/>
      <c r="F45" s="1606"/>
      <c r="G45" s="1578"/>
    </row>
    <row r="46" spans="1:7" ht="15.75" thickBot="1" x14ac:dyDescent="0.3">
      <c r="A46" s="1605"/>
      <c r="B46" s="1578"/>
      <c r="C46" s="1608"/>
      <c r="D46" s="1606" t="s">
        <v>6955</v>
      </c>
      <c r="E46" s="1607"/>
      <c r="F46" s="1606"/>
      <c r="G46" s="1578"/>
    </row>
    <row r="47" spans="1:7" ht="15.75" thickBot="1" x14ac:dyDescent="0.3">
      <c r="A47" s="1605"/>
      <c r="B47" s="1578"/>
      <c r="C47" s="1608"/>
      <c r="D47" s="1606" t="s">
        <v>6955</v>
      </c>
      <c r="E47" s="1607"/>
      <c r="F47" s="1606"/>
      <c r="G47" s="1578"/>
    </row>
    <row r="48" spans="1:7" ht="15.75" thickBot="1" x14ac:dyDescent="0.3">
      <c r="A48" s="1605"/>
      <c r="B48" s="1578"/>
      <c r="C48" s="1608"/>
      <c r="D48" s="1606" t="s">
        <v>6955</v>
      </c>
      <c r="E48" s="1607"/>
      <c r="F48" s="1606"/>
      <c r="G48" s="1578"/>
    </row>
    <row r="49" spans="1:7" ht="15.75" thickBot="1" x14ac:dyDescent="0.3">
      <c r="A49" s="1605"/>
      <c r="B49" s="1578"/>
      <c r="C49" s="1608"/>
      <c r="D49" s="1606" t="s">
        <v>6955</v>
      </c>
      <c r="E49" s="1607"/>
      <c r="F49" s="1606"/>
      <c r="G49" s="1578"/>
    </row>
    <row r="50" spans="1:7" ht="15.75" thickBot="1" x14ac:dyDescent="0.3">
      <c r="A50" s="1605"/>
      <c r="B50" s="1578"/>
      <c r="C50" s="1608"/>
      <c r="D50" s="1606" t="s">
        <v>6955</v>
      </c>
      <c r="E50" s="1607"/>
      <c r="F50" s="1606"/>
      <c r="G50" s="1578"/>
    </row>
    <row r="51" spans="1:7" ht="15.75" thickBot="1" x14ac:dyDescent="0.3">
      <c r="A51" s="1605"/>
      <c r="B51" s="1578"/>
      <c r="C51" s="1608"/>
      <c r="D51" s="1606" t="s">
        <v>6955</v>
      </c>
      <c r="E51" s="1607"/>
      <c r="F51" s="1606"/>
      <c r="G51" s="1578"/>
    </row>
    <row r="52" spans="1:7" ht="15.75" thickBot="1" x14ac:dyDescent="0.3">
      <c r="A52" s="1605"/>
      <c r="B52" s="1578"/>
      <c r="C52" s="1608"/>
      <c r="D52" s="1606" t="s">
        <v>6955</v>
      </c>
      <c r="E52" s="1607"/>
      <c r="F52" s="1606"/>
      <c r="G52" s="1578"/>
    </row>
    <row r="53" spans="1:7" ht="15.75" thickBot="1" x14ac:dyDescent="0.3">
      <c r="A53" s="1601"/>
      <c r="B53" s="1602"/>
      <c r="C53" s="1609"/>
      <c r="D53" s="1603" t="s">
        <v>6955</v>
      </c>
      <c r="E53" s="1604"/>
      <c r="F53" s="1603"/>
      <c r="G53" s="1602"/>
    </row>
    <row r="56" spans="1:7" ht="15.75" customHeight="1" x14ac:dyDescent="0.25">
      <c r="A56" s="1571" t="s">
        <v>617</v>
      </c>
    </row>
    <row r="57" spans="1:7" ht="15.75" thickBot="1" x14ac:dyDescent="0.3">
      <c r="A57" s="1598"/>
      <c r="B57" s="1577"/>
      <c r="C57" s="1582"/>
      <c r="D57" s="1599" t="s">
        <v>6955</v>
      </c>
      <c r="E57" s="1600"/>
      <c r="F57" s="1599"/>
      <c r="G57" s="1577"/>
    </row>
    <row r="58" spans="1:7" ht="15.75" thickBot="1" x14ac:dyDescent="0.3">
      <c r="A58" s="1605"/>
      <c r="B58" s="1578"/>
      <c r="C58" s="1608"/>
      <c r="D58" s="1606" t="s">
        <v>6955</v>
      </c>
      <c r="E58" s="1607"/>
      <c r="F58" s="1606"/>
      <c r="G58" s="1578"/>
    </row>
    <row r="59" spans="1:7" ht="15.75" thickBot="1" x14ac:dyDescent="0.3">
      <c r="A59" s="1605"/>
      <c r="B59" s="1578"/>
      <c r="C59" s="1608"/>
      <c r="D59" s="1606" t="s">
        <v>6955</v>
      </c>
      <c r="E59" s="1607"/>
      <c r="F59" s="1606"/>
      <c r="G59" s="1578"/>
    </row>
    <row r="60" spans="1:7" ht="15.75" thickBot="1" x14ac:dyDescent="0.3">
      <c r="A60" s="1605"/>
      <c r="B60" s="1578"/>
      <c r="C60" s="1608"/>
      <c r="D60" s="1606" t="s">
        <v>6955</v>
      </c>
      <c r="E60" s="1607"/>
      <c r="F60" s="1606"/>
      <c r="G60" s="1578"/>
    </row>
    <row r="61" spans="1:7" ht="15.75" thickBot="1" x14ac:dyDescent="0.3">
      <c r="A61" s="1605"/>
      <c r="B61" s="1578"/>
      <c r="C61" s="1608"/>
      <c r="D61" s="1606" t="s">
        <v>6955</v>
      </c>
      <c r="E61" s="1607"/>
      <c r="F61" s="1606"/>
      <c r="G61" s="1578"/>
    </row>
    <row r="62" spans="1:7" ht="15.75" thickBot="1" x14ac:dyDescent="0.3">
      <c r="A62" s="1605"/>
      <c r="B62" s="1578"/>
      <c r="C62" s="1608"/>
      <c r="D62" s="1606" t="s">
        <v>6955</v>
      </c>
      <c r="E62" s="1607"/>
      <c r="F62" s="1606"/>
      <c r="G62" s="1578"/>
    </row>
    <row r="63" spans="1:7" ht="15.75" thickBot="1" x14ac:dyDescent="0.3">
      <c r="A63" s="1605"/>
      <c r="B63" s="1578"/>
      <c r="C63" s="1608"/>
      <c r="D63" s="1606" t="s">
        <v>6955</v>
      </c>
      <c r="E63" s="1607"/>
      <c r="F63" s="1606"/>
      <c r="G63" s="1578"/>
    </row>
    <row r="64" spans="1:7" ht="15.75" thickBot="1" x14ac:dyDescent="0.3">
      <c r="A64" s="1605"/>
      <c r="B64" s="1578"/>
      <c r="C64" s="1608"/>
      <c r="D64" s="1606" t="s">
        <v>6955</v>
      </c>
      <c r="E64" s="1607"/>
      <c r="F64" s="1606"/>
      <c r="G64" s="1578"/>
    </row>
    <row r="65" spans="1:7" ht="15.75" thickBot="1" x14ac:dyDescent="0.3">
      <c r="A65" s="1605"/>
      <c r="B65" s="1578"/>
      <c r="C65" s="1608"/>
      <c r="D65" s="1606" t="s">
        <v>6955</v>
      </c>
      <c r="E65" s="1607"/>
      <c r="F65" s="1606"/>
      <c r="G65" s="1578"/>
    </row>
    <row r="66" spans="1:7" ht="15.75" thickBot="1" x14ac:dyDescent="0.3">
      <c r="A66" s="1601"/>
      <c r="B66" s="1602"/>
      <c r="C66" s="1609"/>
      <c r="D66" s="1603" t="s">
        <v>6955</v>
      </c>
      <c r="E66" s="1604"/>
      <c r="F66" s="1603"/>
      <c r="G66" s="1602"/>
    </row>
    <row r="69" spans="1:7" ht="15.75" customHeight="1" x14ac:dyDescent="0.25">
      <c r="A69" s="1571" t="s">
        <v>629</v>
      </c>
    </row>
    <row r="70" spans="1:7" ht="15.75" thickBot="1" x14ac:dyDescent="0.3">
      <c r="A70" s="1598"/>
      <c r="B70" s="1577"/>
      <c r="C70" s="1582"/>
      <c r="D70" s="1599" t="s">
        <v>6955</v>
      </c>
      <c r="E70" s="1600"/>
      <c r="F70" s="1599"/>
      <c r="G70" s="1577"/>
    </row>
    <row r="71" spans="1:7" ht="15.75" thickBot="1" x14ac:dyDescent="0.3">
      <c r="A71" s="1605"/>
      <c r="B71" s="1578"/>
      <c r="C71" s="1608"/>
      <c r="D71" s="1606" t="s">
        <v>6955</v>
      </c>
      <c r="E71" s="1607"/>
      <c r="F71" s="1606"/>
      <c r="G71" s="1578"/>
    </row>
    <row r="72" spans="1:7" ht="15.75" thickBot="1" x14ac:dyDescent="0.3">
      <c r="A72" s="1605"/>
      <c r="B72" s="1578"/>
      <c r="C72" s="1608"/>
      <c r="D72" s="1606" t="s">
        <v>6955</v>
      </c>
      <c r="E72" s="1607"/>
      <c r="F72" s="1606"/>
      <c r="G72" s="1578"/>
    </row>
    <row r="73" spans="1:7" ht="15.75" thickBot="1" x14ac:dyDescent="0.3">
      <c r="A73" s="1605"/>
      <c r="B73" s="1578"/>
      <c r="C73" s="1608"/>
      <c r="D73" s="1606" t="s">
        <v>6955</v>
      </c>
      <c r="E73" s="1607"/>
      <c r="F73" s="1606"/>
      <c r="G73" s="1578"/>
    </row>
    <row r="74" spans="1:7" ht="15.75" thickBot="1" x14ac:dyDescent="0.3">
      <c r="A74" s="1605"/>
      <c r="B74" s="1578"/>
      <c r="C74" s="1608"/>
      <c r="D74" s="1606" t="s">
        <v>6955</v>
      </c>
      <c r="E74" s="1607"/>
      <c r="F74" s="1606"/>
      <c r="G74" s="1578"/>
    </row>
    <row r="75" spans="1:7" ht="15.75" thickBot="1" x14ac:dyDescent="0.3">
      <c r="A75" s="1605"/>
      <c r="B75" s="1578"/>
      <c r="C75" s="1608"/>
      <c r="D75" s="1606" t="s">
        <v>6955</v>
      </c>
      <c r="E75" s="1607"/>
      <c r="F75" s="1606"/>
      <c r="G75" s="1578"/>
    </row>
    <row r="76" spans="1:7" ht="15.75" thickBot="1" x14ac:dyDescent="0.3">
      <c r="A76" s="1605"/>
      <c r="B76" s="1578"/>
      <c r="C76" s="1608"/>
      <c r="D76" s="1606" t="s">
        <v>6955</v>
      </c>
      <c r="E76" s="1607"/>
      <c r="F76" s="1606"/>
      <c r="G76" s="1578"/>
    </row>
    <row r="77" spans="1:7" ht="15.75" thickBot="1" x14ac:dyDescent="0.3">
      <c r="A77" s="1605"/>
      <c r="B77" s="1578"/>
      <c r="C77" s="1608"/>
      <c r="D77" s="1606" t="s">
        <v>6955</v>
      </c>
      <c r="E77" s="1607"/>
      <c r="F77" s="1606"/>
      <c r="G77" s="1578"/>
    </row>
    <row r="78" spans="1:7" ht="15.75" thickBot="1" x14ac:dyDescent="0.3">
      <c r="A78" s="1605"/>
      <c r="B78" s="1578"/>
      <c r="C78" s="1608"/>
      <c r="D78" s="1606" t="s">
        <v>6955</v>
      </c>
      <c r="E78" s="1607"/>
      <c r="F78" s="1606"/>
      <c r="G78" s="1578"/>
    </row>
    <row r="79" spans="1:7" ht="15.75" thickBot="1" x14ac:dyDescent="0.3">
      <c r="A79" s="1601"/>
      <c r="B79" s="1602"/>
      <c r="C79" s="1609"/>
      <c r="D79" s="1603" t="s">
        <v>6955</v>
      </c>
      <c r="E79" s="1604"/>
      <c r="F79" s="1603"/>
      <c r="G79" s="1602"/>
    </row>
    <row r="82" spans="1:7" ht="15.75" customHeight="1" x14ac:dyDescent="0.25">
      <c r="A82" s="1571" t="s">
        <v>615</v>
      </c>
    </row>
    <row r="83" spans="1:7" ht="15.75" thickBot="1" x14ac:dyDescent="0.3">
      <c r="A83" s="1598"/>
      <c r="B83" s="1577"/>
      <c r="C83" s="1582"/>
      <c r="D83" s="1599" t="s">
        <v>6955</v>
      </c>
      <c r="E83" s="1600"/>
      <c r="F83" s="1599"/>
      <c r="G83" s="1577"/>
    </row>
    <row r="84" spans="1:7" ht="15.75" thickBot="1" x14ac:dyDescent="0.3">
      <c r="A84" s="1605"/>
      <c r="B84" s="1578"/>
      <c r="C84" s="1608"/>
      <c r="D84" s="1606" t="s">
        <v>6955</v>
      </c>
      <c r="E84" s="1607"/>
      <c r="F84" s="1606"/>
      <c r="G84" s="1578"/>
    </row>
    <row r="85" spans="1:7" ht="15.75" thickBot="1" x14ac:dyDescent="0.3">
      <c r="A85" s="1605"/>
      <c r="B85" s="1578"/>
      <c r="C85" s="1608"/>
      <c r="D85" s="1606" t="s">
        <v>6955</v>
      </c>
      <c r="E85" s="1607"/>
      <c r="F85" s="1606"/>
      <c r="G85" s="1578"/>
    </row>
    <row r="86" spans="1:7" ht="15.75" thickBot="1" x14ac:dyDescent="0.3">
      <c r="A86" s="1605"/>
      <c r="B86" s="1578"/>
      <c r="C86" s="1608"/>
      <c r="D86" s="1606" t="s">
        <v>6955</v>
      </c>
      <c r="E86" s="1607"/>
      <c r="F86" s="1606"/>
      <c r="G86" s="1578"/>
    </row>
    <row r="87" spans="1:7" ht="15.75" thickBot="1" x14ac:dyDescent="0.3">
      <c r="A87" s="1605"/>
      <c r="B87" s="1578"/>
      <c r="C87" s="1608"/>
      <c r="D87" s="1606" t="s">
        <v>6955</v>
      </c>
      <c r="E87" s="1607"/>
      <c r="F87" s="1606"/>
      <c r="G87" s="1578"/>
    </row>
    <row r="88" spans="1:7" ht="15.75" thickBot="1" x14ac:dyDescent="0.3">
      <c r="A88" s="1605"/>
      <c r="B88" s="1578"/>
      <c r="C88" s="1608"/>
      <c r="D88" s="1606" t="s">
        <v>6955</v>
      </c>
      <c r="E88" s="1607"/>
      <c r="F88" s="1606"/>
      <c r="G88" s="1578"/>
    </row>
    <row r="89" spans="1:7" ht="15.75" thickBot="1" x14ac:dyDescent="0.3">
      <c r="A89" s="1605"/>
      <c r="B89" s="1578"/>
      <c r="C89" s="1608"/>
      <c r="D89" s="1606" t="s">
        <v>6955</v>
      </c>
      <c r="E89" s="1607"/>
      <c r="F89" s="1606"/>
      <c r="G89" s="1578"/>
    </row>
    <row r="90" spans="1:7" ht="15.75" thickBot="1" x14ac:dyDescent="0.3">
      <c r="A90" s="1605"/>
      <c r="B90" s="1578"/>
      <c r="C90" s="1608"/>
      <c r="D90" s="1606" t="s">
        <v>6955</v>
      </c>
      <c r="E90" s="1607"/>
      <c r="F90" s="1606"/>
      <c r="G90" s="1578"/>
    </row>
    <row r="91" spans="1:7" ht="15.75" thickBot="1" x14ac:dyDescent="0.3">
      <c r="A91" s="1605"/>
      <c r="B91" s="1578"/>
      <c r="C91" s="1608"/>
      <c r="D91" s="1606" t="s">
        <v>6955</v>
      </c>
      <c r="E91" s="1607"/>
      <c r="F91" s="1606"/>
      <c r="G91" s="1578"/>
    </row>
    <row r="92" spans="1:7" ht="15.75" thickBot="1" x14ac:dyDescent="0.3">
      <c r="A92" s="1601"/>
      <c r="B92" s="1602"/>
      <c r="C92" s="1609"/>
      <c r="D92" s="1603" t="s">
        <v>6955</v>
      </c>
      <c r="E92" s="1604"/>
      <c r="F92" s="1603"/>
      <c r="G92" s="1602"/>
    </row>
    <row r="95" spans="1:7" ht="15.75" customHeight="1" x14ac:dyDescent="0.25">
      <c r="A95" s="1571" t="s">
        <v>618</v>
      </c>
    </row>
    <row r="96" spans="1:7" ht="15.75" thickBot="1" x14ac:dyDescent="0.3">
      <c r="A96" s="1598"/>
      <c r="B96" s="1577"/>
      <c r="C96" s="1582"/>
      <c r="D96" s="1599" t="s">
        <v>6955</v>
      </c>
      <c r="E96" s="1600"/>
      <c r="F96" s="1599"/>
      <c r="G96" s="1577"/>
    </row>
    <row r="97" spans="1:7" ht="15.75" thickBot="1" x14ac:dyDescent="0.3">
      <c r="A97" s="1605"/>
      <c r="B97" s="1578"/>
      <c r="C97" s="1608"/>
      <c r="D97" s="1606" t="s">
        <v>6955</v>
      </c>
      <c r="E97" s="1607"/>
      <c r="F97" s="1606"/>
      <c r="G97" s="1578"/>
    </row>
    <row r="98" spans="1:7" ht="15.75" thickBot="1" x14ac:dyDescent="0.3">
      <c r="A98" s="1605"/>
      <c r="B98" s="1578"/>
      <c r="C98" s="1608"/>
      <c r="D98" s="1606" t="s">
        <v>6955</v>
      </c>
      <c r="E98" s="1607"/>
      <c r="F98" s="1606"/>
      <c r="G98" s="1578"/>
    </row>
    <row r="99" spans="1:7" ht="15.75" thickBot="1" x14ac:dyDescent="0.3">
      <c r="A99" s="1605"/>
      <c r="B99" s="1578"/>
      <c r="C99" s="1608"/>
      <c r="D99" s="1606" t="s">
        <v>6955</v>
      </c>
      <c r="E99" s="1607"/>
      <c r="F99" s="1606"/>
      <c r="G99" s="1578"/>
    </row>
    <row r="100" spans="1:7" ht="15.75" thickBot="1" x14ac:dyDescent="0.3">
      <c r="A100" s="1605"/>
      <c r="B100" s="1578"/>
      <c r="C100" s="1608"/>
      <c r="D100" s="1606" t="s">
        <v>6955</v>
      </c>
      <c r="E100" s="1607"/>
      <c r="F100" s="1606"/>
      <c r="G100" s="1578"/>
    </row>
    <row r="101" spans="1:7" ht="15.75" thickBot="1" x14ac:dyDescent="0.3">
      <c r="A101" s="1605"/>
      <c r="B101" s="1578"/>
      <c r="C101" s="1608"/>
      <c r="D101" s="1606" t="s">
        <v>6955</v>
      </c>
      <c r="E101" s="1607"/>
      <c r="F101" s="1606"/>
      <c r="G101" s="1578"/>
    </row>
    <row r="102" spans="1:7" ht="15.75" thickBot="1" x14ac:dyDescent="0.3">
      <c r="A102" s="1605"/>
      <c r="B102" s="1578"/>
      <c r="C102" s="1608"/>
      <c r="D102" s="1606" t="s">
        <v>6955</v>
      </c>
      <c r="E102" s="1607"/>
      <c r="F102" s="1606"/>
      <c r="G102" s="1578"/>
    </row>
    <row r="103" spans="1:7" ht="15.75" thickBot="1" x14ac:dyDescent="0.3">
      <c r="A103" s="1605"/>
      <c r="B103" s="1578"/>
      <c r="C103" s="1608"/>
      <c r="D103" s="1606" t="s">
        <v>6955</v>
      </c>
      <c r="E103" s="1607"/>
      <c r="F103" s="1606"/>
      <c r="G103" s="1578"/>
    </row>
    <row r="104" spans="1:7" ht="15.75" thickBot="1" x14ac:dyDescent="0.3">
      <c r="A104" s="1605"/>
      <c r="B104" s="1578"/>
      <c r="C104" s="1608"/>
      <c r="D104" s="1606" t="s">
        <v>6955</v>
      </c>
      <c r="E104" s="1607"/>
      <c r="F104" s="1606"/>
      <c r="G104" s="1578"/>
    </row>
    <row r="105" spans="1:7" ht="15.75" thickBot="1" x14ac:dyDescent="0.3">
      <c r="A105" s="1601"/>
      <c r="B105" s="1602"/>
      <c r="C105" s="1609"/>
      <c r="D105" s="1603" t="s">
        <v>6955</v>
      </c>
      <c r="E105" s="1604"/>
      <c r="F105" s="1603"/>
      <c r="G105" s="1602"/>
    </row>
  </sheetData>
  <sheetProtection algorithmName="SHA-512" hashValue="m46Ah66qlixxFGF7u88ih/aTEzR0hbVvAqFgYXBByxRu9u+5eiXtGYsc+H08rtutW5Mz0jGwQTteoRzr+FbMsw==" saltValue="WOYXbeXNz/BbCHDWy7zQjQ==" spinCount="100000" sheet="1" objects="1" scenarios="1"/>
  <mergeCells count="3">
    <mergeCell ref="B5:E5"/>
    <mergeCell ref="B9:E9"/>
    <mergeCell ref="A11:F11"/>
  </mergeCells>
  <dataValidations count="3">
    <dataValidation allowBlank="1" showInputMessage="1" showErrorMessage="1" sqref="AA1:AA8 AA11:AA12"/>
    <dataValidation type="list" allowBlank="1" showInputMessage="1" showErrorMessage="1" sqref="B18 B19 B20 B21 B22 B23 B24 B25 B26 B27 B31 B32 B33 B34 B35 B36 B37 B38 B39 B40 B44 B45 B46 B47 B48 B49 B50 B51 B52 B53 B57 B58 B59 B60 B61 B62 B63 B64 B65 B66 B70 B71 B72 B73 B74 B75 B76 B77 B78 B79 B83 B84 B85 B86 B87 B88 B89 B90 B91 B92 B96 B97 B98 B99 B100 B101 B102 B103 B104 B105">
      <formula1>"$, $/kWh, $/kW, $/kVa"</formula1>
    </dataValidation>
    <dataValidation type="list" allowBlank="1" showInputMessage="1" showErrorMessage="1" sqref="G18 G19 G20 G21 G22 G23 G24 G25 G26 G27 G31 G32 G33 G34 G35 G36 G37 G38 G39 G40 G44 G45 G46 G47 G48 G49 G50 G51 G52 G53 G57 G58 G59 G60 G61 G62 G63 G64 G65 G66 G70 G71 G72 G73 G74 G75 G76 G77 G78 G79 G83 G84 G85 G86 G87 G88 G89 G90 G91 G92 G96 G97 G98 G99 G100 G101 G102 G103 G104 G105">
      <formula1>"A,B"</formula1>
    </dataValidation>
  </dataValidations>
  <pageMargins left="0.25" right="0.25" top="0.75" bottom="0.75" header="0.3" footer="0.3"/>
  <pageSetup scale="36" orientation="portrait" r:id="rId1"/>
  <headerFooter>
    <oddFooter>&amp;C&amp;A</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B1:CB289"/>
  <sheetViews>
    <sheetView showGridLines="0" topLeftCell="A16" zoomScale="120" zoomScaleNormal="120" workbookViewId="0">
      <selection activeCell="B1" sqref="B1:E1"/>
    </sheetView>
  </sheetViews>
  <sheetFormatPr defaultColWidth="9.140625" defaultRowHeight="127.5" customHeight="1" x14ac:dyDescent="0.25"/>
  <cols>
    <col min="1" max="1" width="5.140625" style="409" customWidth="1"/>
    <col min="2" max="2" width="54" style="409" customWidth="1"/>
    <col min="3" max="3" width="16.42578125" style="409" customWidth="1"/>
    <col min="4" max="4" width="10.28515625" style="409" customWidth="1"/>
    <col min="5" max="5" width="9.28515625" style="409" customWidth="1"/>
    <col min="6" max="6" width="9.140625" style="409" hidden="1" customWidth="1"/>
    <col min="7" max="7" width="10.140625" style="409" hidden="1" customWidth="1"/>
    <col min="8" max="8" width="20.7109375" style="409" hidden="1" customWidth="1"/>
    <col min="9" max="9" width="14" style="409" hidden="1" customWidth="1"/>
    <col min="10" max="10" width="10" style="409" hidden="1" customWidth="1"/>
    <col min="11" max="11" width="2.5703125" style="409" hidden="1" customWidth="1"/>
    <col min="12" max="12" width="4" style="409" hidden="1" customWidth="1"/>
    <col min="13" max="13" width="68.42578125" style="409" hidden="1" customWidth="1"/>
    <col min="14" max="15" width="9.140625" style="409" hidden="1" customWidth="1"/>
    <col min="16" max="16" width="10.7109375" style="409" hidden="1" customWidth="1"/>
    <col min="17" max="17" width="14.85546875" style="409" hidden="1" customWidth="1"/>
    <col min="18" max="25" width="9.140625" style="409" hidden="1" customWidth="1"/>
    <col min="26" max="26" width="69.7109375" style="409" hidden="1" customWidth="1"/>
    <col min="27" max="27" width="87.5703125" style="409" hidden="1" customWidth="1"/>
    <col min="28" max="52" width="9.140625" style="409" hidden="1" customWidth="1"/>
    <col min="53" max="53" width="58.28515625" style="409" hidden="1" customWidth="1"/>
    <col min="54" max="54" width="75.42578125" style="409" hidden="1" customWidth="1"/>
    <col min="55" max="55" width="87.5703125" style="409" hidden="1" customWidth="1"/>
    <col min="56" max="80" width="9.140625" style="409" hidden="1" customWidth="1"/>
    <col min="81" max="143" width="9.140625" style="409" customWidth="1"/>
    <col min="144" max="701" width="9.140625" style="409"/>
    <col min="702" max="702" width="74" style="409" customWidth="1"/>
    <col min="703" max="16384" width="9.140625" style="409"/>
  </cols>
  <sheetData>
    <row r="1" spans="2:55" s="841" customFormat="1" ht="23.25" x14ac:dyDescent="0.25">
      <c r="B1" s="1699" t="s">
        <v>208</v>
      </c>
      <c r="C1" s="1699"/>
      <c r="D1" s="1699"/>
      <c r="E1" s="1699"/>
      <c r="F1" s="841" t="s">
        <v>628</v>
      </c>
      <c r="G1" s="1640" t="s">
        <v>4807</v>
      </c>
      <c r="H1" s="841" t="s">
        <v>208</v>
      </c>
      <c r="J1" s="1357">
        <v>7</v>
      </c>
      <c r="N1" s="1357"/>
      <c r="P1" s="1420"/>
      <c r="Q1" s="1420"/>
      <c r="AA1" s="1069" t="s">
        <v>208</v>
      </c>
    </row>
    <row r="2" spans="2:55" s="841" customFormat="1" ht="18" x14ac:dyDescent="0.25">
      <c r="B2" s="1700" t="s">
        <v>3053</v>
      </c>
      <c r="C2" s="1700"/>
      <c r="D2" s="1700"/>
      <c r="E2" s="1700"/>
      <c r="G2" s="1640"/>
      <c r="J2" s="1357"/>
      <c r="N2" s="1357"/>
      <c r="P2" s="1420"/>
      <c r="Q2" s="1420"/>
      <c r="AA2" s="1071" t="s">
        <v>3053</v>
      </c>
    </row>
    <row r="3" spans="2:55" s="841" customFormat="1" ht="15.75" x14ac:dyDescent="0.25">
      <c r="B3" s="1701" t="s">
        <v>6956</v>
      </c>
      <c r="C3" s="1701"/>
      <c r="D3" s="1701"/>
      <c r="E3" s="1701"/>
      <c r="G3" s="1640"/>
      <c r="J3" s="1357"/>
      <c r="N3" s="1357"/>
      <c r="P3" s="1420">
        <v>43221</v>
      </c>
      <c r="Q3" s="1420"/>
      <c r="AA3" s="1072" t="s">
        <v>5107</v>
      </c>
    </row>
    <row r="4" spans="2:55" s="841" customFormat="1" ht="11.25" customHeight="1" x14ac:dyDescent="0.25">
      <c r="B4" s="1702" t="s">
        <v>3056</v>
      </c>
      <c r="C4" s="1702"/>
      <c r="D4" s="1702"/>
      <c r="E4" s="1702"/>
      <c r="G4" s="1640"/>
      <c r="J4" s="1357"/>
      <c r="N4" s="1357"/>
      <c r="P4" s="1420"/>
      <c r="Q4" s="1420"/>
      <c r="AA4" s="1073" t="s">
        <v>3056</v>
      </c>
    </row>
    <row r="5" spans="2:55" s="841" customFormat="1" ht="11.25" customHeight="1" x14ac:dyDescent="0.25">
      <c r="B5" s="1702" t="s">
        <v>3057</v>
      </c>
      <c r="C5" s="1702"/>
      <c r="D5" s="1702"/>
      <c r="E5" s="1702"/>
      <c r="G5" s="1640"/>
      <c r="J5" s="1357"/>
      <c r="N5" s="1357"/>
      <c r="P5" s="1420"/>
      <c r="Q5" s="1420"/>
      <c r="AA5" s="1073" t="s">
        <v>3057</v>
      </c>
    </row>
    <row r="6" spans="2:55" s="841" customFormat="1" ht="11.25" customHeight="1" x14ac:dyDescent="0.25">
      <c r="B6" s="1703" t="s">
        <v>6901</v>
      </c>
      <c r="C6" s="1703"/>
      <c r="D6" s="1703"/>
      <c r="E6" s="1703"/>
      <c r="G6" s="1640"/>
      <c r="H6" s="841" t="s">
        <v>5726</v>
      </c>
      <c r="J6" s="1357"/>
      <c r="N6" s="1357"/>
      <c r="P6" s="1420"/>
      <c r="Q6" s="1420"/>
      <c r="AA6" s="1644" t="s">
        <v>5726</v>
      </c>
      <c r="AS6" s="841" t="s">
        <v>628</v>
      </c>
    </row>
    <row r="7" spans="2:55" s="841" customFormat="1" ht="18" x14ac:dyDescent="0.25">
      <c r="B7" s="1695" t="s">
        <v>438</v>
      </c>
      <c r="C7" s="1698"/>
      <c r="D7" s="1698"/>
      <c r="E7" s="1698"/>
      <c r="G7" s="1640"/>
      <c r="H7" s="841" t="s">
        <v>3197</v>
      </c>
      <c r="J7" s="1357"/>
      <c r="N7" s="1357"/>
      <c r="P7" s="1420"/>
      <c r="Q7" s="1420"/>
      <c r="AA7" s="1071" t="s">
        <v>438</v>
      </c>
      <c r="BC7" s="1071" t="s">
        <v>438</v>
      </c>
    </row>
    <row r="8" spans="2:55" s="841" customFormat="1" ht="48" x14ac:dyDescent="0.25">
      <c r="B8" s="1689" t="s">
        <v>4808</v>
      </c>
      <c r="C8" s="1689"/>
      <c r="D8" s="1689"/>
      <c r="E8" s="1689"/>
      <c r="G8" s="1640"/>
      <c r="H8" s="841" t="s">
        <v>3197</v>
      </c>
      <c r="J8" s="1357"/>
      <c r="N8" s="1357"/>
      <c r="P8" s="1420"/>
      <c r="Q8" s="1420"/>
      <c r="AA8" s="1642" t="s">
        <v>4808</v>
      </c>
      <c r="BC8" s="1642" t="s">
        <v>4808</v>
      </c>
    </row>
    <row r="9" spans="2:55" s="841" customFormat="1" ht="36" x14ac:dyDescent="0.25">
      <c r="B9" s="1689" t="s">
        <v>4809</v>
      </c>
      <c r="C9" s="1689"/>
      <c r="D9" s="1689"/>
      <c r="E9" s="1689"/>
      <c r="G9" s="1640"/>
      <c r="H9" s="841" t="s">
        <v>3197</v>
      </c>
      <c r="J9" s="1357"/>
      <c r="N9" s="1357"/>
      <c r="P9" s="1420"/>
      <c r="Q9" s="1420"/>
      <c r="AA9" s="1642" t="s">
        <v>4809</v>
      </c>
      <c r="BC9" s="1642" t="s">
        <v>4809</v>
      </c>
    </row>
    <row r="10" spans="2:55" s="841" customFormat="1" ht="6.75" customHeight="1" x14ac:dyDescent="0.25">
      <c r="B10" s="1631"/>
      <c r="C10" s="1631"/>
      <c r="D10" s="1631"/>
      <c r="E10" s="1631"/>
      <c r="G10" s="1640"/>
      <c r="J10" s="1357"/>
      <c r="N10" s="1357"/>
      <c r="P10" s="1420"/>
      <c r="Q10" s="1420"/>
    </row>
    <row r="11" spans="2:55" s="841" customFormat="1" ht="11.25" customHeight="1" x14ac:dyDescent="0.25">
      <c r="B11" s="1696" t="s">
        <v>3061</v>
      </c>
      <c r="C11" s="1697"/>
      <c r="D11" s="1697"/>
      <c r="E11" s="1697"/>
      <c r="G11" s="1640"/>
      <c r="H11" s="841" t="s">
        <v>3062</v>
      </c>
      <c r="J11" s="1357"/>
      <c r="N11" s="1357"/>
      <c r="P11" s="1420"/>
      <c r="Q11" s="1420"/>
      <c r="AA11" s="1073" t="s">
        <v>3061</v>
      </c>
      <c r="BC11" s="1073" t="s">
        <v>3061</v>
      </c>
    </row>
    <row r="12" spans="2:55" s="841" customFormat="1" ht="6.75" customHeight="1" x14ac:dyDescent="0.25">
      <c r="B12" s="1637"/>
      <c r="C12" s="1638"/>
      <c r="D12" s="1638"/>
      <c r="E12" s="1638"/>
      <c r="G12" s="1640"/>
      <c r="J12" s="1357"/>
      <c r="N12" s="1357"/>
      <c r="P12" s="1420"/>
      <c r="Q12" s="1420"/>
    </row>
    <row r="13" spans="2:55" s="841" customFormat="1" ht="36" x14ac:dyDescent="0.25">
      <c r="B13" s="1689" t="s">
        <v>3063</v>
      </c>
      <c r="C13" s="1689"/>
      <c r="D13" s="1689"/>
      <c r="E13" s="1689"/>
      <c r="G13" s="1640"/>
      <c r="H13" s="841" t="s">
        <v>3197</v>
      </c>
      <c r="J13" s="1357"/>
      <c r="N13" s="1357"/>
      <c r="P13" s="1420"/>
      <c r="Q13" s="1420"/>
      <c r="AA13" s="1642" t="s">
        <v>3063</v>
      </c>
      <c r="BC13" s="1642" t="s">
        <v>3063</v>
      </c>
    </row>
    <row r="14" spans="2:55" s="841" customFormat="1" ht="6.75" customHeight="1" x14ac:dyDescent="0.25">
      <c r="B14" s="1631"/>
      <c r="C14" s="1631"/>
      <c r="D14" s="1631"/>
      <c r="E14" s="1631"/>
      <c r="G14" s="1640"/>
      <c r="J14" s="1357"/>
      <c r="N14" s="1357"/>
      <c r="P14" s="1420"/>
      <c r="Q14" s="1420"/>
    </row>
    <row r="15" spans="2:55" s="841" customFormat="1" ht="48" x14ac:dyDescent="0.25">
      <c r="B15" s="1689" t="s">
        <v>3064</v>
      </c>
      <c r="C15" s="1689"/>
      <c r="D15" s="1689"/>
      <c r="E15" s="1689"/>
      <c r="G15" s="1640"/>
      <c r="H15" s="841" t="s">
        <v>3197</v>
      </c>
      <c r="J15" s="1357"/>
      <c r="N15" s="1357"/>
      <c r="P15" s="1420"/>
      <c r="Q15" s="1420"/>
      <c r="AA15" s="1642" t="s">
        <v>3064</v>
      </c>
      <c r="BC15" s="1642" t="s">
        <v>3064</v>
      </c>
    </row>
    <row r="16" spans="2:55" s="841" customFormat="1" ht="6.75" customHeight="1" x14ac:dyDescent="0.25">
      <c r="B16" s="1631"/>
      <c r="C16" s="1631"/>
      <c r="D16" s="1631"/>
      <c r="E16" s="1631"/>
      <c r="G16" s="1640"/>
      <c r="J16" s="1357"/>
      <c r="N16" s="1357"/>
      <c r="P16" s="1420"/>
      <c r="Q16" s="1420"/>
    </row>
    <row r="17" spans="2:55" s="841" customFormat="1" ht="48" x14ac:dyDescent="0.25">
      <c r="B17" s="1689" t="s">
        <v>3199</v>
      </c>
      <c r="C17" s="1689"/>
      <c r="D17" s="1689"/>
      <c r="E17" s="1689"/>
      <c r="G17" s="1640"/>
      <c r="H17" s="841" t="s">
        <v>3197</v>
      </c>
      <c r="J17" s="1357"/>
      <c r="N17" s="1357"/>
      <c r="P17" s="1420"/>
      <c r="Q17" s="1420"/>
      <c r="AA17" s="1642" t="s">
        <v>3199</v>
      </c>
      <c r="BC17" s="1642" t="s">
        <v>3199</v>
      </c>
    </row>
    <row r="18" spans="2:55" s="841" customFormat="1" ht="6.75" customHeight="1" x14ac:dyDescent="0.25">
      <c r="B18" s="1631"/>
      <c r="C18" s="1631"/>
      <c r="D18" s="1631"/>
      <c r="E18" s="1631"/>
      <c r="G18" s="1640"/>
      <c r="J18" s="1357"/>
      <c r="N18" s="1357"/>
      <c r="P18" s="1420"/>
      <c r="Q18" s="1420"/>
    </row>
    <row r="19" spans="2:55" s="841" customFormat="1" ht="36" x14ac:dyDescent="0.25">
      <c r="B19" s="1689" t="s">
        <v>3066</v>
      </c>
      <c r="C19" s="1689"/>
      <c r="D19" s="1689"/>
      <c r="E19" s="1689"/>
      <c r="G19" s="1640"/>
      <c r="H19" s="841" t="s">
        <v>3197</v>
      </c>
      <c r="J19" s="1357"/>
      <c r="N19" s="1357"/>
      <c r="P19" s="1420"/>
      <c r="Q19" s="1420"/>
      <c r="AA19" s="1642" t="s">
        <v>3066</v>
      </c>
      <c r="BC19" s="1642" t="s">
        <v>3066</v>
      </c>
    </row>
    <row r="20" spans="2:55" s="841" customFormat="1" ht="6.75" customHeight="1" x14ac:dyDescent="0.25">
      <c r="B20" s="1631"/>
      <c r="C20" s="1631"/>
      <c r="D20" s="1631"/>
      <c r="E20" s="1631"/>
      <c r="G20" s="1640"/>
      <c r="J20" s="1357"/>
      <c r="N20" s="1357"/>
      <c r="P20" s="1420"/>
      <c r="Q20" s="1420"/>
    </row>
    <row r="21" spans="2:55" s="841" customFormat="1" ht="11.25" customHeight="1" x14ac:dyDescent="0.25">
      <c r="B21" s="1692" t="s">
        <v>3067</v>
      </c>
      <c r="C21" s="1693"/>
      <c r="D21" s="1693"/>
      <c r="E21" s="1693"/>
      <c r="G21" s="1640"/>
      <c r="H21" s="841" t="s">
        <v>3068</v>
      </c>
      <c r="J21" s="1357"/>
      <c r="N21" s="1357"/>
      <c r="P21" s="1420"/>
      <c r="Q21" s="1420"/>
      <c r="AA21" s="1073" t="s">
        <v>3067</v>
      </c>
      <c r="BC21" s="1073" t="s">
        <v>3067</v>
      </c>
    </row>
    <row r="22" spans="2:55" s="841" customFormat="1" ht="6.75" customHeight="1" x14ac:dyDescent="0.25">
      <c r="B22" s="1634"/>
      <c r="C22" s="1635"/>
      <c r="D22" s="1635"/>
      <c r="E22" s="1635"/>
      <c r="G22" s="1640"/>
      <c r="J22" s="1357"/>
      <c r="N22" s="1357"/>
      <c r="P22" s="1420"/>
      <c r="Q22" s="1420"/>
    </row>
    <row r="23" spans="2:55" s="841" customFormat="1" ht="11.25" customHeight="1" x14ac:dyDescent="0.25">
      <c r="B23" s="1690" t="s">
        <v>4810</v>
      </c>
      <c r="C23" s="1690"/>
      <c r="D23" s="1643" t="s">
        <v>23</v>
      </c>
      <c r="E23" s="1351">
        <v>25.6</v>
      </c>
      <c r="G23" s="1640"/>
      <c r="H23" s="841" t="s">
        <v>3197</v>
      </c>
      <c r="I23" s="841" t="s">
        <v>442</v>
      </c>
      <c r="J23" s="1357"/>
      <c r="M23" s="841" t="s">
        <v>3201</v>
      </c>
      <c r="N23" s="1357"/>
      <c r="P23" s="1420"/>
      <c r="Q23" s="1420"/>
      <c r="Z23" s="1644" t="s">
        <v>3201</v>
      </c>
      <c r="BB23" s="1644" t="s">
        <v>4810</v>
      </c>
    </row>
    <row r="24" spans="2:55" s="841" customFormat="1" ht="22.5" x14ac:dyDescent="0.25">
      <c r="B24" s="1690" t="s">
        <v>5727</v>
      </c>
      <c r="C24" s="1690"/>
      <c r="D24" s="1643" t="s">
        <v>23</v>
      </c>
      <c r="E24" s="391">
        <v>0.52</v>
      </c>
      <c r="G24" s="1640"/>
      <c r="H24" s="841" t="s">
        <v>3197</v>
      </c>
      <c r="I24" s="841" t="s">
        <v>442</v>
      </c>
      <c r="J24" s="1357"/>
      <c r="M24" s="841" t="s">
        <v>6394</v>
      </c>
      <c r="N24" s="1357"/>
      <c r="P24" s="1420"/>
      <c r="Q24" s="1420"/>
      <c r="Z24" s="1644" t="s">
        <v>5727</v>
      </c>
      <c r="BB24" s="1644" t="s">
        <v>5727</v>
      </c>
    </row>
    <row r="25" spans="2:55" s="841" customFormat="1" ht="11.25" customHeight="1" x14ac:dyDescent="0.25">
      <c r="B25" s="1690" t="s">
        <v>5109</v>
      </c>
      <c r="C25" s="1690"/>
      <c r="D25" s="1643" t="s">
        <v>23</v>
      </c>
      <c r="E25" s="391">
        <v>0.56999999999999995</v>
      </c>
      <c r="G25" s="1640"/>
      <c r="H25" s="841" t="s">
        <v>3197</v>
      </c>
      <c r="I25" s="841" t="s">
        <v>443</v>
      </c>
      <c r="J25" s="1357"/>
      <c r="M25" s="841" t="s">
        <v>3202</v>
      </c>
      <c r="N25" s="1357"/>
      <c r="P25" s="1420"/>
      <c r="Q25" s="1420">
        <v>44926</v>
      </c>
      <c r="Z25" s="1644" t="s">
        <v>3202</v>
      </c>
      <c r="BB25" s="1644" t="s">
        <v>5109</v>
      </c>
    </row>
    <row r="26" spans="2:55" s="841" customFormat="1" ht="11.25" customHeight="1" x14ac:dyDescent="0.25">
      <c r="B26" s="1690" t="s">
        <v>4813</v>
      </c>
      <c r="C26" s="1690"/>
      <c r="D26" s="1643" t="s">
        <v>24</v>
      </c>
      <c r="E26" s="393">
        <v>4.8999999999999998E-3</v>
      </c>
      <c r="G26" s="1640"/>
      <c r="H26" s="841" t="s">
        <v>3197</v>
      </c>
      <c r="I26" s="841" t="s">
        <v>443</v>
      </c>
      <c r="J26" s="1357"/>
      <c r="M26" s="841" t="s">
        <v>3204</v>
      </c>
      <c r="N26" s="1357"/>
      <c r="P26" s="1420"/>
      <c r="Q26" s="1420"/>
      <c r="Z26" s="1644" t="s">
        <v>4813</v>
      </c>
      <c r="BB26" s="1644" t="s">
        <v>4813</v>
      </c>
    </row>
    <row r="27" spans="2:55" s="841" customFormat="1" ht="22.5" x14ac:dyDescent="0.25">
      <c r="B27" s="1690" t="s">
        <v>6971</v>
      </c>
      <c r="C27" s="1862"/>
      <c r="D27" s="1643" t="s">
        <v>24</v>
      </c>
      <c r="E27" s="393">
        <v>2E-3</v>
      </c>
      <c r="G27" s="1640"/>
      <c r="H27" s="841" t="s">
        <v>3197</v>
      </c>
      <c r="I27" s="841" t="s">
        <v>443</v>
      </c>
      <c r="J27" s="1357"/>
      <c r="M27" s="841" t="s">
        <v>3205</v>
      </c>
      <c r="N27" s="1357"/>
      <c r="P27" s="1420"/>
      <c r="Q27" s="1420"/>
      <c r="Z27" s="1644"/>
      <c r="BB27" s="1644" t="s">
        <v>6971</v>
      </c>
    </row>
    <row r="28" spans="2:55" s="841" customFormat="1" ht="22.5" x14ac:dyDescent="0.25">
      <c r="B28" s="1690" t="s">
        <v>6979</v>
      </c>
      <c r="C28" s="1862"/>
      <c r="D28" s="1643" t="s">
        <v>24</v>
      </c>
      <c r="E28" s="393">
        <v>2.9999999999999997E-4</v>
      </c>
      <c r="G28" s="1640"/>
      <c r="H28" s="841" t="s">
        <v>3197</v>
      </c>
      <c r="I28" s="841" t="s">
        <v>442</v>
      </c>
      <c r="J28" s="1357"/>
      <c r="M28" s="841" t="s">
        <v>3206</v>
      </c>
      <c r="N28" s="1357"/>
      <c r="P28" s="1420"/>
      <c r="Q28" s="1420"/>
      <c r="Z28" s="1644"/>
      <c r="BB28" s="1644" t="s">
        <v>6979</v>
      </c>
    </row>
    <row r="29" spans="2:55" s="841" customFormat="1" ht="11.25" customHeight="1" x14ac:dyDescent="0.25">
      <c r="B29" s="1690" t="s">
        <v>6972</v>
      </c>
      <c r="C29" s="1862"/>
      <c r="D29" s="1643" t="s">
        <v>24</v>
      </c>
      <c r="E29" s="393">
        <v>-1.8E-3</v>
      </c>
      <c r="G29" s="1640"/>
      <c r="H29" s="841" t="s">
        <v>3197</v>
      </c>
      <c r="I29" s="841" t="s">
        <v>443</v>
      </c>
      <c r="J29" s="1357"/>
      <c r="M29" s="841" t="s">
        <v>6973</v>
      </c>
      <c r="N29" s="1357"/>
      <c r="P29" s="1420"/>
      <c r="Q29" s="1420"/>
      <c r="Z29" s="1644"/>
      <c r="BB29" s="1644" t="s">
        <v>6972</v>
      </c>
    </row>
    <row r="30" spans="2:55" s="841" customFormat="1" ht="11.25" customHeight="1" x14ac:dyDescent="0.25">
      <c r="B30" s="1690" t="s">
        <v>4815</v>
      </c>
      <c r="C30" s="1690"/>
      <c r="D30" s="1643" t="s">
        <v>24</v>
      </c>
      <c r="E30" s="1352">
        <v>6.4000000000000003E-3</v>
      </c>
      <c r="G30" s="1640"/>
      <c r="H30" s="841" t="s">
        <v>3197</v>
      </c>
      <c r="I30" s="841" t="s">
        <v>444</v>
      </c>
      <c r="J30" s="1357"/>
      <c r="M30" s="841" t="s">
        <v>4816</v>
      </c>
      <c r="N30" s="1357"/>
      <c r="P30" s="1420"/>
      <c r="Q30" s="1420"/>
      <c r="Z30" s="1644" t="s">
        <v>4816</v>
      </c>
      <c r="AZ30" s="841" t="s">
        <v>6957</v>
      </c>
      <c r="BB30" s="1644" t="s">
        <v>4815</v>
      </c>
    </row>
    <row r="31" spans="2:55" s="841" customFormat="1" ht="22.5" x14ac:dyDescent="0.25">
      <c r="B31" s="1690" t="s">
        <v>3628</v>
      </c>
      <c r="C31" s="1690"/>
      <c r="D31" s="1643" t="s">
        <v>24</v>
      </c>
      <c r="E31" s="1352">
        <v>5.1000000000000004E-3</v>
      </c>
      <c r="G31" s="1640"/>
      <c r="H31" s="841" t="s">
        <v>3197</v>
      </c>
      <c r="I31" s="841" t="s">
        <v>444</v>
      </c>
      <c r="J31" s="1357"/>
      <c r="M31" s="841" t="s">
        <v>4817</v>
      </c>
      <c r="N31" s="1357"/>
      <c r="P31" s="1420"/>
      <c r="Q31" s="1420"/>
      <c r="Z31" s="1644" t="s">
        <v>4817</v>
      </c>
      <c r="AZ31" s="841" t="s">
        <v>6958</v>
      </c>
      <c r="BB31" s="1644" t="s">
        <v>3628</v>
      </c>
    </row>
    <row r="32" spans="2:55" s="841" customFormat="1" ht="6.75" customHeight="1" x14ac:dyDescent="0.25">
      <c r="B32" s="1632"/>
      <c r="C32" s="1632"/>
      <c r="D32" s="1643"/>
      <c r="E32" s="393"/>
      <c r="G32" s="1640"/>
      <c r="J32" s="1357"/>
      <c r="N32" s="1357"/>
      <c r="P32" s="1420"/>
      <c r="Q32" s="1420"/>
    </row>
    <row r="33" spans="2:55" s="841" customFormat="1" ht="11.25" customHeight="1" x14ac:dyDescent="0.25">
      <c r="B33" s="1694" t="s">
        <v>3079</v>
      </c>
      <c r="C33" s="1690"/>
      <c r="D33" s="1643"/>
      <c r="E33" s="1187"/>
      <c r="G33" s="1640"/>
      <c r="H33" s="841" t="s">
        <v>3080</v>
      </c>
      <c r="J33" s="1357"/>
      <c r="N33" s="1357"/>
      <c r="P33" s="1420"/>
      <c r="Q33" s="1420"/>
      <c r="Z33" s="1073" t="s">
        <v>3079</v>
      </c>
      <c r="BB33" s="1073" t="s">
        <v>3079</v>
      </c>
    </row>
    <row r="34" spans="2:55" s="841" customFormat="1" ht="6.75" customHeight="1" x14ac:dyDescent="0.25">
      <c r="B34" s="1636"/>
      <c r="C34" s="1632"/>
      <c r="D34" s="1643"/>
      <c r="E34" s="1187"/>
      <c r="G34" s="1640"/>
      <c r="J34" s="1357"/>
      <c r="N34" s="1357"/>
      <c r="P34" s="1420"/>
      <c r="Q34" s="1420"/>
    </row>
    <row r="35" spans="2:55" s="841" customFormat="1" ht="11.25" customHeight="1" x14ac:dyDescent="0.25">
      <c r="B35" s="1690" t="s">
        <v>2449</v>
      </c>
      <c r="C35" s="1690"/>
      <c r="D35" s="1643" t="s">
        <v>24</v>
      </c>
      <c r="E35" s="393">
        <v>3.2000000000000002E-3</v>
      </c>
      <c r="G35" s="1640"/>
      <c r="H35" s="841" t="s">
        <v>3197</v>
      </c>
      <c r="I35" s="841" t="s">
        <v>3046</v>
      </c>
      <c r="J35" s="1357"/>
      <c r="M35" s="841" t="s">
        <v>3210</v>
      </c>
      <c r="N35" s="1357"/>
      <c r="P35" s="1420"/>
      <c r="Q35" s="1420"/>
      <c r="Z35" s="1644" t="s">
        <v>2449</v>
      </c>
      <c r="BB35" s="1644" t="s">
        <v>2449</v>
      </c>
    </row>
    <row r="36" spans="2:55" s="841" customFormat="1" ht="11.25" customHeight="1" x14ac:dyDescent="0.25">
      <c r="B36" s="1690" t="s">
        <v>2450</v>
      </c>
      <c r="C36" s="1690"/>
      <c r="D36" s="1643" t="s">
        <v>24</v>
      </c>
      <c r="E36" s="393">
        <v>4.0000000000000002E-4</v>
      </c>
      <c r="G36" s="1640"/>
      <c r="H36" s="841" t="s">
        <v>3197</v>
      </c>
      <c r="I36" s="841" t="s">
        <v>3046</v>
      </c>
      <c r="J36" s="1357"/>
      <c r="M36" s="841" t="s">
        <v>3210</v>
      </c>
      <c r="N36" s="1357"/>
      <c r="P36" s="1420"/>
      <c r="Q36" s="1420"/>
      <c r="Z36" s="1644" t="s">
        <v>2450</v>
      </c>
      <c r="BB36" s="1644" t="s">
        <v>2450</v>
      </c>
    </row>
    <row r="37" spans="2:55" s="841" customFormat="1" ht="11.25" customHeight="1" x14ac:dyDescent="0.25">
      <c r="B37" s="1690" t="s">
        <v>439</v>
      </c>
      <c r="C37" s="1690"/>
      <c r="D37" s="1643" t="s">
        <v>24</v>
      </c>
      <c r="E37" s="393">
        <v>2.9999999999999997E-4</v>
      </c>
      <c r="G37" s="1640"/>
      <c r="H37" s="841" t="s">
        <v>3197</v>
      </c>
      <c r="I37" s="841" t="s">
        <v>3046</v>
      </c>
      <c r="J37" s="1357"/>
      <c r="M37" s="841" t="s">
        <v>3212</v>
      </c>
      <c r="N37" s="1357"/>
      <c r="P37" s="1420"/>
      <c r="Q37" s="1420"/>
      <c r="Z37" s="1644" t="s">
        <v>439</v>
      </c>
      <c r="BB37" s="1644" t="s">
        <v>439</v>
      </c>
    </row>
    <row r="38" spans="2:55" s="841" customFormat="1" ht="11.25" customHeight="1" x14ac:dyDescent="0.25">
      <c r="B38" s="1690" t="s">
        <v>32</v>
      </c>
      <c r="C38" s="1690"/>
      <c r="D38" s="1643" t="s">
        <v>23</v>
      </c>
      <c r="E38" s="391">
        <v>0.25</v>
      </c>
      <c r="G38" s="1640"/>
      <c r="H38" s="841" t="s">
        <v>3197</v>
      </c>
      <c r="I38" s="841" t="s">
        <v>3046</v>
      </c>
      <c r="J38" s="1357"/>
      <c r="M38" s="841" t="s">
        <v>3213</v>
      </c>
      <c r="N38" s="1357"/>
      <c r="P38" s="1420"/>
      <c r="Q38" s="1420"/>
      <c r="Z38" s="1644" t="s">
        <v>32</v>
      </c>
      <c r="AS38" s="841" t="s">
        <v>628</v>
      </c>
      <c r="BB38" s="1644" t="s">
        <v>32</v>
      </c>
    </row>
    <row r="39" spans="2:55" s="1070" customFormat="1" ht="36" x14ac:dyDescent="0.3">
      <c r="B39" s="1695" t="s">
        <v>3214</v>
      </c>
      <c r="C39" s="1695"/>
      <c r="D39" s="1695"/>
      <c r="E39" s="1695"/>
      <c r="G39" s="1347"/>
      <c r="H39" s="1070" t="s">
        <v>5110</v>
      </c>
      <c r="J39" s="1447"/>
      <c r="N39" s="1447"/>
      <c r="P39" s="1448"/>
      <c r="Q39" s="1448"/>
      <c r="AA39" s="1071" t="s">
        <v>3214</v>
      </c>
      <c r="BC39" s="1071" t="s">
        <v>3214</v>
      </c>
    </row>
    <row r="40" spans="2:55" s="841" customFormat="1" ht="48" x14ac:dyDescent="0.25">
      <c r="B40" s="1689" t="s">
        <v>5730</v>
      </c>
      <c r="C40" s="1689"/>
      <c r="D40" s="1689"/>
      <c r="E40" s="1689"/>
      <c r="G40" s="1640"/>
      <c r="H40" s="841" t="s">
        <v>5110</v>
      </c>
      <c r="J40" s="1357"/>
      <c r="N40" s="1357"/>
      <c r="P40" s="1420"/>
      <c r="Q40" s="1420"/>
      <c r="AA40" s="1642" t="s">
        <v>5730</v>
      </c>
      <c r="BC40" s="1642" t="s">
        <v>5730</v>
      </c>
    </row>
    <row r="41" spans="2:55" s="841" customFormat="1" ht="6.75" customHeight="1" x14ac:dyDescent="0.25">
      <c r="B41" s="1631"/>
      <c r="C41" s="1631"/>
      <c r="D41" s="1631"/>
      <c r="E41" s="1631"/>
      <c r="G41" s="1640"/>
      <c r="J41" s="1357"/>
      <c r="N41" s="1357"/>
      <c r="P41" s="1420"/>
      <c r="Q41" s="1420"/>
    </row>
    <row r="42" spans="2:55" s="841" customFormat="1" ht="11.25" customHeight="1" x14ac:dyDescent="0.25">
      <c r="B42" s="1696" t="s">
        <v>3061</v>
      </c>
      <c r="C42" s="1697"/>
      <c r="D42" s="1697"/>
      <c r="E42" s="1697"/>
      <c r="G42" s="1640"/>
      <c r="H42" s="841" t="s">
        <v>3086</v>
      </c>
      <c r="J42" s="1357"/>
      <c r="N42" s="1357"/>
      <c r="P42" s="1420"/>
      <c r="Q42" s="1420"/>
      <c r="AA42" s="1073" t="s">
        <v>3061</v>
      </c>
      <c r="BC42" s="1073" t="s">
        <v>3061</v>
      </c>
    </row>
    <row r="43" spans="2:55" s="841" customFormat="1" ht="6.75" customHeight="1" x14ac:dyDescent="0.25">
      <c r="B43" s="1637"/>
      <c r="C43" s="1638"/>
      <c r="D43" s="1638"/>
      <c r="E43" s="1638"/>
      <c r="G43" s="1640"/>
      <c r="J43" s="1357"/>
      <c r="N43" s="1357"/>
      <c r="P43" s="1420"/>
      <c r="Q43" s="1420"/>
    </row>
    <row r="44" spans="2:55" s="841" customFormat="1" ht="36" x14ac:dyDescent="0.25">
      <c r="B44" s="1689" t="s">
        <v>3063</v>
      </c>
      <c r="C44" s="1689"/>
      <c r="D44" s="1689"/>
      <c r="E44" s="1689"/>
      <c r="G44" s="1640"/>
      <c r="H44" s="841" t="s">
        <v>5110</v>
      </c>
      <c r="J44" s="1357"/>
      <c r="N44" s="1357"/>
      <c r="P44" s="1420"/>
      <c r="Q44" s="1420"/>
      <c r="AA44" s="1642" t="s">
        <v>3063</v>
      </c>
      <c r="BC44" s="1642" t="s">
        <v>3063</v>
      </c>
    </row>
    <row r="45" spans="2:55" s="841" customFormat="1" ht="6.75" customHeight="1" x14ac:dyDescent="0.25">
      <c r="B45" s="1631"/>
      <c r="C45" s="1631"/>
      <c r="D45" s="1631"/>
      <c r="E45" s="1631"/>
      <c r="G45" s="1640"/>
      <c r="J45" s="1357"/>
      <c r="N45" s="1357"/>
      <c r="P45" s="1420"/>
      <c r="Q45" s="1420"/>
    </row>
    <row r="46" spans="2:55" s="841" customFormat="1" ht="48" x14ac:dyDescent="0.25">
      <c r="B46" s="1689" t="s">
        <v>3064</v>
      </c>
      <c r="C46" s="1689"/>
      <c r="D46" s="1689"/>
      <c r="E46" s="1689"/>
      <c r="G46" s="1640"/>
      <c r="H46" s="841" t="s">
        <v>5110</v>
      </c>
      <c r="J46" s="1357"/>
      <c r="N46" s="1357"/>
      <c r="P46" s="1420"/>
      <c r="Q46" s="1420"/>
      <c r="AA46" s="1642" t="s">
        <v>3064</v>
      </c>
      <c r="BC46" s="1642" t="s">
        <v>3064</v>
      </c>
    </row>
    <row r="47" spans="2:55" s="841" customFormat="1" ht="6.75" customHeight="1" x14ac:dyDescent="0.25">
      <c r="B47" s="1631"/>
      <c r="C47" s="1631"/>
      <c r="D47" s="1631"/>
      <c r="E47" s="1631"/>
      <c r="G47" s="1640"/>
      <c r="J47" s="1357"/>
      <c r="N47" s="1357"/>
      <c r="P47" s="1420"/>
      <c r="Q47" s="1420"/>
    </row>
    <row r="48" spans="2:55" s="841" customFormat="1" ht="48" x14ac:dyDescent="0.25">
      <c r="B48" s="1689" t="s">
        <v>3199</v>
      </c>
      <c r="C48" s="1689"/>
      <c r="D48" s="1689"/>
      <c r="E48" s="1689"/>
      <c r="G48" s="1640"/>
      <c r="H48" s="841" t="s">
        <v>5110</v>
      </c>
      <c r="J48" s="1357"/>
      <c r="N48" s="1357"/>
      <c r="P48" s="1420"/>
      <c r="Q48" s="1420"/>
      <c r="AA48" s="1642" t="s">
        <v>3199</v>
      </c>
      <c r="BC48" s="1642" t="s">
        <v>3199</v>
      </c>
    </row>
    <row r="49" spans="2:55" s="841" customFormat="1" ht="6.75" customHeight="1" x14ac:dyDescent="0.25">
      <c r="B49" s="1631"/>
      <c r="C49" s="1631"/>
      <c r="D49" s="1631"/>
      <c r="E49" s="1631"/>
      <c r="G49" s="1640"/>
      <c r="J49" s="1357"/>
      <c r="N49" s="1357"/>
      <c r="P49" s="1420"/>
      <c r="Q49" s="1420"/>
    </row>
    <row r="50" spans="2:55" s="841" customFormat="1" ht="36" x14ac:dyDescent="0.25">
      <c r="B50" s="1689" t="s">
        <v>3066</v>
      </c>
      <c r="C50" s="1689"/>
      <c r="D50" s="1689"/>
      <c r="E50" s="1689"/>
      <c r="G50" s="1640"/>
      <c r="H50" s="841" t="s">
        <v>5110</v>
      </c>
      <c r="J50" s="1357"/>
      <c r="N50" s="1357"/>
      <c r="P50" s="1420"/>
      <c r="Q50" s="1420"/>
      <c r="AA50" s="1642" t="s">
        <v>3066</v>
      </c>
      <c r="BC50" s="1642" t="s">
        <v>3066</v>
      </c>
    </row>
    <row r="51" spans="2:55" s="841" customFormat="1" ht="6.75" customHeight="1" x14ac:dyDescent="0.25">
      <c r="B51" s="1631"/>
      <c r="C51" s="1631"/>
      <c r="D51" s="1631"/>
      <c r="E51" s="1631"/>
      <c r="G51" s="1640"/>
      <c r="J51" s="1357"/>
      <c r="N51" s="1357"/>
      <c r="P51" s="1420"/>
      <c r="Q51" s="1420"/>
    </row>
    <row r="52" spans="2:55" s="841" customFormat="1" ht="11.25" customHeight="1" x14ac:dyDescent="0.25">
      <c r="B52" s="1692" t="s">
        <v>3067</v>
      </c>
      <c r="C52" s="1693"/>
      <c r="D52" s="1693"/>
      <c r="E52" s="1693"/>
      <c r="G52" s="1640"/>
      <c r="H52" s="841" t="s">
        <v>3087</v>
      </c>
      <c r="J52" s="1357"/>
      <c r="N52" s="1357"/>
      <c r="P52" s="1420"/>
      <c r="Q52" s="1420"/>
      <c r="AA52" s="1073" t="s">
        <v>3067</v>
      </c>
      <c r="BC52" s="1073" t="s">
        <v>3067</v>
      </c>
    </row>
    <row r="53" spans="2:55" s="841" customFormat="1" ht="6.75" customHeight="1" x14ac:dyDescent="0.25">
      <c r="B53" s="1634"/>
      <c r="C53" s="1635"/>
      <c r="D53" s="1635"/>
      <c r="E53" s="1635"/>
      <c r="G53" s="1640"/>
      <c r="J53" s="1357"/>
      <c r="N53" s="1357"/>
      <c r="P53" s="1420"/>
      <c r="Q53" s="1420"/>
    </row>
    <row r="54" spans="2:55" s="841" customFormat="1" ht="11.25" customHeight="1" x14ac:dyDescent="0.25">
      <c r="B54" s="1690" t="s">
        <v>4810</v>
      </c>
      <c r="C54" s="1690"/>
      <c r="D54" s="1643" t="s">
        <v>23</v>
      </c>
      <c r="E54" s="1351">
        <v>31.07</v>
      </c>
      <c r="G54" s="1640"/>
      <c r="H54" s="841" t="s">
        <v>5110</v>
      </c>
      <c r="I54" s="841" t="s">
        <v>442</v>
      </c>
      <c r="J54" s="1357"/>
      <c r="M54" s="841" t="s">
        <v>5111</v>
      </c>
      <c r="N54" s="1357"/>
      <c r="P54" s="1420"/>
      <c r="Q54" s="1420"/>
      <c r="Z54" s="1644" t="s">
        <v>5111</v>
      </c>
      <c r="BB54" s="1644" t="s">
        <v>4810</v>
      </c>
    </row>
    <row r="55" spans="2:55" s="841" customFormat="1" ht="22.5" x14ac:dyDescent="0.25">
      <c r="B55" s="1690" t="s">
        <v>5727</v>
      </c>
      <c r="C55" s="1690"/>
      <c r="D55" s="1643" t="s">
        <v>23</v>
      </c>
      <c r="E55" s="391">
        <v>1.1399999999999999</v>
      </c>
      <c r="G55" s="1640"/>
      <c r="H55" s="841" t="s">
        <v>5110</v>
      </c>
      <c r="I55" s="841" t="s">
        <v>442</v>
      </c>
      <c r="J55" s="1357"/>
      <c r="M55" s="841" t="s">
        <v>6396</v>
      </c>
      <c r="N55" s="1357"/>
      <c r="P55" s="1420"/>
      <c r="Q55" s="1420"/>
      <c r="Z55" s="1644" t="s">
        <v>5727</v>
      </c>
      <c r="BB55" s="1644" t="s">
        <v>5727</v>
      </c>
    </row>
    <row r="56" spans="2:55" s="841" customFormat="1" ht="11.25" customHeight="1" x14ac:dyDescent="0.25">
      <c r="B56" s="1690" t="s">
        <v>5109</v>
      </c>
      <c r="C56" s="1690"/>
      <c r="D56" s="1643" t="s">
        <v>23</v>
      </c>
      <c r="E56" s="391">
        <v>0.56999999999999995</v>
      </c>
      <c r="G56" s="1640"/>
      <c r="H56" s="841" t="s">
        <v>5110</v>
      </c>
      <c r="I56" s="841" t="s">
        <v>443</v>
      </c>
      <c r="J56" s="1357"/>
      <c r="M56" s="841" t="s">
        <v>5112</v>
      </c>
      <c r="N56" s="1357"/>
      <c r="P56" s="1420"/>
      <c r="Q56" s="1420">
        <v>44926</v>
      </c>
      <c r="Z56" s="1644" t="s">
        <v>5112</v>
      </c>
      <c r="BB56" s="1644" t="s">
        <v>5109</v>
      </c>
    </row>
    <row r="57" spans="2:55" s="841" customFormat="1" ht="11.25" customHeight="1" x14ac:dyDescent="0.25">
      <c r="B57" s="1690" t="s">
        <v>3109</v>
      </c>
      <c r="C57" s="1690"/>
      <c r="D57" s="1643" t="s">
        <v>24</v>
      </c>
      <c r="E57" s="1352">
        <v>1.12E-2</v>
      </c>
      <c r="G57" s="1640"/>
      <c r="H57" s="841" t="s">
        <v>5110</v>
      </c>
      <c r="I57" s="841" t="s">
        <v>442</v>
      </c>
      <c r="J57" s="1357"/>
      <c r="M57" s="841" t="s">
        <v>5113</v>
      </c>
      <c r="N57" s="1357"/>
      <c r="P57" s="1420"/>
      <c r="Q57" s="1420"/>
      <c r="Z57" s="1644" t="s">
        <v>5113</v>
      </c>
      <c r="BB57" s="1644" t="s">
        <v>3109</v>
      </c>
    </row>
    <row r="58" spans="2:55" s="841" customFormat="1" ht="11.25" customHeight="1" x14ac:dyDescent="0.25">
      <c r="B58" s="1690" t="s">
        <v>4813</v>
      </c>
      <c r="C58" s="1690"/>
      <c r="D58" s="1643" t="s">
        <v>24</v>
      </c>
      <c r="E58" s="393">
        <v>4.4999999999999997E-3</v>
      </c>
      <c r="G58" s="1640"/>
      <c r="H58" s="841" t="s">
        <v>5110</v>
      </c>
      <c r="I58" s="841" t="s">
        <v>443</v>
      </c>
      <c r="J58" s="1357"/>
      <c r="M58" s="841" t="s">
        <v>5114</v>
      </c>
      <c r="N58" s="1357"/>
      <c r="P58" s="1420"/>
      <c r="Q58" s="1420"/>
      <c r="Z58" s="1644" t="s">
        <v>4813</v>
      </c>
      <c r="BB58" s="1644" t="s">
        <v>4813</v>
      </c>
    </row>
    <row r="59" spans="2:55" s="841" customFormat="1" ht="22.5" x14ac:dyDescent="0.25">
      <c r="B59" s="1690" t="s">
        <v>6971</v>
      </c>
      <c r="C59" s="1862"/>
      <c r="D59" s="1643" t="s">
        <v>24</v>
      </c>
      <c r="E59" s="393">
        <v>2E-3</v>
      </c>
      <c r="G59" s="1640"/>
      <c r="H59" s="841" t="s">
        <v>5110</v>
      </c>
      <c r="I59" s="841" t="s">
        <v>443</v>
      </c>
      <c r="J59" s="1357"/>
      <c r="M59" s="841" t="s">
        <v>4818</v>
      </c>
      <c r="N59" s="1357"/>
      <c r="P59" s="1420"/>
      <c r="Q59" s="1420"/>
      <c r="Z59" s="1644"/>
      <c r="BB59" s="1644" t="s">
        <v>6971</v>
      </c>
    </row>
    <row r="60" spans="2:55" s="841" customFormat="1" ht="22.5" x14ac:dyDescent="0.25">
      <c r="B60" s="1690" t="s">
        <v>6979</v>
      </c>
      <c r="C60" s="1862"/>
      <c r="D60" s="1643" t="s">
        <v>24</v>
      </c>
      <c r="E60" s="393">
        <v>5.9999999999999995E-4</v>
      </c>
      <c r="G60" s="1640"/>
      <c r="H60" s="841" t="s">
        <v>5110</v>
      </c>
      <c r="I60" s="841" t="s">
        <v>442</v>
      </c>
      <c r="J60" s="1357"/>
      <c r="M60" s="841" t="s">
        <v>5285</v>
      </c>
      <c r="N60" s="1357"/>
      <c r="P60" s="1420"/>
      <c r="Q60" s="1420"/>
      <c r="Z60" s="1644"/>
      <c r="BB60" s="1644" t="s">
        <v>6979</v>
      </c>
    </row>
    <row r="61" spans="2:55" s="841" customFormat="1" ht="11.25" customHeight="1" x14ac:dyDescent="0.25">
      <c r="B61" s="1690" t="s">
        <v>6972</v>
      </c>
      <c r="C61" s="1862"/>
      <c r="D61" s="1643" t="s">
        <v>24</v>
      </c>
      <c r="E61" s="393">
        <v>-1.8E-3</v>
      </c>
      <c r="G61" s="1640"/>
      <c r="H61" s="841" t="s">
        <v>5110</v>
      </c>
      <c r="I61" s="841" t="s">
        <v>443</v>
      </c>
      <c r="J61" s="1357"/>
      <c r="M61" s="841" t="s">
        <v>6974</v>
      </c>
      <c r="N61" s="1357"/>
      <c r="P61" s="1420"/>
      <c r="Q61" s="1420"/>
      <c r="Z61" s="1644"/>
      <c r="BB61" s="1644" t="s">
        <v>6972</v>
      </c>
    </row>
    <row r="62" spans="2:55" s="841" customFormat="1" ht="22.5" x14ac:dyDescent="0.25">
      <c r="B62" s="1690" t="s">
        <v>4815</v>
      </c>
      <c r="C62" s="1690"/>
      <c r="D62" s="1643" t="s">
        <v>24</v>
      </c>
      <c r="E62" s="1352">
        <v>5.8999999999999999E-3</v>
      </c>
      <c r="G62" s="1640"/>
      <c r="H62" s="841" t="s">
        <v>5110</v>
      </c>
      <c r="I62" s="841" t="s">
        <v>444</v>
      </c>
      <c r="J62" s="1357"/>
      <c r="M62" s="841" t="s">
        <v>5732</v>
      </c>
      <c r="N62" s="1357"/>
      <c r="P62" s="1420"/>
      <c r="Q62" s="1420"/>
      <c r="Z62" s="1644" t="s">
        <v>5732</v>
      </c>
      <c r="AZ62" s="841" t="s">
        <v>6959</v>
      </c>
      <c r="BB62" s="1644" t="s">
        <v>4815</v>
      </c>
    </row>
    <row r="63" spans="2:55" s="841" customFormat="1" ht="22.5" x14ac:dyDescent="0.25">
      <c r="B63" s="1690" t="s">
        <v>3628</v>
      </c>
      <c r="C63" s="1690"/>
      <c r="D63" s="1643" t="s">
        <v>24</v>
      </c>
      <c r="E63" s="1352">
        <v>4.7000000000000002E-3</v>
      </c>
      <c r="G63" s="1640"/>
      <c r="H63" s="841" t="s">
        <v>5110</v>
      </c>
      <c r="I63" s="841" t="s">
        <v>444</v>
      </c>
      <c r="J63" s="1357"/>
      <c r="M63" s="841" t="s">
        <v>5733</v>
      </c>
      <c r="N63" s="1357"/>
      <c r="P63" s="1420"/>
      <c r="Q63" s="1420"/>
      <c r="Z63" s="1644" t="s">
        <v>5733</v>
      </c>
      <c r="AZ63" s="841" t="s">
        <v>6960</v>
      </c>
      <c r="BB63" s="1644" t="s">
        <v>3628</v>
      </c>
    </row>
    <row r="64" spans="2:55" s="841" customFormat="1" ht="6.75" customHeight="1" x14ac:dyDescent="0.25">
      <c r="B64" s="1632"/>
      <c r="C64" s="1632"/>
      <c r="D64" s="1643"/>
      <c r="E64" s="393"/>
      <c r="G64" s="1640"/>
      <c r="J64" s="1357"/>
      <c r="N64" s="1357"/>
      <c r="P64" s="1420"/>
      <c r="Q64" s="1420"/>
    </row>
    <row r="65" spans="2:55" s="841" customFormat="1" ht="11.25" customHeight="1" x14ac:dyDescent="0.25">
      <c r="B65" s="1694" t="s">
        <v>3079</v>
      </c>
      <c r="C65" s="1690"/>
      <c r="D65" s="1643"/>
      <c r="E65" s="1632"/>
      <c r="G65" s="1640"/>
      <c r="H65" s="841" t="s">
        <v>3093</v>
      </c>
      <c r="J65" s="1357"/>
      <c r="N65" s="1357"/>
      <c r="P65" s="1420"/>
      <c r="Q65" s="1420"/>
      <c r="Z65" s="1073" t="s">
        <v>3079</v>
      </c>
      <c r="BB65" s="1073" t="s">
        <v>3079</v>
      </c>
    </row>
    <row r="66" spans="2:55" s="841" customFormat="1" ht="6.75" customHeight="1" x14ac:dyDescent="0.25">
      <c r="B66" s="1636"/>
      <c r="C66" s="1632"/>
      <c r="D66" s="1643"/>
      <c r="E66" s="1632"/>
      <c r="G66" s="1640"/>
      <c r="J66" s="1357"/>
      <c r="N66" s="1357"/>
      <c r="P66" s="1420"/>
      <c r="Q66" s="1420"/>
    </row>
    <row r="67" spans="2:55" s="841" customFormat="1" ht="11.25" customHeight="1" x14ac:dyDescent="0.25">
      <c r="B67" s="1690" t="s">
        <v>2449</v>
      </c>
      <c r="C67" s="1690"/>
      <c r="D67" s="1643" t="s">
        <v>24</v>
      </c>
      <c r="E67" s="393">
        <v>3.2000000000000002E-3</v>
      </c>
      <c r="G67" s="1640"/>
      <c r="H67" s="841" t="s">
        <v>5110</v>
      </c>
      <c r="I67" s="841" t="s">
        <v>3046</v>
      </c>
      <c r="J67" s="1357"/>
      <c r="M67" s="841" t="s">
        <v>5117</v>
      </c>
      <c r="N67" s="1357"/>
      <c r="P67" s="1420"/>
      <c r="Q67" s="1420"/>
      <c r="Z67" s="1644" t="s">
        <v>2449</v>
      </c>
      <c r="BB67" s="1644" t="s">
        <v>2449</v>
      </c>
    </row>
    <row r="68" spans="2:55" s="841" customFormat="1" ht="11.25" customHeight="1" x14ac:dyDescent="0.25">
      <c r="B68" s="1690" t="s">
        <v>2450</v>
      </c>
      <c r="C68" s="1690"/>
      <c r="D68" s="1643" t="s">
        <v>24</v>
      </c>
      <c r="E68" s="393">
        <v>4.0000000000000002E-4</v>
      </c>
      <c r="G68" s="1640"/>
      <c r="H68" s="841" t="s">
        <v>5110</v>
      </c>
      <c r="I68" s="841" t="s">
        <v>3046</v>
      </c>
      <c r="J68" s="1357"/>
      <c r="M68" s="841" t="s">
        <v>5117</v>
      </c>
      <c r="N68" s="1357"/>
      <c r="P68" s="1420"/>
      <c r="Q68" s="1420"/>
      <c r="Z68" s="1644" t="s">
        <v>2450</v>
      </c>
      <c r="BB68" s="1644" t="s">
        <v>2450</v>
      </c>
    </row>
    <row r="69" spans="2:55" s="841" customFormat="1" ht="11.25" customHeight="1" x14ac:dyDescent="0.25">
      <c r="B69" s="1690" t="s">
        <v>439</v>
      </c>
      <c r="C69" s="1690"/>
      <c r="D69" s="1643" t="s">
        <v>24</v>
      </c>
      <c r="E69" s="393">
        <v>2.9999999999999997E-4</v>
      </c>
      <c r="G69" s="1640"/>
      <c r="H69" s="841" t="s">
        <v>5110</v>
      </c>
      <c r="I69" s="841" t="s">
        <v>3046</v>
      </c>
      <c r="J69" s="1357"/>
      <c r="M69" s="841" t="s">
        <v>5118</v>
      </c>
      <c r="N69" s="1357"/>
      <c r="P69" s="1420"/>
      <c r="Q69" s="1420"/>
      <c r="Z69" s="1644" t="s">
        <v>439</v>
      </c>
      <c r="BB69" s="1644" t="s">
        <v>439</v>
      </c>
    </row>
    <row r="70" spans="2:55" s="841" customFormat="1" ht="11.25" customHeight="1" x14ac:dyDescent="0.25">
      <c r="B70" s="1690" t="s">
        <v>32</v>
      </c>
      <c r="C70" s="1690"/>
      <c r="D70" s="1643" t="s">
        <v>23</v>
      </c>
      <c r="E70" s="391">
        <v>0.25</v>
      </c>
      <c r="G70" s="1640"/>
      <c r="H70" s="841" t="s">
        <v>5110</v>
      </c>
      <c r="I70" s="841" t="s">
        <v>3046</v>
      </c>
      <c r="J70" s="1357"/>
      <c r="M70" s="841" t="s">
        <v>5119</v>
      </c>
      <c r="N70" s="1357"/>
      <c r="P70" s="1420"/>
      <c r="Q70" s="1420"/>
      <c r="Z70" s="1644" t="s">
        <v>32</v>
      </c>
      <c r="AS70" s="841" t="s">
        <v>628</v>
      </c>
      <c r="BB70" s="1644" t="s">
        <v>32</v>
      </c>
    </row>
    <row r="71" spans="2:55" s="1070" customFormat="1" ht="36" x14ac:dyDescent="0.3">
      <c r="B71" s="1695" t="s">
        <v>616</v>
      </c>
      <c r="C71" s="1695"/>
      <c r="D71" s="1695"/>
      <c r="E71" s="1695"/>
      <c r="G71" s="1347"/>
      <c r="H71" s="1070" t="s">
        <v>6095</v>
      </c>
      <c r="J71" s="1447"/>
      <c r="N71" s="1447"/>
      <c r="P71" s="1448"/>
      <c r="Q71" s="1448"/>
      <c r="AA71" s="1071" t="s">
        <v>616</v>
      </c>
      <c r="BC71" s="1071" t="s">
        <v>616</v>
      </c>
    </row>
    <row r="72" spans="2:55" s="841" customFormat="1" ht="48" x14ac:dyDescent="0.25">
      <c r="B72" s="1689" t="s">
        <v>4820</v>
      </c>
      <c r="C72" s="1689"/>
      <c r="D72" s="1689"/>
      <c r="E72" s="1689"/>
      <c r="G72" s="1640"/>
      <c r="H72" s="841" t="s">
        <v>6095</v>
      </c>
      <c r="J72" s="1357"/>
      <c r="N72" s="1357"/>
      <c r="P72" s="1420"/>
      <c r="Q72" s="1420"/>
      <c r="AA72" s="1642" t="s">
        <v>4820</v>
      </c>
      <c r="BC72" s="1642" t="s">
        <v>4820</v>
      </c>
    </row>
    <row r="73" spans="2:55" s="841" customFormat="1" ht="6.75" customHeight="1" x14ac:dyDescent="0.25">
      <c r="B73" s="1631"/>
      <c r="C73" s="1631"/>
      <c r="D73" s="1631"/>
      <c r="E73" s="1631"/>
      <c r="G73" s="1640"/>
      <c r="J73" s="1357"/>
      <c r="N73" s="1357"/>
      <c r="P73" s="1420"/>
      <c r="Q73" s="1420"/>
    </row>
    <row r="74" spans="2:55" s="841" customFormat="1" ht="11.25" customHeight="1" x14ac:dyDescent="0.25">
      <c r="B74" s="1696" t="s">
        <v>3061</v>
      </c>
      <c r="C74" s="1697"/>
      <c r="D74" s="1697"/>
      <c r="E74" s="1697"/>
      <c r="G74" s="1640"/>
      <c r="H74" s="841" t="s">
        <v>3098</v>
      </c>
      <c r="J74" s="1357"/>
      <c r="N74" s="1357"/>
      <c r="P74" s="1420"/>
      <c r="Q74" s="1420"/>
      <c r="AA74" s="1073" t="s">
        <v>3061</v>
      </c>
      <c r="BC74" s="1073" t="s">
        <v>3061</v>
      </c>
    </row>
    <row r="75" spans="2:55" s="841" customFormat="1" ht="6.75" customHeight="1" x14ac:dyDescent="0.25">
      <c r="B75" s="1637"/>
      <c r="C75" s="1638"/>
      <c r="D75" s="1638"/>
      <c r="E75" s="1638"/>
      <c r="G75" s="1640"/>
      <c r="J75" s="1357"/>
      <c r="N75" s="1357"/>
      <c r="P75" s="1420"/>
      <c r="Q75" s="1420"/>
    </row>
    <row r="76" spans="2:55" s="841" customFormat="1" ht="36" x14ac:dyDescent="0.25">
      <c r="B76" s="1689" t="s">
        <v>3063</v>
      </c>
      <c r="C76" s="1689"/>
      <c r="D76" s="1689"/>
      <c r="E76" s="1689"/>
      <c r="G76" s="1640"/>
      <c r="H76" s="841" t="s">
        <v>6095</v>
      </c>
      <c r="J76" s="1357"/>
      <c r="N76" s="1357"/>
      <c r="P76" s="1420"/>
      <c r="Q76" s="1420"/>
      <c r="AA76" s="1642" t="s">
        <v>3063</v>
      </c>
      <c r="BC76" s="1642" t="s">
        <v>3063</v>
      </c>
    </row>
    <row r="77" spans="2:55" s="841" customFormat="1" ht="6.75" customHeight="1" x14ac:dyDescent="0.25">
      <c r="B77" s="1631"/>
      <c r="C77" s="1631"/>
      <c r="D77" s="1631"/>
      <c r="E77" s="1631"/>
      <c r="G77" s="1640"/>
      <c r="J77" s="1357"/>
      <c r="N77" s="1357"/>
      <c r="P77" s="1420"/>
      <c r="Q77" s="1420"/>
    </row>
    <row r="78" spans="2:55" s="841" customFormat="1" ht="48" x14ac:dyDescent="0.25">
      <c r="B78" s="1689" t="s">
        <v>3064</v>
      </c>
      <c r="C78" s="1689"/>
      <c r="D78" s="1689"/>
      <c r="E78" s="1689"/>
      <c r="G78" s="1640"/>
      <c r="H78" s="841" t="s">
        <v>6095</v>
      </c>
      <c r="J78" s="1357"/>
      <c r="N78" s="1357"/>
      <c r="P78" s="1420"/>
      <c r="Q78" s="1420"/>
      <c r="AA78" s="1642" t="s">
        <v>3064</v>
      </c>
      <c r="BC78" s="1642" t="s">
        <v>3064</v>
      </c>
    </row>
    <row r="79" spans="2:55" s="841" customFormat="1" ht="6.75" customHeight="1" x14ac:dyDescent="0.25">
      <c r="B79" s="1631"/>
      <c r="C79" s="1631"/>
      <c r="D79" s="1631"/>
      <c r="E79" s="1631"/>
      <c r="G79" s="1640"/>
      <c r="J79" s="1357"/>
      <c r="N79" s="1357"/>
      <c r="P79" s="1420"/>
      <c r="Q79" s="1420"/>
    </row>
    <row r="80" spans="2:55" s="841" customFormat="1" ht="48" x14ac:dyDescent="0.25">
      <c r="B80" s="1689" t="s">
        <v>3199</v>
      </c>
      <c r="C80" s="1689"/>
      <c r="D80" s="1689"/>
      <c r="E80" s="1689"/>
      <c r="G80" s="1640"/>
      <c r="H80" s="841" t="s">
        <v>6095</v>
      </c>
      <c r="J80" s="1357"/>
      <c r="N80" s="1357"/>
      <c r="P80" s="1420"/>
      <c r="Q80" s="1420"/>
      <c r="AA80" s="1642" t="s">
        <v>3199</v>
      </c>
      <c r="BC80" s="1642" t="s">
        <v>3199</v>
      </c>
    </row>
    <row r="81" spans="2:55" s="841" customFormat="1" ht="6.75" customHeight="1" x14ac:dyDescent="0.25">
      <c r="B81" s="1631"/>
      <c r="C81" s="1631"/>
      <c r="D81" s="1631"/>
      <c r="E81" s="1631"/>
      <c r="G81" s="1640"/>
      <c r="J81" s="1357"/>
      <c r="N81" s="1357"/>
      <c r="P81" s="1420"/>
      <c r="Q81" s="1420"/>
    </row>
    <row r="82" spans="2:55" s="841" customFormat="1" ht="84" x14ac:dyDescent="0.25">
      <c r="B82" s="1689" t="s">
        <v>5132</v>
      </c>
      <c r="C82" s="1689"/>
      <c r="D82" s="1689"/>
      <c r="E82" s="1689"/>
      <c r="G82" s="1640"/>
      <c r="H82" s="841" t="s">
        <v>6095</v>
      </c>
      <c r="J82" s="1357"/>
      <c r="N82" s="1357"/>
      <c r="P82" s="1420"/>
      <c r="Q82" s="1420"/>
      <c r="AA82" s="1642" t="s">
        <v>5132</v>
      </c>
      <c r="BC82" s="1642" t="s">
        <v>5132</v>
      </c>
    </row>
    <row r="83" spans="2:55" s="841" customFormat="1" ht="36" x14ac:dyDescent="0.25">
      <c r="B83" s="1689" t="s">
        <v>3066</v>
      </c>
      <c r="C83" s="1689"/>
      <c r="D83" s="1689"/>
      <c r="E83" s="1689"/>
      <c r="G83" s="1640"/>
      <c r="H83" s="841" t="s">
        <v>6095</v>
      </c>
      <c r="J83" s="1357"/>
      <c r="N83" s="1357"/>
      <c r="P83" s="1420"/>
      <c r="Q83" s="1420"/>
      <c r="AA83" s="1642" t="s">
        <v>3066</v>
      </c>
      <c r="BC83" s="1642" t="s">
        <v>3066</v>
      </c>
    </row>
    <row r="84" spans="2:55" s="841" customFormat="1" ht="6.75" customHeight="1" x14ac:dyDescent="0.25">
      <c r="B84" s="1631"/>
      <c r="C84" s="1631"/>
      <c r="D84" s="1631"/>
      <c r="E84" s="1631"/>
      <c r="G84" s="1640"/>
      <c r="J84" s="1357"/>
      <c r="N84" s="1357"/>
      <c r="P84" s="1420"/>
      <c r="Q84" s="1420"/>
    </row>
    <row r="85" spans="2:55" s="841" customFormat="1" ht="11.25" customHeight="1" x14ac:dyDescent="0.25">
      <c r="B85" s="1692" t="s">
        <v>3067</v>
      </c>
      <c r="C85" s="1693"/>
      <c r="D85" s="1693"/>
      <c r="E85" s="1693"/>
      <c r="G85" s="1640"/>
      <c r="H85" s="841" t="s">
        <v>3099</v>
      </c>
      <c r="J85" s="1357"/>
      <c r="N85" s="1357"/>
      <c r="P85" s="1420"/>
      <c r="Q85" s="1420"/>
      <c r="AA85" s="1073" t="s">
        <v>3067</v>
      </c>
      <c r="BC85" s="1073" t="s">
        <v>3067</v>
      </c>
    </row>
    <row r="86" spans="2:55" s="841" customFormat="1" ht="6.75" customHeight="1" x14ac:dyDescent="0.25">
      <c r="B86" s="1634"/>
      <c r="C86" s="1635"/>
      <c r="D86" s="1635"/>
      <c r="E86" s="1635"/>
      <c r="G86" s="1640"/>
      <c r="J86" s="1357"/>
      <c r="N86" s="1357"/>
      <c r="P86" s="1420"/>
      <c r="Q86" s="1420"/>
    </row>
    <row r="87" spans="2:55" s="841" customFormat="1" ht="11.25" customHeight="1" x14ac:dyDescent="0.25">
      <c r="B87" s="1690" t="s">
        <v>4810</v>
      </c>
      <c r="C87" s="1690"/>
      <c r="D87" s="1643" t="s">
        <v>23</v>
      </c>
      <c r="E87" s="1351">
        <v>296.11</v>
      </c>
      <c r="G87" s="1640"/>
      <c r="H87" s="841" t="s">
        <v>6095</v>
      </c>
      <c r="I87" s="841" t="s">
        <v>442</v>
      </c>
      <c r="J87" s="1357"/>
      <c r="M87" s="841" t="s">
        <v>6096</v>
      </c>
      <c r="N87" s="1357"/>
      <c r="P87" s="1420"/>
      <c r="Q87" s="1420"/>
      <c r="Z87" s="1644" t="s">
        <v>6096</v>
      </c>
      <c r="BB87" s="1644" t="s">
        <v>4810</v>
      </c>
    </row>
    <row r="88" spans="2:55" s="841" customFormat="1" ht="22.5" x14ac:dyDescent="0.25">
      <c r="B88" s="1690" t="s">
        <v>5727</v>
      </c>
      <c r="C88" s="1690"/>
      <c r="D88" s="1643" t="s">
        <v>23</v>
      </c>
      <c r="E88" s="391">
        <v>12.86</v>
      </c>
      <c r="G88" s="1640"/>
      <c r="H88" s="841" t="s">
        <v>6095</v>
      </c>
      <c r="I88" s="841" t="s">
        <v>442</v>
      </c>
      <c r="J88" s="1357"/>
      <c r="M88" s="841" t="s">
        <v>6398</v>
      </c>
      <c r="N88" s="1357"/>
      <c r="P88" s="1420"/>
      <c r="Q88" s="1420"/>
      <c r="Z88" s="1644" t="s">
        <v>5727</v>
      </c>
      <c r="BB88" s="1644" t="s">
        <v>5727</v>
      </c>
    </row>
    <row r="89" spans="2:55" s="841" customFormat="1" ht="11.25" customHeight="1" x14ac:dyDescent="0.25">
      <c r="B89" s="1690" t="s">
        <v>3109</v>
      </c>
      <c r="C89" s="1690"/>
      <c r="D89" s="1643" t="s">
        <v>33</v>
      </c>
      <c r="E89" s="1352">
        <v>2.2799</v>
      </c>
      <c r="G89" s="1640"/>
      <c r="H89" s="841" t="s">
        <v>6095</v>
      </c>
      <c r="I89" s="841" t="s">
        <v>442</v>
      </c>
      <c r="J89" s="1357"/>
      <c r="M89" s="841" t="s">
        <v>6097</v>
      </c>
      <c r="N89" s="1357"/>
      <c r="P89" s="1420"/>
      <c r="Q89" s="1420"/>
      <c r="Z89" s="1644" t="s">
        <v>6097</v>
      </c>
      <c r="BB89" s="1644" t="s">
        <v>3109</v>
      </c>
    </row>
    <row r="90" spans="2:55" s="841" customFormat="1" ht="11.25" customHeight="1" x14ac:dyDescent="0.25">
      <c r="B90" s="1690" t="s">
        <v>4813</v>
      </c>
      <c r="C90" s="1690"/>
      <c r="D90" s="1643" t="s">
        <v>33</v>
      </c>
      <c r="E90" s="393">
        <v>1.6712</v>
      </c>
      <c r="G90" s="1640"/>
      <c r="H90" s="841" t="s">
        <v>6095</v>
      </c>
      <c r="I90" s="841" t="s">
        <v>443</v>
      </c>
      <c r="J90" s="1357"/>
      <c r="M90" s="841" t="s">
        <v>6098</v>
      </c>
      <c r="N90" s="1357"/>
      <c r="P90" s="1420"/>
      <c r="Q90" s="1420"/>
      <c r="Z90" s="1644" t="s">
        <v>4813</v>
      </c>
      <c r="BB90" s="1644" t="s">
        <v>4813</v>
      </c>
    </row>
    <row r="91" spans="2:55" s="841" customFormat="1" ht="22.5" x14ac:dyDescent="0.25">
      <c r="B91" s="1690" t="s">
        <v>6971</v>
      </c>
      <c r="C91" s="1862"/>
      <c r="D91" s="1643" t="s">
        <v>24</v>
      </c>
      <c r="E91" s="393">
        <v>2E-3</v>
      </c>
      <c r="G91" s="1640"/>
      <c r="H91" s="841" t="s">
        <v>6095</v>
      </c>
      <c r="I91" s="841" t="s">
        <v>443</v>
      </c>
      <c r="J91" s="1357"/>
      <c r="M91" s="841" t="s">
        <v>6104</v>
      </c>
      <c r="N91" s="1357"/>
      <c r="P91" s="1420"/>
      <c r="Q91" s="1420"/>
      <c r="Z91" s="1644"/>
      <c r="BB91" s="1644" t="s">
        <v>6971</v>
      </c>
    </row>
    <row r="92" spans="2:55" s="841" customFormat="1" ht="22.5" x14ac:dyDescent="0.25">
      <c r="B92" s="1690" t="s">
        <v>6979</v>
      </c>
      <c r="C92" s="1862"/>
      <c r="D92" s="1643" t="s">
        <v>33</v>
      </c>
      <c r="E92" s="393">
        <v>4.4400000000000002E-2</v>
      </c>
      <c r="G92" s="1640"/>
      <c r="H92" s="841" t="s">
        <v>6095</v>
      </c>
      <c r="I92" s="841" t="s">
        <v>442</v>
      </c>
      <c r="J92" s="1357"/>
      <c r="M92" s="841" t="s">
        <v>6111</v>
      </c>
      <c r="N92" s="1357"/>
      <c r="P92" s="1420"/>
      <c r="Q92" s="1420"/>
      <c r="Z92" s="1644"/>
      <c r="BB92" s="1644" t="s">
        <v>6979</v>
      </c>
    </row>
    <row r="93" spans="2:55" s="841" customFormat="1" ht="11.25" customHeight="1" x14ac:dyDescent="0.25">
      <c r="B93" s="1690" t="s">
        <v>6972</v>
      </c>
      <c r="C93" s="1862"/>
      <c r="D93" s="1643" t="s">
        <v>33</v>
      </c>
      <c r="E93" s="393">
        <v>-0.60960000000000003</v>
      </c>
      <c r="G93" s="1640"/>
      <c r="H93" s="841" t="s">
        <v>6095</v>
      </c>
      <c r="I93" s="841" t="s">
        <v>443</v>
      </c>
      <c r="J93" s="1357"/>
      <c r="M93" s="841" t="s">
        <v>6975</v>
      </c>
      <c r="N93" s="1357"/>
      <c r="P93" s="1420"/>
      <c r="Q93" s="1420"/>
      <c r="Z93" s="1644"/>
      <c r="BB93" s="1644" t="s">
        <v>6972</v>
      </c>
    </row>
    <row r="94" spans="2:55" s="841" customFormat="1" ht="22.5" x14ac:dyDescent="0.25">
      <c r="B94" s="1690" t="s">
        <v>4815</v>
      </c>
      <c r="C94" s="1690"/>
      <c r="D94" s="1643" t="s">
        <v>33</v>
      </c>
      <c r="E94" s="1352">
        <v>2.4538000000000002</v>
      </c>
      <c r="G94" s="1640"/>
      <c r="H94" s="841" t="s">
        <v>6095</v>
      </c>
      <c r="I94" s="841" t="s">
        <v>444</v>
      </c>
      <c r="J94" s="1357"/>
      <c r="M94" s="841" t="s">
        <v>6399</v>
      </c>
      <c r="N94" s="1357"/>
      <c r="P94" s="1420"/>
      <c r="Q94" s="1420"/>
      <c r="Z94" s="1644" t="s">
        <v>6399</v>
      </c>
      <c r="AZ94" s="841" t="s">
        <v>6961</v>
      </c>
      <c r="BB94" s="1644" t="s">
        <v>4815</v>
      </c>
    </row>
    <row r="95" spans="2:55" s="841" customFormat="1" ht="22.5" x14ac:dyDescent="0.25">
      <c r="B95" s="1690" t="s">
        <v>217</v>
      </c>
      <c r="C95" s="1690"/>
      <c r="D95" s="1643" t="s">
        <v>33</v>
      </c>
      <c r="E95" s="1352">
        <v>1.8828</v>
      </c>
      <c r="G95" s="1640"/>
      <c r="H95" s="841" t="s">
        <v>6095</v>
      </c>
      <c r="I95" s="841" t="s">
        <v>444</v>
      </c>
      <c r="J95" s="1357"/>
      <c r="M95" s="841" t="s">
        <v>6100</v>
      </c>
      <c r="N95" s="1357"/>
      <c r="P95" s="1420"/>
      <c r="Q95" s="1420"/>
      <c r="Z95" s="1644" t="s">
        <v>6100</v>
      </c>
      <c r="AZ95" s="841" t="s">
        <v>6962</v>
      </c>
      <c r="BB95" s="1644" t="s">
        <v>217</v>
      </c>
    </row>
    <row r="96" spans="2:55" s="841" customFormat="1" ht="22.5" x14ac:dyDescent="0.25">
      <c r="B96" s="1690" t="s">
        <v>4821</v>
      </c>
      <c r="C96" s="1690"/>
      <c r="D96" s="1643" t="s">
        <v>33</v>
      </c>
      <c r="E96" s="1352">
        <v>2.7414999999999998</v>
      </c>
      <c r="G96" s="1640"/>
      <c r="H96" s="841" t="s">
        <v>6095</v>
      </c>
      <c r="I96" s="841" t="s">
        <v>444</v>
      </c>
      <c r="J96" s="1357"/>
      <c r="M96" s="841" t="s">
        <v>6400</v>
      </c>
      <c r="N96" s="1357"/>
      <c r="P96" s="1420"/>
      <c r="Q96" s="1420"/>
      <c r="Z96" s="1644" t="s">
        <v>6400</v>
      </c>
      <c r="AZ96" s="841" t="s">
        <v>6963</v>
      </c>
      <c r="BB96" s="1644" t="s">
        <v>4821</v>
      </c>
    </row>
    <row r="97" spans="2:55" s="841" customFormat="1" ht="22.5" x14ac:dyDescent="0.25">
      <c r="B97" s="1690" t="s">
        <v>219</v>
      </c>
      <c r="C97" s="1690"/>
      <c r="D97" s="1643" t="s">
        <v>33</v>
      </c>
      <c r="E97" s="1352">
        <v>2.0985999999999998</v>
      </c>
      <c r="G97" s="1640"/>
      <c r="H97" s="841" t="s">
        <v>6095</v>
      </c>
      <c r="I97" s="841" t="s">
        <v>444</v>
      </c>
      <c r="J97" s="1357"/>
      <c r="M97" s="841" t="s">
        <v>6108</v>
      </c>
      <c r="N97" s="1357"/>
      <c r="P97" s="1420"/>
      <c r="Q97" s="1420"/>
      <c r="Z97" s="1644" t="s">
        <v>6108</v>
      </c>
      <c r="AZ97" s="841" t="s">
        <v>6964</v>
      </c>
      <c r="BB97" s="1644" t="s">
        <v>219</v>
      </c>
    </row>
    <row r="98" spans="2:55" s="841" customFormat="1" ht="6.75" customHeight="1" x14ac:dyDescent="0.25">
      <c r="B98" s="1632"/>
      <c r="C98" s="1632"/>
      <c r="D98" s="1643"/>
      <c r="E98" s="393"/>
      <c r="G98" s="1640"/>
      <c r="J98" s="1357"/>
      <c r="N98" s="1357"/>
      <c r="P98" s="1420"/>
      <c r="Q98" s="1420"/>
    </row>
    <row r="99" spans="2:55" s="841" customFormat="1" ht="11.25" customHeight="1" x14ac:dyDescent="0.25">
      <c r="B99" s="1694" t="s">
        <v>3079</v>
      </c>
      <c r="C99" s="1690"/>
      <c r="D99" s="1643"/>
      <c r="E99" s="1310"/>
      <c r="G99" s="1640"/>
      <c r="H99" s="841" t="s">
        <v>3218</v>
      </c>
      <c r="J99" s="1357"/>
      <c r="N99" s="1357"/>
      <c r="P99" s="1420"/>
      <c r="Q99" s="1420"/>
      <c r="Z99" s="1073" t="s">
        <v>3079</v>
      </c>
      <c r="BB99" s="1073" t="s">
        <v>3079</v>
      </c>
    </row>
    <row r="100" spans="2:55" s="841" customFormat="1" ht="6.75" customHeight="1" x14ac:dyDescent="0.25">
      <c r="B100" s="1636"/>
      <c r="C100" s="1632"/>
      <c r="D100" s="1643"/>
      <c r="E100" s="1310"/>
      <c r="G100" s="1640"/>
      <c r="J100" s="1357"/>
      <c r="N100" s="1357"/>
      <c r="P100" s="1420"/>
      <c r="Q100" s="1420"/>
    </row>
    <row r="101" spans="2:55" s="841" customFormat="1" ht="11.25" customHeight="1" x14ac:dyDescent="0.25">
      <c r="B101" s="1690" t="s">
        <v>2449</v>
      </c>
      <c r="C101" s="1690"/>
      <c r="D101" s="1643" t="s">
        <v>24</v>
      </c>
      <c r="E101" s="393">
        <v>3.2000000000000002E-3</v>
      </c>
      <c r="G101" s="1640"/>
      <c r="H101" s="841" t="s">
        <v>6095</v>
      </c>
      <c r="I101" s="841" t="s">
        <v>3046</v>
      </c>
      <c r="J101" s="1357"/>
      <c r="M101" s="841" t="s">
        <v>6101</v>
      </c>
      <c r="N101" s="1357"/>
      <c r="P101" s="1420"/>
      <c r="Q101" s="1420"/>
      <c r="Z101" s="1644" t="s">
        <v>2449</v>
      </c>
      <c r="BB101" s="1644" t="s">
        <v>2449</v>
      </c>
    </row>
    <row r="102" spans="2:55" s="841" customFormat="1" ht="11.25" customHeight="1" x14ac:dyDescent="0.25">
      <c r="B102" s="1690" t="s">
        <v>2450</v>
      </c>
      <c r="C102" s="1690"/>
      <c r="D102" s="1643" t="s">
        <v>24</v>
      </c>
      <c r="E102" s="393">
        <v>4.0000000000000002E-4</v>
      </c>
      <c r="G102" s="1640"/>
      <c r="H102" s="841" t="s">
        <v>6095</v>
      </c>
      <c r="I102" s="841" t="s">
        <v>3046</v>
      </c>
      <c r="J102" s="1357"/>
      <c r="M102" s="841" t="s">
        <v>6101</v>
      </c>
      <c r="N102" s="1357"/>
      <c r="P102" s="1420"/>
      <c r="Q102" s="1420"/>
      <c r="Z102" s="1644" t="s">
        <v>2450</v>
      </c>
      <c r="BB102" s="1644" t="s">
        <v>2450</v>
      </c>
    </row>
    <row r="103" spans="2:55" s="841" customFormat="1" ht="11.25" customHeight="1" x14ac:dyDescent="0.25">
      <c r="B103" s="1690" t="s">
        <v>439</v>
      </c>
      <c r="C103" s="1690"/>
      <c r="D103" s="1643" t="s">
        <v>24</v>
      </c>
      <c r="E103" s="393">
        <v>2.9999999999999997E-4</v>
      </c>
      <c r="G103" s="1640"/>
      <c r="H103" s="841" t="s">
        <v>6095</v>
      </c>
      <c r="I103" s="841" t="s">
        <v>3046</v>
      </c>
      <c r="J103" s="1357"/>
      <c r="M103" s="841" t="s">
        <v>6102</v>
      </c>
      <c r="N103" s="1357"/>
      <c r="P103" s="1420"/>
      <c r="Q103" s="1420"/>
      <c r="Z103" s="1644" t="s">
        <v>439</v>
      </c>
      <c r="BB103" s="1644" t="s">
        <v>439</v>
      </c>
    </row>
    <row r="104" spans="2:55" s="841" customFormat="1" ht="11.25" customHeight="1" x14ac:dyDescent="0.25">
      <c r="B104" s="1690" t="s">
        <v>32</v>
      </c>
      <c r="C104" s="1690"/>
      <c r="D104" s="1643" t="s">
        <v>23</v>
      </c>
      <c r="E104" s="391">
        <v>0.25</v>
      </c>
      <c r="G104" s="1640"/>
      <c r="H104" s="841" t="s">
        <v>6095</v>
      </c>
      <c r="I104" s="841" t="s">
        <v>3046</v>
      </c>
      <c r="J104" s="1357"/>
      <c r="M104" s="841" t="s">
        <v>6103</v>
      </c>
      <c r="N104" s="1357"/>
      <c r="P104" s="1420"/>
      <c r="Q104" s="1420"/>
      <c r="Z104" s="1644" t="s">
        <v>32</v>
      </c>
      <c r="AS104" s="841" t="s">
        <v>628</v>
      </c>
      <c r="BB104" s="1644" t="s">
        <v>32</v>
      </c>
    </row>
    <row r="105" spans="2:55" s="1070" customFormat="1" ht="18.75" x14ac:dyDescent="0.3">
      <c r="B105" s="1695" t="s">
        <v>617</v>
      </c>
      <c r="C105" s="1695"/>
      <c r="D105" s="1695"/>
      <c r="E105" s="1695"/>
      <c r="G105" s="1347"/>
      <c r="H105" s="1070" t="s">
        <v>3406</v>
      </c>
      <c r="J105" s="1447"/>
      <c r="N105" s="1447"/>
      <c r="P105" s="1448"/>
      <c r="Q105" s="1448"/>
      <c r="AA105" s="1071" t="s">
        <v>617</v>
      </c>
      <c r="BC105" s="1071" t="s">
        <v>617</v>
      </c>
    </row>
    <row r="106" spans="2:55" s="841" customFormat="1" ht="84" x14ac:dyDescent="0.25">
      <c r="B106" s="1689" t="s">
        <v>4252</v>
      </c>
      <c r="C106" s="1689"/>
      <c r="D106" s="1689"/>
      <c r="E106" s="1689"/>
      <c r="G106" s="1640"/>
      <c r="H106" s="841" t="s">
        <v>3406</v>
      </c>
      <c r="J106" s="1357"/>
      <c r="N106" s="1357"/>
      <c r="P106" s="1420"/>
      <c r="Q106" s="1420"/>
      <c r="AA106" s="1642" t="s">
        <v>4252</v>
      </c>
      <c r="BC106" s="1642" t="s">
        <v>4252</v>
      </c>
    </row>
    <row r="107" spans="2:55" s="841" customFormat="1" ht="6.75" customHeight="1" x14ac:dyDescent="0.25">
      <c r="B107" s="1631"/>
      <c r="C107" s="1631"/>
      <c r="D107" s="1631"/>
      <c r="E107" s="1631"/>
      <c r="G107" s="1640"/>
      <c r="J107" s="1357"/>
      <c r="N107" s="1357"/>
      <c r="P107" s="1420"/>
      <c r="Q107" s="1420"/>
    </row>
    <row r="108" spans="2:55" s="841" customFormat="1" ht="11.25" customHeight="1" x14ac:dyDescent="0.25">
      <c r="B108" s="1696" t="s">
        <v>3061</v>
      </c>
      <c r="C108" s="1697"/>
      <c r="D108" s="1697"/>
      <c r="E108" s="1697"/>
      <c r="G108" s="1640"/>
      <c r="H108" s="841" t="s">
        <v>3221</v>
      </c>
      <c r="J108" s="1357"/>
      <c r="N108" s="1357"/>
      <c r="P108" s="1420"/>
      <c r="Q108" s="1420"/>
      <c r="AA108" s="1073" t="s">
        <v>3061</v>
      </c>
      <c r="BC108" s="1073" t="s">
        <v>3061</v>
      </c>
    </row>
    <row r="109" spans="2:55" s="841" customFormat="1" ht="6.75" customHeight="1" x14ac:dyDescent="0.25">
      <c r="B109" s="1637"/>
      <c r="C109" s="1638"/>
      <c r="D109" s="1638"/>
      <c r="E109" s="1638"/>
      <c r="G109" s="1640"/>
      <c r="J109" s="1357"/>
      <c r="N109" s="1357"/>
      <c r="P109" s="1420"/>
      <c r="Q109" s="1420"/>
    </row>
    <row r="110" spans="2:55" s="841" customFormat="1" ht="36" x14ac:dyDescent="0.25">
      <c r="B110" s="1689" t="s">
        <v>3063</v>
      </c>
      <c r="C110" s="1689"/>
      <c r="D110" s="1689"/>
      <c r="E110" s="1689"/>
      <c r="G110" s="1640"/>
      <c r="H110" s="841" t="s">
        <v>3406</v>
      </c>
      <c r="J110" s="1357"/>
      <c r="N110" s="1357"/>
      <c r="P110" s="1420"/>
      <c r="Q110" s="1420"/>
      <c r="AA110" s="1642" t="s">
        <v>3063</v>
      </c>
      <c r="BC110" s="1642" t="s">
        <v>3063</v>
      </c>
    </row>
    <row r="111" spans="2:55" s="841" customFormat="1" ht="6.75" customHeight="1" x14ac:dyDescent="0.25">
      <c r="B111" s="1631"/>
      <c r="C111" s="1631"/>
      <c r="D111" s="1631"/>
      <c r="E111" s="1631"/>
      <c r="G111" s="1640"/>
      <c r="J111" s="1357"/>
      <c r="N111" s="1357"/>
      <c r="P111" s="1420"/>
      <c r="Q111" s="1420"/>
    </row>
    <row r="112" spans="2:55" s="841" customFormat="1" ht="48" x14ac:dyDescent="0.25">
      <c r="B112" s="1689" t="s">
        <v>3064</v>
      </c>
      <c r="C112" s="1689"/>
      <c r="D112" s="1689"/>
      <c r="E112" s="1689"/>
      <c r="G112" s="1640"/>
      <c r="H112" s="841" t="s">
        <v>3406</v>
      </c>
      <c r="J112" s="1357"/>
      <c r="N112" s="1357"/>
      <c r="P112" s="1420"/>
      <c r="Q112" s="1420"/>
      <c r="AA112" s="1642" t="s">
        <v>3064</v>
      </c>
      <c r="BC112" s="1642" t="s">
        <v>3064</v>
      </c>
    </row>
    <row r="113" spans="2:55" s="841" customFormat="1" ht="6.75" customHeight="1" x14ac:dyDescent="0.25">
      <c r="B113" s="1631"/>
      <c r="C113" s="1631"/>
      <c r="D113" s="1631"/>
      <c r="E113" s="1631"/>
      <c r="G113" s="1640"/>
      <c r="J113" s="1357"/>
      <c r="N113" s="1357"/>
      <c r="P113" s="1420"/>
      <c r="Q113" s="1420"/>
    </row>
    <row r="114" spans="2:55" s="841" customFormat="1" ht="48" x14ac:dyDescent="0.25">
      <c r="B114" s="1689" t="s">
        <v>3199</v>
      </c>
      <c r="C114" s="1689"/>
      <c r="D114" s="1689"/>
      <c r="E114" s="1689"/>
      <c r="G114" s="1640"/>
      <c r="H114" s="841" t="s">
        <v>3406</v>
      </c>
      <c r="J114" s="1357"/>
      <c r="N114" s="1357"/>
      <c r="P114" s="1420"/>
      <c r="Q114" s="1420"/>
      <c r="AA114" s="1642" t="s">
        <v>3199</v>
      </c>
      <c r="BC114" s="1642" t="s">
        <v>3199</v>
      </c>
    </row>
    <row r="115" spans="2:55" s="841" customFormat="1" ht="6.75" customHeight="1" x14ac:dyDescent="0.25">
      <c r="B115" s="1631"/>
      <c r="C115" s="1631"/>
      <c r="D115" s="1631"/>
      <c r="E115" s="1631"/>
      <c r="G115" s="1640"/>
      <c r="J115" s="1357"/>
      <c r="N115" s="1357"/>
      <c r="P115" s="1420"/>
      <c r="Q115" s="1420"/>
    </row>
    <row r="116" spans="2:55" s="841" customFormat="1" ht="36" x14ac:dyDescent="0.25">
      <c r="B116" s="1689" t="s">
        <v>3066</v>
      </c>
      <c r="C116" s="1689"/>
      <c r="D116" s="1689"/>
      <c r="E116" s="1689"/>
      <c r="G116" s="1640"/>
      <c r="H116" s="841" t="s">
        <v>3406</v>
      </c>
      <c r="J116" s="1357"/>
      <c r="N116" s="1357"/>
      <c r="P116" s="1420"/>
      <c r="Q116" s="1420"/>
      <c r="AA116" s="1642" t="s">
        <v>3066</v>
      </c>
      <c r="BC116" s="1642" t="s">
        <v>3066</v>
      </c>
    </row>
    <row r="117" spans="2:55" s="841" customFormat="1" ht="6.75" customHeight="1" x14ac:dyDescent="0.25">
      <c r="B117" s="1631"/>
      <c r="C117" s="1631"/>
      <c r="D117" s="1631"/>
      <c r="E117" s="1631"/>
      <c r="G117" s="1640"/>
      <c r="J117" s="1357"/>
      <c r="N117" s="1357"/>
      <c r="P117" s="1420"/>
      <c r="Q117" s="1420"/>
    </row>
    <row r="118" spans="2:55" s="841" customFormat="1" ht="11.25" customHeight="1" x14ac:dyDescent="0.25">
      <c r="B118" s="1692" t="s">
        <v>3067</v>
      </c>
      <c r="C118" s="1693"/>
      <c r="D118" s="1693"/>
      <c r="E118" s="1693"/>
      <c r="G118" s="1640"/>
      <c r="H118" s="841" t="s">
        <v>3224</v>
      </c>
      <c r="J118" s="1357"/>
      <c r="N118" s="1357"/>
      <c r="P118" s="1420"/>
      <c r="Q118" s="1420"/>
      <c r="AA118" s="1073" t="s">
        <v>3067</v>
      </c>
      <c r="BC118" s="1073" t="s">
        <v>3067</v>
      </c>
    </row>
    <row r="119" spans="2:55" s="841" customFormat="1" ht="6.75" customHeight="1" x14ac:dyDescent="0.25">
      <c r="B119" s="1634"/>
      <c r="C119" s="1635"/>
      <c r="D119" s="1635"/>
      <c r="E119" s="1635"/>
      <c r="G119" s="1640"/>
      <c r="J119" s="1357"/>
      <c r="N119" s="1357"/>
      <c r="P119" s="1420"/>
      <c r="Q119" s="1420"/>
    </row>
    <row r="120" spans="2:55" s="841" customFormat="1" ht="11.25" customHeight="1" x14ac:dyDescent="0.25">
      <c r="B120" s="1690" t="s">
        <v>4823</v>
      </c>
      <c r="C120" s="1690"/>
      <c r="D120" s="1643" t="s">
        <v>23</v>
      </c>
      <c r="E120" s="1351">
        <v>4.3899999999999997</v>
      </c>
      <c r="G120" s="1640"/>
      <c r="H120" s="841" t="s">
        <v>3406</v>
      </c>
      <c r="I120" s="841" t="s">
        <v>442</v>
      </c>
      <c r="J120" s="1357"/>
      <c r="M120" s="841" t="s">
        <v>3408</v>
      </c>
      <c r="N120" s="1357"/>
      <c r="P120" s="1420"/>
      <c r="Q120" s="1420"/>
      <c r="Z120" s="1644" t="s">
        <v>3408</v>
      </c>
      <c r="BB120" s="1644" t="s">
        <v>4823</v>
      </c>
    </row>
    <row r="121" spans="2:55" s="841" customFormat="1" ht="22.5" x14ac:dyDescent="0.25">
      <c r="B121" s="1690" t="s">
        <v>5727</v>
      </c>
      <c r="C121" s="1690"/>
      <c r="D121" s="1643" t="s">
        <v>23</v>
      </c>
      <c r="E121" s="391">
        <v>0.41</v>
      </c>
      <c r="G121" s="1640"/>
      <c r="H121" s="841" t="s">
        <v>3406</v>
      </c>
      <c r="I121" s="841" t="s">
        <v>442</v>
      </c>
      <c r="J121" s="1357"/>
      <c r="M121" s="841" t="s">
        <v>6401</v>
      </c>
      <c r="N121" s="1357"/>
      <c r="P121" s="1420"/>
      <c r="Q121" s="1420"/>
      <c r="Z121" s="1644" t="s">
        <v>5727</v>
      </c>
      <c r="BB121" s="1644" t="s">
        <v>5727</v>
      </c>
    </row>
    <row r="122" spans="2:55" s="841" customFormat="1" ht="11.25" customHeight="1" x14ac:dyDescent="0.25">
      <c r="B122" s="1690" t="s">
        <v>84</v>
      </c>
      <c r="C122" s="1690"/>
      <c r="D122" s="1643" t="s">
        <v>24</v>
      </c>
      <c r="E122" s="1352">
        <v>2.01E-2</v>
      </c>
      <c r="G122" s="1640"/>
      <c r="H122" s="841" t="s">
        <v>3406</v>
      </c>
      <c r="I122" s="841" t="s">
        <v>442</v>
      </c>
      <c r="J122" s="1357"/>
      <c r="M122" s="841" t="s">
        <v>3409</v>
      </c>
      <c r="N122" s="1357"/>
      <c r="P122" s="1420"/>
      <c r="Q122" s="1420"/>
      <c r="Z122" s="1644" t="s">
        <v>3409</v>
      </c>
      <c r="BB122" s="1644" t="s">
        <v>84</v>
      </c>
    </row>
    <row r="123" spans="2:55" s="841" customFormat="1" ht="11.25" customHeight="1" x14ac:dyDescent="0.25">
      <c r="B123" s="1690" t="s">
        <v>18</v>
      </c>
      <c r="C123" s="1690"/>
      <c r="D123" s="1643" t="s">
        <v>24</v>
      </c>
      <c r="E123" s="393">
        <v>4.4999999999999997E-3</v>
      </c>
      <c r="G123" s="1640"/>
      <c r="H123" s="841" t="s">
        <v>3406</v>
      </c>
      <c r="I123" s="841" t="s">
        <v>443</v>
      </c>
      <c r="J123" s="1357"/>
      <c r="M123" s="841" t="s">
        <v>3549</v>
      </c>
      <c r="N123" s="1357"/>
      <c r="P123" s="1420"/>
      <c r="Q123" s="1420"/>
      <c r="Z123" s="1644" t="s">
        <v>18</v>
      </c>
      <c r="BB123" s="1644" t="s">
        <v>18</v>
      </c>
    </row>
    <row r="124" spans="2:55" s="841" customFormat="1" ht="22.5" x14ac:dyDescent="0.25">
      <c r="B124" s="1690" t="s">
        <v>6971</v>
      </c>
      <c r="C124" s="1862"/>
      <c r="D124" s="1643" t="s">
        <v>24</v>
      </c>
      <c r="E124" s="393">
        <v>2E-3</v>
      </c>
      <c r="G124" s="1640"/>
      <c r="H124" s="841" t="s">
        <v>3406</v>
      </c>
      <c r="I124" s="841" t="s">
        <v>443</v>
      </c>
      <c r="J124" s="1357"/>
      <c r="M124" s="841" t="s">
        <v>3550</v>
      </c>
      <c r="N124" s="1357"/>
      <c r="P124" s="1420"/>
      <c r="Q124" s="1420"/>
      <c r="Z124" s="1644"/>
      <c r="BB124" s="1644" t="s">
        <v>6971</v>
      </c>
    </row>
    <row r="125" spans="2:55" s="841" customFormat="1" ht="11.25" customHeight="1" x14ac:dyDescent="0.25">
      <c r="B125" s="1690" t="s">
        <v>6972</v>
      </c>
      <c r="C125" s="1862"/>
      <c r="D125" s="1643" t="s">
        <v>24</v>
      </c>
      <c r="E125" s="393">
        <v>-2.3E-3</v>
      </c>
      <c r="G125" s="1640"/>
      <c r="H125" s="841" t="s">
        <v>3406</v>
      </c>
      <c r="I125" s="841" t="s">
        <v>443</v>
      </c>
      <c r="J125" s="1357"/>
      <c r="M125" s="841" t="s">
        <v>6976</v>
      </c>
      <c r="N125" s="1357"/>
      <c r="P125" s="1420"/>
      <c r="Q125" s="1420"/>
      <c r="Z125" s="1644"/>
      <c r="BB125" s="1644" t="s">
        <v>6972</v>
      </c>
    </row>
    <row r="126" spans="2:55" s="841" customFormat="1" ht="22.5" x14ac:dyDescent="0.25">
      <c r="B126" s="1690" t="s">
        <v>4815</v>
      </c>
      <c r="C126" s="1690"/>
      <c r="D126" s="1643" t="s">
        <v>24</v>
      </c>
      <c r="E126" s="1352">
        <v>5.8999999999999999E-3</v>
      </c>
      <c r="G126" s="1640"/>
      <c r="H126" s="841" t="s">
        <v>3406</v>
      </c>
      <c r="I126" s="841" t="s">
        <v>444</v>
      </c>
      <c r="J126" s="1357"/>
      <c r="M126" s="841" t="s">
        <v>4825</v>
      </c>
      <c r="N126" s="1357"/>
      <c r="P126" s="1420"/>
      <c r="Q126" s="1420"/>
      <c r="Z126" s="1644" t="s">
        <v>4825</v>
      </c>
      <c r="AZ126" s="841" t="s">
        <v>6965</v>
      </c>
      <c r="BB126" s="1644" t="s">
        <v>4815</v>
      </c>
    </row>
    <row r="127" spans="2:55" s="841" customFormat="1" ht="22.5" x14ac:dyDescent="0.25">
      <c r="B127" s="1690" t="s">
        <v>3628</v>
      </c>
      <c r="C127" s="1690"/>
      <c r="D127" s="1643" t="s">
        <v>24</v>
      </c>
      <c r="E127" s="1352">
        <v>4.7000000000000002E-3</v>
      </c>
      <c r="G127" s="1640"/>
      <c r="H127" s="841" t="s">
        <v>3406</v>
      </c>
      <c r="I127" s="841" t="s">
        <v>444</v>
      </c>
      <c r="J127" s="1357"/>
      <c r="M127" s="841" t="s">
        <v>4826</v>
      </c>
      <c r="N127" s="1357"/>
      <c r="P127" s="1420"/>
      <c r="Q127" s="1420"/>
      <c r="Z127" s="1644" t="s">
        <v>4826</v>
      </c>
      <c r="AZ127" s="841" t="s">
        <v>6966</v>
      </c>
      <c r="BB127" s="1644" t="s">
        <v>3628</v>
      </c>
    </row>
    <row r="128" spans="2:55" s="841" customFormat="1" ht="6.75" customHeight="1" x14ac:dyDescent="0.25">
      <c r="B128" s="1632"/>
      <c r="C128" s="1632"/>
      <c r="D128" s="1643"/>
      <c r="E128" s="393"/>
      <c r="G128" s="1640"/>
      <c r="J128" s="1357"/>
      <c r="N128" s="1357"/>
      <c r="P128" s="1420"/>
      <c r="Q128" s="1420"/>
    </row>
    <row r="129" spans="2:55" s="841" customFormat="1" ht="11.25" customHeight="1" x14ac:dyDescent="0.25">
      <c r="B129" s="1694" t="s">
        <v>3079</v>
      </c>
      <c r="C129" s="1690"/>
      <c r="D129" s="1643"/>
      <c r="E129" s="1643"/>
      <c r="G129" s="1640"/>
      <c r="H129" s="841" t="s">
        <v>3225</v>
      </c>
      <c r="J129" s="1357"/>
      <c r="N129" s="1357"/>
      <c r="P129" s="1420"/>
      <c r="Q129" s="1420"/>
      <c r="Z129" s="1073" t="s">
        <v>3079</v>
      </c>
      <c r="BB129" s="1073" t="s">
        <v>3079</v>
      </c>
    </row>
    <row r="130" spans="2:55" s="841" customFormat="1" ht="6.75" customHeight="1" x14ac:dyDescent="0.25">
      <c r="B130" s="1636"/>
      <c r="C130" s="1632"/>
      <c r="D130" s="1643"/>
      <c r="E130" s="1643"/>
      <c r="G130" s="1640"/>
      <c r="J130" s="1357"/>
      <c r="N130" s="1357"/>
      <c r="P130" s="1420"/>
      <c r="Q130" s="1420"/>
    </row>
    <row r="131" spans="2:55" s="841" customFormat="1" ht="11.25" customHeight="1" x14ac:dyDescent="0.25">
      <c r="B131" s="1690" t="s">
        <v>2449</v>
      </c>
      <c r="C131" s="1690"/>
      <c r="D131" s="1643" t="s">
        <v>24</v>
      </c>
      <c r="E131" s="393">
        <v>3.2000000000000002E-3</v>
      </c>
      <c r="G131" s="1640"/>
      <c r="H131" s="841" t="s">
        <v>3406</v>
      </c>
      <c r="I131" s="841" t="s">
        <v>3046</v>
      </c>
      <c r="J131" s="1357"/>
      <c r="M131" s="841" t="s">
        <v>3414</v>
      </c>
      <c r="N131" s="1357"/>
      <c r="P131" s="1420"/>
      <c r="Q131" s="1420"/>
      <c r="Z131" s="1644" t="s">
        <v>2449</v>
      </c>
      <c r="BB131" s="1644" t="s">
        <v>2449</v>
      </c>
    </row>
    <row r="132" spans="2:55" s="841" customFormat="1" ht="11.25" customHeight="1" x14ac:dyDescent="0.25">
      <c r="B132" s="1690" t="s">
        <v>2450</v>
      </c>
      <c r="C132" s="1690"/>
      <c r="D132" s="1643" t="s">
        <v>24</v>
      </c>
      <c r="E132" s="393">
        <v>4.0000000000000002E-4</v>
      </c>
      <c r="G132" s="1640"/>
      <c r="H132" s="841" t="s">
        <v>3406</v>
      </c>
      <c r="I132" s="841" t="s">
        <v>3046</v>
      </c>
      <c r="J132" s="1357"/>
      <c r="M132" s="841" t="s">
        <v>3414</v>
      </c>
      <c r="N132" s="1357"/>
      <c r="P132" s="1420"/>
      <c r="Q132" s="1420"/>
      <c r="Z132" s="1644" t="s">
        <v>2450</v>
      </c>
      <c r="BB132" s="1644" t="s">
        <v>2450</v>
      </c>
    </row>
    <row r="133" spans="2:55" s="841" customFormat="1" ht="11.25" customHeight="1" x14ac:dyDescent="0.25">
      <c r="B133" s="1690" t="s">
        <v>439</v>
      </c>
      <c r="C133" s="1690"/>
      <c r="D133" s="1643" t="s">
        <v>24</v>
      </c>
      <c r="E133" s="393">
        <v>2.9999999999999997E-4</v>
      </c>
      <c r="G133" s="1640"/>
      <c r="H133" s="841" t="s">
        <v>3406</v>
      </c>
      <c r="I133" s="841" t="s">
        <v>3046</v>
      </c>
      <c r="J133" s="1357"/>
      <c r="M133" s="841" t="s">
        <v>3415</v>
      </c>
      <c r="N133" s="1357"/>
      <c r="P133" s="1420"/>
      <c r="Q133" s="1420"/>
      <c r="Z133" s="1644" t="s">
        <v>439</v>
      </c>
      <c r="BB133" s="1644" t="s">
        <v>439</v>
      </c>
    </row>
    <row r="134" spans="2:55" s="841" customFormat="1" ht="11.25" customHeight="1" x14ac:dyDescent="0.25">
      <c r="B134" s="1690" t="s">
        <v>32</v>
      </c>
      <c r="C134" s="1690"/>
      <c r="D134" s="1643" t="s">
        <v>23</v>
      </c>
      <c r="E134" s="391">
        <v>0.25</v>
      </c>
      <c r="G134" s="1640"/>
      <c r="H134" s="841" t="s">
        <v>3406</v>
      </c>
      <c r="I134" s="841" t="s">
        <v>3046</v>
      </c>
      <c r="J134" s="1357"/>
      <c r="M134" s="841" t="s">
        <v>3416</v>
      </c>
      <c r="N134" s="1357"/>
      <c r="P134" s="1420"/>
      <c r="Q134" s="1420"/>
      <c r="Z134" s="1644" t="s">
        <v>32</v>
      </c>
      <c r="AS134" s="841" t="s">
        <v>628</v>
      </c>
      <c r="BB134" s="1644" t="s">
        <v>32</v>
      </c>
    </row>
    <row r="135" spans="2:55" s="1070" customFormat="1" ht="18.75" x14ac:dyDescent="0.3">
      <c r="B135" s="1695" t="s">
        <v>629</v>
      </c>
      <c r="C135" s="1695"/>
      <c r="D135" s="1695"/>
      <c r="E135" s="1695"/>
      <c r="G135" s="1347"/>
      <c r="H135" s="1070" t="s">
        <v>3571</v>
      </c>
      <c r="J135" s="1447"/>
      <c r="N135" s="1447"/>
      <c r="P135" s="1448"/>
      <c r="Q135" s="1448"/>
      <c r="AA135" s="1071" t="s">
        <v>629</v>
      </c>
      <c r="BC135" s="1071" t="s">
        <v>629</v>
      </c>
    </row>
    <row r="136" spans="2:55" s="841" customFormat="1" ht="36" x14ac:dyDescent="0.25">
      <c r="B136" s="1689" t="s">
        <v>3251</v>
      </c>
      <c r="C136" s="1689"/>
      <c r="D136" s="1689"/>
      <c r="E136" s="1689"/>
      <c r="G136" s="1640"/>
      <c r="H136" s="841" t="s">
        <v>3571</v>
      </c>
      <c r="J136" s="1357"/>
      <c r="N136" s="1357"/>
      <c r="P136" s="1420"/>
      <c r="Q136" s="1420"/>
      <c r="AA136" s="1642" t="s">
        <v>3251</v>
      </c>
      <c r="BC136" s="1642" t="s">
        <v>3251</v>
      </c>
    </row>
    <row r="137" spans="2:55" s="841" customFormat="1" ht="6.75" customHeight="1" x14ac:dyDescent="0.25">
      <c r="B137" s="1631"/>
      <c r="C137" s="1631"/>
      <c r="D137" s="1631"/>
      <c r="E137" s="1631"/>
      <c r="G137" s="1640"/>
      <c r="J137" s="1357"/>
      <c r="N137" s="1357"/>
      <c r="P137" s="1420"/>
      <c r="Q137" s="1420"/>
    </row>
    <row r="138" spans="2:55" s="841" customFormat="1" ht="11.25" customHeight="1" x14ac:dyDescent="0.25">
      <c r="B138" s="1696" t="s">
        <v>3061</v>
      </c>
      <c r="C138" s="1697"/>
      <c r="D138" s="1697"/>
      <c r="E138" s="1697"/>
      <c r="G138" s="1640"/>
      <c r="H138" s="841" t="s">
        <v>3107</v>
      </c>
      <c r="J138" s="1357"/>
      <c r="N138" s="1357"/>
      <c r="P138" s="1420"/>
      <c r="Q138" s="1420"/>
      <c r="AA138" s="1073" t="s">
        <v>3061</v>
      </c>
      <c r="BC138" s="1073" t="s">
        <v>3061</v>
      </c>
    </row>
    <row r="139" spans="2:55" s="841" customFormat="1" ht="6.75" customHeight="1" x14ac:dyDescent="0.25">
      <c r="B139" s="1637"/>
      <c r="C139" s="1638"/>
      <c r="D139" s="1638"/>
      <c r="E139" s="1638"/>
      <c r="G139" s="1640"/>
      <c r="J139" s="1357"/>
      <c r="N139" s="1357"/>
      <c r="P139" s="1420"/>
      <c r="Q139" s="1420"/>
    </row>
    <row r="140" spans="2:55" s="841" customFormat="1" ht="36" x14ac:dyDescent="0.25">
      <c r="B140" s="1689" t="s">
        <v>3063</v>
      </c>
      <c r="C140" s="1689"/>
      <c r="D140" s="1689"/>
      <c r="E140" s="1689"/>
      <c r="G140" s="1640"/>
      <c r="H140" s="841" t="s">
        <v>3571</v>
      </c>
      <c r="J140" s="1357"/>
      <c r="N140" s="1357"/>
      <c r="P140" s="1420"/>
      <c r="Q140" s="1420"/>
      <c r="AA140" s="1642" t="s">
        <v>3063</v>
      </c>
      <c r="BC140" s="1642" t="s">
        <v>3063</v>
      </c>
    </row>
    <row r="141" spans="2:55" s="841" customFormat="1" ht="6.75" customHeight="1" x14ac:dyDescent="0.25">
      <c r="B141" s="1631"/>
      <c r="C141" s="1631"/>
      <c r="D141" s="1631"/>
      <c r="E141" s="1631"/>
      <c r="G141" s="1640"/>
      <c r="J141" s="1357"/>
      <c r="N141" s="1357"/>
      <c r="P141" s="1420"/>
      <c r="Q141" s="1420"/>
    </row>
    <row r="142" spans="2:55" s="841" customFormat="1" ht="48" x14ac:dyDescent="0.25">
      <c r="B142" s="1689" t="s">
        <v>3064</v>
      </c>
      <c r="C142" s="1689"/>
      <c r="D142" s="1689"/>
      <c r="E142" s="1689"/>
      <c r="G142" s="1640"/>
      <c r="H142" s="841" t="s">
        <v>3571</v>
      </c>
      <c r="J142" s="1357"/>
      <c r="N142" s="1357"/>
      <c r="P142" s="1420"/>
      <c r="Q142" s="1420"/>
      <c r="AA142" s="1642" t="s">
        <v>3064</v>
      </c>
      <c r="BC142" s="1642" t="s">
        <v>3064</v>
      </c>
    </row>
    <row r="143" spans="2:55" s="841" customFormat="1" ht="6.75" customHeight="1" x14ac:dyDescent="0.25">
      <c r="B143" s="1631"/>
      <c r="C143" s="1631"/>
      <c r="D143" s="1631"/>
      <c r="E143" s="1631"/>
      <c r="G143" s="1640"/>
      <c r="J143" s="1357"/>
      <c r="N143" s="1357"/>
      <c r="P143" s="1420"/>
      <c r="Q143" s="1420"/>
    </row>
    <row r="144" spans="2:55" s="841" customFormat="1" ht="48" x14ac:dyDescent="0.25">
      <c r="B144" s="1689" t="s">
        <v>3199</v>
      </c>
      <c r="C144" s="1689"/>
      <c r="D144" s="1689"/>
      <c r="E144" s="1689"/>
      <c r="G144" s="1640"/>
      <c r="H144" s="841" t="s">
        <v>3571</v>
      </c>
      <c r="J144" s="1357"/>
      <c r="N144" s="1357"/>
      <c r="P144" s="1420"/>
      <c r="Q144" s="1420"/>
      <c r="AA144" s="1642" t="s">
        <v>3199</v>
      </c>
      <c r="BC144" s="1642" t="s">
        <v>3199</v>
      </c>
    </row>
    <row r="145" spans="2:55" s="841" customFormat="1" ht="6.75" customHeight="1" x14ac:dyDescent="0.25">
      <c r="B145" s="1631"/>
      <c r="C145" s="1631"/>
      <c r="D145" s="1631"/>
      <c r="E145" s="1631"/>
      <c r="G145" s="1640"/>
      <c r="J145" s="1357"/>
      <c r="N145" s="1357"/>
      <c r="P145" s="1420"/>
      <c r="Q145" s="1420"/>
    </row>
    <row r="146" spans="2:55" s="841" customFormat="1" ht="36" x14ac:dyDescent="0.25">
      <c r="B146" s="1689" t="s">
        <v>3066</v>
      </c>
      <c r="C146" s="1689"/>
      <c r="D146" s="1689"/>
      <c r="E146" s="1689"/>
      <c r="G146" s="1640"/>
      <c r="H146" s="841" t="s">
        <v>3571</v>
      </c>
      <c r="J146" s="1357"/>
      <c r="N146" s="1357"/>
      <c r="P146" s="1420"/>
      <c r="Q146" s="1420"/>
      <c r="AA146" s="1642" t="s">
        <v>3066</v>
      </c>
      <c r="BC146" s="1642" t="s">
        <v>3066</v>
      </c>
    </row>
    <row r="147" spans="2:55" s="841" customFormat="1" ht="6.75" customHeight="1" x14ac:dyDescent="0.25">
      <c r="B147" s="1631"/>
      <c r="C147" s="1631"/>
      <c r="D147" s="1631"/>
      <c r="E147" s="1631"/>
      <c r="G147" s="1640"/>
      <c r="J147" s="1357"/>
      <c r="N147" s="1357"/>
      <c r="P147" s="1420"/>
      <c r="Q147" s="1420"/>
    </row>
    <row r="148" spans="2:55" s="841" customFormat="1" ht="11.25" customHeight="1" x14ac:dyDescent="0.25">
      <c r="B148" s="1692" t="s">
        <v>3067</v>
      </c>
      <c r="C148" s="1693"/>
      <c r="D148" s="1693"/>
      <c r="E148" s="1693"/>
      <c r="G148" s="1640"/>
      <c r="H148" s="841" t="s">
        <v>3108</v>
      </c>
      <c r="J148" s="1357"/>
      <c r="N148" s="1357"/>
      <c r="P148" s="1420"/>
      <c r="Q148" s="1420"/>
      <c r="AA148" s="1073" t="s">
        <v>3067</v>
      </c>
      <c r="BC148" s="1073" t="s">
        <v>3067</v>
      </c>
    </row>
    <row r="149" spans="2:55" s="841" customFormat="1" ht="6.75" customHeight="1" x14ac:dyDescent="0.25">
      <c r="B149" s="1634"/>
      <c r="C149" s="1635"/>
      <c r="D149" s="1635"/>
      <c r="E149" s="1635"/>
      <c r="G149" s="1640"/>
      <c r="J149" s="1357"/>
      <c r="N149" s="1357"/>
      <c r="P149" s="1420"/>
      <c r="Q149" s="1420"/>
    </row>
    <row r="150" spans="2:55" s="841" customFormat="1" ht="11.25" customHeight="1" x14ac:dyDescent="0.25">
      <c r="B150" s="1690" t="s">
        <v>4827</v>
      </c>
      <c r="C150" s="1690"/>
      <c r="D150" s="1643" t="s">
        <v>23</v>
      </c>
      <c r="E150" s="1351">
        <v>2.71</v>
      </c>
      <c r="G150" s="1640"/>
      <c r="H150" s="841" t="s">
        <v>3571</v>
      </c>
      <c r="I150" s="841" t="s">
        <v>442</v>
      </c>
      <c r="J150" s="1357"/>
      <c r="M150" s="841" t="s">
        <v>3573</v>
      </c>
      <c r="N150" s="1357"/>
      <c r="P150" s="1420"/>
      <c r="Q150" s="1420"/>
      <c r="Z150" s="1644" t="s">
        <v>3573</v>
      </c>
      <c r="BB150" s="1644" t="s">
        <v>4827</v>
      </c>
    </row>
    <row r="151" spans="2:55" s="841" customFormat="1" ht="22.5" x14ac:dyDescent="0.25">
      <c r="B151" s="1690" t="s">
        <v>5727</v>
      </c>
      <c r="C151" s="1690"/>
      <c r="D151" s="1643" t="s">
        <v>23</v>
      </c>
      <c r="E151" s="391">
        <v>0.19</v>
      </c>
      <c r="G151" s="1640"/>
      <c r="H151" s="841" t="s">
        <v>3571</v>
      </c>
      <c r="I151" s="841" t="s">
        <v>442</v>
      </c>
      <c r="J151" s="1357"/>
      <c r="M151" s="841" t="s">
        <v>6402</v>
      </c>
      <c r="N151" s="1357"/>
      <c r="P151" s="1420"/>
      <c r="Q151" s="1420"/>
      <c r="Z151" s="1644" t="s">
        <v>5727</v>
      </c>
      <c r="BB151" s="1644" t="s">
        <v>5727</v>
      </c>
    </row>
    <row r="152" spans="2:55" s="841" customFormat="1" ht="11.25" customHeight="1" x14ac:dyDescent="0.25">
      <c r="B152" s="1690" t="s">
        <v>3109</v>
      </c>
      <c r="C152" s="1690"/>
      <c r="D152" s="1643" t="s">
        <v>33</v>
      </c>
      <c r="E152" s="1352">
        <v>19.8337</v>
      </c>
      <c r="G152" s="1640"/>
      <c r="H152" s="841" t="s">
        <v>3571</v>
      </c>
      <c r="I152" s="841" t="s">
        <v>442</v>
      </c>
      <c r="J152" s="1357"/>
      <c r="M152" s="841" t="s">
        <v>3574</v>
      </c>
      <c r="N152" s="1357"/>
      <c r="P152" s="1420"/>
      <c r="Q152" s="1420"/>
      <c r="Z152" s="1644" t="s">
        <v>3574</v>
      </c>
      <c r="BB152" s="1644" t="s">
        <v>3109</v>
      </c>
    </row>
    <row r="153" spans="2:55" s="841" customFormat="1" ht="11.25" customHeight="1" x14ac:dyDescent="0.25">
      <c r="B153" s="1690" t="s">
        <v>4813</v>
      </c>
      <c r="C153" s="1690"/>
      <c r="D153" s="1643" t="s">
        <v>33</v>
      </c>
      <c r="E153" s="393">
        <v>1.3055000000000001</v>
      </c>
      <c r="G153" s="1640"/>
      <c r="H153" s="841" t="s">
        <v>3571</v>
      </c>
      <c r="I153" s="841" t="s">
        <v>443</v>
      </c>
      <c r="J153" s="1357"/>
      <c r="M153" s="841" t="s">
        <v>3575</v>
      </c>
      <c r="N153" s="1357"/>
      <c r="P153" s="1420"/>
      <c r="Q153" s="1420"/>
      <c r="Z153" s="1644" t="s">
        <v>4813</v>
      </c>
      <c r="BB153" s="1644" t="s">
        <v>4813</v>
      </c>
    </row>
    <row r="154" spans="2:55" s="841" customFormat="1" ht="22.5" x14ac:dyDescent="0.25">
      <c r="B154" s="1690" t="s">
        <v>6971</v>
      </c>
      <c r="C154" s="1862"/>
      <c r="D154" s="1643" t="s">
        <v>24</v>
      </c>
      <c r="E154" s="393">
        <v>1.9E-3</v>
      </c>
      <c r="G154" s="1640"/>
      <c r="H154" s="841" t="s">
        <v>3571</v>
      </c>
      <c r="I154" s="841" t="s">
        <v>443</v>
      </c>
      <c r="J154" s="1357"/>
      <c r="M154" s="841" t="s">
        <v>3717</v>
      </c>
      <c r="N154" s="1357"/>
      <c r="P154" s="1420"/>
      <c r="Q154" s="1420"/>
      <c r="Z154" s="1644"/>
      <c r="BB154" s="1644" t="s">
        <v>6971</v>
      </c>
    </row>
    <row r="155" spans="2:55" s="841" customFormat="1" ht="11.25" customHeight="1" x14ac:dyDescent="0.25">
      <c r="B155" s="1690" t="s">
        <v>6972</v>
      </c>
      <c r="C155" s="1862"/>
      <c r="D155" s="1643" t="s">
        <v>33</v>
      </c>
      <c r="E155" s="393">
        <v>-0.77370000000000005</v>
      </c>
      <c r="G155" s="1640"/>
      <c r="H155" s="841" t="s">
        <v>3571</v>
      </c>
      <c r="I155" s="841" t="s">
        <v>443</v>
      </c>
      <c r="J155" s="1357"/>
      <c r="M155" s="841" t="s">
        <v>6977</v>
      </c>
      <c r="N155" s="1357"/>
      <c r="P155" s="1420"/>
      <c r="Q155" s="1420"/>
      <c r="Z155" s="1644"/>
      <c r="BB155" s="1644" t="s">
        <v>6972</v>
      </c>
    </row>
    <row r="156" spans="2:55" s="841" customFormat="1" ht="22.5" x14ac:dyDescent="0.25">
      <c r="B156" s="1690" t="s">
        <v>221</v>
      </c>
      <c r="C156" s="1690"/>
      <c r="D156" s="1643" t="s">
        <v>33</v>
      </c>
      <c r="E156" s="1352">
        <v>1.8599000000000001</v>
      </c>
      <c r="G156" s="1640"/>
      <c r="H156" s="841" t="s">
        <v>3571</v>
      </c>
      <c r="I156" s="841" t="s">
        <v>444</v>
      </c>
      <c r="J156" s="1357"/>
      <c r="M156" s="841" t="s">
        <v>3576</v>
      </c>
      <c r="N156" s="1357"/>
      <c r="P156" s="1420"/>
      <c r="Q156" s="1420"/>
      <c r="Z156" s="1644" t="s">
        <v>3576</v>
      </c>
      <c r="AZ156" s="841" t="s">
        <v>6967</v>
      </c>
      <c r="BB156" s="1644" t="s">
        <v>221</v>
      </c>
    </row>
    <row r="157" spans="2:55" s="841" customFormat="1" ht="22.5" x14ac:dyDescent="0.25">
      <c r="B157" s="1690" t="s">
        <v>3628</v>
      </c>
      <c r="C157" s="1690"/>
      <c r="D157" s="1643" t="s">
        <v>33</v>
      </c>
      <c r="E157" s="1352">
        <v>1.4859</v>
      </c>
      <c r="G157" s="1640"/>
      <c r="H157" s="841" t="s">
        <v>3571</v>
      </c>
      <c r="I157" s="841" t="s">
        <v>444</v>
      </c>
      <c r="J157" s="1357"/>
      <c r="M157" s="841" t="s">
        <v>4828</v>
      </c>
      <c r="N157" s="1357"/>
      <c r="P157" s="1420"/>
      <c r="Q157" s="1420"/>
      <c r="Z157" s="1644" t="s">
        <v>4828</v>
      </c>
      <c r="AZ157" s="841" t="s">
        <v>6968</v>
      </c>
      <c r="BB157" s="1644" t="s">
        <v>3628</v>
      </c>
    </row>
    <row r="158" spans="2:55" s="841" customFormat="1" ht="6.75" customHeight="1" x14ac:dyDescent="0.25">
      <c r="B158" s="1632"/>
      <c r="C158" s="1632"/>
      <c r="D158" s="1643"/>
      <c r="E158" s="393"/>
      <c r="G158" s="1640"/>
      <c r="J158" s="1357"/>
      <c r="N158" s="1357"/>
      <c r="P158" s="1420"/>
      <c r="Q158" s="1420"/>
    </row>
    <row r="159" spans="2:55" s="841" customFormat="1" ht="11.25" customHeight="1" x14ac:dyDescent="0.25">
      <c r="B159" s="1694" t="s">
        <v>3079</v>
      </c>
      <c r="C159" s="1690"/>
      <c r="D159" s="1643"/>
      <c r="E159" s="1643"/>
      <c r="G159" s="1640"/>
      <c r="H159" s="841" t="s">
        <v>3111</v>
      </c>
      <c r="J159" s="1357"/>
      <c r="N159" s="1357"/>
      <c r="P159" s="1420"/>
      <c r="Q159" s="1420"/>
      <c r="Z159" s="1073" t="s">
        <v>3079</v>
      </c>
      <c r="BB159" s="1073" t="s">
        <v>3079</v>
      </c>
    </row>
    <row r="160" spans="2:55" s="841" customFormat="1" ht="6.75" customHeight="1" x14ac:dyDescent="0.25">
      <c r="B160" s="1636"/>
      <c r="C160" s="1632"/>
      <c r="D160" s="1643"/>
      <c r="E160" s="1643"/>
      <c r="G160" s="1640"/>
      <c r="J160" s="1357"/>
      <c r="N160" s="1357"/>
      <c r="P160" s="1420"/>
      <c r="Q160" s="1420"/>
    </row>
    <row r="161" spans="2:55" s="841" customFormat="1" ht="11.25" customHeight="1" x14ac:dyDescent="0.25">
      <c r="B161" s="1690" t="s">
        <v>2449</v>
      </c>
      <c r="C161" s="1690"/>
      <c r="D161" s="1643" t="s">
        <v>24</v>
      </c>
      <c r="E161" s="393">
        <v>3.2000000000000002E-3</v>
      </c>
      <c r="G161" s="1640"/>
      <c r="H161" s="841" t="s">
        <v>3571</v>
      </c>
      <c r="I161" s="841" t="s">
        <v>3046</v>
      </c>
      <c r="J161" s="1357"/>
      <c r="M161" s="841" t="s">
        <v>3578</v>
      </c>
      <c r="N161" s="1357"/>
      <c r="P161" s="1420"/>
      <c r="Q161" s="1420"/>
      <c r="Z161" s="1644" t="s">
        <v>2449</v>
      </c>
      <c r="BB161" s="1644" t="s">
        <v>2449</v>
      </c>
    </row>
    <row r="162" spans="2:55" s="841" customFormat="1" ht="11.25" customHeight="1" x14ac:dyDescent="0.25">
      <c r="B162" s="1690" t="s">
        <v>2450</v>
      </c>
      <c r="C162" s="1690"/>
      <c r="D162" s="1643" t="s">
        <v>24</v>
      </c>
      <c r="E162" s="393">
        <v>4.0000000000000002E-4</v>
      </c>
      <c r="G162" s="1640"/>
      <c r="H162" s="841" t="s">
        <v>3571</v>
      </c>
      <c r="I162" s="841" t="s">
        <v>3046</v>
      </c>
      <c r="J162" s="1357"/>
      <c r="M162" s="841" t="s">
        <v>3578</v>
      </c>
      <c r="N162" s="1357"/>
      <c r="P162" s="1420"/>
      <c r="Q162" s="1420"/>
      <c r="Z162" s="1644" t="s">
        <v>2450</v>
      </c>
      <c r="BB162" s="1644" t="s">
        <v>2450</v>
      </c>
    </row>
    <row r="163" spans="2:55" s="841" customFormat="1" ht="11.25" customHeight="1" x14ac:dyDescent="0.25">
      <c r="B163" s="1690" t="s">
        <v>439</v>
      </c>
      <c r="C163" s="1690"/>
      <c r="D163" s="1643" t="s">
        <v>24</v>
      </c>
      <c r="E163" s="393">
        <v>2.9999999999999997E-4</v>
      </c>
      <c r="G163" s="1640"/>
      <c r="H163" s="841" t="s">
        <v>3571</v>
      </c>
      <c r="I163" s="841" t="s">
        <v>3046</v>
      </c>
      <c r="J163" s="1357"/>
      <c r="M163" s="841" t="s">
        <v>3579</v>
      </c>
      <c r="N163" s="1357"/>
      <c r="P163" s="1420"/>
      <c r="Q163" s="1420"/>
      <c r="Z163" s="1644" t="s">
        <v>439</v>
      </c>
      <c r="BB163" s="1644" t="s">
        <v>439</v>
      </c>
    </row>
    <row r="164" spans="2:55" s="841" customFormat="1" ht="11.25" customHeight="1" x14ac:dyDescent="0.25">
      <c r="B164" s="1690" t="s">
        <v>32</v>
      </c>
      <c r="C164" s="1690"/>
      <c r="D164" s="1643" t="s">
        <v>23</v>
      </c>
      <c r="E164" s="391">
        <v>0.25</v>
      </c>
      <c r="G164" s="1640"/>
      <c r="H164" s="841" t="s">
        <v>3571</v>
      </c>
      <c r="I164" s="841" t="s">
        <v>3046</v>
      </c>
      <c r="J164" s="1357"/>
      <c r="M164" s="841" t="s">
        <v>3580</v>
      </c>
      <c r="N164" s="1357"/>
      <c r="P164" s="1420"/>
      <c r="Q164" s="1420"/>
      <c r="Z164" s="1644" t="s">
        <v>32</v>
      </c>
      <c r="AS164" s="841" t="s">
        <v>628</v>
      </c>
      <c r="BB164" s="1644" t="s">
        <v>32</v>
      </c>
    </row>
    <row r="165" spans="2:55" s="1070" customFormat="1" ht="18.75" x14ac:dyDescent="0.3">
      <c r="B165" s="1695" t="s">
        <v>615</v>
      </c>
      <c r="C165" s="1695"/>
      <c r="D165" s="1695"/>
      <c r="E165" s="1695"/>
      <c r="G165" s="1347"/>
      <c r="H165" s="1070" t="s">
        <v>3112</v>
      </c>
      <c r="J165" s="1447"/>
      <c r="N165" s="1447"/>
      <c r="P165" s="1448"/>
      <c r="Q165" s="1448"/>
      <c r="AA165" s="1071" t="s">
        <v>615</v>
      </c>
      <c r="BC165" s="1071" t="s">
        <v>615</v>
      </c>
    </row>
    <row r="166" spans="2:55" s="841" customFormat="1" ht="72" x14ac:dyDescent="0.25">
      <c r="B166" s="1689" t="s">
        <v>4064</v>
      </c>
      <c r="C166" s="1689"/>
      <c r="D166" s="1689"/>
      <c r="E166" s="1689"/>
      <c r="G166" s="1640"/>
      <c r="H166" s="841" t="s">
        <v>3112</v>
      </c>
      <c r="J166" s="1357"/>
      <c r="N166" s="1357"/>
      <c r="P166" s="1420"/>
      <c r="Q166" s="1420"/>
      <c r="AA166" s="1642" t="s">
        <v>4064</v>
      </c>
      <c r="BC166" s="1642" t="s">
        <v>4064</v>
      </c>
    </row>
    <row r="167" spans="2:55" s="841" customFormat="1" ht="6.75" customHeight="1" x14ac:dyDescent="0.25">
      <c r="B167" s="1631"/>
      <c r="C167" s="1631"/>
      <c r="D167" s="1631"/>
      <c r="E167" s="1631"/>
      <c r="G167" s="1640"/>
      <c r="J167" s="1357"/>
      <c r="N167" s="1357"/>
      <c r="P167" s="1420"/>
      <c r="Q167" s="1420"/>
    </row>
    <row r="168" spans="2:55" s="841" customFormat="1" ht="11.25" customHeight="1" x14ac:dyDescent="0.25">
      <c r="B168" s="1696" t="s">
        <v>3061</v>
      </c>
      <c r="C168" s="1697"/>
      <c r="D168" s="1697"/>
      <c r="E168" s="1697"/>
      <c r="G168" s="1640"/>
      <c r="H168" s="841" t="s">
        <v>3114</v>
      </c>
      <c r="J168" s="1357"/>
      <c r="N168" s="1357"/>
      <c r="P168" s="1420"/>
      <c r="Q168" s="1420"/>
      <c r="AA168" s="1073" t="s">
        <v>3061</v>
      </c>
      <c r="BC168" s="1073" t="s">
        <v>3061</v>
      </c>
    </row>
    <row r="169" spans="2:55" s="841" customFormat="1" ht="6.75" customHeight="1" x14ac:dyDescent="0.25">
      <c r="B169" s="1637"/>
      <c r="C169" s="1638"/>
      <c r="D169" s="1638"/>
      <c r="E169" s="1638"/>
      <c r="G169" s="1640"/>
      <c r="J169" s="1357"/>
      <c r="N169" s="1357"/>
      <c r="P169" s="1420"/>
      <c r="Q169" s="1420"/>
    </row>
    <row r="170" spans="2:55" s="841" customFormat="1" ht="36" x14ac:dyDescent="0.25">
      <c r="B170" s="1689" t="s">
        <v>3063</v>
      </c>
      <c r="C170" s="1689"/>
      <c r="D170" s="1689"/>
      <c r="E170" s="1689"/>
      <c r="G170" s="1640"/>
      <c r="H170" s="841" t="s">
        <v>3112</v>
      </c>
      <c r="J170" s="1357"/>
      <c r="N170" s="1357"/>
      <c r="P170" s="1420"/>
      <c r="Q170" s="1420"/>
      <c r="AA170" s="1642" t="s">
        <v>3063</v>
      </c>
      <c r="BC170" s="1642" t="s">
        <v>3063</v>
      </c>
    </row>
    <row r="171" spans="2:55" s="841" customFormat="1" ht="6.75" customHeight="1" x14ac:dyDescent="0.25">
      <c r="B171" s="1631"/>
      <c r="C171" s="1631"/>
      <c r="D171" s="1631"/>
      <c r="E171" s="1631"/>
      <c r="G171" s="1640"/>
      <c r="J171" s="1357"/>
      <c r="N171" s="1357"/>
      <c r="P171" s="1420"/>
      <c r="Q171" s="1420"/>
    </row>
    <row r="172" spans="2:55" s="841" customFormat="1" ht="48" x14ac:dyDescent="0.25">
      <c r="B172" s="1689" t="s">
        <v>3064</v>
      </c>
      <c r="C172" s="1689"/>
      <c r="D172" s="1689"/>
      <c r="E172" s="1689"/>
      <c r="G172" s="1640"/>
      <c r="H172" s="841" t="s">
        <v>3112</v>
      </c>
      <c r="J172" s="1357"/>
      <c r="N172" s="1357"/>
      <c r="P172" s="1420"/>
      <c r="Q172" s="1420"/>
      <c r="AA172" s="1642" t="s">
        <v>3064</v>
      </c>
      <c r="BC172" s="1642" t="s">
        <v>3064</v>
      </c>
    </row>
    <row r="173" spans="2:55" s="841" customFormat="1" ht="6.75" customHeight="1" x14ac:dyDescent="0.25">
      <c r="B173" s="1631"/>
      <c r="C173" s="1631"/>
      <c r="D173" s="1631"/>
      <c r="E173" s="1631"/>
      <c r="G173" s="1640"/>
      <c r="J173" s="1357"/>
      <c r="N173" s="1357"/>
      <c r="P173" s="1420"/>
      <c r="Q173" s="1420"/>
    </row>
    <row r="174" spans="2:55" s="841" customFormat="1" ht="48" x14ac:dyDescent="0.25">
      <c r="B174" s="1689" t="s">
        <v>3199</v>
      </c>
      <c r="C174" s="1689"/>
      <c r="D174" s="1689"/>
      <c r="E174" s="1689"/>
      <c r="G174" s="1640"/>
      <c r="H174" s="841" t="s">
        <v>3112</v>
      </c>
      <c r="J174" s="1357"/>
      <c r="N174" s="1357"/>
      <c r="P174" s="1420"/>
      <c r="Q174" s="1420"/>
      <c r="AA174" s="1642" t="s">
        <v>3199</v>
      </c>
      <c r="BC174" s="1642" t="s">
        <v>3199</v>
      </c>
    </row>
    <row r="175" spans="2:55" s="841" customFormat="1" ht="6.75" customHeight="1" x14ac:dyDescent="0.25">
      <c r="B175" s="1631"/>
      <c r="C175" s="1631"/>
      <c r="D175" s="1631"/>
      <c r="E175" s="1631"/>
      <c r="G175" s="1640"/>
      <c r="J175" s="1357"/>
      <c r="N175" s="1357"/>
      <c r="P175" s="1420"/>
      <c r="Q175" s="1420"/>
    </row>
    <row r="176" spans="2:55" s="841" customFormat="1" ht="36" x14ac:dyDescent="0.25">
      <c r="B176" s="1689" t="s">
        <v>3066</v>
      </c>
      <c r="C176" s="1689"/>
      <c r="D176" s="1689"/>
      <c r="E176" s="1689"/>
      <c r="G176" s="1640"/>
      <c r="H176" s="841" t="s">
        <v>3112</v>
      </c>
      <c r="J176" s="1357"/>
      <c r="N176" s="1357"/>
      <c r="P176" s="1420"/>
      <c r="Q176" s="1420"/>
      <c r="AA176" s="1642" t="s">
        <v>3066</v>
      </c>
      <c r="BC176" s="1642" t="s">
        <v>3066</v>
      </c>
    </row>
    <row r="177" spans="2:55" s="841" customFormat="1" ht="6.75" customHeight="1" x14ac:dyDescent="0.25">
      <c r="B177" s="1631"/>
      <c r="C177" s="1631"/>
      <c r="D177" s="1631"/>
      <c r="E177" s="1631"/>
      <c r="G177" s="1640"/>
      <c r="J177" s="1357"/>
      <c r="N177" s="1357"/>
      <c r="P177" s="1420"/>
      <c r="Q177" s="1420"/>
    </row>
    <row r="178" spans="2:55" s="841" customFormat="1" ht="11.25" customHeight="1" x14ac:dyDescent="0.25">
      <c r="B178" s="1692" t="s">
        <v>3067</v>
      </c>
      <c r="C178" s="1693"/>
      <c r="D178" s="1693"/>
      <c r="E178" s="1693"/>
      <c r="G178" s="1640"/>
      <c r="H178" s="841" t="s">
        <v>3115</v>
      </c>
      <c r="J178" s="1357"/>
      <c r="N178" s="1357"/>
      <c r="P178" s="1420"/>
      <c r="Q178" s="1420"/>
      <c r="AA178" s="1073" t="s">
        <v>3067</v>
      </c>
      <c r="BC178" s="1073" t="s">
        <v>3067</v>
      </c>
    </row>
    <row r="179" spans="2:55" s="841" customFormat="1" ht="6.75" customHeight="1" x14ac:dyDescent="0.25">
      <c r="B179" s="1634"/>
      <c r="C179" s="1635"/>
      <c r="D179" s="1635"/>
      <c r="E179" s="1635"/>
      <c r="G179" s="1640"/>
      <c r="J179" s="1357"/>
      <c r="N179" s="1357"/>
      <c r="P179" s="1420"/>
      <c r="Q179" s="1420"/>
    </row>
    <row r="180" spans="2:55" s="841" customFormat="1" ht="11.25" customHeight="1" x14ac:dyDescent="0.25">
      <c r="B180" s="1690" t="s">
        <v>4827</v>
      </c>
      <c r="C180" s="1690"/>
      <c r="D180" s="1643" t="s">
        <v>23</v>
      </c>
      <c r="E180" s="1351">
        <v>3.4</v>
      </c>
      <c r="G180" s="1640"/>
      <c r="H180" s="841" t="s">
        <v>3112</v>
      </c>
      <c r="I180" s="841" t="s">
        <v>442</v>
      </c>
      <c r="J180" s="1357"/>
      <c r="M180" s="841" t="s">
        <v>3116</v>
      </c>
      <c r="N180" s="1357"/>
      <c r="P180" s="1420"/>
      <c r="Q180" s="1420"/>
      <c r="Z180" s="1644" t="s">
        <v>3116</v>
      </c>
      <c r="BB180" s="1644" t="s">
        <v>4827</v>
      </c>
    </row>
    <row r="181" spans="2:55" s="841" customFormat="1" ht="22.5" x14ac:dyDescent="0.25">
      <c r="B181" s="1690" t="s">
        <v>5727</v>
      </c>
      <c r="C181" s="1690"/>
      <c r="D181" s="1643" t="s">
        <v>23</v>
      </c>
      <c r="E181" s="391">
        <v>0.09</v>
      </c>
      <c r="G181" s="1640"/>
      <c r="H181" s="841" t="s">
        <v>3112</v>
      </c>
      <c r="I181" s="841" t="s">
        <v>442</v>
      </c>
      <c r="J181" s="1357"/>
      <c r="M181" s="841" t="s">
        <v>6403</v>
      </c>
      <c r="N181" s="1357"/>
      <c r="P181" s="1420"/>
      <c r="Q181" s="1420"/>
      <c r="Z181" s="1644" t="s">
        <v>5727</v>
      </c>
      <c r="BB181" s="1644" t="s">
        <v>5727</v>
      </c>
    </row>
    <row r="182" spans="2:55" s="841" customFormat="1" ht="11.25" customHeight="1" x14ac:dyDescent="0.25">
      <c r="B182" s="1690" t="s">
        <v>84</v>
      </c>
      <c r="C182" s="1690"/>
      <c r="D182" s="1643" t="s">
        <v>33</v>
      </c>
      <c r="E182" s="1352">
        <v>12.9735</v>
      </c>
      <c r="G182" s="1640"/>
      <c r="H182" s="841" t="s">
        <v>3112</v>
      </c>
      <c r="I182" s="841" t="s">
        <v>442</v>
      </c>
      <c r="J182" s="1357"/>
      <c r="M182" s="841" t="s">
        <v>3117</v>
      </c>
      <c r="N182" s="1357"/>
      <c r="P182" s="1420"/>
      <c r="Q182" s="1420"/>
      <c r="Z182" s="1644" t="s">
        <v>3117</v>
      </c>
      <c r="BB182" s="1644" t="s">
        <v>84</v>
      </c>
    </row>
    <row r="183" spans="2:55" s="841" customFormat="1" ht="11.25" customHeight="1" x14ac:dyDescent="0.25">
      <c r="B183" s="1690" t="s">
        <v>4813</v>
      </c>
      <c r="C183" s="1690"/>
      <c r="D183" s="1643" t="s">
        <v>33</v>
      </c>
      <c r="E183" s="393">
        <v>1.2789999999999999</v>
      </c>
      <c r="G183" s="1640"/>
      <c r="H183" s="841" t="s">
        <v>3112</v>
      </c>
      <c r="I183" s="841" t="s">
        <v>443</v>
      </c>
      <c r="J183" s="1357"/>
      <c r="M183" s="841" t="s">
        <v>3497</v>
      </c>
      <c r="N183" s="1357"/>
      <c r="P183" s="1420"/>
      <c r="Q183" s="1420"/>
      <c r="Z183" s="1644" t="s">
        <v>4813</v>
      </c>
      <c r="BB183" s="1644" t="s">
        <v>4813</v>
      </c>
    </row>
    <row r="184" spans="2:55" s="841" customFormat="1" ht="22.5" x14ac:dyDescent="0.25">
      <c r="B184" s="1690" t="s">
        <v>6971</v>
      </c>
      <c r="C184" s="1862"/>
      <c r="D184" s="1643" t="s">
        <v>24</v>
      </c>
      <c r="E184" s="393">
        <v>2E-3</v>
      </c>
      <c r="G184" s="1640"/>
      <c r="H184" s="841" t="s">
        <v>3112</v>
      </c>
      <c r="I184" s="841" t="s">
        <v>443</v>
      </c>
      <c r="J184" s="1357"/>
      <c r="M184" s="841" t="s">
        <v>3119</v>
      </c>
      <c r="N184" s="1357"/>
      <c r="P184" s="1420"/>
      <c r="Q184" s="1420"/>
      <c r="Z184" s="1644"/>
      <c r="BB184" s="1644" t="s">
        <v>6971</v>
      </c>
    </row>
    <row r="185" spans="2:55" s="841" customFormat="1" ht="22.5" x14ac:dyDescent="0.25">
      <c r="B185" s="1690" t="s">
        <v>6979</v>
      </c>
      <c r="C185" s="1862"/>
      <c r="D185" s="1643" t="s">
        <v>33</v>
      </c>
      <c r="E185" s="393">
        <v>9.3558000000000003</v>
      </c>
      <c r="G185" s="1640"/>
      <c r="H185" s="841" t="s">
        <v>3112</v>
      </c>
      <c r="I185" s="841" t="s">
        <v>442</v>
      </c>
      <c r="J185" s="1357"/>
      <c r="M185" s="841" t="s">
        <v>4294</v>
      </c>
      <c r="N185" s="1357"/>
      <c r="P185" s="1420"/>
      <c r="Q185" s="1420"/>
      <c r="Z185" s="1644"/>
      <c r="BB185" s="1644" t="s">
        <v>6979</v>
      </c>
    </row>
    <row r="186" spans="2:55" s="841" customFormat="1" ht="11.25" customHeight="1" x14ac:dyDescent="0.25">
      <c r="B186" s="1690" t="s">
        <v>6972</v>
      </c>
      <c r="C186" s="1862"/>
      <c r="D186" s="1643" t="s">
        <v>33</v>
      </c>
      <c r="E186" s="393">
        <v>-0.32940000000000003</v>
      </c>
      <c r="G186" s="1640"/>
      <c r="H186" s="841" t="s">
        <v>3112</v>
      </c>
      <c r="I186" s="841" t="s">
        <v>443</v>
      </c>
      <c r="J186" s="1357"/>
      <c r="M186" s="841" t="s">
        <v>6978</v>
      </c>
      <c r="N186" s="1357"/>
      <c r="P186" s="1420"/>
      <c r="Q186" s="1420"/>
      <c r="Z186" s="1644"/>
      <c r="BB186" s="1644" t="s">
        <v>6972</v>
      </c>
    </row>
    <row r="187" spans="2:55" s="841" customFormat="1" ht="22.5" x14ac:dyDescent="0.25">
      <c r="B187" s="1690" t="s">
        <v>4815</v>
      </c>
      <c r="C187" s="1690"/>
      <c r="D187" s="1643" t="s">
        <v>33</v>
      </c>
      <c r="E187" s="1352">
        <v>1.8505</v>
      </c>
      <c r="G187" s="1640"/>
      <c r="H187" s="841" t="s">
        <v>3112</v>
      </c>
      <c r="I187" s="841" t="s">
        <v>444</v>
      </c>
      <c r="J187" s="1357"/>
      <c r="M187" s="841" t="s">
        <v>4829</v>
      </c>
      <c r="N187" s="1357"/>
      <c r="P187" s="1420"/>
      <c r="Q187" s="1420"/>
      <c r="Z187" s="1644" t="s">
        <v>4829</v>
      </c>
      <c r="AZ187" s="841" t="s">
        <v>6969</v>
      </c>
      <c r="BB187" s="1644" t="s">
        <v>4815</v>
      </c>
    </row>
    <row r="188" spans="2:55" s="841" customFormat="1" ht="22.5" x14ac:dyDescent="0.25">
      <c r="B188" s="1690" t="s">
        <v>3628</v>
      </c>
      <c r="C188" s="1690"/>
      <c r="D188" s="1643" t="s">
        <v>33</v>
      </c>
      <c r="E188" s="1352">
        <v>1.4558</v>
      </c>
      <c r="G188" s="1640"/>
      <c r="H188" s="841" t="s">
        <v>3112</v>
      </c>
      <c r="I188" s="841" t="s">
        <v>444</v>
      </c>
      <c r="J188" s="1357"/>
      <c r="M188" s="841" t="s">
        <v>4830</v>
      </c>
      <c r="N188" s="1357"/>
      <c r="P188" s="1420"/>
      <c r="Q188" s="1420"/>
      <c r="Z188" s="1644" t="s">
        <v>4830</v>
      </c>
      <c r="AZ188" s="841" t="s">
        <v>6970</v>
      </c>
      <c r="BB188" s="1644" t="s">
        <v>3628</v>
      </c>
    </row>
    <row r="189" spans="2:55" s="841" customFormat="1" ht="6.75" customHeight="1" x14ac:dyDescent="0.25">
      <c r="B189" s="1632"/>
      <c r="C189" s="1632"/>
      <c r="D189" s="1643"/>
      <c r="E189" s="393"/>
      <c r="G189" s="1640"/>
      <c r="J189" s="1357"/>
      <c r="N189" s="1357"/>
      <c r="P189" s="1420"/>
      <c r="Q189" s="1420"/>
    </row>
    <row r="190" spans="2:55" s="841" customFormat="1" ht="11.25" customHeight="1" x14ac:dyDescent="0.25">
      <c r="B190" s="1694" t="s">
        <v>3079</v>
      </c>
      <c r="C190" s="1690"/>
      <c r="D190" s="1643"/>
      <c r="E190" s="1643"/>
      <c r="G190" s="1640"/>
      <c r="H190" s="841" t="s">
        <v>3122</v>
      </c>
      <c r="J190" s="1357"/>
      <c r="N190" s="1357"/>
      <c r="P190" s="1420"/>
      <c r="Q190" s="1420"/>
      <c r="Z190" s="1073" t="s">
        <v>3079</v>
      </c>
      <c r="BB190" s="1073" t="s">
        <v>3079</v>
      </c>
    </row>
    <row r="191" spans="2:55" s="841" customFormat="1" ht="6.75" customHeight="1" x14ac:dyDescent="0.25">
      <c r="B191" s="1636"/>
      <c r="C191" s="1632"/>
      <c r="D191" s="1643"/>
      <c r="E191" s="1643"/>
      <c r="G191" s="1640"/>
      <c r="J191" s="1357"/>
      <c r="N191" s="1357"/>
      <c r="P191" s="1420"/>
      <c r="Q191" s="1420"/>
    </row>
    <row r="192" spans="2:55" s="841" customFormat="1" ht="11.25" customHeight="1" x14ac:dyDescent="0.25">
      <c r="B192" s="1690" t="s">
        <v>2449</v>
      </c>
      <c r="C192" s="1690"/>
      <c r="D192" s="1643" t="s">
        <v>24</v>
      </c>
      <c r="E192" s="393">
        <v>3.2000000000000002E-3</v>
      </c>
      <c r="G192" s="1640"/>
      <c r="H192" s="841" t="s">
        <v>3112</v>
      </c>
      <c r="I192" s="841" t="s">
        <v>3046</v>
      </c>
      <c r="J192" s="1357"/>
      <c r="M192" s="841" t="s">
        <v>3123</v>
      </c>
      <c r="N192" s="1357"/>
      <c r="P192" s="1420"/>
      <c r="Q192" s="1420"/>
      <c r="Z192" s="1644" t="s">
        <v>2449</v>
      </c>
      <c r="BB192" s="1644" t="s">
        <v>2449</v>
      </c>
    </row>
    <row r="193" spans="2:55" s="841" customFormat="1" ht="11.25" customHeight="1" x14ac:dyDescent="0.25">
      <c r="B193" s="1690" t="s">
        <v>2450</v>
      </c>
      <c r="C193" s="1690"/>
      <c r="D193" s="1643" t="s">
        <v>24</v>
      </c>
      <c r="E193" s="393">
        <v>4.0000000000000002E-4</v>
      </c>
      <c r="G193" s="1640"/>
      <c r="H193" s="841" t="s">
        <v>3112</v>
      </c>
      <c r="I193" s="841" t="s">
        <v>3046</v>
      </c>
      <c r="J193" s="1357"/>
      <c r="M193" s="841" t="s">
        <v>3123</v>
      </c>
      <c r="N193" s="1357"/>
      <c r="P193" s="1420"/>
      <c r="Q193" s="1420"/>
      <c r="Z193" s="1644" t="s">
        <v>2450</v>
      </c>
      <c r="BB193" s="1644" t="s">
        <v>2450</v>
      </c>
    </row>
    <row r="194" spans="2:55" s="841" customFormat="1" ht="11.25" customHeight="1" x14ac:dyDescent="0.25">
      <c r="B194" s="1690" t="s">
        <v>439</v>
      </c>
      <c r="C194" s="1690"/>
      <c r="D194" s="1643" t="s">
        <v>24</v>
      </c>
      <c r="E194" s="393">
        <v>2.9999999999999997E-4</v>
      </c>
      <c r="G194" s="1640"/>
      <c r="H194" s="841" t="s">
        <v>3112</v>
      </c>
      <c r="I194" s="841" t="s">
        <v>3046</v>
      </c>
      <c r="J194" s="1357"/>
      <c r="M194" s="841" t="s">
        <v>3124</v>
      </c>
      <c r="N194" s="1357"/>
      <c r="P194" s="1420"/>
      <c r="Q194" s="1420"/>
      <c r="Z194" s="1644" t="s">
        <v>439</v>
      </c>
      <c r="BB194" s="1644" t="s">
        <v>439</v>
      </c>
    </row>
    <row r="195" spans="2:55" s="841" customFormat="1" ht="11.25" customHeight="1" x14ac:dyDescent="0.25">
      <c r="B195" s="1690" t="s">
        <v>32</v>
      </c>
      <c r="C195" s="1690"/>
      <c r="D195" s="1643" t="s">
        <v>23</v>
      </c>
      <c r="E195" s="391">
        <v>0.25</v>
      </c>
      <c r="G195" s="1640"/>
      <c r="H195" s="841" t="s">
        <v>3112</v>
      </c>
      <c r="I195" s="841" t="s">
        <v>3046</v>
      </c>
      <c r="J195" s="1357"/>
      <c r="M195" s="841" t="s">
        <v>3125</v>
      </c>
      <c r="N195" s="1357"/>
      <c r="P195" s="1420"/>
      <c r="Q195" s="1420"/>
      <c r="Z195" s="1644" t="s">
        <v>32</v>
      </c>
      <c r="AS195" s="841" t="s">
        <v>628</v>
      </c>
      <c r="BB195" s="1644" t="s">
        <v>32</v>
      </c>
    </row>
    <row r="196" spans="2:55" s="1070" customFormat="1" ht="18.75" x14ac:dyDescent="0.3">
      <c r="B196" s="1695" t="s">
        <v>618</v>
      </c>
      <c r="C196" s="1695"/>
      <c r="D196" s="1695"/>
      <c r="E196" s="1695"/>
      <c r="G196" s="1347"/>
      <c r="H196" s="1070" t="s">
        <v>3126</v>
      </c>
      <c r="J196" s="1447"/>
      <c r="N196" s="1447"/>
      <c r="P196" s="1448"/>
      <c r="Q196" s="1448"/>
      <c r="AA196" s="1071" t="s">
        <v>618</v>
      </c>
      <c r="BC196" s="1071" t="s">
        <v>618</v>
      </c>
    </row>
    <row r="197" spans="2:55" s="841" customFormat="1" ht="36" x14ac:dyDescent="0.25">
      <c r="B197" s="1689" t="s">
        <v>3372</v>
      </c>
      <c r="C197" s="1689"/>
      <c r="D197" s="1689"/>
      <c r="E197" s="1689"/>
      <c r="G197" s="1640"/>
      <c r="H197" s="841" t="s">
        <v>3126</v>
      </c>
      <c r="J197" s="1357"/>
      <c r="N197" s="1357"/>
      <c r="P197" s="1420"/>
      <c r="Q197" s="1420"/>
      <c r="AA197" s="1642" t="s">
        <v>3372</v>
      </c>
      <c r="BC197" s="1642" t="s">
        <v>3372</v>
      </c>
    </row>
    <row r="198" spans="2:55" s="841" customFormat="1" ht="6.75" customHeight="1" x14ac:dyDescent="0.25">
      <c r="B198" s="1631"/>
      <c r="C198" s="1631"/>
      <c r="D198" s="1631"/>
      <c r="E198" s="1631"/>
      <c r="G198" s="1640"/>
      <c r="J198" s="1357"/>
      <c r="N198" s="1357"/>
      <c r="P198" s="1420"/>
      <c r="Q198" s="1420"/>
    </row>
    <row r="199" spans="2:55" s="841" customFormat="1" ht="11.25" customHeight="1" x14ac:dyDescent="0.25">
      <c r="B199" s="1696" t="s">
        <v>3061</v>
      </c>
      <c r="C199" s="1697"/>
      <c r="D199" s="1697"/>
      <c r="E199" s="1697"/>
      <c r="G199" s="1640"/>
      <c r="H199" s="841" t="s">
        <v>3128</v>
      </c>
      <c r="J199" s="1357"/>
      <c r="N199" s="1357"/>
      <c r="P199" s="1420"/>
      <c r="Q199" s="1420"/>
      <c r="AA199" s="1073" t="s">
        <v>3061</v>
      </c>
      <c r="BC199" s="1073" t="s">
        <v>3061</v>
      </c>
    </row>
    <row r="200" spans="2:55" s="841" customFormat="1" ht="6.75" customHeight="1" x14ac:dyDescent="0.25">
      <c r="B200" s="1637"/>
      <c r="C200" s="1638"/>
      <c r="D200" s="1638"/>
      <c r="E200" s="1638"/>
      <c r="G200" s="1640"/>
      <c r="J200" s="1357"/>
      <c r="N200" s="1357"/>
      <c r="P200" s="1420"/>
      <c r="Q200" s="1420"/>
    </row>
    <row r="201" spans="2:55" s="841" customFormat="1" ht="36" x14ac:dyDescent="0.25">
      <c r="B201" s="1689" t="s">
        <v>3063</v>
      </c>
      <c r="C201" s="1689"/>
      <c r="D201" s="1689"/>
      <c r="E201" s="1689"/>
      <c r="G201" s="1640"/>
      <c r="H201" s="841" t="s">
        <v>3126</v>
      </c>
      <c r="J201" s="1357"/>
      <c r="N201" s="1357"/>
      <c r="P201" s="1420"/>
      <c r="Q201" s="1420"/>
      <c r="AA201" s="1642" t="s">
        <v>3063</v>
      </c>
      <c r="BC201" s="1642" t="s">
        <v>3063</v>
      </c>
    </row>
    <row r="202" spans="2:55" s="841" customFormat="1" ht="6.75" customHeight="1" x14ac:dyDescent="0.25">
      <c r="B202" s="1631"/>
      <c r="C202" s="1631"/>
      <c r="D202" s="1631"/>
      <c r="E202" s="1631"/>
      <c r="G202" s="1640"/>
      <c r="J202" s="1357"/>
      <c r="N202" s="1357"/>
      <c r="P202" s="1420"/>
      <c r="Q202" s="1420"/>
    </row>
    <row r="203" spans="2:55" s="841" customFormat="1" ht="48" x14ac:dyDescent="0.25">
      <c r="B203" s="1689" t="s">
        <v>3064</v>
      </c>
      <c r="C203" s="1689"/>
      <c r="D203" s="1689"/>
      <c r="E203" s="1689"/>
      <c r="G203" s="1640"/>
      <c r="H203" s="841" t="s">
        <v>3126</v>
      </c>
      <c r="J203" s="1357"/>
      <c r="N203" s="1357"/>
      <c r="P203" s="1420"/>
      <c r="Q203" s="1420"/>
      <c r="AA203" s="1642" t="s">
        <v>3064</v>
      </c>
      <c r="BC203" s="1642" t="s">
        <v>3064</v>
      </c>
    </row>
    <row r="204" spans="2:55" s="841" customFormat="1" ht="6.75" customHeight="1" x14ac:dyDescent="0.25">
      <c r="B204" s="1631"/>
      <c r="C204" s="1631"/>
      <c r="D204" s="1631"/>
      <c r="E204" s="1631"/>
      <c r="G204" s="1640"/>
      <c r="J204" s="1357"/>
      <c r="N204" s="1357"/>
      <c r="P204" s="1420"/>
      <c r="Q204" s="1420"/>
    </row>
    <row r="205" spans="2:55" s="841" customFormat="1" ht="24" x14ac:dyDescent="0.25">
      <c r="B205" s="1689" t="s">
        <v>3129</v>
      </c>
      <c r="C205" s="1689"/>
      <c r="D205" s="1689"/>
      <c r="E205" s="1689"/>
      <c r="G205" s="1640"/>
      <c r="H205" s="841" t="s">
        <v>3126</v>
      </c>
      <c r="J205" s="1357"/>
      <c r="N205" s="1357"/>
      <c r="P205" s="1420"/>
      <c r="Q205" s="1420"/>
      <c r="AA205" s="1642" t="s">
        <v>3129</v>
      </c>
      <c r="BC205" s="1642" t="s">
        <v>3129</v>
      </c>
    </row>
    <row r="206" spans="2:55" s="841" customFormat="1" ht="6.75" customHeight="1" x14ac:dyDescent="0.25">
      <c r="B206" s="1631"/>
      <c r="C206" s="1631"/>
      <c r="D206" s="1631"/>
      <c r="E206" s="1631"/>
      <c r="G206" s="1640"/>
      <c r="J206" s="1357"/>
      <c r="N206" s="1357"/>
      <c r="P206" s="1420"/>
      <c r="Q206" s="1420"/>
    </row>
    <row r="207" spans="2:55" s="841" customFormat="1" ht="36" x14ac:dyDescent="0.25">
      <c r="B207" s="1689" t="s">
        <v>3066</v>
      </c>
      <c r="C207" s="1689"/>
      <c r="D207" s="1689"/>
      <c r="E207" s="1689"/>
      <c r="G207" s="1640"/>
      <c r="H207" s="841" t="s">
        <v>3126</v>
      </c>
      <c r="J207" s="1357"/>
      <c r="N207" s="1357"/>
      <c r="P207" s="1420"/>
      <c r="Q207" s="1420"/>
      <c r="AA207" s="1642" t="s">
        <v>3066</v>
      </c>
      <c r="BC207" s="1642" t="s">
        <v>3066</v>
      </c>
    </row>
    <row r="208" spans="2:55" s="841" customFormat="1" ht="6.75" customHeight="1" x14ac:dyDescent="0.25">
      <c r="B208" s="1631"/>
      <c r="C208" s="1631"/>
      <c r="D208" s="1631"/>
      <c r="E208" s="1631"/>
      <c r="G208" s="1640"/>
      <c r="J208" s="1357"/>
      <c r="N208" s="1357"/>
      <c r="P208" s="1420"/>
      <c r="Q208" s="1420"/>
    </row>
    <row r="209" spans="2:55" s="841" customFormat="1" ht="11.25" customHeight="1" x14ac:dyDescent="0.25">
      <c r="B209" s="1692" t="s">
        <v>3067</v>
      </c>
      <c r="C209" s="1693"/>
      <c r="D209" s="1693"/>
      <c r="E209" s="1693"/>
      <c r="G209" s="1640"/>
      <c r="H209" s="841" t="s">
        <v>3130</v>
      </c>
      <c r="J209" s="1357"/>
      <c r="N209" s="1357"/>
      <c r="P209" s="1420"/>
      <c r="Q209" s="1420"/>
      <c r="AA209" s="1073" t="s">
        <v>3067</v>
      </c>
      <c r="BC209" s="1073" t="s">
        <v>3067</v>
      </c>
    </row>
    <row r="210" spans="2:55" s="841" customFormat="1" ht="6.75" customHeight="1" x14ac:dyDescent="0.25">
      <c r="B210" s="1634"/>
      <c r="C210" s="1635"/>
      <c r="D210" s="1635"/>
      <c r="E210" s="1635"/>
      <c r="G210" s="1640"/>
      <c r="J210" s="1357"/>
      <c r="N210" s="1357"/>
      <c r="P210" s="1420"/>
      <c r="Q210" s="1420"/>
    </row>
    <row r="211" spans="2:55" s="841" customFormat="1" ht="11.25" customHeight="1" x14ac:dyDescent="0.25">
      <c r="B211" s="1690" t="s">
        <v>4810</v>
      </c>
      <c r="C211" s="1690"/>
      <c r="D211" s="695" t="s">
        <v>23</v>
      </c>
      <c r="E211" s="1351">
        <v>17.2</v>
      </c>
      <c r="G211" s="1640"/>
      <c r="H211" s="841" t="s">
        <v>3126</v>
      </c>
      <c r="I211" s="841" t="s">
        <v>442</v>
      </c>
      <c r="J211" s="1357"/>
      <c r="M211" s="841" t="s">
        <v>3131</v>
      </c>
      <c r="N211" s="1357"/>
      <c r="P211" s="1420"/>
      <c r="Q211" s="1420"/>
      <c r="Z211" s="1644" t="s">
        <v>3131</v>
      </c>
      <c r="BB211" s="1644" t="s">
        <v>4810</v>
      </c>
    </row>
    <row r="212" spans="2:55" s="841" customFormat="1" ht="6.75" customHeight="1" x14ac:dyDescent="0.25">
      <c r="B212" s="1641"/>
      <c r="C212" s="1632"/>
      <c r="D212" s="695"/>
      <c r="E212" s="391"/>
      <c r="G212" s="1640"/>
      <c r="J212" s="1357"/>
      <c r="N212" s="1357"/>
      <c r="P212" s="1420"/>
      <c r="Q212" s="1420"/>
    </row>
    <row r="213" spans="2:55" s="841" customFormat="1" ht="18" x14ac:dyDescent="0.25">
      <c r="B213" s="1687" t="s">
        <v>85</v>
      </c>
      <c r="C213" s="1687"/>
      <c r="D213" s="1687"/>
      <c r="E213" s="1687"/>
      <c r="G213" s="1640"/>
      <c r="H213" s="841" t="s">
        <v>4831</v>
      </c>
      <c r="J213" s="1357"/>
      <c r="N213" s="1357"/>
      <c r="P213" s="1420"/>
      <c r="Q213" s="1420"/>
      <c r="AA213" s="1071" t="s">
        <v>85</v>
      </c>
      <c r="BC213" s="1071" t="s">
        <v>85</v>
      </c>
    </row>
    <row r="214" spans="2:55" s="841" customFormat="1" ht="11.25" customHeight="1" x14ac:dyDescent="0.25">
      <c r="B214" s="1690" t="s">
        <v>4832</v>
      </c>
      <c r="C214" s="1690"/>
      <c r="D214" s="1643" t="s">
        <v>33</v>
      </c>
      <c r="E214" s="391">
        <v>-0.6</v>
      </c>
      <c r="G214" s="1640"/>
      <c r="J214" s="1357"/>
      <c r="N214" s="1357"/>
      <c r="P214" s="1420"/>
      <c r="Q214" s="1420"/>
      <c r="Z214" s="1644" t="s">
        <v>4832</v>
      </c>
      <c r="BB214" s="1644" t="s">
        <v>4832</v>
      </c>
    </row>
    <row r="215" spans="2:55" s="841" customFormat="1" ht="11.25" customHeight="1" x14ac:dyDescent="0.25">
      <c r="B215" s="1690" t="s">
        <v>3134</v>
      </c>
      <c r="C215" s="1690"/>
      <c r="D215" s="1643" t="s">
        <v>86</v>
      </c>
      <c r="E215" s="391">
        <v>-1</v>
      </c>
      <c r="G215" s="1640"/>
      <c r="J215" s="1357"/>
      <c r="N215" s="1357"/>
      <c r="P215" s="1420"/>
      <c r="Q215" s="1420"/>
      <c r="Z215" s="1644" t="s">
        <v>3134</v>
      </c>
      <c r="BB215" s="1644" t="s">
        <v>3134</v>
      </c>
    </row>
    <row r="216" spans="2:55" s="841" customFormat="1" ht="18" x14ac:dyDescent="0.25">
      <c r="B216" s="1687" t="s">
        <v>87</v>
      </c>
      <c r="C216" s="1687"/>
      <c r="D216" s="1687"/>
      <c r="E216" s="1687"/>
      <c r="G216" s="1640"/>
      <c r="H216" s="841" t="s">
        <v>4833</v>
      </c>
      <c r="J216" s="1357"/>
      <c r="N216" s="1357"/>
      <c r="P216" s="1420"/>
      <c r="Q216" s="1420"/>
      <c r="AA216" s="1071" t="s">
        <v>87</v>
      </c>
      <c r="BC216" s="1071" t="s">
        <v>87</v>
      </c>
    </row>
    <row r="217" spans="2:55" s="841" customFormat="1" ht="36" x14ac:dyDescent="0.25">
      <c r="B217" s="1689" t="s">
        <v>3063</v>
      </c>
      <c r="C217" s="1689"/>
      <c r="D217" s="1689"/>
      <c r="E217" s="1689"/>
      <c r="G217" s="1640"/>
      <c r="J217" s="1357"/>
      <c r="N217" s="1357"/>
      <c r="P217" s="1420"/>
      <c r="Q217" s="1420"/>
      <c r="AA217" s="1642" t="s">
        <v>3063</v>
      </c>
      <c r="BC217" s="1642" t="s">
        <v>3063</v>
      </c>
    </row>
    <row r="218" spans="2:55" s="841" customFormat="1" ht="6.75" customHeight="1" x14ac:dyDescent="0.25">
      <c r="B218" s="1631"/>
      <c r="C218" s="1631"/>
      <c r="D218" s="1631"/>
      <c r="E218" s="1631"/>
      <c r="G218" s="1640"/>
      <c r="J218" s="1357"/>
      <c r="N218" s="1357"/>
      <c r="P218" s="1420"/>
      <c r="Q218" s="1420"/>
    </row>
    <row r="219" spans="2:55" s="841" customFormat="1" ht="48" x14ac:dyDescent="0.25">
      <c r="B219" s="1689" t="s">
        <v>3136</v>
      </c>
      <c r="C219" s="1689"/>
      <c r="D219" s="1689"/>
      <c r="E219" s="1689"/>
      <c r="G219" s="1640"/>
      <c r="J219" s="1357"/>
      <c r="N219" s="1357"/>
      <c r="P219" s="1420"/>
      <c r="Q219" s="1420"/>
      <c r="AA219" s="1642" t="s">
        <v>3136</v>
      </c>
      <c r="BC219" s="1642" t="s">
        <v>3136</v>
      </c>
    </row>
    <row r="220" spans="2:55" s="841" customFormat="1" ht="6.75" customHeight="1" x14ac:dyDescent="0.25">
      <c r="B220" s="1631"/>
      <c r="C220" s="1631"/>
      <c r="D220" s="1631"/>
      <c r="E220" s="1631"/>
      <c r="G220" s="1640"/>
      <c r="J220" s="1357"/>
      <c r="N220" s="1357"/>
      <c r="P220" s="1420"/>
      <c r="Q220" s="1420"/>
    </row>
    <row r="221" spans="2:55" s="841" customFormat="1" ht="36" x14ac:dyDescent="0.25">
      <c r="B221" s="1689" t="s">
        <v>3066</v>
      </c>
      <c r="C221" s="1689"/>
      <c r="D221" s="1689"/>
      <c r="E221" s="1689"/>
      <c r="G221" s="1640"/>
      <c r="J221" s="1357"/>
      <c r="N221" s="1357"/>
      <c r="P221" s="1420"/>
      <c r="Q221" s="1420"/>
      <c r="AA221" s="1642" t="s">
        <v>3066</v>
      </c>
      <c r="BC221" s="1642" t="s">
        <v>3066</v>
      </c>
    </row>
    <row r="222" spans="2:55" s="841" customFormat="1" ht="6.75" customHeight="1" x14ac:dyDescent="0.25">
      <c r="B222" s="1631"/>
      <c r="C222" s="1631"/>
      <c r="D222" s="1631"/>
      <c r="E222" s="1631"/>
      <c r="G222" s="1640"/>
      <c r="J222" s="1357"/>
      <c r="N222" s="1357"/>
      <c r="P222" s="1420"/>
      <c r="Q222" s="1420"/>
    </row>
    <row r="223" spans="2:55" s="841" customFormat="1" ht="15" x14ac:dyDescent="0.25">
      <c r="B223" s="1634" t="s">
        <v>3137</v>
      </c>
      <c r="C223" s="3"/>
      <c r="D223" s="3"/>
      <c r="E223" s="500"/>
      <c r="G223" s="1640"/>
      <c r="H223" s="841" t="s">
        <v>4834</v>
      </c>
      <c r="J223" s="1357"/>
      <c r="N223" s="1357"/>
      <c r="P223" s="1420"/>
      <c r="Q223" s="1420"/>
    </row>
    <row r="224" spans="2:55" s="841" customFormat="1" ht="11.25" customHeight="1" x14ac:dyDescent="0.25">
      <c r="B224" s="1688" t="s">
        <v>5737</v>
      </c>
      <c r="C224" s="1688"/>
      <c r="D224" s="1643" t="s">
        <v>23</v>
      </c>
      <c r="E224" s="391">
        <v>15</v>
      </c>
      <c r="G224" s="1640"/>
      <c r="J224" s="1357"/>
      <c r="N224" s="1357"/>
      <c r="P224" s="1420"/>
      <c r="Q224" s="1420"/>
      <c r="Z224" s="1644" t="s">
        <v>5737</v>
      </c>
      <c r="BB224" s="1644" t="s">
        <v>5737</v>
      </c>
    </row>
    <row r="225" spans="2:54" s="841" customFormat="1" ht="11.25" customHeight="1" x14ac:dyDescent="0.25">
      <c r="B225" s="1688" t="s">
        <v>4835</v>
      </c>
      <c r="C225" s="1688"/>
      <c r="D225" s="1643" t="s">
        <v>23</v>
      </c>
      <c r="E225" s="391">
        <v>15</v>
      </c>
      <c r="G225" s="1640"/>
      <c r="J225" s="1357"/>
      <c r="N225" s="1357"/>
      <c r="P225" s="1420"/>
      <c r="Q225" s="1420"/>
      <c r="Z225" s="1644" t="s">
        <v>4835</v>
      </c>
      <c r="BB225" s="1644" t="s">
        <v>4835</v>
      </c>
    </row>
    <row r="226" spans="2:54" s="841" customFormat="1" ht="11.25" customHeight="1" x14ac:dyDescent="0.25">
      <c r="B226" s="1688" t="s">
        <v>4836</v>
      </c>
      <c r="C226" s="1688"/>
      <c r="D226" s="1643" t="s">
        <v>23</v>
      </c>
      <c r="E226" s="391">
        <v>15</v>
      </c>
      <c r="G226" s="1640"/>
      <c r="J226" s="1357"/>
      <c r="N226" s="1357"/>
      <c r="P226" s="1420"/>
      <c r="Q226" s="1420"/>
      <c r="Z226" s="1644" t="s">
        <v>4836</v>
      </c>
      <c r="BB226" s="1644" t="s">
        <v>4836</v>
      </c>
    </row>
    <row r="227" spans="2:54" s="841" customFormat="1" ht="11.25" customHeight="1" x14ac:dyDescent="0.25">
      <c r="B227" s="1688" t="s">
        <v>4837</v>
      </c>
      <c r="C227" s="1688"/>
      <c r="D227" s="1643" t="s">
        <v>23</v>
      </c>
      <c r="E227" s="391">
        <v>15</v>
      </c>
      <c r="G227" s="1640"/>
      <c r="J227" s="1357"/>
      <c r="N227" s="1357"/>
      <c r="P227" s="1420"/>
      <c r="Q227" s="1420"/>
      <c r="Z227" s="1644" t="s">
        <v>4837</v>
      </c>
      <c r="BB227" s="1644" t="s">
        <v>4837</v>
      </c>
    </row>
    <row r="228" spans="2:54" s="841" customFormat="1" ht="11.25" customHeight="1" x14ac:dyDescent="0.25">
      <c r="B228" s="1688" t="s">
        <v>4838</v>
      </c>
      <c r="C228" s="1688"/>
      <c r="D228" s="1643" t="s">
        <v>23</v>
      </c>
      <c r="E228" s="391">
        <v>15</v>
      </c>
      <c r="G228" s="1640"/>
      <c r="J228" s="1357"/>
      <c r="N228" s="1357"/>
      <c r="P228" s="1420"/>
      <c r="Q228" s="1420"/>
      <c r="Z228" s="1644" t="s">
        <v>4838</v>
      </c>
      <c r="BB228" s="1644" t="s">
        <v>4838</v>
      </c>
    </row>
    <row r="229" spans="2:54" s="841" customFormat="1" ht="11.25" customHeight="1" x14ac:dyDescent="0.25">
      <c r="B229" s="1688" t="s">
        <v>4839</v>
      </c>
      <c r="C229" s="1688"/>
      <c r="D229" s="1643" t="s">
        <v>23</v>
      </c>
      <c r="E229" s="391">
        <v>15</v>
      </c>
      <c r="G229" s="1640"/>
      <c r="J229" s="1357"/>
      <c r="N229" s="1357"/>
      <c r="P229" s="1420"/>
      <c r="Q229" s="1420"/>
      <c r="Z229" s="1644" t="s">
        <v>4839</v>
      </c>
      <c r="BB229" s="1644" t="s">
        <v>4839</v>
      </c>
    </row>
    <row r="230" spans="2:54" s="841" customFormat="1" ht="11.25" customHeight="1" x14ac:dyDescent="0.25">
      <c r="B230" s="1688" t="s">
        <v>4840</v>
      </c>
      <c r="C230" s="1688"/>
      <c r="D230" s="1643" t="s">
        <v>23</v>
      </c>
      <c r="E230" s="391">
        <v>15</v>
      </c>
      <c r="G230" s="1640"/>
      <c r="J230" s="1357"/>
      <c r="N230" s="1357"/>
      <c r="P230" s="1420"/>
      <c r="Q230" s="1420"/>
      <c r="Z230" s="1644" t="s">
        <v>4840</v>
      </c>
      <c r="BB230" s="1644" t="s">
        <v>4840</v>
      </c>
    </row>
    <row r="231" spans="2:54" s="841" customFormat="1" ht="11.25" customHeight="1" x14ac:dyDescent="0.25">
      <c r="B231" s="1688" t="s">
        <v>4841</v>
      </c>
      <c r="C231" s="1688"/>
      <c r="D231" s="1643" t="s">
        <v>23</v>
      </c>
      <c r="E231" s="391">
        <v>15</v>
      </c>
      <c r="G231" s="1640"/>
      <c r="J231" s="1357"/>
      <c r="N231" s="1357"/>
      <c r="P231" s="1420"/>
      <c r="Q231" s="1420"/>
      <c r="Z231" s="1644" t="s">
        <v>4841</v>
      </c>
      <c r="BB231" s="1644" t="s">
        <v>4841</v>
      </c>
    </row>
    <row r="232" spans="2:54" s="841" customFormat="1" ht="11.25" customHeight="1" x14ac:dyDescent="0.25">
      <c r="B232" s="1688" t="s">
        <v>4842</v>
      </c>
      <c r="C232" s="1688"/>
      <c r="D232" s="1643" t="s">
        <v>23</v>
      </c>
      <c r="E232" s="391">
        <v>15</v>
      </c>
      <c r="G232" s="1640"/>
      <c r="J232" s="1357"/>
      <c r="N232" s="1357"/>
      <c r="P232" s="1420"/>
      <c r="Q232" s="1420"/>
      <c r="Z232" s="1644" t="s">
        <v>4842</v>
      </c>
      <c r="BB232" s="1644" t="s">
        <v>4842</v>
      </c>
    </row>
    <row r="233" spans="2:54" s="841" customFormat="1" ht="11.25" customHeight="1" x14ac:dyDescent="0.25">
      <c r="B233" s="1688" t="s">
        <v>4843</v>
      </c>
      <c r="C233" s="1688"/>
      <c r="D233" s="1643" t="s">
        <v>23</v>
      </c>
      <c r="E233" s="391">
        <v>15</v>
      </c>
      <c r="G233" s="1640"/>
      <c r="J233" s="1357"/>
      <c r="N233" s="1357"/>
      <c r="P233" s="1420"/>
      <c r="Q233" s="1420"/>
      <c r="Z233" s="1644" t="s">
        <v>4843</v>
      </c>
      <c r="BB233" s="1644" t="s">
        <v>4843</v>
      </c>
    </row>
    <row r="234" spans="2:54" s="841" customFormat="1" ht="11.25" customHeight="1" x14ac:dyDescent="0.25">
      <c r="B234" s="1688" t="s">
        <v>4844</v>
      </c>
      <c r="C234" s="1688"/>
      <c r="D234" s="1643" t="s">
        <v>23</v>
      </c>
      <c r="E234" s="391">
        <v>15</v>
      </c>
      <c r="G234" s="1640"/>
      <c r="J234" s="1357"/>
      <c r="N234" s="1357"/>
      <c r="P234" s="1420"/>
      <c r="Q234" s="1420"/>
      <c r="Z234" s="1644" t="s">
        <v>4844</v>
      </c>
      <c r="BB234" s="1644" t="s">
        <v>4844</v>
      </c>
    </row>
    <row r="235" spans="2:54" s="841" customFormat="1" ht="11.25" customHeight="1" x14ac:dyDescent="0.25">
      <c r="B235" s="1688" t="s">
        <v>4845</v>
      </c>
      <c r="C235" s="1688"/>
      <c r="D235" s="1643" t="s">
        <v>23</v>
      </c>
      <c r="E235" s="391">
        <v>15</v>
      </c>
      <c r="G235" s="1640"/>
      <c r="J235" s="1357"/>
      <c r="N235" s="1357"/>
      <c r="P235" s="1420"/>
      <c r="Q235" s="1420"/>
      <c r="Z235" s="1644" t="s">
        <v>4845</v>
      </c>
      <c r="BB235" s="1644" t="s">
        <v>4845</v>
      </c>
    </row>
    <row r="236" spans="2:54" s="841" customFormat="1" ht="11.25" customHeight="1" x14ac:dyDescent="0.25">
      <c r="B236" s="1688" t="s">
        <v>5738</v>
      </c>
      <c r="C236" s="1688"/>
      <c r="D236" s="1643" t="s">
        <v>23</v>
      </c>
      <c r="E236" s="391">
        <v>15</v>
      </c>
      <c r="G236" s="1640"/>
      <c r="J236" s="1357"/>
      <c r="N236" s="1357"/>
      <c r="P236" s="1420"/>
      <c r="Q236" s="1420"/>
      <c r="Z236" s="1644" t="s">
        <v>5738</v>
      </c>
      <c r="BB236" s="1644" t="s">
        <v>5738</v>
      </c>
    </row>
    <row r="237" spans="2:54" s="841" customFormat="1" ht="11.25" customHeight="1" x14ac:dyDescent="0.25">
      <c r="B237" s="1688" t="s">
        <v>4846</v>
      </c>
      <c r="C237" s="1688"/>
      <c r="D237" s="1643" t="s">
        <v>23</v>
      </c>
      <c r="E237" s="391">
        <v>30</v>
      </c>
      <c r="G237" s="1640"/>
      <c r="J237" s="1357"/>
      <c r="N237" s="1357"/>
      <c r="P237" s="1420"/>
      <c r="Q237" s="1420"/>
      <c r="Z237" s="1644" t="s">
        <v>4846</v>
      </c>
      <c r="BB237" s="1644" t="s">
        <v>4846</v>
      </c>
    </row>
    <row r="238" spans="2:54" s="841" customFormat="1" ht="11.25" customHeight="1" x14ac:dyDescent="0.25">
      <c r="B238" s="1688" t="s">
        <v>4847</v>
      </c>
      <c r="C238" s="1688"/>
      <c r="D238" s="1643" t="s">
        <v>23</v>
      </c>
      <c r="E238" s="391">
        <v>30</v>
      </c>
      <c r="G238" s="1640"/>
      <c r="J238" s="1357"/>
      <c r="N238" s="1357"/>
      <c r="P238" s="1420"/>
      <c r="Q238" s="1420"/>
      <c r="Z238" s="1644" t="s">
        <v>4847</v>
      </c>
      <c r="BB238" s="1644" t="s">
        <v>4847</v>
      </c>
    </row>
    <row r="239" spans="2:54" s="841" customFormat="1" ht="11.25" customHeight="1" x14ac:dyDescent="0.25">
      <c r="B239" s="1688" t="s">
        <v>4848</v>
      </c>
      <c r="C239" s="1688"/>
      <c r="D239" s="1643" t="s">
        <v>23</v>
      </c>
      <c r="E239" s="391">
        <v>30</v>
      </c>
      <c r="G239" s="1640"/>
      <c r="J239" s="1357"/>
      <c r="N239" s="1357"/>
      <c r="P239" s="1420"/>
      <c r="Q239" s="1420"/>
      <c r="Z239" s="1644" t="s">
        <v>4848</v>
      </c>
      <c r="BB239" s="1644" t="s">
        <v>4848</v>
      </c>
    </row>
    <row r="240" spans="2:54" s="841" customFormat="1" ht="6.75" customHeight="1" x14ac:dyDescent="0.25">
      <c r="B240" s="1630"/>
      <c r="C240" s="1630"/>
      <c r="D240" s="1643"/>
      <c r="E240" s="391"/>
      <c r="G240" s="1640"/>
      <c r="J240" s="1357"/>
      <c r="N240" s="1357"/>
      <c r="P240" s="1420"/>
      <c r="Q240" s="1420"/>
    </row>
    <row r="241" spans="2:54" s="841" customFormat="1" ht="15" x14ac:dyDescent="0.25">
      <c r="B241" s="1634" t="s">
        <v>3152</v>
      </c>
      <c r="C241" s="500"/>
      <c r="D241" s="397"/>
      <c r="E241" s="1311"/>
      <c r="G241" s="1640"/>
      <c r="H241" s="841" t="s">
        <v>4849</v>
      </c>
      <c r="J241" s="1357"/>
      <c r="N241" s="1357"/>
      <c r="P241" s="1420"/>
      <c r="Q241" s="1420"/>
    </row>
    <row r="242" spans="2:54" s="841" customFormat="1" ht="11.25" customHeight="1" x14ac:dyDescent="0.25">
      <c r="B242" s="1688" t="s">
        <v>5137</v>
      </c>
      <c r="C242" s="1688"/>
      <c r="D242" s="1643" t="s">
        <v>86</v>
      </c>
      <c r="E242" s="391">
        <v>1.5</v>
      </c>
      <c r="G242" s="1640"/>
      <c r="J242" s="1357"/>
      <c r="N242" s="1357"/>
      <c r="P242" s="1420"/>
      <c r="Q242" s="1420"/>
      <c r="Z242" s="1644" t="s">
        <v>5137</v>
      </c>
      <c r="BB242" s="1644" t="s">
        <v>5137</v>
      </c>
    </row>
    <row r="243" spans="2:54" s="841" customFormat="1" ht="11.25" customHeight="1" x14ac:dyDescent="0.25">
      <c r="B243" s="1688" t="s">
        <v>4850</v>
      </c>
      <c r="C243" s="1688"/>
      <c r="D243" s="1643" t="s">
        <v>86</v>
      </c>
      <c r="E243" s="391">
        <v>19.559999999999999</v>
      </c>
      <c r="G243" s="1640"/>
      <c r="J243" s="1357"/>
      <c r="N243" s="1357"/>
      <c r="P243" s="1420"/>
      <c r="Q243" s="1420"/>
      <c r="Z243" s="1644" t="s">
        <v>4850</v>
      </c>
      <c r="BB243" s="1644" t="s">
        <v>4850</v>
      </c>
    </row>
    <row r="244" spans="2:54" s="841" customFormat="1" ht="11.25" customHeight="1" x14ac:dyDescent="0.25">
      <c r="B244" s="1688" t="s">
        <v>4851</v>
      </c>
      <c r="C244" s="1688"/>
      <c r="D244" s="1643" t="s">
        <v>23</v>
      </c>
      <c r="E244" s="391">
        <v>30</v>
      </c>
      <c r="G244" s="1640"/>
      <c r="J244" s="1357"/>
      <c r="N244" s="1357"/>
      <c r="P244" s="1420"/>
      <c r="Q244" s="1420"/>
      <c r="Z244" s="1644" t="s">
        <v>4851</v>
      </c>
      <c r="BB244" s="1644" t="s">
        <v>4851</v>
      </c>
    </row>
    <row r="245" spans="2:54" s="841" customFormat="1" ht="11.25" customHeight="1" x14ac:dyDescent="0.25">
      <c r="B245" s="1688" t="s">
        <v>4852</v>
      </c>
      <c r="C245" s="1688"/>
      <c r="D245" s="1643" t="s">
        <v>23</v>
      </c>
      <c r="E245" s="391">
        <v>165</v>
      </c>
      <c r="G245" s="1640"/>
      <c r="J245" s="1357"/>
      <c r="N245" s="1357"/>
      <c r="P245" s="1420"/>
      <c r="Q245" s="1420"/>
      <c r="Z245" s="1644" t="s">
        <v>4852</v>
      </c>
      <c r="BB245" s="1644" t="s">
        <v>4852</v>
      </c>
    </row>
    <row r="246" spans="2:54" s="841" customFormat="1" ht="11.25" customHeight="1" x14ac:dyDescent="0.25">
      <c r="B246" s="1688" t="s">
        <v>5739</v>
      </c>
      <c r="C246" s="1688"/>
      <c r="D246" s="1643" t="s">
        <v>23</v>
      </c>
      <c r="E246" s="391">
        <v>65</v>
      </c>
      <c r="G246" s="1640"/>
      <c r="J246" s="1357"/>
      <c r="N246" s="1357"/>
      <c r="P246" s="1420"/>
      <c r="Q246" s="1420"/>
      <c r="Z246" s="1644" t="s">
        <v>5739</v>
      </c>
      <c r="BB246" s="1644" t="s">
        <v>5739</v>
      </c>
    </row>
    <row r="247" spans="2:54" s="841" customFormat="1" ht="11.25" customHeight="1" x14ac:dyDescent="0.25">
      <c r="B247" s="1688" t="s">
        <v>5740</v>
      </c>
      <c r="C247" s="1688"/>
      <c r="D247" s="1643" t="s">
        <v>23</v>
      </c>
      <c r="E247" s="391">
        <v>185</v>
      </c>
      <c r="G247" s="1640"/>
      <c r="J247" s="1357"/>
      <c r="N247" s="1357"/>
      <c r="P247" s="1420"/>
      <c r="Q247" s="1420"/>
      <c r="Z247" s="1644" t="s">
        <v>5740</v>
      </c>
      <c r="BB247" s="1644" t="s">
        <v>5740</v>
      </c>
    </row>
    <row r="248" spans="2:54" s="841" customFormat="1" ht="11.25" customHeight="1" x14ac:dyDescent="0.25">
      <c r="B248" s="1688" t="s">
        <v>3918</v>
      </c>
      <c r="C248" s="1688"/>
      <c r="D248" s="1643" t="s">
        <v>23</v>
      </c>
      <c r="E248" s="391">
        <v>185</v>
      </c>
      <c r="G248" s="1640"/>
      <c r="J248" s="1357"/>
      <c r="N248" s="1357"/>
      <c r="P248" s="1420"/>
      <c r="Q248" s="1420"/>
      <c r="Z248" s="1644" t="s">
        <v>3918</v>
      </c>
      <c r="BB248" s="1644" t="s">
        <v>3918</v>
      </c>
    </row>
    <row r="249" spans="2:54" s="841" customFormat="1" ht="11.25" customHeight="1" x14ac:dyDescent="0.25">
      <c r="B249" s="1688" t="s">
        <v>5741</v>
      </c>
      <c r="C249" s="1688"/>
      <c r="D249" s="1643" t="s">
        <v>23</v>
      </c>
      <c r="E249" s="391">
        <v>415</v>
      </c>
      <c r="G249" s="1640"/>
      <c r="J249" s="1357"/>
      <c r="N249" s="1357"/>
      <c r="P249" s="1420"/>
      <c r="Q249" s="1420"/>
      <c r="Z249" s="1644" t="s">
        <v>5741</v>
      </c>
      <c r="BB249" s="1644" t="s">
        <v>5741</v>
      </c>
    </row>
    <row r="250" spans="2:54" s="841" customFormat="1" ht="11.25" customHeight="1" x14ac:dyDescent="0.25">
      <c r="B250" s="1688" t="s">
        <v>5742</v>
      </c>
      <c r="C250" s="1688"/>
      <c r="D250" s="1643" t="s">
        <v>23</v>
      </c>
      <c r="E250" s="391">
        <v>65</v>
      </c>
      <c r="G250" s="1640"/>
      <c r="J250" s="1357"/>
      <c r="N250" s="1357"/>
      <c r="P250" s="1420"/>
      <c r="Q250" s="1420"/>
      <c r="Z250" s="1644" t="s">
        <v>5742</v>
      </c>
      <c r="BB250" s="1644" t="s">
        <v>5742</v>
      </c>
    </row>
    <row r="251" spans="2:54" s="841" customFormat="1" ht="11.25" customHeight="1" x14ac:dyDescent="0.25">
      <c r="B251" s="1688" t="s">
        <v>5743</v>
      </c>
      <c r="C251" s="1688"/>
      <c r="D251" s="1643" t="s">
        <v>23</v>
      </c>
      <c r="E251" s="391">
        <v>185</v>
      </c>
      <c r="G251" s="1640"/>
      <c r="J251" s="1357"/>
      <c r="N251" s="1357"/>
      <c r="P251" s="1420"/>
      <c r="Q251" s="1420"/>
      <c r="Z251" s="1644" t="s">
        <v>5743</v>
      </c>
      <c r="BB251" s="1644" t="s">
        <v>5743</v>
      </c>
    </row>
    <row r="252" spans="2:54" s="841" customFormat="1" ht="6.75" customHeight="1" x14ac:dyDescent="0.25">
      <c r="B252" s="1630"/>
      <c r="C252" s="1630"/>
      <c r="D252" s="1643"/>
      <c r="E252" s="391"/>
      <c r="G252" s="1640"/>
      <c r="J252" s="1357"/>
      <c r="N252" s="1357"/>
      <c r="P252" s="1420"/>
      <c r="Q252" s="1420"/>
    </row>
    <row r="253" spans="2:54" s="841" customFormat="1" ht="15" x14ac:dyDescent="0.25">
      <c r="B253" s="1634" t="s">
        <v>3164</v>
      </c>
      <c r="C253" s="3"/>
      <c r="D253" s="397"/>
      <c r="E253" s="1311"/>
      <c r="G253" s="1640"/>
      <c r="J253" s="1357"/>
      <c r="N253" s="1357"/>
      <c r="P253" s="1420"/>
      <c r="Q253" s="1420"/>
    </row>
    <row r="254" spans="2:54" s="841" customFormat="1" ht="11.25" customHeight="1" x14ac:dyDescent="0.25">
      <c r="B254" s="1688" t="s">
        <v>4853</v>
      </c>
      <c r="C254" s="1688"/>
      <c r="D254" s="1643" t="s">
        <v>23</v>
      </c>
      <c r="E254" s="391">
        <v>30</v>
      </c>
      <c r="G254" s="1640"/>
      <c r="J254" s="1357"/>
      <c r="N254" s="1357"/>
      <c r="P254" s="1420"/>
      <c r="Q254" s="1420"/>
      <c r="Z254" s="1644" t="s">
        <v>4853</v>
      </c>
      <c r="BB254" s="1644" t="s">
        <v>4853</v>
      </c>
    </row>
    <row r="255" spans="2:54" s="841" customFormat="1" ht="11.25" customHeight="1" x14ac:dyDescent="0.25">
      <c r="B255" s="1688" t="s">
        <v>4854</v>
      </c>
      <c r="C255" s="1688"/>
      <c r="D255" s="1643" t="s">
        <v>23</v>
      </c>
      <c r="E255" s="391">
        <v>165</v>
      </c>
      <c r="G255" s="1640"/>
      <c r="J255" s="1357"/>
      <c r="N255" s="1357"/>
      <c r="P255" s="1420"/>
      <c r="Q255" s="1420"/>
      <c r="Z255" s="1644" t="s">
        <v>4854</v>
      </c>
      <c r="BB255" s="1644" t="s">
        <v>4854</v>
      </c>
    </row>
    <row r="256" spans="2:54" s="841" customFormat="1" ht="11.25" customHeight="1" x14ac:dyDescent="0.25">
      <c r="B256" s="1688" t="s">
        <v>3920</v>
      </c>
      <c r="C256" s="1688"/>
      <c r="D256" s="1643" t="s">
        <v>23</v>
      </c>
      <c r="E256" s="391">
        <v>500</v>
      </c>
      <c r="G256" s="1640"/>
      <c r="J256" s="1357"/>
      <c r="N256" s="1357"/>
      <c r="P256" s="1420"/>
      <c r="Q256" s="1420"/>
      <c r="Z256" s="1644" t="s">
        <v>3920</v>
      </c>
      <c r="BB256" s="1644" t="s">
        <v>3920</v>
      </c>
    </row>
    <row r="257" spans="2:55" s="841" customFormat="1" ht="11.25" customHeight="1" x14ac:dyDescent="0.25">
      <c r="B257" s="1688" t="s">
        <v>4855</v>
      </c>
      <c r="C257" s="1688"/>
      <c r="D257" s="1643" t="s">
        <v>23</v>
      </c>
      <c r="E257" s="391">
        <v>300</v>
      </c>
      <c r="G257" s="1640"/>
      <c r="J257" s="1357"/>
      <c r="N257" s="1357"/>
      <c r="P257" s="1420"/>
      <c r="Q257" s="1420"/>
      <c r="Z257" s="1644" t="s">
        <v>4855</v>
      </c>
      <c r="BB257" s="1644" t="s">
        <v>4855</v>
      </c>
    </row>
    <row r="258" spans="2:55" s="841" customFormat="1" ht="11.25" customHeight="1" x14ac:dyDescent="0.25">
      <c r="B258" s="1688" t="s">
        <v>4856</v>
      </c>
      <c r="C258" s="1688"/>
      <c r="D258" s="1643" t="s">
        <v>23</v>
      </c>
      <c r="E258" s="391">
        <v>1000</v>
      </c>
      <c r="G258" s="1640"/>
      <c r="J258" s="1357"/>
      <c r="N258" s="1357"/>
      <c r="P258" s="1420"/>
      <c r="Q258" s="1420"/>
      <c r="Z258" s="1644" t="s">
        <v>4856</v>
      </c>
      <c r="BB258" s="1644" t="s">
        <v>4856</v>
      </c>
    </row>
    <row r="259" spans="2:55" s="841" customFormat="1" ht="22.5" x14ac:dyDescent="0.25">
      <c r="B259" s="1688" t="s">
        <v>5744</v>
      </c>
      <c r="C259" s="1688"/>
      <c r="D259" s="1643" t="s">
        <v>23</v>
      </c>
      <c r="E259" s="391">
        <v>22.35</v>
      </c>
      <c r="G259" s="1640"/>
      <c r="J259" s="1357"/>
      <c r="N259" s="1357"/>
      <c r="P259" s="1420"/>
      <c r="Q259" s="1420"/>
      <c r="Z259" s="1644" t="s">
        <v>5744</v>
      </c>
      <c r="BB259" s="1644" t="s">
        <v>5744</v>
      </c>
    </row>
    <row r="260" spans="2:55" s="841" customFormat="1" ht="18" x14ac:dyDescent="0.25">
      <c r="B260" s="1687" t="s">
        <v>77</v>
      </c>
      <c r="C260" s="1687"/>
      <c r="D260" s="1687"/>
      <c r="E260" s="1687"/>
      <c r="G260" s="1640"/>
      <c r="H260" s="841" t="s">
        <v>4857</v>
      </c>
      <c r="J260" s="1357"/>
      <c r="N260" s="1357"/>
      <c r="P260" s="1420"/>
      <c r="Q260" s="1420"/>
      <c r="AA260" s="1071" t="s">
        <v>77</v>
      </c>
      <c r="BC260" s="1071" t="s">
        <v>77</v>
      </c>
    </row>
    <row r="261" spans="2:55" s="841" customFormat="1" ht="6.75" customHeight="1" x14ac:dyDescent="0.25">
      <c r="B261" s="1629"/>
      <c r="C261" s="1629"/>
      <c r="D261" s="1629"/>
      <c r="E261" s="1629"/>
      <c r="G261" s="1640"/>
      <c r="J261" s="1357"/>
      <c r="N261" s="1357"/>
      <c r="P261" s="1420"/>
      <c r="Q261" s="1420"/>
    </row>
    <row r="262" spans="2:55" s="841" customFormat="1" ht="36" x14ac:dyDescent="0.25">
      <c r="B262" s="1689" t="s">
        <v>3063</v>
      </c>
      <c r="C262" s="1689"/>
      <c r="D262" s="1689"/>
      <c r="E262" s="1689"/>
      <c r="G262" s="1640"/>
      <c r="J262" s="1357"/>
      <c r="N262" s="1357"/>
      <c r="P262" s="1420"/>
      <c r="Q262" s="1420"/>
      <c r="AA262" s="1642" t="s">
        <v>3063</v>
      </c>
      <c r="BC262" s="1642" t="s">
        <v>3063</v>
      </c>
    </row>
    <row r="263" spans="2:55" s="841" customFormat="1" ht="6.75" customHeight="1" x14ac:dyDescent="0.25">
      <c r="B263" s="1631"/>
      <c r="C263" s="1631"/>
      <c r="D263" s="1631"/>
      <c r="E263" s="1631"/>
      <c r="G263" s="1640"/>
      <c r="J263" s="1357"/>
      <c r="N263" s="1357"/>
      <c r="P263" s="1420"/>
      <c r="Q263" s="1420"/>
    </row>
    <row r="264" spans="2:55" s="841" customFormat="1" ht="48" x14ac:dyDescent="0.25">
      <c r="B264" s="1689" t="s">
        <v>3064</v>
      </c>
      <c r="C264" s="1689"/>
      <c r="D264" s="1689"/>
      <c r="E264" s="1689"/>
      <c r="G264" s="1640"/>
      <c r="J264" s="1357"/>
      <c r="N264" s="1357"/>
      <c r="P264" s="1420"/>
      <c r="Q264" s="1420"/>
      <c r="AA264" s="1642" t="s">
        <v>3064</v>
      </c>
      <c r="BC264" s="1642" t="s">
        <v>3064</v>
      </c>
    </row>
    <row r="265" spans="2:55" s="841" customFormat="1" ht="6.75" customHeight="1" x14ac:dyDescent="0.25">
      <c r="B265" s="1631"/>
      <c r="C265" s="1631"/>
      <c r="D265" s="1631"/>
      <c r="E265" s="1631"/>
      <c r="G265" s="1640"/>
      <c r="J265" s="1357"/>
      <c r="N265" s="1357"/>
      <c r="P265" s="1420"/>
      <c r="Q265" s="1420"/>
    </row>
    <row r="266" spans="2:55" s="841" customFormat="1" ht="24" x14ac:dyDescent="0.25">
      <c r="B266" s="1689" t="s">
        <v>3129</v>
      </c>
      <c r="C266" s="1689"/>
      <c r="D266" s="1689"/>
      <c r="E266" s="1689"/>
      <c r="G266" s="1640"/>
      <c r="J266" s="1357"/>
      <c r="N266" s="1357"/>
      <c r="P266" s="1420"/>
      <c r="Q266" s="1420"/>
      <c r="AA266" s="1642" t="s">
        <v>3129</v>
      </c>
      <c r="BC266" s="1642" t="s">
        <v>3129</v>
      </c>
    </row>
    <row r="267" spans="2:55" s="841" customFormat="1" ht="6.75" customHeight="1" x14ac:dyDescent="0.25">
      <c r="B267" s="1631"/>
      <c r="C267" s="1631"/>
      <c r="D267" s="1631"/>
      <c r="E267" s="1631"/>
      <c r="G267" s="1640"/>
      <c r="J267" s="1357"/>
      <c r="N267" s="1357"/>
      <c r="P267" s="1420"/>
      <c r="Q267" s="1420"/>
    </row>
    <row r="268" spans="2:55" s="841" customFormat="1" ht="36" x14ac:dyDescent="0.25">
      <c r="B268" s="1689" t="s">
        <v>3066</v>
      </c>
      <c r="C268" s="1689"/>
      <c r="D268" s="1689"/>
      <c r="E268" s="1689"/>
      <c r="G268" s="1640"/>
      <c r="J268" s="1357"/>
      <c r="N268" s="1357"/>
      <c r="P268" s="1420"/>
      <c r="Q268" s="1420"/>
      <c r="AA268" s="1642" t="s">
        <v>3066</v>
      </c>
      <c r="BC268" s="1642" t="s">
        <v>3066</v>
      </c>
    </row>
    <row r="269" spans="2:55" s="841" customFormat="1" ht="6.75" customHeight="1" x14ac:dyDescent="0.25">
      <c r="B269" s="1631"/>
      <c r="C269" s="1631"/>
      <c r="D269" s="1631"/>
      <c r="E269" s="1631"/>
      <c r="G269" s="1640"/>
      <c r="J269" s="1357"/>
      <c r="N269" s="1357"/>
      <c r="P269" s="1420"/>
      <c r="Q269" s="1420"/>
    </row>
    <row r="270" spans="2:55" s="841" customFormat="1" ht="24" x14ac:dyDescent="0.25">
      <c r="B270" s="1689" t="s">
        <v>3559</v>
      </c>
      <c r="C270" s="1689"/>
      <c r="D270" s="1689"/>
      <c r="E270" s="1689"/>
      <c r="G270" s="1640"/>
      <c r="J270" s="1357"/>
      <c r="N270" s="1357"/>
      <c r="P270" s="1420"/>
      <c r="Q270" s="1420"/>
      <c r="AA270" s="1642" t="s">
        <v>3559</v>
      </c>
      <c r="BC270" s="1642" t="s">
        <v>3559</v>
      </c>
    </row>
    <row r="271" spans="2:55" s="841" customFormat="1" ht="22.5" x14ac:dyDescent="0.25">
      <c r="B271" s="1690" t="s">
        <v>4858</v>
      </c>
      <c r="C271" s="1690"/>
      <c r="D271" s="397" t="s">
        <v>23</v>
      </c>
      <c r="E271" s="1312">
        <v>100</v>
      </c>
      <c r="G271" s="1640"/>
      <c r="J271" s="1357"/>
      <c r="N271" s="1357"/>
      <c r="P271" s="1420"/>
      <c r="Q271" s="1420"/>
      <c r="Z271" s="1644" t="s">
        <v>4858</v>
      </c>
      <c r="BB271" s="1644" t="s">
        <v>4858</v>
      </c>
    </row>
    <row r="272" spans="2:55" s="841" customFormat="1" ht="11.25" customHeight="1" x14ac:dyDescent="0.25">
      <c r="B272" s="1690" t="s">
        <v>5745</v>
      </c>
      <c r="C272" s="1690"/>
      <c r="D272" s="397" t="s">
        <v>23</v>
      </c>
      <c r="E272" s="1312">
        <v>20</v>
      </c>
      <c r="G272" s="1640"/>
      <c r="J272" s="1357"/>
      <c r="N272" s="1357"/>
      <c r="P272" s="1420"/>
      <c r="Q272" s="1420"/>
      <c r="Z272" s="1644" t="s">
        <v>5745</v>
      </c>
      <c r="BB272" s="1644" t="s">
        <v>5745</v>
      </c>
    </row>
    <row r="273" spans="2:55" s="841" customFormat="1" ht="11.25" customHeight="1" x14ac:dyDescent="0.25">
      <c r="B273" s="1690" t="s">
        <v>5746</v>
      </c>
      <c r="C273" s="1690"/>
      <c r="D273" s="397" t="s">
        <v>3179</v>
      </c>
      <c r="E273" s="1312">
        <v>0.5</v>
      </c>
      <c r="G273" s="1640"/>
      <c r="J273" s="1357"/>
      <c r="N273" s="1357"/>
      <c r="P273" s="1420"/>
      <c r="Q273" s="1420"/>
      <c r="Z273" s="1644" t="s">
        <v>5746</v>
      </c>
      <c r="BB273" s="1644" t="s">
        <v>5746</v>
      </c>
    </row>
    <row r="274" spans="2:55" s="841" customFormat="1" ht="11.25" customHeight="1" x14ac:dyDescent="0.25">
      <c r="B274" s="1690" t="s">
        <v>4859</v>
      </c>
      <c r="C274" s="1690"/>
      <c r="D274" s="397" t="s">
        <v>3179</v>
      </c>
      <c r="E274" s="1312">
        <v>0.3</v>
      </c>
      <c r="G274" s="1640"/>
      <c r="J274" s="1357"/>
      <c r="N274" s="1357"/>
      <c r="P274" s="1420"/>
      <c r="Q274" s="1420"/>
      <c r="Z274" s="1644" t="s">
        <v>4859</v>
      </c>
      <c r="BB274" s="1644" t="s">
        <v>4859</v>
      </c>
    </row>
    <row r="275" spans="2:55" s="841" customFormat="1" ht="11.25" customHeight="1" x14ac:dyDescent="0.25">
      <c r="B275" s="1690" t="s">
        <v>4860</v>
      </c>
      <c r="C275" s="1690"/>
      <c r="D275" s="397" t="s">
        <v>3179</v>
      </c>
      <c r="E275" s="1312">
        <v>-0.3</v>
      </c>
      <c r="G275" s="1640"/>
      <c r="J275" s="1357"/>
      <c r="N275" s="1357"/>
      <c r="P275" s="1420"/>
      <c r="Q275" s="1420"/>
      <c r="Z275" s="1644" t="s">
        <v>4860</v>
      </c>
      <c r="BB275" s="1644" t="s">
        <v>4860</v>
      </c>
    </row>
    <row r="276" spans="2:55" s="841" customFormat="1" ht="11.25" customHeight="1" x14ac:dyDescent="0.25">
      <c r="B276" s="1690" t="s">
        <v>3292</v>
      </c>
      <c r="C276" s="1690"/>
      <c r="D276" s="3"/>
      <c r="E276" s="1313"/>
      <c r="G276" s="1640"/>
      <c r="J276" s="1357"/>
      <c r="N276" s="1357"/>
      <c r="P276" s="1420"/>
      <c r="Q276" s="1420"/>
      <c r="Z276" s="1644" t="s">
        <v>3292</v>
      </c>
      <c r="BB276" s="1644" t="s">
        <v>3292</v>
      </c>
    </row>
    <row r="277" spans="2:55" s="841" customFormat="1" ht="11.25" customHeight="1" x14ac:dyDescent="0.25">
      <c r="B277" s="1691" t="s">
        <v>4861</v>
      </c>
      <c r="C277" s="1691"/>
      <c r="D277" s="718" t="s">
        <v>23</v>
      </c>
      <c r="E277" s="1006">
        <v>0.25</v>
      </c>
      <c r="G277" s="1640"/>
      <c r="J277" s="1357"/>
      <c r="N277" s="1357"/>
      <c r="P277" s="1420"/>
      <c r="Q277" s="1420"/>
      <c r="Z277" s="1644" t="s">
        <v>4861</v>
      </c>
      <c r="BB277" s="1644" t="s">
        <v>4861</v>
      </c>
    </row>
    <row r="278" spans="2:55" s="841" customFormat="1" ht="11.25" customHeight="1" x14ac:dyDescent="0.25">
      <c r="B278" s="1691" t="s">
        <v>4862</v>
      </c>
      <c r="C278" s="1691"/>
      <c r="D278" s="718" t="s">
        <v>23</v>
      </c>
      <c r="E278" s="1006">
        <v>0.5</v>
      </c>
      <c r="G278" s="1640"/>
      <c r="J278" s="1357"/>
      <c r="N278" s="1357"/>
      <c r="P278" s="1420"/>
      <c r="Q278" s="1420"/>
      <c r="Z278" s="1644" t="s">
        <v>4862</v>
      </c>
      <c r="BB278" s="1644" t="s">
        <v>4862</v>
      </c>
    </row>
    <row r="279" spans="2:55" s="841" customFormat="1" ht="11.25" customHeight="1" x14ac:dyDescent="0.25">
      <c r="B279" s="1690" t="s">
        <v>3185</v>
      </c>
      <c r="C279" s="1690"/>
      <c r="D279" s="396"/>
      <c r="E279" s="500"/>
      <c r="G279" s="1640"/>
      <c r="J279" s="1357"/>
      <c r="N279" s="1357"/>
      <c r="P279" s="1420"/>
      <c r="Q279" s="1420"/>
      <c r="Z279" s="1644" t="s">
        <v>3185</v>
      </c>
      <c r="BB279" s="1644" t="s">
        <v>3185</v>
      </c>
    </row>
    <row r="280" spans="2:55" s="841" customFormat="1" ht="11.25" customHeight="1" x14ac:dyDescent="0.25">
      <c r="B280" s="1690" t="s">
        <v>3186</v>
      </c>
      <c r="C280" s="1690"/>
      <c r="D280" s="396"/>
      <c r="E280" s="500"/>
      <c r="G280" s="1640"/>
      <c r="J280" s="1357"/>
      <c r="N280" s="1357"/>
      <c r="P280" s="1420"/>
      <c r="Q280" s="1420"/>
      <c r="Z280" s="1644" t="s">
        <v>3186</v>
      </c>
      <c r="BB280" s="1644" t="s">
        <v>3186</v>
      </c>
    </row>
    <row r="281" spans="2:55" s="841" customFormat="1" ht="11.25" customHeight="1" x14ac:dyDescent="0.25">
      <c r="B281" s="1690" t="s">
        <v>3293</v>
      </c>
      <c r="C281" s="1690"/>
      <c r="D281" s="396"/>
      <c r="E281" s="500"/>
      <c r="G281" s="1640"/>
      <c r="J281" s="1357"/>
      <c r="N281" s="1357"/>
      <c r="P281" s="1420"/>
      <c r="Q281" s="1420"/>
      <c r="Z281" s="1644" t="s">
        <v>3293</v>
      </c>
      <c r="BB281" s="1644" t="s">
        <v>3293</v>
      </c>
    </row>
    <row r="282" spans="2:55" s="841" customFormat="1" ht="11.25" customHeight="1" x14ac:dyDescent="0.25">
      <c r="B282" s="1691" t="s">
        <v>4863</v>
      </c>
      <c r="C282" s="1691"/>
      <c r="D282" s="718" t="s">
        <v>23</v>
      </c>
      <c r="E282" s="720" t="s">
        <v>3189</v>
      </c>
      <c r="G282" s="1640"/>
      <c r="J282" s="1357"/>
      <c r="N282" s="1357"/>
      <c r="P282" s="1420"/>
      <c r="Q282" s="1420"/>
      <c r="Z282" s="1644" t="s">
        <v>4863</v>
      </c>
      <c r="BB282" s="1644" t="s">
        <v>4863</v>
      </c>
    </row>
    <row r="283" spans="2:55" s="841" customFormat="1" ht="11.25" customHeight="1" x14ac:dyDescent="0.25">
      <c r="B283" s="1691" t="s">
        <v>4864</v>
      </c>
      <c r="C283" s="1691"/>
      <c r="D283" s="718" t="s">
        <v>23</v>
      </c>
      <c r="E283" s="1006">
        <v>2</v>
      </c>
      <c r="G283" s="1640"/>
      <c r="J283" s="1357"/>
      <c r="N283" s="1357"/>
      <c r="P283" s="1420"/>
      <c r="Q283" s="1420"/>
      <c r="Z283" s="1644" t="s">
        <v>4864</v>
      </c>
      <c r="BB283" s="1644" t="s">
        <v>4864</v>
      </c>
    </row>
    <row r="284" spans="2:55" s="841" customFormat="1" ht="6.75" customHeight="1" x14ac:dyDescent="0.25">
      <c r="B284" s="1633"/>
      <c r="C284" s="1633"/>
      <c r="D284" s="718"/>
      <c r="E284" s="1006"/>
      <c r="G284" s="1640"/>
      <c r="J284" s="1357"/>
      <c r="N284" s="1357"/>
      <c r="P284" s="1420"/>
      <c r="Q284" s="1420"/>
    </row>
    <row r="285" spans="2:55" s="841" customFormat="1" ht="18" x14ac:dyDescent="0.25">
      <c r="B285" s="1687" t="s">
        <v>147</v>
      </c>
      <c r="C285" s="1687"/>
      <c r="D285" s="1687"/>
      <c r="E285" s="1687"/>
      <c r="G285" s="1640"/>
      <c r="H285" s="841" t="s">
        <v>4865</v>
      </c>
      <c r="J285" s="1357"/>
      <c r="N285" s="1357"/>
      <c r="P285" s="1420"/>
      <c r="Q285" s="1420"/>
      <c r="AA285" s="1071" t="s">
        <v>147</v>
      </c>
      <c r="BC285" s="1071" t="s">
        <v>147</v>
      </c>
    </row>
    <row r="286" spans="2:55" s="841" customFormat="1" ht="6.75" customHeight="1" x14ac:dyDescent="0.25">
      <c r="B286" s="1629"/>
      <c r="C286" s="1629"/>
      <c r="D286" s="1629"/>
      <c r="E286" s="1629"/>
      <c r="G286" s="1640"/>
      <c r="J286" s="1357"/>
      <c r="N286" s="1357"/>
      <c r="P286" s="1420"/>
      <c r="Q286" s="1420"/>
    </row>
    <row r="287" spans="2:55" s="841" customFormat="1" ht="22.5" x14ac:dyDescent="0.25">
      <c r="B287" s="1704" t="s">
        <v>3192</v>
      </c>
      <c r="C287" s="1704"/>
      <c r="D287" s="1704"/>
      <c r="E287" s="1704"/>
      <c r="G287" s="1640"/>
      <c r="J287" s="1357"/>
      <c r="N287" s="1357"/>
      <c r="P287" s="1420"/>
      <c r="Q287" s="1420"/>
      <c r="AA287" s="1644" t="s">
        <v>3192</v>
      </c>
      <c r="BC287" s="1644" t="s">
        <v>3192</v>
      </c>
    </row>
    <row r="288" spans="2:55" s="841" customFormat="1" ht="11.25" customHeight="1" x14ac:dyDescent="0.25">
      <c r="B288" s="1690" t="s">
        <v>3295</v>
      </c>
      <c r="C288" s="1690"/>
      <c r="D288" s="1643"/>
      <c r="E288" s="1413">
        <v>1.0819000000000001</v>
      </c>
      <c r="G288" s="1640"/>
      <c r="J288" s="1357"/>
      <c r="N288" s="1357"/>
      <c r="P288" s="1420"/>
      <c r="Q288" s="1420"/>
      <c r="Z288" s="1644" t="s">
        <v>3295</v>
      </c>
      <c r="BB288" s="1644" t="s">
        <v>3295</v>
      </c>
    </row>
    <row r="289" spans="2:54" s="841" customFormat="1" ht="11.25" customHeight="1" x14ac:dyDescent="0.25">
      <c r="B289" s="1690" t="s">
        <v>3297</v>
      </c>
      <c r="C289" s="1690"/>
      <c r="D289" s="1643"/>
      <c r="E289" s="1413">
        <v>1.0710999999999999</v>
      </c>
      <c r="G289" s="1640" t="s">
        <v>4866</v>
      </c>
      <c r="J289" s="1357"/>
      <c r="N289" s="1357"/>
      <c r="P289" s="1420"/>
      <c r="Q289" s="1420"/>
      <c r="Z289" s="1644" t="s">
        <v>3297</v>
      </c>
      <c r="BB289" s="1644" t="s">
        <v>3297</v>
      </c>
    </row>
  </sheetData>
  <sheetProtection algorithmName="SHA-512" hashValue="5ZLN2u4VLixwu0C77bMkxCTorfrX1DQ3Dd8Enve2RN/BWg7iGq4lFwyzg/dv5pF/e4stMRhTitU3IE/D1Zzxmg==" saltValue="cwS0mSIb3ON0wYbsh3aiIQ==" spinCount="100000" sheet="1" objects="1" scenarios="1"/>
  <mergeCells count="212">
    <mergeCell ref="B257:C257"/>
    <mergeCell ref="B224:C224"/>
    <mergeCell ref="B225:C225"/>
    <mergeCell ref="B226:C226"/>
    <mergeCell ref="B26:C26"/>
    <mergeCell ref="B56:C56"/>
    <mergeCell ref="B55:C55"/>
    <mergeCell ref="B258:C258"/>
    <mergeCell ref="B259:C259"/>
    <mergeCell ref="B199:E199"/>
    <mergeCell ref="B185:C185"/>
    <mergeCell ref="B192:C192"/>
    <mergeCell ref="B193:C193"/>
    <mergeCell ref="B168:E168"/>
    <mergeCell ref="B170:E170"/>
    <mergeCell ref="B172:E172"/>
    <mergeCell ref="B174:E174"/>
    <mergeCell ref="B176:E176"/>
    <mergeCell ref="B180:C180"/>
    <mergeCell ref="B57:C57"/>
    <mergeCell ref="B71:E71"/>
    <mergeCell ref="B68:C68"/>
    <mergeCell ref="B69:C69"/>
    <mergeCell ref="B70:C70"/>
    <mergeCell ref="B120:C120"/>
    <mergeCell ref="B105:E105"/>
    <mergeCell ref="B125:C125"/>
    <mergeCell ref="B155:C155"/>
    <mergeCell ref="B134:C134"/>
    <mergeCell ref="B126:C126"/>
    <mergeCell ref="B127:C127"/>
    <mergeCell ref="B129:C129"/>
    <mergeCell ref="B131:C131"/>
    <mergeCell ref="B132:C132"/>
    <mergeCell ref="B133:C133"/>
    <mergeCell ref="B135:E135"/>
    <mergeCell ref="B136:E136"/>
    <mergeCell ref="B30:C30"/>
    <mergeCell ref="B31:C31"/>
    <mergeCell ref="B33:C33"/>
    <mergeCell ref="B39:E39"/>
    <mergeCell ref="B24:C24"/>
    <mergeCell ref="B25:C25"/>
    <mergeCell ref="B27:C27"/>
    <mergeCell ref="B29:C29"/>
    <mergeCell ref="B28:C28"/>
    <mergeCell ref="B1:E1"/>
    <mergeCell ref="B2:E2"/>
    <mergeCell ref="B3:E3"/>
    <mergeCell ref="B4:E4"/>
    <mergeCell ref="B5:E5"/>
    <mergeCell ref="B6:E6"/>
    <mergeCell ref="B7:E7"/>
    <mergeCell ref="B8:E8"/>
    <mergeCell ref="B23:C23"/>
    <mergeCell ref="B13:E13"/>
    <mergeCell ref="B15:E15"/>
    <mergeCell ref="B17:E17"/>
    <mergeCell ref="B19:E19"/>
    <mergeCell ref="B21:E21"/>
    <mergeCell ref="B9:E9"/>
    <mergeCell ref="B11:E11"/>
    <mergeCell ref="B60:C60"/>
    <mergeCell ref="B153:C153"/>
    <mergeCell ref="B92:C92"/>
    <mergeCell ref="B91:C91"/>
    <mergeCell ref="B74:E74"/>
    <mergeCell ref="B76:E76"/>
    <mergeCell ref="B87:C87"/>
    <mergeCell ref="B88:C88"/>
    <mergeCell ref="B93:C93"/>
    <mergeCell ref="B90:C90"/>
    <mergeCell ref="B229:C229"/>
    <mergeCell ref="B232:C232"/>
    <mergeCell ref="B215:C215"/>
    <mergeCell ref="B211:C211"/>
    <mergeCell ref="B214:C214"/>
    <mergeCell ref="B207:E207"/>
    <mergeCell ref="B209:E209"/>
    <mergeCell ref="B213:E213"/>
    <mergeCell ref="B216:E216"/>
    <mergeCell ref="B217:E217"/>
    <mergeCell ref="B219:E219"/>
    <mergeCell ref="B221:E221"/>
    <mergeCell ref="B230:C230"/>
    <mergeCell ref="B50:E50"/>
    <mergeCell ref="B52:E52"/>
    <mergeCell ref="B58:C58"/>
    <mergeCell ref="B62:C62"/>
    <mergeCell ref="B63:C63"/>
    <mergeCell ref="B65:C65"/>
    <mergeCell ref="B67:C67"/>
    <mergeCell ref="B227:C227"/>
    <mergeCell ref="B228:C228"/>
    <mergeCell ref="B121:C121"/>
    <mergeCell ref="B178:E178"/>
    <mergeCell ref="B104:C104"/>
    <mergeCell ref="B106:E106"/>
    <mergeCell ref="B108:E108"/>
    <mergeCell ref="B110:E110"/>
    <mergeCell ref="B112:E112"/>
    <mergeCell ref="B114:E114"/>
    <mergeCell ref="B116:E116"/>
    <mergeCell ref="B118:E118"/>
    <mergeCell ref="B122:C122"/>
    <mergeCell ref="B123:C123"/>
    <mergeCell ref="B59:C59"/>
    <mergeCell ref="B54:C54"/>
    <mergeCell ref="B61:C61"/>
    <mergeCell ref="B35:C35"/>
    <mergeCell ref="B36:C36"/>
    <mergeCell ref="B37:C37"/>
    <mergeCell ref="B38:C38"/>
    <mergeCell ref="B40:E40"/>
    <mergeCell ref="B42:E42"/>
    <mergeCell ref="B44:E44"/>
    <mergeCell ref="B46:E46"/>
    <mergeCell ref="B48:E48"/>
    <mergeCell ref="B94:C94"/>
    <mergeCell ref="B95:C95"/>
    <mergeCell ref="B96:C96"/>
    <mergeCell ref="B97:C97"/>
    <mergeCell ref="B99:C99"/>
    <mergeCell ref="B101:C101"/>
    <mergeCell ref="B102:C102"/>
    <mergeCell ref="B103:C103"/>
    <mergeCell ref="B72:E72"/>
    <mergeCell ref="B78:E78"/>
    <mergeCell ref="B80:E80"/>
    <mergeCell ref="B82:E82"/>
    <mergeCell ref="B83:E83"/>
    <mergeCell ref="B85:E85"/>
    <mergeCell ref="B89:C89"/>
    <mergeCell ref="B181:C181"/>
    <mergeCell ref="B182:C182"/>
    <mergeCell ref="B183:C183"/>
    <mergeCell ref="B156:C156"/>
    <mergeCell ref="B157:C157"/>
    <mergeCell ref="B159:C159"/>
    <mergeCell ref="B165:E165"/>
    <mergeCell ref="B166:E166"/>
    <mergeCell ref="B138:E138"/>
    <mergeCell ref="B140:E140"/>
    <mergeCell ref="B142:E142"/>
    <mergeCell ref="B144:E144"/>
    <mergeCell ref="B146:E146"/>
    <mergeCell ref="B148:E148"/>
    <mergeCell ref="B150:C150"/>
    <mergeCell ref="B151:C151"/>
    <mergeCell ref="B152:C152"/>
    <mergeCell ref="B161:C161"/>
    <mergeCell ref="B162:C162"/>
    <mergeCell ref="B163:C163"/>
    <mergeCell ref="B164:C164"/>
    <mergeCell ref="B187:C187"/>
    <mergeCell ref="B188:C188"/>
    <mergeCell ref="B190:C190"/>
    <mergeCell ref="B194:C194"/>
    <mergeCell ref="B195:C195"/>
    <mergeCell ref="B196:E196"/>
    <mergeCell ref="B201:E201"/>
    <mergeCell ref="B203:E203"/>
    <mergeCell ref="B205:E205"/>
    <mergeCell ref="B197:E197"/>
    <mergeCell ref="B268:E268"/>
    <mergeCell ref="B270:E270"/>
    <mergeCell ref="B271:C271"/>
    <mergeCell ref="B272:C272"/>
    <mergeCell ref="B231:C231"/>
    <mergeCell ref="B238:C238"/>
    <mergeCell ref="B239:C239"/>
    <mergeCell ref="B242:C242"/>
    <mergeCell ref="B243:C243"/>
    <mergeCell ref="B244:C244"/>
    <mergeCell ref="B245:C245"/>
    <mergeCell ref="B246:C246"/>
    <mergeCell ref="B247:C247"/>
    <mergeCell ref="B233:C233"/>
    <mergeCell ref="B234:C234"/>
    <mergeCell ref="B235:C235"/>
    <mergeCell ref="B236:C236"/>
    <mergeCell ref="B237:C237"/>
    <mergeCell ref="B249:C249"/>
    <mergeCell ref="B250:C250"/>
    <mergeCell ref="B251:C251"/>
    <mergeCell ref="B254:C254"/>
    <mergeCell ref="B255:C255"/>
    <mergeCell ref="B256:C256"/>
    <mergeCell ref="B282:C282"/>
    <mergeCell ref="B283:C283"/>
    <mergeCell ref="B285:E285"/>
    <mergeCell ref="B287:E287"/>
    <mergeCell ref="B288:C288"/>
    <mergeCell ref="B289:C289"/>
    <mergeCell ref="B124:C124"/>
    <mergeCell ref="B154:C154"/>
    <mergeCell ref="B184:C184"/>
    <mergeCell ref="B186:C186"/>
    <mergeCell ref="B273:C273"/>
    <mergeCell ref="B274:C274"/>
    <mergeCell ref="B275:C275"/>
    <mergeCell ref="B276:C276"/>
    <mergeCell ref="B277:C277"/>
    <mergeCell ref="B278:C278"/>
    <mergeCell ref="B279:C279"/>
    <mergeCell ref="B280:C280"/>
    <mergeCell ref="B281:C281"/>
    <mergeCell ref="B248:C248"/>
    <mergeCell ref="B260:E260"/>
    <mergeCell ref="B262:E262"/>
    <mergeCell ref="B264:E264"/>
    <mergeCell ref="B266:E266"/>
  </mergeCells>
  <pageMargins left="0.70866141732283472" right="0.70866141732283472" top="0.74803149606299213" bottom="0.74803149606299213" header="0.31496062992125984" footer="0.31496062992125984"/>
  <pageSetup fitToHeight="0" orientation="portrait" cellComments="atEnd" r:id="rId1"/>
  <headerFooter>
    <oddHeader>&amp;RPage  &amp;P of  &amp;N</oddHeader>
    <oddFooter>&amp;A&amp;RPage &amp;P</oddFooter>
  </headerFooter>
  <rowBreaks count="6" manualBreakCount="6">
    <brk id="38" max="16383" man="1"/>
    <brk id="70" max="16383" man="1"/>
    <brk id="104" max="16383" man="1"/>
    <brk id="134" max="16383" man="1"/>
    <brk id="164" max="16383" man="1"/>
    <brk id="19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85" r:id="rId4" name="Button 1">
              <controlPr defaultSize="0" print="0" autoFill="0" autoPict="0" macro="[0]!copysheettonewfile">
                <anchor>
                  <from>
                    <xdr:col>80</xdr:col>
                    <xdr:colOff>66675</xdr:colOff>
                    <xdr:row>0</xdr:row>
                    <xdr:rowOff>85725</xdr:rowOff>
                  </from>
                  <to>
                    <xdr:col>82</xdr:col>
                    <xdr:colOff>333375</xdr:colOff>
                    <xdr:row>3</xdr:row>
                    <xdr:rowOff>76200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CA635"/>
  <sheetViews>
    <sheetView showGridLines="0" topLeftCell="F64" zoomScale="110" zoomScaleNormal="110" workbookViewId="0">
      <selection activeCell="H55" sqref="H55"/>
    </sheetView>
  </sheetViews>
  <sheetFormatPr defaultColWidth="9.140625" defaultRowHeight="12.75" x14ac:dyDescent="0.2"/>
  <cols>
    <col min="1" max="1" width="9" style="59" hidden="1" customWidth="1"/>
    <col min="2" max="2" width="4.7109375" style="59" hidden="1" customWidth="1"/>
    <col min="3" max="3" width="3.42578125" style="884" customWidth="1"/>
    <col min="4" max="4" width="34.7109375" style="59" customWidth="1"/>
    <col min="5" max="5" width="13.140625" style="59" customWidth="1"/>
    <col min="6" max="6" width="26.85546875" style="59" customWidth="1"/>
    <col min="7" max="7" width="10.28515625" style="59" bestFit="1" customWidth="1"/>
    <col min="8" max="8" width="18.140625" style="59" customWidth="1"/>
    <col min="9" max="9" width="12.85546875" style="59" customWidth="1"/>
    <col min="10" max="10" width="14.28515625" style="59" bestFit="1" customWidth="1"/>
    <col min="11" max="11" width="18.85546875" style="59" bestFit="1" customWidth="1"/>
    <col min="12" max="12" width="13.5703125" style="59" bestFit="1" customWidth="1"/>
    <col min="13" max="13" width="15.85546875" style="59" customWidth="1"/>
    <col min="14" max="14" width="22.140625" style="59" customWidth="1"/>
    <col min="15" max="15" width="14.42578125" style="59" customWidth="1"/>
    <col min="16" max="16" width="3.85546875" style="59" customWidth="1"/>
    <col min="17" max="17" width="11.28515625" style="59" customWidth="1"/>
    <col min="18" max="19" width="9.140625" style="59" customWidth="1"/>
    <col min="20" max="46" width="9.140625" style="59" hidden="1" customWidth="1"/>
    <col min="47" max="82" width="9.140625" style="59" customWidth="1"/>
    <col min="83" max="16384" width="9.140625" style="59"/>
  </cols>
  <sheetData>
    <row r="1" spans="3:79" s="83" customFormat="1" ht="21.75" x14ac:dyDescent="0.2">
      <c r="C1" s="878"/>
      <c r="D1" s="165"/>
      <c r="E1" s="165"/>
      <c r="F1" s="165"/>
      <c r="G1" s="165"/>
      <c r="H1" s="165"/>
      <c r="I1" s="165"/>
      <c r="J1" s="165"/>
      <c r="K1" s="165"/>
      <c r="L1" s="5"/>
      <c r="M1" s="166"/>
      <c r="P1" s="60"/>
      <c r="AZ1" s="83" t="s">
        <v>657</v>
      </c>
      <c r="CA1" s="83">
        <v>1</v>
      </c>
    </row>
    <row r="2" spans="3:79" s="83" customFormat="1" ht="18" x14ac:dyDescent="0.25">
      <c r="C2" s="879"/>
      <c r="D2" s="167"/>
      <c r="E2" s="167"/>
      <c r="F2" s="167"/>
      <c r="G2" s="167"/>
      <c r="H2" s="167"/>
      <c r="I2" s="167"/>
      <c r="J2" s="167"/>
      <c r="K2" s="167"/>
      <c r="L2" s="5"/>
      <c r="M2" s="166"/>
      <c r="P2" s="60"/>
    </row>
    <row r="3" spans="3:79" s="83" customFormat="1" ht="18" x14ac:dyDescent="0.25">
      <c r="C3" s="1877"/>
      <c r="D3" s="1877"/>
      <c r="E3" s="1877"/>
      <c r="F3" s="1877"/>
      <c r="G3" s="1877"/>
      <c r="H3" s="1877"/>
      <c r="I3" s="1877"/>
      <c r="J3" s="1877"/>
      <c r="K3" s="1877"/>
      <c r="L3" s="5"/>
      <c r="M3" s="166"/>
      <c r="P3" s="60"/>
    </row>
    <row r="4" spans="3:79" s="83" customFormat="1" ht="18" x14ac:dyDescent="0.25">
      <c r="C4" s="879"/>
      <c r="D4" s="167"/>
      <c r="E4" s="167"/>
      <c r="F4" s="167"/>
      <c r="G4" s="167"/>
      <c r="H4" s="167"/>
      <c r="I4" s="168"/>
      <c r="J4" s="168"/>
      <c r="K4" s="168"/>
      <c r="L4" s="5"/>
      <c r="M4" s="166"/>
      <c r="P4" s="60"/>
    </row>
    <row r="5" spans="3:79" s="83" customFormat="1" ht="15.75" x14ac:dyDescent="0.25">
      <c r="C5" s="880"/>
      <c r="E5" s="169"/>
      <c r="L5" s="5"/>
      <c r="M5" s="166"/>
      <c r="P5" s="60"/>
    </row>
    <row r="6" spans="3:79" s="83" customFormat="1" x14ac:dyDescent="0.2">
      <c r="C6" s="880"/>
      <c r="L6" s="5"/>
      <c r="M6" s="166"/>
      <c r="P6" s="60"/>
    </row>
    <row r="7" spans="3:79" s="83" customFormat="1" ht="9.75" customHeight="1" x14ac:dyDescent="0.2">
      <c r="C7" s="880"/>
      <c r="L7" s="5"/>
      <c r="M7" s="166"/>
      <c r="P7" s="60"/>
    </row>
    <row r="8" spans="3:79" s="83" customFormat="1" ht="2.25" customHeight="1" x14ac:dyDescent="0.2">
      <c r="C8" s="880"/>
      <c r="M8" s="166"/>
      <c r="N8" s="60"/>
      <c r="O8" s="60"/>
      <c r="P8" s="60"/>
    </row>
    <row r="9" spans="3:79" s="60" customFormat="1" ht="2.25" customHeight="1" x14ac:dyDescent="0.2">
      <c r="C9" s="881"/>
    </row>
    <row r="10" spans="3:79" s="60" customFormat="1" ht="2.25" customHeight="1" x14ac:dyDescent="0.25">
      <c r="C10" s="881"/>
      <c r="D10" s="1878"/>
      <c r="E10" s="1878"/>
      <c r="F10" s="1878"/>
      <c r="G10" s="1878"/>
      <c r="H10" s="1878"/>
      <c r="I10" s="1878"/>
      <c r="J10" s="1878"/>
      <c r="K10" s="1878"/>
      <c r="L10" s="1878"/>
      <c r="M10" s="1878"/>
      <c r="N10" s="170"/>
      <c r="O10" s="170"/>
    </row>
    <row r="11" spans="3:79" s="60" customFormat="1" ht="2.25" customHeight="1" x14ac:dyDescent="0.25">
      <c r="C11" s="881"/>
      <c r="D11" s="1878"/>
      <c r="E11" s="1878"/>
      <c r="F11" s="1878"/>
      <c r="G11" s="1878"/>
      <c r="H11" s="1878"/>
      <c r="I11" s="1878"/>
      <c r="J11" s="1878"/>
      <c r="K11" s="1878"/>
      <c r="L11" s="1878"/>
      <c r="M11" s="1878"/>
      <c r="N11" s="1878"/>
      <c r="O11" s="1878"/>
    </row>
    <row r="12" spans="3:79" s="60" customFormat="1" ht="149.25" customHeight="1" x14ac:dyDescent="0.2">
      <c r="C12" s="881"/>
      <c r="D12" s="1894" t="s">
        <v>3031</v>
      </c>
      <c r="E12" s="1894"/>
      <c r="F12" s="1894"/>
      <c r="G12" s="1894"/>
      <c r="H12" s="1894"/>
      <c r="I12" s="1894"/>
      <c r="J12" s="1894"/>
      <c r="K12" s="1894"/>
      <c r="L12" s="1894"/>
      <c r="M12" s="1894"/>
      <c r="N12" s="1894"/>
      <c r="R12" s="59"/>
      <c r="S12" s="59"/>
      <c r="T12" s="59"/>
      <c r="U12" s="59"/>
      <c r="V12" s="59"/>
    </row>
    <row r="13" spans="3:79" s="60" customFormat="1" ht="13.5" customHeight="1" x14ac:dyDescent="0.2">
      <c r="C13" s="882"/>
      <c r="D13" s="60" t="s">
        <v>1641</v>
      </c>
      <c r="R13" s="59"/>
      <c r="S13" s="59"/>
      <c r="T13" s="59"/>
      <c r="U13" s="59"/>
      <c r="V13" s="59"/>
    </row>
    <row r="14" spans="3:79" s="60" customFormat="1" x14ac:dyDescent="0.2">
      <c r="C14" s="881"/>
      <c r="R14" s="59"/>
      <c r="S14" s="59"/>
      <c r="T14" s="59"/>
      <c r="U14" s="59"/>
      <c r="V14" s="59"/>
    </row>
    <row r="15" spans="3:79" s="60" customFormat="1" ht="27.75" hidden="1" customHeight="1" x14ac:dyDescent="0.2">
      <c r="C15" s="881"/>
      <c r="R15" s="59"/>
      <c r="S15" s="59"/>
      <c r="T15" s="59"/>
      <c r="U15" s="59"/>
      <c r="V15" s="59"/>
    </row>
    <row r="16" spans="3:79" s="60" customFormat="1" hidden="1" x14ac:dyDescent="0.2">
      <c r="C16" s="881"/>
      <c r="R16" s="59"/>
      <c r="S16" s="59"/>
      <c r="T16" s="59"/>
      <c r="U16" s="59"/>
      <c r="V16" s="59"/>
    </row>
    <row r="17" spans="2:45" s="60" customFormat="1" hidden="1" x14ac:dyDescent="0.2">
      <c r="C17" s="881"/>
      <c r="R17" s="59"/>
      <c r="S17" s="59"/>
      <c r="T17" s="59"/>
      <c r="U17" s="59"/>
      <c r="V17" s="59"/>
    </row>
    <row r="18" spans="2:45" s="60" customFormat="1" hidden="1" x14ac:dyDescent="0.2">
      <c r="C18" s="881"/>
      <c r="R18" s="59"/>
      <c r="S18" s="59"/>
      <c r="T18" s="59"/>
      <c r="U18" s="59"/>
      <c r="V18" s="59"/>
    </row>
    <row r="19" spans="2:45" s="60" customFormat="1" hidden="1" x14ac:dyDescent="0.2">
      <c r="C19" s="881"/>
      <c r="R19" s="59"/>
      <c r="S19" s="59"/>
      <c r="T19" s="59"/>
      <c r="U19" s="59"/>
      <c r="V19" s="59"/>
    </row>
    <row r="20" spans="2:45" s="60" customFormat="1" hidden="1" x14ac:dyDescent="0.2">
      <c r="C20" s="881"/>
      <c r="R20" s="59"/>
      <c r="S20" s="59"/>
      <c r="T20" s="59"/>
      <c r="U20" s="59"/>
      <c r="V20" s="59"/>
    </row>
    <row r="21" spans="2:45" s="60" customFormat="1" hidden="1" x14ac:dyDescent="0.2">
      <c r="C21" s="881"/>
      <c r="R21" s="59"/>
      <c r="S21" s="59"/>
      <c r="T21" s="59"/>
      <c r="U21" s="59"/>
      <c r="V21" s="59"/>
    </row>
    <row r="22" spans="2:45" s="60" customFormat="1" hidden="1" x14ac:dyDescent="0.2">
      <c r="C22" s="881"/>
      <c r="R22" s="59"/>
      <c r="S22" s="59"/>
      <c r="T22" s="59"/>
      <c r="U22" s="59"/>
      <c r="V22" s="59"/>
    </row>
    <row r="23" spans="2:45" s="60" customFormat="1" hidden="1" x14ac:dyDescent="0.2">
      <c r="C23" s="881"/>
      <c r="R23" s="59"/>
      <c r="S23" s="59"/>
      <c r="T23" s="59"/>
      <c r="U23" s="59"/>
      <c r="V23" s="59"/>
    </row>
    <row r="24" spans="2:45" s="60" customFormat="1" hidden="1" x14ac:dyDescent="0.2">
      <c r="C24" s="881"/>
      <c r="R24" s="59"/>
      <c r="S24" s="59"/>
      <c r="T24" s="59"/>
      <c r="U24" s="59"/>
      <c r="V24" s="59"/>
    </row>
    <row r="25" spans="2:45" s="60" customFormat="1" hidden="1" x14ac:dyDescent="0.2">
      <c r="C25" s="881"/>
      <c r="R25" s="59"/>
      <c r="S25" s="59"/>
      <c r="T25" s="59"/>
      <c r="U25" s="59"/>
      <c r="V25" s="59"/>
    </row>
    <row r="26" spans="2:45" s="60" customFormat="1" hidden="1" x14ac:dyDescent="0.2">
      <c r="C26" s="881"/>
      <c r="R26" s="59"/>
      <c r="S26" s="59"/>
      <c r="T26" s="59"/>
      <c r="U26" s="59"/>
      <c r="V26" s="59"/>
    </row>
    <row r="27" spans="2:45" s="60" customFormat="1" hidden="1" x14ac:dyDescent="0.2">
      <c r="C27" s="881"/>
      <c r="R27" s="59"/>
      <c r="S27" s="59"/>
      <c r="T27" s="59"/>
      <c r="U27" s="59"/>
      <c r="V27" s="59"/>
    </row>
    <row r="28" spans="2:45" s="60" customFormat="1" ht="15.75" x14ac:dyDescent="0.25">
      <c r="C28" s="881"/>
      <c r="D28" s="171" t="s">
        <v>1642</v>
      </c>
      <c r="R28" s="59"/>
      <c r="S28" s="59"/>
      <c r="T28" s="59"/>
      <c r="U28" s="59"/>
      <c r="V28" s="59"/>
    </row>
    <row r="29" spans="2:45" s="60" customFormat="1" ht="78" customHeight="1" x14ac:dyDescent="0.2">
      <c r="C29" s="881"/>
      <c r="D29" s="1879" t="s">
        <v>1643</v>
      </c>
      <c r="E29" s="1880"/>
      <c r="F29" s="1881"/>
      <c r="G29" s="288" t="s">
        <v>15</v>
      </c>
      <c r="H29" s="172" t="s">
        <v>1644</v>
      </c>
      <c r="I29" s="172" t="s">
        <v>1683</v>
      </c>
      <c r="J29" s="172" t="s">
        <v>1689</v>
      </c>
      <c r="K29" s="172" t="s">
        <v>1645</v>
      </c>
      <c r="L29" s="172" t="s">
        <v>1646</v>
      </c>
      <c r="M29" s="385" t="s">
        <v>1691</v>
      </c>
      <c r="N29" s="597" t="s">
        <v>2357</v>
      </c>
      <c r="R29" s="59"/>
      <c r="S29" s="59"/>
      <c r="T29" s="59"/>
      <c r="U29" s="59"/>
      <c r="V29" s="59"/>
    </row>
    <row r="30" spans="2:45" s="60" customFormat="1" ht="15" x14ac:dyDescent="0.25">
      <c r="B30" s="60">
        <v>1</v>
      </c>
      <c r="C30" s="383">
        <v>1</v>
      </c>
      <c r="D30" s="1610" t="s">
        <v>438</v>
      </c>
      <c r="E30" s="1611"/>
      <c r="F30" s="1612"/>
      <c r="G30" s="347" t="str">
        <f>IF(ISERROR(VLOOKUP(D30, '4. Billing Det. for Def-Var'!$A$16:$B$50, 2, FALSE)),"", VLOOKUP(D30,'4. Billing Det. for Def-Var'!$A$16:$B$50, 2, FALSE))</f>
        <v>kWh</v>
      </c>
      <c r="H30" s="173" t="s">
        <v>1647</v>
      </c>
      <c r="I30" s="1010">
        <v>1.0819000000000001</v>
      </c>
      <c r="J30" s="386">
        <f t="shared" ref="J30:J49" si="0">IF(ISBLANK(I30),"", I30)</f>
        <v>1.0819000000000001</v>
      </c>
      <c r="K30" s="174">
        <v>750</v>
      </c>
      <c r="L30" s="174"/>
      <c r="M30" s="173"/>
      <c r="N30" s="598"/>
      <c r="R30" s="59"/>
      <c r="S30" s="59"/>
      <c r="T30" s="59">
        <f t="shared" ref="T30:T49" si="1">SUM(I30:L30)</f>
        <v>752.16380000000004</v>
      </c>
      <c r="U30" s="884">
        <v>78</v>
      </c>
      <c r="V30" s="59"/>
      <c r="AS30" s="60">
        <v>1</v>
      </c>
    </row>
    <row r="31" spans="2:45" s="60" customFormat="1" ht="15" x14ac:dyDescent="0.25">
      <c r="B31" s="60">
        <v>2</v>
      </c>
      <c r="C31" s="383">
        <v>2</v>
      </c>
      <c r="D31" s="1610" t="s">
        <v>3214</v>
      </c>
      <c r="E31" s="1611"/>
      <c r="F31" s="1612"/>
      <c r="G31" s="347" t="str">
        <f>IF(ISERROR(VLOOKUP(D31, '4. Billing Det. for Def-Var'!$A$16:$B$50, 2, FALSE)),"", VLOOKUP(D31,'4. Billing Det. for Def-Var'!$A$16:$B$50, 2, FALSE))</f>
        <v>kWh</v>
      </c>
      <c r="H31" s="173" t="s">
        <v>1647</v>
      </c>
      <c r="I31" s="1010">
        <v>1.0819000000000001</v>
      </c>
      <c r="J31" s="386">
        <f t="shared" si="0"/>
        <v>1.0819000000000001</v>
      </c>
      <c r="K31" s="174">
        <v>2000</v>
      </c>
      <c r="L31" s="174"/>
      <c r="M31" s="173"/>
      <c r="N31" s="598"/>
      <c r="R31" s="59"/>
      <c r="S31" s="59"/>
      <c r="T31" s="59">
        <f t="shared" si="1"/>
        <v>2002.1638</v>
      </c>
      <c r="U31" s="884">
        <f>U30+68</f>
        <v>146</v>
      </c>
      <c r="V31" s="59"/>
      <c r="AS31" s="60">
        <v>2</v>
      </c>
    </row>
    <row r="32" spans="2:45" s="60" customFormat="1" ht="15" x14ac:dyDescent="0.25">
      <c r="B32" s="60">
        <v>3</v>
      </c>
      <c r="C32" s="383">
        <v>3</v>
      </c>
      <c r="D32" s="1610" t="s">
        <v>4819</v>
      </c>
      <c r="E32" s="1611"/>
      <c r="F32" s="1612"/>
      <c r="G32" s="347" t="str">
        <f>IF(ISERROR(VLOOKUP(D32, '4. Billing Det. for Def-Var'!$A$16:$B$50, 2, FALSE)),"", VLOOKUP(D32,'4. Billing Det. for Def-Var'!$A$16:$B$50, 2, FALSE))</f>
        <v>kW</v>
      </c>
      <c r="H32" s="173" t="s">
        <v>1649</v>
      </c>
      <c r="I32" s="1010">
        <v>1.0819000000000001</v>
      </c>
      <c r="J32" s="386">
        <f t="shared" si="0"/>
        <v>1.0819000000000001</v>
      </c>
      <c r="K32" s="174">
        <v>147135</v>
      </c>
      <c r="L32" s="174">
        <v>297</v>
      </c>
      <c r="M32" s="173" t="s">
        <v>6980</v>
      </c>
      <c r="N32" s="598"/>
      <c r="R32" s="59"/>
      <c r="S32" s="59"/>
      <c r="T32" s="59">
        <f t="shared" si="1"/>
        <v>147434.16380000001</v>
      </c>
      <c r="U32" s="884">
        <f t="shared" ref="U32:U49" si="2">U31+68</f>
        <v>214</v>
      </c>
      <c r="V32" s="59"/>
      <c r="AS32" s="60">
        <v>3</v>
      </c>
    </row>
    <row r="33" spans="2:45" s="60" customFormat="1" ht="15" x14ac:dyDescent="0.25">
      <c r="B33" s="60">
        <v>4</v>
      </c>
      <c r="C33" s="383">
        <v>4</v>
      </c>
      <c r="D33" s="1610" t="s">
        <v>617</v>
      </c>
      <c r="E33" s="1611"/>
      <c r="F33" s="1612"/>
      <c r="G33" s="347" t="str">
        <f>IF(ISERROR(VLOOKUP(D33, '4. Billing Det. for Def-Var'!$A$16:$B$50, 2, FALSE)),"", VLOOKUP(D33,'4. Billing Det. for Def-Var'!$A$16:$B$50, 2, FALSE))</f>
        <v>kWh</v>
      </c>
      <c r="H33" s="173" t="s">
        <v>1647</v>
      </c>
      <c r="I33" s="1010">
        <v>1.0819000000000001</v>
      </c>
      <c r="J33" s="386">
        <f t="shared" si="0"/>
        <v>1.0819000000000001</v>
      </c>
      <c r="K33" s="174">
        <v>727</v>
      </c>
      <c r="L33" s="174"/>
      <c r="M33" s="173"/>
      <c r="N33" s="1009">
        <v>1</v>
      </c>
      <c r="R33" s="59"/>
      <c r="S33" s="59"/>
      <c r="T33" s="59">
        <f t="shared" si="1"/>
        <v>729.16380000000004</v>
      </c>
      <c r="U33" s="884">
        <f t="shared" si="2"/>
        <v>282</v>
      </c>
      <c r="V33" s="59"/>
      <c r="AS33" s="60">
        <v>4</v>
      </c>
    </row>
    <row r="34" spans="2:45" s="60" customFormat="1" ht="15" x14ac:dyDescent="0.25">
      <c r="B34" s="60">
        <v>5</v>
      </c>
      <c r="C34" s="383">
        <v>5</v>
      </c>
      <c r="D34" s="1610" t="s">
        <v>629</v>
      </c>
      <c r="E34" s="1611"/>
      <c r="F34" s="1612"/>
      <c r="G34" s="347" t="str">
        <f>IF(ISERROR(VLOOKUP(D34, '4. Billing Det. for Def-Var'!$A$16:$B$50, 2, FALSE)),"", VLOOKUP(D34,'4. Billing Det. for Def-Var'!$A$16:$B$50, 2, FALSE))</f>
        <v>kW</v>
      </c>
      <c r="H34" s="173" t="s">
        <v>1647</v>
      </c>
      <c r="I34" s="1010">
        <v>1.0819000000000001</v>
      </c>
      <c r="J34" s="386">
        <f t="shared" si="0"/>
        <v>1.0819000000000001</v>
      </c>
      <c r="K34" s="174">
        <v>294</v>
      </c>
      <c r="L34" s="174">
        <v>1</v>
      </c>
      <c r="M34" s="173"/>
      <c r="N34" s="1009">
        <v>2</v>
      </c>
      <c r="R34" s="59"/>
      <c r="S34" s="59"/>
      <c r="T34" s="59">
        <f t="shared" si="1"/>
        <v>297.16379999999998</v>
      </c>
      <c r="U34" s="884">
        <f t="shared" si="2"/>
        <v>350</v>
      </c>
      <c r="V34" s="59"/>
      <c r="AS34" s="60">
        <v>5</v>
      </c>
    </row>
    <row r="35" spans="2:45" s="60" customFormat="1" ht="15" x14ac:dyDescent="0.25">
      <c r="B35" s="60">
        <v>6</v>
      </c>
      <c r="C35" s="383">
        <v>6</v>
      </c>
      <c r="D35" s="1610" t="s">
        <v>615</v>
      </c>
      <c r="E35" s="1611"/>
      <c r="F35" s="1612"/>
      <c r="G35" s="347" t="str">
        <f>IF(ISERROR(VLOOKUP(D35, '4. Billing Det. for Def-Var'!$A$16:$B$50, 2, FALSE)),"", VLOOKUP(D35,'4. Billing Det. for Def-Var'!$A$16:$B$50, 2, FALSE))</f>
        <v>kW</v>
      </c>
      <c r="H35" s="173" t="s">
        <v>1649</v>
      </c>
      <c r="I35" s="1010">
        <v>1.0819000000000001</v>
      </c>
      <c r="J35" s="386">
        <f t="shared" si="0"/>
        <v>1.0819000000000001</v>
      </c>
      <c r="K35" s="174">
        <v>22825</v>
      </c>
      <c r="L35" s="174">
        <v>62</v>
      </c>
      <c r="M35" s="173"/>
      <c r="N35" s="1009">
        <v>690</v>
      </c>
      <c r="R35" s="59"/>
      <c r="S35" s="59"/>
      <c r="T35" s="59">
        <f t="shared" si="1"/>
        <v>22889.163799999998</v>
      </c>
      <c r="U35" s="884">
        <f t="shared" si="2"/>
        <v>418</v>
      </c>
      <c r="V35" s="59"/>
      <c r="AS35" s="60">
        <v>6</v>
      </c>
    </row>
    <row r="36" spans="2:45" s="60" customFormat="1" ht="15" x14ac:dyDescent="0.25">
      <c r="B36" s="60">
        <v>7</v>
      </c>
      <c r="C36" s="383">
        <f>IF(ISERROR(VLOOKUP(D36, D30:AS49, 42, FALSE)),"", VLOOKUP(D36, D30:AS49, 42, FALSE))</f>
        <v>1</v>
      </c>
      <c r="D36" s="380" t="s">
        <v>438</v>
      </c>
      <c r="E36" s="381"/>
      <c r="F36" s="382"/>
      <c r="G36" s="347" t="str">
        <f>IF(ISERROR(VLOOKUP(D36, '4. Billing Det. for Def-Var'!$A$16:$B$50, 2, FALSE)),"", VLOOKUP(D36,'4. Billing Det. for Def-Var'!$A$16:$B$50, 2, FALSE))</f>
        <v>kWh</v>
      </c>
      <c r="H36" s="173" t="s">
        <v>1648</v>
      </c>
      <c r="I36" s="1010">
        <v>1.0819000000000001</v>
      </c>
      <c r="J36" s="386">
        <f t="shared" si="0"/>
        <v>1.0819000000000001</v>
      </c>
      <c r="K36" s="174">
        <v>750</v>
      </c>
      <c r="L36" s="174"/>
      <c r="M36" s="173"/>
      <c r="N36" s="598"/>
      <c r="R36" s="59"/>
      <c r="S36" s="59"/>
      <c r="T36" s="59">
        <f t="shared" si="1"/>
        <v>752.16380000000004</v>
      </c>
      <c r="U36" s="884">
        <f t="shared" si="2"/>
        <v>486</v>
      </c>
      <c r="V36" s="59"/>
      <c r="AS36" s="60">
        <v>7</v>
      </c>
    </row>
    <row r="37" spans="2:45" s="60" customFormat="1" ht="15" x14ac:dyDescent="0.25">
      <c r="B37" s="60">
        <v>8</v>
      </c>
      <c r="C37" s="383">
        <f>IF(ISERROR(VLOOKUP(D37, D30:AS49, 42, FALSE)),"", VLOOKUP(D37, D30:AS49, 42, FALSE))</f>
        <v>1</v>
      </c>
      <c r="D37" s="380" t="s">
        <v>438</v>
      </c>
      <c r="E37" s="381"/>
      <c r="F37" s="382"/>
      <c r="G37" s="347" t="str">
        <f>IF(ISERROR(VLOOKUP(D37, '4. Billing Det. for Def-Var'!$A$16:$B$50, 2, FALSE)),"", VLOOKUP(D37,'4. Billing Det. for Def-Var'!$A$16:$B$50, 2, FALSE))</f>
        <v>kWh</v>
      </c>
      <c r="H37" s="173" t="s">
        <v>1647</v>
      </c>
      <c r="I37" s="1010">
        <v>1.0819000000000001</v>
      </c>
      <c r="J37" s="386">
        <f t="shared" si="0"/>
        <v>1.0819000000000001</v>
      </c>
      <c r="K37" s="174">
        <v>304</v>
      </c>
      <c r="L37" s="174"/>
      <c r="M37" s="173"/>
      <c r="N37" s="598"/>
      <c r="R37" s="59"/>
      <c r="S37" s="59"/>
      <c r="T37" s="59">
        <f t="shared" si="1"/>
        <v>306.16379999999998</v>
      </c>
      <c r="U37" s="884">
        <f t="shared" si="2"/>
        <v>554</v>
      </c>
      <c r="V37" s="59"/>
      <c r="AS37" s="60">
        <v>8</v>
      </c>
    </row>
    <row r="38" spans="2:45" s="60" customFormat="1" ht="15" x14ac:dyDescent="0.25">
      <c r="B38" s="60">
        <v>9</v>
      </c>
      <c r="C38" s="383">
        <f>IF(ISERROR(VLOOKUP(D38, D30:AS49, 42, FALSE)),"", VLOOKUP(D38, D30:AS49, 42, FALSE))</f>
        <v>1</v>
      </c>
      <c r="D38" s="380" t="s">
        <v>438</v>
      </c>
      <c r="E38" s="381"/>
      <c r="F38" s="382"/>
      <c r="G38" s="347" t="str">
        <f>IF(ISERROR(VLOOKUP(D38, '4. Billing Det. for Def-Var'!$A$16:$B$50, 2, FALSE)),"", VLOOKUP(D38,'4. Billing Det. for Def-Var'!$A$16:$B$50, 2, FALSE))</f>
        <v>kWh</v>
      </c>
      <c r="H38" s="173" t="s">
        <v>1648</v>
      </c>
      <c r="I38" s="1010">
        <v>1.0819000000000001</v>
      </c>
      <c r="J38" s="386">
        <f t="shared" si="0"/>
        <v>1.0819000000000001</v>
      </c>
      <c r="K38" s="174">
        <v>304</v>
      </c>
      <c r="L38" s="174"/>
      <c r="M38" s="173"/>
      <c r="N38" s="598"/>
      <c r="R38" s="59"/>
      <c r="S38" s="59"/>
      <c r="T38" s="59">
        <f t="shared" si="1"/>
        <v>306.16379999999998</v>
      </c>
      <c r="U38" s="884">
        <f t="shared" si="2"/>
        <v>622</v>
      </c>
      <c r="V38" s="59"/>
      <c r="AS38" s="60">
        <v>9</v>
      </c>
    </row>
    <row r="39" spans="2:45" s="60" customFormat="1" ht="15" x14ac:dyDescent="0.25">
      <c r="B39" s="60">
        <v>10</v>
      </c>
      <c r="C39" s="383">
        <f>IF(ISERROR(VLOOKUP(D39, D30:AS49, 42, FALSE)),"", VLOOKUP(D39, D30:AS49, 42, FALSE))</f>
        <v>2</v>
      </c>
      <c r="D39" s="380" t="s">
        <v>3214</v>
      </c>
      <c r="E39" s="381"/>
      <c r="F39" s="382"/>
      <c r="G39" s="347" t="str">
        <f>IF(ISERROR(VLOOKUP(D39, '4. Billing Det. for Def-Var'!$A$16:$B$50, 2, FALSE)),"", VLOOKUP(D39,'4. Billing Det. for Def-Var'!$A$16:$B$50, 2, FALSE))</f>
        <v>kWh</v>
      </c>
      <c r="H39" s="173" t="s">
        <v>1648</v>
      </c>
      <c r="I39" s="1010">
        <v>1.0819000000000001</v>
      </c>
      <c r="J39" s="386">
        <f t="shared" si="0"/>
        <v>1.0819000000000001</v>
      </c>
      <c r="K39" s="174">
        <f>K31</f>
        <v>2000</v>
      </c>
      <c r="L39" s="174"/>
      <c r="M39" s="173"/>
      <c r="N39" s="598"/>
      <c r="R39" s="59"/>
      <c r="S39" s="59"/>
      <c r="T39" s="59">
        <f t="shared" si="1"/>
        <v>2002.1638</v>
      </c>
      <c r="U39" s="884">
        <f t="shared" si="2"/>
        <v>690</v>
      </c>
      <c r="V39" s="59"/>
      <c r="AS39" s="60">
        <v>10</v>
      </c>
    </row>
    <row r="40" spans="2:45" s="60" customFormat="1" ht="15" x14ac:dyDescent="0.25">
      <c r="B40" s="60">
        <v>11</v>
      </c>
      <c r="C40" s="383">
        <f>IF(ISERROR(VLOOKUP(D36, D30:AS49, 42, FALSE)),"", VLOOKUP(D36, D30:AS49, 42, FALSE))</f>
        <v>1</v>
      </c>
      <c r="D40" s="380" t="s">
        <v>2950</v>
      </c>
      <c r="E40" s="381"/>
      <c r="F40" s="382"/>
      <c r="G40" s="347" t="str">
        <f>IF(ISERROR(VLOOKUP(D40, '4. Billing Det. for Def-Var'!$A$16:$B$50, 2, FALSE)),"", VLOOKUP(D40,'4. Billing Det. for Def-Var'!$A$16:$B$50, 2, FALSE))</f>
        <v/>
      </c>
      <c r="H40" s="173"/>
      <c r="I40" s="1010"/>
      <c r="J40" s="386" t="str">
        <f t="shared" si="0"/>
        <v/>
      </c>
      <c r="K40" s="174"/>
      <c r="L40" s="174"/>
      <c r="M40" s="173"/>
      <c r="N40" s="598"/>
      <c r="R40" s="59"/>
      <c r="S40" s="59"/>
      <c r="T40" s="59">
        <f t="shared" si="1"/>
        <v>0</v>
      </c>
      <c r="U40" s="884">
        <f t="shared" si="2"/>
        <v>758</v>
      </c>
      <c r="V40" s="59"/>
      <c r="AS40" s="60">
        <v>11</v>
      </c>
    </row>
    <row r="41" spans="2:45" s="60" customFormat="1" ht="15" x14ac:dyDescent="0.25">
      <c r="B41" s="60">
        <v>12</v>
      </c>
      <c r="C41" s="383">
        <f>IF(ISERROR(VLOOKUP(D37, D30:AS49, 42, FALSE)),"", VLOOKUP(D37, D30:AS49, 42, FALSE))</f>
        <v>1</v>
      </c>
      <c r="D41" s="380" t="s">
        <v>2950</v>
      </c>
      <c r="E41" s="381"/>
      <c r="F41" s="382"/>
      <c r="G41" s="347" t="str">
        <f>IF(ISERROR(VLOOKUP(D41, '4. Billing Det. for Def-Var'!$A$16:$B$50, 2, FALSE)),"", VLOOKUP(D41,'4. Billing Det. for Def-Var'!$A$16:$B$50, 2, FALSE))</f>
        <v/>
      </c>
      <c r="H41" s="173"/>
      <c r="I41" s="1010"/>
      <c r="J41" s="386" t="str">
        <f t="shared" si="0"/>
        <v/>
      </c>
      <c r="K41" s="174"/>
      <c r="L41" s="174"/>
      <c r="M41" s="173"/>
      <c r="N41" s="598"/>
      <c r="R41" s="59"/>
      <c r="S41" s="59"/>
      <c r="T41" s="59">
        <f t="shared" si="1"/>
        <v>0</v>
      </c>
      <c r="U41" s="884">
        <f t="shared" si="2"/>
        <v>826</v>
      </c>
      <c r="V41" s="59"/>
    </row>
    <row r="42" spans="2:45" s="60" customFormat="1" ht="15" x14ac:dyDescent="0.25">
      <c r="B42" s="60">
        <v>13</v>
      </c>
      <c r="C42" s="383">
        <f>IF(ISERROR(VLOOKUP(D38, D30:AS49, 42, FALSE)),"", VLOOKUP(D38, D30:AS49, 42, FALSE))</f>
        <v>1</v>
      </c>
      <c r="D42" s="380" t="s">
        <v>2950</v>
      </c>
      <c r="E42" s="381"/>
      <c r="F42" s="382"/>
      <c r="G42" s="347" t="str">
        <f>IF(ISERROR(VLOOKUP(D42, '4. Billing Det. for Def-Var'!$A$16:$B$50, 2, FALSE)),"", VLOOKUP(D42,'4. Billing Det. for Def-Var'!$A$16:$B$50, 2, FALSE))</f>
        <v/>
      </c>
      <c r="H42" s="173"/>
      <c r="I42" s="1010"/>
      <c r="J42" s="386" t="str">
        <f t="shared" si="0"/>
        <v/>
      </c>
      <c r="K42" s="174"/>
      <c r="L42" s="174"/>
      <c r="M42" s="173"/>
      <c r="N42" s="598"/>
      <c r="R42" s="59"/>
      <c r="S42" s="59"/>
      <c r="T42" s="59">
        <f t="shared" si="1"/>
        <v>0</v>
      </c>
      <c r="U42" s="884">
        <f t="shared" si="2"/>
        <v>894</v>
      </c>
      <c r="V42" s="59"/>
    </row>
    <row r="43" spans="2:45" s="60" customFormat="1" ht="15" x14ac:dyDescent="0.25">
      <c r="B43" s="60">
        <v>14</v>
      </c>
      <c r="C43" s="383">
        <f>IF(ISERROR(VLOOKUP(D39, D30:AS49, 42, FALSE)),"", VLOOKUP(D39, D30:AS49, 42, FALSE))</f>
        <v>2</v>
      </c>
      <c r="D43" s="380" t="s">
        <v>2950</v>
      </c>
      <c r="E43" s="381"/>
      <c r="F43" s="382"/>
      <c r="G43" s="347" t="str">
        <f>IF(ISERROR(VLOOKUP(D43, '4. Billing Det. for Def-Var'!$A$16:$B$50, 2, FALSE)),"", VLOOKUP(D43,'4. Billing Det. for Def-Var'!$A$16:$B$50, 2, FALSE))</f>
        <v/>
      </c>
      <c r="H43" s="173"/>
      <c r="I43" s="1010"/>
      <c r="J43" s="386" t="str">
        <f t="shared" si="0"/>
        <v/>
      </c>
      <c r="K43" s="174"/>
      <c r="L43" s="174"/>
      <c r="M43" s="173"/>
      <c r="N43" s="598"/>
      <c r="R43" s="59"/>
      <c r="S43" s="59"/>
      <c r="T43" s="59">
        <f t="shared" si="1"/>
        <v>0</v>
      </c>
      <c r="U43" s="884">
        <f t="shared" si="2"/>
        <v>962</v>
      </c>
      <c r="V43" s="59"/>
    </row>
    <row r="44" spans="2:45" s="60" customFormat="1" ht="15" x14ac:dyDescent="0.25">
      <c r="B44" s="60">
        <v>15</v>
      </c>
      <c r="C44" s="383">
        <f>IF(ISERROR(VLOOKUP(D40, D30:AS49, 42, FALSE)),"", VLOOKUP(D40, D30:AS49, 42, FALSE))</f>
        <v>11</v>
      </c>
      <c r="D44" s="380" t="s">
        <v>2950</v>
      </c>
      <c r="E44" s="381"/>
      <c r="F44" s="382"/>
      <c r="G44" s="347" t="str">
        <f>IF(ISERROR(VLOOKUP(D44, '4. Billing Det. for Def-Var'!$A$16:$B$50, 2, FALSE)),"", VLOOKUP(D44,'4. Billing Det. for Def-Var'!$A$16:$B$50, 2, FALSE))</f>
        <v/>
      </c>
      <c r="H44" s="173"/>
      <c r="I44" s="1010"/>
      <c r="J44" s="386" t="str">
        <f t="shared" si="0"/>
        <v/>
      </c>
      <c r="K44" s="174"/>
      <c r="L44" s="174"/>
      <c r="M44" s="173"/>
      <c r="N44" s="598"/>
      <c r="R44" s="59"/>
      <c r="S44" s="59"/>
      <c r="T44" s="59">
        <f t="shared" si="1"/>
        <v>0</v>
      </c>
      <c r="U44" s="884">
        <f t="shared" si="2"/>
        <v>1030</v>
      </c>
      <c r="V44" s="59"/>
    </row>
    <row r="45" spans="2:45" s="60" customFormat="1" ht="15" x14ac:dyDescent="0.25">
      <c r="B45" s="60">
        <v>16</v>
      </c>
      <c r="C45" s="383">
        <f>IF(ISERROR(VLOOKUP(D41, D30:AS49, 42, FALSE)),"", VLOOKUP(D41, D30:AS49, 42, FALSE))</f>
        <v>11</v>
      </c>
      <c r="D45" s="380" t="s">
        <v>2950</v>
      </c>
      <c r="E45" s="381"/>
      <c r="F45" s="382"/>
      <c r="G45" s="347" t="str">
        <f>IF(ISERROR(VLOOKUP(D45, '4. Billing Det. for Def-Var'!$A$16:$B$50, 2, FALSE)),"", VLOOKUP(D45,'4. Billing Det. for Def-Var'!$A$16:$B$50, 2, FALSE))</f>
        <v/>
      </c>
      <c r="H45" s="173"/>
      <c r="I45" s="1010"/>
      <c r="J45" s="386" t="str">
        <f t="shared" si="0"/>
        <v/>
      </c>
      <c r="K45" s="174"/>
      <c r="L45" s="174"/>
      <c r="M45" s="173"/>
      <c r="N45" s="598"/>
      <c r="R45" s="59"/>
      <c r="S45" s="59"/>
      <c r="T45" s="59">
        <f t="shared" si="1"/>
        <v>0</v>
      </c>
      <c r="U45" s="884">
        <f t="shared" si="2"/>
        <v>1098</v>
      </c>
      <c r="V45" s="59"/>
    </row>
    <row r="46" spans="2:45" s="60" customFormat="1" ht="15" x14ac:dyDescent="0.25">
      <c r="B46" s="60">
        <v>17</v>
      </c>
      <c r="C46" s="383">
        <f>IF(ISERROR(VLOOKUP(D42, D30:AS49, 42, FALSE)),"", VLOOKUP(D42, D30:AS49, 42, FALSE))</f>
        <v>11</v>
      </c>
      <c r="D46" s="380" t="s">
        <v>2950</v>
      </c>
      <c r="E46" s="381"/>
      <c r="F46" s="382"/>
      <c r="G46" s="347" t="str">
        <f>IF(ISERROR(VLOOKUP(D46, '4. Billing Det. for Def-Var'!$A$16:$B$50, 2, FALSE)),"", VLOOKUP(D46,'4. Billing Det. for Def-Var'!$A$16:$B$50, 2, FALSE))</f>
        <v/>
      </c>
      <c r="H46" s="173"/>
      <c r="I46" s="1010"/>
      <c r="J46" s="386" t="str">
        <f t="shared" si="0"/>
        <v/>
      </c>
      <c r="K46" s="174"/>
      <c r="L46" s="174"/>
      <c r="M46" s="173"/>
      <c r="N46" s="598"/>
      <c r="R46" s="59"/>
      <c r="S46" s="59"/>
      <c r="T46" s="59">
        <f t="shared" si="1"/>
        <v>0</v>
      </c>
      <c r="U46" s="884">
        <f t="shared" si="2"/>
        <v>1166</v>
      </c>
      <c r="V46" s="59"/>
    </row>
    <row r="47" spans="2:45" s="60" customFormat="1" ht="15" x14ac:dyDescent="0.25">
      <c r="B47" s="60">
        <v>18</v>
      </c>
      <c r="C47" s="383">
        <f>IF(ISERROR(VLOOKUP(D43, D30:AS49, 42, FALSE)),"", VLOOKUP(D43, D30:AS49, 42, FALSE))</f>
        <v>11</v>
      </c>
      <c r="D47" s="380" t="s">
        <v>2950</v>
      </c>
      <c r="E47" s="381"/>
      <c r="F47" s="382"/>
      <c r="G47" s="347" t="str">
        <f>IF(ISERROR(VLOOKUP(D47, '4. Billing Det. for Def-Var'!$A$16:$B$50, 2, FALSE)),"", VLOOKUP(D47,'4. Billing Det. for Def-Var'!$A$16:$B$50, 2, FALSE))</f>
        <v/>
      </c>
      <c r="H47" s="173"/>
      <c r="I47" s="1010"/>
      <c r="J47" s="386" t="str">
        <f t="shared" si="0"/>
        <v/>
      </c>
      <c r="K47" s="174"/>
      <c r="L47" s="174"/>
      <c r="M47" s="173"/>
      <c r="N47" s="598"/>
      <c r="R47" s="59"/>
      <c r="S47" s="59"/>
      <c r="T47" s="59">
        <f t="shared" si="1"/>
        <v>0</v>
      </c>
      <c r="U47" s="884">
        <f t="shared" si="2"/>
        <v>1234</v>
      </c>
      <c r="V47" s="59"/>
    </row>
    <row r="48" spans="2:45" s="60" customFormat="1" ht="15" x14ac:dyDescent="0.25">
      <c r="B48" s="60">
        <v>19</v>
      </c>
      <c r="C48" s="383">
        <f>IF(ISERROR(VLOOKUP(D44, D30:AS49, 42, FALSE)),"", VLOOKUP(D44, D30:AS49, 42, FALSE))</f>
        <v>11</v>
      </c>
      <c r="D48" s="380" t="s">
        <v>2950</v>
      </c>
      <c r="E48" s="381"/>
      <c r="F48" s="382"/>
      <c r="G48" s="347" t="str">
        <f>IF(ISERROR(VLOOKUP(D48, '4. Billing Det. for Def-Var'!$A$16:$B$50, 2, FALSE)),"", VLOOKUP(D48,'4. Billing Det. for Def-Var'!$A$16:$B$50, 2, FALSE))</f>
        <v/>
      </c>
      <c r="H48" s="173"/>
      <c r="I48" s="1010"/>
      <c r="J48" s="386" t="str">
        <f t="shared" si="0"/>
        <v/>
      </c>
      <c r="K48" s="174"/>
      <c r="L48" s="174"/>
      <c r="M48" s="173"/>
      <c r="N48" s="598"/>
      <c r="R48" s="59"/>
      <c r="S48" s="59"/>
      <c r="T48" s="59">
        <f t="shared" si="1"/>
        <v>0</v>
      </c>
      <c r="U48" s="884">
        <f t="shared" si="2"/>
        <v>1302</v>
      </c>
      <c r="V48" s="59"/>
    </row>
    <row r="49" spans="2:22" s="60" customFormat="1" ht="15" x14ac:dyDescent="0.25">
      <c r="B49" s="60">
        <v>20</v>
      </c>
      <c r="C49" s="383">
        <f>IF(ISERROR(VLOOKUP(D45, D30:AS49, 42, FALSE)),"", VLOOKUP(D45, D30:AS49, 42, FALSE))</f>
        <v>11</v>
      </c>
      <c r="D49" s="380" t="s">
        <v>2950</v>
      </c>
      <c r="E49" s="381"/>
      <c r="F49" s="382"/>
      <c r="G49" s="347" t="str">
        <f>IF(ISERROR(VLOOKUP(D49, '4. Billing Det. for Def-Var'!$A$16:$B$50, 2, FALSE)),"", VLOOKUP(D49,'4. Billing Det. for Def-Var'!$A$16:$B$50, 2, FALSE))</f>
        <v/>
      </c>
      <c r="H49" s="173"/>
      <c r="I49" s="1010"/>
      <c r="J49" s="386" t="str">
        <f t="shared" si="0"/>
        <v/>
      </c>
      <c r="K49" s="174"/>
      <c r="L49" s="174"/>
      <c r="M49" s="173"/>
      <c r="N49" s="598"/>
      <c r="R49" s="59"/>
      <c r="S49" s="59"/>
      <c r="T49" s="59">
        <f t="shared" si="1"/>
        <v>0</v>
      </c>
      <c r="U49" s="884">
        <f t="shared" si="2"/>
        <v>1370</v>
      </c>
      <c r="V49" s="59"/>
    </row>
    <row r="50" spans="2:22" s="60" customFormat="1" x14ac:dyDescent="0.2">
      <c r="C50" s="881"/>
      <c r="R50" s="59"/>
      <c r="S50" s="59"/>
      <c r="T50" s="59" t="s">
        <v>628</v>
      </c>
      <c r="U50" s="59"/>
      <c r="V50" s="59"/>
    </row>
    <row r="51" spans="2:22" s="60" customFormat="1" ht="15.75" x14ac:dyDescent="0.25">
      <c r="C51" s="881"/>
      <c r="D51" s="171" t="s">
        <v>1650</v>
      </c>
      <c r="R51" s="59"/>
      <c r="S51" s="59"/>
      <c r="T51" s="59"/>
      <c r="U51" s="59"/>
      <c r="V51" s="59"/>
    </row>
    <row r="52" spans="2:22" s="60" customFormat="1" ht="12.75" customHeight="1" x14ac:dyDescent="0.2">
      <c r="C52" s="881"/>
      <c r="D52" s="1882" t="s">
        <v>1643</v>
      </c>
      <c r="E52" s="1883"/>
      <c r="F52" s="1884"/>
      <c r="G52" s="1891" t="s">
        <v>15</v>
      </c>
      <c r="H52" s="1892" t="s">
        <v>1651</v>
      </c>
      <c r="I52" s="1892"/>
      <c r="J52" s="1892"/>
      <c r="K52" s="1892"/>
      <c r="L52" s="1892"/>
      <c r="M52" s="1892"/>
      <c r="N52" s="1892" t="s">
        <v>51</v>
      </c>
      <c r="O52" s="1892"/>
      <c r="R52" s="59"/>
      <c r="S52" s="59"/>
      <c r="T52" s="59"/>
      <c r="U52" s="59"/>
      <c r="V52" s="59"/>
    </row>
    <row r="53" spans="2:22" s="60" customFormat="1" x14ac:dyDescent="0.2">
      <c r="C53" s="881"/>
      <c r="D53" s="1885"/>
      <c r="E53" s="1886"/>
      <c r="F53" s="1887"/>
      <c r="G53" s="1891"/>
      <c r="H53" s="1893" t="s">
        <v>442</v>
      </c>
      <c r="I53" s="1893"/>
      <c r="J53" s="1893" t="s">
        <v>443</v>
      </c>
      <c r="K53" s="1893"/>
      <c r="L53" s="1893" t="s">
        <v>444</v>
      </c>
      <c r="M53" s="1893"/>
      <c r="N53" s="1893" t="s">
        <v>6049</v>
      </c>
      <c r="O53" s="1893"/>
      <c r="R53" s="59"/>
      <c r="S53" s="59"/>
      <c r="T53" s="59"/>
      <c r="U53" s="59"/>
      <c r="V53" s="59"/>
    </row>
    <row r="54" spans="2:22" s="60" customFormat="1" x14ac:dyDescent="0.2">
      <c r="C54" s="881"/>
      <c r="D54" s="1888"/>
      <c r="E54" s="1889"/>
      <c r="F54" s="1890"/>
      <c r="G54" s="1891"/>
      <c r="H54" s="175" t="s">
        <v>23</v>
      </c>
      <c r="I54" s="175" t="s">
        <v>86</v>
      </c>
      <c r="J54" s="175" t="s">
        <v>23</v>
      </c>
      <c r="K54" s="175" t="s">
        <v>86</v>
      </c>
      <c r="L54" s="175" t="s">
        <v>23</v>
      </c>
      <c r="M54" s="175" t="s">
        <v>86</v>
      </c>
      <c r="N54" s="175" t="s">
        <v>23</v>
      </c>
      <c r="O54" s="175" t="s">
        <v>86</v>
      </c>
      <c r="R54" s="59"/>
      <c r="S54" s="59"/>
      <c r="T54" s="59"/>
      <c r="U54" s="59"/>
      <c r="V54" s="59"/>
    </row>
    <row r="55" spans="2:22" s="60" customFormat="1" ht="15" x14ac:dyDescent="0.2">
      <c r="B55" s="60" t="str">
        <f>H30</f>
        <v>RPP</v>
      </c>
      <c r="C55" s="881">
        <v>1</v>
      </c>
      <c r="D55" s="1875" t="str">
        <f t="shared" ref="D55:D74" si="3">IF(ISBLANK(D30), "", IF(D30 = "Add additional scenarios if required", "", IF(M30="YES", D30 &amp; " - " &amp; H30 &amp; " - Interval Customers", D30 &amp; " - " &amp;H30)))</f>
        <v>RESIDENTIAL SERVICE CLASSIFICATION - RPP</v>
      </c>
      <c r="E55" s="1876"/>
      <c r="F55" s="1876"/>
      <c r="G55" s="176" t="str">
        <f t="shared" ref="G55:G69" si="4">IF(ISBLANK(G30), "", G30)</f>
        <v>kWh</v>
      </c>
      <c r="H55" s="177">
        <f>IF(LEN($G55)&gt;1, (SUMPRODUCT(--($C$78:$C$2000=$B30), --($A$78:$A$2000=$D30), --($B$78:$B$2000="ST_A"), $L$78:$L$2000)), "")</f>
        <v>-0.39499999999999602</v>
      </c>
      <c r="I55" s="178">
        <f>IF(LEN($G55)&gt;1, (SUMPRODUCT(--($C$78:$C$2000=$B30), --($A$78:$A$2000=$D30), --($B$78:$B$2000="ST_A"), $M$78:$M$2000)), "")</f>
        <v>-1.4771877337322216E-2</v>
      </c>
      <c r="J55" s="177">
        <f>IF(LEN($G55)&gt;1, (SUMPRODUCT(--($C$78:$C$2000=$B30), --($A$78:$A$2000=$D30), --($B$78:$B$2000="ST_B"), $L$78:$L$2000)), "")</f>
        <v>-0.17000000000000171</v>
      </c>
      <c r="K55" s="178">
        <f>IF(LEN($G55)&gt;1, (SUMPRODUCT(--($C$78:$C$2000=$B30), --($A$78:$A$2000=$D30), --($B$78:$B$2000="ST_B"), $M$78:$M$2000)), "")</f>
        <v>-4.9352272112926495E-3</v>
      </c>
      <c r="L55" s="177">
        <f>IF(LEN($G55)&gt;1, (SUMPRODUCT(--($C$78:$C$2000=$B30), --($A$78:$A$2000=$D30), --($B$78:$B$2000="ST_C"), $L$78:$L$2000)), "")</f>
        <v>-8.8857500000003142E-2</v>
      </c>
      <c r="M55" s="178">
        <f>IF(LEN($G55)&gt;1, (SUMPRODUCT(--($C$78:$C$2000=$B30), --($A$78:$A$2000=$D30), --($B$78:$B$2000="ST_C"), $M$78:$M$2000)), "")</f>
        <v>-2.0335161659443966E-3</v>
      </c>
      <c r="N55" s="177">
        <f>IF(LEN($G55)&gt;1, (SUMPRODUCT(--($C$78:$C$2000=$B30), --($A$78:$A$2000=$D30), --($B$78:$B$2000=$B55&amp;"_TOTAL"), $L$78:$L$2000)), "")</f>
        <v>-9.3300375000012536E-2</v>
      </c>
      <c r="O55" s="178">
        <f>IF(LEN($G55)&gt;1, (SUMPRODUCT(--($C$78:$C$2000=$B30), --($A$78:$A$2000=$D30), --($B$78:$B$2000=$B55&amp;"_TOTAL"), $M$78:$M$2000)), "")</f>
        <v>-8.1818236709255577E-4</v>
      </c>
      <c r="R55" s="59"/>
      <c r="S55" s="59"/>
      <c r="T55" s="59"/>
      <c r="U55" s="59"/>
      <c r="V55" s="59"/>
    </row>
    <row r="56" spans="2:22" s="60" customFormat="1" ht="15" x14ac:dyDescent="0.2">
      <c r="B56" s="60" t="str">
        <f t="shared" ref="B56:B74" si="5">H31</f>
        <v>RPP</v>
      </c>
      <c r="C56" s="881">
        <v>2</v>
      </c>
      <c r="D56" s="1875" t="str">
        <f t="shared" si="3"/>
        <v>GENERAL SERVICE LESS THAN 50 KW SERVICE CLASSIFICATION - RPP</v>
      </c>
      <c r="E56" s="1876"/>
      <c r="F56" s="1876"/>
      <c r="G56" s="176" t="str">
        <f t="shared" si="4"/>
        <v>kWh</v>
      </c>
      <c r="H56" s="177">
        <f t="shared" ref="H56:H74" si="6">IF(LEN($G56)&gt;1, (SUMPRODUCT(--($C$78:$C$2000=$B31), --($A$78:$A$2000=$D31), --($B$78:$B$2000="ST_A"), $L$78:$L$2000)), "")</f>
        <v>0.68000000000000682</v>
      </c>
      <c r="I56" s="178">
        <f t="shared" ref="I56:I74" si="7">IF(LEN($G56)&gt;1, (SUMPRODUCT(--($C$78:$C$2000=$B31), --($A$78:$A$2000=$D31), --($B$78:$B$2000="ST_A"), $M$78:$M$2000)), "")</f>
        <v>1.2334482133139976E-2</v>
      </c>
      <c r="J56" s="177">
        <f t="shared" ref="J56:J74" si="8">IF(LEN($G56)&gt;1, (SUMPRODUCT(--($C$78:$C$2000=$B31), --($A$78:$A$2000=$D31), --($B$78:$B$2000="ST_B"), $L$78:$L$2000)), "")</f>
        <v>1.2800000000000153</v>
      </c>
      <c r="K56" s="178">
        <f t="shared" ref="K56:K74" si="9">IF(LEN($G56)&gt;1, (SUMPRODUCT(--($C$78:$C$2000=$B31), --($A$78:$A$2000=$D31), --($B$78:$B$2000="ST_B"), $M$78:$M$2000)), "")</f>
        <v>1.7313683997294837E-2</v>
      </c>
      <c r="L56" s="177">
        <f t="shared" ref="L56:L74" si="10">IF(LEN($G56)&gt;1, (SUMPRODUCT(--($C$78:$C$2000=$B31), --($A$78:$A$2000=$D31), --($B$78:$B$2000="ST_C"), $L$78:$L$2000)), "")</f>
        <v>1.4963800000000163</v>
      </c>
      <c r="M56" s="178">
        <f t="shared" ref="M56:M74" si="11">IF(LEN($G56)&gt;1, (SUMPRODUCT(--($C$78:$C$2000=$B31), --($A$78:$A$2000=$D31), --($B$78:$B$2000="ST_C"), $M$78:$M$2000)), "")</f>
        <v>1.5482484599926447E-2</v>
      </c>
      <c r="N56" s="177">
        <f t="shared" ref="N56:N74" si="12">IF(LEN($G56)&gt;1, (SUMPRODUCT(--($C$78:$C$2000=$B31), --($A$78:$A$2000=$D31), --($B$78:$B$2000=$B56&amp;"_TOTAL"), $L$78:$L$2000)), "")</f>
        <v>1.5711989999999787</v>
      </c>
      <c r="O56" s="178">
        <f t="shared" ref="O56:O74" si="13">IF(LEN($G56)&gt;1, (SUMPRODUCT(--($C$78:$C$2000=$B31), --($A$78:$A$2000=$D31), --($B$78:$B$2000=$B56&amp;"_TOTAL"), $M$78:$M$2000)), "")</f>
        <v>5.5561685839528186E-3</v>
      </c>
      <c r="R56" s="59"/>
      <c r="S56" s="59"/>
      <c r="T56" s="59"/>
      <c r="U56" s="59"/>
      <c r="V56" s="59"/>
    </row>
    <row r="57" spans="2:22" s="60" customFormat="1" ht="15" x14ac:dyDescent="0.2">
      <c r="B57" s="60" t="str">
        <f t="shared" si="5"/>
        <v>Non-RPP (Other)</v>
      </c>
      <c r="C57" s="881">
        <v>3</v>
      </c>
      <c r="D57" s="1875" t="str">
        <f t="shared" si="3"/>
        <v>GENERAL SERVICE 50 to 4,999 kW SERVICE CLASSIFICATION - Non-RPP (Other)</v>
      </c>
      <c r="E57" s="1876"/>
      <c r="F57" s="1876"/>
      <c r="G57" s="176" t="str">
        <f t="shared" si="4"/>
        <v>kW</v>
      </c>
      <c r="H57" s="177">
        <f t="shared" si="6"/>
        <v>10.480800000000045</v>
      </c>
      <c r="I57" s="178">
        <f t="shared" si="7"/>
        <v>1.0599447030222245E-2</v>
      </c>
      <c r="J57" s="177">
        <f t="shared" si="8"/>
        <v>233.38679999999999</v>
      </c>
      <c r="K57" s="178">
        <f t="shared" si="9"/>
        <v>0.16967841069078068</v>
      </c>
      <c r="L57" s="177">
        <f t="shared" si="10"/>
        <v>242.6829000000007</v>
      </c>
      <c r="M57" s="178">
        <f t="shared" si="11"/>
        <v>9.1435620040483459E-2</v>
      </c>
      <c r="N57" s="177">
        <f t="shared" si="12"/>
        <v>274.2316770000034</v>
      </c>
      <c r="O57" s="178">
        <f t="shared" si="13"/>
        <v>1.1666594421386213E-2</v>
      </c>
      <c r="R57" s="59"/>
      <c r="S57" s="59"/>
      <c r="T57" s="59"/>
      <c r="U57" s="59"/>
      <c r="V57" s="59"/>
    </row>
    <row r="58" spans="2:22" s="60" customFormat="1" ht="15" x14ac:dyDescent="0.2">
      <c r="B58" s="60" t="str">
        <f t="shared" si="5"/>
        <v>RPP</v>
      </c>
      <c r="C58" s="881">
        <v>4</v>
      </c>
      <c r="D58" s="1875" t="str">
        <f t="shared" si="3"/>
        <v>UNMETERED SCATTERED LOAD SERVICE CLASSIFICATION - RPP</v>
      </c>
      <c r="E58" s="1876"/>
      <c r="F58" s="1876"/>
      <c r="G58" s="176" t="str">
        <f t="shared" si="4"/>
        <v>kWh</v>
      </c>
      <c r="H58" s="177">
        <f t="shared" si="6"/>
        <v>0.18539999999999779</v>
      </c>
      <c r="I58" s="178">
        <f t="shared" si="7"/>
        <v>9.6425395141282316E-3</v>
      </c>
      <c r="J58" s="177">
        <f t="shared" si="8"/>
        <v>3.9999999999995595E-2</v>
      </c>
      <c r="K58" s="178">
        <f t="shared" si="9"/>
        <v>1.5471558888632052E-3</v>
      </c>
      <c r="L58" s="177">
        <f t="shared" si="10"/>
        <v>0.11865412999999592</v>
      </c>
      <c r="M58" s="178">
        <f t="shared" si="11"/>
        <v>3.4783105809796096E-3</v>
      </c>
      <c r="N58" s="177">
        <f t="shared" si="12"/>
        <v>0.13407916690000832</v>
      </c>
      <c r="O58" s="178">
        <f t="shared" si="13"/>
        <v>1.2227743551862353E-3</v>
      </c>
      <c r="R58" s="59"/>
      <c r="S58" s="59"/>
      <c r="T58" s="59"/>
      <c r="U58" s="59"/>
      <c r="V58" s="59"/>
    </row>
    <row r="59" spans="2:22" s="60" customFormat="1" ht="15" x14ac:dyDescent="0.2">
      <c r="B59" s="60" t="str">
        <f t="shared" si="5"/>
        <v>RPP</v>
      </c>
      <c r="C59" s="881">
        <v>5</v>
      </c>
      <c r="D59" s="1875" t="str">
        <f t="shared" si="3"/>
        <v>SENTINEL LIGHTING SERVICE CLASSIFICATION - RPP</v>
      </c>
      <c r="E59" s="1876"/>
      <c r="F59" s="1876"/>
      <c r="G59" s="176" t="str">
        <f t="shared" si="4"/>
        <v>kW</v>
      </c>
      <c r="H59" s="177">
        <f t="shared" si="6"/>
        <v>0.21690000000000254</v>
      </c>
      <c r="I59" s="178">
        <f t="shared" si="7"/>
        <v>8.5979989534940033E-3</v>
      </c>
      <c r="J59" s="177">
        <f t="shared" si="8"/>
        <v>0.18510000000000204</v>
      </c>
      <c r="K59" s="178">
        <f t="shared" si="9"/>
        <v>6.666761652352856E-3</v>
      </c>
      <c r="L59" s="177">
        <f t="shared" si="10"/>
        <v>0.20910000000000295</v>
      </c>
      <c r="M59" s="178">
        <f t="shared" si="11"/>
        <v>6.7264131681254577E-3</v>
      </c>
      <c r="N59" s="177">
        <f t="shared" si="12"/>
        <v>0.23628300000000024</v>
      </c>
      <c r="O59" s="178">
        <f t="shared" si="13"/>
        <v>3.6890036898980525E-3</v>
      </c>
      <c r="R59" s="59"/>
      <c r="S59" s="59"/>
      <c r="T59" s="59"/>
      <c r="U59" s="59"/>
      <c r="V59" s="59"/>
    </row>
    <row r="60" spans="2:22" s="60" customFormat="1" ht="15" x14ac:dyDescent="0.2">
      <c r="B60" s="60" t="str">
        <f t="shared" si="5"/>
        <v>Non-RPP (Other)</v>
      </c>
      <c r="C60" s="881">
        <v>6</v>
      </c>
      <c r="D60" s="1875" t="str">
        <f t="shared" si="3"/>
        <v>STREET LIGHTING SERVICE CLASSIFICATION - Non-RPP (Other)</v>
      </c>
      <c r="E60" s="1876"/>
      <c r="F60" s="1876"/>
      <c r="G60" s="176" t="str">
        <f t="shared" si="4"/>
        <v>kW</v>
      </c>
      <c r="H60" s="177">
        <f t="shared" si="6"/>
        <v>296.02340000000004</v>
      </c>
      <c r="I60" s="178">
        <f t="shared" si="7"/>
        <v>8.6191541132010788E-2</v>
      </c>
      <c r="J60" s="177">
        <f t="shared" si="8"/>
        <v>353.78810000000067</v>
      </c>
      <c r="K60" s="178">
        <f t="shared" si="9"/>
        <v>0.10162692718122568</v>
      </c>
      <c r="L60" s="177">
        <f t="shared" si="10"/>
        <v>355.26370000000088</v>
      </c>
      <c r="M60" s="178">
        <f t="shared" si="11"/>
        <v>9.6414373076858711E-2</v>
      </c>
      <c r="N60" s="177">
        <f t="shared" si="12"/>
        <v>401.44798100000025</v>
      </c>
      <c r="O60" s="178">
        <f t="shared" si="13"/>
        <v>5.4654553049959212E-2</v>
      </c>
      <c r="R60" s="59"/>
      <c r="S60" s="59"/>
      <c r="T60" s="59"/>
      <c r="U60" s="59"/>
      <c r="V60" s="59"/>
    </row>
    <row r="61" spans="2:22" s="60" customFormat="1" ht="15" x14ac:dyDescent="0.2">
      <c r="B61" s="60" t="str">
        <f t="shared" si="5"/>
        <v>Non-RPP (Retailer)</v>
      </c>
      <c r="C61" s="881">
        <v>7</v>
      </c>
      <c r="D61" s="1875" t="str">
        <f t="shared" si="3"/>
        <v>RESIDENTIAL SERVICE CLASSIFICATION - Non-RPP (Retailer)</v>
      </c>
      <c r="E61" s="1876"/>
      <c r="F61" s="1876"/>
      <c r="G61" s="176" t="str">
        <f t="shared" si="4"/>
        <v>kWh</v>
      </c>
      <c r="H61" s="177">
        <f t="shared" si="6"/>
        <v>-0.39499999999999602</v>
      </c>
      <c r="I61" s="178">
        <f t="shared" si="7"/>
        <v>-1.4771877337322216E-2</v>
      </c>
      <c r="J61" s="177">
        <f t="shared" si="8"/>
        <v>0.80499999999999972</v>
      </c>
      <c r="K61" s="178">
        <f t="shared" si="9"/>
        <v>2.193586457314952E-2</v>
      </c>
      <c r="L61" s="177">
        <f t="shared" si="10"/>
        <v>0.88614249999999828</v>
      </c>
      <c r="M61" s="178">
        <f t="shared" si="11"/>
        <v>1.9285710982300384E-2</v>
      </c>
      <c r="N61" s="177">
        <f t="shared" si="12"/>
        <v>1.0013410250000163</v>
      </c>
      <c r="O61" s="178">
        <f t="shared" si="13"/>
        <v>6.729121502202725E-3</v>
      </c>
      <c r="R61" s="59"/>
      <c r="S61" s="59"/>
      <c r="T61" s="59"/>
      <c r="U61" s="59"/>
      <c r="V61" s="59"/>
    </row>
    <row r="62" spans="2:22" s="60" customFormat="1" ht="15" x14ac:dyDescent="0.2">
      <c r="B62" s="60" t="str">
        <f t="shared" si="5"/>
        <v>RPP</v>
      </c>
      <c r="C62" s="881">
        <v>8</v>
      </c>
      <c r="D62" s="1875" t="str">
        <f t="shared" si="3"/>
        <v>RESIDENTIAL SERVICE CLASSIFICATION - RPP</v>
      </c>
      <c r="E62" s="1876"/>
      <c r="F62" s="1876"/>
      <c r="G62" s="176" t="str">
        <f t="shared" si="4"/>
        <v>kWh</v>
      </c>
      <c r="H62" s="177">
        <f t="shared" si="6"/>
        <v>3.2176000000000009</v>
      </c>
      <c r="I62" s="178">
        <f t="shared" si="7"/>
        <v>0.13993459049474641</v>
      </c>
      <c r="J62" s="177">
        <f t="shared" si="8"/>
        <v>3.3088000000000015</v>
      </c>
      <c r="K62" s="178">
        <f t="shared" si="9"/>
        <v>0.12506730842226441</v>
      </c>
      <c r="L62" s="177">
        <f t="shared" si="10"/>
        <v>3.3416897600000048</v>
      </c>
      <c r="M62" s="178">
        <f t="shared" si="11"/>
        <v>0.11063151247634719</v>
      </c>
      <c r="N62" s="177">
        <f t="shared" si="12"/>
        <v>3.5087742480000159</v>
      </c>
      <c r="O62" s="178">
        <f t="shared" si="13"/>
        <v>5.8974554181069797E-2</v>
      </c>
      <c r="R62" s="59"/>
      <c r="S62" s="59"/>
      <c r="T62" s="59"/>
      <c r="U62" s="59"/>
      <c r="V62" s="59"/>
    </row>
    <row r="63" spans="2:22" s="60" customFormat="1" ht="15" x14ac:dyDescent="0.2">
      <c r="B63" s="60" t="str">
        <f t="shared" si="5"/>
        <v>Non-RPP (Retailer)</v>
      </c>
      <c r="C63" s="881">
        <v>9</v>
      </c>
      <c r="D63" s="1875" t="str">
        <f t="shared" si="3"/>
        <v>RESIDENTIAL SERVICE CLASSIFICATION - Non-RPP (Retailer)</v>
      </c>
      <c r="E63" s="1876"/>
      <c r="F63" s="1876"/>
      <c r="G63" s="176" t="str">
        <f t="shared" si="4"/>
        <v>kWh</v>
      </c>
      <c r="H63" s="177">
        <f t="shared" si="6"/>
        <v>3.2176000000000009</v>
      </c>
      <c r="I63" s="178">
        <f t="shared" si="7"/>
        <v>0.13993459049474641</v>
      </c>
      <c r="J63" s="177">
        <f t="shared" si="8"/>
        <v>3.7040000000000006</v>
      </c>
      <c r="K63" s="178">
        <f t="shared" si="9"/>
        <v>0.1353364602661711</v>
      </c>
      <c r="L63" s="177">
        <f t="shared" si="10"/>
        <v>3.7368897600000039</v>
      </c>
      <c r="M63" s="178">
        <f t="shared" si="11"/>
        <v>0.12008672567613886</v>
      </c>
      <c r="N63" s="177">
        <f t="shared" si="12"/>
        <v>4.2226854288000055</v>
      </c>
      <c r="O63" s="178">
        <f t="shared" si="13"/>
        <v>5.6730114794364579E-2</v>
      </c>
      <c r="R63" s="59"/>
      <c r="S63" s="59"/>
      <c r="T63" s="59"/>
      <c r="U63" s="59"/>
      <c r="V63" s="59"/>
    </row>
    <row r="64" spans="2:22" s="60" customFormat="1" ht="15" x14ac:dyDescent="0.2">
      <c r="B64" s="60" t="str">
        <f t="shared" si="5"/>
        <v>Non-RPP (Retailer)</v>
      </c>
      <c r="C64" s="881">
        <v>10</v>
      </c>
      <c r="D64" s="1875" t="str">
        <f t="shared" si="3"/>
        <v>GENERAL SERVICE LESS THAN 50 KW SERVICE CLASSIFICATION - Non-RPP (Retailer)</v>
      </c>
      <c r="E64" s="1876"/>
      <c r="F64" s="1876"/>
      <c r="G64" s="176" t="str">
        <f t="shared" si="4"/>
        <v>kWh</v>
      </c>
      <c r="H64" s="177">
        <f t="shared" si="6"/>
        <v>0.68000000000000682</v>
      </c>
      <c r="I64" s="178">
        <f t="shared" si="7"/>
        <v>1.2334482133139976E-2</v>
      </c>
      <c r="J64" s="177">
        <f t="shared" si="8"/>
        <v>3.8800000000000097</v>
      </c>
      <c r="K64" s="178">
        <f t="shared" si="9"/>
        <v>4.8539814783075924E-2</v>
      </c>
      <c r="L64" s="177">
        <f t="shared" si="10"/>
        <v>4.0963800000000106</v>
      </c>
      <c r="M64" s="178">
        <f t="shared" si="11"/>
        <v>3.9904619661255331E-2</v>
      </c>
      <c r="N64" s="177">
        <f t="shared" si="12"/>
        <v>4.6289093999999977</v>
      </c>
      <c r="O64" s="178">
        <f t="shared" si="13"/>
        <v>1.2364821362111065E-2</v>
      </c>
      <c r="R64" s="59"/>
      <c r="S64" s="59"/>
      <c r="T64" s="59"/>
      <c r="U64" s="59"/>
      <c r="V64" s="59"/>
    </row>
    <row r="65" spans="1:22" s="60" customFormat="1" ht="15" x14ac:dyDescent="0.2">
      <c r="B65" s="60">
        <f t="shared" si="5"/>
        <v>0</v>
      </c>
      <c r="C65" s="881">
        <v>11</v>
      </c>
      <c r="D65" s="1875" t="str">
        <f t="shared" si="3"/>
        <v/>
      </c>
      <c r="E65" s="1876"/>
      <c r="F65" s="1876"/>
      <c r="G65" s="176" t="str">
        <f t="shared" si="4"/>
        <v/>
      </c>
      <c r="H65" s="177" t="str">
        <f t="shared" si="6"/>
        <v/>
      </c>
      <c r="I65" s="178" t="str">
        <f t="shared" si="7"/>
        <v/>
      </c>
      <c r="J65" s="177" t="str">
        <f t="shared" si="8"/>
        <v/>
      </c>
      <c r="K65" s="178" t="str">
        <f t="shared" si="9"/>
        <v/>
      </c>
      <c r="L65" s="177" t="str">
        <f t="shared" si="10"/>
        <v/>
      </c>
      <c r="M65" s="178" t="str">
        <f t="shared" si="11"/>
        <v/>
      </c>
      <c r="N65" s="177" t="str">
        <f t="shared" si="12"/>
        <v/>
      </c>
      <c r="O65" s="178" t="str">
        <f t="shared" si="13"/>
        <v/>
      </c>
      <c r="R65" s="59"/>
      <c r="S65" s="59"/>
      <c r="T65" s="59"/>
      <c r="U65" s="59"/>
      <c r="V65" s="59"/>
    </row>
    <row r="66" spans="1:22" s="60" customFormat="1" ht="15" x14ac:dyDescent="0.2">
      <c r="B66" s="60">
        <f t="shared" si="5"/>
        <v>0</v>
      </c>
      <c r="C66" s="881">
        <v>12</v>
      </c>
      <c r="D66" s="1875" t="str">
        <f t="shared" si="3"/>
        <v/>
      </c>
      <c r="E66" s="1876"/>
      <c r="F66" s="1876"/>
      <c r="G66" s="176" t="str">
        <f t="shared" si="4"/>
        <v/>
      </c>
      <c r="H66" s="177" t="str">
        <f t="shared" si="6"/>
        <v/>
      </c>
      <c r="I66" s="178" t="str">
        <f t="shared" si="7"/>
        <v/>
      </c>
      <c r="J66" s="177" t="str">
        <f t="shared" si="8"/>
        <v/>
      </c>
      <c r="K66" s="178" t="str">
        <f t="shared" si="9"/>
        <v/>
      </c>
      <c r="L66" s="177" t="str">
        <f t="shared" si="10"/>
        <v/>
      </c>
      <c r="M66" s="178" t="str">
        <f t="shared" si="11"/>
        <v/>
      </c>
      <c r="N66" s="177" t="str">
        <f t="shared" si="12"/>
        <v/>
      </c>
      <c r="O66" s="178" t="str">
        <f t="shared" si="13"/>
        <v/>
      </c>
      <c r="R66" s="59"/>
      <c r="S66" s="59"/>
      <c r="T66" s="59"/>
      <c r="U66" s="59"/>
      <c r="V66" s="59"/>
    </row>
    <row r="67" spans="1:22" s="60" customFormat="1" ht="15" x14ac:dyDescent="0.2">
      <c r="B67" s="60">
        <f t="shared" si="5"/>
        <v>0</v>
      </c>
      <c r="C67" s="881">
        <v>13</v>
      </c>
      <c r="D67" s="1875" t="str">
        <f t="shared" si="3"/>
        <v/>
      </c>
      <c r="E67" s="1876"/>
      <c r="F67" s="1876"/>
      <c r="G67" s="176" t="str">
        <f t="shared" si="4"/>
        <v/>
      </c>
      <c r="H67" s="177" t="str">
        <f t="shared" si="6"/>
        <v/>
      </c>
      <c r="I67" s="178" t="str">
        <f t="shared" si="7"/>
        <v/>
      </c>
      <c r="J67" s="177" t="str">
        <f t="shared" si="8"/>
        <v/>
      </c>
      <c r="K67" s="178" t="str">
        <f t="shared" si="9"/>
        <v/>
      </c>
      <c r="L67" s="177" t="str">
        <f t="shared" si="10"/>
        <v/>
      </c>
      <c r="M67" s="178" t="str">
        <f t="shared" si="11"/>
        <v/>
      </c>
      <c r="N67" s="177" t="str">
        <f t="shared" si="12"/>
        <v/>
      </c>
      <c r="O67" s="178" t="str">
        <f t="shared" si="13"/>
        <v/>
      </c>
      <c r="R67" s="59"/>
      <c r="S67" s="59"/>
      <c r="T67" s="59"/>
      <c r="U67" s="59"/>
      <c r="V67" s="59"/>
    </row>
    <row r="68" spans="1:22" s="60" customFormat="1" ht="15" x14ac:dyDescent="0.2">
      <c r="B68" s="60">
        <f t="shared" si="5"/>
        <v>0</v>
      </c>
      <c r="C68" s="881">
        <v>14</v>
      </c>
      <c r="D68" s="1875" t="str">
        <f t="shared" si="3"/>
        <v/>
      </c>
      <c r="E68" s="1876"/>
      <c r="F68" s="1876"/>
      <c r="G68" s="176" t="str">
        <f t="shared" si="4"/>
        <v/>
      </c>
      <c r="H68" s="177" t="str">
        <f t="shared" si="6"/>
        <v/>
      </c>
      <c r="I68" s="178" t="str">
        <f t="shared" si="7"/>
        <v/>
      </c>
      <c r="J68" s="177" t="str">
        <f t="shared" si="8"/>
        <v/>
      </c>
      <c r="K68" s="178" t="str">
        <f t="shared" si="9"/>
        <v/>
      </c>
      <c r="L68" s="177" t="str">
        <f t="shared" si="10"/>
        <v/>
      </c>
      <c r="M68" s="178" t="str">
        <f t="shared" si="11"/>
        <v/>
      </c>
      <c r="N68" s="177" t="str">
        <f t="shared" si="12"/>
        <v/>
      </c>
      <c r="O68" s="178" t="str">
        <f t="shared" si="13"/>
        <v/>
      </c>
      <c r="R68" s="59"/>
      <c r="S68" s="59"/>
      <c r="T68" s="59"/>
      <c r="U68" s="59"/>
      <c r="V68" s="59"/>
    </row>
    <row r="69" spans="1:22" s="60" customFormat="1" ht="15" x14ac:dyDescent="0.2">
      <c r="B69" s="60">
        <f t="shared" si="5"/>
        <v>0</v>
      </c>
      <c r="C69" s="881">
        <v>15</v>
      </c>
      <c r="D69" s="1875" t="str">
        <f t="shared" si="3"/>
        <v/>
      </c>
      <c r="E69" s="1876"/>
      <c r="F69" s="1876"/>
      <c r="G69" s="176" t="str">
        <f t="shared" si="4"/>
        <v/>
      </c>
      <c r="H69" s="177" t="str">
        <f t="shared" si="6"/>
        <v/>
      </c>
      <c r="I69" s="178" t="str">
        <f t="shared" si="7"/>
        <v/>
      </c>
      <c r="J69" s="177" t="str">
        <f t="shared" si="8"/>
        <v/>
      </c>
      <c r="K69" s="178" t="str">
        <f t="shared" si="9"/>
        <v/>
      </c>
      <c r="L69" s="177" t="str">
        <f t="shared" si="10"/>
        <v/>
      </c>
      <c r="M69" s="178" t="str">
        <f t="shared" si="11"/>
        <v/>
      </c>
      <c r="N69" s="177" t="str">
        <f t="shared" si="12"/>
        <v/>
      </c>
      <c r="O69" s="178" t="str">
        <f t="shared" si="13"/>
        <v/>
      </c>
      <c r="R69" s="59"/>
      <c r="S69" s="59"/>
      <c r="T69" s="59"/>
      <c r="U69" s="59"/>
      <c r="V69" s="59"/>
    </row>
    <row r="70" spans="1:22" s="60" customFormat="1" ht="15" x14ac:dyDescent="0.2">
      <c r="B70" s="60">
        <f t="shared" si="5"/>
        <v>0</v>
      </c>
      <c r="C70" s="881">
        <v>16</v>
      </c>
      <c r="D70" s="1875" t="str">
        <f t="shared" si="3"/>
        <v/>
      </c>
      <c r="E70" s="1876"/>
      <c r="F70" s="1876"/>
      <c r="G70" s="176" t="str">
        <f>IF(ISBLANK(G45), "", G45)</f>
        <v/>
      </c>
      <c r="H70" s="177" t="str">
        <f t="shared" si="6"/>
        <v/>
      </c>
      <c r="I70" s="178" t="str">
        <f t="shared" si="7"/>
        <v/>
      </c>
      <c r="J70" s="177" t="str">
        <f t="shared" si="8"/>
        <v/>
      </c>
      <c r="K70" s="178" t="str">
        <f t="shared" si="9"/>
        <v/>
      </c>
      <c r="L70" s="177" t="str">
        <f t="shared" si="10"/>
        <v/>
      </c>
      <c r="M70" s="178" t="str">
        <f t="shared" si="11"/>
        <v/>
      </c>
      <c r="N70" s="177" t="str">
        <f t="shared" si="12"/>
        <v/>
      </c>
      <c r="O70" s="178" t="str">
        <f t="shared" si="13"/>
        <v/>
      </c>
      <c r="R70" s="59"/>
      <c r="S70" s="59"/>
      <c r="T70" s="59"/>
      <c r="U70" s="59"/>
      <c r="V70" s="59"/>
    </row>
    <row r="71" spans="1:22" s="60" customFormat="1" ht="15" x14ac:dyDescent="0.2">
      <c r="B71" s="60">
        <f t="shared" si="5"/>
        <v>0</v>
      </c>
      <c r="C71" s="881">
        <v>17</v>
      </c>
      <c r="D71" s="1875" t="str">
        <f t="shared" si="3"/>
        <v/>
      </c>
      <c r="E71" s="1876"/>
      <c r="F71" s="1876"/>
      <c r="G71" s="176" t="str">
        <f>IF(ISBLANK(G46), "", G46)</f>
        <v/>
      </c>
      <c r="H71" s="177" t="str">
        <f t="shared" si="6"/>
        <v/>
      </c>
      <c r="I71" s="178" t="str">
        <f t="shared" si="7"/>
        <v/>
      </c>
      <c r="J71" s="177" t="str">
        <f t="shared" si="8"/>
        <v/>
      </c>
      <c r="K71" s="178" t="str">
        <f t="shared" si="9"/>
        <v/>
      </c>
      <c r="L71" s="177" t="str">
        <f t="shared" si="10"/>
        <v/>
      </c>
      <c r="M71" s="178" t="str">
        <f t="shared" si="11"/>
        <v/>
      </c>
      <c r="N71" s="177" t="str">
        <f t="shared" si="12"/>
        <v/>
      </c>
      <c r="O71" s="178" t="str">
        <f t="shared" si="13"/>
        <v/>
      </c>
      <c r="R71" s="59"/>
      <c r="S71" s="59"/>
      <c r="T71" s="59"/>
      <c r="U71" s="59"/>
      <c r="V71" s="59"/>
    </row>
    <row r="72" spans="1:22" s="60" customFormat="1" ht="15" x14ac:dyDescent="0.2">
      <c r="B72" s="60">
        <f t="shared" si="5"/>
        <v>0</v>
      </c>
      <c r="C72" s="881">
        <v>18</v>
      </c>
      <c r="D72" s="1875" t="str">
        <f t="shared" si="3"/>
        <v/>
      </c>
      <c r="E72" s="1876"/>
      <c r="F72" s="1876"/>
      <c r="G72" s="176" t="str">
        <f>IF(ISBLANK(G47), "", G47)</f>
        <v/>
      </c>
      <c r="H72" s="177" t="str">
        <f t="shared" si="6"/>
        <v/>
      </c>
      <c r="I72" s="178" t="str">
        <f t="shared" si="7"/>
        <v/>
      </c>
      <c r="J72" s="177" t="str">
        <f t="shared" si="8"/>
        <v/>
      </c>
      <c r="K72" s="178" t="str">
        <f t="shared" si="9"/>
        <v/>
      </c>
      <c r="L72" s="177" t="str">
        <f t="shared" si="10"/>
        <v/>
      </c>
      <c r="M72" s="178" t="str">
        <f t="shared" si="11"/>
        <v/>
      </c>
      <c r="N72" s="177" t="str">
        <f t="shared" si="12"/>
        <v/>
      </c>
      <c r="O72" s="178" t="str">
        <f t="shared" si="13"/>
        <v/>
      </c>
      <c r="R72" s="59"/>
      <c r="S72" s="59"/>
      <c r="T72" s="59"/>
      <c r="U72" s="59"/>
      <c r="V72" s="59"/>
    </row>
    <row r="73" spans="1:22" s="60" customFormat="1" ht="15" x14ac:dyDescent="0.2">
      <c r="B73" s="60">
        <f t="shared" si="5"/>
        <v>0</v>
      </c>
      <c r="C73" s="881">
        <v>19</v>
      </c>
      <c r="D73" s="1875" t="str">
        <f t="shared" si="3"/>
        <v/>
      </c>
      <c r="E73" s="1876"/>
      <c r="F73" s="1876"/>
      <c r="G73" s="176" t="str">
        <f>IF(ISBLANK(G48), "", G48)</f>
        <v/>
      </c>
      <c r="H73" s="177" t="str">
        <f t="shared" si="6"/>
        <v/>
      </c>
      <c r="I73" s="178" t="str">
        <f t="shared" si="7"/>
        <v/>
      </c>
      <c r="J73" s="177" t="str">
        <f t="shared" si="8"/>
        <v/>
      </c>
      <c r="K73" s="178" t="str">
        <f t="shared" si="9"/>
        <v/>
      </c>
      <c r="L73" s="177" t="str">
        <f t="shared" si="10"/>
        <v/>
      </c>
      <c r="M73" s="178" t="str">
        <f t="shared" si="11"/>
        <v/>
      </c>
      <c r="N73" s="177" t="str">
        <f t="shared" si="12"/>
        <v/>
      </c>
      <c r="O73" s="178" t="str">
        <f t="shared" si="13"/>
        <v/>
      </c>
      <c r="R73" s="59"/>
      <c r="S73" s="59"/>
      <c r="T73" s="59"/>
      <c r="U73" s="59"/>
      <c r="V73" s="59"/>
    </row>
    <row r="74" spans="1:22" s="60" customFormat="1" ht="15" x14ac:dyDescent="0.2">
      <c r="B74" s="60">
        <f t="shared" si="5"/>
        <v>0</v>
      </c>
      <c r="C74" s="881">
        <v>20</v>
      </c>
      <c r="D74" s="1875" t="str">
        <f t="shared" si="3"/>
        <v/>
      </c>
      <c r="E74" s="1876"/>
      <c r="F74" s="1876"/>
      <c r="G74" s="176" t="str">
        <f>IF(ISBLANK(G49), "", G49)</f>
        <v/>
      </c>
      <c r="H74" s="177" t="str">
        <f t="shared" si="6"/>
        <v/>
      </c>
      <c r="I74" s="178" t="str">
        <f t="shared" si="7"/>
        <v/>
      </c>
      <c r="J74" s="177" t="str">
        <f t="shared" si="8"/>
        <v/>
      </c>
      <c r="K74" s="178" t="str">
        <f t="shared" si="9"/>
        <v/>
      </c>
      <c r="L74" s="177" t="str">
        <f t="shared" si="10"/>
        <v/>
      </c>
      <c r="M74" s="178" t="str">
        <f t="shared" si="11"/>
        <v/>
      </c>
      <c r="N74" s="177" t="str">
        <f t="shared" si="12"/>
        <v/>
      </c>
      <c r="O74" s="178" t="str">
        <f t="shared" si="13"/>
        <v/>
      </c>
      <c r="R74" s="59"/>
      <c r="S74" s="59"/>
      <c r="T74" s="59"/>
      <c r="U74" s="59"/>
      <c r="V74" s="59"/>
    </row>
    <row r="75" spans="1:22" s="60" customFormat="1" x14ac:dyDescent="0.2">
      <c r="C75" s="881"/>
      <c r="R75" s="59"/>
      <c r="S75" s="59"/>
      <c r="T75" s="59"/>
      <c r="U75" s="59"/>
      <c r="V75" s="59"/>
    </row>
    <row r="76" spans="1:22" ht="5.25" customHeight="1" x14ac:dyDescent="0.2">
      <c r="A76" s="179"/>
      <c r="B76" s="179"/>
      <c r="C76" s="883"/>
      <c r="D76" s="179"/>
      <c r="E76" s="179"/>
      <c r="F76" s="179"/>
      <c r="G76" s="179"/>
      <c r="H76" s="179"/>
      <c r="I76" s="179"/>
      <c r="J76" s="179"/>
      <c r="K76" s="179"/>
      <c r="L76" s="179"/>
      <c r="M76" s="179"/>
      <c r="N76" s="179"/>
      <c r="O76" s="179"/>
    </row>
    <row r="77" spans="1:22" s="60" customFormat="1" x14ac:dyDescent="0.2">
      <c r="C77" s="881"/>
    </row>
    <row r="78" spans="1:22" x14ac:dyDescent="0.2">
      <c r="C78" s="59"/>
      <c r="D78" s="290" t="s">
        <v>1652</v>
      </c>
      <c r="E78" s="1872" t="str">
        <f>D30</f>
        <v>RESIDENTIAL SERVICE CLASSIFICATION</v>
      </c>
      <c r="F78" s="1872"/>
      <c r="G78" s="1872"/>
      <c r="H78" s="1872"/>
      <c r="I78" s="1872"/>
      <c r="J78" s="1872"/>
      <c r="K78" s="59" t="str">
        <f>IF(N30="DEMAND - INTERVAL","RTSR - INTERVAL METERED","")</f>
        <v/>
      </c>
      <c r="T78" s="59" t="s">
        <v>628</v>
      </c>
    </row>
    <row r="79" spans="1:22" x14ac:dyDescent="0.2">
      <c r="C79" s="59"/>
      <c r="D79" s="290" t="s">
        <v>1653</v>
      </c>
      <c r="E79" s="1873" t="str">
        <f>H30</f>
        <v>RPP</v>
      </c>
      <c r="F79" s="1873"/>
      <c r="G79" s="1873"/>
      <c r="H79" s="291"/>
      <c r="I79" s="291"/>
    </row>
    <row r="80" spans="1:22" ht="15.75" x14ac:dyDescent="0.2">
      <c r="C80" s="59"/>
      <c r="D80" s="290" t="s">
        <v>157</v>
      </c>
      <c r="E80" s="1613">
        <f>K30</f>
        <v>750</v>
      </c>
      <c r="F80" s="293" t="s">
        <v>158</v>
      </c>
      <c r="G80" s="1032"/>
      <c r="J80" s="294"/>
      <c r="K80" s="294"/>
      <c r="L80" s="294"/>
      <c r="M80" s="294"/>
    </row>
    <row r="81" spans="1:13" ht="15.75" x14ac:dyDescent="0.25">
      <c r="C81" s="59"/>
      <c r="D81" s="290" t="s">
        <v>369</v>
      </c>
      <c r="E81" s="1613">
        <f>L30</f>
        <v>0</v>
      </c>
      <c r="F81" s="295" t="s">
        <v>159</v>
      </c>
      <c r="G81" s="296"/>
      <c r="H81" s="297"/>
      <c r="I81" s="297"/>
      <c r="J81" s="297"/>
    </row>
    <row r="82" spans="1:13" x14ac:dyDescent="0.2">
      <c r="C82" s="59"/>
      <c r="D82" s="290" t="s">
        <v>1684</v>
      </c>
      <c r="E82" s="298">
        <f>I30</f>
        <v>1.0819000000000001</v>
      </c>
    </row>
    <row r="83" spans="1:13" x14ac:dyDescent="0.2">
      <c r="C83" s="59"/>
      <c r="D83" s="290" t="s">
        <v>1685</v>
      </c>
      <c r="E83" s="298">
        <f>J30</f>
        <v>1.0819000000000001</v>
      </c>
    </row>
    <row r="84" spans="1:13" x14ac:dyDescent="0.2">
      <c r="C84" s="59"/>
      <c r="D84" s="1032"/>
    </row>
    <row r="85" spans="1:13" x14ac:dyDescent="0.2">
      <c r="C85" s="59"/>
      <c r="D85" s="1032"/>
      <c r="E85" s="299"/>
      <c r="F85" s="1864" t="s">
        <v>2271</v>
      </c>
      <c r="G85" s="1874"/>
      <c r="H85" s="1865"/>
      <c r="I85" s="1864" t="s">
        <v>350</v>
      </c>
      <c r="J85" s="1874"/>
      <c r="K85" s="1865"/>
      <c r="L85" s="1864" t="s">
        <v>351</v>
      </c>
      <c r="M85" s="1865"/>
    </row>
    <row r="86" spans="1:13" x14ac:dyDescent="0.2">
      <c r="C86" s="59"/>
      <c r="D86" s="1032"/>
      <c r="E86" s="1866"/>
      <c r="F86" s="300" t="s">
        <v>352</v>
      </c>
      <c r="G86" s="300" t="s">
        <v>150</v>
      </c>
      <c r="H86" s="301" t="s">
        <v>353</v>
      </c>
      <c r="I86" s="300" t="s">
        <v>352</v>
      </c>
      <c r="J86" s="302" t="s">
        <v>150</v>
      </c>
      <c r="K86" s="301" t="s">
        <v>353</v>
      </c>
      <c r="L86" s="1868" t="s">
        <v>354</v>
      </c>
      <c r="M86" s="1870" t="s">
        <v>355</v>
      </c>
    </row>
    <row r="87" spans="1:13" x14ac:dyDescent="0.2">
      <c r="C87" s="59"/>
      <c r="D87" s="1032"/>
      <c r="E87" s="1867"/>
      <c r="F87" s="303" t="s">
        <v>356</v>
      </c>
      <c r="G87" s="303"/>
      <c r="H87" s="304" t="s">
        <v>356</v>
      </c>
      <c r="I87" s="303" t="s">
        <v>356</v>
      </c>
      <c r="J87" s="304"/>
      <c r="K87" s="304" t="s">
        <v>356</v>
      </c>
      <c r="L87" s="1869"/>
      <c r="M87" s="1871"/>
    </row>
    <row r="88" spans="1:13" x14ac:dyDescent="0.2">
      <c r="A88" s="59" t="str">
        <f>$E78</f>
        <v>RESIDENTIAL SERVICE CLASSIFICATION</v>
      </c>
      <c r="C88" s="390"/>
      <c r="D88" s="69" t="s">
        <v>357</v>
      </c>
      <c r="E88" s="348"/>
      <c r="F88" s="374">
        <v>19.920000000000002</v>
      </c>
      <c r="G88" s="330">
        <v>1</v>
      </c>
      <c r="H88" s="375">
        <f>G88*F88</f>
        <v>19.920000000000002</v>
      </c>
      <c r="I88" s="376">
        <v>25.6</v>
      </c>
      <c r="J88" s="357">
        <f>G88</f>
        <v>1</v>
      </c>
      <c r="K88" s="375">
        <f>J88*I88</f>
        <v>25.6</v>
      </c>
      <c r="L88" s="358">
        <f t="shared" ref="L88:L109" si="14">K88-H88</f>
        <v>5.68</v>
      </c>
      <c r="M88" s="377">
        <f>IF(ISERROR(L88/H88), "", L88/H88)</f>
        <v>0.28514056224899592</v>
      </c>
    </row>
    <row r="89" spans="1:13" x14ac:dyDescent="0.2">
      <c r="A89" s="59" t="str">
        <f>A88</f>
        <v>RESIDENTIAL SERVICE CLASSIFICATION</v>
      </c>
      <c r="C89" s="390"/>
      <c r="D89" s="69" t="s">
        <v>84</v>
      </c>
      <c r="E89" s="348"/>
      <c r="F89" s="354">
        <v>8.2000000000000007E-3</v>
      </c>
      <c r="G89" s="330">
        <f>IF($E81&gt;0, $E81, $E80)</f>
        <v>750</v>
      </c>
      <c r="H89" s="375">
        <f t="shared" ref="H89:H101" si="15">G89*F89</f>
        <v>6.15</v>
      </c>
      <c r="I89" s="351">
        <v>0</v>
      </c>
      <c r="J89" s="357">
        <f>IF($E81&gt;0, $E81, $E80)</f>
        <v>750</v>
      </c>
      <c r="K89" s="375">
        <f>J89*I89</f>
        <v>0</v>
      </c>
      <c r="L89" s="358">
        <f t="shared" si="14"/>
        <v>-6.15</v>
      </c>
      <c r="M89" s="377">
        <f t="shared" ref="M89:M99" si="16">IF(ISERROR(L89/H89), "", L89/H89)</f>
        <v>-1</v>
      </c>
    </row>
    <row r="90" spans="1:13" hidden="1" x14ac:dyDescent="0.2">
      <c r="A90" s="59" t="str">
        <f t="shared" ref="A90:A131" si="17">A89</f>
        <v>RESIDENTIAL SERVICE CLASSIFICATION</v>
      </c>
      <c r="C90" s="390"/>
      <c r="D90" s="69" t="s">
        <v>5950</v>
      </c>
      <c r="E90" s="348"/>
      <c r="F90" s="354"/>
      <c r="G90" s="330">
        <f>IF($E81&gt;0, $E81, $E80)</f>
        <v>750</v>
      </c>
      <c r="H90" s="375">
        <v>0</v>
      </c>
      <c r="I90" s="351"/>
      <c r="J90" s="357">
        <f>IF($E81&gt;0, $E81, $E80)</f>
        <v>750</v>
      </c>
      <c r="K90" s="375">
        <v>0</v>
      </c>
      <c r="L90" s="358"/>
      <c r="M90" s="377"/>
    </row>
    <row r="91" spans="1:13" hidden="1" x14ac:dyDescent="0.2">
      <c r="A91" s="59" t="str">
        <f t="shared" si="17"/>
        <v>RESIDENTIAL SERVICE CLASSIFICATION</v>
      </c>
      <c r="C91" s="390"/>
      <c r="D91" s="69" t="s">
        <v>4872</v>
      </c>
      <c r="E91" s="348"/>
      <c r="F91" s="354"/>
      <c r="G91" s="330">
        <f>IF($E81&gt;0, $E81, $E80)</f>
        <v>750</v>
      </c>
      <c r="H91" s="375">
        <v>0</v>
      </c>
      <c r="I91" s="351"/>
      <c r="J91" s="330">
        <f>IF($E81&gt;0, $E81, $E80)</f>
        <v>750</v>
      </c>
      <c r="K91" s="375">
        <v>0</v>
      </c>
      <c r="L91" s="358">
        <f>K91-H91</f>
        <v>0</v>
      </c>
      <c r="M91" s="377" t="str">
        <f>IF(ISERROR(L91/H91), "", L91/H91)</f>
        <v/>
      </c>
    </row>
    <row r="92" spans="1:13" x14ac:dyDescent="0.2">
      <c r="A92" s="59" t="str">
        <f t="shared" si="17"/>
        <v>RESIDENTIAL SERVICE CLASSIFICATION</v>
      </c>
      <c r="C92" s="390"/>
      <c r="D92" s="70" t="s">
        <v>367</v>
      </c>
      <c r="E92" s="348"/>
      <c r="F92" s="374">
        <v>0.52</v>
      </c>
      <c r="G92" s="330">
        <v>1</v>
      </c>
      <c r="H92" s="375">
        <f t="shared" si="15"/>
        <v>0.52</v>
      </c>
      <c r="I92" s="376">
        <v>0.52</v>
      </c>
      <c r="J92" s="357">
        <f>G92</f>
        <v>1</v>
      </c>
      <c r="K92" s="375">
        <f t="shared" ref="K92:K99" si="18">J92*I92</f>
        <v>0.52</v>
      </c>
      <c r="L92" s="358">
        <f t="shared" si="14"/>
        <v>0</v>
      </c>
      <c r="M92" s="377">
        <f t="shared" si="16"/>
        <v>0</v>
      </c>
    </row>
    <row r="93" spans="1:13" x14ac:dyDescent="0.2">
      <c r="A93" s="59" t="str">
        <f t="shared" si="17"/>
        <v>RESIDENTIAL SERVICE CLASSIFICATION</v>
      </c>
      <c r="C93" s="390"/>
      <c r="D93" s="69" t="s">
        <v>368</v>
      </c>
      <c r="E93" s="348"/>
      <c r="F93" s="354">
        <v>2.0000000000000001E-4</v>
      </c>
      <c r="G93" s="330">
        <f>IF($E81&gt;0, $E81, $E80)</f>
        <v>750</v>
      </c>
      <c r="H93" s="375">
        <f t="shared" si="15"/>
        <v>0.15</v>
      </c>
      <c r="I93" s="351">
        <v>2.9999999999999997E-4</v>
      </c>
      <c r="J93" s="357">
        <f>IF($E81&gt;0, $E81, $E80)</f>
        <v>750</v>
      </c>
      <c r="K93" s="375">
        <f t="shared" si="18"/>
        <v>0.22499999999999998</v>
      </c>
      <c r="L93" s="358">
        <f t="shared" si="14"/>
        <v>7.4999999999999983E-2</v>
      </c>
      <c r="M93" s="377">
        <f t="shared" si="16"/>
        <v>0.49999999999999989</v>
      </c>
    </row>
    <row r="94" spans="1:13" x14ac:dyDescent="0.2">
      <c r="A94" s="59" t="str">
        <f t="shared" si="17"/>
        <v>RESIDENTIAL SERVICE CLASSIFICATION</v>
      </c>
      <c r="B94" s="306" t="s">
        <v>1654</v>
      </c>
      <c r="C94" s="390">
        <f>B30</f>
        <v>1</v>
      </c>
      <c r="D94" s="307" t="s">
        <v>358</v>
      </c>
      <c r="E94" s="308"/>
      <c r="F94" s="378"/>
      <c r="G94" s="898"/>
      <c r="H94" s="899">
        <f>SUM(H88:H93)</f>
        <v>26.74</v>
      </c>
      <c r="I94" s="379"/>
      <c r="J94" s="315"/>
      <c r="K94" s="899">
        <f>SUM(K88:K93)</f>
        <v>26.345000000000002</v>
      </c>
      <c r="L94" s="309">
        <f t="shared" si="14"/>
        <v>-0.39499999999999602</v>
      </c>
      <c r="M94" s="310">
        <f>IF((H94)=0,"",(L94/H94))</f>
        <v>-1.4771877337322216E-2</v>
      </c>
    </row>
    <row r="95" spans="1:13" x14ac:dyDescent="0.2">
      <c r="A95" s="59" t="str">
        <f t="shared" si="17"/>
        <v>RESIDENTIAL SERVICE CLASSIFICATION</v>
      </c>
      <c r="C95" s="390"/>
      <c r="D95" s="73" t="s">
        <v>430</v>
      </c>
      <c r="E95" s="348"/>
      <c r="F95" s="354">
        <f>IF((E80*12&gt;=150000), 0, IF(E79="RPP",(F111*0.65+F112*0.17+F113*0.18),IF(E79="Non-RPP (Retailer)",F114,F115)))</f>
        <v>8.1990000000000007E-2</v>
      </c>
      <c r="G95" s="361">
        <f>IF(F95=0, 0, $E80*E82-E80)</f>
        <v>61.425000000000068</v>
      </c>
      <c r="H95" s="375">
        <f>G95*F95</f>
        <v>5.0362357500000057</v>
      </c>
      <c r="I95" s="351">
        <f>IF((E80*12&gt;=150000), 0, IF(E79="RPP",(I111*0.65+I112*0.17+I113*0.18),IF(E79="Non-RPP (Retailer)",I114,I115)))</f>
        <v>8.1990000000000007E-2</v>
      </c>
      <c r="J95" s="361">
        <f>IF(I95=0, 0, E80*E83-E80)</f>
        <v>61.425000000000068</v>
      </c>
      <c r="K95" s="375">
        <f>J95*I95</f>
        <v>5.0362357500000057</v>
      </c>
      <c r="L95" s="358">
        <f>K95-H95</f>
        <v>0</v>
      </c>
      <c r="M95" s="377">
        <f>IF(ISERROR(L95/H95), "", L95/H95)</f>
        <v>0</v>
      </c>
    </row>
    <row r="96" spans="1:13" ht="25.5" x14ac:dyDescent="0.2">
      <c r="A96" s="59" t="str">
        <f t="shared" si="17"/>
        <v>RESIDENTIAL SERVICE CLASSIFICATION</v>
      </c>
      <c r="C96" s="390"/>
      <c r="D96" s="73" t="s">
        <v>366</v>
      </c>
      <c r="E96" s="348"/>
      <c r="F96" s="354">
        <v>-2.0999999999999999E-3</v>
      </c>
      <c r="G96" s="362">
        <f>IF($E81&gt;0, $E81, $E80)</f>
        <v>750</v>
      </c>
      <c r="H96" s="375">
        <f t="shared" si="15"/>
        <v>-1.575</v>
      </c>
      <c r="I96" s="351">
        <v>-1.8E-3</v>
      </c>
      <c r="J96" s="362">
        <f>IF($E81&gt;0, $E81, $E80)</f>
        <v>750</v>
      </c>
      <c r="K96" s="375">
        <f t="shared" si="18"/>
        <v>-1.3499999999999999</v>
      </c>
      <c r="L96" s="358">
        <f t="shared" si="14"/>
        <v>0.22500000000000009</v>
      </c>
      <c r="M96" s="377">
        <f t="shared" si="16"/>
        <v>-0.1428571428571429</v>
      </c>
    </row>
    <row r="97" spans="1:13" x14ac:dyDescent="0.2">
      <c r="A97" s="59" t="str">
        <f t="shared" si="17"/>
        <v>RESIDENTIAL SERVICE CLASSIFICATION</v>
      </c>
      <c r="C97" s="390"/>
      <c r="D97" s="73" t="s">
        <v>2885</v>
      </c>
      <c r="E97" s="348"/>
      <c r="F97" s="354">
        <v>0</v>
      </c>
      <c r="G97" s="362">
        <f>IF($E81&gt;0, $E81, $E80)</f>
        <v>750</v>
      </c>
      <c r="H97" s="375">
        <f>G97*F97</f>
        <v>0</v>
      </c>
      <c r="I97" s="351">
        <v>0</v>
      </c>
      <c r="J97" s="362">
        <f>IF($E81&gt;0, $E81, $E80)</f>
        <v>750</v>
      </c>
      <c r="K97" s="375">
        <f>J97*I97</f>
        <v>0</v>
      </c>
      <c r="L97" s="358">
        <f t="shared" si="14"/>
        <v>0</v>
      </c>
      <c r="M97" s="377" t="str">
        <f t="shared" si="16"/>
        <v/>
      </c>
    </row>
    <row r="98" spans="1:13" x14ac:dyDescent="0.2">
      <c r="A98" s="59" t="str">
        <f t="shared" si="17"/>
        <v>RESIDENTIAL SERVICE CLASSIFICATION</v>
      </c>
      <c r="C98" s="390"/>
      <c r="D98" s="73" t="s">
        <v>2281</v>
      </c>
      <c r="E98" s="348"/>
      <c r="F98" s="354">
        <v>0</v>
      </c>
      <c r="G98" s="362">
        <f>E80</f>
        <v>750</v>
      </c>
      <c r="H98" s="375">
        <f>G98*F98</f>
        <v>0</v>
      </c>
      <c r="I98" s="351">
        <v>0</v>
      </c>
      <c r="J98" s="362">
        <f>E80</f>
        <v>750</v>
      </c>
      <c r="K98" s="375">
        <f t="shared" si="18"/>
        <v>0</v>
      </c>
      <c r="L98" s="358">
        <f t="shared" si="14"/>
        <v>0</v>
      </c>
      <c r="M98" s="377" t="str">
        <f t="shared" si="16"/>
        <v/>
      </c>
    </row>
    <row r="99" spans="1:13" x14ac:dyDescent="0.2">
      <c r="A99" s="59" t="str">
        <f t="shared" si="17"/>
        <v>RESIDENTIAL SERVICE CLASSIFICATION</v>
      </c>
      <c r="C99" s="390"/>
      <c r="D99" s="75" t="s">
        <v>145</v>
      </c>
      <c r="E99" s="348"/>
      <c r="F99" s="354">
        <v>4.8999999999999998E-3</v>
      </c>
      <c r="G99" s="362">
        <f>IF($E81&gt;0, $E81, $E80)</f>
        <v>750</v>
      </c>
      <c r="H99" s="375">
        <f t="shared" si="15"/>
        <v>3.6749999999999998</v>
      </c>
      <c r="I99" s="351">
        <v>4.8999999999999998E-3</v>
      </c>
      <c r="J99" s="362">
        <f>IF($E81&gt;0, $E81, $E80)</f>
        <v>750</v>
      </c>
      <c r="K99" s="375">
        <f t="shared" si="18"/>
        <v>3.6749999999999998</v>
      </c>
      <c r="L99" s="358">
        <f t="shared" si="14"/>
        <v>0</v>
      </c>
      <c r="M99" s="377">
        <f t="shared" si="16"/>
        <v>0</v>
      </c>
    </row>
    <row r="100" spans="1:13" ht="25.5" x14ac:dyDescent="0.2">
      <c r="A100" s="59" t="str">
        <f t="shared" si="17"/>
        <v>RESIDENTIAL SERVICE CLASSIFICATION</v>
      </c>
      <c r="C100" s="390"/>
      <c r="D100" s="429" t="s">
        <v>5951</v>
      </c>
      <c r="E100" s="348"/>
      <c r="F100" s="1001">
        <f>IF(OR(ISNUMBER(SEARCH("RESIDENTIAL", E78))=TRUE, ISNUMBER(SEARCH("GENERAL SERVICE LESS THAN 50", E78))=TRUE), SME, 0)</f>
        <v>0.56999999999999995</v>
      </c>
      <c r="G100" s="330">
        <v>1</v>
      </c>
      <c r="H100" s="375">
        <f>G100*F100</f>
        <v>0.56999999999999995</v>
      </c>
      <c r="I100" s="1002">
        <f>IF(OR(ISNUMBER(SEARCH("RESIDENTIAL", E78))=TRUE, ISNUMBER(SEARCH("GENERAL SERVICE LESS THAN 50", E78))=TRUE), SME, 0)</f>
        <v>0.56999999999999995</v>
      </c>
      <c r="J100" s="330">
        <v>1</v>
      </c>
      <c r="K100" s="375">
        <f>J100*I100</f>
        <v>0.56999999999999995</v>
      </c>
      <c r="L100" s="358">
        <f t="shared" si="14"/>
        <v>0</v>
      </c>
      <c r="M100" s="377">
        <f>IF(ISERROR(L100/H100), "", L100/H100)</f>
        <v>0</v>
      </c>
    </row>
    <row r="101" spans="1:13" x14ac:dyDescent="0.2">
      <c r="A101" s="59" t="str">
        <f t="shared" si="17"/>
        <v>RESIDENTIAL SERVICE CLASSIFICATION</v>
      </c>
      <c r="C101" s="390"/>
      <c r="D101" s="75" t="s">
        <v>4871</v>
      </c>
      <c r="E101" s="348"/>
      <c r="F101" s="374">
        <v>0</v>
      </c>
      <c r="G101" s="330">
        <v>1</v>
      </c>
      <c r="H101" s="375">
        <f t="shared" si="15"/>
        <v>0</v>
      </c>
      <c r="I101" s="376">
        <v>0</v>
      </c>
      <c r="J101" s="330">
        <v>1</v>
      </c>
      <c r="K101" s="375">
        <f>J101*I101</f>
        <v>0</v>
      </c>
      <c r="L101" s="358">
        <f>K101-H101</f>
        <v>0</v>
      </c>
      <c r="M101" s="377" t="str">
        <f>IF(ISERROR(L101/H101), "", L101/H101)</f>
        <v/>
      </c>
    </row>
    <row r="102" spans="1:13" x14ac:dyDescent="0.2">
      <c r="A102" s="59" t="str">
        <f t="shared" si="17"/>
        <v>RESIDENTIAL SERVICE CLASSIFICATION</v>
      </c>
      <c r="C102" s="390"/>
      <c r="D102" s="75" t="s">
        <v>4870</v>
      </c>
      <c r="E102" s="348"/>
      <c r="F102" s="354"/>
      <c r="G102" s="362">
        <f>IF($E81&gt;0, $E81, $E80)</f>
        <v>750</v>
      </c>
      <c r="H102" s="375">
        <f>G102*F102</f>
        <v>0</v>
      </c>
      <c r="I102" s="351">
        <v>0</v>
      </c>
      <c r="J102" s="362">
        <f>IF($E81&gt;0, $E81, $E80)</f>
        <v>750</v>
      </c>
      <c r="K102" s="375">
        <f>J102*I102</f>
        <v>0</v>
      </c>
      <c r="L102" s="358">
        <f t="shared" si="14"/>
        <v>0</v>
      </c>
      <c r="M102" s="377" t="str">
        <f>IF(ISERROR(L102/H102), "", L102/H102)</f>
        <v/>
      </c>
    </row>
    <row r="103" spans="1:13" ht="25.5" x14ac:dyDescent="0.2">
      <c r="A103" s="59" t="str">
        <f t="shared" si="17"/>
        <v>RESIDENTIAL SERVICE CLASSIFICATION</v>
      </c>
      <c r="B103" s="1032" t="s">
        <v>1655</v>
      </c>
      <c r="C103" s="390">
        <f>B30</f>
        <v>1</v>
      </c>
      <c r="D103" s="312" t="s">
        <v>1686</v>
      </c>
      <c r="E103" s="313"/>
      <c r="F103" s="349"/>
      <c r="G103" s="359"/>
      <c r="H103" s="314">
        <f>SUM(H94:H102)</f>
        <v>34.446235750000007</v>
      </c>
      <c r="I103" s="350"/>
      <c r="J103" s="360"/>
      <c r="K103" s="314">
        <f>SUM(K94:K102)</f>
        <v>34.276235750000005</v>
      </c>
      <c r="L103" s="309">
        <f t="shared" si="14"/>
        <v>-0.17000000000000171</v>
      </c>
      <c r="M103" s="310">
        <f>IF((H103)=0,"",(L103/H103))</f>
        <v>-4.9352272112926495E-3</v>
      </c>
    </row>
    <row r="104" spans="1:13" x14ac:dyDescent="0.2">
      <c r="A104" s="59" t="str">
        <f t="shared" si="17"/>
        <v>RESIDENTIAL SERVICE CLASSIFICATION</v>
      </c>
      <c r="C104" s="390"/>
      <c r="D104" s="77" t="s">
        <v>360</v>
      </c>
      <c r="E104" s="348"/>
      <c r="F104" s="354">
        <v>6.3E-3</v>
      </c>
      <c r="G104" s="361">
        <f>IF($E81&gt;0, $E81, $E80*$E82)</f>
        <v>811.42500000000007</v>
      </c>
      <c r="H104" s="375">
        <f>G104*F104</f>
        <v>5.1119775000000001</v>
      </c>
      <c r="I104" s="351">
        <v>6.4000000000000003E-3</v>
      </c>
      <c r="J104" s="361">
        <f>IF($E81&gt;0, $E81, $E80*$E83)</f>
        <v>811.42500000000007</v>
      </c>
      <c r="K104" s="375">
        <f>J104*I104</f>
        <v>5.1931200000000004</v>
      </c>
      <c r="L104" s="358">
        <f t="shared" si="14"/>
        <v>8.1142500000000339E-2</v>
      </c>
      <c r="M104" s="377">
        <f>IF(ISERROR(L104/H104), "", L104/H104)</f>
        <v>1.5873015873015938E-2</v>
      </c>
    </row>
    <row r="105" spans="1:13" ht="25.5" x14ac:dyDescent="0.2">
      <c r="A105" s="59" t="str">
        <f t="shared" si="17"/>
        <v>RESIDENTIAL SERVICE CLASSIFICATION</v>
      </c>
      <c r="C105" s="390"/>
      <c r="D105" s="189" t="s">
        <v>370</v>
      </c>
      <c r="E105" s="348"/>
      <c r="F105" s="354">
        <v>5.1000000000000004E-3</v>
      </c>
      <c r="G105" s="361">
        <f>IF($E81&gt;0, $E81, $E80*$E82)</f>
        <v>811.42500000000007</v>
      </c>
      <c r="H105" s="375">
        <f>G105*F105</f>
        <v>4.1382675000000004</v>
      </c>
      <c r="I105" s="351">
        <v>5.1000000000000004E-3</v>
      </c>
      <c r="J105" s="361">
        <f>IF($E81&gt;0, $E81, $E80*$E83)</f>
        <v>811.42500000000007</v>
      </c>
      <c r="K105" s="375">
        <f>J105*I105</f>
        <v>4.1382675000000004</v>
      </c>
      <c r="L105" s="358">
        <f t="shared" si="14"/>
        <v>0</v>
      </c>
      <c r="M105" s="377">
        <f>IF(ISERROR(L105/H105), "", L105/H105)</f>
        <v>0</v>
      </c>
    </row>
    <row r="106" spans="1:13" ht="25.5" x14ac:dyDescent="0.2">
      <c r="A106" s="59" t="str">
        <f t="shared" si="17"/>
        <v>RESIDENTIAL SERVICE CLASSIFICATION</v>
      </c>
      <c r="B106" s="1032" t="s">
        <v>1656</v>
      </c>
      <c r="C106" s="390">
        <f>B30</f>
        <v>1</v>
      </c>
      <c r="D106" s="312" t="s">
        <v>1687</v>
      </c>
      <c r="E106" s="308"/>
      <c r="F106" s="349"/>
      <c r="G106" s="359"/>
      <c r="H106" s="314">
        <f>SUM(H103:H105)</f>
        <v>43.696480750000006</v>
      </c>
      <c r="I106" s="350"/>
      <c r="J106" s="315"/>
      <c r="K106" s="314">
        <f>SUM(K103:K105)</f>
        <v>43.607623250000003</v>
      </c>
      <c r="L106" s="309">
        <f t="shared" si="14"/>
        <v>-8.8857500000003142E-2</v>
      </c>
      <c r="M106" s="310">
        <f>IF((H106)=0,"",(L106/H106))</f>
        <v>-2.0335161659443966E-3</v>
      </c>
    </row>
    <row r="107" spans="1:13" ht="25.5" x14ac:dyDescent="0.2">
      <c r="A107" s="59" t="str">
        <f t="shared" si="17"/>
        <v>RESIDENTIAL SERVICE CLASSIFICATION</v>
      </c>
      <c r="C107" s="390"/>
      <c r="D107" s="316" t="s">
        <v>361</v>
      </c>
      <c r="E107" s="348"/>
      <c r="F107" s="354">
        <v>3.6000000000000003E-3</v>
      </c>
      <c r="G107" s="361">
        <f>E80*E82</f>
        <v>811.42500000000007</v>
      </c>
      <c r="H107" s="363">
        <f t="shared" ref="H107:H113" si="19">G107*F107</f>
        <v>2.9211300000000007</v>
      </c>
      <c r="I107" s="351">
        <v>3.6000000000000003E-3</v>
      </c>
      <c r="J107" s="361">
        <f>E80*E83</f>
        <v>811.42500000000007</v>
      </c>
      <c r="K107" s="363">
        <f t="shared" ref="K107:K113" si="20">J107*I107</f>
        <v>2.9211300000000007</v>
      </c>
      <c r="L107" s="358">
        <f t="shared" si="14"/>
        <v>0</v>
      </c>
      <c r="M107" s="377">
        <f t="shared" ref="M107:M115" si="21">IF(ISERROR(L107/H107), "", L107/H107)</f>
        <v>0</v>
      </c>
    </row>
    <row r="108" spans="1:13" ht="25.5" x14ac:dyDescent="0.2">
      <c r="A108" s="59" t="str">
        <f t="shared" si="17"/>
        <v>RESIDENTIAL SERVICE CLASSIFICATION</v>
      </c>
      <c r="C108" s="390"/>
      <c r="D108" s="316" t="s">
        <v>362</v>
      </c>
      <c r="E108" s="348"/>
      <c r="F108" s="354">
        <f>'17. Regulatory Charges'!$D$16</f>
        <v>2.9999999999999997E-4</v>
      </c>
      <c r="G108" s="361">
        <f>E80*E82</f>
        <v>811.42500000000007</v>
      </c>
      <c r="H108" s="363">
        <f t="shared" si="19"/>
        <v>0.24342749999999999</v>
      </c>
      <c r="I108" s="351">
        <v>2.9999999999999997E-4</v>
      </c>
      <c r="J108" s="361">
        <f>E80*E83</f>
        <v>811.42500000000007</v>
      </c>
      <c r="K108" s="363">
        <f t="shared" si="20"/>
        <v>0.24342749999999999</v>
      </c>
      <c r="L108" s="358">
        <f t="shared" si="14"/>
        <v>0</v>
      </c>
      <c r="M108" s="377">
        <f t="shared" si="21"/>
        <v>0</v>
      </c>
    </row>
    <row r="109" spans="1:13" x14ac:dyDescent="0.2">
      <c r="A109" s="59" t="str">
        <f t="shared" si="17"/>
        <v>RESIDENTIAL SERVICE CLASSIFICATION</v>
      </c>
      <c r="C109" s="390"/>
      <c r="D109" s="305" t="s">
        <v>363</v>
      </c>
      <c r="E109" s="348"/>
      <c r="F109" s="1001">
        <v>0.25</v>
      </c>
      <c r="G109" s="330">
        <v>1</v>
      </c>
      <c r="H109" s="363">
        <f t="shared" si="19"/>
        <v>0.25</v>
      </c>
      <c r="I109" s="1002">
        <f>'17. Regulatory Charges'!$D$17</f>
        <v>0.25</v>
      </c>
      <c r="J109" s="357">
        <v>1</v>
      </c>
      <c r="K109" s="363">
        <f t="shared" si="20"/>
        <v>0.25</v>
      </c>
      <c r="L109" s="358">
        <f t="shared" si="14"/>
        <v>0</v>
      </c>
      <c r="M109" s="377">
        <f t="shared" si="21"/>
        <v>0</v>
      </c>
    </row>
    <row r="110" spans="1:13" ht="25.5" hidden="1" x14ac:dyDescent="0.2">
      <c r="A110" s="59" t="str">
        <f t="shared" si="17"/>
        <v>RESIDENTIAL SERVICE CLASSIFICATION</v>
      </c>
      <c r="C110" s="390"/>
      <c r="D110" s="316" t="s">
        <v>1688</v>
      </c>
      <c r="E110" s="348"/>
      <c r="F110" s="354"/>
      <c r="G110" s="361"/>
      <c r="H110" s="363"/>
      <c r="I110" s="351"/>
      <c r="J110" s="361"/>
      <c r="K110" s="363"/>
      <c r="L110" s="358"/>
      <c r="M110" s="377"/>
    </row>
    <row r="111" spans="1:13" x14ac:dyDescent="0.2">
      <c r="A111" s="59" t="str">
        <f t="shared" si="17"/>
        <v>RESIDENTIAL SERVICE CLASSIFICATION</v>
      </c>
      <c r="B111" s="1032" t="s">
        <v>1647</v>
      </c>
      <c r="C111" s="390"/>
      <c r="D111" s="311" t="s">
        <v>228</v>
      </c>
      <c r="E111" s="348"/>
      <c r="F111" s="355">
        <f>OffPeak</f>
        <v>6.5000000000000002E-2</v>
      </c>
      <c r="G111" s="317">
        <f>IF(AND(E80*12&gt;=150000),0.65*E80*E82,0.65*E80)</f>
        <v>487.5</v>
      </c>
      <c r="H111" s="363">
        <f t="shared" si="19"/>
        <v>31.6875</v>
      </c>
      <c r="I111" s="352">
        <f>OffPeak</f>
        <v>6.5000000000000002E-2</v>
      </c>
      <c r="J111" s="317">
        <f>IF(AND(E80*12&gt;=150000),0.65*E80*E83,0.65*E80)</f>
        <v>487.5</v>
      </c>
      <c r="K111" s="363">
        <f t="shared" si="20"/>
        <v>31.6875</v>
      </c>
      <c r="L111" s="358">
        <f>K111-H111</f>
        <v>0</v>
      </c>
      <c r="M111" s="377">
        <f t="shared" si="21"/>
        <v>0</v>
      </c>
    </row>
    <row r="112" spans="1:13" x14ac:dyDescent="0.2">
      <c r="A112" s="59" t="str">
        <f t="shared" si="17"/>
        <v>RESIDENTIAL SERVICE CLASSIFICATION</v>
      </c>
      <c r="B112" s="1032" t="s">
        <v>1647</v>
      </c>
      <c r="C112" s="390"/>
      <c r="D112" s="311" t="s">
        <v>229</v>
      </c>
      <c r="E112" s="348"/>
      <c r="F112" s="355">
        <f>MidPeak</f>
        <v>9.4E-2</v>
      </c>
      <c r="G112" s="317">
        <f>IF(AND(E80*12&gt;=150000),0.17*E80*E82,0.17*E80)</f>
        <v>127.50000000000001</v>
      </c>
      <c r="H112" s="363">
        <f t="shared" si="19"/>
        <v>11.985000000000001</v>
      </c>
      <c r="I112" s="352">
        <f>MidPeak</f>
        <v>9.4E-2</v>
      </c>
      <c r="J112" s="317">
        <f>IF(AND(E80*12&gt;=150000),0.17*E80*E83,0.17*E80)</f>
        <v>127.50000000000001</v>
      </c>
      <c r="K112" s="363">
        <f t="shared" si="20"/>
        <v>11.985000000000001</v>
      </c>
      <c r="L112" s="358">
        <f>K112-H112</f>
        <v>0</v>
      </c>
      <c r="M112" s="377">
        <f t="shared" si="21"/>
        <v>0</v>
      </c>
    </row>
    <row r="113" spans="1:13" ht="13.5" thickBot="1" x14ac:dyDescent="0.25">
      <c r="A113" s="59" t="str">
        <f t="shared" si="17"/>
        <v>RESIDENTIAL SERVICE CLASSIFICATION</v>
      </c>
      <c r="B113" s="1032" t="s">
        <v>1647</v>
      </c>
      <c r="C113" s="390"/>
      <c r="D113" s="1032" t="s">
        <v>230</v>
      </c>
      <c r="E113" s="348"/>
      <c r="F113" s="355">
        <f>OnPeak</f>
        <v>0.13200000000000001</v>
      </c>
      <c r="G113" s="317">
        <f>IF(AND(E80*12&gt;=150000),0.18*E80*E82,0.18*E80)</f>
        <v>135</v>
      </c>
      <c r="H113" s="363">
        <f t="shared" si="19"/>
        <v>17.82</v>
      </c>
      <c r="I113" s="352">
        <f>OnPeak</f>
        <v>0.13200000000000001</v>
      </c>
      <c r="J113" s="317">
        <f>IF(AND(E80*12&gt;=150000),0.18*E80*E83,0.18*E80)</f>
        <v>135</v>
      </c>
      <c r="K113" s="363">
        <f t="shared" si="20"/>
        <v>17.82</v>
      </c>
      <c r="L113" s="358">
        <f>K113-H113</f>
        <v>0</v>
      </c>
      <c r="M113" s="377">
        <f t="shared" si="21"/>
        <v>0</v>
      </c>
    </row>
    <row r="114" spans="1:13" hidden="1" x14ac:dyDescent="0.2">
      <c r="A114" s="59" t="str">
        <f t="shared" si="17"/>
        <v>RESIDENTIAL SERVICE CLASSIFICATION</v>
      </c>
      <c r="B114" s="59" t="s">
        <v>1648</v>
      </c>
      <c r="C114" s="390"/>
      <c r="D114" s="311" t="s">
        <v>1657</v>
      </c>
      <c r="E114" s="348"/>
      <c r="F114" s="356">
        <v>0.1101</v>
      </c>
      <c r="G114" s="317">
        <f>IF(AND(E80*12&gt;=150000),E80*E82,E80)</f>
        <v>750</v>
      </c>
      <c r="H114" s="363">
        <f>G114*F114</f>
        <v>82.575000000000003</v>
      </c>
      <c r="I114" s="353">
        <f>F114</f>
        <v>0.1101</v>
      </c>
      <c r="J114" s="317">
        <f>IF(AND(E80*12&gt;=150000),E80*E83,E80)</f>
        <v>750</v>
      </c>
      <c r="K114" s="363">
        <f>J114*I114</f>
        <v>82.575000000000003</v>
      </c>
      <c r="L114" s="358">
        <f>K114-H114</f>
        <v>0</v>
      </c>
      <c r="M114" s="377">
        <f t="shared" si="21"/>
        <v>0</v>
      </c>
    </row>
    <row r="115" spans="1:13" ht="13.5" hidden="1" thickBot="1" x14ac:dyDescent="0.25">
      <c r="A115" s="59" t="str">
        <f t="shared" si="17"/>
        <v>RESIDENTIAL SERVICE CLASSIFICATION</v>
      </c>
      <c r="B115" s="59" t="s">
        <v>1649</v>
      </c>
      <c r="C115" s="390"/>
      <c r="D115" s="311" t="s">
        <v>1658</v>
      </c>
      <c r="E115" s="348"/>
      <c r="F115" s="356">
        <v>0.1101</v>
      </c>
      <c r="G115" s="317">
        <f>IF(AND(E80*12&gt;=150000),E80*E82,E80)</f>
        <v>750</v>
      </c>
      <c r="H115" s="363">
        <f>G115*F115</f>
        <v>82.575000000000003</v>
      </c>
      <c r="I115" s="353">
        <f>F115</f>
        <v>0.1101</v>
      </c>
      <c r="J115" s="317">
        <f>IF(AND(E80*12&gt;=150000),E80*E83,E80)</f>
        <v>750</v>
      </c>
      <c r="K115" s="363">
        <f>J115*I115</f>
        <v>82.575000000000003</v>
      </c>
      <c r="L115" s="358">
        <f>K115-H115</f>
        <v>0</v>
      </c>
      <c r="M115" s="377">
        <f t="shared" si="21"/>
        <v>0</v>
      </c>
    </row>
    <row r="116" spans="1:13" ht="13.5" thickBot="1" x14ac:dyDescent="0.25">
      <c r="A116" s="59" t="str">
        <f t="shared" si="17"/>
        <v>RESIDENTIAL SERVICE CLASSIFICATION</v>
      </c>
      <c r="B116" s="1032"/>
      <c r="C116" s="390"/>
      <c r="D116" s="318"/>
      <c r="E116" s="319"/>
      <c r="F116" s="364"/>
      <c r="G116" s="236"/>
      <c r="H116" s="365"/>
      <c r="I116" s="364"/>
      <c r="J116" s="366"/>
      <c r="K116" s="365"/>
      <c r="L116" s="367"/>
      <c r="M116" s="239"/>
    </row>
    <row r="117" spans="1:13" x14ac:dyDescent="0.2">
      <c r="A117" s="59" t="str">
        <f t="shared" si="17"/>
        <v>RESIDENTIAL SERVICE CLASSIFICATION</v>
      </c>
      <c r="B117" s="1032" t="s">
        <v>1647</v>
      </c>
      <c r="C117" s="390"/>
      <c r="D117" s="322" t="s">
        <v>365</v>
      </c>
      <c r="E117" s="305"/>
      <c r="F117" s="337"/>
      <c r="G117" s="368"/>
      <c r="H117" s="323">
        <f>SUM(H107:H113,H106)</f>
        <v>108.60353825000001</v>
      </c>
      <c r="I117" s="324"/>
      <c r="J117" s="324"/>
      <c r="K117" s="323">
        <f>SUM(K107:K113,K106)</f>
        <v>108.51468075000001</v>
      </c>
      <c r="L117" s="325">
        <f>K117-H117</f>
        <v>-8.8857500000003142E-2</v>
      </c>
      <c r="M117" s="326">
        <f>IF((H117)=0,"",(L117/H117))</f>
        <v>-8.1818236709247478E-4</v>
      </c>
    </row>
    <row r="118" spans="1:13" x14ac:dyDescent="0.2">
      <c r="A118" s="59" t="str">
        <f t="shared" si="17"/>
        <v>RESIDENTIAL SERVICE CLASSIFICATION</v>
      </c>
      <c r="B118" s="1032" t="s">
        <v>1647</v>
      </c>
      <c r="C118" s="390"/>
      <c r="D118" s="327" t="s">
        <v>152</v>
      </c>
      <c r="E118" s="305"/>
      <c r="F118" s="337">
        <v>0.13</v>
      </c>
      <c r="G118" s="369"/>
      <c r="H118" s="328">
        <f>H117*F118</f>
        <v>14.118459972500002</v>
      </c>
      <c r="I118" s="329">
        <v>0.13</v>
      </c>
      <c r="J118" s="330"/>
      <c r="K118" s="328">
        <f>K117*I118</f>
        <v>14.106908497500003</v>
      </c>
      <c r="L118" s="331">
        <f>K118-H118</f>
        <v>-1.1551474999999201E-2</v>
      </c>
      <c r="M118" s="332">
        <f>IF((H118)=0,"",(L118/H118))</f>
        <v>-8.1818236709238924E-4</v>
      </c>
    </row>
    <row r="119" spans="1:13" x14ac:dyDescent="0.2">
      <c r="A119" s="59" t="str">
        <f t="shared" si="17"/>
        <v>RESIDENTIAL SERVICE CLASSIFICATION</v>
      </c>
      <c r="B119" s="1032" t="s">
        <v>1647</v>
      </c>
      <c r="C119" s="390"/>
      <c r="D119" s="327" t="s">
        <v>2904</v>
      </c>
      <c r="E119" s="305"/>
      <c r="F119" s="337">
        <v>0.08</v>
      </c>
      <c r="G119" s="369"/>
      <c r="H119" s="328">
        <f>H117*-F119</f>
        <v>-8.6882830600000016</v>
      </c>
      <c r="I119" s="337">
        <v>0.08</v>
      </c>
      <c r="J119" s="330"/>
      <c r="K119" s="328">
        <f>K117*-I119</f>
        <v>-8.6811744600000011</v>
      </c>
      <c r="L119" s="331">
        <f>K119-H119</f>
        <v>7.1086000000004645E-3</v>
      </c>
      <c r="M119" s="332"/>
    </row>
    <row r="120" spans="1:13" ht="13.5" thickBot="1" x14ac:dyDescent="0.25">
      <c r="A120" s="59" t="str">
        <f t="shared" si="17"/>
        <v>RESIDENTIAL SERVICE CLASSIFICATION</v>
      </c>
      <c r="B120" s="1032" t="s">
        <v>1659</v>
      </c>
      <c r="C120" s="390">
        <f>B30</f>
        <v>1</v>
      </c>
      <c r="D120" s="1863" t="s">
        <v>1660</v>
      </c>
      <c r="E120" s="1863"/>
      <c r="F120" s="370"/>
      <c r="G120" s="371"/>
      <c r="H120" s="338">
        <f>H117+H118+H119</f>
        <v>114.03371516250002</v>
      </c>
      <c r="I120" s="334"/>
      <c r="J120" s="334"/>
      <c r="K120" s="333">
        <f>K117+K118+K119</f>
        <v>113.9404147875</v>
      </c>
      <c r="L120" s="335">
        <f>K120-H120</f>
        <v>-9.3300375000012536E-2</v>
      </c>
      <c r="M120" s="336">
        <f>IF((H120)=0,"",(L120/H120))</f>
        <v>-8.1818236709255577E-4</v>
      </c>
    </row>
    <row r="121" spans="1:13" ht="13.5" thickBot="1" x14ac:dyDescent="0.25">
      <c r="A121" s="59" t="str">
        <f t="shared" si="17"/>
        <v>RESIDENTIAL SERVICE CLASSIFICATION</v>
      </c>
      <c r="B121" s="59" t="s">
        <v>1647</v>
      </c>
      <c r="C121" s="390"/>
      <c r="D121" s="318"/>
      <c r="E121" s="319"/>
      <c r="F121" s="364"/>
      <c r="G121" s="236"/>
      <c r="H121" s="365"/>
      <c r="I121" s="364"/>
      <c r="J121" s="366"/>
      <c r="K121" s="365"/>
      <c r="L121" s="367"/>
      <c r="M121" s="239"/>
    </row>
    <row r="122" spans="1:13" hidden="1" x14ac:dyDescent="0.2">
      <c r="A122" s="59" t="str">
        <f t="shared" si="17"/>
        <v>RESIDENTIAL SERVICE CLASSIFICATION</v>
      </c>
      <c r="B122" s="59" t="s">
        <v>1648</v>
      </c>
      <c r="C122" s="390"/>
      <c r="D122" s="322" t="s">
        <v>1661</v>
      </c>
      <c r="E122" s="305"/>
      <c r="F122" s="337"/>
      <c r="G122" s="368"/>
      <c r="H122" s="323">
        <f>SUM(H114,H107:H110,H106)</f>
        <v>129.68603825000002</v>
      </c>
      <c r="I122" s="324"/>
      <c r="J122" s="324"/>
      <c r="K122" s="323">
        <f>SUM(K114,K107:K110,K106)</f>
        <v>129.59718075000001</v>
      </c>
      <c r="L122" s="325">
        <f>K122-H122</f>
        <v>-8.8857500000017353E-2</v>
      </c>
      <c r="M122" s="326">
        <f>IF((H122)=0,"",(L122/H122))</f>
        <v>-6.8517398787927997E-4</v>
      </c>
    </row>
    <row r="123" spans="1:13" hidden="1" x14ac:dyDescent="0.2">
      <c r="A123" s="59" t="str">
        <f t="shared" si="17"/>
        <v>RESIDENTIAL SERVICE CLASSIFICATION</v>
      </c>
      <c r="B123" s="59" t="s">
        <v>1648</v>
      </c>
      <c r="C123" s="390"/>
      <c r="D123" s="327" t="s">
        <v>152</v>
      </c>
      <c r="E123" s="305"/>
      <c r="F123" s="337">
        <v>0.13</v>
      </c>
      <c r="G123" s="368"/>
      <c r="H123" s="328">
        <f>H122*F123</f>
        <v>16.859184972500003</v>
      </c>
      <c r="I123" s="337">
        <v>0.13</v>
      </c>
      <c r="J123" s="329"/>
      <c r="K123" s="328">
        <f>K122*I123</f>
        <v>16.847633497500002</v>
      </c>
      <c r="L123" s="331">
        <f>K123-H123</f>
        <v>-1.1551475000000977E-2</v>
      </c>
      <c r="M123" s="332">
        <f>IF((H123)=0,"",(L123/H123))</f>
        <v>-6.8517398787920408E-4</v>
      </c>
    </row>
    <row r="124" spans="1:13" hidden="1" x14ac:dyDescent="0.2">
      <c r="A124" s="59" t="str">
        <f t="shared" si="17"/>
        <v>RESIDENTIAL SERVICE CLASSIFICATION</v>
      </c>
      <c r="B124" s="59" t="s">
        <v>1648</v>
      </c>
      <c r="C124" s="390"/>
      <c r="D124" s="327" t="s">
        <v>2904</v>
      </c>
      <c r="E124" s="305"/>
      <c r="F124" s="337">
        <v>0.08</v>
      </c>
      <c r="G124" s="368"/>
      <c r="H124" s="877"/>
      <c r="I124" s="337">
        <v>0.08</v>
      </c>
      <c r="J124" s="329"/>
      <c r="K124" s="877"/>
      <c r="L124" s="331"/>
      <c r="M124" s="332"/>
    </row>
    <row r="125" spans="1:13" ht="13.5" hidden="1" thickBot="1" x14ac:dyDescent="0.25">
      <c r="A125" s="59" t="str">
        <f t="shared" si="17"/>
        <v>RESIDENTIAL SERVICE CLASSIFICATION</v>
      </c>
      <c r="B125" s="59" t="s">
        <v>1662</v>
      </c>
      <c r="C125" s="390"/>
      <c r="D125" s="1863" t="s">
        <v>1661</v>
      </c>
      <c r="E125" s="1863"/>
      <c r="F125" s="372"/>
      <c r="G125" s="373"/>
      <c r="H125" s="338">
        <f>SUM(H122,H123)</f>
        <v>146.54522322250003</v>
      </c>
      <c r="I125" s="339"/>
      <c r="J125" s="339"/>
      <c r="K125" s="338">
        <f>SUM(K122,K123)</f>
        <v>146.44481424750001</v>
      </c>
      <c r="L125" s="340">
        <f>K125-H125</f>
        <v>-0.10040897500002188</v>
      </c>
      <c r="M125" s="341">
        <f>IF((H125)=0,"",(L125/H125))</f>
        <v>-6.8517398787929548E-4</v>
      </c>
    </row>
    <row r="126" spans="1:13" ht="13.5" hidden="1" thickBot="1" x14ac:dyDescent="0.25">
      <c r="A126" s="59" t="str">
        <f t="shared" si="17"/>
        <v>RESIDENTIAL SERVICE CLASSIFICATION</v>
      </c>
      <c r="B126" s="59" t="s">
        <v>1648</v>
      </c>
      <c r="C126" s="390"/>
      <c r="D126" s="318"/>
      <c r="E126" s="319"/>
      <c r="F126" s="233"/>
      <c r="G126" s="234"/>
      <c r="H126" s="235"/>
      <c r="I126" s="233"/>
      <c r="J126" s="236"/>
      <c r="K126" s="235"/>
      <c r="L126" s="238"/>
      <c r="M126" s="239"/>
    </row>
    <row r="127" spans="1:13" hidden="1" x14ac:dyDescent="0.2">
      <c r="A127" s="59" t="str">
        <f t="shared" si="17"/>
        <v>RESIDENTIAL SERVICE CLASSIFICATION</v>
      </c>
      <c r="B127" s="59" t="s">
        <v>1649</v>
      </c>
      <c r="C127" s="390"/>
      <c r="D127" s="322" t="s">
        <v>1663</v>
      </c>
      <c r="E127" s="305"/>
      <c r="F127" s="337"/>
      <c r="G127" s="368"/>
      <c r="H127" s="323">
        <f>SUM(H115,H107:H110,H106)</f>
        <v>129.68603825000002</v>
      </c>
      <c r="I127" s="324"/>
      <c r="J127" s="324"/>
      <c r="K127" s="323">
        <f>SUM(K115,K107:K110,K106)</f>
        <v>129.59718075000001</v>
      </c>
      <c r="L127" s="325">
        <f>K127-H127</f>
        <v>-8.8857500000017353E-2</v>
      </c>
      <c r="M127" s="326">
        <f>IF((H127)=0,"",(L127/H127))</f>
        <v>-6.8517398787927997E-4</v>
      </c>
    </row>
    <row r="128" spans="1:13" hidden="1" x14ac:dyDescent="0.2">
      <c r="A128" s="59" t="str">
        <f t="shared" si="17"/>
        <v>RESIDENTIAL SERVICE CLASSIFICATION</v>
      </c>
      <c r="B128" s="59" t="s">
        <v>1649</v>
      </c>
      <c r="C128" s="390"/>
      <c r="D128" s="327" t="s">
        <v>152</v>
      </c>
      <c r="E128" s="305"/>
      <c r="F128" s="337">
        <v>0.13</v>
      </c>
      <c r="G128" s="368"/>
      <c r="H128" s="328">
        <f>H127*F128</f>
        <v>16.859184972500003</v>
      </c>
      <c r="I128" s="337">
        <v>0.13</v>
      </c>
      <c r="J128" s="329"/>
      <c r="K128" s="328">
        <f>K127*I128</f>
        <v>16.847633497500002</v>
      </c>
      <c r="L128" s="331">
        <f>K128-H128</f>
        <v>-1.1551475000000977E-2</v>
      </c>
      <c r="M128" s="332">
        <f>IF((H128)=0,"",(L128/H128))</f>
        <v>-6.8517398787920408E-4</v>
      </c>
    </row>
    <row r="129" spans="1:20" hidden="1" x14ac:dyDescent="0.2">
      <c r="A129" s="59" t="str">
        <f t="shared" si="17"/>
        <v>RESIDENTIAL SERVICE CLASSIFICATION</v>
      </c>
      <c r="B129" s="59" t="s">
        <v>1649</v>
      </c>
      <c r="C129" s="390"/>
      <c r="D129" s="327" t="s">
        <v>2904</v>
      </c>
      <c r="E129" s="305"/>
      <c r="F129" s="337">
        <v>0.08</v>
      </c>
      <c r="G129" s="368"/>
      <c r="H129" s="877"/>
      <c r="I129" s="337">
        <v>0.08</v>
      </c>
      <c r="J129" s="329"/>
      <c r="K129" s="877"/>
      <c r="L129" s="331"/>
      <c r="M129" s="332"/>
    </row>
    <row r="130" spans="1:20" ht="13.5" hidden="1" thickBot="1" x14ac:dyDescent="0.25">
      <c r="A130" s="59" t="str">
        <f t="shared" si="17"/>
        <v>RESIDENTIAL SERVICE CLASSIFICATION</v>
      </c>
      <c r="B130" s="59" t="s">
        <v>1664</v>
      </c>
      <c r="C130" s="390"/>
      <c r="D130" s="1863" t="s">
        <v>1663</v>
      </c>
      <c r="E130" s="1863"/>
      <c r="F130" s="372"/>
      <c r="G130" s="373"/>
      <c r="H130" s="338">
        <f>SUM(H127,H128)</f>
        <v>146.54522322250003</v>
      </c>
      <c r="I130" s="339"/>
      <c r="J130" s="339"/>
      <c r="K130" s="338">
        <f>SUM(K127,K128)</f>
        <v>146.44481424750001</v>
      </c>
      <c r="L130" s="340">
        <f>K130-H130</f>
        <v>-0.10040897500002188</v>
      </c>
      <c r="M130" s="341">
        <f>IF((H130)=0,"",(L130/H130))</f>
        <v>-6.8517398787929548E-4</v>
      </c>
    </row>
    <row r="131" spans="1:20" ht="13.5" hidden="1" thickBot="1" x14ac:dyDescent="0.25">
      <c r="A131" s="59" t="str">
        <f t="shared" si="17"/>
        <v>RESIDENTIAL SERVICE CLASSIFICATION</v>
      </c>
      <c r="B131" s="59" t="s">
        <v>1649</v>
      </c>
      <c r="C131" s="390"/>
      <c r="D131" s="318"/>
      <c r="E131" s="319"/>
      <c r="F131" s="342"/>
      <c r="G131" s="343"/>
      <c r="H131" s="344"/>
      <c r="I131" s="342"/>
      <c r="J131" s="320"/>
      <c r="K131" s="344"/>
      <c r="L131" s="345"/>
      <c r="M131" s="321"/>
    </row>
    <row r="134" spans="1:20" x14ac:dyDescent="0.2">
      <c r="C134" s="59"/>
      <c r="D134" s="290" t="s">
        <v>1652</v>
      </c>
      <c r="E134" s="1872" t="str">
        <f>D31</f>
        <v>GENERAL SERVICE LESS THAN 50 KW SERVICE CLASSIFICATION</v>
      </c>
      <c r="F134" s="1872"/>
      <c r="G134" s="1872"/>
      <c r="H134" s="1872"/>
      <c r="I134" s="1872"/>
      <c r="J134" s="1872"/>
      <c r="K134" s="59" t="str">
        <f>IF(N31="DEMAND - INTERVAL","RTSR - INTERVAL METERED","")</f>
        <v/>
      </c>
      <c r="T134" s="59" t="s">
        <v>628</v>
      </c>
    </row>
    <row r="135" spans="1:20" x14ac:dyDescent="0.2">
      <c r="C135" s="59"/>
      <c r="D135" s="290" t="s">
        <v>1653</v>
      </c>
      <c r="E135" s="1873" t="str">
        <f>H31</f>
        <v>RPP</v>
      </c>
      <c r="F135" s="1873"/>
      <c r="G135" s="1873"/>
      <c r="H135" s="291"/>
      <c r="I135" s="291"/>
    </row>
    <row r="136" spans="1:20" ht="15.75" x14ac:dyDescent="0.2">
      <c r="C136" s="59"/>
      <c r="D136" s="290" t="s">
        <v>157</v>
      </c>
      <c r="E136" s="1613">
        <f>K31</f>
        <v>2000</v>
      </c>
      <c r="F136" s="293" t="s">
        <v>158</v>
      </c>
      <c r="G136" s="1032"/>
      <c r="J136" s="294"/>
      <c r="K136" s="294"/>
      <c r="L136" s="294"/>
      <c r="M136" s="294"/>
    </row>
    <row r="137" spans="1:20" ht="15.75" x14ac:dyDescent="0.25">
      <c r="C137" s="59"/>
      <c r="D137" s="290" t="s">
        <v>369</v>
      </c>
      <c r="E137" s="1613">
        <f>L31</f>
        <v>0</v>
      </c>
      <c r="F137" s="295" t="s">
        <v>159</v>
      </c>
      <c r="G137" s="296"/>
      <c r="H137" s="297"/>
      <c r="I137" s="297"/>
      <c r="J137" s="297"/>
    </row>
    <row r="138" spans="1:20" x14ac:dyDescent="0.2">
      <c r="C138" s="59"/>
      <c r="D138" s="290" t="s">
        <v>1684</v>
      </c>
      <c r="E138" s="298">
        <f>I31</f>
        <v>1.0819000000000001</v>
      </c>
    </row>
    <row r="139" spans="1:20" x14ac:dyDescent="0.2">
      <c r="C139" s="59"/>
      <c r="D139" s="290" t="s">
        <v>1685</v>
      </c>
      <c r="E139" s="298">
        <f>J31</f>
        <v>1.0819000000000001</v>
      </c>
    </row>
    <row r="140" spans="1:20" x14ac:dyDescent="0.2">
      <c r="C140" s="59"/>
      <c r="D140" s="1032"/>
    </row>
    <row r="141" spans="1:20" x14ac:dyDescent="0.2">
      <c r="C141" s="59"/>
      <c r="D141" s="1032"/>
      <c r="E141" s="299"/>
      <c r="F141" s="1864" t="s">
        <v>2271</v>
      </c>
      <c r="G141" s="1874"/>
      <c r="H141" s="1865"/>
      <c r="I141" s="1864" t="s">
        <v>350</v>
      </c>
      <c r="J141" s="1874"/>
      <c r="K141" s="1865"/>
      <c r="L141" s="1864" t="s">
        <v>351</v>
      </c>
      <c r="M141" s="1865"/>
    </row>
    <row r="142" spans="1:20" x14ac:dyDescent="0.2">
      <c r="C142" s="59"/>
      <c r="D142" s="1032"/>
      <c r="E142" s="1866"/>
      <c r="F142" s="300" t="s">
        <v>352</v>
      </c>
      <c r="G142" s="300" t="s">
        <v>150</v>
      </c>
      <c r="H142" s="301" t="s">
        <v>353</v>
      </c>
      <c r="I142" s="300" t="s">
        <v>352</v>
      </c>
      <c r="J142" s="302" t="s">
        <v>150</v>
      </c>
      <c r="K142" s="301" t="s">
        <v>353</v>
      </c>
      <c r="L142" s="1868" t="s">
        <v>354</v>
      </c>
      <c r="M142" s="1870" t="s">
        <v>355</v>
      </c>
    </row>
    <row r="143" spans="1:20" x14ac:dyDescent="0.2">
      <c r="C143" s="59"/>
      <c r="D143" s="1032"/>
      <c r="E143" s="1867"/>
      <c r="F143" s="303" t="s">
        <v>356</v>
      </c>
      <c r="G143" s="303"/>
      <c r="H143" s="304" t="s">
        <v>356</v>
      </c>
      <c r="I143" s="303" t="s">
        <v>356</v>
      </c>
      <c r="J143" s="304"/>
      <c r="K143" s="304" t="s">
        <v>356</v>
      </c>
      <c r="L143" s="1869"/>
      <c r="M143" s="1871"/>
    </row>
    <row r="144" spans="1:20" x14ac:dyDescent="0.2">
      <c r="A144" s="59" t="str">
        <f>$E134</f>
        <v>GENERAL SERVICE LESS THAN 50 KW SERVICE CLASSIFICATION</v>
      </c>
      <c r="C144" s="390"/>
      <c r="D144" s="69" t="s">
        <v>357</v>
      </c>
      <c r="E144" s="348"/>
      <c r="F144" s="374">
        <v>30.79</v>
      </c>
      <c r="G144" s="330">
        <v>1</v>
      </c>
      <c r="H144" s="375">
        <f>G144*F144</f>
        <v>30.79</v>
      </c>
      <c r="I144" s="376">
        <v>31.07</v>
      </c>
      <c r="J144" s="357">
        <f>G144</f>
        <v>1</v>
      </c>
      <c r="K144" s="375">
        <f>J144*I144</f>
        <v>31.07</v>
      </c>
      <c r="L144" s="358">
        <f t="shared" ref="L144:L165" si="22">K144-H144</f>
        <v>0.28000000000000114</v>
      </c>
      <c r="M144" s="377">
        <f>IF(ISERROR(L144/H144), "", L144/H144)</f>
        <v>9.0938616433907486E-3</v>
      </c>
    </row>
    <row r="145" spans="1:13" x14ac:dyDescent="0.2">
      <c r="A145" s="59" t="str">
        <f>A144</f>
        <v>GENERAL SERVICE LESS THAN 50 KW SERVICE CLASSIFICATION</v>
      </c>
      <c r="C145" s="390"/>
      <c r="D145" s="69" t="s">
        <v>84</v>
      </c>
      <c r="E145" s="348"/>
      <c r="F145" s="354">
        <v>1.11E-2</v>
      </c>
      <c r="G145" s="330">
        <f>IF($E137&gt;0, $E137, $E136)</f>
        <v>2000</v>
      </c>
      <c r="H145" s="375">
        <f t="shared" ref="H145:H157" si="23">G145*F145</f>
        <v>22.2</v>
      </c>
      <c r="I145" s="351">
        <v>1.12E-2</v>
      </c>
      <c r="J145" s="357">
        <f>IF($E137&gt;0, $E137, $E136)</f>
        <v>2000</v>
      </c>
      <c r="K145" s="375">
        <f>J145*I145</f>
        <v>22.4</v>
      </c>
      <c r="L145" s="358">
        <f t="shared" si="22"/>
        <v>0.19999999999999929</v>
      </c>
      <c r="M145" s="377">
        <f t="shared" ref="M145:M155" si="24">IF(ISERROR(L145/H145), "", L145/H145)</f>
        <v>9.0090090090089777E-3</v>
      </c>
    </row>
    <row r="146" spans="1:13" hidden="1" x14ac:dyDescent="0.2">
      <c r="A146" s="59" t="str">
        <f t="shared" ref="A146:A187" si="25">A145</f>
        <v>GENERAL SERVICE LESS THAN 50 KW SERVICE CLASSIFICATION</v>
      </c>
      <c r="C146" s="390"/>
      <c r="D146" s="69" t="s">
        <v>5950</v>
      </c>
      <c r="E146" s="348"/>
      <c r="F146" s="354"/>
      <c r="G146" s="330">
        <f>IF($E137&gt;0, $E137, $E136)</f>
        <v>2000</v>
      </c>
      <c r="H146" s="375">
        <v>0</v>
      </c>
      <c r="I146" s="351"/>
      <c r="J146" s="357">
        <f>IF($E137&gt;0, $E137, $E136)</f>
        <v>2000</v>
      </c>
      <c r="K146" s="375">
        <v>0</v>
      </c>
      <c r="L146" s="358"/>
      <c r="M146" s="377"/>
    </row>
    <row r="147" spans="1:13" hidden="1" x14ac:dyDescent="0.2">
      <c r="A147" s="59" t="str">
        <f t="shared" si="25"/>
        <v>GENERAL SERVICE LESS THAN 50 KW SERVICE CLASSIFICATION</v>
      </c>
      <c r="C147" s="390"/>
      <c r="D147" s="69" t="s">
        <v>4872</v>
      </c>
      <c r="E147" s="348"/>
      <c r="F147" s="354"/>
      <c r="G147" s="330">
        <f>IF($E137&gt;0, $E137, $E136)</f>
        <v>2000</v>
      </c>
      <c r="H147" s="375">
        <v>0</v>
      </c>
      <c r="I147" s="351"/>
      <c r="J147" s="330">
        <f>IF($E137&gt;0, $E137, $E136)</f>
        <v>2000</v>
      </c>
      <c r="K147" s="375">
        <v>0</v>
      </c>
      <c r="L147" s="358">
        <f>K147-H147</f>
        <v>0</v>
      </c>
      <c r="M147" s="377" t="str">
        <f>IF(ISERROR(L147/H147), "", L147/H147)</f>
        <v/>
      </c>
    </row>
    <row r="148" spans="1:13" x14ac:dyDescent="0.2">
      <c r="A148" s="59" t="str">
        <f t="shared" si="25"/>
        <v>GENERAL SERVICE LESS THAN 50 KW SERVICE CLASSIFICATION</v>
      </c>
      <c r="C148" s="390"/>
      <c r="D148" s="70" t="s">
        <v>367</v>
      </c>
      <c r="E148" s="348"/>
      <c r="F148" s="374">
        <v>1.1399999999999999</v>
      </c>
      <c r="G148" s="330">
        <v>1</v>
      </c>
      <c r="H148" s="375">
        <f t="shared" si="23"/>
        <v>1.1399999999999999</v>
      </c>
      <c r="I148" s="376">
        <v>1.1399999999999999</v>
      </c>
      <c r="J148" s="357">
        <f>G148</f>
        <v>1</v>
      </c>
      <c r="K148" s="375">
        <f t="shared" ref="K148:K155" si="26">J148*I148</f>
        <v>1.1399999999999999</v>
      </c>
      <c r="L148" s="358">
        <f t="shared" si="22"/>
        <v>0</v>
      </c>
      <c r="M148" s="377">
        <f t="shared" si="24"/>
        <v>0</v>
      </c>
    </row>
    <row r="149" spans="1:13" x14ac:dyDescent="0.2">
      <c r="A149" s="59" t="str">
        <f t="shared" si="25"/>
        <v>GENERAL SERVICE LESS THAN 50 KW SERVICE CLASSIFICATION</v>
      </c>
      <c r="C149" s="390"/>
      <c r="D149" s="69" t="s">
        <v>368</v>
      </c>
      <c r="E149" s="348"/>
      <c r="F149" s="354">
        <v>5.0000000000000001E-4</v>
      </c>
      <c r="G149" s="330">
        <f>IF($E137&gt;0, $E137, $E136)</f>
        <v>2000</v>
      </c>
      <c r="H149" s="375">
        <f t="shared" si="23"/>
        <v>1</v>
      </c>
      <c r="I149" s="351">
        <v>5.9999999999999995E-4</v>
      </c>
      <c r="J149" s="357">
        <f>IF($E137&gt;0, $E137, $E136)</f>
        <v>2000</v>
      </c>
      <c r="K149" s="375">
        <f t="shared" si="26"/>
        <v>1.2</v>
      </c>
      <c r="L149" s="358">
        <f t="shared" si="22"/>
        <v>0.19999999999999996</v>
      </c>
      <c r="M149" s="377">
        <f t="shared" si="24"/>
        <v>0.19999999999999996</v>
      </c>
    </row>
    <row r="150" spans="1:13" x14ac:dyDescent="0.2">
      <c r="A150" s="59" t="str">
        <f t="shared" si="25"/>
        <v>GENERAL SERVICE LESS THAN 50 KW SERVICE CLASSIFICATION</v>
      </c>
      <c r="B150" s="306" t="s">
        <v>1654</v>
      </c>
      <c r="C150" s="390">
        <f>B31</f>
        <v>2</v>
      </c>
      <c r="D150" s="307" t="s">
        <v>358</v>
      </c>
      <c r="E150" s="308"/>
      <c r="F150" s="378"/>
      <c r="G150" s="898"/>
      <c r="H150" s="899">
        <f>SUM(H144:H149)</f>
        <v>55.129999999999995</v>
      </c>
      <c r="I150" s="379"/>
      <c r="J150" s="315"/>
      <c r="K150" s="899">
        <f>SUM(K144:K149)</f>
        <v>55.81</v>
      </c>
      <c r="L150" s="309">
        <f t="shared" si="22"/>
        <v>0.68000000000000682</v>
      </c>
      <c r="M150" s="310">
        <f>IF((H150)=0,"",(L150/H150))</f>
        <v>1.2334482133139976E-2</v>
      </c>
    </row>
    <row r="151" spans="1:13" x14ac:dyDescent="0.2">
      <c r="A151" s="59" t="str">
        <f t="shared" si="25"/>
        <v>GENERAL SERVICE LESS THAN 50 KW SERVICE CLASSIFICATION</v>
      </c>
      <c r="C151" s="390"/>
      <c r="D151" s="73" t="s">
        <v>430</v>
      </c>
      <c r="E151" s="348"/>
      <c r="F151" s="354">
        <f>IF((E136*12&gt;=150000), 0, IF(E135="RPP",(F167*0.65+F168*0.17+F169*0.18),IF(E135="Non-RPP (Retailer)",F170,F171)))</f>
        <v>8.1990000000000007E-2</v>
      </c>
      <c r="G151" s="361">
        <f>IF(F151=0, 0, $E136*E138-E136)</f>
        <v>163.80000000000018</v>
      </c>
      <c r="H151" s="375">
        <f>G151*F151</f>
        <v>13.429962000000016</v>
      </c>
      <c r="I151" s="351">
        <f>IF((E136*12&gt;=150000), 0, IF(E135="RPP",(I167*0.65+I168*0.17+I169*0.18),IF(E135="Non-RPP (Retailer)",I170,I171)))</f>
        <v>8.1990000000000007E-2</v>
      </c>
      <c r="J151" s="361">
        <f>IF(I151=0, 0, E136*E139-E136)</f>
        <v>163.80000000000018</v>
      </c>
      <c r="K151" s="375">
        <f>J151*I151</f>
        <v>13.429962000000016</v>
      </c>
      <c r="L151" s="358">
        <f>K151-H151</f>
        <v>0</v>
      </c>
      <c r="M151" s="377">
        <f>IF(ISERROR(L151/H151), "", L151/H151)</f>
        <v>0</v>
      </c>
    </row>
    <row r="152" spans="1:13" ht="25.5" x14ac:dyDescent="0.2">
      <c r="A152" s="59" t="str">
        <f t="shared" si="25"/>
        <v>GENERAL SERVICE LESS THAN 50 KW SERVICE CLASSIFICATION</v>
      </c>
      <c r="C152" s="390"/>
      <c r="D152" s="73" t="s">
        <v>366</v>
      </c>
      <c r="E152" s="348"/>
      <c r="F152" s="354">
        <v>-2.0999999999999999E-3</v>
      </c>
      <c r="G152" s="362">
        <f>IF($E137&gt;0, $E137, $E136)</f>
        <v>2000</v>
      </c>
      <c r="H152" s="375">
        <f t="shared" si="23"/>
        <v>-4.2</v>
      </c>
      <c r="I152" s="351">
        <v>-1.8E-3</v>
      </c>
      <c r="J152" s="362">
        <f>IF($E137&gt;0, $E137, $E136)</f>
        <v>2000</v>
      </c>
      <c r="K152" s="375">
        <f t="shared" si="26"/>
        <v>-3.6</v>
      </c>
      <c r="L152" s="358">
        <f t="shared" si="22"/>
        <v>0.60000000000000009</v>
      </c>
      <c r="M152" s="377">
        <f t="shared" si="24"/>
        <v>-0.14285714285714288</v>
      </c>
    </row>
    <row r="153" spans="1:13" x14ac:dyDescent="0.2">
      <c r="A153" s="59" t="str">
        <f t="shared" si="25"/>
        <v>GENERAL SERVICE LESS THAN 50 KW SERVICE CLASSIFICATION</v>
      </c>
      <c r="C153" s="390"/>
      <c r="D153" s="73" t="s">
        <v>2885</v>
      </c>
      <c r="E153" s="348"/>
      <c r="F153" s="354">
        <v>0</v>
      </c>
      <c r="G153" s="362">
        <f>IF($E137&gt;0, $E137, $E136)</f>
        <v>2000</v>
      </c>
      <c r="H153" s="375">
        <f>G153*F153</f>
        <v>0</v>
      </c>
      <c r="I153" s="351">
        <v>0</v>
      </c>
      <c r="J153" s="362">
        <f>IF($E137&gt;0, $E137, $E136)</f>
        <v>2000</v>
      </c>
      <c r="K153" s="375">
        <f>J153*I153</f>
        <v>0</v>
      </c>
      <c r="L153" s="358">
        <f t="shared" si="22"/>
        <v>0</v>
      </c>
      <c r="M153" s="377" t="str">
        <f t="shared" si="24"/>
        <v/>
      </c>
    </row>
    <row r="154" spans="1:13" x14ac:dyDescent="0.2">
      <c r="A154" s="59" t="str">
        <f t="shared" si="25"/>
        <v>GENERAL SERVICE LESS THAN 50 KW SERVICE CLASSIFICATION</v>
      </c>
      <c r="C154" s="390"/>
      <c r="D154" s="73" t="s">
        <v>2281</v>
      </c>
      <c r="E154" s="348"/>
      <c r="F154" s="354">
        <v>0</v>
      </c>
      <c r="G154" s="362">
        <f>E136</f>
        <v>2000</v>
      </c>
      <c r="H154" s="375">
        <f>G154*F154</f>
        <v>0</v>
      </c>
      <c r="I154" s="351">
        <v>0</v>
      </c>
      <c r="J154" s="362">
        <f>E136</f>
        <v>2000</v>
      </c>
      <c r="K154" s="375">
        <f t="shared" si="26"/>
        <v>0</v>
      </c>
      <c r="L154" s="358">
        <f t="shared" si="22"/>
        <v>0</v>
      </c>
      <c r="M154" s="377" t="str">
        <f t="shared" si="24"/>
        <v/>
      </c>
    </row>
    <row r="155" spans="1:13" x14ac:dyDescent="0.2">
      <c r="A155" s="59" t="str">
        <f t="shared" si="25"/>
        <v>GENERAL SERVICE LESS THAN 50 KW SERVICE CLASSIFICATION</v>
      </c>
      <c r="C155" s="390"/>
      <c r="D155" s="75" t="s">
        <v>145</v>
      </c>
      <c r="E155" s="348"/>
      <c r="F155" s="354">
        <v>4.4999999999999997E-3</v>
      </c>
      <c r="G155" s="362">
        <f>IF($E137&gt;0, $E137, $E136)</f>
        <v>2000</v>
      </c>
      <c r="H155" s="375">
        <f t="shared" si="23"/>
        <v>9</v>
      </c>
      <c r="I155" s="351">
        <v>4.4999999999999997E-3</v>
      </c>
      <c r="J155" s="362">
        <f>IF($E137&gt;0, $E137, $E136)</f>
        <v>2000</v>
      </c>
      <c r="K155" s="375">
        <f t="shared" si="26"/>
        <v>9</v>
      </c>
      <c r="L155" s="358">
        <f t="shared" si="22"/>
        <v>0</v>
      </c>
      <c r="M155" s="377">
        <f t="shared" si="24"/>
        <v>0</v>
      </c>
    </row>
    <row r="156" spans="1:13" ht="25.5" x14ac:dyDescent="0.2">
      <c r="A156" s="59" t="str">
        <f t="shared" si="25"/>
        <v>GENERAL SERVICE LESS THAN 50 KW SERVICE CLASSIFICATION</v>
      </c>
      <c r="C156" s="390"/>
      <c r="D156" s="429" t="s">
        <v>5951</v>
      </c>
      <c r="E156" s="348"/>
      <c r="F156" s="1001">
        <f>IF(OR(ISNUMBER(SEARCH("RESIDENTIAL", E134))=TRUE, ISNUMBER(SEARCH("GENERAL SERVICE LESS THAN 50", E134))=TRUE), SME, 0)</f>
        <v>0.56999999999999995</v>
      </c>
      <c r="G156" s="330">
        <v>1</v>
      </c>
      <c r="H156" s="375">
        <f>G156*F156</f>
        <v>0.56999999999999995</v>
      </c>
      <c r="I156" s="1002">
        <f>IF(OR(ISNUMBER(SEARCH("RESIDENTIAL", E134))=TRUE, ISNUMBER(SEARCH("GENERAL SERVICE LESS THAN 50", E134))=TRUE), SME, 0)</f>
        <v>0.56999999999999995</v>
      </c>
      <c r="J156" s="330">
        <v>1</v>
      </c>
      <c r="K156" s="375">
        <f>J156*I156</f>
        <v>0.56999999999999995</v>
      </c>
      <c r="L156" s="358">
        <f t="shared" si="22"/>
        <v>0</v>
      </c>
      <c r="M156" s="377">
        <f>IF(ISERROR(L156/H156), "", L156/H156)</f>
        <v>0</v>
      </c>
    </row>
    <row r="157" spans="1:13" x14ac:dyDescent="0.2">
      <c r="A157" s="59" t="str">
        <f t="shared" si="25"/>
        <v>GENERAL SERVICE LESS THAN 50 KW SERVICE CLASSIFICATION</v>
      </c>
      <c r="C157" s="390"/>
      <c r="D157" s="75" t="s">
        <v>4871</v>
      </c>
      <c r="E157" s="348"/>
      <c r="F157" s="374">
        <v>0</v>
      </c>
      <c r="G157" s="330">
        <v>1</v>
      </c>
      <c r="H157" s="375">
        <f t="shared" si="23"/>
        <v>0</v>
      </c>
      <c r="I157" s="376">
        <v>0</v>
      </c>
      <c r="J157" s="330">
        <v>1</v>
      </c>
      <c r="K157" s="375">
        <f>J157*I157</f>
        <v>0</v>
      </c>
      <c r="L157" s="358">
        <f>K157-H157</f>
        <v>0</v>
      </c>
      <c r="M157" s="377" t="str">
        <f>IF(ISERROR(L157/H157), "", L157/H157)</f>
        <v/>
      </c>
    </row>
    <row r="158" spans="1:13" x14ac:dyDescent="0.2">
      <c r="A158" s="59" t="str">
        <f t="shared" si="25"/>
        <v>GENERAL SERVICE LESS THAN 50 KW SERVICE CLASSIFICATION</v>
      </c>
      <c r="C158" s="390"/>
      <c r="D158" s="75" t="s">
        <v>4870</v>
      </c>
      <c r="E158" s="348"/>
      <c r="F158" s="354"/>
      <c r="G158" s="362">
        <f>IF($E137&gt;0, $E137, $E136)</f>
        <v>2000</v>
      </c>
      <c r="H158" s="375">
        <f>G158*F158</f>
        <v>0</v>
      </c>
      <c r="I158" s="351">
        <v>0</v>
      </c>
      <c r="J158" s="362">
        <f>IF($E137&gt;0, $E137, $E136)</f>
        <v>2000</v>
      </c>
      <c r="K158" s="375">
        <f>J158*I158</f>
        <v>0</v>
      </c>
      <c r="L158" s="358">
        <f t="shared" si="22"/>
        <v>0</v>
      </c>
      <c r="M158" s="377" t="str">
        <f>IF(ISERROR(L158/H158), "", L158/H158)</f>
        <v/>
      </c>
    </row>
    <row r="159" spans="1:13" ht="25.5" x14ac:dyDescent="0.2">
      <c r="A159" s="59" t="str">
        <f t="shared" si="25"/>
        <v>GENERAL SERVICE LESS THAN 50 KW SERVICE CLASSIFICATION</v>
      </c>
      <c r="B159" s="1032" t="s">
        <v>1655</v>
      </c>
      <c r="C159" s="390">
        <f>B31</f>
        <v>2</v>
      </c>
      <c r="D159" s="312" t="s">
        <v>1686</v>
      </c>
      <c r="E159" s="313"/>
      <c r="F159" s="349"/>
      <c r="G159" s="359"/>
      <c r="H159" s="314">
        <f>SUM(H150:H158)</f>
        <v>73.929962000000003</v>
      </c>
      <c r="I159" s="350"/>
      <c r="J159" s="360"/>
      <c r="K159" s="314">
        <f>SUM(K150:K158)</f>
        <v>75.209962000000019</v>
      </c>
      <c r="L159" s="309">
        <f t="shared" si="22"/>
        <v>1.2800000000000153</v>
      </c>
      <c r="M159" s="310">
        <f>IF((H159)=0,"",(L159/H159))</f>
        <v>1.7313683997294837E-2</v>
      </c>
    </row>
    <row r="160" spans="1:13" x14ac:dyDescent="0.2">
      <c r="A160" s="59" t="str">
        <f t="shared" si="25"/>
        <v>GENERAL SERVICE LESS THAN 50 KW SERVICE CLASSIFICATION</v>
      </c>
      <c r="C160" s="390"/>
      <c r="D160" s="77" t="s">
        <v>360</v>
      </c>
      <c r="E160" s="348"/>
      <c r="F160" s="354">
        <v>5.7999999999999996E-3</v>
      </c>
      <c r="G160" s="361">
        <f>IF($E137&gt;0, $E137, $E136*$E138)</f>
        <v>2163.8000000000002</v>
      </c>
      <c r="H160" s="375">
        <f>G160*F160</f>
        <v>12.550040000000001</v>
      </c>
      <c r="I160" s="351">
        <v>5.8999999999999999E-3</v>
      </c>
      <c r="J160" s="361">
        <f>IF($E137&gt;0, $E137, $E136*$E139)</f>
        <v>2163.8000000000002</v>
      </c>
      <c r="K160" s="375">
        <f>J160*I160</f>
        <v>12.76642</v>
      </c>
      <c r="L160" s="358">
        <f t="shared" si="22"/>
        <v>0.21637999999999913</v>
      </c>
      <c r="M160" s="377">
        <f>IF(ISERROR(L160/H160), "", L160/H160)</f>
        <v>1.7241379310344758E-2</v>
      </c>
    </row>
    <row r="161" spans="1:13" ht="25.5" x14ac:dyDescent="0.2">
      <c r="A161" s="59" t="str">
        <f t="shared" si="25"/>
        <v>GENERAL SERVICE LESS THAN 50 KW SERVICE CLASSIFICATION</v>
      </c>
      <c r="C161" s="390"/>
      <c r="D161" s="189" t="s">
        <v>370</v>
      </c>
      <c r="E161" s="348"/>
      <c r="F161" s="354">
        <v>4.7000000000000002E-3</v>
      </c>
      <c r="G161" s="361">
        <f>IF($E137&gt;0, $E137, $E136*$E138)</f>
        <v>2163.8000000000002</v>
      </c>
      <c r="H161" s="375">
        <f>G161*F161</f>
        <v>10.169860000000002</v>
      </c>
      <c r="I161" s="351">
        <v>4.7000000000000002E-3</v>
      </c>
      <c r="J161" s="361">
        <f>IF($E137&gt;0, $E137, $E136*$E139)</f>
        <v>2163.8000000000002</v>
      </c>
      <c r="K161" s="375">
        <f>J161*I161</f>
        <v>10.169860000000002</v>
      </c>
      <c r="L161" s="358">
        <f t="shared" si="22"/>
        <v>0</v>
      </c>
      <c r="M161" s="377">
        <f>IF(ISERROR(L161/H161), "", L161/H161)</f>
        <v>0</v>
      </c>
    </row>
    <row r="162" spans="1:13" ht="25.5" x14ac:dyDescent="0.2">
      <c r="A162" s="59" t="str">
        <f t="shared" si="25"/>
        <v>GENERAL SERVICE LESS THAN 50 KW SERVICE CLASSIFICATION</v>
      </c>
      <c r="B162" s="1032" t="s">
        <v>1656</v>
      </c>
      <c r="C162" s="390">
        <f>B31</f>
        <v>2</v>
      </c>
      <c r="D162" s="312" t="s">
        <v>1687</v>
      </c>
      <c r="E162" s="308"/>
      <c r="F162" s="349"/>
      <c r="G162" s="359"/>
      <c r="H162" s="314">
        <f>SUM(H159:H161)</f>
        <v>96.649861999999999</v>
      </c>
      <c r="I162" s="350"/>
      <c r="J162" s="315"/>
      <c r="K162" s="314">
        <f>SUM(K159:K161)</f>
        <v>98.146242000000015</v>
      </c>
      <c r="L162" s="309">
        <f t="shared" si="22"/>
        <v>1.4963800000000163</v>
      </c>
      <c r="M162" s="310">
        <f>IF((H162)=0,"",(L162/H162))</f>
        <v>1.5482484599926447E-2</v>
      </c>
    </row>
    <row r="163" spans="1:13" ht="25.5" x14ac:dyDescent="0.2">
      <c r="A163" s="59" t="str">
        <f t="shared" si="25"/>
        <v>GENERAL SERVICE LESS THAN 50 KW SERVICE CLASSIFICATION</v>
      </c>
      <c r="C163" s="390"/>
      <c r="D163" s="316" t="s">
        <v>361</v>
      </c>
      <c r="E163" s="348"/>
      <c r="F163" s="354">
        <v>3.6000000000000003E-3</v>
      </c>
      <c r="G163" s="361">
        <f>E136*E138</f>
        <v>2163.8000000000002</v>
      </c>
      <c r="H163" s="363">
        <f t="shared" ref="H163:H169" si="27">G163*F163</f>
        <v>7.7896800000000015</v>
      </c>
      <c r="I163" s="351">
        <v>3.6000000000000003E-3</v>
      </c>
      <c r="J163" s="361">
        <f>E136*E139</f>
        <v>2163.8000000000002</v>
      </c>
      <c r="K163" s="363">
        <f t="shared" ref="K163:K169" si="28">J163*I163</f>
        <v>7.7896800000000015</v>
      </c>
      <c r="L163" s="358">
        <f t="shared" si="22"/>
        <v>0</v>
      </c>
      <c r="M163" s="377">
        <f t="shared" ref="M163:M171" si="29">IF(ISERROR(L163/H163), "", L163/H163)</f>
        <v>0</v>
      </c>
    </row>
    <row r="164" spans="1:13" ht="25.5" x14ac:dyDescent="0.2">
      <c r="A164" s="59" t="str">
        <f t="shared" si="25"/>
        <v>GENERAL SERVICE LESS THAN 50 KW SERVICE CLASSIFICATION</v>
      </c>
      <c r="C164" s="390"/>
      <c r="D164" s="316" t="s">
        <v>362</v>
      </c>
      <c r="E164" s="348"/>
      <c r="F164" s="354">
        <f>'17. Regulatory Charges'!$D$16</f>
        <v>2.9999999999999997E-4</v>
      </c>
      <c r="G164" s="361">
        <f>E136*E138</f>
        <v>2163.8000000000002</v>
      </c>
      <c r="H164" s="363">
        <f t="shared" si="27"/>
        <v>0.64914000000000005</v>
      </c>
      <c r="I164" s="351">
        <v>2.9999999999999997E-4</v>
      </c>
      <c r="J164" s="361">
        <f>E136*E139</f>
        <v>2163.8000000000002</v>
      </c>
      <c r="K164" s="363">
        <f t="shared" si="28"/>
        <v>0.64914000000000005</v>
      </c>
      <c r="L164" s="358">
        <f t="shared" si="22"/>
        <v>0</v>
      </c>
      <c r="M164" s="377">
        <f t="shared" si="29"/>
        <v>0</v>
      </c>
    </row>
    <row r="165" spans="1:13" x14ac:dyDescent="0.2">
      <c r="A165" s="59" t="str">
        <f t="shared" si="25"/>
        <v>GENERAL SERVICE LESS THAN 50 KW SERVICE CLASSIFICATION</v>
      </c>
      <c r="C165" s="390"/>
      <c r="D165" s="305" t="s">
        <v>363</v>
      </c>
      <c r="E165" s="348"/>
      <c r="F165" s="1001">
        <v>0.25</v>
      </c>
      <c r="G165" s="330">
        <v>1</v>
      </c>
      <c r="H165" s="363">
        <f t="shared" si="27"/>
        <v>0.25</v>
      </c>
      <c r="I165" s="1002">
        <f>'17. Regulatory Charges'!$D$17</f>
        <v>0.25</v>
      </c>
      <c r="J165" s="357">
        <v>1</v>
      </c>
      <c r="K165" s="363">
        <f t="shared" si="28"/>
        <v>0.25</v>
      </c>
      <c r="L165" s="358">
        <f t="shared" si="22"/>
        <v>0</v>
      </c>
      <c r="M165" s="377">
        <f t="shared" si="29"/>
        <v>0</v>
      </c>
    </row>
    <row r="166" spans="1:13" ht="25.5" hidden="1" x14ac:dyDescent="0.2">
      <c r="A166" s="59" t="str">
        <f t="shared" si="25"/>
        <v>GENERAL SERVICE LESS THAN 50 KW SERVICE CLASSIFICATION</v>
      </c>
      <c r="C166" s="390"/>
      <c r="D166" s="316" t="s">
        <v>1688</v>
      </c>
      <c r="E166" s="348"/>
      <c r="F166" s="354"/>
      <c r="G166" s="361"/>
      <c r="H166" s="363"/>
      <c r="I166" s="351"/>
      <c r="J166" s="361"/>
      <c r="K166" s="363"/>
      <c r="L166" s="358"/>
      <c r="M166" s="377"/>
    </row>
    <row r="167" spans="1:13" x14ac:dyDescent="0.2">
      <c r="A167" s="59" t="str">
        <f t="shared" si="25"/>
        <v>GENERAL SERVICE LESS THAN 50 KW SERVICE CLASSIFICATION</v>
      </c>
      <c r="B167" s="1032" t="s">
        <v>1647</v>
      </c>
      <c r="C167" s="390"/>
      <c r="D167" s="311" t="s">
        <v>228</v>
      </c>
      <c r="E167" s="348"/>
      <c r="F167" s="355">
        <f>OffPeak</f>
        <v>6.5000000000000002E-2</v>
      </c>
      <c r="G167" s="317">
        <f>IF(AND(E136*12&gt;=150000),0.65*E136*E138,0.65*E136)</f>
        <v>1300</v>
      </c>
      <c r="H167" s="363">
        <f t="shared" si="27"/>
        <v>84.5</v>
      </c>
      <c r="I167" s="352">
        <f>OffPeak</f>
        <v>6.5000000000000002E-2</v>
      </c>
      <c r="J167" s="317">
        <f>IF(AND(E136*12&gt;=150000),0.65*E136*E139,0.65*E136)</f>
        <v>1300</v>
      </c>
      <c r="K167" s="363">
        <f t="shared" si="28"/>
        <v>84.5</v>
      </c>
      <c r="L167" s="358">
        <f>K167-H167</f>
        <v>0</v>
      </c>
      <c r="M167" s="377">
        <f t="shared" si="29"/>
        <v>0</v>
      </c>
    </row>
    <row r="168" spans="1:13" x14ac:dyDescent="0.2">
      <c r="A168" s="59" t="str">
        <f t="shared" si="25"/>
        <v>GENERAL SERVICE LESS THAN 50 KW SERVICE CLASSIFICATION</v>
      </c>
      <c r="B168" s="1032" t="s">
        <v>1647</v>
      </c>
      <c r="C168" s="390"/>
      <c r="D168" s="311" t="s">
        <v>229</v>
      </c>
      <c r="E168" s="348"/>
      <c r="F168" s="355">
        <f>MidPeak</f>
        <v>9.4E-2</v>
      </c>
      <c r="G168" s="317">
        <f>IF(AND(E136*12&gt;=150000),0.17*E136*E138,0.17*E136)</f>
        <v>340</v>
      </c>
      <c r="H168" s="363">
        <f t="shared" si="27"/>
        <v>31.96</v>
      </c>
      <c r="I168" s="352">
        <f>MidPeak</f>
        <v>9.4E-2</v>
      </c>
      <c r="J168" s="317">
        <f>IF(AND(E136*12&gt;=150000),0.17*E136*E139,0.17*E136)</f>
        <v>340</v>
      </c>
      <c r="K168" s="363">
        <f t="shared" si="28"/>
        <v>31.96</v>
      </c>
      <c r="L168" s="358">
        <f>K168-H168</f>
        <v>0</v>
      </c>
      <c r="M168" s="377">
        <f t="shared" si="29"/>
        <v>0</v>
      </c>
    </row>
    <row r="169" spans="1:13" ht="13.5" thickBot="1" x14ac:dyDescent="0.25">
      <c r="A169" s="59" t="str">
        <f t="shared" si="25"/>
        <v>GENERAL SERVICE LESS THAN 50 KW SERVICE CLASSIFICATION</v>
      </c>
      <c r="B169" s="1032" t="s">
        <v>1647</v>
      </c>
      <c r="C169" s="390"/>
      <c r="D169" s="1032" t="s">
        <v>230</v>
      </c>
      <c r="E169" s="348"/>
      <c r="F169" s="355">
        <f>OnPeak</f>
        <v>0.13200000000000001</v>
      </c>
      <c r="G169" s="317">
        <f>IF(AND(E136*12&gt;=150000),0.18*E136*E138,0.18*E136)</f>
        <v>360</v>
      </c>
      <c r="H169" s="363">
        <f t="shared" si="27"/>
        <v>47.52</v>
      </c>
      <c r="I169" s="352">
        <f>OnPeak</f>
        <v>0.13200000000000001</v>
      </c>
      <c r="J169" s="317">
        <f>IF(AND(E136*12&gt;=150000),0.18*E136*E139,0.18*E136)</f>
        <v>360</v>
      </c>
      <c r="K169" s="363">
        <f t="shared" si="28"/>
        <v>47.52</v>
      </c>
      <c r="L169" s="358">
        <f>K169-H169</f>
        <v>0</v>
      </c>
      <c r="M169" s="377">
        <f t="shared" si="29"/>
        <v>0</v>
      </c>
    </row>
    <row r="170" spans="1:13" hidden="1" x14ac:dyDescent="0.2">
      <c r="A170" s="59" t="str">
        <f t="shared" si="25"/>
        <v>GENERAL SERVICE LESS THAN 50 KW SERVICE CLASSIFICATION</v>
      </c>
      <c r="B170" s="59" t="s">
        <v>1648</v>
      </c>
      <c r="C170" s="390"/>
      <c r="D170" s="311" t="s">
        <v>1657</v>
      </c>
      <c r="E170" s="348"/>
      <c r="F170" s="356">
        <v>0.1101</v>
      </c>
      <c r="G170" s="317">
        <f>IF(AND(E136*12&gt;=150000),E136*E138,E136)</f>
        <v>2000</v>
      </c>
      <c r="H170" s="363">
        <f>G170*F170</f>
        <v>220.20000000000002</v>
      </c>
      <c r="I170" s="353">
        <f>F170</f>
        <v>0.1101</v>
      </c>
      <c r="J170" s="317">
        <f>IF(AND(E136*12&gt;=150000),E136*E139,E136)</f>
        <v>2000</v>
      </c>
      <c r="K170" s="363">
        <f>J170*I170</f>
        <v>220.20000000000002</v>
      </c>
      <c r="L170" s="358">
        <f>K170-H170</f>
        <v>0</v>
      </c>
      <c r="M170" s="377">
        <f t="shared" si="29"/>
        <v>0</v>
      </c>
    </row>
    <row r="171" spans="1:13" ht="13.5" hidden="1" thickBot="1" x14ac:dyDescent="0.25">
      <c r="A171" s="59" t="str">
        <f t="shared" si="25"/>
        <v>GENERAL SERVICE LESS THAN 50 KW SERVICE CLASSIFICATION</v>
      </c>
      <c r="B171" s="59" t="s">
        <v>1649</v>
      </c>
      <c r="C171" s="390"/>
      <c r="D171" s="311" t="s">
        <v>1658</v>
      </c>
      <c r="E171" s="348"/>
      <c r="F171" s="356">
        <v>0.1101</v>
      </c>
      <c r="G171" s="317">
        <f>IF(AND(E136*12&gt;=150000),E136*E138,E136)</f>
        <v>2000</v>
      </c>
      <c r="H171" s="363">
        <f>G171*F171</f>
        <v>220.20000000000002</v>
      </c>
      <c r="I171" s="353">
        <f>F171</f>
        <v>0.1101</v>
      </c>
      <c r="J171" s="317">
        <f>IF(AND(E136*12&gt;=150000),E136*E139,E136)</f>
        <v>2000</v>
      </c>
      <c r="K171" s="363">
        <f>J171*I171</f>
        <v>220.20000000000002</v>
      </c>
      <c r="L171" s="358">
        <f>K171-H171</f>
        <v>0</v>
      </c>
      <c r="M171" s="377">
        <f t="shared" si="29"/>
        <v>0</v>
      </c>
    </row>
    <row r="172" spans="1:13" ht="13.5" thickBot="1" x14ac:dyDescent="0.25">
      <c r="A172" s="59" t="str">
        <f t="shared" si="25"/>
        <v>GENERAL SERVICE LESS THAN 50 KW SERVICE CLASSIFICATION</v>
      </c>
      <c r="B172" s="1032"/>
      <c r="C172" s="390"/>
      <c r="D172" s="318"/>
      <c r="E172" s="319"/>
      <c r="F172" s="364"/>
      <c r="G172" s="236"/>
      <c r="H172" s="365"/>
      <c r="I172" s="364"/>
      <c r="J172" s="366"/>
      <c r="K172" s="365"/>
      <c r="L172" s="367"/>
      <c r="M172" s="239"/>
    </row>
    <row r="173" spans="1:13" x14ac:dyDescent="0.2">
      <c r="A173" s="59" t="str">
        <f t="shared" si="25"/>
        <v>GENERAL SERVICE LESS THAN 50 KW SERVICE CLASSIFICATION</v>
      </c>
      <c r="B173" s="1032" t="s">
        <v>1647</v>
      </c>
      <c r="C173" s="390"/>
      <c r="D173" s="322" t="s">
        <v>365</v>
      </c>
      <c r="E173" s="305"/>
      <c r="F173" s="337"/>
      <c r="G173" s="368"/>
      <c r="H173" s="323">
        <f>SUM(H163:H169,H162)</f>
        <v>269.31868200000002</v>
      </c>
      <c r="I173" s="324"/>
      <c r="J173" s="324"/>
      <c r="K173" s="323">
        <f>SUM(K163:K169,K162)</f>
        <v>270.81506200000001</v>
      </c>
      <c r="L173" s="325">
        <f>K173-H173</f>
        <v>1.4963799999999878</v>
      </c>
      <c r="M173" s="326">
        <f>IF((H173)=0,"",(L173/H173))</f>
        <v>5.556168583952849E-3</v>
      </c>
    </row>
    <row r="174" spans="1:13" x14ac:dyDescent="0.2">
      <c r="A174" s="59" t="str">
        <f t="shared" si="25"/>
        <v>GENERAL SERVICE LESS THAN 50 KW SERVICE CLASSIFICATION</v>
      </c>
      <c r="B174" s="1032" t="s">
        <v>1647</v>
      </c>
      <c r="C174" s="390"/>
      <c r="D174" s="327" t="s">
        <v>152</v>
      </c>
      <c r="E174" s="305"/>
      <c r="F174" s="337">
        <v>0.13</v>
      </c>
      <c r="G174" s="369"/>
      <c r="H174" s="328">
        <f>H173*F174</f>
        <v>35.011428660000007</v>
      </c>
      <c r="I174" s="329">
        <v>0.13</v>
      </c>
      <c r="J174" s="330"/>
      <c r="K174" s="328">
        <f>K173*I174</f>
        <v>35.20595806</v>
      </c>
      <c r="L174" s="331">
        <f>K174-H174</f>
        <v>0.1945293999999933</v>
      </c>
      <c r="M174" s="332">
        <f>IF((H174)=0,"",(L174/H174))</f>
        <v>5.5561685839527024E-3</v>
      </c>
    </row>
    <row r="175" spans="1:13" x14ac:dyDescent="0.2">
      <c r="A175" s="59" t="str">
        <f t="shared" si="25"/>
        <v>GENERAL SERVICE LESS THAN 50 KW SERVICE CLASSIFICATION</v>
      </c>
      <c r="B175" s="1032" t="s">
        <v>1647</v>
      </c>
      <c r="C175" s="390"/>
      <c r="D175" s="327" t="s">
        <v>2904</v>
      </c>
      <c r="E175" s="305"/>
      <c r="F175" s="337">
        <v>0.08</v>
      </c>
      <c r="G175" s="369"/>
      <c r="H175" s="328">
        <f>H173*-F175</f>
        <v>-21.545494560000002</v>
      </c>
      <c r="I175" s="337">
        <v>0.08</v>
      </c>
      <c r="J175" s="330"/>
      <c r="K175" s="328">
        <f>K173*-I175</f>
        <v>-21.665204960000001</v>
      </c>
      <c r="L175" s="331">
        <f>K175-H175</f>
        <v>-0.11971039999999888</v>
      </c>
      <c r="M175" s="332"/>
    </row>
    <row r="176" spans="1:13" ht="13.5" thickBot="1" x14ac:dyDescent="0.25">
      <c r="A176" s="59" t="str">
        <f t="shared" si="25"/>
        <v>GENERAL SERVICE LESS THAN 50 KW SERVICE CLASSIFICATION</v>
      </c>
      <c r="B176" s="1032" t="s">
        <v>1659</v>
      </c>
      <c r="C176" s="390">
        <f>B31</f>
        <v>2</v>
      </c>
      <c r="D176" s="1863" t="s">
        <v>1660</v>
      </c>
      <c r="E176" s="1863"/>
      <c r="F176" s="370"/>
      <c r="G176" s="371"/>
      <c r="H176" s="338">
        <f>H173+H174+H175</f>
        <v>282.78461610000005</v>
      </c>
      <c r="I176" s="334"/>
      <c r="J176" s="334"/>
      <c r="K176" s="333">
        <f>K173+K174+K175</f>
        <v>284.35581510000003</v>
      </c>
      <c r="L176" s="335">
        <f>K176-H176</f>
        <v>1.5711989999999787</v>
      </c>
      <c r="M176" s="336">
        <f>IF((H176)=0,"",(L176/H176))</f>
        <v>5.5561685839528186E-3</v>
      </c>
    </row>
    <row r="177" spans="1:20" ht="13.5" thickBot="1" x14ac:dyDescent="0.25">
      <c r="A177" s="59" t="str">
        <f t="shared" si="25"/>
        <v>GENERAL SERVICE LESS THAN 50 KW SERVICE CLASSIFICATION</v>
      </c>
      <c r="B177" s="59" t="s">
        <v>1647</v>
      </c>
      <c r="C177" s="390"/>
      <c r="D177" s="318"/>
      <c r="E177" s="319"/>
      <c r="F177" s="364"/>
      <c r="G177" s="236"/>
      <c r="H177" s="365"/>
      <c r="I177" s="364"/>
      <c r="J177" s="366"/>
      <c r="K177" s="365"/>
      <c r="L177" s="367"/>
      <c r="M177" s="239"/>
    </row>
    <row r="178" spans="1:20" hidden="1" x14ac:dyDescent="0.2">
      <c r="A178" s="59" t="str">
        <f t="shared" si="25"/>
        <v>GENERAL SERVICE LESS THAN 50 KW SERVICE CLASSIFICATION</v>
      </c>
      <c r="B178" s="59" t="s">
        <v>1648</v>
      </c>
      <c r="C178" s="390"/>
      <c r="D178" s="322" t="s">
        <v>1661</v>
      </c>
      <c r="E178" s="305"/>
      <c r="F178" s="337"/>
      <c r="G178" s="368"/>
      <c r="H178" s="323">
        <f>SUM(H170,H163:H166,H162)</f>
        <v>325.53868199999999</v>
      </c>
      <c r="I178" s="324"/>
      <c r="J178" s="324"/>
      <c r="K178" s="323">
        <f>SUM(K170,K163:K166,K162)</f>
        <v>327.03506200000004</v>
      </c>
      <c r="L178" s="325">
        <f>K178-H178</f>
        <v>1.4963800000000447</v>
      </c>
      <c r="M178" s="326">
        <f>IF((H178)=0,"",(L178/H178))</f>
        <v>4.5966273218494037E-3</v>
      </c>
    </row>
    <row r="179" spans="1:20" hidden="1" x14ac:dyDescent="0.2">
      <c r="A179" s="59" t="str">
        <f t="shared" si="25"/>
        <v>GENERAL SERVICE LESS THAN 50 KW SERVICE CLASSIFICATION</v>
      </c>
      <c r="B179" s="59" t="s">
        <v>1648</v>
      </c>
      <c r="C179" s="390"/>
      <c r="D179" s="327" t="s">
        <v>152</v>
      </c>
      <c r="E179" s="305"/>
      <c r="F179" s="337">
        <v>0.13</v>
      </c>
      <c r="G179" s="368"/>
      <c r="H179" s="328">
        <f>H178*F179</f>
        <v>42.320028659999998</v>
      </c>
      <c r="I179" s="337">
        <v>0.13</v>
      </c>
      <c r="J179" s="329"/>
      <c r="K179" s="328">
        <f>K178*I179</f>
        <v>42.514558060000006</v>
      </c>
      <c r="L179" s="331">
        <f>K179-H179</f>
        <v>0.19452940000000751</v>
      </c>
      <c r="M179" s="332">
        <f>IF((H179)=0,"",(L179/H179))</f>
        <v>4.5966273218494445E-3</v>
      </c>
    </row>
    <row r="180" spans="1:20" hidden="1" x14ac:dyDescent="0.2">
      <c r="A180" s="59" t="str">
        <f t="shared" si="25"/>
        <v>GENERAL SERVICE LESS THAN 50 KW SERVICE CLASSIFICATION</v>
      </c>
      <c r="B180" s="59" t="s">
        <v>1648</v>
      </c>
      <c r="C180" s="390"/>
      <c r="D180" s="327" t="s">
        <v>2904</v>
      </c>
      <c r="E180" s="305"/>
      <c r="F180" s="337">
        <v>0.08</v>
      </c>
      <c r="G180" s="368"/>
      <c r="H180" s="877"/>
      <c r="I180" s="337">
        <v>0.08</v>
      </c>
      <c r="J180" s="329"/>
      <c r="K180" s="877"/>
      <c r="L180" s="331"/>
      <c r="M180" s="332"/>
    </row>
    <row r="181" spans="1:20" ht="13.5" hidden="1" thickBot="1" x14ac:dyDescent="0.25">
      <c r="A181" s="59" t="str">
        <f t="shared" si="25"/>
        <v>GENERAL SERVICE LESS THAN 50 KW SERVICE CLASSIFICATION</v>
      </c>
      <c r="B181" s="59" t="s">
        <v>1662</v>
      </c>
      <c r="C181" s="390"/>
      <c r="D181" s="1863" t="s">
        <v>1661</v>
      </c>
      <c r="E181" s="1863"/>
      <c r="F181" s="372"/>
      <c r="G181" s="373"/>
      <c r="H181" s="338">
        <f>SUM(H178,H179)</f>
        <v>367.85871065999999</v>
      </c>
      <c r="I181" s="339"/>
      <c r="J181" s="339"/>
      <c r="K181" s="338">
        <f>SUM(K178,K179)</f>
        <v>369.54962006000005</v>
      </c>
      <c r="L181" s="340">
        <f>K181-H181</f>
        <v>1.6909094000000664</v>
      </c>
      <c r="M181" s="341">
        <f>IF((H181)=0,"",(L181/H181))</f>
        <v>4.5966273218494471E-3</v>
      </c>
    </row>
    <row r="182" spans="1:20" ht="13.5" hidden="1" thickBot="1" x14ac:dyDescent="0.25">
      <c r="A182" s="59" t="str">
        <f t="shared" si="25"/>
        <v>GENERAL SERVICE LESS THAN 50 KW SERVICE CLASSIFICATION</v>
      </c>
      <c r="B182" s="59" t="s">
        <v>1648</v>
      </c>
      <c r="C182" s="390"/>
      <c r="D182" s="318"/>
      <c r="E182" s="319"/>
      <c r="F182" s="233"/>
      <c r="G182" s="234"/>
      <c r="H182" s="235"/>
      <c r="I182" s="233"/>
      <c r="J182" s="236"/>
      <c r="K182" s="235"/>
      <c r="L182" s="238"/>
      <c r="M182" s="239"/>
    </row>
    <row r="183" spans="1:20" hidden="1" x14ac:dyDescent="0.2">
      <c r="A183" s="59" t="str">
        <f t="shared" si="25"/>
        <v>GENERAL SERVICE LESS THAN 50 KW SERVICE CLASSIFICATION</v>
      </c>
      <c r="B183" s="59" t="s">
        <v>1649</v>
      </c>
      <c r="C183" s="390"/>
      <c r="D183" s="322" t="s">
        <v>1663</v>
      </c>
      <c r="E183" s="305"/>
      <c r="F183" s="337"/>
      <c r="G183" s="368"/>
      <c r="H183" s="323">
        <f>SUM(H171,H163:H166,H162)</f>
        <v>325.53868199999999</v>
      </c>
      <c r="I183" s="324"/>
      <c r="J183" s="324"/>
      <c r="K183" s="323">
        <f>SUM(K171,K163:K166,K162)</f>
        <v>327.03506200000004</v>
      </c>
      <c r="L183" s="325">
        <f>K183-H183</f>
        <v>1.4963800000000447</v>
      </c>
      <c r="M183" s="326">
        <f>IF((H183)=0,"",(L183/H183))</f>
        <v>4.5966273218494037E-3</v>
      </c>
    </row>
    <row r="184" spans="1:20" hidden="1" x14ac:dyDescent="0.2">
      <c r="A184" s="59" t="str">
        <f t="shared" si="25"/>
        <v>GENERAL SERVICE LESS THAN 50 KW SERVICE CLASSIFICATION</v>
      </c>
      <c r="B184" s="59" t="s">
        <v>1649</v>
      </c>
      <c r="C184" s="390"/>
      <c r="D184" s="327" t="s">
        <v>152</v>
      </c>
      <c r="E184" s="305"/>
      <c r="F184" s="337">
        <v>0.13</v>
      </c>
      <c r="G184" s="368"/>
      <c r="H184" s="328">
        <f>H183*F184</f>
        <v>42.320028659999998</v>
      </c>
      <c r="I184" s="337">
        <v>0.13</v>
      </c>
      <c r="J184" s="329"/>
      <c r="K184" s="328">
        <f>K183*I184</f>
        <v>42.514558060000006</v>
      </c>
      <c r="L184" s="331">
        <f>K184-H184</f>
        <v>0.19452940000000751</v>
      </c>
      <c r="M184" s="332">
        <f>IF((H184)=0,"",(L184/H184))</f>
        <v>4.5966273218494445E-3</v>
      </c>
    </row>
    <row r="185" spans="1:20" hidden="1" x14ac:dyDescent="0.2">
      <c r="A185" s="59" t="str">
        <f t="shared" si="25"/>
        <v>GENERAL SERVICE LESS THAN 50 KW SERVICE CLASSIFICATION</v>
      </c>
      <c r="B185" s="59" t="s">
        <v>1649</v>
      </c>
      <c r="C185" s="390"/>
      <c r="D185" s="327" t="s">
        <v>2904</v>
      </c>
      <c r="E185" s="305"/>
      <c r="F185" s="337">
        <v>0.08</v>
      </c>
      <c r="G185" s="368"/>
      <c r="H185" s="877"/>
      <c r="I185" s="337">
        <v>0.08</v>
      </c>
      <c r="J185" s="329"/>
      <c r="K185" s="877"/>
      <c r="L185" s="331"/>
      <c r="M185" s="332"/>
    </row>
    <row r="186" spans="1:20" ht="13.5" hidden="1" thickBot="1" x14ac:dyDescent="0.25">
      <c r="A186" s="59" t="str">
        <f t="shared" si="25"/>
        <v>GENERAL SERVICE LESS THAN 50 KW SERVICE CLASSIFICATION</v>
      </c>
      <c r="B186" s="59" t="s">
        <v>1664</v>
      </c>
      <c r="C186" s="390"/>
      <c r="D186" s="1863" t="s">
        <v>1663</v>
      </c>
      <c r="E186" s="1863"/>
      <c r="F186" s="372"/>
      <c r="G186" s="373"/>
      <c r="H186" s="338">
        <f>SUM(H183,H184)</f>
        <v>367.85871065999999</v>
      </c>
      <c r="I186" s="339"/>
      <c r="J186" s="339"/>
      <c r="K186" s="338">
        <f>SUM(K183,K184)</f>
        <v>369.54962006000005</v>
      </c>
      <c r="L186" s="340">
        <f>K186-H186</f>
        <v>1.6909094000000664</v>
      </c>
      <c r="M186" s="341">
        <f>IF((H186)=0,"",(L186/H186))</f>
        <v>4.5966273218494471E-3</v>
      </c>
    </row>
    <row r="187" spans="1:20" ht="13.5" hidden="1" thickBot="1" x14ac:dyDescent="0.25">
      <c r="A187" s="59" t="str">
        <f t="shared" si="25"/>
        <v>GENERAL SERVICE LESS THAN 50 KW SERVICE CLASSIFICATION</v>
      </c>
      <c r="B187" s="59" t="s">
        <v>1649</v>
      </c>
      <c r="C187" s="390"/>
      <c r="D187" s="318"/>
      <c r="E187" s="319"/>
      <c r="F187" s="342"/>
      <c r="G187" s="343"/>
      <c r="H187" s="344"/>
      <c r="I187" s="342"/>
      <c r="J187" s="320"/>
      <c r="K187" s="344"/>
      <c r="L187" s="345"/>
      <c r="M187" s="321"/>
    </row>
    <row r="190" spans="1:20" x14ac:dyDescent="0.2">
      <c r="C190" s="59"/>
      <c r="D190" s="290" t="s">
        <v>1652</v>
      </c>
      <c r="E190" s="1872" t="str">
        <f>D32</f>
        <v>GENERAL SERVICE 50 to 4,999 kW SERVICE CLASSIFICATION</v>
      </c>
      <c r="F190" s="1872"/>
      <c r="G190" s="1872"/>
      <c r="H190" s="1872"/>
      <c r="I190" s="1872"/>
      <c r="J190" s="1872"/>
      <c r="K190" s="59" t="str">
        <f>IF(N32="DEMAND - INTERVAL","RTSR - INTERVAL METERED","")</f>
        <v/>
      </c>
      <c r="T190" s="59" t="s">
        <v>628</v>
      </c>
    </row>
    <row r="191" spans="1:20" x14ac:dyDescent="0.2">
      <c r="C191" s="59"/>
      <c r="D191" s="290" t="s">
        <v>1653</v>
      </c>
      <c r="E191" s="1873" t="str">
        <f>H32</f>
        <v>Non-RPP (Other)</v>
      </c>
      <c r="F191" s="1873"/>
      <c r="G191" s="1873"/>
      <c r="H191" s="291"/>
      <c r="I191" s="291"/>
    </row>
    <row r="192" spans="1:20" ht="15.75" x14ac:dyDescent="0.2">
      <c r="C192" s="59"/>
      <c r="D192" s="290" t="s">
        <v>157</v>
      </c>
      <c r="E192" s="1613">
        <f>K32</f>
        <v>147135</v>
      </c>
      <c r="F192" s="293" t="s">
        <v>158</v>
      </c>
      <c r="G192" s="1032"/>
      <c r="J192" s="294"/>
      <c r="K192" s="294"/>
      <c r="L192" s="294"/>
      <c r="M192" s="294"/>
    </row>
    <row r="193" spans="1:13" ht="15.75" x14ac:dyDescent="0.25">
      <c r="C193" s="59"/>
      <c r="D193" s="290" t="s">
        <v>369</v>
      </c>
      <c r="E193" s="1613">
        <f>L32</f>
        <v>297</v>
      </c>
      <c r="F193" s="295" t="s">
        <v>159</v>
      </c>
      <c r="G193" s="296"/>
      <c r="H193" s="297"/>
      <c r="I193" s="297"/>
      <c r="J193" s="297"/>
    </row>
    <row r="194" spans="1:13" x14ac:dyDescent="0.2">
      <c r="C194" s="59"/>
      <c r="D194" s="290" t="s">
        <v>1684</v>
      </c>
      <c r="E194" s="298">
        <f>I32</f>
        <v>1.0819000000000001</v>
      </c>
    </row>
    <row r="195" spans="1:13" x14ac:dyDescent="0.2">
      <c r="C195" s="59"/>
      <c r="D195" s="290" t="s">
        <v>1685</v>
      </c>
      <c r="E195" s="298">
        <f>J32</f>
        <v>1.0819000000000001</v>
      </c>
    </row>
    <row r="196" spans="1:13" x14ac:dyDescent="0.2">
      <c r="C196" s="59"/>
      <c r="D196" s="1032"/>
    </row>
    <row r="197" spans="1:13" x14ac:dyDescent="0.2">
      <c r="C197" s="59"/>
      <c r="D197" s="1032"/>
      <c r="E197" s="299"/>
      <c r="F197" s="1864" t="s">
        <v>2271</v>
      </c>
      <c r="G197" s="1874"/>
      <c r="H197" s="1865"/>
      <c r="I197" s="1864" t="s">
        <v>350</v>
      </c>
      <c r="J197" s="1874"/>
      <c r="K197" s="1865"/>
      <c r="L197" s="1864" t="s">
        <v>351</v>
      </c>
      <c r="M197" s="1865"/>
    </row>
    <row r="198" spans="1:13" x14ac:dyDescent="0.2">
      <c r="C198" s="59"/>
      <c r="D198" s="1032"/>
      <c r="E198" s="1866"/>
      <c r="F198" s="300" t="s">
        <v>352</v>
      </c>
      <c r="G198" s="300" t="s">
        <v>150</v>
      </c>
      <c r="H198" s="301" t="s">
        <v>353</v>
      </c>
      <c r="I198" s="300" t="s">
        <v>352</v>
      </c>
      <c r="J198" s="302" t="s">
        <v>150</v>
      </c>
      <c r="K198" s="301" t="s">
        <v>353</v>
      </c>
      <c r="L198" s="1868" t="s">
        <v>354</v>
      </c>
      <c r="M198" s="1870" t="s">
        <v>355</v>
      </c>
    </row>
    <row r="199" spans="1:13" x14ac:dyDescent="0.2">
      <c r="C199" s="59"/>
      <c r="D199" s="1032"/>
      <c r="E199" s="1867"/>
      <c r="F199" s="303" t="s">
        <v>356</v>
      </c>
      <c r="G199" s="303"/>
      <c r="H199" s="304" t="s">
        <v>356</v>
      </c>
      <c r="I199" s="303" t="s">
        <v>356</v>
      </c>
      <c r="J199" s="304"/>
      <c r="K199" s="304" t="s">
        <v>356</v>
      </c>
      <c r="L199" s="1869"/>
      <c r="M199" s="1871"/>
    </row>
    <row r="200" spans="1:13" x14ac:dyDescent="0.2">
      <c r="A200" s="59" t="str">
        <f>$E190</f>
        <v>GENERAL SERVICE 50 to 4,999 kW SERVICE CLASSIFICATION</v>
      </c>
      <c r="C200" s="390"/>
      <c r="D200" s="69" t="s">
        <v>357</v>
      </c>
      <c r="E200" s="348"/>
      <c r="F200" s="374">
        <v>293.47000000000003</v>
      </c>
      <c r="G200" s="330">
        <v>1</v>
      </c>
      <c r="H200" s="375">
        <f>G200*F200</f>
        <v>293.47000000000003</v>
      </c>
      <c r="I200" s="376">
        <v>296.11</v>
      </c>
      <c r="J200" s="357">
        <f>G200</f>
        <v>1</v>
      </c>
      <c r="K200" s="375">
        <f>J200*I200</f>
        <v>296.11</v>
      </c>
      <c r="L200" s="358">
        <f t="shared" ref="L200:L221" si="30">K200-H200</f>
        <v>2.6399999999999864</v>
      </c>
      <c r="M200" s="377">
        <f>IF(ISERROR(L200/H200), "", L200/H200)</f>
        <v>8.9958087709135041E-3</v>
      </c>
    </row>
    <row r="201" spans="1:13" x14ac:dyDescent="0.2">
      <c r="A201" s="59" t="str">
        <f>A200</f>
        <v>GENERAL SERVICE 50 to 4,999 kW SERVICE CLASSIFICATION</v>
      </c>
      <c r="C201" s="390"/>
      <c r="D201" s="69" t="s">
        <v>84</v>
      </c>
      <c r="E201" s="348"/>
      <c r="F201" s="354">
        <v>2.2595999999999998</v>
      </c>
      <c r="G201" s="330">
        <f>IF($E193&gt;0, $E193, $E192)</f>
        <v>297</v>
      </c>
      <c r="H201" s="375">
        <f t="shared" ref="H201:H213" si="31">G201*F201</f>
        <v>671.10119999999995</v>
      </c>
      <c r="I201" s="351">
        <v>2.2799</v>
      </c>
      <c r="J201" s="357">
        <f>IF($E193&gt;0, $E193, $E192)</f>
        <v>297</v>
      </c>
      <c r="K201" s="375">
        <f>J201*I201</f>
        <v>677.13030000000003</v>
      </c>
      <c r="L201" s="358">
        <f t="shared" si="30"/>
        <v>6.0291000000000849</v>
      </c>
      <c r="M201" s="377">
        <f t="shared" ref="M201:M211" si="32">IF(ISERROR(L201/H201), "", L201/H201)</f>
        <v>8.9838909541513044E-3</v>
      </c>
    </row>
    <row r="202" spans="1:13" hidden="1" x14ac:dyDescent="0.2">
      <c r="A202" s="59" t="str">
        <f t="shared" ref="A202:A243" si="33">A201</f>
        <v>GENERAL SERVICE 50 to 4,999 kW SERVICE CLASSIFICATION</v>
      </c>
      <c r="C202" s="390"/>
      <c r="D202" s="69" t="s">
        <v>5950</v>
      </c>
      <c r="E202" s="348"/>
      <c r="F202" s="354"/>
      <c r="G202" s="330">
        <f>IF($E193&gt;0, $E193, $E192)</f>
        <v>297</v>
      </c>
      <c r="H202" s="375">
        <v>0</v>
      </c>
      <c r="I202" s="351"/>
      <c r="J202" s="357">
        <f>IF($E193&gt;0, $E193, $E192)</f>
        <v>297</v>
      </c>
      <c r="K202" s="375">
        <v>0</v>
      </c>
      <c r="L202" s="358"/>
      <c r="M202" s="377"/>
    </row>
    <row r="203" spans="1:13" hidden="1" x14ac:dyDescent="0.2">
      <c r="A203" s="59" t="str">
        <f t="shared" si="33"/>
        <v>GENERAL SERVICE 50 to 4,999 kW SERVICE CLASSIFICATION</v>
      </c>
      <c r="C203" s="390"/>
      <c r="D203" s="69" t="s">
        <v>4872</v>
      </c>
      <c r="E203" s="348"/>
      <c r="F203" s="354"/>
      <c r="G203" s="330">
        <f>IF($E193&gt;0, $E193, $E192)</f>
        <v>297</v>
      </c>
      <c r="H203" s="375">
        <v>0</v>
      </c>
      <c r="I203" s="351"/>
      <c r="J203" s="330">
        <f>IF($E193&gt;0, $E193, $E192)</f>
        <v>297</v>
      </c>
      <c r="K203" s="375">
        <v>0</v>
      </c>
      <c r="L203" s="358">
        <f>K203-H203</f>
        <v>0</v>
      </c>
      <c r="M203" s="377" t="str">
        <f>IF(ISERROR(L203/H203), "", L203/H203)</f>
        <v/>
      </c>
    </row>
    <row r="204" spans="1:13" x14ac:dyDescent="0.2">
      <c r="A204" s="59" t="str">
        <f t="shared" si="33"/>
        <v>GENERAL SERVICE 50 to 4,999 kW SERVICE CLASSIFICATION</v>
      </c>
      <c r="C204" s="390"/>
      <c r="D204" s="70" t="s">
        <v>367</v>
      </c>
      <c r="E204" s="348"/>
      <c r="F204" s="374">
        <v>12.86</v>
      </c>
      <c r="G204" s="330">
        <v>1</v>
      </c>
      <c r="H204" s="375">
        <f t="shared" si="31"/>
        <v>12.86</v>
      </c>
      <c r="I204" s="376">
        <v>12.86</v>
      </c>
      <c r="J204" s="357">
        <f>G204</f>
        <v>1</v>
      </c>
      <c r="K204" s="375">
        <f t="shared" ref="K204:K211" si="34">J204*I204</f>
        <v>12.86</v>
      </c>
      <c r="L204" s="358">
        <f t="shared" si="30"/>
        <v>0</v>
      </c>
      <c r="M204" s="377">
        <f t="shared" si="32"/>
        <v>0</v>
      </c>
    </row>
    <row r="205" spans="1:13" x14ac:dyDescent="0.2">
      <c r="A205" s="59" t="str">
        <f t="shared" si="33"/>
        <v>GENERAL SERVICE 50 to 4,999 kW SERVICE CLASSIFICATION</v>
      </c>
      <c r="C205" s="390"/>
      <c r="D205" s="69" t="s">
        <v>368</v>
      </c>
      <c r="E205" s="348"/>
      <c r="F205" s="354">
        <v>3.8300000000000001E-2</v>
      </c>
      <c r="G205" s="330">
        <f>IF($E193&gt;0, $E193, $E192)</f>
        <v>297</v>
      </c>
      <c r="H205" s="375">
        <f t="shared" si="31"/>
        <v>11.3751</v>
      </c>
      <c r="I205" s="351">
        <v>4.4400000000000002E-2</v>
      </c>
      <c r="J205" s="357">
        <f>IF($E193&gt;0, $E193, $E192)</f>
        <v>297</v>
      </c>
      <c r="K205" s="375">
        <f t="shared" si="34"/>
        <v>13.1868</v>
      </c>
      <c r="L205" s="358">
        <f t="shared" si="30"/>
        <v>1.8117000000000001</v>
      </c>
      <c r="M205" s="377">
        <f t="shared" si="32"/>
        <v>0.15926892950391647</v>
      </c>
    </row>
    <row r="206" spans="1:13" x14ac:dyDescent="0.2">
      <c r="A206" s="59" t="str">
        <f t="shared" si="33"/>
        <v>GENERAL SERVICE 50 to 4,999 kW SERVICE CLASSIFICATION</v>
      </c>
      <c r="B206" s="306" t="s">
        <v>1654</v>
      </c>
      <c r="C206" s="390">
        <f>B32</f>
        <v>3</v>
      </c>
      <c r="D206" s="307" t="s">
        <v>358</v>
      </c>
      <c r="E206" s="308"/>
      <c r="F206" s="378"/>
      <c r="G206" s="898"/>
      <c r="H206" s="899">
        <f>SUM(H200:H205)</f>
        <v>988.80629999999996</v>
      </c>
      <c r="I206" s="379"/>
      <c r="J206" s="315"/>
      <c r="K206" s="899">
        <f>SUM(K200:K205)</f>
        <v>999.28710000000001</v>
      </c>
      <c r="L206" s="309">
        <f t="shared" si="30"/>
        <v>10.480800000000045</v>
      </c>
      <c r="M206" s="310">
        <f>IF((H206)=0,"",(L206/H206))</f>
        <v>1.0599447030222245E-2</v>
      </c>
    </row>
    <row r="207" spans="1:13" x14ac:dyDescent="0.2">
      <c r="A207" s="59" t="str">
        <f t="shared" si="33"/>
        <v>GENERAL SERVICE 50 to 4,999 kW SERVICE CLASSIFICATION</v>
      </c>
      <c r="C207" s="390"/>
      <c r="D207" s="73" t="s">
        <v>430</v>
      </c>
      <c r="E207" s="348"/>
      <c r="F207" s="354">
        <f>IF((E192*12&gt;=150000), 0, IF(E191="RPP",(F223*0.65+F224*0.17+F225*0.18),IF(E191="Non-RPP (Retailer)",F226,F227)))</f>
        <v>0</v>
      </c>
      <c r="G207" s="361">
        <f>IF(F207=0, 0, $E192*E194-E192)</f>
        <v>0</v>
      </c>
      <c r="H207" s="375">
        <f>G207*F207</f>
        <v>0</v>
      </c>
      <c r="I207" s="351">
        <f>IF((E192*12&gt;=150000), 0, IF(E191="RPP",(I223*0.65+I224*0.17+I225*0.18),IF(E191="Non-RPP (Retailer)",I226,I227)))</f>
        <v>0</v>
      </c>
      <c r="J207" s="361">
        <f>IF(I207=0, 0, E192*E195-E192)</f>
        <v>0</v>
      </c>
      <c r="K207" s="375">
        <f>J207*I207</f>
        <v>0</v>
      </c>
      <c r="L207" s="358">
        <f>K207-H207</f>
        <v>0</v>
      </c>
      <c r="M207" s="377" t="str">
        <f>IF(ISERROR(L207/H207), "", L207/H207)</f>
        <v/>
      </c>
    </row>
    <row r="208" spans="1:13" ht="25.5" x14ac:dyDescent="0.2">
      <c r="A208" s="59" t="str">
        <f t="shared" si="33"/>
        <v>GENERAL SERVICE 50 to 4,999 kW SERVICE CLASSIFICATION</v>
      </c>
      <c r="C208" s="390"/>
      <c r="D208" s="73" t="s">
        <v>366</v>
      </c>
      <c r="E208" s="348"/>
      <c r="F208" s="354">
        <v>-0.71609999999999996</v>
      </c>
      <c r="G208" s="362">
        <f>IF($E193&gt;0, $E193, $E192)</f>
        <v>297</v>
      </c>
      <c r="H208" s="375">
        <f t="shared" si="31"/>
        <v>-212.68169999999998</v>
      </c>
      <c r="I208" s="351">
        <v>-0.60960000000000003</v>
      </c>
      <c r="J208" s="362">
        <f>IF($E193&gt;0, $E193, $E192)</f>
        <v>297</v>
      </c>
      <c r="K208" s="375">
        <f t="shared" si="34"/>
        <v>-181.05120000000002</v>
      </c>
      <c r="L208" s="358">
        <f t="shared" si="30"/>
        <v>31.630499999999955</v>
      </c>
      <c r="M208" s="377">
        <f t="shared" si="32"/>
        <v>-0.14872224549643884</v>
      </c>
    </row>
    <row r="209" spans="1:13" x14ac:dyDescent="0.2">
      <c r="A209" s="59" t="str">
        <f t="shared" si="33"/>
        <v>GENERAL SERVICE 50 to 4,999 kW SERVICE CLASSIFICATION</v>
      </c>
      <c r="C209" s="390"/>
      <c r="D209" s="73" t="s">
        <v>2885</v>
      </c>
      <c r="E209" s="348"/>
      <c r="F209" s="354">
        <v>0</v>
      </c>
      <c r="G209" s="362">
        <f>IF($E193&gt;0, $E193, $E192)</f>
        <v>297</v>
      </c>
      <c r="H209" s="375">
        <f>G209*F209</f>
        <v>0</v>
      </c>
      <c r="I209" s="351">
        <v>0</v>
      </c>
      <c r="J209" s="362">
        <f>IF($E193&gt;0, $E193, $E192)</f>
        <v>297</v>
      </c>
      <c r="K209" s="375">
        <f>J209*I209</f>
        <v>0</v>
      </c>
      <c r="L209" s="358">
        <f t="shared" si="30"/>
        <v>0</v>
      </c>
      <c r="M209" s="377" t="str">
        <f t="shared" si="32"/>
        <v/>
      </c>
    </row>
    <row r="210" spans="1:13" x14ac:dyDescent="0.2">
      <c r="A210" s="59" t="str">
        <f t="shared" si="33"/>
        <v>GENERAL SERVICE 50 to 4,999 kW SERVICE CLASSIFICATION</v>
      </c>
      <c r="C210" s="390"/>
      <c r="D210" s="73" t="s">
        <v>2281</v>
      </c>
      <c r="E210" s="348"/>
      <c r="F210" s="354">
        <v>6.9999999999999999E-4</v>
      </c>
      <c r="G210" s="362">
        <f>E192</f>
        <v>147135</v>
      </c>
      <c r="H210" s="375">
        <f>G210*F210</f>
        <v>102.9945</v>
      </c>
      <c r="I210" s="351">
        <v>2E-3</v>
      </c>
      <c r="J210" s="362">
        <f>E192</f>
        <v>147135</v>
      </c>
      <c r="K210" s="375">
        <f t="shared" si="34"/>
        <v>294.27</v>
      </c>
      <c r="L210" s="358">
        <f t="shared" si="30"/>
        <v>191.27549999999997</v>
      </c>
      <c r="M210" s="377">
        <f t="shared" si="32"/>
        <v>1.8571428571428568</v>
      </c>
    </row>
    <row r="211" spans="1:13" x14ac:dyDescent="0.2">
      <c r="A211" s="59" t="str">
        <f t="shared" si="33"/>
        <v>GENERAL SERVICE 50 to 4,999 kW SERVICE CLASSIFICATION</v>
      </c>
      <c r="C211" s="390"/>
      <c r="D211" s="75" t="s">
        <v>145</v>
      </c>
      <c r="E211" s="348"/>
      <c r="F211" s="354">
        <v>1.6712</v>
      </c>
      <c r="G211" s="362">
        <f>IF($E193&gt;0, $E193, $E192)</f>
        <v>297</v>
      </c>
      <c r="H211" s="375">
        <f t="shared" si="31"/>
        <v>496.34640000000002</v>
      </c>
      <c r="I211" s="351">
        <v>1.6712</v>
      </c>
      <c r="J211" s="362">
        <f>IF($E193&gt;0, $E193, $E192)</f>
        <v>297</v>
      </c>
      <c r="K211" s="375">
        <f t="shared" si="34"/>
        <v>496.34640000000002</v>
      </c>
      <c r="L211" s="358">
        <f t="shared" si="30"/>
        <v>0</v>
      </c>
      <c r="M211" s="377">
        <f t="shared" si="32"/>
        <v>0</v>
      </c>
    </row>
    <row r="212" spans="1:13" ht="25.5" x14ac:dyDescent="0.2">
      <c r="A212" s="59" t="str">
        <f t="shared" si="33"/>
        <v>GENERAL SERVICE 50 to 4,999 kW SERVICE CLASSIFICATION</v>
      </c>
      <c r="C212" s="390"/>
      <c r="D212" s="429" t="s">
        <v>5951</v>
      </c>
      <c r="E212" s="348"/>
      <c r="F212" s="1001">
        <f>IF(OR(ISNUMBER(SEARCH("RESIDENTIAL", E190))=TRUE, ISNUMBER(SEARCH("GENERAL SERVICE LESS THAN 50", E190))=TRUE), SME, 0)</f>
        <v>0</v>
      </c>
      <c r="G212" s="330">
        <v>1</v>
      </c>
      <c r="H212" s="375">
        <f>G212*F212</f>
        <v>0</v>
      </c>
      <c r="I212" s="1002">
        <f>IF(OR(ISNUMBER(SEARCH("RESIDENTIAL", E190))=TRUE, ISNUMBER(SEARCH("GENERAL SERVICE LESS THAN 50", E190))=TRUE), SME, 0)</f>
        <v>0</v>
      </c>
      <c r="J212" s="330">
        <v>1</v>
      </c>
      <c r="K212" s="375">
        <f>J212*I212</f>
        <v>0</v>
      </c>
      <c r="L212" s="358">
        <f t="shared" si="30"/>
        <v>0</v>
      </c>
      <c r="M212" s="377" t="str">
        <f>IF(ISERROR(L212/H212), "", L212/H212)</f>
        <v/>
      </c>
    </row>
    <row r="213" spans="1:13" x14ac:dyDescent="0.2">
      <c r="A213" s="59" t="str">
        <f t="shared" si="33"/>
        <v>GENERAL SERVICE 50 to 4,999 kW SERVICE CLASSIFICATION</v>
      </c>
      <c r="C213" s="390"/>
      <c r="D213" s="75" t="s">
        <v>4871</v>
      </c>
      <c r="E213" s="348"/>
      <c r="F213" s="374">
        <v>0</v>
      </c>
      <c r="G213" s="330">
        <v>1</v>
      </c>
      <c r="H213" s="375">
        <f t="shared" si="31"/>
        <v>0</v>
      </c>
      <c r="I213" s="376">
        <v>0</v>
      </c>
      <c r="J213" s="330">
        <v>1</v>
      </c>
      <c r="K213" s="375">
        <f>J213*I213</f>
        <v>0</v>
      </c>
      <c r="L213" s="358">
        <f>K213-H213</f>
        <v>0</v>
      </c>
      <c r="M213" s="377" t="str">
        <f>IF(ISERROR(L213/H213), "", L213/H213)</f>
        <v/>
      </c>
    </row>
    <row r="214" spans="1:13" x14ac:dyDescent="0.2">
      <c r="A214" s="59" t="str">
        <f t="shared" si="33"/>
        <v>GENERAL SERVICE 50 to 4,999 kW SERVICE CLASSIFICATION</v>
      </c>
      <c r="C214" s="390"/>
      <c r="D214" s="75" t="s">
        <v>4870</v>
      </c>
      <c r="E214" s="348"/>
      <c r="F214" s="354"/>
      <c r="G214" s="362">
        <f>IF($E193&gt;0, $E193, $E192)</f>
        <v>297</v>
      </c>
      <c r="H214" s="375">
        <f>G214*F214</f>
        <v>0</v>
      </c>
      <c r="I214" s="351">
        <v>0</v>
      </c>
      <c r="J214" s="362">
        <f>IF($E193&gt;0, $E193, $E192)</f>
        <v>297</v>
      </c>
      <c r="K214" s="375">
        <f>J214*I214</f>
        <v>0</v>
      </c>
      <c r="L214" s="358">
        <f t="shared" si="30"/>
        <v>0</v>
      </c>
      <c r="M214" s="377" t="str">
        <f>IF(ISERROR(L214/H214), "", L214/H214)</f>
        <v/>
      </c>
    </row>
    <row r="215" spans="1:13" ht="25.5" x14ac:dyDescent="0.2">
      <c r="A215" s="59" t="str">
        <f t="shared" si="33"/>
        <v>GENERAL SERVICE 50 to 4,999 kW SERVICE CLASSIFICATION</v>
      </c>
      <c r="B215" s="1032" t="s">
        <v>1655</v>
      </c>
      <c r="C215" s="390">
        <f>B32</f>
        <v>3</v>
      </c>
      <c r="D215" s="312" t="s">
        <v>1686</v>
      </c>
      <c r="E215" s="313"/>
      <c r="F215" s="349"/>
      <c r="G215" s="359"/>
      <c r="H215" s="314">
        <f>SUM(H206:H214)</f>
        <v>1375.4655</v>
      </c>
      <c r="I215" s="350"/>
      <c r="J215" s="360"/>
      <c r="K215" s="314">
        <f>SUM(K206:K214)</f>
        <v>1608.8523</v>
      </c>
      <c r="L215" s="309">
        <f t="shared" si="30"/>
        <v>233.38679999999999</v>
      </c>
      <c r="M215" s="310">
        <f>IF((H215)=0,"",(L215/H215))</f>
        <v>0.16967841069078068</v>
      </c>
    </row>
    <row r="216" spans="1:13" x14ac:dyDescent="0.2">
      <c r="A216" s="59" t="str">
        <f t="shared" si="33"/>
        <v>GENERAL SERVICE 50 to 4,999 kW SERVICE CLASSIFICATION</v>
      </c>
      <c r="C216" s="390"/>
      <c r="D216" s="77" t="s">
        <v>360</v>
      </c>
      <c r="E216" s="348"/>
      <c r="F216" s="354">
        <v>2.4327000000000001</v>
      </c>
      <c r="G216" s="361">
        <f>IF($E193&gt;0, $E193, $E192*$E194)</f>
        <v>297</v>
      </c>
      <c r="H216" s="375">
        <f>G216*F216</f>
        <v>722.51189999999997</v>
      </c>
      <c r="I216" s="351">
        <v>2.4538000000000002</v>
      </c>
      <c r="J216" s="361">
        <f>IF($E193&gt;0, $E193, $E192*$E195)</f>
        <v>297</v>
      </c>
      <c r="K216" s="375">
        <f>J216*I216</f>
        <v>728.7786000000001</v>
      </c>
      <c r="L216" s="358">
        <f t="shared" si="30"/>
        <v>6.2667000000001281</v>
      </c>
      <c r="M216" s="377">
        <f>IF(ISERROR(L216/H216), "", L216/H216)</f>
        <v>8.6734903605049669E-3</v>
      </c>
    </row>
    <row r="217" spans="1:13" ht="25.5" x14ac:dyDescent="0.2">
      <c r="A217" s="59" t="str">
        <f t="shared" si="33"/>
        <v>GENERAL SERVICE 50 to 4,999 kW SERVICE CLASSIFICATION</v>
      </c>
      <c r="C217" s="390"/>
      <c r="D217" s="189" t="s">
        <v>370</v>
      </c>
      <c r="E217" s="348"/>
      <c r="F217" s="354">
        <v>1.8726</v>
      </c>
      <c r="G217" s="361">
        <f>IF($E193&gt;0, $E193, $E192*$E194)</f>
        <v>297</v>
      </c>
      <c r="H217" s="375">
        <f>G217*F217</f>
        <v>556.16219999999998</v>
      </c>
      <c r="I217" s="351">
        <v>1.8828</v>
      </c>
      <c r="J217" s="361">
        <f>IF($E193&gt;0, $E193, $E192*$E195)</f>
        <v>297</v>
      </c>
      <c r="K217" s="375">
        <f>J217*I217</f>
        <v>559.19159999999999</v>
      </c>
      <c r="L217" s="358">
        <f t="shared" si="30"/>
        <v>3.0294000000000096</v>
      </c>
      <c r="M217" s="377">
        <f>IF(ISERROR(L217/H217), "", L217/H217)</f>
        <v>5.4469721243191457E-3</v>
      </c>
    </row>
    <row r="218" spans="1:13" ht="25.5" x14ac:dyDescent="0.2">
      <c r="A218" s="59" t="str">
        <f t="shared" si="33"/>
        <v>GENERAL SERVICE 50 to 4,999 kW SERVICE CLASSIFICATION</v>
      </c>
      <c r="B218" s="1032" t="s">
        <v>1656</v>
      </c>
      <c r="C218" s="390">
        <f>B32</f>
        <v>3</v>
      </c>
      <c r="D218" s="312" t="s">
        <v>1687</v>
      </c>
      <c r="E218" s="308"/>
      <c r="F218" s="349"/>
      <c r="G218" s="359"/>
      <c r="H218" s="314">
        <f>SUM(H215:H217)</f>
        <v>2654.1395999999995</v>
      </c>
      <c r="I218" s="350"/>
      <c r="J218" s="315"/>
      <c r="K218" s="314">
        <f>SUM(K215:K217)</f>
        <v>2896.8225000000002</v>
      </c>
      <c r="L218" s="309">
        <f t="shared" si="30"/>
        <v>242.6829000000007</v>
      </c>
      <c r="M218" s="310">
        <f>IF((H218)=0,"",(L218/H218))</f>
        <v>9.1435620040483459E-2</v>
      </c>
    </row>
    <row r="219" spans="1:13" ht="25.5" x14ac:dyDescent="0.2">
      <c r="A219" s="59" t="str">
        <f t="shared" si="33"/>
        <v>GENERAL SERVICE 50 to 4,999 kW SERVICE CLASSIFICATION</v>
      </c>
      <c r="C219" s="390"/>
      <c r="D219" s="316" t="s">
        <v>361</v>
      </c>
      <c r="E219" s="348"/>
      <c r="F219" s="354">
        <v>3.6000000000000003E-3</v>
      </c>
      <c r="G219" s="361">
        <f>E192*E194</f>
        <v>159185.35650000002</v>
      </c>
      <c r="H219" s="363">
        <f t="shared" ref="H219:H225" si="35">G219*F219</f>
        <v>573.06728340000018</v>
      </c>
      <c r="I219" s="351">
        <v>3.6000000000000003E-3</v>
      </c>
      <c r="J219" s="361">
        <f>E192*E195</f>
        <v>159185.35650000002</v>
      </c>
      <c r="K219" s="363">
        <f t="shared" ref="K219:K225" si="36">J219*I219</f>
        <v>573.06728340000018</v>
      </c>
      <c r="L219" s="358">
        <f t="shared" si="30"/>
        <v>0</v>
      </c>
      <c r="M219" s="377">
        <f t="shared" ref="M219:M227" si="37">IF(ISERROR(L219/H219), "", L219/H219)</f>
        <v>0</v>
      </c>
    </row>
    <row r="220" spans="1:13" ht="25.5" x14ac:dyDescent="0.2">
      <c r="A220" s="59" t="str">
        <f t="shared" si="33"/>
        <v>GENERAL SERVICE 50 to 4,999 kW SERVICE CLASSIFICATION</v>
      </c>
      <c r="C220" s="390"/>
      <c r="D220" s="316" t="s">
        <v>362</v>
      </c>
      <c r="E220" s="348"/>
      <c r="F220" s="354">
        <f>'17. Regulatory Charges'!$D$16</f>
        <v>2.9999999999999997E-4</v>
      </c>
      <c r="G220" s="361">
        <f>E192*E194</f>
        <v>159185.35650000002</v>
      </c>
      <c r="H220" s="363">
        <f t="shared" si="35"/>
        <v>47.755606950000001</v>
      </c>
      <c r="I220" s="351">
        <v>2.9999999999999997E-4</v>
      </c>
      <c r="J220" s="361">
        <f>E192*E195</f>
        <v>159185.35650000002</v>
      </c>
      <c r="K220" s="363">
        <f t="shared" si="36"/>
        <v>47.755606950000001</v>
      </c>
      <c r="L220" s="358">
        <f t="shared" si="30"/>
        <v>0</v>
      </c>
      <c r="M220" s="377">
        <f t="shared" si="37"/>
        <v>0</v>
      </c>
    </row>
    <row r="221" spans="1:13" x14ac:dyDescent="0.2">
      <c r="A221" s="59" t="str">
        <f t="shared" si="33"/>
        <v>GENERAL SERVICE 50 to 4,999 kW SERVICE CLASSIFICATION</v>
      </c>
      <c r="C221" s="390"/>
      <c r="D221" s="305" t="s">
        <v>363</v>
      </c>
      <c r="E221" s="348"/>
      <c r="F221" s="1001">
        <v>0.25</v>
      </c>
      <c r="G221" s="330">
        <v>1</v>
      </c>
      <c r="H221" s="363">
        <f t="shared" si="35"/>
        <v>0.25</v>
      </c>
      <c r="I221" s="1002">
        <f>'17. Regulatory Charges'!$D$17</f>
        <v>0.25</v>
      </c>
      <c r="J221" s="357">
        <v>1</v>
      </c>
      <c r="K221" s="363">
        <f t="shared" si="36"/>
        <v>0.25</v>
      </c>
      <c r="L221" s="358">
        <f t="shared" si="30"/>
        <v>0</v>
      </c>
      <c r="M221" s="377">
        <f t="shared" si="37"/>
        <v>0</v>
      </c>
    </row>
    <row r="222" spans="1:13" ht="25.5" hidden="1" x14ac:dyDescent="0.2">
      <c r="A222" s="59" t="str">
        <f t="shared" si="33"/>
        <v>GENERAL SERVICE 50 to 4,999 kW SERVICE CLASSIFICATION</v>
      </c>
      <c r="C222" s="390"/>
      <c r="D222" s="316" t="s">
        <v>1688</v>
      </c>
      <c r="E222" s="348"/>
      <c r="F222" s="354"/>
      <c r="G222" s="361"/>
      <c r="H222" s="363"/>
      <c r="I222" s="351"/>
      <c r="J222" s="361"/>
      <c r="K222" s="363"/>
      <c r="L222" s="358"/>
      <c r="M222" s="377"/>
    </row>
    <row r="223" spans="1:13" hidden="1" x14ac:dyDescent="0.2">
      <c r="A223" s="59" t="str">
        <f t="shared" si="33"/>
        <v>GENERAL SERVICE 50 to 4,999 kW SERVICE CLASSIFICATION</v>
      </c>
      <c r="B223" s="1032" t="s">
        <v>1647</v>
      </c>
      <c r="C223" s="390"/>
      <c r="D223" s="311" t="s">
        <v>228</v>
      </c>
      <c r="E223" s="348"/>
      <c r="F223" s="355">
        <f>OffPeak</f>
        <v>6.5000000000000002E-2</v>
      </c>
      <c r="G223" s="317">
        <f>IF(AND(E192*12&gt;=150000),0.65*E192*E194,0.65*E192)</f>
        <v>103470.48172500001</v>
      </c>
      <c r="H223" s="363">
        <f t="shared" si="35"/>
        <v>6725.5813121250003</v>
      </c>
      <c r="I223" s="352">
        <f>OffPeak</f>
        <v>6.5000000000000002E-2</v>
      </c>
      <c r="J223" s="317">
        <f>IF(AND(E192*12&gt;=150000),0.65*E192*E195,0.65*E192)</f>
        <v>103470.48172500001</v>
      </c>
      <c r="K223" s="363">
        <f t="shared" si="36"/>
        <v>6725.5813121250003</v>
      </c>
      <c r="L223" s="358">
        <f>K223-H223</f>
        <v>0</v>
      </c>
      <c r="M223" s="377">
        <f t="shared" si="37"/>
        <v>0</v>
      </c>
    </row>
    <row r="224" spans="1:13" hidden="1" x14ac:dyDescent="0.2">
      <c r="A224" s="59" t="str">
        <f t="shared" si="33"/>
        <v>GENERAL SERVICE 50 to 4,999 kW SERVICE CLASSIFICATION</v>
      </c>
      <c r="B224" s="1032" t="s">
        <v>1647</v>
      </c>
      <c r="C224" s="390"/>
      <c r="D224" s="311" t="s">
        <v>229</v>
      </c>
      <c r="E224" s="348"/>
      <c r="F224" s="355">
        <f>MidPeak</f>
        <v>9.4E-2</v>
      </c>
      <c r="G224" s="317">
        <f>IF(AND(E192*12&gt;=150000),0.17*E192*E194,0.17*E192)</f>
        <v>27061.510605000003</v>
      </c>
      <c r="H224" s="363">
        <f t="shared" si="35"/>
        <v>2543.7819968700005</v>
      </c>
      <c r="I224" s="352">
        <f>MidPeak</f>
        <v>9.4E-2</v>
      </c>
      <c r="J224" s="317">
        <f>IF(AND(E192*12&gt;=150000),0.17*E192*E195,0.17*E192)</f>
        <v>27061.510605000003</v>
      </c>
      <c r="K224" s="363">
        <f t="shared" si="36"/>
        <v>2543.7819968700005</v>
      </c>
      <c r="L224" s="358">
        <f>K224-H224</f>
        <v>0</v>
      </c>
      <c r="M224" s="377">
        <f t="shared" si="37"/>
        <v>0</v>
      </c>
    </row>
    <row r="225" spans="1:13" hidden="1" x14ac:dyDescent="0.2">
      <c r="A225" s="59" t="str">
        <f t="shared" si="33"/>
        <v>GENERAL SERVICE 50 to 4,999 kW SERVICE CLASSIFICATION</v>
      </c>
      <c r="B225" s="1032" t="s">
        <v>1647</v>
      </c>
      <c r="C225" s="390"/>
      <c r="D225" s="1032" t="s">
        <v>230</v>
      </c>
      <c r="E225" s="348"/>
      <c r="F225" s="355">
        <f>OnPeak</f>
        <v>0.13200000000000001</v>
      </c>
      <c r="G225" s="317">
        <f>IF(AND(E192*12&gt;=150000),0.18*E192*E194,0.18*E192)</f>
        <v>28653.364170000001</v>
      </c>
      <c r="H225" s="363">
        <f t="shared" si="35"/>
        <v>3782.2440704400001</v>
      </c>
      <c r="I225" s="352">
        <f>OnPeak</f>
        <v>0.13200000000000001</v>
      </c>
      <c r="J225" s="317">
        <f>IF(AND(E192*12&gt;=150000),0.18*E192*E195,0.18*E192)</f>
        <v>28653.364170000001</v>
      </c>
      <c r="K225" s="363">
        <f t="shared" si="36"/>
        <v>3782.2440704400001</v>
      </c>
      <c r="L225" s="358">
        <f>K225-H225</f>
        <v>0</v>
      </c>
      <c r="M225" s="377">
        <f t="shared" si="37"/>
        <v>0</v>
      </c>
    </row>
    <row r="226" spans="1:13" hidden="1" x14ac:dyDescent="0.2">
      <c r="A226" s="59" t="str">
        <f t="shared" si="33"/>
        <v>GENERAL SERVICE 50 to 4,999 kW SERVICE CLASSIFICATION</v>
      </c>
      <c r="B226" s="59" t="s">
        <v>1648</v>
      </c>
      <c r="C226" s="390"/>
      <c r="D226" s="311" t="s">
        <v>1657</v>
      </c>
      <c r="E226" s="348"/>
      <c r="F226" s="356">
        <v>0.1101</v>
      </c>
      <c r="G226" s="317">
        <f>IF(AND(E192*12&gt;=150000),E192*E194,E192)</f>
        <v>159185.35650000002</v>
      </c>
      <c r="H226" s="363">
        <f>G226*F226</f>
        <v>17526.307750650005</v>
      </c>
      <c r="I226" s="353">
        <f>F226</f>
        <v>0.1101</v>
      </c>
      <c r="J226" s="317">
        <f>IF(AND(E192*12&gt;=150000),E192*E195,E192)</f>
        <v>159185.35650000002</v>
      </c>
      <c r="K226" s="363">
        <f>J226*I226</f>
        <v>17526.307750650005</v>
      </c>
      <c r="L226" s="358">
        <f>K226-H226</f>
        <v>0</v>
      </c>
      <c r="M226" s="377">
        <f t="shared" si="37"/>
        <v>0</v>
      </c>
    </row>
    <row r="227" spans="1:13" ht="13.5" thickBot="1" x14ac:dyDescent="0.25">
      <c r="A227" s="59" t="str">
        <f t="shared" si="33"/>
        <v>GENERAL SERVICE 50 to 4,999 kW SERVICE CLASSIFICATION</v>
      </c>
      <c r="B227" s="59" t="s">
        <v>1649</v>
      </c>
      <c r="C227" s="390"/>
      <c r="D227" s="311" t="s">
        <v>1658</v>
      </c>
      <c r="E227" s="348"/>
      <c r="F227" s="356">
        <v>0.1101</v>
      </c>
      <c r="G227" s="317">
        <f>IF(AND(E192*12&gt;=150000),E192*E194,E192)</f>
        <v>159185.35650000002</v>
      </c>
      <c r="H227" s="363">
        <f>G227*F227</f>
        <v>17526.307750650005</v>
      </c>
      <c r="I227" s="353">
        <f>F227</f>
        <v>0.1101</v>
      </c>
      <c r="J227" s="317">
        <f>IF(AND(E192*12&gt;=150000),E192*E195,E192)</f>
        <v>159185.35650000002</v>
      </c>
      <c r="K227" s="363">
        <f>J227*I227</f>
        <v>17526.307750650005</v>
      </c>
      <c r="L227" s="358">
        <f>K227-H227</f>
        <v>0</v>
      </c>
      <c r="M227" s="377">
        <f t="shared" si="37"/>
        <v>0</v>
      </c>
    </row>
    <row r="228" spans="1:13" ht="13.5" thickBot="1" x14ac:dyDescent="0.25">
      <c r="A228" s="59" t="str">
        <f t="shared" si="33"/>
        <v>GENERAL SERVICE 50 to 4,999 kW SERVICE CLASSIFICATION</v>
      </c>
      <c r="B228" s="1032"/>
      <c r="C228" s="390"/>
      <c r="D228" s="318"/>
      <c r="E228" s="319"/>
      <c r="F228" s="364"/>
      <c r="G228" s="236"/>
      <c r="H228" s="365"/>
      <c r="I228" s="364"/>
      <c r="J228" s="366"/>
      <c r="K228" s="365"/>
      <c r="L228" s="367"/>
      <c r="M228" s="239"/>
    </row>
    <row r="229" spans="1:13" hidden="1" x14ac:dyDescent="0.2">
      <c r="A229" s="59" t="str">
        <f t="shared" si="33"/>
        <v>GENERAL SERVICE 50 to 4,999 kW SERVICE CLASSIFICATION</v>
      </c>
      <c r="B229" s="1032" t="s">
        <v>1647</v>
      </c>
      <c r="C229" s="390"/>
      <c r="D229" s="322" t="s">
        <v>365</v>
      </c>
      <c r="E229" s="305"/>
      <c r="F229" s="337"/>
      <c r="G229" s="368"/>
      <c r="H229" s="323">
        <f>SUM(H219:H225,H218)</f>
        <v>16326.819869784998</v>
      </c>
      <c r="I229" s="324"/>
      <c r="J229" s="324"/>
      <c r="K229" s="323">
        <f>SUM(K219:K225,K218)</f>
        <v>16569.502769785002</v>
      </c>
      <c r="L229" s="325">
        <f>K229-H229</f>
        <v>242.68290000000343</v>
      </c>
      <c r="M229" s="326">
        <f>IF((H229)=0,"",(L229/H229))</f>
        <v>1.4864064278011737E-2</v>
      </c>
    </row>
    <row r="230" spans="1:13" hidden="1" x14ac:dyDescent="0.2">
      <c r="A230" s="59" t="str">
        <f t="shared" si="33"/>
        <v>GENERAL SERVICE 50 to 4,999 kW SERVICE CLASSIFICATION</v>
      </c>
      <c r="B230" s="1032" t="s">
        <v>1647</v>
      </c>
      <c r="C230" s="390"/>
      <c r="D230" s="327" t="s">
        <v>152</v>
      </c>
      <c r="E230" s="305"/>
      <c r="F230" s="337">
        <v>0.13</v>
      </c>
      <c r="G230" s="369"/>
      <c r="H230" s="328">
        <f>H229*F230</f>
        <v>2122.4865830720501</v>
      </c>
      <c r="I230" s="329">
        <v>0.13</v>
      </c>
      <c r="J230" s="330"/>
      <c r="K230" s="328">
        <f>K229*I230</f>
        <v>2154.0353600720505</v>
      </c>
      <c r="L230" s="331">
        <f>K230-H230</f>
        <v>31.548777000000428</v>
      </c>
      <c r="M230" s="332">
        <f>IF((H230)=0,"",(L230/H230))</f>
        <v>1.4864064278011726E-2</v>
      </c>
    </row>
    <row r="231" spans="1:13" hidden="1" x14ac:dyDescent="0.2">
      <c r="A231" s="59" t="str">
        <f t="shared" si="33"/>
        <v>GENERAL SERVICE 50 to 4,999 kW SERVICE CLASSIFICATION</v>
      </c>
      <c r="B231" s="1032" t="s">
        <v>1647</v>
      </c>
      <c r="C231" s="390"/>
      <c r="D231" s="327" t="s">
        <v>2904</v>
      </c>
      <c r="E231" s="305"/>
      <c r="F231" s="337">
        <v>0.08</v>
      </c>
      <c r="G231" s="369"/>
      <c r="H231" s="328">
        <v>0</v>
      </c>
      <c r="I231" s="337">
        <v>0.08</v>
      </c>
      <c r="J231" s="330"/>
      <c r="K231" s="328">
        <v>0</v>
      </c>
      <c r="L231" s="331">
        <f>K231-H231</f>
        <v>0</v>
      </c>
      <c r="M231" s="332"/>
    </row>
    <row r="232" spans="1:13" ht="13.5" hidden="1" thickBot="1" x14ac:dyDescent="0.25">
      <c r="A232" s="59" t="str">
        <f t="shared" si="33"/>
        <v>GENERAL SERVICE 50 to 4,999 kW SERVICE CLASSIFICATION</v>
      </c>
      <c r="B232" s="1032" t="s">
        <v>1659</v>
      </c>
      <c r="C232" s="390"/>
      <c r="D232" s="1863" t="s">
        <v>1660</v>
      </c>
      <c r="E232" s="1863"/>
      <c r="F232" s="370"/>
      <c r="G232" s="371"/>
      <c r="H232" s="338">
        <f>H229+H230+H231</f>
        <v>18449.306452857047</v>
      </c>
      <c r="I232" s="334"/>
      <c r="J232" s="334"/>
      <c r="K232" s="333">
        <f>K229+K230+K231</f>
        <v>18723.538129857054</v>
      </c>
      <c r="L232" s="335">
        <f>K232-H232</f>
        <v>274.23167700000704</v>
      </c>
      <c r="M232" s="336">
        <f>IF((H232)=0,"",(L232/H232))</f>
        <v>1.486406427801191E-2</v>
      </c>
    </row>
    <row r="233" spans="1:13" ht="13.5" hidden="1" thickBot="1" x14ac:dyDescent="0.25">
      <c r="A233" s="59" t="str">
        <f t="shared" si="33"/>
        <v>GENERAL SERVICE 50 to 4,999 kW SERVICE CLASSIFICATION</v>
      </c>
      <c r="B233" s="59" t="s">
        <v>1647</v>
      </c>
      <c r="C233" s="390"/>
      <c r="D233" s="318"/>
      <c r="E233" s="319"/>
      <c r="F233" s="364"/>
      <c r="G233" s="236"/>
      <c r="H233" s="365"/>
      <c r="I233" s="364"/>
      <c r="J233" s="366"/>
      <c r="K233" s="365"/>
      <c r="L233" s="367"/>
      <c r="M233" s="239"/>
    </row>
    <row r="234" spans="1:13" hidden="1" x14ac:dyDescent="0.2">
      <c r="A234" s="59" t="str">
        <f t="shared" si="33"/>
        <v>GENERAL SERVICE 50 to 4,999 kW SERVICE CLASSIFICATION</v>
      </c>
      <c r="B234" s="59" t="s">
        <v>1648</v>
      </c>
      <c r="C234" s="390"/>
      <c r="D234" s="322" t="s">
        <v>1661</v>
      </c>
      <c r="E234" s="305"/>
      <c r="F234" s="337"/>
      <c r="G234" s="368"/>
      <c r="H234" s="323">
        <f>SUM(H226,H219:H222,H218)</f>
        <v>20801.520241000002</v>
      </c>
      <c r="I234" s="324"/>
      <c r="J234" s="324"/>
      <c r="K234" s="323">
        <f>SUM(K226,K219:K222,K218)</f>
        <v>21044.203141000005</v>
      </c>
      <c r="L234" s="325">
        <f>K234-H234</f>
        <v>242.68290000000343</v>
      </c>
      <c r="M234" s="326">
        <f>IF((H234)=0,"",(L234/H234))</f>
        <v>1.1666594421386232E-2</v>
      </c>
    </row>
    <row r="235" spans="1:13" hidden="1" x14ac:dyDescent="0.2">
      <c r="A235" s="59" t="str">
        <f t="shared" si="33"/>
        <v>GENERAL SERVICE 50 to 4,999 kW SERVICE CLASSIFICATION</v>
      </c>
      <c r="B235" s="59" t="s">
        <v>1648</v>
      </c>
      <c r="C235" s="390"/>
      <c r="D235" s="327" t="s">
        <v>152</v>
      </c>
      <c r="E235" s="305"/>
      <c r="F235" s="337">
        <v>0.13</v>
      </c>
      <c r="G235" s="368"/>
      <c r="H235" s="328">
        <f>H234*F235</f>
        <v>2704.1976313300001</v>
      </c>
      <c r="I235" s="337">
        <v>0.13</v>
      </c>
      <c r="J235" s="329"/>
      <c r="K235" s="328">
        <f>K234*I235</f>
        <v>2735.7464083300006</v>
      </c>
      <c r="L235" s="331">
        <f>K235-H235</f>
        <v>31.548777000000428</v>
      </c>
      <c r="M235" s="332">
        <f>IF((H235)=0,"",(L235/H235))</f>
        <v>1.1666594421386227E-2</v>
      </c>
    </row>
    <row r="236" spans="1:13" hidden="1" x14ac:dyDescent="0.2">
      <c r="A236" s="59" t="str">
        <f t="shared" si="33"/>
        <v>GENERAL SERVICE 50 to 4,999 kW SERVICE CLASSIFICATION</v>
      </c>
      <c r="B236" s="59" t="s">
        <v>1648</v>
      </c>
      <c r="C236" s="390"/>
      <c r="D236" s="327" t="s">
        <v>2904</v>
      </c>
      <c r="E236" s="305"/>
      <c r="F236" s="337">
        <v>0.08</v>
      </c>
      <c r="G236" s="368"/>
      <c r="H236" s="877">
        <v>0</v>
      </c>
      <c r="I236" s="337">
        <v>0.08</v>
      </c>
      <c r="J236" s="329"/>
      <c r="K236" s="877">
        <v>0</v>
      </c>
      <c r="L236" s="331"/>
      <c r="M236" s="332"/>
    </row>
    <row r="237" spans="1:13" ht="13.5" hidden="1" thickBot="1" x14ac:dyDescent="0.25">
      <c r="A237" s="59" t="str">
        <f t="shared" si="33"/>
        <v>GENERAL SERVICE 50 to 4,999 kW SERVICE CLASSIFICATION</v>
      </c>
      <c r="B237" s="59" t="s">
        <v>1662</v>
      </c>
      <c r="C237" s="390"/>
      <c r="D237" s="1863" t="s">
        <v>1661</v>
      </c>
      <c r="E237" s="1863"/>
      <c r="F237" s="372"/>
      <c r="G237" s="373"/>
      <c r="H237" s="338">
        <f>SUM(H234,H235)</f>
        <v>23505.717872330002</v>
      </c>
      <c r="I237" s="339"/>
      <c r="J237" s="339"/>
      <c r="K237" s="338">
        <f>SUM(K234,K235)</f>
        <v>23779.949549330006</v>
      </c>
      <c r="L237" s="340">
        <f>K237-H237</f>
        <v>274.2316770000034</v>
      </c>
      <c r="M237" s="341">
        <f>IF((H237)=0,"",(L237/H237))</f>
        <v>1.1666594421386213E-2</v>
      </c>
    </row>
    <row r="238" spans="1:13" ht="13.5" hidden="1" thickBot="1" x14ac:dyDescent="0.25">
      <c r="A238" s="59" t="str">
        <f t="shared" si="33"/>
        <v>GENERAL SERVICE 50 to 4,999 kW SERVICE CLASSIFICATION</v>
      </c>
      <c r="B238" s="59" t="s">
        <v>1648</v>
      </c>
      <c r="C238" s="390"/>
      <c r="D238" s="318"/>
      <c r="E238" s="319"/>
      <c r="F238" s="233"/>
      <c r="G238" s="234"/>
      <c r="H238" s="235"/>
      <c r="I238" s="233"/>
      <c r="J238" s="236"/>
      <c r="K238" s="235"/>
      <c r="L238" s="238"/>
      <c r="M238" s="239"/>
    </row>
    <row r="239" spans="1:13" x14ac:dyDescent="0.2">
      <c r="A239" s="59" t="str">
        <f t="shared" si="33"/>
        <v>GENERAL SERVICE 50 to 4,999 kW SERVICE CLASSIFICATION</v>
      </c>
      <c r="B239" s="59" t="s">
        <v>1649</v>
      </c>
      <c r="C239" s="390"/>
      <c r="D239" s="322" t="s">
        <v>1663</v>
      </c>
      <c r="E239" s="305"/>
      <c r="F239" s="337"/>
      <c r="G239" s="368"/>
      <c r="H239" s="323">
        <f>SUM(H227,H219:H222,H218)</f>
        <v>20801.520241000002</v>
      </c>
      <c r="I239" s="324"/>
      <c r="J239" s="324"/>
      <c r="K239" s="323">
        <f>SUM(K227,K219:K222,K218)</f>
        <v>21044.203141000005</v>
      </c>
      <c r="L239" s="325">
        <f>K239-H239</f>
        <v>242.68290000000343</v>
      </c>
      <c r="M239" s="326">
        <f>IF((H239)=0,"",(L239/H239))</f>
        <v>1.1666594421386232E-2</v>
      </c>
    </row>
    <row r="240" spans="1:13" x14ac:dyDescent="0.2">
      <c r="A240" s="59" t="str">
        <f t="shared" si="33"/>
        <v>GENERAL SERVICE 50 to 4,999 kW SERVICE CLASSIFICATION</v>
      </c>
      <c r="B240" s="59" t="s">
        <v>1649</v>
      </c>
      <c r="C240" s="390"/>
      <c r="D240" s="327" t="s">
        <v>152</v>
      </c>
      <c r="E240" s="305"/>
      <c r="F240" s="337">
        <v>0.13</v>
      </c>
      <c r="G240" s="368"/>
      <c r="H240" s="328">
        <f>H239*F240</f>
        <v>2704.1976313300001</v>
      </c>
      <c r="I240" s="337">
        <v>0.13</v>
      </c>
      <c r="J240" s="329"/>
      <c r="K240" s="328">
        <f>K239*I240</f>
        <v>2735.7464083300006</v>
      </c>
      <c r="L240" s="331">
        <f>K240-H240</f>
        <v>31.548777000000428</v>
      </c>
      <c r="M240" s="332">
        <f>IF((H240)=0,"",(L240/H240))</f>
        <v>1.1666594421386227E-2</v>
      </c>
    </row>
    <row r="241" spans="1:20" hidden="1" x14ac:dyDescent="0.2">
      <c r="A241" s="59" t="str">
        <f t="shared" si="33"/>
        <v>GENERAL SERVICE 50 to 4,999 kW SERVICE CLASSIFICATION</v>
      </c>
      <c r="B241" s="59" t="s">
        <v>1649</v>
      </c>
      <c r="C241" s="390"/>
      <c r="D241" s="327" t="s">
        <v>2904</v>
      </c>
      <c r="E241" s="305"/>
      <c r="F241" s="337">
        <v>0.08</v>
      </c>
      <c r="G241" s="368"/>
      <c r="H241" s="877">
        <v>0</v>
      </c>
      <c r="I241" s="337">
        <v>0.08</v>
      </c>
      <c r="J241" s="329"/>
      <c r="K241" s="877">
        <v>0</v>
      </c>
      <c r="L241" s="331"/>
      <c r="M241" s="332"/>
    </row>
    <row r="242" spans="1:20" ht="13.5" thickBot="1" x14ac:dyDescent="0.25">
      <c r="A242" s="59" t="str">
        <f t="shared" si="33"/>
        <v>GENERAL SERVICE 50 to 4,999 kW SERVICE CLASSIFICATION</v>
      </c>
      <c r="B242" s="59" t="s">
        <v>1664</v>
      </c>
      <c r="C242" s="390">
        <f>B32</f>
        <v>3</v>
      </c>
      <c r="D242" s="1863" t="s">
        <v>1663</v>
      </c>
      <c r="E242" s="1863"/>
      <c r="F242" s="372"/>
      <c r="G242" s="373"/>
      <c r="H242" s="338">
        <f>SUM(H239,H240)</f>
        <v>23505.717872330002</v>
      </c>
      <c r="I242" s="339"/>
      <c r="J242" s="339"/>
      <c r="K242" s="338">
        <f>SUM(K239,K240)</f>
        <v>23779.949549330006</v>
      </c>
      <c r="L242" s="340">
        <f>K242-H242</f>
        <v>274.2316770000034</v>
      </c>
      <c r="M242" s="341">
        <f>IF((H242)=0,"",(L242/H242))</f>
        <v>1.1666594421386213E-2</v>
      </c>
    </row>
    <row r="243" spans="1:20" ht="13.5" thickBot="1" x14ac:dyDescent="0.25">
      <c r="A243" s="59" t="str">
        <f t="shared" si="33"/>
        <v>GENERAL SERVICE 50 to 4,999 kW SERVICE CLASSIFICATION</v>
      </c>
      <c r="B243" s="59" t="s">
        <v>1649</v>
      </c>
      <c r="C243" s="390"/>
      <c r="D243" s="318"/>
      <c r="E243" s="319"/>
      <c r="F243" s="342"/>
      <c r="G243" s="343"/>
      <c r="H243" s="344"/>
      <c r="I243" s="342"/>
      <c r="J243" s="320"/>
      <c r="K243" s="344"/>
      <c r="L243" s="345"/>
      <c r="M243" s="321"/>
    </row>
    <row r="246" spans="1:20" x14ac:dyDescent="0.2">
      <c r="C246" s="59"/>
      <c r="D246" s="290" t="s">
        <v>1652</v>
      </c>
      <c r="E246" s="1872" t="str">
        <f>D33</f>
        <v>UNMETERED SCATTERED LOAD SERVICE CLASSIFICATION</v>
      </c>
      <c r="F246" s="1872"/>
      <c r="G246" s="1872"/>
      <c r="H246" s="1872"/>
      <c r="I246" s="1872"/>
      <c r="J246" s="1872"/>
      <c r="K246" s="59" t="str">
        <f>IF(N33="DEMAND - INTERVAL","RTSR - INTERVAL METERED","")</f>
        <v/>
      </c>
      <c r="T246" s="59" t="s">
        <v>628</v>
      </c>
    </row>
    <row r="247" spans="1:20" x14ac:dyDescent="0.2">
      <c r="C247" s="59"/>
      <c r="D247" s="290" t="s">
        <v>1653</v>
      </c>
      <c r="E247" s="1873" t="str">
        <f>H33</f>
        <v>RPP</v>
      </c>
      <c r="F247" s="1873"/>
      <c r="G247" s="1873"/>
      <c r="H247" s="291"/>
      <c r="I247" s="291"/>
    </row>
    <row r="248" spans="1:20" ht="15.75" x14ac:dyDescent="0.2">
      <c r="C248" s="59"/>
      <c r="D248" s="290" t="s">
        <v>157</v>
      </c>
      <c r="E248" s="1613">
        <f>K33</f>
        <v>727</v>
      </c>
      <c r="F248" s="293" t="s">
        <v>158</v>
      </c>
      <c r="G248" s="1032"/>
      <c r="J248" s="294"/>
      <c r="K248" s="294"/>
      <c r="L248" s="294"/>
      <c r="M248" s="294"/>
    </row>
    <row r="249" spans="1:20" ht="15.75" x14ac:dyDescent="0.25">
      <c r="C249" s="59"/>
      <c r="D249" s="290" t="s">
        <v>369</v>
      </c>
      <c r="E249" s="1613">
        <f>L33</f>
        <v>0</v>
      </c>
      <c r="F249" s="295" t="s">
        <v>159</v>
      </c>
      <c r="G249" s="296"/>
      <c r="H249" s="297"/>
      <c r="I249" s="297"/>
      <c r="J249" s="297"/>
    </row>
    <row r="250" spans="1:20" x14ac:dyDescent="0.2">
      <c r="C250" s="59"/>
      <c r="D250" s="290" t="s">
        <v>1684</v>
      </c>
      <c r="E250" s="298">
        <f>I33</f>
        <v>1.0819000000000001</v>
      </c>
    </row>
    <row r="251" spans="1:20" x14ac:dyDescent="0.2">
      <c r="C251" s="59"/>
      <c r="D251" s="290" t="s">
        <v>1685</v>
      </c>
      <c r="E251" s="298">
        <f>J33</f>
        <v>1.0819000000000001</v>
      </c>
    </row>
    <row r="252" spans="1:20" x14ac:dyDescent="0.2">
      <c r="C252" s="59"/>
      <c r="D252" s="1032"/>
    </row>
    <row r="253" spans="1:20" x14ac:dyDescent="0.2">
      <c r="C253" s="59"/>
      <c r="D253" s="1032"/>
      <c r="E253" s="299"/>
      <c r="F253" s="1864" t="s">
        <v>2271</v>
      </c>
      <c r="G253" s="1874"/>
      <c r="H253" s="1865"/>
      <c r="I253" s="1864" t="s">
        <v>350</v>
      </c>
      <c r="J253" s="1874"/>
      <c r="K253" s="1865"/>
      <c r="L253" s="1864" t="s">
        <v>351</v>
      </c>
      <c r="M253" s="1865"/>
    </row>
    <row r="254" spans="1:20" x14ac:dyDescent="0.2">
      <c r="C254" s="59"/>
      <c r="D254" s="1032"/>
      <c r="E254" s="1866"/>
      <c r="F254" s="300" t="s">
        <v>352</v>
      </c>
      <c r="G254" s="300" t="s">
        <v>150</v>
      </c>
      <c r="H254" s="301" t="s">
        <v>353</v>
      </c>
      <c r="I254" s="300" t="s">
        <v>352</v>
      </c>
      <c r="J254" s="302" t="s">
        <v>150</v>
      </c>
      <c r="K254" s="301" t="s">
        <v>353</v>
      </c>
      <c r="L254" s="1868" t="s">
        <v>354</v>
      </c>
      <c r="M254" s="1870" t="s">
        <v>355</v>
      </c>
    </row>
    <row r="255" spans="1:20" x14ac:dyDescent="0.2">
      <c r="C255" s="59"/>
      <c r="D255" s="1032"/>
      <c r="E255" s="1867"/>
      <c r="F255" s="303" t="s">
        <v>356</v>
      </c>
      <c r="G255" s="303"/>
      <c r="H255" s="304" t="s">
        <v>356</v>
      </c>
      <c r="I255" s="303" t="s">
        <v>356</v>
      </c>
      <c r="J255" s="304"/>
      <c r="K255" s="304" t="s">
        <v>356</v>
      </c>
      <c r="L255" s="1869"/>
      <c r="M255" s="1871"/>
    </row>
    <row r="256" spans="1:20" x14ac:dyDescent="0.2">
      <c r="A256" s="59" t="str">
        <f>$E246</f>
        <v>UNMETERED SCATTERED LOAD SERVICE CLASSIFICATION</v>
      </c>
      <c r="C256" s="390"/>
      <c r="D256" s="69" t="s">
        <v>357</v>
      </c>
      <c r="E256" s="348"/>
      <c r="F256" s="374">
        <v>4.3499999999999996</v>
      </c>
      <c r="G256" s="330">
        <v>1</v>
      </c>
      <c r="H256" s="375">
        <f>G256*F256</f>
        <v>4.3499999999999996</v>
      </c>
      <c r="I256" s="376">
        <v>4.3899999999999997</v>
      </c>
      <c r="J256" s="357">
        <f>G256</f>
        <v>1</v>
      </c>
      <c r="K256" s="375">
        <f>J256*I256</f>
        <v>4.3899999999999997</v>
      </c>
      <c r="L256" s="358">
        <f t="shared" ref="L256:L277" si="38">K256-H256</f>
        <v>4.0000000000000036E-2</v>
      </c>
      <c r="M256" s="377">
        <f>IF(ISERROR(L256/H256), "", L256/H256)</f>
        <v>9.1954022988505833E-3</v>
      </c>
    </row>
    <row r="257" spans="1:13" x14ac:dyDescent="0.2">
      <c r="A257" s="59" t="str">
        <f>A256</f>
        <v>UNMETERED SCATTERED LOAD SERVICE CLASSIFICATION</v>
      </c>
      <c r="C257" s="390"/>
      <c r="D257" s="69" t="s">
        <v>84</v>
      </c>
      <c r="E257" s="348"/>
      <c r="F257" s="354">
        <v>1.9900000000000001E-2</v>
      </c>
      <c r="G257" s="330">
        <f>IF($E249&gt;0, $E249, $E248)</f>
        <v>727</v>
      </c>
      <c r="H257" s="375">
        <f t="shared" ref="H257:H269" si="39">G257*F257</f>
        <v>14.467300000000002</v>
      </c>
      <c r="I257" s="351">
        <v>2.01E-2</v>
      </c>
      <c r="J257" s="357">
        <f>IF($E249&gt;0, $E249, $E248)</f>
        <v>727</v>
      </c>
      <c r="K257" s="375">
        <f>J257*I257</f>
        <v>14.6127</v>
      </c>
      <c r="L257" s="358">
        <f t="shared" si="38"/>
        <v>0.14539999999999864</v>
      </c>
      <c r="M257" s="377">
        <f t="shared" ref="M257:M267" si="40">IF(ISERROR(L257/H257), "", L257/H257)</f>
        <v>1.0050251256281312E-2</v>
      </c>
    </row>
    <row r="258" spans="1:13" hidden="1" x14ac:dyDescent="0.2">
      <c r="A258" s="59" t="str">
        <f t="shared" ref="A258:A299" si="41">A257</f>
        <v>UNMETERED SCATTERED LOAD SERVICE CLASSIFICATION</v>
      </c>
      <c r="C258" s="390"/>
      <c r="D258" s="69" t="s">
        <v>5950</v>
      </c>
      <c r="E258" s="348"/>
      <c r="F258" s="354"/>
      <c r="G258" s="330">
        <v>1</v>
      </c>
      <c r="H258" s="375">
        <v>0</v>
      </c>
      <c r="I258" s="351"/>
      <c r="J258" s="357">
        <f>IF($E249&gt;0, $E249, $E248)</f>
        <v>727</v>
      </c>
      <c r="K258" s="375">
        <v>0</v>
      </c>
      <c r="L258" s="358"/>
      <c r="M258" s="377"/>
    </row>
    <row r="259" spans="1:13" hidden="1" x14ac:dyDescent="0.2">
      <c r="A259" s="59" t="str">
        <f t="shared" si="41"/>
        <v>UNMETERED SCATTERED LOAD SERVICE CLASSIFICATION</v>
      </c>
      <c r="C259" s="390"/>
      <c r="D259" s="69" t="s">
        <v>4872</v>
      </c>
      <c r="E259" s="348"/>
      <c r="F259" s="354"/>
      <c r="G259" s="330">
        <f>IF($E249&gt;0, $E249, $E248)</f>
        <v>727</v>
      </c>
      <c r="H259" s="375">
        <v>0</v>
      </c>
      <c r="I259" s="351"/>
      <c r="J259" s="330">
        <f>IF($E249&gt;0, $E249, $E248)</f>
        <v>727</v>
      </c>
      <c r="K259" s="375">
        <v>0</v>
      </c>
      <c r="L259" s="358">
        <f>K259-H259</f>
        <v>0</v>
      </c>
      <c r="M259" s="377" t="str">
        <f>IF(ISERROR(L259/H259), "", L259/H259)</f>
        <v/>
      </c>
    </row>
    <row r="260" spans="1:13" x14ac:dyDescent="0.2">
      <c r="A260" s="59" t="str">
        <f t="shared" si="41"/>
        <v>UNMETERED SCATTERED LOAD SERVICE CLASSIFICATION</v>
      </c>
      <c r="C260" s="390"/>
      <c r="D260" s="70" t="s">
        <v>367</v>
      </c>
      <c r="E260" s="348"/>
      <c r="F260" s="374">
        <v>0.41</v>
      </c>
      <c r="G260" s="330">
        <v>1</v>
      </c>
      <c r="H260" s="375">
        <f t="shared" si="39"/>
        <v>0.41</v>
      </c>
      <c r="I260" s="376">
        <v>0.41</v>
      </c>
      <c r="J260" s="357">
        <f>G260</f>
        <v>1</v>
      </c>
      <c r="K260" s="375">
        <f t="shared" ref="K260:K267" si="42">J260*I260</f>
        <v>0.41</v>
      </c>
      <c r="L260" s="358">
        <f t="shared" si="38"/>
        <v>0</v>
      </c>
      <c r="M260" s="377">
        <f t="shared" si="40"/>
        <v>0</v>
      </c>
    </row>
    <row r="261" spans="1:13" x14ac:dyDescent="0.2">
      <c r="A261" s="59" t="str">
        <f t="shared" si="41"/>
        <v>UNMETERED SCATTERED LOAD SERVICE CLASSIFICATION</v>
      </c>
      <c r="C261" s="390"/>
      <c r="D261" s="69" t="s">
        <v>368</v>
      </c>
      <c r="E261" s="348"/>
      <c r="F261" s="354">
        <v>0</v>
      </c>
      <c r="G261" s="330">
        <f>IF($E249&gt;0, $E249, $E248)</f>
        <v>727</v>
      </c>
      <c r="H261" s="375">
        <f t="shared" si="39"/>
        <v>0</v>
      </c>
      <c r="I261" s="351">
        <v>0</v>
      </c>
      <c r="J261" s="357">
        <f>IF($E249&gt;0, $E249, $E248)</f>
        <v>727</v>
      </c>
      <c r="K261" s="375">
        <f t="shared" si="42"/>
        <v>0</v>
      </c>
      <c r="L261" s="358">
        <f t="shared" si="38"/>
        <v>0</v>
      </c>
      <c r="M261" s="377" t="str">
        <f t="shared" si="40"/>
        <v/>
      </c>
    </row>
    <row r="262" spans="1:13" x14ac:dyDescent="0.2">
      <c r="A262" s="59" t="str">
        <f t="shared" si="41"/>
        <v>UNMETERED SCATTERED LOAD SERVICE CLASSIFICATION</v>
      </c>
      <c r="B262" s="306" t="s">
        <v>1654</v>
      </c>
      <c r="C262" s="390">
        <f>B33</f>
        <v>4</v>
      </c>
      <c r="D262" s="307" t="s">
        <v>358</v>
      </c>
      <c r="E262" s="308"/>
      <c r="F262" s="378"/>
      <c r="G262" s="898"/>
      <c r="H262" s="899">
        <f>SUM(H256:H261)</f>
        <v>19.227300000000003</v>
      </c>
      <c r="I262" s="379"/>
      <c r="J262" s="315"/>
      <c r="K262" s="899">
        <f>SUM(K256:K261)</f>
        <v>19.412700000000001</v>
      </c>
      <c r="L262" s="309">
        <f t="shared" si="38"/>
        <v>0.18539999999999779</v>
      </c>
      <c r="M262" s="310">
        <f>IF((H262)=0,"",(L262/H262))</f>
        <v>9.6425395141282316E-3</v>
      </c>
    </row>
    <row r="263" spans="1:13" x14ac:dyDescent="0.2">
      <c r="A263" s="59" t="str">
        <f t="shared" si="41"/>
        <v>UNMETERED SCATTERED LOAD SERVICE CLASSIFICATION</v>
      </c>
      <c r="C263" s="390"/>
      <c r="D263" s="73" t="s">
        <v>430</v>
      </c>
      <c r="E263" s="348"/>
      <c r="F263" s="354">
        <f>IF((E248*12&gt;=150000), 0, IF(E247="RPP",(F279*0.65+F280*0.17+F281*0.18),IF(E247="Non-RPP (Retailer)",F282,F283)))</f>
        <v>8.1990000000000007E-2</v>
      </c>
      <c r="G263" s="361">
        <f>IF(F263=0, 0, $E248*E250-E248)</f>
        <v>59.541300000000092</v>
      </c>
      <c r="H263" s="375">
        <f>G263*F263</f>
        <v>4.8817911870000081</v>
      </c>
      <c r="I263" s="351">
        <f>IF((E248*12&gt;=150000), 0, IF(E247="RPP",(I279*0.65+I280*0.17+I281*0.18),IF(E247="Non-RPP (Retailer)",I282,I283)))</f>
        <v>8.1990000000000007E-2</v>
      </c>
      <c r="J263" s="361">
        <f>IF(I263=0, 0, E248*E251-E248)</f>
        <v>59.541300000000092</v>
      </c>
      <c r="K263" s="375">
        <f>J263*I263</f>
        <v>4.8817911870000081</v>
      </c>
      <c r="L263" s="358">
        <f>K263-H263</f>
        <v>0</v>
      </c>
      <c r="M263" s="377">
        <f>IF(ISERROR(L263/H263), "", L263/H263)</f>
        <v>0</v>
      </c>
    </row>
    <row r="264" spans="1:13" ht="25.5" x14ac:dyDescent="0.2">
      <c r="A264" s="59" t="str">
        <f t="shared" si="41"/>
        <v>UNMETERED SCATTERED LOAD SERVICE CLASSIFICATION</v>
      </c>
      <c r="C264" s="390"/>
      <c r="D264" s="73" t="s">
        <v>366</v>
      </c>
      <c r="E264" s="348"/>
      <c r="F264" s="354">
        <v>-2.0999999999999999E-3</v>
      </c>
      <c r="G264" s="362">
        <f>IF($E249&gt;0, $E249, $E248)</f>
        <v>727</v>
      </c>
      <c r="H264" s="375">
        <f t="shared" si="39"/>
        <v>-1.5266999999999999</v>
      </c>
      <c r="I264" s="351">
        <v>-2.3E-3</v>
      </c>
      <c r="J264" s="362">
        <f>IF($E249&gt;0, $E249, $E248)</f>
        <v>727</v>
      </c>
      <c r="K264" s="375">
        <f t="shared" si="42"/>
        <v>-1.6720999999999999</v>
      </c>
      <c r="L264" s="358">
        <f t="shared" si="38"/>
        <v>-0.14539999999999997</v>
      </c>
      <c r="M264" s="377">
        <f t="shared" si="40"/>
        <v>9.5238095238095219E-2</v>
      </c>
    </row>
    <row r="265" spans="1:13" x14ac:dyDescent="0.2">
      <c r="A265" s="59" t="str">
        <f t="shared" si="41"/>
        <v>UNMETERED SCATTERED LOAD SERVICE CLASSIFICATION</v>
      </c>
      <c r="C265" s="390"/>
      <c r="D265" s="73" t="s">
        <v>2885</v>
      </c>
      <c r="E265" s="348"/>
      <c r="F265" s="354">
        <v>0</v>
      </c>
      <c r="G265" s="362">
        <f>IF($E249&gt;0, $E249, $E248)</f>
        <v>727</v>
      </c>
      <c r="H265" s="375">
        <f>G265*F265</f>
        <v>0</v>
      </c>
      <c r="I265" s="351">
        <v>0</v>
      </c>
      <c r="J265" s="362">
        <f>IF($E249&gt;0, $E249, $E248)</f>
        <v>727</v>
      </c>
      <c r="K265" s="375">
        <f>J265*I265</f>
        <v>0</v>
      </c>
      <c r="L265" s="358">
        <f t="shared" si="38"/>
        <v>0</v>
      </c>
      <c r="M265" s="377" t="str">
        <f t="shared" si="40"/>
        <v/>
      </c>
    </row>
    <row r="266" spans="1:13" x14ac:dyDescent="0.2">
      <c r="A266" s="59" t="str">
        <f t="shared" si="41"/>
        <v>UNMETERED SCATTERED LOAD SERVICE CLASSIFICATION</v>
      </c>
      <c r="C266" s="390"/>
      <c r="D266" s="73" t="s">
        <v>2281</v>
      </c>
      <c r="E266" s="348"/>
      <c r="F266" s="354">
        <v>0</v>
      </c>
      <c r="G266" s="362">
        <f>E248</f>
        <v>727</v>
      </c>
      <c r="H266" s="375">
        <f>G266*F266</f>
        <v>0</v>
      </c>
      <c r="I266" s="351">
        <v>0</v>
      </c>
      <c r="J266" s="362">
        <f>E248</f>
        <v>727</v>
      </c>
      <c r="K266" s="375">
        <f t="shared" si="42"/>
        <v>0</v>
      </c>
      <c r="L266" s="358">
        <f t="shared" si="38"/>
        <v>0</v>
      </c>
      <c r="M266" s="377" t="str">
        <f t="shared" si="40"/>
        <v/>
      </c>
    </row>
    <row r="267" spans="1:13" x14ac:dyDescent="0.2">
      <c r="A267" s="59" t="str">
        <f t="shared" si="41"/>
        <v>UNMETERED SCATTERED LOAD SERVICE CLASSIFICATION</v>
      </c>
      <c r="C267" s="390"/>
      <c r="D267" s="75" t="s">
        <v>145</v>
      </c>
      <c r="E267" s="348"/>
      <c r="F267" s="354">
        <v>4.4999999999999997E-3</v>
      </c>
      <c r="G267" s="362">
        <f>IF($E249&gt;0, $E249, $E248)</f>
        <v>727</v>
      </c>
      <c r="H267" s="375">
        <f t="shared" si="39"/>
        <v>3.2714999999999996</v>
      </c>
      <c r="I267" s="351">
        <v>4.4999999999999997E-3</v>
      </c>
      <c r="J267" s="362">
        <f>IF($E249&gt;0, $E249, $E248)</f>
        <v>727</v>
      </c>
      <c r="K267" s="375">
        <f t="shared" si="42"/>
        <v>3.2714999999999996</v>
      </c>
      <c r="L267" s="358">
        <f t="shared" si="38"/>
        <v>0</v>
      </c>
      <c r="M267" s="377">
        <f t="shared" si="40"/>
        <v>0</v>
      </c>
    </row>
    <row r="268" spans="1:13" ht="25.5" x14ac:dyDescent="0.2">
      <c r="A268" s="59" t="str">
        <f t="shared" si="41"/>
        <v>UNMETERED SCATTERED LOAD SERVICE CLASSIFICATION</v>
      </c>
      <c r="C268" s="390"/>
      <c r="D268" s="429" t="s">
        <v>5951</v>
      </c>
      <c r="E268" s="348"/>
      <c r="F268" s="1001">
        <f>IF(OR(ISNUMBER(SEARCH("RESIDENTIAL", E246))=TRUE, ISNUMBER(SEARCH("GENERAL SERVICE LESS THAN 50", E246))=TRUE), SME, 0)</f>
        <v>0</v>
      </c>
      <c r="G268" s="330">
        <v>1</v>
      </c>
      <c r="H268" s="375">
        <f>G268*F268</f>
        <v>0</v>
      </c>
      <c r="I268" s="1002">
        <f>IF(OR(ISNUMBER(SEARCH("RESIDENTIAL", E246))=TRUE, ISNUMBER(SEARCH("GENERAL SERVICE LESS THAN 50", E246))=TRUE), SME, 0)</f>
        <v>0</v>
      </c>
      <c r="J268" s="330">
        <v>1</v>
      </c>
      <c r="K268" s="375">
        <f>J268*I268</f>
        <v>0</v>
      </c>
      <c r="L268" s="358">
        <f t="shared" si="38"/>
        <v>0</v>
      </c>
      <c r="M268" s="377" t="str">
        <f>IF(ISERROR(L268/H268), "", L268/H268)</f>
        <v/>
      </c>
    </row>
    <row r="269" spans="1:13" x14ac:dyDescent="0.2">
      <c r="A269" s="59" t="str">
        <f t="shared" si="41"/>
        <v>UNMETERED SCATTERED LOAD SERVICE CLASSIFICATION</v>
      </c>
      <c r="C269" s="390"/>
      <c r="D269" s="75" t="s">
        <v>4871</v>
      </c>
      <c r="E269" s="348"/>
      <c r="F269" s="374">
        <v>0</v>
      </c>
      <c r="G269" s="330">
        <v>1</v>
      </c>
      <c r="H269" s="375">
        <f t="shared" si="39"/>
        <v>0</v>
      </c>
      <c r="I269" s="376">
        <v>0</v>
      </c>
      <c r="J269" s="330">
        <v>1</v>
      </c>
      <c r="K269" s="375">
        <f>J269*I269</f>
        <v>0</v>
      </c>
      <c r="L269" s="358">
        <f>K269-H269</f>
        <v>0</v>
      </c>
      <c r="M269" s="377" t="str">
        <f>IF(ISERROR(L269/H269), "", L269/H269)</f>
        <v/>
      </c>
    </row>
    <row r="270" spans="1:13" x14ac:dyDescent="0.2">
      <c r="A270" s="59" t="str">
        <f t="shared" si="41"/>
        <v>UNMETERED SCATTERED LOAD SERVICE CLASSIFICATION</v>
      </c>
      <c r="C270" s="390"/>
      <c r="D270" s="75" t="s">
        <v>4870</v>
      </c>
      <c r="E270" s="348"/>
      <c r="F270" s="354"/>
      <c r="G270" s="362">
        <f>IF($E249&gt;0, $E249, $E248)</f>
        <v>727</v>
      </c>
      <c r="H270" s="375">
        <f>G270*F270</f>
        <v>0</v>
      </c>
      <c r="I270" s="351">
        <v>0</v>
      </c>
      <c r="J270" s="362">
        <f>IF($E249&gt;0, $E249, $E248)</f>
        <v>727</v>
      </c>
      <c r="K270" s="375">
        <f>J270*I270</f>
        <v>0</v>
      </c>
      <c r="L270" s="358">
        <f t="shared" si="38"/>
        <v>0</v>
      </c>
      <c r="M270" s="377" t="str">
        <f>IF(ISERROR(L270/H270), "", L270/H270)</f>
        <v/>
      </c>
    </row>
    <row r="271" spans="1:13" ht="25.5" x14ac:dyDescent="0.2">
      <c r="A271" s="59" t="str">
        <f t="shared" si="41"/>
        <v>UNMETERED SCATTERED LOAD SERVICE CLASSIFICATION</v>
      </c>
      <c r="B271" s="1032" t="s">
        <v>1655</v>
      </c>
      <c r="C271" s="390">
        <f>B33</f>
        <v>4</v>
      </c>
      <c r="D271" s="312" t="s">
        <v>1686</v>
      </c>
      <c r="E271" s="313"/>
      <c r="F271" s="349"/>
      <c r="G271" s="359"/>
      <c r="H271" s="314">
        <f>SUM(H262:H270)</f>
        <v>25.853891187000013</v>
      </c>
      <c r="I271" s="350"/>
      <c r="J271" s="360"/>
      <c r="K271" s="314">
        <f>SUM(K262:K270)</f>
        <v>25.893891187000008</v>
      </c>
      <c r="L271" s="309">
        <f t="shared" si="38"/>
        <v>3.9999999999995595E-2</v>
      </c>
      <c r="M271" s="310">
        <f>IF((H271)=0,"",(L271/H271))</f>
        <v>1.5471558888632052E-3</v>
      </c>
    </row>
    <row r="272" spans="1:13" x14ac:dyDescent="0.2">
      <c r="A272" s="59" t="str">
        <f t="shared" si="41"/>
        <v>UNMETERED SCATTERED LOAD SERVICE CLASSIFICATION</v>
      </c>
      <c r="C272" s="390"/>
      <c r="D272" s="77" t="s">
        <v>360</v>
      </c>
      <c r="E272" s="348"/>
      <c r="F272" s="354">
        <v>5.7999999999999996E-3</v>
      </c>
      <c r="G272" s="361">
        <f>IF($E249&gt;0, $E249, $E248*$E250)</f>
        <v>786.54130000000009</v>
      </c>
      <c r="H272" s="375">
        <f>G272*F272</f>
        <v>4.56193954</v>
      </c>
      <c r="I272" s="351">
        <v>5.8999999999999999E-3</v>
      </c>
      <c r="J272" s="361">
        <f>IF($E249&gt;0, $E249, $E248*$E251)</f>
        <v>786.54130000000009</v>
      </c>
      <c r="K272" s="375">
        <f>J272*I272</f>
        <v>4.6405936700000003</v>
      </c>
      <c r="L272" s="358">
        <f t="shared" si="38"/>
        <v>7.8654130000000322E-2</v>
      </c>
      <c r="M272" s="377">
        <f>IF(ISERROR(L272/H272), "", L272/H272)</f>
        <v>1.7241379310344897E-2</v>
      </c>
    </row>
    <row r="273" spans="1:13" ht="25.5" x14ac:dyDescent="0.2">
      <c r="A273" s="59" t="str">
        <f t="shared" si="41"/>
        <v>UNMETERED SCATTERED LOAD SERVICE CLASSIFICATION</v>
      </c>
      <c r="C273" s="390"/>
      <c r="D273" s="189" t="s">
        <v>370</v>
      </c>
      <c r="E273" s="348"/>
      <c r="F273" s="354">
        <v>4.7000000000000002E-3</v>
      </c>
      <c r="G273" s="361">
        <f>IF($E249&gt;0, $E249, $E248*$E250)</f>
        <v>786.54130000000009</v>
      </c>
      <c r="H273" s="375">
        <f>G273*F273</f>
        <v>3.6967441100000005</v>
      </c>
      <c r="I273" s="351">
        <v>4.7000000000000002E-3</v>
      </c>
      <c r="J273" s="361">
        <f>IF($E249&gt;0, $E249, $E248*$E251)</f>
        <v>786.54130000000009</v>
      </c>
      <c r="K273" s="375">
        <f>J273*I273</f>
        <v>3.6967441100000005</v>
      </c>
      <c r="L273" s="358">
        <f t="shared" si="38"/>
        <v>0</v>
      </c>
      <c r="M273" s="377">
        <f>IF(ISERROR(L273/H273), "", L273/H273)</f>
        <v>0</v>
      </c>
    </row>
    <row r="274" spans="1:13" ht="25.5" x14ac:dyDescent="0.2">
      <c r="A274" s="59" t="str">
        <f t="shared" si="41"/>
        <v>UNMETERED SCATTERED LOAD SERVICE CLASSIFICATION</v>
      </c>
      <c r="B274" s="1032" t="s">
        <v>1656</v>
      </c>
      <c r="C274" s="390">
        <f>B33</f>
        <v>4</v>
      </c>
      <c r="D274" s="312" t="s">
        <v>1687</v>
      </c>
      <c r="E274" s="308"/>
      <c r="F274" s="349"/>
      <c r="G274" s="359"/>
      <c r="H274" s="314">
        <f>SUM(H271:H273)</f>
        <v>34.112574837000011</v>
      </c>
      <c r="I274" s="350"/>
      <c r="J274" s="315"/>
      <c r="K274" s="314">
        <f>SUM(K271:K273)</f>
        <v>34.231228967000007</v>
      </c>
      <c r="L274" s="309">
        <f t="shared" si="38"/>
        <v>0.11865412999999592</v>
      </c>
      <c r="M274" s="310">
        <f>IF((H274)=0,"",(L274/H274))</f>
        <v>3.4783105809796096E-3</v>
      </c>
    </row>
    <row r="275" spans="1:13" ht="25.5" x14ac:dyDescent="0.2">
      <c r="A275" s="59" t="str">
        <f t="shared" si="41"/>
        <v>UNMETERED SCATTERED LOAD SERVICE CLASSIFICATION</v>
      </c>
      <c r="C275" s="390"/>
      <c r="D275" s="316" t="s">
        <v>361</v>
      </c>
      <c r="E275" s="348"/>
      <c r="F275" s="354">
        <v>3.6000000000000003E-3</v>
      </c>
      <c r="G275" s="361">
        <f>E248*E250</f>
        <v>786.54130000000009</v>
      </c>
      <c r="H275" s="363">
        <f t="shared" ref="H275:H281" si="43">G275*F275</f>
        <v>2.8315486800000005</v>
      </c>
      <c r="I275" s="351">
        <v>3.6000000000000003E-3</v>
      </c>
      <c r="J275" s="361">
        <f>E248*E251</f>
        <v>786.54130000000009</v>
      </c>
      <c r="K275" s="363">
        <f t="shared" ref="K275:K281" si="44">J275*I275</f>
        <v>2.8315486800000005</v>
      </c>
      <c r="L275" s="358">
        <f t="shared" si="38"/>
        <v>0</v>
      </c>
      <c r="M275" s="377">
        <f t="shared" ref="M275:M283" si="45">IF(ISERROR(L275/H275), "", L275/H275)</f>
        <v>0</v>
      </c>
    </row>
    <row r="276" spans="1:13" ht="25.5" x14ac:dyDescent="0.2">
      <c r="A276" s="59" t="str">
        <f t="shared" si="41"/>
        <v>UNMETERED SCATTERED LOAD SERVICE CLASSIFICATION</v>
      </c>
      <c r="C276" s="390"/>
      <c r="D276" s="316" t="s">
        <v>362</v>
      </c>
      <c r="E276" s="348"/>
      <c r="F276" s="354">
        <f>'17. Regulatory Charges'!$D$16</f>
        <v>2.9999999999999997E-4</v>
      </c>
      <c r="G276" s="361">
        <f>E248*E250</f>
        <v>786.54130000000009</v>
      </c>
      <c r="H276" s="363">
        <f t="shared" si="43"/>
        <v>0.23596238999999999</v>
      </c>
      <c r="I276" s="351">
        <v>2.9999999999999997E-4</v>
      </c>
      <c r="J276" s="361">
        <f>E248*E251</f>
        <v>786.54130000000009</v>
      </c>
      <c r="K276" s="363">
        <f t="shared" si="44"/>
        <v>0.23596238999999999</v>
      </c>
      <c r="L276" s="358">
        <f t="shared" si="38"/>
        <v>0</v>
      </c>
      <c r="M276" s="377">
        <f t="shared" si="45"/>
        <v>0</v>
      </c>
    </row>
    <row r="277" spans="1:13" x14ac:dyDescent="0.2">
      <c r="A277" s="59" t="str">
        <f t="shared" si="41"/>
        <v>UNMETERED SCATTERED LOAD SERVICE CLASSIFICATION</v>
      </c>
      <c r="C277" s="390"/>
      <c r="D277" s="305" t="s">
        <v>363</v>
      </c>
      <c r="E277" s="348"/>
      <c r="F277" s="1001">
        <v>0.25</v>
      </c>
      <c r="G277" s="330">
        <v>1</v>
      </c>
      <c r="H277" s="363">
        <f t="shared" si="43"/>
        <v>0.25</v>
      </c>
      <c r="I277" s="1002">
        <f>'17. Regulatory Charges'!$D$17</f>
        <v>0.25</v>
      </c>
      <c r="J277" s="357">
        <v>1</v>
      </c>
      <c r="K277" s="363">
        <f t="shared" si="44"/>
        <v>0.25</v>
      </c>
      <c r="L277" s="358">
        <f t="shared" si="38"/>
        <v>0</v>
      </c>
      <c r="M277" s="377">
        <f t="shared" si="45"/>
        <v>0</v>
      </c>
    </row>
    <row r="278" spans="1:13" ht="25.5" hidden="1" x14ac:dyDescent="0.2">
      <c r="A278" s="59" t="str">
        <f t="shared" si="41"/>
        <v>UNMETERED SCATTERED LOAD SERVICE CLASSIFICATION</v>
      </c>
      <c r="C278" s="390"/>
      <c r="D278" s="316" t="s">
        <v>1688</v>
      </c>
      <c r="E278" s="348"/>
      <c r="F278" s="354"/>
      <c r="G278" s="361"/>
      <c r="H278" s="363"/>
      <c r="I278" s="351"/>
      <c r="J278" s="361"/>
      <c r="K278" s="363"/>
      <c r="L278" s="358"/>
      <c r="M278" s="377"/>
    </row>
    <row r="279" spans="1:13" x14ac:dyDescent="0.2">
      <c r="A279" s="59" t="str">
        <f t="shared" si="41"/>
        <v>UNMETERED SCATTERED LOAD SERVICE CLASSIFICATION</v>
      </c>
      <c r="B279" s="1032" t="s">
        <v>1647</v>
      </c>
      <c r="C279" s="390"/>
      <c r="D279" s="311" t="s">
        <v>228</v>
      </c>
      <c r="E279" s="348"/>
      <c r="F279" s="355">
        <f>OffPeak</f>
        <v>6.5000000000000002E-2</v>
      </c>
      <c r="G279" s="317">
        <f>IF(AND(E248*12&gt;=150000),0.65*E248*E250,0.65*E248)</f>
        <v>472.55</v>
      </c>
      <c r="H279" s="363">
        <f t="shared" si="43"/>
        <v>30.715750000000003</v>
      </c>
      <c r="I279" s="352">
        <f>OffPeak</f>
        <v>6.5000000000000002E-2</v>
      </c>
      <c r="J279" s="317">
        <f>IF(AND(E248*12&gt;=150000),0.65*E248*E251,0.65*E248)</f>
        <v>472.55</v>
      </c>
      <c r="K279" s="363">
        <f t="shared" si="44"/>
        <v>30.715750000000003</v>
      </c>
      <c r="L279" s="358">
        <f>K279-H279</f>
        <v>0</v>
      </c>
      <c r="M279" s="377">
        <f t="shared" si="45"/>
        <v>0</v>
      </c>
    </row>
    <row r="280" spans="1:13" x14ac:dyDescent="0.2">
      <c r="A280" s="59" t="str">
        <f t="shared" si="41"/>
        <v>UNMETERED SCATTERED LOAD SERVICE CLASSIFICATION</v>
      </c>
      <c r="B280" s="1032" t="s">
        <v>1647</v>
      </c>
      <c r="C280" s="390"/>
      <c r="D280" s="311" t="s">
        <v>229</v>
      </c>
      <c r="E280" s="348"/>
      <c r="F280" s="355">
        <f>MidPeak</f>
        <v>9.4E-2</v>
      </c>
      <c r="G280" s="317">
        <f>IF(AND(E248*12&gt;=150000),0.17*E248*E250,0.17*E248)</f>
        <v>123.59</v>
      </c>
      <c r="H280" s="363">
        <f t="shared" si="43"/>
        <v>11.617460000000001</v>
      </c>
      <c r="I280" s="352">
        <f>MidPeak</f>
        <v>9.4E-2</v>
      </c>
      <c r="J280" s="317">
        <f>IF(AND(E248*12&gt;=150000),0.17*E248*E251,0.17*E248)</f>
        <v>123.59</v>
      </c>
      <c r="K280" s="363">
        <f t="shared" si="44"/>
        <v>11.617460000000001</v>
      </c>
      <c r="L280" s="358">
        <f>K280-H280</f>
        <v>0</v>
      </c>
      <c r="M280" s="377">
        <f t="shared" si="45"/>
        <v>0</v>
      </c>
    </row>
    <row r="281" spans="1:13" ht="13.5" thickBot="1" x14ac:dyDescent="0.25">
      <c r="A281" s="59" t="str">
        <f t="shared" si="41"/>
        <v>UNMETERED SCATTERED LOAD SERVICE CLASSIFICATION</v>
      </c>
      <c r="B281" s="1032" t="s">
        <v>1647</v>
      </c>
      <c r="C281" s="390"/>
      <c r="D281" s="1032" t="s">
        <v>230</v>
      </c>
      <c r="E281" s="348"/>
      <c r="F281" s="355">
        <f>OnPeak</f>
        <v>0.13200000000000001</v>
      </c>
      <c r="G281" s="317">
        <f>IF(AND(E248*12&gt;=150000),0.18*E248*E250,0.18*E248)</f>
        <v>130.85999999999999</v>
      </c>
      <c r="H281" s="363">
        <f t="shared" si="43"/>
        <v>17.273519999999998</v>
      </c>
      <c r="I281" s="352">
        <f>OnPeak</f>
        <v>0.13200000000000001</v>
      </c>
      <c r="J281" s="317">
        <f>IF(AND(E248*12&gt;=150000),0.18*E248*E251,0.18*E248)</f>
        <v>130.85999999999999</v>
      </c>
      <c r="K281" s="363">
        <f t="shared" si="44"/>
        <v>17.273519999999998</v>
      </c>
      <c r="L281" s="358">
        <f>K281-H281</f>
        <v>0</v>
      </c>
      <c r="M281" s="377">
        <f t="shared" si="45"/>
        <v>0</v>
      </c>
    </row>
    <row r="282" spans="1:13" hidden="1" x14ac:dyDescent="0.2">
      <c r="A282" s="59" t="str">
        <f t="shared" si="41"/>
        <v>UNMETERED SCATTERED LOAD SERVICE CLASSIFICATION</v>
      </c>
      <c r="B282" s="59" t="s">
        <v>1648</v>
      </c>
      <c r="C282" s="390"/>
      <c r="D282" s="311" t="s">
        <v>1657</v>
      </c>
      <c r="E282" s="348"/>
      <c r="F282" s="356">
        <v>0.1101</v>
      </c>
      <c r="G282" s="317">
        <f>IF(AND(E248*12&gt;=150000),E248*E250,E248)</f>
        <v>727</v>
      </c>
      <c r="H282" s="363">
        <f>G282*F282</f>
        <v>80.042699999999996</v>
      </c>
      <c r="I282" s="353">
        <f>F282</f>
        <v>0.1101</v>
      </c>
      <c r="J282" s="317">
        <f>IF(AND(E248*12&gt;=150000),E248*E251,E248)</f>
        <v>727</v>
      </c>
      <c r="K282" s="363">
        <f>J282*I282</f>
        <v>80.042699999999996</v>
      </c>
      <c r="L282" s="358">
        <f>K282-H282</f>
        <v>0</v>
      </c>
      <c r="M282" s="377">
        <f t="shared" si="45"/>
        <v>0</v>
      </c>
    </row>
    <row r="283" spans="1:13" ht="13.5" hidden="1" thickBot="1" x14ac:dyDescent="0.25">
      <c r="A283" s="59" t="str">
        <f t="shared" si="41"/>
        <v>UNMETERED SCATTERED LOAD SERVICE CLASSIFICATION</v>
      </c>
      <c r="B283" s="59" t="s">
        <v>1649</v>
      </c>
      <c r="C283" s="390"/>
      <c r="D283" s="311" t="s">
        <v>1658</v>
      </c>
      <c r="E283" s="348"/>
      <c r="F283" s="356">
        <v>0.1101</v>
      </c>
      <c r="G283" s="317">
        <f>IF(AND(E248*12&gt;=150000),E248*E250,E248)</f>
        <v>727</v>
      </c>
      <c r="H283" s="363">
        <f>G283*F283</f>
        <v>80.042699999999996</v>
      </c>
      <c r="I283" s="353">
        <f>F283</f>
        <v>0.1101</v>
      </c>
      <c r="J283" s="317">
        <f>IF(AND(E248*12&gt;=150000),E248*E251,E248)</f>
        <v>727</v>
      </c>
      <c r="K283" s="363">
        <f>J283*I283</f>
        <v>80.042699999999996</v>
      </c>
      <c r="L283" s="358">
        <f>K283-H283</f>
        <v>0</v>
      </c>
      <c r="M283" s="377">
        <f t="shared" si="45"/>
        <v>0</v>
      </c>
    </row>
    <row r="284" spans="1:13" ht="13.5" thickBot="1" x14ac:dyDescent="0.25">
      <c r="A284" s="59" t="str">
        <f t="shared" si="41"/>
        <v>UNMETERED SCATTERED LOAD SERVICE CLASSIFICATION</v>
      </c>
      <c r="B284" s="1032"/>
      <c r="C284" s="390"/>
      <c r="D284" s="318"/>
      <c r="E284" s="319"/>
      <c r="F284" s="364"/>
      <c r="G284" s="236"/>
      <c r="H284" s="365"/>
      <c r="I284" s="364"/>
      <c r="J284" s="366"/>
      <c r="K284" s="365"/>
      <c r="L284" s="367"/>
      <c r="M284" s="239"/>
    </row>
    <row r="285" spans="1:13" x14ac:dyDescent="0.2">
      <c r="A285" s="59" t="str">
        <f t="shared" si="41"/>
        <v>UNMETERED SCATTERED LOAD SERVICE CLASSIFICATION</v>
      </c>
      <c r="B285" s="1032" t="s">
        <v>1647</v>
      </c>
      <c r="C285" s="390"/>
      <c r="D285" s="322" t="s">
        <v>365</v>
      </c>
      <c r="E285" s="305"/>
      <c r="F285" s="337"/>
      <c r="G285" s="368"/>
      <c r="H285" s="323">
        <f>SUM(H275:H281,H274)</f>
        <v>97.036815907000005</v>
      </c>
      <c r="I285" s="324"/>
      <c r="J285" s="324"/>
      <c r="K285" s="323">
        <f>SUM(K275:K281,K274)</f>
        <v>97.155470037000015</v>
      </c>
      <c r="L285" s="325">
        <f>K285-H285</f>
        <v>0.11865413000001013</v>
      </c>
      <c r="M285" s="326">
        <f>IF((H285)=0,"",(L285/H285))</f>
        <v>1.2227743551862639E-3</v>
      </c>
    </row>
    <row r="286" spans="1:13" x14ac:dyDescent="0.2">
      <c r="A286" s="59" t="str">
        <f t="shared" si="41"/>
        <v>UNMETERED SCATTERED LOAD SERVICE CLASSIFICATION</v>
      </c>
      <c r="B286" s="1032" t="s">
        <v>1647</v>
      </c>
      <c r="C286" s="390"/>
      <c r="D286" s="327" t="s">
        <v>152</v>
      </c>
      <c r="E286" s="305"/>
      <c r="F286" s="337">
        <v>0.13</v>
      </c>
      <c r="G286" s="369"/>
      <c r="H286" s="328">
        <f>H285*F286</f>
        <v>12.614786067910002</v>
      </c>
      <c r="I286" s="329">
        <v>0.13</v>
      </c>
      <c r="J286" s="330"/>
      <c r="K286" s="328">
        <f>K285*I286</f>
        <v>12.630211104810002</v>
      </c>
      <c r="L286" s="331">
        <f>K286-H286</f>
        <v>1.5425036899999967E-2</v>
      </c>
      <c r="M286" s="332">
        <f>IF((H286)=0,"",(L286/H286))</f>
        <v>1.2227743551861568E-3</v>
      </c>
    </row>
    <row r="287" spans="1:13" hidden="1" x14ac:dyDescent="0.2">
      <c r="A287" s="59" t="str">
        <f t="shared" si="41"/>
        <v>UNMETERED SCATTERED LOAD SERVICE CLASSIFICATION</v>
      </c>
      <c r="B287" s="1032" t="s">
        <v>1647</v>
      </c>
      <c r="C287" s="390"/>
      <c r="D287" s="327" t="s">
        <v>2904</v>
      </c>
      <c r="E287" s="305"/>
      <c r="F287" s="337">
        <v>0.08</v>
      </c>
      <c r="G287" s="369"/>
      <c r="H287" s="328">
        <v>0</v>
      </c>
      <c r="I287" s="337">
        <v>0.08</v>
      </c>
      <c r="J287" s="330"/>
      <c r="K287" s="328">
        <v>0</v>
      </c>
      <c r="L287" s="331">
        <f>K287-H287</f>
        <v>0</v>
      </c>
      <c r="M287" s="332"/>
    </row>
    <row r="288" spans="1:13" ht="13.5" thickBot="1" x14ac:dyDescent="0.25">
      <c r="A288" s="59" t="str">
        <f t="shared" si="41"/>
        <v>UNMETERED SCATTERED LOAD SERVICE CLASSIFICATION</v>
      </c>
      <c r="B288" s="1032" t="s">
        <v>1659</v>
      </c>
      <c r="C288" s="390">
        <f>B33</f>
        <v>4</v>
      </c>
      <c r="D288" s="1863" t="s">
        <v>1660</v>
      </c>
      <c r="E288" s="1863"/>
      <c r="F288" s="370"/>
      <c r="G288" s="371"/>
      <c r="H288" s="338">
        <f>H285+H286+H287</f>
        <v>109.65160197491001</v>
      </c>
      <c r="I288" s="334"/>
      <c r="J288" s="334"/>
      <c r="K288" s="333">
        <f>K285+K286+K287</f>
        <v>109.78568114181002</v>
      </c>
      <c r="L288" s="335">
        <f>K288-H288</f>
        <v>0.13407916690000832</v>
      </c>
      <c r="M288" s="336">
        <f>IF((H288)=0,"",(L288/H288))</f>
        <v>1.2227743551862353E-3</v>
      </c>
    </row>
    <row r="289" spans="1:20" ht="13.5" thickBot="1" x14ac:dyDescent="0.25">
      <c r="A289" s="59" t="str">
        <f t="shared" si="41"/>
        <v>UNMETERED SCATTERED LOAD SERVICE CLASSIFICATION</v>
      </c>
      <c r="B289" s="59" t="s">
        <v>1647</v>
      </c>
      <c r="C289" s="390"/>
      <c r="D289" s="318"/>
      <c r="E289" s="319"/>
      <c r="F289" s="364"/>
      <c r="G289" s="236"/>
      <c r="H289" s="365"/>
      <c r="I289" s="364"/>
      <c r="J289" s="366"/>
      <c r="K289" s="365"/>
      <c r="L289" s="367"/>
      <c r="M289" s="239"/>
    </row>
    <row r="290" spans="1:20" hidden="1" x14ac:dyDescent="0.2">
      <c r="A290" s="59" t="str">
        <f t="shared" si="41"/>
        <v>UNMETERED SCATTERED LOAD SERVICE CLASSIFICATION</v>
      </c>
      <c r="B290" s="59" t="s">
        <v>1648</v>
      </c>
      <c r="C290" s="390"/>
      <c r="D290" s="322" t="s">
        <v>1661</v>
      </c>
      <c r="E290" s="305"/>
      <c r="F290" s="337"/>
      <c r="G290" s="368"/>
      <c r="H290" s="323">
        <f>SUM(H282,H275:H278,H274)</f>
        <v>117.472785907</v>
      </c>
      <c r="I290" s="324"/>
      <c r="J290" s="324"/>
      <c r="K290" s="323">
        <f>SUM(K282,K275:K278,K274)</f>
        <v>117.591440037</v>
      </c>
      <c r="L290" s="325">
        <f>K290-H290</f>
        <v>0.11865412999999592</v>
      </c>
      <c r="M290" s="326">
        <f>IF((H290)=0,"",(L290/H290))</f>
        <v>1.0100563214184019E-3</v>
      </c>
    </row>
    <row r="291" spans="1:20" hidden="1" x14ac:dyDescent="0.2">
      <c r="A291" s="59" t="str">
        <f t="shared" si="41"/>
        <v>UNMETERED SCATTERED LOAD SERVICE CLASSIFICATION</v>
      </c>
      <c r="B291" s="59" t="s">
        <v>1648</v>
      </c>
      <c r="C291" s="390"/>
      <c r="D291" s="327" t="s">
        <v>152</v>
      </c>
      <c r="E291" s="305"/>
      <c r="F291" s="337">
        <v>0.13</v>
      </c>
      <c r="G291" s="368"/>
      <c r="H291" s="328">
        <f>H290*F291</f>
        <v>15.27146216791</v>
      </c>
      <c r="I291" s="337">
        <v>0.13</v>
      </c>
      <c r="J291" s="329"/>
      <c r="K291" s="328">
        <f>K290*I291</f>
        <v>15.28688720481</v>
      </c>
      <c r="L291" s="331">
        <f>K291-H291</f>
        <v>1.5425036899999967E-2</v>
      </c>
      <c r="M291" s="332">
        <f>IF((H291)=0,"",(L291/H291))</f>
        <v>1.0100563214184345E-3</v>
      </c>
    </row>
    <row r="292" spans="1:20" hidden="1" x14ac:dyDescent="0.2">
      <c r="A292" s="59" t="str">
        <f t="shared" si="41"/>
        <v>UNMETERED SCATTERED LOAD SERVICE CLASSIFICATION</v>
      </c>
      <c r="B292" s="59" t="s">
        <v>1648</v>
      </c>
      <c r="C292" s="390"/>
      <c r="D292" s="327" t="s">
        <v>2904</v>
      </c>
      <c r="E292" s="305"/>
      <c r="F292" s="337">
        <v>0.08</v>
      </c>
      <c r="G292" s="368"/>
      <c r="H292" s="877">
        <v>0</v>
      </c>
      <c r="I292" s="337">
        <v>0.08</v>
      </c>
      <c r="J292" s="329"/>
      <c r="K292" s="877">
        <v>0</v>
      </c>
      <c r="L292" s="331"/>
      <c r="M292" s="332"/>
    </row>
    <row r="293" spans="1:20" ht="13.5" hidden="1" thickBot="1" x14ac:dyDescent="0.25">
      <c r="A293" s="59" t="str">
        <f t="shared" si="41"/>
        <v>UNMETERED SCATTERED LOAD SERVICE CLASSIFICATION</v>
      </c>
      <c r="B293" s="59" t="s">
        <v>1662</v>
      </c>
      <c r="C293" s="390"/>
      <c r="D293" s="1863" t="s">
        <v>1661</v>
      </c>
      <c r="E293" s="1863"/>
      <c r="F293" s="372"/>
      <c r="G293" s="373"/>
      <c r="H293" s="338">
        <f>SUM(H290,H291)</f>
        <v>132.74424807490999</v>
      </c>
      <c r="I293" s="339"/>
      <c r="J293" s="339"/>
      <c r="K293" s="338">
        <f>SUM(K290,K291)</f>
        <v>132.87832724180998</v>
      </c>
      <c r="L293" s="340">
        <f>K293-H293</f>
        <v>0.13407916689999411</v>
      </c>
      <c r="M293" s="341">
        <f>IF((H293)=0,"",(L293/H293))</f>
        <v>1.0100563214183924E-3</v>
      </c>
    </row>
    <row r="294" spans="1:20" ht="13.5" hidden="1" thickBot="1" x14ac:dyDescent="0.25">
      <c r="A294" s="59" t="str">
        <f t="shared" si="41"/>
        <v>UNMETERED SCATTERED LOAD SERVICE CLASSIFICATION</v>
      </c>
      <c r="B294" s="59" t="s">
        <v>1648</v>
      </c>
      <c r="C294" s="390"/>
      <c r="D294" s="318"/>
      <c r="E294" s="319"/>
      <c r="F294" s="233"/>
      <c r="G294" s="234"/>
      <c r="H294" s="235"/>
      <c r="I294" s="233"/>
      <c r="J294" s="236"/>
      <c r="K294" s="235"/>
      <c r="L294" s="238"/>
      <c r="M294" s="239"/>
    </row>
    <row r="295" spans="1:20" hidden="1" x14ac:dyDescent="0.2">
      <c r="A295" s="59" t="str">
        <f t="shared" si="41"/>
        <v>UNMETERED SCATTERED LOAD SERVICE CLASSIFICATION</v>
      </c>
      <c r="B295" s="59" t="s">
        <v>1649</v>
      </c>
      <c r="C295" s="390"/>
      <c r="D295" s="322" t="s">
        <v>1663</v>
      </c>
      <c r="E295" s="305"/>
      <c r="F295" s="337"/>
      <c r="G295" s="368"/>
      <c r="H295" s="323">
        <f>SUM(H283,H275:H278,H274)</f>
        <v>117.472785907</v>
      </c>
      <c r="I295" s="324"/>
      <c r="J295" s="324"/>
      <c r="K295" s="323">
        <f>SUM(K283,K275:K278,K274)</f>
        <v>117.591440037</v>
      </c>
      <c r="L295" s="325">
        <f>K295-H295</f>
        <v>0.11865412999999592</v>
      </c>
      <c r="M295" s="326">
        <f>IF((H295)=0,"",(L295/H295))</f>
        <v>1.0100563214184019E-3</v>
      </c>
    </row>
    <row r="296" spans="1:20" hidden="1" x14ac:dyDescent="0.2">
      <c r="A296" s="59" t="str">
        <f t="shared" si="41"/>
        <v>UNMETERED SCATTERED LOAD SERVICE CLASSIFICATION</v>
      </c>
      <c r="B296" s="59" t="s">
        <v>1649</v>
      </c>
      <c r="C296" s="390"/>
      <c r="D296" s="327" t="s">
        <v>152</v>
      </c>
      <c r="E296" s="305"/>
      <c r="F296" s="337">
        <v>0.13</v>
      </c>
      <c r="G296" s="368"/>
      <c r="H296" s="328">
        <f>H295*F296</f>
        <v>15.27146216791</v>
      </c>
      <c r="I296" s="337">
        <v>0.13</v>
      </c>
      <c r="J296" s="329"/>
      <c r="K296" s="328">
        <f>K295*I296</f>
        <v>15.28688720481</v>
      </c>
      <c r="L296" s="331">
        <f>K296-H296</f>
        <v>1.5425036899999967E-2</v>
      </c>
      <c r="M296" s="332">
        <f>IF((H296)=0,"",(L296/H296))</f>
        <v>1.0100563214184345E-3</v>
      </c>
    </row>
    <row r="297" spans="1:20" hidden="1" x14ac:dyDescent="0.2">
      <c r="A297" s="59" t="str">
        <f t="shared" si="41"/>
        <v>UNMETERED SCATTERED LOAD SERVICE CLASSIFICATION</v>
      </c>
      <c r="B297" s="59" t="s">
        <v>1649</v>
      </c>
      <c r="C297" s="390"/>
      <c r="D297" s="327" t="s">
        <v>2904</v>
      </c>
      <c r="E297" s="305"/>
      <c r="F297" s="337">
        <v>0.08</v>
      </c>
      <c r="G297" s="368"/>
      <c r="H297" s="877">
        <v>0</v>
      </c>
      <c r="I297" s="337">
        <v>0.08</v>
      </c>
      <c r="J297" s="329"/>
      <c r="K297" s="877">
        <v>0</v>
      </c>
      <c r="L297" s="331"/>
      <c r="M297" s="332"/>
    </row>
    <row r="298" spans="1:20" ht="13.5" hidden="1" thickBot="1" x14ac:dyDescent="0.25">
      <c r="A298" s="59" t="str">
        <f t="shared" si="41"/>
        <v>UNMETERED SCATTERED LOAD SERVICE CLASSIFICATION</v>
      </c>
      <c r="B298" s="59" t="s">
        <v>1664</v>
      </c>
      <c r="C298" s="390"/>
      <c r="D298" s="1863" t="s">
        <v>1663</v>
      </c>
      <c r="E298" s="1863"/>
      <c r="F298" s="372"/>
      <c r="G298" s="373"/>
      <c r="H298" s="338">
        <f>SUM(H295,H296)</f>
        <v>132.74424807490999</v>
      </c>
      <c r="I298" s="339"/>
      <c r="J298" s="339"/>
      <c r="K298" s="338">
        <f>SUM(K295,K296)</f>
        <v>132.87832724180998</v>
      </c>
      <c r="L298" s="340">
        <f>K298-H298</f>
        <v>0.13407916689999411</v>
      </c>
      <c r="M298" s="341">
        <f>IF((H298)=0,"",(L298/H298))</f>
        <v>1.0100563214183924E-3</v>
      </c>
    </row>
    <row r="299" spans="1:20" ht="13.5" hidden="1" thickBot="1" x14ac:dyDescent="0.25">
      <c r="A299" s="59" t="str">
        <f t="shared" si="41"/>
        <v>UNMETERED SCATTERED LOAD SERVICE CLASSIFICATION</v>
      </c>
      <c r="B299" s="59" t="s">
        <v>1649</v>
      </c>
      <c r="C299" s="390"/>
      <c r="D299" s="318"/>
      <c r="E299" s="319"/>
      <c r="F299" s="342"/>
      <c r="G299" s="343"/>
      <c r="H299" s="344"/>
      <c r="I299" s="342"/>
      <c r="J299" s="320"/>
      <c r="K299" s="344"/>
      <c r="L299" s="345"/>
      <c r="M299" s="321"/>
    </row>
    <row r="302" spans="1:20" x14ac:dyDescent="0.2">
      <c r="C302" s="59"/>
      <c r="D302" s="290" t="s">
        <v>1652</v>
      </c>
      <c r="E302" s="1872" t="str">
        <f>D34</f>
        <v>SENTINEL LIGHTING SERVICE CLASSIFICATION</v>
      </c>
      <c r="F302" s="1872"/>
      <c r="G302" s="1872"/>
      <c r="H302" s="1872"/>
      <c r="I302" s="1872"/>
      <c r="J302" s="1872"/>
      <c r="K302" s="59" t="str">
        <f>IF(N34="DEMAND - INTERVAL","RTSR - INTERVAL METERED","")</f>
        <v/>
      </c>
      <c r="T302" s="59" t="s">
        <v>628</v>
      </c>
    </row>
    <row r="303" spans="1:20" x14ac:dyDescent="0.2">
      <c r="C303" s="59"/>
      <c r="D303" s="290" t="s">
        <v>1653</v>
      </c>
      <c r="E303" s="1873" t="str">
        <f>H34</f>
        <v>RPP</v>
      </c>
      <c r="F303" s="1873"/>
      <c r="G303" s="1873"/>
      <c r="H303" s="291"/>
      <c r="I303" s="291"/>
    </row>
    <row r="304" spans="1:20" ht="15.75" x14ac:dyDescent="0.2">
      <c r="C304" s="59"/>
      <c r="D304" s="290" t="s">
        <v>157</v>
      </c>
      <c r="E304" s="1613">
        <f>K34</f>
        <v>294</v>
      </c>
      <c r="F304" s="293" t="s">
        <v>158</v>
      </c>
      <c r="G304" s="1032"/>
      <c r="J304" s="294"/>
      <c r="K304" s="294"/>
      <c r="L304" s="294"/>
      <c r="M304" s="294"/>
    </row>
    <row r="305" spans="1:13" ht="15.75" x14ac:dyDescent="0.25">
      <c r="C305" s="59"/>
      <c r="D305" s="290" t="s">
        <v>369</v>
      </c>
      <c r="E305" s="1613">
        <f>L34</f>
        <v>1</v>
      </c>
      <c r="F305" s="295" t="s">
        <v>159</v>
      </c>
      <c r="G305" s="296"/>
      <c r="H305" s="297"/>
      <c r="I305" s="297"/>
      <c r="J305" s="297"/>
    </row>
    <row r="306" spans="1:13" x14ac:dyDescent="0.2">
      <c r="C306" s="59"/>
      <c r="D306" s="290" t="s">
        <v>1684</v>
      </c>
      <c r="E306" s="298">
        <f>I34</f>
        <v>1.0819000000000001</v>
      </c>
    </row>
    <row r="307" spans="1:13" x14ac:dyDescent="0.2">
      <c r="C307" s="59"/>
      <c r="D307" s="290" t="s">
        <v>1685</v>
      </c>
      <c r="E307" s="298">
        <f>J34</f>
        <v>1.0819000000000001</v>
      </c>
    </row>
    <row r="308" spans="1:13" x14ac:dyDescent="0.2">
      <c r="C308" s="59"/>
      <c r="D308" s="1032"/>
    </row>
    <row r="309" spans="1:13" x14ac:dyDescent="0.2">
      <c r="C309" s="59"/>
      <c r="D309" s="1032"/>
      <c r="E309" s="299"/>
      <c r="F309" s="1864" t="s">
        <v>2271</v>
      </c>
      <c r="G309" s="1874"/>
      <c r="H309" s="1865"/>
      <c r="I309" s="1864" t="s">
        <v>350</v>
      </c>
      <c r="J309" s="1874"/>
      <c r="K309" s="1865"/>
      <c r="L309" s="1864" t="s">
        <v>351</v>
      </c>
      <c r="M309" s="1865"/>
    </row>
    <row r="310" spans="1:13" x14ac:dyDescent="0.2">
      <c r="C310" s="59"/>
      <c r="D310" s="1032"/>
      <c r="E310" s="1866"/>
      <c r="F310" s="300" t="s">
        <v>352</v>
      </c>
      <c r="G310" s="300" t="s">
        <v>150</v>
      </c>
      <c r="H310" s="301" t="s">
        <v>353</v>
      </c>
      <c r="I310" s="300" t="s">
        <v>352</v>
      </c>
      <c r="J310" s="302" t="s">
        <v>150</v>
      </c>
      <c r="K310" s="301" t="s">
        <v>353</v>
      </c>
      <c r="L310" s="1868" t="s">
        <v>354</v>
      </c>
      <c r="M310" s="1870" t="s">
        <v>355</v>
      </c>
    </row>
    <row r="311" spans="1:13" x14ac:dyDescent="0.2">
      <c r="C311" s="59"/>
      <c r="D311" s="1032"/>
      <c r="E311" s="1867"/>
      <c r="F311" s="303" t="s">
        <v>356</v>
      </c>
      <c r="G311" s="303"/>
      <c r="H311" s="304" t="s">
        <v>356</v>
      </c>
      <c r="I311" s="303" t="s">
        <v>356</v>
      </c>
      <c r="J311" s="304"/>
      <c r="K311" s="304" t="s">
        <v>356</v>
      </c>
      <c r="L311" s="1869"/>
      <c r="M311" s="1871"/>
    </row>
    <row r="312" spans="1:13" x14ac:dyDescent="0.2">
      <c r="A312" s="59" t="str">
        <f>$E302</f>
        <v>SENTINEL LIGHTING SERVICE CLASSIFICATION</v>
      </c>
      <c r="C312" s="390"/>
      <c r="D312" s="69" t="s">
        <v>357</v>
      </c>
      <c r="E312" s="348"/>
      <c r="F312" s="374">
        <v>2.69</v>
      </c>
      <c r="G312" s="330">
        <v>2</v>
      </c>
      <c r="H312" s="375">
        <f>G312*F312</f>
        <v>5.38</v>
      </c>
      <c r="I312" s="376">
        <v>2.71</v>
      </c>
      <c r="J312" s="357">
        <f>G312</f>
        <v>2</v>
      </c>
      <c r="K312" s="375">
        <f>J312*I312</f>
        <v>5.42</v>
      </c>
      <c r="L312" s="358">
        <f t="shared" ref="L312:L333" si="46">K312-H312</f>
        <v>4.0000000000000036E-2</v>
      </c>
      <c r="M312" s="377">
        <f>IF(ISERROR(L312/H312), "", L312/H312)</f>
        <v>7.4349442379182222E-3</v>
      </c>
    </row>
    <row r="313" spans="1:13" x14ac:dyDescent="0.2">
      <c r="A313" s="59" t="str">
        <f>A312</f>
        <v>SENTINEL LIGHTING SERVICE CLASSIFICATION</v>
      </c>
      <c r="C313" s="390"/>
      <c r="D313" s="69" t="s">
        <v>84</v>
      </c>
      <c r="E313" s="348"/>
      <c r="F313" s="354">
        <v>19.6568</v>
      </c>
      <c r="G313" s="330">
        <f>IF($E305&gt;0, $E305, $E304)</f>
        <v>1</v>
      </c>
      <c r="H313" s="375">
        <f t="shared" ref="H313:H325" si="47">G313*F313</f>
        <v>19.6568</v>
      </c>
      <c r="I313" s="351">
        <v>19.8337</v>
      </c>
      <c r="J313" s="357">
        <f>IF($E305&gt;0, $E305, $E304)</f>
        <v>1</v>
      </c>
      <c r="K313" s="375">
        <f>J313*I313</f>
        <v>19.8337</v>
      </c>
      <c r="L313" s="358">
        <f t="shared" si="46"/>
        <v>0.17689999999999984</v>
      </c>
      <c r="M313" s="377">
        <f t="shared" ref="M313:M323" si="48">IF(ISERROR(L313/H313), "", L313/H313)</f>
        <v>8.9994302226201542E-3</v>
      </c>
    </row>
    <row r="314" spans="1:13" hidden="1" x14ac:dyDescent="0.2">
      <c r="A314" s="59" t="str">
        <f t="shared" ref="A314:A355" si="49">A313</f>
        <v>SENTINEL LIGHTING SERVICE CLASSIFICATION</v>
      </c>
      <c r="C314" s="390"/>
      <c r="D314" s="69" t="s">
        <v>5950</v>
      </c>
      <c r="E314" s="348"/>
      <c r="F314" s="354"/>
      <c r="G314" s="330">
        <v>2</v>
      </c>
      <c r="H314" s="375">
        <v>0</v>
      </c>
      <c r="I314" s="351"/>
      <c r="J314" s="357">
        <f>IF($E305&gt;0, $E305, $E304)</f>
        <v>1</v>
      </c>
      <c r="K314" s="375">
        <v>0</v>
      </c>
      <c r="L314" s="358"/>
      <c r="M314" s="377"/>
    </row>
    <row r="315" spans="1:13" hidden="1" x14ac:dyDescent="0.2">
      <c r="A315" s="59" t="str">
        <f t="shared" si="49"/>
        <v>SENTINEL LIGHTING SERVICE CLASSIFICATION</v>
      </c>
      <c r="C315" s="390"/>
      <c r="D315" s="69" t="s">
        <v>4872</v>
      </c>
      <c r="E315" s="348"/>
      <c r="F315" s="354"/>
      <c r="G315" s="330">
        <f>IF($E305&gt;0, $E305, $E304)</f>
        <v>1</v>
      </c>
      <c r="H315" s="375">
        <v>0</v>
      </c>
      <c r="I315" s="351"/>
      <c r="J315" s="330">
        <f>IF($E305&gt;0, $E305, $E304)</f>
        <v>1</v>
      </c>
      <c r="K315" s="375">
        <v>0</v>
      </c>
      <c r="L315" s="358">
        <f>K315-H315</f>
        <v>0</v>
      </c>
      <c r="M315" s="377" t="str">
        <f>IF(ISERROR(L315/H315), "", L315/H315)</f>
        <v/>
      </c>
    </row>
    <row r="316" spans="1:13" x14ac:dyDescent="0.2">
      <c r="A316" s="59" t="str">
        <f t="shared" si="49"/>
        <v>SENTINEL LIGHTING SERVICE CLASSIFICATION</v>
      </c>
      <c r="C316" s="390"/>
      <c r="D316" s="70" t="s">
        <v>367</v>
      </c>
      <c r="E316" s="348"/>
      <c r="F316" s="374">
        <v>0.19</v>
      </c>
      <c r="G316" s="330">
        <v>1</v>
      </c>
      <c r="H316" s="375">
        <f t="shared" si="47"/>
        <v>0.19</v>
      </c>
      <c r="I316" s="376">
        <v>0.19</v>
      </c>
      <c r="J316" s="357">
        <f>G316</f>
        <v>1</v>
      </c>
      <c r="K316" s="375">
        <f t="shared" ref="K316:K323" si="50">J316*I316</f>
        <v>0.19</v>
      </c>
      <c r="L316" s="358">
        <f t="shared" si="46"/>
        <v>0</v>
      </c>
      <c r="M316" s="377">
        <f t="shared" si="48"/>
        <v>0</v>
      </c>
    </row>
    <row r="317" spans="1:13" x14ac:dyDescent="0.2">
      <c r="A317" s="59" t="str">
        <f t="shared" si="49"/>
        <v>SENTINEL LIGHTING SERVICE CLASSIFICATION</v>
      </c>
      <c r="C317" s="390"/>
      <c r="D317" s="69" t="s">
        <v>368</v>
      </c>
      <c r="E317" s="348"/>
      <c r="F317" s="354">
        <v>0</v>
      </c>
      <c r="G317" s="330">
        <f>IF($E305&gt;0, $E305, $E304)</f>
        <v>1</v>
      </c>
      <c r="H317" s="375">
        <f t="shared" si="47"/>
        <v>0</v>
      </c>
      <c r="I317" s="351">
        <v>0</v>
      </c>
      <c r="J317" s="357">
        <f>IF($E305&gt;0, $E305, $E304)</f>
        <v>1</v>
      </c>
      <c r="K317" s="375">
        <f t="shared" si="50"/>
        <v>0</v>
      </c>
      <c r="L317" s="358">
        <f t="shared" si="46"/>
        <v>0</v>
      </c>
      <c r="M317" s="377" t="str">
        <f t="shared" si="48"/>
        <v/>
      </c>
    </row>
    <row r="318" spans="1:13" x14ac:dyDescent="0.2">
      <c r="A318" s="59" t="str">
        <f t="shared" si="49"/>
        <v>SENTINEL LIGHTING SERVICE CLASSIFICATION</v>
      </c>
      <c r="B318" s="306" t="s">
        <v>1654</v>
      </c>
      <c r="C318" s="390">
        <f>B34</f>
        <v>5</v>
      </c>
      <c r="D318" s="307" t="s">
        <v>358</v>
      </c>
      <c r="E318" s="308"/>
      <c r="F318" s="378"/>
      <c r="G318" s="898"/>
      <c r="H318" s="899">
        <f>SUM(H312:H317)</f>
        <v>25.226800000000001</v>
      </c>
      <c r="I318" s="379"/>
      <c r="J318" s="315"/>
      <c r="K318" s="899">
        <f>SUM(K312:K317)</f>
        <v>25.443700000000003</v>
      </c>
      <c r="L318" s="309">
        <f t="shared" si="46"/>
        <v>0.21690000000000254</v>
      </c>
      <c r="M318" s="310">
        <f>IF((H318)=0,"",(L318/H318))</f>
        <v>8.5979989534940033E-3</v>
      </c>
    </row>
    <row r="319" spans="1:13" x14ac:dyDescent="0.2">
      <c r="A319" s="59" t="str">
        <f t="shared" si="49"/>
        <v>SENTINEL LIGHTING SERVICE CLASSIFICATION</v>
      </c>
      <c r="C319" s="390"/>
      <c r="D319" s="73" t="s">
        <v>430</v>
      </c>
      <c r="E319" s="348"/>
      <c r="F319" s="354">
        <f>IF((E304*12&gt;=150000), 0, IF(E303="RPP",(F335*0.65+F336*0.17+F337*0.18),IF(E303="Non-RPP (Retailer)",F338,F339)))</f>
        <v>8.1990000000000007E-2</v>
      </c>
      <c r="G319" s="361">
        <f>IF(F319=0, 0, $E304*E306-E304)</f>
        <v>24.078600000000051</v>
      </c>
      <c r="H319" s="375">
        <f>G319*F319</f>
        <v>1.9742044140000043</v>
      </c>
      <c r="I319" s="351">
        <f>IF((E304*12&gt;=150000), 0, IF(E303="RPP",(I335*0.65+I336*0.17+I337*0.18),IF(E303="Non-RPP (Retailer)",I338,I339)))</f>
        <v>8.1990000000000007E-2</v>
      </c>
      <c r="J319" s="361">
        <f>IF(I319=0, 0, E304*E307-E304)</f>
        <v>24.078600000000051</v>
      </c>
      <c r="K319" s="375">
        <f>J319*I319</f>
        <v>1.9742044140000043</v>
      </c>
      <c r="L319" s="358">
        <f>K319-H319</f>
        <v>0</v>
      </c>
      <c r="M319" s="377">
        <f>IF(ISERROR(L319/H319), "", L319/H319)</f>
        <v>0</v>
      </c>
    </row>
    <row r="320" spans="1:13" ht="25.5" x14ac:dyDescent="0.2">
      <c r="A320" s="59" t="str">
        <f t="shared" si="49"/>
        <v>SENTINEL LIGHTING SERVICE CLASSIFICATION</v>
      </c>
      <c r="C320" s="390"/>
      <c r="D320" s="73" t="s">
        <v>366</v>
      </c>
      <c r="E320" s="348"/>
      <c r="F320" s="354">
        <v>-0.7419</v>
      </c>
      <c r="G320" s="362">
        <f>IF($E305&gt;0, $E305, $E304)</f>
        <v>1</v>
      </c>
      <c r="H320" s="375">
        <f t="shared" si="47"/>
        <v>-0.7419</v>
      </c>
      <c r="I320" s="351">
        <v>-0.77370000000000005</v>
      </c>
      <c r="J320" s="362">
        <f>IF($E305&gt;0, $E305, $E304)</f>
        <v>1</v>
      </c>
      <c r="K320" s="375">
        <f t="shared" si="50"/>
        <v>-0.77370000000000005</v>
      </c>
      <c r="L320" s="358">
        <f t="shared" si="46"/>
        <v>-3.180000000000005E-2</v>
      </c>
      <c r="M320" s="377">
        <f t="shared" si="48"/>
        <v>4.2862919530934157E-2</v>
      </c>
    </row>
    <row r="321" spans="1:13" x14ac:dyDescent="0.2">
      <c r="A321" s="59" t="str">
        <f t="shared" si="49"/>
        <v>SENTINEL LIGHTING SERVICE CLASSIFICATION</v>
      </c>
      <c r="C321" s="390"/>
      <c r="D321" s="73" t="s">
        <v>2885</v>
      </c>
      <c r="E321" s="348"/>
      <c r="F321" s="354">
        <v>0</v>
      </c>
      <c r="G321" s="362">
        <f>IF($E305&gt;0, $E305, $E304)</f>
        <v>1</v>
      </c>
      <c r="H321" s="375">
        <f>G321*F321</f>
        <v>0</v>
      </c>
      <c r="I321" s="351">
        <v>0</v>
      </c>
      <c r="J321" s="362">
        <f>IF($E305&gt;0, $E305, $E304)</f>
        <v>1</v>
      </c>
      <c r="K321" s="375">
        <f>J321*I321</f>
        <v>0</v>
      </c>
      <c r="L321" s="358">
        <f t="shared" si="46"/>
        <v>0</v>
      </c>
      <c r="M321" s="377" t="str">
        <f t="shared" si="48"/>
        <v/>
      </c>
    </row>
    <row r="322" spans="1:13" x14ac:dyDescent="0.2">
      <c r="A322" s="59" t="str">
        <f t="shared" si="49"/>
        <v>SENTINEL LIGHTING SERVICE CLASSIFICATION</v>
      </c>
      <c r="C322" s="390"/>
      <c r="D322" s="73" t="s">
        <v>2281</v>
      </c>
      <c r="E322" s="348"/>
      <c r="F322" s="354">
        <v>0</v>
      </c>
      <c r="G322" s="362">
        <f>E304</f>
        <v>294</v>
      </c>
      <c r="H322" s="375">
        <f>G322*F322</f>
        <v>0</v>
      </c>
      <c r="I322" s="351">
        <v>0</v>
      </c>
      <c r="J322" s="362">
        <f>E304</f>
        <v>294</v>
      </c>
      <c r="K322" s="375">
        <f t="shared" si="50"/>
        <v>0</v>
      </c>
      <c r="L322" s="358">
        <f t="shared" si="46"/>
        <v>0</v>
      </c>
      <c r="M322" s="377" t="str">
        <f t="shared" si="48"/>
        <v/>
      </c>
    </row>
    <row r="323" spans="1:13" x14ac:dyDescent="0.2">
      <c r="A323" s="59" t="str">
        <f t="shared" si="49"/>
        <v>SENTINEL LIGHTING SERVICE CLASSIFICATION</v>
      </c>
      <c r="C323" s="390"/>
      <c r="D323" s="75" t="s">
        <v>145</v>
      </c>
      <c r="E323" s="348"/>
      <c r="F323" s="354">
        <v>1.3055000000000001</v>
      </c>
      <c r="G323" s="362">
        <f>IF($E305&gt;0, $E305, $E304)</f>
        <v>1</v>
      </c>
      <c r="H323" s="375">
        <f t="shared" si="47"/>
        <v>1.3055000000000001</v>
      </c>
      <c r="I323" s="351">
        <v>1.3055000000000001</v>
      </c>
      <c r="J323" s="362">
        <f>IF($E305&gt;0, $E305, $E304)</f>
        <v>1</v>
      </c>
      <c r="K323" s="375">
        <f t="shared" si="50"/>
        <v>1.3055000000000001</v>
      </c>
      <c r="L323" s="358">
        <f t="shared" si="46"/>
        <v>0</v>
      </c>
      <c r="M323" s="377">
        <f t="shared" si="48"/>
        <v>0</v>
      </c>
    </row>
    <row r="324" spans="1:13" ht="25.5" x14ac:dyDescent="0.2">
      <c r="A324" s="59" t="str">
        <f t="shared" si="49"/>
        <v>SENTINEL LIGHTING SERVICE CLASSIFICATION</v>
      </c>
      <c r="C324" s="390"/>
      <c r="D324" s="429" t="s">
        <v>5951</v>
      </c>
      <c r="E324" s="348"/>
      <c r="F324" s="1001">
        <f>IF(OR(ISNUMBER(SEARCH("RESIDENTIAL", E302))=TRUE, ISNUMBER(SEARCH("GENERAL SERVICE LESS THAN 50", E302))=TRUE), SME, 0)</f>
        <v>0</v>
      </c>
      <c r="G324" s="330">
        <v>1</v>
      </c>
      <c r="H324" s="375">
        <f>G324*F324</f>
        <v>0</v>
      </c>
      <c r="I324" s="1002">
        <f>IF(OR(ISNUMBER(SEARCH("RESIDENTIAL", E302))=TRUE, ISNUMBER(SEARCH("GENERAL SERVICE LESS THAN 50", E302))=TRUE), SME, 0)</f>
        <v>0</v>
      </c>
      <c r="J324" s="330">
        <v>1</v>
      </c>
      <c r="K324" s="375">
        <f>J324*I324</f>
        <v>0</v>
      </c>
      <c r="L324" s="358">
        <f t="shared" si="46"/>
        <v>0</v>
      </c>
      <c r="M324" s="377" t="str">
        <f>IF(ISERROR(L324/H324), "", L324/H324)</f>
        <v/>
      </c>
    </row>
    <row r="325" spans="1:13" x14ac:dyDescent="0.2">
      <c r="A325" s="59" t="str">
        <f t="shared" si="49"/>
        <v>SENTINEL LIGHTING SERVICE CLASSIFICATION</v>
      </c>
      <c r="C325" s="390"/>
      <c r="D325" s="75" t="s">
        <v>4871</v>
      </c>
      <c r="E325" s="348"/>
      <c r="F325" s="374">
        <v>0</v>
      </c>
      <c r="G325" s="330">
        <v>1</v>
      </c>
      <c r="H325" s="375">
        <f t="shared" si="47"/>
        <v>0</v>
      </c>
      <c r="I325" s="376">
        <v>0</v>
      </c>
      <c r="J325" s="330">
        <v>1</v>
      </c>
      <c r="K325" s="375">
        <f>J325*I325</f>
        <v>0</v>
      </c>
      <c r="L325" s="358">
        <f>K325-H325</f>
        <v>0</v>
      </c>
      <c r="M325" s="377" t="str">
        <f>IF(ISERROR(L325/H325), "", L325/H325)</f>
        <v/>
      </c>
    </row>
    <row r="326" spans="1:13" x14ac:dyDescent="0.2">
      <c r="A326" s="59" t="str">
        <f t="shared" si="49"/>
        <v>SENTINEL LIGHTING SERVICE CLASSIFICATION</v>
      </c>
      <c r="C326" s="390"/>
      <c r="D326" s="75" t="s">
        <v>4870</v>
      </c>
      <c r="E326" s="348"/>
      <c r="F326" s="354"/>
      <c r="G326" s="362">
        <f>IF($E305&gt;0, $E305, $E304)</f>
        <v>1</v>
      </c>
      <c r="H326" s="375">
        <f>G326*F326</f>
        <v>0</v>
      </c>
      <c r="I326" s="351">
        <v>0</v>
      </c>
      <c r="J326" s="362">
        <f>IF($E305&gt;0, $E305, $E304)</f>
        <v>1</v>
      </c>
      <c r="K326" s="375">
        <f>J326*I326</f>
        <v>0</v>
      </c>
      <c r="L326" s="358">
        <f t="shared" si="46"/>
        <v>0</v>
      </c>
      <c r="M326" s="377" t="str">
        <f>IF(ISERROR(L326/H326), "", L326/H326)</f>
        <v/>
      </c>
    </row>
    <row r="327" spans="1:13" ht="25.5" x14ac:dyDescent="0.2">
      <c r="A327" s="59" t="str">
        <f t="shared" si="49"/>
        <v>SENTINEL LIGHTING SERVICE CLASSIFICATION</v>
      </c>
      <c r="B327" s="1032" t="s">
        <v>1655</v>
      </c>
      <c r="C327" s="390">
        <f>B34</f>
        <v>5</v>
      </c>
      <c r="D327" s="312" t="s">
        <v>1686</v>
      </c>
      <c r="E327" s="313"/>
      <c r="F327" s="349"/>
      <c r="G327" s="359"/>
      <c r="H327" s="314">
        <f>SUM(H318:H326)</f>
        <v>27.764604414000001</v>
      </c>
      <c r="I327" s="350"/>
      <c r="J327" s="360"/>
      <c r="K327" s="314">
        <f>SUM(K318:K326)</f>
        <v>27.949704414000003</v>
      </c>
      <c r="L327" s="309">
        <f t="shared" si="46"/>
        <v>0.18510000000000204</v>
      </c>
      <c r="M327" s="310">
        <f>IF((H327)=0,"",(L327/H327))</f>
        <v>6.666761652352856E-3</v>
      </c>
    </row>
    <row r="328" spans="1:13" x14ac:dyDescent="0.2">
      <c r="A328" s="59" t="str">
        <f t="shared" si="49"/>
        <v>SENTINEL LIGHTING SERVICE CLASSIFICATION</v>
      </c>
      <c r="C328" s="390"/>
      <c r="D328" s="77" t="s">
        <v>360</v>
      </c>
      <c r="E328" s="348"/>
      <c r="F328" s="354">
        <v>1.8439000000000001</v>
      </c>
      <c r="G328" s="361">
        <f>IF($E305&gt;0, $E305, $E304*$E306)</f>
        <v>1</v>
      </c>
      <c r="H328" s="375">
        <f>G328*F328</f>
        <v>1.8439000000000001</v>
      </c>
      <c r="I328" s="351">
        <v>1.8599000000000001</v>
      </c>
      <c r="J328" s="361">
        <f>IF($E305&gt;0, $E305, $E304*$E307)</f>
        <v>1</v>
      </c>
      <c r="K328" s="375">
        <f>J328*I328</f>
        <v>1.8599000000000001</v>
      </c>
      <c r="L328" s="358">
        <f t="shared" si="46"/>
        <v>1.6000000000000014E-2</v>
      </c>
      <c r="M328" s="377">
        <f>IF(ISERROR(L328/H328), "", L328/H328)</f>
        <v>8.6772601551060331E-3</v>
      </c>
    </row>
    <row r="329" spans="1:13" ht="25.5" x14ac:dyDescent="0.2">
      <c r="A329" s="59" t="str">
        <f t="shared" si="49"/>
        <v>SENTINEL LIGHTING SERVICE CLASSIFICATION</v>
      </c>
      <c r="C329" s="390"/>
      <c r="D329" s="189" t="s">
        <v>370</v>
      </c>
      <c r="E329" s="348"/>
      <c r="F329" s="354">
        <v>1.4779</v>
      </c>
      <c r="G329" s="361">
        <f>IF($E305&gt;0, $E305, $E304*$E306)</f>
        <v>1</v>
      </c>
      <c r="H329" s="375">
        <f>G329*F329</f>
        <v>1.4779</v>
      </c>
      <c r="I329" s="351">
        <v>1.4859</v>
      </c>
      <c r="J329" s="361">
        <f>IF($E305&gt;0, $E305, $E304*$E307)</f>
        <v>1</v>
      </c>
      <c r="K329" s="375">
        <f>J329*I329</f>
        <v>1.4859</v>
      </c>
      <c r="L329" s="358">
        <f t="shared" si="46"/>
        <v>8.0000000000000071E-3</v>
      </c>
      <c r="M329" s="377">
        <f>IF(ISERROR(L329/H329), "", L329/H329)</f>
        <v>5.4130861357331401E-3</v>
      </c>
    </row>
    <row r="330" spans="1:13" ht="25.5" x14ac:dyDescent="0.2">
      <c r="A330" s="59" t="str">
        <f t="shared" si="49"/>
        <v>SENTINEL LIGHTING SERVICE CLASSIFICATION</v>
      </c>
      <c r="B330" s="1032" t="s">
        <v>1656</v>
      </c>
      <c r="C330" s="390">
        <f>B34</f>
        <v>5</v>
      </c>
      <c r="D330" s="312" t="s">
        <v>1687</v>
      </c>
      <c r="E330" s="308"/>
      <c r="F330" s="349"/>
      <c r="G330" s="359"/>
      <c r="H330" s="314">
        <f>SUM(H327:H329)</f>
        <v>31.086404414</v>
      </c>
      <c r="I330" s="350"/>
      <c r="J330" s="315"/>
      <c r="K330" s="314">
        <f>SUM(K327:K329)</f>
        <v>31.295504414000003</v>
      </c>
      <c r="L330" s="309">
        <f t="shared" si="46"/>
        <v>0.20910000000000295</v>
      </c>
      <c r="M330" s="310">
        <f>IF((H330)=0,"",(L330/H330))</f>
        <v>6.7264131681254577E-3</v>
      </c>
    </row>
    <row r="331" spans="1:13" ht="25.5" x14ac:dyDescent="0.2">
      <c r="A331" s="59" t="str">
        <f t="shared" si="49"/>
        <v>SENTINEL LIGHTING SERVICE CLASSIFICATION</v>
      </c>
      <c r="C331" s="390"/>
      <c r="D331" s="316" t="s">
        <v>361</v>
      </c>
      <c r="E331" s="348"/>
      <c r="F331" s="354">
        <v>3.6000000000000003E-3</v>
      </c>
      <c r="G331" s="361">
        <f>E304*E306</f>
        <v>318.07860000000005</v>
      </c>
      <c r="H331" s="363">
        <f t="shared" ref="H331:H337" si="51">G331*F331</f>
        <v>1.1450829600000003</v>
      </c>
      <c r="I331" s="351">
        <v>3.6000000000000003E-3</v>
      </c>
      <c r="J331" s="361">
        <f>E304*E307</f>
        <v>318.07860000000005</v>
      </c>
      <c r="K331" s="363">
        <f t="shared" ref="K331:K337" si="52">J331*I331</f>
        <v>1.1450829600000003</v>
      </c>
      <c r="L331" s="358">
        <f t="shared" si="46"/>
        <v>0</v>
      </c>
      <c r="M331" s="377">
        <f t="shared" ref="M331:M339" si="53">IF(ISERROR(L331/H331), "", L331/H331)</f>
        <v>0</v>
      </c>
    </row>
    <row r="332" spans="1:13" ht="25.5" x14ac:dyDescent="0.2">
      <c r="A332" s="59" t="str">
        <f t="shared" si="49"/>
        <v>SENTINEL LIGHTING SERVICE CLASSIFICATION</v>
      </c>
      <c r="C332" s="390"/>
      <c r="D332" s="316" t="s">
        <v>362</v>
      </c>
      <c r="E332" s="348"/>
      <c r="F332" s="354">
        <f>'17. Regulatory Charges'!$D$16</f>
        <v>2.9999999999999997E-4</v>
      </c>
      <c r="G332" s="361">
        <f>E304*E306</f>
        <v>318.07860000000005</v>
      </c>
      <c r="H332" s="363">
        <f t="shared" si="51"/>
        <v>9.5423580000000008E-2</v>
      </c>
      <c r="I332" s="351">
        <v>2.9999999999999997E-4</v>
      </c>
      <c r="J332" s="361">
        <f>E304*E307</f>
        <v>318.07860000000005</v>
      </c>
      <c r="K332" s="363">
        <f t="shared" si="52"/>
        <v>9.5423580000000008E-2</v>
      </c>
      <c r="L332" s="358">
        <f t="shared" si="46"/>
        <v>0</v>
      </c>
      <c r="M332" s="377">
        <f t="shared" si="53"/>
        <v>0</v>
      </c>
    </row>
    <row r="333" spans="1:13" x14ac:dyDescent="0.2">
      <c r="A333" s="59" t="str">
        <f t="shared" si="49"/>
        <v>SENTINEL LIGHTING SERVICE CLASSIFICATION</v>
      </c>
      <c r="C333" s="390"/>
      <c r="D333" s="305" t="s">
        <v>363</v>
      </c>
      <c r="E333" s="348"/>
      <c r="F333" s="1001">
        <v>0.25</v>
      </c>
      <c r="G333" s="330">
        <v>1</v>
      </c>
      <c r="H333" s="363">
        <f t="shared" si="51"/>
        <v>0.25</v>
      </c>
      <c r="I333" s="1002">
        <f>'17. Regulatory Charges'!$D$17</f>
        <v>0.25</v>
      </c>
      <c r="J333" s="357">
        <v>1</v>
      </c>
      <c r="K333" s="363">
        <f t="shared" si="52"/>
        <v>0.25</v>
      </c>
      <c r="L333" s="358">
        <f t="shared" si="46"/>
        <v>0</v>
      </c>
      <c r="M333" s="377">
        <f t="shared" si="53"/>
        <v>0</v>
      </c>
    </row>
    <row r="334" spans="1:13" ht="25.5" hidden="1" x14ac:dyDescent="0.2">
      <c r="A334" s="59" t="str">
        <f t="shared" si="49"/>
        <v>SENTINEL LIGHTING SERVICE CLASSIFICATION</v>
      </c>
      <c r="C334" s="390"/>
      <c r="D334" s="316" t="s">
        <v>1688</v>
      </c>
      <c r="E334" s="348"/>
      <c r="F334" s="354"/>
      <c r="G334" s="361"/>
      <c r="H334" s="363"/>
      <c r="I334" s="351"/>
      <c r="J334" s="361"/>
      <c r="K334" s="363"/>
      <c r="L334" s="358"/>
      <c r="M334" s="377"/>
    </row>
    <row r="335" spans="1:13" x14ac:dyDescent="0.2">
      <c r="A335" s="59" t="str">
        <f t="shared" si="49"/>
        <v>SENTINEL LIGHTING SERVICE CLASSIFICATION</v>
      </c>
      <c r="B335" s="1032" t="s">
        <v>1647</v>
      </c>
      <c r="C335" s="390"/>
      <c r="D335" s="311" t="s">
        <v>228</v>
      </c>
      <c r="E335" s="348"/>
      <c r="F335" s="355">
        <f>OffPeak</f>
        <v>6.5000000000000002E-2</v>
      </c>
      <c r="G335" s="317">
        <f>IF(AND(E304*12&gt;=150000),0.65*E304*E306,0.65*E304)</f>
        <v>191.1</v>
      </c>
      <c r="H335" s="363">
        <f t="shared" si="51"/>
        <v>12.4215</v>
      </c>
      <c r="I335" s="352">
        <f>OffPeak</f>
        <v>6.5000000000000002E-2</v>
      </c>
      <c r="J335" s="317">
        <f>IF(AND(E304*12&gt;=150000),0.65*E304*E307,0.65*E304)</f>
        <v>191.1</v>
      </c>
      <c r="K335" s="363">
        <f t="shared" si="52"/>
        <v>12.4215</v>
      </c>
      <c r="L335" s="358">
        <f>K335-H335</f>
        <v>0</v>
      </c>
      <c r="M335" s="377">
        <f t="shared" si="53"/>
        <v>0</v>
      </c>
    </row>
    <row r="336" spans="1:13" x14ac:dyDescent="0.2">
      <c r="A336" s="59" t="str">
        <f t="shared" si="49"/>
        <v>SENTINEL LIGHTING SERVICE CLASSIFICATION</v>
      </c>
      <c r="B336" s="1032" t="s">
        <v>1647</v>
      </c>
      <c r="C336" s="390"/>
      <c r="D336" s="311" t="s">
        <v>229</v>
      </c>
      <c r="E336" s="348"/>
      <c r="F336" s="355">
        <f>MidPeak</f>
        <v>9.4E-2</v>
      </c>
      <c r="G336" s="317">
        <f>IF(AND(E304*12&gt;=150000),0.17*E304*E306,0.17*E304)</f>
        <v>49.980000000000004</v>
      </c>
      <c r="H336" s="363">
        <f t="shared" si="51"/>
        <v>4.6981200000000003</v>
      </c>
      <c r="I336" s="352">
        <f>MidPeak</f>
        <v>9.4E-2</v>
      </c>
      <c r="J336" s="317">
        <f>IF(AND(E304*12&gt;=150000),0.17*E304*E307,0.17*E304)</f>
        <v>49.980000000000004</v>
      </c>
      <c r="K336" s="363">
        <f t="shared" si="52"/>
        <v>4.6981200000000003</v>
      </c>
      <c r="L336" s="358">
        <f>K336-H336</f>
        <v>0</v>
      </c>
      <c r="M336" s="377">
        <f t="shared" si="53"/>
        <v>0</v>
      </c>
    </row>
    <row r="337" spans="1:13" ht="13.5" thickBot="1" x14ac:dyDescent="0.25">
      <c r="A337" s="59" t="str">
        <f t="shared" si="49"/>
        <v>SENTINEL LIGHTING SERVICE CLASSIFICATION</v>
      </c>
      <c r="B337" s="1032" t="s">
        <v>1647</v>
      </c>
      <c r="C337" s="390"/>
      <c r="D337" s="1032" t="s">
        <v>230</v>
      </c>
      <c r="E337" s="348"/>
      <c r="F337" s="355">
        <f>OnPeak</f>
        <v>0.13200000000000001</v>
      </c>
      <c r="G337" s="317">
        <f>IF(AND(E304*12&gt;=150000),0.18*E304*E306,0.18*E304)</f>
        <v>52.919999999999995</v>
      </c>
      <c r="H337" s="363">
        <f t="shared" si="51"/>
        <v>6.9854399999999996</v>
      </c>
      <c r="I337" s="352">
        <f>OnPeak</f>
        <v>0.13200000000000001</v>
      </c>
      <c r="J337" s="317">
        <f>IF(AND(E304*12&gt;=150000),0.18*E304*E307,0.18*E304)</f>
        <v>52.919999999999995</v>
      </c>
      <c r="K337" s="363">
        <f t="shared" si="52"/>
        <v>6.9854399999999996</v>
      </c>
      <c r="L337" s="358">
        <f>K337-H337</f>
        <v>0</v>
      </c>
      <c r="M337" s="377">
        <f t="shared" si="53"/>
        <v>0</v>
      </c>
    </row>
    <row r="338" spans="1:13" hidden="1" x14ac:dyDescent="0.2">
      <c r="A338" s="59" t="str">
        <f t="shared" si="49"/>
        <v>SENTINEL LIGHTING SERVICE CLASSIFICATION</v>
      </c>
      <c r="B338" s="59" t="s">
        <v>1648</v>
      </c>
      <c r="C338" s="390"/>
      <c r="D338" s="311" t="s">
        <v>1657</v>
      </c>
      <c r="E338" s="348"/>
      <c r="F338" s="356">
        <v>0.1101</v>
      </c>
      <c r="G338" s="317">
        <f>IF(AND(E304*12&gt;=150000),E304*E306,E304)</f>
        <v>294</v>
      </c>
      <c r="H338" s="363">
        <f>G338*F338</f>
        <v>32.369399999999999</v>
      </c>
      <c r="I338" s="353">
        <f>F338</f>
        <v>0.1101</v>
      </c>
      <c r="J338" s="317">
        <f>IF(AND(E304*12&gt;=150000),E304*E307,E304)</f>
        <v>294</v>
      </c>
      <c r="K338" s="363">
        <f>J338*I338</f>
        <v>32.369399999999999</v>
      </c>
      <c r="L338" s="358">
        <f>K338-H338</f>
        <v>0</v>
      </c>
      <c r="M338" s="377">
        <f t="shared" si="53"/>
        <v>0</v>
      </c>
    </row>
    <row r="339" spans="1:13" ht="13.5" hidden="1" thickBot="1" x14ac:dyDescent="0.25">
      <c r="A339" s="59" t="str">
        <f t="shared" si="49"/>
        <v>SENTINEL LIGHTING SERVICE CLASSIFICATION</v>
      </c>
      <c r="B339" s="59" t="s">
        <v>1649</v>
      </c>
      <c r="C339" s="390"/>
      <c r="D339" s="311" t="s">
        <v>1658</v>
      </c>
      <c r="E339" s="348"/>
      <c r="F339" s="356">
        <v>0.1101</v>
      </c>
      <c r="G339" s="317">
        <f>IF(AND(E304*12&gt;=150000),E304*E306,E304)</f>
        <v>294</v>
      </c>
      <c r="H339" s="363">
        <f>G339*F339</f>
        <v>32.369399999999999</v>
      </c>
      <c r="I339" s="353">
        <f>F339</f>
        <v>0.1101</v>
      </c>
      <c r="J339" s="317">
        <f>IF(AND(E304*12&gt;=150000),E304*E307,E304)</f>
        <v>294</v>
      </c>
      <c r="K339" s="363">
        <f>J339*I339</f>
        <v>32.369399999999999</v>
      </c>
      <c r="L339" s="358">
        <f>K339-H339</f>
        <v>0</v>
      </c>
      <c r="M339" s="377">
        <f t="shared" si="53"/>
        <v>0</v>
      </c>
    </row>
    <row r="340" spans="1:13" ht="13.5" thickBot="1" x14ac:dyDescent="0.25">
      <c r="A340" s="59" t="str">
        <f t="shared" si="49"/>
        <v>SENTINEL LIGHTING SERVICE CLASSIFICATION</v>
      </c>
      <c r="B340" s="1032"/>
      <c r="C340" s="390"/>
      <c r="D340" s="318"/>
      <c r="E340" s="319"/>
      <c r="F340" s="364"/>
      <c r="G340" s="236"/>
      <c r="H340" s="365"/>
      <c r="I340" s="364"/>
      <c r="J340" s="366"/>
      <c r="K340" s="365"/>
      <c r="L340" s="367"/>
      <c r="M340" s="239"/>
    </row>
    <row r="341" spans="1:13" x14ac:dyDescent="0.2">
      <c r="A341" s="59" t="str">
        <f t="shared" si="49"/>
        <v>SENTINEL LIGHTING SERVICE CLASSIFICATION</v>
      </c>
      <c r="B341" s="1032" t="s">
        <v>1647</v>
      </c>
      <c r="C341" s="390"/>
      <c r="D341" s="322" t="s">
        <v>365</v>
      </c>
      <c r="E341" s="305"/>
      <c r="F341" s="337"/>
      <c r="G341" s="368"/>
      <c r="H341" s="323">
        <f>SUM(H331:H337,H330)</f>
        <v>56.681970954000001</v>
      </c>
      <c r="I341" s="324"/>
      <c r="J341" s="324"/>
      <c r="K341" s="323">
        <f>SUM(K331:K337,K330)</f>
        <v>56.891070954</v>
      </c>
      <c r="L341" s="325">
        <f>K341-H341</f>
        <v>0.2090999999999994</v>
      </c>
      <c r="M341" s="326">
        <f>IF((H341)=0,"",(L341/H341))</f>
        <v>3.6890036898980377E-3</v>
      </c>
    </row>
    <row r="342" spans="1:13" x14ac:dyDescent="0.2">
      <c r="A342" s="59" t="str">
        <f t="shared" si="49"/>
        <v>SENTINEL LIGHTING SERVICE CLASSIFICATION</v>
      </c>
      <c r="B342" s="1032" t="s">
        <v>1647</v>
      </c>
      <c r="C342" s="390"/>
      <c r="D342" s="327" t="s">
        <v>152</v>
      </c>
      <c r="E342" s="305"/>
      <c r="F342" s="337">
        <v>0.13</v>
      </c>
      <c r="G342" s="369"/>
      <c r="H342" s="328">
        <f>H341*F342</f>
        <v>7.3686562240200004</v>
      </c>
      <c r="I342" s="329">
        <v>0.13</v>
      </c>
      <c r="J342" s="330"/>
      <c r="K342" s="328">
        <f>K341*I342</f>
        <v>7.3958392240200004</v>
      </c>
      <c r="L342" s="331">
        <f>K342-H342</f>
        <v>2.7182999999999957E-2</v>
      </c>
      <c r="M342" s="332">
        <f>IF((H342)=0,"",(L342/H342))</f>
        <v>3.6890036898980425E-3</v>
      </c>
    </row>
    <row r="343" spans="1:13" hidden="1" x14ac:dyDescent="0.2">
      <c r="A343" s="59" t="str">
        <f t="shared" si="49"/>
        <v>SENTINEL LIGHTING SERVICE CLASSIFICATION</v>
      </c>
      <c r="B343" s="1032" t="s">
        <v>1647</v>
      </c>
      <c r="C343" s="390"/>
      <c r="D343" s="327" t="s">
        <v>2904</v>
      </c>
      <c r="E343" s="305"/>
      <c r="F343" s="337">
        <v>0.08</v>
      </c>
      <c r="G343" s="369"/>
      <c r="H343" s="328">
        <v>0</v>
      </c>
      <c r="I343" s="337">
        <v>0.08</v>
      </c>
      <c r="J343" s="330"/>
      <c r="K343" s="328">
        <v>0</v>
      </c>
      <c r="L343" s="331">
        <f>K343-H343</f>
        <v>0</v>
      </c>
      <c r="M343" s="332"/>
    </row>
    <row r="344" spans="1:13" ht="13.5" thickBot="1" x14ac:dyDescent="0.25">
      <c r="A344" s="59" t="str">
        <f t="shared" si="49"/>
        <v>SENTINEL LIGHTING SERVICE CLASSIFICATION</v>
      </c>
      <c r="B344" s="1032" t="s">
        <v>1659</v>
      </c>
      <c r="C344" s="390">
        <f>B34</f>
        <v>5</v>
      </c>
      <c r="D344" s="1863" t="s">
        <v>1660</v>
      </c>
      <c r="E344" s="1863"/>
      <c r="F344" s="370"/>
      <c r="G344" s="371"/>
      <c r="H344" s="338">
        <f>H341+H342+H343</f>
        <v>64.050627178019994</v>
      </c>
      <c r="I344" s="334"/>
      <c r="J344" s="334"/>
      <c r="K344" s="333">
        <f>K341+K342+K343</f>
        <v>64.286910178019994</v>
      </c>
      <c r="L344" s="335">
        <f>K344-H344</f>
        <v>0.23628300000000024</v>
      </c>
      <c r="M344" s="336">
        <f>IF((H344)=0,"",(L344/H344))</f>
        <v>3.6890036898980525E-3</v>
      </c>
    </row>
    <row r="345" spans="1:13" ht="13.5" thickBot="1" x14ac:dyDescent="0.25">
      <c r="A345" s="59" t="str">
        <f t="shared" si="49"/>
        <v>SENTINEL LIGHTING SERVICE CLASSIFICATION</v>
      </c>
      <c r="B345" s="59" t="s">
        <v>1647</v>
      </c>
      <c r="C345" s="390"/>
      <c r="D345" s="318"/>
      <c r="E345" s="319"/>
      <c r="F345" s="364"/>
      <c r="G345" s="236"/>
      <c r="H345" s="365"/>
      <c r="I345" s="364"/>
      <c r="J345" s="366"/>
      <c r="K345" s="365"/>
      <c r="L345" s="367"/>
      <c r="M345" s="239"/>
    </row>
    <row r="346" spans="1:13" hidden="1" x14ac:dyDescent="0.2">
      <c r="A346" s="59" t="str">
        <f t="shared" si="49"/>
        <v>SENTINEL LIGHTING SERVICE CLASSIFICATION</v>
      </c>
      <c r="B346" s="59" t="s">
        <v>1648</v>
      </c>
      <c r="C346" s="390"/>
      <c r="D346" s="322" t="s">
        <v>1661</v>
      </c>
      <c r="E346" s="305"/>
      <c r="F346" s="337"/>
      <c r="G346" s="368"/>
      <c r="H346" s="323">
        <f>SUM(H338,H331:H334,H330)</f>
        <v>64.946310954000012</v>
      </c>
      <c r="I346" s="324"/>
      <c r="J346" s="324"/>
      <c r="K346" s="323">
        <f>SUM(K338,K331:K334,K330)</f>
        <v>65.155410954000004</v>
      </c>
      <c r="L346" s="325">
        <f>K346-H346</f>
        <v>0.20909999999999229</v>
      </c>
      <c r="M346" s="326">
        <f>IF((H346)=0,"",(L346/H346))</f>
        <v>3.2195824047357062E-3</v>
      </c>
    </row>
    <row r="347" spans="1:13" hidden="1" x14ac:dyDescent="0.2">
      <c r="A347" s="59" t="str">
        <f t="shared" si="49"/>
        <v>SENTINEL LIGHTING SERVICE CLASSIFICATION</v>
      </c>
      <c r="B347" s="59" t="s">
        <v>1648</v>
      </c>
      <c r="C347" s="390"/>
      <c r="D347" s="327" t="s">
        <v>152</v>
      </c>
      <c r="E347" s="305"/>
      <c r="F347" s="337">
        <v>0.13</v>
      </c>
      <c r="G347" s="368"/>
      <c r="H347" s="328">
        <f>H346*F347</f>
        <v>8.443020424020002</v>
      </c>
      <c r="I347" s="337">
        <v>0.13</v>
      </c>
      <c r="J347" s="329"/>
      <c r="K347" s="328">
        <f>K346*I347</f>
        <v>8.470203424020001</v>
      </c>
      <c r="L347" s="331">
        <f>K347-H347</f>
        <v>2.7182999999999069E-2</v>
      </c>
      <c r="M347" s="332">
        <f>IF((H347)=0,"",(L347/H347))</f>
        <v>3.2195824047357145E-3</v>
      </c>
    </row>
    <row r="348" spans="1:13" hidden="1" x14ac:dyDescent="0.2">
      <c r="A348" s="59" t="str">
        <f t="shared" si="49"/>
        <v>SENTINEL LIGHTING SERVICE CLASSIFICATION</v>
      </c>
      <c r="B348" s="59" t="s">
        <v>1648</v>
      </c>
      <c r="C348" s="390"/>
      <c r="D348" s="327" t="s">
        <v>2904</v>
      </c>
      <c r="E348" s="305"/>
      <c r="F348" s="337">
        <v>0.08</v>
      </c>
      <c r="G348" s="368"/>
      <c r="H348" s="877">
        <v>0</v>
      </c>
      <c r="I348" s="337">
        <v>0.08</v>
      </c>
      <c r="J348" s="329"/>
      <c r="K348" s="877">
        <v>0</v>
      </c>
      <c r="L348" s="331"/>
      <c r="M348" s="332"/>
    </row>
    <row r="349" spans="1:13" ht="13.5" hidden="1" thickBot="1" x14ac:dyDescent="0.25">
      <c r="A349" s="59" t="str">
        <f t="shared" si="49"/>
        <v>SENTINEL LIGHTING SERVICE CLASSIFICATION</v>
      </c>
      <c r="B349" s="59" t="s">
        <v>1662</v>
      </c>
      <c r="C349" s="390"/>
      <c r="D349" s="1863" t="s">
        <v>1661</v>
      </c>
      <c r="E349" s="1863"/>
      <c r="F349" s="372"/>
      <c r="G349" s="373"/>
      <c r="H349" s="338">
        <f>SUM(H346,H347)</f>
        <v>73.389331378020017</v>
      </c>
      <c r="I349" s="339"/>
      <c r="J349" s="339"/>
      <c r="K349" s="338">
        <f>SUM(K346,K347)</f>
        <v>73.625614378020003</v>
      </c>
      <c r="L349" s="340">
        <f>K349-H349</f>
        <v>0.23628299999998603</v>
      </c>
      <c r="M349" s="341">
        <f>IF((H349)=0,"",(L349/H349))</f>
        <v>3.2195824047356342E-3</v>
      </c>
    </row>
    <row r="350" spans="1:13" ht="13.5" hidden="1" thickBot="1" x14ac:dyDescent="0.25">
      <c r="A350" s="59" t="str">
        <f t="shared" si="49"/>
        <v>SENTINEL LIGHTING SERVICE CLASSIFICATION</v>
      </c>
      <c r="B350" s="59" t="s">
        <v>1648</v>
      </c>
      <c r="C350" s="390"/>
      <c r="D350" s="318"/>
      <c r="E350" s="319"/>
      <c r="F350" s="233"/>
      <c r="G350" s="234"/>
      <c r="H350" s="235"/>
      <c r="I350" s="233"/>
      <c r="J350" s="236"/>
      <c r="K350" s="235"/>
      <c r="L350" s="238"/>
      <c r="M350" s="239"/>
    </row>
    <row r="351" spans="1:13" hidden="1" x14ac:dyDescent="0.2">
      <c r="A351" s="59" t="str">
        <f t="shared" si="49"/>
        <v>SENTINEL LIGHTING SERVICE CLASSIFICATION</v>
      </c>
      <c r="B351" s="59" t="s">
        <v>1649</v>
      </c>
      <c r="C351" s="390"/>
      <c r="D351" s="322" t="s">
        <v>1663</v>
      </c>
      <c r="E351" s="305"/>
      <c r="F351" s="337"/>
      <c r="G351" s="368"/>
      <c r="H351" s="323">
        <f>SUM(H339,H331:H334,H330)</f>
        <v>64.946310954000012</v>
      </c>
      <c r="I351" s="324"/>
      <c r="J351" s="324"/>
      <c r="K351" s="323">
        <f>SUM(K339,K331:K334,K330)</f>
        <v>65.155410954000004</v>
      </c>
      <c r="L351" s="325">
        <f>K351-H351</f>
        <v>0.20909999999999229</v>
      </c>
      <c r="M351" s="326">
        <f>IF((H351)=0,"",(L351/H351))</f>
        <v>3.2195824047357062E-3</v>
      </c>
    </row>
    <row r="352" spans="1:13" hidden="1" x14ac:dyDescent="0.2">
      <c r="A352" s="59" t="str">
        <f t="shared" si="49"/>
        <v>SENTINEL LIGHTING SERVICE CLASSIFICATION</v>
      </c>
      <c r="B352" s="59" t="s">
        <v>1649</v>
      </c>
      <c r="C352" s="390"/>
      <c r="D352" s="327" t="s">
        <v>152</v>
      </c>
      <c r="E352" s="305"/>
      <c r="F352" s="337">
        <v>0.13</v>
      </c>
      <c r="G352" s="368"/>
      <c r="H352" s="328">
        <f>H351*F352</f>
        <v>8.443020424020002</v>
      </c>
      <c r="I352" s="337">
        <v>0.13</v>
      </c>
      <c r="J352" s="329"/>
      <c r="K352" s="328">
        <f>K351*I352</f>
        <v>8.470203424020001</v>
      </c>
      <c r="L352" s="331">
        <f>K352-H352</f>
        <v>2.7182999999999069E-2</v>
      </c>
      <c r="M352" s="332">
        <f>IF((H352)=0,"",(L352/H352))</f>
        <v>3.2195824047357145E-3</v>
      </c>
    </row>
    <row r="353" spans="1:20" hidden="1" x14ac:dyDescent="0.2">
      <c r="A353" s="59" t="str">
        <f t="shared" si="49"/>
        <v>SENTINEL LIGHTING SERVICE CLASSIFICATION</v>
      </c>
      <c r="B353" s="59" t="s">
        <v>1649</v>
      </c>
      <c r="C353" s="390"/>
      <c r="D353" s="327" t="s">
        <v>2904</v>
      </c>
      <c r="E353" s="305"/>
      <c r="F353" s="337">
        <v>0.08</v>
      </c>
      <c r="G353" s="368"/>
      <c r="H353" s="877">
        <v>0</v>
      </c>
      <c r="I353" s="337">
        <v>0.08</v>
      </c>
      <c r="J353" s="329"/>
      <c r="K353" s="877">
        <v>0</v>
      </c>
      <c r="L353" s="331"/>
      <c r="M353" s="332"/>
    </row>
    <row r="354" spans="1:20" ht="13.5" hidden="1" thickBot="1" x14ac:dyDescent="0.25">
      <c r="A354" s="59" t="str">
        <f t="shared" si="49"/>
        <v>SENTINEL LIGHTING SERVICE CLASSIFICATION</v>
      </c>
      <c r="B354" s="59" t="s">
        <v>1664</v>
      </c>
      <c r="C354" s="390"/>
      <c r="D354" s="1863" t="s">
        <v>1663</v>
      </c>
      <c r="E354" s="1863"/>
      <c r="F354" s="372"/>
      <c r="G354" s="373"/>
      <c r="H354" s="338">
        <f>SUM(H351,H352)</f>
        <v>73.389331378020017</v>
      </c>
      <c r="I354" s="339"/>
      <c r="J354" s="339"/>
      <c r="K354" s="338">
        <f>SUM(K351,K352)</f>
        <v>73.625614378020003</v>
      </c>
      <c r="L354" s="340">
        <f>K354-H354</f>
        <v>0.23628299999998603</v>
      </c>
      <c r="M354" s="341">
        <f>IF((H354)=0,"",(L354/H354))</f>
        <v>3.2195824047356342E-3</v>
      </c>
    </row>
    <row r="355" spans="1:20" ht="13.5" hidden="1" thickBot="1" x14ac:dyDescent="0.25">
      <c r="A355" s="59" t="str">
        <f t="shared" si="49"/>
        <v>SENTINEL LIGHTING SERVICE CLASSIFICATION</v>
      </c>
      <c r="B355" s="59" t="s">
        <v>1649</v>
      </c>
      <c r="C355" s="390"/>
      <c r="D355" s="318"/>
      <c r="E355" s="319"/>
      <c r="F355" s="342"/>
      <c r="G355" s="343"/>
      <c r="H355" s="344"/>
      <c r="I355" s="342"/>
      <c r="J355" s="320"/>
      <c r="K355" s="344"/>
      <c r="L355" s="345"/>
      <c r="M355" s="321"/>
    </row>
    <row r="358" spans="1:20" x14ac:dyDescent="0.2">
      <c r="C358" s="59"/>
      <c r="D358" s="290" t="s">
        <v>1652</v>
      </c>
      <c r="E358" s="1872" t="str">
        <f>D35</f>
        <v>STREET LIGHTING SERVICE CLASSIFICATION</v>
      </c>
      <c r="F358" s="1872"/>
      <c r="G358" s="1872"/>
      <c r="H358" s="1872"/>
      <c r="I358" s="1872"/>
      <c r="J358" s="1872"/>
      <c r="K358" s="59" t="str">
        <f>IF(N35="DEMAND - INTERVAL","RTSR - INTERVAL METERED","")</f>
        <v/>
      </c>
      <c r="T358" s="59" t="s">
        <v>628</v>
      </c>
    </row>
    <row r="359" spans="1:20" x14ac:dyDescent="0.2">
      <c r="C359" s="59"/>
      <c r="D359" s="290" t="s">
        <v>1653</v>
      </c>
      <c r="E359" s="1873" t="str">
        <f>H35</f>
        <v>Non-RPP (Other)</v>
      </c>
      <c r="F359" s="1873"/>
      <c r="G359" s="1873"/>
      <c r="H359" s="291"/>
      <c r="I359" s="291"/>
    </row>
    <row r="360" spans="1:20" ht="15.75" x14ac:dyDescent="0.2">
      <c r="C360" s="59"/>
      <c r="D360" s="290" t="s">
        <v>157</v>
      </c>
      <c r="E360" s="1613">
        <f>K35</f>
        <v>22825</v>
      </c>
      <c r="F360" s="293" t="s">
        <v>158</v>
      </c>
      <c r="G360" s="1032"/>
      <c r="J360" s="294"/>
      <c r="K360" s="294"/>
      <c r="L360" s="294"/>
      <c r="M360" s="294"/>
    </row>
    <row r="361" spans="1:20" ht="15.75" x14ac:dyDescent="0.25">
      <c r="C361" s="59"/>
      <c r="D361" s="290" t="s">
        <v>369</v>
      </c>
      <c r="E361" s="1613">
        <f>L35</f>
        <v>62</v>
      </c>
      <c r="F361" s="295" t="s">
        <v>159</v>
      </c>
      <c r="G361" s="296"/>
      <c r="H361" s="297"/>
      <c r="I361" s="297"/>
      <c r="J361" s="297"/>
    </row>
    <row r="362" spans="1:20" x14ac:dyDescent="0.2">
      <c r="C362" s="59"/>
      <c r="D362" s="290" t="s">
        <v>1684</v>
      </c>
      <c r="E362" s="298">
        <f>I35</f>
        <v>1.0819000000000001</v>
      </c>
    </row>
    <row r="363" spans="1:20" x14ac:dyDescent="0.2">
      <c r="C363" s="59"/>
      <c r="D363" s="290" t="s">
        <v>1685</v>
      </c>
      <c r="E363" s="298">
        <f>J35</f>
        <v>1.0819000000000001</v>
      </c>
    </row>
    <row r="364" spans="1:20" x14ac:dyDescent="0.2">
      <c r="C364" s="59"/>
      <c r="D364" s="1032"/>
    </row>
    <row r="365" spans="1:20" x14ac:dyDescent="0.2">
      <c r="C365" s="59"/>
      <c r="D365" s="1032"/>
      <c r="E365" s="299"/>
      <c r="F365" s="1864" t="s">
        <v>2271</v>
      </c>
      <c r="G365" s="1874"/>
      <c r="H365" s="1865"/>
      <c r="I365" s="1864" t="s">
        <v>350</v>
      </c>
      <c r="J365" s="1874"/>
      <c r="K365" s="1865"/>
      <c r="L365" s="1864" t="s">
        <v>351</v>
      </c>
      <c r="M365" s="1865"/>
    </row>
    <row r="366" spans="1:20" x14ac:dyDescent="0.2">
      <c r="C366" s="59"/>
      <c r="D366" s="1032"/>
      <c r="E366" s="1866"/>
      <c r="F366" s="300" t="s">
        <v>352</v>
      </c>
      <c r="G366" s="300" t="s">
        <v>150</v>
      </c>
      <c r="H366" s="301" t="s">
        <v>353</v>
      </c>
      <c r="I366" s="300" t="s">
        <v>352</v>
      </c>
      <c r="J366" s="302" t="s">
        <v>150</v>
      </c>
      <c r="K366" s="301" t="s">
        <v>353</v>
      </c>
      <c r="L366" s="1868" t="s">
        <v>354</v>
      </c>
      <c r="M366" s="1870" t="s">
        <v>355</v>
      </c>
    </row>
    <row r="367" spans="1:20" x14ac:dyDescent="0.2">
      <c r="C367" s="59"/>
      <c r="D367" s="1032"/>
      <c r="E367" s="1867"/>
      <c r="F367" s="303" t="s">
        <v>356</v>
      </c>
      <c r="G367" s="303"/>
      <c r="H367" s="304" t="s">
        <v>356</v>
      </c>
      <c r="I367" s="303" t="s">
        <v>356</v>
      </c>
      <c r="J367" s="304"/>
      <c r="K367" s="304" t="s">
        <v>356</v>
      </c>
      <c r="L367" s="1869"/>
      <c r="M367" s="1871"/>
    </row>
    <row r="368" spans="1:20" x14ac:dyDescent="0.2">
      <c r="A368" s="59" t="str">
        <f>$E358</f>
        <v>STREET LIGHTING SERVICE CLASSIFICATION</v>
      </c>
      <c r="C368" s="390"/>
      <c r="D368" s="69" t="s">
        <v>357</v>
      </c>
      <c r="E368" s="348"/>
      <c r="F368" s="374">
        <v>3.37</v>
      </c>
      <c r="G368" s="330">
        <v>690</v>
      </c>
      <c r="H368" s="375">
        <f>G368*F368</f>
        <v>2325.3000000000002</v>
      </c>
      <c r="I368" s="376">
        <v>3.4</v>
      </c>
      <c r="J368" s="357">
        <f>G368</f>
        <v>690</v>
      </c>
      <c r="K368" s="375">
        <f>J368*I368</f>
        <v>2346</v>
      </c>
      <c r="L368" s="358">
        <f t="shared" ref="L368:L389" si="54">K368-H368</f>
        <v>20.699999999999818</v>
      </c>
      <c r="M368" s="377">
        <f>IF(ISERROR(L368/H368), "", L368/H368)</f>
        <v>8.9020771513352321E-3</v>
      </c>
    </row>
    <row r="369" spans="1:13" x14ac:dyDescent="0.2">
      <c r="A369" s="59" t="str">
        <f>A368</f>
        <v>STREET LIGHTING SERVICE CLASSIFICATION</v>
      </c>
      <c r="C369" s="390"/>
      <c r="D369" s="69" t="s">
        <v>84</v>
      </c>
      <c r="E369" s="348"/>
      <c r="F369" s="354">
        <v>12.857799999999999</v>
      </c>
      <c r="G369" s="330">
        <f>IF($E361&gt;0, $E361, $E360)</f>
        <v>62</v>
      </c>
      <c r="H369" s="375">
        <f t="shared" ref="H369:H381" si="55">G369*F369</f>
        <v>797.18359999999996</v>
      </c>
      <c r="I369" s="351">
        <v>12.9735</v>
      </c>
      <c r="J369" s="357">
        <f>IF($E361&gt;0, $E361, $E360)</f>
        <v>62</v>
      </c>
      <c r="K369" s="375">
        <f>J369*I369</f>
        <v>804.35699999999997</v>
      </c>
      <c r="L369" s="358">
        <f t="shared" si="54"/>
        <v>7.1734000000000151</v>
      </c>
      <c r="M369" s="377">
        <f t="shared" ref="M369:M379" si="56">IF(ISERROR(L369/H369), "", L369/H369)</f>
        <v>8.998428969186038E-3</v>
      </c>
    </row>
    <row r="370" spans="1:13" hidden="1" x14ac:dyDescent="0.2">
      <c r="A370" s="59" t="str">
        <f t="shared" ref="A370:A411" si="57">A369</f>
        <v>STREET LIGHTING SERVICE CLASSIFICATION</v>
      </c>
      <c r="C370" s="390"/>
      <c r="D370" s="69" t="s">
        <v>5950</v>
      </c>
      <c r="E370" s="348"/>
      <c r="F370" s="354"/>
      <c r="G370" s="330">
        <v>690</v>
      </c>
      <c r="H370" s="375">
        <v>0</v>
      </c>
      <c r="I370" s="351"/>
      <c r="J370" s="357">
        <f>IF($E361&gt;0, $E361, $E360)</f>
        <v>62</v>
      </c>
      <c r="K370" s="375">
        <v>0</v>
      </c>
      <c r="L370" s="358"/>
      <c r="M370" s="377"/>
    </row>
    <row r="371" spans="1:13" hidden="1" x14ac:dyDescent="0.2">
      <c r="A371" s="59" t="str">
        <f t="shared" si="57"/>
        <v>STREET LIGHTING SERVICE CLASSIFICATION</v>
      </c>
      <c r="C371" s="390"/>
      <c r="D371" s="69" t="s">
        <v>4872</v>
      </c>
      <c r="E371" s="348"/>
      <c r="F371" s="354"/>
      <c r="G371" s="330">
        <f>IF($E361&gt;0, $E361, $E360)</f>
        <v>62</v>
      </c>
      <c r="H371" s="375">
        <v>0</v>
      </c>
      <c r="I371" s="351"/>
      <c r="J371" s="330">
        <f>IF($E361&gt;0, $E361, $E360)</f>
        <v>62</v>
      </c>
      <c r="K371" s="375">
        <v>0</v>
      </c>
      <c r="L371" s="358">
        <f>K371-H371</f>
        <v>0</v>
      </c>
      <c r="M371" s="377" t="str">
        <f>IF(ISERROR(L371/H371), "", L371/H371)</f>
        <v/>
      </c>
    </row>
    <row r="372" spans="1:13" x14ac:dyDescent="0.2">
      <c r="A372" s="59" t="str">
        <f t="shared" si="57"/>
        <v>STREET LIGHTING SERVICE CLASSIFICATION</v>
      </c>
      <c r="C372" s="390"/>
      <c r="D372" s="70" t="s">
        <v>367</v>
      </c>
      <c r="E372" s="348"/>
      <c r="F372" s="374">
        <v>0.09</v>
      </c>
      <c r="G372" s="330">
        <v>1</v>
      </c>
      <c r="H372" s="375">
        <f t="shared" si="55"/>
        <v>0.09</v>
      </c>
      <c r="I372" s="376">
        <v>0.09</v>
      </c>
      <c r="J372" s="357">
        <f>G372</f>
        <v>1</v>
      </c>
      <c r="K372" s="375">
        <f t="shared" ref="K372:K379" si="58">J372*I372</f>
        <v>0.09</v>
      </c>
      <c r="L372" s="358">
        <f t="shared" si="54"/>
        <v>0</v>
      </c>
      <c r="M372" s="377">
        <f t="shared" si="56"/>
        <v>0</v>
      </c>
    </row>
    <row r="373" spans="1:13" x14ac:dyDescent="0.2">
      <c r="A373" s="59" t="str">
        <f t="shared" si="57"/>
        <v>STREET LIGHTING SERVICE CLASSIFICATION</v>
      </c>
      <c r="C373" s="390"/>
      <c r="D373" s="69" t="s">
        <v>368</v>
      </c>
      <c r="E373" s="348"/>
      <c r="F373" s="354">
        <v>5.0308000000000002</v>
      </c>
      <c r="G373" s="330">
        <f>IF($E361&gt;0, $E361, $E360)</f>
        <v>62</v>
      </c>
      <c r="H373" s="375">
        <f t="shared" si="55"/>
        <v>311.90960000000001</v>
      </c>
      <c r="I373" s="351">
        <v>9.3558000000000003</v>
      </c>
      <c r="J373" s="357">
        <f>IF($E361&gt;0, $E361, $E360)</f>
        <v>62</v>
      </c>
      <c r="K373" s="375">
        <f t="shared" si="58"/>
        <v>580.05960000000005</v>
      </c>
      <c r="L373" s="358">
        <f t="shared" si="54"/>
        <v>268.15000000000003</v>
      </c>
      <c r="M373" s="377">
        <f t="shared" si="56"/>
        <v>0.85970422199252616</v>
      </c>
    </row>
    <row r="374" spans="1:13" x14ac:dyDescent="0.2">
      <c r="A374" s="59" t="str">
        <f t="shared" si="57"/>
        <v>STREET LIGHTING SERVICE CLASSIFICATION</v>
      </c>
      <c r="B374" s="306" t="s">
        <v>1654</v>
      </c>
      <c r="C374" s="390">
        <f>B35</f>
        <v>6</v>
      </c>
      <c r="D374" s="307" t="s">
        <v>358</v>
      </c>
      <c r="E374" s="308"/>
      <c r="F374" s="378"/>
      <c r="G374" s="898"/>
      <c r="H374" s="899">
        <f>SUM(H368:H373)</f>
        <v>3434.4832000000001</v>
      </c>
      <c r="I374" s="379"/>
      <c r="J374" s="315"/>
      <c r="K374" s="899">
        <f>SUM(K368:K373)</f>
        <v>3730.5066000000002</v>
      </c>
      <c r="L374" s="309">
        <f t="shared" si="54"/>
        <v>296.02340000000004</v>
      </c>
      <c r="M374" s="310">
        <f>IF((H374)=0,"",(L374/H374))</f>
        <v>8.6191541132010788E-2</v>
      </c>
    </row>
    <row r="375" spans="1:13" x14ac:dyDescent="0.2">
      <c r="A375" s="59" t="str">
        <f t="shared" si="57"/>
        <v>STREET LIGHTING SERVICE CLASSIFICATION</v>
      </c>
      <c r="C375" s="390"/>
      <c r="D375" s="73" t="s">
        <v>430</v>
      </c>
      <c r="E375" s="348"/>
      <c r="F375" s="354">
        <f>IF((E360*12&gt;=150000), 0, IF(E359="RPP",(F391*0.65+F392*0.17+F393*0.18),IF(E359="Non-RPP (Retailer)",F394,F395)))</f>
        <v>0</v>
      </c>
      <c r="G375" s="361">
        <f>IF(F375=0, 0, $E360*E362-E360)</f>
        <v>0</v>
      </c>
      <c r="H375" s="375">
        <f>G375*F375</f>
        <v>0</v>
      </c>
      <c r="I375" s="351">
        <f>IF((E360*12&gt;=150000), 0, IF(E359="RPP",(I391*0.65+I392*0.17+I393*0.18),IF(E359="Non-RPP (Retailer)",I394,I395)))</f>
        <v>0</v>
      </c>
      <c r="J375" s="361">
        <f>IF(I375=0, 0, E360*E363-E360)</f>
        <v>0</v>
      </c>
      <c r="K375" s="375">
        <f>J375*I375</f>
        <v>0</v>
      </c>
      <c r="L375" s="358">
        <f>K375-H375</f>
        <v>0</v>
      </c>
      <c r="M375" s="377" t="str">
        <f>IF(ISERROR(L375/H375), "", L375/H375)</f>
        <v/>
      </c>
    </row>
    <row r="376" spans="1:13" ht="25.5" x14ac:dyDescent="0.2">
      <c r="A376" s="59" t="str">
        <f t="shared" si="57"/>
        <v>STREET LIGHTING SERVICE CLASSIFICATION</v>
      </c>
      <c r="C376" s="390"/>
      <c r="D376" s="73" t="s">
        <v>366</v>
      </c>
      <c r="E376" s="348"/>
      <c r="F376" s="354">
        <v>-0.78249999999999997</v>
      </c>
      <c r="G376" s="362">
        <f>IF($E361&gt;0, $E361, $E360)</f>
        <v>62</v>
      </c>
      <c r="H376" s="375">
        <f t="shared" si="55"/>
        <v>-48.515000000000001</v>
      </c>
      <c r="I376" s="351">
        <v>-0.32940000000000003</v>
      </c>
      <c r="J376" s="362">
        <f>IF($E361&gt;0, $E361, $E360)</f>
        <v>62</v>
      </c>
      <c r="K376" s="375">
        <f t="shared" si="58"/>
        <v>-20.422800000000002</v>
      </c>
      <c r="L376" s="358">
        <f t="shared" si="54"/>
        <v>28.092199999999998</v>
      </c>
      <c r="M376" s="377">
        <f t="shared" si="56"/>
        <v>-0.57904153354632582</v>
      </c>
    </row>
    <row r="377" spans="1:13" x14ac:dyDescent="0.2">
      <c r="A377" s="59" t="str">
        <f t="shared" si="57"/>
        <v>STREET LIGHTING SERVICE CLASSIFICATION</v>
      </c>
      <c r="C377" s="390"/>
      <c r="D377" s="73" t="s">
        <v>2885</v>
      </c>
      <c r="E377" s="348"/>
      <c r="F377" s="354">
        <v>0</v>
      </c>
      <c r="G377" s="362">
        <f>IF($E361&gt;0, $E361, $E360)</f>
        <v>62</v>
      </c>
      <c r="H377" s="375">
        <f>G377*F377</f>
        <v>0</v>
      </c>
      <c r="I377" s="351">
        <v>0</v>
      </c>
      <c r="J377" s="362">
        <f>IF($E361&gt;0, $E361, $E360)</f>
        <v>62</v>
      </c>
      <c r="K377" s="375">
        <f>J377*I377</f>
        <v>0</v>
      </c>
      <c r="L377" s="358">
        <f t="shared" si="54"/>
        <v>0</v>
      </c>
      <c r="M377" s="377" t="str">
        <f t="shared" si="56"/>
        <v/>
      </c>
    </row>
    <row r="378" spans="1:13" x14ac:dyDescent="0.2">
      <c r="A378" s="59" t="str">
        <f t="shared" si="57"/>
        <v>STREET LIGHTING SERVICE CLASSIFICATION</v>
      </c>
      <c r="C378" s="390"/>
      <c r="D378" s="73" t="s">
        <v>2281</v>
      </c>
      <c r="E378" s="348"/>
      <c r="F378" s="354">
        <v>6.9999999999999999E-4</v>
      </c>
      <c r="G378" s="362">
        <f>E360</f>
        <v>22825</v>
      </c>
      <c r="H378" s="375">
        <f>G378*F378</f>
        <v>15.977499999999999</v>
      </c>
      <c r="I378" s="351">
        <v>2E-3</v>
      </c>
      <c r="J378" s="362">
        <f>E360</f>
        <v>22825</v>
      </c>
      <c r="K378" s="375">
        <f t="shared" si="58"/>
        <v>45.65</v>
      </c>
      <c r="L378" s="358">
        <f t="shared" si="54"/>
        <v>29.672499999999999</v>
      </c>
      <c r="M378" s="377">
        <f t="shared" si="56"/>
        <v>1.8571428571428572</v>
      </c>
    </row>
    <row r="379" spans="1:13" x14ac:dyDescent="0.2">
      <c r="A379" s="59" t="str">
        <f t="shared" si="57"/>
        <v>STREET LIGHTING SERVICE CLASSIFICATION</v>
      </c>
      <c r="C379" s="390"/>
      <c r="D379" s="75" t="s">
        <v>145</v>
      </c>
      <c r="E379" s="348"/>
      <c r="F379" s="354">
        <v>1.2789999999999999</v>
      </c>
      <c r="G379" s="362">
        <f>IF($E361&gt;0, $E361, $E360)</f>
        <v>62</v>
      </c>
      <c r="H379" s="375">
        <f t="shared" si="55"/>
        <v>79.298000000000002</v>
      </c>
      <c r="I379" s="351">
        <v>1.2789999999999999</v>
      </c>
      <c r="J379" s="362">
        <f>IF($E361&gt;0, $E361, $E360)</f>
        <v>62</v>
      </c>
      <c r="K379" s="375">
        <f t="shared" si="58"/>
        <v>79.298000000000002</v>
      </c>
      <c r="L379" s="358">
        <f t="shared" si="54"/>
        <v>0</v>
      </c>
      <c r="M379" s="377">
        <f t="shared" si="56"/>
        <v>0</v>
      </c>
    </row>
    <row r="380" spans="1:13" ht="25.5" x14ac:dyDescent="0.2">
      <c r="A380" s="59" t="str">
        <f t="shared" si="57"/>
        <v>STREET LIGHTING SERVICE CLASSIFICATION</v>
      </c>
      <c r="C380" s="390"/>
      <c r="D380" s="429" t="s">
        <v>5951</v>
      </c>
      <c r="E380" s="348"/>
      <c r="F380" s="1001">
        <f>IF(OR(ISNUMBER(SEARCH("RESIDENTIAL", E358))=TRUE, ISNUMBER(SEARCH("GENERAL SERVICE LESS THAN 50", E358))=TRUE), SME, 0)</f>
        <v>0</v>
      </c>
      <c r="G380" s="330">
        <v>1</v>
      </c>
      <c r="H380" s="375">
        <f>G380*F380</f>
        <v>0</v>
      </c>
      <c r="I380" s="1002">
        <f>IF(OR(ISNUMBER(SEARCH("RESIDENTIAL", E358))=TRUE, ISNUMBER(SEARCH("GENERAL SERVICE LESS THAN 50", E358))=TRUE), SME, 0)</f>
        <v>0</v>
      </c>
      <c r="J380" s="330">
        <v>1</v>
      </c>
      <c r="K380" s="375">
        <f>J380*I380</f>
        <v>0</v>
      </c>
      <c r="L380" s="358">
        <f t="shared" si="54"/>
        <v>0</v>
      </c>
      <c r="M380" s="377" t="str">
        <f>IF(ISERROR(L380/H380), "", L380/H380)</f>
        <v/>
      </c>
    </row>
    <row r="381" spans="1:13" x14ac:dyDescent="0.2">
      <c r="A381" s="59" t="str">
        <f t="shared" si="57"/>
        <v>STREET LIGHTING SERVICE CLASSIFICATION</v>
      </c>
      <c r="C381" s="390"/>
      <c r="D381" s="75" t="s">
        <v>4871</v>
      </c>
      <c r="E381" s="348"/>
      <c r="F381" s="374">
        <v>0</v>
      </c>
      <c r="G381" s="330">
        <v>1</v>
      </c>
      <c r="H381" s="375">
        <f t="shared" si="55"/>
        <v>0</v>
      </c>
      <c r="I381" s="376">
        <v>0</v>
      </c>
      <c r="J381" s="330">
        <v>1</v>
      </c>
      <c r="K381" s="375">
        <f>J381*I381</f>
        <v>0</v>
      </c>
      <c r="L381" s="358">
        <f>K381-H381</f>
        <v>0</v>
      </c>
      <c r="M381" s="377" t="str">
        <f>IF(ISERROR(L381/H381), "", L381/H381)</f>
        <v/>
      </c>
    </row>
    <row r="382" spans="1:13" x14ac:dyDescent="0.2">
      <c r="A382" s="59" t="str">
        <f t="shared" si="57"/>
        <v>STREET LIGHTING SERVICE CLASSIFICATION</v>
      </c>
      <c r="C382" s="390"/>
      <c r="D382" s="75" t="s">
        <v>4870</v>
      </c>
      <c r="E382" s="348"/>
      <c r="F382" s="354"/>
      <c r="G382" s="362">
        <f>IF($E361&gt;0, $E361, $E360)</f>
        <v>62</v>
      </c>
      <c r="H382" s="375">
        <f>G382*F382</f>
        <v>0</v>
      </c>
      <c r="I382" s="351">
        <v>0</v>
      </c>
      <c r="J382" s="362">
        <f>IF($E361&gt;0, $E361, $E360)</f>
        <v>62</v>
      </c>
      <c r="K382" s="375">
        <f>J382*I382</f>
        <v>0</v>
      </c>
      <c r="L382" s="358">
        <f t="shared" si="54"/>
        <v>0</v>
      </c>
      <c r="M382" s="377" t="str">
        <f>IF(ISERROR(L382/H382), "", L382/H382)</f>
        <v/>
      </c>
    </row>
    <row r="383" spans="1:13" ht="25.5" x14ac:dyDescent="0.2">
      <c r="A383" s="59" t="str">
        <f t="shared" si="57"/>
        <v>STREET LIGHTING SERVICE CLASSIFICATION</v>
      </c>
      <c r="B383" s="1032" t="s">
        <v>1655</v>
      </c>
      <c r="C383" s="390">
        <f>B35</f>
        <v>6</v>
      </c>
      <c r="D383" s="312" t="s">
        <v>1686</v>
      </c>
      <c r="E383" s="313"/>
      <c r="F383" s="349"/>
      <c r="G383" s="359"/>
      <c r="H383" s="314">
        <f>SUM(H374:H382)</f>
        <v>3481.2437</v>
      </c>
      <c r="I383" s="350"/>
      <c r="J383" s="360"/>
      <c r="K383" s="314">
        <f>SUM(K374:K382)</f>
        <v>3835.0318000000007</v>
      </c>
      <c r="L383" s="309">
        <f t="shared" si="54"/>
        <v>353.78810000000067</v>
      </c>
      <c r="M383" s="310">
        <f>IF((H383)=0,"",(L383/H383))</f>
        <v>0.10162692718122568</v>
      </c>
    </row>
    <row r="384" spans="1:13" x14ac:dyDescent="0.2">
      <c r="A384" s="59" t="str">
        <f t="shared" si="57"/>
        <v>STREET LIGHTING SERVICE CLASSIFICATION</v>
      </c>
      <c r="C384" s="390"/>
      <c r="D384" s="77" t="s">
        <v>360</v>
      </c>
      <c r="E384" s="348"/>
      <c r="F384" s="354">
        <v>1.8346</v>
      </c>
      <c r="G384" s="361">
        <f>IF($E361&gt;0, $E361, $E360*$E362)</f>
        <v>62</v>
      </c>
      <c r="H384" s="375">
        <f>G384*F384</f>
        <v>113.7452</v>
      </c>
      <c r="I384" s="351">
        <v>1.8505</v>
      </c>
      <c r="J384" s="361">
        <f>IF($E361&gt;0, $E361, $E360*$E363)</f>
        <v>62</v>
      </c>
      <c r="K384" s="375">
        <f>J384*I384</f>
        <v>114.73100000000001</v>
      </c>
      <c r="L384" s="358">
        <f t="shared" si="54"/>
        <v>0.98580000000001178</v>
      </c>
      <c r="M384" s="377">
        <f>IF(ISERROR(L384/H384), "", L384/H384)</f>
        <v>8.6667393437262572E-3</v>
      </c>
    </row>
    <row r="385" spans="1:13" ht="25.5" x14ac:dyDescent="0.2">
      <c r="A385" s="59" t="str">
        <f t="shared" si="57"/>
        <v>STREET LIGHTING SERVICE CLASSIFICATION</v>
      </c>
      <c r="C385" s="390"/>
      <c r="D385" s="189" t="s">
        <v>370</v>
      </c>
      <c r="E385" s="348"/>
      <c r="F385" s="354">
        <v>1.4479</v>
      </c>
      <c r="G385" s="361">
        <f>IF($E361&gt;0, $E361, $E360*$E362)</f>
        <v>62</v>
      </c>
      <c r="H385" s="375">
        <f>G385*F385</f>
        <v>89.769800000000004</v>
      </c>
      <c r="I385" s="351">
        <v>1.4558</v>
      </c>
      <c r="J385" s="361">
        <f>IF($E361&gt;0, $E361, $E360*$E363)</f>
        <v>62</v>
      </c>
      <c r="K385" s="375">
        <f>J385*I385</f>
        <v>90.259600000000006</v>
      </c>
      <c r="L385" s="358">
        <f t="shared" si="54"/>
        <v>0.48980000000000246</v>
      </c>
      <c r="M385" s="377">
        <f>IF(ISERROR(L385/H385), "", L385/H385)</f>
        <v>5.4561779128393115E-3</v>
      </c>
    </row>
    <row r="386" spans="1:13" ht="25.5" x14ac:dyDescent="0.2">
      <c r="A386" s="59" t="str">
        <f t="shared" si="57"/>
        <v>STREET LIGHTING SERVICE CLASSIFICATION</v>
      </c>
      <c r="B386" s="1032" t="s">
        <v>1656</v>
      </c>
      <c r="C386" s="390">
        <f>B35</f>
        <v>6</v>
      </c>
      <c r="D386" s="312" t="s">
        <v>1687</v>
      </c>
      <c r="E386" s="308"/>
      <c r="F386" s="349"/>
      <c r="G386" s="359"/>
      <c r="H386" s="314">
        <f>SUM(H383:H385)</f>
        <v>3684.7586999999999</v>
      </c>
      <c r="I386" s="350"/>
      <c r="J386" s="315"/>
      <c r="K386" s="314">
        <f>SUM(K383:K385)</f>
        <v>4040.0224000000007</v>
      </c>
      <c r="L386" s="309">
        <f t="shared" si="54"/>
        <v>355.26370000000088</v>
      </c>
      <c r="M386" s="310">
        <f>IF((H386)=0,"",(L386/H386))</f>
        <v>9.6414373076858711E-2</v>
      </c>
    </row>
    <row r="387" spans="1:13" ht="25.5" x14ac:dyDescent="0.2">
      <c r="A387" s="59" t="str">
        <f t="shared" si="57"/>
        <v>STREET LIGHTING SERVICE CLASSIFICATION</v>
      </c>
      <c r="C387" s="390"/>
      <c r="D387" s="316" t="s">
        <v>361</v>
      </c>
      <c r="E387" s="348"/>
      <c r="F387" s="354">
        <v>3.6000000000000003E-3</v>
      </c>
      <c r="G387" s="361">
        <f>E360*E362</f>
        <v>24694.3675</v>
      </c>
      <c r="H387" s="363">
        <f t="shared" ref="H387:H393" si="59">G387*F387</f>
        <v>88.899723000000009</v>
      </c>
      <c r="I387" s="351">
        <v>3.6000000000000003E-3</v>
      </c>
      <c r="J387" s="361">
        <f>E360*E363</f>
        <v>24694.3675</v>
      </c>
      <c r="K387" s="363">
        <f t="shared" ref="K387:K393" si="60">J387*I387</f>
        <v>88.899723000000009</v>
      </c>
      <c r="L387" s="358">
        <f t="shared" si="54"/>
        <v>0</v>
      </c>
      <c r="M387" s="377">
        <f t="shared" ref="M387:M395" si="61">IF(ISERROR(L387/H387), "", L387/H387)</f>
        <v>0</v>
      </c>
    </row>
    <row r="388" spans="1:13" ht="25.5" x14ac:dyDescent="0.2">
      <c r="A388" s="59" t="str">
        <f t="shared" si="57"/>
        <v>STREET LIGHTING SERVICE CLASSIFICATION</v>
      </c>
      <c r="C388" s="390"/>
      <c r="D388" s="316" t="s">
        <v>362</v>
      </c>
      <c r="E388" s="348"/>
      <c r="F388" s="354">
        <f>'17. Regulatory Charges'!$D$16</f>
        <v>2.9999999999999997E-4</v>
      </c>
      <c r="G388" s="361">
        <f>E360*E362</f>
        <v>24694.3675</v>
      </c>
      <c r="H388" s="363">
        <f t="shared" si="59"/>
        <v>7.4083102499999995</v>
      </c>
      <c r="I388" s="351">
        <v>2.9999999999999997E-4</v>
      </c>
      <c r="J388" s="361">
        <f>E360*E363</f>
        <v>24694.3675</v>
      </c>
      <c r="K388" s="363">
        <f t="shared" si="60"/>
        <v>7.4083102499999995</v>
      </c>
      <c r="L388" s="358">
        <f t="shared" si="54"/>
        <v>0</v>
      </c>
      <c r="M388" s="377">
        <f t="shared" si="61"/>
        <v>0</v>
      </c>
    </row>
    <row r="389" spans="1:13" x14ac:dyDescent="0.2">
      <c r="A389" s="59" t="str">
        <f t="shared" si="57"/>
        <v>STREET LIGHTING SERVICE CLASSIFICATION</v>
      </c>
      <c r="C389" s="390"/>
      <c r="D389" s="305" t="s">
        <v>363</v>
      </c>
      <c r="E389" s="348"/>
      <c r="F389" s="1001">
        <v>0.25</v>
      </c>
      <c r="G389" s="330">
        <v>1</v>
      </c>
      <c r="H389" s="363">
        <f t="shared" si="59"/>
        <v>0.25</v>
      </c>
      <c r="I389" s="1002">
        <f>'17. Regulatory Charges'!$D$17</f>
        <v>0.25</v>
      </c>
      <c r="J389" s="357">
        <v>1</v>
      </c>
      <c r="K389" s="363">
        <f t="shared" si="60"/>
        <v>0.25</v>
      </c>
      <c r="L389" s="358">
        <f t="shared" si="54"/>
        <v>0</v>
      </c>
      <c r="M389" s="377">
        <f t="shared" si="61"/>
        <v>0</v>
      </c>
    </row>
    <row r="390" spans="1:13" ht="25.5" hidden="1" x14ac:dyDescent="0.2">
      <c r="A390" s="59" t="str">
        <f t="shared" si="57"/>
        <v>STREET LIGHTING SERVICE CLASSIFICATION</v>
      </c>
      <c r="C390" s="390"/>
      <c r="D390" s="316" t="s">
        <v>1688</v>
      </c>
      <c r="E390" s="348"/>
      <c r="F390" s="354"/>
      <c r="G390" s="361"/>
      <c r="H390" s="363"/>
      <c r="I390" s="351"/>
      <c r="J390" s="361"/>
      <c r="K390" s="363"/>
      <c r="L390" s="358"/>
      <c r="M390" s="377"/>
    </row>
    <row r="391" spans="1:13" hidden="1" x14ac:dyDescent="0.2">
      <c r="A391" s="59" t="str">
        <f t="shared" si="57"/>
        <v>STREET LIGHTING SERVICE CLASSIFICATION</v>
      </c>
      <c r="B391" s="1032" t="s">
        <v>1647</v>
      </c>
      <c r="C391" s="390"/>
      <c r="D391" s="311" t="s">
        <v>228</v>
      </c>
      <c r="E391" s="348"/>
      <c r="F391" s="355">
        <f>OffPeak</f>
        <v>6.5000000000000002E-2</v>
      </c>
      <c r="G391" s="317">
        <f>IF(AND(E360*12&gt;=150000),0.65*E360*E362,0.65*E360)</f>
        <v>16051.338875000001</v>
      </c>
      <c r="H391" s="363">
        <f t="shared" si="59"/>
        <v>1043.3370268750002</v>
      </c>
      <c r="I391" s="352">
        <f>OffPeak</f>
        <v>6.5000000000000002E-2</v>
      </c>
      <c r="J391" s="317">
        <f>IF(AND(E360*12&gt;=150000),0.65*E360*E363,0.65*E360)</f>
        <v>16051.338875000001</v>
      </c>
      <c r="K391" s="363">
        <f t="shared" si="60"/>
        <v>1043.3370268750002</v>
      </c>
      <c r="L391" s="358">
        <f>K391-H391</f>
        <v>0</v>
      </c>
      <c r="M391" s="377">
        <f t="shared" si="61"/>
        <v>0</v>
      </c>
    </row>
    <row r="392" spans="1:13" hidden="1" x14ac:dyDescent="0.2">
      <c r="A392" s="59" t="str">
        <f t="shared" si="57"/>
        <v>STREET LIGHTING SERVICE CLASSIFICATION</v>
      </c>
      <c r="B392" s="1032" t="s">
        <v>1647</v>
      </c>
      <c r="C392" s="390"/>
      <c r="D392" s="311" t="s">
        <v>229</v>
      </c>
      <c r="E392" s="348"/>
      <c r="F392" s="355">
        <f>MidPeak</f>
        <v>9.4E-2</v>
      </c>
      <c r="G392" s="317">
        <f>IF(AND(E360*12&gt;=150000),0.17*E360*E362,0.17*E360)</f>
        <v>4198.0424750000011</v>
      </c>
      <c r="H392" s="363">
        <f t="shared" si="59"/>
        <v>394.61599265000012</v>
      </c>
      <c r="I392" s="352">
        <f>MidPeak</f>
        <v>9.4E-2</v>
      </c>
      <c r="J392" s="317">
        <f>IF(AND(E360*12&gt;=150000),0.17*E360*E363,0.17*E360)</f>
        <v>4198.0424750000011</v>
      </c>
      <c r="K392" s="363">
        <f t="shared" si="60"/>
        <v>394.61599265000012</v>
      </c>
      <c r="L392" s="358">
        <f>K392-H392</f>
        <v>0</v>
      </c>
      <c r="M392" s="377">
        <f t="shared" si="61"/>
        <v>0</v>
      </c>
    </row>
    <row r="393" spans="1:13" hidden="1" x14ac:dyDescent="0.2">
      <c r="A393" s="59" t="str">
        <f t="shared" si="57"/>
        <v>STREET LIGHTING SERVICE CLASSIFICATION</v>
      </c>
      <c r="B393" s="1032" t="s">
        <v>1647</v>
      </c>
      <c r="C393" s="390"/>
      <c r="D393" s="1032" t="s">
        <v>230</v>
      </c>
      <c r="E393" s="348"/>
      <c r="F393" s="355">
        <f>OnPeak</f>
        <v>0.13200000000000001</v>
      </c>
      <c r="G393" s="317">
        <f>IF(AND(E360*12&gt;=150000),0.18*E360*E362,0.18*E360)</f>
        <v>4444.9861500000006</v>
      </c>
      <c r="H393" s="363">
        <f t="shared" si="59"/>
        <v>586.73817180000015</v>
      </c>
      <c r="I393" s="352">
        <f>OnPeak</f>
        <v>0.13200000000000001</v>
      </c>
      <c r="J393" s="317">
        <f>IF(AND(E360*12&gt;=150000),0.18*E360*E363,0.18*E360)</f>
        <v>4444.9861500000006</v>
      </c>
      <c r="K393" s="363">
        <f t="shared" si="60"/>
        <v>586.73817180000015</v>
      </c>
      <c r="L393" s="358">
        <f>K393-H393</f>
        <v>0</v>
      </c>
      <c r="M393" s="377">
        <f t="shared" si="61"/>
        <v>0</v>
      </c>
    </row>
    <row r="394" spans="1:13" hidden="1" x14ac:dyDescent="0.2">
      <c r="A394" s="59" t="str">
        <f t="shared" si="57"/>
        <v>STREET LIGHTING SERVICE CLASSIFICATION</v>
      </c>
      <c r="B394" s="59" t="s">
        <v>1648</v>
      </c>
      <c r="C394" s="390"/>
      <c r="D394" s="311" t="s">
        <v>1657</v>
      </c>
      <c r="E394" s="348"/>
      <c r="F394" s="356">
        <v>0.1101</v>
      </c>
      <c r="G394" s="317">
        <f>IF(AND(E360*12&gt;=150000),E360*E362,E360)</f>
        <v>24694.3675</v>
      </c>
      <c r="H394" s="363">
        <f>G394*F394</f>
        <v>2718.8498617499999</v>
      </c>
      <c r="I394" s="353">
        <f>F394</f>
        <v>0.1101</v>
      </c>
      <c r="J394" s="317">
        <f>IF(AND(E360*12&gt;=150000),E360*E363,E360)</f>
        <v>24694.3675</v>
      </c>
      <c r="K394" s="363">
        <f>J394*I394</f>
        <v>2718.8498617499999</v>
      </c>
      <c r="L394" s="358">
        <f>K394-H394</f>
        <v>0</v>
      </c>
      <c r="M394" s="377">
        <f t="shared" si="61"/>
        <v>0</v>
      </c>
    </row>
    <row r="395" spans="1:13" ht="13.5" thickBot="1" x14ac:dyDescent="0.25">
      <c r="A395" s="59" t="str">
        <f t="shared" si="57"/>
        <v>STREET LIGHTING SERVICE CLASSIFICATION</v>
      </c>
      <c r="B395" s="59" t="s">
        <v>1649</v>
      </c>
      <c r="C395" s="390"/>
      <c r="D395" s="311" t="s">
        <v>1658</v>
      </c>
      <c r="E395" s="348"/>
      <c r="F395" s="356">
        <v>0.1101</v>
      </c>
      <c r="G395" s="317">
        <f>IF(AND(E360*12&gt;=150000),E360*E362,E360)</f>
        <v>24694.3675</v>
      </c>
      <c r="H395" s="363">
        <f>G395*F395</f>
        <v>2718.8498617499999</v>
      </c>
      <c r="I395" s="353">
        <f>F395</f>
        <v>0.1101</v>
      </c>
      <c r="J395" s="317">
        <f>IF(AND(E360*12&gt;=150000),E360*E363,E360)</f>
        <v>24694.3675</v>
      </c>
      <c r="K395" s="363">
        <f>J395*I395</f>
        <v>2718.8498617499999</v>
      </c>
      <c r="L395" s="358">
        <f>K395-H395</f>
        <v>0</v>
      </c>
      <c r="M395" s="377">
        <f t="shared" si="61"/>
        <v>0</v>
      </c>
    </row>
    <row r="396" spans="1:13" ht="13.5" thickBot="1" x14ac:dyDescent="0.25">
      <c r="A396" s="59" t="str">
        <f t="shared" si="57"/>
        <v>STREET LIGHTING SERVICE CLASSIFICATION</v>
      </c>
      <c r="B396" s="1032"/>
      <c r="C396" s="390"/>
      <c r="D396" s="318"/>
      <c r="E396" s="319"/>
      <c r="F396" s="364"/>
      <c r="G396" s="236"/>
      <c r="H396" s="365"/>
      <c r="I396" s="364"/>
      <c r="J396" s="366"/>
      <c r="K396" s="365"/>
      <c r="L396" s="367"/>
      <c r="M396" s="239"/>
    </row>
    <row r="397" spans="1:13" hidden="1" x14ac:dyDescent="0.2">
      <c r="A397" s="59" t="str">
        <f t="shared" si="57"/>
        <v>STREET LIGHTING SERVICE CLASSIFICATION</v>
      </c>
      <c r="B397" s="1032" t="s">
        <v>1647</v>
      </c>
      <c r="C397" s="390"/>
      <c r="D397" s="322" t="s">
        <v>365</v>
      </c>
      <c r="E397" s="305"/>
      <c r="F397" s="337"/>
      <c r="G397" s="368"/>
      <c r="H397" s="323">
        <f>SUM(H387:H393,H386)</f>
        <v>5806.0079245750003</v>
      </c>
      <c r="I397" s="324"/>
      <c r="J397" s="324"/>
      <c r="K397" s="323">
        <f>SUM(K387:K393,K386)</f>
        <v>6161.2716245750016</v>
      </c>
      <c r="L397" s="325">
        <f>K397-H397</f>
        <v>355.26370000000134</v>
      </c>
      <c r="M397" s="326">
        <f>IF((H397)=0,"",(L397/H397))</f>
        <v>6.1188979521760924E-2</v>
      </c>
    </row>
    <row r="398" spans="1:13" hidden="1" x14ac:dyDescent="0.2">
      <c r="A398" s="59" t="str">
        <f t="shared" si="57"/>
        <v>STREET LIGHTING SERVICE CLASSIFICATION</v>
      </c>
      <c r="B398" s="1032" t="s">
        <v>1647</v>
      </c>
      <c r="C398" s="390"/>
      <c r="D398" s="327" t="s">
        <v>152</v>
      </c>
      <c r="E398" s="305"/>
      <c r="F398" s="337">
        <v>0.13</v>
      </c>
      <c r="G398" s="369"/>
      <c r="H398" s="328">
        <f>H397*F398</f>
        <v>754.78103019475009</v>
      </c>
      <c r="I398" s="329">
        <v>0.13</v>
      </c>
      <c r="J398" s="330"/>
      <c r="K398" s="328">
        <f>K397*I398</f>
        <v>800.96531119475026</v>
      </c>
      <c r="L398" s="331">
        <f>K398-H398</f>
        <v>46.184281000000169</v>
      </c>
      <c r="M398" s="332">
        <f>IF((H398)=0,"",(L398/H398))</f>
        <v>6.1188979521760917E-2</v>
      </c>
    </row>
    <row r="399" spans="1:13" hidden="1" x14ac:dyDescent="0.2">
      <c r="A399" s="59" t="str">
        <f t="shared" si="57"/>
        <v>STREET LIGHTING SERVICE CLASSIFICATION</v>
      </c>
      <c r="B399" s="1032" t="s">
        <v>1647</v>
      </c>
      <c r="C399" s="390"/>
      <c r="D399" s="327" t="s">
        <v>2904</v>
      </c>
      <c r="E399" s="305"/>
      <c r="F399" s="337">
        <v>0.08</v>
      </c>
      <c r="G399" s="369"/>
      <c r="H399" s="328">
        <v>0</v>
      </c>
      <c r="I399" s="337">
        <v>0.08</v>
      </c>
      <c r="J399" s="330"/>
      <c r="K399" s="328">
        <v>0</v>
      </c>
      <c r="L399" s="331">
        <f>K399-H399</f>
        <v>0</v>
      </c>
      <c r="M399" s="332"/>
    </row>
    <row r="400" spans="1:13" ht="13.5" hidden="1" thickBot="1" x14ac:dyDescent="0.25">
      <c r="A400" s="59" t="str">
        <f t="shared" si="57"/>
        <v>STREET LIGHTING SERVICE CLASSIFICATION</v>
      </c>
      <c r="B400" s="1032" t="s">
        <v>1659</v>
      </c>
      <c r="C400" s="390"/>
      <c r="D400" s="1863" t="s">
        <v>1660</v>
      </c>
      <c r="E400" s="1863"/>
      <c r="F400" s="370"/>
      <c r="G400" s="371"/>
      <c r="H400" s="338">
        <f>H397+H398+H399</f>
        <v>6560.7889547697505</v>
      </c>
      <c r="I400" s="334"/>
      <c r="J400" s="334"/>
      <c r="K400" s="333">
        <f>K397+K398+K399</f>
        <v>6962.2369357697517</v>
      </c>
      <c r="L400" s="335">
        <f>K400-H400</f>
        <v>401.44798100000116</v>
      </c>
      <c r="M400" s="336">
        <f>IF((H400)=0,"",(L400/H400))</f>
        <v>6.1188979521760868E-2</v>
      </c>
    </row>
    <row r="401" spans="1:20" ht="13.5" hidden="1" thickBot="1" x14ac:dyDescent="0.25">
      <c r="A401" s="59" t="str">
        <f t="shared" si="57"/>
        <v>STREET LIGHTING SERVICE CLASSIFICATION</v>
      </c>
      <c r="B401" s="59" t="s">
        <v>1647</v>
      </c>
      <c r="C401" s="390"/>
      <c r="D401" s="318"/>
      <c r="E401" s="319"/>
      <c r="F401" s="364"/>
      <c r="G401" s="236"/>
      <c r="H401" s="365"/>
      <c r="I401" s="364"/>
      <c r="J401" s="366"/>
      <c r="K401" s="365"/>
      <c r="L401" s="367"/>
      <c r="M401" s="239"/>
    </row>
    <row r="402" spans="1:20" hidden="1" x14ac:dyDescent="0.2">
      <c r="A402" s="59" t="str">
        <f t="shared" si="57"/>
        <v>STREET LIGHTING SERVICE CLASSIFICATION</v>
      </c>
      <c r="B402" s="59" t="s">
        <v>1648</v>
      </c>
      <c r="C402" s="390"/>
      <c r="D402" s="322" t="s">
        <v>1661</v>
      </c>
      <c r="E402" s="305"/>
      <c r="F402" s="337"/>
      <c r="G402" s="368"/>
      <c r="H402" s="323">
        <f>SUM(H394,H387:H390,H386)</f>
        <v>6500.1665949999997</v>
      </c>
      <c r="I402" s="324"/>
      <c r="J402" s="324"/>
      <c r="K402" s="323">
        <f>SUM(K394,K387:K390,K386)</f>
        <v>6855.4302950000001</v>
      </c>
      <c r="L402" s="325">
        <f>K402-H402</f>
        <v>355.26370000000043</v>
      </c>
      <c r="M402" s="326">
        <f>IF((H402)=0,"",(L402/H402))</f>
        <v>5.4654553049959247E-2</v>
      </c>
    </row>
    <row r="403" spans="1:20" hidden="1" x14ac:dyDescent="0.2">
      <c r="A403" s="59" t="str">
        <f t="shared" si="57"/>
        <v>STREET LIGHTING SERVICE CLASSIFICATION</v>
      </c>
      <c r="B403" s="59" t="s">
        <v>1648</v>
      </c>
      <c r="C403" s="390"/>
      <c r="D403" s="327" t="s">
        <v>152</v>
      </c>
      <c r="E403" s="305"/>
      <c r="F403" s="337">
        <v>0.13</v>
      </c>
      <c r="G403" s="368"/>
      <c r="H403" s="328">
        <f>H402*F403</f>
        <v>845.02165734999994</v>
      </c>
      <c r="I403" s="337">
        <v>0.13</v>
      </c>
      <c r="J403" s="329"/>
      <c r="K403" s="328">
        <f>K402*I403</f>
        <v>891.20593835</v>
      </c>
      <c r="L403" s="331">
        <f>K403-H403</f>
        <v>46.184281000000055</v>
      </c>
      <c r="M403" s="332">
        <f>IF((H403)=0,"",(L403/H403))</f>
        <v>5.4654553049959247E-2</v>
      </c>
    </row>
    <row r="404" spans="1:20" hidden="1" x14ac:dyDescent="0.2">
      <c r="A404" s="59" t="str">
        <f t="shared" si="57"/>
        <v>STREET LIGHTING SERVICE CLASSIFICATION</v>
      </c>
      <c r="B404" s="59" t="s">
        <v>1648</v>
      </c>
      <c r="C404" s="390"/>
      <c r="D404" s="327" t="s">
        <v>2904</v>
      </c>
      <c r="E404" s="305"/>
      <c r="F404" s="337">
        <v>0.08</v>
      </c>
      <c r="G404" s="368"/>
      <c r="H404" s="877">
        <v>0</v>
      </c>
      <c r="I404" s="337">
        <v>0.08</v>
      </c>
      <c r="J404" s="329"/>
      <c r="K404" s="877">
        <v>0</v>
      </c>
      <c r="L404" s="331"/>
      <c r="M404" s="332"/>
    </row>
    <row r="405" spans="1:20" ht="13.5" hidden="1" thickBot="1" x14ac:dyDescent="0.25">
      <c r="A405" s="59" t="str">
        <f t="shared" si="57"/>
        <v>STREET LIGHTING SERVICE CLASSIFICATION</v>
      </c>
      <c r="B405" s="59" t="s">
        <v>1662</v>
      </c>
      <c r="C405" s="390"/>
      <c r="D405" s="1863" t="s">
        <v>1661</v>
      </c>
      <c r="E405" s="1863"/>
      <c r="F405" s="372"/>
      <c r="G405" s="373"/>
      <c r="H405" s="338">
        <f>SUM(H402,H403)</f>
        <v>7345.1882523499999</v>
      </c>
      <c r="I405" s="339"/>
      <c r="J405" s="339"/>
      <c r="K405" s="338">
        <f>SUM(K402,K403)</f>
        <v>7746.6362333500001</v>
      </c>
      <c r="L405" s="340">
        <f>K405-H405</f>
        <v>401.44798100000025</v>
      </c>
      <c r="M405" s="341">
        <f>IF((H405)=0,"",(L405/H405))</f>
        <v>5.4654553049959212E-2</v>
      </c>
    </row>
    <row r="406" spans="1:20" ht="13.5" hidden="1" thickBot="1" x14ac:dyDescent="0.25">
      <c r="A406" s="59" t="str">
        <f t="shared" si="57"/>
        <v>STREET LIGHTING SERVICE CLASSIFICATION</v>
      </c>
      <c r="B406" s="59" t="s">
        <v>1648</v>
      </c>
      <c r="C406" s="390"/>
      <c r="D406" s="318"/>
      <c r="E406" s="319"/>
      <c r="F406" s="233"/>
      <c r="G406" s="234"/>
      <c r="H406" s="235"/>
      <c r="I406" s="233"/>
      <c r="J406" s="236"/>
      <c r="K406" s="235"/>
      <c r="L406" s="238"/>
      <c r="M406" s="239"/>
    </row>
    <row r="407" spans="1:20" x14ac:dyDescent="0.2">
      <c r="A407" s="59" t="str">
        <f t="shared" si="57"/>
        <v>STREET LIGHTING SERVICE CLASSIFICATION</v>
      </c>
      <c r="B407" s="59" t="s">
        <v>1649</v>
      </c>
      <c r="C407" s="390"/>
      <c r="D407" s="322" t="s">
        <v>1663</v>
      </c>
      <c r="E407" s="305"/>
      <c r="F407" s="337"/>
      <c r="G407" s="368"/>
      <c r="H407" s="323">
        <f>SUM(H395,H387:H390,H386)</f>
        <v>6500.1665949999997</v>
      </c>
      <c r="I407" s="324"/>
      <c r="J407" s="324"/>
      <c r="K407" s="323">
        <f>SUM(K395,K387:K390,K386)</f>
        <v>6855.4302950000001</v>
      </c>
      <c r="L407" s="325">
        <f>K407-H407</f>
        <v>355.26370000000043</v>
      </c>
      <c r="M407" s="326">
        <f>IF((H407)=0,"",(L407/H407))</f>
        <v>5.4654553049959247E-2</v>
      </c>
    </row>
    <row r="408" spans="1:20" x14ac:dyDescent="0.2">
      <c r="A408" s="59" t="str">
        <f t="shared" si="57"/>
        <v>STREET LIGHTING SERVICE CLASSIFICATION</v>
      </c>
      <c r="B408" s="59" t="s">
        <v>1649</v>
      </c>
      <c r="C408" s="390"/>
      <c r="D408" s="327" t="s">
        <v>152</v>
      </c>
      <c r="E408" s="305"/>
      <c r="F408" s="337">
        <v>0.13</v>
      </c>
      <c r="G408" s="368"/>
      <c r="H408" s="328">
        <f>H407*F408</f>
        <v>845.02165734999994</v>
      </c>
      <c r="I408" s="337">
        <v>0.13</v>
      </c>
      <c r="J408" s="329"/>
      <c r="K408" s="328">
        <f>K407*I408</f>
        <v>891.20593835</v>
      </c>
      <c r="L408" s="331">
        <f>K408-H408</f>
        <v>46.184281000000055</v>
      </c>
      <c r="M408" s="332">
        <f>IF((H408)=0,"",(L408/H408))</f>
        <v>5.4654553049959247E-2</v>
      </c>
    </row>
    <row r="409" spans="1:20" hidden="1" x14ac:dyDescent="0.2">
      <c r="A409" s="59" t="str">
        <f t="shared" si="57"/>
        <v>STREET LIGHTING SERVICE CLASSIFICATION</v>
      </c>
      <c r="B409" s="59" t="s">
        <v>1649</v>
      </c>
      <c r="C409" s="390"/>
      <c r="D409" s="327" t="s">
        <v>2904</v>
      </c>
      <c r="E409" s="305"/>
      <c r="F409" s="337">
        <v>0.08</v>
      </c>
      <c r="G409" s="368"/>
      <c r="H409" s="877">
        <v>0</v>
      </c>
      <c r="I409" s="337">
        <v>0.08</v>
      </c>
      <c r="J409" s="329"/>
      <c r="K409" s="877">
        <v>0</v>
      </c>
      <c r="L409" s="331"/>
      <c r="M409" s="332"/>
    </row>
    <row r="410" spans="1:20" ht="13.5" thickBot="1" x14ac:dyDescent="0.25">
      <c r="A410" s="59" t="str">
        <f t="shared" si="57"/>
        <v>STREET LIGHTING SERVICE CLASSIFICATION</v>
      </c>
      <c r="B410" s="59" t="s">
        <v>1664</v>
      </c>
      <c r="C410" s="390">
        <f>B35</f>
        <v>6</v>
      </c>
      <c r="D410" s="1863" t="s">
        <v>1663</v>
      </c>
      <c r="E410" s="1863"/>
      <c r="F410" s="372"/>
      <c r="G410" s="373"/>
      <c r="H410" s="338">
        <f>SUM(H407,H408)</f>
        <v>7345.1882523499999</v>
      </c>
      <c r="I410" s="339"/>
      <c r="J410" s="339"/>
      <c r="K410" s="338">
        <f>SUM(K407,K408)</f>
        <v>7746.6362333500001</v>
      </c>
      <c r="L410" s="340">
        <f>K410-H410</f>
        <v>401.44798100000025</v>
      </c>
      <c r="M410" s="341">
        <f>IF((H410)=0,"",(L410/H410))</f>
        <v>5.4654553049959212E-2</v>
      </c>
    </row>
    <row r="411" spans="1:20" ht="13.5" thickBot="1" x14ac:dyDescent="0.25">
      <c r="A411" s="59" t="str">
        <f t="shared" si="57"/>
        <v>STREET LIGHTING SERVICE CLASSIFICATION</v>
      </c>
      <c r="B411" s="59" t="s">
        <v>1649</v>
      </c>
      <c r="C411" s="390"/>
      <c r="D411" s="318"/>
      <c r="E411" s="319"/>
      <c r="F411" s="342"/>
      <c r="G411" s="343"/>
      <c r="H411" s="344"/>
      <c r="I411" s="342"/>
      <c r="J411" s="320"/>
      <c r="K411" s="344"/>
      <c r="L411" s="345"/>
      <c r="M411" s="321"/>
    </row>
    <row r="414" spans="1:20" x14ac:dyDescent="0.2">
      <c r="C414" s="59"/>
      <c r="D414" s="290" t="s">
        <v>1652</v>
      </c>
      <c r="E414" s="1872" t="str">
        <f>D36</f>
        <v>RESIDENTIAL SERVICE CLASSIFICATION</v>
      </c>
      <c r="F414" s="1872"/>
      <c r="G414" s="1872"/>
      <c r="H414" s="1872"/>
      <c r="I414" s="1872"/>
      <c r="J414" s="1872"/>
      <c r="K414" s="59" t="str">
        <f>IF(N36="DEMAND - INTERVAL","RTSR - INTERVAL METERED","")</f>
        <v/>
      </c>
      <c r="T414" s="59" t="s">
        <v>628</v>
      </c>
    </row>
    <row r="415" spans="1:20" x14ac:dyDescent="0.2">
      <c r="C415" s="59"/>
      <c r="D415" s="290" t="s">
        <v>1653</v>
      </c>
      <c r="E415" s="1873" t="str">
        <f>H36</f>
        <v>Non-RPP (Retailer)</v>
      </c>
      <c r="F415" s="1873"/>
      <c r="G415" s="1873"/>
      <c r="H415" s="291"/>
      <c r="I415" s="291"/>
    </row>
    <row r="416" spans="1:20" ht="15.75" x14ac:dyDescent="0.2">
      <c r="C416" s="59"/>
      <c r="D416" s="290" t="s">
        <v>157</v>
      </c>
      <c r="E416" s="1613">
        <f>K36</f>
        <v>750</v>
      </c>
      <c r="F416" s="293" t="s">
        <v>158</v>
      </c>
      <c r="G416" s="1032"/>
      <c r="J416" s="294"/>
      <c r="K416" s="294"/>
      <c r="L416" s="294"/>
      <c r="M416" s="294"/>
    </row>
    <row r="417" spans="1:13" ht="15.75" x14ac:dyDescent="0.25">
      <c r="C417" s="59"/>
      <c r="D417" s="290" t="s">
        <v>369</v>
      </c>
      <c r="E417" s="1613">
        <f>L36</f>
        <v>0</v>
      </c>
      <c r="F417" s="295" t="s">
        <v>159</v>
      </c>
      <c r="G417" s="296"/>
      <c r="H417" s="297"/>
      <c r="I417" s="297"/>
      <c r="J417" s="297"/>
    </row>
    <row r="418" spans="1:13" x14ac:dyDescent="0.2">
      <c r="C418" s="59"/>
      <c r="D418" s="290" t="s">
        <v>1684</v>
      </c>
      <c r="E418" s="298">
        <f>I36</f>
        <v>1.0819000000000001</v>
      </c>
    </row>
    <row r="419" spans="1:13" x14ac:dyDescent="0.2">
      <c r="C419" s="59"/>
      <c r="D419" s="290" t="s">
        <v>1685</v>
      </c>
      <c r="E419" s="298">
        <f>J36</f>
        <v>1.0819000000000001</v>
      </c>
    </row>
    <row r="420" spans="1:13" x14ac:dyDescent="0.2">
      <c r="C420" s="59"/>
      <c r="D420" s="1032"/>
    </row>
    <row r="421" spans="1:13" x14ac:dyDescent="0.2">
      <c r="C421" s="59"/>
      <c r="D421" s="1032"/>
      <c r="E421" s="299"/>
      <c r="F421" s="1864" t="s">
        <v>2271</v>
      </c>
      <c r="G421" s="1874"/>
      <c r="H421" s="1865"/>
      <c r="I421" s="1864" t="s">
        <v>350</v>
      </c>
      <c r="J421" s="1874"/>
      <c r="K421" s="1865"/>
      <c r="L421" s="1864" t="s">
        <v>351</v>
      </c>
      <c r="M421" s="1865"/>
    </row>
    <row r="422" spans="1:13" x14ac:dyDescent="0.2">
      <c r="C422" s="59"/>
      <c r="D422" s="1032"/>
      <c r="E422" s="1866"/>
      <c r="F422" s="300" t="s">
        <v>352</v>
      </c>
      <c r="G422" s="300" t="s">
        <v>150</v>
      </c>
      <c r="H422" s="301" t="s">
        <v>353</v>
      </c>
      <c r="I422" s="300" t="s">
        <v>352</v>
      </c>
      <c r="J422" s="302" t="s">
        <v>150</v>
      </c>
      <c r="K422" s="301" t="s">
        <v>353</v>
      </c>
      <c r="L422" s="1868" t="s">
        <v>354</v>
      </c>
      <c r="M422" s="1870" t="s">
        <v>355</v>
      </c>
    </row>
    <row r="423" spans="1:13" x14ac:dyDescent="0.2">
      <c r="C423" s="59"/>
      <c r="D423" s="1032"/>
      <c r="E423" s="1867"/>
      <c r="F423" s="303" t="s">
        <v>356</v>
      </c>
      <c r="G423" s="303"/>
      <c r="H423" s="304" t="s">
        <v>356</v>
      </c>
      <c r="I423" s="303" t="s">
        <v>356</v>
      </c>
      <c r="J423" s="304"/>
      <c r="K423" s="304" t="s">
        <v>356</v>
      </c>
      <c r="L423" s="1869"/>
      <c r="M423" s="1871"/>
    </row>
    <row r="424" spans="1:13" x14ac:dyDescent="0.2">
      <c r="A424" s="59" t="str">
        <f>$E414</f>
        <v>RESIDENTIAL SERVICE CLASSIFICATION</v>
      </c>
      <c r="C424" s="390"/>
      <c r="D424" s="69" t="s">
        <v>357</v>
      </c>
      <c r="E424" s="348"/>
      <c r="F424" s="374">
        <v>19.920000000000002</v>
      </c>
      <c r="G424" s="330">
        <v>1</v>
      </c>
      <c r="H424" s="375">
        <f>G424*F424</f>
        <v>19.920000000000002</v>
      </c>
      <c r="I424" s="376">
        <v>25.6</v>
      </c>
      <c r="J424" s="357">
        <f>G424</f>
        <v>1</v>
      </c>
      <c r="K424" s="375">
        <f>J424*I424</f>
        <v>25.6</v>
      </c>
      <c r="L424" s="358">
        <f t="shared" ref="L424:L444" si="62">K424-H424</f>
        <v>5.68</v>
      </c>
      <c r="M424" s="377">
        <f>IF(ISERROR(L424/H424), "", L424/H424)</f>
        <v>0.28514056224899592</v>
      </c>
    </row>
    <row r="425" spans="1:13" x14ac:dyDescent="0.2">
      <c r="A425" s="59" t="str">
        <f>A424</f>
        <v>RESIDENTIAL SERVICE CLASSIFICATION</v>
      </c>
      <c r="C425" s="390"/>
      <c r="D425" s="69" t="s">
        <v>84</v>
      </c>
      <c r="E425" s="348"/>
      <c r="F425" s="354">
        <v>8.2000000000000007E-3</v>
      </c>
      <c r="G425" s="330">
        <f>IF($E417&gt;0, $E417, $E416)</f>
        <v>750</v>
      </c>
      <c r="H425" s="375">
        <f t="shared" ref="H425:H437" si="63">G425*F425</f>
        <v>6.15</v>
      </c>
      <c r="I425" s="351">
        <v>0</v>
      </c>
      <c r="J425" s="357">
        <f>IF($E417&gt;0, $E417, $E416)</f>
        <v>750</v>
      </c>
      <c r="K425" s="375">
        <f>J425*I425</f>
        <v>0</v>
      </c>
      <c r="L425" s="358">
        <f t="shared" si="62"/>
        <v>-6.15</v>
      </c>
      <c r="M425" s="377">
        <f t="shared" ref="M425:M435" si="64">IF(ISERROR(L425/H425), "", L425/H425)</f>
        <v>-1</v>
      </c>
    </row>
    <row r="426" spans="1:13" hidden="1" x14ac:dyDescent="0.2">
      <c r="A426" s="59" t="str">
        <f t="shared" ref="A426:A467" si="65">A425</f>
        <v>RESIDENTIAL SERVICE CLASSIFICATION</v>
      </c>
      <c r="C426" s="390"/>
      <c r="D426" s="69" t="s">
        <v>5950</v>
      </c>
      <c r="E426" s="348"/>
      <c r="F426" s="354"/>
      <c r="G426" s="330">
        <f>IF($E417&gt;0, $E417, $E416)</f>
        <v>750</v>
      </c>
      <c r="H426" s="375">
        <v>0</v>
      </c>
      <c r="I426" s="351"/>
      <c r="J426" s="357">
        <f>IF($E417&gt;0, $E417, $E416)</f>
        <v>750</v>
      </c>
      <c r="K426" s="375">
        <v>0</v>
      </c>
      <c r="L426" s="358"/>
      <c r="M426" s="377"/>
    </row>
    <row r="427" spans="1:13" hidden="1" x14ac:dyDescent="0.2">
      <c r="A427" s="59" t="str">
        <f t="shared" si="65"/>
        <v>RESIDENTIAL SERVICE CLASSIFICATION</v>
      </c>
      <c r="C427" s="390"/>
      <c r="D427" s="69" t="s">
        <v>4872</v>
      </c>
      <c r="E427" s="348"/>
      <c r="F427" s="354"/>
      <c r="G427" s="330">
        <f>IF($E417&gt;0, $E417, $E416)</f>
        <v>750</v>
      </c>
      <c r="H427" s="375">
        <v>0</v>
      </c>
      <c r="I427" s="351"/>
      <c r="J427" s="330">
        <f>IF($E417&gt;0, $E417, $E416)</f>
        <v>750</v>
      </c>
      <c r="K427" s="375">
        <v>0</v>
      </c>
      <c r="L427" s="358">
        <f>K427-H427</f>
        <v>0</v>
      </c>
      <c r="M427" s="377" t="str">
        <f>IF(ISERROR(L427/H427), "", L427/H427)</f>
        <v/>
      </c>
    </row>
    <row r="428" spans="1:13" x14ac:dyDescent="0.2">
      <c r="A428" s="59" t="str">
        <f t="shared" si="65"/>
        <v>RESIDENTIAL SERVICE CLASSIFICATION</v>
      </c>
      <c r="C428" s="390"/>
      <c r="D428" s="70" t="s">
        <v>367</v>
      </c>
      <c r="E428" s="348"/>
      <c r="F428" s="374">
        <v>0.52</v>
      </c>
      <c r="G428" s="330">
        <v>1</v>
      </c>
      <c r="H428" s="375">
        <f t="shared" si="63"/>
        <v>0.52</v>
      </c>
      <c r="I428" s="376">
        <v>0.52</v>
      </c>
      <c r="J428" s="357">
        <f>G428</f>
        <v>1</v>
      </c>
      <c r="K428" s="375">
        <f t="shared" ref="K428:K435" si="66">J428*I428</f>
        <v>0.52</v>
      </c>
      <c r="L428" s="358">
        <f t="shared" si="62"/>
        <v>0</v>
      </c>
      <c r="M428" s="377">
        <f t="shared" si="64"/>
        <v>0</v>
      </c>
    </row>
    <row r="429" spans="1:13" x14ac:dyDescent="0.2">
      <c r="A429" s="59" t="str">
        <f t="shared" si="65"/>
        <v>RESIDENTIAL SERVICE CLASSIFICATION</v>
      </c>
      <c r="C429" s="390"/>
      <c r="D429" s="69" t="s">
        <v>368</v>
      </c>
      <c r="E429" s="348"/>
      <c r="F429" s="354">
        <v>2.0000000000000001E-4</v>
      </c>
      <c r="G429" s="330">
        <f>IF($E417&gt;0, $E417, $E416)</f>
        <v>750</v>
      </c>
      <c r="H429" s="375">
        <f t="shared" si="63"/>
        <v>0.15</v>
      </c>
      <c r="I429" s="351">
        <v>2.9999999999999997E-4</v>
      </c>
      <c r="J429" s="357">
        <f>IF($E417&gt;0, $E417, $E416)</f>
        <v>750</v>
      </c>
      <c r="K429" s="375">
        <f t="shared" si="66"/>
        <v>0.22499999999999998</v>
      </c>
      <c r="L429" s="358">
        <f t="shared" si="62"/>
        <v>7.4999999999999983E-2</v>
      </c>
      <c r="M429" s="377">
        <f t="shared" si="64"/>
        <v>0.49999999999999989</v>
      </c>
    </row>
    <row r="430" spans="1:13" x14ac:dyDescent="0.2">
      <c r="A430" s="59" t="str">
        <f t="shared" si="65"/>
        <v>RESIDENTIAL SERVICE CLASSIFICATION</v>
      </c>
      <c r="B430" s="306" t="s">
        <v>1654</v>
      </c>
      <c r="C430" s="390">
        <f>B36</f>
        <v>7</v>
      </c>
      <c r="D430" s="307" t="s">
        <v>358</v>
      </c>
      <c r="E430" s="308"/>
      <c r="F430" s="378"/>
      <c r="G430" s="898"/>
      <c r="H430" s="899">
        <f>SUM(H424:H429)</f>
        <v>26.74</v>
      </c>
      <c r="I430" s="379"/>
      <c r="J430" s="315"/>
      <c r="K430" s="899">
        <f>SUM(K424:K429)</f>
        <v>26.345000000000002</v>
      </c>
      <c r="L430" s="309">
        <f t="shared" si="62"/>
        <v>-0.39499999999999602</v>
      </c>
      <c r="M430" s="310">
        <f>IF((H430)=0,"",(L430/H430))</f>
        <v>-1.4771877337322216E-2</v>
      </c>
    </row>
    <row r="431" spans="1:13" x14ac:dyDescent="0.2">
      <c r="A431" s="59" t="str">
        <f t="shared" si="65"/>
        <v>RESIDENTIAL SERVICE CLASSIFICATION</v>
      </c>
      <c r="C431" s="390"/>
      <c r="D431" s="73" t="s">
        <v>430</v>
      </c>
      <c r="E431" s="348"/>
      <c r="F431" s="354">
        <f>IF((E416*12&gt;=150000), 0, IF(E415="RPP",(F447*0.65+F448*0.17+F449*0.18),IF(E415="Non-RPP (Retailer)",F450,F451)))</f>
        <v>0.1101</v>
      </c>
      <c r="G431" s="361">
        <f>IF(F431=0, 0, $E416*E418-E416)</f>
        <v>61.425000000000068</v>
      </c>
      <c r="H431" s="375">
        <f>G431*F431</f>
        <v>6.7628925000000075</v>
      </c>
      <c r="I431" s="351">
        <f>IF((E416*12&gt;=150000), 0, IF(E415="RPP",(I447*0.65+I448*0.17+I449*0.18),IF(E415="Non-RPP (Retailer)",I450,I451)))</f>
        <v>0.1101</v>
      </c>
      <c r="J431" s="361">
        <f>IF(I431=0, 0, E416*E419-E416)</f>
        <v>61.425000000000068</v>
      </c>
      <c r="K431" s="375">
        <f>J431*I431</f>
        <v>6.7628925000000075</v>
      </c>
      <c r="L431" s="358">
        <f>K431-H431</f>
        <v>0</v>
      </c>
      <c r="M431" s="377">
        <f>IF(ISERROR(L431/H431), "", L431/H431)</f>
        <v>0</v>
      </c>
    </row>
    <row r="432" spans="1:13" ht="25.5" x14ac:dyDescent="0.2">
      <c r="A432" s="59" t="str">
        <f t="shared" si="65"/>
        <v>RESIDENTIAL SERVICE CLASSIFICATION</v>
      </c>
      <c r="C432" s="390"/>
      <c r="D432" s="73" t="s">
        <v>366</v>
      </c>
      <c r="E432" s="348"/>
      <c r="F432" s="354">
        <v>-2.0999999999999999E-3</v>
      </c>
      <c r="G432" s="362">
        <f>IF($E417&gt;0, $E417, $E416)</f>
        <v>750</v>
      </c>
      <c r="H432" s="375">
        <f t="shared" si="63"/>
        <v>-1.575</v>
      </c>
      <c r="I432" s="351">
        <v>-1.8E-3</v>
      </c>
      <c r="J432" s="362">
        <f>IF($E417&gt;0, $E417, $E416)</f>
        <v>750</v>
      </c>
      <c r="K432" s="375">
        <f t="shared" si="66"/>
        <v>-1.3499999999999999</v>
      </c>
      <c r="L432" s="358">
        <f t="shared" si="62"/>
        <v>0.22500000000000009</v>
      </c>
      <c r="M432" s="377">
        <f t="shared" si="64"/>
        <v>-0.1428571428571429</v>
      </c>
    </row>
    <row r="433" spans="1:13" x14ac:dyDescent="0.2">
      <c r="A433" s="59" t="str">
        <f t="shared" si="65"/>
        <v>RESIDENTIAL SERVICE CLASSIFICATION</v>
      </c>
      <c r="C433" s="390"/>
      <c r="D433" s="73" t="s">
        <v>2885</v>
      </c>
      <c r="E433" s="348"/>
      <c r="F433" s="354">
        <v>0</v>
      </c>
      <c r="G433" s="362">
        <f>IF($E417&gt;0, $E417, $E416)</f>
        <v>750</v>
      </c>
      <c r="H433" s="375">
        <f>G433*F433</f>
        <v>0</v>
      </c>
      <c r="I433" s="351">
        <v>0</v>
      </c>
      <c r="J433" s="362">
        <f>IF($E417&gt;0, $E417, $E416)</f>
        <v>750</v>
      </c>
      <c r="K433" s="375">
        <f>J433*I433</f>
        <v>0</v>
      </c>
      <c r="L433" s="358">
        <f t="shared" si="62"/>
        <v>0</v>
      </c>
      <c r="M433" s="377" t="str">
        <f t="shared" si="64"/>
        <v/>
      </c>
    </row>
    <row r="434" spans="1:13" x14ac:dyDescent="0.2">
      <c r="A434" s="59" t="str">
        <f t="shared" si="65"/>
        <v>RESIDENTIAL SERVICE CLASSIFICATION</v>
      </c>
      <c r="C434" s="390"/>
      <c r="D434" s="73" t="s">
        <v>2281</v>
      </c>
      <c r="E434" s="348"/>
      <c r="F434" s="354">
        <v>6.9999999999999999E-4</v>
      </c>
      <c r="G434" s="362">
        <f>E416</f>
        <v>750</v>
      </c>
      <c r="H434" s="375">
        <f>G434*F434</f>
        <v>0.52500000000000002</v>
      </c>
      <c r="I434" s="351">
        <v>2E-3</v>
      </c>
      <c r="J434" s="362">
        <f>E416</f>
        <v>750</v>
      </c>
      <c r="K434" s="375">
        <f t="shared" si="66"/>
        <v>1.5</v>
      </c>
      <c r="L434" s="358">
        <f t="shared" si="62"/>
        <v>0.97499999999999998</v>
      </c>
      <c r="M434" s="377">
        <f t="shared" si="64"/>
        <v>1.857142857142857</v>
      </c>
    </row>
    <row r="435" spans="1:13" x14ac:dyDescent="0.2">
      <c r="A435" s="59" t="str">
        <f t="shared" si="65"/>
        <v>RESIDENTIAL SERVICE CLASSIFICATION</v>
      </c>
      <c r="C435" s="390"/>
      <c r="D435" s="75" t="s">
        <v>145</v>
      </c>
      <c r="E435" s="348"/>
      <c r="F435" s="354">
        <v>4.8999999999999998E-3</v>
      </c>
      <c r="G435" s="362">
        <f>IF($E417&gt;0, $E417, $E416)</f>
        <v>750</v>
      </c>
      <c r="H435" s="375">
        <f t="shared" si="63"/>
        <v>3.6749999999999998</v>
      </c>
      <c r="I435" s="351">
        <v>4.8999999999999998E-3</v>
      </c>
      <c r="J435" s="362">
        <f>IF($E417&gt;0, $E417, $E416)</f>
        <v>750</v>
      </c>
      <c r="K435" s="375">
        <f t="shared" si="66"/>
        <v>3.6749999999999998</v>
      </c>
      <c r="L435" s="358">
        <f t="shared" si="62"/>
        <v>0</v>
      </c>
      <c r="M435" s="377">
        <f t="shared" si="64"/>
        <v>0</v>
      </c>
    </row>
    <row r="436" spans="1:13" ht="25.5" x14ac:dyDescent="0.2">
      <c r="A436" s="59" t="str">
        <f t="shared" si="65"/>
        <v>RESIDENTIAL SERVICE CLASSIFICATION</v>
      </c>
      <c r="C436" s="390"/>
      <c r="D436" s="429" t="s">
        <v>5951</v>
      </c>
      <c r="E436" s="348"/>
      <c r="F436" s="1001">
        <f>IF(OR(ISNUMBER(SEARCH("RESIDENTIAL", E414))=TRUE, ISNUMBER(SEARCH("GENERAL SERVICE LESS THAN 50", E414))=TRUE), SME, 0)</f>
        <v>0.56999999999999995</v>
      </c>
      <c r="G436" s="330">
        <v>1</v>
      </c>
      <c r="H436" s="375">
        <f>G436*F436</f>
        <v>0.56999999999999995</v>
      </c>
      <c r="I436" s="1002">
        <f>IF(OR(ISNUMBER(SEARCH("RESIDENTIAL", E414))=TRUE, ISNUMBER(SEARCH("GENERAL SERVICE LESS THAN 50", E414))=TRUE), SME, 0)</f>
        <v>0.56999999999999995</v>
      </c>
      <c r="J436" s="330">
        <v>1</v>
      </c>
      <c r="K436" s="375">
        <f>J436*I436</f>
        <v>0.56999999999999995</v>
      </c>
      <c r="L436" s="358">
        <f t="shared" si="62"/>
        <v>0</v>
      </c>
      <c r="M436" s="377">
        <f>IF(ISERROR(L436/H436), "", L436/H436)</f>
        <v>0</v>
      </c>
    </row>
    <row r="437" spans="1:13" x14ac:dyDescent="0.2">
      <c r="A437" s="59" t="str">
        <f t="shared" si="65"/>
        <v>RESIDENTIAL SERVICE CLASSIFICATION</v>
      </c>
      <c r="C437" s="390"/>
      <c r="D437" s="75" t="s">
        <v>4871</v>
      </c>
      <c r="E437" s="348"/>
      <c r="F437" s="374">
        <v>0</v>
      </c>
      <c r="G437" s="330">
        <v>1</v>
      </c>
      <c r="H437" s="375">
        <f t="shared" si="63"/>
        <v>0</v>
      </c>
      <c r="I437" s="376">
        <v>0</v>
      </c>
      <c r="J437" s="330">
        <v>1</v>
      </c>
      <c r="K437" s="375">
        <f>J437*I437</f>
        <v>0</v>
      </c>
      <c r="L437" s="358">
        <f>K437-H437</f>
        <v>0</v>
      </c>
      <c r="M437" s="377" t="str">
        <f>IF(ISERROR(L437/H437), "", L437/H437)</f>
        <v/>
      </c>
    </row>
    <row r="438" spans="1:13" x14ac:dyDescent="0.2">
      <c r="A438" s="59" t="str">
        <f t="shared" si="65"/>
        <v>RESIDENTIAL SERVICE CLASSIFICATION</v>
      </c>
      <c r="C438" s="390"/>
      <c r="D438" s="75" t="s">
        <v>4870</v>
      </c>
      <c r="E438" s="348"/>
      <c r="F438" s="354"/>
      <c r="G438" s="362">
        <f>IF($E417&gt;0, $E417, $E416)</f>
        <v>750</v>
      </c>
      <c r="H438" s="375">
        <f>G438*F438</f>
        <v>0</v>
      </c>
      <c r="I438" s="351">
        <v>0</v>
      </c>
      <c r="J438" s="362">
        <f>IF($E417&gt;0, $E417, $E416)</f>
        <v>750</v>
      </c>
      <c r="K438" s="375">
        <f>J438*I438</f>
        <v>0</v>
      </c>
      <c r="L438" s="358">
        <f t="shared" si="62"/>
        <v>0</v>
      </c>
      <c r="M438" s="377" t="str">
        <f>IF(ISERROR(L438/H438), "", L438/H438)</f>
        <v/>
      </c>
    </row>
    <row r="439" spans="1:13" ht="25.5" x14ac:dyDescent="0.2">
      <c r="A439" s="59" t="str">
        <f t="shared" si="65"/>
        <v>RESIDENTIAL SERVICE CLASSIFICATION</v>
      </c>
      <c r="B439" s="1032" t="s">
        <v>1655</v>
      </c>
      <c r="C439" s="390">
        <f>B36</f>
        <v>7</v>
      </c>
      <c r="D439" s="312" t="s">
        <v>1686</v>
      </c>
      <c r="E439" s="313"/>
      <c r="F439" s="349"/>
      <c r="G439" s="359"/>
      <c r="H439" s="314">
        <f>SUM(H430:H438)</f>
        <v>36.697892500000009</v>
      </c>
      <c r="I439" s="350"/>
      <c r="J439" s="360"/>
      <c r="K439" s="314">
        <f>SUM(K430:K438)</f>
        <v>37.502892500000009</v>
      </c>
      <c r="L439" s="309">
        <f t="shared" si="62"/>
        <v>0.80499999999999972</v>
      </c>
      <c r="M439" s="310">
        <f>IF((H439)=0,"",(L439/H439))</f>
        <v>2.193586457314952E-2</v>
      </c>
    </row>
    <row r="440" spans="1:13" x14ac:dyDescent="0.2">
      <c r="A440" s="59" t="str">
        <f t="shared" si="65"/>
        <v>RESIDENTIAL SERVICE CLASSIFICATION</v>
      </c>
      <c r="C440" s="390"/>
      <c r="D440" s="77" t="s">
        <v>360</v>
      </c>
      <c r="E440" s="348"/>
      <c r="F440" s="354">
        <v>6.3E-3</v>
      </c>
      <c r="G440" s="361">
        <f>IF($E417&gt;0, $E417, $E416*$E418)</f>
        <v>811.42500000000007</v>
      </c>
      <c r="H440" s="375">
        <f>G440*F440</f>
        <v>5.1119775000000001</v>
      </c>
      <c r="I440" s="351">
        <v>6.4000000000000003E-3</v>
      </c>
      <c r="J440" s="361">
        <f>IF($E417&gt;0, $E417, $E416*$E419)</f>
        <v>811.42500000000007</v>
      </c>
      <c r="K440" s="375">
        <f>J440*I440</f>
        <v>5.1931200000000004</v>
      </c>
      <c r="L440" s="358">
        <f t="shared" si="62"/>
        <v>8.1142500000000339E-2</v>
      </c>
      <c r="M440" s="377">
        <f>IF(ISERROR(L440/H440), "", L440/H440)</f>
        <v>1.5873015873015938E-2</v>
      </c>
    </row>
    <row r="441" spans="1:13" ht="25.5" x14ac:dyDescent="0.2">
      <c r="A441" s="59" t="str">
        <f t="shared" si="65"/>
        <v>RESIDENTIAL SERVICE CLASSIFICATION</v>
      </c>
      <c r="C441" s="390"/>
      <c r="D441" s="189" t="s">
        <v>370</v>
      </c>
      <c r="E441" s="348"/>
      <c r="F441" s="354">
        <v>5.1000000000000004E-3</v>
      </c>
      <c r="G441" s="361">
        <f>IF($E417&gt;0, $E417, $E416*$E418)</f>
        <v>811.42500000000007</v>
      </c>
      <c r="H441" s="375">
        <f>G441*F441</f>
        <v>4.1382675000000004</v>
      </c>
      <c r="I441" s="351">
        <v>5.1000000000000004E-3</v>
      </c>
      <c r="J441" s="361">
        <f>IF($E417&gt;0, $E417, $E416*$E419)</f>
        <v>811.42500000000007</v>
      </c>
      <c r="K441" s="375">
        <f>J441*I441</f>
        <v>4.1382675000000004</v>
      </c>
      <c r="L441" s="358">
        <f t="shared" si="62"/>
        <v>0</v>
      </c>
      <c r="M441" s="377">
        <f>IF(ISERROR(L441/H441), "", L441/H441)</f>
        <v>0</v>
      </c>
    </row>
    <row r="442" spans="1:13" ht="25.5" x14ac:dyDescent="0.2">
      <c r="A442" s="59" t="str">
        <f t="shared" si="65"/>
        <v>RESIDENTIAL SERVICE CLASSIFICATION</v>
      </c>
      <c r="B442" s="1032" t="s">
        <v>1656</v>
      </c>
      <c r="C442" s="390">
        <f>B36</f>
        <v>7</v>
      </c>
      <c r="D442" s="312" t="s">
        <v>1687</v>
      </c>
      <c r="E442" s="308"/>
      <c r="F442" s="349"/>
      <c r="G442" s="359"/>
      <c r="H442" s="314">
        <f>SUM(H439:H441)</f>
        <v>45.948137500000009</v>
      </c>
      <c r="I442" s="350"/>
      <c r="J442" s="315"/>
      <c r="K442" s="314">
        <f>SUM(K439:K441)</f>
        <v>46.834280000000007</v>
      </c>
      <c r="L442" s="309">
        <f t="shared" si="62"/>
        <v>0.88614249999999828</v>
      </c>
      <c r="M442" s="310">
        <f>IF((H442)=0,"",(L442/H442))</f>
        <v>1.9285710982300384E-2</v>
      </c>
    </row>
    <row r="443" spans="1:13" ht="25.5" x14ac:dyDescent="0.2">
      <c r="A443" s="59" t="str">
        <f t="shared" si="65"/>
        <v>RESIDENTIAL SERVICE CLASSIFICATION</v>
      </c>
      <c r="C443" s="390"/>
      <c r="D443" s="316" t="s">
        <v>361</v>
      </c>
      <c r="E443" s="348"/>
      <c r="F443" s="354">
        <v>3.6000000000000003E-3</v>
      </c>
      <c r="G443" s="361">
        <f>E416*E418</f>
        <v>811.42500000000007</v>
      </c>
      <c r="H443" s="363">
        <f t="shared" ref="H443:H449" si="67">G443*F443</f>
        <v>2.9211300000000007</v>
      </c>
      <c r="I443" s="351">
        <v>3.6000000000000003E-3</v>
      </c>
      <c r="J443" s="361">
        <f>E416*E419</f>
        <v>811.42500000000007</v>
      </c>
      <c r="K443" s="363">
        <f t="shared" ref="K443:K449" si="68">J443*I443</f>
        <v>2.9211300000000007</v>
      </c>
      <c r="L443" s="358">
        <f t="shared" si="62"/>
        <v>0</v>
      </c>
      <c r="M443" s="377">
        <f t="shared" ref="M443:M451" si="69">IF(ISERROR(L443/H443), "", L443/H443)</f>
        <v>0</v>
      </c>
    </row>
    <row r="444" spans="1:13" ht="25.5" x14ac:dyDescent="0.2">
      <c r="A444" s="59" t="str">
        <f t="shared" si="65"/>
        <v>RESIDENTIAL SERVICE CLASSIFICATION</v>
      </c>
      <c r="C444" s="390"/>
      <c r="D444" s="316" t="s">
        <v>362</v>
      </c>
      <c r="E444" s="348"/>
      <c r="F444" s="354">
        <f>'17. Regulatory Charges'!$D$16</f>
        <v>2.9999999999999997E-4</v>
      </c>
      <c r="G444" s="361">
        <f>E416*E418</f>
        <v>811.42500000000007</v>
      </c>
      <c r="H444" s="363">
        <f t="shared" si="67"/>
        <v>0.24342749999999999</v>
      </c>
      <c r="I444" s="351">
        <v>2.9999999999999997E-4</v>
      </c>
      <c r="J444" s="361">
        <f>E416*E419</f>
        <v>811.42500000000007</v>
      </c>
      <c r="K444" s="363">
        <f t="shared" si="68"/>
        <v>0.24342749999999999</v>
      </c>
      <c r="L444" s="358">
        <f t="shared" si="62"/>
        <v>0</v>
      </c>
      <c r="M444" s="377">
        <f t="shared" si="69"/>
        <v>0</v>
      </c>
    </row>
    <row r="445" spans="1:13" x14ac:dyDescent="0.2">
      <c r="A445" s="59" t="str">
        <f t="shared" si="65"/>
        <v>RESIDENTIAL SERVICE CLASSIFICATION</v>
      </c>
      <c r="C445" s="390"/>
      <c r="D445" s="305" t="s">
        <v>363</v>
      </c>
      <c r="E445" s="348"/>
      <c r="F445" s="1614"/>
      <c r="G445" s="1615"/>
      <c r="H445" s="1616"/>
      <c r="I445" s="1617"/>
      <c r="J445" s="1618"/>
      <c r="K445" s="1616"/>
      <c r="L445" s="1619"/>
      <c r="M445" s="1620"/>
    </row>
    <row r="446" spans="1:13" ht="25.5" hidden="1" x14ac:dyDescent="0.2">
      <c r="A446" s="59" t="str">
        <f t="shared" si="65"/>
        <v>RESIDENTIAL SERVICE CLASSIFICATION</v>
      </c>
      <c r="C446" s="390"/>
      <c r="D446" s="316" t="s">
        <v>1688</v>
      </c>
      <c r="E446" s="348"/>
      <c r="F446" s="354"/>
      <c r="G446" s="361"/>
      <c r="H446" s="363"/>
      <c r="I446" s="351"/>
      <c r="J446" s="361"/>
      <c r="K446" s="363"/>
      <c r="L446" s="358"/>
      <c r="M446" s="377"/>
    </row>
    <row r="447" spans="1:13" hidden="1" x14ac:dyDescent="0.2">
      <c r="A447" s="59" t="str">
        <f t="shared" si="65"/>
        <v>RESIDENTIAL SERVICE CLASSIFICATION</v>
      </c>
      <c r="B447" s="1032" t="s">
        <v>1647</v>
      </c>
      <c r="C447" s="390"/>
      <c r="D447" s="311" t="s">
        <v>228</v>
      </c>
      <c r="E447" s="348"/>
      <c r="F447" s="355">
        <f>OffPeak</f>
        <v>6.5000000000000002E-2</v>
      </c>
      <c r="G447" s="317">
        <f>IF(AND(E416*12&gt;=150000),0.65*E416*E418,0.65*E416)</f>
        <v>487.5</v>
      </c>
      <c r="H447" s="363">
        <f t="shared" si="67"/>
        <v>31.6875</v>
      </c>
      <c r="I447" s="352">
        <f>OffPeak</f>
        <v>6.5000000000000002E-2</v>
      </c>
      <c r="J447" s="317">
        <f>IF(AND(E416*12&gt;=150000),0.65*E416*E419,0.65*E416)</f>
        <v>487.5</v>
      </c>
      <c r="K447" s="363">
        <f t="shared" si="68"/>
        <v>31.6875</v>
      </c>
      <c r="L447" s="358">
        <f>K447-H447</f>
        <v>0</v>
      </c>
      <c r="M447" s="377">
        <f t="shared" si="69"/>
        <v>0</v>
      </c>
    </row>
    <row r="448" spans="1:13" hidden="1" x14ac:dyDescent="0.2">
      <c r="A448" s="59" t="str">
        <f t="shared" si="65"/>
        <v>RESIDENTIAL SERVICE CLASSIFICATION</v>
      </c>
      <c r="B448" s="1032" t="s">
        <v>1647</v>
      </c>
      <c r="C448" s="390"/>
      <c r="D448" s="311" t="s">
        <v>229</v>
      </c>
      <c r="E448" s="348"/>
      <c r="F448" s="355">
        <f>MidPeak</f>
        <v>9.4E-2</v>
      </c>
      <c r="G448" s="317">
        <f>IF(AND(E416*12&gt;=150000),0.17*E416*E418,0.17*E416)</f>
        <v>127.50000000000001</v>
      </c>
      <c r="H448" s="363">
        <f t="shared" si="67"/>
        <v>11.985000000000001</v>
      </c>
      <c r="I448" s="352">
        <f>MidPeak</f>
        <v>9.4E-2</v>
      </c>
      <c r="J448" s="317">
        <f>IF(AND(E416*12&gt;=150000),0.17*E416*E419,0.17*E416)</f>
        <v>127.50000000000001</v>
      </c>
      <c r="K448" s="363">
        <f t="shared" si="68"/>
        <v>11.985000000000001</v>
      </c>
      <c r="L448" s="358">
        <f>K448-H448</f>
        <v>0</v>
      </c>
      <c r="M448" s="377">
        <f t="shared" si="69"/>
        <v>0</v>
      </c>
    </row>
    <row r="449" spans="1:13" hidden="1" x14ac:dyDescent="0.2">
      <c r="A449" s="59" t="str">
        <f t="shared" si="65"/>
        <v>RESIDENTIAL SERVICE CLASSIFICATION</v>
      </c>
      <c r="B449" s="1032" t="s">
        <v>1647</v>
      </c>
      <c r="C449" s="390"/>
      <c r="D449" s="1032" t="s">
        <v>230</v>
      </c>
      <c r="E449" s="348"/>
      <c r="F449" s="355">
        <f>OnPeak</f>
        <v>0.13200000000000001</v>
      </c>
      <c r="G449" s="317">
        <f>IF(AND(E416*12&gt;=150000),0.18*E416*E418,0.18*E416)</f>
        <v>135</v>
      </c>
      <c r="H449" s="363">
        <f t="shared" si="67"/>
        <v>17.82</v>
      </c>
      <c r="I449" s="352">
        <f>OnPeak</f>
        <v>0.13200000000000001</v>
      </c>
      <c r="J449" s="317">
        <f>IF(AND(E416*12&gt;=150000),0.18*E416*E419,0.18*E416)</f>
        <v>135</v>
      </c>
      <c r="K449" s="363">
        <f t="shared" si="68"/>
        <v>17.82</v>
      </c>
      <c r="L449" s="358">
        <f>K449-H449</f>
        <v>0</v>
      </c>
      <c r="M449" s="377">
        <f t="shared" si="69"/>
        <v>0</v>
      </c>
    </row>
    <row r="450" spans="1:13" ht="13.5" thickBot="1" x14ac:dyDescent="0.25">
      <c r="A450" s="59" t="str">
        <f t="shared" si="65"/>
        <v>RESIDENTIAL SERVICE CLASSIFICATION</v>
      </c>
      <c r="B450" s="59" t="s">
        <v>1648</v>
      </c>
      <c r="C450" s="390"/>
      <c r="D450" s="311" t="s">
        <v>1657</v>
      </c>
      <c r="E450" s="348"/>
      <c r="F450" s="356">
        <v>0.1101</v>
      </c>
      <c r="G450" s="317">
        <f>IF(AND(E416*12&gt;=150000),E416*E418,E416)</f>
        <v>750</v>
      </c>
      <c r="H450" s="363">
        <f>G450*F450</f>
        <v>82.575000000000003</v>
      </c>
      <c r="I450" s="353">
        <f>F450</f>
        <v>0.1101</v>
      </c>
      <c r="J450" s="317">
        <f>IF(AND(E416*12&gt;=150000),E416*E419,E416)</f>
        <v>750</v>
      </c>
      <c r="K450" s="363">
        <f>J450*I450</f>
        <v>82.575000000000003</v>
      </c>
      <c r="L450" s="358">
        <f>K450-H450</f>
        <v>0</v>
      </c>
      <c r="M450" s="377">
        <f t="shared" si="69"/>
        <v>0</v>
      </c>
    </row>
    <row r="451" spans="1:13" ht="13.5" hidden="1" thickBot="1" x14ac:dyDescent="0.25">
      <c r="A451" s="59" t="str">
        <f t="shared" si="65"/>
        <v>RESIDENTIAL SERVICE CLASSIFICATION</v>
      </c>
      <c r="B451" s="59" t="s">
        <v>1649</v>
      </c>
      <c r="C451" s="390"/>
      <c r="D451" s="311" t="s">
        <v>1658</v>
      </c>
      <c r="E451" s="348"/>
      <c r="F451" s="356">
        <v>0.1101</v>
      </c>
      <c r="G451" s="317">
        <f>IF(AND(E416*12&gt;=150000),E416*E418,E416)</f>
        <v>750</v>
      </c>
      <c r="H451" s="363">
        <f>G451*F451</f>
        <v>82.575000000000003</v>
      </c>
      <c r="I451" s="353">
        <f>F451</f>
        <v>0.1101</v>
      </c>
      <c r="J451" s="317">
        <f>IF(AND(E416*12&gt;=150000),E416*E419,E416)</f>
        <v>750</v>
      </c>
      <c r="K451" s="363">
        <f>J451*I451</f>
        <v>82.575000000000003</v>
      </c>
      <c r="L451" s="358">
        <f>K451-H451</f>
        <v>0</v>
      </c>
      <c r="M451" s="377">
        <f t="shared" si="69"/>
        <v>0</v>
      </c>
    </row>
    <row r="452" spans="1:13" ht="13.5" thickBot="1" x14ac:dyDescent="0.25">
      <c r="A452" s="59" t="str">
        <f t="shared" si="65"/>
        <v>RESIDENTIAL SERVICE CLASSIFICATION</v>
      </c>
      <c r="B452" s="1032"/>
      <c r="C452" s="390"/>
      <c r="D452" s="318"/>
      <c r="E452" s="319"/>
      <c r="F452" s="364"/>
      <c r="G452" s="236"/>
      <c r="H452" s="365"/>
      <c r="I452" s="364"/>
      <c r="J452" s="366"/>
      <c r="K452" s="365"/>
      <c r="L452" s="367"/>
      <c r="M452" s="239"/>
    </row>
    <row r="453" spans="1:13" hidden="1" x14ac:dyDescent="0.2">
      <c r="A453" s="59" t="str">
        <f t="shared" si="65"/>
        <v>RESIDENTIAL SERVICE CLASSIFICATION</v>
      </c>
      <c r="B453" s="1032" t="s">
        <v>1647</v>
      </c>
      <c r="C453" s="390"/>
      <c r="D453" s="322" t="s">
        <v>365</v>
      </c>
      <c r="E453" s="305"/>
      <c r="F453" s="337"/>
      <c r="G453" s="368"/>
      <c r="H453" s="323">
        <f>SUM(H443:H449,H442)</f>
        <v>110.60519500000001</v>
      </c>
      <c r="I453" s="324"/>
      <c r="J453" s="324"/>
      <c r="K453" s="323">
        <f>SUM(K443:K449,K442)</f>
        <v>111.49133750000001</v>
      </c>
      <c r="L453" s="325">
        <f>K453-H453</f>
        <v>0.88614250000000538</v>
      </c>
      <c r="M453" s="326">
        <f>IF((H453)=0,"",(L453/H453))</f>
        <v>8.0117620153375736E-3</v>
      </c>
    </row>
    <row r="454" spans="1:13" hidden="1" x14ac:dyDescent="0.2">
      <c r="A454" s="59" t="str">
        <f t="shared" si="65"/>
        <v>RESIDENTIAL SERVICE CLASSIFICATION</v>
      </c>
      <c r="B454" s="1032" t="s">
        <v>1647</v>
      </c>
      <c r="C454" s="390"/>
      <c r="D454" s="327" t="s">
        <v>152</v>
      </c>
      <c r="E454" s="305"/>
      <c r="F454" s="337">
        <v>0.13</v>
      </c>
      <c r="G454" s="369"/>
      <c r="H454" s="328">
        <f>H453*F454</f>
        <v>14.378675350000002</v>
      </c>
      <c r="I454" s="329">
        <v>0.13</v>
      </c>
      <c r="J454" s="330"/>
      <c r="K454" s="328">
        <f>K453*I454</f>
        <v>14.493873875000002</v>
      </c>
      <c r="L454" s="331">
        <f>K454-H454</f>
        <v>0.11519852500000027</v>
      </c>
      <c r="M454" s="332">
        <f>IF((H454)=0,"",(L454/H454))</f>
        <v>8.0117620153375441E-3</v>
      </c>
    </row>
    <row r="455" spans="1:13" hidden="1" x14ac:dyDescent="0.2">
      <c r="A455" s="59" t="str">
        <f t="shared" si="65"/>
        <v>RESIDENTIAL SERVICE CLASSIFICATION</v>
      </c>
      <c r="B455" s="1032" t="s">
        <v>1647</v>
      </c>
      <c r="C455" s="390"/>
      <c r="D455" s="327" t="s">
        <v>2904</v>
      </c>
      <c r="E455" s="305"/>
      <c r="F455" s="337">
        <v>0.08</v>
      </c>
      <c r="G455" s="369"/>
      <c r="H455" s="328">
        <f>H453*-F455</f>
        <v>-8.8484156000000009</v>
      </c>
      <c r="I455" s="337">
        <v>0.08</v>
      </c>
      <c r="J455" s="330"/>
      <c r="K455" s="328">
        <f>K453*-I455</f>
        <v>-8.9193070000000017</v>
      </c>
      <c r="L455" s="331">
        <f>K455-H455</f>
        <v>-7.0891400000000715E-2</v>
      </c>
      <c r="M455" s="332"/>
    </row>
    <row r="456" spans="1:13" ht="13.5" hidden="1" thickBot="1" x14ac:dyDescent="0.25">
      <c r="A456" s="59" t="str">
        <f t="shared" si="65"/>
        <v>RESIDENTIAL SERVICE CLASSIFICATION</v>
      </c>
      <c r="B456" s="1032" t="s">
        <v>1659</v>
      </c>
      <c r="C456" s="390"/>
      <c r="D456" s="1863" t="s">
        <v>1660</v>
      </c>
      <c r="E456" s="1863"/>
      <c r="F456" s="370"/>
      <c r="G456" s="371"/>
      <c r="H456" s="338">
        <f>H453+H454+H455</f>
        <v>116.13545475000002</v>
      </c>
      <c r="I456" s="334"/>
      <c r="J456" s="334"/>
      <c r="K456" s="333">
        <f>K453+K454+K455</f>
        <v>117.06590437500002</v>
      </c>
      <c r="L456" s="335">
        <f>K456-H456</f>
        <v>0.93044962499999428</v>
      </c>
      <c r="M456" s="336">
        <f>IF((H456)=0,"",(L456/H456))</f>
        <v>8.0117620153374747E-3</v>
      </c>
    </row>
    <row r="457" spans="1:13" ht="13.5" hidden="1" thickBot="1" x14ac:dyDescent="0.25">
      <c r="A457" s="59" t="str">
        <f t="shared" si="65"/>
        <v>RESIDENTIAL SERVICE CLASSIFICATION</v>
      </c>
      <c r="B457" s="59" t="s">
        <v>1647</v>
      </c>
      <c r="C457" s="390"/>
      <c r="D457" s="318"/>
      <c r="E457" s="319"/>
      <c r="F457" s="364"/>
      <c r="G457" s="236"/>
      <c r="H457" s="365"/>
      <c r="I457" s="364"/>
      <c r="J457" s="366"/>
      <c r="K457" s="365"/>
      <c r="L457" s="367"/>
      <c r="M457" s="239"/>
    </row>
    <row r="458" spans="1:13" x14ac:dyDescent="0.2">
      <c r="A458" s="59" t="str">
        <f t="shared" si="65"/>
        <v>RESIDENTIAL SERVICE CLASSIFICATION</v>
      </c>
      <c r="B458" s="59" t="s">
        <v>1648</v>
      </c>
      <c r="C458" s="390"/>
      <c r="D458" s="322" t="s">
        <v>1661</v>
      </c>
      <c r="E458" s="305"/>
      <c r="F458" s="337"/>
      <c r="G458" s="368"/>
      <c r="H458" s="323">
        <f>SUM(H450,H443:H446,H442)</f>
        <v>131.68769500000002</v>
      </c>
      <c r="I458" s="324"/>
      <c r="J458" s="324"/>
      <c r="K458" s="323">
        <f>SUM(K450,K443:K446,K442)</f>
        <v>132.57383750000002</v>
      </c>
      <c r="L458" s="325">
        <f>K458-H458</f>
        <v>0.88614250000000538</v>
      </c>
      <c r="M458" s="326">
        <f>IF((H458)=0,"",(L458/H458))</f>
        <v>6.7291215022026564E-3</v>
      </c>
    </row>
    <row r="459" spans="1:13" x14ac:dyDescent="0.2">
      <c r="A459" s="59" t="str">
        <f t="shared" si="65"/>
        <v>RESIDENTIAL SERVICE CLASSIFICATION</v>
      </c>
      <c r="B459" s="59" t="s">
        <v>1648</v>
      </c>
      <c r="C459" s="390"/>
      <c r="D459" s="327" t="s">
        <v>152</v>
      </c>
      <c r="E459" s="305"/>
      <c r="F459" s="337">
        <v>0.13</v>
      </c>
      <c r="G459" s="368"/>
      <c r="H459" s="328">
        <f>H458*F459</f>
        <v>17.119400350000003</v>
      </c>
      <c r="I459" s="337">
        <v>0.13</v>
      </c>
      <c r="J459" s="329"/>
      <c r="K459" s="328">
        <f>K458*I459</f>
        <v>17.234598875000003</v>
      </c>
      <c r="L459" s="331">
        <f>K459-H459</f>
        <v>0.11519852500000027</v>
      </c>
      <c r="M459" s="332">
        <f>IF((H459)=0,"",(L459/H459))</f>
        <v>6.7291215022026313E-3</v>
      </c>
    </row>
    <row r="460" spans="1:13" x14ac:dyDescent="0.2">
      <c r="A460" s="59" t="str">
        <f t="shared" si="65"/>
        <v>RESIDENTIAL SERVICE CLASSIFICATION</v>
      </c>
      <c r="B460" s="59" t="s">
        <v>1648</v>
      </c>
      <c r="C460" s="390"/>
      <c r="D460" s="327" t="s">
        <v>2904</v>
      </c>
      <c r="E460" s="305"/>
      <c r="F460" s="337">
        <v>0.08</v>
      </c>
      <c r="G460" s="368"/>
      <c r="H460" s="877"/>
      <c r="I460" s="337">
        <v>0.08</v>
      </c>
      <c r="J460" s="329"/>
      <c r="K460" s="877"/>
      <c r="L460" s="331"/>
      <c r="M460" s="332"/>
    </row>
    <row r="461" spans="1:13" ht="13.5" thickBot="1" x14ac:dyDescent="0.25">
      <c r="A461" s="59" t="str">
        <f t="shared" si="65"/>
        <v>RESIDENTIAL SERVICE CLASSIFICATION</v>
      </c>
      <c r="B461" s="59" t="s">
        <v>1662</v>
      </c>
      <c r="C461" s="390">
        <f>B36</f>
        <v>7</v>
      </c>
      <c r="D461" s="1863" t="s">
        <v>1661</v>
      </c>
      <c r="E461" s="1863"/>
      <c r="F461" s="372"/>
      <c r="G461" s="373"/>
      <c r="H461" s="338">
        <f>SUM(H458,H459)</f>
        <v>148.80709535000003</v>
      </c>
      <c r="I461" s="339"/>
      <c r="J461" s="339"/>
      <c r="K461" s="338">
        <f>SUM(K458,K459)</f>
        <v>149.80843637500004</v>
      </c>
      <c r="L461" s="340">
        <f>K461-H461</f>
        <v>1.0013410250000163</v>
      </c>
      <c r="M461" s="341">
        <f>IF((H461)=0,"",(L461/H461))</f>
        <v>6.729121502202725E-3</v>
      </c>
    </row>
    <row r="462" spans="1:13" ht="13.5" thickBot="1" x14ac:dyDescent="0.25">
      <c r="A462" s="59" t="str">
        <f t="shared" si="65"/>
        <v>RESIDENTIAL SERVICE CLASSIFICATION</v>
      </c>
      <c r="B462" s="59" t="s">
        <v>1648</v>
      </c>
      <c r="C462" s="390"/>
      <c r="D462" s="318"/>
      <c r="E462" s="319"/>
      <c r="F462" s="233"/>
      <c r="G462" s="234"/>
      <c r="H462" s="235"/>
      <c r="I462" s="233"/>
      <c r="J462" s="236"/>
      <c r="K462" s="235"/>
      <c r="L462" s="238"/>
      <c r="M462" s="239"/>
    </row>
    <row r="463" spans="1:13" hidden="1" x14ac:dyDescent="0.2">
      <c r="A463" s="59" t="str">
        <f t="shared" si="65"/>
        <v>RESIDENTIAL SERVICE CLASSIFICATION</v>
      </c>
      <c r="B463" s="59" t="s">
        <v>1649</v>
      </c>
      <c r="C463" s="390"/>
      <c r="D463" s="322" t="s">
        <v>1663</v>
      </c>
      <c r="E463" s="305"/>
      <c r="F463" s="337"/>
      <c r="G463" s="368"/>
      <c r="H463" s="323">
        <f>SUM(H451,H443:H446,H442)</f>
        <v>131.68769500000002</v>
      </c>
      <c r="I463" s="324"/>
      <c r="J463" s="324"/>
      <c r="K463" s="323">
        <f>SUM(K451,K443:K446,K442)</f>
        <v>132.57383750000002</v>
      </c>
      <c r="L463" s="325">
        <f>K463-H463</f>
        <v>0.88614250000000538</v>
      </c>
      <c r="M463" s="326">
        <f>IF((H463)=0,"",(L463/H463))</f>
        <v>6.7291215022026564E-3</v>
      </c>
    </row>
    <row r="464" spans="1:13" hidden="1" x14ac:dyDescent="0.2">
      <c r="A464" s="59" t="str">
        <f t="shared" si="65"/>
        <v>RESIDENTIAL SERVICE CLASSIFICATION</v>
      </c>
      <c r="B464" s="59" t="s">
        <v>1649</v>
      </c>
      <c r="C464" s="390"/>
      <c r="D464" s="327" t="s">
        <v>152</v>
      </c>
      <c r="E464" s="305"/>
      <c r="F464" s="337">
        <v>0.13</v>
      </c>
      <c r="G464" s="368"/>
      <c r="H464" s="328">
        <f>H463*F464</f>
        <v>17.119400350000003</v>
      </c>
      <c r="I464" s="337">
        <v>0.13</v>
      </c>
      <c r="J464" s="329"/>
      <c r="K464" s="328">
        <f>K463*I464</f>
        <v>17.234598875000003</v>
      </c>
      <c r="L464" s="331">
        <f>K464-H464</f>
        <v>0.11519852500000027</v>
      </c>
      <c r="M464" s="332">
        <f>IF((H464)=0,"",(L464/H464))</f>
        <v>6.7291215022026313E-3</v>
      </c>
    </row>
    <row r="465" spans="1:20" hidden="1" x14ac:dyDescent="0.2">
      <c r="A465" s="59" t="str">
        <f t="shared" si="65"/>
        <v>RESIDENTIAL SERVICE CLASSIFICATION</v>
      </c>
      <c r="B465" s="59" t="s">
        <v>1649</v>
      </c>
      <c r="C465" s="390"/>
      <c r="D465" s="327" t="s">
        <v>2904</v>
      </c>
      <c r="E465" s="305"/>
      <c r="F465" s="337">
        <v>0.08</v>
      </c>
      <c r="G465" s="368"/>
      <c r="H465" s="877"/>
      <c r="I465" s="337">
        <v>0.08</v>
      </c>
      <c r="J465" s="329"/>
      <c r="K465" s="877"/>
      <c r="L465" s="331"/>
      <c r="M465" s="332"/>
    </row>
    <row r="466" spans="1:20" ht="13.5" hidden="1" thickBot="1" x14ac:dyDescent="0.25">
      <c r="A466" s="59" t="str">
        <f t="shared" si="65"/>
        <v>RESIDENTIAL SERVICE CLASSIFICATION</v>
      </c>
      <c r="B466" s="59" t="s">
        <v>1664</v>
      </c>
      <c r="C466" s="390"/>
      <c r="D466" s="1863" t="s">
        <v>1663</v>
      </c>
      <c r="E466" s="1863"/>
      <c r="F466" s="372"/>
      <c r="G466" s="373"/>
      <c r="H466" s="338">
        <f>SUM(H463,H464)</f>
        <v>148.80709535000003</v>
      </c>
      <c r="I466" s="339"/>
      <c r="J466" s="339"/>
      <c r="K466" s="338">
        <f>SUM(K463,K464)</f>
        <v>149.80843637500004</v>
      </c>
      <c r="L466" s="340">
        <f>K466-H466</f>
        <v>1.0013410250000163</v>
      </c>
      <c r="M466" s="341">
        <f>IF((H466)=0,"",(L466/H466))</f>
        <v>6.729121502202725E-3</v>
      </c>
    </row>
    <row r="467" spans="1:20" ht="13.5" hidden="1" thickBot="1" x14ac:dyDescent="0.25">
      <c r="A467" s="59" t="str">
        <f t="shared" si="65"/>
        <v>RESIDENTIAL SERVICE CLASSIFICATION</v>
      </c>
      <c r="B467" s="59" t="s">
        <v>1649</v>
      </c>
      <c r="C467" s="390"/>
      <c r="D467" s="318"/>
      <c r="E467" s="319"/>
      <c r="F467" s="342"/>
      <c r="G467" s="343"/>
      <c r="H467" s="344"/>
      <c r="I467" s="342"/>
      <c r="J467" s="320"/>
      <c r="K467" s="344"/>
      <c r="L467" s="345"/>
      <c r="M467" s="321"/>
    </row>
    <row r="470" spans="1:20" x14ac:dyDescent="0.2">
      <c r="C470" s="59"/>
      <c r="D470" s="290" t="s">
        <v>1652</v>
      </c>
      <c r="E470" s="1872" t="str">
        <f>D37</f>
        <v>RESIDENTIAL SERVICE CLASSIFICATION</v>
      </c>
      <c r="F470" s="1872"/>
      <c r="G470" s="1872"/>
      <c r="H470" s="1872"/>
      <c r="I470" s="1872"/>
      <c r="J470" s="1872"/>
      <c r="K470" s="59" t="str">
        <f>IF(N37="DEMAND - INTERVAL","RTSR - INTERVAL METERED","")</f>
        <v/>
      </c>
      <c r="T470" s="59" t="s">
        <v>628</v>
      </c>
    </row>
    <row r="471" spans="1:20" x14ac:dyDescent="0.2">
      <c r="C471" s="59"/>
      <c r="D471" s="290" t="s">
        <v>1653</v>
      </c>
      <c r="E471" s="1873" t="str">
        <f>H37</f>
        <v>RPP</v>
      </c>
      <c r="F471" s="1873"/>
      <c r="G471" s="1873"/>
      <c r="H471" s="291"/>
      <c r="I471" s="291"/>
    </row>
    <row r="472" spans="1:20" ht="15.75" x14ac:dyDescent="0.2">
      <c r="C472" s="59"/>
      <c r="D472" s="290" t="s">
        <v>157</v>
      </c>
      <c r="E472" s="1613">
        <f>K37</f>
        <v>304</v>
      </c>
      <c r="F472" s="293" t="s">
        <v>158</v>
      </c>
      <c r="G472" s="1032"/>
      <c r="J472" s="294"/>
      <c r="K472" s="294"/>
      <c r="L472" s="294"/>
      <c r="M472" s="294"/>
    </row>
    <row r="473" spans="1:20" ht="15.75" x14ac:dyDescent="0.25">
      <c r="C473" s="59"/>
      <c r="D473" s="290" t="s">
        <v>369</v>
      </c>
      <c r="E473" s="1613">
        <f>L37</f>
        <v>0</v>
      </c>
      <c r="F473" s="295" t="s">
        <v>159</v>
      </c>
      <c r="G473" s="296"/>
      <c r="H473" s="297"/>
      <c r="I473" s="297"/>
      <c r="J473" s="297"/>
    </row>
    <row r="474" spans="1:20" x14ac:dyDescent="0.2">
      <c r="C474" s="59"/>
      <c r="D474" s="290" t="s">
        <v>1684</v>
      </c>
      <c r="E474" s="298">
        <f>I37</f>
        <v>1.0819000000000001</v>
      </c>
    </row>
    <row r="475" spans="1:20" x14ac:dyDescent="0.2">
      <c r="C475" s="59"/>
      <c r="D475" s="290" t="s">
        <v>1685</v>
      </c>
      <c r="E475" s="298">
        <f>J37</f>
        <v>1.0819000000000001</v>
      </c>
    </row>
    <row r="476" spans="1:20" x14ac:dyDescent="0.2">
      <c r="C476" s="59"/>
      <c r="D476" s="1032"/>
    </row>
    <row r="477" spans="1:20" x14ac:dyDescent="0.2">
      <c r="C477" s="59"/>
      <c r="D477" s="1032"/>
      <c r="E477" s="299"/>
      <c r="F477" s="1864" t="s">
        <v>2271</v>
      </c>
      <c r="G477" s="1874"/>
      <c r="H477" s="1865"/>
      <c r="I477" s="1864" t="s">
        <v>350</v>
      </c>
      <c r="J477" s="1874"/>
      <c r="K477" s="1865"/>
      <c r="L477" s="1864" t="s">
        <v>351</v>
      </c>
      <c r="M477" s="1865"/>
    </row>
    <row r="478" spans="1:20" x14ac:dyDescent="0.2">
      <c r="C478" s="59"/>
      <c r="D478" s="1032"/>
      <c r="E478" s="1866"/>
      <c r="F478" s="300" t="s">
        <v>352</v>
      </c>
      <c r="G478" s="300" t="s">
        <v>150</v>
      </c>
      <c r="H478" s="301" t="s">
        <v>353</v>
      </c>
      <c r="I478" s="300" t="s">
        <v>352</v>
      </c>
      <c r="J478" s="302" t="s">
        <v>150</v>
      </c>
      <c r="K478" s="301" t="s">
        <v>353</v>
      </c>
      <c r="L478" s="1868" t="s">
        <v>354</v>
      </c>
      <c r="M478" s="1870" t="s">
        <v>355</v>
      </c>
    </row>
    <row r="479" spans="1:20" x14ac:dyDescent="0.2">
      <c r="C479" s="59"/>
      <c r="D479" s="1032"/>
      <c r="E479" s="1867"/>
      <c r="F479" s="303" t="s">
        <v>356</v>
      </c>
      <c r="G479" s="303"/>
      <c r="H479" s="304" t="s">
        <v>356</v>
      </c>
      <c r="I479" s="303" t="s">
        <v>356</v>
      </c>
      <c r="J479" s="304"/>
      <c r="K479" s="304" t="s">
        <v>356</v>
      </c>
      <c r="L479" s="1869"/>
      <c r="M479" s="1871"/>
    </row>
    <row r="480" spans="1:20" x14ac:dyDescent="0.2">
      <c r="A480" s="59" t="str">
        <f>$E470</f>
        <v>RESIDENTIAL SERVICE CLASSIFICATION</v>
      </c>
      <c r="C480" s="390"/>
      <c r="D480" s="69" t="s">
        <v>357</v>
      </c>
      <c r="E480" s="348"/>
      <c r="F480" s="374">
        <v>19.920000000000002</v>
      </c>
      <c r="G480" s="330">
        <v>1</v>
      </c>
      <c r="H480" s="375">
        <f>G480*F480</f>
        <v>19.920000000000002</v>
      </c>
      <c r="I480" s="376">
        <v>25.6</v>
      </c>
      <c r="J480" s="357">
        <f>G480</f>
        <v>1</v>
      </c>
      <c r="K480" s="375">
        <f>J480*I480</f>
        <v>25.6</v>
      </c>
      <c r="L480" s="358">
        <f t="shared" ref="L480:L501" si="70">K480-H480</f>
        <v>5.68</v>
      </c>
      <c r="M480" s="377">
        <f>IF(ISERROR(L480/H480), "", L480/H480)</f>
        <v>0.28514056224899592</v>
      </c>
    </row>
    <row r="481" spans="1:13" x14ac:dyDescent="0.2">
      <c r="A481" s="59" t="str">
        <f>A480</f>
        <v>RESIDENTIAL SERVICE CLASSIFICATION</v>
      </c>
      <c r="C481" s="390"/>
      <c r="D481" s="69" t="s">
        <v>84</v>
      </c>
      <c r="E481" s="348"/>
      <c r="F481" s="354">
        <v>8.2000000000000007E-3</v>
      </c>
      <c r="G481" s="330">
        <f>IF($E473&gt;0, $E473, $E472)</f>
        <v>304</v>
      </c>
      <c r="H481" s="375">
        <f t="shared" ref="H481:H493" si="71">G481*F481</f>
        <v>2.4928000000000003</v>
      </c>
      <c r="I481" s="351">
        <v>0</v>
      </c>
      <c r="J481" s="357">
        <f>IF($E473&gt;0, $E473, $E472)</f>
        <v>304</v>
      </c>
      <c r="K481" s="375">
        <f>J481*I481</f>
        <v>0</v>
      </c>
      <c r="L481" s="358">
        <f t="shared" si="70"/>
        <v>-2.4928000000000003</v>
      </c>
      <c r="M481" s="377">
        <f t="shared" ref="M481:M491" si="72">IF(ISERROR(L481/H481), "", L481/H481)</f>
        <v>-1</v>
      </c>
    </row>
    <row r="482" spans="1:13" hidden="1" x14ac:dyDescent="0.2">
      <c r="A482" s="59" t="str">
        <f t="shared" ref="A482:A523" si="73">A481</f>
        <v>RESIDENTIAL SERVICE CLASSIFICATION</v>
      </c>
      <c r="C482" s="390"/>
      <c r="D482" s="69" t="s">
        <v>5950</v>
      </c>
      <c r="E482" s="348"/>
      <c r="F482" s="354"/>
      <c r="G482" s="330">
        <f>IF($E473&gt;0, $E473, $E472)</f>
        <v>304</v>
      </c>
      <c r="H482" s="375">
        <v>0</v>
      </c>
      <c r="I482" s="351"/>
      <c r="J482" s="357">
        <f>IF($E473&gt;0, $E473, $E472)</f>
        <v>304</v>
      </c>
      <c r="K482" s="375">
        <v>0</v>
      </c>
      <c r="L482" s="358"/>
      <c r="M482" s="377"/>
    </row>
    <row r="483" spans="1:13" hidden="1" x14ac:dyDescent="0.2">
      <c r="A483" s="59" t="str">
        <f t="shared" si="73"/>
        <v>RESIDENTIAL SERVICE CLASSIFICATION</v>
      </c>
      <c r="C483" s="390"/>
      <c r="D483" s="69" t="s">
        <v>4872</v>
      </c>
      <c r="E483" s="348"/>
      <c r="F483" s="354"/>
      <c r="G483" s="330">
        <f>IF($E473&gt;0, $E473, $E472)</f>
        <v>304</v>
      </c>
      <c r="H483" s="375">
        <v>0</v>
      </c>
      <c r="I483" s="351"/>
      <c r="J483" s="330">
        <f>IF($E473&gt;0, $E473, $E472)</f>
        <v>304</v>
      </c>
      <c r="K483" s="375">
        <v>0</v>
      </c>
      <c r="L483" s="358">
        <f>K483-H483</f>
        <v>0</v>
      </c>
      <c r="M483" s="377" t="str">
        <f>IF(ISERROR(L483/H483), "", L483/H483)</f>
        <v/>
      </c>
    </row>
    <row r="484" spans="1:13" x14ac:dyDescent="0.2">
      <c r="A484" s="59" t="str">
        <f t="shared" si="73"/>
        <v>RESIDENTIAL SERVICE CLASSIFICATION</v>
      </c>
      <c r="C484" s="390"/>
      <c r="D484" s="70" t="s">
        <v>367</v>
      </c>
      <c r="E484" s="348"/>
      <c r="F484" s="374">
        <v>0.52</v>
      </c>
      <c r="G484" s="330">
        <v>1</v>
      </c>
      <c r="H484" s="375">
        <f t="shared" si="71"/>
        <v>0.52</v>
      </c>
      <c r="I484" s="376">
        <v>0.52</v>
      </c>
      <c r="J484" s="357">
        <f>G484</f>
        <v>1</v>
      </c>
      <c r="K484" s="375">
        <f t="shared" ref="K484:K491" si="74">J484*I484</f>
        <v>0.52</v>
      </c>
      <c r="L484" s="358">
        <f t="shared" si="70"/>
        <v>0</v>
      </c>
      <c r="M484" s="377">
        <f t="shared" si="72"/>
        <v>0</v>
      </c>
    </row>
    <row r="485" spans="1:13" x14ac:dyDescent="0.2">
      <c r="A485" s="59" t="str">
        <f t="shared" si="73"/>
        <v>RESIDENTIAL SERVICE CLASSIFICATION</v>
      </c>
      <c r="C485" s="390"/>
      <c r="D485" s="69" t="s">
        <v>368</v>
      </c>
      <c r="E485" s="348"/>
      <c r="F485" s="354">
        <v>2.0000000000000001E-4</v>
      </c>
      <c r="G485" s="330">
        <f>IF($E473&gt;0, $E473, $E472)</f>
        <v>304</v>
      </c>
      <c r="H485" s="375">
        <f t="shared" si="71"/>
        <v>6.08E-2</v>
      </c>
      <c r="I485" s="351">
        <v>2.9999999999999997E-4</v>
      </c>
      <c r="J485" s="357">
        <f>IF($E473&gt;0, $E473, $E472)</f>
        <v>304</v>
      </c>
      <c r="K485" s="375">
        <f t="shared" si="74"/>
        <v>9.1199999999999989E-2</v>
      </c>
      <c r="L485" s="358">
        <f t="shared" si="70"/>
        <v>3.039999999999999E-2</v>
      </c>
      <c r="M485" s="377">
        <f t="shared" si="72"/>
        <v>0.49999999999999983</v>
      </c>
    </row>
    <row r="486" spans="1:13" x14ac:dyDescent="0.2">
      <c r="A486" s="59" t="str">
        <f t="shared" si="73"/>
        <v>RESIDENTIAL SERVICE CLASSIFICATION</v>
      </c>
      <c r="B486" s="306" t="s">
        <v>1654</v>
      </c>
      <c r="C486" s="390">
        <f>B37</f>
        <v>8</v>
      </c>
      <c r="D486" s="307" t="s">
        <v>358</v>
      </c>
      <c r="E486" s="308"/>
      <c r="F486" s="378"/>
      <c r="G486" s="898"/>
      <c r="H486" s="899">
        <f>SUM(H480:H485)</f>
        <v>22.993600000000001</v>
      </c>
      <c r="I486" s="379"/>
      <c r="J486" s="315"/>
      <c r="K486" s="899">
        <f>SUM(K480:K485)</f>
        <v>26.211200000000002</v>
      </c>
      <c r="L486" s="309">
        <f t="shared" si="70"/>
        <v>3.2176000000000009</v>
      </c>
      <c r="M486" s="310">
        <f>IF((H486)=0,"",(L486/H486))</f>
        <v>0.13993459049474641</v>
      </c>
    </row>
    <row r="487" spans="1:13" x14ac:dyDescent="0.2">
      <c r="A487" s="59" t="str">
        <f t="shared" si="73"/>
        <v>RESIDENTIAL SERVICE CLASSIFICATION</v>
      </c>
      <c r="C487" s="390"/>
      <c r="D487" s="73" t="s">
        <v>430</v>
      </c>
      <c r="E487" s="348"/>
      <c r="F487" s="354">
        <f>IF((E472*12&gt;=150000), 0, IF(E471="RPP",(F503*0.65+F504*0.17+F505*0.18),IF(E471="Non-RPP (Retailer)",F506,F507)))</f>
        <v>8.1990000000000007E-2</v>
      </c>
      <c r="G487" s="361">
        <f>IF(F487=0, 0, $E472*E474-E472)</f>
        <v>24.897600000000011</v>
      </c>
      <c r="H487" s="375">
        <f>G487*F487</f>
        <v>2.0413542240000013</v>
      </c>
      <c r="I487" s="351">
        <f>IF((E472*12&gt;=150000), 0, IF(E471="RPP",(I503*0.65+I504*0.17+I505*0.18),IF(E471="Non-RPP (Retailer)",I506,I507)))</f>
        <v>8.1990000000000007E-2</v>
      </c>
      <c r="J487" s="361">
        <f>IF(I487=0, 0, E472*E475-E472)</f>
        <v>24.897600000000011</v>
      </c>
      <c r="K487" s="375">
        <f>J487*I487</f>
        <v>2.0413542240000013</v>
      </c>
      <c r="L487" s="358">
        <f>K487-H487</f>
        <v>0</v>
      </c>
      <c r="M487" s="377">
        <f>IF(ISERROR(L487/H487), "", L487/H487)</f>
        <v>0</v>
      </c>
    </row>
    <row r="488" spans="1:13" ht="25.5" x14ac:dyDescent="0.2">
      <c r="A488" s="59" t="str">
        <f t="shared" si="73"/>
        <v>RESIDENTIAL SERVICE CLASSIFICATION</v>
      </c>
      <c r="C488" s="390"/>
      <c r="D488" s="73" t="s">
        <v>366</v>
      </c>
      <c r="E488" s="348"/>
      <c r="F488" s="354">
        <v>-2.0999999999999999E-3</v>
      </c>
      <c r="G488" s="362">
        <f>IF($E473&gt;0, $E473, $E472)</f>
        <v>304</v>
      </c>
      <c r="H488" s="375">
        <f t="shared" si="71"/>
        <v>-0.63839999999999997</v>
      </c>
      <c r="I488" s="351">
        <v>-1.8E-3</v>
      </c>
      <c r="J488" s="362">
        <f>IF($E473&gt;0, $E473, $E472)</f>
        <v>304</v>
      </c>
      <c r="K488" s="375">
        <f t="shared" si="74"/>
        <v>-0.54720000000000002</v>
      </c>
      <c r="L488" s="358">
        <f t="shared" si="70"/>
        <v>9.1199999999999948E-2</v>
      </c>
      <c r="M488" s="377">
        <f t="shared" si="72"/>
        <v>-0.14285714285714279</v>
      </c>
    </row>
    <row r="489" spans="1:13" x14ac:dyDescent="0.2">
      <c r="A489" s="59" t="str">
        <f t="shared" si="73"/>
        <v>RESIDENTIAL SERVICE CLASSIFICATION</v>
      </c>
      <c r="C489" s="390"/>
      <c r="D489" s="73" t="s">
        <v>2885</v>
      </c>
      <c r="E489" s="348"/>
      <c r="F489" s="354">
        <v>0</v>
      </c>
      <c r="G489" s="362">
        <f>IF($E473&gt;0, $E473, $E472)</f>
        <v>304</v>
      </c>
      <c r="H489" s="375">
        <f>G489*F489</f>
        <v>0</v>
      </c>
      <c r="I489" s="351">
        <v>0</v>
      </c>
      <c r="J489" s="362">
        <f>IF($E473&gt;0, $E473, $E472)</f>
        <v>304</v>
      </c>
      <c r="K489" s="375">
        <f>J489*I489</f>
        <v>0</v>
      </c>
      <c r="L489" s="358">
        <f t="shared" si="70"/>
        <v>0</v>
      </c>
      <c r="M489" s="377" t="str">
        <f t="shared" si="72"/>
        <v/>
      </c>
    </row>
    <row r="490" spans="1:13" x14ac:dyDescent="0.2">
      <c r="A490" s="59" t="str">
        <f t="shared" si="73"/>
        <v>RESIDENTIAL SERVICE CLASSIFICATION</v>
      </c>
      <c r="C490" s="390"/>
      <c r="D490" s="73" t="s">
        <v>2281</v>
      </c>
      <c r="E490" s="348"/>
      <c r="F490" s="354">
        <v>0</v>
      </c>
      <c r="G490" s="362">
        <f>E472</f>
        <v>304</v>
      </c>
      <c r="H490" s="375">
        <f>G490*F490</f>
        <v>0</v>
      </c>
      <c r="I490" s="351">
        <v>0</v>
      </c>
      <c r="J490" s="362">
        <f>E472</f>
        <v>304</v>
      </c>
      <c r="K490" s="375">
        <f t="shared" si="74"/>
        <v>0</v>
      </c>
      <c r="L490" s="358">
        <f t="shared" si="70"/>
        <v>0</v>
      </c>
      <c r="M490" s="377" t="str">
        <f t="shared" si="72"/>
        <v/>
      </c>
    </row>
    <row r="491" spans="1:13" x14ac:dyDescent="0.2">
      <c r="A491" s="59" t="str">
        <f t="shared" si="73"/>
        <v>RESIDENTIAL SERVICE CLASSIFICATION</v>
      </c>
      <c r="C491" s="390"/>
      <c r="D491" s="75" t="s">
        <v>145</v>
      </c>
      <c r="E491" s="348"/>
      <c r="F491" s="354">
        <v>4.8999999999999998E-3</v>
      </c>
      <c r="G491" s="362">
        <f>IF($E473&gt;0, $E473, $E472)</f>
        <v>304</v>
      </c>
      <c r="H491" s="375">
        <f t="shared" si="71"/>
        <v>1.4896</v>
      </c>
      <c r="I491" s="351">
        <v>4.8999999999999998E-3</v>
      </c>
      <c r="J491" s="362">
        <f>IF($E473&gt;0, $E473, $E472)</f>
        <v>304</v>
      </c>
      <c r="K491" s="375">
        <f t="shared" si="74"/>
        <v>1.4896</v>
      </c>
      <c r="L491" s="358">
        <f t="shared" si="70"/>
        <v>0</v>
      </c>
      <c r="M491" s="377">
        <f t="shared" si="72"/>
        <v>0</v>
      </c>
    </row>
    <row r="492" spans="1:13" ht="25.5" x14ac:dyDescent="0.2">
      <c r="A492" s="59" t="str">
        <f t="shared" si="73"/>
        <v>RESIDENTIAL SERVICE CLASSIFICATION</v>
      </c>
      <c r="C492" s="390"/>
      <c r="D492" s="429" t="s">
        <v>5951</v>
      </c>
      <c r="E492" s="348"/>
      <c r="F492" s="1001">
        <f>IF(OR(ISNUMBER(SEARCH("RESIDENTIAL", E470))=TRUE, ISNUMBER(SEARCH("GENERAL SERVICE LESS THAN 50", E470))=TRUE), SME, 0)</f>
        <v>0.56999999999999995</v>
      </c>
      <c r="G492" s="330">
        <v>1</v>
      </c>
      <c r="H492" s="375">
        <f>G492*F492</f>
        <v>0.56999999999999995</v>
      </c>
      <c r="I492" s="1002">
        <f>IF(OR(ISNUMBER(SEARCH("RESIDENTIAL", E470))=TRUE, ISNUMBER(SEARCH("GENERAL SERVICE LESS THAN 50", E470))=TRUE), SME, 0)</f>
        <v>0.56999999999999995</v>
      </c>
      <c r="J492" s="330">
        <v>1</v>
      </c>
      <c r="K492" s="375">
        <f>J492*I492</f>
        <v>0.56999999999999995</v>
      </c>
      <c r="L492" s="358">
        <f t="shared" si="70"/>
        <v>0</v>
      </c>
      <c r="M492" s="377">
        <f>IF(ISERROR(L492/H492), "", L492/H492)</f>
        <v>0</v>
      </c>
    </row>
    <row r="493" spans="1:13" x14ac:dyDescent="0.2">
      <c r="A493" s="59" t="str">
        <f t="shared" si="73"/>
        <v>RESIDENTIAL SERVICE CLASSIFICATION</v>
      </c>
      <c r="C493" s="390"/>
      <c r="D493" s="75" t="s">
        <v>4871</v>
      </c>
      <c r="E493" s="348"/>
      <c r="F493" s="374">
        <v>0</v>
      </c>
      <c r="G493" s="330">
        <v>1</v>
      </c>
      <c r="H493" s="375">
        <f t="shared" si="71"/>
        <v>0</v>
      </c>
      <c r="I493" s="376">
        <v>0</v>
      </c>
      <c r="J493" s="330">
        <v>1</v>
      </c>
      <c r="K493" s="375">
        <f>J493*I493</f>
        <v>0</v>
      </c>
      <c r="L493" s="358">
        <f>K493-H493</f>
        <v>0</v>
      </c>
      <c r="M493" s="377" t="str">
        <f>IF(ISERROR(L493/H493), "", L493/H493)</f>
        <v/>
      </c>
    </row>
    <row r="494" spans="1:13" x14ac:dyDescent="0.2">
      <c r="A494" s="59" t="str">
        <f t="shared" si="73"/>
        <v>RESIDENTIAL SERVICE CLASSIFICATION</v>
      </c>
      <c r="C494" s="390"/>
      <c r="D494" s="75" t="s">
        <v>4870</v>
      </c>
      <c r="E494" s="348"/>
      <c r="F494" s="354"/>
      <c r="G494" s="362">
        <f>IF($E473&gt;0, $E473, $E472)</f>
        <v>304</v>
      </c>
      <c r="H494" s="375">
        <f>G494*F494</f>
        <v>0</v>
      </c>
      <c r="I494" s="351">
        <v>0</v>
      </c>
      <c r="J494" s="362">
        <f>IF($E473&gt;0, $E473, $E472)</f>
        <v>304</v>
      </c>
      <c r="K494" s="375">
        <f>J494*I494</f>
        <v>0</v>
      </c>
      <c r="L494" s="358">
        <f t="shared" si="70"/>
        <v>0</v>
      </c>
      <c r="M494" s="377" t="str">
        <f>IF(ISERROR(L494/H494), "", L494/H494)</f>
        <v/>
      </c>
    </row>
    <row r="495" spans="1:13" ht="25.5" x14ac:dyDescent="0.2">
      <c r="A495" s="59" t="str">
        <f t="shared" si="73"/>
        <v>RESIDENTIAL SERVICE CLASSIFICATION</v>
      </c>
      <c r="B495" s="1032" t="s">
        <v>1655</v>
      </c>
      <c r="C495" s="390">
        <f>B37</f>
        <v>8</v>
      </c>
      <c r="D495" s="312" t="s">
        <v>1686</v>
      </c>
      <c r="E495" s="313"/>
      <c r="F495" s="349"/>
      <c r="G495" s="359"/>
      <c r="H495" s="314">
        <f>SUM(H486:H494)</f>
        <v>26.456154224000002</v>
      </c>
      <c r="I495" s="350"/>
      <c r="J495" s="360"/>
      <c r="K495" s="314">
        <f>SUM(K486:K494)</f>
        <v>29.764954224000004</v>
      </c>
      <c r="L495" s="309">
        <f t="shared" si="70"/>
        <v>3.3088000000000015</v>
      </c>
      <c r="M495" s="310">
        <f>IF((H495)=0,"",(L495/H495))</f>
        <v>0.12506730842226441</v>
      </c>
    </row>
    <row r="496" spans="1:13" x14ac:dyDescent="0.2">
      <c r="A496" s="59" t="str">
        <f t="shared" si="73"/>
        <v>RESIDENTIAL SERVICE CLASSIFICATION</v>
      </c>
      <c r="C496" s="390"/>
      <c r="D496" s="77" t="s">
        <v>360</v>
      </c>
      <c r="E496" s="348"/>
      <c r="F496" s="354">
        <v>6.3E-3</v>
      </c>
      <c r="G496" s="361">
        <f>IF($E473&gt;0, $E473, $E472*$E474)</f>
        <v>328.89760000000001</v>
      </c>
      <c r="H496" s="375">
        <f>G496*F496</f>
        <v>2.07205488</v>
      </c>
      <c r="I496" s="351">
        <v>6.4000000000000003E-3</v>
      </c>
      <c r="J496" s="361">
        <f>IF($E473&gt;0, $E473, $E472*$E475)</f>
        <v>328.89760000000001</v>
      </c>
      <c r="K496" s="375">
        <f>J496*I496</f>
        <v>2.1049446400000003</v>
      </c>
      <c r="L496" s="358">
        <f t="shared" si="70"/>
        <v>3.2889760000000212E-2</v>
      </c>
      <c r="M496" s="377">
        <f>IF(ISERROR(L496/H496), "", L496/H496)</f>
        <v>1.5873015873015976E-2</v>
      </c>
    </row>
    <row r="497" spans="1:13" ht="25.5" x14ac:dyDescent="0.2">
      <c r="A497" s="59" t="str">
        <f t="shared" si="73"/>
        <v>RESIDENTIAL SERVICE CLASSIFICATION</v>
      </c>
      <c r="C497" s="390"/>
      <c r="D497" s="189" t="s">
        <v>370</v>
      </c>
      <c r="E497" s="348"/>
      <c r="F497" s="354">
        <v>5.1000000000000004E-3</v>
      </c>
      <c r="G497" s="361">
        <f>IF($E473&gt;0, $E473, $E472*$E474)</f>
        <v>328.89760000000001</v>
      </c>
      <c r="H497" s="375">
        <f>G497*F497</f>
        <v>1.6773777600000002</v>
      </c>
      <c r="I497" s="351">
        <v>5.1000000000000004E-3</v>
      </c>
      <c r="J497" s="361">
        <f>IF($E473&gt;0, $E473, $E472*$E475)</f>
        <v>328.89760000000001</v>
      </c>
      <c r="K497" s="375">
        <f>J497*I497</f>
        <v>1.6773777600000002</v>
      </c>
      <c r="L497" s="358">
        <f t="shared" si="70"/>
        <v>0</v>
      </c>
      <c r="M497" s="377">
        <f>IF(ISERROR(L497/H497), "", L497/H497)</f>
        <v>0</v>
      </c>
    </row>
    <row r="498" spans="1:13" ht="25.5" x14ac:dyDescent="0.2">
      <c r="A498" s="59" t="str">
        <f t="shared" si="73"/>
        <v>RESIDENTIAL SERVICE CLASSIFICATION</v>
      </c>
      <c r="B498" s="1032" t="s">
        <v>1656</v>
      </c>
      <c r="C498" s="390">
        <f>B37</f>
        <v>8</v>
      </c>
      <c r="D498" s="312" t="s">
        <v>1687</v>
      </c>
      <c r="E498" s="308"/>
      <c r="F498" s="349"/>
      <c r="G498" s="359"/>
      <c r="H498" s="314">
        <f>SUM(H495:H497)</f>
        <v>30.205586864000001</v>
      </c>
      <c r="I498" s="350"/>
      <c r="J498" s="315"/>
      <c r="K498" s="314">
        <f>SUM(K495:K497)</f>
        <v>33.547276624000006</v>
      </c>
      <c r="L498" s="309">
        <f t="shared" si="70"/>
        <v>3.3416897600000048</v>
      </c>
      <c r="M498" s="310">
        <f>IF((H498)=0,"",(L498/H498))</f>
        <v>0.11063151247634719</v>
      </c>
    </row>
    <row r="499" spans="1:13" ht="25.5" x14ac:dyDescent="0.2">
      <c r="A499" s="59" t="str">
        <f t="shared" si="73"/>
        <v>RESIDENTIAL SERVICE CLASSIFICATION</v>
      </c>
      <c r="C499" s="390"/>
      <c r="D499" s="316" t="s">
        <v>361</v>
      </c>
      <c r="E499" s="348"/>
      <c r="F499" s="354">
        <v>3.6000000000000003E-3</v>
      </c>
      <c r="G499" s="361">
        <f>E472*E474</f>
        <v>328.89760000000001</v>
      </c>
      <c r="H499" s="363">
        <f t="shared" ref="H499:H505" si="75">G499*F499</f>
        <v>1.1840313600000001</v>
      </c>
      <c r="I499" s="351">
        <v>3.6000000000000003E-3</v>
      </c>
      <c r="J499" s="361">
        <f>E472*E475</f>
        <v>328.89760000000001</v>
      </c>
      <c r="K499" s="363">
        <f t="shared" ref="K499:K505" si="76">J499*I499</f>
        <v>1.1840313600000001</v>
      </c>
      <c r="L499" s="358">
        <f t="shared" si="70"/>
        <v>0</v>
      </c>
      <c r="M499" s="377">
        <f t="shared" ref="M499:M507" si="77">IF(ISERROR(L499/H499), "", L499/H499)</f>
        <v>0</v>
      </c>
    </row>
    <row r="500" spans="1:13" ht="25.5" x14ac:dyDescent="0.2">
      <c r="A500" s="59" t="str">
        <f t="shared" si="73"/>
        <v>RESIDENTIAL SERVICE CLASSIFICATION</v>
      </c>
      <c r="C500" s="390"/>
      <c r="D500" s="316" t="s">
        <v>362</v>
      </c>
      <c r="E500" s="348"/>
      <c r="F500" s="354">
        <f>'17. Regulatory Charges'!$D$16</f>
        <v>2.9999999999999997E-4</v>
      </c>
      <c r="G500" s="361">
        <f>E472*E474</f>
        <v>328.89760000000001</v>
      </c>
      <c r="H500" s="363">
        <f t="shared" si="75"/>
        <v>9.8669279999999998E-2</v>
      </c>
      <c r="I500" s="351">
        <v>2.9999999999999997E-4</v>
      </c>
      <c r="J500" s="361">
        <f>E472*E475</f>
        <v>328.89760000000001</v>
      </c>
      <c r="K500" s="363">
        <f t="shared" si="76"/>
        <v>9.8669279999999998E-2</v>
      </c>
      <c r="L500" s="358">
        <f t="shared" si="70"/>
        <v>0</v>
      </c>
      <c r="M500" s="377">
        <f t="shared" si="77"/>
        <v>0</v>
      </c>
    </row>
    <row r="501" spans="1:13" x14ac:dyDescent="0.2">
      <c r="A501" s="59" t="str">
        <f t="shared" si="73"/>
        <v>RESIDENTIAL SERVICE CLASSIFICATION</v>
      </c>
      <c r="C501" s="390"/>
      <c r="D501" s="305" t="s">
        <v>363</v>
      </c>
      <c r="E501" s="348"/>
      <c r="F501" s="1001">
        <v>0.25</v>
      </c>
      <c r="G501" s="330">
        <v>1</v>
      </c>
      <c r="H501" s="363">
        <f t="shared" si="75"/>
        <v>0.25</v>
      </c>
      <c r="I501" s="1002">
        <f>'17. Regulatory Charges'!$D$17</f>
        <v>0.25</v>
      </c>
      <c r="J501" s="357">
        <v>1</v>
      </c>
      <c r="K501" s="363">
        <f t="shared" si="76"/>
        <v>0.25</v>
      </c>
      <c r="L501" s="358">
        <f t="shared" si="70"/>
        <v>0</v>
      </c>
      <c r="M501" s="377">
        <f t="shared" si="77"/>
        <v>0</v>
      </c>
    </row>
    <row r="502" spans="1:13" ht="25.5" hidden="1" x14ac:dyDescent="0.2">
      <c r="A502" s="59" t="str">
        <f t="shared" si="73"/>
        <v>RESIDENTIAL SERVICE CLASSIFICATION</v>
      </c>
      <c r="C502" s="390"/>
      <c r="D502" s="316" t="s">
        <v>1688</v>
      </c>
      <c r="E502" s="348"/>
      <c r="F502" s="354"/>
      <c r="G502" s="361"/>
      <c r="H502" s="363"/>
      <c r="I502" s="351"/>
      <c r="J502" s="361"/>
      <c r="K502" s="363"/>
      <c r="L502" s="358"/>
      <c r="M502" s="377"/>
    </row>
    <row r="503" spans="1:13" x14ac:dyDescent="0.2">
      <c r="A503" s="59" t="str">
        <f t="shared" si="73"/>
        <v>RESIDENTIAL SERVICE CLASSIFICATION</v>
      </c>
      <c r="B503" s="1032" t="s">
        <v>1647</v>
      </c>
      <c r="C503" s="390"/>
      <c r="D503" s="311" t="s">
        <v>228</v>
      </c>
      <c r="E503" s="348"/>
      <c r="F503" s="355">
        <f>OffPeak</f>
        <v>6.5000000000000002E-2</v>
      </c>
      <c r="G503" s="317">
        <f>IF(AND(E472*12&gt;=150000),0.65*E472*E474,0.65*E472)</f>
        <v>197.6</v>
      </c>
      <c r="H503" s="363">
        <f t="shared" si="75"/>
        <v>12.843999999999999</v>
      </c>
      <c r="I503" s="352">
        <f>OffPeak</f>
        <v>6.5000000000000002E-2</v>
      </c>
      <c r="J503" s="317">
        <f>IF(AND(E472*12&gt;=150000),0.65*E472*E475,0.65*E472)</f>
        <v>197.6</v>
      </c>
      <c r="K503" s="363">
        <f t="shared" si="76"/>
        <v>12.843999999999999</v>
      </c>
      <c r="L503" s="358">
        <f>K503-H503</f>
        <v>0</v>
      </c>
      <c r="M503" s="377">
        <f t="shared" si="77"/>
        <v>0</v>
      </c>
    </row>
    <row r="504" spans="1:13" x14ac:dyDescent="0.2">
      <c r="A504" s="59" t="str">
        <f t="shared" si="73"/>
        <v>RESIDENTIAL SERVICE CLASSIFICATION</v>
      </c>
      <c r="B504" s="1032" t="s">
        <v>1647</v>
      </c>
      <c r="C504" s="390"/>
      <c r="D504" s="311" t="s">
        <v>229</v>
      </c>
      <c r="E504" s="348"/>
      <c r="F504" s="355">
        <f>MidPeak</f>
        <v>9.4E-2</v>
      </c>
      <c r="G504" s="317">
        <f>IF(AND(E472*12&gt;=150000),0.17*E472*E474,0.17*E472)</f>
        <v>51.680000000000007</v>
      </c>
      <c r="H504" s="363">
        <f t="shared" si="75"/>
        <v>4.8579200000000009</v>
      </c>
      <c r="I504" s="352">
        <f>MidPeak</f>
        <v>9.4E-2</v>
      </c>
      <c r="J504" s="317">
        <f>IF(AND(E472*12&gt;=150000),0.17*E472*E475,0.17*E472)</f>
        <v>51.680000000000007</v>
      </c>
      <c r="K504" s="363">
        <f t="shared" si="76"/>
        <v>4.8579200000000009</v>
      </c>
      <c r="L504" s="358">
        <f>K504-H504</f>
        <v>0</v>
      </c>
      <c r="M504" s="377">
        <f t="shared" si="77"/>
        <v>0</v>
      </c>
    </row>
    <row r="505" spans="1:13" ht="13.5" thickBot="1" x14ac:dyDescent="0.25">
      <c r="A505" s="59" t="str">
        <f t="shared" si="73"/>
        <v>RESIDENTIAL SERVICE CLASSIFICATION</v>
      </c>
      <c r="B505" s="1032" t="s">
        <v>1647</v>
      </c>
      <c r="C505" s="390"/>
      <c r="D505" s="1032" t="s">
        <v>230</v>
      </c>
      <c r="E505" s="348"/>
      <c r="F505" s="355">
        <f>OnPeak</f>
        <v>0.13200000000000001</v>
      </c>
      <c r="G505" s="317">
        <f>IF(AND(E472*12&gt;=150000),0.18*E472*E474,0.18*E472)</f>
        <v>54.72</v>
      </c>
      <c r="H505" s="363">
        <f t="shared" si="75"/>
        <v>7.2230400000000001</v>
      </c>
      <c r="I505" s="352">
        <f>OnPeak</f>
        <v>0.13200000000000001</v>
      </c>
      <c r="J505" s="317">
        <f>IF(AND(E472*12&gt;=150000),0.18*E472*E475,0.18*E472)</f>
        <v>54.72</v>
      </c>
      <c r="K505" s="363">
        <f t="shared" si="76"/>
        <v>7.2230400000000001</v>
      </c>
      <c r="L505" s="358">
        <f>K505-H505</f>
        <v>0</v>
      </c>
      <c r="M505" s="377">
        <f t="shared" si="77"/>
        <v>0</v>
      </c>
    </row>
    <row r="506" spans="1:13" hidden="1" x14ac:dyDescent="0.2">
      <c r="A506" s="59" t="str">
        <f t="shared" si="73"/>
        <v>RESIDENTIAL SERVICE CLASSIFICATION</v>
      </c>
      <c r="B506" s="59" t="s">
        <v>1648</v>
      </c>
      <c r="C506" s="390"/>
      <c r="D506" s="311" t="s">
        <v>1657</v>
      </c>
      <c r="E506" s="348"/>
      <c r="F506" s="356">
        <v>0.1101</v>
      </c>
      <c r="G506" s="317">
        <f>IF(AND(E472*12&gt;=150000),E472*E474,E472)</f>
        <v>304</v>
      </c>
      <c r="H506" s="363">
        <f>G506*F506</f>
        <v>33.470399999999998</v>
      </c>
      <c r="I506" s="353">
        <f>F506</f>
        <v>0.1101</v>
      </c>
      <c r="J506" s="317">
        <f>IF(AND(E472*12&gt;=150000),E472*E475,E472)</f>
        <v>304</v>
      </c>
      <c r="K506" s="363">
        <f>J506*I506</f>
        <v>33.470399999999998</v>
      </c>
      <c r="L506" s="358">
        <f>K506-H506</f>
        <v>0</v>
      </c>
      <c r="M506" s="377">
        <f t="shared" si="77"/>
        <v>0</v>
      </c>
    </row>
    <row r="507" spans="1:13" ht="13.5" hidden="1" thickBot="1" x14ac:dyDescent="0.25">
      <c r="A507" s="59" t="str">
        <f t="shared" si="73"/>
        <v>RESIDENTIAL SERVICE CLASSIFICATION</v>
      </c>
      <c r="B507" s="59" t="s">
        <v>1649</v>
      </c>
      <c r="C507" s="390"/>
      <c r="D507" s="311" t="s">
        <v>1658</v>
      </c>
      <c r="E507" s="348"/>
      <c r="F507" s="356">
        <v>0.1101</v>
      </c>
      <c r="G507" s="317">
        <f>IF(AND(E472*12&gt;=150000),E472*E474,E472)</f>
        <v>304</v>
      </c>
      <c r="H507" s="363">
        <f>G507*F507</f>
        <v>33.470399999999998</v>
      </c>
      <c r="I507" s="353">
        <f>F507</f>
        <v>0.1101</v>
      </c>
      <c r="J507" s="317">
        <f>IF(AND(E472*12&gt;=150000),E472*E475,E472)</f>
        <v>304</v>
      </c>
      <c r="K507" s="363">
        <f>J507*I507</f>
        <v>33.470399999999998</v>
      </c>
      <c r="L507" s="358">
        <f>K507-H507</f>
        <v>0</v>
      </c>
      <c r="M507" s="377">
        <f t="shared" si="77"/>
        <v>0</v>
      </c>
    </row>
    <row r="508" spans="1:13" ht="13.5" thickBot="1" x14ac:dyDescent="0.25">
      <c r="A508" s="59" t="str">
        <f t="shared" si="73"/>
        <v>RESIDENTIAL SERVICE CLASSIFICATION</v>
      </c>
      <c r="B508" s="1032"/>
      <c r="C508" s="390"/>
      <c r="D508" s="318"/>
      <c r="E508" s="319"/>
      <c r="F508" s="364"/>
      <c r="G508" s="236"/>
      <c r="H508" s="365"/>
      <c r="I508" s="364"/>
      <c r="J508" s="366"/>
      <c r="K508" s="365"/>
      <c r="L508" s="367"/>
      <c r="M508" s="239"/>
    </row>
    <row r="509" spans="1:13" x14ac:dyDescent="0.2">
      <c r="A509" s="59" t="str">
        <f t="shared" si="73"/>
        <v>RESIDENTIAL SERVICE CLASSIFICATION</v>
      </c>
      <c r="B509" s="1032" t="s">
        <v>1647</v>
      </c>
      <c r="C509" s="390"/>
      <c r="D509" s="322" t="s">
        <v>365</v>
      </c>
      <c r="E509" s="305"/>
      <c r="F509" s="337"/>
      <c r="G509" s="368"/>
      <c r="H509" s="323">
        <f>SUM(H499:H505,H498)</f>
        <v>56.663247503999997</v>
      </c>
      <c r="I509" s="324"/>
      <c r="J509" s="324"/>
      <c r="K509" s="323">
        <f>SUM(K499:K505,K498)</f>
        <v>60.004937264000006</v>
      </c>
      <c r="L509" s="325">
        <f>K509-H509</f>
        <v>3.3416897600000084</v>
      </c>
      <c r="M509" s="326">
        <f>IF((H509)=0,"",(L509/H509))</f>
        <v>5.8974554181069665E-2</v>
      </c>
    </row>
    <row r="510" spans="1:13" x14ac:dyDescent="0.2">
      <c r="A510" s="59" t="str">
        <f t="shared" si="73"/>
        <v>RESIDENTIAL SERVICE CLASSIFICATION</v>
      </c>
      <c r="B510" s="1032" t="s">
        <v>1647</v>
      </c>
      <c r="C510" s="390"/>
      <c r="D510" s="327" t="s">
        <v>152</v>
      </c>
      <c r="E510" s="305"/>
      <c r="F510" s="337">
        <v>0.13</v>
      </c>
      <c r="G510" s="369"/>
      <c r="H510" s="328">
        <f>H509*F510</f>
        <v>7.3662221755199999</v>
      </c>
      <c r="I510" s="329">
        <v>0.13</v>
      </c>
      <c r="J510" s="330"/>
      <c r="K510" s="328">
        <f>K509*I510</f>
        <v>7.8006418443200012</v>
      </c>
      <c r="L510" s="331">
        <f>K510-H510</f>
        <v>0.43441966880000127</v>
      </c>
      <c r="M510" s="332">
        <f>IF((H510)=0,"",(L510/H510))</f>
        <v>5.8974554181069685E-2</v>
      </c>
    </row>
    <row r="511" spans="1:13" x14ac:dyDescent="0.2">
      <c r="A511" s="59" t="str">
        <f t="shared" si="73"/>
        <v>RESIDENTIAL SERVICE CLASSIFICATION</v>
      </c>
      <c r="B511" s="1032" t="s">
        <v>1647</v>
      </c>
      <c r="C511" s="390"/>
      <c r="D511" s="327" t="s">
        <v>2904</v>
      </c>
      <c r="E511" s="305"/>
      <c r="F511" s="337">
        <v>0.08</v>
      </c>
      <c r="G511" s="369"/>
      <c r="H511" s="328">
        <f>H509*-F511</f>
        <v>-4.5330598003200002</v>
      </c>
      <c r="I511" s="337">
        <v>0.08</v>
      </c>
      <c r="J511" s="330"/>
      <c r="K511" s="328">
        <f>K509*-I511</f>
        <v>-4.8003949811200002</v>
      </c>
      <c r="L511" s="331">
        <f>K511-H511</f>
        <v>-0.26733518079999996</v>
      </c>
      <c r="M511" s="332"/>
    </row>
    <row r="512" spans="1:13" ht="13.5" thickBot="1" x14ac:dyDescent="0.25">
      <c r="A512" s="59" t="str">
        <f t="shared" si="73"/>
        <v>RESIDENTIAL SERVICE CLASSIFICATION</v>
      </c>
      <c r="B512" s="1032" t="s">
        <v>1659</v>
      </c>
      <c r="C512" s="390">
        <f>B37</f>
        <v>8</v>
      </c>
      <c r="D512" s="1863" t="s">
        <v>1660</v>
      </c>
      <c r="E512" s="1863"/>
      <c r="F512" s="370"/>
      <c r="G512" s="371"/>
      <c r="H512" s="338">
        <f>H509+H510+H511</f>
        <v>59.496409879199987</v>
      </c>
      <c r="I512" s="334"/>
      <c r="J512" s="334"/>
      <c r="K512" s="333">
        <f>K509+K510+K511</f>
        <v>63.005184127200003</v>
      </c>
      <c r="L512" s="335">
        <f>K512-H512</f>
        <v>3.5087742480000159</v>
      </c>
      <c r="M512" s="336">
        <f>IF((H512)=0,"",(L512/H512))</f>
        <v>5.8974554181069797E-2</v>
      </c>
    </row>
    <row r="513" spans="1:20" ht="13.5" thickBot="1" x14ac:dyDescent="0.25">
      <c r="A513" s="59" t="str">
        <f t="shared" si="73"/>
        <v>RESIDENTIAL SERVICE CLASSIFICATION</v>
      </c>
      <c r="B513" s="59" t="s">
        <v>1647</v>
      </c>
      <c r="C513" s="390"/>
      <c r="D513" s="318"/>
      <c r="E513" s="319"/>
      <c r="F513" s="364"/>
      <c r="G513" s="236"/>
      <c r="H513" s="365"/>
      <c r="I513" s="364"/>
      <c r="J513" s="366"/>
      <c r="K513" s="365"/>
      <c r="L513" s="367"/>
      <c r="M513" s="239"/>
    </row>
    <row r="514" spans="1:20" hidden="1" x14ac:dyDescent="0.2">
      <c r="A514" s="59" t="str">
        <f t="shared" si="73"/>
        <v>RESIDENTIAL SERVICE CLASSIFICATION</v>
      </c>
      <c r="B514" s="59" t="s">
        <v>1648</v>
      </c>
      <c r="C514" s="390"/>
      <c r="D514" s="322" t="s">
        <v>1661</v>
      </c>
      <c r="E514" s="305"/>
      <c r="F514" s="337"/>
      <c r="G514" s="368"/>
      <c r="H514" s="323">
        <f>SUM(H506,H499:H502,H498)</f>
        <v>65.208687503999997</v>
      </c>
      <c r="I514" s="324"/>
      <c r="J514" s="324"/>
      <c r="K514" s="323">
        <f>SUM(K506,K499:K502,K498)</f>
        <v>68.550377264000005</v>
      </c>
      <c r="L514" s="325">
        <f>K514-H514</f>
        <v>3.3416897600000084</v>
      </c>
      <c r="M514" s="326">
        <f>IF((H514)=0,"",(L514/H514))</f>
        <v>5.1246082200244014E-2</v>
      </c>
    </row>
    <row r="515" spans="1:20" hidden="1" x14ac:dyDescent="0.2">
      <c r="A515" s="59" t="str">
        <f t="shared" si="73"/>
        <v>RESIDENTIAL SERVICE CLASSIFICATION</v>
      </c>
      <c r="B515" s="59" t="s">
        <v>1648</v>
      </c>
      <c r="C515" s="390"/>
      <c r="D515" s="327" t="s">
        <v>152</v>
      </c>
      <c r="E515" s="305"/>
      <c r="F515" s="337">
        <v>0.13</v>
      </c>
      <c r="G515" s="368"/>
      <c r="H515" s="328">
        <f>H514*F515</f>
        <v>8.4771293755200006</v>
      </c>
      <c r="I515" s="337">
        <v>0.13</v>
      </c>
      <c r="J515" s="329"/>
      <c r="K515" s="328">
        <f>K514*I515</f>
        <v>8.9115490443200009</v>
      </c>
      <c r="L515" s="331">
        <f>K515-H515</f>
        <v>0.43441966880000038</v>
      </c>
      <c r="M515" s="332">
        <f>IF((H515)=0,"",(L515/H515))</f>
        <v>5.1246082200243924E-2</v>
      </c>
    </row>
    <row r="516" spans="1:20" hidden="1" x14ac:dyDescent="0.2">
      <c r="A516" s="59" t="str">
        <f t="shared" si="73"/>
        <v>RESIDENTIAL SERVICE CLASSIFICATION</v>
      </c>
      <c r="B516" s="59" t="s">
        <v>1648</v>
      </c>
      <c r="C516" s="390"/>
      <c r="D516" s="327" t="s">
        <v>2904</v>
      </c>
      <c r="E516" s="305"/>
      <c r="F516" s="337">
        <v>0.08</v>
      </c>
      <c r="G516" s="368"/>
      <c r="H516" s="877"/>
      <c r="I516" s="337">
        <v>0.08</v>
      </c>
      <c r="J516" s="329"/>
      <c r="K516" s="877"/>
      <c r="L516" s="331"/>
      <c r="M516" s="332"/>
    </row>
    <row r="517" spans="1:20" ht="13.5" hidden="1" thickBot="1" x14ac:dyDescent="0.25">
      <c r="A517" s="59" t="str">
        <f t="shared" si="73"/>
        <v>RESIDENTIAL SERVICE CLASSIFICATION</v>
      </c>
      <c r="B517" s="59" t="s">
        <v>1662</v>
      </c>
      <c r="C517" s="390"/>
      <c r="D517" s="1863" t="s">
        <v>1661</v>
      </c>
      <c r="E517" s="1863"/>
      <c r="F517" s="372"/>
      <c r="G517" s="373"/>
      <c r="H517" s="338">
        <f>SUM(H514,H515)</f>
        <v>73.68581687951999</v>
      </c>
      <c r="I517" s="339"/>
      <c r="J517" s="339"/>
      <c r="K517" s="338">
        <f>SUM(K514,K515)</f>
        <v>77.461926308320002</v>
      </c>
      <c r="L517" s="340">
        <f>K517-H517</f>
        <v>3.7761094288000123</v>
      </c>
      <c r="M517" s="341">
        <f>IF((H517)=0,"",(L517/H517))</f>
        <v>5.1246082200244056E-2</v>
      </c>
    </row>
    <row r="518" spans="1:20" ht="13.5" hidden="1" thickBot="1" x14ac:dyDescent="0.25">
      <c r="A518" s="59" t="str">
        <f t="shared" si="73"/>
        <v>RESIDENTIAL SERVICE CLASSIFICATION</v>
      </c>
      <c r="B518" s="59" t="s">
        <v>1648</v>
      </c>
      <c r="C518" s="390"/>
      <c r="D518" s="318"/>
      <c r="E518" s="319"/>
      <c r="F518" s="233"/>
      <c r="G518" s="234"/>
      <c r="H518" s="235"/>
      <c r="I518" s="233"/>
      <c r="J518" s="236"/>
      <c r="K518" s="235"/>
      <c r="L518" s="238"/>
      <c r="M518" s="239"/>
    </row>
    <row r="519" spans="1:20" hidden="1" x14ac:dyDescent="0.2">
      <c r="A519" s="59" t="str">
        <f t="shared" si="73"/>
        <v>RESIDENTIAL SERVICE CLASSIFICATION</v>
      </c>
      <c r="B519" s="59" t="s">
        <v>1649</v>
      </c>
      <c r="C519" s="390"/>
      <c r="D519" s="322" t="s">
        <v>1663</v>
      </c>
      <c r="E519" s="305"/>
      <c r="F519" s="337"/>
      <c r="G519" s="368"/>
      <c r="H519" s="323">
        <f>SUM(H507,H499:H502,H498)</f>
        <v>65.208687503999997</v>
      </c>
      <c r="I519" s="324"/>
      <c r="J519" s="324"/>
      <c r="K519" s="323">
        <f>SUM(K507,K499:K502,K498)</f>
        <v>68.550377264000005</v>
      </c>
      <c r="L519" s="325">
        <f>K519-H519</f>
        <v>3.3416897600000084</v>
      </c>
      <c r="M519" s="326">
        <f>IF((H519)=0,"",(L519/H519))</f>
        <v>5.1246082200244014E-2</v>
      </c>
    </row>
    <row r="520" spans="1:20" hidden="1" x14ac:dyDescent="0.2">
      <c r="A520" s="59" t="str">
        <f t="shared" si="73"/>
        <v>RESIDENTIAL SERVICE CLASSIFICATION</v>
      </c>
      <c r="B520" s="59" t="s">
        <v>1649</v>
      </c>
      <c r="C520" s="390"/>
      <c r="D520" s="327" t="s">
        <v>152</v>
      </c>
      <c r="E520" s="305"/>
      <c r="F520" s="337">
        <v>0.13</v>
      </c>
      <c r="G520" s="368"/>
      <c r="H520" s="328">
        <f>H519*F520</f>
        <v>8.4771293755200006</v>
      </c>
      <c r="I520" s="337">
        <v>0.13</v>
      </c>
      <c r="J520" s="329"/>
      <c r="K520" s="328">
        <f>K519*I520</f>
        <v>8.9115490443200009</v>
      </c>
      <c r="L520" s="331">
        <f>K520-H520</f>
        <v>0.43441966880000038</v>
      </c>
      <c r="M520" s="332">
        <f>IF((H520)=0,"",(L520/H520))</f>
        <v>5.1246082200243924E-2</v>
      </c>
    </row>
    <row r="521" spans="1:20" hidden="1" x14ac:dyDescent="0.2">
      <c r="A521" s="59" t="str">
        <f t="shared" si="73"/>
        <v>RESIDENTIAL SERVICE CLASSIFICATION</v>
      </c>
      <c r="B521" s="59" t="s">
        <v>1649</v>
      </c>
      <c r="C521" s="390"/>
      <c r="D521" s="327" t="s">
        <v>2904</v>
      </c>
      <c r="E521" s="305"/>
      <c r="F521" s="337">
        <v>0.08</v>
      </c>
      <c r="G521" s="368"/>
      <c r="H521" s="877"/>
      <c r="I521" s="337">
        <v>0.08</v>
      </c>
      <c r="J521" s="329"/>
      <c r="K521" s="877"/>
      <c r="L521" s="331"/>
      <c r="M521" s="332"/>
    </row>
    <row r="522" spans="1:20" ht="13.5" hidden="1" thickBot="1" x14ac:dyDescent="0.25">
      <c r="A522" s="59" t="str">
        <f t="shared" si="73"/>
        <v>RESIDENTIAL SERVICE CLASSIFICATION</v>
      </c>
      <c r="B522" s="59" t="s">
        <v>1664</v>
      </c>
      <c r="C522" s="390"/>
      <c r="D522" s="1863" t="s">
        <v>1663</v>
      </c>
      <c r="E522" s="1863"/>
      <c r="F522" s="372"/>
      <c r="G522" s="373"/>
      <c r="H522" s="338">
        <f>SUM(H519,H520)</f>
        <v>73.68581687951999</v>
      </c>
      <c r="I522" s="339"/>
      <c r="J522" s="339"/>
      <c r="K522" s="338">
        <f>SUM(K519,K520)</f>
        <v>77.461926308320002</v>
      </c>
      <c r="L522" s="340">
        <f>K522-H522</f>
        <v>3.7761094288000123</v>
      </c>
      <c r="M522" s="341">
        <f>IF((H522)=0,"",(L522/H522))</f>
        <v>5.1246082200244056E-2</v>
      </c>
    </row>
    <row r="523" spans="1:20" ht="13.5" hidden="1" thickBot="1" x14ac:dyDescent="0.25">
      <c r="A523" s="59" t="str">
        <f t="shared" si="73"/>
        <v>RESIDENTIAL SERVICE CLASSIFICATION</v>
      </c>
      <c r="B523" s="59" t="s">
        <v>1649</v>
      </c>
      <c r="C523" s="390"/>
      <c r="D523" s="318"/>
      <c r="E523" s="319"/>
      <c r="F523" s="342"/>
      <c r="G523" s="343"/>
      <c r="H523" s="344"/>
      <c r="I523" s="342"/>
      <c r="J523" s="320"/>
      <c r="K523" s="344"/>
      <c r="L523" s="345"/>
      <c r="M523" s="321"/>
    </row>
    <row r="526" spans="1:20" x14ac:dyDescent="0.2">
      <c r="C526" s="59"/>
      <c r="D526" s="290" t="s">
        <v>1652</v>
      </c>
      <c r="E526" s="1872" t="str">
        <f>D38</f>
        <v>RESIDENTIAL SERVICE CLASSIFICATION</v>
      </c>
      <c r="F526" s="1872"/>
      <c r="G526" s="1872"/>
      <c r="H526" s="1872"/>
      <c r="I526" s="1872"/>
      <c r="J526" s="1872"/>
      <c r="K526" s="59" t="str">
        <f>IF(N38="DEMAND - INTERVAL","RTSR - INTERVAL METERED","")</f>
        <v/>
      </c>
      <c r="T526" s="59" t="s">
        <v>628</v>
      </c>
    </row>
    <row r="527" spans="1:20" x14ac:dyDescent="0.2">
      <c r="C527" s="59"/>
      <c r="D527" s="290" t="s">
        <v>1653</v>
      </c>
      <c r="E527" s="1873" t="str">
        <f>H38</f>
        <v>Non-RPP (Retailer)</v>
      </c>
      <c r="F527" s="1873"/>
      <c r="G527" s="1873"/>
      <c r="H527" s="291"/>
      <c r="I527" s="291"/>
    </row>
    <row r="528" spans="1:20" ht="15.75" x14ac:dyDescent="0.2">
      <c r="C528" s="59"/>
      <c r="D528" s="290" t="s">
        <v>157</v>
      </c>
      <c r="E528" s="1613">
        <f>K38</f>
        <v>304</v>
      </c>
      <c r="F528" s="293" t="s">
        <v>158</v>
      </c>
      <c r="G528" s="1032"/>
      <c r="J528" s="294"/>
      <c r="K528" s="294"/>
      <c r="L528" s="294"/>
      <c r="M528" s="294"/>
    </row>
    <row r="529" spans="1:13" ht="15.75" x14ac:dyDescent="0.25">
      <c r="C529" s="59"/>
      <c r="D529" s="290" t="s">
        <v>369</v>
      </c>
      <c r="E529" s="1613">
        <f>L38</f>
        <v>0</v>
      </c>
      <c r="F529" s="295" t="s">
        <v>159</v>
      </c>
      <c r="G529" s="296"/>
      <c r="H529" s="297"/>
      <c r="I529" s="297"/>
      <c r="J529" s="297"/>
    </row>
    <row r="530" spans="1:13" x14ac:dyDescent="0.2">
      <c r="C530" s="59"/>
      <c r="D530" s="290" t="s">
        <v>1684</v>
      </c>
      <c r="E530" s="298">
        <f>I38</f>
        <v>1.0819000000000001</v>
      </c>
    </row>
    <row r="531" spans="1:13" x14ac:dyDescent="0.2">
      <c r="C531" s="59"/>
      <c r="D531" s="290" t="s">
        <v>1685</v>
      </c>
      <c r="E531" s="298">
        <f>J38</f>
        <v>1.0819000000000001</v>
      </c>
    </row>
    <row r="532" spans="1:13" x14ac:dyDescent="0.2">
      <c r="C532" s="59"/>
      <c r="D532" s="1032"/>
    </row>
    <row r="533" spans="1:13" x14ac:dyDescent="0.2">
      <c r="C533" s="59"/>
      <c r="D533" s="1032"/>
      <c r="E533" s="299"/>
      <c r="F533" s="1864" t="s">
        <v>2271</v>
      </c>
      <c r="G533" s="1874"/>
      <c r="H533" s="1865"/>
      <c r="I533" s="1864" t="s">
        <v>350</v>
      </c>
      <c r="J533" s="1874"/>
      <c r="K533" s="1865"/>
      <c r="L533" s="1864" t="s">
        <v>351</v>
      </c>
      <c r="M533" s="1865"/>
    </row>
    <row r="534" spans="1:13" x14ac:dyDescent="0.2">
      <c r="C534" s="59"/>
      <c r="D534" s="1032"/>
      <c r="E534" s="1866"/>
      <c r="F534" s="300" t="s">
        <v>352</v>
      </c>
      <c r="G534" s="300" t="s">
        <v>150</v>
      </c>
      <c r="H534" s="301" t="s">
        <v>353</v>
      </c>
      <c r="I534" s="300" t="s">
        <v>352</v>
      </c>
      <c r="J534" s="302" t="s">
        <v>150</v>
      </c>
      <c r="K534" s="301" t="s">
        <v>353</v>
      </c>
      <c r="L534" s="1868" t="s">
        <v>354</v>
      </c>
      <c r="M534" s="1870" t="s">
        <v>355</v>
      </c>
    </row>
    <row r="535" spans="1:13" x14ac:dyDescent="0.2">
      <c r="C535" s="59"/>
      <c r="D535" s="1032"/>
      <c r="E535" s="1867"/>
      <c r="F535" s="303" t="s">
        <v>356</v>
      </c>
      <c r="G535" s="303"/>
      <c r="H535" s="304" t="s">
        <v>356</v>
      </c>
      <c r="I535" s="303" t="s">
        <v>356</v>
      </c>
      <c r="J535" s="304"/>
      <c r="K535" s="304" t="s">
        <v>356</v>
      </c>
      <c r="L535" s="1869"/>
      <c r="M535" s="1871"/>
    </row>
    <row r="536" spans="1:13" x14ac:dyDescent="0.2">
      <c r="A536" s="59" t="str">
        <f>$E526</f>
        <v>RESIDENTIAL SERVICE CLASSIFICATION</v>
      </c>
      <c r="C536" s="390"/>
      <c r="D536" s="69" t="s">
        <v>357</v>
      </c>
      <c r="E536" s="348"/>
      <c r="F536" s="374">
        <v>19.920000000000002</v>
      </c>
      <c r="G536" s="330">
        <v>1</v>
      </c>
      <c r="H536" s="375">
        <f>G536*F536</f>
        <v>19.920000000000002</v>
      </c>
      <c r="I536" s="376">
        <v>25.6</v>
      </c>
      <c r="J536" s="357">
        <f>G536</f>
        <v>1</v>
      </c>
      <c r="K536" s="375">
        <f>J536*I536</f>
        <v>25.6</v>
      </c>
      <c r="L536" s="358">
        <f t="shared" ref="L536:L556" si="78">K536-H536</f>
        <v>5.68</v>
      </c>
      <c r="M536" s="377">
        <f>IF(ISERROR(L536/H536), "", L536/H536)</f>
        <v>0.28514056224899592</v>
      </c>
    </row>
    <row r="537" spans="1:13" x14ac:dyDescent="0.2">
      <c r="A537" s="59" t="str">
        <f>A536</f>
        <v>RESIDENTIAL SERVICE CLASSIFICATION</v>
      </c>
      <c r="C537" s="390"/>
      <c r="D537" s="69" t="s">
        <v>84</v>
      </c>
      <c r="E537" s="348"/>
      <c r="F537" s="354">
        <v>8.2000000000000007E-3</v>
      </c>
      <c r="G537" s="330">
        <f>IF($E529&gt;0, $E529, $E528)</f>
        <v>304</v>
      </c>
      <c r="H537" s="375">
        <f t="shared" ref="H537:H549" si="79">G537*F537</f>
        <v>2.4928000000000003</v>
      </c>
      <c r="I537" s="351">
        <v>0</v>
      </c>
      <c r="J537" s="357">
        <f>IF($E529&gt;0, $E529, $E528)</f>
        <v>304</v>
      </c>
      <c r="K537" s="375">
        <f>J537*I537</f>
        <v>0</v>
      </c>
      <c r="L537" s="358">
        <f t="shared" si="78"/>
        <v>-2.4928000000000003</v>
      </c>
      <c r="M537" s="377">
        <f t="shared" ref="M537:M547" si="80">IF(ISERROR(L537/H537), "", L537/H537)</f>
        <v>-1</v>
      </c>
    </row>
    <row r="538" spans="1:13" hidden="1" x14ac:dyDescent="0.2">
      <c r="A538" s="59" t="str">
        <f t="shared" ref="A538:A579" si="81">A537</f>
        <v>RESIDENTIAL SERVICE CLASSIFICATION</v>
      </c>
      <c r="C538" s="390"/>
      <c r="D538" s="69" t="s">
        <v>5950</v>
      </c>
      <c r="E538" s="348"/>
      <c r="F538" s="354"/>
      <c r="G538" s="330">
        <f>IF($E529&gt;0, $E529, $E528)</f>
        <v>304</v>
      </c>
      <c r="H538" s="375">
        <v>0</v>
      </c>
      <c r="I538" s="351"/>
      <c r="J538" s="357">
        <f>IF($E529&gt;0, $E529, $E528)</f>
        <v>304</v>
      </c>
      <c r="K538" s="375">
        <v>0</v>
      </c>
      <c r="L538" s="358"/>
      <c r="M538" s="377"/>
    </row>
    <row r="539" spans="1:13" hidden="1" x14ac:dyDescent="0.2">
      <c r="A539" s="59" t="str">
        <f t="shared" si="81"/>
        <v>RESIDENTIAL SERVICE CLASSIFICATION</v>
      </c>
      <c r="C539" s="390"/>
      <c r="D539" s="69" t="s">
        <v>4872</v>
      </c>
      <c r="E539" s="348"/>
      <c r="F539" s="354"/>
      <c r="G539" s="330">
        <f>IF($E529&gt;0, $E529, $E528)</f>
        <v>304</v>
      </c>
      <c r="H539" s="375">
        <v>0</v>
      </c>
      <c r="I539" s="351"/>
      <c r="J539" s="330">
        <f>IF($E529&gt;0, $E529, $E528)</f>
        <v>304</v>
      </c>
      <c r="K539" s="375">
        <v>0</v>
      </c>
      <c r="L539" s="358">
        <f>K539-H539</f>
        <v>0</v>
      </c>
      <c r="M539" s="377" t="str">
        <f>IF(ISERROR(L539/H539), "", L539/H539)</f>
        <v/>
      </c>
    </row>
    <row r="540" spans="1:13" x14ac:dyDescent="0.2">
      <c r="A540" s="59" t="str">
        <f t="shared" si="81"/>
        <v>RESIDENTIAL SERVICE CLASSIFICATION</v>
      </c>
      <c r="C540" s="390"/>
      <c r="D540" s="70" t="s">
        <v>367</v>
      </c>
      <c r="E540" s="348"/>
      <c r="F540" s="374">
        <v>0.52</v>
      </c>
      <c r="G540" s="330">
        <v>1</v>
      </c>
      <c r="H540" s="375">
        <f t="shared" si="79"/>
        <v>0.52</v>
      </c>
      <c r="I540" s="376">
        <v>0.52</v>
      </c>
      <c r="J540" s="357">
        <f>G540</f>
        <v>1</v>
      </c>
      <c r="K540" s="375">
        <f t="shared" ref="K540:K547" si="82">J540*I540</f>
        <v>0.52</v>
      </c>
      <c r="L540" s="358">
        <f t="shared" si="78"/>
        <v>0</v>
      </c>
      <c r="M540" s="377">
        <f t="shared" si="80"/>
        <v>0</v>
      </c>
    </row>
    <row r="541" spans="1:13" x14ac:dyDescent="0.2">
      <c r="A541" s="59" t="str">
        <f t="shared" si="81"/>
        <v>RESIDENTIAL SERVICE CLASSIFICATION</v>
      </c>
      <c r="C541" s="390"/>
      <c r="D541" s="69" t="s">
        <v>368</v>
      </c>
      <c r="E541" s="348"/>
      <c r="F541" s="354">
        <v>2.0000000000000001E-4</v>
      </c>
      <c r="G541" s="330">
        <f>IF($E529&gt;0, $E529, $E528)</f>
        <v>304</v>
      </c>
      <c r="H541" s="375">
        <f t="shared" si="79"/>
        <v>6.08E-2</v>
      </c>
      <c r="I541" s="351">
        <v>2.9999999999999997E-4</v>
      </c>
      <c r="J541" s="357">
        <f>IF($E529&gt;0, $E529, $E528)</f>
        <v>304</v>
      </c>
      <c r="K541" s="375">
        <f t="shared" si="82"/>
        <v>9.1199999999999989E-2</v>
      </c>
      <c r="L541" s="358">
        <f t="shared" si="78"/>
        <v>3.039999999999999E-2</v>
      </c>
      <c r="M541" s="377">
        <f t="shared" si="80"/>
        <v>0.49999999999999983</v>
      </c>
    </row>
    <row r="542" spans="1:13" x14ac:dyDescent="0.2">
      <c r="A542" s="59" t="str">
        <f t="shared" si="81"/>
        <v>RESIDENTIAL SERVICE CLASSIFICATION</v>
      </c>
      <c r="B542" s="306" t="s">
        <v>1654</v>
      </c>
      <c r="C542" s="390">
        <f>B38</f>
        <v>9</v>
      </c>
      <c r="D542" s="307" t="s">
        <v>358</v>
      </c>
      <c r="E542" s="308"/>
      <c r="F542" s="378"/>
      <c r="G542" s="898"/>
      <c r="H542" s="899">
        <f>SUM(H536:H541)</f>
        <v>22.993600000000001</v>
      </c>
      <c r="I542" s="379"/>
      <c r="J542" s="315"/>
      <c r="K542" s="899">
        <f>SUM(K536:K541)</f>
        <v>26.211200000000002</v>
      </c>
      <c r="L542" s="309">
        <f t="shared" si="78"/>
        <v>3.2176000000000009</v>
      </c>
      <c r="M542" s="310">
        <f>IF((H542)=0,"",(L542/H542))</f>
        <v>0.13993459049474641</v>
      </c>
    </row>
    <row r="543" spans="1:13" x14ac:dyDescent="0.2">
      <c r="A543" s="59" t="str">
        <f t="shared" si="81"/>
        <v>RESIDENTIAL SERVICE CLASSIFICATION</v>
      </c>
      <c r="C543" s="390"/>
      <c r="D543" s="73" t="s">
        <v>430</v>
      </c>
      <c r="E543" s="348"/>
      <c r="F543" s="354">
        <f>IF((E528*12&gt;=150000), 0, IF(E527="RPP",(F559*0.65+F560*0.17+F561*0.18),IF(E527="Non-RPP (Retailer)",F562,F563)))</f>
        <v>0.1101</v>
      </c>
      <c r="G543" s="361">
        <f>IF(F543=0, 0, $E528*E530-E528)</f>
        <v>24.897600000000011</v>
      </c>
      <c r="H543" s="375">
        <f>G543*F543</f>
        <v>2.7412257600000012</v>
      </c>
      <c r="I543" s="351">
        <f>IF((E528*12&gt;=150000), 0, IF(E527="RPP",(I559*0.65+I560*0.17+I561*0.18),IF(E527="Non-RPP (Retailer)",I562,I563)))</f>
        <v>0.1101</v>
      </c>
      <c r="J543" s="361">
        <f>IF(I543=0, 0, E528*E531-E528)</f>
        <v>24.897600000000011</v>
      </c>
      <c r="K543" s="375">
        <f>J543*I543</f>
        <v>2.7412257600000012</v>
      </c>
      <c r="L543" s="358">
        <f>K543-H543</f>
        <v>0</v>
      </c>
      <c r="M543" s="377">
        <f>IF(ISERROR(L543/H543), "", L543/H543)</f>
        <v>0</v>
      </c>
    </row>
    <row r="544" spans="1:13" ht="25.5" x14ac:dyDescent="0.2">
      <c r="A544" s="59" t="str">
        <f t="shared" si="81"/>
        <v>RESIDENTIAL SERVICE CLASSIFICATION</v>
      </c>
      <c r="C544" s="390"/>
      <c r="D544" s="73" t="s">
        <v>366</v>
      </c>
      <c r="E544" s="348"/>
      <c r="F544" s="354">
        <v>-2.0999999999999999E-3</v>
      </c>
      <c r="G544" s="362">
        <f>IF($E529&gt;0, $E529, $E528)</f>
        <v>304</v>
      </c>
      <c r="H544" s="375">
        <f t="shared" si="79"/>
        <v>-0.63839999999999997</v>
      </c>
      <c r="I544" s="351">
        <v>-1.8E-3</v>
      </c>
      <c r="J544" s="362">
        <f>IF($E529&gt;0, $E529, $E528)</f>
        <v>304</v>
      </c>
      <c r="K544" s="375">
        <f t="shared" si="82"/>
        <v>-0.54720000000000002</v>
      </c>
      <c r="L544" s="358">
        <f t="shared" si="78"/>
        <v>9.1199999999999948E-2</v>
      </c>
      <c r="M544" s="377">
        <f t="shared" si="80"/>
        <v>-0.14285714285714279</v>
      </c>
    </row>
    <row r="545" spans="1:13" x14ac:dyDescent="0.2">
      <c r="A545" s="59" t="str">
        <f t="shared" si="81"/>
        <v>RESIDENTIAL SERVICE CLASSIFICATION</v>
      </c>
      <c r="C545" s="390"/>
      <c r="D545" s="73" t="s">
        <v>2885</v>
      </c>
      <c r="E545" s="348"/>
      <c r="F545" s="354">
        <v>0</v>
      </c>
      <c r="G545" s="362">
        <f>IF($E529&gt;0, $E529, $E528)</f>
        <v>304</v>
      </c>
      <c r="H545" s="375">
        <f>G545*F545</f>
        <v>0</v>
      </c>
      <c r="I545" s="351">
        <v>0</v>
      </c>
      <c r="J545" s="362">
        <f>IF($E529&gt;0, $E529, $E528)</f>
        <v>304</v>
      </c>
      <c r="K545" s="375">
        <f>J545*I545</f>
        <v>0</v>
      </c>
      <c r="L545" s="358">
        <f t="shared" si="78"/>
        <v>0</v>
      </c>
      <c r="M545" s="377" t="str">
        <f t="shared" si="80"/>
        <v/>
      </c>
    </row>
    <row r="546" spans="1:13" x14ac:dyDescent="0.2">
      <c r="A546" s="59" t="str">
        <f t="shared" si="81"/>
        <v>RESIDENTIAL SERVICE CLASSIFICATION</v>
      </c>
      <c r="C546" s="390"/>
      <c r="D546" s="73" t="s">
        <v>2281</v>
      </c>
      <c r="E546" s="348"/>
      <c r="F546" s="354">
        <v>6.9999999999999999E-4</v>
      </c>
      <c r="G546" s="362">
        <f>E528</f>
        <v>304</v>
      </c>
      <c r="H546" s="375">
        <f>G546*F546</f>
        <v>0.21279999999999999</v>
      </c>
      <c r="I546" s="351">
        <v>2E-3</v>
      </c>
      <c r="J546" s="362">
        <f>E528</f>
        <v>304</v>
      </c>
      <c r="K546" s="375">
        <f t="shared" si="82"/>
        <v>0.60799999999999998</v>
      </c>
      <c r="L546" s="358">
        <f t="shared" si="78"/>
        <v>0.3952</v>
      </c>
      <c r="M546" s="377">
        <f t="shared" si="80"/>
        <v>1.8571428571428572</v>
      </c>
    </row>
    <row r="547" spans="1:13" x14ac:dyDescent="0.2">
      <c r="A547" s="59" t="str">
        <f t="shared" si="81"/>
        <v>RESIDENTIAL SERVICE CLASSIFICATION</v>
      </c>
      <c r="C547" s="390"/>
      <c r="D547" s="75" t="s">
        <v>145</v>
      </c>
      <c r="E547" s="348"/>
      <c r="F547" s="354">
        <v>4.8999999999999998E-3</v>
      </c>
      <c r="G547" s="362">
        <f>IF($E529&gt;0, $E529, $E528)</f>
        <v>304</v>
      </c>
      <c r="H547" s="375">
        <f t="shared" si="79"/>
        <v>1.4896</v>
      </c>
      <c r="I547" s="351">
        <v>4.8999999999999998E-3</v>
      </c>
      <c r="J547" s="362">
        <f>IF($E529&gt;0, $E529, $E528)</f>
        <v>304</v>
      </c>
      <c r="K547" s="375">
        <f t="shared" si="82"/>
        <v>1.4896</v>
      </c>
      <c r="L547" s="358">
        <f t="shared" si="78"/>
        <v>0</v>
      </c>
      <c r="M547" s="377">
        <f t="shared" si="80"/>
        <v>0</v>
      </c>
    </row>
    <row r="548" spans="1:13" ht="25.5" x14ac:dyDescent="0.2">
      <c r="A548" s="59" t="str">
        <f t="shared" si="81"/>
        <v>RESIDENTIAL SERVICE CLASSIFICATION</v>
      </c>
      <c r="C548" s="390"/>
      <c r="D548" s="429" t="s">
        <v>5951</v>
      </c>
      <c r="E548" s="348"/>
      <c r="F548" s="1001">
        <f>IF(OR(ISNUMBER(SEARCH("RESIDENTIAL", E526))=TRUE, ISNUMBER(SEARCH("GENERAL SERVICE LESS THAN 50", E526))=TRUE), SME, 0)</f>
        <v>0.56999999999999995</v>
      </c>
      <c r="G548" s="330">
        <v>1</v>
      </c>
      <c r="H548" s="375">
        <f>G548*F548</f>
        <v>0.56999999999999995</v>
      </c>
      <c r="I548" s="1002">
        <f>IF(OR(ISNUMBER(SEARCH("RESIDENTIAL", E526))=TRUE, ISNUMBER(SEARCH("GENERAL SERVICE LESS THAN 50", E526))=TRUE), SME, 0)</f>
        <v>0.56999999999999995</v>
      </c>
      <c r="J548" s="330">
        <v>1</v>
      </c>
      <c r="K548" s="375">
        <f>J548*I548</f>
        <v>0.56999999999999995</v>
      </c>
      <c r="L548" s="358">
        <f t="shared" si="78"/>
        <v>0</v>
      </c>
      <c r="M548" s="377">
        <f>IF(ISERROR(L548/H548), "", L548/H548)</f>
        <v>0</v>
      </c>
    </row>
    <row r="549" spans="1:13" x14ac:dyDescent="0.2">
      <c r="A549" s="59" t="str">
        <f t="shared" si="81"/>
        <v>RESIDENTIAL SERVICE CLASSIFICATION</v>
      </c>
      <c r="C549" s="390"/>
      <c r="D549" s="75" t="s">
        <v>4871</v>
      </c>
      <c r="E549" s="348"/>
      <c r="F549" s="374">
        <v>0</v>
      </c>
      <c r="G549" s="330">
        <v>1</v>
      </c>
      <c r="H549" s="375">
        <f t="shared" si="79"/>
        <v>0</v>
      </c>
      <c r="I549" s="376">
        <v>0</v>
      </c>
      <c r="J549" s="330">
        <v>1</v>
      </c>
      <c r="K549" s="375">
        <f>J549*I549</f>
        <v>0</v>
      </c>
      <c r="L549" s="358">
        <f>K549-H549</f>
        <v>0</v>
      </c>
      <c r="M549" s="377" t="str">
        <f>IF(ISERROR(L549/H549), "", L549/H549)</f>
        <v/>
      </c>
    </row>
    <row r="550" spans="1:13" x14ac:dyDescent="0.2">
      <c r="A550" s="59" t="str">
        <f t="shared" si="81"/>
        <v>RESIDENTIAL SERVICE CLASSIFICATION</v>
      </c>
      <c r="C550" s="390"/>
      <c r="D550" s="75" t="s">
        <v>4870</v>
      </c>
      <c r="E550" s="348"/>
      <c r="F550" s="354"/>
      <c r="G550" s="362">
        <f>IF($E529&gt;0, $E529, $E528)</f>
        <v>304</v>
      </c>
      <c r="H550" s="375">
        <f>G550*F550</f>
        <v>0</v>
      </c>
      <c r="I550" s="351">
        <v>0</v>
      </c>
      <c r="J550" s="362">
        <f>IF($E529&gt;0, $E529, $E528)</f>
        <v>304</v>
      </c>
      <c r="K550" s="375">
        <f>J550*I550</f>
        <v>0</v>
      </c>
      <c r="L550" s="358">
        <f t="shared" si="78"/>
        <v>0</v>
      </c>
      <c r="M550" s="377" t="str">
        <f>IF(ISERROR(L550/H550), "", L550/H550)</f>
        <v/>
      </c>
    </row>
    <row r="551" spans="1:13" ht="25.5" x14ac:dyDescent="0.2">
      <c r="A551" s="59" t="str">
        <f t="shared" si="81"/>
        <v>RESIDENTIAL SERVICE CLASSIFICATION</v>
      </c>
      <c r="B551" s="1032" t="s">
        <v>1655</v>
      </c>
      <c r="C551" s="390">
        <f>B38</f>
        <v>9</v>
      </c>
      <c r="D551" s="312" t="s">
        <v>1686</v>
      </c>
      <c r="E551" s="313"/>
      <c r="F551" s="349"/>
      <c r="G551" s="359"/>
      <c r="H551" s="314">
        <f>SUM(H542:H550)</f>
        <v>27.368825760000004</v>
      </c>
      <c r="I551" s="350"/>
      <c r="J551" s="360"/>
      <c r="K551" s="314">
        <f>SUM(K542:K550)</f>
        <v>31.072825760000004</v>
      </c>
      <c r="L551" s="309">
        <f t="shared" si="78"/>
        <v>3.7040000000000006</v>
      </c>
      <c r="M551" s="310">
        <f>IF((H551)=0,"",(L551/H551))</f>
        <v>0.1353364602661711</v>
      </c>
    </row>
    <row r="552" spans="1:13" x14ac:dyDescent="0.2">
      <c r="A552" s="59" t="str">
        <f t="shared" si="81"/>
        <v>RESIDENTIAL SERVICE CLASSIFICATION</v>
      </c>
      <c r="C552" s="390"/>
      <c r="D552" s="77" t="s">
        <v>360</v>
      </c>
      <c r="E552" s="348"/>
      <c r="F552" s="354">
        <v>6.3E-3</v>
      </c>
      <c r="G552" s="361">
        <f>IF($E529&gt;0, $E529, $E528*$E530)</f>
        <v>328.89760000000001</v>
      </c>
      <c r="H552" s="375">
        <f>G552*F552</f>
        <v>2.07205488</v>
      </c>
      <c r="I552" s="351">
        <v>6.4000000000000003E-3</v>
      </c>
      <c r="J552" s="361">
        <f>IF($E529&gt;0, $E529, $E528*$E531)</f>
        <v>328.89760000000001</v>
      </c>
      <c r="K552" s="375">
        <f>J552*I552</f>
        <v>2.1049446400000003</v>
      </c>
      <c r="L552" s="358">
        <f t="shared" si="78"/>
        <v>3.2889760000000212E-2</v>
      </c>
      <c r="M552" s="377">
        <f>IF(ISERROR(L552/H552), "", L552/H552)</f>
        <v>1.5873015873015976E-2</v>
      </c>
    </row>
    <row r="553" spans="1:13" ht="25.5" x14ac:dyDescent="0.2">
      <c r="A553" s="59" t="str">
        <f t="shared" si="81"/>
        <v>RESIDENTIAL SERVICE CLASSIFICATION</v>
      </c>
      <c r="C553" s="390"/>
      <c r="D553" s="189" t="s">
        <v>370</v>
      </c>
      <c r="E553" s="348"/>
      <c r="F553" s="354">
        <v>5.1000000000000004E-3</v>
      </c>
      <c r="G553" s="361">
        <f>IF($E529&gt;0, $E529, $E528*$E530)</f>
        <v>328.89760000000001</v>
      </c>
      <c r="H553" s="375">
        <f>G553*F553</f>
        <v>1.6773777600000002</v>
      </c>
      <c r="I553" s="351">
        <v>5.1000000000000004E-3</v>
      </c>
      <c r="J553" s="361">
        <f>IF($E529&gt;0, $E529, $E528*$E531)</f>
        <v>328.89760000000001</v>
      </c>
      <c r="K553" s="375">
        <f>J553*I553</f>
        <v>1.6773777600000002</v>
      </c>
      <c r="L553" s="358">
        <f t="shared" si="78"/>
        <v>0</v>
      </c>
      <c r="M553" s="377">
        <f>IF(ISERROR(L553/H553), "", L553/H553)</f>
        <v>0</v>
      </c>
    </row>
    <row r="554" spans="1:13" ht="25.5" x14ac:dyDescent="0.2">
      <c r="A554" s="59" t="str">
        <f t="shared" si="81"/>
        <v>RESIDENTIAL SERVICE CLASSIFICATION</v>
      </c>
      <c r="B554" s="1032" t="s">
        <v>1656</v>
      </c>
      <c r="C554" s="390">
        <f>B38</f>
        <v>9</v>
      </c>
      <c r="D554" s="312" t="s">
        <v>1687</v>
      </c>
      <c r="E554" s="308"/>
      <c r="F554" s="349"/>
      <c r="G554" s="359"/>
      <c r="H554" s="314">
        <f>SUM(H551:H553)</f>
        <v>31.118258400000002</v>
      </c>
      <c r="I554" s="350"/>
      <c r="J554" s="315"/>
      <c r="K554" s="314">
        <f>SUM(K551:K553)</f>
        <v>34.855148160000006</v>
      </c>
      <c r="L554" s="309">
        <f t="shared" si="78"/>
        <v>3.7368897600000039</v>
      </c>
      <c r="M554" s="310">
        <f>IF((H554)=0,"",(L554/H554))</f>
        <v>0.12008672567613886</v>
      </c>
    </row>
    <row r="555" spans="1:13" ht="25.5" x14ac:dyDescent="0.2">
      <c r="A555" s="59" t="str">
        <f t="shared" si="81"/>
        <v>RESIDENTIAL SERVICE CLASSIFICATION</v>
      </c>
      <c r="C555" s="390"/>
      <c r="D555" s="316" t="s">
        <v>361</v>
      </c>
      <c r="E555" s="348"/>
      <c r="F555" s="354">
        <v>3.6000000000000003E-3</v>
      </c>
      <c r="G555" s="361">
        <f>E528*E530</f>
        <v>328.89760000000001</v>
      </c>
      <c r="H555" s="363">
        <f t="shared" ref="H555:H561" si="83">G555*F555</f>
        <v>1.1840313600000001</v>
      </c>
      <c r="I555" s="351">
        <v>3.6000000000000003E-3</v>
      </c>
      <c r="J555" s="361">
        <f>E528*E531</f>
        <v>328.89760000000001</v>
      </c>
      <c r="K555" s="363">
        <f t="shared" ref="K555:K561" si="84">J555*I555</f>
        <v>1.1840313600000001</v>
      </c>
      <c r="L555" s="358">
        <f t="shared" si="78"/>
        <v>0</v>
      </c>
      <c r="M555" s="377">
        <f t="shared" ref="M555:M563" si="85">IF(ISERROR(L555/H555), "", L555/H555)</f>
        <v>0</v>
      </c>
    </row>
    <row r="556" spans="1:13" ht="25.5" x14ac:dyDescent="0.2">
      <c r="A556" s="59" t="str">
        <f t="shared" si="81"/>
        <v>RESIDENTIAL SERVICE CLASSIFICATION</v>
      </c>
      <c r="C556" s="390"/>
      <c r="D556" s="316" t="s">
        <v>362</v>
      </c>
      <c r="E556" s="348"/>
      <c r="F556" s="354">
        <f>'17. Regulatory Charges'!$D$16</f>
        <v>2.9999999999999997E-4</v>
      </c>
      <c r="G556" s="361">
        <f>E528*E530</f>
        <v>328.89760000000001</v>
      </c>
      <c r="H556" s="363">
        <f t="shared" si="83"/>
        <v>9.8669279999999998E-2</v>
      </c>
      <c r="I556" s="351">
        <v>2.9999999999999997E-4</v>
      </c>
      <c r="J556" s="361">
        <f>E528*E531</f>
        <v>328.89760000000001</v>
      </c>
      <c r="K556" s="363">
        <f t="shared" si="84"/>
        <v>9.8669279999999998E-2</v>
      </c>
      <c r="L556" s="358">
        <f t="shared" si="78"/>
        <v>0</v>
      </c>
      <c r="M556" s="377">
        <f t="shared" si="85"/>
        <v>0</v>
      </c>
    </row>
    <row r="557" spans="1:13" x14ac:dyDescent="0.2">
      <c r="A557" s="59" t="str">
        <f t="shared" si="81"/>
        <v>RESIDENTIAL SERVICE CLASSIFICATION</v>
      </c>
      <c r="C557" s="390"/>
      <c r="D557" s="305" t="s">
        <v>363</v>
      </c>
      <c r="E557" s="348"/>
      <c r="F557" s="1614"/>
      <c r="G557" s="1615"/>
      <c r="H557" s="1616"/>
      <c r="I557" s="1617"/>
      <c r="J557" s="1618"/>
      <c r="K557" s="1616"/>
      <c r="L557" s="1619"/>
      <c r="M557" s="1620"/>
    </row>
    <row r="558" spans="1:13" ht="25.5" hidden="1" x14ac:dyDescent="0.2">
      <c r="A558" s="59" t="str">
        <f t="shared" si="81"/>
        <v>RESIDENTIAL SERVICE CLASSIFICATION</v>
      </c>
      <c r="C558" s="390"/>
      <c r="D558" s="316" t="s">
        <v>1688</v>
      </c>
      <c r="E558" s="348"/>
      <c r="F558" s="354"/>
      <c r="G558" s="361"/>
      <c r="H558" s="363"/>
      <c r="I558" s="351"/>
      <c r="J558" s="361"/>
      <c r="K558" s="363"/>
      <c r="L558" s="358"/>
      <c r="M558" s="377"/>
    </row>
    <row r="559" spans="1:13" hidden="1" x14ac:dyDescent="0.2">
      <c r="A559" s="59" t="str">
        <f t="shared" si="81"/>
        <v>RESIDENTIAL SERVICE CLASSIFICATION</v>
      </c>
      <c r="B559" s="1032" t="s">
        <v>1647</v>
      </c>
      <c r="C559" s="390"/>
      <c r="D559" s="311" t="s">
        <v>228</v>
      </c>
      <c r="E559" s="348"/>
      <c r="F559" s="355">
        <f>OffPeak</f>
        <v>6.5000000000000002E-2</v>
      </c>
      <c r="G559" s="317">
        <f>IF(AND(E528*12&gt;=150000),0.65*E528*E530,0.65*E528)</f>
        <v>197.6</v>
      </c>
      <c r="H559" s="363">
        <f t="shared" si="83"/>
        <v>12.843999999999999</v>
      </c>
      <c r="I559" s="352">
        <f>OffPeak</f>
        <v>6.5000000000000002E-2</v>
      </c>
      <c r="J559" s="317">
        <f>IF(AND(E528*12&gt;=150000),0.65*E528*E531,0.65*E528)</f>
        <v>197.6</v>
      </c>
      <c r="K559" s="363">
        <f t="shared" si="84"/>
        <v>12.843999999999999</v>
      </c>
      <c r="L559" s="358">
        <f>K559-H559</f>
        <v>0</v>
      </c>
      <c r="M559" s="377">
        <f t="shared" si="85"/>
        <v>0</v>
      </c>
    </row>
    <row r="560" spans="1:13" hidden="1" x14ac:dyDescent="0.2">
      <c r="A560" s="59" t="str">
        <f t="shared" si="81"/>
        <v>RESIDENTIAL SERVICE CLASSIFICATION</v>
      </c>
      <c r="B560" s="1032" t="s">
        <v>1647</v>
      </c>
      <c r="C560" s="390"/>
      <c r="D560" s="311" t="s">
        <v>229</v>
      </c>
      <c r="E560" s="348"/>
      <c r="F560" s="355">
        <f>MidPeak</f>
        <v>9.4E-2</v>
      </c>
      <c r="G560" s="317">
        <f>IF(AND(E528*12&gt;=150000),0.17*E528*E530,0.17*E528)</f>
        <v>51.680000000000007</v>
      </c>
      <c r="H560" s="363">
        <f t="shared" si="83"/>
        <v>4.8579200000000009</v>
      </c>
      <c r="I560" s="352">
        <f>MidPeak</f>
        <v>9.4E-2</v>
      </c>
      <c r="J560" s="317">
        <f>IF(AND(E528*12&gt;=150000),0.17*E528*E531,0.17*E528)</f>
        <v>51.680000000000007</v>
      </c>
      <c r="K560" s="363">
        <f t="shared" si="84"/>
        <v>4.8579200000000009</v>
      </c>
      <c r="L560" s="358">
        <f>K560-H560</f>
        <v>0</v>
      </c>
      <c r="M560" s="377">
        <f t="shared" si="85"/>
        <v>0</v>
      </c>
    </row>
    <row r="561" spans="1:13" hidden="1" x14ac:dyDescent="0.2">
      <c r="A561" s="59" t="str">
        <f t="shared" si="81"/>
        <v>RESIDENTIAL SERVICE CLASSIFICATION</v>
      </c>
      <c r="B561" s="1032" t="s">
        <v>1647</v>
      </c>
      <c r="C561" s="390"/>
      <c r="D561" s="1032" t="s">
        <v>230</v>
      </c>
      <c r="E561" s="348"/>
      <c r="F561" s="355">
        <f>OnPeak</f>
        <v>0.13200000000000001</v>
      </c>
      <c r="G561" s="317">
        <f>IF(AND(E528*12&gt;=150000),0.18*E528*E530,0.18*E528)</f>
        <v>54.72</v>
      </c>
      <c r="H561" s="363">
        <f t="shared" si="83"/>
        <v>7.2230400000000001</v>
      </c>
      <c r="I561" s="352">
        <f>OnPeak</f>
        <v>0.13200000000000001</v>
      </c>
      <c r="J561" s="317">
        <f>IF(AND(E528*12&gt;=150000),0.18*E528*E531,0.18*E528)</f>
        <v>54.72</v>
      </c>
      <c r="K561" s="363">
        <f t="shared" si="84"/>
        <v>7.2230400000000001</v>
      </c>
      <c r="L561" s="358">
        <f>K561-H561</f>
        <v>0</v>
      </c>
      <c r="M561" s="377">
        <f t="shared" si="85"/>
        <v>0</v>
      </c>
    </row>
    <row r="562" spans="1:13" ht="13.5" thickBot="1" x14ac:dyDescent="0.25">
      <c r="A562" s="59" t="str">
        <f t="shared" si="81"/>
        <v>RESIDENTIAL SERVICE CLASSIFICATION</v>
      </c>
      <c r="B562" s="59" t="s">
        <v>1648</v>
      </c>
      <c r="C562" s="390"/>
      <c r="D562" s="311" t="s">
        <v>1657</v>
      </c>
      <c r="E562" s="348"/>
      <c r="F562" s="356">
        <v>0.1101</v>
      </c>
      <c r="G562" s="317">
        <f>IF(AND(E528*12&gt;=150000),E528*E530,E528)</f>
        <v>304</v>
      </c>
      <c r="H562" s="363">
        <f>G562*F562</f>
        <v>33.470399999999998</v>
      </c>
      <c r="I562" s="353">
        <f>F562</f>
        <v>0.1101</v>
      </c>
      <c r="J562" s="317">
        <f>IF(AND(E528*12&gt;=150000),E528*E531,E528)</f>
        <v>304</v>
      </c>
      <c r="K562" s="363">
        <f>J562*I562</f>
        <v>33.470399999999998</v>
      </c>
      <c r="L562" s="358">
        <f>K562-H562</f>
        <v>0</v>
      </c>
      <c r="M562" s="377">
        <f t="shared" si="85"/>
        <v>0</v>
      </c>
    </row>
    <row r="563" spans="1:13" ht="13.5" hidden="1" thickBot="1" x14ac:dyDescent="0.25">
      <c r="A563" s="59" t="str">
        <f t="shared" si="81"/>
        <v>RESIDENTIAL SERVICE CLASSIFICATION</v>
      </c>
      <c r="B563" s="59" t="s">
        <v>1649</v>
      </c>
      <c r="C563" s="390"/>
      <c r="D563" s="311" t="s">
        <v>1658</v>
      </c>
      <c r="E563" s="348"/>
      <c r="F563" s="356">
        <v>0.1101</v>
      </c>
      <c r="G563" s="317">
        <f>IF(AND(E528*12&gt;=150000),E528*E530,E528)</f>
        <v>304</v>
      </c>
      <c r="H563" s="363">
        <f>G563*F563</f>
        <v>33.470399999999998</v>
      </c>
      <c r="I563" s="353">
        <f>F563</f>
        <v>0.1101</v>
      </c>
      <c r="J563" s="317">
        <f>IF(AND(E528*12&gt;=150000),E528*E531,E528)</f>
        <v>304</v>
      </c>
      <c r="K563" s="363">
        <f>J563*I563</f>
        <v>33.470399999999998</v>
      </c>
      <c r="L563" s="358">
        <f>K563-H563</f>
        <v>0</v>
      </c>
      <c r="M563" s="377">
        <f t="shared" si="85"/>
        <v>0</v>
      </c>
    </row>
    <row r="564" spans="1:13" ht="13.5" thickBot="1" x14ac:dyDescent="0.25">
      <c r="A564" s="59" t="str">
        <f t="shared" si="81"/>
        <v>RESIDENTIAL SERVICE CLASSIFICATION</v>
      </c>
      <c r="B564" s="1032"/>
      <c r="C564" s="390"/>
      <c r="D564" s="318"/>
      <c r="E564" s="319"/>
      <c r="F564" s="364"/>
      <c r="G564" s="236"/>
      <c r="H564" s="365"/>
      <c r="I564" s="364"/>
      <c r="J564" s="366"/>
      <c r="K564" s="365"/>
      <c r="L564" s="367"/>
      <c r="M564" s="239"/>
    </row>
    <row r="565" spans="1:13" hidden="1" x14ac:dyDescent="0.2">
      <c r="A565" s="59" t="str">
        <f t="shared" si="81"/>
        <v>RESIDENTIAL SERVICE CLASSIFICATION</v>
      </c>
      <c r="B565" s="1032" t="s">
        <v>1647</v>
      </c>
      <c r="C565" s="390"/>
      <c r="D565" s="322" t="s">
        <v>365</v>
      </c>
      <c r="E565" s="305"/>
      <c r="F565" s="337"/>
      <c r="G565" s="368"/>
      <c r="H565" s="323">
        <f>SUM(H555:H561,H554)</f>
        <v>57.325919040000002</v>
      </c>
      <c r="I565" s="324"/>
      <c r="J565" s="324"/>
      <c r="K565" s="323">
        <f>SUM(K555:K561,K554)</f>
        <v>61.062808800000006</v>
      </c>
      <c r="L565" s="325">
        <f>K565-H565</f>
        <v>3.7368897600000039</v>
      </c>
      <c r="M565" s="326">
        <f>IF((H565)=0,"",(L565/H565))</f>
        <v>6.5186739655975406E-2</v>
      </c>
    </row>
    <row r="566" spans="1:13" hidden="1" x14ac:dyDescent="0.2">
      <c r="A566" s="59" t="str">
        <f t="shared" si="81"/>
        <v>RESIDENTIAL SERVICE CLASSIFICATION</v>
      </c>
      <c r="B566" s="1032" t="s">
        <v>1647</v>
      </c>
      <c r="C566" s="390"/>
      <c r="D566" s="327" t="s">
        <v>152</v>
      </c>
      <c r="E566" s="305"/>
      <c r="F566" s="337">
        <v>0.13</v>
      </c>
      <c r="G566" s="369"/>
      <c r="H566" s="328">
        <f>H565*F566</f>
        <v>7.4523694752000003</v>
      </c>
      <c r="I566" s="329">
        <v>0.13</v>
      </c>
      <c r="J566" s="330"/>
      <c r="K566" s="328">
        <f>K565*I566</f>
        <v>7.938165144000001</v>
      </c>
      <c r="L566" s="331">
        <f>K566-H566</f>
        <v>0.48579566880000069</v>
      </c>
      <c r="M566" s="332">
        <f>IF((H566)=0,"",(L566/H566))</f>
        <v>6.5186739655975434E-2</v>
      </c>
    </row>
    <row r="567" spans="1:13" hidden="1" x14ac:dyDescent="0.2">
      <c r="A567" s="59" t="str">
        <f t="shared" si="81"/>
        <v>RESIDENTIAL SERVICE CLASSIFICATION</v>
      </c>
      <c r="B567" s="1032" t="s">
        <v>1647</v>
      </c>
      <c r="C567" s="390"/>
      <c r="D567" s="327" t="s">
        <v>2904</v>
      </c>
      <c r="E567" s="305"/>
      <c r="F567" s="337">
        <v>0.08</v>
      </c>
      <c r="G567" s="369"/>
      <c r="H567" s="328">
        <f>H565*-F567</f>
        <v>-4.5860735232000005</v>
      </c>
      <c r="I567" s="337">
        <v>0.08</v>
      </c>
      <c r="J567" s="330"/>
      <c r="K567" s="328">
        <f>K565*-I567</f>
        <v>-4.885024704000001</v>
      </c>
      <c r="L567" s="331">
        <f>K567-H567</f>
        <v>-0.29895118080000049</v>
      </c>
      <c r="M567" s="332"/>
    </row>
    <row r="568" spans="1:13" ht="13.5" hidden="1" thickBot="1" x14ac:dyDescent="0.25">
      <c r="A568" s="59" t="str">
        <f t="shared" si="81"/>
        <v>RESIDENTIAL SERVICE CLASSIFICATION</v>
      </c>
      <c r="B568" s="1032" t="s">
        <v>1659</v>
      </c>
      <c r="C568" s="390"/>
      <c r="D568" s="1863" t="s">
        <v>1660</v>
      </c>
      <c r="E568" s="1863"/>
      <c r="F568" s="370"/>
      <c r="G568" s="371"/>
      <c r="H568" s="338">
        <f>H565+H566+H567</f>
        <v>60.192214992000004</v>
      </c>
      <c r="I568" s="334"/>
      <c r="J568" s="334"/>
      <c r="K568" s="333">
        <f>K565+K566+K567</f>
        <v>64.115949240000006</v>
      </c>
      <c r="L568" s="335">
        <f>K568-H568</f>
        <v>3.9237342480000024</v>
      </c>
      <c r="M568" s="336">
        <f>IF((H568)=0,"",(L568/H568))</f>
        <v>6.5186739655975379E-2</v>
      </c>
    </row>
    <row r="569" spans="1:13" ht="13.5" hidden="1" thickBot="1" x14ac:dyDescent="0.25">
      <c r="A569" s="59" t="str">
        <f t="shared" si="81"/>
        <v>RESIDENTIAL SERVICE CLASSIFICATION</v>
      </c>
      <c r="B569" s="59" t="s">
        <v>1647</v>
      </c>
      <c r="C569" s="390"/>
      <c r="D569" s="318"/>
      <c r="E569" s="319"/>
      <c r="F569" s="364"/>
      <c r="G569" s="236"/>
      <c r="H569" s="365"/>
      <c r="I569" s="364"/>
      <c r="J569" s="366"/>
      <c r="K569" s="365"/>
      <c r="L569" s="367"/>
      <c r="M569" s="239"/>
    </row>
    <row r="570" spans="1:13" x14ac:dyDescent="0.2">
      <c r="A570" s="59" t="str">
        <f t="shared" si="81"/>
        <v>RESIDENTIAL SERVICE CLASSIFICATION</v>
      </c>
      <c r="B570" s="59" t="s">
        <v>1648</v>
      </c>
      <c r="C570" s="390"/>
      <c r="D570" s="322" t="s">
        <v>1661</v>
      </c>
      <c r="E570" s="305"/>
      <c r="F570" s="337"/>
      <c r="G570" s="368"/>
      <c r="H570" s="323">
        <f>SUM(H562,H555:H558,H554)</f>
        <v>65.871359040000002</v>
      </c>
      <c r="I570" s="324"/>
      <c r="J570" s="324"/>
      <c r="K570" s="323">
        <f>SUM(K562,K555:K558,K554)</f>
        <v>69.608248800000013</v>
      </c>
      <c r="L570" s="325">
        <f>K570-H570</f>
        <v>3.7368897600000111</v>
      </c>
      <c r="M570" s="326">
        <f>IF((H570)=0,"",(L570/H570))</f>
        <v>5.6730114794364669E-2</v>
      </c>
    </row>
    <row r="571" spans="1:13" x14ac:dyDescent="0.2">
      <c r="A571" s="59" t="str">
        <f t="shared" si="81"/>
        <v>RESIDENTIAL SERVICE CLASSIFICATION</v>
      </c>
      <c r="B571" s="59" t="s">
        <v>1648</v>
      </c>
      <c r="C571" s="390"/>
      <c r="D571" s="327" t="s">
        <v>152</v>
      </c>
      <c r="E571" s="305"/>
      <c r="F571" s="337">
        <v>0.13</v>
      </c>
      <c r="G571" s="368"/>
      <c r="H571" s="328">
        <f>H570*F571</f>
        <v>8.5632766752000009</v>
      </c>
      <c r="I571" s="337">
        <v>0.13</v>
      </c>
      <c r="J571" s="329"/>
      <c r="K571" s="328">
        <f>K570*I571</f>
        <v>9.0490723440000025</v>
      </c>
      <c r="L571" s="331">
        <f>K571-H571</f>
        <v>0.48579566880000158</v>
      </c>
      <c r="M571" s="332">
        <f>IF((H571)=0,"",(L571/H571))</f>
        <v>5.6730114794364683E-2</v>
      </c>
    </row>
    <row r="572" spans="1:13" x14ac:dyDescent="0.2">
      <c r="A572" s="59" t="str">
        <f t="shared" si="81"/>
        <v>RESIDENTIAL SERVICE CLASSIFICATION</v>
      </c>
      <c r="B572" s="59" t="s">
        <v>1648</v>
      </c>
      <c r="C572" s="390"/>
      <c r="D572" s="327" t="s">
        <v>2904</v>
      </c>
      <c r="E572" s="305"/>
      <c r="F572" s="337">
        <v>0.08</v>
      </c>
      <c r="G572" s="368"/>
      <c r="H572" s="877"/>
      <c r="I572" s="337">
        <v>0.08</v>
      </c>
      <c r="J572" s="329"/>
      <c r="K572" s="877"/>
      <c r="L572" s="331"/>
      <c r="M572" s="332"/>
    </row>
    <row r="573" spans="1:13" ht="13.5" thickBot="1" x14ac:dyDescent="0.25">
      <c r="A573" s="59" t="str">
        <f t="shared" si="81"/>
        <v>RESIDENTIAL SERVICE CLASSIFICATION</v>
      </c>
      <c r="B573" s="59" t="s">
        <v>1662</v>
      </c>
      <c r="C573" s="390">
        <f>B38</f>
        <v>9</v>
      </c>
      <c r="D573" s="1863" t="s">
        <v>1661</v>
      </c>
      <c r="E573" s="1863"/>
      <c r="F573" s="372"/>
      <c r="G573" s="373"/>
      <c r="H573" s="338">
        <f>SUM(H570,H571)</f>
        <v>74.434635715200002</v>
      </c>
      <c r="I573" s="339"/>
      <c r="J573" s="339"/>
      <c r="K573" s="338">
        <f>SUM(K570,K571)</f>
        <v>78.657321144000008</v>
      </c>
      <c r="L573" s="340">
        <f>K573-H573</f>
        <v>4.2226854288000055</v>
      </c>
      <c r="M573" s="341">
        <f>IF((H573)=0,"",(L573/H573))</f>
        <v>5.6730114794364579E-2</v>
      </c>
    </row>
    <row r="574" spans="1:13" ht="13.5" thickBot="1" x14ac:dyDescent="0.25">
      <c r="A574" s="59" t="str">
        <f t="shared" si="81"/>
        <v>RESIDENTIAL SERVICE CLASSIFICATION</v>
      </c>
      <c r="B574" s="59" t="s">
        <v>1648</v>
      </c>
      <c r="C574" s="390"/>
      <c r="D574" s="318"/>
      <c r="E574" s="319"/>
      <c r="F574" s="233"/>
      <c r="G574" s="234"/>
      <c r="H574" s="235"/>
      <c r="I574" s="233"/>
      <c r="J574" s="236"/>
      <c r="K574" s="235"/>
      <c r="L574" s="238"/>
      <c r="M574" s="239"/>
    </row>
    <row r="575" spans="1:13" hidden="1" x14ac:dyDescent="0.2">
      <c r="A575" s="59" t="str">
        <f t="shared" si="81"/>
        <v>RESIDENTIAL SERVICE CLASSIFICATION</v>
      </c>
      <c r="B575" s="59" t="s">
        <v>1649</v>
      </c>
      <c r="C575" s="390"/>
      <c r="D575" s="322" t="s">
        <v>1663</v>
      </c>
      <c r="E575" s="305"/>
      <c r="F575" s="337"/>
      <c r="G575" s="368"/>
      <c r="H575" s="323">
        <f>SUM(H563,H555:H558,H554)</f>
        <v>65.871359040000002</v>
      </c>
      <c r="I575" s="324"/>
      <c r="J575" s="324"/>
      <c r="K575" s="323">
        <f>SUM(K563,K555:K558,K554)</f>
        <v>69.608248800000013</v>
      </c>
      <c r="L575" s="325">
        <f>K575-H575</f>
        <v>3.7368897600000111</v>
      </c>
      <c r="M575" s="326">
        <f>IF((H575)=0,"",(L575/H575))</f>
        <v>5.6730114794364669E-2</v>
      </c>
    </row>
    <row r="576" spans="1:13" hidden="1" x14ac:dyDescent="0.2">
      <c r="A576" s="59" t="str">
        <f t="shared" si="81"/>
        <v>RESIDENTIAL SERVICE CLASSIFICATION</v>
      </c>
      <c r="B576" s="59" t="s">
        <v>1649</v>
      </c>
      <c r="C576" s="390"/>
      <c r="D576" s="327" t="s">
        <v>152</v>
      </c>
      <c r="E576" s="305"/>
      <c r="F576" s="337">
        <v>0.13</v>
      </c>
      <c r="G576" s="368"/>
      <c r="H576" s="328">
        <f>H575*F576</f>
        <v>8.5632766752000009</v>
      </c>
      <c r="I576" s="337">
        <v>0.13</v>
      </c>
      <c r="J576" s="329"/>
      <c r="K576" s="328">
        <f>K575*I576</f>
        <v>9.0490723440000025</v>
      </c>
      <c r="L576" s="331">
        <f>K576-H576</f>
        <v>0.48579566880000158</v>
      </c>
      <c r="M576" s="332">
        <f>IF((H576)=0,"",(L576/H576))</f>
        <v>5.6730114794364683E-2</v>
      </c>
    </row>
    <row r="577" spans="1:20" hidden="1" x14ac:dyDescent="0.2">
      <c r="A577" s="59" t="str">
        <f t="shared" si="81"/>
        <v>RESIDENTIAL SERVICE CLASSIFICATION</v>
      </c>
      <c r="B577" s="59" t="s">
        <v>1649</v>
      </c>
      <c r="C577" s="390"/>
      <c r="D577" s="327" t="s">
        <v>2904</v>
      </c>
      <c r="E577" s="305"/>
      <c r="F577" s="337">
        <v>0.08</v>
      </c>
      <c r="G577" s="368"/>
      <c r="H577" s="877"/>
      <c r="I577" s="337">
        <v>0.08</v>
      </c>
      <c r="J577" s="329"/>
      <c r="K577" s="877"/>
      <c r="L577" s="331"/>
      <c r="M577" s="332"/>
    </row>
    <row r="578" spans="1:20" ht="13.5" hidden="1" thickBot="1" x14ac:dyDescent="0.25">
      <c r="A578" s="59" t="str">
        <f t="shared" si="81"/>
        <v>RESIDENTIAL SERVICE CLASSIFICATION</v>
      </c>
      <c r="B578" s="59" t="s">
        <v>1664</v>
      </c>
      <c r="C578" s="390"/>
      <c r="D578" s="1863" t="s">
        <v>1663</v>
      </c>
      <c r="E578" s="1863"/>
      <c r="F578" s="372"/>
      <c r="G578" s="373"/>
      <c r="H578" s="338">
        <f>SUM(H575,H576)</f>
        <v>74.434635715200002</v>
      </c>
      <c r="I578" s="339"/>
      <c r="J578" s="339"/>
      <c r="K578" s="338">
        <f>SUM(K575,K576)</f>
        <v>78.657321144000008</v>
      </c>
      <c r="L578" s="340">
        <f>K578-H578</f>
        <v>4.2226854288000055</v>
      </c>
      <c r="M578" s="341">
        <f>IF((H578)=0,"",(L578/H578))</f>
        <v>5.6730114794364579E-2</v>
      </c>
    </row>
    <row r="579" spans="1:20" ht="13.5" hidden="1" thickBot="1" x14ac:dyDescent="0.25">
      <c r="A579" s="59" t="str">
        <f t="shared" si="81"/>
        <v>RESIDENTIAL SERVICE CLASSIFICATION</v>
      </c>
      <c r="B579" s="59" t="s">
        <v>1649</v>
      </c>
      <c r="C579" s="390"/>
      <c r="D579" s="318"/>
      <c r="E579" s="319"/>
      <c r="F579" s="342"/>
      <c r="G579" s="343"/>
      <c r="H579" s="344"/>
      <c r="I579" s="342"/>
      <c r="J579" s="320"/>
      <c r="K579" s="344"/>
      <c r="L579" s="345"/>
      <c r="M579" s="321"/>
    </row>
    <row r="582" spans="1:20" x14ac:dyDescent="0.2">
      <c r="C582" s="59"/>
      <c r="D582" s="290" t="s">
        <v>1652</v>
      </c>
      <c r="E582" s="1872" t="str">
        <f>D39</f>
        <v>GENERAL SERVICE LESS THAN 50 KW SERVICE CLASSIFICATION</v>
      </c>
      <c r="F582" s="1872"/>
      <c r="G582" s="1872"/>
      <c r="H582" s="1872"/>
      <c r="I582" s="1872"/>
      <c r="J582" s="1872"/>
      <c r="K582" s="59" t="str">
        <f>IF(N39="DEMAND - INTERVAL","RTSR - INTERVAL METERED","")</f>
        <v/>
      </c>
      <c r="T582" s="59" t="s">
        <v>628</v>
      </c>
    </row>
    <row r="583" spans="1:20" x14ac:dyDescent="0.2">
      <c r="C583" s="59"/>
      <c r="D583" s="290" t="s">
        <v>1653</v>
      </c>
      <c r="E583" s="1873" t="str">
        <f>H39</f>
        <v>Non-RPP (Retailer)</v>
      </c>
      <c r="F583" s="1873"/>
      <c r="G583" s="1873"/>
      <c r="H583" s="291"/>
      <c r="I583" s="291"/>
    </row>
    <row r="584" spans="1:20" ht="15.75" x14ac:dyDescent="0.2">
      <c r="C584" s="59"/>
      <c r="D584" s="290" t="s">
        <v>157</v>
      </c>
      <c r="E584" s="1613">
        <f>K39</f>
        <v>2000</v>
      </c>
      <c r="F584" s="293" t="s">
        <v>158</v>
      </c>
      <c r="G584" s="1032"/>
      <c r="J584" s="294"/>
      <c r="K584" s="294"/>
      <c r="L584" s="294"/>
      <c r="M584" s="294"/>
    </row>
    <row r="585" spans="1:20" ht="15.75" x14ac:dyDescent="0.25">
      <c r="C585" s="59"/>
      <c r="D585" s="290" t="s">
        <v>369</v>
      </c>
      <c r="E585" s="1613">
        <f>L39</f>
        <v>0</v>
      </c>
      <c r="F585" s="295" t="s">
        <v>159</v>
      </c>
      <c r="G585" s="296"/>
      <c r="H585" s="297"/>
      <c r="I585" s="297"/>
      <c r="J585" s="297"/>
    </row>
    <row r="586" spans="1:20" x14ac:dyDescent="0.2">
      <c r="C586" s="59"/>
      <c r="D586" s="290" t="s">
        <v>1684</v>
      </c>
      <c r="E586" s="298">
        <f>I39</f>
        <v>1.0819000000000001</v>
      </c>
    </row>
    <row r="587" spans="1:20" x14ac:dyDescent="0.2">
      <c r="C587" s="59"/>
      <c r="D587" s="290" t="s">
        <v>1685</v>
      </c>
      <c r="E587" s="298">
        <f>J39</f>
        <v>1.0819000000000001</v>
      </c>
    </row>
    <row r="588" spans="1:20" x14ac:dyDescent="0.2">
      <c r="C588" s="59"/>
      <c r="D588" s="1032"/>
    </row>
    <row r="589" spans="1:20" x14ac:dyDescent="0.2">
      <c r="C589" s="59"/>
      <c r="D589" s="1032"/>
      <c r="E589" s="299"/>
      <c r="F589" s="1864" t="s">
        <v>2271</v>
      </c>
      <c r="G589" s="1874"/>
      <c r="H589" s="1865"/>
      <c r="I589" s="1864" t="s">
        <v>350</v>
      </c>
      <c r="J589" s="1874"/>
      <c r="K589" s="1865"/>
      <c r="L589" s="1864" t="s">
        <v>351</v>
      </c>
      <c r="M589" s="1865"/>
    </row>
    <row r="590" spans="1:20" x14ac:dyDescent="0.2">
      <c r="C590" s="59"/>
      <c r="D590" s="1032"/>
      <c r="E590" s="1866"/>
      <c r="F590" s="300" t="s">
        <v>352</v>
      </c>
      <c r="G590" s="300" t="s">
        <v>150</v>
      </c>
      <c r="H590" s="301" t="s">
        <v>353</v>
      </c>
      <c r="I590" s="300" t="s">
        <v>352</v>
      </c>
      <c r="J590" s="302" t="s">
        <v>150</v>
      </c>
      <c r="K590" s="301" t="s">
        <v>353</v>
      </c>
      <c r="L590" s="1868" t="s">
        <v>354</v>
      </c>
      <c r="M590" s="1870" t="s">
        <v>355</v>
      </c>
    </row>
    <row r="591" spans="1:20" x14ac:dyDescent="0.2">
      <c r="C591" s="59"/>
      <c r="D591" s="1032"/>
      <c r="E591" s="1867"/>
      <c r="F591" s="303" t="s">
        <v>356</v>
      </c>
      <c r="G591" s="303"/>
      <c r="H591" s="304" t="s">
        <v>356</v>
      </c>
      <c r="I591" s="303" t="s">
        <v>356</v>
      </c>
      <c r="J591" s="304"/>
      <c r="K591" s="304" t="s">
        <v>356</v>
      </c>
      <c r="L591" s="1869"/>
      <c r="M591" s="1871"/>
    </row>
    <row r="592" spans="1:20" x14ac:dyDescent="0.2">
      <c r="A592" s="59" t="str">
        <f>$E582</f>
        <v>GENERAL SERVICE LESS THAN 50 KW SERVICE CLASSIFICATION</v>
      </c>
      <c r="C592" s="390"/>
      <c r="D592" s="69" t="s">
        <v>357</v>
      </c>
      <c r="E592" s="348"/>
      <c r="F592" s="374">
        <v>30.79</v>
      </c>
      <c r="G592" s="330">
        <v>1</v>
      </c>
      <c r="H592" s="375">
        <f>G592*F592</f>
        <v>30.79</v>
      </c>
      <c r="I592" s="376">
        <v>31.07</v>
      </c>
      <c r="J592" s="357">
        <f>G592</f>
        <v>1</v>
      </c>
      <c r="K592" s="375">
        <f>J592*I592</f>
        <v>31.07</v>
      </c>
      <c r="L592" s="358">
        <f t="shared" ref="L592:L612" si="86">K592-H592</f>
        <v>0.28000000000000114</v>
      </c>
      <c r="M592" s="377">
        <f>IF(ISERROR(L592/H592), "", L592/H592)</f>
        <v>9.0938616433907486E-3</v>
      </c>
    </row>
    <row r="593" spans="1:13" x14ac:dyDescent="0.2">
      <c r="A593" s="59" t="str">
        <f>A592</f>
        <v>GENERAL SERVICE LESS THAN 50 KW SERVICE CLASSIFICATION</v>
      </c>
      <c r="C593" s="390"/>
      <c r="D593" s="69" t="s">
        <v>84</v>
      </c>
      <c r="E593" s="348"/>
      <c r="F593" s="354">
        <v>1.11E-2</v>
      </c>
      <c r="G593" s="330">
        <f>IF($E585&gt;0, $E585, $E584)</f>
        <v>2000</v>
      </c>
      <c r="H593" s="375">
        <f t="shared" ref="H593:H605" si="87">G593*F593</f>
        <v>22.2</v>
      </c>
      <c r="I593" s="351">
        <v>1.12E-2</v>
      </c>
      <c r="J593" s="357">
        <f>IF($E585&gt;0, $E585, $E584)</f>
        <v>2000</v>
      </c>
      <c r="K593" s="375">
        <f>J593*I593</f>
        <v>22.4</v>
      </c>
      <c r="L593" s="358">
        <f t="shared" si="86"/>
        <v>0.19999999999999929</v>
      </c>
      <c r="M593" s="377">
        <f t="shared" ref="M593:M603" si="88">IF(ISERROR(L593/H593), "", L593/H593)</f>
        <v>9.0090090090089777E-3</v>
      </c>
    </row>
    <row r="594" spans="1:13" hidden="1" x14ac:dyDescent="0.2">
      <c r="A594" s="59" t="str">
        <f t="shared" ref="A594:A635" si="89">A593</f>
        <v>GENERAL SERVICE LESS THAN 50 KW SERVICE CLASSIFICATION</v>
      </c>
      <c r="C594" s="390"/>
      <c r="D594" s="69" t="s">
        <v>5950</v>
      </c>
      <c r="E594" s="348"/>
      <c r="F594" s="354"/>
      <c r="G594" s="330">
        <f>IF($E585&gt;0, $E585, $E584)</f>
        <v>2000</v>
      </c>
      <c r="H594" s="375">
        <v>0</v>
      </c>
      <c r="I594" s="351"/>
      <c r="J594" s="357">
        <f>IF($E585&gt;0, $E585, $E584)</f>
        <v>2000</v>
      </c>
      <c r="K594" s="375">
        <v>0</v>
      </c>
      <c r="L594" s="358"/>
      <c r="M594" s="377"/>
    </row>
    <row r="595" spans="1:13" hidden="1" x14ac:dyDescent="0.2">
      <c r="A595" s="59" t="str">
        <f t="shared" si="89"/>
        <v>GENERAL SERVICE LESS THAN 50 KW SERVICE CLASSIFICATION</v>
      </c>
      <c r="C595" s="390"/>
      <c r="D595" s="69" t="s">
        <v>4872</v>
      </c>
      <c r="E595" s="348"/>
      <c r="F595" s="354"/>
      <c r="G595" s="330">
        <f>IF($E585&gt;0, $E585, $E584)</f>
        <v>2000</v>
      </c>
      <c r="H595" s="375">
        <v>0</v>
      </c>
      <c r="I595" s="351"/>
      <c r="J595" s="330">
        <f>IF($E585&gt;0, $E585, $E584)</f>
        <v>2000</v>
      </c>
      <c r="K595" s="375">
        <v>0</v>
      </c>
      <c r="L595" s="358">
        <f>K595-H595</f>
        <v>0</v>
      </c>
      <c r="M595" s="377" t="str">
        <f>IF(ISERROR(L595/H595), "", L595/H595)</f>
        <v/>
      </c>
    </row>
    <row r="596" spans="1:13" x14ac:dyDescent="0.2">
      <c r="A596" s="59" t="str">
        <f t="shared" si="89"/>
        <v>GENERAL SERVICE LESS THAN 50 KW SERVICE CLASSIFICATION</v>
      </c>
      <c r="C596" s="390"/>
      <c r="D596" s="70" t="s">
        <v>367</v>
      </c>
      <c r="E596" s="348"/>
      <c r="F596" s="374">
        <v>1.1399999999999999</v>
      </c>
      <c r="G596" s="330">
        <v>1</v>
      </c>
      <c r="H596" s="375">
        <f t="shared" si="87"/>
        <v>1.1399999999999999</v>
      </c>
      <c r="I596" s="376">
        <v>1.1399999999999999</v>
      </c>
      <c r="J596" s="357">
        <f>G596</f>
        <v>1</v>
      </c>
      <c r="K596" s="375">
        <f t="shared" ref="K596:K603" si="90">J596*I596</f>
        <v>1.1399999999999999</v>
      </c>
      <c r="L596" s="358">
        <f t="shared" si="86"/>
        <v>0</v>
      </c>
      <c r="M596" s="377">
        <f t="shared" si="88"/>
        <v>0</v>
      </c>
    </row>
    <row r="597" spans="1:13" x14ac:dyDescent="0.2">
      <c r="A597" s="59" t="str">
        <f t="shared" si="89"/>
        <v>GENERAL SERVICE LESS THAN 50 KW SERVICE CLASSIFICATION</v>
      </c>
      <c r="C597" s="390"/>
      <c r="D597" s="69" t="s">
        <v>368</v>
      </c>
      <c r="E597" s="348"/>
      <c r="F597" s="354">
        <v>5.0000000000000001E-4</v>
      </c>
      <c r="G597" s="330">
        <f>IF($E585&gt;0, $E585, $E584)</f>
        <v>2000</v>
      </c>
      <c r="H597" s="375">
        <f t="shared" si="87"/>
        <v>1</v>
      </c>
      <c r="I597" s="351">
        <v>5.9999999999999995E-4</v>
      </c>
      <c r="J597" s="357">
        <f>IF($E585&gt;0, $E585, $E584)</f>
        <v>2000</v>
      </c>
      <c r="K597" s="375">
        <f t="shared" si="90"/>
        <v>1.2</v>
      </c>
      <c r="L597" s="358">
        <f t="shared" si="86"/>
        <v>0.19999999999999996</v>
      </c>
      <c r="M597" s="377">
        <f t="shared" si="88"/>
        <v>0.19999999999999996</v>
      </c>
    </row>
    <row r="598" spans="1:13" x14ac:dyDescent="0.2">
      <c r="A598" s="59" t="str">
        <f t="shared" si="89"/>
        <v>GENERAL SERVICE LESS THAN 50 KW SERVICE CLASSIFICATION</v>
      </c>
      <c r="B598" s="306" t="s">
        <v>1654</v>
      </c>
      <c r="C598" s="390">
        <f>B39</f>
        <v>10</v>
      </c>
      <c r="D598" s="307" t="s">
        <v>358</v>
      </c>
      <c r="E598" s="308"/>
      <c r="F598" s="378"/>
      <c r="G598" s="898"/>
      <c r="H598" s="899">
        <f>SUM(H592:H597)</f>
        <v>55.129999999999995</v>
      </c>
      <c r="I598" s="379"/>
      <c r="J598" s="315"/>
      <c r="K598" s="899">
        <f>SUM(K592:K597)</f>
        <v>55.81</v>
      </c>
      <c r="L598" s="309">
        <f t="shared" si="86"/>
        <v>0.68000000000000682</v>
      </c>
      <c r="M598" s="310">
        <f>IF((H598)=0,"",(L598/H598))</f>
        <v>1.2334482133139976E-2</v>
      </c>
    </row>
    <row r="599" spans="1:13" x14ac:dyDescent="0.2">
      <c r="A599" s="59" t="str">
        <f t="shared" si="89"/>
        <v>GENERAL SERVICE LESS THAN 50 KW SERVICE CLASSIFICATION</v>
      </c>
      <c r="C599" s="390"/>
      <c r="D599" s="73" t="s">
        <v>430</v>
      </c>
      <c r="E599" s="348"/>
      <c r="F599" s="354">
        <f>IF((E584*12&gt;=150000), 0, IF(E583="RPP",(F615*0.65+F616*0.17+F617*0.18),IF(E583="Non-RPP (Retailer)",F618,F619)))</f>
        <v>0.1101</v>
      </c>
      <c r="G599" s="361">
        <f>IF(F599=0, 0, $E584*E586-E584)</f>
        <v>163.80000000000018</v>
      </c>
      <c r="H599" s="375">
        <f>G599*F599</f>
        <v>18.03438000000002</v>
      </c>
      <c r="I599" s="351">
        <f>IF((E584*12&gt;=150000), 0, IF(E583="RPP",(I615*0.65+I616*0.17+I617*0.18),IF(E583="Non-RPP (Retailer)",I618,I619)))</f>
        <v>0.1101</v>
      </c>
      <c r="J599" s="361">
        <f>IF(I599=0, 0, E584*E587-E584)</f>
        <v>163.80000000000018</v>
      </c>
      <c r="K599" s="375">
        <f>J599*I599</f>
        <v>18.03438000000002</v>
      </c>
      <c r="L599" s="358">
        <f>K599-H599</f>
        <v>0</v>
      </c>
      <c r="M599" s="377">
        <f>IF(ISERROR(L599/H599), "", L599/H599)</f>
        <v>0</v>
      </c>
    </row>
    <row r="600" spans="1:13" ht="25.5" x14ac:dyDescent="0.2">
      <c r="A600" s="59" t="str">
        <f t="shared" si="89"/>
        <v>GENERAL SERVICE LESS THAN 50 KW SERVICE CLASSIFICATION</v>
      </c>
      <c r="C600" s="390"/>
      <c r="D600" s="73" t="s">
        <v>366</v>
      </c>
      <c r="E600" s="348"/>
      <c r="F600" s="354">
        <v>-2.0999999999999999E-3</v>
      </c>
      <c r="G600" s="362">
        <f>IF($E585&gt;0, $E585, $E584)</f>
        <v>2000</v>
      </c>
      <c r="H600" s="375">
        <f t="shared" si="87"/>
        <v>-4.2</v>
      </c>
      <c r="I600" s="351">
        <v>-1.8E-3</v>
      </c>
      <c r="J600" s="362">
        <f>IF($E585&gt;0, $E585, $E584)</f>
        <v>2000</v>
      </c>
      <c r="K600" s="375">
        <f t="shared" si="90"/>
        <v>-3.6</v>
      </c>
      <c r="L600" s="358">
        <f t="shared" si="86"/>
        <v>0.60000000000000009</v>
      </c>
      <c r="M600" s="377">
        <f t="shared" si="88"/>
        <v>-0.14285714285714288</v>
      </c>
    </row>
    <row r="601" spans="1:13" x14ac:dyDescent="0.2">
      <c r="A601" s="59" t="str">
        <f t="shared" si="89"/>
        <v>GENERAL SERVICE LESS THAN 50 KW SERVICE CLASSIFICATION</v>
      </c>
      <c r="C601" s="390"/>
      <c r="D601" s="73" t="s">
        <v>2885</v>
      </c>
      <c r="E601" s="348"/>
      <c r="F601" s="354">
        <v>0</v>
      </c>
      <c r="G601" s="362">
        <f>IF($E585&gt;0, $E585, $E584)</f>
        <v>2000</v>
      </c>
      <c r="H601" s="375">
        <f>G601*F601</f>
        <v>0</v>
      </c>
      <c r="I601" s="351">
        <v>0</v>
      </c>
      <c r="J601" s="362">
        <f>IF($E585&gt;0, $E585, $E584)</f>
        <v>2000</v>
      </c>
      <c r="K601" s="375">
        <f>J601*I601</f>
        <v>0</v>
      </c>
      <c r="L601" s="358">
        <f t="shared" si="86"/>
        <v>0</v>
      </c>
      <c r="M601" s="377" t="str">
        <f t="shared" si="88"/>
        <v/>
      </c>
    </row>
    <row r="602" spans="1:13" x14ac:dyDescent="0.2">
      <c r="A602" s="59" t="str">
        <f t="shared" si="89"/>
        <v>GENERAL SERVICE LESS THAN 50 KW SERVICE CLASSIFICATION</v>
      </c>
      <c r="C602" s="390"/>
      <c r="D602" s="73" t="s">
        <v>2281</v>
      </c>
      <c r="E602" s="348"/>
      <c r="F602" s="354">
        <v>6.9999999999999999E-4</v>
      </c>
      <c r="G602" s="362">
        <f>E584</f>
        <v>2000</v>
      </c>
      <c r="H602" s="375">
        <f>G602*F602</f>
        <v>1.4</v>
      </c>
      <c r="I602" s="351">
        <v>2E-3</v>
      </c>
      <c r="J602" s="362">
        <f>E584</f>
        <v>2000</v>
      </c>
      <c r="K602" s="375">
        <f t="shared" si="90"/>
        <v>4</v>
      </c>
      <c r="L602" s="358">
        <f t="shared" si="86"/>
        <v>2.6</v>
      </c>
      <c r="M602" s="377">
        <f t="shared" si="88"/>
        <v>1.8571428571428574</v>
      </c>
    </row>
    <row r="603" spans="1:13" x14ac:dyDescent="0.2">
      <c r="A603" s="59" t="str">
        <f t="shared" si="89"/>
        <v>GENERAL SERVICE LESS THAN 50 KW SERVICE CLASSIFICATION</v>
      </c>
      <c r="C603" s="390"/>
      <c r="D603" s="75" t="s">
        <v>145</v>
      </c>
      <c r="E603" s="348"/>
      <c r="F603" s="354">
        <v>4.4999999999999997E-3</v>
      </c>
      <c r="G603" s="362">
        <f>IF($E585&gt;0, $E585, $E584)</f>
        <v>2000</v>
      </c>
      <c r="H603" s="375">
        <f t="shared" si="87"/>
        <v>9</v>
      </c>
      <c r="I603" s="351">
        <v>4.4999999999999997E-3</v>
      </c>
      <c r="J603" s="362">
        <f>IF($E585&gt;0, $E585, $E584)</f>
        <v>2000</v>
      </c>
      <c r="K603" s="375">
        <f t="shared" si="90"/>
        <v>9</v>
      </c>
      <c r="L603" s="358">
        <f t="shared" si="86"/>
        <v>0</v>
      </c>
      <c r="M603" s="377">
        <f t="shared" si="88"/>
        <v>0</v>
      </c>
    </row>
    <row r="604" spans="1:13" ht="25.5" x14ac:dyDescent="0.2">
      <c r="A604" s="59" t="str">
        <f t="shared" si="89"/>
        <v>GENERAL SERVICE LESS THAN 50 KW SERVICE CLASSIFICATION</v>
      </c>
      <c r="C604" s="390"/>
      <c r="D604" s="429" t="s">
        <v>5951</v>
      </c>
      <c r="E604" s="348"/>
      <c r="F604" s="1001">
        <f>IF(OR(ISNUMBER(SEARCH("RESIDENTIAL", E582))=TRUE, ISNUMBER(SEARCH("GENERAL SERVICE LESS THAN 50", E582))=TRUE), SME, 0)</f>
        <v>0.56999999999999995</v>
      </c>
      <c r="G604" s="330">
        <v>1</v>
      </c>
      <c r="H604" s="375">
        <f>G604*F604</f>
        <v>0.56999999999999995</v>
      </c>
      <c r="I604" s="1002">
        <f>IF(OR(ISNUMBER(SEARCH("RESIDENTIAL", E582))=TRUE, ISNUMBER(SEARCH("GENERAL SERVICE LESS THAN 50", E582))=TRUE), SME, 0)</f>
        <v>0.56999999999999995</v>
      </c>
      <c r="J604" s="330">
        <v>1</v>
      </c>
      <c r="K604" s="375">
        <f>J604*I604</f>
        <v>0.56999999999999995</v>
      </c>
      <c r="L604" s="358">
        <f t="shared" si="86"/>
        <v>0</v>
      </c>
      <c r="M604" s="377">
        <f>IF(ISERROR(L604/H604), "", L604/H604)</f>
        <v>0</v>
      </c>
    </row>
    <row r="605" spans="1:13" x14ac:dyDescent="0.2">
      <c r="A605" s="59" t="str">
        <f t="shared" si="89"/>
        <v>GENERAL SERVICE LESS THAN 50 KW SERVICE CLASSIFICATION</v>
      </c>
      <c r="C605" s="390"/>
      <c r="D605" s="75" t="s">
        <v>4871</v>
      </c>
      <c r="E605" s="348"/>
      <c r="F605" s="374">
        <v>0</v>
      </c>
      <c r="G605" s="330">
        <v>1</v>
      </c>
      <c r="H605" s="375">
        <f t="shared" si="87"/>
        <v>0</v>
      </c>
      <c r="I605" s="376">
        <v>0</v>
      </c>
      <c r="J605" s="330">
        <v>1</v>
      </c>
      <c r="K605" s="375">
        <f>J605*I605</f>
        <v>0</v>
      </c>
      <c r="L605" s="358">
        <f>K605-H605</f>
        <v>0</v>
      </c>
      <c r="M605" s="377" t="str">
        <f>IF(ISERROR(L605/H605), "", L605/H605)</f>
        <v/>
      </c>
    </row>
    <row r="606" spans="1:13" x14ac:dyDescent="0.2">
      <c r="A606" s="59" t="str">
        <f t="shared" si="89"/>
        <v>GENERAL SERVICE LESS THAN 50 KW SERVICE CLASSIFICATION</v>
      </c>
      <c r="C606" s="390"/>
      <c r="D606" s="75" t="s">
        <v>4870</v>
      </c>
      <c r="E606" s="348"/>
      <c r="F606" s="354"/>
      <c r="G606" s="362">
        <f>IF($E585&gt;0, $E585, $E584)</f>
        <v>2000</v>
      </c>
      <c r="H606" s="375">
        <f>G606*F606</f>
        <v>0</v>
      </c>
      <c r="I606" s="351">
        <v>0</v>
      </c>
      <c r="J606" s="362">
        <f>IF($E585&gt;0, $E585, $E584)</f>
        <v>2000</v>
      </c>
      <c r="K606" s="375">
        <f>J606*I606</f>
        <v>0</v>
      </c>
      <c r="L606" s="358">
        <f t="shared" si="86"/>
        <v>0</v>
      </c>
      <c r="M606" s="377" t="str">
        <f>IF(ISERROR(L606/H606), "", L606/H606)</f>
        <v/>
      </c>
    </row>
    <row r="607" spans="1:13" ht="25.5" x14ac:dyDescent="0.2">
      <c r="A607" s="59" t="str">
        <f t="shared" si="89"/>
        <v>GENERAL SERVICE LESS THAN 50 KW SERVICE CLASSIFICATION</v>
      </c>
      <c r="B607" s="1032" t="s">
        <v>1655</v>
      </c>
      <c r="C607" s="390">
        <f>B39</f>
        <v>10</v>
      </c>
      <c r="D607" s="312" t="s">
        <v>1686</v>
      </c>
      <c r="E607" s="313"/>
      <c r="F607" s="349"/>
      <c r="G607" s="359"/>
      <c r="H607" s="314">
        <f>SUM(H598:H606)</f>
        <v>79.934380000000019</v>
      </c>
      <c r="I607" s="350"/>
      <c r="J607" s="360"/>
      <c r="K607" s="314">
        <f>SUM(K598:K606)</f>
        <v>83.814380000000028</v>
      </c>
      <c r="L607" s="309">
        <f t="shared" si="86"/>
        <v>3.8800000000000097</v>
      </c>
      <c r="M607" s="310">
        <f>IF((H607)=0,"",(L607/H607))</f>
        <v>4.8539814783075924E-2</v>
      </c>
    </row>
    <row r="608" spans="1:13" x14ac:dyDescent="0.2">
      <c r="A608" s="59" t="str">
        <f t="shared" si="89"/>
        <v>GENERAL SERVICE LESS THAN 50 KW SERVICE CLASSIFICATION</v>
      </c>
      <c r="C608" s="390"/>
      <c r="D608" s="77" t="s">
        <v>360</v>
      </c>
      <c r="E608" s="348"/>
      <c r="F608" s="354">
        <v>5.7999999999999996E-3</v>
      </c>
      <c r="G608" s="361">
        <f>IF($E585&gt;0, $E585, $E584*$E586)</f>
        <v>2163.8000000000002</v>
      </c>
      <c r="H608" s="375">
        <f>G608*F608</f>
        <v>12.550040000000001</v>
      </c>
      <c r="I608" s="351">
        <v>5.8999999999999999E-3</v>
      </c>
      <c r="J608" s="361">
        <f>IF($E585&gt;0, $E585, $E584*$E587)</f>
        <v>2163.8000000000002</v>
      </c>
      <c r="K608" s="375">
        <f>J608*I608</f>
        <v>12.76642</v>
      </c>
      <c r="L608" s="358">
        <f t="shared" si="86"/>
        <v>0.21637999999999913</v>
      </c>
      <c r="M608" s="377">
        <f>IF(ISERROR(L608/H608), "", L608/H608)</f>
        <v>1.7241379310344758E-2</v>
      </c>
    </row>
    <row r="609" spans="1:13" ht="25.5" x14ac:dyDescent="0.2">
      <c r="A609" s="59" t="str">
        <f t="shared" si="89"/>
        <v>GENERAL SERVICE LESS THAN 50 KW SERVICE CLASSIFICATION</v>
      </c>
      <c r="C609" s="390"/>
      <c r="D609" s="189" t="s">
        <v>370</v>
      </c>
      <c r="E609" s="348"/>
      <c r="F609" s="354">
        <v>4.7000000000000002E-3</v>
      </c>
      <c r="G609" s="361">
        <f>IF($E585&gt;0, $E585, $E584*$E586)</f>
        <v>2163.8000000000002</v>
      </c>
      <c r="H609" s="375">
        <f>G609*F609</f>
        <v>10.169860000000002</v>
      </c>
      <c r="I609" s="351">
        <v>4.7000000000000002E-3</v>
      </c>
      <c r="J609" s="361">
        <f>IF($E585&gt;0, $E585, $E584*$E587)</f>
        <v>2163.8000000000002</v>
      </c>
      <c r="K609" s="375">
        <f>J609*I609</f>
        <v>10.169860000000002</v>
      </c>
      <c r="L609" s="358">
        <f t="shared" si="86"/>
        <v>0</v>
      </c>
      <c r="M609" s="377">
        <f>IF(ISERROR(L609/H609), "", L609/H609)</f>
        <v>0</v>
      </c>
    </row>
    <row r="610" spans="1:13" ht="25.5" x14ac:dyDescent="0.2">
      <c r="A610" s="59" t="str">
        <f t="shared" si="89"/>
        <v>GENERAL SERVICE LESS THAN 50 KW SERVICE CLASSIFICATION</v>
      </c>
      <c r="B610" s="1032" t="s">
        <v>1656</v>
      </c>
      <c r="C610" s="390">
        <f>B39</f>
        <v>10</v>
      </c>
      <c r="D610" s="312" t="s">
        <v>1687</v>
      </c>
      <c r="E610" s="308"/>
      <c r="F610" s="349"/>
      <c r="G610" s="359"/>
      <c r="H610" s="314">
        <f>SUM(H607:H609)</f>
        <v>102.65428000000001</v>
      </c>
      <c r="I610" s="350"/>
      <c r="J610" s="315"/>
      <c r="K610" s="314">
        <f>SUM(K607:K609)</f>
        <v>106.75066000000002</v>
      </c>
      <c r="L610" s="309">
        <f t="shared" si="86"/>
        <v>4.0963800000000106</v>
      </c>
      <c r="M610" s="310">
        <f>IF((H610)=0,"",(L610/H610))</f>
        <v>3.9904619661255331E-2</v>
      </c>
    </row>
    <row r="611" spans="1:13" ht="25.5" x14ac:dyDescent="0.2">
      <c r="A611" s="59" t="str">
        <f t="shared" si="89"/>
        <v>GENERAL SERVICE LESS THAN 50 KW SERVICE CLASSIFICATION</v>
      </c>
      <c r="C611" s="390"/>
      <c r="D611" s="316" t="s">
        <v>361</v>
      </c>
      <c r="E611" s="348"/>
      <c r="F611" s="354">
        <v>3.6000000000000003E-3</v>
      </c>
      <c r="G611" s="361">
        <f>E584*E586</f>
        <v>2163.8000000000002</v>
      </c>
      <c r="H611" s="363">
        <f t="shared" ref="H611:H617" si="91">G611*F611</f>
        <v>7.7896800000000015</v>
      </c>
      <c r="I611" s="351">
        <v>3.6000000000000003E-3</v>
      </c>
      <c r="J611" s="361">
        <f>E584*E587</f>
        <v>2163.8000000000002</v>
      </c>
      <c r="K611" s="363">
        <f t="shared" ref="K611:K617" si="92">J611*I611</f>
        <v>7.7896800000000015</v>
      </c>
      <c r="L611" s="358">
        <f t="shared" si="86"/>
        <v>0</v>
      </c>
      <c r="M611" s="377">
        <f t="shared" ref="M611:M619" si="93">IF(ISERROR(L611/H611), "", L611/H611)</f>
        <v>0</v>
      </c>
    </row>
    <row r="612" spans="1:13" ht="25.5" x14ac:dyDescent="0.2">
      <c r="A612" s="59" t="str">
        <f t="shared" si="89"/>
        <v>GENERAL SERVICE LESS THAN 50 KW SERVICE CLASSIFICATION</v>
      </c>
      <c r="C612" s="390"/>
      <c r="D612" s="316" t="s">
        <v>362</v>
      </c>
      <c r="E612" s="348"/>
      <c r="F612" s="354">
        <f>'17. Regulatory Charges'!$D$16</f>
        <v>2.9999999999999997E-4</v>
      </c>
      <c r="G612" s="361">
        <f>E584*E586</f>
        <v>2163.8000000000002</v>
      </c>
      <c r="H612" s="363">
        <f t="shared" si="91"/>
        <v>0.64914000000000005</v>
      </c>
      <c r="I612" s="351">
        <v>2.9999999999999997E-4</v>
      </c>
      <c r="J612" s="361">
        <f>E584*E587</f>
        <v>2163.8000000000002</v>
      </c>
      <c r="K612" s="363">
        <f t="shared" si="92"/>
        <v>0.64914000000000005</v>
      </c>
      <c r="L612" s="358">
        <f t="shared" si="86"/>
        <v>0</v>
      </c>
      <c r="M612" s="377">
        <f t="shared" si="93"/>
        <v>0</v>
      </c>
    </row>
    <row r="613" spans="1:13" x14ac:dyDescent="0.2">
      <c r="A613" s="59" t="str">
        <f t="shared" si="89"/>
        <v>GENERAL SERVICE LESS THAN 50 KW SERVICE CLASSIFICATION</v>
      </c>
      <c r="C613" s="390"/>
      <c r="D613" s="305" t="s">
        <v>363</v>
      </c>
      <c r="E613" s="348"/>
      <c r="F613" s="1614"/>
      <c r="G613" s="1615"/>
      <c r="H613" s="1616"/>
      <c r="I613" s="1617"/>
      <c r="J613" s="1618"/>
      <c r="K613" s="1616"/>
      <c r="L613" s="1619"/>
      <c r="M613" s="1620"/>
    </row>
    <row r="614" spans="1:13" ht="25.5" hidden="1" x14ac:dyDescent="0.2">
      <c r="A614" s="59" t="str">
        <f t="shared" si="89"/>
        <v>GENERAL SERVICE LESS THAN 50 KW SERVICE CLASSIFICATION</v>
      </c>
      <c r="C614" s="390"/>
      <c r="D614" s="316" t="s">
        <v>1688</v>
      </c>
      <c r="E614" s="348"/>
      <c r="F614" s="354"/>
      <c r="G614" s="361"/>
      <c r="H614" s="363"/>
      <c r="I614" s="351"/>
      <c r="J614" s="361"/>
      <c r="K614" s="363"/>
      <c r="L614" s="358"/>
      <c r="M614" s="377"/>
    </row>
    <row r="615" spans="1:13" hidden="1" x14ac:dyDescent="0.2">
      <c r="A615" s="59" t="str">
        <f t="shared" si="89"/>
        <v>GENERAL SERVICE LESS THAN 50 KW SERVICE CLASSIFICATION</v>
      </c>
      <c r="B615" s="1032" t="s">
        <v>1647</v>
      </c>
      <c r="C615" s="390"/>
      <c r="D615" s="311" t="s">
        <v>228</v>
      </c>
      <c r="E615" s="348"/>
      <c r="F615" s="355">
        <f>OffPeak</f>
        <v>6.5000000000000002E-2</v>
      </c>
      <c r="G615" s="317">
        <f>IF(AND(E584*12&gt;=150000),0.65*E584*E586,0.65*E584)</f>
        <v>1300</v>
      </c>
      <c r="H615" s="363">
        <f t="shared" si="91"/>
        <v>84.5</v>
      </c>
      <c r="I615" s="352">
        <f>OffPeak</f>
        <v>6.5000000000000002E-2</v>
      </c>
      <c r="J615" s="317">
        <f>IF(AND(E584*12&gt;=150000),0.65*E584*E587,0.65*E584)</f>
        <v>1300</v>
      </c>
      <c r="K615" s="363">
        <f t="shared" si="92"/>
        <v>84.5</v>
      </c>
      <c r="L615" s="358">
        <f>K615-H615</f>
        <v>0</v>
      </c>
      <c r="M615" s="377">
        <f t="shared" si="93"/>
        <v>0</v>
      </c>
    </row>
    <row r="616" spans="1:13" hidden="1" x14ac:dyDescent="0.2">
      <c r="A616" s="59" t="str">
        <f t="shared" si="89"/>
        <v>GENERAL SERVICE LESS THAN 50 KW SERVICE CLASSIFICATION</v>
      </c>
      <c r="B616" s="1032" t="s">
        <v>1647</v>
      </c>
      <c r="C616" s="390"/>
      <c r="D616" s="311" t="s">
        <v>229</v>
      </c>
      <c r="E616" s="348"/>
      <c r="F616" s="355">
        <f>MidPeak</f>
        <v>9.4E-2</v>
      </c>
      <c r="G616" s="317">
        <f>IF(AND(E584*12&gt;=150000),0.17*E584*E586,0.17*E584)</f>
        <v>340</v>
      </c>
      <c r="H616" s="363">
        <f t="shared" si="91"/>
        <v>31.96</v>
      </c>
      <c r="I616" s="352">
        <f>MidPeak</f>
        <v>9.4E-2</v>
      </c>
      <c r="J616" s="317">
        <f>IF(AND(E584*12&gt;=150000),0.17*E584*E587,0.17*E584)</f>
        <v>340</v>
      </c>
      <c r="K616" s="363">
        <f t="shared" si="92"/>
        <v>31.96</v>
      </c>
      <c r="L616" s="358">
        <f>K616-H616</f>
        <v>0</v>
      </c>
      <c r="M616" s="377">
        <f t="shared" si="93"/>
        <v>0</v>
      </c>
    </row>
    <row r="617" spans="1:13" hidden="1" x14ac:dyDescent="0.2">
      <c r="A617" s="59" t="str">
        <f t="shared" si="89"/>
        <v>GENERAL SERVICE LESS THAN 50 KW SERVICE CLASSIFICATION</v>
      </c>
      <c r="B617" s="1032" t="s">
        <v>1647</v>
      </c>
      <c r="C617" s="390"/>
      <c r="D617" s="1032" t="s">
        <v>230</v>
      </c>
      <c r="E617" s="348"/>
      <c r="F617" s="355">
        <f>OnPeak</f>
        <v>0.13200000000000001</v>
      </c>
      <c r="G617" s="317">
        <f>IF(AND(E584*12&gt;=150000),0.18*E584*E586,0.18*E584)</f>
        <v>360</v>
      </c>
      <c r="H617" s="363">
        <f t="shared" si="91"/>
        <v>47.52</v>
      </c>
      <c r="I617" s="352">
        <f>OnPeak</f>
        <v>0.13200000000000001</v>
      </c>
      <c r="J617" s="317">
        <f>IF(AND(E584*12&gt;=150000),0.18*E584*E587,0.18*E584)</f>
        <v>360</v>
      </c>
      <c r="K617" s="363">
        <f t="shared" si="92"/>
        <v>47.52</v>
      </c>
      <c r="L617" s="358">
        <f>K617-H617</f>
        <v>0</v>
      </c>
      <c r="M617" s="377">
        <f t="shared" si="93"/>
        <v>0</v>
      </c>
    </row>
    <row r="618" spans="1:13" ht="13.5" thickBot="1" x14ac:dyDescent="0.25">
      <c r="A618" s="59" t="str">
        <f t="shared" si="89"/>
        <v>GENERAL SERVICE LESS THAN 50 KW SERVICE CLASSIFICATION</v>
      </c>
      <c r="B618" s="59" t="s">
        <v>1648</v>
      </c>
      <c r="C618" s="390"/>
      <c r="D618" s="311" t="s">
        <v>1657</v>
      </c>
      <c r="E618" s="348"/>
      <c r="F618" s="356">
        <v>0.1101</v>
      </c>
      <c r="G618" s="317">
        <f>IF(AND(E584*12&gt;=150000),E584*E586,E584)</f>
        <v>2000</v>
      </c>
      <c r="H618" s="363">
        <f>G618*F618</f>
        <v>220.20000000000002</v>
      </c>
      <c r="I618" s="353">
        <f>F618</f>
        <v>0.1101</v>
      </c>
      <c r="J618" s="317">
        <f>IF(AND(E584*12&gt;=150000),E584*E587,E584)</f>
        <v>2000</v>
      </c>
      <c r="K618" s="363">
        <f>J618*I618</f>
        <v>220.20000000000002</v>
      </c>
      <c r="L618" s="358">
        <f>K618-H618</f>
        <v>0</v>
      </c>
      <c r="M618" s="377">
        <f t="shared" si="93"/>
        <v>0</v>
      </c>
    </row>
    <row r="619" spans="1:13" ht="13.5" hidden="1" thickBot="1" x14ac:dyDescent="0.25">
      <c r="A619" s="59" t="str">
        <f t="shared" si="89"/>
        <v>GENERAL SERVICE LESS THAN 50 KW SERVICE CLASSIFICATION</v>
      </c>
      <c r="B619" s="59" t="s">
        <v>1649</v>
      </c>
      <c r="C619" s="390"/>
      <c r="D619" s="311" t="s">
        <v>1658</v>
      </c>
      <c r="E619" s="348"/>
      <c r="F619" s="356">
        <v>0.1101</v>
      </c>
      <c r="G619" s="317">
        <f>IF(AND(E584*12&gt;=150000),E584*E586,E584)</f>
        <v>2000</v>
      </c>
      <c r="H619" s="363">
        <f>G619*F619</f>
        <v>220.20000000000002</v>
      </c>
      <c r="I619" s="353">
        <f>F619</f>
        <v>0.1101</v>
      </c>
      <c r="J619" s="317">
        <f>IF(AND(E584*12&gt;=150000),E584*E587,E584)</f>
        <v>2000</v>
      </c>
      <c r="K619" s="363">
        <f>J619*I619</f>
        <v>220.20000000000002</v>
      </c>
      <c r="L619" s="358">
        <f>K619-H619</f>
        <v>0</v>
      </c>
      <c r="M619" s="377">
        <f t="shared" si="93"/>
        <v>0</v>
      </c>
    </row>
    <row r="620" spans="1:13" ht="13.5" thickBot="1" x14ac:dyDescent="0.25">
      <c r="A620" s="59" t="str">
        <f t="shared" si="89"/>
        <v>GENERAL SERVICE LESS THAN 50 KW SERVICE CLASSIFICATION</v>
      </c>
      <c r="B620" s="1032"/>
      <c r="C620" s="390"/>
      <c r="D620" s="318"/>
      <c r="E620" s="319"/>
      <c r="F620" s="364"/>
      <c r="G620" s="236"/>
      <c r="H620" s="365"/>
      <c r="I620" s="364"/>
      <c r="J620" s="366"/>
      <c r="K620" s="365"/>
      <c r="L620" s="367"/>
      <c r="M620" s="239"/>
    </row>
    <row r="621" spans="1:13" hidden="1" x14ac:dyDescent="0.2">
      <c r="A621" s="59" t="str">
        <f t="shared" si="89"/>
        <v>GENERAL SERVICE LESS THAN 50 KW SERVICE CLASSIFICATION</v>
      </c>
      <c r="B621" s="1032" t="s">
        <v>1647</v>
      </c>
      <c r="C621" s="390"/>
      <c r="D621" s="322" t="s">
        <v>365</v>
      </c>
      <c r="E621" s="305"/>
      <c r="F621" s="337"/>
      <c r="G621" s="368"/>
      <c r="H621" s="323">
        <f>SUM(H611:H617,H610)</f>
        <v>275.07310000000001</v>
      </c>
      <c r="I621" s="324"/>
      <c r="J621" s="324"/>
      <c r="K621" s="323">
        <f>SUM(K611:K617,K610)</f>
        <v>279.16948000000002</v>
      </c>
      <c r="L621" s="325">
        <f>K621-H621</f>
        <v>4.0963800000000106</v>
      </c>
      <c r="M621" s="326">
        <f>IF((H621)=0,"",(L621/H621))</f>
        <v>1.489196871667935E-2</v>
      </c>
    </row>
    <row r="622" spans="1:13" hidden="1" x14ac:dyDescent="0.2">
      <c r="A622" s="59" t="str">
        <f t="shared" si="89"/>
        <v>GENERAL SERVICE LESS THAN 50 KW SERVICE CLASSIFICATION</v>
      </c>
      <c r="B622" s="1032" t="s">
        <v>1647</v>
      </c>
      <c r="C622" s="390"/>
      <c r="D622" s="327" t="s">
        <v>152</v>
      </c>
      <c r="E622" s="305"/>
      <c r="F622" s="337">
        <v>0.13</v>
      </c>
      <c r="G622" s="369"/>
      <c r="H622" s="328">
        <f>H621*F622</f>
        <v>35.759503000000002</v>
      </c>
      <c r="I622" s="329">
        <v>0.13</v>
      </c>
      <c r="J622" s="330"/>
      <c r="K622" s="328">
        <f>K621*I622</f>
        <v>36.292032400000004</v>
      </c>
      <c r="L622" s="331">
        <f>K622-H622</f>
        <v>0.53252940000000137</v>
      </c>
      <c r="M622" s="332">
        <f>IF((H622)=0,"",(L622/H622))</f>
        <v>1.489196871667935E-2</v>
      </c>
    </row>
    <row r="623" spans="1:13" hidden="1" x14ac:dyDescent="0.2">
      <c r="A623" s="59" t="str">
        <f t="shared" si="89"/>
        <v>GENERAL SERVICE LESS THAN 50 KW SERVICE CLASSIFICATION</v>
      </c>
      <c r="B623" s="1032" t="s">
        <v>1647</v>
      </c>
      <c r="C623" s="390"/>
      <c r="D623" s="327" t="s">
        <v>2904</v>
      </c>
      <c r="E623" s="305"/>
      <c r="F623" s="337">
        <v>0.08</v>
      </c>
      <c r="G623" s="369"/>
      <c r="H623" s="328">
        <f>H621*-F623</f>
        <v>-22.005848</v>
      </c>
      <c r="I623" s="337">
        <v>0.08</v>
      </c>
      <c r="J623" s="330"/>
      <c r="K623" s="328">
        <f>K621*-I623</f>
        <v>-22.333558400000001</v>
      </c>
      <c r="L623" s="331">
        <f>K623-H623</f>
        <v>-0.32771040000000085</v>
      </c>
      <c r="M623" s="332"/>
    </row>
    <row r="624" spans="1:13" ht="13.5" hidden="1" thickBot="1" x14ac:dyDescent="0.25">
      <c r="A624" s="59" t="str">
        <f t="shared" si="89"/>
        <v>GENERAL SERVICE LESS THAN 50 KW SERVICE CLASSIFICATION</v>
      </c>
      <c r="B624" s="1032" t="s">
        <v>1659</v>
      </c>
      <c r="C624" s="390"/>
      <c r="D624" s="1863" t="s">
        <v>1660</v>
      </c>
      <c r="E624" s="1863"/>
      <c r="F624" s="370"/>
      <c r="G624" s="371"/>
      <c r="H624" s="338">
        <f>H621+H622+H623</f>
        <v>288.82675499999999</v>
      </c>
      <c r="I624" s="334"/>
      <c r="J624" s="334"/>
      <c r="K624" s="333">
        <f>K621+K622+K623</f>
        <v>293.12795399999999</v>
      </c>
      <c r="L624" s="335">
        <f>K624-H624</f>
        <v>4.3011989999999969</v>
      </c>
      <c r="M624" s="336">
        <f>IF((H624)=0,"",(L624/H624))</f>
        <v>1.4891968716679301E-2</v>
      </c>
    </row>
    <row r="625" spans="1:13" ht="13.5" hidden="1" thickBot="1" x14ac:dyDescent="0.25">
      <c r="A625" s="59" t="str">
        <f t="shared" si="89"/>
        <v>GENERAL SERVICE LESS THAN 50 KW SERVICE CLASSIFICATION</v>
      </c>
      <c r="B625" s="59" t="s">
        <v>1647</v>
      </c>
      <c r="C625" s="390"/>
      <c r="D625" s="318"/>
      <c r="E625" s="319"/>
      <c r="F625" s="364"/>
      <c r="G625" s="236"/>
      <c r="H625" s="365"/>
      <c r="I625" s="364"/>
      <c r="J625" s="366"/>
      <c r="K625" s="365"/>
      <c r="L625" s="367"/>
      <c r="M625" s="239"/>
    </row>
    <row r="626" spans="1:13" x14ac:dyDescent="0.2">
      <c r="A626" s="59" t="str">
        <f t="shared" si="89"/>
        <v>GENERAL SERVICE LESS THAN 50 KW SERVICE CLASSIFICATION</v>
      </c>
      <c r="B626" s="59" t="s">
        <v>1648</v>
      </c>
      <c r="C626" s="390"/>
      <c r="D626" s="322" t="s">
        <v>1661</v>
      </c>
      <c r="E626" s="305"/>
      <c r="F626" s="337"/>
      <c r="G626" s="368"/>
      <c r="H626" s="323">
        <f>SUM(H618,H611:H614,H610)</f>
        <v>331.29310000000004</v>
      </c>
      <c r="I626" s="324"/>
      <c r="J626" s="324"/>
      <c r="K626" s="323">
        <f>SUM(K618,K611:K614,K610)</f>
        <v>335.38948000000005</v>
      </c>
      <c r="L626" s="325">
        <f>K626-H626</f>
        <v>4.0963800000000106</v>
      </c>
      <c r="M626" s="326">
        <f>IF((H626)=0,"",(L626/H626))</f>
        <v>1.2364821362111103E-2</v>
      </c>
    </row>
    <row r="627" spans="1:13" x14ac:dyDescent="0.2">
      <c r="A627" s="59" t="str">
        <f t="shared" si="89"/>
        <v>GENERAL SERVICE LESS THAN 50 KW SERVICE CLASSIFICATION</v>
      </c>
      <c r="B627" s="59" t="s">
        <v>1648</v>
      </c>
      <c r="C627" s="390"/>
      <c r="D627" s="327" t="s">
        <v>152</v>
      </c>
      <c r="E627" s="305"/>
      <c r="F627" s="337">
        <v>0.13</v>
      </c>
      <c r="G627" s="368"/>
      <c r="H627" s="328">
        <f>H626*F627</f>
        <v>43.068103000000008</v>
      </c>
      <c r="I627" s="337">
        <v>0.13</v>
      </c>
      <c r="J627" s="329"/>
      <c r="K627" s="328">
        <f>K626*I627</f>
        <v>43.600632400000009</v>
      </c>
      <c r="L627" s="331">
        <f>K627-H627</f>
        <v>0.53252940000000137</v>
      </c>
      <c r="M627" s="332">
        <f>IF((H627)=0,"",(L627/H627))</f>
        <v>1.2364821362111103E-2</v>
      </c>
    </row>
    <row r="628" spans="1:13" x14ac:dyDescent="0.2">
      <c r="A628" s="59" t="str">
        <f t="shared" si="89"/>
        <v>GENERAL SERVICE LESS THAN 50 KW SERVICE CLASSIFICATION</v>
      </c>
      <c r="B628" s="59" t="s">
        <v>1648</v>
      </c>
      <c r="C628" s="390"/>
      <c r="D628" s="327" t="s">
        <v>2904</v>
      </c>
      <c r="E628" s="305"/>
      <c r="F628" s="337">
        <v>0.08</v>
      </c>
      <c r="G628" s="368"/>
      <c r="H628" s="877"/>
      <c r="I628" s="337">
        <v>0.08</v>
      </c>
      <c r="J628" s="329"/>
      <c r="K628" s="877"/>
      <c r="L628" s="331"/>
      <c r="M628" s="332"/>
    </row>
    <row r="629" spans="1:13" ht="13.5" thickBot="1" x14ac:dyDescent="0.25">
      <c r="A629" s="59" t="str">
        <f t="shared" si="89"/>
        <v>GENERAL SERVICE LESS THAN 50 KW SERVICE CLASSIFICATION</v>
      </c>
      <c r="B629" s="59" t="s">
        <v>1662</v>
      </c>
      <c r="C629" s="390">
        <f>B39</f>
        <v>10</v>
      </c>
      <c r="D629" s="1863" t="s">
        <v>1661</v>
      </c>
      <c r="E629" s="1863"/>
      <c r="F629" s="372"/>
      <c r="G629" s="373"/>
      <c r="H629" s="338">
        <f>SUM(H626,H627)</f>
        <v>374.36120300000005</v>
      </c>
      <c r="I629" s="339"/>
      <c r="J629" s="339"/>
      <c r="K629" s="338">
        <f>SUM(K626,K627)</f>
        <v>378.99011240000004</v>
      </c>
      <c r="L629" s="340">
        <f>K629-H629</f>
        <v>4.6289093999999977</v>
      </c>
      <c r="M629" s="341">
        <f>IF((H629)=0,"",(L629/H629))</f>
        <v>1.2364821362111065E-2</v>
      </c>
    </row>
    <row r="630" spans="1:13" ht="13.5" thickBot="1" x14ac:dyDescent="0.25">
      <c r="A630" s="59" t="str">
        <f t="shared" si="89"/>
        <v>GENERAL SERVICE LESS THAN 50 KW SERVICE CLASSIFICATION</v>
      </c>
      <c r="B630" s="59" t="s">
        <v>1648</v>
      </c>
      <c r="C630" s="390"/>
      <c r="D630" s="318"/>
      <c r="E630" s="319"/>
      <c r="F630" s="233"/>
      <c r="G630" s="234"/>
      <c r="H630" s="235"/>
      <c r="I630" s="233"/>
      <c r="J630" s="236"/>
      <c r="K630" s="235"/>
      <c r="L630" s="238"/>
      <c r="M630" s="239"/>
    </row>
    <row r="631" spans="1:13" hidden="1" x14ac:dyDescent="0.2">
      <c r="A631" s="59" t="str">
        <f t="shared" si="89"/>
        <v>GENERAL SERVICE LESS THAN 50 KW SERVICE CLASSIFICATION</v>
      </c>
      <c r="B631" s="59" t="s">
        <v>1649</v>
      </c>
      <c r="C631" s="390"/>
      <c r="D631" s="322" t="s">
        <v>1663</v>
      </c>
      <c r="E631" s="305"/>
      <c r="F631" s="337"/>
      <c r="G631" s="368"/>
      <c r="H631" s="323">
        <f>SUM(H619,H611:H614,H610)</f>
        <v>331.29310000000004</v>
      </c>
      <c r="I631" s="324"/>
      <c r="J631" s="324"/>
      <c r="K631" s="323">
        <f>SUM(K619,K611:K614,K610)</f>
        <v>335.38948000000005</v>
      </c>
      <c r="L631" s="325">
        <f>K631-H631</f>
        <v>4.0963800000000106</v>
      </c>
      <c r="M631" s="326">
        <f>IF((H631)=0,"",(L631/H631))</f>
        <v>1.2364821362111103E-2</v>
      </c>
    </row>
    <row r="632" spans="1:13" hidden="1" x14ac:dyDescent="0.2">
      <c r="A632" s="59" t="str">
        <f t="shared" si="89"/>
        <v>GENERAL SERVICE LESS THAN 50 KW SERVICE CLASSIFICATION</v>
      </c>
      <c r="B632" s="59" t="s">
        <v>1649</v>
      </c>
      <c r="C632" s="390"/>
      <c r="D632" s="327" t="s">
        <v>152</v>
      </c>
      <c r="E632" s="305"/>
      <c r="F632" s="337">
        <v>0.13</v>
      </c>
      <c r="G632" s="368"/>
      <c r="H632" s="328">
        <f>H631*F632</f>
        <v>43.068103000000008</v>
      </c>
      <c r="I632" s="337">
        <v>0.13</v>
      </c>
      <c r="J632" s="329"/>
      <c r="K632" s="328">
        <f>K631*I632</f>
        <v>43.600632400000009</v>
      </c>
      <c r="L632" s="331">
        <f>K632-H632</f>
        <v>0.53252940000000137</v>
      </c>
      <c r="M632" s="332">
        <f>IF((H632)=0,"",(L632/H632))</f>
        <v>1.2364821362111103E-2</v>
      </c>
    </row>
    <row r="633" spans="1:13" hidden="1" x14ac:dyDescent="0.2">
      <c r="A633" s="59" t="str">
        <f t="shared" si="89"/>
        <v>GENERAL SERVICE LESS THAN 50 KW SERVICE CLASSIFICATION</v>
      </c>
      <c r="B633" s="59" t="s">
        <v>1649</v>
      </c>
      <c r="C633" s="390"/>
      <c r="D633" s="327" t="s">
        <v>2904</v>
      </c>
      <c r="E633" s="305"/>
      <c r="F633" s="337">
        <v>0.08</v>
      </c>
      <c r="G633" s="368"/>
      <c r="H633" s="877"/>
      <c r="I633" s="337">
        <v>0.08</v>
      </c>
      <c r="J633" s="329"/>
      <c r="K633" s="877"/>
      <c r="L633" s="331"/>
      <c r="M633" s="332"/>
    </row>
    <row r="634" spans="1:13" ht="13.5" hidden="1" thickBot="1" x14ac:dyDescent="0.25">
      <c r="A634" s="59" t="str">
        <f t="shared" si="89"/>
        <v>GENERAL SERVICE LESS THAN 50 KW SERVICE CLASSIFICATION</v>
      </c>
      <c r="B634" s="59" t="s">
        <v>1664</v>
      </c>
      <c r="C634" s="390"/>
      <c r="D634" s="1863" t="s">
        <v>1663</v>
      </c>
      <c r="E634" s="1863"/>
      <c r="F634" s="372"/>
      <c r="G634" s="373"/>
      <c r="H634" s="338">
        <f>SUM(H631,H632)</f>
        <v>374.36120300000005</v>
      </c>
      <c r="I634" s="339"/>
      <c r="J634" s="339"/>
      <c r="K634" s="338">
        <f>SUM(K631,K632)</f>
        <v>378.99011240000004</v>
      </c>
      <c r="L634" s="340">
        <f>K634-H634</f>
        <v>4.6289093999999977</v>
      </c>
      <c r="M634" s="341">
        <f>IF((H634)=0,"",(L634/H634))</f>
        <v>1.2364821362111065E-2</v>
      </c>
    </row>
    <row r="635" spans="1:13" ht="13.5" hidden="1" thickBot="1" x14ac:dyDescent="0.25">
      <c r="A635" s="59" t="str">
        <f t="shared" si="89"/>
        <v>GENERAL SERVICE LESS THAN 50 KW SERVICE CLASSIFICATION</v>
      </c>
      <c r="B635" s="59" t="s">
        <v>1649</v>
      </c>
      <c r="C635" s="390"/>
      <c r="D635" s="318"/>
      <c r="E635" s="319"/>
      <c r="F635" s="342"/>
      <c r="G635" s="343"/>
      <c r="H635" s="344"/>
      <c r="I635" s="342"/>
      <c r="J635" s="320"/>
      <c r="K635" s="344"/>
      <c r="L635" s="345"/>
      <c r="M635" s="321"/>
    </row>
  </sheetData>
  <sheetProtection algorithmName="SHA-512" hashValue="BJd9UxwNdiNrdf7XMpQ2GHNR+7T7HLn5v9w+1FQg3fofB8bLJkgElBO0+ZB8hQvVqf90qxKjRG4sVERmb++alA==" saltValue="0o+FRrlk/HgU+fEYlfnB4Q==" spinCount="100000" sheet="1" objects="1" scenarios="1"/>
  <mergeCells count="144">
    <mergeCell ref="C3:K3"/>
    <mergeCell ref="D10:M10"/>
    <mergeCell ref="D11:M11"/>
    <mergeCell ref="D57:F57"/>
    <mergeCell ref="D59:F59"/>
    <mergeCell ref="D58:F58"/>
    <mergeCell ref="D55:F55"/>
    <mergeCell ref="N11:O11"/>
    <mergeCell ref="D29:F29"/>
    <mergeCell ref="D52:F54"/>
    <mergeCell ref="G52:G54"/>
    <mergeCell ref="H52:M52"/>
    <mergeCell ref="N52:O52"/>
    <mergeCell ref="H53:I53"/>
    <mergeCell ref="J53:K53"/>
    <mergeCell ref="L53:M53"/>
    <mergeCell ref="N53:O53"/>
    <mergeCell ref="D12:N12"/>
    <mergeCell ref="D73:F73"/>
    <mergeCell ref="D74:F74"/>
    <mergeCell ref="D70:F70"/>
    <mergeCell ref="D69:F69"/>
    <mergeCell ref="D56:F56"/>
    <mergeCell ref="D68:F68"/>
    <mergeCell ref="D71:F71"/>
    <mergeCell ref="D72:F72"/>
    <mergeCell ref="D64:F64"/>
    <mergeCell ref="D63:F63"/>
    <mergeCell ref="D65:F65"/>
    <mergeCell ref="D66:F66"/>
    <mergeCell ref="D67:F67"/>
    <mergeCell ref="D60:F60"/>
    <mergeCell ref="D61:F61"/>
    <mergeCell ref="D62:F62"/>
    <mergeCell ref="E86:E87"/>
    <mergeCell ref="L86:L87"/>
    <mergeCell ref="M86:M87"/>
    <mergeCell ref="D120:E120"/>
    <mergeCell ref="D125:E125"/>
    <mergeCell ref="E78:J78"/>
    <mergeCell ref="E79:G79"/>
    <mergeCell ref="F85:H85"/>
    <mergeCell ref="I85:K85"/>
    <mergeCell ref="L85:M85"/>
    <mergeCell ref="L141:M141"/>
    <mergeCell ref="E142:E143"/>
    <mergeCell ref="L142:L143"/>
    <mergeCell ref="M142:M143"/>
    <mergeCell ref="D176:E176"/>
    <mergeCell ref="D130:E130"/>
    <mergeCell ref="E134:J134"/>
    <mergeCell ref="E135:G135"/>
    <mergeCell ref="F141:H141"/>
    <mergeCell ref="I141:K141"/>
    <mergeCell ref="L197:M197"/>
    <mergeCell ref="E198:E199"/>
    <mergeCell ref="L198:L199"/>
    <mergeCell ref="M198:M199"/>
    <mergeCell ref="D232:E232"/>
    <mergeCell ref="D181:E181"/>
    <mergeCell ref="D186:E186"/>
    <mergeCell ref="E190:J190"/>
    <mergeCell ref="E191:G191"/>
    <mergeCell ref="F197:H197"/>
    <mergeCell ref="I197:K197"/>
    <mergeCell ref="L253:M253"/>
    <mergeCell ref="E254:E255"/>
    <mergeCell ref="L254:L255"/>
    <mergeCell ref="M254:M255"/>
    <mergeCell ref="D288:E288"/>
    <mergeCell ref="D237:E237"/>
    <mergeCell ref="D242:E242"/>
    <mergeCell ref="E246:J246"/>
    <mergeCell ref="E247:G247"/>
    <mergeCell ref="F253:H253"/>
    <mergeCell ref="I253:K253"/>
    <mergeCell ref="L309:M309"/>
    <mergeCell ref="E310:E311"/>
    <mergeCell ref="L310:L311"/>
    <mergeCell ref="M310:M311"/>
    <mergeCell ref="D344:E344"/>
    <mergeCell ref="D293:E293"/>
    <mergeCell ref="D298:E298"/>
    <mergeCell ref="E302:J302"/>
    <mergeCell ref="E303:G303"/>
    <mergeCell ref="F309:H309"/>
    <mergeCell ref="I309:K309"/>
    <mergeCell ref="L365:M365"/>
    <mergeCell ref="E366:E367"/>
    <mergeCell ref="L366:L367"/>
    <mergeCell ref="M366:M367"/>
    <mergeCell ref="D400:E400"/>
    <mergeCell ref="D349:E349"/>
    <mergeCell ref="D354:E354"/>
    <mergeCell ref="E358:J358"/>
    <mergeCell ref="E359:G359"/>
    <mergeCell ref="F365:H365"/>
    <mergeCell ref="I365:K365"/>
    <mergeCell ref="L421:M421"/>
    <mergeCell ref="E422:E423"/>
    <mergeCell ref="L422:L423"/>
    <mergeCell ref="M422:M423"/>
    <mergeCell ref="D456:E456"/>
    <mergeCell ref="D405:E405"/>
    <mergeCell ref="D410:E410"/>
    <mergeCell ref="E414:J414"/>
    <mergeCell ref="E415:G415"/>
    <mergeCell ref="F421:H421"/>
    <mergeCell ref="I421:K421"/>
    <mergeCell ref="L477:M477"/>
    <mergeCell ref="E478:E479"/>
    <mergeCell ref="L478:L479"/>
    <mergeCell ref="M478:M479"/>
    <mergeCell ref="D512:E512"/>
    <mergeCell ref="D461:E461"/>
    <mergeCell ref="D466:E466"/>
    <mergeCell ref="E470:J470"/>
    <mergeCell ref="E471:G471"/>
    <mergeCell ref="F477:H477"/>
    <mergeCell ref="I477:K477"/>
    <mergeCell ref="L533:M533"/>
    <mergeCell ref="E534:E535"/>
    <mergeCell ref="L534:L535"/>
    <mergeCell ref="M534:M535"/>
    <mergeCell ref="D568:E568"/>
    <mergeCell ref="D517:E517"/>
    <mergeCell ref="D522:E522"/>
    <mergeCell ref="E526:J526"/>
    <mergeCell ref="E527:G527"/>
    <mergeCell ref="F533:H533"/>
    <mergeCell ref="I533:K533"/>
    <mergeCell ref="D629:E629"/>
    <mergeCell ref="D634:E634"/>
    <mergeCell ref="L589:M589"/>
    <mergeCell ref="E590:E591"/>
    <mergeCell ref="L590:L591"/>
    <mergeCell ref="M590:M591"/>
    <mergeCell ref="D624:E624"/>
    <mergeCell ref="D573:E573"/>
    <mergeCell ref="D578:E578"/>
    <mergeCell ref="E582:J582"/>
    <mergeCell ref="E583:G583"/>
    <mergeCell ref="F589:H589"/>
    <mergeCell ref="I589:K589"/>
  </mergeCells>
  <conditionalFormatting sqref="L39:L49">
    <cfRule type="expression" dxfId="7" priority="48">
      <formula>$G39="kW"</formula>
    </cfRule>
  </conditionalFormatting>
  <conditionalFormatting sqref="K39:K49">
    <cfRule type="expression" dxfId="6" priority="45">
      <formula>$G39="kW"</formula>
    </cfRule>
    <cfRule type="expression" dxfId="5" priority="46">
      <formula>$G39="kVa"</formula>
    </cfRule>
    <cfRule type="expression" dxfId="4" priority="47">
      <formula>$G39="kWh"</formula>
    </cfRule>
  </conditionalFormatting>
  <conditionalFormatting sqref="L30:L38">
    <cfRule type="expression" dxfId="3" priority="31">
      <formula>$G30="kW"</formula>
    </cfRule>
  </conditionalFormatting>
  <conditionalFormatting sqref="K30:K38">
    <cfRule type="expression" dxfId="2" priority="8">
      <formula>$G30="kW"</formula>
    </cfRule>
    <cfRule type="expression" dxfId="1" priority="9">
      <formula>$G30="kVa"</formula>
    </cfRule>
    <cfRule type="expression" dxfId="0" priority="10">
      <formula>$G30="kWh"</formula>
    </cfRule>
  </conditionalFormatting>
  <dataValidations count="4">
    <dataValidation type="list" allowBlank="1" showInputMessage="1" showErrorMessage="1" sqref="H30:H49">
      <formula1>"RPP, Non-RPP (Retailer), Non-RPP (Other)"</formula1>
    </dataValidation>
    <dataValidation type="list" allowBlank="1" showInputMessage="1" showErrorMessage="1" sqref="M30:M49">
      <formula1>"N/A, DEMAND, DEMAND - INTERVAL"</formula1>
    </dataValidation>
    <dataValidation allowBlank="1" showInputMessage="1" showErrorMessage="1" sqref="D30:D35"/>
    <dataValidation type="list" allowBlank="1" showInputMessage="1" showErrorMessage="1" prompt="Select Charge Unit - monthly, per kWh, per kW" sqref="E121 E126 E131 E116 E177 E182 E187 E172 E233 E238 E243 E228 E289 E294 E299 E284 E345 E350 E355 E340 E401 E406 E411 E396 E457 E462 E467 E452 E513 E518 E523 E508 E569 E574 E579 E564 E625 E630 E635 E620">
      <formula1>"Monthly, per kWh, per kW"</formula1>
    </dataValidation>
  </dataValidations>
  <printOptions horizontalCentered="1" verticalCentered="1"/>
  <pageMargins left="0.74803149606299202" right="0.74803149606299202" top="0.39370078740157699" bottom="0.39370078740157699" header="0.511811023622047" footer="0.511811023622047"/>
  <pageSetup scale="55" orientation="landscape" r:id="rId1"/>
  <headerFooter alignWithMargins="0"/>
  <rowBreaks count="12" manualBreakCount="12">
    <brk id="49" max="16383" man="1"/>
    <brk id="77" max="16383" man="1"/>
    <brk id="133" max="16383" man="1"/>
    <brk id="189" max="16383" man="1"/>
    <brk id="245" max="16383" man="1"/>
    <brk id="301" max="16383" man="1"/>
    <brk id="357" max="16383" man="1"/>
    <brk id="413" max="16383" man="1"/>
    <brk id="469" max="16383" man="1"/>
    <brk id="525" max="16383" man="1"/>
    <brk id="581" max="16383" man="1"/>
    <brk id="65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Button 3">
              <controlPr defaultSize="0" print="0" autoFill="0" autoPict="0" macro="[0]!update_bill_impacts">
                <anchor>
                  <from>
                    <xdr:col>16</xdr:col>
                    <xdr:colOff>352425</xdr:colOff>
                    <xdr:row>35</xdr:row>
                    <xdr:rowOff>171450</xdr:rowOff>
                  </from>
                  <to>
                    <xdr:col>18</xdr:col>
                    <xdr:colOff>123825</xdr:colOff>
                    <xdr:row>37</xdr:row>
                    <xdr:rowOff>57150</xdr:rowOff>
                  </to>
                </anchor>
              </controlPr>
            </control>
          </mc:Choice>
        </mc:AlternateContent>
        <mc:AlternateContent xmlns:mc="http://schemas.openxmlformats.org/markup-compatibility/2006">
          <mc:Choice Requires="x14">
            <control shapeId="40964" r:id="rId5" name="Button 4">
              <controlPr defaultSize="0" print="0" autoFill="0" autoPict="0" macro="[0]!BIscenariosavebutton">
                <anchor>
                  <from>
                    <xdr:col>16</xdr:col>
                    <xdr:colOff>361950</xdr:colOff>
                    <xdr:row>39</xdr:row>
                    <xdr:rowOff>114300</xdr:rowOff>
                  </from>
                  <to>
                    <xdr:col>18</xdr:col>
                    <xdr:colOff>95250</xdr:colOff>
                    <xdr:row>42</xdr:row>
                    <xdr:rowOff>171450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'2016 List'!$Q$1:$Q$6</xm:f>
          </x14:formula1>
          <xm:sqref>D36:D49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S540"/>
  <sheetViews>
    <sheetView showGridLines="0" zoomScaleNormal="100" workbookViewId="0">
      <selection activeCell="E475" sqref="E475"/>
    </sheetView>
  </sheetViews>
  <sheetFormatPr defaultRowHeight="15" x14ac:dyDescent="0.25"/>
  <cols>
    <col min="1" max="1" width="44.5703125" style="841" customWidth="1"/>
    <col min="2" max="2" width="18.85546875" style="841" customWidth="1"/>
    <col min="3" max="3" width="13.5703125" style="841" customWidth="1"/>
    <col min="4" max="4" width="24.140625" style="841" customWidth="1"/>
    <col min="5" max="5" width="36.42578125" style="841" customWidth="1"/>
    <col min="6" max="6" width="26.28515625" style="841" customWidth="1"/>
    <col min="7" max="7" width="25.42578125" style="841" customWidth="1"/>
    <col min="8" max="8" width="17.85546875" style="841" customWidth="1"/>
    <col min="9" max="9" width="17" style="841" customWidth="1"/>
    <col min="10" max="10" width="20.7109375" style="841" customWidth="1"/>
    <col min="11" max="11" width="19.85546875" style="841" customWidth="1"/>
    <col min="12" max="12" width="15" style="841" customWidth="1"/>
    <col min="13" max="13" width="14.42578125" style="841" customWidth="1"/>
    <col min="14" max="14" width="21.42578125" style="841" customWidth="1"/>
    <col min="15" max="15" width="20.5703125" style="841" customWidth="1"/>
    <col min="16" max="16" width="22.140625" style="841" customWidth="1"/>
    <col min="17" max="17" width="21.28515625" style="841" customWidth="1"/>
    <col min="18" max="18" width="18.5703125" style="841" customWidth="1"/>
    <col min="19" max="19" width="17.5703125" style="841" customWidth="1"/>
    <col min="20" max="20" width="0.7109375" style="841" customWidth="1"/>
    <col min="21" max="16384" width="9.140625" style="841"/>
  </cols>
  <sheetData>
    <row r="1" spans="1:19" ht="38.25" x14ac:dyDescent="0.25">
      <c r="A1" s="1077" t="s">
        <v>4953</v>
      </c>
    </row>
    <row r="2" spans="1:19" x14ac:dyDescent="0.25">
      <c r="A2" s="1078" t="s">
        <v>6857</v>
      </c>
    </row>
    <row r="3" spans="1:19" x14ac:dyDescent="0.25">
      <c r="A3" s="986" t="s">
        <v>2461</v>
      </c>
    </row>
    <row r="4" spans="1:19" ht="22.5" x14ac:dyDescent="0.25">
      <c r="A4" s="987" t="s">
        <v>1595</v>
      </c>
      <c r="B4" s="987" t="s">
        <v>648</v>
      </c>
      <c r="C4" s="987" t="s">
        <v>1596</v>
      </c>
      <c r="D4" s="987" t="s">
        <v>1597</v>
      </c>
      <c r="E4" s="987" t="s">
        <v>1716</v>
      </c>
      <c r="F4" s="987" t="s">
        <v>1717</v>
      </c>
      <c r="G4" s="987" t="s">
        <v>1718</v>
      </c>
      <c r="H4" s="987" t="s">
        <v>1719</v>
      </c>
      <c r="I4" s="987" t="s">
        <v>1720</v>
      </c>
      <c r="J4" s="987" t="s">
        <v>1721</v>
      </c>
      <c r="K4" s="987" t="s">
        <v>1722</v>
      </c>
      <c r="L4" s="987" t="s">
        <v>2472</v>
      </c>
      <c r="M4" s="987" t="s">
        <v>2473</v>
      </c>
      <c r="N4" s="987" t="s">
        <v>4954</v>
      </c>
      <c r="O4" s="987" t="s">
        <v>4955</v>
      </c>
      <c r="P4" s="987" t="s">
        <v>1608</v>
      </c>
      <c r="Q4" s="987" t="s">
        <v>1607</v>
      </c>
      <c r="R4" s="987" t="s">
        <v>1723</v>
      </c>
      <c r="S4" s="988" t="s">
        <v>1724</v>
      </c>
    </row>
    <row r="5" spans="1:19" ht="33.75" x14ac:dyDescent="0.25">
      <c r="A5" s="989" t="s">
        <v>4956</v>
      </c>
      <c r="B5" s="989" t="s">
        <v>4957</v>
      </c>
      <c r="C5" s="989" t="s">
        <v>1736</v>
      </c>
      <c r="D5" s="989" t="s">
        <v>4958</v>
      </c>
      <c r="E5" s="1080" t="s">
        <v>6575</v>
      </c>
      <c r="F5" s="990">
        <v>0</v>
      </c>
      <c r="G5" s="990">
        <v>0</v>
      </c>
      <c r="H5" s="990">
        <v>0</v>
      </c>
      <c r="I5" s="990">
        <v>0</v>
      </c>
      <c r="J5" s="990">
        <v>10618632</v>
      </c>
      <c r="K5" s="990">
        <v>0</v>
      </c>
      <c r="L5" s="990">
        <v>0</v>
      </c>
      <c r="M5" s="990">
        <v>0</v>
      </c>
      <c r="N5" s="994">
        <v>0</v>
      </c>
      <c r="O5" s="994">
        <v>0</v>
      </c>
      <c r="P5" s="990">
        <v>10618632</v>
      </c>
      <c r="Q5" s="990">
        <v>0</v>
      </c>
      <c r="R5" s="991">
        <v>10618632</v>
      </c>
      <c r="S5" s="992">
        <v>0</v>
      </c>
    </row>
    <row r="6" spans="1:19" ht="45" x14ac:dyDescent="0.25">
      <c r="A6" s="989" t="s">
        <v>4956</v>
      </c>
      <c r="B6" s="989" t="s">
        <v>4957</v>
      </c>
      <c r="C6" s="989" t="s">
        <v>1726</v>
      </c>
      <c r="D6" s="989" t="s">
        <v>4959</v>
      </c>
      <c r="E6" s="1080" t="s">
        <v>6576</v>
      </c>
      <c r="F6" s="990">
        <v>335189663</v>
      </c>
      <c r="G6" s="990">
        <v>997440</v>
      </c>
      <c r="H6" s="990">
        <v>277183267</v>
      </c>
      <c r="I6" s="990">
        <v>769164</v>
      </c>
      <c r="J6" s="990">
        <v>1192531079</v>
      </c>
      <c r="K6" s="990">
        <v>3523737</v>
      </c>
      <c r="L6" s="990">
        <v>1856192</v>
      </c>
      <c r="M6" s="990">
        <v>5960</v>
      </c>
      <c r="N6" s="994">
        <v>0</v>
      </c>
      <c r="O6" s="994">
        <v>0</v>
      </c>
      <c r="P6" s="990">
        <v>1471570538</v>
      </c>
      <c r="Q6" s="990">
        <v>4298861</v>
      </c>
      <c r="R6" s="991">
        <v>1806760201</v>
      </c>
      <c r="S6" s="992">
        <v>5296301</v>
      </c>
    </row>
    <row r="7" spans="1:19" ht="45" x14ac:dyDescent="0.25">
      <c r="A7" s="989" t="s">
        <v>4956</v>
      </c>
      <c r="B7" s="989" t="s">
        <v>4957</v>
      </c>
      <c r="C7" s="989" t="s">
        <v>1726</v>
      </c>
      <c r="D7" s="989" t="s">
        <v>4960</v>
      </c>
      <c r="E7" s="1080" t="s">
        <v>6577</v>
      </c>
      <c r="F7" s="990">
        <v>412214658</v>
      </c>
      <c r="G7" s="990">
        <v>938808</v>
      </c>
      <c r="H7" s="990">
        <v>128710846</v>
      </c>
      <c r="I7" s="990">
        <v>285487</v>
      </c>
      <c r="J7" s="990">
        <v>1279458223</v>
      </c>
      <c r="K7" s="990">
        <v>2993325</v>
      </c>
      <c r="L7" s="990">
        <v>13770070</v>
      </c>
      <c r="M7" s="990">
        <v>26741</v>
      </c>
      <c r="N7" s="994">
        <v>0</v>
      </c>
      <c r="O7" s="994">
        <v>0</v>
      </c>
      <c r="P7" s="990">
        <v>1421939139</v>
      </c>
      <c r="Q7" s="990">
        <v>3305553</v>
      </c>
      <c r="R7" s="991">
        <v>1834153797</v>
      </c>
      <c r="S7" s="992">
        <v>4244361</v>
      </c>
    </row>
    <row r="8" spans="1:19" ht="45" x14ac:dyDescent="0.25">
      <c r="A8" s="989" t="s">
        <v>4956</v>
      </c>
      <c r="B8" s="989" t="s">
        <v>4957</v>
      </c>
      <c r="C8" s="989" t="s">
        <v>1726</v>
      </c>
      <c r="D8" s="989" t="s">
        <v>4961</v>
      </c>
      <c r="E8" s="1080" t="s">
        <v>6578</v>
      </c>
      <c r="F8" s="990">
        <v>231889982</v>
      </c>
      <c r="G8" s="990">
        <v>651150</v>
      </c>
      <c r="H8" s="990">
        <v>148834037</v>
      </c>
      <c r="I8" s="990">
        <v>720740</v>
      </c>
      <c r="J8" s="990">
        <v>1217242345</v>
      </c>
      <c r="K8" s="990">
        <v>3070043</v>
      </c>
      <c r="L8" s="990">
        <v>0</v>
      </c>
      <c r="M8" s="990">
        <v>0</v>
      </c>
      <c r="N8" s="994">
        <v>0</v>
      </c>
      <c r="O8" s="994">
        <v>0</v>
      </c>
      <c r="P8" s="990">
        <v>1366076382</v>
      </c>
      <c r="Q8" s="990">
        <v>3790783</v>
      </c>
      <c r="R8" s="991">
        <v>1597966364</v>
      </c>
      <c r="S8" s="992">
        <v>4441933</v>
      </c>
    </row>
    <row r="9" spans="1:19" ht="45" x14ac:dyDescent="0.25">
      <c r="A9" s="989" t="s">
        <v>4956</v>
      </c>
      <c r="B9" s="989" t="s">
        <v>4957</v>
      </c>
      <c r="C9" s="989" t="s">
        <v>1726</v>
      </c>
      <c r="D9" s="989" t="s">
        <v>4962</v>
      </c>
      <c r="E9" s="1080" t="s">
        <v>6579</v>
      </c>
      <c r="F9" s="990">
        <v>0</v>
      </c>
      <c r="G9" s="990">
        <v>0</v>
      </c>
      <c r="H9" s="990">
        <v>0</v>
      </c>
      <c r="I9" s="990">
        <v>0</v>
      </c>
      <c r="J9" s="990">
        <v>0</v>
      </c>
      <c r="K9" s="990">
        <v>0</v>
      </c>
      <c r="L9" s="990">
        <v>0</v>
      </c>
      <c r="M9" s="990">
        <v>0</v>
      </c>
      <c r="N9" s="994">
        <v>0</v>
      </c>
      <c r="O9" s="994">
        <v>0</v>
      </c>
      <c r="P9" s="990">
        <v>0</v>
      </c>
      <c r="Q9" s="990">
        <v>0</v>
      </c>
      <c r="R9" s="991">
        <v>0</v>
      </c>
      <c r="S9" s="992">
        <v>0</v>
      </c>
    </row>
    <row r="10" spans="1:19" ht="45" x14ac:dyDescent="0.25">
      <c r="A10" s="989" t="s">
        <v>4956</v>
      </c>
      <c r="B10" s="989" t="s">
        <v>4957</v>
      </c>
      <c r="C10" s="989" t="s">
        <v>1726</v>
      </c>
      <c r="D10" s="989" t="s">
        <v>4963</v>
      </c>
      <c r="E10" s="1080" t="s">
        <v>6580</v>
      </c>
      <c r="F10" s="990">
        <v>175108984</v>
      </c>
      <c r="G10" s="990">
        <v>499319</v>
      </c>
      <c r="H10" s="990">
        <v>129997744</v>
      </c>
      <c r="I10" s="990">
        <v>370685</v>
      </c>
      <c r="J10" s="990">
        <v>615239938</v>
      </c>
      <c r="K10" s="990">
        <v>1754341</v>
      </c>
      <c r="L10" s="990">
        <v>2943105</v>
      </c>
      <c r="M10" s="990">
        <v>5986</v>
      </c>
      <c r="N10" s="994">
        <v>0</v>
      </c>
      <c r="O10" s="994">
        <v>0</v>
      </c>
      <c r="P10" s="990">
        <v>748180787</v>
      </c>
      <c r="Q10" s="990">
        <v>2131012</v>
      </c>
      <c r="R10" s="991">
        <v>923289771</v>
      </c>
      <c r="S10" s="992">
        <v>2630331</v>
      </c>
    </row>
    <row r="11" spans="1:19" ht="45" x14ac:dyDescent="0.25">
      <c r="A11" s="989" t="s">
        <v>4956</v>
      </c>
      <c r="B11" s="989" t="s">
        <v>4957</v>
      </c>
      <c r="C11" s="989" t="s">
        <v>1726</v>
      </c>
      <c r="D11" s="989" t="s">
        <v>4964</v>
      </c>
      <c r="E11" s="1080" t="s">
        <v>6581</v>
      </c>
      <c r="F11" s="990">
        <v>136224727</v>
      </c>
      <c r="G11" s="990">
        <v>325369</v>
      </c>
      <c r="H11" s="990">
        <v>4103404</v>
      </c>
      <c r="I11" s="990">
        <v>9801</v>
      </c>
      <c r="J11" s="990">
        <v>522094174</v>
      </c>
      <c r="K11" s="990">
        <v>1247009</v>
      </c>
      <c r="L11" s="990">
        <v>52424528</v>
      </c>
      <c r="M11" s="990">
        <v>87117</v>
      </c>
      <c r="N11" s="994">
        <v>0</v>
      </c>
      <c r="O11" s="994">
        <v>0</v>
      </c>
      <c r="P11" s="990">
        <v>578622107</v>
      </c>
      <c r="Q11" s="990">
        <v>1343927</v>
      </c>
      <c r="R11" s="991">
        <v>714846834</v>
      </c>
      <c r="S11" s="992">
        <v>1669296</v>
      </c>
    </row>
    <row r="12" spans="1:19" ht="45" x14ac:dyDescent="0.25">
      <c r="A12" s="989" t="s">
        <v>4956</v>
      </c>
      <c r="B12" s="989" t="s">
        <v>4957</v>
      </c>
      <c r="C12" s="989" t="s">
        <v>1726</v>
      </c>
      <c r="D12" s="989" t="s">
        <v>4965</v>
      </c>
      <c r="E12" s="1080" t="s">
        <v>6582</v>
      </c>
      <c r="F12" s="990">
        <v>608316237</v>
      </c>
      <c r="G12" s="990">
        <v>1675974</v>
      </c>
      <c r="H12" s="990">
        <v>312052418</v>
      </c>
      <c r="I12" s="990">
        <v>1024046</v>
      </c>
      <c r="J12" s="990">
        <v>3242760701</v>
      </c>
      <c r="K12" s="990">
        <v>8209997</v>
      </c>
      <c r="L12" s="990">
        <v>25833598</v>
      </c>
      <c r="M12" s="990">
        <v>50009</v>
      </c>
      <c r="N12" s="994">
        <v>0</v>
      </c>
      <c r="O12" s="994">
        <v>0</v>
      </c>
      <c r="P12" s="990">
        <v>3580646717</v>
      </c>
      <c r="Q12" s="990">
        <v>9284052</v>
      </c>
      <c r="R12" s="991">
        <v>4188962954</v>
      </c>
      <c r="S12" s="992">
        <v>10960026</v>
      </c>
    </row>
    <row r="13" spans="1:19" ht="33.75" x14ac:dyDescent="0.25">
      <c r="A13" s="989" t="s">
        <v>4956</v>
      </c>
      <c r="B13" s="989" t="s">
        <v>4957</v>
      </c>
      <c r="C13" s="989" t="s">
        <v>297</v>
      </c>
      <c r="D13" s="989" t="s">
        <v>4966</v>
      </c>
      <c r="E13" s="1080" t="s">
        <v>6583</v>
      </c>
      <c r="F13" s="990">
        <v>89776789</v>
      </c>
      <c r="G13" s="990">
        <v>0</v>
      </c>
      <c r="H13" s="990">
        <v>478831848</v>
      </c>
      <c r="I13" s="990">
        <v>0</v>
      </c>
      <c r="J13" s="990">
        <v>0</v>
      </c>
      <c r="K13" s="990">
        <v>0</v>
      </c>
      <c r="L13" s="990">
        <v>0</v>
      </c>
      <c r="M13" s="990">
        <v>0</v>
      </c>
      <c r="N13" s="994">
        <v>0</v>
      </c>
      <c r="O13" s="994">
        <v>0</v>
      </c>
      <c r="P13" s="990">
        <v>478831848</v>
      </c>
      <c r="Q13" s="990">
        <v>0</v>
      </c>
      <c r="R13" s="991">
        <v>568608637</v>
      </c>
      <c r="S13" s="992">
        <v>0</v>
      </c>
    </row>
    <row r="14" spans="1:19" ht="33.75" x14ac:dyDescent="0.25">
      <c r="A14" s="989" t="s">
        <v>4956</v>
      </c>
      <c r="B14" s="989" t="s">
        <v>4957</v>
      </c>
      <c r="C14" s="989" t="s">
        <v>297</v>
      </c>
      <c r="D14" s="989" t="s">
        <v>4967</v>
      </c>
      <c r="E14" s="1080" t="s">
        <v>6584</v>
      </c>
      <c r="F14" s="990">
        <v>93407093</v>
      </c>
      <c r="G14" s="990">
        <v>0</v>
      </c>
      <c r="H14" s="990">
        <v>412807535</v>
      </c>
      <c r="I14" s="990">
        <v>0</v>
      </c>
      <c r="J14" s="990">
        <v>557460</v>
      </c>
      <c r="K14" s="990">
        <v>0</v>
      </c>
      <c r="L14" s="990">
        <v>0</v>
      </c>
      <c r="M14" s="990">
        <v>0</v>
      </c>
      <c r="N14" s="994">
        <v>0</v>
      </c>
      <c r="O14" s="994">
        <v>0</v>
      </c>
      <c r="P14" s="990">
        <v>413364995</v>
      </c>
      <c r="Q14" s="990">
        <v>0</v>
      </c>
      <c r="R14" s="991">
        <v>506772088</v>
      </c>
      <c r="S14" s="992">
        <v>0</v>
      </c>
    </row>
    <row r="15" spans="1:19" ht="33.75" x14ac:dyDescent="0.25">
      <c r="A15" s="989" t="s">
        <v>4956</v>
      </c>
      <c r="B15" s="989" t="s">
        <v>4957</v>
      </c>
      <c r="C15" s="989" t="s">
        <v>297</v>
      </c>
      <c r="D15" s="1080" t="s">
        <v>4968</v>
      </c>
      <c r="E15" s="1080" t="s">
        <v>6585</v>
      </c>
      <c r="F15" s="990">
        <v>0</v>
      </c>
      <c r="G15" s="990">
        <v>0</v>
      </c>
      <c r="H15" s="990">
        <v>0</v>
      </c>
      <c r="I15" s="990">
        <v>0</v>
      </c>
      <c r="J15" s="990">
        <v>162298</v>
      </c>
      <c r="K15" s="990">
        <v>0</v>
      </c>
      <c r="L15" s="990">
        <v>0</v>
      </c>
      <c r="M15" s="990">
        <v>0</v>
      </c>
      <c r="N15" s="994">
        <v>0</v>
      </c>
      <c r="O15" s="994">
        <v>0</v>
      </c>
      <c r="P15" s="990">
        <v>162298</v>
      </c>
      <c r="Q15" s="990">
        <v>0</v>
      </c>
      <c r="R15" s="991">
        <v>162298</v>
      </c>
      <c r="S15" s="992">
        <v>0</v>
      </c>
    </row>
    <row r="16" spans="1:19" ht="33.75" x14ac:dyDescent="0.25">
      <c r="A16" s="989" t="s">
        <v>4956</v>
      </c>
      <c r="B16" s="989" t="s">
        <v>4957</v>
      </c>
      <c r="C16" s="989" t="s">
        <v>297</v>
      </c>
      <c r="D16" s="989" t="s">
        <v>4969</v>
      </c>
      <c r="E16" s="1080" t="s">
        <v>6586</v>
      </c>
      <c r="F16" s="990">
        <v>52940205</v>
      </c>
      <c r="G16" s="990">
        <v>0</v>
      </c>
      <c r="H16" s="990">
        <v>223444906</v>
      </c>
      <c r="I16" s="990">
        <v>0</v>
      </c>
      <c r="J16" s="990">
        <v>347842</v>
      </c>
      <c r="K16" s="990">
        <v>0</v>
      </c>
      <c r="L16" s="990">
        <v>0</v>
      </c>
      <c r="M16" s="990">
        <v>0</v>
      </c>
      <c r="N16" s="994">
        <v>0</v>
      </c>
      <c r="O16" s="994">
        <v>0</v>
      </c>
      <c r="P16" s="990">
        <v>223792748</v>
      </c>
      <c r="Q16" s="990">
        <v>0</v>
      </c>
      <c r="R16" s="991">
        <v>276732953</v>
      </c>
      <c r="S16" s="992">
        <v>0</v>
      </c>
    </row>
    <row r="17" spans="1:19" ht="33.75" x14ac:dyDescent="0.25">
      <c r="A17" s="989" t="s">
        <v>4956</v>
      </c>
      <c r="B17" s="989" t="s">
        <v>4957</v>
      </c>
      <c r="C17" s="989" t="s">
        <v>297</v>
      </c>
      <c r="D17" s="989" t="s">
        <v>4970</v>
      </c>
      <c r="E17" s="1080" t="s">
        <v>6587</v>
      </c>
      <c r="F17" s="990">
        <v>148547555</v>
      </c>
      <c r="G17" s="990">
        <v>0</v>
      </c>
      <c r="H17" s="990">
        <v>759666839</v>
      </c>
      <c r="I17" s="990">
        <v>0</v>
      </c>
      <c r="J17" s="990">
        <v>7579428</v>
      </c>
      <c r="K17" s="990">
        <v>0</v>
      </c>
      <c r="L17" s="990">
        <v>0</v>
      </c>
      <c r="M17" s="990">
        <v>0</v>
      </c>
      <c r="N17" s="994">
        <v>0</v>
      </c>
      <c r="O17" s="994">
        <v>0</v>
      </c>
      <c r="P17" s="990">
        <v>767246267</v>
      </c>
      <c r="Q17" s="990">
        <v>0</v>
      </c>
      <c r="R17" s="991">
        <v>915793822</v>
      </c>
      <c r="S17" s="992">
        <v>0</v>
      </c>
    </row>
    <row r="18" spans="1:19" ht="22.5" x14ac:dyDescent="0.25">
      <c r="A18" s="989" t="s">
        <v>4956</v>
      </c>
      <c r="B18" s="989" t="s">
        <v>4957</v>
      </c>
      <c r="C18" s="989" t="s">
        <v>1732</v>
      </c>
      <c r="D18" s="989" t="s">
        <v>4971</v>
      </c>
      <c r="E18" s="1080" t="s">
        <v>6588</v>
      </c>
      <c r="F18" s="990">
        <v>133024375</v>
      </c>
      <c r="G18" s="990">
        <v>251603</v>
      </c>
      <c r="H18" s="990">
        <v>0</v>
      </c>
      <c r="I18" s="990">
        <v>0</v>
      </c>
      <c r="J18" s="990">
        <v>764729840</v>
      </c>
      <c r="K18" s="990">
        <v>1365876</v>
      </c>
      <c r="L18" s="990">
        <v>0</v>
      </c>
      <c r="M18" s="990">
        <v>0</v>
      </c>
      <c r="N18" s="994">
        <v>0</v>
      </c>
      <c r="O18" s="994">
        <v>0</v>
      </c>
      <c r="P18" s="990">
        <v>764729840</v>
      </c>
      <c r="Q18" s="990">
        <v>1365876</v>
      </c>
      <c r="R18" s="991">
        <v>897754215</v>
      </c>
      <c r="S18" s="992">
        <v>1617479</v>
      </c>
    </row>
    <row r="19" spans="1:19" ht="22.5" x14ac:dyDescent="0.25">
      <c r="A19" s="989" t="s">
        <v>4956</v>
      </c>
      <c r="B19" s="989" t="s">
        <v>4957</v>
      </c>
      <c r="C19" s="989" t="s">
        <v>1732</v>
      </c>
      <c r="D19" s="989" t="s">
        <v>4972</v>
      </c>
      <c r="E19" s="1080" t="s">
        <v>6589</v>
      </c>
      <c r="F19" s="990">
        <v>25447627</v>
      </c>
      <c r="G19" s="990">
        <v>64056</v>
      </c>
      <c r="H19" s="990">
        <v>0</v>
      </c>
      <c r="I19" s="990">
        <v>0</v>
      </c>
      <c r="J19" s="990">
        <v>143246909</v>
      </c>
      <c r="K19" s="990">
        <v>234581</v>
      </c>
      <c r="L19" s="990">
        <v>32104808</v>
      </c>
      <c r="M19" s="990">
        <v>108171</v>
      </c>
      <c r="N19" s="994">
        <v>0</v>
      </c>
      <c r="O19" s="994">
        <v>0</v>
      </c>
      <c r="P19" s="990">
        <v>175351716</v>
      </c>
      <c r="Q19" s="990">
        <v>342752</v>
      </c>
      <c r="R19" s="991">
        <v>200799343</v>
      </c>
      <c r="S19" s="992">
        <v>406808</v>
      </c>
    </row>
    <row r="20" spans="1:19" ht="33.75" x14ac:dyDescent="0.25">
      <c r="A20" s="989" t="s">
        <v>4956</v>
      </c>
      <c r="B20" s="989" t="s">
        <v>4957</v>
      </c>
      <c r="C20" s="989" t="s">
        <v>1732</v>
      </c>
      <c r="D20" s="989" t="s">
        <v>4973</v>
      </c>
      <c r="E20" s="1080" t="s">
        <v>6590</v>
      </c>
      <c r="F20" s="990">
        <v>14166460</v>
      </c>
      <c r="G20" s="990">
        <v>33116</v>
      </c>
      <c r="H20" s="990">
        <v>0</v>
      </c>
      <c r="I20" s="990">
        <v>0</v>
      </c>
      <c r="J20" s="990">
        <v>262871340</v>
      </c>
      <c r="K20" s="990">
        <v>601839</v>
      </c>
      <c r="L20" s="990">
        <v>682844032</v>
      </c>
      <c r="M20" s="990">
        <v>1097138</v>
      </c>
      <c r="N20" s="994">
        <v>0</v>
      </c>
      <c r="O20" s="994">
        <v>0</v>
      </c>
      <c r="P20" s="990">
        <v>945715376</v>
      </c>
      <c r="Q20" s="990">
        <v>1698977</v>
      </c>
      <c r="R20" s="991">
        <v>959881836</v>
      </c>
      <c r="S20" s="992">
        <v>1732093</v>
      </c>
    </row>
    <row r="21" spans="1:19" ht="22.5" x14ac:dyDescent="0.25">
      <c r="A21" s="989" t="s">
        <v>4956</v>
      </c>
      <c r="B21" s="989" t="s">
        <v>4957</v>
      </c>
      <c r="C21" s="989" t="s">
        <v>1732</v>
      </c>
      <c r="D21" s="989" t="s">
        <v>4974</v>
      </c>
      <c r="E21" s="1080" t="s">
        <v>6591</v>
      </c>
      <c r="F21" s="990">
        <v>29884892</v>
      </c>
      <c r="G21" s="990">
        <v>54939</v>
      </c>
      <c r="H21" s="990">
        <v>0</v>
      </c>
      <c r="I21" s="990">
        <v>0</v>
      </c>
      <c r="J21" s="990">
        <v>268839258</v>
      </c>
      <c r="K21" s="990">
        <v>494220</v>
      </c>
      <c r="L21" s="990">
        <v>0</v>
      </c>
      <c r="M21" s="990">
        <v>0</v>
      </c>
      <c r="N21" s="994">
        <v>0</v>
      </c>
      <c r="O21" s="994">
        <v>0</v>
      </c>
      <c r="P21" s="990">
        <v>268839258</v>
      </c>
      <c r="Q21" s="990">
        <v>494220</v>
      </c>
      <c r="R21" s="991">
        <v>298724150</v>
      </c>
      <c r="S21" s="992">
        <v>549159</v>
      </c>
    </row>
    <row r="22" spans="1:19" ht="22.5" x14ac:dyDescent="0.25">
      <c r="A22" s="989" t="s">
        <v>4956</v>
      </c>
      <c r="B22" s="989" t="s">
        <v>4957</v>
      </c>
      <c r="C22" s="989" t="s">
        <v>1732</v>
      </c>
      <c r="D22" s="989" t="s">
        <v>4975</v>
      </c>
      <c r="E22" s="1080" t="s">
        <v>6592</v>
      </c>
      <c r="F22" s="990">
        <v>0</v>
      </c>
      <c r="G22" s="990">
        <v>0</v>
      </c>
      <c r="H22" s="990">
        <v>0</v>
      </c>
      <c r="I22" s="990">
        <v>0</v>
      </c>
      <c r="J22" s="990">
        <v>46254615</v>
      </c>
      <c r="K22" s="990">
        <v>71881</v>
      </c>
      <c r="L22" s="990">
        <v>0</v>
      </c>
      <c r="M22" s="990">
        <v>0</v>
      </c>
      <c r="N22" s="994">
        <v>0</v>
      </c>
      <c r="O22" s="994">
        <v>0</v>
      </c>
      <c r="P22" s="990">
        <v>46254615</v>
      </c>
      <c r="Q22" s="990">
        <v>71881</v>
      </c>
      <c r="R22" s="991">
        <v>46254615</v>
      </c>
      <c r="S22" s="992">
        <v>71881</v>
      </c>
    </row>
    <row r="23" spans="1:19" ht="22.5" x14ac:dyDescent="0.25">
      <c r="A23" s="989" t="s">
        <v>4956</v>
      </c>
      <c r="B23" s="989" t="s">
        <v>4957</v>
      </c>
      <c r="C23" s="989" t="s">
        <v>4976</v>
      </c>
      <c r="D23" s="989" t="s">
        <v>4976</v>
      </c>
      <c r="E23" s="1080" t="s">
        <v>4977</v>
      </c>
      <c r="F23" s="990">
        <v>0</v>
      </c>
      <c r="G23" s="990">
        <v>0</v>
      </c>
      <c r="H23" s="990">
        <v>0</v>
      </c>
      <c r="I23" s="990">
        <v>0</v>
      </c>
      <c r="J23" s="990">
        <v>0</v>
      </c>
      <c r="K23" s="990">
        <v>0</v>
      </c>
      <c r="L23" s="990">
        <v>0</v>
      </c>
      <c r="M23" s="990">
        <v>0</v>
      </c>
      <c r="N23" s="994">
        <v>3450770432</v>
      </c>
      <c r="O23" s="994">
        <v>6672805</v>
      </c>
      <c r="P23" s="990">
        <v>0</v>
      </c>
      <c r="Q23" s="990">
        <v>0</v>
      </c>
      <c r="R23" s="991">
        <v>0</v>
      </c>
      <c r="S23" s="992">
        <v>0</v>
      </c>
    </row>
    <row r="24" spans="1:19" ht="22.5" x14ac:dyDescent="0.25">
      <c r="A24" s="989" t="s">
        <v>4956</v>
      </c>
      <c r="B24" s="989" t="s">
        <v>4957</v>
      </c>
      <c r="C24" s="989" t="s">
        <v>316</v>
      </c>
      <c r="D24" s="989" t="s">
        <v>4978</v>
      </c>
      <c r="E24" s="1080" t="s">
        <v>6593</v>
      </c>
      <c r="F24" s="990">
        <v>46902512</v>
      </c>
      <c r="G24" s="990">
        <v>0</v>
      </c>
      <c r="H24" s="990">
        <v>1270382777</v>
      </c>
      <c r="I24" s="990">
        <v>0</v>
      </c>
      <c r="J24" s="990">
        <v>0</v>
      </c>
      <c r="K24" s="990">
        <v>0</v>
      </c>
      <c r="L24" s="990">
        <v>0</v>
      </c>
      <c r="M24" s="990">
        <v>0</v>
      </c>
      <c r="N24" s="994">
        <v>0</v>
      </c>
      <c r="O24" s="994">
        <v>0</v>
      </c>
      <c r="P24" s="990">
        <v>1270382777</v>
      </c>
      <c r="Q24" s="990">
        <v>0</v>
      </c>
      <c r="R24" s="991">
        <v>1317285289</v>
      </c>
      <c r="S24" s="992">
        <v>0</v>
      </c>
    </row>
    <row r="25" spans="1:19" ht="22.5" x14ac:dyDescent="0.25">
      <c r="A25" s="989" t="s">
        <v>4956</v>
      </c>
      <c r="B25" s="989" t="s">
        <v>4957</v>
      </c>
      <c r="C25" s="989" t="s">
        <v>316</v>
      </c>
      <c r="D25" s="989" t="s">
        <v>4979</v>
      </c>
      <c r="E25" s="1080" t="s">
        <v>6594</v>
      </c>
      <c r="F25" s="990">
        <v>63837972</v>
      </c>
      <c r="G25" s="990">
        <v>0</v>
      </c>
      <c r="H25" s="990">
        <v>1336880600</v>
      </c>
      <c r="I25" s="990">
        <v>0</v>
      </c>
      <c r="J25" s="990">
        <v>0</v>
      </c>
      <c r="K25" s="990">
        <v>0</v>
      </c>
      <c r="L25" s="990">
        <v>0</v>
      </c>
      <c r="M25" s="990">
        <v>0</v>
      </c>
      <c r="N25" s="994">
        <v>0</v>
      </c>
      <c r="O25" s="994">
        <v>0</v>
      </c>
      <c r="P25" s="990">
        <v>1336880600</v>
      </c>
      <c r="Q25" s="990">
        <v>0</v>
      </c>
      <c r="R25" s="991">
        <v>1400718572</v>
      </c>
      <c r="S25" s="992">
        <v>0</v>
      </c>
    </row>
    <row r="26" spans="1:19" ht="22.5" x14ac:dyDescent="0.25">
      <c r="A26" s="989" t="s">
        <v>4956</v>
      </c>
      <c r="B26" s="989" t="s">
        <v>4957</v>
      </c>
      <c r="C26" s="989" t="s">
        <v>316</v>
      </c>
      <c r="D26" s="989" t="s">
        <v>4980</v>
      </c>
      <c r="E26" s="1080" t="s">
        <v>6595</v>
      </c>
      <c r="F26" s="990">
        <v>54835825</v>
      </c>
      <c r="G26" s="990">
        <v>0</v>
      </c>
      <c r="H26" s="990">
        <v>986738042</v>
      </c>
      <c r="I26" s="990">
        <v>0</v>
      </c>
      <c r="J26" s="990">
        <v>0</v>
      </c>
      <c r="K26" s="990">
        <v>0</v>
      </c>
      <c r="L26" s="990">
        <v>0</v>
      </c>
      <c r="M26" s="990">
        <v>0</v>
      </c>
      <c r="N26" s="994">
        <v>0</v>
      </c>
      <c r="O26" s="994">
        <v>0</v>
      </c>
      <c r="P26" s="990">
        <v>986738042</v>
      </c>
      <c r="Q26" s="990">
        <v>0</v>
      </c>
      <c r="R26" s="991">
        <v>1041573867</v>
      </c>
      <c r="S26" s="992">
        <v>0</v>
      </c>
    </row>
    <row r="27" spans="1:19" ht="22.5" x14ac:dyDescent="0.25">
      <c r="A27" s="989" t="s">
        <v>4956</v>
      </c>
      <c r="B27" s="989" t="s">
        <v>4957</v>
      </c>
      <c r="C27" s="989" t="s">
        <v>316</v>
      </c>
      <c r="D27" s="989" t="s">
        <v>4981</v>
      </c>
      <c r="E27" s="1080" t="s">
        <v>6596</v>
      </c>
      <c r="F27" s="990">
        <v>80591944</v>
      </c>
      <c r="G27" s="990">
        <v>0</v>
      </c>
      <c r="H27" s="990">
        <v>2227426498</v>
      </c>
      <c r="I27" s="990">
        <v>0</v>
      </c>
      <c r="J27" s="990">
        <v>0</v>
      </c>
      <c r="K27" s="990">
        <v>0</v>
      </c>
      <c r="L27" s="990">
        <v>0</v>
      </c>
      <c r="M27" s="990">
        <v>0</v>
      </c>
      <c r="N27" s="994">
        <v>0</v>
      </c>
      <c r="O27" s="994">
        <v>0</v>
      </c>
      <c r="P27" s="990">
        <v>2227426498</v>
      </c>
      <c r="Q27" s="990">
        <v>0</v>
      </c>
      <c r="R27" s="991">
        <v>2308018442</v>
      </c>
      <c r="S27" s="992">
        <v>0</v>
      </c>
    </row>
    <row r="28" spans="1:19" ht="33.75" x14ac:dyDescent="0.25">
      <c r="A28" s="989" t="s">
        <v>4956</v>
      </c>
      <c r="B28" s="989" t="s">
        <v>4957</v>
      </c>
      <c r="C28" s="989" t="s">
        <v>1733</v>
      </c>
      <c r="D28" s="989" t="s">
        <v>4982</v>
      </c>
      <c r="E28" s="1080" t="s">
        <v>6597</v>
      </c>
      <c r="F28" s="990">
        <v>5031</v>
      </c>
      <c r="G28" s="990">
        <v>14</v>
      </c>
      <c r="H28" s="990">
        <v>393306</v>
      </c>
      <c r="I28" s="990">
        <v>818</v>
      </c>
      <c r="J28" s="990">
        <v>0</v>
      </c>
      <c r="K28" s="990">
        <v>0</v>
      </c>
      <c r="L28" s="990">
        <v>0</v>
      </c>
      <c r="M28" s="990">
        <v>0</v>
      </c>
      <c r="N28" s="994">
        <v>0</v>
      </c>
      <c r="O28" s="994">
        <v>0</v>
      </c>
      <c r="P28" s="990">
        <v>393306</v>
      </c>
      <c r="Q28" s="990">
        <v>818</v>
      </c>
      <c r="R28" s="991">
        <v>398337</v>
      </c>
      <c r="S28" s="992">
        <v>832</v>
      </c>
    </row>
    <row r="29" spans="1:19" ht="33.75" x14ac:dyDescent="0.25">
      <c r="A29" s="989" t="s">
        <v>4956</v>
      </c>
      <c r="B29" s="989" t="s">
        <v>4957</v>
      </c>
      <c r="C29" s="989" t="s">
        <v>1733</v>
      </c>
      <c r="D29" s="989" t="s">
        <v>4983</v>
      </c>
      <c r="E29" s="1080" t="s">
        <v>6598</v>
      </c>
      <c r="F29" s="990">
        <v>9687</v>
      </c>
      <c r="G29" s="990">
        <v>31</v>
      </c>
      <c r="H29" s="990">
        <v>252717</v>
      </c>
      <c r="I29" s="990">
        <v>662</v>
      </c>
      <c r="J29" s="990">
        <v>9290</v>
      </c>
      <c r="K29" s="990">
        <v>22</v>
      </c>
      <c r="L29" s="990">
        <v>0</v>
      </c>
      <c r="M29" s="990">
        <v>0</v>
      </c>
      <c r="N29" s="994">
        <v>0</v>
      </c>
      <c r="O29" s="994">
        <v>0</v>
      </c>
      <c r="P29" s="990">
        <v>262007</v>
      </c>
      <c r="Q29" s="990">
        <v>684</v>
      </c>
      <c r="R29" s="991">
        <v>271694</v>
      </c>
      <c r="S29" s="992">
        <v>715</v>
      </c>
    </row>
    <row r="30" spans="1:19" ht="22.5" x14ac:dyDescent="0.25">
      <c r="A30" s="989" t="s">
        <v>4956</v>
      </c>
      <c r="B30" s="989" t="s">
        <v>4957</v>
      </c>
      <c r="C30" s="989" t="s">
        <v>1730</v>
      </c>
      <c r="D30" s="989" t="s">
        <v>4984</v>
      </c>
      <c r="E30" s="1080" t="s">
        <v>6599</v>
      </c>
      <c r="F30" s="990">
        <v>0</v>
      </c>
      <c r="G30" s="990">
        <v>0</v>
      </c>
      <c r="H30" s="990">
        <v>0</v>
      </c>
      <c r="I30" s="990">
        <v>0</v>
      </c>
      <c r="J30" s="990">
        <v>13366617</v>
      </c>
      <c r="K30" s="990">
        <v>37895</v>
      </c>
      <c r="L30" s="990">
        <v>0</v>
      </c>
      <c r="M30" s="990">
        <v>0</v>
      </c>
      <c r="N30" s="994">
        <v>0</v>
      </c>
      <c r="O30" s="994">
        <v>0</v>
      </c>
      <c r="P30" s="990">
        <v>13366617</v>
      </c>
      <c r="Q30" s="990">
        <v>37895</v>
      </c>
      <c r="R30" s="991">
        <v>13366617</v>
      </c>
      <c r="S30" s="992">
        <v>37895</v>
      </c>
    </row>
    <row r="31" spans="1:19" ht="22.5" x14ac:dyDescent="0.25">
      <c r="A31" s="989" t="s">
        <v>4956</v>
      </c>
      <c r="B31" s="989" t="s">
        <v>4957</v>
      </c>
      <c r="C31" s="989" t="s">
        <v>1730</v>
      </c>
      <c r="D31" s="989" t="s">
        <v>4985</v>
      </c>
      <c r="E31" s="1080" t="s">
        <v>6600</v>
      </c>
      <c r="F31" s="990">
        <v>0</v>
      </c>
      <c r="G31" s="990">
        <v>0</v>
      </c>
      <c r="H31" s="990">
        <v>203208</v>
      </c>
      <c r="I31" s="990">
        <v>581</v>
      </c>
      <c r="J31" s="990">
        <v>27650733</v>
      </c>
      <c r="K31" s="990">
        <v>79367</v>
      </c>
      <c r="L31" s="990">
        <v>0</v>
      </c>
      <c r="M31" s="990">
        <v>0</v>
      </c>
      <c r="N31" s="994">
        <v>0</v>
      </c>
      <c r="O31" s="994">
        <v>0</v>
      </c>
      <c r="P31" s="990">
        <v>27853941</v>
      </c>
      <c r="Q31" s="990">
        <v>79948</v>
      </c>
      <c r="R31" s="991">
        <v>27853941</v>
      </c>
      <c r="S31" s="992">
        <v>79948</v>
      </c>
    </row>
    <row r="32" spans="1:19" ht="22.5" x14ac:dyDescent="0.25">
      <c r="A32" s="989" t="s">
        <v>4956</v>
      </c>
      <c r="B32" s="989" t="s">
        <v>4957</v>
      </c>
      <c r="C32" s="989" t="s">
        <v>1730</v>
      </c>
      <c r="D32" s="989" t="s">
        <v>4986</v>
      </c>
      <c r="E32" s="1080" t="s">
        <v>6601</v>
      </c>
      <c r="F32" s="990">
        <v>309097</v>
      </c>
      <c r="G32" s="990">
        <v>912</v>
      </c>
      <c r="H32" s="990">
        <v>0</v>
      </c>
      <c r="I32" s="990">
        <v>0</v>
      </c>
      <c r="J32" s="990">
        <v>29114004</v>
      </c>
      <c r="K32" s="990">
        <v>85941</v>
      </c>
      <c r="L32" s="990">
        <v>0</v>
      </c>
      <c r="M32" s="990">
        <v>0</v>
      </c>
      <c r="N32" s="994">
        <v>0</v>
      </c>
      <c r="O32" s="994">
        <v>0</v>
      </c>
      <c r="P32" s="990">
        <v>29114004</v>
      </c>
      <c r="Q32" s="990">
        <v>85941</v>
      </c>
      <c r="R32" s="991">
        <v>29423101</v>
      </c>
      <c r="S32" s="992">
        <v>86853</v>
      </c>
    </row>
    <row r="33" spans="1:19" ht="22.5" x14ac:dyDescent="0.25">
      <c r="A33" s="989" t="s">
        <v>4956</v>
      </c>
      <c r="B33" s="989" t="s">
        <v>4957</v>
      </c>
      <c r="C33" s="989" t="s">
        <v>1730</v>
      </c>
      <c r="D33" s="989" t="s">
        <v>4987</v>
      </c>
      <c r="E33" s="1080" t="s">
        <v>6602</v>
      </c>
      <c r="F33" s="990">
        <v>418033</v>
      </c>
      <c r="G33" s="990">
        <v>1197</v>
      </c>
      <c r="H33" s="990">
        <v>583334</v>
      </c>
      <c r="I33" s="990">
        <v>1685</v>
      </c>
      <c r="J33" s="990">
        <v>43508324</v>
      </c>
      <c r="K33" s="990">
        <v>125652</v>
      </c>
      <c r="L33" s="990">
        <v>0</v>
      </c>
      <c r="M33" s="990">
        <v>0</v>
      </c>
      <c r="N33" s="994">
        <v>0</v>
      </c>
      <c r="O33" s="994">
        <v>0</v>
      </c>
      <c r="P33" s="990">
        <v>44091658</v>
      </c>
      <c r="Q33" s="990">
        <v>127337</v>
      </c>
      <c r="R33" s="991">
        <v>44509691</v>
      </c>
      <c r="S33" s="992">
        <v>128534</v>
      </c>
    </row>
    <row r="34" spans="1:19" ht="33.75" x14ac:dyDescent="0.25">
      <c r="A34" s="989" t="s">
        <v>4956</v>
      </c>
      <c r="B34" s="989" t="s">
        <v>4957</v>
      </c>
      <c r="C34" s="989" t="s">
        <v>1734</v>
      </c>
      <c r="D34" s="989" t="s">
        <v>4988</v>
      </c>
      <c r="E34" s="1080" t="s">
        <v>6603</v>
      </c>
      <c r="F34" s="990">
        <v>536426</v>
      </c>
      <c r="G34" s="990">
        <v>0</v>
      </c>
      <c r="H34" s="990">
        <v>9915378</v>
      </c>
      <c r="I34" s="990">
        <v>0</v>
      </c>
      <c r="J34" s="990">
        <v>0</v>
      </c>
      <c r="K34" s="990">
        <v>0</v>
      </c>
      <c r="L34" s="990">
        <v>0</v>
      </c>
      <c r="M34" s="990">
        <v>0</v>
      </c>
      <c r="N34" s="994">
        <v>0</v>
      </c>
      <c r="O34" s="994">
        <v>0</v>
      </c>
      <c r="P34" s="990">
        <v>9915378</v>
      </c>
      <c r="Q34" s="990">
        <v>0</v>
      </c>
      <c r="R34" s="991">
        <v>10451804</v>
      </c>
      <c r="S34" s="992">
        <v>0</v>
      </c>
    </row>
    <row r="35" spans="1:19" ht="33.75" x14ac:dyDescent="0.25">
      <c r="A35" s="989" t="s">
        <v>4956</v>
      </c>
      <c r="B35" s="989" t="s">
        <v>4957</v>
      </c>
      <c r="C35" s="989" t="s">
        <v>1734</v>
      </c>
      <c r="D35" s="989" t="s">
        <v>4989</v>
      </c>
      <c r="E35" s="1080" t="s">
        <v>6604</v>
      </c>
      <c r="F35" s="990">
        <v>385653</v>
      </c>
      <c r="G35" s="990">
        <v>0</v>
      </c>
      <c r="H35" s="990">
        <v>9975898</v>
      </c>
      <c r="I35" s="990">
        <v>0</v>
      </c>
      <c r="J35" s="990">
        <v>4552</v>
      </c>
      <c r="K35" s="990">
        <v>0</v>
      </c>
      <c r="L35" s="990">
        <v>0</v>
      </c>
      <c r="M35" s="990">
        <v>0</v>
      </c>
      <c r="N35" s="994">
        <v>0</v>
      </c>
      <c r="O35" s="994">
        <v>0</v>
      </c>
      <c r="P35" s="990">
        <v>9980450</v>
      </c>
      <c r="Q35" s="990">
        <v>0</v>
      </c>
      <c r="R35" s="991">
        <v>10366103</v>
      </c>
      <c r="S35" s="992">
        <v>0</v>
      </c>
    </row>
    <row r="36" spans="1:19" ht="33.75" x14ac:dyDescent="0.25">
      <c r="A36" s="989" t="s">
        <v>4956</v>
      </c>
      <c r="B36" s="989" t="s">
        <v>4957</v>
      </c>
      <c r="C36" s="989" t="s">
        <v>1734</v>
      </c>
      <c r="D36" s="989" t="s">
        <v>4990</v>
      </c>
      <c r="E36" s="1080" t="s">
        <v>6605</v>
      </c>
      <c r="F36" s="990">
        <v>1089143</v>
      </c>
      <c r="G36" s="990">
        <v>0</v>
      </c>
      <c r="H36" s="990">
        <v>0</v>
      </c>
      <c r="I36" s="990">
        <v>0</v>
      </c>
      <c r="J36" s="990">
        <v>3814383</v>
      </c>
      <c r="K36" s="990">
        <v>0</v>
      </c>
      <c r="L36" s="990">
        <v>0</v>
      </c>
      <c r="M36" s="990">
        <v>0</v>
      </c>
      <c r="N36" s="994">
        <v>0</v>
      </c>
      <c r="O36" s="994">
        <v>0</v>
      </c>
      <c r="P36" s="990">
        <v>3814383</v>
      </c>
      <c r="Q36" s="990">
        <v>0</v>
      </c>
      <c r="R36" s="991">
        <v>4903526</v>
      </c>
      <c r="S36" s="992">
        <v>0</v>
      </c>
    </row>
    <row r="37" spans="1:19" ht="33.75" x14ac:dyDescent="0.25">
      <c r="A37" s="989" t="s">
        <v>4956</v>
      </c>
      <c r="B37" s="989" t="s">
        <v>4957</v>
      </c>
      <c r="C37" s="989" t="s">
        <v>1734</v>
      </c>
      <c r="D37" s="989" t="s">
        <v>4991</v>
      </c>
      <c r="E37" s="1080" t="s">
        <v>6606</v>
      </c>
      <c r="F37" s="990">
        <v>105597</v>
      </c>
      <c r="G37" s="990">
        <v>0</v>
      </c>
      <c r="H37" s="990">
        <v>12374162</v>
      </c>
      <c r="I37" s="990">
        <v>0</v>
      </c>
      <c r="J37" s="990">
        <v>0</v>
      </c>
      <c r="K37" s="990">
        <v>0</v>
      </c>
      <c r="L37" s="990">
        <v>0</v>
      </c>
      <c r="M37" s="990">
        <v>0</v>
      </c>
      <c r="N37" s="994">
        <v>0</v>
      </c>
      <c r="O37" s="994">
        <v>0</v>
      </c>
      <c r="P37" s="990">
        <v>12374162</v>
      </c>
      <c r="Q37" s="990">
        <v>0</v>
      </c>
      <c r="R37" s="991">
        <v>12479759</v>
      </c>
      <c r="S37" s="992">
        <v>0</v>
      </c>
    </row>
    <row r="38" spans="1:19" ht="45" x14ac:dyDescent="0.25">
      <c r="A38" s="989" t="s">
        <v>4956</v>
      </c>
      <c r="B38" s="989" t="s">
        <v>1725</v>
      </c>
      <c r="C38" s="989" t="s">
        <v>1726</v>
      </c>
      <c r="D38" s="989" t="s">
        <v>1727</v>
      </c>
      <c r="E38" s="1080" t="s">
        <v>2933</v>
      </c>
      <c r="F38" s="990">
        <v>3470920.03</v>
      </c>
      <c r="G38" s="990">
        <v>8592</v>
      </c>
      <c r="H38" s="990">
        <v>3065307.4</v>
      </c>
      <c r="I38" s="990">
        <v>9869.01</v>
      </c>
      <c r="J38" s="990">
        <v>87975915.450000003</v>
      </c>
      <c r="K38" s="990">
        <v>192374.8</v>
      </c>
      <c r="L38" s="990">
        <v>0</v>
      </c>
      <c r="M38" s="990">
        <v>0</v>
      </c>
      <c r="N38" s="994">
        <v>0</v>
      </c>
      <c r="O38" s="994">
        <v>0</v>
      </c>
      <c r="P38" s="990">
        <v>91041222.849999994</v>
      </c>
      <c r="Q38" s="990">
        <v>202243.81</v>
      </c>
      <c r="R38" s="991">
        <v>94512142.879999995</v>
      </c>
      <c r="S38" s="992">
        <v>210836.14</v>
      </c>
    </row>
    <row r="39" spans="1:19" ht="22.5" x14ac:dyDescent="0.25">
      <c r="A39" s="989" t="s">
        <v>4956</v>
      </c>
      <c r="B39" s="989" t="s">
        <v>1725</v>
      </c>
      <c r="C39" s="989" t="s">
        <v>4976</v>
      </c>
      <c r="D39" s="989" t="s">
        <v>4976</v>
      </c>
      <c r="E39" s="989" t="s">
        <v>4992</v>
      </c>
      <c r="F39" s="990">
        <v>0</v>
      </c>
      <c r="G39" s="990">
        <v>0</v>
      </c>
      <c r="H39" s="990">
        <v>0</v>
      </c>
      <c r="I39" s="990">
        <v>0</v>
      </c>
      <c r="J39" s="990">
        <v>0</v>
      </c>
      <c r="K39" s="990">
        <v>0</v>
      </c>
      <c r="L39" s="990">
        <v>0</v>
      </c>
      <c r="M39" s="990">
        <v>0</v>
      </c>
      <c r="N39" s="994">
        <v>58917720</v>
      </c>
      <c r="O39" s="994">
        <v>99618.296875</v>
      </c>
      <c r="P39" s="990">
        <v>0</v>
      </c>
      <c r="Q39" s="990">
        <v>0</v>
      </c>
      <c r="R39" s="991">
        <v>0</v>
      </c>
      <c r="S39" s="992">
        <v>0</v>
      </c>
    </row>
    <row r="40" spans="1:19" ht="22.5" x14ac:dyDescent="0.25">
      <c r="A40" s="989" t="s">
        <v>4956</v>
      </c>
      <c r="B40" s="989" t="s">
        <v>1725</v>
      </c>
      <c r="C40" s="989" t="s">
        <v>316</v>
      </c>
      <c r="D40" s="989" t="s">
        <v>1728</v>
      </c>
      <c r="E40" s="1080" t="s">
        <v>2934</v>
      </c>
      <c r="F40" s="990">
        <v>3966262.22</v>
      </c>
      <c r="G40" s="990">
        <v>0</v>
      </c>
      <c r="H40" s="990">
        <v>97960382.900000006</v>
      </c>
      <c r="I40" s="990">
        <v>0</v>
      </c>
      <c r="J40" s="990">
        <v>0</v>
      </c>
      <c r="K40" s="990">
        <v>0</v>
      </c>
      <c r="L40" s="990">
        <v>0</v>
      </c>
      <c r="M40" s="990">
        <v>0</v>
      </c>
      <c r="N40" s="994">
        <v>0</v>
      </c>
      <c r="O40" s="994">
        <v>0</v>
      </c>
      <c r="P40" s="990">
        <v>97960382.900000006</v>
      </c>
      <c r="Q40" s="990">
        <v>0</v>
      </c>
      <c r="R40" s="991">
        <v>101926645.12</v>
      </c>
      <c r="S40" s="992">
        <v>0</v>
      </c>
    </row>
    <row r="41" spans="1:19" ht="22.5" x14ac:dyDescent="0.25">
      <c r="A41" s="989" t="s">
        <v>4956</v>
      </c>
      <c r="B41" s="989" t="s">
        <v>1725</v>
      </c>
      <c r="C41" s="989" t="s">
        <v>316</v>
      </c>
      <c r="D41" s="989" t="s">
        <v>1729</v>
      </c>
      <c r="E41" s="1080" t="s">
        <v>4993</v>
      </c>
      <c r="F41" s="990">
        <v>27046.89</v>
      </c>
      <c r="G41" s="990">
        <v>0</v>
      </c>
      <c r="H41" s="990">
        <v>6015405.79</v>
      </c>
      <c r="I41" s="990">
        <v>0</v>
      </c>
      <c r="J41" s="990">
        <v>0</v>
      </c>
      <c r="K41" s="990">
        <v>0</v>
      </c>
      <c r="L41" s="990">
        <v>0</v>
      </c>
      <c r="M41" s="990">
        <v>0</v>
      </c>
      <c r="N41" s="994">
        <v>0</v>
      </c>
      <c r="O41" s="994">
        <v>0</v>
      </c>
      <c r="P41" s="990">
        <v>6015405.79</v>
      </c>
      <c r="Q41" s="990">
        <v>0</v>
      </c>
      <c r="R41" s="991">
        <v>6042452.6799999997</v>
      </c>
      <c r="S41" s="992">
        <v>0</v>
      </c>
    </row>
    <row r="42" spans="1:19" ht="22.5" x14ac:dyDescent="0.25">
      <c r="A42" s="989" t="s">
        <v>4956</v>
      </c>
      <c r="B42" s="989" t="s">
        <v>1725</v>
      </c>
      <c r="C42" s="989" t="s">
        <v>1730</v>
      </c>
      <c r="D42" s="989" t="s">
        <v>341</v>
      </c>
      <c r="E42" s="989" t="s">
        <v>1871</v>
      </c>
      <c r="F42" s="990">
        <v>124949.3</v>
      </c>
      <c r="G42" s="990">
        <v>0</v>
      </c>
      <c r="H42" s="990">
        <v>0</v>
      </c>
      <c r="I42" s="990">
        <v>0</v>
      </c>
      <c r="J42" s="990">
        <v>457587.4</v>
      </c>
      <c r="K42" s="990">
        <v>0</v>
      </c>
      <c r="L42" s="990">
        <v>0</v>
      </c>
      <c r="M42" s="990">
        <v>0</v>
      </c>
      <c r="N42" s="994">
        <v>0</v>
      </c>
      <c r="O42" s="994">
        <v>0</v>
      </c>
      <c r="P42" s="990">
        <v>457587.4</v>
      </c>
      <c r="Q42" s="990">
        <v>0</v>
      </c>
      <c r="R42" s="991">
        <v>582536.69999999995</v>
      </c>
      <c r="S42" s="992">
        <v>0</v>
      </c>
    </row>
    <row r="43" spans="1:19" ht="45" x14ac:dyDescent="0.25">
      <c r="A43" s="989" t="s">
        <v>4956</v>
      </c>
      <c r="B43" s="989" t="s">
        <v>1731</v>
      </c>
      <c r="C43" s="989" t="s">
        <v>1726</v>
      </c>
      <c r="D43" s="989" t="s">
        <v>277</v>
      </c>
      <c r="E43" s="989" t="s">
        <v>1872</v>
      </c>
      <c r="F43" s="990">
        <v>1116000</v>
      </c>
      <c r="G43" s="990">
        <v>2603</v>
      </c>
      <c r="H43" s="990">
        <v>0</v>
      </c>
      <c r="I43" s="990">
        <v>0</v>
      </c>
      <c r="J43" s="990">
        <v>14551365.02</v>
      </c>
      <c r="K43" s="990">
        <v>40844.300000000003</v>
      </c>
      <c r="L43" s="990">
        <v>0</v>
      </c>
      <c r="M43" s="990">
        <v>0</v>
      </c>
      <c r="N43" s="994">
        <v>0</v>
      </c>
      <c r="O43" s="994">
        <v>0</v>
      </c>
      <c r="P43" s="990">
        <v>14551365.02</v>
      </c>
      <c r="Q43" s="990">
        <v>40844.300000000003</v>
      </c>
      <c r="R43" s="991">
        <v>15667365.02</v>
      </c>
      <c r="S43" s="992">
        <v>43447.9</v>
      </c>
    </row>
    <row r="44" spans="1:19" ht="22.5" x14ac:dyDescent="0.25">
      <c r="A44" s="989" t="s">
        <v>4956</v>
      </c>
      <c r="B44" s="989" t="s">
        <v>1731</v>
      </c>
      <c r="C44" s="989" t="s">
        <v>297</v>
      </c>
      <c r="D44" s="989" t="s">
        <v>297</v>
      </c>
      <c r="E44" s="989" t="s">
        <v>1873</v>
      </c>
      <c r="F44" s="990">
        <v>30018.35</v>
      </c>
      <c r="G44" s="990">
        <v>0</v>
      </c>
      <c r="H44" s="990">
        <v>4746461.96</v>
      </c>
      <c r="I44" s="990">
        <v>0</v>
      </c>
      <c r="J44" s="990">
        <v>0</v>
      </c>
      <c r="K44" s="990">
        <v>0</v>
      </c>
      <c r="L44" s="990">
        <v>0</v>
      </c>
      <c r="M44" s="990">
        <v>0</v>
      </c>
      <c r="N44" s="994">
        <v>0</v>
      </c>
      <c r="O44" s="994">
        <v>0</v>
      </c>
      <c r="P44" s="990">
        <v>4746461.96</v>
      </c>
      <c r="Q44" s="990">
        <v>0</v>
      </c>
      <c r="R44" s="991">
        <v>4776480.3099999996</v>
      </c>
      <c r="S44" s="992">
        <v>0</v>
      </c>
    </row>
    <row r="45" spans="1:19" ht="22.5" x14ac:dyDescent="0.25">
      <c r="A45" s="989" t="s">
        <v>4956</v>
      </c>
      <c r="B45" s="989" t="s">
        <v>1731</v>
      </c>
      <c r="C45" s="989" t="s">
        <v>4976</v>
      </c>
      <c r="D45" s="989" t="s">
        <v>4976</v>
      </c>
      <c r="E45" s="989" t="s">
        <v>4994</v>
      </c>
      <c r="F45" s="990">
        <v>0</v>
      </c>
      <c r="G45" s="990">
        <v>0</v>
      </c>
      <c r="H45" s="990">
        <v>0</v>
      </c>
      <c r="I45" s="990">
        <v>0</v>
      </c>
      <c r="J45" s="990">
        <v>0</v>
      </c>
      <c r="K45" s="990">
        <v>0</v>
      </c>
      <c r="L45" s="990">
        <v>0</v>
      </c>
      <c r="M45" s="990">
        <v>0</v>
      </c>
      <c r="N45" s="994">
        <v>4563646.5</v>
      </c>
      <c r="O45" s="994">
        <v>18088.380859375</v>
      </c>
      <c r="P45" s="990">
        <v>0</v>
      </c>
      <c r="Q45" s="990">
        <v>0</v>
      </c>
      <c r="R45" s="991">
        <v>0</v>
      </c>
      <c r="S45" s="992">
        <v>0</v>
      </c>
    </row>
    <row r="46" spans="1:19" ht="22.5" x14ac:dyDescent="0.25">
      <c r="A46" s="989" t="s">
        <v>4956</v>
      </c>
      <c r="B46" s="989" t="s">
        <v>1731</v>
      </c>
      <c r="C46" s="989" t="s">
        <v>316</v>
      </c>
      <c r="D46" s="989" t="s">
        <v>316</v>
      </c>
      <c r="E46" s="989" t="s">
        <v>1874</v>
      </c>
      <c r="F46" s="990">
        <v>86071.63</v>
      </c>
      <c r="G46" s="990">
        <v>0</v>
      </c>
      <c r="H46" s="990">
        <v>8625374.8599999994</v>
      </c>
      <c r="I46" s="990">
        <v>0</v>
      </c>
      <c r="J46" s="990">
        <v>0</v>
      </c>
      <c r="K46" s="990">
        <v>0</v>
      </c>
      <c r="L46" s="990">
        <v>0</v>
      </c>
      <c r="M46" s="990">
        <v>0</v>
      </c>
      <c r="N46" s="994">
        <v>0</v>
      </c>
      <c r="O46" s="994">
        <v>0</v>
      </c>
      <c r="P46" s="990">
        <v>8625374.8599999994</v>
      </c>
      <c r="Q46" s="990">
        <v>0</v>
      </c>
      <c r="R46" s="991">
        <v>8711446.4900000002</v>
      </c>
      <c r="S46" s="992">
        <v>0</v>
      </c>
    </row>
    <row r="47" spans="1:19" ht="22.5" x14ac:dyDescent="0.25">
      <c r="A47" s="989" t="s">
        <v>4956</v>
      </c>
      <c r="B47" s="989" t="s">
        <v>1731</v>
      </c>
      <c r="C47" s="989" t="s">
        <v>1730</v>
      </c>
      <c r="D47" s="989" t="s">
        <v>341</v>
      </c>
      <c r="E47" s="989" t="s">
        <v>1875</v>
      </c>
      <c r="F47" s="990">
        <v>0</v>
      </c>
      <c r="G47" s="990">
        <v>0</v>
      </c>
      <c r="H47" s="990">
        <v>0</v>
      </c>
      <c r="I47" s="990">
        <v>0</v>
      </c>
      <c r="J47" s="990">
        <v>454606.61</v>
      </c>
      <c r="K47" s="990">
        <v>1409.64</v>
      </c>
      <c r="L47" s="990">
        <v>0</v>
      </c>
      <c r="M47" s="990">
        <v>0</v>
      </c>
      <c r="N47" s="994">
        <v>0</v>
      </c>
      <c r="O47" s="994">
        <v>0</v>
      </c>
      <c r="P47" s="990">
        <v>454606.61</v>
      </c>
      <c r="Q47" s="990">
        <v>1409.64</v>
      </c>
      <c r="R47" s="991">
        <v>454606.61</v>
      </c>
      <c r="S47" s="992">
        <v>1409.64</v>
      </c>
    </row>
    <row r="48" spans="1:19" ht="45" x14ac:dyDescent="0.25">
      <c r="A48" s="989" t="s">
        <v>4956</v>
      </c>
      <c r="B48" s="989" t="s">
        <v>6858</v>
      </c>
      <c r="C48" s="989" t="s">
        <v>1726</v>
      </c>
      <c r="D48" s="989" t="s">
        <v>257</v>
      </c>
      <c r="E48" s="989" t="s">
        <v>6859</v>
      </c>
      <c r="F48" s="990">
        <v>0</v>
      </c>
      <c r="G48" s="990">
        <v>0</v>
      </c>
      <c r="H48" s="990">
        <v>0</v>
      </c>
      <c r="I48" s="990">
        <v>0</v>
      </c>
      <c r="J48" s="990">
        <v>137456443</v>
      </c>
      <c r="K48" s="990">
        <v>281957</v>
      </c>
      <c r="L48" s="990">
        <v>0</v>
      </c>
      <c r="M48" s="990">
        <v>0</v>
      </c>
      <c r="N48" s="994">
        <v>0</v>
      </c>
      <c r="O48" s="994">
        <v>0</v>
      </c>
      <c r="P48" s="990">
        <v>137456443</v>
      </c>
      <c r="Q48" s="990">
        <v>281957</v>
      </c>
      <c r="R48" s="991">
        <v>137456443</v>
      </c>
      <c r="S48" s="992">
        <v>281957</v>
      </c>
    </row>
    <row r="49" spans="1:19" ht="45" x14ac:dyDescent="0.25">
      <c r="A49" s="989" t="s">
        <v>4956</v>
      </c>
      <c r="B49" s="989" t="s">
        <v>6858</v>
      </c>
      <c r="C49" s="989" t="s">
        <v>1726</v>
      </c>
      <c r="D49" s="989" t="s">
        <v>281</v>
      </c>
      <c r="E49" s="989" t="s">
        <v>6860</v>
      </c>
      <c r="F49" s="990">
        <v>34633054</v>
      </c>
      <c r="G49" s="990">
        <v>100088</v>
      </c>
      <c r="H49" s="990">
        <v>41720963</v>
      </c>
      <c r="I49" s="990">
        <v>94839</v>
      </c>
      <c r="J49" s="990">
        <v>120235551</v>
      </c>
      <c r="K49" s="990">
        <v>346188</v>
      </c>
      <c r="L49" s="990">
        <v>4545362</v>
      </c>
      <c r="M49" s="990">
        <v>8723</v>
      </c>
      <c r="N49" s="994">
        <v>0</v>
      </c>
      <c r="O49" s="994">
        <v>0</v>
      </c>
      <c r="P49" s="990">
        <v>166501876</v>
      </c>
      <c r="Q49" s="990">
        <v>449750</v>
      </c>
      <c r="R49" s="991">
        <v>201134930</v>
      </c>
      <c r="S49" s="992">
        <v>549838</v>
      </c>
    </row>
    <row r="50" spans="1:19" ht="33.75" x14ac:dyDescent="0.25">
      <c r="A50" s="989" t="s">
        <v>4956</v>
      </c>
      <c r="B50" s="989" t="s">
        <v>6858</v>
      </c>
      <c r="C50" s="989" t="s">
        <v>297</v>
      </c>
      <c r="D50" s="989" t="s">
        <v>297</v>
      </c>
      <c r="E50" s="989" t="s">
        <v>6861</v>
      </c>
      <c r="F50" s="990">
        <v>16953761</v>
      </c>
      <c r="G50" s="990">
        <v>0</v>
      </c>
      <c r="H50" s="990">
        <v>81941038</v>
      </c>
      <c r="I50" s="990">
        <v>0</v>
      </c>
      <c r="J50" s="990">
        <v>0</v>
      </c>
      <c r="K50" s="990">
        <v>0</v>
      </c>
      <c r="L50" s="990">
        <v>0</v>
      </c>
      <c r="M50" s="990">
        <v>0</v>
      </c>
      <c r="N50" s="994">
        <v>0</v>
      </c>
      <c r="O50" s="994">
        <v>0</v>
      </c>
      <c r="P50" s="990">
        <v>81941038</v>
      </c>
      <c r="Q50" s="990">
        <v>0</v>
      </c>
      <c r="R50" s="991">
        <v>98894799</v>
      </c>
      <c r="S50" s="992">
        <v>0</v>
      </c>
    </row>
    <row r="51" spans="1:19" ht="33.75" x14ac:dyDescent="0.25">
      <c r="A51" s="989" t="s">
        <v>4956</v>
      </c>
      <c r="B51" s="989" t="s">
        <v>6858</v>
      </c>
      <c r="C51" s="989" t="s">
        <v>1732</v>
      </c>
      <c r="D51" s="989" t="s">
        <v>306</v>
      </c>
      <c r="E51" s="989" t="s">
        <v>6862</v>
      </c>
      <c r="F51" s="990">
        <v>0</v>
      </c>
      <c r="G51" s="990">
        <v>0</v>
      </c>
      <c r="H51" s="990">
        <v>0</v>
      </c>
      <c r="I51" s="990">
        <v>0</v>
      </c>
      <c r="J51" s="990">
        <v>177248831</v>
      </c>
      <c r="K51" s="990">
        <v>298185</v>
      </c>
      <c r="L51" s="990">
        <v>112230160</v>
      </c>
      <c r="M51" s="990">
        <v>181682</v>
      </c>
      <c r="N51" s="994">
        <v>0</v>
      </c>
      <c r="O51" s="994">
        <v>0</v>
      </c>
      <c r="P51" s="990">
        <v>289478994</v>
      </c>
      <c r="Q51" s="990">
        <v>479867</v>
      </c>
      <c r="R51" s="991">
        <v>289478994</v>
      </c>
      <c r="S51" s="992">
        <v>479867</v>
      </c>
    </row>
    <row r="52" spans="1:19" ht="33.75" x14ac:dyDescent="0.25">
      <c r="A52" s="989" t="s">
        <v>4956</v>
      </c>
      <c r="B52" s="989" t="s">
        <v>6858</v>
      </c>
      <c r="C52" s="989" t="s">
        <v>4976</v>
      </c>
      <c r="D52" s="989" t="s">
        <v>4976</v>
      </c>
      <c r="E52" s="989" t="s">
        <v>6863</v>
      </c>
      <c r="F52" s="990">
        <v>0</v>
      </c>
      <c r="G52" s="990">
        <v>0</v>
      </c>
      <c r="H52" s="990">
        <v>0</v>
      </c>
      <c r="I52" s="990">
        <v>0</v>
      </c>
      <c r="J52" s="990">
        <v>0</v>
      </c>
      <c r="K52" s="990">
        <v>0</v>
      </c>
      <c r="L52" s="990">
        <v>0</v>
      </c>
      <c r="M52" s="990">
        <v>0</v>
      </c>
      <c r="N52" s="994">
        <v>280305792</v>
      </c>
      <c r="O52" s="994">
        <v>480944</v>
      </c>
      <c r="P52" s="990">
        <v>0</v>
      </c>
      <c r="Q52" s="990">
        <v>0</v>
      </c>
      <c r="R52" s="991">
        <v>0</v>
      </c>
      <c r="S52" s="992">
        <v>0</v>
      </c>
    </row>
    <row r="53" spans="1:19" ht="33.75" x14ac:dyDescent="0.25">
      <c r="A53" s="989" t="s">
        <v>4956</v>
      </c>
      <c r="B53" s="989" t="s">
        <v>6858</v>
      </c>
      <c r="C53" s="989" t="s">
        <v>316</v>
      </c>
      <c r="D53" s="989" t="s">
        <v>316</v>
      </c>
      <c r="E53" s="989" t="s">
        <v>6864</v>
      </c>
      <c r="F53" s="990">
        <v>8988623</v>
      </c>
      <c r="G53" s="990">
        <v>0</v>
      </c>
      <c r="H53" s="990">
        <v>234583120</v>
      </c>
      <c r="I53" s="990">
        <v>0</v>
      </c>
      <c r="J53" s="990">
        <v>0</v>
      </c>
      <c r="K53" s="990">
        <v>0</v>
      </c>
      <c r="L53" s="990">
        <v>0</v>
      </c>
      <c r="M53" s="990">
        <v>0</v>
      </c>
      <c r="N53" s="994">
        <v>0</v>
      </c>
      <c r="O53" s="994">
        <v>0</v>
      </c>
      <c r="P53" s="990">
        <v>234583120</v>
      </c>
      <c r="Q53" s="990">
        <v>0</v>
      </c>
      <c r="R53" s="991">
        <v>243571743</v>
      </c>
      <c r="S53" s="992">
        <v>0</v>
      </c>
    </row>
    <row r="54" spans="1:19" ht="33.75" x14ac:dyDescent="0.25">
      <c r="A54" s="989" t="s">
        <v>4956</v>
      </c>
      <c r="B54" s="989" t="s">
        <v>6858</v>
      </c>
      <c r="C54" s="989" t="s">
        <v>1733</v>
      </c>
      <c r="D54" s="989" t="s">
        <v>325</v>
      </c>
      <c r="E54" s="989" t="s">
        <v>6865</v>
      </c>
      <c r="F54" s="990">
        <v>37582</v>
      </c>
      <c r="G54" s="990">
        <v>101</v>
      </c>
      <c r="H54" s="990">
        <v>438741</v>
      </c>
      <c r="I54" s="990">
        <v>1223</v>
      </c>
      <c r="J54" s="990">
        <v>0</v>
      </c>
      <c r="K54" s="990">
        <v>0</v>
      </c>
      <c r="L54" s="990">
        <v>0</v>
      </c>
      <c r="M54" s="990">
        <v>0</v>
      </c>
      <c r="N54" s="994">
        <v>0</v>
      </c>
      <c r="O54" s="994">
        <v>0</v>
      </c>
      <c r="P54" s="990">
        <v>438741</v>
      </c>
      <c r="Q54" s="990">
        <v>1223</v>
      </c>
      <c r="R54" s="991">
        <v>476323</v>
      </c>
      <c r="S54" s="992">
        <v>1324</v>
      </c>
    </row>
    <row r="55" spans="1:19" ht="33.75" x14ac:dyDescent="0.25">
      <c r="A55" s="989" t="s">
        <v>4956</v>
      </c>
      <c r="B55" s="989" t="s">
        <v>6858</v>
      </c>
      <c r="C55" s="989" t="s">
        <v>1730</v>
      </c>
      <c r="D55" s="989" t="s">
        <v>341</v>
      </c>
      <c r="E55" s="989" t="s">
        <v>6866</v>
      </c>
      <c r="F55" s="990">
        <v>0</v>
      </c>
      <c r="G55" s="990">
        <v>0</v>
      </c>
      <c r="H55" s="990">
        <v>0</v>
      </c>
      <c r="I55" s="990">
        <v>0</v>
      </c>
      <c r="J55" s="990">
        <v>4352580</v>
      </c>
      <c r="K55" s="990">
        <v>11695</v>
      </c>
      <c r="L55" s="990">
        <v>0</v>
      </c>
      <c r="M55" s="990">
        <v>0</v>
      </c>
      <c r="N55" s="994">
        <v>0</v>
      </c>
      <c r="O55" s="994">
        <v>0</v>
      </c>
      <c r="P55" s="990">
        <v>4352580</v>
      </c>
      <c r="Q55" s="990">
        <v>11695</v>
      </c>
      <c r="R55" s="991">
        <v>4352580</v>
      </c>
      <c r="S55" s="992">
        <v>11695</v>
      </c>
    </row>
    <row r="56" spans="1:19" ht="33.75" x14ac:dyDescent="0.25">
      <c r="A56" s="989" t="s">
        <v>4956</v>
      </c>
      <c r="B56" s="989" t="s">
        <v>6858</v>
      </c>
      <c r="C56" s="989" t="s">
        <v>1734</v>
      </c>
      <c r="D56" s="989" t="s">
        <v>343</v>
      </c>
      <c r="E56" s="989" t="s">
        <v>6867</v>
      </c>
      <c r="F56" s="990">
        <v>0</v>
      </c>
      <c r="G56" s="990">
        <v>0</v>
      </c>
      <c r="H56" s="990">
        <v>2156982</v>
      </c>
      <c r="I56" s="990">
        <v>0</v>
      </c>
      <c r="J56" s="990">
        <v>0</v>
      </c>
      <c r="K56" s="990">
        <v>0</v>
      </c>
      <c r="L56" s="990">
        <v>0</v>
      </c>
      <c r="M56" s="990">
        <v>0</v>
      </c>
      <c r="N56" s="994">
        <v>0</v>
      </c>
      <c r="O56" s="994">
        <v>0</v>
      </c>
      <c r="P56" s="990">
        <v>2156982</v>
      </c>
      <c r="Q56" s="990">
        <v>0</v>
      </c>
      <c r="R56" s="991">
        <v>2156982</v>
      </c>
      <c r="S56" s="992">
        <v>0</v>
      </c>
    </row>
    <row r="57" spans="1:19" ht="22.5" x14ac:dyDescent="0.25">
      <c r="A57" s="989" t="s">
        <v>4956</v>
      </c>
      <c r="B57" s="989" t="s">
        <v>1735</v>
      </c>
      <c r="C57" s="989" t="s">
        <v>1736</v>
      </c>
      <c r="D57" s="989" t="s">
        <v>249</v>
      </c>
      <c r="E57" s="989" t="s">
        <v>1876</v>
      </c>
      <c r="F57" s="990">
        <v>0</v>
      </c>
      <c r="G57" s="990">
        <v>0</v>
      </c>
      <c r="H57" s="990">
        <v>0</v>
      </c>
      <c r="I57" s="990">
        <v>0</v>
      </c>
      <c r="J57" s="990">
        <v>0</v>
      </c>
      <c r="K57" s="990">
        <v>0</v>
      </c>
      <c r="L57" s="990">
        <v>43309248</v>
      </c>
      <c r="M57" s="990">
        <v>107291.4375</v>
      </c>
      <c r="N57" s="994">
        <v>0</v>
      </c>
      <c r="O57" s="994">
        <v>0</v>
      </c>
      <c r="P57" s="990">
        <v>43309246</v>
      </c>
      <c r="Q57" s="990">
        <v>107291.44</v>
      </c>
      <c r="R57" s="991">
        <v>43309246</v>
      </c>
      <c r="S57" s="992">
        <v>107291.44</v>
      </c>
    </row>
    <row r="58" spans="1:19" ht="45" x14ac:dyDescent="0.25">
      <c r="A58" s="989" t="s">
        <v>4956</v>
      </c>
      <c r="B58" s="989" t="s">
        <v>1735</v>
      </c>
      <c r="C58" s="989" t="s">
        <v>1726</v>
      </c>
      <c r="D58" s="989" t="s">
        <v>277</v>
      </c>
      <c r="E58" s="989" t="s">
        <v>1877</v>
      </c>
      <c r="F58" s="990">
        <v>132371860.40000001</v>
      </c>
      <c r="G58" s="990">
        <v>332348</v>
      </c>
      <c r="H58" s="990">
        <v>38024158.979999997</v>
      </c>
      <c r="I58" s="990">
        <v>112237.17</v>
      </c>
      <c r="J58" s="990">
        <v>342885216.13</v>
      </c>
      <c r="K58" s="990">
        <v>955805.54</v>
      </c>
      <c r="L58" s="990">
        <v>6489035</v>
      </c>
      <c r="M58" s="990">
        <v>12330.080078125</v>
      </c>
      <c r="N58" s="994">
        <v>0</v>
      </c>
      <c r="O58" s="994">
        <v>0</v>
      </c>
      <c r="P58" s="990">
        <v>387398410.11000001</v>
      </c>
      <c r="Q58" s="990">
        <v>1080372.79</v>
      </c>
      <c r="R58" s="991">
        <v>519770270.50999999</v>
      </c>
      <c r="S58" s="992">
        <v>1412721.69</v>
      </c>
    </row>
    <row r="59" spans="1:19" ht="22.5" x14ac:dyDescent="0.25">
      <c r="A59" s="989" t="s">
        <v>4956</v>
      </c>
      <c r="B59" s="989" t="s">
        <v>1735</v>
      </c>
      <c r="C59" s="989" t="s">
        <v>297</v>
      </c>
      <c r="D59" s="989" t="s">
        <v>297</v>
      </c>
      <c r="E59" s="989" t="s">
        <v>1878</v>
      </c>
      <c r="F59" s="990">
        <v>13315137.300000001</v>
      </c>
      <c r="G59" s="990">
        <v>0</v>
      </c>
      <c r="H59" s="990">
        <v>83123422.049999997</v>
      </c>
      <c r="I59" s="990">
        <v>0</v>
      </c>
      <c r="J59" s="990">
        <v>56982.89</v>
      </c>
      <c r="K59" s="990">
        <v>0</v>
      </c>
      <c r="L59" s="990">
        <v>0</v>
      </c>
      <c r="M59" s="990">
        <v>0</v>
      </c>
      <c r="N59" s="994">
        <v>0</v>
      </c>
      <c r="O59" s="994">
        <v>0</v>
      </c>
      <c r="P59" s="990">
        <v>83180404.939999998</v>
      </c>
      <c r="Q59" s="990">
        <v>0</v>
      </c>
      <c r="R59" s="991">
        <v>96495542.239999995</v>
      </c>
      <c r="S59" s="992">
        <v>0</v>
      </c>
    </row>
    <row r="60" spans="1:19" ht="22.5" x14ac:dyDescent="0.25">
      <c r="A60" s="989" t="s">
        <v>4956</v>
      </c>
      <c r="B60" s="989" t="s">
        <v>1735</v>
      </c>
      <c r="C60" s="989" t="s">
        <v>4976</v>
      </c>
      <c r="D60" s="989" t="s">
        <v>4976</v>
      </c>
      <c r="E60" s="989" t="s">
        <v>4995</v>
      </c>
      <c r="F60" s="990">
        <v>0</v>
      </c>
      <c r="G60" s="990">
        <v>0</v>
      </c>
      <c r="H60" s="990">
        <v>0</v>
      </c>
      <c r="I60" s="990">
        <v>0</v>
      </c>
      <c r="J60" s="990">
        <v>0</v>
      </c>
      <c r="K60" s="990">
        <v>0</v>
      </c>
      <c r="L60" s="990">
        <v>0</v>
      </c>
      <c r="M60" s="990">
        <v>0</v>
      </c>
      <c r="N60" s="994">
        <v>116262048</v>
      </c>
      <c r="O60" s="994">
        <v>226480.1875</v>
      </c>
      <c r="P60" s="990">
        <v>0</v>
      </c>
      <c r="Q60" s="990">
        <v>0</v>
      </c>
      <c r="R60" s="991">
        <v>0</v>
      </c>
      <c r="S60" s="992">
        <v>0</v>
      </c>
    </row>
    <row r="61" spans="1:19" ht="22.5" x14ac:dyDescent="0.25">
      <c r="A61" s="989" t="s">
        <v>4956</v>
      </c>
      <c r="B61" s="989" t="s">
        <v>1735</v>
      </c>
      <c r="C61" s="989" t="s">
        <v>316</v>
      </c>
      <c r="D61" s="989" t="s">
        <v>316</v>
      </c>
      <c r="E61" s="989" t="s">
        <v>1879</v>
      </c>
      <c r="F61" s="990">
        <v>12531415.9</v>
      </c>
      <c r="G61" s="990">
        <v>0</v>
      </c>
      <c r="H61" s="990">
        <v>260917225.09999999</v>
      </c>
      <c r="I61" s="990">
        <v>0</v>
      </c>
      <c r="J61" s="990">
        <v>0</v>
      </c>
      <c r="K61" s="990">
        <v>0</v>
      </c>
      <c r="L61" s="990">
        <v>0</v>
      </c>
      <c r="M61" s="990">
        <v>0</v>
      </c>
      <c r="N61" s="994">
        <v>0</v>
      </c>
      <c r="O61" s="994">
        <v>0</v>
      </c>
      <c r="P61" s="990">
        <v>260917225.09999999</v>
      </c>
      <c r="Q61" s="990">
        <v>0</v>
      </c>
      <c r="R61" s="991">
        <v>273448641</v>
      </c>
      <c r="S61" s="992">
        <v>0</v>
      </c>
    </row>
    <row r="62" spans="1:19" ht="33.75" x14ac:dyDescent="0.25">
      <c r="A62" s="989" t="s">
        <v>4956</v>
      </c>
      <c r="B62" s="989" t="s">
        <v>1735</v>
      </c>
      <c r="C62" s="989" t="s">
        <v>1733</v>
      </c>
      <c r="D62" s="989" t="s">
        <v>325</v>
      </c>
      <c r="E62" s="989" t="s">
        <v>1880</v>
      </c>
      <c r="F62" s="990">
        <v>1095.7</v>
      </c>
      <c r="G62" s="990">
        <v>3</v>
      </c>
      <c r="H62" s="990">
        <v>179372.78</v>
      </c>
      <c r="I62" s="990">
        <v>547.99</v>
      </c>
      <c r="J62" s="990">
        <v>6034.95</v>
      </c>
      <c r="K62" s="990">
        <v>18.440000000000001</v>
      </c>
      <c r="L62" s="990">
        <v>0</v>
      </c>
      <c r="M62" s="990">
        <v>0</v>
      </c>
      <c r="N62" s="994">
        <v>0</v>
      </c>
      <c r="O62" s="994">
        <v>0</v>
      </c>
      <c r="P62" s="990">
        <v>185407.73</v>
      </c>
      <c r="Q62" s="990">
        <v>566.42999999999995</v>
      </c>
      <c r="R62" s="991">
        <v>186503.43</v>
      </c>
      <c r="S62" s="992">
        <v>569.83000000000004</v>
      </c>
    </row>
    <row r="63" spans="1:19" ht="22.5" x14ac:dyDescent="0.25">
      <c r="A63" s="989" t="s">
        <v>4956</v>
      </c>
      <c r="B63" s="989" t="s">
        <v>1735</v>
      </c>
      <c r="C63" s="989" t="s">
        <v>1730</v>
      </c>
      <c r="D63" s="989" t="s">
        <v>341</v>
      </c>
      <c r="E63" s="989" t="s">
        <v>1881</v>
      </c>
      <c r="F63" s="990">
        <v>0</v>
      </c>
      <c r="G63" s="990">
        <v>0</v>
      </c>
      <c r="H63" s="990">
        <v>0</v>
      </c>
      <c r="I63" s="990">
        <v>0</v>
      </c>
      <c r="J63" s="990">
        <v>7324649.21</v>
      </c>
      <c r="K63" s="990">
        <v>22338</v>
      </c>
      <c r="L63" s="990">
        <v>0</v>
      </c>
      <c r="M63" s="990">
        <v>0</v>
      </c>
      <c r="N63" s="994">
        <v>0</v>
      </c>
      <c r="O63" s="994">
        <v>0</v>
      </c>
      <c r="P63" s="990">
        <v>7324649.21</v>
      </c>
      <c r="Q63" s="990">
        <v>22338</v>
      </c>
      <c r="R63" s="991">
        <v>7324649.21</v>
      </c>
      <c r="S63" s="992">
        <v>22338</v>
      </c>
    </row>
    <row r="64" spans="1:19" ht="33.75" x14ac:dyDescent="0.25">
      <c r="A64" s="989" t="s">
        <v>4956</v>
      </c>
      <c r="B64" s="989" t="s">
        <v>1735</v>
      </c>
      <c r="C64" s="989" t="s">
        <v>1734</v>
      </c>
      <c r="D64" s="989" t="s">
        <v>343</v>
      </c>
      <c r="E64" s="989" t="s">
        <v>1882</v>
      </c>
      <c r="F64" s="990">
        <v>0</v>
      </c>
      <c r="G64" s="990">
        <v>0</v>
      </c>
      <c r="H64" s="990">
        <v>1524180.64</v>
      </c>
      <c r="I64" s="990">
        <v>0</v>
      </c>
      <c r="J64" s="990">
        <v>0</v>
      </c>
      <c r="K64" s="990">
        <v>0</v>
      </c>
      <c r="L64" s="990">
        <v>0</v>
      </c>
      <c r="M64" s="990">
        <v>0</v>
      </c>
      <c r="N64" s="994">
        <v>0</v>
      </c>
      <c r="O64" s="994">
        <v>0</v>
      </c>
      <c r="P64" s="990">
        <v>1524180.64</v>
      </c>
      <c r="Q64" s="990">
        <v>0</v>
      </c>
      <c r="R64" s="991">
        <v>1524180.64</v>
      </c>
      <c r="S64" s="992">
        <v>0</v>
      </c>
    </row>
    <row r="65" spans="1:19" ht="45" x14ac:dyDescent="0.25">
      <c r="A65" s="989" t="s">
        <v>4956</v>
      </c>
      <c r="B65" s="989" t="s">
        <v>1737</v>
      </c>
      <c r="C65" s="989" t="s">
        <v>1726</v>
      </c>
      <c r="D65" s="989" t="s">
        <v>277</v>
      </c>
      <c r="E65" s="989" t="s">
        <v>1883</v>
      </c>
      <c r="F65" s="990">
        <v>142372489</v>
      </c>
      <c r="G65" s="990">
        <v>405566</v>
      </c>
      <c r="H65" s="990">
        <v>128251708</v>
      </c>
      <c r="I65" s="990">
        <v>366330</v>
      </c>
      <c r="J65" s="990">
        <v>608042874</v>
      </c>
      <c r="K65" s="990">
        <v>1628173</v>
      </c>
      <c r="L65" s="990">
        <v>0</v>
      </c>
      <c r="M65" s="990">
        <v>0</v>
      </c>
      <c r="N65" s="994">
        <v>0</v>
      </c>
      <c r="O65" s="994">
        <v>0</v>
      </c>
      <c r="P65" s="990">
        <v>736294582</v>
      </c>
      <c r="Q65" s="990">
        <v>1994503</v>
      </c>
      <c r="R65" s="991">
        <v>878667071</v>
      </c>
      <c r="S65" s="992">
        <v>2400069</v>
      </c>
    </row>
    <row r="66" spans="1:19" ht="22.5" x14ac:dyDescent="0.25">
      <c r="A66" s="989" t="s">
        <v>4956</v>
      </c>
      <c r="B66" s="989" t="s">
        <v>1737</v>
      </c>
      <c r="C66" s="989" t="s">
        <v>297</v>
      </c>
      <c r="D66" s="989" t="s">
        <v>297</v>
      </c>
      <c r="E66" s="989" t="s">
        <v>1884</v>
      </c>
      <c r="F66" s="990">
        <v>23294621</v>
      </c>
      <c r="G66" s="990">
        <v>0</v>
      </c>
      <c r="H66" s="990">
        <v>142466596</v>
      </c>
      <c r="I66" s="990">
        <v>0</v>
      </c>
      <c r="J66" s="990">
        <v>207556</v>
      </c>
      <c r="K66" s="990">
        <v>0</v>
      </c>
      <c r="L66" s="990">
        <v>0</v>
      </c>
      <c r="M66" s="990">
        <v>0</v>
      </c>
      <c r="N66" s="994">
        <v>0</v>
      </c>
      <c r="O66" s="994">
        <v>0</v>
      </c>
      <c r="P66" s="990">
        <v>142674152</v>
      </c>
      <c r="Q66" s="990">
        <v>0</v>
      </c>
      <c r="R66" s="991">
        <v>165968773</v>
      </c>
      <c r="S66" s="992">
        <v>0</v>
      </c>
    </row>
    <row r="67" spans="1:19" ht="22.5" x14ac:dyDescent="0.25">
      <c r="A67" s="989" t="s">
        <v>4956</v>
      </c>
      <c r="B67" s="989" t="s">
        <v>1737</v>
      </c>
      <c r="C67" s="989" t="s">
        <v>4976</v>
      </c>
      <c r="D67" s="989" t="s">
        <v>4976</v>
      </c>
      <c r="E67" s="989" t="s">
        <v>4996</v>
      </c>
      <c r="F67" s="990">
        <v>0</v>
      </c>
      <c r="G67" s="990">
        <v>0</v>
      </c>
      <c r="H67" s="990">
        <v>0</v>
      </c>
      <c r="I67" s="990">
        <v>0</v>
      </c>
      <c r="J67" s="990">
        <v>0</v>
      </c>
      <c r="K67" s="990">
        <v>0</v>
      </c>
      <c r="L67" s="990">
        <v>0</v>
      </c>
      <c r="M67" s="990">
        <v>0</v>
      </c>
      <c r="N67" s="994">
        <v>126515928</v>
      </c>
      <c r="O67" s="994">
        <v>310497</v>
      </c>
      <c r="P67" s="990">
        <v>0</v>
      </c>
      <c r="Q67" s="990">
        <v>0</v>
      </c>
      <c r="R67" s="991">
        <v>0</v>
      </c>
      <c r="S67" s="992">
        <v>0</v>
      </c>
    </row>
    <row r="68" spans="1:19" ht="22.5" x14ac:dyDescent="0.25">
      <c r="A68" s="989" t="s">
        <v>4956</v>
      </c>
      <c r="B68" s="989" t="s">
        <v>1737</v>
      </c>
      <c r="C68" s="989" t="s">
        <v>316</v>
      </c>
      <c r="D68" s="989" t="s">
        <v>316</v>
      </c>
      <c r="E68" s="989" t="s">
        <v>1885</v>
      </c>
      <c r="F68" s="990">
        <v>10910550</v>
      </c>
      <c r="G68" s="990">
        <v>0</v>
      </c>
      <c r="H68" s="990">
        <v>488750254</v>
      </c>
      <c r="I68" s="990">
        <v>0</v>
      </c>
      <c r="J68" s="990">
        <v>0</v>
      </c>
      <c r="K68" s="990">
        <v>0</v>
      </c>
      <c r="L68" s="990">
        <v>0</v>
      </c>
      <c r="M68" s="990">
        <v>0</v>
      </c>
      <c r="N68" s="994">
        <v>0</v>
      </c>
      <c r="O68" s="994">
        <v>0</v>
      </c>
      <c r="P68" s="990">
        <v>488750254</v>
      </c>
      <c r="Q68" s="990">
        <v>0</v>
      </c>
      <c r="R68" s="991">
        <v>499660804</v>
      </c>
      <c r="S68" s="992">
        <v>0</v>
      </c>
    </row>
    <row r="69" spans="1:19" ht="22.5" x14ac:dyDescent="0.25">
      <c r="A69" s="989" t="s">
        <v>4956</v>
      </c>
      <c r="B69" s="989" t="s">
        <v>1737</v>
      </c>
      <c r="C69" s="989" t="s">
        <v>1730</v>
      </c>
      <c r="D69" s="989" t="s">
        <v>341</v>
      </c>
      <c r="E69" s="989" t="s">
        <v>1886</v>
      </c>
      <c r="F69" s="990">
        <v>0</v>
      </c>
      <c r="G69" s="990">
        <v>0</v>
      </c>
      <c r="H69" s="990">
        <v>46983</v>
      </c>
      <c r="I69" s="990">
        <v>131</v>
      </c>
      <c r="J69" s="990">
        <v>9559349</v>
      </c>
      <c r="K69" s="990">
        <v>27299</v>
      </c>
      <c r="L69" s="990">
        <v>0</v>
      </c>
      <c r="M69" s="990">
        <v>0</v>
      </c>
      <c r="N69" s="994">
        <v>0</v>
      </c>
      <c r="O69" s="994">
        <v>0</v>
      </c>
      <c r="P69" s="990">
        <v>9606332</v>
      </c>
      <c r="Q69" s="990">
        <v>27430</v>
      </c>
      <c r="R69" s="991">
        <v>9606332</v>
      </c>
      <c r="S69" s="992">
        <v>27430</v>
      </c>
    </row>
    <row r="70" spans="1:19" ht="33.75" x14ac:dyDescent="0.25">
      <c r="A70" s="989" t="s">
        <v>4956</v>
      </c>
      <c r="B70" s="989" t="s">
        <v>1737</v>
      </c>
      <c r="C70" s="989" t="s">
        <v>1734</v>
      </c>
      <c r="D70" s="989" t="s">
        <v>343</v>
      </c>
      <c r="E70" s="989" t="s">
        <v>1887</v>
      </c>
      <c r="F70" s="990">
        <v>0</v>
      </c>
      <c r="G70" s="990">
        <v>0</v>
      </c>
      <c r="H70" s="990">
        <v>3130312</v>
      </c>
      <c r="I70" s="990">
        <v>0</v>
      </c>
      <c r="J70" s="990">
        <v>0</v>
      </c>
      <c r="K70" s="990">
        <v>0</v>
      </c>
      <c r="L70" s="990">
        <v>0</v>
      </c>
      <c r="M70" s="990">
        <v>0</v>
      </c>
      <c r="N70" s="994">
        <v>0</v>
      </c>
      <c r="O70" s="994">
        <v>0</v>
      </c>
      <c r="P70" s="990">
        <v>3130312</v>
      </c>
      <c r="Q70" s="990">
        <v>0</v>
      </c>
      <c r="R70" s="991">
        <v>3130312</v>
      </c>
      <c r="S70" s="992">
        <v>0</v>
      </c>
    </row>
    <row r="71" spans="1:19" ht="22.5" x14ac:dyDescent="0.25">
      <c r="A71" s="989" t="s">
        <v>4956</v>
      </c>
      <c r="B71" s="989" t="s">
        <v>1738</v>
      </c>
      <c r="C71" s="989" t="s">
        <v>1736</v>
      </c>
      <c r="D71" s="989" t="s">
        <v>249</v>
      </c>
      <c r="E71" s="989" t="s">
        <v>4997</v>
      </c>
      <c r="F71" s="990">
        <v>0</v>
      </c>
      <c r="G71" s="990">
        <v>0</v>
      </c>
      <c r="H71" s="990">
        <v>0</v>
      </c>
      <c r="I71" s="990">
        <v>0</v>
      </c>
      <c r="J71" s="990">
        <v>4768119.97</v>
      </c>
      <c r="K71" s="990">
        <v>12501.41</v>
      </c>
      <c r="L71" s="990">
        <v>0</v>
      </c>
      <c r="M71" s="990">
        <v>0</v>
      </c>
      <c r="N71" s="994">
        <v>0</v>
      </c>
      <c r="O71" s="994">
        <v>0</v>
      </c>
      <c r="P71" s="990">
        <v>4768119.97</v>
      </c>
      <c r="Q71" s="990">
        <v>12501.41</v>
      </c>
      <c r="R71" s="991">
        <v>4768119.97</v>
      </c>
      <c r="S71" s="992">
        <v>12501.41</v>
      </c>
    </row>
    <row r="72" spans="1:19" ht="45" x14ac:dyDescent="0.25">
      <c r="A72" s="989" t="s">
        <v>4956</v>
      </c>
      <c r="B72" s="989" t="s">
        <v>1738</v>
      </c>
      <c r="C72" s="989" t="s">
        <v>1726</v>
      </c>
      <c r="D72" s="989" t="s">
        <v>277</v>
      </c>
      <c r="E72" s="989" t="s">
        <v>2474</v>
      </c>
      <c r="F72" s="990">
        <v>10728982.300000001</v>
      </c>
      <c r="G72" s="990">
        <v>33426</v>
      </c>
      <c r="H72" s="990">
        <v>13074921.17</v>
      </c>
      <c r="I72" s="990">
        <v>42944.78</v>
      </c>
      <c r="J72" s="990">
        <v>162176522.58000001</v>
      </c>
      <c r="K72" s="990">
        <v>512000.57</v>
      </c>
      <c r="L72" s="990">
        <v>0</v>
      </c>
      <c r="M72" s="990">
        <v>0</v>
      </c>
      <c r="N72" s="994">
        <v>0</v>
      </c>
      <c r="O72" s="994">
        <v>0</v>
      </c>
      <c r="P72" s="990">
        <v>175251443.75</v>
      </c>
      <c r="Q72" s="990">
        <v>554945.35</v>
      </c>
      <c r="R72" s="991">
        <v>185980426.05000001</v>
      </c>
      <c r="S72" s="992">
        <v>588371.80000000005</v>
      </c>
    </row>
    <row r="73" spans="1:19" ht="22.5" x14ac:dyDescent="0.25">
      <c r="A73" s="989" t="s">
        <v>4956</v>
      </c>
      <c r="B73" s="989" t="s">
        <v>1738</v>
      </c>
      <c r="C73" s="989" t="s">
        <v>297</v>
      </c>
      <c r="D73" s="989" t="s">
        <v>297</v>
      </c>
      <c r="E73" s="989" t="s">
        <v>2475</v>
      </c>
      <c r="F73" s="990">
        <v>11584206.08</v>
      </c>
      <c r="G73" s="990">
        <v>0</v>
      </c>
      <c r="H73" s="990">
        <v>54800972</v>
      </c>
      <c r="I73" s="990">
        <v>0</v>
      </c>
      <c r="J73" s="990">
        <v>0</v>
      </c>
      <c r="K73" s="990">
        <v>0</v>
      </c>
      <c r="L73" s="990">
        <v>0</v>
      </c>
      <c r="M73" s="990">
        <v>0</v>
      </c>
      <c r="N73" s="994">
        <v>0</v>
      </c>
      <c r="O73" s="994">
        <v>0</v>
      </c>
      <c r="P73" s="990">
        <v>54800972</v>
      </c>
      <c r="Q73" s="990">
        <v>0</v>
      </c>
      <c r="R73" s="991">
        <v>66385178.079999998</v>
      </c>
      <c r="S73" s="992">
        <v>0</v>
      </c>
    </row>
    <row r="74" spans="1:19" ht="22.5" x14ac:dyDescent="0.25">
      <c r="A74" s="989" t="s">
        <v>4956</v>
      </c>
      <c r="B74" s="989" t="s">
        <v>1738</v>
      </c>
      <c r="C74" s="989" t="s">
        <v>4976</v>
      </c>
      <c r="D74" s="989" t="s">
        <v>4976</v>
      </c>
      <c r="E74" s="989" t="s">
        <v>4998</v>
      </c>
      <c r="F74" s="990">
        <v>0</v>
      </c>
      <c r="G74" s="990">
        <v>0</v>
      </c>
      <c r="H74" s="990">
        <v>0</v>
      </c>
      <c r="I74" s="990">
        <v>0</v>
      </c>
      <c r="J74" s="990">
        <v>0</v>
      </c>
      <c r="K74" s="990">
        <v>0</v>
      </c>
      <c r="L74" s="990">
        <v>0</v>
      </c>
      <c r="M74" s="990">
        <v>0</v>
      </c>
      <c r="N74" s="994">
        <v>58621264</v>
      </c>
      <c r="O74" s="994">
        <v>176722.296875</v>
      </c>
      <c r="P74" s="990">
        <v>0</v>
      </c>
      <c r="Q74" s="990">
        <v>0</v>
      </c>
      <c r="R74" s="991">
        <v>0</v>
      </c>
      <c r="S74" s="992">
        <v>0</v>
      </c>
    </row>
    <row r="75" spans="1:19" ht="22.5" x14ac:dyDescent="0.25">
      <c r="A75" s="989" t="s">
        <v>4956</v>
      </c>
      <c r="B75" s="989" t="s">
        <v>1738</v>
      </c>
      <c r="C75" s="989" t="s">
        <v>316</v>
      </c>
      <c r="D75" s="989" t="s">
        <v>316</v>
      </c>
      <c r="E75" s="989" t="s">
        <v>2476</v>
      </c>
      <c r="F75" s="990">
        <v>7370196.3300000001</v>
      </c>
      <c r="G75" s="990">
        <v>0</v>
      </c>
      <c r="H75" s="990">
        <v>184963200.25999999</v>
      </c>
      <c r="I75" s="990">
        <v>0</v>
      </c>
      <c r="J75" s="990">
        <v>0</v>
      </c>
      <c r="K75" s="990">
        <v>0</v>
      </c>
      <c r="L75" s="990">
        <v>0</v>
      </c>
      <c r="M75" s="990">
        <v>0</v>
      </c>
      <c r="N75" s="994">
        <v>0</v>
      </c>
      <c r="O75" s="994">
        <v>0</v>
      </c>
      <c r="P75" s="990">
        <v>184963200.25999999</v>
      </c>
      <c r="Q75" s="990">
        <v>0</v>
      </c>
      <c r="R75" s="991">
        <v>192333396.59</v>
      </c>
      <c r="S75" s="992">
        <v>0</v>
      </c>
    </row>
    <row r="76" spans="1:19" ht="33.75" x14ac:dyDescent="0.25">
      <c r="A76" s="989" t="s">
        <v>4956</v>
      </c>
      <c r="B76" s="989" t="s">
        <v>1738</v>
      </c>
      <c r="C76" s="989" t="s">
        <v>1733</v>
      </c>
      <c r="D76" s="989" t="s">
        <v>325</v>
      </c>
      <c r="E76" s="989" t="s">
        <v>2477</v>
      </c>
      <c r="F76" s="990">
        <v>394.51</v>
      </c>
      <c r="G76" s="990">
        <v>1</v>
      </c>
      <c r="H76" s="990">
        <v>630755.44999999995</v>
      </c>
      <c r="I76" s="990">
        <v>2036.67</v>
      </c>
      <c r="J76" s="990">
        <v>0</v>
      </c>
      <c r="K76" s="990">
        <v>0</v>
      </c>
      <c r="L76" s="990">
        <v>0</v>
      </c>
      <c r="M76" s="990">
        <v>0</v>
      </c>
      <c r="N76" s="994">
        <v>0</v>
      </c>
      <c r="O76" s="994">
        <v>0</v>
      </c>
      <c r="P76" s="990">
        <v>630755.44999999995</v>
      </c>
      <c r="Q76" s="990">
        <v>2036.67</v>
      </c>
      <c r="R76" s="991">
        <v>631149.96</v>
      </c>
      <c r="S76" s="992">
        <v>2037.97</v>
      </c>
    </row>
    <row r="77" spans="1:19" ht="22.5" x14ac:dyDescent="0.25">
      <c r="A77" s="989" t="s">
        <v>4956</v>
      </c>
      <c r="B77" s="989" t="s">
        <v>1738</v>
      </c>
      <c r="C77" s="989" t="s">
        <v>1730</v>
      </c>
      <c r="D77" s="989" t="s">
        <v>341</v>
      </c>
      <c r="E77" s="989" t="s">
        <v>2478</v>
      </c>
      <c r="F77" s="990">
        <v>0</v>
      </c>
      <c r="G77" s="990">
        <v>0</v>
      </c>
      <c r="H77" s="990">
        <v>90684.51</v>
      </c>
      <c r="I77" s="990">
        <v>248.28</v>
      </c>
      <c r="J77" s="990">
        <v>1301983.74</v>
      </c>
      <c r="K77" s="990">
        <v>3960.74</v>
      </c>
      <c r="L77" s="990">
        <v>0</v>
      </c>
      <c r="M77" s="990">
        <v>0</v>
      </c>
      <c r="N77" s="994">
        <v>0</v>
      </c>
      <c r="O77" s="994">
        <v>0</v>
      </c>
      <c r="P77" s="990">
        <v>1392668.25</v>
      </c>
      <c r="Q77" s="990">
        <v>4209.0200000000004</v>
      </c>
      <c r="R77" s="991">
        <v>1392668.25</v>
      </c>
      <c r="S77" s="992">
        <v>4209.0200000000004</v>
      </c>
    </row>
    <row r="78" spans="1:19" ht="33.75" x14ac:dyDescent="0.25">
      <c r="A78" s="989" t="s">
        <v>4956</v>
      </c>
      <c r="B78" s="989" t="s">
        <v>1738</v>
      </c>
      <c r="C78" s="989" t="s">
        <v>1734</v>
      </c>
      <c r="D78" s="989" t="s">
        <v>343</v>
      </c>
      <c r="E78" s="989" t="s">
        <v>2479</v>
      </c>
      <c r="F78" s="990">
        <v>3008.28</v>
      </c>
      <c r="G78" s="990">
        <v>0</v>
      </c>
      <c r="H78" s="990">
        <v>1305261.95</v>
      </c>
      <c r="I78" s="990">
        <v>0</v>
      </c>
      <c r="J78" s="990">
        <v>0</v>
      </c>
      <c r="K78" s="990">
        <v>0</v>
      </c>
      <c r="L78" s="990">
        <v>0</v>
      </c>
      <c r="M78" s="990">
        <v>0</v>
      </c>
      <c r="N78" s="994">
        <v>0</v>
      </c>
      <c r="O78" s="994">
        <v>0</v>
      </c>
      <c r="P78" s="990">
        <v>1305261.95</v>
      </c>
      <c r="Q78" s="990">
        <v>0</v>
      </c>
      <c r="R78" s="991">
        <v>1308270.23</v>
      </c>
      <c r="S78" s="992">
        <v>0</v>
      </c>
    </row>
    <row r="79" spans="1:19" ht="45" x14ac:dyDescent="0.25">
      <c r="A79" s="989" t="s">
        <v>4956</v>
      </c>
      <c r="B79" s="989" t="s">
        <v>1739</v>
      </c>
      <c r="C79" s="989" t="s">
        <v>1726</v>
      </c>
      <c r="D79" s="989" t="s">
        <v>263</v>
      </c>
      <c r="E79" s="989" t="s">
        <v>1888</v>
      </c>
      <c r="F79" s="990">
        <v>0</v>
      </c>
      <c r="G79" s="990">
        <v>0</v>
      </c>
      <c r="H79" s="990">
        <v>0</v>
      </c>
      <c r="I79" s="990">
        <v>0</v>
      </c>
      <c r="J79" s="990">
        <v>17984374</v>
      </c>
      <c r="K79" s="990">
        <v>42629.4</v>
      </c>
      <c r="L79" s="990">
        <v>0</v>
      </c>
      <c r="M79" s="990">
        <v>0</v>
      </c>
      <c r="N79" s="994">
        <v>0</v>
      </c>
      <c r="O79" s="994">
        <v>0</v>
      </c>
      <c r="P79" s="990">
        <v>17984374</v>
      </c>
      <c r="Q79" s="990">
        <v>42629.4</v>
      </c>
      <c r="R79" s="991">
        <v>17984374</v>
      </c>
      <c r="S79" s="992">
        <v>42629.4</v>
      </c>
    </row>
    <row r="80" spans="1:19" ht="45" x14ac:dyDescent="0.25">
      <c r="A80" s="989" t="s">
        <v>4956</v>
      </c>
      <c r="B80" s="989" t="s">
        <v>1739</v>
      </c>
      <c r="C80" s="989" t="s">
        <v>1726</v>
      </c>
      <c r="D80" s="989" t="s">
        <v>272</v>
      </c>
      <c r="E80" s="989" t="s">
        <v>1889</v>
      </c>
      <c r="F80" s="990">
        <v>9033200</v>
      </c>
      <c r="G80" s="990">
        <v>22754</v>
      </c>
      <c r="H80" s="990">
        <v>1485657</v>
      </c>
      <c r="I80" s="990">
        <v>5308.46</v>
      </c>
      <c r="J80" s="990">
        <v>38722086</v>
      </c>
      <c r="K80" s="990">
        <v>106312.02</v>
      </c>
      <c r="L80" s="990">
        <v>2990901.75</v>
      </c>
      <c r="M80" s="990">
        <v>5479.2099609375</v>
      </c>
      <c r="N80" s="994">
        <v>0</v>
      </c>
      <c r="O80" s="994">
        <v>0</v>
      </c>
      <c r="P80" s="990">
        <v>43198644.700000003</v>
      </c>
      <c r="Q80" s="990">
        <v>117099.69</v>
      </c>
      <c r="R80" s="991">
        <v>52231844.700000003</v>
      </c>
      <c r="S80" s="992">
        <v>139854.59</v>
      </c>
    </row>
    <row r="81" spans="1:19" ht="22.5" x14ac:dyDescent="0.25">
      <c r="A81" s="989" t="s">
        <v>4956</v>
      </c>
      <c r="B81" s="989" t="s">
        <v>1739</v>
      </c>
      <c r="C81" s="989" t="s">
        <v>297</v>
      </c>
      <c r="D81" s="989" t="s">
        <v>297</v>
      </c>
      <c r="E81" s="989" t="s">
        <v>1890</v>
      </c>
      <c r="F81" s="990">
        <v>4683057</v>
      </c>
      <c r="G81" s="990">
        <v>0</v>
      </c>
      <c r="H81" s="990">
        <v>18350285</v>
      </c>
      <c r="I81" s="990">
        <v>0</v>
      </c>
      <c r="J81" s="990">
        <v>10358</v>
      </c>
      <c r="K81" s="990">
        <v>0</v>
      </c>
      <c r="L81" s="990">
        <v>0</v>
      </c>
      <c r="M81" s="990">
        <v>0</v>
      </c>
      <c r="N81" s="994">
        <v>0</v>
      </c>
      <c r="O81" s="994">
        <v>0</v>
      </c>
      <c r="P81" s="990">
        <v>18360643</v>
      </c>
      <c r="Q81" s="990">
        <v>0</v>
      </c>
      <c r="R81" s="991">
        <v>23043700</v>
      </c>
      <c r="S81" s="992">
        <v>0</v>
      </c>
    </row>
    <row r="82" spans="1:19" ht="22.5" x14ac:dyDescent="0.25">
      <c r="A82" s="989" t="s">
        <v>4956</v>
      </c>
      <c r="B82" s="989" t="s">
        <v>1739</v>
      </c>
      <c r="C82" s="989" t="s">
        <v>4976</v>
      </c>
      <c r="D82" s="989" t="s">
        <v>4976</v>
      </c>
      <c r="E82" s="989" t="s">
        <v>4999</v>
      </c>
      <c r="F82" s="990">
        <v>0</v>
      </c>
      <c r="G82" s="990">
        <v>0</v>
      </c>
      <c r="H82" s="990">
        <v>0</v>
      </c>
      <c r="I82" s="990">
        <v>0</v>
      </c>
      <c r="J82" s="990">
        <v>0</v>
      </c>
      <c r="K82" s="990">
        <v>0</v>
      </c>
      <c r="L82" s="990">
        <v>0</v>
      </c>
      <c r="M82" s="990">
        <v>0</v>
      </c>
      <c r="N82" s="994">
        <v>0</v>
      </c>
      <c r="O82" s="994">
        <v>0</v>
      </c>
      <c r="P82" s="990">
        <v>0</v>
      </c>
      <c r="Q82" s="990">
        <v>0</v>
      </c>
      <c r="R82" s="991">
        <v>0</v>
      </c>
      <c r="S82" s="992">
        <v>0</v>
      </c>
    </row>
    <row r="83" spans="1:19" ht="22.5" x14ac:dyDescent="0.25">
      <c r="A83" s="989" t="s">
        <v>4956</v>
      </c>
      <c r="B83" s="989" t="s">
        <v>1739</v>
      </c>
      <c r="C83" s="989" t="s">
        <v>316</v>
      </c>
      <c r="D83" s="989" t="s">
        <v>316</v>
      </c>
      <c r="E83" s="989" t="s">
        <v>1891</v>
      </c>
      <c r="F83" s="990">
        <v>1704155</v>
      </c>
      <c r="G83" s="990">
        <v>0</v>
      </c>
      <c r="H83" s="990">
        <v>41527753</v>
      </c>
      <c r="I83" s="990">
        <v>0</v>
      </c>
      <c r="J83" s="990">
        <v>0</v>
      </c>
      <c r="K83" s="990">
        <v>0</v>
      </c>
      <c r="L83" s="990">
        <v>0</v>
      </c>
      <c r="M83" s="990">
        <v>0</v>
      </c>
      <c r="N83" s="994">
        <v>0</v>
      </c>
      <c r="O83" s="994">
        <v>0</v>
      </c>
      <c r="P83" s="990">
        <v>41527753</v>
      </c>
      <c r="Q83" s="990">
        <v>0</v>
      </c>
      <c r="R83" s="991">
        <v>43231908</v>
      </c>
      <c r="S83" s="992">
        <v>0</v>
      </c>
    </row>
    <row r="84" spans="1:19" ht="33.75" x14ac:dyDescent="0.25">
      <c r="A84" s="989" t="s">
        <v>4956</v>
      </c>
      <c r="B84" s="989" t="s">
        <v>1739</v>
      </c>
      <c r="C84" s="989" t="s">
        <v>1733</v>
      </c>
      <c r="D84" s="989" t="s">
        <v>325</v>
      </c>
      <c r="E84" s="989" t="s">
        <v>1892</v>
      </c>
      <c r="F84" s="990">
        <v>12918</v>
      </c>
      <c r="G84" s="990">
        <v>35</v>
      </c>
      <c r="H84" s="990">
        <v>23550</v>
      </c>
      <c r="I84" s="990">
        <v>65.42</v>
      </c>
      <c r="J84" s="990">
        <v>0</v>
      </c>
      <c r="K84" s="990">
        <v>0</v>
      </c>
      <c r="L84" s="990">
        <v>0</v>
      </c>
      <c r="M84" s="990">
        <v>0</v>
      </c>
      <c r="N84" s="994">
        <v>0</v>
      </c>
      <c r="O84" s="994">
        <v>0</v>
      </c>
      <c r="P84" s="990">
        <v>23550</v>
      </c>
      <c r="Q84" s="990">
        <v>65.42</v>
      </c>
      <c r="R84" s="991">
        <v>36468</v>
      </c>
      <c r="S84" s="992">
        <v>101.32</v>
      </c>
    </row>
    <row r="85" spans="1:19" ht="22.5" x14ac:dyDescent="0.25">
      <c r="A85" s="989" t="s">
        <v>4956</v>
      </c>
      <c r="B85" s="989" t="s">
        <v>1739</v>
      </c>
      <c r="C85" s="989" t="s">
        <v>1730</v>
      </c>
      <c r="D85" s="989" t="s">
        <v>341</v>
      </c>
      <c r="E85" s="989" t="s">
        <v>1893</v>
      </c>
      <c r="F85" s="990">
        <v>0</v>
      </c>
      <c r="G85" s="990">
        <v>0</v>
      </c>
      <c r="H85" s="990">
        <v>0</v>
      </c>
      <c r="I85" s="990">
        <v>0</v>
      </c>
      <c r="J85" s="990">
        <v>527903</v>
      </c>
      <c r="K85" s="990">
        <v>1454.9</v>
      </c>
      <c r="L85" s="990">
        <v>0</v>
      </c>
      <c r="M85" s="990">
        <v>0</v>
      </c>
      <c r="N85" s="994">
        <v>0</v>
      </c>
      <c r="O85" s="994">
        <v>0</v>
      </c>
      <c r="P85" s="990">
        <v>527903</v>
      </c>
      <c r="Q85" s="990">
        <v>1454.9</v>
      </c>
      <c r="R85" s="991">
        <v>527903</v>
      </c>
      <c r="S85" s="992">
        <v>1454.9</v>
      </c>
    </row>
    <row r="86" spans="1:19" ht="33.75" x14ac:dyDescent="0.25">
      <c r="A86" s="989" t="s">
        <v>4956</v>
      </c>
      <c r="B86" s="989" t="s">
        <v>1739</v>
      </c>
      <c r="C86" s="989" t="s">
        <v>1734</v>
      </c>
      <c r="D86" s="989" t="s">
        <v>343</v>
      </c>
      <c r="E86" s="989" t="s">
        <v>1894</v>
      </c>
      <c r="F86" s="990">
        <v>22368</v>
      </c>
      <c r="G86" s="990">
        <v>0</v>
      </c>
      <c r="H86" s="990">
        <v>541402</v>
      </c>
      <c r="I86" s="990">
        <v>0</v>
      </c>
      <c r="J86" s="990">
        <v>0</v>
      </c>
      <c r="K86" s="990">
        <v>0</v>
      </c>
      <c r="L86" s="990">
        <v>0</v>
      </c>
      <c r="M86" s="990">
        <v>0</v>
      </c>
      <c r="N86" s="994">
        <v>0</v>
      </c>
      <c r="O86" s="994">
        <v>0</v>
      </c>
      <c r="P86" s="990">
        <v>541402</v>
      </c>
      <c r="Q86" s="990">
        <v>0</v>
      </c>
      <c r="R86" s="991">
        <v>563770</v>
      </c>
      <c r="S86" s="992">
        <v>0</v>
      </c>
    </row>
    <row r="87" spans="1:19" ht="45" x14ac:dyDescent="0.25">
      <c r="A87" s="989" t="s">
        <v>4956</v>
      </c>
      <c r="B87" s="989" t="s">
        <v>1740</v>
      </c>
      <c r="C87" s="989" t="s">
        <v>1726</v>
      </c>
      <c r="D87" s="989" t="s">
        <v>277</v>
      </c>
      <c r="E87" s="989" t="s">
        <v>1895</v>
      </c>
      <c r="F87" s="990">
        <v>231660</v>
      </c>
      <c r="G87" s="990">
        <v>750</v>
      </c>
      <c r="H87" s="990">
        <v>0</v>
      </c>
      <c r="I87" s="990">
        <v>0</v>
      </c>
      <c r="J87" s="990">
        <v>6565386</v>
      </c>
      <c r="K87" s="990">
        <v>16771</v>
      </c>
      <c r="L87" s="990">
        <v>0</v>
      </c>
      <c r="M87" s="990">
        <v>0</v>
      </c>
      <c r="N87" s="994">
        <v>0</v>
      </c>
      <c r="O87" s="994">
        <v>0</v>
      </c>
      <c r="P87" s="990">
        <v>6565386</v>
      </c>
      <c r="Q87" s="990">
        <v>16771</v>
      </c>
      <c r="R87" s="991">
        <v>6797046</v>
      </c>
      <c r="S87" s="992">
        <v>17521.599999999999</v>
      </c>
    </row>
    <row r="88" spans="1:19" ht="22.5" x14ac:dyDescent="0.25">
      <c r="A88" s="989" t="s">
        <v>4956</v>
      </c>
      <c r="B88" s="989" t="s">
        <v>1740</v>
      </c>
      <c r="C88" s="989" t="s">
        <v>297</v>
      </c>
      <c r="D88" s="989" t="s">
        <v>297</v>
      </c>
      <c r="E88" s="989" t="s">
        <v>1896</v>
      </c>
      <c r="F88" s="990">
        <v>194708</v>
      </c>
      <c r="G88" s="990">
        <v>0</v>
      </c>
      <c r="H88" s="990">
        <v>4507872</v>
      </c>
      <c r="I88" s="990">
        <v>0</v>
      </c>
      <c r="J88" s="990">
        <v>0</v>
      </c>
      <c r="K88" s="990">
        <v>0</v>
      </c>
      <c r="L88" s="990">
        <v>0</v>
      </c>
      <c r="M88" s="990">
        <v>0</v>
      </c>
      <c r="N88" s="994">
        <v>0</v>
      </c>
      <c r="O88" s="994">
        <v>0</v>
      </c>
      <c r="P88" s="990">
        <v>4507872</v>
      </c>
      <c r="Q88" s="990">
        <v>0</v>
      </c>
      <c r="R88" s="991">
        <v>4702580</v>
      </c>
      <c r="S88" s="992">
        <v>0</v>
      </c>
    </row>
    <row r="89" spans="1:19" ht="22.5" x14ac:dyDescent="0.25">
      <c r="A89" s="989" t="s">
        <v>4956</v>
      </c>
      <c r="B89" s="989" t="s">
        <v>1740</v>
      </c>
      <c r="C89" s="989" t="s">
        <v>4976</v>
      </c>
      <c r="D89" s="989" t="s">
        <v>4976</v>
      </c>
      <c r="E89" s="989" t="s">
        <v>5000</v>
      </c>
      <c r="F89" s="990">
        <v>0</v>
      </c>
      <c r="G89" s="990">
        <v>0</v>
      </c>
      <c r="H89" s="990">
        <v>0</v>
      </c>
      <c r="I89" s="990">
        <v>0</v>
      </c>
      <c r="J89" s="990">
        <v>0</v>
      </c>
      <c r="K89" s="990">
        <v>0</v>
      </c>
      <c r="L89" s="990">
        <v>0</v>
      </c>
      <c r="M89" s="990">
        <v>0</v>
      </c>
      <c r="N89" s="994">
        <v>0</v>
      </c>
      <c r="O89" s="994">
        <v>0</v>
      </c>
      <c r="P89" s="990">
        <v>0</v>
      </c>
      <c r="Q89" s="990">
        <v>0</v>
      </c>
      <c r="R89" s="991">
        <v>0</v>
      </c>
      <c r="S89" s="992">
        <v>0</v>
      </c>
    </row>
    <row r="90" spans="1:19" ht="22.5" x14ac:dyDescent="0.25">
      <c r="A90" s="989" t="s">
        <v>4956</v>
      </c>
      <c r="B90" s="989" t="s">
        <v>1740</v>
      </c>
      <c r="C90" s="989" t="s">
        <v>316</v>
      </c>
      <c r="D90" s="989" t="s">
        <v>316</v>
      </c>
      <c r="E90" s="989" t="s">
        <v>1897</v>
      </c>
      <c r="F90" s="990">
        <v>52082</v>
      </c>
      <c r="G90" s="990">
        <v>0</v>
      </c>
      <c r="H90" s="990">
        <v>12723720</v>
      </c>
      <c r="I90" s="990">
        <v>0</v>
      </c>
      <c r="J90" s="990">
        <v>0</v>
      </c>
      <c r="K90" s="990">
        <v>0</v>
      </c>
      <c r="L90" s="990">
        <v>0</v>
      </c>
      <c r="M90" s="990">
        <v>0</v>
      </c>
      <c r="N90" s="994">
        <v>0</v>
      </c>
      <c r="O90" s="994">
        <v>0</v>
      </c>
      <c r="P90" s="990">
        <v>12723720</v>
      </c>
      <c r="Q90" s="990">
        <v>0</v>
      </c>
      <c r="R90" s="991">
        <v>12775802</v>
      </c>
      <c r="S90" s="992">
        <v>0</v>
      </c>
    </row>
    <row r="91" spans="1:19" ht="33.75" x14ac:dyDescent="0.25">
      <c r="A91" s="989" t="s">
        <v>4956</v>
      </c>
      <c r="B91" s="989" t="s">
        <v>1740</v>
      </c>
      <c r="C91" s="989" t="s">
        <v>1733</v>
      </c>
      <c r="D91" s="989" t="s">
        <v>325</v>
      </c>
      <c r="E91" s="989" t="s">
        <v>1898</v>
      </c>
      <c r="F91" s="990">
        <v>0</v>
      </c>
      <c r="G91" s="990">
        <v>0</v>
      </c>
      <c r="H91" s="990">
        <v>20629</v>
      </c>
      <c r="I91" s="990">
        <v>58.69</v>
      </c>
      <c r="J91" s="990">
        <v>0</v>
      </c>
      <c r="K91" s="990">
        <v>0</v>
      </c>
      <c r="L91" s="990">
        <v>0</v>
      </c>
      <c r="M91" s="990">
        <v>0</v>
      </c>
      <c r="N91" s="994">
        <v>0</v>
      </c>
      <c r="O91" s="994">
        <v>0</v>
      </c>
      <c r="P91" s="990">
        <v>20629</v>
      </c>
      <c r="Q91" s="990">
        <v>58.69</v>
      </c>
      <c r="R91" s="991">
        <v>20629</v>
      </c>
      <c r="S91" s="992">
        <v>58.69</v>
      </c>
    </row>
    <row r="92" spans="1:19" ht="22.5" x14ac:dyDescent="0.25">
      <c r="A92" s="989" t="s">
        <v>4956</v>
      </c>
      <c r="B92" s="989" t="s">
        <v>1740</v>
      </c>
      <c r="C92" s="989" t="s">
        <v>1730</v>
      </c>
      <c r="D92" s="989" t="s">
        <v>341</v>
      </c>
      <c r="E92" s="989" t="s">
        <v>1899</v>
      </c>
      <c r="F92" s="990">
        <v>0</v>
      </c>
      <c r="G92" s="990">
        <v>0</v>
      </c>
      <c r="H92" s="990">
        <v>274259</v>
      </c>
      <c r="I92" s="990">
        <v>768</v>
      </c>
      <c r="J92" s="990">
        <v>0</v>
      </c>
      <c r="K92" s="990">
        <v>0</v>
      </c>
      <c r="L92" s="990">
        <v>0</v>
      </c>
      <c r="M92" s="990">
        <v>0</v>
      </c>
      <c r="N92" s="994">
        <v>0</v>
      </c>
      <c r="O92" s="994">
        <v>0</v>
      </c>
      <c r="P92" s="990">
        <v>274259</v>
      </c>
      <c r="Q92" s="990">
        <v>768</v>
      </c>
      <c r="R92" s="991">
        <v>274259</v>
      </c>
      <c r="S92" s="992">
        <v>768</v>
      </c>
    </row>
    <row r="93" spans="1:19" ht="33.75" x14ac:dyDescent="0.25">
      <c r="A93" s="989" t="s">
        <v>4956</v>
      </c>
      <c r="B93" s="989" t="s">
        <v>1740</v>
      </c>
      <c r="C93" s="989" t="s">
        <v>1734</v>
      </c>
      <c r="D93" s="989" t="s">
        <v>343</v>
      </c>
      <c r="E93" s="989" t="s">
        <v>1900</v>
      </c>
      <c r="F93" s="990">
        <v>0</v>
      </c>
      <c r="G93" s="990">
        <v>0</v>
      </c>
      <c r="H93" s="990">
        <v>2892</v>
      </c>
      <c r="I93" s="990">
        <v>0</v>
      </c>
      <c r="J93" s="990">
        <v>0</v>
      </c>
      <c r="K93" s="990">
        <v>0</v>
      </c>
      <c r="L93" s="990">
        <v>0</v>
      </c>
      <c r="M93" s="990">
        <v>0</v>
      </c>
      <c r="N93" s="994">
        <v>0</v>
      </c>
      <c r="O93" s="994">
        <v>0</v>
      </c>
      <c r="P93" s="990">
        <v>2892</v>
      </c>
      <c r="Q93" s="990">
        <v>0</v>
      </c>
      <c r="R93" s="991">
        <v>2892</v>
      </c>
      <c r="S93" s="992">
        <v>0</v>
      </c>
    </row>
    <row r="94" spans="1:19" ht="45" x14ac:dyDescent="0.25">
      <c r="A94" s="989" t="s">
        <v>4956</v>
      </c>
      <c r="B94" s="989" t="s">
        <v>1741</v>
      </c>
      <c r="C94" s="989" t="s">
        <v>1726</v>
      </c>
      <c r="D94" s="989" t="s">
        <v>277</v>
      </c>
      <c r="E94" s="989" t="s">
        <v>1901</v>
      </c>
      <c r="F94" s="990">
        <v>23400944.079999998</v>
      </c>
      <c r="G94" s="990">
        <v>61342</v>
      </c>
      <c r="H94" s="990">
        <v>7847329.1699999999</v>
      </c>
      <c r="I94" s="990">
        <v>27060.26</v>
      </c>
      <c r="J94" s="990">
        <v>93962842.049999997</v>
      </c>
      <c r="K94" s="990">
        <v>217969.79</v>
      </c>
      <c r="L94" s="990">
        <v>2622219.75</v>
      </c>
      <c r="M94" s="990">
        <v>4948.9599609375</v>
      </c>
      <c r="N94" s="994">
        <v>0</v>
      </c>
      <c r="O94" s="994">
        <v>0</v>
      </c>
      <c r="P94" s="990">
        <v>104432391.06999999</v>
      </c>
      <c r="Q94" s="990">
        <v>249979.01</v>
      </c>
      <c r="R94" s="991">
        <v>127833335.15000001</v>
      </c>
      <c r="S94" s="992">
        <v>311321.27</v>
      </c>
    </row>
    <row r="95" spans="1:19" ht="22.5" x14ac:dyDescent="0.25">
      <c r="A95" s="989" t="s">
        <v>4956</v>
      </c>
      <c r="B95" s="989" t="s">
        <v>1741</v>
      </c>
      <c r="C95" s="989" t="s">
        <v>297</v>
      </c>
      <c r="D95" s="989" t="s">
        <v>297</v>
      </c>
      <c r="E95" s="989" t="s">
        <v>1902</v>
      </c>
      <c r="F95" s="990">
        <v>8586322.5099999998</v>
      </c>
      <c r="G95" s="990">
        <v>416</v>
      </c>
      <c r="H95" s="990">
        <v>36251963.789999999</v>
      </c>
      <c r="I95" s="990">
        <v>746.67</v>
      </c>
      <c r="J95" s="990">
        <v>367201.7</v>
      </c>
      <c r="K95" s="990">
        <v>2523.27</v>
      </c>
      <c r="L95" s="990">
        <v>0</v>
      </c>
      <c r="M95" s="990">
        <v>0</v>
      </c>
      <c r="N95" s="994">
        <v>0</v>
      </c>
      <c r="O95" s="994">
        <v>0</v>
      </c>
      <c r="P95" s="990">
        <v>36619165.490000002</v>
      </c>
      <c r="Q95" s="990">
        <v>3269.94</v>
      </c>
      <c r="R95" s="991">
        <v>45205488</v>
      </c>
      <c r="S95" s="992">
        <v>3686.64</v>
      </c>
    </row>
    <row r="96" spans="1:19" ht="22.5" x14ac:dyDescent="0.25">
      <c r="A96" s="989" t="s">
        <v>4956</v>
      </c>
      <c r="B96" s="989" t="s">
        <v>1741</v>
      </c>
      <c r="C96" s="989" t="s">
        <v>4976</v>
      </c>
      <c r="D96" s="989" t="s">
        <v>4976</v>
      </c>
      <c r="E96" s="989" t="s">
        <v>5001</v>
      </c>
      <c r="F96" s="990">
        <v>0</v>
      </c>
      <c r="G96" s="990">
        <v>0</v>
      </c>
      <c r="H96" s="990">
        <v>0</v>
      </c>
      <c r="I96" s="990">
        <v>0</v>
      </c>
      <c r="J96" s="990">
        <v>0</v>
      </c>
      <c r="K96" s="990">
        <v>0</v>
      </c>
      <c r="L96" s="990">
        <v>0</v>
      </c>
      <c r="M96" s="990">
        <v>0</v>
      </c>
      <c r="N96" s="994">
        <v>43660808</v>
      </c>
      <c r="O96" s="994">
        <v>88754.703125</v>
      </c>
      <c r="P96" s="990">
        <v>0</v>
      </c>
      <c r="Q96" s="990">
        <v>0</v>
      </c>
      <c r="R96" s="991">
        <v>0</v>
      </c>
      <c r="S96" s="992">
        <v>0</v>
      </c>
    </row>
    <row r="97" spans="1:19" ht="22.5" x14ac:dyDescent="0.25">
      <c r="A97" s="989" t="s">
        <v>4956</v>
      </c>
      <c r="B97" s="989" t="s">
        <v>1741</v>
      </c>
      <c r="C97" s="989" t="s">
        <v>316</v>
      </c>
      <c r="D97" s="989" t="s">
        <v>316</v>
      </c>
      <c r="E97" s="989" t="s">
        <v>1903</v>
      </c>
      <c r="F97" s="990">
        <v>4732114.37</v>
      </c>
      <c r="G97" s="990">
        <v>0</v>
      </c>
      <c r="H97" s="990">
        <v>111899423.97</v>
      </c>
      <c r="I97" s="990">
        <v>0</v>
      </c>
      <c r="J97" s="990">
        <v>0</v>
      </c>
      <c r="K97" s="990">
        <v>0</v>
      </c>
      <c r="L97" s="990">
        <v>0</v>
      </c>
      <c r="M97" s="990">
        <v>0</v>
      </c>
      <c r="N97" s="994">
        <v>0</v>
      </c>
      <c r="O97" s="994">
        <v>0</v>
      </c>
      <c r="P97" s="990">
        <v>111899423.97</v>
      </c>
      <c r="Q97" s="990">
        <v>0</v>
      </c>
      <c r="R97" s="991">
        <v>116631538.34</v>
      </c>
      <c r="S97" s="992">
        <v>0</v>
      </c>
    </row>
    <row r="98" spans="1:19" ht="22.5" x14ac:dyDescent="0.25">
      <c r="A98" s="989" t="s">
        <v>4956</v>
      </c>
      <c r="B98" s="989" t="s">
        <v>1741</v>
      </c>
      <c r="C98" s="989" t="s">
        <v>1730</v>
      </c>
      <c r="D98" s="989" t="s">
        <v>341</v>
      </c>
      <c r="E98" s="989" t="s">
        <v>1904</v>
      </c>
      <c r="F98" s="990">
        <v>88773.35</v>
      </c>
      <c r="G98" s="990">
        <v>249</v>
      </c>
      <c r="H98" s="990">
        <v>0</v>
      </c>
      <c r="I98" s="990">
        <v>0</v>
      </c>
      <c r="J98" s="990">
        <v>1139341.51</v>
      </c>
      <c r="K98" s="990">
        <v>3341.64</v>
      </c>
      <c r="L98" s="990">
        <v>0</v>
      </c>
      <c r="M98" s="990">
        <v>0</v>
      </c>
      <c r="N98" s="994">
        <v>0</v>
      </c>
      <c r="O98" s="994">
        <v>0</v>
      </c>
      <c r="P98" s="990">
        <v>1139341.51</v>
      </c>
      <c r="Q98" s="990">
        <v>3341.64</v>
      </c>
      <c r="R98" s="991">
        <v>1228114.8600000001</v>
      </c>
      <c r="S98" s="992">
        <v>3591.12</v>
      </c>
    </row>
    <row r="99" spans="1:19" ht="33.75" x14ac:dyDescent="0.25">
      <c r="A99" s="989" t="s">
        <v>4956</v>
      </c>
      <c r="B99" s="989" t="s">
        <v>1741</v>
      </c>
      <c r="C99" s="989" t="s">
        <v>1734</v>
      </c>
      <c r="D99" s="989" t="s">
        <v>343</v>
      </c>
      <c r="E99" s="989" t="s">
        <v>1905</v>
      </c>
      <c r="F99" s="990">
        <v>30842.77</v>
      </c>
      <c r="G99" s="990">
        <v>0</v>
      </c>
      <c r="H99" s="990">
        <v>369333.91</v>
      </c>
      <c r="I99" s="990">
        <v>0</v>
      </c>
      <c r="J99" s="990">
        <v>0</v>
      </c>
      <c r="K99" s="990">
        <v>0</v>
      </c>
      <c r="L99" s="990">
        <v>0</v>
      </c>
      <c r="M99" s="990">
        <v>0</v>
      </c>
      <c r="N99" s="994">
        <v>0</v>
      </c>
      <c r="O99" s="994">
        <v>0</v>
      </c>
      <c r="P99" s="990">
        <v>369333.91</v>
      </c>
      <c r="Q99" s="990">
        <v>0</v>
      </c>
      <c r="R99" s="991">
        <v>400176.68</v>
      </c>
      <c r="S99" s="992">
        <v>0</v>
      </c>
    </row>
    <row r="100" spans="1:19" ht="45" x14ac:dyDescent="0.25">
      <c r="A100" s="989" t="s">
        <v>4956</v>
      </c>
      <c r="B100" s="989" t="s">
        <v>1742</v>
      </c>
      <c r="C100" s="989" t="s">
        <v>1726</v>
      </c>
      <c r="D100" s="989" t="s">
        <v>277</v>
      </c>
      <c r="E100" s="989" t="s">
        <v>1906</v>
      </c>
      <c r="F100" s="990">
        <v>233039</v>
      </c>
      <c r="G100" s="990">
        <v>0</v>
      </c>
      <c r="H100" s="990">
        <v>0</v>
      </c>
      <c r="I100" s="990">
        <v>0</v>
      </c>
      <c r="J100" s="990">
        <v>3575964</v>
      </c>
      <c r="K100" s="990">
        <v>10631</v>
      </c>
      <c r="L100" s="990">
        <v>0</v>
      </c>
      <c r="M100" s="990">
        <v>0</v>
      </c>
      <c r="N100" s="994">
        <v>0</v>
      </c>
      <c r="O100" s="994">
        <v>0</v>
      </c>
      <c r="P100" s="990">
        <v>3575964</v>
      </c>
      <c r="Q100" s="990">
        <v>10631</v>
      </c>
      <c r="R100" s="991">
        <v>3809003</v>
      </c>
      <c r="S100" s="992">
        <v>10631</v>
      </c>
    </row>
    <row r="101" spans="1:19" ht="22.5" x14ac:dyDescent="0.25">
      <c r="A101" s="989" t="s">
        <v>4956</v>
      </c>
      <c r="B101" s="989" t="s">
        <v>1742</v>
      </c>
      <c r="C101" s="989" t="s">
        <v>297</v>
      </c>
      <c r="D101" s="989" t="s">
        <v>297</v>
      </c>
      <c r="E101" s="989" t="s">
        <v>1907</v>
      </c>
      <c r="F101" s="990">
        <v>228996</v>
      </c>
      <c r="G101" s="990">
        <v>0</v>
      </c>
      <c r="H101" s="990">
        <v>4327069</v>
      </c>
      <c r="I101" s="990">
        <v>0</v>
      </c>
      <c r="J101" s="990">
        <v>0</v>
      </c>
      <c r="K101" s="990">
        <v>0</v>
      </c>
      <c r="L101" s="990">
        <v>0</v>
      </c>
      <c r="M101" s="990">
        <v>0</v>
      </c>
      <c r="N101" s="994">
        <v>0</v>
      </c>
      <c r="O101" s="994">
        <v>0</v>
      </c>
      <c r="P101" s="990">
        <v>4327069</v>
      </c>
      <c r="Q101" s="990">
        <v>0</v>
      </c>
      <c r="R101" s="991">
        <v>4556065</v>
      </c>
      <c r="S101" s="992">
        <v>0</v>
      </c>
    </row>
    <row r="102" spans="1:19" ht="22.5" x14ac:dyDescent="0.25">
      <c r="A102" s="989" t="s">
        <v>4956</v>
      </c>
      <c r="B102" s="989" t="s">
        <v>1742</v>
      </c>
      <c r="C102" s="989" t="s">
        <v>4976</v>
      </c>
      <c r="D102" s="989" t="s">
        <v>4976</v>
      </c>
      <c r="E102" s="989" t="s">
        <v>5002</v>
      </c>
      <c r="F102" s="990">
        <v>0</v>
      </c>
      <c r="G102" s="990">
        <v>0</v>
      </c>
      <c r="H102" s="990">
        <v>0</v>
      </c>
      <c r="I102" s="990">
        <v>0</v>
      </c>
      <c r="J102" s="990">
        <v>0</v>
      </c>
      <c r="K102" s="990">
        <v>0</v>
      </c>
      <c r="L102" s="990">
        <v>0</v>
      </c>
      <c r="M102" s="990">
        <v>0</v>
      </c>
      <c r="N102" s="994">
        <v>0</v>
      </c>
      <c r="O102" s="994">
        <v>0</v>
      </c>
      <c r="P102" s="990">
        <v>0</v>
      </c>
      <c r="Q102" s="990">
        <v>0</v>
      </c>
      <c r="R102" s="991">
        <v>0</v>
      </c>
      <c r="S102" s="992">
        <v>0</v>
      </c>
    </row>
    <row r="103" spans="1:19" ht="22.5" x14ac:dyDescent="0.25">
      <c r="A103" s="989" t="s">
        <v>4956</v>
      </c>
      <c r="B103" s="989" t="s">
        <v>1742</v>
      </c>
      <c r="C103" s="989" t="s">
        <v>316</v>
      </c>
      <c r="D103" s="989" t="s">
        <v>316</v>
      </c>
      <c r="E103" s="989" t="s">
        <v>1908</v>
      </c>
      <c r="F103" s="990">
        <v>336334</v>
      </c>
      <c r="G103" s="990">
        <v>0</v>
      </c>
      <c r="H103" s="990">
        <v>18827304</v>
      </c>
      <c r="I103" s="990">
        <v>0</v>
      </c>
      <c r="J103" s="990">
        <v>0</v>
      </c>
      <c r="K103" s="990">
        <v>0</v>
      </c>
      <c r="L103" s="990">
        <v>0</v>
      </c>
      <c r="M103" s="990">
        <v>0</v>
      </c>
      <c r="N103" s="994">
        <v>0</v>
      </c>
      <c r="O103" s="994">
        <v>0</v>
      </c>
      <c r="P103" s="990">
        <v>18827304</v>
      </c>
      <c r="Q103" s="990">
        <v>0</v>
      </c>
      <c r="R103" s="991">
        <v>19163638</v>
      </c>
      <c r="S103" s="992">
        <v>0</v>
      </c>
    </row>
    <row r="104" spans="1:19" ht="22.5" x14ac:dyDescent="0.25">
      <c r="A104" s="989" t="s">
        <v>4956</v>
      </c>
      <c r="B104" s="989" t="s">
        <v>1742</v>
      </c>
      <c r="C104" s="989" t="s">
        <v>1730</v>
      </c>
      <c r="D104" s="989" t="s">
        <v>341</v>
      </c>
      <c r="E104" s="989" t="s">
        <v>1909</v>
      </c>
      <c r="F104" s="990">
        <v>0</v>
      </c>
      <c r="G104" s="990">
        <v>0</v>
      </c>
      <c r="H104" s="990">
        <v>0</v>
      </c>
      <c r="I104" s="990">
        <v>0</v>
      </c>
      <c r="J104" s="990">
        <v>206615</v>
      </c>
      <c r="K104" s="990">
        <v>578</v>
      </c>
      <c r="L104" s="990">
        <v>0</v>
      </c>
      <c r="M104" s="990">
        <v>0</v>
      </c>
      <c r="N104" s="994">
        <v>0</v>
      </c>
      <c r="O104" s="994">
        <v>0</v>
      </c>
      <c r="P104" s="990">
        <v>206615</v>
      </c>
      <c r="Q104" s="990">
        <v>578</v>
      </c>
      <c r="R104" s="991">
        <v>206615</v>
      </c>
      <c r="S104" s="992">
        <v>578</v>
      </c>
    </row>
    <row r="105" spans="1:19" ht="33.75" x14ac:dyDescent="0.25">
      <c r="A105" s="989" t="s">
        <v>4956</v>
      </c>
      <c r="B105" s="989" t="s">
        <v>1742</v>
      </c>
      <c r="C105" s="989" t="s">
        <v>1734</v>
      </c>
      <c r="D105" s="989" t="s">
        <v>343</v>
      </c>
      <c r="E105" s="989" t="s">
        <v>1910</v>
      </c>
      <c r="F105" s="990">
        <v>0</v>
      </c>
      <c r="G105" s="990">
        <v>0</v>
      </c>
      <c r="H105" s="990">
        <v>93084</v>
      </c>
      <c r="I105" s="990">
        <v>0</v>
      </c>
      <c r="J105" s="990">
        <v>0</v>
      </c>
      <c r="K105" s="990">
        <v>0</v>
      </c>
      <c r="L105" s="990">
        <v>0</v>
      </c>
      <c r="M105" s="990">
        <v>0</v>
      </c>
      <c r="N105" s="994">
        <v>0</v>
      </c>
      <c r="O105" s="994">
        <v>0</v>
      </c>
      <c r="P105" s="990">
        <v>93084</v>
      </c>
      <c r="Q105" s="990">
        <v>0</v>
      </c>
      <c r="R105" s="991">
        <v>93084</v>
      </c>
      <c r="S105" s="992">
        <v>0</v>
      </c>
    </row>
    <row r="106" spans="1:19" ht="22.5" x14ac:dyDescent="0.25">
      <c r="A106" s="989" t="s">
        <v>4956</v>
      </c>
      <c r="B106" s="989" t="s">
        <v>1743</v>
      </c>
      <c r="C106" s="989" t="s">
        <v>1736</v>
      </c>
      <c r="D106" s="989" t="s">
        <v>249</v>
      </c>
      <c r="E106" s="989" t="s">
        <v>1911</v>
      </c>
      <c r="F106" s="990">
        <v>0</v>
      </c>
      <c r="G106" s="990">
        <v>0</v>
      </c>
      <c r="H106" s="990">
        <v>0</v>
      </c>
      <c r="I106" s="990">
        <v>0</v>
      </c>
      <c r="J106" s="990">
        <v>56843411</v>
      </c>
      <c r="K106" s="990">
        <v>0</v>
      </c>
      <c r="L106" s="990">
        <v>0</v>
      </c>
      <c r="M106" s="990">
        <v>0</v>
      </c>
      <c r="N106" s="994">
        <v>0</v>
      </c>
      <c r="O106" s="994">
        <v>0</v>
      </c>
      <c r="P106" s="990">
        <v>56843411</v>
      </c>
      <c r="Q106" s="990">
        <v>0</v>
      </c>
      <c r="R106" s="991">
        <v>56843411</v>
      </c>
      <c r="S106" s="992">
        <v>0</v>
      </c>
    </row>
    <row r="107" spans="1:19" ht="45" x14ac:dyDescent="0.25">
      <c r="A107" s="989" t="s">
        <v>4956</v>
      </c>
      <c r="B107" s="989" t="s">
        <v>1743</v>
      </c>
      <c r="C107" s="989" t="s">
        <v>1726</v>
      </c>
      <c r="D107" s="989" t="s">
        <v>277</v>
      </c>
      <c r="E107" s="989" t="s">
        <v>1912</v>
      </c>
      <c r="F107" s="990">
        <v>0</v>
      </c>
      <c r="G107" s="990">
        <v>0</v>
      </c>
      <c r="H107" s="990">
        <v>1897995</v>
      </c>
      <c r="I107" s="990">
        <v>7540</v>
      </c>
      <c r="J107" s="990">
        <v>45551875</v>
      </c>
      <c r="K107" s="990">
        <v>180990</v>
      </c>
      <c r="L107" s="990">
        <v>0</v>
      </c>
      <c r="M107" s="990">
        <v>0</v>
      </c>
      <c r="N107" s="994">
        <v>0</v>
      </c>
      <c r="O107" s="994">
        <v>0</v>
      </c>
      <c r="P107" s="990">
        <v>47449870</v>
      </c>
      <c r="Q107" s="990">
        <v>188530</v>
      </c>
      <c r="R107" s="991">
        <v>47449870</v>
      </c>
      <c r="S107" s="992">
        <v>188530</v>
      </c>
    </row>
    <row r="108" spans="1:19" ht="22.5" x14ac:dyDescent="0.25">
      <c r="A108" s="989" t="s">
        <v>4956</v>
      </c>
      <c r="B108" s="989" t="s">
        <v>1743</v>
      </c>
      <c r="C108" s="989" t="s">
        <v>297</v>
      </c>
      <c r="D108" s="989" t="s">
        <v>297</v>
      </c>
      <c r="E108" s="989" t="s">
        <v>1913</v>
      </c>
      <c r="F108" s="990">
        <v>0</v>
      </c>
      <c r="G108" s="990">
        <v>0</v>
      </c>
      <c r="H108" s="990">
        <v>24232980</v>
      </c>
      <c r="I108" s="990">
        <v>0</v>
      </c>
      <c r="J108" s="990">
        <v>2995087</v>
      </c>
      <c r="K108" s="990">
        <v>0</v>
      </c>
      <c r="L108" s="990">
        <v>0</v>
      </c>
      <c r="M108" s="990">
        <v>0</v>
      </c>
      <c r="N108" s="994">
        <v>0</v>
      </c>
      <c r="O108" s="994">
        <v>0</v>
      </c>
      <c r="P108" s="990">
        <v>27228067</v>
      </c>
      <c r="Q108" s="990">
        <v>0</v>
      </c>
      <c r="R108" s="991">
        <v>27228067</v>
      </c>
      <c r="S108" s="992">
        <v>0</v>
      </c>
    </row>
    <row r="109" spans="1:19" ht="22.5" x14ac:dyDescent="0.25">
      <c r="A109" s="989" t="s">
        <v>4956</v>
      </c>
      <c r="B109" s="989" t="s">
        <v>1743</v>
      </c>
      <c r="C109" s="989" t="s">
        <v>4976</v>
      </c>
      <c r="D109" s="989" t="s">
        <v>4976</v>
      </c>
      <c r="E109" s="989" t="s">
        <v>5003</v>
      </c>
      <c r="F109" s="990">
        <v>0</v>
      </c>
      <c r="G109" s="990">
        <v>0</v>
      </c>
      <c r="H109" s="990">
        <v>0</v>
      </c>
      <c r="I109" s="990">
        <v>0</v>
      </c>
      <c r="J109" s="990">
        <v>0</v>
      </c>
      <c r="K109" s="990">
        <v>0</v>
      </c>
      <c r="L109" s="990">
        <v>0</v>
      </c>
      <c r="M109" s="990">
        <v>0</v>
      </c>
      <c r="N109" s="994">
        <v>10527574</v>
      </c>
      <c r="O109" s="994">
        <v>55609</v>
      </c>
      <c r="P109" s="990">
        <v>0</v>
      </c>
      <c r="Q109" s="990">
        <v>0</v>
      </c>
      <c r="R109" s="991">
        <v>0</v>
      </c>
      <c r="S109" s="992">
        <v>0</v>
      </c>
    </row>
    <row r="110" spans="1:19" ht="22.5" x14ac:dyDescent="0.25">
      <c r="A110" s="989" t="s">
        <v>4956</v>
      </c>
      <c r="B110" s="989" t="s">
        <v>1743</v>
      </c>
      <c r="C110" s="989" t="s">
        <v>316</v>
      </c>
      <c r="D110" s="989" t="s">
        <v>316</v>
      </c>
      <c r="E110" s="989" t="s">
        <v>1914</v>
      </c>
      <c r="F110" s="990">
        <v>1</v>
      </c>
      <c r="G110" s="990">
        <v>1</v>
      </c>
      <c r="H110" s="990">
        <v>81337872</v>
      </c>
      <c r="I110" s="990">
        <v>0</v>
      </c>
      <c r="J110" s="990">
        <v>5191779</v>
      </c>
      <c r="K110" s="990">
        <v>0</v>
      </c>
      <c r="L110" s="990">
        <v>0</v>
      </c>
      <c r="M110" s="990">
        <v>0</v>
      </c>
      <c r="N110" s="994">
        <v>0</v>
      </c>
      <c r="O110" s="994">
        <v>0</v>
      </c>
      <c r="P110" s="990">
        <v>86529651</v>
      </c>
      <c r="Q110" s="990">
        <v>0</v>
      </c>
      <c r="R110" s="991">
        <v>86529652</v>
      </c>
      <c r="S110" s="992">
        <v>1</v>
      </c>
    </row>
    <row r="111" spans="1:19" ht="33.75" x14ac:dyDescent="0.25">
      <c r="A111" s="989" t="s">
        <v>4956</v>
      </c>
      <c r="B111" s="989" t="s">
        <v>1743</v>
      </c>
      <c r="C111" s="989" t="s">
        <v>1733</v>
      </c>
      <c r="D111" s="989" t="s">
        <v>325</v>
      </c>
      <c r="E111" s="989" t="s">
        <v>1915</v>
      </c>
      <c r="F111" s="990">
        <v>0</v>
      </c>
      <c r="G111" s="990">
        <v>0</v>
      </c>
      <c r="H111" s="990">
        <v>0</v>
      </c>
      <c r="I111" s="990">
        <v>0</v>
      </c>
      <c r="J111" s="990">
        <v>152795</v>
      </c>
      <c r="K111" s="990">
        <v>14</v>
      </c>
      <c r="L111" s="990">
        <v>0</v>
      </c>
      <c r="M111" s="990">
        <v>0</v>
      </c>
      <c r="N111" s="994">
        <v>0</v>
      </c>
      <c r="O111" s="994">
        <v>0</v>
      </c>
      <c r="P111" s="990">
        <v>152795</v>
      </c>
      <c r="Q111" s="990">
        <v>14</v>
      </c>
      <c r="R111" s="991">
        <v>152795</v>
      </c>
      <c r="S111" s="992">
        <v>14</v>
      </c>
    </row>
    <row r="112" spans="1:19" ht="22.5" x14ac:dyDescent="0.25">
      <c r="A112" s="989" t="s">
        <v>4956</v>
      </c>
      <c r="B112" s="989" t="s">
        <v>1743</v>
      </c>
      <c r="C112" s="989" t="s">
        <v>1730</v>
      </c>
      <c r="D112" s="989" t="s">
        <v>341</v>
      </c>
      <c r="E112" s="989" t="s">
        <v>1916</v>
      </c>
      <c r="F112" s="990">
        <v>0</v>
      </c>
      <c r="G112" s="990">
        <v>0</v>
      </c>
      <c r="H112" s="990">
        <v>0</v>
      </c>
      <c r="I112" s="990">
        <v>0</v>
      </c>
      <c r="J112" s="990">
        <v>1361607</v>
      </c>
      <c r="K112" s="990">
        <v>6470</v>
      </c>
      <c r="L112" s="990">
        <v>0</v>
      </c>
      <c r="M112" s="990">
        <v>0</v>
      </c>
      <c r="N112" s="994">
        <v>0</v>
      </c>
      <c r="O112" s="994">
        <v>0</v>
      </c>
      <c r="P112" s="990">
        <v>1361607</v>
      </c>
      <c r="Q112" s="990">
        <v>6470</v>
      </c>
      <c r="R112" s="991">
        <v>1361607</v>
      </c>
      <c r="S112" s="992">
        <v>6470</v>
      </c>
    </row>
    <row r="113" spans="1:19" ht="33.75" x14ac:dyDescent="0.25">
      <c r="A113" s="989" t="s">
        <v>4956</v>
      </c>
      <c r="B113" s="989" t="s">
        <v>1743</v>
      </c>
      <c r="C113" s="989" t="s">
        <v>1734</v>
      </c>
      <c r="D113" s="989" t="s">
        <v>343</v>
      </c>
      <c r="E113" s="989" t="s">
        <v>1917</v>
      </c>
      <c r="F113" s="990">
        <v>0</v>
      </c>
      <c r="G113" s="990">
        <v>0</v>
      </c>
      <c r="H113" s="990">
        <v>0</v>
      </c>
      <c r="I113" s="990">
        <v>0</v>
      </c>
      <c r="J113" s="990">
        <v>255469</v>
      </c>
      <c r="K113" s="990">
        <v>0</v>
      </c>
      <c r="L113" s="990">
        <v>0</v>
      </c>
      <c r="M113" s="990">
        <v>0</v>
      </c>
      <c r="N113" s="994">
        <v>0</v>
      </c>
      <c r="O113" s="994">
        <v>0</v>
      </c>
      <c r="P113" s="990">
        <v>255469</v>
      </c>
      <c r="Q113" s="990">
        <v>0</v>
      </c>
      <c r="R113" s="991">
        <v>255469</v>
      </c>
      <c r="S113" s="992">
        <v>0</v>
      </c>
    </row>
    <row r="114" spans="1:19" ht="33.75" x14ac:dyDescent="0.25">
      <c r="A114" s="989" t="s">
        <v>4956</v>
      </c>
      <c r="B114" s="989" t="s">
        <v>5004</v>
      </c>
      <c r="C114" s="989" t="s">
        <v>1736</v>
      </c>
      <c r="D114" s="989" t="s">
        <v>5005</v>
      </c>
      <c r="E114" s="1080" t="s">
        <v>6607</v>
      </c>
      <c r="F114" s="990">
        <v>0</v>
      </c>
      <c r="G114" s="990">
        <v>0</v>
      </c>
      <c r="H114" s="990">
        <v>0</v>
      </c>
      <c r="I114" s="990">
        <v>0</v>
      </c>
      <c r="J114" s="990">
        <v>12605162.220000001</v>
      </c>
      <c r="K114" s="990">
        <v>138252.38</v>
      </c>
      <c r="L114" s="990">
        <v>0</v>
      </c>
      <c r="M114" s="990">
        <v>0</v>
      </c>
      <c r="N114" s="994">
        <v>0</v>
      </c>
      <c r="O114" s="994">
        <v>0</v>
      </c>
      <c r="P114" s="990">
        <v>12605162.220000001</v>
      </c>
      <c r="Q114" s="990">
        <v>138252.38</v>
      </c>
      <c r="R114" s="991">
        <v>12605162.220000001</v>
      </c>
      <c r="S114" s="992">
        <v>138252.38</v>
      </c>
    </row>
    <row r="115" spans="1:19" ht="45" x14ac:dyDescent="0.25">
      <c r="A115" s="989" t="s">
        <v>4956</v>
      </c>
      <c r="B115" s="989" t="s">
        <v>5004</v>
      </c>
      <c r="C115" s="989" t="s">
        <v>1726</v>
      </c>
      <c r="D115" s="989" t="s">
        <v>5006</v>
      </c>
      <c r="E115" s="1080" t="s">
        <v>6608</v>
      </c>
      <c r="F115" s="990">
        <v>26598489</v>
      </c>
      <c r="G115" s="990">
        <v>84374</v>
      </c>
      <c r="H115" s="990">
        <v>3555856.37</v>
      </c>
      <c r="I115" s="990">
        <v>0</v>
      </c>
      <c r="J115" s="990">
        <v>127145088.36</v>
      </c>
      <c r="K115" s="990">
        <v>385365.63</v>
      </c>
      <c r="L115" s="990">
        <v>0</v>
      </c>
      <c r="M115" s="990">
        <v>0</v>
      </c>
      <c r="N115" s="994">
        <v>0</v>
      </c>
      <c r="O115" s="994">
        <v>0</v>
      </c>
      <c r="P115" s="990">
        <v>130700944.73</v>
      </c>
      <c r="Q115" s="990">
        <v>385365.63</v>
      </c>
      <c r="R115" s="991">
        <v>157299433.72999999</v>
      </c>
      <c r="S115" s="992">
        <v>469739.63</v>
      </c>
    </row>
    <row r="116" spans="1:19" ht="45" x14ac:dyDescent="0.25">
      <c r="A116" s="989" t="s">
        <v>4956</v>
      </c>
      <c r="B116" s="989" t="s">
        <v>5004</v>
      </c>
      <c r="C116" s="989" t="s">
        <v>1726</v>
      </c>
      <c r="D116" s="989" t="s">
        <v>5007</v>
      </c>
      <c r="E116" s="1080" t="s">
        <v>6609</v>
      </c>
      <c r="F116" s="990">
        <v>74125589</v>
      </c>
      <c r="G116" s="990">
        <v>154422</v>
      </c>
      <c r="H116" s="990">
        <v>0</v>
      </c>
      <c r="I116" s="990">
        <v>0</v>
      </c>
      <c r="J116" s="990">
        <v>133086027.19</v>
      </c>
      <c r="K116" s="990">
        <v>342055.37</v>
      </c>
      <c r="L116" s="990">
        <v>29671170</v>
      </c>
      <c r="M116" s="990">
        <v>48626.140625</v>
      </c>
      <c r="N116" s="994">
        <v>0</v>
      </c>
      <c r="O116" s="994">
        <v>0</v>
      </c>
      <c r="P116" s="990">
        <v>162757196.50999999</v>
      </c>
      <c r="Q116" s="990">
        <v>390681.51</v>
      </c>
      <c r="R116" s="991">
        <v>236882785.50999999</v>
      </c>
      <c r="S116" s="992">
        <v>545103.51</v>
      </c>
    </row>
    <row r="117" spans="1:19" ht="45" x14ac:dyDescent="0.25">
      <c r="A117" s="989" t="s">
        <v>4956</v>
      </c>
      <c r="B117" s="989" t="s">
        <v>5004</v>
      </c>
      <c r="C117" s="989" t="s">
        <v>1726</v>
      </c>
      <c r="D117" s="989" t="s">
        <v>5008</v>
      </c>
      <c r="E117" s="1080" t="s">
        <v>6610</v>
      </c>
      <c r="F117" s="990">
        <v>83208458</v>
      </c>
      <c r="G117" s="990">
        <v>262462</v>
      </c>
      <c r="H117" s="990">
        <v>43422604.530000001</v>
      </c>
      <c r="I117" s="990">
        <v>120666.9</v>
      </c>
      <c r="J117" s="990">
        <v>298880173.69999999</v>
      </c>
      <c r="K117" s="990">
        <v>930443.1</v>
      </c>
      <c r="L117" s="990">
        <v>10394970</v>
      </c>
      <c r="M117" s="990">
        <v>19315.560546875</v>
      </c>
      <c r="N117" s="994">
        <v>0</v>
      </c>
      <c r="O117" s="994">
        <v>0</v>
      </c>
      <c r="P117" s="990">
        <v>352697748.17000002</v>
      </c>
      <c r="Q117" s="990">
        <v>1070425.56</v>
      </c>
      <c r="R117" s="991">
        <v>435906206.17000002</v>
      </c>
      <c r="S117" s="992">
        <v>1332887.56</v>
      </c>
    </row>
    <row r="118" spans="1:19" ht="33.75" x14ac:dyDescent="0.25">
      <c r="A118" s="989" t="s">
        <v>4956</v>
      </c>
      <c r="B118" s="989" t="s">
        <v>5004</v>
      </c>
      <c r="C118" s="989" t="s">
        <v>297</v>
      </c>
      <c r="D118" s="989" t="s">
        <v>5009</v>
      </c>
      <c r="E118" s="1080" t="s">
        <v>6611</v>
      </c>
      <c r="F118" s="990">
        <v>6347021</v>
      </c>
      <c r="G118" s="990">
        <v>0</v>
      </c>
      <c r="H118" s="990">
        <v>30309080.52</v>
      </c>
      <c r="I118" s="990">
        <v>0</v>
      </c>
      <c r="J118" s="990">
        <v>9436.66</v>
      </c>
      <c r="K118" s="990">
        <v>0</v>
      </c>
      <c r="L118" s="990">
        <v>0</v>
      </c>
      <c r="M118" s="990">
        <v>0</v>
      </c>
      <c r="N118" s="994">
        <v>0</v>
      </c>
      <c r="O118" s="994">
        <v>0</v>
      </c>
      <c r="P118" s="990">
        <v>30318517.18</v>
      </c>
      <c r="Q118" s="990">
        <v>0</v>
      </c>
      <c r="R118" s="991">
        <v>36665538.18</v>
      </c>
      <c r="S118" s="992">
        <v>0</v>
      </c>
    </row>
    <row r="119" spans="1:19" ht="33.75" x14ac:dyDescent="0.25">
      <c r="A119" s="989" t="s">
        <v>4956</v>
      </c>
      <c r="B119" s="989" t="s">
        <v>5004</v>
      </c>
      <c r="C119" s="989" t="s">
        <v>297</v>
      </c>
      <c r="D119" s="989" t="s">
        <v>5010</v>
      </c>
      <c r="E119" s="1080" t="s">
        <v>6612</v>
      </c>
      <c r="F119" s="990">
        <v>22101668</v>
      </c>
      <c r="G119" s="990">
        <v>0</v>
      </c>
      <c r="H119" s="990">
        <v>130200886.2</v>
      </c>
      <c r="I119" s="990">
        <v>0</v>
      </c>
      <c r="J119" s="990">
        <v>82157.710000000006</v>
      </c>
      <c r="K119" s="990">
        <v>0</v>
      </c>
      <c r="L119" s="990">
        <v>0</v>
      </c>
      <c r="M119" s="990">
        <v>0</v>
      </c>
      <c r="N119" s="994">
        <v>0</v>
      </c>
      <c r="O119" s="994">
        <v>0</v>
      </c>
      <c r="P119" s="990">
        <v>130283043.91</v>
      </c>
      <c r="Q119" s="990">
        <v>0</v>
      </c>
      <c r="R119" s="991">
        <v>152384711.91</v>
      </c>
      <c r="S119" s="992">
        <v>0</v>
      </c>
    </row>
    <row r="120" spans="1:19" ht="33.75" x14ac:dyDescent="0.25">
      <c r="A120" s="989" t="s">
        <v>4956</v>
      </c>
      <c r="B120" s="989" t="s">
        <v>5004</v>
      </c>
      <c r="C120" s="989" t="s">
        <v>1732</v>
      </c>
      <c r="D120" s="989" t="s">
        <v>5011</v>
      </c>
      <c r="E120" s="1080" t="s">
        <v>6613</v>
      </c>
      <c r="F120" s="990">
        <v>0</v>
      </c>
      <c r="G120" s="990">
        <v>0</v>
      </c>
      <c r="H120" s="990">
        <v>0</v>
      </c>
      <c r="I120" s="990">
        <v>0</v>
      </c>
      <c r="J120" s="990">
        <v>146226388.16</v>
      </c>
      <c r="K120" s="990">
        <v>356065.02</v>
      </c>
      <c r="L120" s="990">
        <v>0</v>
      </c>
      <c r="M120" s="990">
        <v>0</v>
      </c>
      <c r="N120" s="994">
        <v>0</v>
      </c>
      <c r="O120" s="994">
        <v>0</v>
      </c>
      <c r="P120" s="990">
        <v>146226388.16</v>
      </c>
      <c r="Q120" s="990">
        <v>356065.02</v>
      </c>
      <c r="R120" s="991">
        <v>146226388.16</v>
      </c>
      <c r="S120" s="992">
        <v>356065.02</v>
      </c>
    </row>
    <row r="121" spans="1:19" ht="22.5" x14ac:dyDescent="0.25">
      <c r="A121" s="989" t="s">
        <v>4956</v>
      </c>
      <c r="B121" s="989" t="s">
        <v>5004</v>
      </c>
      <c r="C121" s="989" t="s">
        <v>4976</v>
      </c>
      <c r="D121" s="989" t="s">
        <v>4976</v>
      </c>
      <c r="E121" s="1080" t="s">
        <v>6614</v>
      </c>
      <c r="F121" s="990">
        <v>0</v>
      </c>
      <c r="G121" s="990">
        <v>0</v>
      </c>
      <c r="H121" s="990">
        <v>0</v>
      </c>
      <c r="I121" s="990">
        <v>0</v>
      </c>
      <c r="J121" s="990">
        <v>0</v>
      </c>
      <c r="K121" s="990">
        <v>0</v>
      </c>
      <c r="L121" s="990">
        <v>0</v>
      </c>
      <c r="M121" s="990">
        <v>0</v>
      </c>
      <c r="N121" s="994">
        <v>177256768</v>
      </c>
      <c r="O121" s="994">
        <v>388700.96875</v>
      </c>
      <c r="P121" s="990">
        <v>0</v>
      </c>
      <c r="Q121" s="990">
        <v>0</v>
      </c>
      <c r="R121" s="991">
        <v>0</v>
      </c>
      <c r="S121" s="992">
        <v>0</v>
      </c>
    </row>
    <row r="122" spans="1:19" ht="22.5" x14ac:dyDescent="0.25">
      <c r="A122" s="989" t="s">
        <v>4956</v>
      </c>
      <c r="B122" s="989" t="s">
        <v>5004</v>
      </c>
      <c r="C122" s="989" t="s">
        <v>316</v>
      </c>
      <c r="D122" s="989" t="s">
        <v>5012</v>
      </c>
      <c r="E122" s="1080" t="s">
        <v>6615</v>
      </c>
      <c r="F122" s="990">
        <v>2177820</v>
      </c>
      <c r="G122" s="990">
        <v>0</v>
      </c>
      <c r="H122" s="990">
        <v>77578537.290000007</v>
      </c>
      <c r="I122" s="990">
        <v>0</v>
      </c>
      <c r="J122" s="990">
        <v>0</v>
      </c>
      <c r="K122" s="990">
        <v>0</v>
      </c>
      <c r="L122" s="990">
        <v>0</v>
      </c>
      <c r="M122" s="990">
        <v>0</v>
      </c>
      <c r="N122" s="994">
        <v>0</v>
      </c>
      <c r="O122" s="994">
        <v>0</v>
      </c>
      <c r="P122" s="990">
        <v>77578537.290000007</v>
      </c>
      <c r="Q122" s="990">
        <v>0</v>
      </c>
      <c r="R122" s="991">
        <v>79756357.290000007</v>
      </c>
      <c r="S122" s="992">
        <v>0</v>
      </c>
    </row>
    <row r="123" spans="1:19" ht="33.75" x14ac:dyDescent="0.25">
      <c r="A123" s="989" t="s">
        <v>4956</v>
      </c>
      <c r="B123" s="989" t="s">
        <v>5004</v>
      </c>
      <c r="C123" s="989" t="s">
        <v>316</v>
      </c>
      <c r="D123" s="989" t="s">
        <v>5013</v>
      </c>
      <c r="E123" s="1080" t="s">
        <v>6616</v>
      </c>
      <c r="F123" s="990">
        <v>11308443</v>
      </c>
      <c r="G123" s="990">
        <v>0</v>
      </c>
      <c r="H123" s="990">
        <v>363187537.5</v>
      </c>
      <c r="I123" s="990">
        <v>0</v>
      </c>
      <c r="J123" s="990">
        <v>0</v>
      </c>
      <c r="K123" s="990">
        <v>0</v>
      </c>
      <c r="L123" s="990">
        <v>0</v>
      </c>
      <c r="M123" s="990">
        <v>0</v>
      </c>
      <c r="N123" s="994">
        <v>0</v>
      </c>
      <c r="O123" s="994">
        <v>0</v>
      </c>
      <c r="P123" s="990">
        <v>363187537.5</v>
      </c>
      <c r="Q123" s="990">
        <v>0</v>
      </c>
      <c r="R123" s="991">
        <v>374495980.5</v>
      </c>
      <c r="S123" s="992">
        <v>0</v>
      </c>
    </row>
    <row r="124" spans="1:19" ht="33.75" x14ac:dyDescent="0.25">
      <c r="A124" s="989" t="s">
        <v>4956</v>
      </c>
      <c r="B124" s="989" t="s">
        <v>5004</v>
      </c>
      <c r="C124" s="989" t="s">
        <v>1733</v>
      </c>
      <c r="D124" s="989" t="s">
        <v>5014</v>
      </c>
      <c r="E124" s="1080" t="s">
        <v>6617</v>
      </c>
      <c r="F124" s="990">
        <v>8813</v>
      </c>
      <c r="G124" s="990">
        <v>0</v>
      </c>
      <c r="H124" s="990">
        <v>12132.72</v>
      </c>
      <c r="I124" s="990">
        <v>0</v>
      </c>
      <c r="J124" s="990">
        <v>0</v>
      </c>
      <c r="K124" s="990">
        <v>0</v>
      </c>
      <c r="L124" s="990">
        <v>0</v>
      </c>
      <c r="M124" s="990">
        <v>0</v>
      </c>
      <c r="N124" s="994">
        <v>0</v>
      </c>
      <c r="O124" s="994">
        <v>0</v>
      </c>
      <c r="P124" s="990">
        <v>12132.72</v>
      </c>
      <c r="Q124" s="990">
        <v>0</v>
      </c>
      <c r="R124" s="991">
        <v>20945.72</v>
      </c>
      <c r="S124" s="992">
        <v>0</v>
      </c>
    </row>
    <row r="125" spans="1:19" ht="33.75" x14ac:dyDescent="0.25">
      <c r="A125" s="989" t="s">
        <v>4956</v>
      </c>
      <c r="B125" s="989" t="s">
        <v>5004</v>
      </c>
      <c r="C125" s="989" t="s">
        <v>1730</v>
      </c>
      <c r="D125" s="989" t="s">
        <v>5015</v>
      </c>
      <c r="E125" s="1080" t="s">
        <v>6618</v>
      </c>
      <c r="F125" s="990">
        <v>678978</v>
      </c>
      <c r="G125" s="990">
        <v>1904</v>
      </c>
      <c r="H125" s="990">
        <v>71497.31</v>
      </c>
      <c r="I125" s="990">
        <v>0</v>
      </c>
      <c r="J125" s="990">
        <v>0</v>
      </c>
      <c r="K125" s="990">
        <v>206.36</v>
      </c>
      <c r="L125" s="990">
        <v>0</v>
      </c>
      <c r="M125" s="990">
        <v>0</v>
      </c>
      <c r="N125" s="994">
        <v>0</v>
      </c>
      <c r="O125" s="994">
        <v>0</v>
      </c>
      <c r="P125" s="990">
        <v>71497.31</v>
      </c>
      <c r="Q125" s="990">
        <v>206.36</v>
      </c>
      <c r="R125" s="991">
        <v>750475.31</v>
      </c>
      <c r="S125" s="992">
        <v>2110.36</v>
      </c>
    </row>
    <row r="126" spans="1:19" ht="33.75" x14ac:dyDescent="0.25">
      <c r="A126" s="989" t="s">
        <v>4956</v>
      </c>
      <c r="B126" s="989" t="s">
        <v>5004</v>
      </c>
      <c r="C126" s="989" t="s">
        <v>1730</v>
      </c>
      <c r="D126" s="989" t="s">
        <v>5016</v>
      </c>
      <c r="E126" s="1080" t="s">
        <v>6619</v>
      </c>
      <c r="F126" s="990">
        <v>742610</v>
      </c>
      <c r="G126" s="990">
        <v>1600</v>
      </c>
      <c r="H126" s="990">
        <v>195051.2</v>
      </c>
      <c r="I126" s="990">
        <v>559.5</v>
      </c>
      <c r="J126" s="990">
        <v>6690191.6699999999</v>
      </c>
      <c r="K126" s="990">
        <v>18614.900000000001</v>
      </c>
      <c r="L126" s="990">
        <v>0</v>
      </c>
      <c r="M126" s="990">
        <v>0</v>
      </c>
      <c r="N126" s="994">
        <v>0</v>
      </c>
      <c r="O126" s="994">
        <v>0</v>
      </c>
      <c r="P126" s="990">
        <v>6885242.8700000001</v>
      </c>
      <c r="Q126" s="990">
        <v>19174.400000000001</v>
      </c>
      <c r="R126" s="991">
        <v>7627852.8700000001</v>
      </c>
      <c r="S126" s="992">
        <v>20774.400000000001</v>
      </c>
    </row>
    <row r="127" spans="1:19" ht="33.75" x14ac:dyDescent="0.25">
      <c r="A127" s="989" t="s">
        <v>4956</v>
      </c>
      <c r="B127" s="989" t="s">
        <v>5004</v>
      </c>
      <c r="C127" s="989" t="s">
        <v>1734</v>
      </c>
      <c r="D127" s="989" t="s">
        <v>5017</v>
      </c>
      <c r="E127" s="1080" t="s">
        <v>6620</v>
      </c>
      <c r="F127" s="990">
        <v>205380</v>
      </c>
      <c r="G127" s="990">
        <v>0</v>
      </c>
      <c r="H127" s="990">
        <v>215277.5</v>
      </c>
      <c r="I127" s="990">
        <v>0</v>
      </c>
      <c r="J127" s="990">
        <v>0</v>
      </c>
      <c r="K127" s="990">
        <v>0</v>
      </c>
      <c r="L127" s="990">
        <v>0</v>
      </c>
      <c r="M127" s="990">
        <v>0</v>
      </c>
      <c r="N127" s="994">
        <v>0</v>
      </c>
      <c r="O127" s="994">
        <v>0</v>
      </c>
      <c r="P127" s="990">
        <v>215277.5</v>
      </c>
      <c r="Q127" s="990">
        <v>0</v>
      </c>
      <c r="R127" s="991">
        <v>420657.5</v>
      </c>
      <c r="S127" s="992">
        <v>0</v>
      </c>
    </row>
    <row r="128" spans="1:19" ht="33.75" x14ac:dyDescent="0.25">
      <c r="A128" s="989" t="s">
        <v>4956</v>
      </c>
      <c r="B128" s="989" t="s">
        <v>5004</v>
      </c>
      <c r="C128" s="989" t="s">
        <v>1734</v>
      </c>
      <c r="D128" s="989" t="s">
        <v>5018</v>
      </c>
      <c r="E128" s="1080" t="s">
        <v>6621</v>
      </c>
      <c r="F128" s="990">
        <v>4020</v>
      </c>
      <c r="G128" s="990">
        <v>0</v>
      </c>
      <c r="H128" s="990">
        <v>1851403</v>
      </c>
      <c r="I128" s="990">
        <v>0</v>
      </c>
      <c r="J128" s="990">
        <v>0</v>
      </c>
      <c r="K128" s="990">
        <v>0</v>
      </c>
      <c r="L128" s="990">
        <v>0</v>
      </c>
      <c r="M128" s="990">
        <v>0</v>
      </c>
      <c r="N128" s="994">
        <v>0</v>
      </c>
      <c r="O128" s="994">
        <v>0</v>
      </c>
      <c r="P128" s="990">
        <v>1851403</v>
      </c>
      <c r="Q128" s="990">
        <v>0</v>
      </c>
      <c r="R128" s="991">
        <v>1855423</v>
      </c>
      <c r="S128" s="992">
        <v>0</v>
      </c>
    </row>
    <row r="129" spans="1:19" ht="22.5" x14ac:dyDescent="0.25">
      <c r="A129" s="989" t="s">
        <v>4956</v>
      </c>
      <c r="B129" s="989" t="s">
        <v>1744</v>
      </c>
      <c r="C129" s="989" t="s">
        <v>1736</v>
      </c>
      <c r="D129" s="989" t="s">
        <v>249</v>
      </c>
      <c r="E129" s="989" t="s">
        <v>2480</v>
      </c>
      <c r="F129" s="990">
        <v>0</v>
      </c>
      <c r="G129" s="990">
        <v>0</v>
      </c>
      <c r="H129" s="990">
        <v>0</v>
      </c>
      <c r="I129" s="990">
        <v>0</v>
      </c>
      <c r="J129" s="990">
        <v>27869007.579999998</v>
      </c>
      <c r="K129" s="990">
        <v>84246.23</v>
      </c>
      <c r="L129" s="990">
        <v>0</v>
      </c>
      <c r="M129" s="990">
        <v>0</v>
      </c>
      <c r="N129" s="994">
        <v>0</v>
      </c>
      <c r="O129" s="994">
        <v>0</v>
      </c>
      <c r="P129" s="990">
        <v>27869007.579999998</v>
      </c>
      <c r="Q129" s="990">
        <v>84246.23</v>
      </c>
      <c r="R129" s="991">
        <v>27869007.579999998</v>
      </c>
      <c r="S129" s="992">
        <v>84246.23</v>
      </c>
    </row>
    <row r="130" spans="1:19" ht="45" x14ac:dyDescent="0.25">
      <c r="A130" s="989" t="s">
        <v>4956</v>
      </c>
      <c r="B130" s="989" t="s">
        <v>1744</v>
      </c>
      <c r="C130" s="989" t="s">
        <v>1726</v>
      </c>
      <c r="D130" s="989" t="s">
        <v>277</v>
      </c>
      <c r="E130" s="989" t="s">
        <v>2363</v>
      </c>
      <c r="F130" s="990">
        <v>100833683.8</v>
      </c>
      <c r="G130" s="990">
        <v>265763</v>
      </c>
      <c r="H130" s="990">
        <v>28124912</v>
      </c>
      <c r="I130" s="990">
        <v>98016.13</v>
      </c>
      <c r="J130" s="990">
        <v>301758233.80000001</v>
      </c>
      <c r="K130" s="990">
        <v>788042.3</v>
      </c>
      <c r="L130" s="990">
        <v>4583831.5</v>
      </c>
      <c r="M130" s="990">
        <v>11680.76953125</v>
      </c>
      <c r="N130" s="994">
        <v>0</v>
      </c>
      <c r="O130" s="994">
        <v>0</v>
      </c>
      <c r="P130" s="990">
        <v>334466977.52999997</v>
      </c>
      <c r="Q130" s="990">
        <v>897739.2</v>
      </c>
      <c r="R130" s="991">
        <v>435300661.32999998</v>
      </c>
      <c r="S130" s="992">
        <v>1163502.2</v>
      </c>
    </row>
    <row r="131" spans="1:19" ht="22.5" x14ac:dyDescent="0.25">
      <c r="A131" s="989" t="s">
        <v>4956</v>
      </c>
      <c r="B131" s="989" t="s">
        <v>1744</v>
      </c>
      <c r="C131" s="989" t="s">
        <v>297</v>
      </c>
      <c r="D131" s="989" t="s">
        <v>297</v>
      </c>
      <c r="E131" s="989" t="s">
        <v>2364</v>
      </c>
      <c r="F131" s="990">
        <v>21502697.82</v>
      </c>
      <c r="G131" s="990">
        <v>0</v>
      </c>
      <c r="H131" s="990">
        <v>85792800.010000005</v>
      </c>
      <c r="I131" s="990">
        <v>0</v>
      </c>
      <c r="J131" s="990">
        <v>0</v>
      </c>
      <c r="K131" s="990">
        <v>0</v>
      </c>
      <c r="L131" s="990">
        <v>0</v>
      </c>
      <c r="M131" s="990">
        <v>0</v>
      </c>
      <c r="N131" s="994">
        <v>0</v>
      </c>
      <c r="O131" s="994">
        <v>0</v>
      </c>
      <c r="P131" s="990">
        <v>85792800.010000005</v>
      </c>
      <c r="Q131" s="990">
        <v>0</v>
      </c>
      <c r="R131" s="991">
        <v>107295497.83</v>
      </c>
      <c r="S131" s="992">
        <v>0</v>
      </c>
    </row>
    <row r="132" spans="1:19" ht="22.5" x14ac:dyDescent="0.25">
      <c r="A132" s="989" t="s">
        <v>4956</v>
      </c>
      <c r="B132" s="989" t="s">
        <v>1744</v>
      </c>
      <c r="C132" s="989" t="s">
        <v>1732</v>
      </c>
      <c r="D132" s="989" t="s">
        <v>306</v>
      </c>
      <c r="E132" s="989" t="s">
        <v>2365</v>
      </c>
      <c r="F132" s="990">
        <v>0</v>
      </c>
      <c r="G132" s="990">
        <v>0</v>
      </c>
      <c r="H132" s="990">
        <v>0</v>
      </c>
      <c r="I132" s="990">
        <v>0</v>
      </c>
      <c r="J132" s="990">
        <v>34399264.020000003</v>
      </c>
      <c r="K132" s="990">
        <v>180462</v>
      </c>
      <c r="L132" s="990">
        <v>0</v>
      </c>
      <c r="M132" s="990">
        <v>0</v>
      </c>
      <c r="N132" s="994">
        <v>0</v>
      </c>
      <c r="O132" s="994">
        <v>0</v>
      </c>
      <c r="P132" s="990">
        <v>34399264.020000003</v>
      </c>
      <c r="Q132" s="990">
        <v>180462</v>
      </c>
      <c r="R132" s="991">
        <v>34399264.020000003</v>
      </c>
      <c r="S132" s="992">
        <v>180462</v>
      </c>
    </row>
    <row r="133" spans="1:19" ht="22.5" x14ac:dyDescent="0.25">
      <c r="A133" s="989" t="s">
        <v>4956</v>
      </c>
      <c r="B133" s="989" t="s">
        <v>1744</v>
      </c>
      <c r="C133" s="989" t="s">
        <v>4976</v>
      </c>
      <c r="D133" s="989" t="s">
        <v>4976</v>
      </c>
      <c r="E133" s="989" t="s">
        <v>5019</v>
      </c>
      <c r="F133" s="990">
        <v>0</v>
      </c>
      <c r="G133" s="990">
        <v>0</v>
      </c>
      <c r="H133" s="990">
        <v>0</v>
      </c>
      <c r="I133" s="990">
        <v>0</v>
      </c>
      <c r="J133" s="990">
        <v>0</v>
      </c>
      <c r="K133" s="990">
        <v>0</v>
      </c>
      <c r="L133" s="990">
        <v>0</v>
      </c>
      <c r="M133" s="990">
        <v>0</v>
      </c>
      <c r="N133" s="994">
        <v>238476528</v>
      </c>
      <c r="O133" s="994">
        <v>548902</v>
      </c>
      <c r="P133" s="990">
        <v>0</v>
      </c>
      <c r="Q133" s="990">
        <v>0</v>
      </c>
      <c r="R133" s="991">
        <v>0</v>
      </c>
      <c r="S133" s="992">
        <v>0</v>
      </c>
    </row>
    <row r="134" spans="1:19" ht="22.5" x14ac:dyDescent="0.25">
      <c r="A134" s="989" t="s">
        <v>4956</v>
      </c>
      <c r="B134" s="989" t="s">
        <v>1744</v>
      </c>
      <c r="C134" s="989" t="s">
        <v>316</v>
      </c>
      <c r="D134" s="989" t="s">
        <v>316</v>
      </c>
      <c r="E134" s="989" t="s">
        <v>2366</v>
      </c>
      <c r="F134" s="990">
        <v>13764085.85</v>
      </c>
      <c r="G134" s="990">
        <v>0</v>
      </c>
      <c r="H134" s="990">
        <v>260194122.09999999</v>
      </c>
      <c r="I134" s="990">
        <v>0</v>
      </c>
      <c r="J134" s="990">
        <v>0</v>
      </c>
      <c r="K134" s="990">
        <v>0</v>
      </c>
      <c r="L134" s="990">
        <v>0</v>
      </c>
      <c r="M134" s="990">
        <v>0</v>
      </c>
      <c r="N134" s="994">
        <v>0</v>
      </c>
      <c r="O134" s="994">
        <v>0</v>
      </c>
      <c r="P134" s="990">
        <v>260194122.09999999</v>
      </c>
      <c r="Q134" s="990">
        <v>0</v>
      </c>
      <c r="R134" s="991">
        <v>273958207.94999999</v>
      </c>
      <c r="S134" s="992">
        <v>0</v>
      </c>
    </row>
    <row r="135" spans="1:19" ht="33.75" x14ac:dyDescent="0.25">
      <c r="A135" s="989" t="s">
        <v>4956</v>
      </c>
      <c r="B135" s="989" t="s">
        <v>1744</v>
      </c>
      <c r="C135" s="989" t="s">
        <v>1733</v>
      </c>
      <c r="D135" s="989" t="s">
        <v>325</v>
      </c>
      <c r="E135" s="989" t="s">
        <v>2367</v>
      </c>
      <c r="F135" s="990">
        <v>5602.75</v>
      </c>
      <c r="G135" s="990">
        <v>0</v>
      </c>
      <c r="H135" s="990">
        <v>367019.25919999997</v>
      </c>
      <c r="I135" s="990">
        <v>1035.833333</v>
      </c>
      <c r="J135" s="990">
        <v>0</v>
      </c>
      <c r="K135" s="990">
        <v>0</v>
      </c>
      <c r="L135" s="990">
        <v>0</v>
      </c>
      <c r="M135" s="990">
        <v>0</v>
      </c>
      <c r="N135" s="994">
        <v>0</v>
      </c>
      <c r="O135" s="994">
        <v>0</v>
      </c>
      <c r="P135" s="990">
        <v>367019.25919999997</v>
      </c>
      <c r="Q135" s="990">
        <v>1035.833333</v>
      </c>
      <c r="R135" s="991">
        <v>372622.00919999997</v>
      </c>
      <c r="S135" s="992">
        <v>1035.833333</v>
      </c>
    </row>
    <row r="136" spans="1:19" ht="22.5" x14ac:dyDescent="0.25">
      <c r="A136" s="989" t="s">
        <v>4956</v>
      </c>
      <c r="B136" s="989" t="s">
        <v>1744</v>
      </c>
      <c r="C136" s="989" t="s">
        <v>1730</v>
      </c>
      <c r="D136" s="989" t="s">
        <v>341</v>
      </c>
      <c r="E136" s="989" t="s">
        <v>2368</v>
      </c>
      <c r="F136" s="990">
        <v>19498.830000000002</v>
      </c>
      <c r="G136" s="990">
        <v>45</v>
      </c>
      <c r="H136" s="990">
        <v>0</v>
      </c>
      <c r="I136" s="990">
        <v>0</v>
      </c>
      <c r="J136" s="990">
        <v>3666232.9330000002</v>
      </c>
      <c r="K136" s="990">
        <v>11126.92</v>
      </c>
      <c r="L136" s="990">
        <v>0</v>
      </c>
      <c r="M136" s="990">
        <v>0</v>
      </c>
      <c r="N136" s="994">
        <v>0</v>
      </c>
      <c r="O136" s="994">
        <v>0</v>
      </c>
      <c r="P136" s="990">
        <v>3666232.9330000002</v>
      </c>
      <c r="Q136" s="990">
        <v>11126.92</v>
      </c>
      <c r="R136" s="991">
        <v>3685731.7629999998</v>
      </c>
      <c r="S136" s="992">
        <v>11171.92</v>
      </c>
    </row>
    <row r="137" spans="1:19" ht="33.75" x14ac:dyDescent="0.25">
      <c r="A137" s="989" t="s">
        <v>4956</v>
      </c>
      <c r="B137" s="989" t="s">
        <v>1744</v>
      </c>
      <c r="C137" s="989" t="s">
        <v>1734</v>
      </c>
      <c r="D137" s="989" t="s">
        <v>343</v>
      </c>
      <c r="E137" s="989" t="s">
        <v>2369</v>
      </c>
      <c r="F137" s="990">
        <v>83363.91</v>
      </c>
      <c r="G137" s="990">
        <v>0</v>
      </c>
      <c r="H137" s="990">
        <v>1170957.071</v>
      </c>
      <c r="I137" s="990">
        <v>0</v>
      </c>
      <c r="J137" s="990">
        <v>0</v>
      </c>
      <c r="K137" s="990">
        <v>0</v>
      </c>
      <c r="L137" s="990">
        <v>0</v>
      </c>
      <c r="M137" s="990">
        <v>0</v>
      </c>
      <c r="N137" s="994">
        <v>0</v>
      </c>
      <c r="O137" s="994">
        <v>0</v>
      </c>
      <c r="P137" s="990">
        <v>1170957.071</v>
      </c>
      <c r="Q137" s="990">
        <v>0</v>
      </c>
      <c r="R137" s="991">
        <v>1254320.9809999999</v>
      </c>
      <c r="S137" s="992">
        <v>0</v>
      </c>
    </row>
    <row r="138" spans="1:19" ht="45" x14ac:dyDescent="0.25">
      <c r="A138" s="989" t="s">
        <v>4956</v>
      </c>
      <c r="B138" s="989" t="s">
        <v>1745</v>
      </c>
      <c r="C138" s="989" t="s">
        <v>1726</v>
      </c>
      <c r="D138" s="989" t="s">
        <v>260</v>
      </c>
      <c r="E138" s="989" t="s">
        <v>2370</v>
      </c>
      <c r="F138" s="990">
        <v>0</v>
      </c>
      <c r="G138" s="990">
        <v>0</v>
      </c>
      <c r="H138" s="990">
        <v>0</v>
      </c>
      <c r="I138" s="990">
        <v>0</v>
      </c>
      <c r="J138" s="990">
        <v>44136954.399999999</v>
      </c>
      <c r="K138" s="990">
        <v>133091.6</v>
      </c>
      <c r="L138" s="990">
        <v>0</v>
      </c>
      <c r="M138" s="990">
        <v>0</v>
      </c>
      <c r="N138" s="994">
        <v>0</v>
      </c>
      <c r="O138" s="994">
        <v>0</v>
      </c>
      <c r="P138" s="990">
        <v>44136954.399999999</v>
      </c>
      <c r="Q138" s="990">
        <v>133091.6</v>
      </c>
      <c r="R138" s="991">
        <v>44136954.399999999</v>
      </c>
      <c r="S138" s="992">
        <v>133091.6</v>
      </c>
    </row>
    <row r="139" spans="1:19" ht="45" x14ac:dyDescent="0.25">
      <c r="A139" s="989" t="s">
        <v>4956</v>
      </c>
      <c r="B139" s="989" t="s">
        <v>1745</v>
      </c>
      <c r="C139" s="989" t="s">
        <v>1726</v>
      </c>
      <c r="D139" s="989" t="s">
        <v>277</v>
      </c>
      <c r="E139" s="989" t="s">
        <v>1918</v>
      </c>
      <c r="F139" s="990">
        <v>159479591.80000001</v>
      </c>
      <c r="G139" s="990">
        <v>443895</v>
      </c>
      <c r="H139" s="990">
        <v>178837339.00999999</v>
      </c>
      <c r="I139" s="990">
        <v>481602.17</v>
      </c>
      <c r="J139" s="990">
        <v>585267655.79999995</v>
      </c>
      <c r="K139" s="990">
        <v>1445806.2</v>
      </c>
      <c r="L139" s="990">
        <v>11805539</v>
      </c>
      <c r="M139" s="990">
        <v>21811.80078125</v>
      </c>
      <c r="N139" s="994">
        <v>0</v>
      </c>
      <c r="O139" s="994">
        <v>0</v>
      </c>
      <c r="P139" s="990">
        <v>775910534.21000004</v>
      </c>
      <c r="Q139" s="990">
        <v>1949220.17</v>
      </c>
      <c r="R139" s="991">
        <v>935390126.00999999</v>
      </c>
      <c r="S139" s="992">
        <v>2393115.9700000002</v>
      </c>
    </row>
    <row r="140" spans="1:19" ht="22.5" x14ac:dyDescent="0.25">
      <c r="A140" s="989" t="s">
        <v>4956</v>
      </c>
      <c r="B140" s="989" t="s">
        <v>1745</v>
      </c>
      <c r="C140" s="989" t="s">
        <v>297</v>
      </c>
      <c r="D140" s="989" t="s">
        <v>297</v>
      </c>
      <c r="E140" s="989" t="s">
        <v>1919</v>
      </c>
      <c r="F140" s="990">
        <v>30270481.100000001</v>
      </c>
      <c r="G140" s="990">
        <v>0</v>
      </c>
      <c r="H140" s="990">
        <v>169035332.30000001</v>
      </c>
      <c r="I140" s="990">
        <v>0</v>
      </c>
      <c r="J140" s="990">
        <v>0</v>
      </c>
      <c r="K140" s="990">
        <v>0</v>
      </c>
      <c r="L140" s="990">
        <v>0</v>
      </c>
      <c r="M140" s="990">
        <v>0</v>
      </c>
      <c r="N140" s="994">
        <v>0</v>
      </c>
      <c r="O140" s="994">
        <v>0</v>
      </c>
      <c r="P140" s="990">
        <v>169035332.30000001</v>
      </c>
      <c r="Q140" s="990">
        <v>0</v>
      </c>
      <c r="R140" s="991">
        <v>199305813.40000001</v>
      </c>
      <c r="S140" s="992">
        <v>0</v>
      </c>
    </row>
    <row r="141" spans="1:19" ht="22.5" x14ac:dyDescent="0.25">
      <c r="A141" s="989" t="s">
        <v>4956</v>
      </c>
      <c r="B141" s="989" t="s">
        <v>1745</v>
      </c>
      <c r="C141" s="989" t="s">
        <v>1732</v>
      </c>
      <c r="D141" s="989" t="s">
        <v>302</v>
      </c>
      <c r="E141" s="989" t="s">
        <v>1920</v>
      </c>
      <c r="F141" s="990">
        <v>0</v>
      </c>
      <c r="G141" s="990">
        <v>0</v>
      </c>
      <c r="H141" s="990">
        <v>0</v>
      </c>
      <c r="I141" s="990">
        <v>0</v>
      </c>
      <c r="J141" s="990">
        <v>174153377.40000001</v>
      </c>
      <c r="K141" s="990">
        <v>319178.3</v>
      </c>
      <c r="L141" s="990">
        <v>78436576</v>
      </c>
      <c r="M141" s="990">
        <v>176475.125</v>
      </c>
      <c r="N141" s="994">
        <v>0</v>
      </c>
      <c r="O141" s="994">
        <v>0</v>
      </c>
      <c r="P141" s="990">
        <v>252589949.69999999</v>
      </c>
      <c r="Q141" s="990">
        <v>495653.42</v>
      </c>
      <c r="R141" s="991">
        <v>252589949.69999999</v>
      </c>
      <c r="S141" s="992">
        <v>495653.42</v>
      </c>
    </row>
    <row r="142" spans="1:19" ht="22.5" x14ac:dyDescent="0.25">
      <c r="A142" s="989" t="s">
        <v>4956</v>
      </c>
      <c r="B142" s="989" t="s">
        <v>1745</v>
      </c>
      <c r="C142" s="989" t="s">
        <v>1732</v>
      </c>
      <c r="D142" s="989" t="s">
        <v>303</v>
      </c>
      <c r="E142" s="989" t="s">
        <v>1921</v>
      </c>
      <c r="F142" s="990">
        <v>0</v>
      </c>
      <c r="G142" s="990">
        <v>0</v>
      </c>
      <c r="H142" s="990">
        <v>0</v>
      </c>
      <c r="I142" s="990">
        <v>0</v>
      </c>
      <c r="J142" s="990">
        <v>0</v>
      </c>
      <c r="K142" s="990">
        <v>0</v>
      </c>
      <c r="L142" s="990">
        <v>42875820</v>
      </c>
      <c r="M142" s="990">
        <v>70873.78125</v>
      </c>
      <c r="N142" s="994">
        <v>0</v>
      </c>
      <c r="O142" s="994">
        <v>0</v>
      </c>
      <c r="P142" s="990">
        <v>42875821.299999997</v>
      </c>
      <c r="Q142" s="990">
        <v>70873.78</v>
      </c>
      <c r="R142" s="991">
        <v>42875821.299999997</v>
      </c>
      <c r="S142" s="992">
        <v>70873.78</v>
      </c>
    </row>
    <row r="143" spans="1:19" ht="22.5" x14ac:dyDescent="0.25">
      <c r="A143" s="989" t="s">
        <v>4956</v>
      </c>
      <c r="B143" s="989" t="s">
        <v>1745</v>
      </c>
      <c r="C143" s="989" t="s">
        <v>1732</v>
      </c>
      <c r="D143" s="989" t="s">
        <v>304</v>
      </c>
      <c r="E143" s="989" t="s">
        <v>1922</v>
      </c>
      <c r="F143" s="990">
        <v>0</v>
      </c>
      <c r="G143" s="990">
        <v>0</v>
      </c>
      <c r="H143" s="990">
        <v>0</v>
      </c>
      <c r="I143" s="990">
        <v>0</v>
      </c>
      <c r="J143" s="990">
        <v>189732834.69999999</v>
      </c>
      <c r="K143" s="990">
        <v>353655.9</v>
      </c>
      <c r="L143" s="990">
        <v>109739384</v>
      </c>
      <c r="M143" s="990">
        <v>194408.09375</v>
      </c>
      <c r="N143" s="994">
        <v>0</v>
      </c>
      <c r="O143" s="994">
        <v>0</v>
      </c>
      <c r="P143" s="990">
        <v>299472217.19999999</v>
      </c>
      <c r="Q143" s="990">
        <v>548064</v>
      </c>
      <c r="R143" s="991">
        <v>299472217.19999999</v>
      </c>
      <c r="S143" s="992">
        <v>548064</v>
      </c>
    </row>
    <row r="144" spans="1:19" ht="22.5" x14ac:dyDescent="0.25">
      <c r="A144" s="989" t="s">
        <v>4956</v>
      </c>
      <c r="B144" s="989" t="s">
        <v>1745</v>
      </c>
      <c r="C144" s="989" t="s">
        <v>4976</v>
      </c>
      <c r="D144" s="989" t="s">
        <v>4976</v>
      </c>
      <c r="E144" s="989" t="s">
        <v>5020</v>
      </c>
      <c r="F144" s="990">
        <v>0</v>
      </c>
      <c r="G144" s="990">
        <v>0</v>
      </c>
      <c r="H144" s="990">
        <v>0</v>
      </c>
      <c r="I144" s="990">
        <v>0</v>
      </c>
      <c r="J144" s="990">
        <v>0</v>
      </c>
      <c r="K144" s="990">
        <v>0</v>
      </c>
      <c r="L144" s="990">
        <v>0</v>
      </c>
      <c r="M144" s="990">
        <v>0</v>
      </c>
      <c r="N144" s="994">
        <v>495677152</v>
      </c>
      <c r="O144" s="994">
        <v>975912</v>
      </c>
      <c r="P144" s="990">
        <v>0</v>
      </c>
      <c r="Q144" s="990">
        <v>0</v>
      </c>
      <c r="R144" s="991">
        <v>0</v>
      </c>
      <c r="S144" s="992">
        <v>0</v>
      </c>
    </row>
    <row r="145" spans="1:19" ht="22.5" x14ac:dyDescent="0.25">
      <c r="A145" s="989" t="s">
        <v>4956</v>
      </c>
      <c r="B145" s="989" t="s">
        <v>1745</v>
      </c>
      <c r="C145" s="989" t="s">
        <v>316</v>
      </c>
      <c r="D145" s="989" t="s">
        <v>316</v>
      </c>
      <c r="E145" s="989" t="s">
        <v>1923</v>
      </c>
      <c r="F145" s="990">
        <v>20775543.100000001</v>
      </c>
      <c r="G145" s="990">
        <v>0</v>
      </c>
      <c r="H145" s="990">
        <v>562459494.89999998</v>
      </c>
      <c r="I145" s="990">
        <v>0</v>
      </c>
      <c r="J145" s="990">
        <v>0</v>
      </c>
      <c r="K145" s="990">
        <v>0</v>
      </c>
      <c r="L145" s="990">
        <v>0</v>
      </c>
      <c r="M145" s="990">
        <v>0</v>
      </c>
      <c r="N145" s="994">
        <v>0</v>
      </c>
      <c r="O145" s="994">
        <v>0</v>
      </c>
      <c r="P145" s="990">
        <v>562459494.89999998</v>
      </c>
      <c r="Q145" s="990">
        <v>0</v>
      </c>
      <c r="R145" s="991">
        <v>583235038</v>
      </c>
      <c r="S145" s="992">
        <v>0</v>
      </c>
    </row>
    <row r="146" spans="1:19" ht="33.75" x14ac:dyDescent="0.25">
      <c r="A146" s="989" t="s">
        <v>4956</v>
      </c>
      <c r="B146" s="989" t="s">
        <v>1745</v>
      </c>
      <c r="C146" s="989" t="s">
        <v>1733</v>
      </c>
      <c r="D146" s="989" t="s">
        <v>325</v>
      </c>
      <c r="E146" s="989" t="s">
        <v>1924</v>
      </c>
      <c r="F146" s="990">
        <v>44091</v>
      </c>
      <c r="G146" s="990">
        <v>123</v>
      </c>
      <c r="H146" s="990">
        <v>753553.4</v>
      </c>
      <c r="I146" s="990">
        <v>2106.63</v>
      </c>
      <c r="J146" s="990">
        <v>0</v>
      </c>
      <c r="K146" s="990">
        <v>0</v>
      </c>
      <c r="L146" s="990">
        <v>0</v>
      </c>
      <c r="M146" s="990">
        <v>0</v>
      </c>
      <c r="N146" s="994">
        <v>0</v>
      </c>
      <c r="O146" s="994">
        <v>0</v>
      </c>
      <c r="P146" s="990">
        <v>753553.4</v>
      </c>
      <c r="Q146" s="990">
        <v>2106.63</v>
      </c>
      <c r="R146" s="991">
        <v>797644.4</v>
      </c>
      <c r="S146" s="992">
        <v>2229.63</v>
      </c>
    </row>
    <row r="147" spans="1:19" ht="22.5" x14ac:dyDescent="0.25">
      <c r="A147" s="989" t="s">
        <v>4956</v>
      </c>
      <c r="B147" s="989" t="s">
        <v>1745</v>
      </c>
      <c r="C147" s="989" t="s">
        <v>1730</v>
      </c>
      <c r="D147" s="989" t="s">
        <v>341</v>
      </c>
      <c r="E147" s="989" t="s">
        <v>1925</v>
      </c>
      <c r="F147" s="990">
        <v>0</v>
      </c>
      <c r="G147" s="990">
        <v>0</v>
      </c>
      <c r="H147" s="990">
        <v>18309.099999999999</v>
      </c>
      <c r="I147" s="990">
        <v>53.04</v>
      </c>
      <c r="J147" s="990">
        <v>6944435.2000000002</v>
      </c>
      <c r="K147" s="990">
        <v>19766.2</v>
      </c>
      <c r="L147" s="990">
        <v>0</v>
      </c>
      <c r="M147" s="990">
        <v>0</v>
      </c>
      <c r="N147" s="994">
        <v>0</v>
      </c>
      <c r="O147" s="994">
        <v>0</v>
      </c>
      <c r="P147" s="990">
        <v>6962744.2999999998</v>
      </c>
      <c r="Q147" s="990">
        <v>19819.240000000002</v>
      </c>
      <c r="R147" s="991">
        <v>6962744.2999999998</v>
      </c>
      <c r="S147" s="992">
        <v>19819.240000000002</v>
      </c>
    </row>
    <row r="148" spans="1:19" ht="33.75" x14ac:dyDescent="0.25">
      <c r="A148" s="989" t="s">
        <v>4956</v>
      </c>
      <c r="B148" s="989" t="s">
        <v>1745</v>
      </c>
      <c r="C148" s="989" t="s">
        <v>1734</v>
      </c>
      <c r="D148" s="989" t="s">
        <v>343</v>
      </c>
      <c r="E148" s="989" t="s">
        <v>1926</v>
      </c>
      <c r="F148" s="990">
        <v>0</v>
      </c>
      <c r="G148" s="990">
        <v>0</v>
      </c>
      <c r="H148" s="990">
        <v>196218.1</v>
      </c>
      <c r="I148" s="990">
        <v>0</v>
      </c>
      <c r="J148" s="990">
        <v>2172398.2000000002</v>
      </c>
      <c r="K148" s="990">
        <v>0</v>
      </c>
      <c r="L148" s="990">
        <v>0</v>
      </c>
      <c r="M148" s="990">
        <v>0</v>
      </c>
      <c r="N148" s="994">
        <v>0</v>
      </c>
      <c r="O148" s="994">
        <v>0</v>
      </c>
      <c r="P148" s="990">
        <v>2368616.2999999998</v>
      </c>
      <c r="Q148" s="990">
        <v>0</v>
      </c>
      <c r="R148" s="991">
        <v>2368616.2999999998</v>
      </c>
      <c r="S148" s="992">
        <v>0</v>
      </c>
    </row>
    <row r="149" spans="1:19" ht="33.75" x14ac:dyDescent="0.25">
      <c r="A149" s="989" t="s">
        <v>4956</v>
      </c>
      <c r="B149" s="989" t="s">
        <v>1746</v>
      </c>
      <c r="C149" s="989" t="s">
        <v>1736</v>
      </c>
      <c r="D149" s="989" t="s">
        <v>249</v>
      </c>
      <c r="E149" s="989" t="s">
        <v>1927</v>
      </c>
      <c r="F149" s="990">
        <v>0</v>
      </c>
      <c r="G149" s="990">
        <v>0</v>
      </c>
      <c r="H149" s="990">
        <v>0</v>
      </c>
      <c r="I149" s="990">
        <v>0</v>
      </c>
      <c r="J149" s="990">
        <v>15763998</v>
      </c>
      <c r="K149" s="990">
        <v>35543.919999999998</v>
      </c>
      <c r="L149" s="990">
        <v>0</v>
      </c>
      <c r="M149" s="990">
        <v>0</v>
      </c>
      <c r="N149" s="994">
        <v>0</v>
      </c>
      <c r="O149" s="994">
        <v>0</v>
      </c>
      <c r="P149" s="990">
        <v>15763998</v>
      </c>
      <c r="Q149" s="990">
        <v>35543.919999999998</v>
      </c>
      <c r="R149" s="991">
        <v>15763998</v>
      </c>
      <c r="S149" s="992">
        <v>35543.919999999998</v>
      </c>
    </row>
    <row r="150" spans="1:19" ht="45" x14ac:dyDescent="0.25">
      <c r="A150" s="989" t="s">
        <v>4956</v>
      </c>
      <c r="B150" s="989" t="s">
        <v>1746</v>
      </c>
      <c r="C150" s="989" t="s">
        <v>1726</v>
      </c>
      <c r="D150" s="989" t="s">
        <v>257</v>
      </c>
      <c r="E150" s="989" t="s">
        <v>1928</v>
      </c>
      <c r="F150" s="990">
        <v>10382361</v>
      </c>
      <c r="G150" s="990">
        <v>35398</v>
      </c>
      <c r="H150" s="990">
        <v>0</v>
      </c>
      <c r="I150" s="990">
        <v>0</v>
      </c>
      <c r="J150" s="990">
        <v>73065642</v>
      </c>
      <c r="K150" s="990">
        <v>106539</v>
      </c>
      <c r="L150" s="990">
        <v>0</v>
      </c>
      <c r="M150" s="990">
        <v>0</v>
      </c>
      <c r="N150" s="994">
        <v>0</v>
      </c>
      <c r="O150" s="994">
        <v>0</v>
      </c>
      <c r="P150" s="990">
        <v>73065642</v>
      </c>
      <c r="Q150" s="990">
        <v>106539</v>
      </c>
      <c r="R150" s="991">
        <v>83448003</v>
      </c>
      <c r="S150" s="992">
        <v>141937</v>
      </c>
    </row>
    <row r="151" spans="1:19" ht="45" x14ac:dyDescent="0.25">
      <c r="A151" s="989" t="s">
        <v>4956</v>
      </c>
      <c r="B151" s="989" t="s">
        <v>1746</v>
      </c>
      <c r="C151" s="989" t="s">
        <v>1726</v>
      </c>
      <c r="D151" s="989" t="s">
        <v>281</v>
      </c>
      <c r="E151" s="989" t="s">
        <v>1929</v>
      </c>
      <c r="F151" s="990">
        <v>24512431</v>
      </c>
      <c r="G151" s="990">
        <v>73235</v>
      </c>
      <c r="H151" s="990">
        <v>6452367</v>
      </c>
      <c r="I151" s="990">
        <v>25763</v>
      </c>
      <c r="J151" s="990">
        <v>67103998</v>
      </c>
      <c r="K151" s="990">
        <v>263974</v>
      </c>
      <c r="L151" s="990">
        <v>0</v>
      </c>
      <c r="M151" s="990">
        <v>0</v>
      </c>
      <c r="N151" s="994">
        <v>0</v>
      </c>
      <c r="O151" s="994">
        <v>0</v>
      </c>
      <c r="P151" s="990">
        <v>73556365</v>
      </c>
      <c r="Q151" s="990">
        <v>289737</v>
      </c>
      <c r="R151" s="991">
        <v>98068796</v>
      </c>
      <c r="S151" s="992">
        <v>362972</v>
      </c>
    </row>
    <row r="152" spans="1:19" ht="22.5" x14ac:dyDescent="0.25">
      <c r="A152" s="989" t="s">
        <v>4956</v>
      </c>
      <c r="B152" s="989" t="s">
        <v>1746</v>
      </c>
      <c r="C152" s="989" t="s">
        <v>297</v>
      </c>
      <c r="D152" s="989" t="s">
        <v>297</v>
      </c>
      <c r="E152" s="989" t="s">
        <v>1930</v>
      </c>
      <c r="F152" s="990">
        <v>9342122</v>
      </c>
      <c r="G152" s="990">
        <v>0</v>
      </c>
      <c r="H152" s="990">
        <v>38817828</v>
      </c>
      <c r="I152" s="990">
        <v>25763.26</v>
      </c>
      <c r="J152" s="990">
        <v>0</v>
      </c>
      <c r="K152" s="990">
        <v>0</v>
      </c>
      <c r="L152" s="990">
        <v>0</v>
      </c>
      <c r="M152" s="990">
        <v>0</v>
      </c>
      <c r="N152" s="994">
        <v>0</v>
      </c>
      <c r="O152" s="994">
        <v>0</v>
      </c>
      <c r="P152" s="990">
        <v>38817828</v>
      </c>
      <c r="Q152" s="990">
        <v>25763.26</v>
      </c>
      <c r="R152" s="991">
        <v>48159950</v>
      </c>
      <c r="S152" s="992">
        <v>25763.26</v>
      </c>
    </row>
    <row r="153" spans="1:19" ht="22.5" x14ac:dyDescent="0.25">
      <c r="A153" s="989" t="s">
        <v>4956</v>
      </c>
      <c r="B153" s="989" t="s">
        <v>1746</v>
      </c>
      <c r="C153" s="989" t="s">
        <v>1732</v>
      </c>
      <c r="D153" s="989" t="s">
        <v>306</v>
      </c>
      <c r="E153" s="989" t="s">
        <v>1931</v>
      </c>
      <c r="F153" s="990">
        <v>0</v>
      </c>
      <c r="G153" s="990">
        <v>0</v>
      </c>
      <c r="H153" s="990">
        <v>0</v>
      </c>
      <c r="I153" s="990">
        <v>0</v>
      </c>
      <c r="J153" s="990">
        <v>98164749</v>
      </c>
      <c r="K153" s="990">
        <v>90925</v>
      </c>
      <c r="L153" s="990">
        <v>0</v>
      </c>
      <c r="M153" s="990">
        <v>0</v>
      </c>
      <c r="N153" s="994">
        <v>0</v>
      </c>
      <c r="O153" s="994">
        <v>0</v>
      </c>
      <c r="P153" s="990">
        <v>98164749</v>
      </c>
      <c r="Q153" s="990">
        <v>90925</v>
      </c>
      <c r="R153" s="991">
        <v>98164749</v>
      </c>
      <c r="S153" s="992">
        <v>90925</v>
      </c>
    </row>
    <row r="154" spans="1:19" ht="22.5" x14ac:dyDescent="0.25">
      <c r="A154" s="989" t="s">
        <v>4956</v>
      </c>
      <c r="B154" s="989" t="s">
        <v>1746</v>
      </c>
      <c r="C154" s="989" t="s">
        <v>4976</v>
      </c>
      <c r="D154" s="989" t="s">
        <v>4976</v>
      </c>
      <c r="E154" s="989" t="s">
        <v>5021</v>
      </c>
      <c r="F154" s="990">
        <v>0</v>
      </c>
      <c r="G154" s="990">
        <v>0</v>
      </c>
      <c r="H154" s="990">
        <v>0</v>
      </c>
      <c r="I154" s="990">
        <v>0</v>
      </c>
      <c r="J154" s="990">
        <v>0</v>
      </c>
      <c r="K154" s="990">
        <v>0</v>
      </c>
      <c r="L154" s="990">
        <v>0</v>
      </c>
      <c r="M154" s="990">
        <v>0</v>
      </c>
      <c r="N154" s="994">
        <v>108673768</v>
      </c>
      <c r="O154" s="994">
        <v>247265.734375</v>
      </c>
      <c r="P154" s="990">
        <v>0</v>
      </c>
      <c r="Q154" s="990">
        <v>0</v>
      </c>
      <c r="R154" s="991">
        <v>0</v>
      </c>
      <c r="S154" s="992">
        <v>0</v>
      </c>
    </row>
    <row r="155" spans="1:19" ht="22.5" x14ac:dyDescent="0.25">
      <c r="A155" s="989" t="s">
        <v>4956</v>
      </c>
      <c r="B155" s="989" t="s">
        <v>1746</v>
      </c>
      <c r="C155" s="989" t="s">
        <v>316</v>
      </c>
      <c r="D155" s="989" t="s">
        <v>316</v>
      </c>
      <c r="E155" s="989" t="s">
        <v>1932</v>
      </c>
      <c r="F155" s="990">
        <v>8028187</v>
      </c>
      <c r="G155" s="990">
        <v>0</v>
      </c>
      <c r="H155" s="990">
        <v>123964663</v>
      </c>
      <c r="I155" s="990">
        <v>0</v>
      </c>
      <c r="J155" s="990">
        <v>0</v>
      </c>
      <c r="K155" s="990">
        <v>0</v>
      </c>
      <c r="L155" s="990">
        <v>0</v>
      </c>
      <c r="M155" s="990">
        <v>0</v>
      </c>
      <c r="N155" s="994">
        <v>0</v>
      </c>
      <c r="O155" s="994">
        <v>0</v>
      </c>
      <c r="P155" s="990">
        <v>123964663</v>
      </c>
      <c r="Q155" s="990">
        <v>0</v>
      </c>
      <c r="R155" s="991">
        <v>131992850</v>
      </c>
      <c r="S155" s="992">
        <v>0</v>
      </c>
    </row>
    <row r="156" spans="1:19" ht="33.75" x14ac:dyDescent="0.25">
      <c r="A156" s="989" t="s">
        <v>4956</v>
      </c>
      <c r="B156" s="989" t="s">
        <v>1746</v>
      </c>
      <c r="C156" s="989" t="s">
        <v>1733</v>
      </c>
      <c r="D156" s="989" t="s">
        <v>325</v>
      </c>
      <c r="E156" s="989" t="s">
        <v>1933</v>
      </c>
      <c r="F156" s="990">
        <v>40738</v>
      </c>
      <c r="G156" s="990">
        <v>0</v>
      </c>
      <c r="H156" s="990">
        <v>177251</v>
      </c>
      <c r="I156" s="990">
        <v>0</v>
      </c>
      <c r="J156" s="990">
        <v>0</v>
      </c>
      <c r="K156" s="990">
        <v>0</v>
      </c>
      <c r="L156" s="990">
        <v>0</v>
      </c>
      <c r="M156" s="990">
        <v>0</v>
      </c>
      <c r="N156" s="994">
        <v>0</v>
      </c>
      <c r="O156" s="994">
        <v>0</v>
      </c>
      <c r="P156" s="990">
        <v>177251</v>
      </c>
      <c r="Q156" s="990">
        <v>0</v>
      </c>
      <c r="R156" s="991">
        <v>217989</v>
      </c>
      <c r="S156" s="992">
        <v>0</v>
      </c>
    </row>
    <row r="157" spans="1:19" ht="22.5" x14ac:dyDescent="0.25">
      <c r="A157" s="989" t="s">
        <v>4956</v>
      </c>
      <c r="B157" s="989" t="s">
        <v>1746</v>
      </c>
      <c r="C157" s="989" t="s">
        <v>1730</v>
      </c>
      <c r="D157" s="989" t="s">
        <v>341</v>
      </c>
      <c r="E157" s="989" t="s">
        <v>1934</v>
      </c>
      <c r="F157" s="990">
        <v>306591</v>
      </c>
      <c r="G157" s="990">
        <v>831</v>
      </c>
      <c r="H157" s="990">
        <v>640446</v>
      </c>
      <c r="I157" s="990">
        <v>1742.45</v>
      </c>
      <c r="J157" s="990">
        <v>977934</v>
      </c>
      <c r="K157" s="990">
        <v>5230</v>
      </c>
      <c r="L157" s="990">
        <v>0</v>
      </c>
      <c r="M157" s="990">
        <v>0</v>
      </c>
      <c r="N157" s="994">
        <v>0</v>
      </c>
      <c r="O157" s="994">
        <v>0</v>
      </c>
      <c r="P157" s="990">
        <v>1618380</v>
      </c>
      <c r="Q157" s="990">
        <v>6972.45</v>
      </c>
      <c r="R157" s="991">
        <v>1924971</v>
      </c>
      <c r="S157" s="992">
        <v>7803.45</v>
      </c>
    </row>
    <row r="158" spans="1:19" ht="33.75" x14ac:dyDescent="0.25">
      <c r="A158" s="989" t="s">
        <v>4956</v>
      </c>
      <c r="B158" s="989" t="s">
        <v>1746</v>
      </c>
      <c r="C158" s="989" t="s">
        <v>1734</v>
      </c>
      <c r="D158" s="989" t="s">
        <v>343</v>
      </c>
      <c r="E158" s="989" t="s">
        <v>1935</v>
      </c>
      <c r="F158" s="990">
        <v>51682</v>
      </c>
      <c r="G158" s="990">
        <v>0</v>
      </c>
      <c r="H158" s="990">
        <v>449327</v>
      </c>
      <c r="I158" s="990">
        <v>0</v>
      </c>
      <c r="J158" s="990">
        <v>0</v>
      </c>
      <c r="K158" s="990">
        <v>0</v>
      </c>
      <c r="L158" s="990">
        <v>0</v>
      </c>
      <c r="M158" s="990">
        <v>0</v>
      </c>
      <c r="N158" s="994">
        <v>0</v>
      </c>
      <c r="O158" s="994">
        <v>0</v>
      </c>
      <c r="P158" s="990">
        <v>449327</v>
      </c>
      <c r="Q158" s="990">
        <v>0</v>
      </c>
      <c r="R158" s="991">
        <v>501009</v>
      </c>
      <c r="S158" s="992">
        <v>0</v>
      </c>
    </row>
    <row r="159" spans="1:19" ht="45" x14ac:dyDescent="0.25">
      <c r="A159" s="989" t="s">
        <v>4956</v>
      </c>
      <c r="B159" s="989" t="s">
        <v>1747</v>
      </c>
      <c r="C159" s="989" t="s">
        <v>1726</v>
      </c>
      <c r="D159" s="989" t="s">
        <v>277</v>
      </c>
      <c r="E159" s="989" t="s">
        <v>1936</v>
      </c>
      <c r="F159" s="990">
        <v>5693967.0999999996</v>
      </c>
      <c r="G159" s="990">
        <v>14739</v>
      </c>
      <c r="H159" s="990">
        <v>1014144.5</v>
      </c>
      <c r="I159" s="990">
        <v>2791.9</v>
      </c>
      <c r="J159" s="990">
        <v>8686025.4000000004</v>
      </c>
      <c r="K159" s="990">
        <v>21742.1</v>
      </c>
      <c r="L159" s="990">
        <v>0</v>
      </c>
      <c r="M159" s="990">
        <v>0</v>
      </c>
      <c r="N159" s="994">
        <v>0</v>
      </c>
      <c r="O159" s="994">
        <v>0</v>
      </c>
      <c r="P159" s="990">
        <v>9700169.9000000004</v>
      </c>
      <c r="Q159" s="990">
        <v>24534</v>
      </c>
      <c r="R159" s="991">
        <v>15394137</v>
      </c>
      <c r="S159" s="992">
        <v>39273</v>
      </c>
    </row>
    <row r="160" spans="1:19" ht="33.75" x14ac:dyDescent="0.25">
      <c r="A160" s="989" t="s">
        <v>4956</v>
      </c>
      <c r="B160" s="989" t="s">
        <v>1747</v>
      </c>
      <c r="C160" s="989" t="s">
        <v>297</v>
      </c>
      <c r="D160" s="989" t="s">
        <v>297</v>
      </c>
      <c r="E160" s="989" t="s">
        <v>1937</v>
      </c>
      <c r="F160" s="990">
        <v>1560743.9</v>
      </c>
      <c r="G160" s="990">
        <v>0</v>
      </c>
      <c r="H160" s="990">
        <v>8319611.4000000004</v>
      </c>
      <c r="I160" s="990">
        <v>0</v>
      </c>
      <c r="J160" s="990">
        <v>0</v>
      </c>
      <c r="K160" s="990">
        <v>0</v>
      </c>
      <c r="L160" s="990">
        <v>0</v>
      </c>
      <c r="M160" s="990">
        <v>0</v>
      </c>
      <c r="N160" s="994">
        <v>0</v>
      </c>
      <c r="O160" s="994">
        <v>0</v>
      </c>
      <c r="P160" s="990">
        <v>8319611.4000000004</v>
      </c>
      <c r="Q160" s="990">
        <v>0</v>
      </c>
      <c r="R160" s="991">
        <v>9880355.3000000007</v>
      </c>
      <c r="S160" s="992">
        <v>0</v>
      </c>
    </row>
    <row r="161" spans="1:19" ht="33.75" x14ac:dyDescent="0.25">
      <c r="A161" s="989" t="s">
        <v>4956</v>
      </c>
      <c r="B161" s="989" t="s">
        <v>1747</v>
      </c>
      <c r="C161" s="989" t="s">
        <v>4976</v>
      </c>
      <c r="D161" s="989" t="s">
        <v>4976</v>
      </c>
      <c r="E161" s="989" t="s">
        <v>5022</v>
      </c>
      <c r="F161" s="990">
        <v>0</v>
      </c>
      <c r="G161" s="990">
        <v>0</v>
      </c>
      <c r="H161" s="990">
        <v>0</v>
      </c>
      <c r="I161" s="990">
        <v>0</v>
      </c>
      <c r="J161" s="990">
        <v>0</v>
      </c>
      <c r="K161" s="990">
        <v>0</v>
      </c>
      <c r="L161" s="990">
        <v>0</v>
      </c>
      <c r="M161" s="990">
        <v>0</v>
      </c>
      <c r="N161" s="994">
        <v>0</v>
      </c>
      <c r="O161" s="994">
        <v>0</v>
      </c>
      <c r="P161" s="990">
        <v>0</v>
      </c>
      <c r="Q161" s="990">
        <v>0</v>
      </c>
      <c r="R161" s="991">
        <v>0</v>
      </c>
      <c r="S161" s="992">
        <v>0</v>
      </c>
    </row>
    <row r="162" spans="1:19" ht="33.75" x14ac:dyDescent="0.25">
      <c r="A162" s="989" t="s">
        <v>4956</v>
      </c>
      <c r="B162" s="989" t="s">
        <v>1747</v>
      </c>
      <c r="C162" s="989" t="s">
        <v>316</v>
      </c>
      <c r="D162" s="989" t="s">
        <v>316</v>
      </c>
      <c r="E162" s="989" t="s">
        <v>1938</v>
      </c>
      <c r="F162" s="990">
        <v>823194.8</v>
      </c>
      <c r="G162" s="990">
        <v>0</v>
      </c>
      <c r="H162" s="990">
        <v>27931326.300000001</v>
      </c>
      <c r="I162" s="990">
        <v>0</v>
      </c>
      <c r="J162" s="990">
        <v>0</v>
      </c>
      <c r="K162" s="990">
        <v>0</v>
      </c>
      <c r="L162" s="990">
        <v>0</v>
      </c>
      <c r="M162" s="990">
        <v>0</v>
      </c>
      <c r="N162" s="994">
        <v>0</v>
      </c>
      <c r="O162" s="994">
        <v>0</v>
      </c>
      <c r="P162" s="990">
        <v>27931326.300000001</v>
      </c>
      <c r="Q162" s="990">
        <v>0</v>
      </c>
      <c r="R162" s="991">
        <v>28754521.100000001</v>
      </c>
      <c r="S162" s="992">
        <v>0</v>
      </c>
    </row>
    <row r="163" spans="1:19" ht="33.75" x14ac:dyDescent="0.25">
      <c r="A163" s="989" t="s">
        <v>4956</v>
      </c>
      <c r="B163" s="989" t="s">
        <v>1747</v>
      </c>
      <c r="C163" s="989" t="s">
        <v>1733</v>
      </c>
      <c r="D163" s="989" t="s">
        <v>325</v>
      </c>
      <c r="E163" s="989" t="s">
        <v>1939</v>
      </c>
      <c r="F163" s="990">
        <v>0</v>
      </c>
      <c r="G163" s="990">
        <v>0</v>
      </c>
      <c r="H163" s="990">
        <v>24286</v>
      </c>
      <c r="I163" s="990">
        <v>0</v>
      </c>
      <c r="J163" s="990">
        <v>0</v>
      </c>
      <c r="K163" s="990">
        <v>0</v>
      </c>
      <c r="L163" s="990">
        <v>0</v>
      </c>
      <c r="M163" s="990">
        <v>0</v>
      </c>
      <c r="N163" s="994">
        <v>0</v>
      </c>
      <c r="O163" s="994">
        <v>0</v>
      </c>
      <c r="P163" s="990">
        <v>24286</v>
      </c>
      <c r="Q163" s="990">
        <v>0</v>
      </c>
      <c r="R163" s="991">
        <v>24286</v>
      </c>
      <c r="S163" s="992">
        <v>0</v>
      </c>
    </row>
    <row r="164" spans="1:19" ht="33.75" x14ac:dyDescent="0.25">
      <c r="A164" s="989" t="s">
        <v>4956</v>
      </c>
      <c r="B164" s="989" t="s">
        <v>1747</v>
      </c>
      <c r="C164" s="989" t="s">
        <v>1730</v>
      </c>
      <c r="D164" s="989" t="s">
        <v>341</v>
      </c>
      <c r="E164" s="989" t="s">
        <v>1940</v>
      </c>
      <c r="F164" s="990">
        <v>170857.5</v>
      </c>
      <c r="G164" s="990">
        <v>0</v>
      </c>
      <c r="H164" s="990">
        <v>0</v>
      </c>
      <c r="I164" s="990">
        <v>0</v>
      </c>
      <c r="J164" s="990">
        <v>169222.5</v>
      </c>
      <c r="K164" s="990">
        <v>0</v>
      </c>
      <c r="L164" s="990">
        <v>0</v>
      </c>
      <c r="M164" s="990">
        <v>0</v>
      </c>
      <c r="N164" s="994">
        <v>0</v>
      </c>
      <c r="O164" s="994">
        <v>0</v>
      </c>
      <c r="P164" s="990">
        <v>169222.5</v>
      </c>
      <c r="Q164" s="990">
        <v>0</v>
      </c>
      <c r="R164" s="991">
        <v>340080</v>
      </c>
      <c r="S164" s="992">
        <v>0</v>
      </c>
    </row>
    <row r="165" spans="1:19" ht="33.75" x14ac:dyDescent="0.25">
      <c r="A165" s="989" t="s">
        <v>4956</v>
      </c>
      <c r="B165" s="989" t="s">
        <v>1747</v>
      </c>
      <c r="C165" s="989" t="s">
        <v>1734</v>
      </c>
      <c r="D165" s="989" t="s">
        <v>343</v>
      </c>
      <c r="E165" s="989" t="s">
        <v>1941</v>
      </c>
      <c r="F165" s="990">
        <v>10735.1</v>
      </c>
      <c r="G165" s="990">
        <v>0</v>
      </c>
      <c r="H165" s="990">
        <v>112568.5</v>
      </c>
      <c r="I165" s="990">
        <v>0</v>
      </c>
      <c r="J165" s="990">
        <v>0</v>
      </c>
      <c r="K165" s="990">
        <v>0</v>
      </c>
      <c r="L165" s="990">
        <v>0</v>
      </c>
      <c r="M165" s="990">
        <v>0</v>
      </c>
      <c r="N165" s="994">
        <v>0</v>
      </c>
      <c r="O165" s="994">
        <v>0</v>
      </c>
      <c r="P165" s="990">
        <v>112568.5</v>
      </c>
      <c r="Q165" s="990">
        <v>0</v>
      </c>
      <c r="R165" s="991">
        <v>123303.6</v>
      </c>
      <c r="S165" s="992">
        <v>0</v>
      </c>
    </row>
    <row r="166" spans="1:19" ht="45" x14ac:dyDescent="0.25">
      <c r="A166" s="989" t="s">
        <v>4956</v>
      </c>
      <c r="B166" s="989" t="s">
        <v>2371</v>
      </c>
      <c r="C166" s="989" t="s">
        <v>1726</v>
      </c>
      <c r="D166" s="989" t="s">
        <v>263</v>
      </c>
      <c r="E166" s="989" t="s">
        <v>2372</v>
      </c>
      <c r="F166" s="990">
        <v>0</v>
      </c>
      <c r="G166" s="990">
        <v>0</v>
      </c>
      <c r="H166" s="990">
        <v>0</v>
      </c>
      <c r="I166" s="990">
        <v>0</v>
      </c>
      <c r="J166" s="990">
        <v>0</v>
      </c>
      <c r="K166" s="990">
        <v>0</v>
      </c>
      <c r="L166" s="990">
        <v>0</v>
      </c>
      <c r="M166" s="990">
        <v>0</v>
      </c>
      <c r="N166" s="994">
        <v>0</v>
      </c>
      <c r="O166" s="994">
        <v>0</v>
      </c>
      <c r="P166" s="990">
        <v>0</v>
      </c>
      <c r="Q166" s="990">
        <v>0</v>
      </c>
      <c r="R166" s="991">
        <v>0</v>
      </c>
      <c r="S166" s="992">
        <v>0</v>
      </c>
    </row>
    <row r="167" spans="1:19" ht="45" x14ac:dyDescent="0.25">
      <c r="A167" s="989" t="s">
        <v>4956</v>
      </c>
      <c r="B167" s="989" t="s">
        <v>2371</v>
      </c>
      <c r="C167" s="989" t="s">
        <v>1726</v>
      </c>
      <c r="D167" s="989" t="s">
        <v>272</v>
      </c>
      <c r="E167" s="989" t="s">
        <v>2373</v>
      </c>
      <c r="F167" s="990">
        <v>41850679.280000001</v>
      </c>
      <c r="G167" s="990">
        <v>118038</v>
      </c>
      <c r="H167" s="990">
        <v>19079067.09</v>
      </c>
      <c r="I167" s="990">
        <v>55708.78</v>
      </c>
      <c r="J167" s="990">
        <v>109507599.48999999</v>
      </c>
      <c r="K167" s="990">
        <v>319750.18</v>
      </c>
      <c r="L167" s="990">
        <v>10695833</v>
      </c>
      <c r="M167" s="990">
        <v>20658.140625</v>
      </c>
      <c r="N167" s="994">
        <v>0</v>
      </c>
      <c r="O167" s="994">
        <v>0</v>
      </c>
      <c r="P167" s="990">
        <v>139282499.47</v>
      </c>
      <c r="Q167" s="990">
        <v>396117.1</v>
      </c>
      <c r="R167" s="991">
        <v>181133178.75</v>
      </c>
      <c r="S167" s="992">
        <v>514156.06</v>
      </c>
    </row>
    <row r="168" spans="1:19" ht="22.5" x14ac:dyDescent="0.25">
      <c r="A168" s="989" t="s">
        <v>4956</v>
      </c>
      <c r="B168" s="989" t="s">
        <v>2371</v>
      </c>
      <c r="C168" s="989" t="s">
        <v>297</v>
      </c>
      <c r="D168" s="989" t="s">
        <v>297</v>
      </c>
      <c r="E168" s="989" t="s">
        <v>2374</v>
      </c>
      <c r="F168" s="990">
        <v>15783682.16</v>
      </c>
      <c r="G168" s="990">
        <v>44756</v>
      </c>
      <c r="H168" s="990">
        <v>47322692.450000003</v>
      </c>
      <c r="I168" s="990">
        <v>0</v>
      </c>
      <c r="J168" s="990">
        <v>1368897.17</v>
      </c>
      <c r="K168" s="990">
        <v>0</v>
      </c>
      <c r="L168" s="990">
        <v>0</v>
      </c>
      <c r="M168" s="990">
        <v>0</v>
      </c>
      <c r="N168" s="994">
        <v>0</v>
      </c>
      <c r="O168" s="994">
        <v>0</v>
      </c>
      <c r="P168" s="990">
        <v>48691589.619999997</v>
      </c>
      <c r="Q168" s="990">
        <v>0</v>
      </c>
      <c r="R168" s="991">
        <v>64475271.780000001</v>
      </c>
      <c r="S168" s="992">
        <v>44756.17</v>
      </c>
    </row>
    <row r="169" spans="1:19" ht="22.5" x14ac:dyDescent="0.25">
      <c r="A169" s="989" t="s">
        <v>4956</v>
      </c>
      <c r="B169" s="989" t="s">
        <v>2371</v>
      </c>
      <c r="C169" s="989" t="s">
        <v>4976</v>
      </c>
      <c r="D169" s="989" t="s">
        <v>4976</v>
      </c>
      <c r="E169" s="989" t="s">
        <v>5023</v>
      </c>
      <c r="F169" s="990">
        <v>0</v>
      </c>
      <c r="G169" s="990">
        <v>0</v>
      </c>
      <c r="H169" s="990">
        <v>0</v>
      </c>
      <c r="I169" s="990">
        <v>0</v>
      </c>
      <c r="J169" s="990">
        <v>0</v>
      </c>
      <c r="K169" s="990">
        <v>0</v>
      </c>
      <c r="L169" s="990">
        <v>0</v>
      </c>
      <c r="M169" s="990">
        <v>0</v>
      </c>
      <c r="N169" s="994">
        <v>4507656</v>
      </c>
      <c r="O169" s="994">
        <v>12525.0400390625</v>
      </c>
      <c r="P169" s="990">
        <v>0</v>
      </c>
      <c r="Q169" s="990">
        <v>0</v>
      </c>
      <c r="R169" s="991">
        <v>0</v>
      </c>
      <c r="S169" s="992">
        <v>0</v>
      </c>
    </row>
    <row r="170" spans="1:19" ht="22.5" x14ac:dyDescent="0.25">
      <c r="A170" s="989" t="s">
        <v>4956</v>
      </c>
      <c r="B170" s="989" t="s">
        <v>2371</v>
      </c>
      <c r="C170" s="989" t="s">
        <v>316</v>
      </c>
      <c r="D170" s="989" t="s">
        <v>316</v>
      </c>
      <c r="E170" s="989" t="s">
        <v>2375</v>
      </c>
      <c r="F170" s="990">
        <v>8729963.2200000007</v>
      </c>
      <c r="G170" s="990">
        <v>0</v>
      </c>
      <c r="H170" s="990">
        <v>231718084.33000001</v>
      </c>
      <c r="I170" s="990">
        <v>0</v>
      </c>
      <c r="J170" s="990">
        <v>0</v>
      </c>
      <c r="K170" s="990">
        <v>0</v>
      </c>
      <c r="L170" s="990">
        <v>0</v>
      </c>
      <c r="M170" s="990">
        <v>0</v>
      </c>
      <c r="N170" s="994">
        <v>0</v>
      </c>
      <c r="O170" s="994">
        <v>0</v>
      </c>
      <c r="P170" s="990">
        <v>231718084.33000001</v>
      </c>
      <c r="Q170" s="990">
        <v>0</v>
      </c>
      <c r="R170" s="991">
        <v>240448047.55000001</v>
      </c>
      <c r="S170" s="992">
        <v>0</v>
      </c>
    </row>
    <row r="171" spans="1:19" ht="33.75" x14ac:dyDescent="0.25">
      <c r="A171" s="989" t="s">
        <v>4956</v>
      </c>
      <c r="B171" s="989" t="s">
        <v>2371</v>
      </c>
      <c r="C171" s="989" t="s">
        <v>1733</v>
      </c>
      <c r="D171" s="989" t="s">
        <v>325</v>
      </c>
      <c r="E171" s="989" t="s">
        <v>2376</v>
      </c>
      <c r="F171" s="990">
        <v>26037.09</v>
      </c>
      <c r="G171" s="990">
        <v>0</v>
      </c>
      <c r="H171" s="990">
        <v>304518.67</v>
      </c>
      <c r="I171" s="990">
        <v>807.57</v>
      </c>
      <c r="J171" s="990">
        <v>0</v>
      </c>
      <c r="K171" s="990">
        <v>0</v>
      </c>
      <c r="L171" s="990">
        <v>0</v>
      </c>
      <c r="M171" s="990">
        <v>0</v>
      </c>
      <c r="N171" s="994">
        <v>0</v>
      </c>
      <c r="O171" s="994">
        <v>0</v>
      </c>
      <c r="P171" s="990">
        <v>304518.67</v>
      </c>
      <c r="Q171" s="990">
        <v>807.57</v>
      </c>
      <c r="R171" s="991">
        <v>330555.76</v>
      </c>
      <c r="S171" s="992">
        <v>807.57</v>
      </c>
    </row>
    <row r="172" spans="1:19" ht="22.5" x14ac:dyDescent="0.25">
      <c r="A172" s="989" t="s">
        <v>4956</v>
      </c>
      <c r="B172" s="989" t="s">
        <v>2371</v>
      </c>
      <c r="C172" s="989" t="s">
        <v>1730</v>
      </c>
      <c r="D172" s="989" t="s">
        <v>341</v>
      </c>
      <c r="E172" s="989" t="s">
        <v>2377</v>
      </c>
      <c r="F172" s="990">
        <v>2064725.37</v>
      </c>
      <c r="G172" s="990">
        <v>6265</v>
      </c>
      <c r="H172" s="990">
        <v>0</v>
      </c>
      <c r="I172" s="990">
        <v>0</v>
      </c>
      <c r="J172" s="990">
        <v>806203.89</v>
      </c>
      <c r="K172" s="990">
        <v>2654.86</v>
      </c>
      <c r="L172" s="990">
        <v>0</v>
      </c>
      <c r="M172" s="990">
        <v>0</v>
      </c>
      <c r="N172" s="994">
        <v>0</v>
      </c>
      <c r="O172" s="994">
        <v>0</v>
      </c>
      <c r="P172" s="990">
        <v>806203.89</v>
      </c>
      <c r="Q172" s="990">
        <v>2654.86</v>
      </c>
      <c r="R172" s="991">
        <v>2870929.26</v>
      </c>
      <c r="S172" s="992">
        <v>8920.58</v>
      </c>
    </row>
    <row r="173" spans="1:19" ht="33.75" x14ac:dyDescent="0.25">
      <c r="A173" s="989" t="s">
        <v>4956</v>
      </c>
      <c r="B173" s="989" t="s">
        <v>2371</v>
      </c>
      <c r="C173" s="989" t="s">
        <v>1734</v>
      </c>
      <c r="D173" s="989" t="s">
        <v>343</v>
      </c>
      <c r="E173" s="989" t="s">
        <v>2378</v>
      </c>
      <c r="F173" s="990">
        <v>458495.98</v>
      </c>
      <c r="G173" s="990">
        <v>0</v>
      </c>
      <c r="H173" s="990">
        <v>1220271.53</v>
      </c>
      <c r="I173" s="990">
        <v>0</v>
      </c>
      <c r="J173" s="990">
        <v>0</v>
      </c>
      <c r="K173" s="990">
        <v>0</v>
      </c>
      <c r="L173" s="990">
        <v>0</v>
      </c>
      <c r="M173" s="990">
        <v>0</v>
      </c>
      <c r="N173" s="994">
        <v>0</v>
      </c>
      <c r="O173" s="994">
        <v>0</v>
      </c>
      <c r="P173" s="990">
        <v>1220271.53</v>
      </c>
      <c r="Q173" s="990">
        <v>0</v>
      </c>
      <c r="R173" s="991">
        <v>1678767.51</v>
      </c>
      <c r="S173" s="992">
        <v>0</v>
      </c>
    </row>
    <row r="174" spans="1:19" ht="45" x14ac:dyDescent="0.25">
      <c r="A174" s="989" t="s">
        <v>4956</v>
      </c>
      <c r="B174" s="989" t="s">
        <v>1748</v>
      </c>
      <c r="C174" s="989" t="s">
        <v>1726</v>
      </c>
      <c r="D174" s="989" t="s">
        <v>277</v>
      </c>
      <c r="E174" s="989" t="s">
        <v>1942</v>
      </c>
      <c r="F174" s="990">
        <v>78658495.170000002</v>
      </c>
      <c r="G174" s="990">
        <v>239961</v>
      </c>
      <c r="H174" s="990">
        <v>17485327.32</v>
      </c>
      <c r="I174" s="990">
        <v>53837.599999999999</v>
      </c>
      <c r="J174" s="990">
        <v>269483635.88</v>
      </c>
      <c r="K174" s="990">
        <v>601038.38</v>
      </c>
      <c r="L174" s="990">
        <v>3139758</v>
      </c>
      <c r="M174" s="990">
        <v>5723.72021484375</v>
      </c>
      <c r="N174" s="994">
        <v>0</v>
      </c>
      <c r="O174" s="994">
        <v>0</v>
      </c>
      <c r="P174" s="990">
        <v>290108721.31999999</v>
      </c>
      <c r="Q174" s="990">
        <v>660599.69999999995</v>
      </c>
      <c r="R174" s="991">
        <v>368767216.49000001</v>
      </c>
      <c r="S174" s="992">
        <v>900560.93</v>
      </c>
    </row>
    <row r="175" spans="1:19" ht="22.5" x14ac:dyDescent="0.25">
      <c r="A175" s="989" t="s">
        <v>4956</v>
      </c>
      <c r="B175" s="989" t="s">
        <v>1748</v>
      </c>
      <c r="C175" s="989" t="s">
        <v>297</v>
      </c>
      <c r="D175" s="989" t="s">
        <v>297</v>
      </c>
      <c r="E175" s="989" t="s">
        <v>1943</v>
      </c>
      <c r="F175" s="990">
        <v>15019090.539999999</v>
      </c>
      <c r="G175" s="990">
        <v>0</v>
      </c>
      <c r="H175" s="990">
        <v>47098078.539999999</v>
      </c>
      <c r="I175" s="990">
        <v>0</v>
      </c>
      <c r="J175" s="990">
        <v>0</v>
      </c>
      <c r="K175" s="990">
        <v>0</v>
      </c>
      <c r="L175" s="990">
        <v>0</v>
      </c>
      <c r="M175" s="990">
        <v>0</v>
      </c>
      <c r="N175" s="994">
        <v>0</v>
      </c>
      <c r="O175" s="994">
        <v>0</v>
      </c>
      <c r="P175" s="990">
        <v>47098078.539999999</v>
      </c>
      <c r="Q175" s="990">
        <v>0</v>
      </c>
      <c r="R175" s="991">
        <v>62117169.079999998</v>
      </c>
      <c r="S175" s="992">
        <v>0</v>
      </c>
    </row>
    <row r="176" spans="1:19" ht="22.5" x14ac:dyDescent="0.25">
      <c r="A176" s="989" t="s">
        <v>4956</v>
      </c>
      <c r="B176" s="989" t="s">
        <v>1748</v>
      </c>
      <c r="C176" s="989" t="s">
        <v>1732</v>
      </c>
      <c r="D176" s="989" t="s">
        <v>306</v>
      </c>
      <c r="E176" s="989" t="s">
        <v>1944</v>
      </c>
      <c r="F176" s="990">
        <v>24407204.23</v>
      </c>
      <c r="G176" s="990">
        <v>36858</v>
      </c>
      <c r="H176" s="990">
        <v>0</v>
      </c>
      <c r="I176" s="990">
        <v>0</v>
      </c>
      <c r="J176" s="990">
        <v>0</v>
      </c>
      <c r="K176" s="990">
        <v>0</v>
      </c>
      <c r="L176" s="990">
        <v>0</v>
      </c>
      <c r="M176" s="990">
        <v>0</v>
      </c>
      <c r="N176" s="994">
        <v>0</v>
      </c>
      <c r="O176" s="994">
        <v>0</v>
      </c>
      <c r="P176" s="990">
        <v>0</v>
      </c>
      <c r="Q176" s="990">
        <v>0</v>
      </c>
      <c r="R176" s="991">
        <v>24407204.23</v>
      </c>
      <c r="S176" s="992">
        <v>36858.239999999998</v>
      </c>
    </row>
    <row r="177" spans="1:19" ht="22.5" x14ac:dyDescent="0.25">
      <c r="A177" s="989" t="s">
        <v>4956</v>
      </c>
      <c r="B177" s="989" t="s">
        <v>1748</v>
      </c>
      <c r="C177" s="989" t="s">
        <v>4976</v>
      </c>
      <c r="D177" s="989" t="s">
        <v>4976</v>
      </c>
      <c r="E177" s="989" t="s">
        <v>5024</v>
      </c>
      <c r="F177" s="990">
        <v>0</v>
      </c>
      <c r="G177" s="990">
        <v>0</v>
      </c>
      <c r="H177" s="990">
        <v>0</v>
      </c>
      <c r="I177" s="990">
        <v>0</v>
      </c>
      <c r="J177" s="990">
        <v>0</v>
      </c>
      <c r="K177" s="990">
        <v>0</v>
      </c>
      <c r="L177" s="990">
        <v>0</v>
      </c>
      <c r="M177" s="990">
        <v>0</v>
      </c>
      <c r="N177" s="994">
        <v>178028752</v>
      </c>
      <c r="O177" s="994">
        <v>370404.1875</v>
      </c>
      <c r="P177" s="990">
        <v>0</v>
      </c>
      <c r="Q177" s="990">
        <v>0</v>
      </c>
      <c r="R177" s="991">
        <v>0</v>
      </c>
      <c r="S177" s="992">
        <v>0</v>
      </c>
    </row>
    <row r="178" spans="1:19" ht="22.5" x14ac:dyDescent="0.25">
      <c r="A178" s="989" t="s">
        <v>4956</v>
      </c>
      <c r="B178" s="989" t="s">
        <v>1748</v>
      </c>
      <c r="C178" s="989" t="s">
        <v>316</v>
      </c>
      <c r="D178" s="989" t="s">
        <v>316</v>
      </c>
      <c r="E178" s="989" t="s">
        <v>1945</v>
      </c>
      <c r="F178" s="990">
        <v>7279988.2300000004</v>
      </c>
      <c r="G178" s="990">
        <v>0</v>
      </c>
      <c r="H178" s="990">
        <v>126785196.61</v>
      </c>
      <c r="I178" s="990">
        <v>0</v>
      </c>
      <c r="J178" s="990">
        <v>0</v>
      </c>
      <c r="K178" s="990">
        <v>0</v>
      </c>
      <c r="L178" s="990">
        <v>0</v>
      </c>
      <c r="M178" s="990">
        <v>0</v>
      </c>
      <c r="N178" s="994">
        <v>0</v>
      </c>
      <c r="O178" s="994">
        <v>0</v>
      </c>
      <c r="P178" s="990">
        <v>126785196.61</v>
      </c>
      <c r="Q178" s="990">
        <v>0</v>
      </c>
      <c r="R178" s="991">
        <v>134065184.84</v>
      </c>
      <c r="S178" s="992">
        <v>0</v>
      </c>
    </row>
    <row r="179" spans="1:19" ht="33.75" x14ac:dyDescent="0.25">
      <c r="A179" s="989" t="s">
        <v>4956</v>
      </c>
      <c r="B179" s="989" t="s">
        <v>1748</v>
      </c>
      <c r="C179" s="989" t="s">
        <v>1733</v>
      </c>
      <c r="D179" s="989" t="s">
        <v>325</v>
      </c>
      <c r="E179" s="989" t="s">
        <v>1946</v>
      </c>
      <c r="F179" s="990">
        <v>899.97</v>
      </c>
      <c r="G179" s="990">
        <v>0</v>
      </c>
      <c r="H179" s="990">
        <v>128571.96</v>
      </c>
      <c r="I179" s="990">
        <v>0</v>
      </c>
      <c r="J179" s="990">
        <v>0</v>
      </c>
      <c r="K179" s="990">
        <v>0</v>
      </c>
      <c r="L179" s="990">
        <v>0</v>
      </c>
      <c r="M179" s="990">
        <v>0</v>
      </c>
      <c r="N179" s="994">
        <v>0</v>
      </c>
      <c r="O179" s="994">
        <v>0</v>
      </c>
      <c r="P179" s="990">
        <v>128571.96</v>
      </c>
      <c r="Q179" s="990">
        <v>0</v>
      </c>
      <c r="R179" s="991">
        <v>129471.93</v>
      </c>
      <c r="S179" s="992">
        <v>0</v>
      </c>
    </row>
    <row r="180" spans="1:19" ht="22.5" x14ac:dyDescent="0.25">
      <c r="A180" s="989" t="s">
        <v>4956</v>
      </c>
      <c r="B180" s="989" t="s">
        <v>1748</v>
      </c>
      <c r="C180" s="989" t="s">
        <v>1730</v>
      </c>
      <c r="D180" s="989" t="s">
        <v>341</v>
      </c>
      <c r="E180" s="989" t="s">
        <v>1947</v>
      </c>
      <c r="F180" s="990">
        <v>2232014.9700000002</v>
      </c>
      <c r="G180" s="990">
        <v>5571</v>
      </c>
      <c r="H180" s="990">
        <v>390798.11</v>
      </c>
      <c r="I180" s="990">
        <v>993.2</v>
      </c>
      <c r="J180" s="990">
        <v>0</v>
      </c>
      <c r="K180" s="990">
        <v>0</v>
      </c>
      <c r="L180" s="990">
        <v>0</v>
      </c>
      <c r="M180" s="990">
        <v>0</v>
      </c>
      <c r="N180" s="994">
        <v>0</v>
      </c>
      <c r="O180" s="994">
        <v>0</v>
      </c>
      <c r="P180" s="990">
        <v>390798.11</v>
      </c>
      <c r="Q180" s="990">
        <v>993.2</v>
      </c>
      <c r="R180" s="991">
        <v>2622813.08</v>
      </c>
      <c r="S180" s="992">
        <v>6564.97</v>
      </c>
    </row>
    <row r="181" spans="1:19" ht="33.75" x14ac:dyDescent="0.25">
      <c r="A181" s="989" t="s">
        <v>4956</v>
      </c>
      <c r="B181" s="989" t="s">
        <v>1748</v>
      </c>
      <c r="C181" s="989" t="s">
        <v>1734</v>
      </c>
      <c r="D181" s="989" t="s">
        <v>343</v>
      </c>
      <c r="E181" s="989" t="s">
        <v>1948</v>
      </c>
      <c r="F181" s="990">
        <v>60804</v>
      </c>
      <c r="G181" s="990">
        <v>0</v>
      </c>
      <c r="H181" s="990">
        <v>258858.73</v>
      </c>
      <c r="I181" s="990">
        <v>0</v>
      </c>
      <c r="J181" s="990">
        <v>339646.41</v>
      </c>
      <c r="K181" s="990">
        <v>0</v>
      </c>
      <c r="L181" s="990">
        <v>0</v>
      </c>
      <c r="M181" s="990">
        <v>0</v>
      </c>
      <c r="N181" s="994">
        <v>0</v>
      </c>
      <c r="O181" s="994">
        <v>0</v>
      </c>
      <c r="P181" s="990">
        <v>598505.14</v>
      </c>
      <c r="Q181" s="990">
        <v>0</v>
      </c>
      <c r="R181" s="991">
        <v>659309.14</v>
      </c>
      <c r="S181" s="992">
        <v>0</v>
      </c>
    </row>
    <row r="182" spans="1:19" ht="45" x14ac:dyDescent="0.25">
      <c r="A182" s="989" t="s">
        <v>4956</v>
      </c>
      <c r="B182" s="989" t="s">
        <v>1749</v>
      </c>
      <c r="C182" s="989" t="s">
        <v>1726</v>
      </c>
      <c r="D182" s="989" t="s">
        <v>277</v>
      </c>
      <c r="E182" s="989" t="s">
        <v>1949</v>
      </c>
      <c r="F182" s="990">
        <v>0</v>
      </c>
      <c r="G182" s="990">
        <v>0</v>
      </c>
      <c r="H182" s="990">
        <v>4448280</v>
      </c>
      <c r="I182" s="990">
        <v>0</v>
      </c>
      <c r="J182" s="990">
        <v>18528956</v>
      </c>
      <c r="K182" s="990">
        <v>48721</v>
      </c>
      <c r="L182" s="990">
        <v>0</v>
      </c>
      <c r="M182" s="990">
        <v>0</v>
      </c>
      <c r="N182" s="994">
        <v>0</v>
      </c>
      <c r="O182" s="994">
        <v>0</v>
      </c>
      <c r="P182" s="990">
        <v>22977236</v>
      </c>
      <c r="Q182" s="990">
        <v>48721</v>
      </c>
      <c r="R182" s="991">
        <v>22977236</v>
      </c>
      <c r="S182" s="992">
        <v>48721</v>
      </c>
    </row>
    <row r="183" spans="1:19" ht="22.5" x14ac:dyDescent="0.25">
      <c r="A183" s="989" t="s">
        <v>4956</v>
      </c>
      <c r="B183" s="989" t="s">
        <v>1749</v>
      </c>
      <c r="C183" s="989" t="s">
        <v>297</v>
      </c>
      <c r="D183" s="989" t="s">
        <v>297</v>
      </c>
      <c r="E183" s="989" t="s">
        <v>1950</v>
      </c>
      <c r="F183" s="990">
        <v>582824.79</v>
      </c>
      <c r="G183" s="990">
        <v>0</v>
      </c>
      <c r="H183" s="990">
        <v>13694147</v>
      </c>
      <c r="I183" s="990">
        <v>0</v>
      </c>
      <c r="J183" s="990">
        <v>0</v>
      </c>
      <c r="K183" s="990">
        <v>0</v>
      </c>
      <c r="L183" s="990">
        <v>0</v>
      </c>
      <c r="M183" s="990">
        <v>0</v>
      </c>
      <c r="N183" s="994">
        <v>0</v>
      </c>
      <c r="O183" s="994">
        <v>0</v>
      </c>
      <c r="P183" s="990">
        <v>13694147</v>
      </c>
      <c r="Q183" s="990">
        <v>0</v>
      </c>
      <c r="R183" s="991">
        <v>14276971.789999999</v>
      </c>
      <c r="S183" s="992">
        <v>0</v>
      </c>
    </row>
    <row r="184" spans="1:19" ht="22.5" x14ac:dyDescent="0.25">
      <c r="A184" s="989" t="s">
        <v>4956</v>
      </c>
      <c r="B184" s="989" t="s">
        <v>1749</v>
      </c>
      <c r="C184" s="989" t="s">
        <v>4976</v>
      </c>
      <c r="D184" s="989" t="s">
        <v>4976</v>
      </c>
      <c r="E184" s="989" t="s">
        <v>5025</v>
      </c>
      <c r="F184" s="990">
        <v>0</v>
      </c>
      <c r="G184" s="990">
        <v>0</v>
      </c>
      <c r="H184" s="990">
        <v>0</v>
      </c>
      <c r="I184" s="990">
        <v>0</v>
      </c>
      <c r="J184" s="990">
        <v>0</v>
      </c>
      <c r="K184" s="990">
        <v>0</v>
      </c>
      <c r="L184" s="990">
        <v>0</v>
      </c>
      <c r="M184" s="990">
        <v>0</v>
      </c>
      <c r="N184" s="994">
        <v>0</v>
      </c>
      <c r="O184" s="994">
        <v>0</v>
      </c>
      <c r="P184" s="990">
        <v>0</v>
      </c>
      <c r="Q184" s="990">
        <v>0</v>
      </c>
      <c r="R184" s="991">
        <v>0</v>
      </c>
      <c r="S184" s="992">
        <v>0</v>
      </c>
    </row>
    <row r="185" spans="1:19" ht="22.5" x14ac:dyDescent="0.25">
      <c r="A185" s="989" t="s">
        <v>4956</v>
      </c>
      <c r="B185" s="989" t="s">
        <v>1749</v>
      </c>
      <c r="C185" s="989" t="s">
        <v>316</v>
      </c>
      <c r="D185" s="989" t="s">
        <v>316</v>
      </c>
      <c r="E185" s="989" t="s">
        <v>1951</v>
      </c>
      <c r="F185" s="990">
        <v>144309.76000000001</v>
      </c>
      <c r="G185" s="990">
        <v>0</v>
      </c>
      <c r="H185" s="990">
        <v>34415616</v>
      </c>
      <c r="I185" s="990">
        <v>0</v>
      </c>
      <c r="J185" s="990">
        <v>0</v>
      </c>
      <c r="K185" s="990">
        <v>0</v>
      </c>
      <c r="L185" s="990">
        <v>0</v>
      </c>
      <c r="M185" s="990">
        <v>0</v>
      </c>
      <c r="N185" s="994">
        <v>0</v>
      </c>
      <c r="O185" s="994">
        <v>0</v>
      </c>
      <c r="P185" s="990">
        <v>34415616</v>
      </c>
      <c r="Q185" s="990">
        <v>0</v>
      </c>
      <c r="R185" s="991">
        <v>34559925.759999998</v>
      </c>
      <c r="S185" s="992">
        <v>0</v>
      </c>
    </row>
    <row r="186" spans="1:19" ht="22.5" x14ac:dyDescent="0.25">
      <c r="A186" s="989" t="s">
        <v>4956</v>
      </c>
      <c r="B186" s="989" t="s">
        <v>1749</v>
      </c>
      <c r="C186" s="989" t="s">
        <v>1730</v>
      </c>
      <c r="D186" s="989" t="s">
        <v>341</v>
      </c>
      <c r="E186" s="989" t="s">
        <v>1952</v>
      </c>
      <c r="F186" s="990">
        <v>0</v>
      </c>
      <c r="G186" s="990">
        <v>0</v>
      </c>
      <c r="H186" s="990">
        <v>0</v>
      </c>
      <c r="I186" s="990">
        <v>0</v>
      </c>
      <c r="J186" s="990">
        <v>432172</v>
      </c>
      <c r="K186" s="990">
        <v>1159</v>
      </c>
      <c r="L186" s="990">
        <v>0</v>
      </c>
      <c r="M186" s="990">
        <v>0</v>
      </c>
      <c r="N186" s="994">
        <v>0</v>
      </c>
      <c r="O186" s="994">
        <v>0</v>
      </c>
      <c r="P186" s="990">
        <v>432172</v>
      </c>
      <c r="Q186" s="990">
        <v>1159</v>
      </c>
      <c r="R186" s="991">
        <v>432172</v>
      </c>
      <c r="S186" s="992">
        <v>1159</v>
      </c>
    </row>
    <row r="187" spans="1:19" ht="33.75" x14ac:dyDescent="0.25">
      <c r="A187" s="989" t="s">
        <v>4956</v>
      </c>
      <c r="B187" s="989" t="s">
        <v>1749</v>
      </c>
      <c r="C187" s="989" t="s">
        <v>1734</v>
      </c>
      <c r="D187" s="989" t="s">
        <v>343</v>
      </c>
      <c r="E187" s="989" t="s">
        <v>1953</v>
      </c>
      <c r="F187" s="990">
        <v>0</v>
      </c>
      <c r="G187" s="990">
        <v>0</v>
      </c>
      <c r="H187" s="990">
        <v>62628</v>
      </c>
      <c r="I187" s="990">
        <v>0</v>
      </c>
      <c r="J187" s="990">
        <v>0</v>
      </c>
      <c r="K187" s="990">
        <v>0</v>
      </c>
      <c r="L187" s="990">
        <v>0</v>
      </c>
      <c r="M187" s="990">
        <v>0</v>
      </c>
      <c r="N187" s="994">
        <v>0</v>
      </c>
      <c r="O187" s="994">
        <v>0</v>
      </c>
      <c r="P187" s="990">
        <v>62628</v>
      </c>
      <c r="Q187" s="990">
        <v>0</v>
      </c>
      <c r="R187" s="991">
        <v>62628</v>
      </c>
      <c r="S187" s="992">
        <v>0</v>
      </c>
    </row>
    <row r="188" spans="1:19" ht="45" x14ac:dyDescent="0.25">
      <c r="A188" s="989" t="s">
        <v>4956</v>
      </c>
      <c r="B188" s="989" t="s">
        <v>1750</v>
      </c>
      <c r="C188" s="989" t="s">
        <v>1726</v>
      </c>
      <c r="D188" s="989" t="s">
        <v>277</v>
      </c>
      <c r="E188" s="989" t="s">
        <v>1954</v>
      </c>
      <c r="F188" s="990">
        <v>50625414.659999996</v>
      </c>
      <c r="G188" s="990">
        <v>147165</v>
      </c>
      <c r="H188" s="990">
        <v>59619839.210000001</v>
      </c>
      <c r="I188" s="990">
        <v>172519.73</v>
      </c>
      <c r="J188" s="990">
        <v>238272113.56999999</v>
      </c>
      <c r="K188" s="990">
        <v>549182.55000000005</v>
      </c>
      <c r="L188" s="990">
        <v>3624729.25</v>
      </c>
      <c r="M188" s="990">
        <v>6810.35986328125</v>
      </c>
      <c r="N188" s="994">
        <v>0</v>
      </c>
      <c r="O188" s="994">
        <v>0</v>
      </c>
      <c r="P188" s="990">
        <v>301516682.00999999</v>
      </c>
      <c r="Q188" s="990">
        <v>728512.64</v>
      </c>
      <c r="R188" s="991">
        <v>352142096.67000002</v>
      </c>
      <c r="S188" s="992">
        <v>875677.68</v>
      </c>
    </row>
    <row r="189" spans="1:19" ht="22.5" x14ac:dyDescent="0.25">
      <c r="A189" s="989" t="s">
        <v>4956</v>
      </c>
      <c r="B189" s="989" t="s">
        <v>1750</v>
      </c>
      <c r="C189" s="989" t="s">
        <v>297</v>
      </c>
      <c r="D189" s="989" t="s">
        <v>297</v>
      </c>
      <c r="E189" s="989" t="s">
        <v>1955</v>
      </c>
      <c r="F189" s="990">
        <v>21017436.07</v>
      </c>
      <c r="G189" s="990">
        <v>0</v>
      </c>
      <c r="H189" s="990">
        <v>111107126.91</v>
      </c>
      <c r="I189" s="990">
        <v>0</v>
      </c>
      <c r="J189" s="990">
        <v>131086.60999999999</v>
      </c>
      <c r="K189" s="990">
        <v>0</v>
      </c>
      <c r="L189" s="990">
        <v>0</v>
      </c>
      <c r="M189" s="990">
        <v>0</v>
      </c>
      <c r="N189" s="994">
        <v>0</v>
      </c>
      <c r="O189" s="994">
        <v>0</v>
      </c>
      <c r="P189" s="990">
        <v>111238213.52</v>
      </c>
      <c r="Q189" s="990">
        <v>0</v>
      </c>
      <c r="R189" s="991">
        <v>132255649.59</v>
      </c>
      <c r="S189" s="992">
        <v>0</v>
      </c>
    </row>
    <row r="190" spans="1:19" ht="22.5" x14ac:dyDescent="0.25">
      <c r="A190" s="989" t="s">
        <v>4956</v>
      </c>
      <c r="B190" s="989" t="s">
        <v>1750</v>
      </c>
      <c r="C190" s="989" t="s">
        <v>4976</v>
      </c>
      <c r="D190" s="989" t="s">
        <v>4976</v>
      </c>
      <c r="E190" s="989" t="s">
        <v>5026</v>
      </c>
      <c r="F190" s="990">
        <v>0</v>
      </c>
      <c r="G190" s="990">
        <v>0</v>
      </c>
      <c r="H190" s="990">
        <v>0</v>
      </c>
      <c r="I190" s="990">
        <v>0</v>
      </c>
      <c r="J190" s="990">
        <v>0</v>
      </c>
      <c r="K190" s="990">
        <v>0</v>
      </c>
      <c r="L190" s="990">
        <v>0</v>
      </c>
      <c r="M190" s="990">
        <v>0</v>
      </c>
      <c r="N190" s="994">
        <v>36594284</v>
      </c>
      <c r="O190" s="994">
        <v>138457.796875</v>
      </c>
      <c r="P190" s="990">
        <v>0</v>
      </c>
      <c r="Q190" s="990">
        <v>0</v>
      </c>
      <c r="R190" s="991">
        <v>0</v>
      </c>
      <c r="S190" s="992">
        <v>0</v>
      </c>
    </row>
    <row r="191" spans="1:19" ht="22.5" x14ac:dyDescent="0.25">
      <c r="A191" s="989" t="s">
        <v>4956</v>
      </c>
      <c r="B191" s="989" t="s">
        <v>1750</v>
      </c>
      <c r="C191" s="989" t="s">
        <v>316</v>
      </c>
      <c r="D191" s="989" t="s">
        <v>316</v>
      </c>
      <c r="E191" s="989" t="s">
        <v>1956</v>
      </c>
      <c r="F191" s="990">
        <v>11903959.65</v>
      </c>
      <c r="G191" s="990">
        <v>0</v>
      </c>
      <c r="H191" s="990">
        <v>342355373.27999997</v>
      </c>
      <c r="I191" s="990">
        <v>0</v>
      </c>
      <c r="J191" s="990">
        <v>0</v>
      </c>
      <c r="K191" s="990">
        <v>0</v>
      </c>
      <c r="L191" s="990">
        <v>0</v>
      </c>
      <c r="M191" s="990">
        <v>0</v>
      </c>
      <c r="N191" s="994">
        <v>0</v>
      </c>
      <c r="O191" s="994">
        <v>0</v>
      </c>
      <c r="P191" s="990">
        <v>342355373.27999997</v>
      </c>
      <c r="Q191" s="990">
        <v>0</v>
      </c>
      <c r="R191" s="991">
        <v>354259332.93000001</v>
      </c>
      <c r="S191" s="992">
        <v>0</v>
      </c>
    </row>
    <row r="192" spans="1:19" ht="33.75" x14ac:dyDescent="0.25">
      <c r="A192" s="989" t="s">
        <v>4956</v>
      </c>
      <c r="B192" s="989" t="s">
        <v>1750</v>
      </c>
      <c r="C192" s="989" t="s">
        <v>1733</v>
      </c>
      <c r="D192" s="989" t="s">
        <v>325</v>
      </c>
      <c r="E192" s="989" t="s">
        <v>1957</v>
      </c>
      <c r="F192" s="990">
        <v>34755.300000000003</v>
      </c>
      <c r="G192" s="990">
        <v>95</v>
      </c>
      <c r="H192" s="990">
        <v>378190.78</v>
      </c>
      <c r="I192" s="990">
        <v>1041.94</v>
      </c>
      <c r="J192" s="990">
        <v>0</v>
      </c>
      <c r="K192" s="990">
        <v>0</v>
      </c>
      <c r="L192" s="990">
        <v>0</v>
      </c>
      <c r="M192" s="990">
        <v>0</v>
      </c>
      <c r="N192" s="994">
        <v>0</v>
      </c>
      <c r="O192" s="994">
        <v>0</v>
      </c>
      <c r="P192" s="990">
        <v>378190.78</v>
      </c>
      <c r="Q192" s="990">
        <v>1041.94</v>
      </c>
      <c r="R192" s="991">
        <v>412946.08</v>
      </c>
      <c r="S192" s="992">
        <v>1137.3399999999999</v>
      </c>
    </row>
    <row r="193" spans="1:19" ht="22.5" x14ac:dyDescent="0.25">
      <c r="A193" s="989" t="s">
        <v>4956</v>
      </c>
      <c r="B193" s="989" t="s">
        <v>1750</v>
      </c>
      <c r="C193" s="989" t="s">
        <v>1730</v>
      </c>
      <c r="D193" s="989" t="s">
        <v>341</v>
      </c>
      <c r="E193" s="989" t="s">
        <v>1958</v>
      </c>
      <c r="F193" s="990">
        <v>0</v>
      </c>
      <c r="G193" s="990">
        <v>0</v>
      </c>
      <c r="H193" s="990">
        <v>0</v>
      </c>
      <c r="I193" s="990">
        <v>0</v>
      </c>
      <c r="J193" s="990">
        <v>7471832.7400000002</v>
      </c>
      <c r="K193" s="990">
        <v>20884.21</v>
      </c>
      <c r="L193" s="990">
        <v>0</v>
      </c>
      <c r="M193" s="990">
        <v>0</v>
      </c>
      <c r="N193" s="994">
        <v>0</v>
      </c>
      <c r="O193" s="994">
        <v>0</v>
      </c>
      <c r="P193" s="990">
        <v>7471832.7400000002</v>
      </c>
      <c r="Q193" s="990">
        <v>20884.21</v>
      </c>
      <c r="R193" s="991">
        <v>7471832.7400000002</v>
      </c>
      <c r="S193" s="992">
        <v>20884.21</v>
      </c>
    </row>
    <row r="194" spans="1:19" ht="33.75" x14ac:dyDescent="0.25">
      <c r="A194" s="989" t="s">
        <v>4956</v>
      </c>
      <c r="B194" s="989" t="s">
        <v>1750</v>
      </c>
      <c r="C194" s="989" t="s">
        <v>1734</v>
      </c>
      <c r="D194" s="989" t="s">
        <v>343</v>
      </c>
      <c r="E194" s="989" t="s">
        <v>1959</v>
      </c>
      <c r="F194" s="990">
        <v>10074</v>
      </c>
      <c r="G194" s="990">
        <v>0</v>
      </c>
      <c r="H194" s="990">
        <v>1169440.8</v>
      </c>
      <c r="I194" s="990">
        <v>0</v>
      </c>
      <c r="J194" s="990">
        <v>0</v>
      </c>
      <c r="K194" s="990">
        <v>0</v>
      </c>
      <c r="L194" s="990">
        <v>0</v>
      </c>
      <c r="M194" s="990">
        <v>0</v>
      </c>
      <c r="N194" s="994">
        <v>0</v>
      </c>
      <c r="O194" s="994">
        <v>0</v>
      </c>
      <c r="P194" s="990">
        <v>1169440.8</v>
      </c>
      <c r="Q194" s="990">
        <v>0</v>
      </c>
      <c r="R194" s="991">
        <v>1179514.8</v>
      </c>
      <c r="S194" s="992">
        <v>0</v>
      </c>
    </row>
    <row r="195" spans="1:19" ht="22.5" x14ac:dyDescent="0.25">
      <c r="A195" s="989" t="s">
        <v>4956</v>
      </c>
      <c r="B195" s="989" t="s">
        <v>1751</v>
      </c>
      <c r="C195" s="989" t="s">
        <v>1736</v>
      </c>
      <c r="D195" s="989" t="s">
        <v>249</v>
      </c>
      <c r="E195" s="989" t="s">
        <v>2481</v>
      </c>
      <c r="F195" s="990">
        <v>0</v>
      </c>
      <c r="G195" s="990">
        <v>0</v>
      </c>
      <c r="H195" s="990">
        <v>0</v>
      </c>
      <c r="I195" s="990">
        <v>0</v>
      </c>
      <c r="J195" s="990">
        <v>0</v>
      </c>
      <c r="K195" s="990">
        <v>115728.52</v>
      </c>
      <c r="L195" s="990">
        <v>0</v>
      </c>
      <c r="M195" s="990">
        <v>0</v>
      </c>
      <c r="N195" s="994">
        <v>0</v>
      </c>
      <c r="O195" s="994">
        <v>0</v>
      </c>
      <c r="P195" s="990">
        <v>0</v>
      </c>
      <c r="Q195" s="990">
        <v>115728.52</v>
      </c>
      <c r="R195" s="991">
        <v>0</v>
      </c>
      <c r="S195" s="992">
        <v>115728.52</v>
      </c>
    </row>
    <row r="196" spans="1:19" ht="45" x14ac:dyDescent="0.25">
      <c r="A196" s="989" t="s">
        <v>4956</v>
      </c>
      <c r="B196" s="989" t="s">
        <v>1751</v>
      </c>
      <c r="C196" s="989" t="s">
        <v>1726</v>
      </c>
      <c r="D196" s="989" t="s">
        <v>277</v>
      </c>
      <c r="E196" s="989" t="s">
        <v>1960</v>
      </c>
      <c r="F196" s="990">
        <v>10813019.41</v>
      </c>
      <c r="G196" s="990">
        <v>31525</v>
      </c>
      <c r="H196" s="990">
        <v>3073629.9</v>
      </c>
      <c r="I196" s="990">
        <v>7372.42</v>
      </c>
      <c r="J196" s="990">
        <v>46452927.509999998</v>
      </c>
      <c r="K196" s="990">
        <v>133519.04999999999</v>
      </c>
      <c r="L196" s="990">
        <v>3429861.25</v>
      </c>
      <c r="M196" s="990">
        <v>6718.85009765625</v>
      </c>
      <c r="N196" s="994">
        <v>0</v>
      </c>
      <c r="O196" s="994">
        <v>0</v>
      </c>
      <c r="P196" s="990">
        <v>52956418.590000004</v>
      </c>
      <c r="Q196" s="990">
        <v>147610.32</v>
      </c>
      <c r="R196" s="991">
        <v>63769438</v>
      </c>
      <c r="S196" s="992">
        <v>179135.9</v>
      </c>
    </row>
    <row r="197" spans="1:19" ht="22.5" x14ac:dyDescent="0.25">
      <c r="A197" s="989" t="s">
        <v>4956</v>
      </c>
      <c r="B197" s="989" t="s">
        <v>1751</v>
      </c>
      <c r="C197" s="989" t="s">
        <v>297</v>
      </c>
      <c r="D197" s="989" t="s">
        <v>297</v>
      </c>
      <c r="E197" s="989" t="s">
        <v>1961</v>
      </c>
      <c r="F197" s="990">
        <v>3612635.7</v>
      </c>
      <c r="G197" s="990">
        <v>0</v>
      </c>
      <c r="H197" s="990">
        <v>15202869.9</v>
      </c>
      <c r="I197" s="990">
        <v>0</v>
      </c>
      <c r="J197" s="990">
        <v>0</v>
      </c>
      <c r="K197" s="990">
        <v>0</v>
      </c>
      <c r="L197" s="990">
        <v>0</v>
      </c>
      <c r="M197" s="990">
        <v>0</v>
      </c>
      <c r="N197" s="994">
        <v>0</v>
      </c>
      <c r="O197" s="994">
        <v>0</v>
      </c>
      <c r="P197" s="990">
        <v>15202869.9</v>
      </c>
      <c r="Q197" s="990">
        <v>0</v>
      </c>
      <c r="R197" s="991">
        <v>18815505.600000001</v>
      </c>
      <c r="S197" s="992">
        <v>0</v>
      </c>
    </row>
    <row r="198" spans="1:19" ht="22.5" x14ac:dyDescent="0.25">
      <c r="A198" s="989" t="s">
        <v>4956</v>
      </c>
      <c r="B198" s="989" t="s">
        <v>1751</v>
      </c>
      <c r="C198" s="989" t="s">
        <v>4976</v>
      </c>
      <c r="D198" s="989" t="s">
        <v>4976</v>
      </c>
      <c r="E198" s="989" t="s">
        <v>5027</v>
      </c>
      <c r="F198" s="990">
        <v>0</v>
      </c>
      <c r="G198" s="990">
        <v>0</v>
      </c>
      <c r="H198" s="990">
        <v>0</v>
      </c>
      <c r="I198" s="990">
        <v>0</v>
      </c>
      <c r="J198" s="990">
        <v>0</v>
      </c>
      <c r="K198" s="990">
        <v>0</v>
      </c>
      <c r="L198" s="990">
        <v>0</v>
      </c>
      <c r="M198" s="990">
        <v>0</v>
      </c>
      <c r="N198" s="994">
        <v>1987519.25</v>
      </c>
      <c r="O198" s="994">
        <v>4930.41015625</v>
      </c>
      <c r="P198" s="990">
        <v>0</v>
      </c>
      <c r="Q198" s="990">
        <v>0</v>
      </c>
      <c r="R198" s="991">
        <v>0</v>
      </c>
      <c r="S198" s="992">
        <v>0</v>
      </c>
    </row>
    <row r="199" spans="1:19" ht="22.5" x14ac:dyDescent="0.25">
      <c r="A199" s="989" t="s">
        <v>4956</v>
      </c>
      <c r="B199" s="989" t="s">
        <v>1751</v>
      </c>
      <c r="C199" s="989" t="s">
        <v>316</v>
      </c>
      <c r="D199" s="989" t="s">
        <v>316</v>
      </c>
      <c r="E199" s="989" t="s">
        <v>1962</v>
      </c>
      <c r="F199" s="990">
        <v>2638638.9300000002</v>
      </c>
      <c r="G199" s="990">
        <v>0</v>
      </c>
      <c r="H199" s="990">
        <v>86625502.540000007</v>
      </c>
      <c r="I199" s="990">
        <v>0</v>
      </c>
      <c r="J199" s="990">
        <v>0</v>
      </c>
      <c r="K199" s="990">
        <v>0</v>
      </c>
      <c r="L199" s="990">
        <v>0</v>
      </c>
      <c r="M199" s="990">
        <v>0</v>
      </c>
      <c r="N199" s="994">
        <v>0</v>
      </c>
      <c r="O199" s="994">
        <v>0</v>
      </c>
      <c r="P199" s="990">
        <v>86625502.540000007</v>
      </c>
      <c r="Q199" s="990">
        <v>0</v>
      </c>
      <c r="R199" s="991">
        <v>89264141.469999999</v>
      </c>
      <c r="S199" s="992">
        <v>0</v>
      </c>
    </row>
    <row r="200" spans="1:19" ht="22.5" x14ac:dyDescent="0.25">
      <c r="A200" s="989" t="s">
        <v>4956</v>
      </c>
      <c r="B200" s="989" t="s">
        <v>1751</v>
      </c>
      <c r="C200" s="989" t="s">
        <v>1730</v>
      </c>
      <c r="D200" s="989" t="s">
        <v>341</v>
      </c>
      <c r="E200" s="989" t="s">
        <v>1963</v>
      </c>
      <c r="F200" s="990">
        <v>669255.62</v>
      </c>
      <c r="G200" s="990">
        <v>1984</v>
      </c>
      <c r="H200" s="990">
        <v>0</v>
      </c>
      <c r="I200" s="990">
        <v>0</v>
      </c>
      <c r="J200" s="990">
        <v>5380.3</v>
      </c>
      <c r="K200" s="990">
        <v>14.89</v>
      </c>
      <c r="L200" s="990">
        <v>0</v>
      </c>
      <c r="M200" s="990">
        <v>0</v>
      </c>
      <c r="N200" s="994">
        <v>0</v>
      </c>
      <c r="O200" s="994">
        <v>0</v>
      </c>
      <c r="P200" s="990">
        <v>5380.3</v>
      </c>
      <c r="Q200" s="990">
        <v>14.89</v>
      </c>
      <c r="R200" s="991">
        <v>674635.92</v>
      </c>
      <c r="S200" s="992">
        <v>1999.69</v>
      </c>
    </row>
    <row r="201" spans="1:19" ht="33.75" x14ac:dyDescent="0.25">
      <c r="A201" s="989" t="s">
        <v>4956</v>
      </c>
      <c r="B201" s="989" t="s">
        <v>1751</v>
      </c>
      <c r="C201" s="989" t="s">
        <v>1734</v>
      </c>
      <c r="D201" s="989" t="s">
        <v>343</v>
      </c>
      <c r="E201" s="989" t="s">
        <v>1964</v>
      </c>
      <c r="F201" s="990">
        <v>49456.2</v>
      </c>
      <c r="G201" s="990">
        <v>0</v>
      </c>
      <c r="H201" s="990">
        <v>337589.74</v>
      </c>
      <c r="I201" s="990">
        <v>0</v>
      </c>
      <c r="J201" s="990">
        <v>0</v>
      </c>
      <c r="K201" s="990">
        <v>0</v>
      </c>
      <c r="L201" s="990">
        <v>0</v>
      </c>
      <c r="M201" s="990">
        <v>0</v>
      </c>
      <c r="N201" s="994">
        <v>0</v>
      </c>
      <c r="O201" s="994">
        <v>0</v>
      </c>
      <c r="P201" s="990">
        <v>337589.74</v>
      </c>
      <c r="Q201" s="990">
        <v>0</v>
      </c>
      <c r="R201" s="991">
        <v>387045.94</v>
      </c>
      <c r="S201" s="992">
        <v>0</v>
      </c>
    </row>
    <row r="202" spans="1:19" ht="45" x14ac:dyDescent="0.25">
      <c r="A202" s="989" t="s">
        <v>4956</v>
      </c>
      <c r="B202" s="989" t="s">
        <v>1752</v>
      </c>
      <c r="C202" s="989" t="s">
        <v>1726</v>
      </c>
      <c r="D202" s="989" t="s">
        <v>257</v>
      </c>
      <c r="E202" s="989" t="s">
        <v>1965</v>
      </c>
      <c r="F202" s="990">
        <v>65334085.32</v>
      </c>
      <c r="G202" s="990">
        <v>115135</v>
      </c>
      <c r="H202" s="990">
        <v>0</v>
      </c>
      <c r="I202" s="990">
        <v>0</v>
      </c>
      <c r="J202" s="990">
        <v>461737038.69999999</v>
      </c>
      <c r="K202" s="990">
        <v>996523.58</v>
      </c>
      <c r="L202" s="990">
        <v>0</v>
      </c>
      <c r="M202" s="990">
        <v>0</v>
      </c>
      <c r="N202" s="994">
        <v>0</v>
      </c>
      <c r="O202" s="994">
        <v>0</v>
      </c>
      <c r="P202" s="990">
        <v>461737038.69999999</v>
      </c>
      <c r="Q202" s="990">
        <v>996523.58</v>
      </c>
      <c r="R202" s="991">
        <v>527071124.01999998</v>
      </c>
      <c r="S202" s="992">
        <v>1111659.33</v>
      </c>
    </row>
    <row r="203" spans="1:19" ht="45" x14ac:dyDescent="0.25">
      <c r="A203" s="989" t="s">
        <v>4956</v>
      </c>
      <c r="B203" s="989" t="s">
        <v>1752</v>
      </c>
      <c r="C203" s="989" t="s">
        <v>1726</v>
      </c>
      <c r="D203" s="989" t="s">
        <v>281</v>
      </c>
      <c r="E203" s="989" t="s">
        <v>1966</v>
      </c>
      <c r="F203" s="990">
        <v>85727935.439999998</v>
      </c>
      <c r="G203" s="990">
        <v>245909</v>
      </c>
      <c r="H203" s="990">
        <v>34422466.729999997</v>
      </c>
      <c r="I203" s="990">
        <v>94729.44</v>
      </c>
      <c r="J203" s="990">
        <v>268525651.66000003</v>
      </c>
      <c r="K203" s="990">
        <v>737228.02</v>
      </c>
      <c r="L203" s="990">
        <v>6196613.5</v>
      </c>
      <c r="M203" s="990">
        <v>13103.849609375</v>
      </c>
      <c r="N203" s="994">
        <v>0</v>
      </c>
      <c r="O203" s="994">
        <v>0</v>
      </c>
      <c r="P203" s="990">
        <v>309144732.08999997</v>
      </c>
      <c r="Q203" s="990">
        <v>845061.31</v>
      </c>
      <c r="R203" s="991">
        <v>394872667.52999997</v>
      </c>
      <c r="S203" s="992">
        <v>1090970.3899999999</v>
      </c>
    </row>
    <row r="204" spans="1:19" ht="22.5" x14ac:dyDescent="0.25">
      <c r="A204" s="989" t="s">
        <v>4956</v>
      </c>
      <c r="B204" s="989" t="s">
        <v>1752</v>
      </c>
      <c r="C204" s="989" t="s">
        <v>297</v>
      </c>
      <c r="D204" s="989" t="s">
        <v>297</v>
      </c>
      <c r="E204" s="989" t="s">
        <v>1967</v>
      </c>
      <c r="F204" s="990">
        <v>24815903.059999999</v>
      </c>
      <c r="G204" s="990">
        <v>0</v>
      </c>
      <c r="H204" s="990">
        <v>111441108.7</v>
      </c>
      <c r="I204" s="990">
        <v>0</v>
      </c>
      <c r="J204" s="990">
        <v>66</v>
      </c>
      <c r="K204" s="990">
        <v>0</v>
      </c>
      <c r="L204" s="990">
        <v>0</v>
      </c>
      <c r="M204" s="990">
        <v>0</v>
      </c>
      <c r="N204" s="994">
        <v>0</v>
      </c>
      <c r="O204" s="994">
        <v>0</v>
      </c>
      <c r="P204" s="990">
        <v>111441174.7</v>
      </c>
      <c r="Q204" s="990">
        <v>0</v>
      </c>
      <c r="R204" s="991">
        <v>136257077.75999999</v>
      </c>
      <c r="S204" s="992">
        <v>0</v>
      </c>
    </row>
    <row r="205" spans="1:19" ht="22.5" x14ac:dyDescent="0.25">
      <c r="A205" s="989" t="s">
        <v>4956</v>
      </c>
      <c r="B205" s="989" t="s">
        <v>1752</v>
      </c>
      <c r="C205" s="989" t="s">
        <v>1732</v>
      </c>
      <c r="D205" s="989" t="s">
        <v>306</v>
      </c>
      <c r="E205" s="989" t="s">
        <v>1968</v>
      </c>
      <c r="F205" s="990">
        <v>8194754.6900000004</v>
      </c>
      <c r="G205" s="990">
        <v>13855</v>
      </c>
      <c r="H205" s="990">
        <v>0</v>
      </c>
      <c r="I205" s="990">
        <v>0</v>
      </c>
      <c r="J205" s="990">
        <v>181152442.38999999</v>
      </c>
      <c r="K205" s="990">
        <v>384706.9</v>
      </c>
      <c r="L205" s="990">
        <v>0</v>
      </c>
      <c r="M205" s="990">
        <v>0</v>
      </c>
      <c r="N205" s="994">
        <v>0</v>
      </c>
      <c r="O205" s="994">
        <v>0</v>
      </c>
      <c r="P205" s="990">
        <v>181152442.38999999</v>
      </c>
      <c r="Q205" s="990">
        <v>384706.9</v>
      </c>
      <c r="R205" s="991">
        <v>189347197.08000001</v>
      </c>
      <c r="S205" s="992">
        <v>398562.72</v>
      </c>
    </row>
    <row r="206" spans="1:19" ht="22.5" x14ac:dyDescent="0.25">
      <c r="A206" s="989" t="s">
        <v>4956</v>
      </c>
      <c r="B206" s="989" t="s">
        <v>1752</v>
      </c>
      <c r="C206" s="989" t="s">
        <v>4976</v>
      </c>
      <c r="D206" s="989" t="s">
        <v>4976</v>
      </c>
      <c r="E206" s="989" t="s">
        <v>5028</v>
      </c>
      <c r="F206" s="990">
        <v>0</v>
      </c>
      <c r="G206" s="990">
        <v>0</v>
      </c>
      <c r="H206" s="990">
        <v>0</v>
      </c>
      <c r="I206" s="990">
        <v>0</v>
      </c>
      <c r="J206" s="990">
        <v>0</v>
      </c>
      <c r="K206" s="990">
        <v>0</v>
      </c>
      <c r="L206" s="990">
        <v>0</v>
      </c>
      <c r="M206" s="990">
        <v>0</v>
      </c>
      <c r="N206" s="994">
        <v>562293632</v>
      </c>
      <c r="O206" s="994">
        <v>1084589.125</v>
      </c>
      <c r="P206" s="990">
        <v>0</v>
      </c>
      <c r="Q206" s="990">
        <v>0</v>
      </c>
      <c r="R206" s="991">
        <v>0</v>
      </c>
      <c r="S206" s="992">
        <v>0</v>
      </c>
    </row>
    <row r="207" spans="1:19" ht="22.5" x14ac:dyDescent="0.25">
      <c r="A207" s="989" t="s">
        <v>4956</v>
      </c>
      <c r="B207" s="989" t="s">
        <v>1752</v>
      </c>
      <c r="C207" s="989" t="s">
        <v>316</v>
      </c>
      <c r="D207" s="989" t="s">
        <v>316</v>
      </c>
      <c r="E207" s="989" t="s">
        <v>1969</v>
      </c>
      <c r="F207" s="990">
        <v>12421580.789999999</v>
      </c>
      <c r="G207" s="990">
        <v>0</v>
      </c>
      <c r="H207" s="990">
        <v>330020730.69</v>
      </c>
      <c r="I207" s="990">
        <v>0</v>
      </c>
      <c r="J207" s="990">
        <v>0</v>
      </c>
      <c r="K207" s="990">
        <v>0</v>
      </c>
      <c r="L207" s="990">
        <v>0</v>
      </c>
      <c r="M207" s="990">
        <v>0</v>
      </c>
      <c r="N207" s="994">
        <v>0</v>
      </c>
      <c r="O207" s="994">
        <v>0</v>
      </c>
      <c r="P207" s="990">
        <v>330020730.69</v>
      </c>
      <c r="Q207" s="990">
        <v>0</v>
      </c>
      <c r="R207" s="991">
        <v>342442311.48000002</v>
      </c>
      <c r="S207" s="992">
        <v>0</v>
      </c>
    </row>
    <row r="208" spans="1:19" ht="33.75" x14ac:dyDescent="0.25">
      <c r="A208" s="989" t="s">
        <v>4956</v>
      </c>
      <c r="B208" s="989" t="s">
        <v>1752</v>
      </c>
      <c r="C208" s="989" t="s">
        <v>1733</v>
      </c>
      <c r="D208" s="989" t="s">
        <v>325</v>
      </c>
      <c r="E208" s="989" t="s">
        <v>1970</v>
      </c>
      <c r="F208" s="990">
        <v>669.49</v>
      </c>
      <c r="G208" s="990">
        <v>1</v>
      </c>
      <c r="H208" s="990">
        <v>17624.62</v>
      </c>
      <c r="I208" s="990">
        <v>49.2</v>
      </c>
      <c r="J208" s="990">
        <v>0</v>
      </c>
      <c r="K208" s="990">
        <v>0</v>
      </c>
      <c r="L208" s="990">
        <v>0</v>
      </c>
      <c r="M208" s="990">
        <v>0</v>
      </c>
      <c r="N208" s="994">
        <v>0</v>
      </c>
      <c r="O208" s="994">
        <v>0</v>
      </c>
      <c r="P208" s="990">
        <v>17624.62</v>
      </c>
      <c r="Q208" s="990">
        <v>49.2</v>
      </c>
      <c r="R208" s="991">
        <v>18294.11</v>
      </c>
      <c r="S208" s="992">
        <v>51.09</v>
      </c>
    </row>
    <row r="209" spans="1:19" ht="22.5" x14ac:dyDescent="0.25">
      <c r="A209" s="989" t="s">
        <v>4956</v>
      </c>
      <c r="B209" s="989" t="s">
        <v>1752</v>
      </c>
      <c r="C209" s="989" t="s">
        <v>1730</v>
      </c>
      <c r="D209" s="989" t="s">
        <v>341</v>
      </c>
      <c r="E209" s="989" t="s">
        <v>1971</v>
      </c>
      <c r="F209" s="990">
        <v>238443.58</v>
      </c>
      <c r="G209" s="990">
        <v>672</v>
      </c>
      <c r="H209" s="990">
        <v>0</v>
      </c>
      <c r="I209" s="990">
        <v>0</v>
      </c>
      <c r="J209" s="990">
        <v>9997656.0600000005</v>
      </c>
      <c r="K209" s="990">
        <v>27814.2</v>
      </c>
      <c r="L209" s="990">
        <v>0</v>
      </c>
      <c r="M209" s="990">
        <v>0</v>
      </c>
      <c r="N209" s="994">
        <v>0</v>
      </c>
      <c r="O209" s="994">
        <v>0</v>
      </c>
      <c r="P209" s="990">
        <v>9997656.0600000005</v>
      </c>
      <c r="Q209" s="990">
        <v>27814.2</v>
      </c>
      <c r="R209" s="991">
        <v>10236099.640000001</v>
      </c>
      <c r="S209" s="992">
        <v>28486.39</v>
      </c>
    </row>
    <row r="210" spans="1:19" ht="33.75" x14ac:dyDescent="0.25">
      <c r="A210" s="989" t="s">
        <v>4956</v>
      </c>
      <c r="B210" s="989" t="s">
        <v>1752</v>
      </c>
      <c r="C210" s="989" t="s">
        <v>1734</v>
      </c>
      <c r="D210" s="989" t="s">
        <v>343</v>
      </c>
      <c r="E210" s="989" t="s">
        <v>1972</v>
      </c>
      <c r="F210" s="990">
        <v>380988</v>
      </c>
      <c r="G210" s="990">
        <v>0</v>
      </c>
      <c r="H210" s="990">
        <v>1542152.14</v>
      </c>
      <c r="I210" s="990">
        <v>0</v>
      </c>
      <c r="J210" s="990">
        <v>0</v>
      </c>
      <c r="K210" s="990">
        <v>0</v>
      </c>
      <c r="L210" s="990">
        <v>0</v>
      </c>
      <c r="M210" s="990">
        <v>0</v>
      </c>
      <c r="N210" s="994">
        <v>0</v>
      </c>
      <c r="O210" s="994">
        <v>0</v>
      </c>
      <c r="P210" s="990">
        <v>1542152.14</v>
      </c>
      <c r="Q210" s="990">
        <v>0</v>
      </c>
      <c r="R210" s="991">
        <v>1923140.14</v>
      </c>
      <c r="S210" s="992">
        <v>0</v>
      </c>
    </row>
    <row r="211" spans="1:19" ht="45" x14ac:dyDescent="0.25">
      <c r="A211" s="989" t="s">
        <v>4956</v>
      </c>
      <c r="B211" s="989" t="s">
        <v>1753</v>
      </c>
      <c r="C211" s="989" t="s">
        <v>1726</v>
      </c>
      <c r="D211" s="989" t="s">
        <v>257</v>
      </c>
      <c r="E211" s="989" t="s">
        <v>1973</v>
      </c>
      <c r="F211" s="990">
        <v>31458071</v>
      </c>
      <c r="G211" s="990">
        <v>64524</v>
      </c>
      <c r="H211" s="990">
        <v>0</v>
      </c>
      <c r="I211" s="990">
        <v>0</v>
      </c>
      <c r="J211" s="990">
        <v>67851632</v>
      </c>
      <c r="K211" s="990">
        <v>197608</v>
      </c>
      <c r="L211" s="990">
        <v>0</v>
      </c>
      <c r="M211" s="990">
        <v>0</v>
      </c>
      <c r="N211" s="994">
        <v>0</v>
      </c>
      <c r="O211" s="994">
        <v>0</v>
      </c>
      <c r="P211" s="990">
        <v>67851632</v>
      </c>
      <c r="Q211" s="990">
        <v>197608</v>
      </c>
      <c r="R211" s="991">
        <v>99309703</v>
      </c>
      <c r="S211" s="992">
        <v>262132</v>
      </c>
    </row>
    <row r="212" spans="1:19" ht="45" x14ac:dyDescent="0.25">
      <c r="A212" s="989" t="s">
        <v>4956</v>
      </c>
      <c r="B212" s="989" t="s">
        <v>1753</v>
      </c>
      <c r="C212" s="989" t="s">
        <v>1726</v>
      </c>
      <c r="D212" s="989" t="s">
        <v>281</v>
      </c>
      <c r="E212" s="989" t="s">
        <v>1974</v>
      </c>
      <c r="F212" s="990">
        <v>21219513</v>
      </c>
      <c r="G212" s="990">
        <v>63619</v>
      </c>
      <c r="H212" s="990">
        <v>14650166</v>
      </c>
      <c r="I212" s="990">
        <v>53373</v>
      </c>
      <c r="J212" s="990">
        <v>95269978</v>
      </c>
      <c r="K212" s="990">
        <v>270415</v>
      </c>
      <c r="L212" s="990">
        <v>4234039</v>
      </c>
      <c r="M212" s="990">
        <v>7376</v>
      </c>
      <c r="N212" s="994">
        <v>0</v>
      </c>
      <c r="O212" s="994">
        <v>0</v>
      </c>
      <c r="P212" s="990">
        <v>114154183</v>
      </c>
      <c r="Q212" s="990">
        <v>331164</v>
      </c>
      <c r="R212" s="991">
        <v>135373696</v>
      </c>
      <c r="S212" s="992">
        <v>394783</v>
      </c>
    </row>
    <row r="213" spans="1:19" ht="22.5" x14ac:dyDescent="0.25">
      <c r="A213" s="989" t="s">
        <v>4956</v>
      </c>
      <c r="B213" s="989" t="s">
        <v>1753</v>
      </c>
      <c r="C213" s="989" t="s">
        <v>297</v>
      </c>
      <c r="D213" s="989" t="s">
        <v>297</v>
      </c>
      <c r="E213" s="989" t="s">
        <v>1975</v>
      </c>
      <c r="F213" s="990">
        <v>9437184</v>
      </c>
      <c r="G213" s="990">
        <v>0</v>
      </c>
      <c r="H213" s="990">
        <v>41090055</v>
      </c>
      <c r="I213" s="990">
        <v>0</v>
      </c>
      <c r="J213" s="990">
        <v>0</v>
      </c>
      <c r="K213" s="990">
        <v>0</v>
      </c>
      <c r="L213" s="990">
        <v>0</v>
      </c>
      <c r="M213" s="990">
        <v>0</v>
      </c>
      <c r="N213" s="994">
        <v>0</v>
      </c>
      <c r="O213" s="994">
        <v>0</v>
      </c>
      <c r="P213" s="990">
        <v>41090055</v>
      </c>
      <c r="Q213" s="990">
        <v>0</v>
      </c>
      <c r="R213" s="991">
        <v>50527239</v>
      </c>
      <c r="S213" s="992">
        <v>0</v>
      </c>
    </row>
    <row r="214" spans="1:19" ht="22.5" x14ac:dyDescent="0.25">
      <c r="A214" s="989" t="s">
        <v>4956</v>
      </c>
      <c r="B214" s="989" t="s">
        <v>1753</v>
      </c>
      <c r="C214" s="989" t="s">
        <v>4976</v>
      </c>
      <c r="D214" s="989" t="s">
        <v>4976</v>
      </c>
      <c r="E214" s="989" t="s">
        <v>5029</v>
      </c>
      <c r="F214" s="990">
        <v>0</v>
      </c>
      <c r="G214" s="990">
        <v>0</v>
      </c>
      <c r="H214" s="990">
        <v>0</v>
      </c>
      <c r="I214" s="990">
        <v>0</v>
      </c>
      <c r="J214" s="990">
        <v>0</v>
      </c>
      <c r="K214" s="990">
        <v>0</v>
      </c>
      <c r="L214" s="990">
        <v>0</v>
      </c>
      <c r="M214" s="990">
        <v>0</v>
      </c>
      <c r="N214" s="994">
        <v>44894120</v>
      </c>
      <c r="O214" s="994">
        <v>128188</v>
      </c>
      <c r="P214" s="990">
        <v>0</v>
      </c>
      <c r="Q214" s="990">
        <v>0</v>
      </c>
      <c r="R214" s="991">
        <v>0</v>
      </c>
      <c r="S214" s="992">
        <v>0</v>
      </c>
    </row>
    <row r="215" spans="1:19" ht="22.5" x14ac:dyDescent="0.25">
      <c r="A215" s="989" t="s">
        <v>4956</v>
      </c>
      <c r="B215" s="989" t="s">
        <v>1753</v>
      </c>
      <c r="C215" s="989" t="s">
        <v>316</v>
      </c>
      <c r="D215" s="989" t="s">
        <v>316</v>
      </c>
      <c r="E215" s="989" t="s">
        <v>1976</v>
      </c>
      <c r="F215" s="990">
        <v>5206973</v>
      </c>
      <c r="G215" s="990">
        <v>0</v>
      </c>
      <c r="H215" s="990">
        <v>188487470</v>
      </c>
      <c r="I215" s="990">
        <v>0</v>
      </c>
      <c r="J215" s="990">
        <v>0</v>
      </c>
      <c r="K215" s="990">
        <v>0</v>
      </c>
      <c r="L215" s="990">
        <v>0</v>
      </c>
      <c r="M215" s="990">
        <v>0</v>
      </c>
      <c r="N215" s="994">
        <v>0</v>
      </c>
      <c r="O215" s="994">
        <v>0</v>
      </c>
      <c r="P215" s="990">
        <v>188487470</v>
      </c>
      <c r="Q215" s="990">
        <v>0</v>
      </c>
      <c r="R215" s="991">
        <v>193694443</v>
      </c>
      <c r="S215" s="992">
        <v>0</v>
      </c>
    </row>
    <row r="216" spans="1:19" ht="33.75" x14ac:dyDescent="0.25">
      <c r="A216" s="989" t="s">
        <v>4956</v>
      </c>
      <c r="B216" s="989" t="s">
        <v>1753</v>
      </c>
      <c r="C216" s="989" t="s">
        <v>1733</v>
      </c>
      <c r="D216" s="989" t="s">
        <v>325</v>
      </c>
      <c r="E216" s="989" t="s">
        <v>1977</v>
      </c>
      <c r="F216" s="990">
        <v>23357</v>
      </c>
      <c r="G216" s="990">
        <v>65</v>
      </c>
      <c r="H216" s="990">
        <v>236881</v>
      </c>
      <c r="I216" s="990">
        <v>639</v>
      </c>
      <c r="J216" s="990">
        <v>0</v>
      </c>
      <c r="K216" s="990">
        <v>0</v>
      </c>
      <c r="L216" s="990">
        <v>0</v>
      </c>
      <c r="M216" s="990">
        <v>0</v>
      </c>
      <c r="N216" s="994">
        <v>0</v>
      </c>
      <c r="O216" s="994">
        <v>0</v>
      </c>
      <c r="P216" s="990">
        <v>236881</v>
      </c>
      <c r="Q216" s="990">
        <v>639</v>
      </c>
      <c r="R216" s="991">
        <v>260238</v>
      </c>
      <c r="S216" s="992">
        <v>704</v>
      </c>
    </row>
    <row r="217" spans="1:19" ht="22.5" x14ac:dyDescent="0.25">
      <c r="A217" s="989" t="s">
        <v>4956</v>
      </c>
      <c r="B217" s="989" t="s">
        <v>1753</v>
      </c>
      <c r="C217" s="989" t="s">
        <v>1730</v>
      </c>
      <c r="D217" s="989" t="s">
        <v>341</v>
      </c>
      <c r="E217" s="989" t="s">
        <v>1978</v>
      </c>
      <c r="F217" s="990">
        <v>0</v>
      </c>
      <c r="G217" s="990">
        <v>0</v>
      </c>
      <c r="H217" s="990">
        <v>0</v>
      </c>
      <c r="I217" s="990">
        <v>0</v>
      </c>
      <c r="J217" s="990">
        <v>1128400</v>
      </c>
      <c r="K217" s="990">
        <v>3155</v>
      </c>
      <c r="L217" s="990">
        <v>0</v>
      </c>
      <c r="M217" s="990">
        <v>0</v>
      </c>
      <c r="N217" s="994">
        <v>0</v>
      </c>
      <c r="O217" s="994">
        <v>0</v>
      </c>
      <c r="P217" s="990">
        <v>1128400</v>
      </c>
      <c r="Q217" s="990">
        <v>3155</v>
      </c>
      <c r="R217" s="991">
        <v>1128400</v>
      </c>
      <c r="S217" s="992">
        <v>3155</v>
      </c>
    </row>
    <row r="218" spans="1:19" ht="33.75" x14ac:dyDescent="0.25">
      <c r="A218" s="989" t="s">
        <v>4956</v>
      </c>
      <c r="B218" s="989" t="s">
        <v>1753</v>
      </c>
      <c r="C218" s="989" t="s">
        <v>1734</v>
      </c>
      <c r="D218" s="989" t="s">
        <v>343</v>
      </c>
      <c r="E218" s="989" t="s">
        <v>1979</v>
      </c>
      <c r="F218" s="990">
        <v>40140</v>
      </c>
      <c r="G218" s="990">
        <v>0</v>
      </c>
      <c r="H218" s="990">
        <v>894574</v>
      </c>
      <c r="I218" s="990">
        <v>0</v>
      </c>
      <c r="J218" s="990">
        <v>0</v>
      </c>
      <c r="K218" s="990">
        <v>0</v>
      </c>
      <c r="L218" s="990">
        <v>0</v>
      </c>
      <c r="M218" s="990">
        <v>0</v>
      </c>
      <c r="N218" s="994">
        <v>0</v>
      </c>
      <c r="O218" s="994">
        <v>0</v>
      </c>
      <c r="P218" s="990">
        <v>894574</v>
      </c>
      <c r="Q218" s="990">
        <v>0</v>
      </c>
      <c r="R218" s="991">
        <v>934714</v>
      </c>
      <c r="S218" s="992">
        <v>0</v>
      </c>
    </row>
    <row r="219" spans="1:19" ht="45" x14ac:dyDescent="0.25">
      <c r="A219" s="989" t="s">
        <v>4956</v>
      </c>
      <c r="B219" s="989" t="s">
        <v>2974</v>
      </c>
      <c r="C219" s="989" t="s">
        <v>1726</v>
      </c>
      <c r="D219" s="989" t="s">
        <v>258</v>
      </c>
      <c r="E219" s="989" t="s">
        <v>5030</v>
      </c>
      <c r="F219" s="990">
        <v>0</v>
      </c>
      <c r="G219" s="990">
        <v>0</v>
      </c>
      <c r="H219" s="990">
        <v>0</v>
      </c>
      <c r="I219" s="990">
        <v>0</v>
      </c>
      <c r="J219" s="990">
        <v>19768633</v>
      </c>
      <c r="K219" s="990">
        <v>51391</v>
      </c>
      <c r="L219" s="990">
        <v>0</v>
      </c>
      <c r="M219" s="990">
        <v>0</v>
      </c>
      <c r="N219" s="994">
        <v>0</v>
      </c>
      <c r="O219" s="994">
        <v>0</v>
      </c>
      <c r="P219" s="990">
        <v>19768633</v>
      </c>
      <c r="Q219" s="990">
        <v>51391</v>
      </c>
      <c r="R219" s="991">
        <v>19768633</v>
      </c>
      <c r="S219" s="992">
        <v>51391</v>
      </c>
    </row>
    <row r="220" spans="1:19" ht="45" x14ac:dyDescent="0.25">
      <c r="A220" s="989" t="s">
        <v>4956</v>
      </c>
      <c r="B220" s="989" t="s">
        <v>2974</v>
      </c>
      <c r="C220" s="989" t="s">
        <v>1726</v>
      </c>
      <c r="D220" s="989" t="s">
        <v>268</v>
      </c>
      <c r="E220" s="989" t="s">
        <v>2935</v>
      </c>
      <c r="F220" s="990">
        <v>2598900</v>
      </c>
      <c r="G220" s="990">
        <v>7405</v>
      </c>
      <c r="H220" s="990">
        <v>3844350</v>
      </c>
      <c r="I220" s="990">
        <v>15231</v>
      </c>
      <c r="J220" s="990">
        <v>18492962</v>
      </c>
      <c r="K220" s="990">
        <v>45852</v>
      </c>
      <c r="L220" s="990">
        <v>0</v>
      </c>
      <c r="M220" s="990">
        <v>0</v>
      </c>
      <c r="N220" s="994">
        <v>0</v>
      </c>
      <c r="O220" s="994">
        <v>0</v>
      </c>
      <c r="P220" s="990">
        <v>22337312</v>
      </c>
      <c r="Q220" s="990">
        <v>61083</v>
      </c>
      <c r="R220" s="991">
        <v>24936212</v>
      </c>
      <c r="S220" s="992">
        <v>68488</v>
      </c>
    </row>
    <row r="221" spans="1:19" ht="33.75" x14ac:dyDescent="0.25">
      <c r="A221" s="989" t="s">
        <v>4956</v>
      </c>
      <c r="B221" s="989" t="s">
        <v>2974</v>
      </c>
      <c r="C221" s="989" t="s">
        <v>297</v>
      </c>
      <c r="D221" s="989" t="s">
        <v>297</v>
      </c>
      <c r="E221" s="989" t="s">
        <v>2936</v>
      </c>
      <c r="F221" s="990">
        <v>1196402</v>
      </c>
      <c r="G221" s="990">
        <v>0</v>
      </c>
      <c r="H221" s="990">
        <v>9123866</v>
      </c>
      <c r="I221" s="990">
        <v>0</v>
      </c>
      <c r="J221" s="990">
        <v>135</v>
      </c>
      <c r="K221" s="990">
        <v>0</v>
      </c>
      <c r="L221" s="990">
        <v>0</v>
      </c>
      <c r="M221" s="990">
        <v>0</v>
      </c>
      <c r="N221" s="994">
        <v>0</v>
      </c>
      <c r="O221" s="994">
        <v>0</v>
      </c>
      <c r="P221" s="990">
        <v>9124001</v>
      </c>
      <c r="Q221" s="990">
        <v>0</v>
      </c>
      <c r="R221" s="991">
        <v>10320403</v>
      </c>
      <c r="S221" s="992">
        <v>0</v>
      </c>
    </row>
    <row r="222" spans="1:19" ht="33.75" x14ac:dyDescent="0.25">
      <c r="A222" s="989" t="s">
        <v>4956</v>
      </c>
      <c r="B222" s="989" t="s">
        <v>2974</v>
      </c>
      <c r="C222" s="989" t="s">
        <v>4976</v>
      </c>
      <c r="D222" s="989" t="s">
        <v>4976</v>
      </c>
      <c r="E222" s="989" t="s">
        <v>5031</v>
      </c>
      <c r="F222" s="990">
        <v>0</v>
      </c>
      <c r="G222" s="990">
        <v>0</v>
      </c>
      <c r="H222" s="990">
        <v>0</v>
      </c>
      <c r="I222" s="990">
        <v>0</v>
      </c>
      <c r="J222" s="990">
        <v>0</v>
      </c>
      <c r="K222" s="990">
        <v>0</v>
      </c>
      <c r="L222" s="990">
        <v>0</v>
      </c>
      <c r="M222" s="990">
        <v>0</v>
      </c>
      <c r="N222" s="996"/>
      <c r="O222" s="996"/>
      <c r="P222" s="990">
        <v>0</v>
      </c>
      <c r="Q222" s="990">
        <v>0</v>
      </c>
      <c r="R222" s="991">
        <v>0</v>
      </c>
      <c r="S222" s="992">
        <v>0</v>
      </c>
    </row>
    <row r="223" spans="1:19" ht="33.75" x14ac:dyDescent="0.25">
      <c r="A223" s="989" t="s">
        <v>4956</v>
      </c>
      <c r="B223" s="989" t="s">
        <v>2974</v>
      </c>
      <c r="C223" s="989" t="s">
        <v>316</v>
      </c>
      <c r="D223" s="989" t="s">
        <v>316</v>
      </c>
      <c r="E223" s="989" t="s">
        <v>2937</v>
      </c>
      <c r="F223" s="990">
        <v>214010</v>
      </c>
      <c r="G223" s="990">
        <v>0</v>
      </c>
      <c r="H223" s="990">
        <v>21563271</v>
      </c>
      <c r="I223" s="990">
        <v>0</v>
      </c>
      <c r="J223" s="990">
        <v>0</v>
      </c>
      <c r="K223" s="990">
        <v>0</v>
      </c>
      <c r="L223" s="990">
        <v>0</v>
      </c>
      <c r="M223" s="990">
        <v>0</v>
      </c>
      <c r="N223" s="994">
        <v>0</v>
      </c>
      <c r="O223" s="994">
        <v>0</v>
      </c>
      <c r="P223" s="990">
        <v>21563271</v>
      </c>
      <c r="Q223" s="990">
        <v>0</v>
      </c>
      <c r="R223" s="991">
        <v>21777281</v>
      </c>
      <c r="S223" s="992">
        <v>0</v>
      </c>
    </row>
    <row r="224" spans="1:19" ht="33.75" x14ac:dyDescent="0.25">
      <c r="A224" s="989" t="s">
        <v>4956</v>
      </c>
      <c r="B224" s="989" t="s">
        <v>2974</v>
      </c>
      <c r="C224" s="989" t="s">
        <v>1733</v>
      </c>
      <c r="D224" s="989" t="s">
        <v>325</v>
      </c>
      <c r="E224" s="989" t="s">
        <v>2938</v>
      </c>
      <c r="F224" s="990">
        <v>2160</v>
      </c>
      <c r="G224" s="990">
        <v>0</v>
      </c>
      <c r="H224" s="990">
        <v>0</v>
      </c>
      <c r="I224" s="990">
        <v>0</v>
      </c>
      <c r="J224" s="990">
        <v>0</v>
      </c>
      <c r="K224" s="990">
        <v>0</v>
      </c>
      <c r="L224" s="990">
        <v>0</v>
      </c>
      <c r="M224" s="990">
        <v>0</v>
      </c>
      <c r="N224" s="994">
        <v>0</v>
      </c>
      <c r="O224" s="994">
        <v>0</v>
      </c>
      <c r="P224" s="990">
        <v>0</v>
      </c>
      <c r="Q224" s="990">
        <v>0</v>
      </c>
      <c r="R224" s="991">
        <v>2160</v>
      </c>
      <c r="S224" s="992">
        <v>0</v>
      </c>
    </row>
    <row r="225" spans="1:19" ht="33.75" x14ac:dyDescent="0.25">
      <c r="A225" s="989" t="s">
        <v>4956</v>
      </c>
      <c r="B225" s="989" t="s">
        <v>2974</v>
      </c>
      <c r="C225" s="989" t="s">
        <v>1730</v>
      </c>
      <c r="D225" s="989" t="s">
        <v>341</v>
      </c>
      <c r="E225" s="989" t="s">
        <v>2939</v>
      </c>
      <c r="F225" s="990">
        <v>448057</v>
      </c>
      <c r="G225" s="990">
        <v>1243</v>
      </c>
      <c r="H225" s="990">
        <v>0</v>
      </c>
      <c r="I225" s="990">
        <v>0</v>
      </c>
      <c r="J225" s="990">
        <v>0</v>
      </c>
      <c r="K225" s="990">
        <v>0</v>
      </c>
      <c r="L225" s="990">
        <v>0</v>
      </c>
      <c r="M225" s="990">
        <v>0</v>
      </c>
      <c r="N225" s="994">
        <v>0</v>
      </c>
      <c r="O225" s="994">
        <v>0</v>
      </c>
      <c r="P225" s="990">
        <v>0</v>
      </c>
      <c r="Q225" s="990">
        <v>0</v>
      </c>
      <c r="R225" s="991">
        <v>448057</v>
      </c>
      <c r="S225" s="992">
        <v>1243</v>
      </c>
    </row>
    <row r="226" spans="1:19" ht="45" x14ac:dyDescent="0.25">
      <c r="A226" s="989" t="s">
        <v>4956</v>
      </c>
      <c r="B226" s="989" t="s">
        <v>2975</v>
      </c>
      <c r="C226" s="989" t="s">
        <v>1726</v>
      </c>
      <c r="D226" s="989" t="s">
        <v>277</v>
      </c>
      <c r="E226" s="989" t="s">
        <v>2976</v>
      </c>
      <c r="F226" s="990">
        <v>225470</v>
      </c>
      <c r="G226" s="990">
        <v>0</v>
      </c>
      <c r="H226" s="990">
        <v>2227181</v>
      </c>
      <c r="I226" s="990">
        <v>5327</v>
      </c>
      <c r="J226" s="990">
        <v>952697</v>
      </c>
      <c r="K226" s="990">
        <v>0</v>
      </c>
      <c r="L226" s="990">
        <v>0</v>
      </c>
      <c r="M226" s="990">
        <v>0</v>
      </c>
      <c r="N226" s="994">
        <v>0</v>
      </c>
      <c r="O226" s="994">
        <v>0</v>
      </c>
      <c r="P226" s="990">
        <v>3179878</v>
      </c>
      <c r="Q226" s="990">
        <v>5327</v>
      </c>
      <c r="R226" s="991">
        <v>3405348</v>
      </c>
      <c r="S226" s="992">
        <v>5327</v>
      </c>
    </row>
    <row r="227" spans="1:19" ht="22.5" x14ac:dyDescent="0.25">
      <c r="A227" s="989" t="s">
        <v>4956</v>
      </c>
      <c r="B227" s="989" t="s">
        <v>2975</v>
      </c>
      <c r="C227" s="989" t="s">
        <v>297</v>
      </c>
      <c r="D227" s="989" t="s">
        <v>297</v>
      </c>
      <c r="E227" s="989" t="s">
        <v>2977</v>
      </c>
      <c r="F227" s="990">
        <v>378256</v>
      </c>
      <c r="G227" s="990">
        <v>0</v>
      </c>
      <c r="H227" s="990">
        <v>3549617</v>
      </c>
      <c r="I227" s="990">
        <v>0</v>
      </c>
      <c r="J227" s="990">
        <v>118675</v>
      </c>
      <c r="K227" s="990">
        <v>0</v>
      </c>
      <c r="L227" s="990">
        <v>0</v>
      </c>
      <c r="M227" s="990">
        <v>0</v>
      </c>
      <c r="N227" s="994">
        <v>0</v>
      </c>
      <c r="O227" s="994">
        <v>0</v>
      </c>
      <c r="P227" s="990">
        <v>3668292</v>
      </c>
      <c r="Q227" s="990">
        <v>0</v>
      </c>
      <c r="R227" s="991">
        <v>4046548</v>
      </c>
      <c r="S227" s="992">
        <v>0</v>
      </c>
    </row>
    <row r="228" spans="1:19" ht="22.5" x14ac:dyDescent="0.25">
      <c r="A228" s="989" t="s">
        <v>4956</v>
      </c>
      <c r="B228" s="989" t="s">
        <v>2975</v>
      </c>
      <c r="C228" s="989" t="s">
        <v>4976</v>
      </c>
      <c r="D228" s="989" t="s">
        <v>4976</v>
      </c>
      <c r="E228" s="989" t="s">
        <v>5032</v>
      </c>
      <c r="F228" s="990">
        <v>0</v>
      </c>
      <c r="G228" s="990">
        <v>0</v>
      </c>
      <c r="H228" s="990">
        <v>0</v>
      </c>
      <c r="I228" s="990">
        <v>0</v>
      </c>
      <c r="J228" s="990">
        <v>0</v>
      </c>
      <c r="K228" s="990">
        <v>0</v>
      </c>
      <c r="L228" s="990">
        <v>0</v>
      </c>
      <c r="M228" s="990">
        <v>0</v>
      </c>
      <c r="N228" s="994">
        <v>0</v>
      </c>
      <c r="O228" s="994">
        <v>0</v>
      </c>
      <c r="P228" s="990">
        <v>0</v>
      </c>
      <c r="Q228" s="990">
        <v>0</v>
      </c>
      <c r="R228" s="991">
        <v>0</v>
      </c>
      <c r="S228" s="992">
        <v>0</v>
      </c>
    </row>
    <row r="229" spans="1:19" ht="22.5" x14ac:dyDescent="0.25">
      <c r="A229" s="989" t="s">
        <v>4956</v>
      </c>
      <c r="B229" s="989" t="s">
        <v>2975</v>
      </c>
      <c r="C229" s="989" t="s">
        <v>316</v>
      </c>
      <c r="D229" s="989" t="s">
        <v>316</v>
      </c>
      <c r="E229" s="989" t="s">
        <v>2978</v>
      </c>
      <c r="F229" s="990">
        <v>187609</v>
      </c>
      <c r="G229" s="990">
        <v>0</v>
      </c>
      <c r="H229" s="990">
        <v>1103056</v>
      </c>
      <c r="I229" s="990">
        <v>0</v>
      </c>
      <c r="J229" s="990">
        <v>101620</v>
      </c>
      <c r="K229" s="990">
        <v>0</v>
      </c>
      <c r="L229" s="990">
        <v>0</v>
      </c>
      <c r="M229" s="990">
        <v>0</v>
      </c>
      <c r="N229" s="994">
        <v>0</v>
      </c>
      <c r="O229" s="994">
        <v>0</v>
      </c>
      <c r="P229" s="990">
        <v>1204676</v>
      </c>
      <c r="Q229" s="990">
        <v>0</v>
      </c>
      <c r="R229" s="991">
        <v>1392285</v>
      </c>
      <c r="S229" s="992">
        <v>0</v>
      </c>
    </row>
    <row r="230" spans="1:19" ht="22.5" x14ac:dyDescent="0.25">
      <c r="A230" s="989" t="s">
        <v>4956</v>
      </c>
      <c r="B230" s="989" t="s">
        <v>2975</v>
      </c>
      <c r="C230" s="989" t="s">
        <v>1730</v>
      </c>
      <c r="D230" s="989" t="s">
        <v>341</v>
      </c>
      <c r="E230" s="989" t="s">
        <v>2979</v>
      </c>
      <c r="F230" s="990">
        <v>0</v>
      </c>
      <c r="G230" s="990">
        <v>0</v>
      </c>
      <c r="H230" s="990">
        <v>0</v>
      </c>
      <c r="I230" s="990">
        <v>0</v>
      </c>
      <c r="J230" s="990">
        <v>135664</v>
      </c>
      <c r="K230" s="990">
        <v>389.4</v>
      </c>
      <c r="L230" s="990">
        <v>0</v>
      </c>
      <c r="M230" s="990">
        <v>0</v>
      </c>
      <c r="N230" s="994">
        <v>0</v>
      </c>
      <c r="O230" s="994">
        <v>0</v>
      </c>
      <c r="P230" s="990">
        <v>135664</v>
      </c>
      <c r="Q230" s="990">
        <v>389.4</v>
      </c>
      <c r="R230" s="991">
        <v>135664</v>
      </c>
      <c r="S230" s="992">
        <v>389.4</v>
      </c>
    </row>
    <row r="231" spans="1:19" ht="33.75" x14ac:dyDescent="0.25">
      <c r="A231" s="989" t="s">
        <v>4956</v>
      </c>
      <c r="B231" s="989" t="s">
        <v>2975</v>
      </c>
      <c r="C231" s="989" t="s">
        <v>1734</v>
      </c>
      <c r="D231" s="989" t="s">
        <v>343</v>
      </c>
      <c r="E231" s="989" t="s">
        <v>2980</v>
      </c>
      <c r="F231" s="990">
        <v>0</v>
      </c>
      <c r="G231" s="990">
        <v>0</v>
      </c>
      <c r="H231" s="990">
        <v>16980</v>
      </c>
      <c r="I231" s="990">
        <v>0</v>
      </c>
      <c r="J231" s="990">
        <v>0</v>
      </c>
      <c r="K231" s="990">
        <v>0</v>
      </c>
      <c r="L231" s="990">
        <v>0</v>
      </c>
      <c r="M231" s="990">
        <v>0</v>
      </c>
      <c r="N231" s="994">
        <v>0</v>
      </c>
      <c r="O231" s="994">
        <v>0</v>
      </c>
      <c r="P231" s="990">
        <v>16980</v>
      </c>
      <c r="Q231" s="990">
        <v>0</v>
      </c>
      <c r="R231" s="991">
        <v>16980</v>
      </c>
      <c r="S231" s="992">
        <v>0</v>
      </c>
    </row>
    <row r="232" spans="1:19" ht="45" x14ac:dyDescent="0.25">
      <c r="A232" s="989" t="s">
        <v>4956</v>
      </c>
      <c r="B232" s="989" t="s">
        <v>1754</v>
      </c>
      <c r="C232" s="989" t="s">
        <v>1726</v>
      </c>
      <c r="D232" s="989" t="s">
        <v>277</v>
      </c>
      <c r="E232" s="989" t="s">
        <v>1980</v>
      </c>
      <c r="F232" s="990">
        <v>7637920</v>
      </c>
      <c r="G232" s="990">
        <v>17702</v>
      </c>
      <c r="H232" s="990">
        <v>0</v>
      </c>
      <c r="I232" s="990">
        <v>0</v>
      </c>
      <c r="J232" s="990">
        <v>65784148</v>
      </c>
      <c r="K232" s="990">
        <v>169510</v>
      </c>
      <c r="L232" s="990">
        <v>0</v>
      </c>
      <c r="M232" s="990">
        <v>0</v>
      </c>
      <c r="N232" s="994">
        <v>0</v>
      </c>
      <c r="O232" s="994">
        <v>0</v>
      </c>
      <c r="P232" s="990">
        <v>65784148</v>
      </c>
      <c r="Q232" s="990">
        <v>169510</v>
      </c>
      <c r="R232" s="991">
        <v>73422068</v>
      </c>
      <c r="S232" s="992">
        <v>187212.4</v>
      </c>
    </row>
    <row r="233" spans="1:19" ht="22.5" x14ac:dyDescent="0.25">
      <c r="A233" s="989" t="s">
        <v>4956</v>
      </c>
      <c r="B233" s="989" t="s">
        <v>1754</v>
      </c>
      <c r="C233" s="989" t="s">
        <v>297</v>
      </c>
      <c r="D233" s="989" t="s">
        <v>297</v>
      </c>
      <c r="E233" s="989" t="s">
        <v>1981</v>
      </c>
      <c r="F233" s="990">
        <v>3172567</v>
      </c>
      <c r="G233" s="990">
        <v>0</v>
      </c>
      <c r="H233" s="990">
        <v>14622019</v>
      </c>
      <c r="I233" s="990">
        <v>0</v>
      </c>
      <c r="J233" s="990">
        <v>0</v>
      </c>
      <c r="K233" s="990">
        <v>0</v>
      </c>
      <c r="L233" s="990">
        <v>0</v>
      </c>
      <c r="M233" s="990">
        <v>0</v>
      </c>
      <c r="N233" s="994">
        <v>0</v>
      </c>
      <c r="O233" s="994">
        <v>0</v>
      </c>
      <c r="P233" s="990">
        <v>14622019</v>
      </c>
      <c r="Q233" s="990">
        <v>0</v>
      </c>
      <c r="R233" s="991">
        <v>17794586</v>
      </c>
      <c r="S233" s="992">
        <v>0</v>
      </c>
    </row>
    <row r="234" spans="1:19" ht="22.5" x14ac:dyDescent="0.25">
      <c r="A234" s="989" t="s">
        <v>4956</v>
      </c>
      <c r="B234" s="989" t="s">
        <v>1754</v>
      </c>
      <c r="C234" s="989" t="s">
        <v>4976</v>
      </c>
      <c r="D234" s="989" t="s">
        <v>4976</v>
      </c>
      <c r="E234" s="989" t="s">
        <v>5033</v>
      </c>
      <c r="F234" s="990">
        <v>0</v>
      </c>
      <c r="G234" s="990">
        <v>0</v>
      </c>
      <c r="H234" s="990">
        <v>0</v>
      </c>
      <c r="I234" s="990">
        <v>0</v>
      </c>
      <c r="J234" s="990">
        <v>0</v>
      </c>
      <c r="K234" s="990">
        <v>0</v>
      </c>
      <c r="L234" s="990">
        <v>0</v>
      </c>
      <c r="M234" s="990">
        <v>0</v>
      </c>
      <c r="N234" s="994">
        <v>6068661.5</v>
      </c>
      <c r="O234" s="994">
        <v>14240.83984375</v>
      </c>
      <c r="P234" s="990">
        <v>0</v>
      </c>
      <c r="Q234" s="990">
        <v>0</v>
      </c>
      <c r="R234" s="991">
        <v>0</v>
      </c>
      <c r="S234" s="992">
        <v>0</v>
      </c>
    </row>
    <row r="235" spans="1:19" ht="22.5" x14ac:dyDescent="0.25">
      <c r="A235" s="989" t="s">
        <v>4956</v>
      </c>
      <c r="B235" s="989" t="s">
        <v>1754</v>
      </c>
      <c r="C235" s="989" t="s">
        <v>316</v>
      </c>
      <c r="D235" s="989" t="s">
        <v>316</v>
      </c>
      <c r="E235" s="989" t="s">
        <v>1982</v>
      </c>
      <c r="F235" s="990">
        <v>1008426.23</v>
      </c>
      <c r="G235" s="990">
        <v>0</v>
      </c>
      <c r="H235" s="990">
        <v>45864078</v>
      </c>
      <c r="I235" s="990">
        <v>0</v>
      </c>
      <c r="J235" s="990">
        <v>0</v>
      </c>
      <c r="K235" s="990">
        <v>0</v>
      </c>
      <c r="L235" s="990">
        <v>0</v>
      </c>
      <c r="M235" s="990">
        <v>0</v>
      </c>
      <c r="N235" s="994">
        <v>0</v>
      </c>
      <c r="O235" s="994">
        <v>0</v>
      </c>
      <c r="P235" s="990">
        <v>45864078</v>
      </c>
      <c r="Q235" s="990">
        <v>0</v>
      </c>
      <c r="R235" s="991">
        <v>46872504.229999997</v>
      </c>
      <c r="S235" s="992">
        <v>0</v>
      </c>
    </row>
    <row r="236" spans="1:19" ht="33.75" x14ac:dyDescent="0.25">
      <c r="A236" s="989" t="s">
        <v>4956</v>
      </c>
      <c r="B236" s="989" t="s">
        <v>1754</v>
      </c>
      <c r="C236" s="989" t="s">
        <v>1733</v>
      </c>
      <c r="D236" s="989" t="s">
        <v>325</v>
      </c>
      <c r="E236" s="989" t="s">
        <v>1983</v>
      </c>
      <c r="F236" s="990">
        <v>5028.5</v>
      </c>
      <c r="G236" s="990">
        <v>0</v>
      </c>
      <c r="H236" s="990">
        <v>63022</v>
      </c>
      <c r="I236" s="990">
        <v>199</v>
      </c>
      <c r="J236" s="990">
        <v>0</v>
      </c>
      <c r="K236" s="990">
        <v>0</v>
      </c>
      <c r="L236" s="990">
        <v>0</v>
      </c>
      <c r="M236" s="990">
        <v>0</v>
      </c>
      <c r="N236" s="994">
        <v>0</v>
      </c>
      <c r="O236" s="994">
        <v>0</v>
      </c>
      <c r="P236" s="990">
        <v>63022</v>
      </c>
      <c r="Q236" s="990">
        <v>199</v>
      </c>
      <c r="R236" s="991">
        <v>68050.5</v>
      </c>
      <c r="S236" s="992">
        <v>199</v>
      </c>
    </row>
    <row r="237" spans="1:19" ht="22.5" x14ac:dyDescent="0.25">
      <c r="A237" s="989" t="s">
        <v>4956</v>
      </c>
      <c r="B237" s="989" t="s">
        <v>1754</v>
      </c>
      <c r="C237" s="989" t="s">
        <v>1730</v>
      </c>
      <c r="D237" s="989" t="s">
        <v>341</v>
      </c>
      <c r="E237" s="989" t="s">
        <v>1984</v>
      </c>
      <c r="F237" s="990">
        <v>0</v>
      </c>
      <c r="G237" s="990">
        <v>0</v>
      </c>
      <c r="H237" s="990">
        <v>0</v>
      </c>
      <c r="I237" s="990">
        <v>0</v>
      </c>
      <c r="J237" s="990">
        <v>497608</v>
      </c>
      <c r="K237" s="990">
        <v>1381</v>
      </c>
      <c r="L237" s="990">
        <v>0</v>
      </c>
      <c r="M237" s="990">
        <v>0</v>
      </c>
      <c r="N237" s="994">
        <v>0</v>
      </c>
      <c r="O237" s="994">
        <v>0</v>
      </c>
      <c r="P237" s="990">
        <v>497608</v>
      </c>
      <c r="Q237" s="990">
        <v>1381</v>
      </c>
      <c r="R237" s="991">
        <v>497608</v>
      </c>
      <c r="S237" s="992">
        <v>1381</v>
      </c>
    </row>
    <row r="238" spans="1:19" ht="33.75" x14ac:dyDescent="0.25">
      <c r="A238" s="989" t="s">
        <v>4956</v>
      </c>
      <c r="B238" s="989" t="s">
        <v>1754</v>
      </c>
      <c r="C238" s="989" t="s">
        <v>1734</v>
      </c>
      <c r="D238" s="989" t="s">
        <v>343</v>
      </c>
      <c r="E238" s="989" t="s">
        <v>1985</v>
      </c>
      <c r="F238" s="990">
        <v>0</v>
      </c>
      <c r="G238" s="990">
        <v>0</v>
      </c>
      <c r="H238" s="990">
        <v>302268</v>
      </c>
      <c r="I238" s="990">
        <v>0</v>
      </c>
      <c r="J238" s="990">
        <v>0</v>
      </c>
      <c r="K238" s="990">
        <v>0</v>
      </c>
      <c r="L238" s="990">
        <v>0</v>
      </c>
      <c r="M238" s="990">
        <v>0</v>
      </c>
      <c r="N238" s="994">
        <v>0</v>
      </c>
      <c r="O238" s="994">
        <v>0</v>
      </c>
      <c r="P238" s="990">
        <v>302268</v>
      </c>
      <c r="Q238" s="990">
        <v>0</v>
      </c>
      <c r="R238" s="991">
        <v>302268</v>
      </c>
      <c r="S238" s="992">
        <v>0</v>
      </c>
    </row>
    <row r="239" spans="1:19" ht="22.5" x14ac:dyDescent="0.25">
      <c r="A239" s="989" t="s">
        <v>4956</v>
      </c>
      <c r="B239" s="989" t="s">
        <v>1755</v>
      </c>
      <c r="C239" s="989" t="s">
        <v>1736</v>
      </c>
      <c r="D239" s="989" t="s">
        <v>1867</v>
      </c>
      <c r="E239" s="989" t="s">
        <v>1986</v>
      </c>
      <c r="F239" s="990">
        <v>0</v>
      </c>
      <c r="G239" s="990">
        <v>0</v>
      </c>
      <c r="H239" s="990">
        <v>0</v>
      </c>
      <c r="I239" s="990">
        <v>0</v>
      </c>
      <c r="J239" s="990">
        <v>1339339850.75</v>
      </c>
      <c r="K239" s="990">
        <v>2800749.43</v>
      </c>
      <c r="L239" s="990">
        <v>9028727808</v>
      </c>
      <c r="M239" s="990">
        <v>17868516</v>
      </c>
      <c r="N239" s="994">
        <v>0</v>
      </c>
      <c r="O239" s="994">
        <v>0</v>
      </c>
      <c r="P239" s="990">
        <v>10368067980.75</v>
      </c>
      <c r="Q239" s="990">
        <v>20669264.48</v>
      </c>
      <c r="R239" s="991">
        <v>10368067980.75</v>
      </c>
      <c r="S239" s="992">
        <v>20669264.48</v>
      </c>
    </row>
    <row r="240" spans="1:19" ht="45" x14ac:dyDescent="0.25">
      <c r="A240" s="989" t="s">
        <v>4956</v>
      </c>
      <c r="B240" s="989" t="s">
        <v>1755</v>
      </c>
      <c r="C240" s="989" t="s">
        <v>1726</v>
      </c>
      <c r="D240" s="989" t="s">
        <v>1756</v>
      </c>
      <c r="E240" s="989" t="s">
        <v>1987</v>
      </c>
      <c r="F240" s="990">
        <v>51244.85</v>
      </c>
      <c r="G240" s="990">
        <v>831</v>
      </c>
      <c r="H240" s="990">
        <v>0</v>
      </c>
      <c r="I240" s="990">
        <v>0</v>
      </c>
      <c r="J240" s="990">
        <v>26163409.510000002</v>
      </c>
      <c r="K240" s="990">
        <v>182509.29</v>
      </c>
      <c r="L240" s="990">
        <v>76052.796875</v>
      </c>
      <c r="M240" s="990">
        <v>5331.81982421875</v>
      </c>
      <c r="N240" s="994">
        <v>0</v>
      </c>
      <c r="O240" s="994">
        <v>0</v>
      </c>
      <c r="P240" s="990">
        <v>26239462.309999999</v>
      </c>
      <c r="Q240" s="990">
        <v>187841.11</v>
      </c>
      <c r="R240" s="991">
        <v>26290707.16</v>
      </c>
      <c r="S240" s="992">
        <v>188672.45</v>
      </c>
    </row>
    <row r="241" spans="1:19" ht="45" x14ac:dyDescent="0.25">
      <c r="A241" s="989" t="s">
        <v>4956</v>
      </c>
      <c r="B241" s="989" t="s">
        <v>1755</v>
      </c>
      <c r="C241" s="989" t="s">
        <v>1726</v>
      </c>
      <c r="D241" s="989" t="s">
        <v>1757</v>
      </c>
      <c r="E241" s="989" t="s">
        <v>1988</v>
      </c>
      <c r="F241" s="990">
        <v>616883131.47000003</v>
      </c>
      <c r="G241" s="990">
        <v>564229</v>
      </c>
      <c r="H241" s="990">
        <v>277557865.75999999</v>
      </c>
      <c r="I241" s="990">
        <v>0</v>
      </c>
      <c r="J241" s="990">
        <v>1578917992</v>
      </c>
      <c r="K241" s="990">
        <v>7269341.0199999996</v>
      </c>
      <c r="L241" s="990">
        <v>8497956</v>
      </c>
      <c r="M241" s="990">
        <v>14686.23046875</v>
      </c>
      <c r="N241" s="994">
        <v>0</v>
      </c>
      <c r="O241" s="994">
        <v>0</v>
      </c>
      <c r="P241" s="990">
        <v>1864973813.8399999</v>
      </c>
      <c r="Q241" s="990">
        <v>7284027.25</v>
      </c>
      <c r="R241" s="991">
        <v>2481856945.3099999</v>
      </c>
      <c r="S241" s="992">
        <v>7848256.4000000004</v>
      </c>
    </row>
    <row r="242" spans="1:19" ht="45" x14ac:dyDescent="0.25">
      <c r="A242" s="989" t="s">
        <v>4956</v>
      </c>
      <c r="B242" s="989" t="s">
        <v>1755</v>
      </c>
      <c r="C242" s="989" t="s">
        <v>1726</v>
      </c>
      <c r="D242" s="989" t="s">
        <v>1758</v>
      </c>
      <c r="E242" s="989" t="s">
        <v>1989</v>
      </c>
      <c r="F242" s="990">
        <v>350632208.45999998</v>
      </c>
      <c r="G242" s="990">
        <v>382640</v>
      </c>
      <c r="H242" s="990">
        <v>143519353.02000001</v>
      </c>
      <c r="I242" s="990">
        <v>0</v>
      </c>
      <c r="J242" s="990">
        <v>968098042.70000005</v>
      </c>
      <c r="K242" s="990">
        <v>3410128.93</v>
      </c>
      <c r="L242" s="990">
        <v>2333596.75</v>
      </c>
      <c r="M242" s="990">
        <v>20730.33984375</v>
      </c>
      <c r="N242" s="994">
        <v>0</v>
      </c>
      <c r="O242" s="994">
        <v>0</v>
      </c>
      <c r="P242" s="990">
        <v>1113950992.4300001</v>
      </c>
      <c r="Q242" s="990">
        <v>3430859.27</v>
      </c>
      <c r="R242" s="991">
        <v>1464583200.8900001</v>
      </c>
      <c r="S242" s="992">
        <v>3813499.42</v>
      </c>
    </row>
    <row r="243" spans="1:19" ht="33.75" x14ac:dyDescent="0.25">
      <c r="A243" s="989" t="s">
        <v>4956</v>
      </c>
      <c r="B243" s="989" t="s">
        <v>1755</v>
      </c>
      <c r="C243" s="989" t="s">
        <v>297</v>
      </c>
      <c r="D243" s="989" t="s">
        <v>1759</v>
      </c>
      <c r="E243" s="989" t="s">
        <v>1990</v>
      </c>
      <c r="F243" s="990">
        <v>397766749.63999999</v>
      </c>
      <c r="G243" s="990">
        <v>0</v>
      </c>
      <c r="H243" s="990">
        <v>1797304459.1400001</v>
      </c>
      <c r="I243" s="990">
        <v>0</v>
      </c>
      <c r="J243" s="990">
        <v>43872561.460000001</v>
      </c>
      <c r="K243" s="990">
        <v>0</v>
      </c>
      <c r="L243" s="990">
        <v>0</v>
      </c>
      <c r="M243" s="990">
        <v>0</v>
      </c>
      <c r="N243" s="994">
        <v>0</v>
      </c>
      <c r="O243" s="994">
        <v>0</v>
      </c>
      <c r="P243" s="990">
        <v>1841177020.5999999</v>
      </c>
      <c r="Q243" s="990">
        <v>0</v>
      </c>
      <c r="R243" s="991">
        <v>2238943770.2399998</v>
      </c>
      <c r="S243" s="992">
        <v>0</v>
      </c>
    </row>
    <row r="244" spans="1:19" ht="33.75" x14ac:dyDescent="0.25">
      <c r="A244" s="989" t="s">
        <v>4956</v>
      </c>
      <c r="B244" s="989" t="s">
        <v>1755</v>
      </c>
      <c r="C244" s="989" t="s">
        <v>297</v>
      </c>
      <c r="D244" s="989" t="s">
        <v>1760</v>
      </c>
      <c r="E244" s="989" t="s">
        <v>1991</v>
      </c>
      <c r="F244" s="990">
        <v>147850133.36000001</v>
      </c>
      <c r="G244" s="990">
        <v>0</v>
      </c>
      <c r="H244" s="990">
        <v>585780267.39999998</v>
      </c>
      <c r="I244" s="990">
        <v>0</v>
      </c>
      <c r="J244" s="990">
        <v>15452940.6</v>
      </c>
      <c r="K244" s="990">
        <v>0</v>
      </c>
      <c r="L244" s="990">
        <v>0</v>
      </c>
      <c r="M244" s="990">
        <v>0</v>
      </c>
      <c r="N244" s="994">
        <v>0</v>
      </c>
      <c r="O244" s="994">
        <v>0</v>
      </c>
      <c r="P244" s="990">
        <v>601233208</v>
      </c>
      <c r="Q244" s="990">
        <v>0</v>
      </c>
      <c r="R244" s="991">
        <v>749083341.36000001</v>
      </c>
      <c r="S244" s="992">
        <v>0</v>
      </c>
    </row>
    <row r="245" spans="1:19" ht="22.5" x14ac:dyDescent="0.25">
      <c r="A245" s="989" t="s">
        <v>4956</v>
      </c>
      <c r="B245" s="989" t="s">
        <v>1755</v>
      </c>
      <c r="C245" s="989" t="s">
        <v>4976</v>
      </c>
      <c r="D245" s="989" t="s">
        <v>4976</v>
      </c>
      <c r="E245" s="989" t="s">
        <v>5034</v>
      </c>
      <c r="F245" s="990">
        <v>0</v>
      </c>
      <c r="G245" s="990">
        <v>0</v>
      </c>
      <c r="H245" s="990">
        <v>0</v>
      </c>
      <c r="I245" s="990">
        <v>0</v>
      </c>
      <c r="J245" s="990">
        <v>0</v>
      </c>
      <c r="K245" s="990">
        <v>0</v>
      </c>
      <c r="L245" s="990">
        <v>0</v>
      </c>
      <c r="M245" s="990">
        <v>0</v>
      </c>
      <c r="N245" s="994">
        <v>3007063296</v>
      </c>
      <c r="O245" s="994">
        <v>6506854</v>
      </c>
      <c r="P245" s="990">
        <v>0</v>
      </c>
      <c r="Q245" s="990">
        <v>0</v>
      </c>
      <c r="R245" s="991">
        <v>0</v>
      </c>
      <c r="S245" s="992">
        <v>0</v>
      </c>
    </row>
    <row r="246" spans="1:19" ht="22.5" x14ac:dyDescent="0.25">
      <c r="A246" s="989" t="s">
        <v>4956</v>
      </c>
      <c r="B246" s="989" t="s">
        <v>1755</v>
      </c>
      <c r="C246" s="989" t="s">
        <v>316</v>
      </c>
      <c r="D246" s="989" t="s">
        <v>1761</v>
      </c>
      <c r="E246" s="989" t="s">
        <v>1992</v>
      </c>
      <c r="F246" s="990">
        <v>246567752</v>
      </c>
      <c r="G246" s="990">
        <v>0</v>
      </c>
      <c r="H246" s="990">
        <v>4166727017.5</v>
      </c>
      <c r="I246" s="990">
        <v>0</v>
      </c>
      <c r="J246" s="990">
        <v>4770866.57</v>
      </c>
      <c r="K246" s="990">
        <v>0</v>
      </c>
      <c r="L246" s="990">
        <v>0</v>
      </c>
      <c r="M246" s="990">
        <v>0</v>
      </c>
      <c r="N246" s="994">
        <v>0</v>
      </c>
      <c r="O246" s="994">
        <v>0</v>
      </c>
      <c r="P246" s="990">
        <v>4171497884.0700002</v>
      </c>
      <c r="Q246" s="990">
        <v>0</v>
      </c>
      <c r="R246" s="991">
        <v>4418065636.0699997</v>
      </c>
      <c r="S246" s="992">
        <v>0</v>
      </c>
    </row>
    <row r="247" spans="1:19" ht="22.5" x14ac:dyDescent="0.25">
      <c r="A247" s="989" t="s">
        <v>4956</v>
      </c>
      <c r="B247" s="989" t="s">
        <v>1755</v>
      </c>
      <c r="C247" s="989" t="s">
        <v>316</v>
      </c>
      <c r="D247" s="989" t="s">
        <v>1762</v>
      </c>
      <c r="E247" s="989" t="s">
        <v>1993</v>
      </c>
      <c r="F247" s="990">
        <v>155846173.05000001</v>
      </c>
      <c r="G247" s="990">
        <v>0</v>
      </c>
      <c r="H247" s="990">
        <v>4435658111.8900003</v>
      </c>
      <c r="I247" s="990">
        <v>0</v>
      </c>
      <c r="J247" s="990">
        <v>4767181.13</v>
      </c>
      <c r="K247" s="990">
        <v>0</v>
      </c>
      <c r="L247" s="990">
        <v>0</v>
      </c>
      <c r="M247" s="990">
        <v>0</v>
      </c>
      <c r="N247" s="994">
        <v>0</v>
      </c>
      <c r="O247" s="994">
        <v>0</v>
      </c>
      <c r="P247" s="990">
        <v>4440425293.0200005</v>
      </c>
      <c r="Q247" s="990">
        <v>0</v>
      </c>
      <c r="R247" s="991">
        <v>4596271466.0699997</v>
      </c>
      <c r="S247" s="992">
        <v>0</v>
      </c>
    </row>
    <row r="248" spans="1:19" ht="22.5" x14ac:dyDescent="0.25">
      <c r="A248" s="989" t="s">
        <v>4956</v>
      </c>
      <c r="B248" s="989" t="s">
        <v>1755</v>
      </c>
      <c r="C248" s="989" t="s">
        <v>316</v>
      </c>
      <c r="D248" s="989" t="s">
        <v>1729</v>
      </c>
      <c r="E248" s="989" t="s">
        <v>1994</v>
      </c>
      <c r="F248" s="990">
        <v>5179757.8899999997</v>
      </c>
      <c r="G248" s="990">
        <v>0</v>
      </c>
      <c r="H248" s="990">
        <v>588808013.80999994</v>
      </c>
      <c r="I248" s="990">
        <v>0</v>
      </c>
      <c r="J248" s="990">
        <v>58054.04</v>
      </c>
      <c r="K248" s="990">
        <v>0</v>
      </c>
      <c r="L248" s="990">
        <v>0</v>
      </c>
      <c r="M248" s="990">
        <v>0</v>
      </c>
      <c r="N248" s="994">
        <v>0</v>
      </c>
      <c r="O248" s="994">
        <v>0</v>
      </c>
      <c r="P248" s="990">
        <v>588866067.85000002</v>
      </c>
      <c r="Q248" s="990">
        <v>0</v>
      </c>
      <c r="R248" s="991">
        <v>594045825.74000001</v>
      </c>
      <c r="S248" s="992">
        <v>0</v>
      </c>
    </row>
    <row r="249" spans="1:19" ht="22.5" x14ac:dyDescent="0.25">
      <c r="A249" s="989" t="s">
        <v>4956</v>
      </c>
      <c r="B249" s="989" t="s">
        <v>1755</v>
      </c>
      <c r="C249" s="989" t="s">
        <v>316</v>
      </c>
      <c r="D249" s="989" t="s">
        <v>1763</v>
      </c>
      <c r="E249" s="989" t="s">
        <v>1995</v>
      </c>
      <c r="F249" s="990">
        <v>98974102.840000004</v>
      </c>
      <c r="G249" s="990">
        <v>0</v>
      </c>
      <c r="H249" s="990">
        <v>2129636274.7</v>
      </c>
      <c r="I249" s="990">
        <v>0</v>
      </c>
      <c r="J249" s="990">
        <v>1619550.35</v>
      </c>
      <c r="K249" s="990">
        <v>0</v>
      </c>
      <c r="L249" s="990">
        <v>0</v>
      </c>
      <c r="M249" s="990">
        <v>0</v>
      </c>
      <c r="N249" s="994">
        <v>0</v>
      </c>
      <c r="O249" s="994">
        <v>0</v>
      </c>
      <c r="P249" s="990">
        <v>2131255825.05</v>
      </c>
      <c r="Q249" s="990">
        <v>0</v>
      </c>
      <c r="R249" s="991">
        <v>2230229927.8899999</v>
      </c>
      <c r="S249" s="992">
        <v>0</v>
      </c>
    </row>
    <row r="250" spans="1:19" ht="33.75" x14ac:dyDescent="0.25">
      <c r="A250" s="989" t="s">
        <v>4956</v>
      </c>
      <c r="B250" s="989" t="s">
        <v>1755</v>
      </c>
      <c r="C250" s="989" t="s">
        <v>1733</v>
      </c>
      <c r="D250" s="989" t="s">
        <v>325</v>
      </c>
      <c r="E250" s="989" t="s">
        <v>1996</v>
      </c>
      <c r="F250" s="990">
        <v>844069.53</v>
      </c>
      <c r="G250" s="990">
        <v>0</v>
      </c>
      <c r="H250" s="990">
        <v>13212195.5</v>
      </c>
      <c r="I250" s="990">
        <v>0</v>
      </c>
      <c r="J250" s="990">
        <v>316129.73</v>
      </c>
      <c r="K250" s="990">
        <v>1281.7</v>
      </c>
      <c r="L250" s="990">
        <v>0</v>
      </c>
      <c r="M250" s="990">
        <v>0</v>
      </c>
      <c r="N250" s="994">
        <v>0</v>
      </c>
      <c r="O250" s="994">
        <v>0</v>
      </c>
      <c r="P250" s="990">
        <v>13528325.23</v>
      </c>
      <c r="Q250" s="990">
        <v>1281.7</v>
      </c>
      <c r="R250" s="991">
        <v>14372394.76</v>
      </c>
      <c r="S250" s="992">
        <v>1281.7</v>
      </c>
    </row>
    <row r="251" spans="1:19" ht="22.5" x14ac:dyDescent="0.25">
      <c r="A251" s="989" t="s">
        <v>4956</v>
      </c>
      <c r="B251" s="989" t="s">
        <v>1755</v>
      </c>
      <c r="C251" s="989" t="s">
        <v>1730</v>
      </c>
      <c r="D251" s="989" t="s">
        <v>341</v>
      </c>
      <c r="E251" s="989" t="s">
        <v>1997</v>
      </c>
      <c r="F251" s="990">
        <v>34571576.520000003</v>
      </c>
      <c r="G251" s="990">
        <v>0</v>
      </c>
      <c r="H251" s="990">
        <v>49114810.25</v>
      </c>
      <c r="I251" s="990">
        <v>0</v>
      </c>
      <c r="J251" s="990">
        <v>22664883.52</v>
      </c>
      <c r="K251" s="990">
        <v>18256.400000000001</v>
      </c>
      <c r="L251" s="990">
        <v>0</v>
      </c>
      <c r="M251" s="990">
        <v>0</v>
      </c>
      <c r="N251" s="994">
        <v>0</v>
      </c>
      <c r="O251" s="994">
        <v>0</v>
      </c>
      <c r="P251" s="990">
        <v>71779693.769999996</v>
      </c>
      <c r="Q251" s="990">
        <v>18256.400000000001</v>
      </c>
      <c r="R251" s="991">
        <v>106351270.29000001</v>
      </c>
      <c r="S251" s="992">
        <v>18256.400000000001</v>
      </c>
    </row>
    <row r="252" spans="1:19" ht="33.75" x14ac:dyDescent="0.25">
      <c r="A252" s="989" t="s">
        <v>4956</v>
      </c>
      <c r="B252" s="989" t="s">
        <v>1755</v>
      </c>
      <c r="C252" s="989" t="s">
        <v>1764</v>
      </c>
      <c r="D252" s="989" t="s">
        <v>1868</v>
      </c>
      <c r="E252" s="989" t="s">
        <v>1998</v>
      </c>
      <c r="F252" s="990">
        <v>544753714.25999999</v>
      </c>
      <c r="G252" s="990">
        <v>1110532</v>
      </c>
      <c r="H252" s="990">
        <v>0</v>
      </c>
      <c r="I252" s="990">
        <v>0</v>
      </c>
      <c r="J252" s="990">
        <v>3123915057.1300001</v>
      </c>
      <c r="K252" s="990">
        <v>6501894.2000000002</v>
      </c>
      <c r="L252" s="990">
        <v>808581568</v>
      </c>
      <c r="M252" s="990">
        <v>1583329.375</v>
      </c>
      <c r="N252" s="994">
        <v>0</v>
      </c>
      <c r="O252" s="994">
        <v>0</v>
      </c>
      <c r="P252" s="990">
        <v>3932496639.8299999</v>
      </c>
      <c r="Q252" s="990">
        <v>8085223.54</v>
      </c>
      <c r="R252" s="991">
        <v>4477250354.0900002</v>
      </c>
      <c r="S252" s="992">
        <v>9195755.6999999993</v>
      </c>
    </row>
    <row r="253" spans="1:19" ht="33.75" x14ac:dyDescent="0.25">
      <c r="A253" s="989" t="s">
        <v>4956</v>
      </c>
      <c r="B253" s="989" t="s">
        <v>1755</v>
      </c>
      <c r="C253" s="989" t="s">
        <v>1734</v>
      </c>
      <c r="D253" s="989" t="s">
        <v>1765</v>
      </c>
      <c r="E253" s="989" t="s">
        <v>1999</v>
      </c>
      <c r="F253" s="990">
        <v>1814816.71</v>
      </c>
      <c r="G253" s="990">
        <v>0</v>
      </c>
      <c r="H253" s="990">
        <v>28921308.609999999</v>
      </c>
      <c r="I253" s="990">
        <v>0</v>
      </c>
      <c r="J253" s="990">
        <v>119403.12</v>
      </c>
      <c r="K253" s="990">
        <v>0</v>
      </c>
      <c r="L253" s="990">
        <v>0</v>
      </c>
      <c r="M253" s="990">
        <v>0</v>
      </c>
      <c r="N253" s="994">
        <v>0</v>
      </c>
      <c r="O253" s="994">
        <v>0</v>
      </c>
      <c r="P253" s="990">
        <v>29040711.73</v>
      </c>
      <c r="Q253" s="990">
        <v>0</v>
      </c>
      <c r="R253" s="991">
        <v>30855528.440000001</v>
      </c>
      <c r="S253" s="992">
        <v>0</v>
      </c>
    </row>
    <row r="254" spans="1:19" ht="22.5" x14ac:dyDescent="0.25">
      <c r="A254" s="989" t="s">
        <v>4956</v>
      </c>
      <c r="B254" s="989" t="s">
        <v>5035</v>
      </c>
      <c r="C254" s="989" t="s">
        <v>4976</v>
      </c>
      <c r="D254" s="989" t="s">
        <v>4976</v>
      </c>
      <c r="E254" s="989" t="s">
        <v>5036</v>
      </c>
      <c r="F254" s="990">
        <v>0</v>
      </c>
      <c r="G254" s="990">
        <v>0</v>
      </c>
      <c r="H254" s="990">
        <v>0</v>
      </c>
      <c r="I254" s="990">
        <v>0</v>
      </c>
      <c r="J254" s="990">
        <v>0</v>
      </c>
      <c r="K254" s="990">
        <v>0</v>
      </c>
      <c r="L254" s="990">
        <v>0</v>
      </c>
      <c r="M254" s="990">
        <v>0</v>
      </c>
      <c r="N254" s="996"/>
      <c r="O254" s="996"/>
      <c r="P254" s="990">
        <v>0</v>
      </c>
      <c r="Q254" s="990">
        <v>0</v>
      </c>
      <c r="R254" s="991">
        <v>0</v>
      </c>
      <c r="S254" s="992">
        <v>0</v>
      </c>
    </row>
    <row r="255" spans="1:19" ht="45" x14ac:dyDescent="0.25">
      <c r="A255" s="989" t="s">
        <v>4956</v>
      </c>
      <c r="B255" s="989" t="s">
        <v>1766</v>
      </c>
      <c r="C255" s="989" t="s">
        <v>1726</v>
      </c>
      <c r="D255" s="989" t="s">
        <v>258</v>
      </c>
      <c r="E255" s="989" t="s">
        <v>2000</v>
      </c>
      <c r="F255" s="990">
        <v>49741643</v>
      </c>
      <c r="G255" s="990">
        <v>120321</v>
      </c>
      <c r="H255" s="990">
        <v>0</v>
      </c>
      <c r="I255" s="990">
        <v>0</v>
      </c>
      <c r="J255" s="990">
        <v>703454627</v>
      </c>
      <c r="K255" s="990">
        <v>1529067</v>
      </c>
      <c r="L255" s="990">
        <v>0</v>
      </c>
      <c r="M255" s="990">
        <v>0</v>
      </c>
      <c r="N255" s="994">
        <v>0</v>
      </c>
      <c r="O255" s="994">
        <v>0</v>
      </c>
      <c r="P255" s="990">
        <v>703454627</v>
      </c>
      <c r="Q255" s="990">
        <v>1529067</v>
      </c>
      <c r="R255" s="991">
        <v>753196270</v>
      </c>
      <c r="S255" s="992">
        <v>1649388</v>
      </c>
    </row>
    <row r="256" spans="1:19" ht="45" x14ac:dyDescent="0.25">
      <c r="A256" s="989" t="s">
        <v>4956</v>
      </c>
      <c r="B256" s="989" t="s">
        <v>1766</v>
      </c>
      <c r="C256" s="989" t="s">
        <v>1726</v>
      </c>
      <c r="D256" s="989" t="s">
        <v>268</v>
      </c>
      <c r="E256" s="989" t="s">
        <v>2001</v>
      </c>
      <c r="F256" s="990">
        <v>322486258</v>
      </c>
      <c r="G256" s="990">
        <v>811598</v>
      </c>
      <c r="H256" s="990">
        <v>330567224</v>
      </c>
      <c r="I256" s="990">
        <v>838929</v>
      </c>
      <c r="J256" s="990">
        <v>2220095290</v>
      </c>
      <c r="K256" s="990">
        <v>5271416</v>
      </c>
      <c r="L256" s="990">
        <v>33972968</v>
      </c>
      <c r="M256" s="990">
        <v>63608</v>
      </c>
      <c r="N256" s="994">
        <v>0</v>
      </c>
      <c r="O256" s="994">
        <v>0</v>
      </c>
      <c r="P256" s="990">
        <v>2584635482</v>
      </c>
      <c r="Q256" s="990">
        <v>6173953</v>
      </c>
      <c r="R256" s="991">
        <v>2907121740</v>
      </c>
      <c r="S256" s="992">
        <v>6985551</v>
      </c>
    </row>
    <row r="257" spans="1:19" ht="22.5" x14ac:dyDescent="0.25">
      <c r="A257" s="989" t="s">
        <v>4956</v>
      </c>
      <c r="B257" s="989" t="s">
        <v>1766</v>
      </c>
      <c r="C257" s="989" t="s">
        <v>297</v>
      </c>
      <c r="D257" s="989" t="s">
        <v>297</v>
      </c>
      <c r="E257" s="989" t="s">
        <v>2002</v>
      </c>
      <c r="F257" s="990">
        <v>108446078</v>
      </c>
      <c r="G257" s="990">
        <v>0</v>
      </c>
      <c r="H257" s="990">
        <v>603922572</v>
      </c>
      <c r="I257" s="990">
        <v>0</v>
      </c>
      <c r="J257" s="990">
        <v>0</v>
      </c>
      <c r="K257" s="990">
        <v>0</v>
      </c>
      <c r="L257" s="990">
        <v>0</v>
      </c>
      <c r="M257" s="990">
        <v>0</v>
      </c>
      <c r="N257" s="994">
        <v>0</v>
      </c>
      <c r="O257" s="994">
        <v>0</v>
      </c>
      <c r="P257" s="990">
        <v>603922572</v>
      </c>
      <c r="Q257" s="990">
        <v>0</v>
      </c>
      <c r="R257" s="991">
        <v>712368650</v>
      </c>
      <c r="S257" s="992">
        <v>0</v>
      </c>
    </row>
    <row r="258" spans="1:19" ht="22.5" x14ac:dyDescent="0.25">
      <c r="A258" s="989" t="s">
        <v>4956</v>
      </c>
      <c r="B258" s="989" t="s">
        <v>1766</v>
      </c>
      <c r="C258" s="989" t="s">
        <v>1732</v>
      </c>
      <c r="D258" s="989" t="s">
        <v>306</v>
      </c>
      <c r="E258" s="989" t="s">
        <v>2003</v>
      </c>
      <c r="F258" s="990">
        <v>50465419</v>
      </c>
      <c r="G258" s="990">
        <v>86211</v>
      </c>
      <c r="H258" s="990">
        <v>0</v>
      </c>
      <c r="I258" s="990">
        <v>0</v>
      </c>
      <c r="J258" s="990">
        <v>555691531</v>
      </c>
      <c r="K258" s="990">
        <v>1014544</v>
      </c>
      <c r="L258" s="990">
        <v>0</v>
      </c>
      <c r="M258" s="990">
        <v>0</v>
      </c>
      <c r="N258" s="994">
        <v>0</v>
      </c>
      <c r="O258" s="994">
        <v>0</v>
      </c>
      <c r="P258" s="990">
        <v>555691531</v>
      </c>
      <c r="Q258" s="990">
        <v>1014544</v>
      </c>
      <c r="R258" s="991">
        <v>606156950</v>
      </c>
      <c r="S258" s="992">
        <v>1100755</v>
      </c>
    </row>
    <row r="259" spans="1:19" ht="22.5" x14ac:dyDescent="0.25">
      <c r="A259" s="989" t="s">
        <v>4956</v>
      </c>
      <c r="B259" s="989" t="s">
        <v>1766</v>
      </c>
      <c r="C259" s="989" t="s">
        <v>4976</v>
      </c>
      <c r="D259" s="989" t="s">
        <v>4976</v>
      </c>
      <c r="E259" s="989" t="s">
        <v>5037</v>
      </c>
      <c r="F259" s="990">
        <v>0</v>
      </c>
      <c r="G259" s="990">
        <v>0</v>
      </c>
      <c r="H259" s="990">
        <v>0</v>
      </c>
      <c r="I259" s="990">
        <v>0</v>
      </c>
      <c r="J259" s="990">
        <v>0</v>
      </c>
      <c r="K259" s="990">
        <v>0</v>
      </c>
      <c r="L259" s="990">
        <v>0</v>
      </c>
      <c r="M259" s="990">
        <v>0</v>
      </c>
      <c r="N259" s="994">
        <v>792796608</v>
      </c>
      <c r="O259" s="994">
        <v>1509115</v>
      </c>
      <c r="P259" s="990">
        <v>0</v>
      </c>
      <c r="Q259" s="990">
        <v>0</v>
      </c>
      <c r="R259" s="991">
        <v>0</v>
      </c>
      <c r="S259" s="992">
        <v>0</v>
      </c>
    </row>
    <row r="260" spans="1:19" ht="22.5" x14ac:dyDescent="0.25">
      <c r="A260" s="989" t="s">
        <v>4956</v>
      </c>
      <c r="B260" s="989" t="s">
        <v>1766</v>
      </c>
      <c r="C260" s="989" t="s">
        <v>316</v>
      </c>
      <c r="D260" s="989" t="s">
        <v>316</v>
      </c>
      <c r="E260" s="989" t="s">
        <v>2004</v>
      </c>
      <c r="F260" s="990">
        <v>65095517</v>
      </c>
      <c r="G260" s="990">
        <v>0</v>
      </c>
      <c r="H260" s="990">
        <v>2123793721</v>
      </c>
      <c r="I260" s="990">
        <v>0</v>
      </c>
      <c r="J260" s="990">
        <v>0</v>
      </c>
      <c r="K260" s="990">
        <v>0</v>
      </c>
      <c r="L260" s="990">
        <v>0</v>
      </c>
      <c r="M260" s="990">
        <v>0</v>
      </c>
      <c r="N260" s="994">
        <v>0</v>
      </c>
      <c r="O260" s="994">
        <v>0</v>
      </c>
      <c r="P260" s="990">
        <v>2123793721</v>
      </c>
      <c r="Q260" s="990">
        <v>0</v>
      </c>
      <c r="R260" s="991">
        <v>2188889238</v>
      </c>
      <c r="S260" s="992">
        <v>0</v>
      </c>
    </row>
    <row r="261" spans="1:19" ht="33.75" x14ac:dyDescent="0.25">
      <c r="A261" s="989" t="s">
        <v>4956</v>
      </c>
      <c r="B261" s="989" t="s">
        <v>1766</v>
      </c>
      <c r="C261" s="989" t="s">
        <v>1733</v>
      </c>
      <c r="D261" s="989" t="s">
        <v>325</v>
      </c>
      <c r="E261" s="989" t="s">
        <v>2005</v>
      </c>
      <c r="F261" s="990">
        <v>0</v>
      </c>
      <c r="G261" s="990">
        <v>0</v>
      </c>
      <c r="H261" s="990">
        <v>51051</v>
      </c>
      <c r="I261" s="990">
        <v>142</v>
      </c>
      <c r="J261" s="990">
        <v>0</v>
      </c>
      <c r="K261" s="990">
        <v>0</v>
      </c>
      <c r="L261" s="990">
        <v>0</v>
      </c>
      <c r="M261" s="990">
        <v>0</v>
      </c>
      <c r="N261" s="994">
        <v>0</v>
      </c>
      <c r="O261" s="994">
        <v>0</v>
      </c>
      <c r="P261" s="990">
        <v>51051</v>
      </c>
      <c r="Q261" s="990">
        <v>142</v>
      </c>
      <c r="R261" s="991">
        <v>51051</v>
      </c>
      <c r="S261" s="992">
        <v>142</v>
      </c>
    </row>
    <row r="262" spans="1:19" ht="22.5" x14ac:dyDescent="0.25">
      <c r="A262" s="989" t="s">
        <v>4956</v>
      </c>
      <c r="B262" s="989" t="s">
        <v>1766</v>
      </c>
      <c r="C262" s="989" t="s">
        <v>1730</v>
      </c>
      <c r="D262" s="989" t="s">
        <v>341</v>
      </c>
      <c r="E262" s="989" t="s">
        <v>2006</v>
      </c>
      <c r="F262" s="990">
        <v>35030</v>
      </c>
      <c r="G262" s="990">
        <v>101</v>
      </c>
      <c r="H262" s="990">
        <v>0</v>
      </c>
      <c r="I262" s="990">
        <v>0</v>
      </c>
      <c r="J262" s="990">
        <v>38168601</v>
      </c>
      <c r="K262" s="990">
        <v>106195</v>
      </c>
      <c r="L262" s="990">
        <v>0</v>
      </c>
      <c r="M262" s="990">
        <v>0</v>
      </c>
      <c r="N262" s="994">
        <v>0</v>
      </c>
      <c r="O262" s="994">
        <v>0</v>
      </c>
      <c r="P262" s="990">
        <v>38168601</v>
      </c>
      <c r="Q262" s="990">
        <v>106195</v>
      </c>
      <c r="R262" s="991">
        <v>38203631</v>
      </c>
      <c r="S262" s="992">
        <v>106296</v>
      </c>
    </row>
    <row r="263" spans="1:19" ht="33.75" x14ac:dyDescent="0.25">
      <c r="A263" s="989" t="s">
        <v>4956</v>
      </c>
      <c r="B263" s="989" t="s">
        <v>1766</v>
      </c>
      <c r="C263" s="989" t="s">
        <v>1734</v>
      </c>
      <c r="D263" s="989" t="s">
        <v>343</v>
      </c>
      <c r="E263" s="989" t="s">
        <v>2007</v>
      </c>
      <c r="F263" s="990">
        <v>0</v>
      </c>
      <c r="G263" s="990">
        <v>0</v>
      </c>
      <c r="H263" s="990">
        <v>15230364</v>
      </c>
      <c r="I263" s="990">
        <v>0</v>
      </c>
      <c r="J263" s="990">
        <v>0</v>
      </c>
      <c r="K263" s="990">
        <v>0</v>
      </c>
      <c r="L263" s="990">
        <v>0</v>
      </c>
      <c r="M263" s="990">
        <v>0</v>
      </c>
      <c r="N263" s="994">
        <v>0</v>
      </c>
      <c r="O263" s="994">
        <v>0</v>
      </c>
      <c r="P263" s="990">
        <v>15230364</v>
      </c>
      <c r="Q263" s="990">
        <v>0</v>
      </c>
      <c r="R263" s="991">
        <v>15230364</v>
      </c>
      <c r="S263" s="992">
        <v>0</v>
      </c>
    </row>
    <row r="264" spans="1:19" ht="45" x14ac:dyDescent="0.25">
      <c r="A264" s="989" t="s">
        <v>4956</v>
      </c>
      <c r="B264" s="989" t="s">
        <v>1767</v>
      </c>
      <c r="C264" s="989" t="s">
        <v>1726</v>
      </c>
      <c r="D264" s="989" t="s">
        <v>277</v>
      </c>
      <c r="E264" s="989" t="s">
        <v>2008</v>
      </c>
      <c r="F264" s="990">
        <v>7829583.8300000001</v>
      </c>
      <c r="G264" s="990">
        <v>26877</v>
      </c>
      <c r="H264" s="990">
        <v>2356386</v>
      </c>
      <c r="I264" s="990">
        <v>11536.66</v>
      </c>
      <c r="J264" s="990">
        <v>52921694.859999999</v>
      </c>
      <c r="K264" s="990">
        <v>124815.89</v>
      </c>
      <c r="L264" s="990">
        <v>0</v>
      </c>
      <c r="M264" s="990">
        <v>0</v>
      </c>
      <c r="N264" s="994">
        <v>0</v>
      </c>
      <c r="O264" s="994">
        <v>0</v>
      </c>
      <c r="P264" s="990">
        <v>55278080.859999999</v>
      </c>
      <c r="Q264" s="990">
        <v>136352.54999999999</v>
      </c>
      <c r="R264" s="991">
        <v>63107664.689999998</v>
      </c>
      <c r="S264" s="992">
        <v>163230.39999999999</v>
      </c>
    </row>
    <row r="265" spans="1:19" ht="22.5" x14ac:dyDescent="0.25">
      <c r="A265" s="989" t="s">
        <v>4956</v>
      </c>
      <c r="B265" s="989" t="s">
        <v>1767</v>
      </c>
      <c r="C265" s="989" t="s">
        <v>297</v>
      </c>
      <c r="D265" s="989" t="s">
        <v>297</v>
      </c>
      <c r="E265" s="989" t="s">
        <v>2009</v>
      </c>
      <c r="F265" s="990">
        <v>5411647.9800000004</v>
      </c>
      <c r="G265" s="990">
        <v>0</v>
      </c>
      <c r="H265" s="990">
        <v>27363794.02</v>
      </c>
      <c r="I265" s="990">
        <v>0</v>
      </c>
      <c r="J265" s="990">
        <v>0</v>
      </c>
      <c r="K265" s="990">
        <v>0</v>
      </c>
      <c r="L265" s="990">
        <v>0</v>
      </c>
      <c r="M265" s="990">
        <v>0</v>
      </c>
      <c r="N265" s="994">
        <v>0</v>
      </c>
      <c r="O265" s="994">
        <v>0</v>
      </c>
      <c r="P265" s="990">
        <v>27363794.02</v>
      </c>
      <c r="Q265" s="990">
        <v>0</v>
      </c>
      <c r="R265" s="991">
        <v>32775442</v>
      </c>
      <c r="S265" s="992">
        <v>0</v>
      </c>
    </row>
    <row r="266" spans="1:19" ht="22.5" x14ac:dyDescent="0.25">
      <c r="A266" s="989" t="s">
        <v>4956</v>
      </c>
      <c r="B266" s="989" t="s">
        <v>1767</v>
      </c>
      <c r="C266" s="989" t="s">
        <v>4976</v>
      </c>
      <c r="D266" s="989" t="s">
        <v>4976</v>
      </c>
      <c r="E266" s="989" t="s">
        <v>5038</v>
      </c>
      <c r="F266" s="990">
        <v>0</v>
      </c>
      <c r="G266" s="990">
        <v>0</v>
      </c>
      <c r="H266" s="990">
        <v>0</v>
      </c>
      <c r="I266" s="990">
        <v>0</v>
      </c>
      <c r="J266" s="990">
        <v>0</v>
      </c>
      <c r="K266" s="990">
        <v>0</v>
      </c>
      <c r="L266" s="990">
        <v>0</v>
      </c>
      <c r="M266" s="990">
        <v>0</v>
      </c>
      <c r="N266" s="996"/>
      <c r="O266" s="996"/>
      <c r="P266" s="990">
        <v>0</v>
      </c>
      <c r="Q266" s="990">
        <v>0</v>
      </c>
      <c r="R266" s="991">
        <v>0</v>
      </c>
      <c r="S266" s="992">
        <v>0</v>
      </c>
    </row>
    <row r="267" spans="1:19" ht="22.5" x14ac:dyDescent="0.25">
      <c r="A267" s="989" t="s">
        <v>4956</v>
      </c>
      <c r="B267" s="989" t="s">
        <v>1767</v>
      </c>
      <c r="C267" s="989" t="s">
        <v>316</v>
      </c>
      <c r="D267" s="989" t="s">
        <v>316</v>
      </c>
      <c r="E267" s="989" t="s">
        <v>2010</v>
      </c>
      <c r="F267" s="990">
        <v>6451269.4400000004</v>
      </c>
      <c r="G267" s="990">
        <v>0</v>
      </c>
      <c r="H267" s="990">
        <v>138799191.38999999</v>
      </c>
      <c r="I267" s="990">
        <v>0</v>
      </c>
      <c r="J267" s="990">
        <v>0</v>
      </c>
      <c r="K267" s="990">
        <v>0</v>
      </c>
      <c r="L267" s="990">
        <v>0</v>
      </c>
      <c r="M267" s="990">
        <v>0</v>
      </c>
      <c r="N267" s="994">
        <v>0</v>
      </c>
      <c r="O267" s="994">
        <v>0</v>
      </c>
      <c r="P267" s="990">
        <v>138799191.38999999</v>
      </c>
      <c r="Q267" s="990">
        <v>0</v>
      </c>
      <c r="R267" s="991">
        <v>145250460.83000001</v>
      </c>
      <c r="S267" s="992">
        <v>0</v>
      </c>
    </row>
    <row r="268" spans="1:19" ht="33.75" x14ac:dyDescent="0.25">
      <c r="A268" s="989" t="s">
        <v>4956</v>
      </c>
      <c r="B268" s="989" t="s">
        <v>1767</v>
      </c>
      <c r="C268" s="989" t="s">
        <v>1733</v>
      </c>
      <c r="D268" s="989" t="s">
        <v>325</v>
      </c>
      <c r="E268" s="989" t="s">
        <v>2011</v>
      </c>
      <c r="F268" s="990">
        <v>15409.02</v>
      </c>
      <c r="G268" s="990">
        <v>0</v>
      </c>
      <c r="H268" s="990">
        <v>88440.12</v>
      </c>
      <c r="I268" s="990">
        <v>0</v>
      </c>
      <c r="J268" s="990">
        <v>0</v>
      </c>
      <c r="K268" s="990">
        <v>0</v>
      </c>
      <c r="L268" s="990">
        <v>0</v>
      </c>
      <c r="M268" s="990">
        <v>0</v>
      </c>
      <c r="N268" s="994">
        <v>0</v>
      </c>
      <c r="O268" s="994">
        <v>0</v>
      </c>
      <c r="P268" s="990">
        <v>88440.12</v>
      </c>
      <c r="Q268" s="990">
        <v>0</v>
      </c>
      <c r="R268" s="991">
        <v>103849.14</v>
      </c>
      <c r="S268" s="992">
        <v>0</v>
      </c>
    </row>
    <row r="269" spans="1:19" ht="22.5" x14ac:dyDescent="0.25">
      <c r="A269" s="989" t="s">
        <v>4956</v>
      </c>
      <c r="B269" s="989" t="s">
        <v>1767</v>
      </c>
      <c r="C269" s="989" t="s">
        <v>1730</v>
      </c>
      <c r="D269" s="989" t="s">
        <v>341</v>
      </c>
      <c r="E269" s="989" t="s">
        <v>2012</v>
      </c>
      <c r="F269" s="990">
        <v>5945.25</v>
      </c>
      <c r="G269" s="990">
        <v>18</v>
      </c>
      <c r="H269" s="990">
        <v>0</v>
      </c>
      <c r="I269" s="990">
        <v>0</v>
      </c>
      <c r="J269" s="990">
        <v>568654.93999999994</v>
      </c>
      <c r="K269" s="990">
        <v>1736.99</v>
      </c>
      <c r="L269" s="990">
        <v>0</v>
      </c>
      <c r="M269" s="990">
        <v>0</v>
      </c>
      <c r="N269" s="994">
        <v>0</v>
      </c>
      <c r="O269" s="994">
        <v>0</v>
      </c>
      <c r="P269" s="990">
        <v>568654.93999999994</v>
      </c>
      <c r="Q269" s="990">
        <v>1736.99</v>
      </c>
      <c r="R269" s="991">
        <v>574600.18999999994</v>
      </c>
      <c r="S269" s="992">
        <v>1754.99</v>
      </c>
    </row>
    <row r="270" spans="1:19" ht="33.75" x14ac:dyDescent="0.25">
      <c r="A270" s="989" t="s">
        <v>4956</v>
      </c>
      <c r="B270" s="989" t="s">
        <v>1767</v>
      </c>
      <c r="C270" s="989" t="s">
        <v>1734</v>
      </c>
      <c r="D270" s="989" t="s">
        <v>343</v>
      </c>
      <c r="E270" s="989" t="s">
        <v>2013</v>
      </c>
      <c r="F270" s="990">
        <v>29808</v>
      </c>
      <c r="G270" s="990">
        <v>0</v>
      </c>
      <c r="H270" s="990">
        <v>430388</v>
      </c>
      <c r="I270" s="990">
        <v>0</v>
      </c>
      <c r="J270" s="990">
        <v>0</v>
      </c>
      <c r="K270" s="990">
        <v>0</v>
      </c>
      <c r="L270" s="990">
        <v>0</v>
      </c>
      <c r="M270" s="990">
        <v>0</v>
      </c>
      <c r="N270" s="994">
        <v>0</v>
      </c>
      <c r="O270" s="994">
        <v>0</v>
      </c>
      <c r="P270" s="990">
        <v>430388</v>
      </c>
      <c r="Q270" s="990">
        <v>0</v>
      </c>
      <c r="R270" s="991">
        <v>460196</v>
      </c>
      <c r="S270" s="992">
        <v>0</v>
      </c>
    </row>
    <row r="271" spans="1:19" ht="45" x14ac:dyDescent="0.25">
      <c r="A271" s="989" t="s">
        <v>4956</v>
      </c>
      <c r="B271" s="989" t="s">
        <v>1768</v>
      </c>
      <c r="C271" s="989" t="s">
        <v>1726</v>
      </c>
      <c r="D271" s="989" t="s">
        <v>277</v>
      </c>
      <c r="E271" s="989" t="s">
        <v>2014</v>
      </c>
      <c r="F271" s="990">
        <v>13055661</v>
      </c>
      <c r="G271" s="990">
        <v>33734</v>
      </c>
      <c r="H271" s="990">
        <v>24516385</v>
      </c>
      <c r="I271" s="990">
        <v>12938</v>
      </c>
      <c r="J271" s="990">
        <v>0</v>
      </c>
      <c r="K271" s="990">
        <v>47808</v>
      </c>
      <c r="L271" s="990">
        <v>0</v>
      </c>
      <c r="M271" s="990">
        <v>0</v>
      </c>
      <c r="N271" s="994">
        <v>0</v>
      </c>
      <c r="O271" s="994">
        <v>0</v>
      </c>
      <c r="P271" s="990">
        <v>24516385</v>
      </c>
      <c r="Q271" s="990">
        <v>60746</v>
      </c>
      <c r="R271" s="991">
        <v>37572046</v>
      </c>
      <c r="S271" s="992">
        <v>94480</v>
      </c>
    </row>
    <row r="272" spans="1:19" ht="33.75" x14ac:dyDescent="0.25">
      <c r="A272" s="989" t="s">
        <v>4956</v>
      </c>
      <c r="B272" s="989" t="s">
        <v>1768</v>
      </c>
      <c r="C272" s="989" t="s">
        <v>297</v>
      </c>
      <c r="D272" s="989" t="s">
        <v>297</v>
      </c>
      <c r="E272" s="989" t="s">
        <v>2015</v>
      </c>
      <c r="F272" s="990">
        <v>3246169</v>
      </c>
      <c r="G272" s="990">
        <v>0</v>
      </c>
      <c r="H272" s="990">
        <v>18553692</v>
      </c>
      <c r="I272" s="990">
        <v>0</v>
      </c>
      <c r="J272" s="990">
        <v>0</v>
      </c>
      <c r="K272" s="990">
        <v>0</v>
      </c>
      <c r="L272" s="990">
        <v>0</v>
      </c>
      <c r="M272" s="990">
        <v>0</v>
      </c>
      <c r="N272" s="994">
        <v>0</v>
      </c>
      <c r="O272" s="994">
        <v>0</v>
      </c>
      <c r="P272" s="990">
        <v>18553692</v>
      </c>
      <c r="Q272" s="990">
        <v>0</v>
      </c>
      <c r="R272" s="991">
        <v>21799861</v>
      </c>
      <c r="S272" s="992">
        <v>0</v>
      </c>
    </row>
    <row r="273" spans="1:19" ht="22.5" x14ac:dyDescent="0.25">
      <c r="A273" s="989" t="s">
        <v>4956</v>
      </c>
      <c r="B273" s="989" t="s">
        <v>1768</v>
      </c>
      <c r="C273" s="989" t="s">
        <v>4976</v>
      </c>
      <c r="D273" s="989" t="s">
        <v>4976</v>
      </c>
      <c r="E273" s="989" t="s">
        <v>5039</v>
      </c>
      <c r="F273" s="990">
        <v>0</v>
      </c>
      <c r="G273" s="990">
        <v>0</v>
      </c>
      <c r="H273" s="990">
        <v>0</v>
      </c>
      <c r="I273" s="990">
        <v>0</v>
      </c>
      <c r="J273" s="990">
        <v>0</v>
      </c>
      <c r="K273" s="990">
        <v>0</v>
      </c>
      <c r="L273" s="990">
        <v>0</v>
      </c>
      <c r="M273" s="990">
        <v>0</v>
      </c>
      <c r="N273" s="994">
        <v>0</v>
      </c>
      <c r="O273" s="994">
        <v>0</v>
      </c>
      <c r="P273" s="990">
        <v>0</v>
      </c>
      <c r="Q273" s="990">
        <v>0</v>
      </c>
      <c r="R273" s="991">
        <v>0</v>
      </c>
      <c r="S273" s="992">
        <v>0</v>
      </c>
    </row>
    <row r="274" spans="1:19" ht="22.5" x14ac:dyDescent="0.25">
      <c r="A274" s="989" t="s">
        <v>4956</v>
      </c>
      <c r="B274" s="989" t="s">
        <v>1768</v>
      </c>
      <c r="C274" s="989" t="s">
        <v>316</v>
      </c>
      <c r="D274" s="989" t="s">
        <v>316</v>
      </c>
      <c r="E274" s="989" t="s">
        <v>2016</v>
      </c>
      <c r="F274" s="990">
        <v>733742</v>
      </c>
      <c r="G274" s="990">
        <v>0</v>
      </c>
      <c r="H274" s="990">
        <v>33369849</v>
      </c>
      <c r="I274" s="990">
        <v>0</v>
      </c>
      <c r="J274" s="990">
        <v>0</v>
      </c>
      <c r="K274" s="990">
        <v>0</v>
      </c>
      <c r="L274" s="990">
        <v>0</v>
      </c>
      <c r="M274" s="990">
        <v>0</v>
      </c>
      <c r="N274" s="994">
        <v>0</v>
      </c>
      <c r="O274" s="994">
        <v>0</v>
      </c>
      <c r="P274" s="990">
        <v>33369849</v>
      </c>
      <c r="Q274" s="990">
        <v>0</v>
      </c>
      <c r="R274" s="991">
        <v>34103591</v>
      </c>
      <c r="S274" s="992">
        <v>0</v>
      </c>
    </row>
    <row r="275" spans="1:19" ht="22.5" x14ac:dyDescent="0.25">
      <c r="A275" s="989" t="s">
        <v>4956</v>
      </c>
      <c r="B275" s="989" t="s">
        <v>1768</v>
      </c>
      <c r="C275" s="989" t="s">
        <v>1730</v>
      </c>
      <c r="D275" s="989" t="s">
        <v>341</v>
      </c>
      <c r="E275" s="989" t="s">
        <v>2017</v>
      </c>
      <c r="F275" s="990">
        <v>405707</v>
      </c>
      <c r="G275" s="990">
        <v>1165</v>
      </c>
      <c r="H275" s="990">
        <v>0</v>
      </c>
      <c r="I275" s="990">
        <v>0</v>
      </c>
      <c r="J275" s="990">
        <v>0</v>
      </c>
      <c r="K275" s="990">
        <v>0</v>
      </c>
      <c r="L275" s="990">
        <v>0</v>
      </c>
      <c r="M275" s="990">
        <v>0</v>
      </c>
      <c r="N275" s="994">
        <v>0</v>
      </c>
      <c r="O275" s="994">
        <v>0</v>
      </c>
      <c r="P275" s="990">
        <v>0</v>
      </c>
      <c r="Q275" s="990">
        <v>0</v>
      </c>
      <c r="R275" s="991">
        <v>405707</v>
      </c>
      <c r="S275" s="992">
        <v>1165</v>
      </c>
    </row>
    <row r="276" spans="1:19" ht="33.75" x14ac:dyDescent="0.25">
      <c r="A276" s="989" t="s">
        <v>4956</v>
      </c>
      <c r="B276" s="989" t="s">
        <v>1768</v>
      </c>
      <c r="C276" s="989" t="s">
        <v>1734</v>
      </c>
      <c r="D276" s="989" t="s">
        <v>343</v>
      </c>
      <c r="E276" s="989" t="s">
        <v>2018</v>
      </c>
      <c r="F276" s="990">
        <v>643</v>
      </c>
      <c r="G276" s="990">
        <v>0</v>
      </c>
      <c r="H276" s="990">
        <v>193814</v>
      </c>
      <c r="I276" s="990">
        <v>0</v>
      </c>
      <c r="J276" s="990">
        <v>0</v>
      </c>
      <c r="K276" s="990">
        <v>0</v>
      </c>
      <c r="L276" s="990">
        <v>0</v>
      </c>
      <c r="M276" s="990">
        <v>0</v>
      </c>
      <c r="N276" s="994">
        <v>0</v>
      </c>
      <c r="O276" s="994">
        <v>0</v>
      </c>
      <c r="P276" s="990">
        <v>193814</v>
      </c>
      <c r="Q276" s="990">
        <v>0</v>
      </c>
      <c r="R276" s="991">
        <v>194457</v>
      </c>
      <c r="S276" s="992">
        <v>0</v>
      </c>
    </row>
    <row r="277" spans="1:19" ht="45" x14ac:dyDescent="0.25">
      <c r="A277" s="989" t="s">
        <v>4956</v>
      </c>
      <c r="B277" s="989" t="s">
        <v>1769</v>
      </c>
      <c r="C277" s="989" t="s">
        <v>1726</v>
      </c>
      <c r="D277" s="989" t="s">
        <v>277</v>
      </c>
      <c r="E277" s="989" t="s">
        <v>2019</v>
      </c>
      <c r="F277" s="990">
        <v>46180103.850000001</v>
      </c>
      <c r="G277" s="990">
        <v>101721</v>
      </c>
      <c r="H277" s="990">
        <v>39136565.600000001</v>
      </c>
      <c r="I277" s="990">
        <v>91031.89</v>
      </c>
      <c r="J277" s="990">
        <v>173982451.36000001</v>
      </c>
      <c r="K277" s="990">
        <v>449885.23</v>
      </c>
      <c r="L277" s="990">
        <v>3991091.75</v>
      </c>
      <c r="M277" s="990">
        <v>7194.81982421875</v>
      </c>
      <c r="N277" s="994">
        <v>0</v>
      </c>
      <c r="O277" s="994">
        <v>0</v>
      </c>
      <c r="P277" s="990">
        <v>217110108.69</v>
      </c>
      <c r="Q277" s="990">
        <v>548111.93999999994</v>
      </c>
      <c r="R277" s="991">
        <v>263290212.53999999</v>
      </c>
      <c r="S277" s="992">
        <v>649833.64</v>
      </c>
    </row>
    <row r="278" spans="1:19" ht="22.5" x14ac:dyDescent="0.25">
      <c r="A278" s="989" t="s">
        <v>4956</v>
      </c>
      <c r="B278" s="989" t="s">
        <v>1769</v>
      </c>
      <c r="C278" s="989" t="s">
        <v>297</v>
      </c>
      <c r="D278" s="989" t="s">
        <v>297</v>
      </c>
      <c r="E278" s="989" t="s">
        <v>2020</v>
      </c>
      <c r="F278" s="990">
        <v>13424082.75</v>
      </c>
      <c r="G278" s="990">
        <v>0</v>
      </c>
      <c r="H278" s="990">
        <v>71740661.299999997</v>
      </c>
      <c r="I278" s="990">
        <v>0</v>
      </c>
      <c r="J278" s="990">
        <v>1882987.12</v>
      </c>
      <c r="K278" s="990">
        <v>0</v>
      </c>
      <c r="L278" s="990">
        <v>0</v>
      </c>
      <c r="M278" s="990">
        <v>0</v>
      </c>
      <c r="N278" s="994">
        <v>0</v>
      </c>
      <c r="O278" s="994">
        <v>0</v>
      </c>
      <c r="P278" s="990">
        <v>73623648.420000002</v>
      </c>
      <c r="Q278" s="990">
        <v>0</v>
      </c>
      <c r="R278" s="991">
        <v>87047731.170000002</v>
      </c>
      <c r="S278" s="992">
        <v>0</v>
      </c>
    </row>
    <row r="279" spans="1:19" ht="22.5" x14ac:dyDescent="0.25">
      <c r="A279" s="989" t="s">
        <v>4956</v>
      </c>
      <c r="B279" s="989" t="s">
        <v>1769</v>
      </c>
      <c r="C279" s="989" t="s">
        <v>1732</v>
      </c>
      <c r="D279" s="989" t="s">
        <v>306</v>
      </c>
      <c r="E279" s="989" t="s">
        <v>2021</v>
      </c>
      <c r="F279" s="990">
        <v>50335029.369999997</v>
      </c>
      <c r="G279" s="990">
        <v>85388</v>
      </c>
      <c r="H279" s="990">
        <v>0</v>
      </c>
      <c r="I279" s="990">
        <v>0</v>
      </c>
      <c r="J279" s="990">
        <v>107847907.14</v>
      </c>
      <c r="K279" s="990">
        <v>200453.31</v>
      </c>
      <c r="L279" s="990">
        <v>0</v>
      </c>
      <c r="M279" s="990">
        <v>0</v>
      </c>
      <c r="N279" s="994">
        <v>0</v>
      </c>
      <c r="O279" s="994">
        <v>0</v>
      </c>
      <c r="P279" s="990">
        <v>107847907.14</v>
      </c>
      <c r="Q279" s="990">
        <v>200453.31</v>
      </c>
      <c r="R279" s="991">
        <v>158182936.50999999</v>
      </c>
      <c r="S279" s="992">
        <v>285841.74</v>
      </c>
    </row>
    <row r="280" spans="1:19" ht="22.5" x14ac:dyDescent="0.25">
      <c r="A280" s="989" t="s">
        <v>4956</v>
      </c>
      <c r="B280" s="989" t="s">
        <v>1769</v>
      </c>
      <c r="C280" s="989" t="s">
        <v>4976</v>
      </c>
      <c r="D280" s="989" t="s">
        <v>4976</v>
      </c>
      <c r="E280" s="989" t="s">
        <v>5040</v>
      </c>
      <c r="F280" s="990">
        <v>0</v>
      </c>
      <c r="G280" s="990">
        <v>0</v>
      </c>
      <c r="H280" s="990">
        <v>0</v>
      </c>
      <c r="I280" s="990">
        <v>0</v>
      </c>
      <c r="J280" s="990">
        <v>0</v>
      </c>
      <c r="K280" s="990">
        <v>0</v>
      </c>
      <c r="L280" s="990">
        <v>0</v>
      </c>
      <c r="M280" s="990">
        <v>0</v>
      </c>
      <c r="N280" s="994">
        <v>167050912</v>
      </c>
      <c r="O280" s="994">
        <v>309046.125</v>
      </c>
      <c r="P280" s="990">
        <v>0</v>
      </c>
      <c r="Q280" s="990">
        <v>0</v>
      </c>
      <c r="R280" s="991">
        <v>0</v>
      </c>
      <c r="S280" s="992">
        <v>0</v>
      </c>
    </row>
    <row r="281" spans="1:19" ht="22.5" x14ac:dyDescent="0.25">
      <c r="A281" s="989" t="s">
        <v>4956</v>
      </c>
      <c r="B281" s="989" t="s">
        <v>1769</v>
      </c>
      <c r="C281" s="989" t="s">
        <v>316</v>
      </c>
      <c r="D281" s="989" t="s">
        <v>316</v>
      </c>
      <c r="E281" s="989" t="s">
        <v>2022</v>
      </c>
      <c r="F281" s="990">
        <v>4364275.2</v>
      </c>
      <c r="G281" s="990">
        <v>0</v>
      </c>
      <c r="H281" s="990">
        <v>171692299.58000001</v>
      </c>
      <c r="I281" s="990">
        <v>0</v>
      </c>
      <c r="J281" s="990">
        <v>0</v>
      </c>
      <c r="K281" s="990">
        <v>0</v>
      </c>
      <c r="L281" s="990">
        <v>0</v>
      </c>
      <c r="M281" s="990">
        <v>0</v>
      </c>
      <c r="N281" s="994">
        <v>0</v>
      </c>
      <c r="O281" s="994">
        <v>0</v>
      </c>
      <c r="P281" s="990">
        <v>171692299.58000001</v>
      </c>
      <c r="Q281" s="990">
        <v>0</v>
      </c>
      <c r="R281" s="991">
        <v>176056574.78</v>
      </c>
      <c r="S281" s="992">
        <v>0</v>
      </c>
    </row>
    <row r="282" spans="1:19" ht="22.5" x14ac:dyDescent="0.25">
      <c r="A282" s="989" t="s">
        <v>4956</v>
      </c>
      <c r="B282" s="989" t="s">
        <v>1769</v>
      </c>
      <c r="C282" s="989" t="s">
        <v>1730</v>
      </c>
      <c r="D282" s="989" t="s">
        <v>341</v>
      </c>
      <c r="E282" s="989" t="s">
        <v>2023</v>
      </c>
      <c r="F282" s="990">
        <v>0</v>
      </c>
      <c r="G282" s="990">
        <v>0</v>
      </c>
      <c r="H282" s="990">
        <v>0</v>
      </c>
      <c r="I282" s="990">
        <v>0</v>
      </c>
      <c r="J282" s="990">
        <v>1981443.19</v>
      </c>
      <c r="K282" s="990">
        <v>5508</v>
      </c>
      <c r="L282" s="990">
        <v>0</v>
      </c>
      <c r="M282" s="990">
        <v>0</v>
      </c>
      <c r="N282" s="994">
        <v>0</v>
      </c>
      <c r="O282" s="994">
        <v>0</v>
      </c>
      <c r="P282" s="990">
        <v>1981443.19</v>
      </c>
      <c r="Q282" s="990">
        <v>5508</v>
      </c>
      <c r="R282" s="991">
        <v>1981443.19</v>
      </c>
      <c r="S282" s="992">
        <v>5508</v>
      </c>
    </row>
    <row r="283" spans="1:19" ht="33.75" x14ac:dyDescent="0.25">
      <c r="A283" s="989" t="s">
        <v>4956</v>
      </c>
      <c r="B283" s="989" t="s">
        <v>1769</v>
      </c>
      <c r="C283" s="989" t="s">
        <v>1734</v>
      </c>
      <c r="D283" s="989" t="s">
        <v>343</v>
      </c>
      <c r="E283" s="989" t="s">
        <v>2024</v>
      </c>
      <c r="F283" s="990">
        <v>15586.72</v>
      </c>
      <c r="G283" s="990">
        <v>0</v>
      </c>
      <c r="H283" s="990">
        <v>0</v>
      </c>
      <c r="I283" s="990">
        <v>0</v>
      </c>
      <c r="J283" s="990">
        <v>1254502.01</v>
      </c>
      <c r="K283" s="990">
        <v>0</v>
      </c>
      <c r="L283" s="990">
        <v>0</v>
      </c>
      <c r="M283" s="990">
        <v>0</v>
      </c>
      <c r="N283" s="994">
        <v>0</v>
      </c>
      <c r="O283" s="994">
        <v>0</v>
      </c>
      <c r="P283" s="990">
        <v>1254502.01</v>
      </c>
      <c r="Q283" s="990">
        <v>0</v>
      </c>
      <c r="R283" s="991">
        <v>1270088.73</v>
      </c>
      <c r="S283" s="992">
        <v>0</v>
      </c>
    </row>
    <row r="284" spans="1:19" ht="22.5" x14ac:dyDescent="0.25">
      <c r="A284" s="989" t="s">
        <v>4956</v>
      </c>
      <c r="B284" s="989" t="s">
        <v>1770</v>
      </c>
      <c r="C284" s="989" t="s">
        <v>1736</v>
      </c>
      <c r="D284" s="989" t="s">
        <v>249</v>
      </c>
      <c r="E284" s="989" t="s">
        <v>2379</v>
      </c>
      <c r="F284" s="990">
        <v>0</v>
      </c>
      <c r="G284" s="990">
        <v>0</v>
      </c>
      <c r="H284" s="990">
        <v>0</v>
      </c>
      <c r="I284" s="990">
        <v>0</v>
      </c>
      <c r="J284" s="990">
        <v>0</v>
      </c>
      <c r="K284" s="990">
        <v>0</v>
      </c>
      <c r="L284" s="990">
        <v>20383812</v>
      </c>
      <c r="M284" s="990">
        <v>44998.19921875</v>
      </c>
      <c r="N284" s="994">
        <v>0</v>
      </c>
      <c r="O284" s="994">
        <v>0</v>
      </c>
      <c r="P284" s="990">
        <v>20383811.5</v>
      </c>
      <c r="Q284" s="990">
        <v>44998.2</v>
      </c>
      <c r="R284" s="991">
        <v>20383811.5</v>
      </c>
      <c r="S284" s="992">
        <v>44998.2</v>
      </c>
    </row>
    <row r="285" spans="1:19" ht="45" x14ac:dyDescent="0.25">
      <c r="A285" s="989" t="s">
        <v>4956</v>
      </c>
      <c r="B285" s="989" t="s">
        <v>1770</v>
      </c>
      <c r="C285" s="989" t="s">
        <v>1726</v>
      </c>
      <c r="D285" s="989" t="s">
        <v>277</v>
      </c>
      <c r="E285" s="989" t="s">
        <v>2025</v>
      </c>
      <c r="F285" s="990">
        <v>164191250.8856</v>
      </c>
      <c r="G285" s="990">
        <v>455426</v>
      </c>
      <c r="H285" s="990">
        <v>115844472.2852</v>
      </c>
      <c r="I285" s="990">
        <v>0</v>
      </c>
      <c r="J285" s="990">
        <v>508551893.89399999</v>
      </c>
      <c r="K285" s="990">
        <v>1623521.15</v>
      </c>
      <c r="L285" s="990">
        <v>15631701</v>
      </c>
      <c r="M285" s="990">
        <v>30205.529296875</v>
      </c>
      <c r="N285" s="994">
        <v>0</v>
      </c>
      <c r="O285" s="994">
        <v>0</v>
      </c>
      <c r="P285" s="990">
        <v>640028067.32379997</v>
      </c>
      <c r="Q285" s="990">
        <v>1653726.68</v>
      </c>
      <c r="R285" s="991">
        <v>804219318.20940006</v>
      </c>
      <c r="S285" s="992">
        <v>2109153.15</v>
      </c>
    </row>
    <row r="286" spans="1:19" ht="22.5" x14ac:dyDescent="0.25">
      <c r="A286" s="989" t="s">
        <v>4956</v>
      </c>
      <c r="B286" s="989" t="s">
        <v>1770</v>
      </c>
      <c r="C286" s="989" t="s">
        <v>297</v>
      </c>
      <c r="D286" s="989" t="s">
        <v>297</v>
      </c>
      <c r="E286" s="989" t="s">
        <v>2026</v>
      </c>
      <c r="F286" s="990">
        <v>37963366.777199998</v>
      </c>
      <c r="G286" s="990">
        <v>0</v>
      </c>
      <c r="H286" s="990">
        <v>194625096.56920001</v>
      </c>
      <c r="I286" s="990">
        <v>0</v>
      </c>
      <c r="J286" s="990">
        <v>0</v>
      </c>
      <c r="K286" s="990">
        <v>0</v>
      </c>
      <c r="L286" s="990">
        <v>0</v>
      </c>
      <c r="M286" s="990">
        <v>0</v>
      </c>
      <c r="N286" s="994">
        <v>0</v>
      </c>
      <c r="O286" s="994">
        <v>0</v>
      </c>
      <c r="P286" s="990">
        <v>194625096.56920001</v>
      </c>
      <c r="Q286" s="990">
        <v>0</v>
      </c>
      <c r="R286" s="991">
        <v>232588463.34639999</v>
      </c>
      <c r="S286" s="992">
        <v>0</v>
      </c>
    </row>
    <row r="287" spans="1:19" ht="22.5" x14ac:dyDescent="0.25">
      <c r="A287" s="989" t="s">
        <v>4956</v>
      </c>
      <c r="B287" s="989" t="s">
        <v>1770</v>
      </c>
      <c r="C287" s="989" t="s">
        <v>1732</v>
      </c>
      <c r="D287" s="989" t="s">
        <v>306</v>
      </c>
      <c r="E287" s="989" t="s">
        <v>2027</v>
      </c>
      <c r="F287" s="990">
        <v>0</v>
      </c>
      <c r="G287" s="990">
        <v>0</v>
      </c>
      <c r="H287" s="990">
        <v>0</v>
      </c>
      <c r="I287" s="990">
        <v>0</v>
      </c>
      <c r="J287" s="990">
        <v>31425633.769499999</v>
      </c>
      <c r="K287" s="990">
        <v>58806.27</v>
      </c>
      <c r="L287" s="990">
        <v>0</v>
      </c>
      <c r="M287" s="990">
        <v>0</v>
      </c>
      <c r="N287" s="994">
        <v>0</v>
      </c>
      <c r="O287" s="994">
        <v>0</v>
      </c>
      <c r="P287" s="990">
        <v>31425633.769499999</v>
      </c>
      <c r="Q287" s="990">
        <v>58806.27</v>
      </c>
      <c r="R287" s="991">
        <v>31425633.769499999</v>
      </c>
      <c r="S287" s="992">
        <v>58806.27</v>
      </c>
    </row>
    <row r="288" spans="1:19" ht="22.5" x14ac:dyDescent="0.25">
      <c r="A288" s="989" t="s">
        <v>4956</v>
      </c>
      <c r="B288" s="989" t="s">
        <v>1770</v>
      </c>
      <c r="C288" s="989" t="s">
        <v>4976</v>
      </c>
      <c r="D288" s="989" t="s">
        <v>4976</v>
      </c>
      <c r="E288" s="989" t="s">
        <v>5041</v>
      </c>
      <c r="F288" s="990">
        <v>0</v>
      </c>
      <c r="G288" s="990">
        <v>0</v>
      </c>
      <c r="H288" s="990">
        <v>0</v>
      </c>
      <c r="I288" s="990">
        <v>0</v>
      </c>
      <c r="J288" s="990">
        <v>0</v>
      </c>
      <c r="K288" s="990">
        <v>0</v>
      </c>
      <c r="L288" s="990">
        <v>0</v>
      </c>
      <c r="M288" s="990">
        <v>0</v>
      </c>
      <c r="N288" s="994">
        <v>101928296</v>
      </c>
      <c r="O288" s="994">
        <v>246827.265625</v>
      </c>
      <c r="P288" s="990">
        <v>0</v>
      </c>
      <c r="Q288" s="990">
        <v>0</v>
      </c>
      <c r="R288" s="991">
        <v>0</v>
      </c>
      <c r="S288" s="992">
        <v>0</v>
      </c>
    </row>
    <row r="289" spans="1:19" ht="22.5" x14ac:dyDescent="0.25">
      <c r="A289" s="989" t="s">
        <v>4956</v>
      </c>
      <c r="B289" s="989" t="s">
        <v>1770</v>
      </c>
      <c r="C289" s="989" t="s">
        <v>316</v>
      </c>
      <c r="D289" s="989" t="s">
        <v>316</v>
      </c>
      <c r="E289" s="989" t="s">
        <v>2028</v>
      </c>
      <c r="F289" s="990">
        <v>16305693.813899999</v>
      </c>
      <c r="G289" s="990">
        <v>0</v>
      </c>
      <c r="H289" s="990">
        <v>605690977.68040001</v>
      </c>
      <c r="I289" s="990">
        <v>0</v>
      </c>
      <c r="J289" s="990">
        <v>0</v>
      </c>
      <c r="K289" s="990">
        <v>0</v>
      </c>
      <c r="L289" s="990">
        <v>0</v>
      </c>
      <c r="M289" s="990">
        <v>0</v>
      </c>
      <c r="N289" s="994">
        <v>0</v>
      </c>
      <c r="O289" s="994">
        <v>0</v>
      </c>
      <c r="P289" s="990">
        <v>605690977.68040001</v>
      </c>
      <c r="Q289" s="990">
        <v>0</v>
      </c>
      <c r="R289" s="991">
        <v>621996671.49430001</v>
      </c>
      <c r="S289" s="992">
        <v>0</v>
      </c>
    </row>
    <row r="290" spans="1:19" ht="22.5" x14ac:dyDescent="0.25">
      <c r="A290" s="989" t="s">
        <v>4956</v>
      </c>
      <c r="B290" s="989" t="s">
        <v>1770</v>
      </c>
      <c r="C290" s="989" t="s">
        <v>1730</v>
      </c>
      <c r="D290" s="989" t="s">
        <v>341</v>
      </c>
      <c r="E290" s="989" t="s">
        <v>2029</v>
      </c>
      <c r="F290" s="990">
        <v>10019032.671399999</v>
      </c>
      <c r="G290" s="990">
        <v>28362</v>
      </c>
      <c r="H290" s="990">
        <v>79933.071299999996</v>
      </c>
      <c r="I290" s="990">
        <v>0</v>
      </c>
      <c r="J290" s="990">
        <v>4768175.3262999998</v>
      </c>
      <c r="K290" s="990">
        <v>13673.4</v>
      </c>
      <c r="L290" s="990">
        <v>0</v>
      </c>
      <c r="M290" s="990">
        <v>0</v>
      </c>
      <c r="N290" s="994">
        <v>0</v>
      </c>
      <c r="O290" s="994">
        <v>0</v>
      </c>
      <c r="P290" s="990">
        <v>4848108.3975999998</v>
      </c>
      <c r="Q290" s="990">
        <v>13673.4</v>
      </c>
      <c r="R290" s="991">
        <v>14867141.069</v>
      </c>
      <c r="S290" s="992">
        <v>42035.72</v>
      </c>
    </row>
    <row r="291" spans="1:19" ht="33.75" x14ac:dyDescent="0.25">
      <c r="A291" s="989" t="s">
        <v>4956</v>
      </c>
      <c r="B291" s="989" t="s">
        <v>1770</v>
      </c>
      <c r="C291" s="989" t="s">
        <v>1734</v>
      </c>
      <c r="D291" s="989" t="s">
        <v>343</v>
      </c>
      <c r="E291" s="989" t="s">
        <v>2030</v>
      </c>
      <c r="F291" s="990">
        <v>0</v>
      </c>
      <c r="G291" s="990">
        <v>0</v>
      </c>
      <c r="H291" s="990">
        <v>3907712</v>
      </c>
      <c r="I291" s="990">
        <v>0</v>
      </c>
      <c r="J291" s="990">
        <v>0</v>
      </c>
      <c r="K291" s="990">
        <v>0</v>
      </c>
      <c r="L291" s="990">
        <v>0</v>
      </c>
      <c r="M291" s="990">
        <v>0</v>
      </c>
      <c r="N291" s="994">
        <v>0</v>
      </c>
      <c r="O291" s="994">
        <v>0</v>
      </c>
      <c r="P291" s="990">
        <v>3907712</v>
      </c>
      <c r="Q291" s="990">
        <v>0</v>
      </c>
      <c r="R291" s="991">
        <v>3907712</v>
      </c>
      <c r="S291" s="992">
        <v>0</v>
      </c>
    </row>
    <row r="292" spans="1:19" ht="45" x14ac:dyDescent="0.25">
      <c r="A292" s="989" t="s">
        <v>4956</v>
      </c>
      <c r="B292" s="989" t="s">
        <v>1771</v>
      </c>
      <c r="C292" s="989" t="s">
        <v>1726</v>
      </c>
      <c r="D292" s="989" t="s">
        <v>263</v>
      </c>
      <c r="E292" s="989" t="s">
        <v>2031</v>
      </c>
      <c r="F292" s="990">
        <v>0</v>
      </c>
      <c r="G292" s="990">
        <v>0</v>
      </c>
      <c r="H292" s="990">
        <v>0</v>
      </c>
      <c r="I292" s="990">
        <v>0</v>
      </c>
      <c r="J292" s="990">
        <v>19536820.920000002</v>
      </c>
      <c r="K292" s="990">
        <v>39864.65</v>
      </c>
      <c r="L292" s="990">
        <v>0</v>
      </c>
      <c r="M292" s="990">
        <v>0</v>
      </c>
      <c r="N292" s="994">
        <v>0</v>
      </c>
      <c r="O292" s="994">
        <v>0</v>
      </c>
      <c r="P292" s="990">
        <v>19536820.920000002</v>
      </c>
      <c r="Q292" s="990">
        <v>39864.65</v>
      </c>
      <c r="R292" s="991">
        <v>19536820.920000002</v>
      </c>
      <c r="S292" s="992">
        <v>39864.65</v>
      </c>
    </row>
    <row r="293" spans="1:19" ht="45" x14ac:dyDescent="0.25">
      <c r="A293" s="989" t="s">
        <v>4956</v>
      </c>
      <c r="B293" s="989" t="s">
        <v>1771</v>
      </c>
      <c r="C293" s="989" t="s">
        <v>1726</v>
      </c>
      <c r="D293" s="989" t="s">
        <v>272</v>
      </c>
      <c r="E293" s="989" t="s">
        <v>2032</v>
      </c>
      <c r="F293" s="990">
        <v>38424382.299999997</v>
      </c>
      <c r="G293" s="990">
        <v>97766</v>
      </c>
      <c r="H293" s="990">
        <v>12296655.26</v>
      </c>
      <c r="I293" s="990">
        <v>37462.550000000003</v>
      </c>
      <c r="J293" s="990">
        <v>61651983.799999997</v>
      </c>
      <c r="K293" s="990">
        <v>174787.65</v>
      </c>
      <c r="L293" s="990">
        <v>0</v>
      </c>
      <c r="M293" s="990">
        <v>0</v>
      </c>
      <c r="N293" s="994">
        <v>0</v>
      </c>
      <c r="O293" s="994">
        <v>0</v>
      </c>
      <c r="P293" s="990">
        <v>73948639.060000002</v>
      </c>
      <c r="Q293" s="990">
        <v>212250.2</v>
      </c>
      <c r="R293" s="991">
        <v>112373021.36</v>
      </c>
      <c r="S293" s="992">
        <v>310016.40000000002</v>
      </c>
    </row>
    <row r="294" spans="1:19" ht="22.5" x14ac:dyDescent="0.25">
      <c r="A294" s="989" t="s">
        <v>4956</v>
      </c>
      <c r="B294" s="989" t="s">
        <v>1771</v>
      </c>
      <c r="C294" s="989" t="s">
        <v>297</v>
      </c>
      <c r="D294" s="989" t="s">
        <v>297</v>
      </c>
      <c r="E294" s="989" t="s">
        <v>2033</v>
      </c>
      <c r="F294" s="990">
        <v>5490965.5999999996</v>
      </c>
      <c r="G294" s="990">
        <v>0</v>
      </c>
      <c r="H294" s="990">
        <v>26201598.800000001</v>
      </c>
      <c r="I294" s="990">
        <v>0</v>
      </c>
      <c r="J294" s="990">
        <v>0</v>
      </c>
      <c r="K294" s="990">
        <v>0</v>
      </c>
      <c r="L294" s="990">
        <v>0</v>
      </c>
      <c r="M294" s="990">
        <v>0</v>
      </c>
      <c r="N294" s="994">
        <v>0</v>
      </c>
      <c r="O294" s="994">
        <v>0</v>
      </c>
      <c r="P294" s="990">
        <v>26201598.800000001</v>
      </c>
      <c r="Q294" s="990">
        <v>0</v>
      </c>
      <c r="R294" s="991">
        <v>31692564.399999999</v>
      </c>
      <c r="S294" s="992">
        <v>0</v>
      </c>
    </row>
    <row r="295" spans="1:19" ht="22.5" x14ac:dyDescent="0.25">
      <c r="A295" s="989" t="s">
        <v>4956</v>
      </c>
      <c r="B295" s="989" t="s">
        <v>1771</v>
      </c>
      <c r="C295" s="989" t="s">
        <v>4976</v>
      </c>
      <c r="D295" s="989" t="s">
        <v>4976</v>
      </c>
      <c r="E295" s="989" t="s">
        <v>5042</v>
      </c>
      <c r="F295" s="990">
        <v>0</v>
      </c>
      <c r="G295" s="990">
        <v>0</v>
      </c>
      <c r="H295" s="990">
        <v>0</v>
      </c>
      <c r="I295" s="990">
        <v>0</v>
      </c>
      <c r="J295" s="990">
        <v>0</v>
      </c>
      <c r="K295" s="990">
        <v>0</v>
      </c>
      <c r="L295" s="990">
        <v>0</v>
      </c>
      <c r="M295" s="990">
        <v>0</v>
      </c>
      <c r="N295" s="994">
        <v>35989736</v>
      </c>
      <c r="O295" s="994">
        <v>67522.6015625</v>
      </c>
      <c r="P295" s="990">
        <v>0</v>
      </c>
      <c r="Q295" s="990">
        <v>0</v>
      </c>
      <c r="R295" s="991">
        <v>0</v>
      </c>
      <c r="S295" s="992">
        <v>0</v>
      </c>
    </row>
    <row r="296" spans="1:19" ht="22.5" x14ac:dyDescent="0.25">
      <c r="A296" s="989" t="s">
        <v>4956</v>
      </c>
      <c r="B296" s="989" t="s">
        <v>1771</v>
      </c>
      <c r="C296" s="989" t="s">
        <v>316</v>
      </c>
      <c r="D296" s="989" t="s">
        <v>316</v>
      </c>
      <c r="E296" s="989" t="s">
        <v>2034</v>
      </c>
      <c r="F296" s="990">
        <v>2978250.2</v>
      </c>
      <c r="G296" s="990">
        <v>0</v>
      </c>
      <c r="H296" s="990">
        <v>68091676.450000003</v>
      </c>
      <c r="I296" s="990">
        <v>0</v>
      </c>
      <c r="J296" s="990">
        <v>0</v>
      </c>
      <c r="K296" s="990">
        <v>0</v>
      </c>
      <c r="L296" s="990">
        <v>0</v>
      </c>
      <c r="M296" s="990">
        <v>0</v>
      </c>
      <c r="N296" s="994">
        <v>0</v>
      </c>
      <c r="O296" s="994">
        <v>0</v>
      </c>
      <c r="P296" s="990">
        <v>68091676.450000003</v>
      </c>
      <c r="Q296" s="990">
        <v>0</v>
      </c>
      <c r="R296" s="991">
        <v>71069926.650000006</v>
      </c>
      <c r="S296" s="992">
        <v>0</v>
      </c>
    </row>
    <row r="297" spans="1:19" ht="33.75" x14ac:dyDescent="0.25">
      <c r="A297" s="989" t="s">
        <v>4956</v>
      </c>
      <c r="B297" s="989" t="s">
        <v>1771</v>
      </c>
      <c r="C297" s="989" t="s">
        <v>1733</v>
      </c>
      <c r="D297" s="989" t="s">
        <v>325</v>
      </c>
      <c r="E297" s="989" t="s">
        <v>2035</v>
      </c>
      <c r="F297" s="990">
        <v>6072.1</v>
      </c>
      <c r="G297" s="990">
        <v>16</v>
      </c>
      <c r="H297" s="990">
        <v>39372.550000000003</v>
      </c>
      <c r="I297" s="990">
        <v>109.36</v>
      </c>
      <c r="J297" s="990">
        <v>0</v>
      </c>
      <c r="K297" s="990">
        <v>0</v>
      </c>
      <c r="L297" s="990">
        <v>0</v>
      </c>
      <c r="M297" s="990">
        <v>0</v>
      </c>
      <c r="N297" s="994">
        <v>0</v>
      </c>
      <c r="O297" s="994">
        <v>0</v>
      </c>
      <c r="P297" s="990">
        <v>39372.550000000003</v>
      </c>
      <c r="Q297" s="990">
        <v>109.36</v>
      </c>
      <c r="R297" s="991">
        <v>45444.65</v>
      </c>
      <c r="S297" s="992">
        <v>126.23</v>
      </c>
    </row>
    <row r="298" spans="1:19" ht="22.5" x14ac:dyDescent="0.25">
      <c r="A298" s="989" t="s">
        <v>4956</v>
      </c>
      <c r="B298" s="989" t="s">
        <v>1771</v>
      </c>
      <c r="C298" s="989" t="s">
        <v>1730</v>
      </c>
      <c r="D298" s="989" t="s">
        <v>341</v>
      </c>
      <c r="E298" s="989" t="s">
        <v>2036</v>
      </c>
      <c r="F298" s="990">
        <v>116016</v>
      </c>
      <c r="G298" s="990">
        <v>314</v>
      </c>
      <c r="H298" s="990">
        <v>0</v>
      </c>
      <c r="I298" s="990">
        <v>0</v>
      </c>
      <c r="J298" s="990">
        <v>961248.3</v>
      </c>
      <c r="K298" s="990">
        <v>2607.9499999999998</v>
      </c>
      <c r="L298" s="990">
        <v>0</v>
      </c>
      <c r="M298" s="990">
        <v>0</v>
      </c>
      <c r="N298" s="994">
        <v>0</v>
      </c>
      <c r="O298" s="994">
        <v>0</v>
      </c>
      <c r="P298" s="990">
        <v>961248.3</v>
      </c>
      <c r="Q298" s="990">
        <v>2607.9499999999998</v>
      </c>
      <c r="R298" s="991">
        <v>1077264.3</v>
      </c>
      <c r="S298" s="992">
        <v>2922.71</v>
      </c>
    </row>
    <row r="299" spans="1:19" ht="33.75" x14ac:dyDescent="0.25">
      <c r="A299" s="989" t="s">
        <v>4956</v>
      </c>
      <c r="B299" s="989" t="s">
        <v>1771</v>
      </c>
      <c r="C299" s="989" t="s">
        <v>1734</v>
      </c>
      <c r="D299" s="989" t="s">
        <v>343</v>
      </c>
      <c r="E299" s="989" t="s">
        <v>2037</v>
      </c>
      <c r="F299" s="990">
        <v>38487</v>
      </c>
      <c r="G299" s="990">
        <v>0</v>
      </c>
      <c r="H299" s="990">
        <v>556570.71</v>
      </c>
      <c r="I299" s="990">
        <v>0</v>
      </c>
      <c r="J299" s="990">
        <v>14960.33</v>
      </c>
      <c r="K299" s="990">
        <v>0</v>
      </c>
      <c r="L299" s="990">
        <v>0</v>
      </c>
      <c r="M299" s="990">
        <v>0</v>
      </c>
      <c r="N299" s="994">
        <v>0</v>
      </c>
      <c r="O299" s="994">
        <v>0</v>
      </c>
      <c r="P299" s="990">
        <v>571531.04</v>
      </c>
      <c r="Q299" s="990">
        <v>0</v>
      </c>
      <c r="R299" s="991">
        <v>610018.04</v>
      </c>
      <c r="S299" s="992">
        <v>0</v>
      </c>
    </row>
    <row r="300" spans="1:19" ht="45" x14ac:dyDescent="0.25">
      <c r="A300" s="989" t="s">
        <v>4956</v>
      </c>
      <c r="B300" s="989" t="s">
        <v>1772</v>
      </c>
      <c r="C300" s="989" t="s">
        <v>1726</v>
      </c>
      <c r="D300" s="989" t="s">
        <v>277</v>
      </c>
      <c r="E300" s="1080" t="s">
        <v>6622</v>
      </c>
      <c r="F300" s="990">
        <v>15777034.859999999</v>
      </c>
      <c r="G300" s="990">
        <v>39729</v>
      </c>
      <c r="H300" s="990">
        <v>1406352.32</v>
      </c>
      <c r="I300" s="990">
        <v>2929.67</v>
      </c>
      <c r="J300" s="990">
        <v>69561328.739999995</v>
      </c>
      <c r="K300" s="990">
        <v>165546.82</v>
      </c>
      <c r="L300" s="990">
        <v>0</v>
      </c>
      <c r="M300" s="990">
        <v>0</v>
      </c>
      <c r="N300" s="994">
        <v>0</v>
      </c>
      <c r="O300" s="994">
        <v>0</v>
      </c>
      <c r="P300" s="990">
        <v>70967681.060000002</v>
      </c>
      <c r="Q300" s="990">
        <v>168476.49</v>
      </c>
      <c r="R300" s="991">
        <v>86744715.920000002</v>
      </c>
      <c r="S300" s="992">
        <v>208205.84</v>
      </c>
    </row>
    <row r="301" spans="1:19" ht="45" x14ac:dyDescent="0.25">
      <c r="A301" s="989" t="s">
        <v>4956</v>
      </c>
      <c r="B301" s="989" t="s">
        <v>1772</v>
      </c>
      <c r="C301" s="989" t="s">
        <v>1726</v>
      </c>
      <c r="D301" s="989" t="s">
        <v>5043</v>
      </c>
      <c r="E301" s="1080" t="s">
        <v>6623</v>
      </c>
      <c r="F301" s="990">
        <v>10967366.25</v>
      </c>
      <c r="G301" s="990">
        <v>23512</v>
      </c>
      <c r="H301" s="990">
        <v>3567844.26</v>
      </c>
      <c r="I301" s="990">
        <v>8867.26</v>
      </c>
      <c r="J301" s="990">
        <v>15473577.279999999</v>
      </c>
      <c r="K301" s="990">
        <v>39378.379999999997</v>
      </c>
      <c r="L301" s="990">
        <v>0</v>
      </c>
      <c r="M301" s="990">
        <v>0</v>
      </c>
      <c r="N301" s="994">
        <v>0</v>
      </c>
      <c r="O301" s="994">
        <v>0</v>
      </c>
      <c r="P301" s="990">
        <v>19041421.539999999</v>
      </c>
      <c r="Q301" s="990">
        <v>48245.64</v>
      </c>
      <c r="R301" s="991">
        <v>30008787.789999999</v>
      </c>
      <c r="S301" s="992">
        <v>71757.98</v>
      </c>
    </row>
    <row r="302" spans="1:19" ht="45" x14ac:dyDescent="0.25">
      <c r="A302" s="989" t="s">
        <v>4956</v>
      </c>
      <c r="B302" s="989" t="s">
        <v>1772</v>
      </c>
      <c r="C302" s="989" t="s">
        <v>297</v>
      </c>
      <c r="D302" s="989" t="s">
        <v>297</v>
      </c>
      <c r="E302" s="1080" t="s">
        <v>6624</v>
      </c>
      <c r="F302" s="990">
        <v>7239800.4900000002</v>
      </c>
      <c r="G302" s="990">
        <v>0</v>
      </c>
      <c r="H302" s="990">
        <v>33274196</v>
      </c>
      <c r="I302" s="990">
        <v>0</v>
      </c>
      <c r="J302" s="990">
        <v>0</v>
      </c>
      <c r="K302" s="990">
        <v>0</v>
      </c>
      <c r="L302" s="990">
        <v>0</v>
      </c>
      <c r="M302" s="990">
        <v>0</v>
      </c>
      <c r="N302" s="994">
        <v>0</v>
      </c>
      <c r="O302" s="994">
        <v>0</v>
      </c>
      <c r="P302" s="990">
        <v>33274196</v>
      </c>
      <c r="Q302" s="990">
        <v>0</v>
      </c>
      <c r="R302" s="991">
        <v>40513996.490000002</v>
      </c>
      <c r="S302" s="992">
        <v>0</v>
      </c>
    </row>
    <row r="303" spans="1:19" ht="33.75" x14ac:dyDescent="0.25">
      <c r="A303" s="989" t="s">
        <v>4956</v>
      </c>
      <c r="B303" s="989" t="s">
        <v>1772</v>
      </c>
      <c r="C303" s="989" t="s">
        <v>297</v>
      </c>
      <c r="D303" s="989" t="s">
        <v>5044</v>
      </c>
      <c r="E303" s="1080" t="s">
        <v>6625</v>
      </c>
      <c r="F303" s="990">
        <v>2395189.4300000002</v>
      </c>
      <c r="G303" s="990">
        <v>0</v>
      </c>
      <c r="H303" s="990">
        <v>14676166.15</v>
      </c>
      <c r="I303" s="990">
        <v>0</v>
      </c>
      <c r="J303" s="990">
        <v>0</v>
      </c>
      <c r="K303" s="990">
        <v>0</v>
      </c>
      <c r="L303" s="990">
        <v>0</v>
      </c>
      <c r="M303" s="990">
        <v>0</v>
      </c>
      <c r="N303" s="994">
        <v>0</v>
      </c>
      <c r="O303" s="994">
        <v>0</v>
      </c>
      <c r="P303" s="990">
        <v>14676166.15</v>
      </c>
      <c r="Q303" s="990">
        <v>0</v>
      </c>
      <c r="R303" s="991">
        <v>17071355.579999998</v>
      </c>
      <c r="S303" s="992">
        <v>0</v>
      </c>
    </row>
    <row r="304" spans="1:19" ht="22.5" x14ac:dyDescent="0.25">
      <c r="A304" s="989" t="s">
        <v>4956</v>
      </c>
      <c r="B304" s="989" t="s">
        <v>1772</v>
      </c>
      <c r="C304" s="989" t="s">
        <v>4976</v>
      </c>
      <c r="D304" s="989" t="s">
        <v>4976</v>
      </c>
      <c r="E304" s="1080" t="s">
        <v>5045</v>
      </c>
      <c r="F304" s="990">
        <v>0</v>
      </c>
      <c r="G304" s="990">
        <v>0</v>
      </c>
      <c r="H304" s="990">
        <v>0</v>
      </c>
      <c r="I304" s="990">
        <v>0</v>
      </c>
      <c r="J304" s="990">
        <v>0</v>
      </c>
      <c r="K304" s="990">
        <v>0</v>
      </c>
      <c r="L304" s="990">
        <v>0</v>
      </c>
      <c r="M304" s="990">
        <v>0</v>
      </c>
      <c r="N304" s="994">
        <v>21850618</v>
      </c>
      <c r="O304" s="994">
        <v>46473.140625</v>
      </c>
      <c r="P304" s="990">
        <v>0</v>
      </c>
      <c r="Q304" s="990">
        <v>0</v>
      </c>
      <c r="R304" s="991">
        <v>0</v>
      </c>
      <c r="S304" s="992">
        <v>0</v>
      </c>
    </row>
    <row r="305" spans="1:19" ht="33.75" x14ac:dyDescent="0.25">
      <c r="A305" s="989" t="s">
        <v>4956</v>
      </c>
      <c r="B305" s="989" t="s">
        <v>1772</v>
      </c>
      <c r="C305" s="989" t="s">
        <v>316</v>
      </c>
      <c r="D305" s="989" t="s">
        <v>5046</v>
      </c>
      <c r="E305" s="1080" t="s">
        <v>6626</v>
      </c>
      <c r="F305" s="990">
        <v>934434.43</v>
      </c>
      <c r="G305" s="990">
        <v>0</v>
      </c>
      <c r="H305" s="990">
        <v>27431930.710000001</v>
      </c>
      <c r="I305" s="990">
        <v>0</v>
      </c>
      <c r="J305" s="990">
        <v>0</v>
      </c>
      <c r="K305" s="990">
        <v>0</v>
      </c>
      <c r="L305" s="990">
        <v>0</v>
      </c>
      <c r="M305" s="990">
        <v>0</v>
      </c>
      <c r="N305" s="994">
        <v>0</v>
      </c>
      <c r="O305" s="994">
        <v>0</v>
      </c>
      <c r="P305" s="990">
        <v>27431930.710000001</v>
      </c>
      <c r="Q305" s="990">
        <v>0</v>
      </c>
      <c r="R305" s="991">
        <v>28366365.140000001</v>
      </c>
      <c r="S305" s="992">
        <v>0</v>
      </c>
    </row>
    <row r="306" spans="1:19" ht="33.75" x14ac:dyDescent="0.25">
      <c r="A306" s="989" t="s">
        <v>4956</v>
      </c>
      <c r="B306" s="989" t="s">
        <v>1772</v>
      </c>
      <c r="C306" s="989" t="s">
        <v>316</v>
      </c>
      <c r="D306" s="989" t="s">
        <v>316</v>
      </c>
      <c r="E306" s="1080" t="s">
        <v>6627</v>
      </c>
      <c r="F306" s="990">
        <v>2771806.66</v>
      </c>
      <c r="G306" s="990">
        <v>0</v>
      </c>
      <c r="H306" s="990">
        <v>71991460.780000001</v>
      </c>
      <c r="I306" s="990">
        <v>0</v>
      </c>
      <c r="J306" s="990">
        <v>0</v>
      </c>
      <c r="K306" s="990">
        <v>0</v>
      </c>
      <c r="L306" s="990">
        <v>0</v>
      </c>
      <c r="M306" s="990">
        <v>0</v>
      </c>
      <c r="N306" s="994">
        <v>0</v>
      </c>
      <c r="O306" s="994">
        <v>0</v>
      </c>
      <c r="P306" s="990">
        <v>71991460.780000001</v>
      </c>
      <c r="Q306" s="990">
        <v>0</v>
      </c>
      <c r="R306" s="991">
        <v>74763267.439999998</v>
      </c>
      <c r="S306" s="992">
        <v>0</v>
      </c>
    </row>
    <row r="307" spans="1:19" ht="33.75" x14ac:dyDescent="0.25">
      <c r="A307" s="989" t="s">
        <v>4956</v>
      </c>
      <c r="B307" s="989" t="s">
        <v>1772</v>
      </c>
      <c r="C307" s="989" t="s">
        <v>1733</v>
      </c>
      <c r="D307" s="989" t="s">
        <v>5047</v>
      </c>
      <c r="E307" s="1080" t="s">
        <v>6628</v>
      </c>
      <c r="F307" s="990">
        <v>0</v>
      </c>
      <c r="G307" s="990">
        <v>0</v>
      </c>
      <c r="H307" s="990">
        <v>7134.83</v>
      </c>
      <c r="I307" s="990">
        <v>19.82</v>
      </c>
      <c r="J307" s="990">
        <v>0</v>
      </c>
      <c r="K307" s="990">
        <v>0</v>
      </c>
      <c r="L307" s="990">
        <v>0</v>
      </c>
      <c r="M307" s="990">
        <v>0</v>
      </c>
      <c r="N307" s="994">
        <v>0</v>
      </c>
      <c r="O307" s="994">
        <v>0</v>
      </c>
      <c r="P307" s="990">
        <v>7134.83</v>
      </c>
      <c r="Q307" s="990">
        <v>19.82</v>
      </c>
      <c r="R307" s="991">
        <v>7134.83</v>
      </c>
      <c r="S307" s="992">
        <v>19.82</v>
      </c>
    </row>
    <row r="308" spans="1:19" ht="33.75" x14ac:dyDescent="0.25">
      <c r="A308" s="989" t="s">
        <v>4956</v>
      </c>
      <c r="B308" s="989" t="s">
        <v>1772</v>
      </c>
      <c r="C308" s="989" t="s">
        <v>1733</v>
      </c>
      <c r="D308" s="989" t="s">
        <v>325</v>
      </c>
      <c r="E308" s="1080" t="s">
        <v>6629</v>
      </c>
      <c r="F308" s="990">
        <v>0</v>
      </c>
      <c r="G308" s="990">
        <v>0</v>
      </c>
      <c r="H308" s="990">
        <v>37097.480000000003</v>
      </c>
      <c r="I308" s="990">
        <v>103.72</v>
      </c>
      <c r="J308" s="990">
        <v>0</v>
      </c>
      <c r="K308" s="990">
        <v>0</v>
      </c>
      <c r="L308" s="990">
        <v>0</v>
      </c>
      <c r="M308" s="990">
        <v>0</v>
      </c>
      <c r="N308" s="994">
        <v>0</v>
      </c>
      <c r="O308" s="994">
        <v>0</v>
      </c>
      <c r="P308" s="990">
        <v>37097.480000000003</v>
      </c>
      <c r="Q308" s="990">
        <v>103.72</v>
      </c>
      <c r="R308" s="991">
        <v>37097.480000000003</v>
      </c>
      <c r="S308" s="992">
        <v>103.72</v>
      </c>
    </row>
    <row r="309" spans="1:19" ht="33.75" x14ac:dyDescent="0.25">
      <c r="A309" s="989" t="s">
        <v>4956</v>
      </c>
      <c r="B309" s="989" t="s">
        <v>1772</v>
      </c>
      <c r="C309" s="989" t="s">
        <v>1730</v>
      </c>
      <c r="D309" s="989" t="s">
        <v>5048</v>
      </c>
      <c r="E309" s="1080" t="s">
        <v>6630</v>
      </c>
      <c r="F309" s="990">
        <v>0</v>
      </c>
      <c r="G309" s="990">
        <v>0</v>
      </c>
      <c r="H309" s="990">
        <v>0</v>
      </c>
      <c r="I309" s="990">
        <v>0</v>
      </c>
      <c r="J309" s="990">
        <v>348756.39</v>
      </c>
      <c r="K309" s="990">
        <v>1009.56</v>
      </c>
      <c r="L309" s="990">
        <v>0</v>
      </c>
      <c r="M309" s="990">
        <v>0</v>
      </c>
      <c r="N309" s="994">
        <v>0</v>
      </c>
      <c r="O309" s="994">
        <v>0</v>
      </c>
      <c r="P309" s="990">
        <v>348756.39</v>
      </c>
      <c r="Q309" s="990">
        <v>1009.56</v>
      </c>
      <c r="R309" s="991">
        <v>348756.39</v>
      </c>
      <c r="S309" s="992">
        <v>1009.56</v>
      </c>
    </row>
    <row r="310" spans="1:19" ht="33.75" x14ac:dyDescent="0.25">
      <c r="A310" s="989" t="s">
        <v>4956</v>
      </c>
      <c r="B310" s="989" t="s">
        <v>1772</v>
      </c>
      <c r="C310" s="989" t="s">
        <v>1730</v>
      </c>
      <c r="D310" s="989" t="s">
        <v>341</v>
      </c>
      <c r="E310" s="1080" t="s">
        <v>6631</v>
      </c>
      <c r="F310" s="990">
        <v>137516.35</v>
      </c>
      <c r="G310" s="990">
        <v>373</v>
      </c>
      <c r="H310" s="990">
        <v>668182.22</v>
      </c>
      <c r="I310" s="990">
        <v>1815.37</v>
      </c>
      <c r="J310" s="990">
        <v>0</v>
      </c>
      <c r="K310" s="990">
        <v>0</v>
      </c>
      <c r="L310" s="990">
        <v>0</v>
      </c>
      <c r="M310" s="990">
        <v>0</v>
      </c>
      <c r="N310" s="994">
        <v>0</v>
      </c>
      <c r="O310" s="994">
        <v>0</v>
      </c>
      <c r="P310" s="990">
        <v>668182.22</v>
      </c>
      <c r="Q310" s="990">
        <v>1815.37</v>
      </c>
      <c r="R310" s="991">
        <v>805698.57</v>
      </c>
      <c r="S310" s="992">
        <v>2188.5700000000002</v>
      </c>
    </row>
    <row r="311" spans="1:19" ht="33.75" x14ac:dyDescent="0.25">
      <c r="A311" s="989" t="s">
        <v>4956</v>
      </c>
      <c r="B311" s="989" t="s">
        <v>1772</v>
      </c>
      <c r="C311" s="989" t="s">
        <v>1734</v>
      </c>
      <c r="D311" s="989" t="s">
        <v>5049</v>
      </c>
      <c r="E311" s="1080" t="s">
        <v>6632</v>
      </c>
      <c r="F311" s="990">
        <v>0</v>
      </c>
      <c r="G311" s="990">
        <v>0</v>
      </c>
      <c r="H311" s="990">
        <v>56112</v>
      </c>
      <c r="I311" s="990">
        <v>0</v>
      </c>
      <c r="J311" s="990">
        <v>0</v>
      </c>
      <c r="K311" s="990">
        <v>0</v>
      </c>
      <c r="L311" s="990">
        <v>0</v>
      </c>
      <c r="M311" s="990">
        <v>0</v>
      </c>
      <c r="N311" s="994">
        <v>0</v>
      </c>
      <c r="O311" s="994">
        <v>0</v>
      </c>
      <c r="P311" s="990">
        <v>56112</v>
      </c>
      <c r="Q311" s="990">
        <v>0</v>
      </c>
      <c r="R311" s="991">
        <v>56112</v>
      </c>
      <c r="S311" s="992">
        <v>0</v>
      </c>
    </row>
    <row r="312" spans="1:19" ht="45" x14ac:dyDescent="0.25">
      <c r="A312" s="989" t="s">
        <v>4956</v>
      </c>
      <c r="B312" s="989" t="s">
        <v>1772</v>
      </c>
      <c r="C312" s="989" t="s">
        <v>1734</v>
      </c>
      <c r="D312" s="989" t="s">
        <v>343</v>
      </c>
      <c r="E312" s="1080" t="s">
        <v>6633</v>
      </c>
      <c r="F312" s="990">
        <v>600.05999999999995</v>
      </c>
      <c r="G312" s="990">
        <v>0</v>
      </c>
      <c r="H312" s="990">
        <v>109355.94</v>
      </c>
      <c r="I312" s="990">
        <v>0</v>
      </c>
      <c r="J312" s="990">
        <v>0</v>
      </c>
      <c r="K312" s="990">
        <v>0</v>
      </c>
      <c r="L312" s="990">
        <v>0</v>
      </c>
      <c r="M312" s="990">
        <v>0</v>
      </c>
      <c r="N312" s="994">
        <v>0</v>
      </c>
      <c r="O312" s="994">
        <v>0</v>
      </c>
      <c r="P312" s="990">
        <v>109355.94</v>
      </c>
      <c r="Q312" s="990">
        <v>0</v>
      </c>
      <c r="R312" s="991">
        <v>109956</v>
      </c>
      <c r="S312" s="992">
        <v>0</v>
      </c>
    </row>
    <row r="313" spans="1:19" ht="45" x14ac:dyDescent="0.25">
      <c r="A313" s="989" t="s">
        <v>4956</v>
      </c>
      <c r="B313" s="989" t="s">
        <v>1773</v>
      </c>
      <c r="C313" s="989" t="s">
        <v>1726</v>
      </c>
      <c r="D313" s="989" t="s">
        <v>277</v>
      </c>
      <c r="E313" s="989" t="s">
        <v>2038</v>
      </c>
      <c r="F313" s="990">
        <v>212357713</v>
      </c>
      <c r="G313" s="990">
        <v>544155</v>
      </c>
      <c r="H313" s="990">
        <v>128103493</v>
      </c>
      <c r="I313" s="990">
        <v>324442.09000000003</v>
      </c>
      <c r="J313" s="990">
        <v>1116281895</v>
      </c>
      <c r="K313" s="990">
        <v>2827259.9</v>
      </c>
      <c r="L313" s="990">
        <v>0</v>
      </c>
      <c r="M313" s="990">
        <v>29977.91015625</v>
      </c>
      <c r="N313" s="994">
        <v>0</v>
      </c>
      <c r="O313" s="994">
        <v>0</v>
      </c>
      <c r="P313" s="990">
        <v>1244385388</v>
      </c>
      <c r="Q313" s="990">
        <v>3181679.9</v>
      </c>
      <c r="R313" s="991">
        <v>1456743101</v>
      </c>
      <c r="S313" s="992">
        <v>3725835.6</v>
      </c>
    </row>
    <row r="314" spans="1:19" ht="45" x14ac:dyDescent="0.25">
      <c r="A314" s="989" t="s">
        <v>4956</v>
      </c>
      <c r="B314" s="989" t="s">
        <v>1773</v>
      </c>
      <c r="C314" s="989" t="s">
        <v>1726</v>
      </c>
      <c r="D314" s="989" t="s">
        <v>256</v>
      </c>
      <c r="E314" s="989" t="s">
        <v>2039</v>
      </c>
      <c r="F314" s="990">
        <v>0</v>
      </c>
      <c r="G314" s="990">
        <v>0</v>
      </c>
      <c r="H314" s="990">
        <v>0</v>
      </c>
      <c r="I314" s="990">
        <v>0</v>
      </c>
      <c r="J314" s="990">
        <v>44968462</v>
      </c>
      <c r="K314" s="990">
        <v>228427.74</v>
      </c>
      <c r="L314" s="990">
        <v>0</v>
      </c>
      <c r="M314" s="990">
        <v>0</v>
      </c>
      <c r="N314" s="994">
        <v>0</v>
      </c>
      <c r="O314" s="994">
        <v>0</v>
      </c>
      <c r="P314" s="990">
        <v>44968462</v>
      </c>
      <c r="Q314" s="990">
        <v>228427.74</v>
      </c>
      <c r="R314" s="991">
        <v>44968462</v>
      </c>
      <c r="S314" s="992">
        <v>228427.74</v>
      </c>
    </row>
    <row r="315" spans="1:19" ht="22.5" x14ac:dyDescent="0.25">
      <c r="A315" s="989" t="s">
        <v>4956</v>
      </c>
      <c r="B315" s="989" t="s">
        <v>1773</v>
      </c>
      <c r="C315" s="989" t="s">
        <v>297</v>
      </c>
      <c r="D315" s="989" t="s">
        <v>297</v>
      </c>
      <c r="E315" s="989" t="s">
        <v>2040</v>
      </c>
      <c r="F315" s="990">
        <v>57024369</v>
      </c>
      <c r="G315" s="990">
        <v>0</v>
      </c>
      <c r="H315" s="990">
        <v>324135149</v>
      </c>
      <c r="I315" s="990">
        <v>0</v>
      </c>
      <c r="J315" s="990">
        <v>3101902</v>
      </c>
      <c r="K315" s="990">
        <v>0</v>
      </c>
      <c r="L315" s="990">
        <v>0</v>
      </c>
      <c r="M315" s="990">
        <v>0</v>
      </c>
      <c r="N315" s="994">
        <v>0</v>
      </c>
      <c r="O315" s="994">
        <v>0</v>
      </c>
      <c r="P315" s="990">
        <v>327237051</v>
      </c>
      <c r="Q315" s="990">
        <v>0</v>
      </c>
      <c r="R315" s="991">
        <v>384261420</v>
      </c>
      <c r="S315" s="992">
        <v>0</v>
      </c>
    </row>
    <row r="316" spans="1:19" ht="22.5" x14ac:dyDescent="0.25">
      <c r="A316" s="989" t="s">
        <v>4956</v>
      </c>
      <c r="B316" s="989" t="s">
        <v>1773</v>
      </c>
      <c r="C316" s="989" t="s">
        <v>1732</v>
      </c>
      <c r="D316" s="989" t="s">
        <v>306</v>
      </c>
      <c r="E316" s="989" t="s">
        <v>2041</v>
      </c>
      <c r="F316" s="990">
        <v>0</v>
      </c>
      <c r="G316" s="990">
        <v>0</v>
      </c>
      <c r="H316" s="990">
        <v>0</v>
      </c>
      <c r="I316" s="990">
        <v>0</v>
      </c>
      <c r="J316" s="990">
        <v>117005431</v>
      </c>
      <c r="K316" s="990">
        <v>227574.3</v>
      </c>
      <c r="L316" s="990">
        <v>0</v>
      </c>
      <c r="M316" s="990">
        <v>0</v>
      </c>
      <c r="N316" s="994">
        <v>0</v>
      </c>
      <c r="O316" s="994">
        <v>0</v>
      </c>
      <c r="P316" s="990">
        <v>117005431</v>
      </c>
      <c r="Q316" s="990">
        <v>227574.3</v>
      </c>
      <c r="R316" s="991">
        <v>117005431</v>
      </c>
      <c r="S316" s="992">
        <v>227574.3</v>
      </c>
    </row>
    <row r="317" spans="1:19" ht="22.5" x14ac:dyDescent="0.25">
      <c r="A317" s="989" t="s">
        <v>4956</v>
      </c>
      <c r="B317" s="989" t="s">
        <v>1773</v>
      </c>
      <c r="C317" s="989" t="s">
        <v>4976</v>
      </c>
      <c r="D317" s="989" t="s">
        <v>4976</v>
      </c>
      <c r="E317" s="989" t="s">
        <v>5050</v>
      </c>
      <c r="F317" s="990">
        <v>0</v>
      </c>
      <c r="G317" s="990">
        <v>0</v>
      </c>
      <c r="H317" s="990">
        <v>0</v>
      </c>
      <c r="I317" s="990">
        <v>0</v>
      </c>
      <c r="J317" s="990">
        <v>0</v>
      </c>
      <c r="K317" s="990">
        <v>0</v>
      </c>
      <c r="L317" s="990">
        <v>0</v>
      </c>
      <c r="M317" s="990">
        <v>0</v>
      </c>
      <c r="N317" s="994">
        <v>380970592</v>
      </c>
      <c r="O317" s="994">
        <v>882768.6875</v>
      </c>
      <c r="P317" s="990">
        <v>0</v>
      </c>
      <c r="Q317" s="990">
        <v>0</v>
      </c>
      <c r="R317" s="991">
        <v>0</v>
      </c>
      <c r="S317" s="992">
        <v>0</v>
      </c>
    </row>
    <row r="318" spans="1:19" ht="22.5" x14ac:dyDescent="0.25">
      <c r="A318" s="989" t="s">
        <v>4956</v>
      </c>
      <c r="B318" s="989" t="s">
        <v>1773</v>
      </c>
      <c r="C318" s="989" t="s">
        <v>316</v>
      </c>
      <c r="D318" s="989" t="s">
        <v>316</v>
      </c>
      <c r="E318" s="989" t="s">
        <v>2042</v>
      </c>
      <c r="F318" s="990">
        <v>38901251</v>
      </c>
      <c r="G318" s="990">
        <v>0</v>
      </c>
      <c r="H318" s="990">
        <v>1002247006</v>
      </c>
      <c r="I318" s="990">
        <v>0</v>
      </c>
      <c r="J318" s="990">
        <v>83862</v>
      </c>
      <c r="K318" s="990">
        <v>0</v>
      </c>
      <c r="L318" s="990">
        <v>0</v>
      </c>
      <c r="M318" s="990">
        <v>0</v>
      </c>
      <c r="N318" s="994">
        <v>0</v>
      </c>
      <c r="O318" s="994">
        <v>0</v>
      </c>
      <c r="P318" s="990">
        <v>1002330868</v>
      </c>
      <c r="Q318" s="990">
        <v>0</v>
      </c>
      <c r="R318" s="991">
        <v>1041232119</v>
      </c>
      <c r="S318" s="992">
        <v>0</v>
      </c>
    </row>
    <row r="319" spans="1:19" ht="33.75" x14ac:dyDescent="0.25">
      <c r="A319" s="989" t="s">
        <v>4956</v>
      </c>
      <c r="B319" s="989" t="s">
        <v>1773</v>
      </c>
      <c r="C319" s="989" t="s">
        <v>1733</v>
      </c>
      <c r="D319" s="989" t="s">
        <v>325</v>
      </c>
      <c r="E319" s="989" t="s">
        <v>2043</v>
      </c>
      <c r="F319" s="990">
        <v>7850</v>
      </c>
      <c r="G319" s="990">
        <v>21</v>
      </c>
      <c r="H319" s="990">
        <v>579983</v>
      </c>
      <c r="I319" s="990">
        <v>1576.73</v>
      </c>
      <c r="J319" s="990">
        <v>4775</v>
      </c>
      <c r="K319" s="990">
        <v>12.98</v>
      </c>
      <c r="L319" s="990">
        <v>0</v>
      </c>
      <c r="M319" s="990">
        <v>0</v>
      </c>
      <c r="N319" s="994">
        <v>0</v>
      </c>
      <c r="O319" s="994">
        <v>0</v>
      </c>
      <c r="P319" s="990">
        <v>584758</v>
      </c>
      <c r="Q319" s="990">
        <v>1589.71</v>
      </c>
      <c r="R319" s="991">
        <v>592608</v>
      </c>
      <c r="S319" s="992">
        <v>1611.01</v>
      </c>
    </row>
    <row r="320" spans="1:19" ht="22.5" x14ac:dyDescent="0.25">
      <c r="A320" s="989" t="s">
        <v>4956</v>
      </c>
      <c r="B320" s="989" t="s">
        <v>1773</v>
      </c>
      <c r="C320" s="989" t="s">
        <v>1730</v>
      </c>
      <c r="D320" s="989" t="s">
        <v>341</v>
      </c>
      <c r="E320" s="989" t="s">
        <v>2044</v>
      </c>
      <c r="F320" s="990">
        <v>0</v>
      </c>
      <c r="G320" s="990">
        <v>0</v>
      </c>
      <c r="H320" s="990">
        <v>0</v>
      </c>
      <c r="I320" s="990">
        <v>0</v>
      </c>
      <c r="J320" s="990">
        <v>20022458</v>
      </c>
      <c r="K320" s="990">
        <v>56255.360000000001</v>
      </c>
      <c r="L320" s="990">
        <v>0</v>
      </c>
      <c r="M320" s="990">
        <v>0</v>
      </c>
      <c r="N320" s="994">
        <v>0</v>
      </c>
      <c r="O320" s="994">
        <v>0</v>
      </c>
      <c r="P320" s="990">
        <v>20022458</v>
      </c>
      <c r="Q320" s="990">
        <v>56255.360000000001</v>
      </c>
      <c r="R320" s="991">
        <v>20022458</v>
      </c>
      <c r="S320" s="992">
        <v>56255.360000000001</v>
      </c>
    </row>
    <row r="321" spans="1:19" ht="33.75" x14ac:dyDescent="0.25">
      <c r="A321" s="989" t="s">
        <v>4956</v>
      </c>
      <c r="B321" s="989" t="s">
        <v>1773</v>
      </c>
      <c r="C321" s="989" t="s">
        <v>1734</v>
      </c>
      <c r="D321" s="989" t="s">
        <v>343</v>
      </c>
      <c r="E321" s="989" t="s">
        <v>2045</v>
      </c>
      <c r="F321" s="990">
        <v>0</v>
      </c>
      <c r="G321" s="990">
        <v>0</v>
      </c>
      <c r="H321" s="990">
        <v>5549550</v>
      </c>
      <c r="I321" s="990">
        <v>0</v>
      </c>
      <c r="J321" s="990">
        <v>0</v>
      </c>
      <c r="K321" s="990">
        <v>0</v>
      </c>
      <c r="L321" s="990">
        <v>0</v>
      </c>
      <c r="M321" s="990">
        <v>0</v>
      </c>
      <c r="N321" s="994">
        <v>0</v>
      </c>
      <c r="O321" s="994">
        <v>0</v>
      </c>
      <c r="P321" s="990">
        <v>5549550</v>
      </c>
      <c r="Q321" s="990">
        <v>0</v>
      </c>
      <c r="R321" s="991">
        <v>5549550</v>
      </c>
      <c r="S321" s="992">
        <v>0</v>
      </c>
    </row>
    <row r="322" spans="1:19" ht="45" x14ac:dyDescent="0.25">
      <c r="A322" s="989" t="s">
        <v>4956</v>
      </c>
      <c r="B322" s="989" t="s">
        <v>1774</v>
      </c>
      <c r="C322" s="989" t="s">
        <v>1726</v>
      </c>
      <c r="D322" s="989" t="s">
        <v>277</v>
      </c>
      <c r="E322" s="989" t="s">
        <v>2046</v>
      </c>
      <c r="F322" s="990">
        <v>28962263.390000001</v>
      </c>
      <c r="G322" s="990">
        <v>75816</v>
      </c>
      <c r="H322" s="990">
        <v>9848891.4900000002</v>
      </c>
      <c r="I322" s="990">
        <v>27472.58</v>
      </c>
      <c r="J322" s="990">
        <v>69548100.120000005</v>
      </c>
      <c r="K322" s="990">
        <v>177384.71</v>
      </c>
      <c r="L322" s="990">
        <v>3744910.75</v>
      </c>
      <c r="M322" s="990">
        <v>6972.1298828125</v>
      </c>
      <c r="N322" s="994">
        <v>0</v>
      </c>
      <c r="O322" s="994">
        <v>0</v>
      </c>
      <c r="P322" s="990">
        <v>83141902.319999993</v>
      </c>
      <c r="Q322" s="990">
        <v>211829.42</v>
      </c>
      <c r="R322" s="991">
        <v>112104165.70999999</v>
      </c>
      <c r="S322" s="992">
        <v>287645.88</v>
      </c>
    </row>
    <row r="323" spans="1:19" ht="22.5" x14ac:dyDescent="0.25">
      <c r="A323" s="989" t="s">
        <v>4956</v>
      </c>
      <c r="B323" s="989" t="s">
        <v>1774</v>
      </c>
      <c r="C323" s="989" t="s">
        <v>297</v>
      </c>
      <c r="D323" s="989" t="s">
        <v>297</v>
      </c>
      <c r="E323" s="989" t="s">
        <v>2047</v>
      </c>
      <c r="F323" s="990">
        <v>5278327.21</v>
      </c>
      <c r="G323" s="990">
        <v>0</v>
      </c>
      <c r="H323" s="990">
        <v>17351425.469999999</v>
      </c>
      <c r="I323" s="990">
        <v>0</v>
      </c>
      <c r="J323" s="990">
        <v>1038.32</v>
      </c>
      <c r="K323" s="990">
        <v>0</v>
      </c>
      <c r="L323" s="990">
        <v>0</v>
      </c>
      <c r="M323" s="990">
        <v>0</v>
      </c>
      <c r="N323" s="994">
        <v>0</v>
      </c>
      <c r="O323" s="994">
        <v>0</v>
      </c>
      <c r="P323" s="990">
        <v>17352463.789999999</v>
      </c>
      <c r="Q323" s="990">
        <v>0</v>
      </c>
      <c r="R323" s="991">
        <v>22630791</v>
      </c>
      <c r="S323" s="992">
        <v>0</v>
      </c>
    </row>
    <row r="324" spans="1:19" ht="22.5" x14ac:dyDescent="0.25">
      <c r="A324" s="989" t="s">
        <v>4956</v>
      </c>
      <c r="B324" s="989" t="s">
        <v>1774</v>
      </c>
      <c r="C324" s="989" t="s">
        <v>4976</v>
      </c>
      <c r="D324" s="989" t="s">
        <v>4976</v>
      </c>
      <c r="E324" s="989" t="s">
        <v>5051</v>
      </c>
      <c r="F324" s="990">
        <v>0</v>
      </c>
      <c r="G324" s="990">
        <v>0</v>
      </c>
      <c r="H324" s="990">
        <v>0</v>
      </c>
      <c r="I324" s="990">
        <v>0</v>
      </c>
      <c r="J324" s="990">
        <v>0</v>
      </c>
      <c r="K324" s="990">
        <v>0</v>
      </c>
      <c r="L324" s="990">
        <v>0</v>
      </c>
      <c r="M324" s="990">
        <v>0</v>
      </c>
      <c r="N324" s="994">
        <v>22526218</v>
      </c>
      <c r="O324" s="994">
        <v>7643.9501953125</v>
      </c>
      <c r="P324" s="990">
        <v>0</v>
      </c>
      <c r="Q324" s="990">
        <v>0</v>
      </c>
      <c r="R324" s="991">
        <v>0</v>
      </c>
      <c r="S324" s="992">
        <v>0</v>
      </c>
    </row>
    <row r="325" spans="1:19" ht="22.5" x14ac:dyDescent="0.25">
      <c r="A325" s="989" t="s">
        <v>4956</v>
      </c>
      <c r="B325" s="989" t="s">
        <v>1774</v>
      </c>
      <c r="C325" s="989" t="s">
        <v>316</v>
      </c>
      <c r="D325" s="989" t="s">
        <v>316</v>
      </c>
      <c r="E325" s="989" t="s">
        <v>2048</v>
      </c>
      <c r="F325" s="990">
        <v>3731148.41</v>
      </c>
      <c r="G325" s="990">
        <v>0</v>
      </c>
      <c r="H325" s="990">
        <v>42901600.590000004</v>
      </c>
      <c r="I325" s="990">
        <v>0</v>
      </c>
      <c r="J325" s="990">
        <v>0</v>
      </c>
      <c r="K325" s="990">
        <v>0</v>
      </c>
      <c r="L325" s="990">
        <v>0</v>
      </c>
      <c r="M325" s="990">
        <v>0</v>
      </c>
      <c r="N325" s="994">
        <v>0</v>
      </c>
      <c r="O325" s="994">
        <v>0</v>
      </c>
      <c r="P325" s="990">
        <v>42901600.590000004</v>
      </c>
      <c r="Q325" s="990">
        <v>0</v>
      </c>
      <c r="R325" s="991">
        <v>46632749</v>
      </c>
      <c r="S325" s="992">
        <v>0</v>
      </c>
    </row>
    <row r="326" spans="1:19" ht="22.5" x14ac:dyDescent="0.25">
      <c r="A326" s="989" t="s">
        <v>4956</v>
      </c>
      <c r="B326" s="989" t="s">
        <v>1774</v>
      </c>
      <c r="C326" s="989" t="s">
        <v>1730</v>
      </c>
      <c r="D326" s="989" t="s">
        <v>341</v>
      </c>
      <c r="E326" s="989" t="s">
        <v>2049</v>
      </c>
      <c r="F326" s="990">
        <v>485645.4</v>
      </c>
      <c r="G326" s="990">
        <v>1317</v>
      </c>
      <c r="H326" s="990">
        <v>34236.6</v>
      </c>
      <c r="I326" s="990">
        <v>93.36</v>
      </c>
      <c r="J326" s="990">
        <v>0</v>
      </c>
      <c r="K326" s="990">
        <v>0</v>
      </c>
      <c r="L326" s="990">
        <v>0</v>
      </c>
      <c r="M326" s="990">
        <v>0</v>
      </c>
      <c r="N326" s="994">
        <v>0</v>
      </c>
      <c r="O326" s="994">
        <v>0</v>
      </c>
      <c r="P326" s="990">
        <v>34236.6</v>
      </c>
      <c r="Q326" s="990">
        <v>93.36</v>
      </c>
      <c r="R326" s="991">
        <v>519882</v>
      </c>
      <c r="S326" s="992">
        <v>1410.96</v>
      </c>
    </row>
    <row r="327" spans="1:19" ht="33.75" x14ac:dyDescent="0.25">
      <c r="A327" s="989" t="s">
        <v>4956</v>
      </c>
      <c r="B327" s="989" t="s">
        <v>1774</v>
      </c>
      <c r="C327" s="989" t="s">
        <v>1734</v>
      </c>
      <c r="D327" s="989" t="s">
        <v>343</v>
      </c>
      <c r="E327" s="989" t="s">
        <v>2050</v>
      </c>
      <c r="F327" s="990">
        <v>94319.87</v>
      </c>
      <c r="G327" s="990">
        <v>0</v>
      </c>
      <c r="H327" s="990">
        <v>300867.13</v>
      </c>
      <c r="I327" s="990">
        <v>0</v>
      </c>
      <c r="J327" s="990">
        <v>0</v>
      </c>
      <c r="K327" s="990">
        <v>0</v>
      </c>
      <c r="L327" s="990">
        <v>0</v>
      </c>
      <c r="M327" s="990">
        <v>0</v>
      </c>
      <c r="N327" s="994">
        <v>0</v>
      </c>
      <c r="O327" s="994">
        <v>0</v>
      </c>
      <c r="P327" s="990">
        <v>300867.13</v>
      </c>
      <c r="Q327" s="990">
        <v>0</v>
      </c>
      <c r="R327" s="991">
        <v>395187</v>
      </c>
      <c r="S327" s="992">
        <v>0</v>
      </c>
    </row>
    <row r="328" spans="1:19" ht="45" x14ac:dyDescent="0.25">
      <c r="A328" s="989" t="s">
        <v>4956</v>
      </c>
      <c r="B328" s="989" t="s">
        <v>1775</v>
      </c>
      <c r="C328" s="989" t="s">
        <v>1726</v>
      </c>
      <c r="D328" s="989" t="s">
        <v>257</v>
      </c>
      <c r="E328" s="989" t="s">
        <v>2051</v>
      </c>
      <c r="F328" s="990">
        <v>3667697</v>
      </c>
      <c r="G328" s="990">
        <v>9930</v>
      </c>
      <c r="H328" s="990">
        <v>17447117</v>
      </c>
      <c r="I328" s="990">
        <v>33338</v>
      </c>
      <c r="J328" s="990">
        <v>100198930</v>
      </c>
      <c r="K328" s="990">
        <v>236203</v>
      </c>
      <c r="L328" s="990">
        <v>0</v>
      </c>
      <c r="M328" s="990">
        <v>0</v>
      </c>
      <c r="N328" s="994">
        <v>0</v>
      </c>
      <c r="O328" s="994">
        <v>0</v>
      </c>
      <c r="P328" s="990">
        <v>117646047</v>
      </c>
      <c r="Q328" s="990">
        <v>269541</v>
      </c>
      <c r="R328" s="991">
        <v>121313744</v>
      </c>
      <c r="S328" s="992">
        <v>279471</v>
      </c>
    </row>
    <row r="329" spans="1:19" ht="45" x14ac:dyDescent="0.25">
      <c r="A329" s="989" t="s">
        <v>4956</v>
      </c>
      <c r="B329" s="989" t="s">
        <v>1775</v>
      </c>
      <c r="C329" s="989" t="s">
        <v>1726</v>
      </c>
      <c r="D329" s="989" t="s">
        <v>281</v>
      </c>
      <c r="E329" s="989" t="s">
        <v>2052</v>
      </c>
      <c r="F329" s="990">
        <v>28637053</v>
      </c>
      <c r="G329" s="990">
        <v>73950</v>
      </c>
      <c r="H329" s="990">
        <v>21481410</v>
      </c>
      <c r="I329" s="990">
        <v>78446</v>
      </c>
      <c r="J329" s="990">
        <v>163801561</v>
      </c>
      <c r="K329" s="990">
        <v>415669</v>
      </c>
      <c r="L329" s="990">
        <v>4746499</v>
      </c>
      <c r="M329" s="990">
        <v>10149</v>
      </c>
      <c r="N329" s="994">
        <v>0</v>
      </c>
      <c r="O329" s="994">
        <v>0</v>
      </c>
      <c r="P329" s="990">
        <v>190029470</v>
      </c>
      <c r="Q329" s="990">
        <v>504264</v>
      </c>
      <c r="R329" s="991">
        <v>218666523</v>
      </c>
      <c r="S329" s="992">
        <v>578214</v>
      </c>
    </row>
    <row r="330" spans="1:19" ht="22.5" x14ac:dyDescent="0.25">
      <c r="A330" s="989" t="s">
        <v>4956</v>
      </c>
      <c r="B330" s="989" t="s">
        <v>1775</v>
      </c>
      <c r="C330" s="989" t="s">
        <v>297</v>
      </c>
      <c r="D330" s="989" t="s">
        <v>297</v>
      </c>
      <c r="E330" s="989" t="s">
        <v>2053</v>
      </c>
      <c r="F330" s="990">
        <v>14256839</v>
      </c>
      <c r="G330" s="990">
        <v>0</v>
      </c>
      <c r="H330" s="990">
        <v>67819659</v>
      </c>
      <c r="I330" s="990">
        <v>0</v>
      </c>
      <c r="J330" s="990">
        <v>503150</v>
      </c>
      <c r="K330" s="990">
        <v>0</v>
      </c>
      <c r="L330" s="990">
        <v>0</v>
      </c>
      <c r="M330" s="990">
        <v>0</v>
      </c>
      <c r="N330" s="994">
        <v>0</v>
      </c>
      <c r="O330" s="994">
        <v>0</v>
      </c>
      <c r="P330" s="990">
        <v>68322809</v>
      </c>
      <c r="Q330" s="990">
        <v>0</v>
      </c>
      <c r="R330" s="991">
        <v>82579648</v>
      </c>
      <c r="S330" s="992">
        <v>0</v>
      </c>
    </row>
    <row r="331" spans="1:19" ht="22.5" x14ac:dyDescent="0.25">
      <c r="A331" s="989" t="s">
        <v>4956</v>
      </c>
      <c r="B331" s="989" t="s">
        <v>1775</v>
      </c>
      <c r="C331" s="989" t="s">
        <v>1732</v>
      </c>
      <c r="D331" s="989" t="s">
        <v>306</v>
      </c>
      <c r="E331" s="989" t="s">
        <v>2054</v>
      </c>
      <c r="F331" s="990">
        <v>0</v>
      </c>
      <c r="G331" s="990">
        <v>0</v>
      </c>
      <c r="H331" s="990">
        <v>0</v>
      </c>
      <c r="I331" s="990">
        <v>0</v>
      </c>
      <c r="J331" s="990">
        <v>136201086</v>
      </c>
      <c r="K331" s="990">
        <v>263695</v>
      </c>
      <c r="L331" s="990">
        <v>0</v>
      </c>
      <c r="M331" s="990">
        <v>0</v>
      </c>
      <c r="N331" s="994">
        <v>0</v>
      </c>
      <c r="O331" s="994">
        <v>0</v>
      </c>
      <c r="P331" s="990">
        <v>136201086</v>
      </c>
      <c r="Q331" s="990">
        <v>263695</v>
      </c>
      <c r="R331" s="991">
        <v>136201086</v>
      </c>
      <c r="S331" s="992">
        <v>263695</v>
      </c>
    </row>
    <row r="332" spans="1:19" ht="22.5" x14ac:dyDescent="0.25">
      <c r="A332" s="989" t="s">
        <v>4956</v>
      </c>
      <c r="B332" s="989" t="s">
        <v>1775</v>
      </c>
      <c r="C332" s="989" t="s">
        <v>4976</v>
      </c>
      <c r="D332" s="989" t="s">
        <v>4976</v>
      </c>
      <c r="E332" s="989" t="s">
        <v>5052</v>
      </c>
      <c r="F332" s="990">
        <v>0</v>
      </c>
      <c r="G332" s="990">
        <v>0</v>
      </c>
      <c r="H332" s="990">
        <v>0</v>
      </c>
      <c r="I332" s="990">
        <v>0</v>
      </c>
      <c r="J332" s="990">
        <v>0</v>
      </c>
      <c r="K332" s="990">
        <v>0</v>
      </c>
      <c r="L332" s="990">
        <v>0</v>
      </c>
      <c r="M332" s="990">
        <v>0</v>
      </c>
      <c r="N332" s="994">
        <v>172175184</v>
      </c>
      <c r="O332" s="994">
        <v>348415</v>
      </c>
      <c r="P332" s="990">
        <v>0</v>
      </c>
      <c r="Q332" s="990">
        <v>0</v>
      </c>
      <c r="R332" s="991">
        <v>0</v>
      </c>
      <c r="S332" s="992">
        <v>0</v>
      </c>
    </row>
    <row r="333" spans="1:19" ht="22.5" x14ac:dyDescent="0.25">
      <c r="A333" s="989" t="s">
        <v>4956</v>
      </c>
      <c r="B333" s="989" t="s">
        <v>1775</v>
      </c>
      <c r="C333" s="989" t="s">
        <v>316</v>
      </c>
      <c r="D333" s="989" t="s">
        <v>316</v>
      </c>
      <c r="E333" s="989" t="s">
        <v>2055</v>
      </c>
      <c r="F333" s="990">
        <v>9437896</v>
      </c>
      <c r="G333" s="990">
        <v>0</v>
      </c>
      <c r="H333" s="990">
        <v>284760902</v>
      </c>
      <c r="I333" s="990">
        <v>0</v>
      </c>
      <c r="J333" s="990">
        <v>17832</v>
      </c>
      <c r="K333" s="990">
        <v>0</v>
      </c>
      <c r="L333" s="990">
        <v>0</v>
      </c>
      <c r="M333" s="990">
        <v>0</v>
      </c>
      <c r="N333" s="994">
        <v>0</v>
      </c>
      <c r="O333" s="994">
        <v>0</v>
      </c>
      <c r="P333" s="990">
        <v>284778734</v>
      </c>
      <c r="Q333" s="990">
        <v>0</v>
      </c>
      <c r="R333" s="991">
        <v>294216630</v>
      </c>
      <c r="S333" s="992">
        <v>0</v>
      </c>
    </row>
    <row r="334" spans="1:19" ht="33.75" x14ac:dyDescent="0.25">
      <c r="A334" s="989" t="s">
        <v>4956</v>
      </c>
      <c r="B334" s="989" t="s">
        <v>1775</v>
      </c>
      <c r="C334" s="989" t="s">
        <v>1733</v>
      </c>
      <c r="D334" s="989" t="s">
        <v>325</v>
      </c>
      <c r="E334" s="989" t="s">
        <v>2056</v>
      </c>
      <c r="F334" s="990">
        <v>0</v>
      </c>
      <c r="G334" s="990">
        <v>0</v>
      </c>
      <c r="H334" s="990">
        <v>148354</v>
      </c>
      <c r="I334" s="990">
        <v>0</v>
      </c>
      <c r="J334" s="990">
        <v>0</v>
      </c>
      <c r="K334" s="990">
        <v>0</v>
      </c>
      <c r="L334" s="990">
        <v>0</v>
      </c>
      <c r="M334" s="990">
        <v>0</v>
      </c>
      <c r="N334" s="994">
        <v>0</v>
      </c>
      <c r="O334" s="994">
        <v>0</v>
      </c>
      <c r="P334" s="990">
        <v>148354</v>
      </c>
      <c r="Q334" s="990">
        <v>0</v>
      </c>
      <c r="R334" s="991">
        <v>148354</v>
      </c>
      <c r="S334" s="992">
        <v>0</v>
      </c>
    </row>
    <row r="335" spans="1:19" ht="22.5" x14ac:dyDescent="0.25">
      <c r="A335" s="989" t="s">
        <v>4956</v>
      </c>
      <c r="B335" s="989" t="s">
        <v>1775</v>
      </c>
      <c r="C335" s="989" t="s">
        <v>1730</v>
      </c>
      <c r="D335" s="989" t="s">
        <v>341</v>
      </c>
      <c r="E335" s="989" t="s">
        <v>2057</v>
      </c>
      <c r="F335" s="990">
        <v>0</v>
      </c>
      <c r="G335" s="990">
        <v>0</v>
      </c>
      <c r="H335" s="990">
        <v>0</v>
      </c>
      <c r="I335" s="990">
        <v>0</v>
      </c>
      <c r="J335" s="990">
        <v>7758775</v>
      </c>
      <c r="K335" s="990">
        <v>21901</v>
      </c>
      <c r="L335" s="990">
        <v>0</v>
      </c>
      <c r="M335" s="990">
        <v>0</v>
      </c>
      <c r="N335" s="994">
        <v>0</v>
      </c>
      <c r="O335" s="994">
        <v>0</v>
      </c>
      <c r="P335" s="990">
        <v>7758775</v>
      </c>
      <c r="Q335" s="990">
        <v>21901</v>
      </c>
      <c r="R335" s="991">
        <v>7758775</v>
      </c>
      <c r="S335" s="992">
        <v>21901</v>
      </c>
    </row>
    <row r="336" spans="1:19" ht="33.75" x14ac:dyDescent="0.25">
      <c r="A336" s="989" t="s">
        <v>4956</v>
      </c>
      <c r="B336" s="989" t="s">
        <v>1775</v>
      </c>
      <c r="C336" s="989" t="s">
        <v>1734</v>
      </c>
      <c r="D336" s="989" t="s">
        <v>343</v>
      </c>
      <c r="E336" s="989" t="s">
        <v>2058</v>
      </c>
      <c r="F336" s="990">
        <v>0</v>
      </c>
      <c r="G336" s="990">
        <v>0</v>
      </c>
      <c r="H336" s="990">
        <v>1094954</v>
      </c>
      <c r="I336" s="990">
        <v>0</v>
      </c>
      <c r="J336" s="990">
        <v>0</v>
      </c>
      <c r="K336" s="990">
        <v>0</v>
      </c>
      <c r="L336" s="990">
        <v>0</v>
      </c>
      <c r="M336" s="990">
        <v>0</v>
      </c>
      <c r="N336" s="994">
        <v>0</v>
      </c>
      <c r="O336" s="994">
        <v>0</v>
      </c>
      <c r="P336" s="990">
        <v>1094954</v>
      </c>
      <c r="Q336" s="990">
        <v>0</v>
      </c>
      <c r="R336" s="991">
        <v>1094954</v>
      </c>
      <c r="S336" s="992">
        <v>0</v>
      </c>
    </row>
    <row r="337" spans="1:19" ht="45" x14ac:dyDescent="0.25">
      <c r="A337" s="989" t="s">
        <v>4956</v>
      </c>
      <c r="B337" s="989" t="s">
        <v>2981</v>
      </c>
      <c r="C337" s="989" t="s">
        <v>1726</v>
      </c>
      <c r="D337" s="989" t="s">
        <v>2571</v>
      </c>
      <c r="E337" s="989" t="s">
        <v>2895</v>
      </c>
      <c r="F337" s="990">
        <v>22241481</v>
      </c>
      <c r="G337" s="990">
        <v>68838</v>
      </c>
      <c r="H337" s="990">
        <v>3463760</v>
      </c>
      <c r="I337" s="990">
        <v>0</v>
      </c>
      <c r="J337" s="990">
        <v>111558227</v>
      </c>
      <c r="K337" s="990">
        <v>341992</v>
      </c>
      <c r="L337" s="990">
        <v>4601246</v>
      </c>
      <c r="M337" s="990">
        <v>9614</v>
      </c>
      <c r="N337" s="994">
        <v>0</v>
      </c>
      <c r="O337" s="994">
        <v>0</v>
      </c>
      <c r="P337" s="990">
        <v>119623233</v>
      </c>
      <c r="Q337" s="990">
        <v>351606</v>
      </c>
      <c r="R337" s="991">
        <v>141864714</v>
      </c>
      <c r="S337" s="992">
        <v>420444</v>
      </c>
    </row>
    <row r="338" spans="1:19" ht="45" x14ac:dyDescent="0.25">
      <c r="A338" s="989" t="s">
        <v>4956</v>
      </c>
      <c r="B338" s="989" t="s">
        <v>2981</v>
      </c>
      <c r="C338" s="989" t="s">
        <v>1726</v>
      </c>
      <c r="D338" s="989" t="s">
        <v>2572</v>
      </c>
      <c r="E338" s="989" t="s">
        <v>2896</v>
      </c>
      <c r="F338" s="990">
        <v>19491460</v>
      </c>
      <c r="G338" s="990">
        <v>41006</v>
      </c>
      <c r="H338" s="990">
        <v>15965279</v>
      </c>
      <c r="I338" s="990">
        <v>0</v>
      </c>
      <c r="J338" s="990">
        <v>61610178</v>
      </c>
      <c r="K338" s="990">
        <v>207770</v>
      </c>
      <c r="L338" s="990">
        <v>0</v>
      </c>
      <c r="M338" s="990">
        <v>0</v>
      </c>
      <c r="N338" s="994">
        <v>0</v>
      </c>
      <c r="O338" s="994">
        <v>0</v>
      </c>
      <c r="P338" s="990">
        <v>77575457</v>
      </c>
      <c r="Q338" s="990">
        <v>207770</v>
      </c>
      <c r="R338" s="991">
        <v>97066917</v>
      </c>
      <c r="S338" s="992">
        <v>248776</v>
      </c>
    </row>
    <row r="339" spans="1:19" ht="45" x14ac:dyDescent="0.25">
      <c r="A339" s="1080" t="s">
        <v>4956</v>
      </c>
      <c r="B339" s="1080" t="s">
        <v>2981</v>
      </c>
      <c r="C339" s="1080" t="s">
        <v>1726</v>
      </c>
      <c r="D339" s="1080" t="s">
        <v>277</v>
      </c>
      <c r="E339" s="1080" t="s">
        <v>2896</v>
      </c>
      <c r="F339" s="1081">
        <f>F337+F338</f>
        <v>41732941</v>
      </c>
      <c r="G339" s="1081">
        <f t="shared" ref="G339:Q339" si="0">G337+G338</f>
        <v>109844</v>
      </c>
      <c r="H339" s="1081">
        <f t="shared" si="0"/>
        <v>19429039</v>
      </c>
      <c r="I339" s="1081">
        <f t="shared" si="0"/>
        <v>0</v>
      </c>
      <c r="J339" s="1081">
        <f t="shared" si="0"/>
        <v>173168405</v>
      </c>
      <c r="K339" s="1081">
        <f t="shared" si="0"/>
        <v>549762</v>
      </c>
      <c r="L339" s="1081">
        <f t="shared" si="0"/>
        <v>4601246</v>
      </c>
      <c r="M339" s="1081">
        <f t="shared" si="0"/>
        <v>9614</v>
      </c>
      <c r="N339" s="1081">
        <f t="shared" si="0"/>
        <v>0</v>
      </c>
      <c r="O339" s="1081">
        <f t="shared" si="0"/>
        <v>0</v>
      </c>
      <c r="P339" s="1081">
        <f t="shared" si="0"/>
        <v>197198690</v>
      </c>
      <c r="Q339" s="1081">
        <f t="shared" si="0"/>
        <v>559376</v>
      </c>
      <c r="R339" s="1081">
        <v>238931631</v>
      </c>
      <c r="S339" s="1081">
        <v>669220</v>
      </c>
    </row>
    <row r="340" spans="1:19" ht="33.75" x14ac:dyDescent="0.25">
      <c r="A340" s="989" t="s">
        <v>4956</v>
      </c>
      <c r="B340" s="989" t="s">
        <v>2981</v>
      </c>
      <c r="C340" s="989" t="s">
        <v>297</v>
      </c>
      <c r="D340" s="989" t="s">
        <v>297</v>
      </c>
      <c r="E340" s="989" t="s">
        <v>2897</v>
      </c>
      <c r="F340" s="990">
        <v>15282283</v>
      </c>
      <c r="G340" s="990">
        <v>0</v>
      </c>
      <c r="H340" s="990">
        <v>73136531</v>
      </c>
      <c r="I340" s="990">
        <v>0</v>
      </c>
      <c r="J340" s="990">
        <v>318839</v>
      </c>
      <c r="K340" s="990">
        <v>0</v>
      </c>
      <c r="L340" s="990">
        <v>0</v>
      </c>
      <c r="M340" s="990">
        <v>0</v>
      </c>
      <c r="N340" s="994">
        <v>0</v>
      </c>
      <c r="O340" s="994">
        <v>0</v>
      </c>
      <c r="P340" s="990">
        <v>73455370</v>
      </c>
      <c r="Q340" s="990">
        <v>0</v>
      </c>
      <c r="R340" s="991">
        <v>88737653</v>
      </c>
      <c r="S340" s="992">
        <v>0</v>
      </c>
    </row>
    <row r="341" spans="1:19" ht="22.5" x14ac:dyDescent="0.25">
      <c r="A341" s="989" t="s">
        <v>4956</v>
      </c>
      <c r="B341" s="989" t="s">
        <v>2981</v>
      </c>
      <c r="C341" s="989" t="s">
        <v>4976</v>
      </c>
      <c r="D341" s="989" t="s">
        <v>4976</v>
      </c>
      <c r="E341" s="989" t="s">
        <v>5053</v>
      </c>
      <c r="F341" s="990">
        <v>0</v>
      </c>
      <c r="G341" s="990">
        <v>0</v>
      </c>
      <c r="H341" s="990">
        <v>0</v>
      </c>
      <c r="I341" s="990">
        <v>0</v>
      </c>
      <c r="J341" s="990">
        <v>0</v>
      </c>
      <c r="K341" s="990">
        <v>0</v>
      </c>
      <c r="L341" s="990">
        <v>0</v>
      </c>
      <c r="M341" s="990">
        <v>0</v>
      </c>
      <c r="N341" s="994">
        <v>35496456</v>
      </c>
      <c r="O341" s="994">
        <v>70815</v>
      </c>
      <c r="P341" s="990">
        <v>0</v>
      </c>
      <c r="Q341" s="990">
        <v>0</v>
      </c>
      <c r="R341" s="991">
        <v>0</v>
      </c>
      <c r="S341" s="992">
        <v>0</v>
      </c>
    </row>
    <row r="342" spans="1:19" ht="22.5" x14ac:dyDescent="0.25">
      <c r="A342" s="989" t="s">
        <v>4956</v>
      </c>
      <c r="B342" s="989" t="s">
        <v>2981</v>
      </c>
      <c r="C342" s="989" t="s">
        <v>316</v>
      </c>
      <c r="D342" s="989" t="s">
        <v>316</v>
      </c>
      <c r="E342" s="989" t="s">
        <v>2898</v>
      </c>
      <c r="F342" s="990">
        <v>9541535</v>
      </c>
      <c r="G342" s="990">
        <v>0</v>
      </c>
      <c r="H342" s="990">
        <v>250993226</v>
      </c>
      <c r="I342" s="990">
        <v>0</v>
      </c>
      <c r="J342" s="990">
        <v>0</v>
      </c>
      <c r="K342" s="990">
        <v>0</v>
      </c>
      <c r="L342" s="990">
        <v>0</v>
      </c>
      <c r="M342" s="990">
        <v>0</v>
      </c>
      <c r="N342" s="994">
        <v>0</v>
      </c>
      <c r="O342" s="994">
        <v>0</v>
      </c>
      <c r="P342" s="990">
        <v>250993226</v>
      </c>
      <c r="Q342" s="990">
        <v>0</v>
      </c>
      <c r="R342" s="991">
        <v>260534761</v>
      </c>
      <c r="S342" s="992">
        <v>0</v>
      </c>
    </row>
    <row r="343" spans="1:19" ht="33.75" x14ac:dyDescent="0.25">
      <c r="A343" s="989" t="s">
        <v>4956</v>
      </c>
      <c r="B343" s="989" t="s">
        <v>2981</v>
      </c>
      <c r="C343" s="989" t="s">
        <v>1733</v>
      </c>
      <c r="D343" s="989" t="s">
        <v>325</v>
      </c>
      <c r="E343" s="989" t="s">
        <v>2899</v>
      </c>
      <c r="F343" s="990">
        <v>0</v>
      </c>
      <c r="G343" s="990">
        <v>0</v>
      </c>
      <c r="H343" s="990">
        <v>278160</v>
      </c>
      <c r="I343" s="990">
        <v>0</v>
      </c>
      <c r="J343" s="990">
        <v>0</v>
      </c>
      <c r="K343" s="990">
        <v>0</v>
      </c>
      <c r="L343" s="990">
        <v>0</v>
      </c>
      <c r="M343" s="990">
        <v>0</v>
      </c>
      <c r="N343" s="994">
        <v>0</v>
      </c>
      <c r="O343" s="994">
        <v>0</v>
      </c>
      <c r="P343" s="990">
        <v>278160</v>
      </c>
      <c r="Q343" s="990">
        <v>0</v>
      </c>
      <c r="R343" s="991">
        <v>278160</v>
      </c>
      <c r="S343" s="992">
        <v>0</v>
      </c>
    </row>
    <row r="344" spans="1:19" ht="22.5" x14ac:dyDescent="0.25">
      <c r="A344" s="989" t="s">
        <v>4956</v>
      </c>
      <c r="B344" s="989" t="s">
        <v>2981</v>
      </c>
      <c r="C344" s="989" t="s">
        <v>1730</v>
      </c>
      <c r="D344" s="989" t="s">
        <v>341</v>
      </c>
      <c r="E344" s="989" t="s">
        <v>2900</v>
      </c>
      <c r="F344" s="990">
        <v>0</v>
      </c>
      <c r="G344" s="990">
        <v>0</v>
      </c>
      <c r="H344" s="990">
        <v>83870</v>
      </c>
      <c r="I344" s="990">
        <v>0</v>
      </c>
      <c r="J344" s="990">
        <v>2540277</v>
      </c>
      <c r="K344" s="990">
        <v>7065</v>
      </c>
      <c r="L344" s="990">
        <v>0</v>
      </c>
      <c r="M344" s="990">
        <v>0</v>
      </c>
      <c r="N344" s="994">
        <v>0</v>
      </c>
      <c r="O344" s="994">
        <v>0</v>
      </c>
      <c r="P344" s="990">
        <v>2624147</v>
      </c>
      <c r="Q344" s="990">
        <v>7065</v>
      </c>
      <c r="R344" s="991">
        <v>2624147</v>
      </c>
      <c r="S344" s="992">
        <v>7065</v>
      </c>
    </row>
    <row r="345" spans="1:19" ht="33.75" x14ac:dyDescent="0.25">
      <c r="A345" s="989" t="s">
        <v>4956</v>
      </c>
      <c r="B345" s="989" t="s">
        <v>2981</v>
      </c>
      <c r="C345" s="989" t="s">
        <v>1734</v>
      </c>
      <c r="D345" s="989" t="s">
        <v>343</v>
      </c>
      <c r="E345" s="989" t="s">
        <v>5054</v>
      </c>
      <c r="F345" s="990">
        <v>0</v>
      </c>
      <c r="G345" s="990">
        <v>0</v>
      </c>
      <c r="H345" s="990">
        <v>266413</v>
      </c>
      <c r="I345" s="990">
        <v>0</v>
      </c>
      <c r="J345" s="990">
        <v>0</v>
      </c>
      <c r="K345" s="990">
        <v>0</v>
      </c>
      <c r="L345" s="990">
        <v>0</v>
      </c>
      <c r="M345" s="990">
        <v>0</v>
      </c>
      <c r="N345" s="994">
        <v>0</v>
      </c>
      <c r="O345" s="994">
        <v>0</v>
      </c>
      <c r="P345" s="990">
        <v>266413</v>
      </c>
      <c r="Q345" s="990">
        <v>0</v>
      </c>
      <c r="R345" s="991">
        <v>266413</v>
      </c>
      <c r="S345" s="992">
        <v>0</v>
      </c>
    </row>
    <row r="346" spans="1:19" ht="45" x14ac:dyDescent="0.25">
      <c r="A346" s="989" t="s">
        <v>4956</v>
      </c>
      <c r="B346" s="989" t="s">
        <v>1776</v>
      </c>
      <c r="C346" s="989" t="s">
        <v>1726</v>
      </c>
      <c r="D346" s="989" t="s">
        <v>277</v>
      </c>
      <c r="E346" s="989" t="s">
        <v>2059</v>
      </c>
      <c r="F346" s="990">
        <v>67831607.810000002</v>
      </c>
      <c r="G346" s="990">
        <v>173750</v>
      </c>
      <c r="H346" s="990">
        <v>29119554</v>
      </c>
      <c r="I346" s="990">
        <v>74590</v>
      </c>
      <c r="J346" s="990">
        <v>525366151</v>
      </c>
      <c r="K346" s="990">
        <v>1345724</v>
      </c>
      <c r="L346" s="990">
        <v>0</v>
      </c>
      <c r="M346" s="990">
        <v>0</v>
      </c>
      <c r="N346" s="994">
        <v>0</v>
      </c>
      <c r="O346" s="994">
        <v>0</v>
      </c>
      <c r="P346" s="990">
        <v>554485705</v>
      </c>
      <c r="Q346" s="990">
        <v>1420314</v>
      </c>
      <c r="R346" s="991">
        <v>622317312.80999994</v>
      </c>
      <c r="S346" s="992">
        <v>1594064.49</v>
      </c>
    </row>
    <row r="347" spans="1:19" ht="22.5" x14ac:dyDescent="0.25">
      <c r="A347" s="989" t="s">
        <v>4956</v>
      </c>
      <c r="B347" s="989" t="s">
        <v>1776</v>
      </c>
      <c r="C347" s="989" t="s">
        <v>297</v>
      </c>
      <c r="D347" s="989" t="s">
        <v>297</v>
      </c>
      <c r="E347" s="989" t="s">
        <v>2060</v>
      </c>
      <c r="F347" s="990">
        <v>20119260.460000001</v>
      </c>
      <c r="G347" s="990">
        <v>0</v>
      </c>
      <c r="H347" s="990">
        <v>103975499</v>
      </c>
      <c r="I347" s="990">
        <v>0</v>
      </c>
      <c r="J347" s="990">
        <v>2347477</v>
      </c>
      <c r="K347" s="990">
        <v>0</v>
      </c>
      <c r="L347" s="990">
        <v>0</v>
      </c>
      <c r="M347" s="990">
        <v>0</v>
      </c>
      <c r="N347" s="994">
        <v>0</v>
      </c>
      <c r="O347" s="994">
        <v>0</v>
      </c>
      <c r="P347" s="990">
        <v>106322976</v>
      </c>
      <c r="Q347" s="990">
        <v>0</v>
      </c>
      <c r="R347" s="991">
        <v>126442236.45999999</v>
      </c>
      <c r="S347" s="992">
        <v>0</v>
      </c>
    </row>
    <row r="348" spans="1:19" ht="22.5" x14ac:dyDescent="0.25">
      <c r="A348" s="989" t="s">
        <v>4956</v>
      </c>
      <c r="B348" s="989" t="s">
        <v>1776</v>
      </c>
      <c r="C348" s="989" t="s">
        <v>4976</v>
      </c>
      <c r="D348" s="989" t="s">
        <v>4976</v>
      </c>
      <c r="E348" s="989" t="s">
        <v>5055</v>
      </c>
      <c r="F348" s="990">
        <v>0</v>
      </c>
      <c r="G348" s="990">
        <v>0</v>
      </c>
      <c r="H348" s="990">
        <v>0</v>
      </c>
      <c r="I348" s="990">
        <v>0</v>
      </c>
      <c r="J348" s="990">
        <v>0</v>
      </c>
      <c r="K348" s="990">
        <v>0</v>
      </c>
      <c r="L348" s="990">
        <v>0</v>
      </c>
      <c r="M348" s="990">
        <v>0</v>
      </c>
      <c r="N348" s="994">
        <v>54341328</v>
      </c>
      <c r="O348" s="994">
        <v>124075</v>
      </c>
      <c r="P348" s="990">
        <v>0</v>
      </c>
      <c r="Q348" s="990">
        <v>0</v>
      </c>
      <c r="R348" s="991">
        <v>0</v>
      </c>
      <c r="S348" s="992">
        <v>0</v>
      </c>
    </row>
    <row r="349" spans="1:19" ht="22.5" x14ac:dyDescent="0.25">
      <c r="A349" s="989" t="s">
        <v>4956</v>
      </c>
      <c r="B349" s="989" t="s">
        <v>1776</v>
      </c>
      <c r="C349" s="989" t="s">
        <v>316</v>
      </c>
      <c r="D349" s="989" t="s">
        <v>316</v>
      </c>
      <c r="E349" s="989" t="s">
        <v>2061</v>
      </c>
      <c r="F349" s="990">
        <v>18155729.02</v>
      </c>
      <c r="G349" s="990">
        <v>0</v>
      </c>
      <c r="H349" s="990">
        <v>391405200</v>
      </c>
      <c r="I349" s="990">
        <v>0</v>
      </c>
      <c r="J349" s="990">
        <v>0</v>
      </c>
      <c r="K349" s="990">
        <v>0</v>
      </c>
      <c r="L349" s="990">
        <v>0</v>
      </c>
      <c r="M349" s="990">
        <v>0</v>
      </c>
      <c r="N349" s="994">
        <v>0</v>
      </c>
      <c r="O349" s="994">
        <v>0</v>
      </c>
      <c r="P349" s="990">
        <v>391405200</v>
      </c>
      <c r="Q349" s="990">
        <v>0</v>
      </c>
      <c r="R349" s="991">
        <v>409560929.01999998</v>
      </c>
      <c r="S349" s="992">
        <v>0</v>
      </c>
    </row>
    <row r="350" spans="1:19" ht="33.75" x14ac:dyDescent="0.25">
      <c r="A350" s="989" t="s">
        <v>4956</v>
      </c>
      <c r="B350" s="989" t="s">
        <v>1776</v>
      </c>
      <c r="C350" s="989" t="s">
        <v>1733</v>
      </c>
      <c r="D350" s="989" t="s">
        <v>325</v>
      </c>
      <c r="E350" s="989" t="s">
        <v>2062</v>
      </c>
      <c r="F350" s="990">
        <v>6033.91</v>
      </c>
      <c r="G350" s="990">
        <v>39</v>
      </c>
      <c r="H350" s="990">
        <v>92480</v>
      </c>
      <c r="I350" s="990">
        <v>606</v>
      </c>
      <c r="J350" s="990">
        <v>0</v>
      </c>
      <c r="K350" s="990">
        <v>0</v>
      </c>
      <c r="L350" s="990">
        <v>0</v>
      </c>
      <c r="M350" s="990">
        <v>0</v>
      </c>
      <c r="N350" s="994">
        <v>0</v>
      </c>
      <c r="O350" s="994">
        <v>0</v>
      </c>
      <c r="P350" s="990">
        <v>92480</v>
      </c>
      <c r="Q350" s="990">
        <v>606</v>
      </c>
      <c r="R350" s="991">
        <v>98513.91</v>
      </c>
      <c r="S350" s="992">
        <v>645.54999999999995</v>
      </c>
    </row>
    <row r="351" spans="1:19" ht="22.5" x14ac:dyDescent="0.25">
      <c r="A351" s="989" t="s">
        <v>4956</v>
      </c>
      <c r="B351" s="989" t="s">
        <v>1776</v>
      </c>
      <c r="C351" s="989" t="s">
        <v>1730</v>
      </c>
      <c r="D351" s="989" t="s">
        <v>341</v>
      </c>
      <c r="E351" s="989" t="s">
        <v>2063</v>
      </c>
      <c r="F351" s="990">
        <v>0</v>
      </c>
      <c r="G351" s="990">
        <v>0</v>
      </c>
      <c r="H351" s="990">
        <v>0</v>
      </c>
      <c r="I351" s="990">
        <v>0</v>
      </c>
      <c r="J351" s="990">
        <v>4481099</v>
      </c>
      <c r="K351" s="990">
        <v>12517</v>
      </c>
      <c r="L351" s="990">
        <v>0</v>
      </c>
      <c r="M351" s="990">
        <v>0</v>
      </c>
      <c r="N351" s="994">
        <v>0</v>
      </c>
      <c r="O351" s="994">
        <v>0</v>
      </c>
      <c r="P351" s="990">
        <v>4481099</v>
      </c>
      <c r="Q351" s="990">
        <v>12517</v>
      </c>
      <c r="R351" s="991">
        <v>4481099</v>
      </c>
      <c r="S351" s="992">
        <v>12517</v>
      </c>
    </row>
    <row r="352" spans="1:19" ht="33.75" x14ac:dyDescent="0.25">
      <c r="A352" s="989" t="s">
        <v>4956</v>
      </c>
      <c r="B352" s="989" t="s">
        <v>1776</v>
      </c>
      <c r="C352" s="989" t="s">
        <v>1734</v>
      </c>
      <c r="D352" s="989" t="s">
        <v>343</v>
      </c>
      <c r="E352" s="989" t="s">
        <v>2064</v>
      </c>
      <c r="F352" s="990">
        <v>0</v>
      </c>
      <c r="G352" s="990">
        <v>0</v>
      </c>
      <c r="H352" s="990">
        <v>1535116</v>
      </c>
      <c r="I352" s="990">
        <v>0</v>
      </c>
      <c r="J352" s="990">
        <v>0</v>
      </c>
      <c r="K352" s="990">
        <v>0</v>
      </c>
      <c r="L352" s="990">
        <v>0</v>
      </c>
      <c r="M352" s="990">
        <v>0</v>
      </c>
      <c r="N352" s="994">
        <v>0</v>
      </c>
      <c r="O352" s="994">
        <v>0</v>
      </c>
      <c r="P352" s="990">
        <v>1535116</v>
      </c>
      <c r="Q352" s="990">
        <v>0</v>
      </c>
      <c r="R352" s="991">
        <v>1535116</v>
      </c>
      <c r="S352" s="992">
        <v>0</v>
      </c>
    </row>
    <row r="353" spans="1:19" ht="45" x14ac:dyDescent="0.25">
      <c r="A353" s="989" t="s">
        <v>4956</v>
      </c>
      <c r="B353" s="989" t="s">
        <v>1777</v>
      </c>
      <c r="C353" s="989" t="s">
        <v>1726</v>
      </c>
      <c r="D353" s="989" t="s">
        <v>277</v>
      </c>
      <c r="E353" s="989" t="s">
        <v>2065</v>
      </c>
      <c r="F353" s="990">
        <v>19552534.620000001</v>
      </c>
      <c r="G353" s="990">
        <v>50044</v>
      </c>
      <c r="H353" s="990">
        <v>6105126.29</v>
      </c>
      <c r="I353" s="990">
        <v>15742.36</v>
      </c>
      <c r="J353" s="990">
        <v>58441636.100000001</v>
      </c>
      <c r="K353" s="990">
        <v>146814.47</v>
      </c>
      <c r="L353" s="990">
        <v>0</v>
      </c>
      <c r="M353" s="990">
        <v>0</v>
      </c>
      <c r="N353" s="994">
        <v>0</v>
      </c>
      <c r="O353" s="994">
        <v>0</v>
      </c>
      <c r="P353" s="990">
        <v>64546762.390000001</v>
      </c>
      <c r="Q353" s="990">
        <v>162556.82999999999</v>
      </c>
      <c r="R353" s="991">
        <v>84099297.010000005</v>
      </c>
      <c r="S353" s="992">
        <v>212601.81</v>
      </c>
    </row>
    <row r="354" spans="1:19" ht="22.5" x14ac:dyDescent="0.25">
      <c r="A354" s="989" t="s">
        <v>4956</v>
      </c>
      <c r="B354" s="989" t="s">
        <v>1777</v>
      </c>
      <c r="C354" s="989" t="s">
        <v>297</v>
      </c>
      <c r="D354" s="989" t="s">
        <v>297</v>
      </c>
      <c r="E354" s="989" t="s">
        <v>2066</v>
      </c>
      <c r="F354" s="990">
        <v>6219523.8700000001</v>
      </c>
      <c r="G354" s="990">
        <v>0</v>
      </c>
      <c r="H354" s="990">
        <v>34513540.280000001</v>
      </c>
      <c r="I354" s="990">
        <v>0</v>
      </c>
      <c r="J354" s="990">
        <v>0</v>
      </c>
      <c r="K354" s="990">
        <v>0</v>
      </c>
      <c r="L354" s="990">
        <v>0</v>
      </c>
      <c r="M354" s="990">
        <v>0</v>
      </c>
      <c r="N354" s="994">
        <v>0</v>
      </c>
      <c r="O354" s="994">
        <v>0</v>
      </c>
      <c r="P354" s="990">
        <v>34513540.280000001</v>
      </c>
      <c r="Q354" s="990">
        <v>0</v>
      </c>
      <c r="R354" s="991">
        <v>40733064.149999999</v>
      </c>
      <c r="S354" s="992">
        <v>0</v>
      </c>
    </row>
    <row r="355" spans="1:19" ht="22.5" x14ac:dyDescent="0.25">
      <c r="A355" s="989" t="s">
        <v>4956</v>
      </c>
      <c r="B355" s="989" t="s">
        <v>1777</v>
      </c>
      <c r="C355" s="989" t="s">
        <v>4976</v>
      </c>
      <c r="D355" s="989" t="s">
        <v>4976</v>
      </c>
      <c r="E355" s="989" t="s">
        <v>5056</v>
      </c>
      <c r="F355" s="990">
        <v>0</v>
      </c>
      <c r="G355" s="990">
        <v>0</v>
      </c>
      <c r="H355" s="990">
        <v>0</v>
      </c>
      <c r="I355" s="990">
        <v>0</v>
      </c>
      <c r="J355" s="990">
        <v>0</v>
      </c>
      <c r="K355" s="990">
        <v>0</v>
      </c>
      <c r="L355" s="990">
        <v>0</v>
      </c>
      <c r="M355" s="990">
        <v>0</v>
      </c>
      <c r="N355" s="994">
        <v>2849283</v>
      </c>
      <c r="O355" s="994">
        <v>5918.39990234375</v>
      </c>
      <c r="P355" s="990">
        <v>0</v>
      </c>
      <c r="Q355" s="990">
        <v>0</v>
      </c>
      <c r="R355" s="991">
        <v>0</v>
      </c>
      <c r="S355" s="992">
        <v>0</v>
      </c>
    </row>
    <row r="356" spans="1:19" ht="22.5" x14ac:dyDescent="0.25">
      <c r="A356" s="989" t="s">
        <v>4956</v>
      </c>
      <c r="B356" s="989" t="s">
        <v>1777</v>
      </c>
      <c r="C356" s="989" t="s">
        <v>316</v>
      </c>
      <c r="D356" s="989" t="s">
        <v>316</v>
      </c>
      <c r="E356" s="989" t="s">
        <v>2067</v>
      </c>
      <c r="F356" s="990">
        <v>1708576.65</v>
      </c>
      <c r="G356" s="990">
        <v>0</v>
      </c>
      <c r="H356" s="990">
        <v>69308721.900000006</v>
      </c>
      <c r="I356" s="990">
        <v>0</v>
      </c>
      <c r="J356" s="990">
        <v>0</v>
      </c>
      <c r="K356" s="990">
        <v>0</v>
      </c>
      <c r="L356" s="990">
        <v>0</v>
      </c>
      <c r="M356" s="990">
        <v>0</v>
      </c>
      <c r="N356" s="994">
        <v>0</v>
      </c>
      <c r="O356" s="994">
        <v>0</v>
      </c>
      <c r="P356" s="990">
        <v>69308721.900000006</v>
      </c>
      <c r="Q356" s="990">
        <v>0</v>
      </c>
      <c r="R356" s="991">
        <v>71017298.549999997</v>
      </c>
      <c r="S356" s="992">
        <v>0</v>
      </c>
    </row>
    <row r="357" spans="1:19" ht="22.5" x14ac:dyDescent="0.25">
      <c r="A357" s="989" t="s">
        <v>4956</v>
      </c>
      <c r="B357" s="989" t="s">
        <v>1777</v>
      </c>
      <c r="C357" s="989" t="s">
        <v>1730</v>
      </c>
      <c r="D357" s="989" t="s">
        <v>341</v>
      </c>
      <c r="E357" s="989" t="s">
        <v>2068</v>
      </c>
      <c r="F357" s="990">
        <v>0</v>
      </c>
      <c r="G357" s="990">
        <v>0</v>
      </c>
      <c r="H357" s="990">
        <v>104095.8</v>
      </c>
      <c r="I357" s="990">
        <v>293.60000000000002</v>
      </c>
      <c r="J357" s="990">
        <v>754747.75</v>
      </c>
      <c r="K357" s="990">
        <v>2106.8000000000002</v>
      </c>
      <c r="L357" s="990">
        <v>0</v>
      </c>
      <c r="M357" s="990">
        <v>0</v>
      </c>
      <c r="N357" s="994">
        <v>0</v>
      </c>
      <c r="O357" s="994">
        <v>0</v>
      </c>
      <c r="P357" s="990">
        <v>858843.55</v>
      </c>
      <c r="Q357" s="990">
        <v>2400.4</v>
      </c>
      <c r="R357" s="991">
        <v>858843.55</v>
      </c>
      <c r="S357" s="992">
        <v>2400.4</v>
      </c>
    </row>
    <row r="358" spans="1:19" ht="33.75" x14ac:dyDescent="0.25">
      <c r="A358" s="989" t="s">
        <v>4956</v>
      </c>
      <c r="B358" s="989" t="s">
        <v>1777</v>
      </c>
      <c r="C358" s="989" t="s">
        <v>1734</v>
      </c>
      <c r="D358" s="989" t="s">
        <v>343</v>
      </c>
      <c r="E358" s="989" t="s">
        <v>2069</v>
      </c>
      <c r="F358" s="990">
        <v>0</v>
      </c>
      <c r="G358" s="990">
        <v>0</v>
      </c>
      <c r="H358" s="990">
        <v>250759.37</v>
      </c>
      <c r="I358" s="990">
        <v>0</v>
      </c>
      <c r="J358" s="990">
        <v>0</v>
      </c>
      <c r="K358" s="990">
        <v>0</v>
      </c>
      <c r="L358" s="990">
        <v>0</v>
      </c>
      <c r="M358" s="990">
        <v>0</v>
      </c>
      <c r="N358" s="994">
        <v>0</v>
      </c>
      <c r="O358" s="994">
        <v>0</v>
      </c>
      <c r="P358" s="990">
        <v>250759.37</v>
      </c>
      <c r="Q358" s="990">
        <v>0</v>
      </c>
      <c r="R358" s="991">
        <v>250759.37</v>
      </c>
      <c r="S358" s="992">
        <v>0</v>
      </c>
    </row>
    <row r="359" spans="1:19" ht="45" x14ac:dyDescent="0.25">
      <c r="A359" s="989" t="s">
        <v>4956</v>
      </c>
      <c r="B359" s="989" t="s">
        <v>1778</v>
      </c>
      <c r="C359" s="989" t="s">
        <v>1726</v>
      </c>
      <c r="D359" s="989" t="s">
        <v>263</v>
      </c>
      <c r="E359" s="989" t="s">
        <v>2070</v>
      </c>
      <c r="F359" s="990">
        <v>0</v>
      </c>
      <c r="G359" s="990">
        <v>0</v>
      </c>
      <c r="H359" s="990">
        <v>0</v>
      </c>
      <c r="I359" s="990">
        <v>0</v>
      </c>
      <c r="J359" s="990">
        <v>16522751.91</v>
      </c>
      <c r="K359" s="990">
        <v>30516.22</v>
      </c>
      <c r="L359" s="990">
        <v>0</v>
      </c>
      <c r="M359" s="990">
        <v>0</v>
      </c>
      <c r="N359" s="994">
        <v>0</v>
      </c>
      <c r="O359" s="994">
        <v>0</v>
      </c>
      <c r="P359" s="990">
        <v>16522751.91</v>
      </c>
      <c r="Q359" s="990">
        <v>30516.22</v>
      </c>
      <c r="R359" s="991">
        <v>16522751.91</v>
      </c>
      <c r="S359" s="992">
        <v>30516.22</v>
      </c>
    </row>
    <row r="360" spans="1:19" ht="45" x14ac:dyDescent="0.25">
      <c r="A360" s="989" t="s">
        <v>4956</v>
      </c>
      <c r="B360" s="989" t="s">
        <v>1778</v>
      </c>
      <c r="C360" s="989" t="s">
        <v>1726</v>
      </c>
      <c r="D360" s="989" t="s">
        <v>272</v>
      </c>
      <c r="E360" s="989" t="s">
        <v>2071</v>
      </c>
      <c r="F360" s="990">
        <v>26886650.629999999</v>
      </c>
      <c r="G360" s="990">
        <v>75892</v>
      </c>
      <c r="H360" s="990">
        <v>14015604.699999999</v>
      </c>
      <c r="I360" s="990">
        <v>41236.03</v>
      </c>
      <c r="J360" s="990">
        <v>159443910.15000001</v>
      </c>
      <c r="K360" s="990">
        <v>411612.85</v>
      </c>
      <c r="L360" s="990">
        <v>0</v>
      </c>
      <c r="M360" s="990">
        <v>0</v>
      </c>
      <c r="N360" s="994">
        <v>0</v>
      </c>
      <c r="O360" s="994">
        <v>0</v>
      </c>
      <c r="P360" s="990">
        <v>173459514.84999999</v>
      </c>
      <c r="Q360" s="990">
        <v>452848.88</v>
      </c>
      <c r="R360" s="991">
        <v>200346165.47999999</v>
      </c>
      <c r="S360" s="992">
        <v>528741.14</v>
      </c>
    </row>
    <row r="361" spans="1:19" ht="22.5" x14ac:dyDescent="0.25">
      <c r="A361" s="989" t="s">
        <v>4956</v>
      </c>
      <c r="B361" s="989" t="s">
        <v>1778</v>
      </c>
      <c r="C361" s="989" t="s">
        <v>297</v>
      </c>
      <c r="D361" s="989" t="s">
        <v>297</v>
      </c>
      <c r="E361" s="989" t="s">
        <v>2072</v>
      </c>
      <c r="F361" s="990">
        <v>11599344.23</v>
      </c>
      <c r="G361" s="990">
        <v>0</v>
      </c>
      <c r="H361" s="990">
        <v>66881252.079999998</v>
      </c>
      <c r="I361" s="990">
        <v>0</v>
      </c>
      <c r="J361" s="990">
        <v>294031.06</v>
      </c>
      <c r="K361" s="990">
        <v>0</v>
      </c>
      <c r="L361" s="990">
        <v>0</v>
      </c>
      <c r="M361" s="990">
        <v>0</v>
      </c>
      <c r="N361" s="994">
        <v>0</v>
      </c>
      <c r="O361" s="994">
        <v>0</v>
      </c>
      <c r="P361" s="990">
        <v>67175283.140000001</v>
      </c>
      <c r="Q361" s="990">
        <v>0</v>
      </c>
      <c r="R361" s="991">
        <v>78774627.370000005</v>
      </c>
      <c r="S361" s="992">
        <v>0</v>
      </c>
    </row>
    <row r="362" spans="1:19" ht="22.5" x14ac:dyDescent="0.25">
      <c r="A362" s="989" t="s">
        <v>4956</v>
      </c>
      <c r="B362" s="989" t="s">
        <v>1778</v>
      </c>
      <c r="C362" s="989" t="s">
        <v>4976</v>
      </c>
      <c r="D362" s="989" t="s">
        <v>4976</v>
      </c>
      <c r="E362" s="989" t="s">
        <v>5057</v>
      </c>
      <c r="F362" s="990">
        <v>0</v>
      </c>
      <c r="G362" s="990">
        <v>0</v>
      </c>
      <c r="H362" s="990">
        <v>0</v>
      </c>
      <c r="I362" s="990">
        <v>0</v>
      </c>
      <c r="J362" s="990">
        <v>0</v>
      </c>
      <c r="K362" s="990">
        <v>0</v>
      </c>
      <c r="L362" s="990">
        <v>0</v>
      </c>
      <c r="M362" s="990">
        <v>0</v>
      </c>
      <c r="N362" s="994">
        <v>29330106</v>
      </c>
      <c r="O362" s="994">
        <v>62610.48828125</v>
      </c>
      <c r="P362" s="990">
        <v>0</v>
      </c>
      <c r="Q362" s="990">
        <v>0</v>
      </c>
      <c r="R362" s="991">
        <v>0</v>
      </c>
      <c r="S362" s="992">
        <v>0</v>
      </c>
    </row>
    <row r="363" spans="1:19" ht="22.5" x14ac:dyDescent="0.25">
      <c r="A363" s="989" t="s">
        <v>4956</v>
      </c>
      <c r="B363" s="989" t="s">
        <v>1778</v>
      </c>
      <c r="C363" s="989" t="s">
        <v>316</v>
      </c>
      <c r="D363" s="989" t="s">
        <v>316</v>
      </c>
      <c r="E363" s="989" t="s">
        <v>2073</v>
      </c>
      <c r="F363" s="990">
        <v>7032619</v>
      </c>
      <c r="G363" s="990">
        <v>0</v>
      </c>
      <c r="H363" s="990">
        <v>177514004.06999999</v>
      </c>
      <c r="I363" s="990">
        <v>0</v>
      </c>
      <c r="J363" s="990">
        <v>0</v>
      </c>
      <c r="K363" s="990">
        <v>0</v>
      </c>
      <c r="L363" s="990">
        <v>0</v>
      </c>
      <c r="M363" s="990">
        <v>0</v>
      </c>
      <c r="N363" s="994">
        <v>0</v>
      </c>
      <c r="O363" s="994">
        <v>0</v>
      </c>
      <c r="P363" s="990">
        <v>177514004.06999999</v>
      </c>
      <c r="Q363" s="990">
        <v>0</v>
      </c>
      <c r="R363" s="991">
        <v>184546623.06999999</v>
      </c>
      <c r="S363" s="992">
        <v>0</v>
      </c>
    </row>
    <row r="364" spans="1:19" ht="33.75" x14ac:dyDescent="0.25">
      <c r="A364" s="989" t="s">
        <v>4956</v>
      </c>
      <c r="B364" s="989" t="s">
        <v>1778</v>
      </c>
      <c r="C364" s="989" t="s">
        <v>1733</v>
      </c>
      <c r="D364" s="989" t="s">
        <v>325</v>
      </c>
      <c r="E364" s="989" t="s">
        <v>2074</v>
      </c>
      <c r="F364" s="990">
        <v>12060.4</v>
      </c>
      <c r="G364" s="990">
        <v>32</v>
      </c>
      <c r="H364" s="990">
        <v>117015.58</v>
      </c>
      <c r="I364" s="990">
        <v>297.77999999999997</v>
      </c>
      <c r="J364" s="990">
        <v>0</v>
      </c>
      <c r="K364" s="990">
        <v>0</v>
      </c>
      <c r="L364" s="990">
        <v>0</v>
      </c>
      <c r="M364" s="990">
        <v>0</v>
      </c>
      <c r="N364" s="994">
        <v>0</v>
      </c>
      <c r="O364" s="994">
        <v>0</v>
      </c>
      <c r="P364" s="990">
        <v>117015.58</v>
      </c>
      <c r="Q364" s="990">
        <v>297.77999999999997</v>
      </c>
      <c r="R364" s="991">
        <v>129075.98</v>
      </c>
      <c r="S364" s="992">
        <v>329.78</v>
      </c>
    </row>
    <row r="365" spans="1:19" ht="22.5" x14ac:dyDescent="0.25">
      <c r="A365" s="989" t="s">
        <v>4956</v>
      </c>
      <c r="B365" s="989" t="s">
        <v>1778</v>
      </c>
      <c r="C365" s="989" t="s">
        <v>1730</v>
      </c>
      <c r="D365" s="989" t="s">
        <v>341</v>
      </c>
      <c r="E365" s="989" t="s">
        <v>2075</v>
      </c>
      <c r="F365" s="990">
        <v>0</v>
      </c>
      <c r="G365" s="990">
        <v>0</v>
      </c>
      <c r="H365" s="990">
        <v>0</v>
      </c>
      <c r="I365" s="990">
        <v>0</v>
      </c>
      <c r="J365" s="990">
        <v>2036368.72</v>
      </c>
      <c r="K365" s="990">
        <v>5690.28</v>
      </c>
      <c r="L365" s="990">
        <v>0</v>
      </c>
      <c r="M365" s="990">
        <v>0</v>
      </c>
      <c r="N365" s="994">
        <v>0</v>
      </c>
      <c r="O365" s="994">
        <v>0</v>
      </c>
      <c r="P365" s="990">
        <v>2036368.72</v>
      </c>
      <c r="Q365" s="990">
        <v>5690.28</v>
      </c>
      <c r="R365" s="991">
        <v>2036368.72</v>
      </c>
      <c r="S365" s="992">
        <v>5690.28</v>
      </c>
    </row>
    <row r="366" spans="1:19" ht="33.75" x14ac:dyDescent="0.25">
      <c r="A366" s="989" t="s">
        <v>4956</v>
      </c>
      <c r="B366" s="989" t="s">
        <v>1778</v>
      </c>
      <c r="C366" s="989" t="s">
        <v>1734</v>
      </c>
      <c r="D366" s="989" t="s">
        <v>343</v>
      </c>
      <c r="E366" s="989" t="s">
        <v>2076</v>
      </c>
      <c r="F366" s="990">
        <v>0</v>
      </c>
      <c r="G366" s="990">
        <v>0</v>
      </c>
      <c r="H366" s="990">
        <v>42933.59</v>
      </c>
      <c r="I366" s="990">
        <v>0</v>
      </c>
      <c r="J366" s="990">
        <v>0</v>
      </c>
      <c r="K366" s="990">
        <v>0</v>
      </c>
      <c r="L366" s="990">
        <v>0</v>
      </c>
      <c r="M366" s="990">
        <v>0</v>
      </c>
      <c r="N366" s="994">
        <v>0</v>
      </c>
      <c r="O366" s="994">
        <v>0</v>
      </c>
      <c r="P366" s="990">
        <v>42933.59</v>
      </c>
      <c r="Q366" s="990">
        <v>0</v>
      </c>
      <c r="R366" s="991">
        <v>42933.59</v>
      </c>
      <c r="S366" s="992">
        <v>0</v>
      </c>
    </row>
    <row r="367" spans="1:19" ht="45" x14ac:dyDescent="0.25">
      <c r="A367" s="989" t="s">
        <v>4956</v>
      </c>
      <c r="B367" s="989" t="s">
        <v>1779</v>
      </c>
      <c r="C367" s="989" t="s">
        <v>1726</v>
      </c>
      <c r="D367" s="989" t="s">
        <v>277</v>
      </c>
      <c r="E367" s="989" t="s">
        <v>2077</v>
      </c>
      <c r="F367" s="990">
        <v>9316919</v>
      </c>
      <c r="G367" s="990">
        <v>33415</v>
      </c>
      <c r="H367" s="990">
        <v>0</v>
      </c>
      <c r="I367" s="990">
        <v>0</v>
      </c>
      <c r="J367" s="990">
        <v>50701485</v>
      </c>
      <c r="K367" s="990">
        <v>61683</v>
      </c>
      <c r="L367" s="990">
        <v>0</v>
      </c>
      <c r="M367" s="990">
        <v>0</v>
      </c>
      <c r="N367" s="994">
        <v>0</v>
      </c>
      <c r="O367" s="994">
        <v>0</v>
      </c>
      <c r="P367" s="990">
        <v>50701485</v>
      </c>
      <c r="Q367" s="990">
        <v>61683</v>
      </c>
      <c r="R367" s="991">
        <v>60018404</v>
      </c>
      <c r="S367" s="992">
        <v>95098</v>
      </c>
    </row>
    <row r="368" spans="1:19" ht="22.5" x14ac:dyDescent="0.25">
      <c r="A368" s="989" t="s">
        <v>4956</v>
      </c>
      <c r="B368" s="989" t="s">
        <v>1779</v>
      </c>
      <c r="C368" s="989" t="s">
        <v>297</v>
      </c>
      <c r="D368" s="989" t="s">
        <v>297</v>
      </c>
      <c r="E368" s="989" t="s">
        <v>2078</v>
      </c>
      <c r="F368" s="990">
        <v>2753241</v>
      </c>
      <c r="G368" s="990">
        <v>0</v>
      </c>
      <c r="H368" s="990">
        <v>14970675</v>
      </c>
      <c r="I368" s="990">
        <v>0</v>
      </c>
      <c r="J368" s="990">
        <v>0</v>
      </c>
      <c r="K368" s="990">
        <v>0</v>
      </c>
      <c r="L368" s="990">
        <v>0</v>
      </c>
      <c r="M368" s="990">
        <v>0</v>
      </c>
      <c r="N368" s="994">
        <v>0</v>
      </c>
      <c r="O368" s="994">
        <v>0</v>
      </c>
      <c r="P368" s="990">
        <v>14970675</v>
      </c>
      <c r="Q368" s="990">
        <v>0</v>
      </c>
      <c r="R368" s="991">
        <v>17723916</v>
      </c>
      <c r="S368" s="992">
        <v>0</v>
      </c>
    </row>
    <row r="369" spans="1:19" ht="22.5" x14ac:dyDescent="0.25">
      <c r="A369" s="989" t="s">
        <v>4956</v>
      </c>
      <c r="B369" s="989" t="s">
        <v>1779</v>
      </c>
      <c r="C369" s="989" t="s">
        <v>4976</v>
      </c>
      <c r="D369" s="989" t="s">
        <v>4976</v>
      </c>
      <c r="E369" s="989" t="s">
        <v>5058</v>
      </c>
      <c r="F369" s="990">
        <v>0</v>
      </c>
      <c r="G369" s="990">
        <v>0</v>
      </c>
      <c r="H369" s="990">
        <v>0</v>
      </c>
      <c r="I369" s="990">
        <v>0</v>
      </c>
      <c r="J369" s="990">
        <v>0</v>
      </c>
      <c r="K369" s="990">
        <v>0</v>
      </c>
      <c r="L369" s="990">
        <v>0</v>
      </c>
      <c r="M369" s="990">
        <v>0</v>
      </c>
      <c r="N369" s="994">
        <v>5163181</v>
      </c>
      <c r="O369" s="994">
        <v>15783</v>
      </c>
      <c r="P369" s="990">
        <v>0</v>
      </c>
      <c r="Q369" s="990">
        <v>0</v>
      </c>
      <c r="R369" s="991">
        <v>0</v>
      </c>
      <c r="S369" s="992">
        <v>0</v>
      </c>
    </row>
    <row r="370" spans="1:19" ht="22.5" x14ac:dyDescent="0.25">
      <c r="A370" s="989" t="s">
        <v>4956</v>
      </c>
      <c r="B370" s="989" t="s">
        <v>1779</v>
      </c>
      <c r="C370" s="989" t="s">
        <v>316</v>
      </c>
      <c r="D370" s="989" t="s">
        <v>316</v>
      </c>
      <c r="E370" s="989" t="s">
        <v>2079</v>
      </c>
      <c r="F370" s="990">
        <v>1026018</v>
      </c>
      <c r="G370" s="990">
        <v>0</v>
      </c>
      <c r="H370" s="990">
        <v>36494291</v>
      </c>
      <c r="I370" s="990">
        <v>0</v>
      </c>
      <c r="J370" s="990">
        <v>0</v>
      </c>
      <c r="K370" s="990">
        <v>0</v>
      </c>
      <c r="L370" s="990">
        <v>0</v>
      </c>
      <c r="M370" s="990">
        <v>0</v>
      </c>
      <c r="N370" s="994">
        <v>0</v>
      </c>
      <c r="O370" s="994">
        <v>0</v>
      </c>
      <c r="P370" s="990">
        <v>36494291</v>
      </c>
      <c r="Q370" s="990">
        <v>0</v>
      </c>
      <c r="R370" s="991">
        <v>37520309</v>
      </c>
      <c r="S370" s="992">
        <v>0</v>
      </c>
    </row>
    <row r="371" spans="1:19" ht="22.5" x14ac:dyDescent="0.25">
      <c r="A371" s="989" t="s">
        <v>4956</v>
      </c>
      <c r="B371" s="989" t="s">
        <v>1779</v>
      </c>
      <c r="C371" s="989" t="s">
        <v>1730</v>
      </c>
      <c r="D371" s="989" t="s">
        <v>341</v>
      </c>
      <c r="E371" s="989" t="s">
        <v>2080</v>
      </c>
      <c r="F371" s="990">
        <v>508277</v>
      </c>
      <c r="G371" s="990">
        <v>1381</v>
      </c>
      <c r="H371" s="990">
        <v>0</v>
      </c>
      <c r="I371" s="990">
        <v>0</v>
      </c>
      <c r="J371" s="990">
        <v>5696</v>
      </c>
      <c r="K371" s="990">
        <v>11.21</v>
      </c>
      <c r="L371" s="990">
        <v>0</v>
      </c>
      <c r="M371" s="990">
        <v>0</v>
      </c>
      <c r="N371" s="994">
        <v>0</v>
      </c>
      <c r="O371" s="994">
        <v>0</v>
      </c>
      <c r="P371" s="990">
        <v>5696</v>
      </c>
      <c r="Q371" s="990">
        <v>11.21</v>
      </c>
      <c r="R371" s="991">
        <v>513973</v>
      </c>
      <c r="S371" s="992">
        <v>1392.21</v>
      </c>
    </row>
    <row r="372" spans="1:19" ht="33.75" x14ac:dyDescent="0.25">
      <c r="A372" s="989" t="s">
        <v>4956</v>
      </c>
      <c r="B372" s="989" t="s">
        <v>1779</v>
      </c>
      <c r="C372" s="989" t="s">
        <v>1734</v>
      </c>
      <c r="D372" s="989" t="s">
        <v>343</v>
      </c>
      <c r="E372" s="989" t="s">
        <v>2081</v>
      </c>
      <c r="F372" s="990">
        <v>19637</v>
      </c>
      <c r="G372" s="990">
        <v>0</v>
      </c>
      <c r="H372" s="990">
        <v>144541</v>
      </c>
      <c r="I372" s="990">
        <v>0</v>
      </c>
      <c r="J372" s="990">
        <v>0</v>
      </c>
      <c r="K372" s="990">
        <v>0</v>
      </c>
      <c r="L372" s="990">
        <v>0</v>
      </c>
      <c r="M372" s="990">
        <v>0</v>
      </c>
      <c r="N372" s="994">
        <v>0</v>
      </c>
      <c r="O372" s="994">
        <v>0</v>
      </c>
      <c r="P372" s="990">
        <v>144541</v>
      </c>
      <c r="Q372" s="990">
        <v>0</v>
      </c>
      <c r="R372" s="991">
        <v>164178</v>
      </c>
      <c r="S372" s="992">
        <v>0</v>
      </c>
    </row>
    <row r="373" spans="1:19" ht="33.75" x14ac:dyDescent="0.25">
      <c r="A373" s="989" t="s">
        <v>4956</v>
      </c>
      <c r="B373" s="989" t="s">
        <v>1780</v>
      </c>
      <c r="C373" s="989" t="s">
        <v>1736</v>
      </c>
      <c r="D373" s="989" t="s">
        <v>249</v>
      </c>
      <c r="E373" s="989" t="s">
        <v>2082</v>
      </c>
      <c r="F373" s="990">
        <v>0</v>
      </c>
      <c r="G373" s="990">
        <v>0</v>
      </c>
      <c r="H373" s="990">
        <v>0</v>
      </c>
      <c r="I373" s="990">
        <v>0</v>
      </c>
      <c r="J373" s="990">
        <v>40016494.649999999</v>
      </c>
      <c r="K373" s="990">
        <v>111056.22</v>
      </c>
      <c r="L373" s="990">
        <v>0</v>
      </c>
      <c r="M373" s="990">
        <v>0</v>
      </c>
      <c r="N373" s="994">
        <v>0</v>
      </c>
      <c r="O373" s="994">
        <v>0</v>
      </c>
      <c r="P373" s="990">
        <v>40016494.649999999</v>
      </c>
      <c r="Q373" s="990">
        <v>111056.22</v>
      </c>
      <c r="R373" s="991">
        <v>40016494.649999999</v>
      </c>
      <c r="S373" s="992">
        <v>111056.22</v>
      </c>
    </row>
    <row r="374" spans="1:19" ht="45" x14ac:dyDescent="0.25">
      <c r="A374" s="989" t="s">
        <v>4956</v>
      </c>
      <c r="B374" s="989" t="s">
        <v>1780</v>
      </c>
      <c r="C374" s="989" t="s">
        <v>1726</v>
      </c>
      <c r="D374" s="989" t="s">
        <v>1781</v>
      </c>
      <c r="E374" s="989" t="s">
        <v>2083</v>
      </c>
      <c r="F374" s="990">
        <v>43707290.619999997</v>
      </c>
      <c r="G374" s="990">
        <v>92881</v>
      </c>
      <c r="H374" s="990">
        <v>0</v>
      </c>
      <c r="I374" s="990">
        <v>0</v>
      </c>
      <c r="J374" s="990">
        <v>158515892.84</v>
      </c>
      <c r="K374" s="990">
        <v>348996.79</v>
      </c>
      <c r="L374" s="990">
        <v>0</v>
      </c>
      <c r="M374" s="990">
        <v>0</v>
      </c>
      <c r="N374" s="994">
        <v>0</v>
      </c>
      <c r="O374" s="994">
        <v>0</v>
      </c>
      <c r="P374" s="990">
        <v>158515892.84</v>
      </c>
      <c r="Q374" s="990">
        <v>348996.79</v>
      </c>
      <c r="R374" s="991">
        <v>202223183.46000001</v>
      </c>
      <c r="S374" s="992">
        <v>441878.17</v>
      </c>
    </row>
    <row r="375" spans="1:19" ht="45" x14ac:dyDescent="0.25">
      <c r="A375" s="989" t="s">
        <v>4956</v>
      </c>
      <c r="B375" s="989" t="s">
        <v>1780</v>
      </c>
      <c r="C375" s="989" t="s">
        <v>1726</v>
      </c>
      <c r="D375" s="989" t="s">
        <v>281</v>
      </c>
      <c r="E375" s="989" t="s">
        <v>2084</v>
      </c>
      <c r="F375" s="990">
        <v>111887172.09999999</v>
      </c>
      <c r="G375" s="990">
        <v>289163</v>
      </c>
      <c r="H375" s="990">
        <v>71453062.319999993</v>
      </c>
      <c r="I375" s="990">
        <v>181656.36</v>
      </c>
      <c r="J375" s="990">
        <v>392546740.61000001</v>
      </c>
      <c r="K375" s="990">
        <v>1057461.96</v>
      </c>
      <c r="L375" s="990">
        <v>4447404</v>
      </c>
      <c r="M375" s="990">
        <v>8578.5703125</v>
      </c>
      <c r="N375" s="994">
        <v>0</v>
      </c>
      <c r="O375" s="994">
        <v>0</v>
      </c>
      <c r="P375" s="990">
        <v>468447206.81</v>
      </c>
      <c r="Q375" s="990">
        <v>1247696.8899999999</v>
      </c>
      <c r="R375" s="991">
        <v>580334378.90999997</v>
      </c>
      <c r="S375" s="992">
        <v>1536859.96</v>
      </c>
    </row>
    <row r="376" spans="1:19" ht="33.75" x14ac:dyDescent="0.25">
      <c r="A376" s="989" t="s">
        <v>4956</v>
      </c>
      <c r="B376" s="989" t="s">
        <v>1780</v>
      </c>
      <c r="C376" s="989" t="s">
        <v>297</v>
      </c>
      <c r="D376" s="989" t="s">
        <v>297</v>
      </c>
      <c r="E376" s="989" t="s">
        <v>2085</v>
      </c>
      <c r="F376" s="990">
        <v>27724515.960000001</v>
      </c>
      <c r="G376" s="990">
        <v>0</v>
      </c>
      <c r="H376" s="990">
        <v>136971824.05000001</v>
      </c>
      <c r="I376" s="990">
        <v>0</v>
      </c>
      <c r="J376" s="990">
        <v>0</v>
      </c>
      <c r="K376" s="990">
        <v>0</v>
      </c>
      <c r="L376" s="990">
        <v>0</v>
      </c>
      <c r="M376" s="990">
        <v>0</v>
      </c>
      <c r="N376" s="994">
        <v>0</v>
      </c>
      <c r="O376" s="994">
        <v>0</v>
      </c>
      <c r="P376" s="990">
        <v>136971824.05000001</v>
      </c>
      <c r="Q376" s="990">
        <v>0</v>
      </c>
      <c r="R376" s="991">
        <v>164696340.00999999</v>
      </c>
      <c r="S376" s="992">
        <v>0</v>
      </c>
    </row>
    <row r="377" spans="1:19" ht="33.75" x14ac:dyDescent="0.25">
      <c r="A377" s="989" t="s">
        <v>4956</v>
      </c>
      <c r="B377" s="989" t="s">
        <v>1780</v>
      </c>
      <c r="C377" s="989" t="s">
        <v>4976</v>
      </c>
      <c r="D377" s="989" t="s">
        <v>4976</v>
      </c>
      <c r="E377" s="989" t="s">
        <v>5059</v>
      </c>
      <c r="F377" s="990">
        <v>0</v>
      </c>
      <c r="G377" s="990">
        <v>0</v>
      </c>
      <c r="H377" s="990">
        <v>0</v>
      </c>
      <c r="I377" s="990">
        <v>0</v>
      </c>
      <c r="J377" s="990">
        <v>0</v>
      </c>
      <c r="K377" s="990">
        <v>0</v>
      </c>
      <c r="L377" s="990">
        <v>0</v>
      </c>
      <c r="M377" s="990">
        <v>0</v>
      </c>
      <c r="N377" s="994">
        <v>117050992</v>
      </c>
      <c r="O377" s="994">
        <v>231635</v>
      </c>
      <c r="P377" s="990">
        <v>0</v>
      </c>
      <c r="Q377" s="990">
        <v>0</v>
      </c>
      <c r="R377" s="991">
        <v>0</v>
      </c>
      <c r="S377" s="992">
        <v>0</v>
      </c>
    </row>
    <row r="378" spans="1:19" ht="33.75" x14ac:dyDescent="0.25">
      <c r="A378" s="989" t="s">
        <v>4956</v>
      </c>
      <c r="B378" s="989" t="s">
        <v>1780</v>
      </c>
      <c r="C378" s="989" t="s">
        <v>316</v>
      </c>
      <c r="D378" s="989" t="s">
        <v>316</v>
      </c>
      <c r="E378" s="989" t="s">
        <v>2086</v>
      </c>
      <c r="F378" s="990">
        <v>10887882.890000001</v>
      </c>
      <c r="G378" s="990">
        <v>0</v>
      </c>
      <c r="H378" s="990">
        <v>537171221.69000006</v>
      </c>
      <c r="I378" s="990">
        <v>0</v>
      </c>
      <c r="J378" s="990">
        <v>0</v>
      </c>
      <c r="K378" s="990">
        <v>0</v>
      </c>
      <c r="L378" s="990">
        <v>0</v>
      </c>
      <c r="M378" s="990">
        <v>0</v>
      </c>
      <c r="N378" s="994">
        <v>0</v>
      </c>
      <c r="O378" s="994">
        <v>0</v>
      </c>
      <c r="P378" s="990">
        <v>537171221.69000006</v>
      </c>
      <c r="Q378" s="990">
        <v>0</v>
      </c>
      <c r="R378" s="991">
        <v>548059104.58000004</v>
      </c>
      <c r="S378" s="992">
        <v>0</v>
      </c>
    </row>
    <row r="379" spans="1:19" ht="33.75" x14ac:dyDescent="0.25">
      <c r="A379" s="989" t="s">
        <v>4956</v>
      </c>
      <c r="B379" s="989" t="s">
        <v>1780</v>
      </c>
      <c r="C379" s="989" t="s">
        <v>1733</v>
      </c>
      <c r="D379" s="989" t="s">
        <v>325</v>
      </c>
      <c r="E379" s="989" t="s">
        <v>2087</v>
      </c>
      <c r="F379" s="990">
        <v>0</v>
      </c>
      <c r="G379" s="990">
        <v>0</v>
      </c>
      <c r="H379" s="990">
        <v>99928</v>
      </c>
      <c r="I379" s="990">
        <v>277.58</v>
      </c>
      <c r="J379" s="990">
        <v>0</v>
      </c>
      <c r="K379" s="990">
        <v>0</v>
      </c>
      <c r="L379" s="990">
        <v>0</v>
      </c>
      <c r="M379" s="990">
        <v>0</v>
      </c>
      <c r="N379" s="994">
        <v>0</v>
      </c>
      <c r="O379" s="994">
        <v>0</v>
      </c>
      <c r="P379" s="990">
        <v>99928</v>
      </c>
      <c r="Q379" s="990">
        <v>277.58</v>
      </c>
      <c r="R379" s="991">
        <v>99928</v>
      </c>
      <c r="S379" s="992">
        <v>277.58</v>
      </c>
    </row>
    <row r="380" spans="1:19" ht="33.75" x14ac:dyDescent="0.25">
      <c r="A380" s="989" t="s">
        <v>4956</v>
      </c>
      <c r="B380" s="989" t="s">
        <v>1780</v>
      </c>
      <c r="C380" s="989" t="s">
        <v>1730</v>
      </c>
      <c r="D380" s="989" t="s">
        <v>341</v>
      </c>
      <c r="E380" s="989" t="s">
        <v>2088</v>
      </c>
      <c r="F380" s="990">
        <v>5355652.6900000004</v>
      </c>
      <c r="G380" s="990">
        <v>14880</v>
      </c>
      <c r="H380" s="990">
        <v>0</v>
      </c>
      <c r="I380" s="990">
        <v>0</v>
      </c>
      <c r="J380" s="990">
        <v>2442023.31</v>
      </c>
      <c r="K380" s="990">
        <v>7165.97</v>
      </c>
      <c r="L380" s="990">
        <v>0</v>
      </c>
      <c r="M380" s="990">
        <v>0</v>
      </c>
      <c r="N380" s="994">
        <v>0</v>
      </c>
      <c r="O380" s="994">
        <v>0</v>
      </c>
      <c r="P380" s="990">
        <v>2442023.31</v>
      </c>
      <c r="Q380" s="990">
        <v>7165.97</v>
      </c>
      <c r="R380" s="991">
        <v>7797676</v>
      </c>
      <c r="S380" s="992">
        <v>22046.6</v>
      </c>
    </row>
    <row r="381" spans="1:19" ht="33.75" x14ac:dyDescent="0.25">
      <c r="A381" s="989" t="s">
        <v>4956</v>
      </c>
      <c r="B381" s="989" t="s">
        <v>1780</v>
      </c>
      <c r="C381" s="989" t="s">
        <v>1734</v>
      </c>
      <c r="D381" s="989" t="s">
        <v>343</v>
      </c>
      <c r="E381" s="989" t="s">
        <v>2089</v>
      </c>
      <c r="F381" s="990">
        <v>0</v>
      </c>
      <c r="G381" s="990">
        <v>0</v>
      </c>
      <c r="H381" s="990">
        <v>4316530.32</v>
      </c>
      <c r="I381" s="990">
        <v>0</v>
      </c>
      <c r="J381" s="990">
        <v>0</v>
      </c>
      <c r="K381" s="990">
        <v>0</v>
      </c>
      <c r="L381" s="990">
        <v>0</v>
      </c>
      <c r="M381" s="990">
        <v>0</v>
      </c>
      <c r="N381" s="994">
        <v>0</v>
      </c>
      <c r="O381" s="994">
        <v>0</v>
      </c>
      <c r="P381" s="990">
        <v>4316530.32</v>
      </c>
      <c r="Q381" s="990">
        <v>0</v>
      </c>
      <c r="R381" s="991">
        <v>4316530.32</v>
      </c>
      <c r="S381" s="992">
        <v>0</v>
      </c>
    </row>
    <row r="382" spans="1:19" ht="45" x14ac:dyDescent="0.25">
      <c r="A382" s="989" t="s">
        <v>4956</v>
      </c>
      <c r="B382" s="989" t="s">
        <v>1782</v>
      </c>
      <c r="C382" s="989" t="s">
        <v>1726</v>
      </c>
      <c r="D382" s="989" t="s">
        <v>277</v>
      </c>
      <c r="E382" s="989" t="s">
        <v>2090</v>
      </c>
      <c r="F382" s="990">
        <v>28446571.300000001</v>
      </c>
      <c r="G382" s="990">
        <v>70650</v>
      </c>
      <c r="H382" s="990">
        <v>9297621.1600000001</v>
      </c>
      <c r="I382" s="990">
        <v>26799.34</v>
      </c>
      <c r="J382" s="990">
        <v>88574872.959999993</v>
      </c>
      <c r="K382" s="990">
        <v>201840.12</v>
      </c>
      <c r="L382" s="990">
        <v>3134544</v>
      </c>
      <c r="M382" s="990">
        <v>5789.35986328125</v>
      </c>
      <c r="N382" s="994">
        <v>0</v>
      </c>
      <c r="O382" s="994">
        <v>0</v>
      </c>
      <c r="P382" s="990">
        <v>101007038.09999999</v>
      </c>
      <c r="Q382" s="990">
        <v>234428.82</v>
      </c>
      <c r="R382" s="991">
        <v>129453609.40000001</v>
      </c>
      <c r="S382" s="992">
        <v>305078.84000000003</v>
      </c>
    </row>
    <row r="383" spans="1:19" ht="22.5" x14ac:dyDescent="0.25">
      <c r="A383" s="989" t="s">
        <v>4956</v>
      </c>
      <c r="B383" s="989" t="s">
        <v>1782</v>
      </c>
      <c r="C383" s="989" t="s">
        <v>297</v>
      </c>
      <c r="D383" s="989" t="s">
        <v>297</v>
      </c>
      <c r="E383" s="989" t="s">
        <v>2091</v>
      </c>
      <c r="F383" s="990">
        <v>5601077.8399999999</v>
      </c>
      <c r="G383" s="990">
        <v>0</v>
      </c>
      <c r="H383" s="990">
        <v>28661862.129999999</v>
      </c>
      <c r="I383" s="990">
        <v>0</v>
      </c>
      <c r="J383" s="990">
        <v>0</v>
      </c>
      <c r="K383" s="990">
        <v>0</v>
      </c>
      <c r="L383" s="990">
        <v>0</v>
      </c>
      <c r="M383" s="990">
        <v>0</v>
      </c>
      <c r="N383" s="994">
        <v>0</v>
      </c>
      <c r="O383" s="994">
        <v>0</v>
      </c>
      <c r="P383" s="990">
        <v>28661862.129999999</v>
      </c>
      <c r="Q383" s="990">
        <v>0</v>
      </c>
      <c r="R383" s="991">
        <v>34262939.969999999</v>
      </c>
      <c r="S383" s="992">
        <v>0</v>
      </c>
    </row>
    <row r="384" spans="1:19" ht="22.5" x14ac:dyDescent="0.25">
      <c r="A384" s="989" t="s">
        <v>4956</v>
      </c>
      <c r="B384" s="989" t="s">
        <v>1782</v>
      </c>
      <c r="C384" s="989" t="s">
        <v>4976</v>
      </c>
      <c r="D384" s="989" t="s">
        <v>4976</v>
      </c>
      <c r="E384" s="989" t="s">
        <v>5060</v>
      </c>
      <c r="F384" s="990">
        <v>0</v>
      </c>
      <c r="G384" s="990">
        <v>0</v>
      </c>
      <c r="H384" s="990">
        <v>0</v>
      </c>
      <c r="I384" s="990">
        <v>0</v>
      </c>
      <c r="J384" s="990">
        <v>0</v>
      </c>
      <c r="K384" s="990">
        <v>0</v>
      </c>
      <c r="L384" s="990">
        <v>0</v>
      </c>
      <c r="M384" s="990">
        <v>0</v>
      </c>
      <c r="N384" s="994">
        <v>46742884</v>
      </c>
      <c r="O384" s="994">
        <v>43117.859375</v>
      </c>
      <c r="P384" s="990">
        <v>0</v>
      </c>
      <c r="Q384" s="990">
        <v>0</v>
      </c>
      <c r="R384" s="991">
        <v>0</v>
      </c>
      <c r="S384" s="992">
        <v>0</v>
      </c>
    </row>
    <row r="385" spans="1:19" ht="22.5" x14ac:dyDescent="0.25">
      <c r="A385" s="989" t="s">
        <v>4956</v>
      </c>
      <c r="B385" s="989" t="s">
        <v>1782</v>
      </c>
      <c r="C385" s="989" t="s">
        <v>316</v>
      </c>
      <c r="D385" s="989" t="s">
        <v>316</v>
      </c>
      <c r="E385" s="989" t="s">
        <v>2092</v>
      </c>
      <c r="F385" s="990">
        <v>3535128.36</v>
      </c>
      <c r="G385" s="990">
        <v>0</v>
      </c>
      <c r="H385" s="990">
        <v>78870513.25</v>
      </c>
      <c r="I385" s="990">
        <v>0</v>
      </c>
      <c r="J385" s="990">
        <v>0</v>
      </c>
      <c r="K385" s="990">
        <v>0</v>
      </c>
      <c r="L385" s="990">
        <v>0</v>
      </c>
      <c r="M385" s="990">
        <v>0</v>
      </c>
      <c r="N385" s="994">
        <v>0</v>
      </c>
      <c r="O385" s="994">
        <v>0</v>
      </c>
      <c r="P385" s="990">
        <v>78870513.25</v>
      </c>
      <c r="Q385" s="990">
        <v>0</v>
      </c>
      <c r="R385" s="991">
        <v>82405641.609999999</v>
      </c>
      <c r="S385" s="992">
        <v>0</v>
      </c>
    </row>
    <row r="386" spans="1:19" ht="33.75" x14ac:dyDescent="0.25">
      <c r="A386" s="989" t="s">
        <v>4956</v>
      </c>
      <c r="B386" s="989" t="s">
        <v>1782</v>
      </c>
      <c r="C386" s="989" t="s">
        <v>1733</v>
      </c>
      <c r="D386" s="989" t="s">
        <v>325</v>
      </c>
      <c r="E386" s="989" t="s">
        <v>2093</v>
      </c>
      <c r="F386" s="990">
        <v>0</v>
      </c>
      <c r="G386" s="990">
        <v>0</v>
      </c>
      <c r="H386" s="990">
        <v>102865.1</v>
      </c>
      <c r="I386" s="990">
        <v>290.64</v>
      </c>
      <c r="J386" s="990">
        <v>0</v>
      </c>
      <c r="K386" s="990">
        <v>0</v>
      </c>
      <c r="L386" s="990">
        <v>0</v>
      </c>
      <c r="M386" s="990">
        <v>0</v>
      </c>
      <c r="N386" s="994">
        <v>0</v>
      </c>
      <c r="O386" s="994">
        <v>0</v>
      </c>
      <c r="P386" s="990">
        <v>102865.1</v>
      </c>
      <c r="Q386" s="990">
        <v>290.64</v>
      </c>
      <c r="R386" s="991">
        <v>102865.1</v>
      </c>
      <c r="S386" s="992">
        <v>290.64</v>
      </c>
    </row>
    <row r="387" spans="1:19" ht="22.5" x14ac:dyDescent="0.25">
      <c r="A387" s="989" t="s">
        <v>4956</v>
      </c>
      <c r="B387" s="989" t="s">
        <v>1782</v>
      </c>
      <c r="C387" s="989" t="s">
        <v>1730</v>
      </c>
      <c r="D387" s="989" t="s">
        <v>341</v>
      </c>
      <c r="E387" s="989" t="s">
        <v>2094</v>
      </c>
      <c r="F387" s="990">
        <v>0</v>
      </c>
      <c r="G387" s="990">
        <v>0</v>
      </c>
      <c r="H387" s="990">
        <v>133286.24</v>
      </c>
      <c r="I387" s="990">
        <v>379.55</v>
      </c>
      <c r="J387" s="990">
        <v>764672.34</v>
      </c>
      <c r="K387" s="990">
        <v>2039.6</v>
      </c>
      <c r="L387" s="990">
        <v>0</v>
      </c>
      <c r="M387" s="990">
        <v>0</v>
      </c>
      <c r="N387" s="994">
        <v>0</v>
      </c>
      <c r="O387" s="994">
        <v>0</v>
      </c>
      <c r="P387" s="990">
        <v>897958.58</v>
      </c>
      <c r="Q387" s="990">
        <v>2419.15</v>
      </c>
      <c r="R387" s="991">
        <v>897958.58</v>
      </c>
      <c r="S387" s="992">
        <v>2419.15</v>
      </c>
    </row>
    <row r="388" spans="1:19" ht="33.75" x14ac:dyDescent="0.25">
      <c r="A388" s="989" t="s">
        <v>4956</v>
      </c>
      <c r="B388" s="989" t="s">
        <v>1782</v>
      </c>
      <c r="C388" s="989" t="s">
        <v>1734</v>
      </c>
      <c r="D388" s="989" t="s">
        <v>343</v>
      </c>
      <c r="E388" s="989" t="s">
        <v>2095</v>
      </c>
      <c r="F388" s="990">
        <v>0</v>
      </c>
      <c r="G388" s="990">
        <v>0</v>
      </c>
      <c r="H388" s="990">
        <v>400465.56</v>
      </c>
      <c r="I388" s="990">
        <v>0</v>
      </c>
      <c r="J388" s="990">
        <v>0</v>
      </c>
      <c r="K388" s="990">
        <v>0</v>
      </c>
      <c r="L388" s="990">
        <v>0</v>
      </c>
      <c r="M388" s="990">
        <v>0</v>
      </c>
      <c r="N388" s="994">
        <v>0</v>
      </c>
      <c r="O388" s="994">
        <v>0</v>
      </c>
      <c r="P388" s="990">
        <v>400465.56</v>
      </c>
      <c r="Q388" s="990">
        <v>0</v>
      </c>
      <c r="R388" s="991">
        <v>400465.56</v>
      </c>
      <c r="S388" s="992">
        <v>0</v>
      </c>
    </row>
    <row r="389" spans="1:19" ht="45" x14ac:dyDescent="0.25">
      <c r="A389" s="989" t="s">
        <v>4956</v>
      </c>
      <c r="B389" s="989" t="s">
        <v>1783</v>
      </c>
      <c r="C389" s="989" t="s">
        <v>1726</v>
      </c>
      <c r="D389" s="989" t="s">
        <v>277</v>
      </c>
      <c r="E389" s="989" t="s">
        <v>1803</v>
      </c>
      <c r="F389" s="990">
        <v>26714132</v>
      </c>
      <c r="G389" s="990">
        <v>68258</v>
      </c>
      <c r="H389" s="990">
        <v>18607926</v>
      </c>
      <c r="I389" s="990">
        <v>61165</v>
      </c>
      <c r="J389" s="990">
        <v>105779745</v>
      </c>
      <c r="K389" s="990">
        <v>293102</v>
      </c>
      <c r="L389" s="990">
        <v>3101125</v>
      </c>
      <c r="M389" s="990">
        <v>5729</v>
      </c>
      <c r="N389" s="994">
        <v>0</v>
      </c>
      <c r="O389" s="994">
        <v>0</v>
      </c>
      <c r="P389" s="990">
        <v>127488796</v>
      </c>
      <c r="Q389" s="990">
        <v>359996</v>
      </c>
      <c r="R389" s="991">
        <v>154202928</v>
      </c>
      <c r="S389" s="992">
        <v>428254</v>
      </c>
    </row>
    <row r="390" spans="1:19" ht="33.75" x14ac:dyDescent="0.25">
      <c r="A390" s="989" t="s">
        <v>4956</v>
      </c>
      <c r="B390" s="989" t="s">
        <v>1783</v>
      </c>
      <c r="C390" s="989" t="s">
        <v>297</v>
      </c>
      <c r="D390" s="989" t="s">
        <v>297</v>
      </c>
      <c r="E390" s="989" t="s">
        <v>1804</v>
      </c>
      <c r="F390" s="990">
        <v>9019957</v>
      </c>
      <c r="G390" s="990">
        <v>0</v>
      </c>
      <c r="H390" s="990">
        <v>34294501</v>
      </c>
      <c r="I390" s="990">
        <v>0</v>
      </c>
      <c r="J390" s="990">
        <v>0</v>
      </c>
      <c r="K390" s="990">
        <v>0</v>
      </c>
      <c r="L390" s="990">
        <v>0</v>
      </c>
      <c r="M390" s="990">
        <v>0</v>
      </c>
      <c r="N390" s="994">
        <v>0</v>
      </c>
      <c r="O390" s="994">
        <v>0</v>
      </c>
      <c r="P390" s="990">
        <v>34294501</v>
      </c>
      <c r="Q390" s="990">
        <v>0</v>
      </c>
      <c r="R390" s="991">
        <v>43314458</v>
      </c>
      <c r="S390" s="992">
        <v>0</v>
      </c>
    </row>
    <row r="391" spans="1:19" ht="33.75" x14ac:dyDescent="0.25">
      <c r="A391" s="989" t="s">
        <v>4956</v>
      </c>
      <c r="B391" s="989" t="s">
        <v>1783</v>
      </c>
      <c r="C391" s="989" t="s">
        <v>4976</v>
      </c>
      <c r="D391" s="989" t="s">
        <v>4976</v>
      </c>
      <c r="E391" s="989" t="s">
        <v>5061</v>
      </c>
      <c r="F391" s="990">
        <v>0</v>
      </c>
      <c r="G391" s="990">
        <v>0</v>
      </c>
      <c r="H391" s="990">
        <v>0</v>
      </c>
      <c r="I391" s="990">
        <v>0</v>
      </c>
      <c r="J391" s="990">
        <v>0</v>
      </c>
      <c r="K391" s="990">
        <v>0</v>
      </c>
      <c r="L391" s="990">
        <v>0</v>
      </c>
      <c r="M391" s="990">
        <v>0</v>
      </c>
      <c r="N391" s="994">
        <v>42926384</v>
      </c>
      <c r="O391" s="994">
        <v>111749</v>
      </c>
      <c r="P391" s="990">
        <v>0</v>
      </c>
      <c r="Q391" s="990">
        <v>0</v>
      </c>
      <c r="R391" s="991">
        <v>0</v>
      </c>
      <c r="S391" s="992">
        <v>0</v>
      </c>
    </row>
    <row r="392" spans="1:19" ht="33.75" x14ac:dyDescent="0.25">
      <c r="A392" s="989" t="s">
        <v>4956</v>
      </c>
      <c r="B392" s="989" t="s">
        <v>1783</v>
      </c>
      <c r="C392" s="989" t="s">
        <v>316</v>
      </c>
      <c r="D392" s="989" t="s">
        <v>316</v>
      </c>
      <c r="E392" s="989" t="s">
        <v>1805</v>
      </c>
      <c r="F392" s="990">
        <v>4174106</v>
      </c>
      <c r="G392" s="990">
        <v>0</v>
      </c>
      <c r="H392" s="990">
        <v>97894957</v>
      </c>
      <c r="I392" s="990">
        <v>0</v>
      </c>
      <c r="J392" s="990">
        <v>0</v>
      </c>
      <c r="K392" s="990">
        <v>0</v>
      </c>
      <c r="L392" s="990">
        <v>0</v>
      </c>
      <c r="M392" s="990">
        <v>0</v>
      </c>
      <c r="N392" s="994">
        <v>0</v>
      </c>
      <c r="O392" s="994">
        <v>0</v>
      </c>
      <c r="P392" s="990">
        <v>97894957</v>
      </c>
      <c r="Q392" s="990">
        <v>0</v>
      </c>
      <c r="R392" s="991">
        <v>102069063</v>
      </c>
      <c r="S392" s="992">
        <v>0</v>
      </c>
    </row>
    <row r="393" spans="1:19" ht="33.75" x14ac:dyDescent="0.25">
      <c r="A393" s="989" t="s">
        <v>4956</v>
      </c>
      <c r="B393" s="989" t="s">
        <v>1783</v>
      </c>
      <c r="C393" s="989" t="s">
        <v>1733</v>
      </c>
      <c r="D393" s="989" t="s">
        <v>325</v>
      </c>
      <c r="E393" s="989" t="s">
        <v>1807</v>
      </c>
      <c r="F393" s="990">
        <v>21084</v>
      </c>
      <c r="G393" s="990">
        <v>59</v>
      </c>
      <c r="H393" s="990">
        <v>215757</v>
      </c>
      <c r="I393" s="990">
        <v>599</v>
      </c>
      <c r="J393" s="990">
        <v>0</v>
      </c>
      <c r="K393" s="990">
        <v>0</v>
      </c>
      <c r="L393" s="990">
        <v>0</v>
      </c>
      <c r="M393" s="990">
        <v>0</v>
      </c>
      <c r="N393" s="994">
        <v>0</v>
      </c>
      <c r="O393" s="994">
        <v>0</v>
      </c>
      <c r="P393" s="990">
        <v>215757</v>
      </c>
      <c r="Q393" s="990">
        <v>599</v>
      </c>
      <c r="R393" s="991">
        <v>236841</v>
      </c>
      <c r="S393" s="992">
        <v>658</v>
      </c>
    </row>
    <row r="394" spans="1:19" ht="33.75" x14ac:dyDescent="0.25">
      <c r="A394" s="989" t="s">
        <v>4956</v>
      </c>
      <c r="B394" s="989" t="s">
        <v>1783</v>
      </c>
      <c r="C394" s="989" t="s">
        <v>1730</v>
      </c>
      <c r="D394" s="989" t="s">
        <v>341</v>
      </c>
      <c r="E394" s="989" t="s">
        <v>1808</v>
      </c>
      <c r="F394" s="990">
        <v>2631835</v>
      </c>
      <c r="G394" s="990">
        <v>7351</v>
      </c>
      <c r="H394" s="990">
        <v>0</v>
      </c>
      <c r="I394" s="990">
        <v>0</v>
      </c>
      <c r="J394" s="990">
        <v>0</v>
      </c>
      <c r="K394" s="990">
        <v>0</v>
      </c>
      <c r="L394" s="990">
        <v>0</v>
      </c>
      <c r="M394" s="990">
        <v>0</v>
      </c>
      <c r="N394" s="994">
        <v>0</v>
      </c>
      <c r="O394" s="994">
        <v>0</v>
      </c>
      <c r="P394" s="990">
        <v>0</v>
      </c>
      <c r="Q394" s="990">
        <v>0</v>
      </c>
      <c r="R394" s="991">
        <v>2631835</v>
      </c>
      <c r="S394" s="992">
        <v>7351</v>
      </c>
    </row>
    <row r="395" spans="1:19" ht="33.75" x14ac:dyDescent="0.25">
      <c r="A395" s="989" t="s">
        <v>4956</v>
      </c>
      <c r="B395" s="989" t="s">
        <v>1783</v>
      </c>
      <c r="C395" s="989" t="s">
        <v>1734</v>
      </c>
      <c r="D395" s="989" t="s">
        <v>343</v>
      </c>
      <c r="E395" s="989" t="s">
        <v>1806</v>
      </c>
      <c r="F395" s="990">
        <v>96192</v>
      </c>
      <c r="G395" s="990">
        <v>0</v>
      </c>
      <c r="H395" s="990">
        <v>671247</v>
      </c>
      <c r="I395" s="990">
        <v>0</v>
      </c>
      <c r="J395" s="990">
        <v>0</v>
      </c>
      <c r="K395" s="990">
        <v>0</v>
      </c>
      <c r="L395" s="990">
        <v>0</v>
      </c>
      <c r="M395" s="990">
        <v>0</v>
      </c>
      <c r="N395" s="994">
        <v>0</v>
      </c>
      <c r="O395" s="994">
        <v>0</v>
      </c>
      <c r="P395" s="990">
        <v>671247</v>
      </c>
      <c r="Q395" s="990">
        <v>0</v>
      </c>
      <c r="R395" s="991">
        <v>767439</v>
      </c>
      <c r="S395" s="992">
        <v>0</v>
      </c>
    </row>
    <row r="396" spans="1:19" ht="45" x14ac:dyDescent="0.25">
      <c r="A396" s="989" t="s">
        <v>4956</v>
      </c>
      <c r="B396" s="989" t="s">
        <v>1784</v>
      </c>
      <c r="C396" s="989" t="s">
        <v>1726</v>
      </c>
      <c r="D396" s="989" t="s">
        <v>257</v>
      </c>
      <c r="E396" s="989" t="s">
        <v>2096</v>
      </c>
      <c r="F396" s="990">
        <v>0</v>
      </c>
      <c r="G396" s="990">
        <v>0</v>
      </c>
      <c r="H396" s="990">
        <v>0</v>
      </c>
      <c r="I396" s="990">
        <v>0</v>
      </c>
      <c r="J396" s="990">
        <v>80122968</v>
      </c>
      <c r="K396" s="990">
        <v>195585</v>
      </c>
      <c r="L396" s="990">
        <v>0</v>
      </c>
      <c r="M396" s="990">
        <v>0</v>
      </c>
      <c r="N396" s="994">
        <v>0</v>
      </c>
      <c r="O396" s="994">
        <v>0</v>
      </c>
      <c r="P396" s="990">
        <v>80122968</v>
      </c>
      <c r="Q396" s="990">
        <v>195585</v>
      </c>
      <c r="R396" s="991">
        <v>80122968</v>
      </c>
      <c r="S396" s="992">
        <v>195585</v>
      </c>
    </row>
    <row r="397" spans="1:19" ht="45" x14ac:dyDescent="0.25">
      <c r="A397" s="989" t="s">
        <v>4956</v>
      </c>
      <c r="B397" s="989" t="s">
        <v>1784</v>
      </c>
      <c r="C397" s="989" t="s">
        <v>1726</v>
      </c>
      <c r="D397" s="989" t="s">
        <v>281</v>
      </c>
      <c r="E397" s="989" t="s">
        <v>2097</v>
      </c>
      <c r="F397" s="990">
        <v>51765651</v>
      </c>
      <c r="G397" s="990">
        <v>132025</v>
      </c>
      <c r="H397" s="990">
        <v>96900459</v>
      </c>
      <c r="I397" s="990">
        <v>256359</v>
      </c>
      <c r="J397" s="990">
        <v>176327149</v>
      </c>
      <c r="K397" s="990">
        <v>455805</v>
      </c>
      <c r="L397" s="990">
        <v>7037828</v>
      </c>
      <c r="M397" s="990">
        <v>12794</v>
      </c>
      <c r="N397" s="994">
        <v>0</v>
      </c>
      <c r="O397" s="994">
        <v>0</v>
      </c>
      <c r="P397" s="990">
        <v>280265436</v>
      </c>
      <c r="Q397" s="990">
        <v>724958</v>
      </c>
      <c r="R397" s="991">
        <v>332031087</v>
      </c>
      <c r="S397" s="992">
        <v>856983</v>
      </c>
    </row>
    <row r="398" spans="1:19" ht="22.5" x14ac:dyDescent="0.25">
      <c r="A398" s="989" t="s">
        <v>4956</v>
      </c>
      <c r="B398" s="989" t="s">
        <v>1784</v>
      </c>
      <c r="C398" s="989" t="s">
        <v>297</v>
      </c>
      <c r="D398" s="989" t="s">
        <v>297</v>
      </c>
      <c r="E398" s="989" t="s">
        <v>2098</v>
      </c>
      <c r="F398" s="990">
        <v>23492535</v>
      </c>
      <c r="G398" s="990">
        <v>0</v>
      </c>
      <c r="H398" s="990">
        <v>105147626</v>
      </c>
      <c r="I398" s="990">
        <v>0</v>
      </c>
      <c r="J398" s="990">
        <v>0</v>
      </c>
      <c r="K398" s="990">
        <v>0</v>
      </c>
      <c r="L398" s="990">
        <v>0</v>
      </c>
      <c r="M398" s="990">
        <v>0</v>
      </c>
      <c r="N398" s="994">
        <v>0</v>
      </c>
      <c r="O398" s="994">
        <v>0</v>
      </c>
      <c r="P398" s="990">
        <v>105147626</v>
      </c>
      <c r="Q398" s="990">
        <v>0</v>
      </c>
      <c r="R398" s="991">
        <v>128640161</v>
      </c>
      <c r="S398" s="992">
        <v>0</v>
      </c>
    </row>
    <row r="399" spans="1:19" ht="22.5" x14ac:dyDescent="0.25">
      <c r="A399" s="989" t="s">
        <v>4956</v>
      </c>
      <c r="B399" s="989" t="s">
        <v>1784</v>
      </c>
      <c r="C399" s="989" t="s">
        <v>1732</v>
      </c>
      <c r="D399" s="989" t="s">
        <v>306</v>
      </c>
      <c r="E399" s="989" t="s">
        <v>2099</v>
      </c>
      <c r="F399" s="990">
        <v>37536243</v>
      </c>
      <c r="G399" s="990">
        <v>96875</v>
      </c>
      <c r="H399" s="990">
        <v>0</v>
      </c>
      <c r="I399" s="990">
        <v>0</v>
      </c>
      <c r="J399" s="990">
        <v>0</v>
      </c>
      <c r="K399" s="990">
        <v>0</v>
      </c>
      <c r="L399" s="990">
        <v>0</v>
      </c>
      <c r="M399" s="990">
        <v>0</v>
      </c>
      <c r="N399" s="994">
        <v>0</v>
      </c>
      <c r="O399" s="994">
        <v>0</v>
      </c>
      <c r="P399" s="990">
        <v>0</v>
      </c>
      <c r="Q399" s="990">
        <v>0</v>
      </c>
      <c r="R399" s="991">
        <v>37536243</v>
      </c>
      <c r="S399" s="992">
        <v>96875</v>
      </c>
    </row>
    <row r="400" spans="1:19" ht="22.5" x14ac:dyDescent="0.25">
      <c r="A400" s="989" t="s">
        <v>4956</v>
      </c>
      <c r="B400" s="989" t="s">
        <v>1784</v>
      </c>
      <c r="C400" s="989" t="s">
        <v>4976</v>
      </c>
      <c r="D400" s="989" t="s">
        <v>4976</v>
      </c>
      <c r="E400" s="989" t="s">
        <v>5062</v>
      </c>
      <c r="F400" s="990">
        <v>0</v>
      </c>
      <c r="G400" s="990">
        <v>0</v>
      </c>
      <c r="H400" s="990">
        <v>0</v>
      </c>
      <c r="I400" s="990">
        <v>0</v>
      </c>
      <c r="J400" s="990">
        <v>0</v>
      </c>
      <c r="K400" s="990">
        <v>0</v>
      </c>
      <c r="L400" s="990">
        <v>0</v>
      </c>
      <c r="M400" s="990">
        <v>0</v>
      </c>
      <c r="N400" s="994">
        <v>67594544</v>
      </c>
      <c r="O400" s="994">
        <v>149891</v>
      </c>
      <c r="P400" s="990">
        <v>0</v>
      </c>
      <c r="Q400" s="990">
        <v>0</v>
      </c>
      <c r="R400" s="991">
        <v>0</v>
      </c>
      <c r="S400" s="992">
        <v>0</v>
      </c>
    </row>
    <row r="401" spans="1:19" ht="22.5" x14ac:dyDescent="0.25">
      <c r="A401" s="989" t="s">
        <v>4956</v>
      </c>
      <c r="B401" s="989" t="s">
        <v>1784</v>
      </c>
      <c r="C401" s="989" t="s">
        <v>316</v>
      </c>
      <c r="D401" s="989" t="s">
        <v>316</v>
      </c>
      <c r="E401" s="989" t="s">
        <v>2100</v>
      </c>
      <c r="F401" s="990">
        <v>21640519</v>
      </c>
      <c r="G401" s="990">
        <v>0</v>
      </c>
      <c r="H401" s="990">
        <v>430482854</v>
      </c>
      <c r="I401" s="990">
        <v>0</v>
      </c>
      <c r="J401" s="990">
        <v>0</v>
      </c>
      <c r="K401" s="990">
        <v>0</v>
      </c>
      <c r="L401" s="990">
        <v>0</v>
      </c>
      <c r="M401" s="990">
        <v>0</v>
      </c>
      <c r="N401" s="994">
        <v>0</v>
      </c>
      <c r="O401" s="994">
        <v>0</v>
      </c>
      <c r="P401" s="990">
        <v>430482854</v>
      </c>
      <c r="Q401" s="990">
        <v>0</v>
      </c>
      <c r="R401" s="991">
        <v>452123373</v>
      </c>
      <c r="S401" s="992">
        <v>0</v>
      </c>
    </row>
    <row r="402" spans="1:19" ht="33.75" x14ac:dyDescent="0.25">
      <c r="A402" s="989" t="s">
        <v>4956</v>
      </c>
      <c r="B402" s="989" t="s">
        <v>1784</v>
      </c>
      <c r="C402" s="989" t="s">
        <v>1733</v>
      </c>
      <c r="D402" s="989" t="s">
        <v>325</v>
      </c>
      <c r="E402" s="989" t="s">
        <v>2101</v>
      </c>
      <c r="F402" s="990">
        <v>0</v>
      </c>
      <c r="G402" s="990">
        <v>0</v>
      </c>
      <c r="H402" s="990">
        <v>31630</v>
      </c>
      <c r="I402" s="990">
        <v>0</v>
      </c>
      <c r="J402" s="990">
        <v>0</v>
      </c>
      <c r="K402" s="990">
        <v>0</v>
      </c>
      <c r="L402" s="990">
        <v>0</v>
      </c>
      <c r="M402" s="990">
        <v>0</v>
      </c>
      <c r="N402" s="994">
        <v>0</v>
      </c>
      <c r="O402" s="994">
        <v>0</v>
      </c>
      <c r="P402" s="990">
        <v>31630</v>
      </c>
      <c r="Q402" s="990">
        <v>0</v>
      </c>
      <c r="R402" s="991">
        <v>31630</v>
      </c>
      <c r="S402" s="992">
        <v>0</v>
      </c>
    </row>
    <row r="403" spans="1:19" ht="22.5" x14ac:dyDescent="0.25">
      <c r="A403" s="989" t="s">
        <v>4956</v>
      </c>
      <c r="B403" s="989" t="s">
        <v>1784</v>
      </c>
      <c r="C403" s="989" t="s">
        <v>1730</v>
      </c>
      <c r="D403" s="989" t="s">
        <v>341</v>
      </c>
      <c r="E403" s="989" t="s">
        <v>2102</v>
      </c>
      <c r="F403" s="990">
        <v>0</v>
      </c>
      <c r="G403" s="990">
        <v>0</v>
      </c>
      <c r="H403" s="990">
        <v>0</v>
      </c>
      <c r="I403" s="990">
        <v>0</v>
      </c>
      <c r="J403" s="990">
        <v>4988074</v>
      </c>
      <c r="K403" s="990">
        <v>34320</v>
      </c>
      <c r="L403" s="990">
        <v>0</v>
      </c>
      <c r="M403" s="990">
        <v>0</v>
      </c>
      <c r="N403" s="994">
        <v>0</v>
      </c>
      <c r="O403" s="994">
        <v>0</v>
      </c>
      <c r="P403" s="990">
        <v>4988074</v>
      </c>
      <c r="Q403" s="990">
        <v>34320</v>
      </c>
      <c r="R403" s="991">
        <v>4988074</v>
      </c>
      <c r="S403" s="992">
        <v>34320</v>
      </c>
    </row>
    <row r="404" spans="1:19" ht="33.75" x14ac:dyDescent="0.25">
      <c r="A404" s="989" t="s">
        <v>4956</v>
      </c>
      <c r="B404" s="989" t="s">
        <v>1784</v>
      </c>
      <c r="C404" s="989" t="s">
        <v>1734</v>
      </c>
      <c r="D404" s="989" t="s">
        <v>343</v>
      </c>
      <c r="E404" s="989" t="s">
        <v>2103</v>
      </c>
      <c r="F404" s="990">
        <v>502</v>
      </c>
      <c r="G404" s="990">
        <v>0</v>
      </c>
      <c r="H404" s="990">
        <v>820785</v>
      </c>
      <c r="I404" s="990">
        <v>0</v>
      </c>
      <c r="J404" s="990">
        <v>0</v>
      </c>
      <c r="K404" s="990">
        <v>0</v>
      </c>
      <c r="L404" s="990">
        <v>0</v>
      </c>
      <c r="M404" s="990">
        <v>0</v>
      </c>
      <c r="N404" s="994">
        <v>0</v>
      </c>
      <c r="O404" s="994">
        <v>0</v>
      </c>
      <c r="P404" s="990">
        <v>820785</v>
      </c>
      <c r="Q404" s="990">
        <v>0</v>
      </c>
      <c r="R404" s="991">
        <v>821287</v>
      </c>
      <c r="S404" s="992">
        <v>0</v>
      </c>
    </row>
    <row r="405" spans="1:19" ht="45" x14ac:dyDescent="0.25">
      <c r="A405" s="989" t="s">
        <v>4956</v>
      </c>
      <c r="B405" s="989" t="s">
        <v>1785</v>
      </c>
      <c r="C405" s="989" t="s">
        <v>1726</v>
      </c>
      <c r="D405" s="989" t="s">
        <v>277</v>
      </c>
      <c r="E405" s="989" t="s">
        <v>2104</v>
      </c>
      <c r="F405" s="990">
        <v>15760605</v>
      </c>
      <c r="G405" s="990">
        <v>28673</v>
      </c>
      <c r="H405" s="990">
        <v>14281444</v>
      </c>
      <c r="I405" s="990">
        <v>39425.519999999997</v>
      </c>
      <c r="J405" s="990">
        <v>40787300</v>
      </c>
      <c r="K405" s="990">
        <v>150570.21</v>
      </c>
      <c r="L405" s="990">
        <v>0</v>
      </c>
      <c r="M405" s="990">
        <v>0</v>
      </c>
      <c r="N405" s="994">
        <v>0</v>
      </c>
      <c r="O405" s="994">
        <v>0</v>
      </c>
      <c r="P405" s="990">
        <v>55068744</v>
      </c>
      <c r="Q405" s="990">
        <v>189995.73</v>
      </c>
      <c r="R405" s="991">
        <v>70829349</v>
      </c>
      <c r="S405" s="992">
        <v>218668.93</v>
      </c>
    </row>
    <row r="406" spans="1:19" ht="22.5" x14ac:dyDescent="0.25">
      <c r="A406" s="989" t="s">
        <v>4956</v>
      </c>
      <c r="B406" s="989" t="s">
        <v>1785</v>
      </c>
      <c r="C406" s="989" t="s">
        <v>297</v>
      </c>
      <c r="D406" s="989" t="s">
        <v>297</v>
      </c>
      <c r="E406" s="989" t="s">
        <v>2105</v>
      </c>
      <c r="F406" s="990">
        <v>4251428</v>
      </c>
      <c r="G406" s="990">
        <v>0</v>
      </c>
      <c r="H406" s="990">
        <v>24599068</v>
      </c>
      <c r="I406" s="990">
        <v>0</v>
      </c>
      <c r="J406" s="990">
        <v>22037</v>
      </c>
      <c r="K406" s="990">
        <v>0</v>
      </c>
      <c r="L406" s="990">
        <v>0</v>
      </c>
      <c r="M406" s="990">
        <v>0</v>
      </c>
      <c r="N406" s="994">
        <v>0</v>
      </c>
      <c r="O406" s="994">
        <v>0</v>
      </c>
      <c r="P406" s="990">
        <v>24621105</v>
      </c>
      <c r="Q406" s="990">
        <v>0</v>
      </c>
      <c r="R406" s="991">
        <v>28872533</v>
      </c>
      <c r="S406" s="992">
        <v>0</v>
      </c>
    </row>
    <row r="407" spans="1:19" ht="22.5" x14ac:dyDescent="0.25">
      <c r="A407" s="989" t="s">
        <v>4956</v>
      </c>
      <c r="B407" s="989" t="s">
        <v>1785</v>
      </c>
      <c r="C407" s="989" t="s">
        <v>4976</v>
      </c>
      <c r="D407" s="989" t="s">
        <v>4976</v>
      </c>
      <c r="E407" s="989" t="s">
        <v>5063</v>
      </c>
      <c r="F407" s="990">
        <v>0</v>
      </c>
      <c r="G407" s="990">
        <v>0</v>
      </c>
      <c r="H407" s="990">
        <v>0</v>
      </c>
      <c r="I407" s="990">
        <v>0</v>
      </c>
      <c r="J407" s="990">
        <v>0</v>
      </c>
      <c r="K407" s="990">
        <v>0</v>
      </c>
      <c r="L407" s="990">
        <v>0</v>
      </c>
      <c r="M407" s="990">
        <v>0</v>
      </c>
      <c r="N407" s="994">
        <v>0</v>
      </c>
      <c r="O407" s="994">
        <v>0</v>
      </c>
      <c r="P407" s="990">
        <v>0</v>
      </c>
      <c r="Q407" s="990">
        <v>0</v>
      </c>
      <c r="R407" s="991">
        <v>0</v>
      </c>
      <c r="S407" s="992">
        <v>0</v>
      </c>
    </row>
    <row r="408" spans="1:19" ht="22.5" x14ac:dyDescent="0.25">
      <c r="A408" s="989" t="s">
        <v>4956</v>
      </c>
      <c r="B408" s="989" t="s">
        <v>1785</v>
      </c>
      <c r="C408" s="989" t="s">
        <v>316</v>
      </c>
      <c r="D408" s="989" t="s">
        <v>316</v>
      </c>
      <c r="E408" s="989" t="s">
        <v>2106</v>
      </c>
      <c r="F408" s="990">
        <v>1956946</v>
      </c>
      <c r="G408" s="990">
        <v>0</v>
      </c>
      <c r="H408" s="990">
        <v>74162571.019999996</v>
      </c>
      <c r="I408" s="990">
        <v>0</v>
      </c>
      <c r="J408" s="990">
        <v>0</v>
      </c>
      <c r="K408" s="990">
        <v>0</v>
      </c>
      <c r="L408" s="990">
        <v>0</v>
      </c>
      <c r="M408" s="990">
        <v>0</v>
      </c>
      <c r="N408" s="994">
        <v>0</v>
      </c>
      <c r="O408" s="994">
        <v>0</v>
      </c>
      <c r="P408" s="990">
        <v>74162571.019999996</v>
      </c>
      <c r="Q408" s="990">
        <v>0</v>
      </c>
      <c r="R408" s="991">
        <v>76119517.019999996</v>
      </c>
      <c r="S408" s="992">
        <v>0</v>
      </c>
    </row>
    <row r="409" spans="1:19" ht="33.75" x14ac:dyDescent="0.25">
      <c r="A409" s="989" t="s">
        <v>4956</v>
      </c>
      <c r="B409" s="989" t="s">
        <v>1785</v>
      </c>
      <c r="C409" s="989" t="s">
        <v>1733</v>
      </c>
      <c r="D409" s="989" t="s">
        <v>325</v>
      </c>
      <c r="E409" s="989" t="s">
        <v>2107</v>
      </c>
      <c r="F409" s="990">
        <v>432</v>
      </c>
      <c r="G409" s="990">
        <v>0</v>
      </c>
      <c r="H409" s="990">
        <v>155081</v>
      </c>
      <c r="I409" s="990">
        <v>545.78</v>
      </c>
      <c r="J409" s="990">
        <v>48168</v>
      </c>
      <c r="K409" s="990">
        <v>0</v>
      </c>
      <c r="L409" s="990">
        <v>0</v>
      </c>
      <c r="M409" s="990">
        <v>0</v>
      </c>
      <c r="N409" s="994">
        <v>0</v>
      </c>
      <c r="O409" s="994">
        <v>0</v>
      </c>
      <c r="P409" s="990">
        <v>203249</v>
      </c>
      <c r="Q409" s="990">
        <v>545.78</v>
      </c>
      <c r="R409" s="991">
        <v>203681</v>
      </c>
      <c r="S409" s="992">
        <v>545.78</v>
      </c>
    </row>
    <row r="410" spans="1:19" ht="22.5" x14ac:dyDescent="0.25">
      <c r="A410" s="989" t="s">
        <v>4956</v>
      </c>
      <c r="B410" s="989" t="s">
        <v>1785</v>
      </c>
      <c r="C410" s="989" t="s">
        <v>1730</v>
      </c>
      <c r="D410" s="989" t="s">
        <v>341</v>
      </c>
      <c r="E410" s="989" t="s">
        <v>2108</v>
      </c>
      <c r="F410" s="990">
        <v>399551</v>
      </c>
      <c r="G410" s="990">
        <v>1111</v>
      </c>
      <c r="H410" s="990">
        <v>146414</v>
      </c>
      <c r="I410" s="990">
        <v>398.11</v>
      </c>
      <c r="J410" s="990">
        <v>751617</v>
      </c>
      <c r="K410" s="990">
        <v>2099.16</v>
      </c>
      <c r="L410" s="990">
        <v>0</v>
      </c>
      <c r="M410" s="990">
        <v>0</v>
      </c>
      <c r="N410" s="994">
        <v>0</v>
      </c>
      <c r="O410" s="994">
        <v>0</v>
      </c>
      <c r="P410" s="990">
        <v>898031</v>
      </c>
      <c r="Q410" s="990">
        <v>2497.27</v>
      </c>
      <c r="R410" s="991">
        <v>1297582</v>
      </c>
      <c r="S410" s="992">
        <v>3608.47</v>
      </c>
    </row>
    <row r="411" spans="1:19" ht="33.75" x14ac:dyDescent="0.25">
      <c r="A411" s="989" t="s">
        <v>4956</v>
      </c>
      <c r="B411" s="989" t="s">
        <v>1785</v>
      </c>
      <c r="C411" s="989" t="s">
        <v>1734</v>
      </c>
      <c r="D411" s="989" t="s">
        <v>343</v>
      </c>
      <c r="E411" s="989" t="s">
        <v>2109</v>
      </c>
      <c r="F411" s="990">
        <v>25008</v>
      </c>
      <c r="G411" s="990">
        <v>0</v>
      </c>
      <c r="H411" s="990">
        <v>586511</v>
      </c>
      <c r="I411" s="990">
        <v>0</v>
      </c>
      <c r="J411" s="990">
        <v>0</v>
      </c>
      <c r="K411" s="990">
        <v>0</v>
      </c>
      <c r="L411" s="990">
        <v>0</v>
      </c>
      <c r="M411" s="990">
        <v>0</v>
      </c>
      <c r="N411" s="994">
        <v>0</v>
      </c>
      <c r="O411" s="994">
        <v>0</v>
      </c>
      <c r="P411" s="990">
        <v>586511</v>
      </c>
      <c r="Q411" s="990">
        <v>0</v>
      </c>
      <c r="R411" s="991">
        <v>611519</v>
      </c>
      <c r="S411" s="992">
        <v>0</v>
      </c>
    </row>
    <row r="412" spans="1:19" ht="45" x14ac:dyDescent="0.25">
      <c r="A412" s="989" t="s">
        <v>4956</v>
      </c>
      <c r="B412" s="989" t="s">
        <v>1786</v>
      </c>
      <c r="C412" s="989" t="s">
        <v>1726</v>
      </c>
      <c r="D412" s="989" t="s">
        <v>277</v>
      </c>
      <c r="E412" s="989" t="s">
        <v>2110</v>
      </c>
      <c r="F412" s="990">
        <v>64728186</v>
      </c>
      <c r="G412" s="990">
        <v>174655</v>
      </c>
      <c r="H412" s="990">
        <v>71966460</v>
      </c>
      <c r="I412" s="990">
        <v>101081</v>
      </c>
      <c r="J412" s="990">
        <v>181514314</v>
      </c>
      <c r="K412" s="990">
        <v>504547</v>
      </c>
      <c r="L412" s="990">
        <v>0</v>
      </c>
      <c r="M412" s="990">
        <v>5698</v>
      </c>
      <c r="N412" s="994">
        <v>0</v>
      </c>
      <c r="O412" s="994">
        <v>0</v>
      </c>
      <c r="P412" s="990">
        <v>253480774</v>
      </c>
      <c r="Q412" s="990">
        <v>611326</v>
      </c>
      <c r="R412" s="991">
        <v>318208960</v>
      </c>
      <c r="S412" s="992">
        <v>785981</v>
      </c>
    </row>
    <row r="413" spans="1:19" ht="33.75" x14ac:dyDescent="0.25">
      <c r="A413" s="989" t="s">
        <v>4956</v>
      </c>
      <c r="B413" s="989" t="s">
        <v>1786</v>
      </c>
      <c r="C413" s="989" t="s">
        <v>297</v>
      </c>
      <c r="D413" s="989" t="s">
        <v>297</v>
      </c>
      <c r="E413" s="989" t="s">
        <v>2111</v>
      </c>
      <c r="F413" s="990">
        <v>17317689</v>
      </c>
      <c r="G413" s="990">
        <v>0</v>
      </c>
      <c r="H413" s="990">
        <v>96316729</v>
      </c>
      <c r="I413" s="990">
        <v>0</v>
      </c>
      <c r="J413" s="990">
        <v>550794</v>
      </c>
      <c r="K413" s="990">
        <v>0</v>
      </c>
      <c r="L413" s="990">
        <v>0</v>
      </c>
      <c r="M413" s="990">
        <v>0</v>
      </c>
      <c r="N413" s="994">
        <v>0</v>
      </c>
      <c r="O413" s="994">
        <v>0</v>
      </c>
      <c r="P413" s="990">
        <v>96867523</v>
      </c>
      <c r="Q413" s="990">
        <v>0</v>
      </c>
      <c r="R413" s="991">
        <v>114185212</v>
      </c>
      <c r="S413" s="992">
        <v>0</v>
      </c>
    </row>
    <row r="414" spans="1:19" ht="33.75" x14ac:dyDescent="0.25">
      <c r="A414" s="989" t="s">
        <v>4956</v>
      </c>
      <c r="B414" s="989" t="s">
        <v>1786</v>
      </c>
      <c r="C414" s="989" t="s">
        <v>1732</v>
      </c>
      <c r="D414" s="989" t="s">
        <v>306</v>
      </c>
      <c r="E414" s="989" t="s">
        <v>2112</v>
      </c>
      <c r="F414" s="990">
        <v>37030000</v>
      </c>
      <c r="G414" s="990">
        <v>95076</v>
      </c>
      <c r="H414" s="990">
        <v>0</v>
      </c>
      <c r="I414" s="990">
        <v>0</v>
      </c>
      <c r="J414" s="990">
        <v>13023045</v>
      </c>
      <c r="K414" s="990">
        <v>16146</v>
      </c>
      <c r="L414" s="990">
        <v>0</v>
      </c>
      <c r="M414" s="990">
        <v>0</v>
      </c>
      <c r="N414" s="994">
        <v>0</v>
      </c>
      <c r="O414" s="994">
        <v>0</v>
      </c>
      <c r="P414" s="990">
        <v>13023045</v>
      </c>
      <c r="Q414" s="990">
        <v>16146</v>
      </c>
      <c r="R414" s="991">
        <v>50053045</v>
      </c>
      <c r="S414" s="992">
        <v>111222</v>
      </c>
    </row>
    <row r="415" spans="1:19" ht="33.75" x14ac:dyDescent="0.25">
      <c r="A415" s="989" t="s">
        <v>4956</v>
      </c>
      <c r="B415" s="989" t="s">
        <v>1786</v>
      </c>
      <c r="C415" s="989" t="s">
        <v>4976</v>
      </c>
      <c r="D415" s="989" t="s">
        <v>4976</v>
      </c>
      <c r="E415" s="989" t="s">
        <v>5064</v>
      </c>
      <c r="F415" s="990">
        <v>0</v>
      </c>
      <c r="G415" s="990">
        <v>0</v>
      </c>
      <c r="H415" s="990">
        <v>0</v>
      </c>
      <c r="I415" s="990">
        <v>0</v>
      </c>
      <c r="J415" s="990">
        <v>0</v>
      </c>
      <c r="K415" s="990">
        <v>0</v>
      </c>
      <c r="L415" s="990">
        <v>0</v>
      </c>
      <c r="M415" s="990">
        <v>0</v>
      </c>
      <c r="N415" s="994">
        <v>112820304</v>
      </c>
      <c r="O415" s="994">
        <v>202403</v>
      </c>
      <c r="P415" s="990">
        <v>0</v>
      </c>
      <c r="Q415" s="990">
        <v>0</v>
      </c>
      <c r="R415" s="991">
        <v>0</v>
      </c>
      <c r="S415" s="992">
        <v>0</v>
      </c>
    </row>
    <row r="416" spans="1:19" ht="33.75" x14ac:dyDescent="0.25">
      <c r="A416" s="989" t="s">
        <v>4956</v>
      </c>
      <c r="B416" s="989" t="s">
        <v>1786</v>
      </c>
      <c r="C416" s="989" t="s">
        <v>316</v>
      </c>
      <c r="D416" s="989" t="s">
        <v>316</v>
      </c>
      <c r="E416" s="989" t="s">
        <v>2113</v>
      </c>
      <c r="F416" s="990">
        <v>7361129</v>
      </c>
      <c r="G416" s="990">
        <v>0</v>
      </c>
      <c r="H416" s="990">
        <v>263062599</v>
      </c>
      <c r="I416" s="990">
        <v>0</v>
      </c>
      <c r="J416" s="990">
        <v>0</v>
      </c>
      <c r="K416" s="990">
        <v>0</v>
      </c>
      <c r="L416" s="990">
        <v>0</v>
      </c>
      <c r="M416" s="990">
        <v>0</v>
      </c>
      <c r="N416" s="994">
        <v>0</v>
      </c>
      <c r="O416" s="994">
        <v>0</v>
      </c>
      <c r="P416" s="990">
        <v>263062599</v>
      </c>
      <c r="Q416" s="990">
        <v>0</v>
      </c>
      <c r="R416" s="991">
        <v>270423728</v>
      </c>
      <c r="S416" s="992">
        <v>0</v>
      </c>
    </row>
    <row r="417" spans="1:19" ht="33.75" x14ac:dyDescent="0.25">
      <c r="A417" s="989" t="s">
        <v>4956</v>
      </c>
      <c r="B417" s="989" t="s">
        <v>1786</v>
      </c>
      <c r="C417" s="989" t="s">
        <v>1733</v>
      </c>
      <c r="D417" s="989" t="s">
        <v>325</v>
      </c>
      <c r="E417" s="989" t="s">
        <v>2114</v>
      </c>
      <c r="F417" s="990">
        <v>198629</v>
      </c>
      <c r="G417" s="990">
        <v>559</v>
      </c>
      <c r="H417" s="990">
        <v>457471</v>
      </c>
      <c r="I417" s="990">
        <v>1286</v>
      </c>
      <c r="J417" s="990">
        <v>0</v>
      </c>
      <c r="K417" s="990">
        <v>0</v>
      </c>
      <c r="L417" s="990">
        <v>0</v>
      </c>
      <c r="M417" s="990">
        <v>0</v>
      </c>
      <c r="N417" s="994">
        <v>0</v>
      </c>
      <c r="O417" s="994">
        <v>0</v>
      </c>
      <c r="P417" s="990">
        <v>457471</v>
      </c>
      <c r="Q417" s="990">
        <v>1286</v>
      </c>
      <c r="R417" s="991">
        <v>656100</v>
      </c>
      <c r="S417" s="992">
        <v>1845</v>
      </c>
    </row>
    <row r="418" spans="1:19" ht="33.75" x14ac:dyDescent="0.25">
      <c r="A418" s="989" t="s">
        <v>4956</v>
      </c>
      <c r="B418" s="989" t="s">
        <v>1786</v>
      </c>
      <c r="C418" s="989" t="s">
        <v>1730</v>
      </c>
      <c r="D418" s="989" t="s">
        <v>341</v>
      </c>
      <c r="E418" s="989" t="s">
        <v>2115</v>
      </c>
      <c r="F418" s="990">
        <v>5852844</v>
      </c>
      <c r="G418" s="990">
        <v>17579</v>
      </c>
      <c r="H418" s="990">
        <v>0</v>
      </c>
      <c r="I418" s="990">
        <v>0</v>
      </c>
      <c r="J418" s="990">
        <v>199806</v>
      </c>
      <c r="K418" s="990">
        <v>0</v>
      </c>
      <c r="L418" s="990">
        <v>0</v>
      </c>
      <c r="M418" s="990">
        <v>0</v>
      </c>
      <c r="N418" s="994">
        <v>0</v>
      </c>
      <c r="O418" s="994">
        <v>0</v>
      </c>
      <c r="P418" s="990">
        <v>199806</v>
      </c>
      <c r="Q418" s="990">
        <v>0</v>
      </c>
      <c r="R418" s="991">
        <v>6052650</v>
      </c>
      <c r="S418" s="992">
        <v>17579</v>
      </c>
    </row>
    <row r="419" spans="1:19" ht="33.75" x14ac:dyDescent="0.25">
      <c r="A419" s="989" t="s">
        <v>4956</v>
      </c>
      <c r="B419" s="989" t="s">
        <v>1786</v>
      </c>
      <c r="C419" s="989" t="s">
        <v>1734</v>
      </c>
      <c r="D419" s="989" t="s">
        <v>343</v>
      </c>
      <c r="E419" s="989" t="s">
        <v>2116</v>
      </c>
      <c r="F419" s="990">
        <v>1902719</v>
      </c>
      <c r="G419" s="990">
        <v>0</v>
      </c>
      <c r="H419" s="990">
        <v>131706</v>
      </c>
      <c r="I419" s="990">
        <v>0</v>
      </c>
      <c r="J419" s="990">
        <v>48638</v>
      </c>
      <c r="K419" s="990">
        <v>0</v>
      </c>
      <c r="L419" s="990">
        <v>0</v>
      </c>
      <c r="M419" s="990">
        <v>0</v>
      </c>
      <c r="N419" s="994">
        <v>0</v>
      </c>
      <c r="O419" s="994">
        <v>0</v>
      </c>
      <c r="P419" s="990">
        <v>180344</v>
      </c>
      <c r="Q419" s="990">
        <v>0</v>
      </c>
      <c r="R419" s="991">
        <v>2083063</v>
      </c>
      <c r="S419" s="992">
        <v>0</v>
      </c>
    </row>
    <row r="420" spans="1:19" ht="45" x14ac:dyDescent="0.25">
      <c r="A420" s="989" t="s">
        <v>4956</v>
      </c>
      <c r="B420" s="989" t="s">
        <v>1787</v>
      </c>
      <c r="C420" s="989" t="s">
        <v>1726</v>
      </c>
      <c r="D420" s="989" t="s">
        <v>277</v>
      </c>
      <c r="E420" s="989" t="s">
        <v>2117</v>
      </c>
      <c r="F420" s="990">
        <v>42706742.359999999</v>
      </c>
      <c r="G420" s="990">
        <v>94384</v>
      </c>
      <c r="H420" s="990">
        <v>41868856.630000003</v>
      </c>
      <c r="I420" s="990">
        <v>124827.68</v>
      </c>
      <c r="J420" s="990">
        <v>160590776.81999999</v>
      </c>
      <c r="K420" s="990">
        <v>391552.31</v>
      </c>
      <c r="L420" s="990">
        <v>0</v>
      </c>
      <c r="M420" s="990">
        <v>0</v>
      </c>
      <c r="N420" s="994">
        <v>0</v>
      </c>
      <c r="O420" s="994">
        <v>0</v>
      </c>
      <c r="P420" s="990">
        <v>202459633.44999999</v>
      </c>
      <c r="Q420" s="990">
        <v>516379.99</v>
      </c>
      <c r="R420" s="991">
        <v>245166375.81</v>
      </c>
      <c r="S420" s="992">
        <v>610764.07999999996</v>
      </c>
    </row>
    <row r="421" spans="1:19" ht="22.5" x14ac:dyDescent="0.25">
      <c r="A421" s="989" t="s">
        <v>4956</v>
      </c>
      <c r="B421" s="989" t="s">
        <v>1787</v>
      </c>
      <c r="C421" s="989" t="s">
        <v>297</v>
      </c>
      <c r="D421" s="989" t="s">
        <v>297</v>
      </c>
      <c r="E421" s="989" t="s">
        <v>2118</v>
      </c>
      <c r="F421" s="990">
        <v>15224267.720000001</v>
      </c>
      <c r="G421" s="990">
        <v>0</v>
      </c>
      <c r="H421" s="990">
        <v>75803728.129999995</v>
      </c>
      <c r="I421" s="990">
        <v>0</v>
      </c>
      <c r="J421" s="990">
        <v>7999.37</v>
      </c>
      <c r="K421" s="990">
        <v>0</v>
      </c>
      <c r="L421" s="990">
        <v>0</v>
      </c>
      <c r="M421" s="990">
        <v>0</v>
      </c>
      <c r="N421" s="994">
        <v>0</v>
      </c>
      <c r="O421" s="994">
        <v>0</v>
      </c>
      <c r="P421" s="990">
        <v>75811727.5</v>
      </c>
      <c r="Q421" s="990">
        <v>0</v>
      </c>
      <c r="R421" s="991">
        <v>91035995.219999999</v>
      </c>
      <c r="S421" s="992">
        <v>0</v>
      </c>
    </row>
    <row r="422" spans="1:19" ht="22.5" x14ac:dyDescent="0.25">
      <c r="A422" s="989" t="s">
        <v>4956</v>
      </c>
      <c r="B422" s="989" t="s">
        <v>1787</v>
      </c>
      <c r="C422" s="989" t="s">
        <v>4976</v>
      </c>
      <c r="D422" s="989" t="s">
        <v>4976</v>
      </c>
      <c r="E422" s="989" t="s">
        <v>5065</v>
      </c>
      <c r="F422" s="990">
        <v>0</v>
      </c>
      <c r="G422" s="990">
        <v>0</v>
      </c>
      <c r="H422" s="990">
        <v>0</v>
      </c>
      <c r="I422" s="990">
        <v>0</v>
      </c>
      <c r="J422" s="990">
        <v>0</v>
      </c>
      <c r="K422" s="990">
        <v>0</v>
      </c>
      <c r="L422" s="990">
        <v>0</v>
      </c>
      <c r="M422" s="990">
        <v>0</v>
      </c>
      <c r="N422" s="994">
        <v>13841829</v>
      </c>
      <c r="O422" s="994">
        <v>24617</v>
      </c>
      <c r="P422" s="990">
        <v>0</v>
      </c>
      <c r="Q422" s="990">
        <v>0</v>
      </c>
      <c r="R422" s="991">
        <v>0</v>
      </c>
      <c r="S422" s="992">
        <v>0</v>
      </c>
    </row>
    <row r="423" spans="1:19" ht="22.5" x14ac:dyDescent="0.25">
      <c r="A423" s="989" t="s">
        <v>4956</v>
      </c>
      <c r="B423" s="989" t="s">
        <v>1787</v>
      </c>
      <c r="C423" s="989" t="s">
        <v>316</v>
      </c>
      <c r="D423" s="989" t="s">
        <v>316</v>
      </c>
      <c r="E423" s="989" t="s">
        <v>2119</v>
      </c>
      <c r="F423" s="990">
        <v>10397717.74</v>
      </c>
      <c r="G423" s="990">
        <v>0</v>
      </c>
      <c r="H423" s="990">
        <v>272412829.64999998</v>
      </c>
      <c r="I423" s="990">
        <v>0</v>
      </c>
      <c r="J423" s="990">
        <v>9999.5400000000009</v>
      </c>
      <c r="K423" s="990">
        <v>0</v>
      </c>
      <c r="L423" s="990">
        <v>0</v>
      </c>
      <c r="M423" s="990">
        <v>0</v>
      </c>
      <c r="N423" s="994">
        <v>0</v>
      </c>
      <c r="O423" s="994">
        <v>0</v>
      </c>
      <c r="P423" s="990">
        <v>272422829.19</v>
      </c>
      <c r="Q423" s="990">
        <v>0</v>
      </c>
      <c r="R423" s="991">
        <v>282820546.93000001</v>
      </c>
      <c r="S423" s="992">
        <v>0</v>
      </c>
    </row>
    <row r="424" spans="1:19" ht="33.75" x14ac:dyDescent="0.25">
      <c r="A424" s="989" t="s">
        <v>4956</v>
      </c>
      <c r="B424" s="989" t="s">
        <v>1787</v>
      </c>
      <c r="C424" s="989" t="s">
        <v>1733</v>
      </c>
      <c r="D424" s="989" t="s">
        <v>325</v>
      </c>
      <c r="E424" s="989" t="s">
        <v>2120</v>
      </c>
      <c r="F424" s="990">
        <v>0</v>
      </c>
      <c r="G424" s="990">
        <v>0</v>
      </c>
      <c r="H424" s="990">
        <v>213661.18</v>
      </c>
      <c r="I424" s="990">
        <v>619.23</v>
      </c>
      <c r="J424" s="990">
        <v>0</v>
      </c>
      <c r="K424" s="990">
        <v>0</v>
      </c>
      <c r="L424" s="990">
        <v>0</v>
      </c>
      <c r="M424" s="990">
        <v>0</v>
      </c>
      <c r="N424" s="994">
        <v>0</v>
      </c>
      <c r="O424" s="994">
        <v>0</v>
      </c>
      <c r="P424" s="990">
        <v>213661.18</v>
      </c>
      <c r="Q424" s="990">
        <v>619.23</v>
      </c>
      <c r="R424" s="991">
        <v>213661.18</v>
      </c>
      <c r="S424" s="992">
        <v>619.23</v>
      </c>
    </row>
    <row r="425" spans="1:19" ht="22.5" x14ac:dyDescent="0.25">
      <c r="A425" s="989" t="s">
        <v>4956</v>
      </c>
      <c r="B425" s="989" t="s">
        <v>1787</v>
      </c>
      <c r="C425" s="989" t="s">
        <v>1730</v>
      </c>
      <c r="D425" s="989" t="s">
        <v>341</v>
      </c>
      <c r="E425" s="989" t="s">
        <v>2121</v>
      </c>
      <c r="F425" s="990">
        <v>0</v>
      </c>
      <c r="G425" s="990">
        <v>0</v>
      </c>
      <c r="H425" s="990">
        <v>127064.04</v>
      </c>
      <c r="I425" s="990">
        <v>372.07</v>
      </c>
      <c r="J425" s="990">
        <v>2271157.2799999998</v>
      </c>
      <c r="K425" s="990">
        <v>6658.07</v>
      </c>
      <c r="L425" s="990">
        <v>0</v>
      </c>
      <c r="M425" s="990">
        <v>0</v>
      </c>
      <c r="N425" s="994">
        <v>0</v>
      </c>
      <c r="O425" s="994">
        <v>0</v>
      </c>
      <c r="P425" s="990">
        <v>2398221.3199999998</v>
      </c>
      <c r="Q425" s="990">
        <v>7030.14</v>
      </c>
      <c r="R425" s="991">
        <v>2398221.3199999998</v>
      </c>
      <c r="S425" s="992">
        <v>7030.14</v>
      </c>
    </row>
    <row r="426" spans="1:19" ht="33.75" x14ac:dyDescent="0.25">
      <c r="A426" s="989" t="s">
        <v>4956</v>
      </c>
      <c r="B426" s="989" t="s">
        <v>1787</v>
      </c>
      <c r="C426" s="989" t="s">
        <v>1734</v>
      </c>
      <c r="D426" s="989" t="s">
        <v>343</v>
      </c>
      <c r="E426" s="989" t="s">
        <v>2122</v>
      </c>
      <c r="F426" s="990">
        <v>0</v>
      </c>
      <c r="G426" s="990">
        <v>0</v>
      </c>
      <c r="H426" s="990">
        <v>907712.87</v>
      </c>
      <c r="I426" s="990">
        <v>0</v>
      </c>
      <c r="J426" s="990">
        <v>0</v>
      </c>
      <c r="K426" s="990">
        <v>0</v>
      </c>
      <c r="L426" s="990">
        <v>0</v>
      </c>
      <c r="M426" s="990">
        <v>0</v>
      </c>
      <c r="N426" s="994">
        <v>0</v>
      </c>
      <c r="O426" s="994">
        <v>0</v>
      </c>
      <c r="P426" s="990">
        <v>907712.87</v>
      </c>
      <c r="Q426" s="990">
        <v>0</v>
      </c>
      <c r="R426" s="991">
        <v>907712.87</v>
      </c>
      <c r="S426" s="992">
        <v>0</v>
      </c>
    </row>
    <row r="427" spans="1:19" ht="45" x14ac:dyDescent="0.25">
      <c r="A427" s="989" t="s">
        <v>4956</v>
      </c>
      <c r="B427" s="989" t="s">
        <v>1788</v>
      </c>
      <c r="C427" s="989" t="s">
        <v>1726</v>
      </c>
      <c r="D427" s="989" t="s">
        <v>277</v>
      </c>
      <c r="E427" s="989" t="s">
        <v>2123</v>
      </c>
      <c r="F427" s="990">
        <v>5267367</v>
      </c>
      <c r="G427" s="990">
        <v>11075</v>
      </c>
      <c r="H427" s="990">
        <v>4175633</v>
      </c>
      <c r="I427" s="990">
        <v>0</v>
      </c>
      <c r="J427" s="990">
        <v>35377170</v>
      </c>
      <c r="K427" s="990">
        <v>103218</v>
      </c>
      <c r="L427" s="990">
        <v>0</v>
      </c>
      <c r="M427" s="990">
        <v>0</v>
      </c>
      <c r="N427" s="994">
        <v>0</v>
      </c>
      <c r="O427" s="994">
        <v>0</v>
      </c>
      <c r="P427" s="990">
        <v>39552803</v>
      </c>
      <c r="Q427" s="990">
        <v>103218</v>
      </c>
      <c r="R427" s="991">
        <v>44820170</v>
      </c>
      <c r="S427" s="992">
        <v>114293</v>
      </c>
    </row>
    <row r="428" spans="1:19" ht="22.5" x14ac:dyDescent="0.25">
      <c r="A428" s="989" t="s">
        <v>4956</v>
      </c>
      <c r="B428" s="989" t="s">
        <v>1788</v>
      </c>
      <c r="C428" s="989" t="s">
        <v>297</v>
      </c>
      <c r="D428" s="989" t="s">
        <v>297</v>
      </c>
      <c r="E428" s="989" t="s">
        <v>2124</v>
      </c>
      <c r="F428" s="990">
        <v>2044066</v>
      </c>
      <c r="G428" s="990">
        <v>0</v>
      </c>
      <c r="H428" s="990">
        <v>8863725</v>
      </c>
      <c r="I428" s="990">
        <v>0</v>
      </c>
      <c r="J428" s="990">
        <v>0</v>
      </c>
      <c r="K428" s="990">
        <v>0</v>
      </c>
      <c r="L428" s="990">
        <v>0</v>
      </c>
      <c r="M428" s="990">
        <v>0</v>
      </c>
      <c r="N428" s="994">
        <v>0</v>
      </c>
      <c r="O428" s="994">
        <v>0</v>
      </c>
      <c r="P428" s="990">
        <v>8863725</v>
      </c>
      <c r="Q428" s="990">
        <v>0</v>
      </c>
      <c r="R428" s="991">
        <v>10907791</v>
      </c>
      <c r="S428" s="992">
        <v>0</v>
      </c>
    </row>
    <row r="429" spans="1:19" ht="22.5" x14ac:dyDescent="0.25">
      <c r="A429" s="989" t="s">
        <v>4956</v>
      </c>
      <c r="B429" s="989" t="s">
        <v>1788</v>
      </c>
      <c r="C429" s="989" t="s">
        <v>4976</v>
      </c>
      <c r="D429" s="989" t="s">
        <v>4976</v>
      </c>
      <c r="E429" s="989" t="s">
        <v>5066</v>
      </c>
      <c r="F429" s="990">
        <v>0</v>
      </c>
      <c r="G429" s="990">
        <v>0</v>
      </c>
      <c r="H429" s="990">
        <v>0</v>
      </c>
      <c r="I429" s="990">
        <v>0</v>
      </c>
      <c r="J429" s="990">
        <v>0</v>
      </c>
      <c r="K429" s="990">
        <v>0</v>
      </c>
      <c r="L429" s="990">
        <v>0</v>
      </c>
      <c r="M429" s="990">
        <v>0</v>
      </c>
      <c r="N429" s="994">
        <v>6097514.5</v>
      </c>
      <c r="O429" s="994">
        <v>11612.5</v>
      </c>
      <c r="P429" s="990">
        <v>0</v>
      </c>
      <c r="Q429" s="990">
        <v>0</v>
      </c>
      <c r="R429" s="991">
        <v>0</v>
      </c>
      <c r="S429" s="992">
        <v>0</v>
      </c>
    </row>
    <row r="430" spans="1:19" ht="22.5" x14ac:dyDescent="0.25">
      <c r="A430" s="989" t="s">
        <v>4956</v>
      </c>
      <c r="B430" s="989" t="s">
        <v>1788</v>
      </c>
      <c r="C430" s="989" t="s">
        <v>316</v>
      </c>
      <c r="D430" s="989" t="s">
        <v>316</v>
      </c>
      <c r="E430" s="989" t="s">
        <v>2125</v>
      </c>
      <c r="F430" s="990">
        <v>651485</v>
      </c>
      <c r="G430" s="990">
        <v>0</v>
      </c>
      <c r="H430" s="990">
        <v>27493590</v>
      </c>
      <c r="I430" s="990">
        <v>0</v>
      </c>
      <c r="J430" s="990">
        <v>6133</v>
      </c>
      <c r="K430" s="990">
        <v>0</v>
      </c>
      <c r="L430" s="990">
        <v>0</v>
      </c>
      <c r="M430" s="990">
        <v>0</v>
      </c>
      <c r="N430" s="994">
        <v>0</v>
      </c>
      <c r="O430" s="994">
        <v>0</v>
      </c>
      <c r="P430" s="990">
        <v>27499723</v>
      </c>
      <c r="Q430" s="990">
        <v>0</v>
      </c>
      <c r="R430" s="991">
        <v>28151208</v>
      </c>
      <c r="S430" s="992">
        <v>0</v>
      </c>
    </row>
    <row r="431" spans="1:19" ht="22.5" x14ac:dyDescent="0.25">
      <c r="A431" s="989" t="s">
        <v>4956</v>
      </c>
      <c r="B431" s="989" t="s">
        <v>1788</v>
      </c>
      <c r="C431" s="989" t="s">
        <v>1730</v>
      </c>
      <c r="D431" s="989" t="s">
        <v>341</v>
      </c>
      <c r="E431" s="989" t="s">
        <v>2126</v>
      </c>
      <c r="F431" s="990">
        <v>0</v>
      </c>
      <c r="G431" s="990">
        <v>0</v>
      </c>
      <c r="H431" s="990">
        <v>0</v>
      </c>
      <c r="I431" s="990">
        <v>0</v>
      </c>
      <c r="J431" s="990">
        <v>1123681</v>
      </c>
      <c r="K431" s="990">
        <v>3117</v>
      </c>
      <c r="L431" s="990">
        <v>0</v>
      </c>
      <c r="M431" s="990">
        <v>0</v>
      </c>
      <c r="N431" s="994">
        <v>0</v>
      </c>
      <c r="O431" s="994">
        <v>0</v>
      </c>
      <c r="P431" s="990">
        <v>1123681</v>
      </c>
      <c r="Q431" s="990">
        <v>3117</v>
      </c>
      <c r="R431" s="991">
        <v>1123681</v>
      </c>
      <c r="S431" s="992">
        <v>3117</v>
      </c>
    </row>
    <row r="432" spans="1:19" ht="33.75" x14ac:dyDescent="0.25">
      <c r="A432" s="989" t="s">
        <v>4956</v>
      </c>
      <c r="B432" s="989" t="s">
        <v>1788</v>
      </c>
      <c r="C432" s="989" t="s">
        <v>1734</v>
      </c>
      <c r="D432" s="989" t="s">
        <v>343</v>
      </c>
      <c r="E432" s="989" t="s">
        <v>2127</v>
      </c>
      <c r="F432" s="990">
        <v>0</v>
      </c>
      <c r="G432" s="990">
        <v>0</v>
      </c>
      <c r="H432" s="990">
        <v>0</v>
      </c>
      <c r="I432" s="990">
        <v>0</v>
      </c>
      <c r="J432" s="990">
        <v>161875</v>
      </c>
      <c r="K432" s="990">
        <v>0</v>
      </c>
      <c r="L432" s="990">
        <v>0</v>
      </c>
      <c r="M432" s="990">
        <v>0</v>
      </c>
      <c r="N432" s="994">
        <v>0</v>
      </c>
      <c r="O432" s="994">
        <v>0</v>
      </c>
      <c r="P432" s="990">
        <v>161875</v>
      </c>
      <c r="Q432" s="990">
        <v>0</v>
      </c>
      <c r="R432" s="991">
        <v>161875</v>
      </c>
      <c r="S432" s="992">
        <v>0</v>
      </c>
    </row>
    <row r="433" spans="1:19" ht="45" x14ac:dyDescent="0.25">
      <c r="A433" s="989" t="s">
        <v>4956</v>
      </c>
      <c r="B433" s="989" t="s">
        <v>1789</v>
      </c>
      <c r="C433" s="989" t="s">
        <v>1726</v>
      </c>
      <c r="D433" s="989" t="s">
        <v>277</v>
      </c>
      <c r="E433" s="989" t="s">
        <v>2128</v>
      </c>
      <c r="F433" s="990">
        <v>3959279</v>
      </c>
      <c r="G433" s="990">
        <v>11649</v>
      </c>
      <c r="H433" s="990">
        <v>2048515</v>
      </c>
      <c r="I433" s="990">
        <v>5740.88</v>
      </c>
      <c r="J433" s="990">
        <v>32278884</v>
      </c>
      <c r="K433" s="990">
        <v>94313.57</v>
      </c>
      <c r="L433" s="990">
        <v>0</v>
      </c>
      <c r="M433" s="990">
        <v>0</v>
      </c>
      <c r="N433" s="994">
        <v>0</v>
      </c>
      <c r="O433" s="994">
        <v>0</v>
      </c>
      <c r="P433" s="990">
        <v>34327399</v>
      </c>
      <c r="Q433" s="990">
        <v>100054.45</v>
      </c>
      <c r="R433" s="991">
        <v>38286678</v>
      </c>
      <c r="S433" s="992">
        <v>111704.2</v>
      </c>
    </row>
    <row r="434" spans="1:19" ht="22.5" x14ac:dyDescent="0.25">
      <c r="A434" s="989" t="s">
        <v>4956</v>
      </c>
      <c r="B434" s="989" t="s">
        <v>1789</v>
      </c>
      <c r="C434" s="989" t="s">
        <v>297</v>
      </c>
      <c r="D434" s="989" t="s">
        <v>297</v>
      </c>
      <c r="E434" s="989" t="s">
        <v>2129</v>
      </c>
      <c r="F434" s="990">
        <v>2980954</v>
      </c>
      <c r="G434" s="990">
        <v>0</v>
      </c>
      <c r="H434" s="990">
        <v>16835469</v>
      </c>
      <c r="I434" s="990">
        <v>0</v>
      </c>
      <c r="J434" s="990">
        <v>0</v>
      </c>
      <c r="K434" s="990">
        <v>0</v>
      </c>
      <c r="L434" s="990">
        <v>0</v>
      </c>
      <c r="M434" s="990">
        <v>0</v>
      </c>
      <c r="N434" s="994">
        <v>0</v>
      </c>
      <c r="O434" s="994">
        <v>0</v>
      </c>
      <c r="P434" s="990">
        <v>16835469</v>
      </c>
      <c r="Q434" s="990">
        <v>0</v>
      </c>
      <c r="R434" s="991">
        <v>19816423</v>
      </c>
      <c r="S434" s="992">
        <v>0</v>
      </c>
    </row>
    <row r="435" spans="1:19" ht="22.5" x14ac:dyDescent="0.25">
      <c r="A435" s="989" t="s">
        <v>4956</v>
      </c>
      <c r="B435" s="989" t="s">
        <v>1789</v>
      </c>
      <c r="C435" s="989" t="s">
        <v>4976</v>
      </c>
      <c r="D435" s="989" t="s">
        <v>4976</v>
      </c>
      <c r="E435" s="989" t="s">
        <v>5067</v>
      </c>
      <c r="F435" s="990">
        <v>0</v>
      </c>
      <c r="G435" s="990">
        <v>0</v>
      </c>
      <c r="H435" s="990">
        <v>0</v>
      </c>
      <c r="I435" s="990">
        <v>0</v>
      </c>
      <c r="J435" s="990">
        <v>0</v>
      </c>
      <c r="K435" s="990">
        <v>0</v>
      </c>
      <c r="L435" s="990">
        <v>0</v>
      </c>
      <c r="M435" s="990">
        <v>0</v>
      </c>
      <c r="N435" s="994">
        <v>2193596</v>
      </c>
      <c r="O435" s="994">
        <v>7375.60009765625</v>
      </c>
      <c r="P435" s="990">
        <v>0</v>
      </c>
      <c r="Q435" s="990">
        <v>0</v>
      </c>
      <c r="R435" s="991">
        <v>0</v>
      </c>
      <c r="S435" s="992">
        <v>0</v>
      </c>
    </row>
    <row r="436" spans="1:19" ht="22.5" x14ac:dyDescent="0.25">
      <c r="A436" s="989" t="s">
        <v>4956</v>
      </c>
      <c r="B436" s="989" t="s">
        <v>1789</v>
      </c>
      <c r="C436" s="989" t="s">
        <v>316</v>
      </c>
      <c r="D436" s="989" t="s">
        <v>316</v>
      </c>
      <c r="E436" s="989" t="s">
        <v>2130</v>
      </c>
      <c r="F436" s="990">
        <v>1206252</v>
      </c>
      <c r="G436" s="990">
        <v>0</v>
      </c>
      <c r="H436" s="990">
        <v>38173283</v>
      </c>
      <c r="I436" s="990">
        <v>0</v>
      </c>
      <c r="J436" s="990">
        <v>0</v>
      </c>
      <c r="K436" s="990">
        <v>0</v>
      </c>
      <c r="L436" s="990">
        <v>0</v>
      </c>
      <c r="M436" s="990">
        <v>0</v>
      </c>
      <c r="N436" s="994">
        <v>0</v>
      </c>
      <c r="O436" s="994">
        <v>0</v>
      </c>
      <c r="P436" s="990">
        <v>38173283</v>
      </c>
      <c r="Q436" s="990">
        <v>0</v>
      </c>
      <c r="R436" s="991">
        <v>39379535</v>
      </c>
      <c r="S436" s="992">
        <v>0</v>
      </c>
    </row>
    <row r="437" spans="1:19" ht="33.75" x14ac:dyDescent="0.25">
      <c r="A437" s="989" t="s">
        <v>4956</v>
      </c>
      <c r="B437" s="989" t="s">
        <v>1789</v>
      </c>
      <c r="C437" s="989" t="s">
        <v>1733</v>
      </c>
      <c r="D437" s="989" t="s">
        <v>325</v>
      </c>
      <c r="E437" s="989" t="s">
        <v>2131</v>
      </c>
      <c r="F437" s="990">
        <v>2645</v>
      </c>
      <c r="G437" s="990">
        <v>7</v>
      </c>
      <c r="H437" s="990">
        <v>97261</v>
      </c>
      <c r="I437" s="990">
        <v>290.76</v>
      </c>
      <c r="J437" s="990">
        <v>0</v>
      </c>
      <c r="K437" s="990">
        <v>0</v>
      </c>
      <c r="L437" s="990">
        <v>0</v>
      </c>
      <c r="M437" s="990">
        <v>0</v>
      </c>
      <c r="N437" s="994">
        <v>0</v>
      </c>
      <c r="O437" s="994">
        <v>0</v>
      </c>
      <c r="P437" s="990">
        <v>97261</v>
      </c>
      <c r="Q437" s="990">
        <v>290.76</v>
      </c>
      <c r="R437" s="991">
        <v>99906</v>
      </c>
      <c r="S437" s="992">
        <v>298.11</v>
      </c>
    </row>
    <row r="438" spans="1:19" ht="22.5" x14ac:dyDescent="0.25">
      <c r="A438" s="989" t="s">
        <v>4956</v>
      </c>
      <c r="B438" s="989" t="s">
        <v>1789</v>
      </c>
      <c r="C438" s="989" t="s">
        <v>1730</v>
      </c>
      <c r="D438" s="989" t="s">
        <v>341</v>
      </c>
      <c r="E438" s="989" t="s">
        <v>2132</v>
      </c>
      <c r="F438" s="990">
        <v>71035</v>
      </c>
      <c r="G438" s="990">
        <v>192</v>
      </c>
      <c r="H438" s="990">
        <v>151619</v>
      </c>
      <c r="I438" s="990">
        <v>411.38</v>
      </c>
      <c r="J438" s="990">
        <v>494016</v>
      </c>
      <c r="K438" s="990">
        <v>1340.52</v>
      </c>
      <c r="L438" s="990">
        <v>0</v>
      </c>
      <c r="M438" s="990">
        <v>0</v>
      </c>
      <c r="N438" s="994">
        <v>0</v>
      </c>
      <c r="O438" s="994">
        <v>0</v>
      </c>
      <c r="P438" s="990">
        <v>645635</v>
      </c>
      <c r="Q438" s="990">
        <v>1751.9</v>
      </c>
      <c r="R438" s="991">
        <v>716670</v>
      </c>
      <c r="S438" s="992">
        <v>1944.62</v>
      </c>
    </row>
    <row r="439" spans="1:19" ht="33.75" x14ac:dyDescent="0.25">
      <c r="A439" s="989" t="s">
        <v>4956</v>
      </c>
      <c r="B439" s="989" t="s">
        <v>1789</v>
      </c>
      <c r="C439" s="989" t="s">
        <v>1734</v>
      </c>
      <c r="D439" s="989" t="s">
        <v>343</v>
      </c>
      <c r="E439" s="989" t="s">
        <v>2133</v>
      </c>
      <c r="F439" s="990">
        <v>51612</v>
      </c>
      <c r="G439" s="990">
        <v>0</v>
      </c>
      <c r="H439" s="990">
        <v>487485</v>
      </c>
      <c r="I439" s="990">
        <v>0</v>
      </c>
      <c r="J439" s="990">
        <v>0</v>
      </c>
      <c r="K439" s="990">
        <v>0</v>
      </c>
      <c r="L439" s="990">
        <v>0</v>
      </c>
      <c r="M439" s="990">
        <v>0</v>
      </c>
      <c r="N439" s="994">
        <v>0</v>
      </c>
      <c r="O439" s="994">
        <v>0</v>
      </c>
      <c r="P439" s="990">
        <v>487485</v>
      </c>
      <c r="Q439" s="990">
        <v>0</v>
      </c>
      <c r="R439" s="991">
        <v>539097</v>
      </c>
      <c r="S439" s="992">
        <v>0</v>
      </c>
    </row>
    <row r="440" spans="1:19" ht="45" x14ac:dyDescent="0.25">
      <c r="A440" s="989" t="s">
        <v>4956</v>
      </c>
      <c r="B440" s="989" t="s">
        <v>1790</v>
      </c>
      <c r="C440" s="989" t="s">
        <v>1726</v>
      </c>
      <c r="D440" s="989" t="s">
        <v>277</v>
      </c>
      <c r="E440" s="989" t="s">
        <v>2134</v>
      </c>
      <c r="F440" s="990">
        <v>6821440</v>
      </c>
      <c r="G440" s="990">
        <v>0</v>
      </c>
      <c r="H440" s="990">
        <v>3971639.36</v>
      </c>
      <c r="I440" s="990">
        <v>12686.05</v>
      </c>
      <c r="J440" s="990">
        <v>16455436.300000001</v>
      </c>
      <c r="K440" s="990">
        <v>49682.96</v>
      </c>
      <c r="L440" s="990">
        <v>0</v>
      </c>
      <c r="M440" s="990">
        <v>0</v>
      </c>
      <c r="N440" s="994">
        <v>0</v>
      </c>
      <c r="O440" s="994">
        <v>0</v>
      </c>
      <c r="P440" s="990">
        <v>20427075.66</v>
      </c>
      <c r="Q440" s="990">
        <v>62369.01</v>
      </c>
      <c r="R440" s="991">
        <v>27248515.66</v>
      </c>
      <c r="S440" s="992">
        <v>62369.01</v>
      </c>
    </row>
    <row r="441" spans="1:19" ht="22.5" x14ac:dyDescent="0.25">
      <c r="A441" s="989" t="s">
        <v>4956</v>
      </c>
      <c r="B441" s="989" t="s">
        <v>1790</v>
      </c>
      <c r="C441" s="989" t="s">
        <v>297</v>
      </c>
      <c r="D441" s="989" t="s">
        <v>297</v>
      </c>
      <c r="E441" s="989" t="s">
        <v>2135</v>
      </c>
      <c r="F441" s="990">
        <v>1106822.45</v>
      </c>
      <c r="G441" s="990">
        <v>0</v>
      </c>
      <c r="H441" s="990">
        <v>11604437.699999999</v>
      </c>
      <c r="I441" s="990">
        <v>0</v>
      </c>
      <c r="J441" s="990">
        <v>0</v>
      </c>
      <c r="K441" s="990">
        <v>0</v>
      </c>
      <c r="L441" s="990">
        <v>0</v>
      </c>
      <c r="M441" s="990">
        <v>0</v>
      </c>
      <c r="N441" s="994">
        <v>0</v>
      </c>
      <c r="O441" s="994">
        <v>0</v>
      </c>
      <c r="P441" s="990">
        <v>11604437.699999999</v>
      </c>
      <c r="Q441" s="990">
        <v>0</v>
      </c>
      <c r="R441" s="991">
        <v>12711260.15</v>
      </c>
      <c r="S441" s="992">
        <v>0</v>
      </c>
    </row>
    <row r="442" spans="1:19" ht="22.5" x14ac:dyDescent="0.25">
      <c r="A442" s="989" t="s">
        <v>4956</v>
      </c>
      <c r="B442" s="989" t="s">
        <v>1790</v>
      </c>
      <c r="C442" s="989" t="s">
        <v>4976</v>
      </c>
      <c r="D442" s="989" t="s">
        <v>4976</v>
      </c>
      <c r="E442" s="989" t="s">
        <v>5068</v>
      </c>
      <c r="F442" s="990">
        <v>0</v>
      </c>
      <c r="G442" s="990">
        <v>0</v>
      </c>
      <c r="H442" s="990">
        <v>0</v>
      </c>
      <c r="I442" s="990">
        <v>0</v>
      </c>
      <c r="J442" s="990">
        <v>0</v>
      </c>
      <c r="K442" s="990">
        <v>0</v>
      </c>
      <c r="L442" s="990">
        <v>0</v>
      </c>
      <c r="M442" s="990">
        <v>0</v>
      </c>
      <c r="N442" s="994">
        <v>0</v>
      </c>
      <c r="O442" s="994">
        <v>0</v>
      </c>
      <c r="P442" s="990">
        <v>0</v>
      </c>
      <c r="Q442" s="990">
        <v>0</v>
      </c>
      <c r="R442" s="991">
        <v>0</v>
      </c>
      <c r="S442" s="992">
        <v>0</v>
      </c>
    </row>
    <row r="443" spans="1:19" ht="22.5" x14ac:dyDescent="0.25">
      <c r="A443" s="989" t="s">
        <v>4956</v>
      </c>
      <c r="B443" s="989" t="s">
        <v>1790</v>
      </c>
      <c r="C443" s="989" t="s">
        <v>316</v>
      </c>
      <c r="D443" s="989" t="s">
        <v>316</v>
      </c>
      <c r="E443" s="989" t="s">
        <v>2136</v>
      </c>
      <c r="F443" s="990">
        <v>429412.41</v>
      </c>
      <c r="G443" s="990">
        <v>0</v>
      </c>
      <c r="H443" s="990">
        <v>33481783.879999999</v>
      </c>
      <c r="I443" s="990">
        <v>0</v>
      </c>
      <c r="J443" s="990">
        <v>0</v>
      </c>
      <c r="K443" s="990">
        <v>0</v>
      </c>
      <c r="L443" s="990">
        <v>0</v>
      </c>
      <c r="M443" s="990">
        <v>0</v>
      </c>
      <c r="N443" s="994">
        <v>0</v>
      </c>
      <c r="O443" s="994">
        <v>0</v>
      </c>
      <c r="P443" s="990">
        <v>33481783.879999999</v>
      </c>
      <c r="Q443" s="990">
        <v>0</v>
      </c>
      <c r="R443" s="991">
        <v>33911196.289999999</v>
      </c>
      <c r="S443" s="992">
        <v>0</v>
      </c>
    </row>
    <row r="444" spans="1:19" ht="22.5" x14ac:dyDescent="0.25">
      <c r="A444" s="989" t="s">
        <v>4956</v>
      </c>
      <c r="B444" s="989" t="s">
        <v>1790</v>
      </c>
      <c r="C444" s="989" t="s">
        <v>1730</v>
      </c>
      <c r="D444" s="989" t="s">
        <v>341</v>
      </c>
      <c r="E444" s="989" t="s">
        <v>2137</v>
      </c>
      <c r="F444" s="990">
        <v>0</v>
      </c>
      <c r="G444" s="990">
        <v>0</v>
      </c>
      <c r="H444" s="990">
        <v>11175.57</v>
      </c>
      <c r="I444" s="990">
        <v>31.32</v>
      </c>
      <c r="J444" s="990">
        <v>150912.31</v>
      </c>
      <c r="K444" s="990">
        <v>390.73</v>
      </c>
      <c r="L444" s="990">
        <v>0</v>
      </c>
      <c r="M444" s="990">
        <v>0</v>
      </c>
      <c r="N444" s="994">
        <v>0</v>
      </c>
      <c r="O444" s="994">
        <v>0</v>
      </c>
      <c r="P444" s="990">
        <v>162087.88</v>
      </c>
      <c r="Q444" s="990">
        <v>422.05</v>
      </c>
      <c r="R444" s="991">
        <v>162087.88</v>
      </c>
      <c r="S444" s="992">
        <v>422.05</v>
      </c>
    </row>
    <row r="445" spans="1:19" ht="33.75" x14ac:dyDescent="0.25">
      <c r="A445" s="989" t="s">
        <v>4956</v>
      </c>
      <c r="B445" s="989" t="s">
        <v>1790</v>
      </c>
      <c r="C445" s="989" t="s">
        <v>1734</v>
      </c>
      <c r="D445" s="989" t="s">
        <v>343</v>
      </c>
      <c r="E445" s="989" t="s">
        <v>2138</v>
      </c>
      <c r="F445" s="990">
        <v>0</v>
      </c>
      <c r="G445" s="990">
        <v>0</v>
      </c>
      <c r="H445" s="990">
        <v>0</v>
      </c>
      <c r="I445" s="990">
        <v>0</v>
      </c>
      <c r="J445" s="990">
        <v>0</v>
      </c>
      <c r="K445" s="990">
        <v>0</v>
      </c>
      <c r="L445" s="990">
        <v>0</v>
      </c>
      <c r="M445" s="990">
        <v>0</v>
      </c>
      <c r="N445" s="994">
        <v>0</v>
      </c>
      <c r="O445" s="994">
        <v>0</v>
      </c>
      <c r="P445" s="990">
        <v>0</v>
      </c>
      <c r="Q445" s="990">
        <v>0</v>
      </c>
      <c r="R445" s="991">
        <v>0</v>
      </c>
      <c r="S445" s="992">
        <v>0</v>
      </c>
    </row>
    <row r="446" spans="1:19" ht="45" x14ac:dyDescent="0.25">
      <c r="A446" s="989" t="s">
        <v>4956</v>
      </c>
      <c r="B446" s="989" t="s">
        <v>1791</v>
      </c>
      <c r="C446" s="989" t="s">
        <v>1726</v>
      </c>
      <c r="D446" s="989" t="s">
        <v>277</v>
      </c>
      <c r="E446" s="989" t="s">
        <v>2439</v>
      </c>
      <c r="F446" s="990">
        <v>31715912.100000001</v>
      </c>
      <c r="G446" s="990">
        <v>71933</v>
      </c>
      <c r="H446" s="990">
        <v>7667189.5</v>
      </c>
      <c r="I446" s="990">
        <v>24921</v>
      </c>
      <c r="J446" s="990">
        <v>78024683.5</v>
      </c>
      <c r="K446" s="990">
        <v>200850.7</v>
      </c>
      <c r="L446" s="990">
        <v>3784934.75</v>
      </c>
      <c r="M446" s="990">
        <v>7228.330078125</v>
      </c>
      <c r="N446" s="994">
        <v>0</v>
      </c>
      <c r="O446" s="994">
        <v>0</v>
      </c>
      <c r="P446" s="990">
        <v>89476807.670000002</v>
      </c>
      <c r="Q446" s="990">
        <v>233000.03</v>
      </c>
      <c r="R446" s="991">
        <v>121192719.77</v>
      </c>
      <c r="S446" s="992">
        <v>304933.03000000003</v>
      </c>
    </row>
    <row r="447" spans="1:19" ht="22.5" x14ac:dyDescent="0.25">
      <c r="A447" s="989" t="s">
        <v>4956</v>
      </c>
      <c r="B447" s="989" t="s">
        <v>1791</v>
      </c>
      <c r="C447" s="989" t="s">
        <v>297</v>
      </c>
      <c r="D447" s="989" t="s">
        <v>297</v>
      </c>
      <c r="E447" s="989" t="s">
        <v>2139</v>
      </c>
      <c r="F447" s="990">
        <v>8128049</v>
      </c>
      <c r="G447" s="990">
        <v>0</v>
      </c>
      <c r="H447" s="990">
        <v>30083973.399999999</v>
      </c>
      <c r="I447" s="990">
        <v>0</v>
      </c>
      <c r="J447" s="990">
        <v>0</v>
      </c>
      <c r="K447" s="990">
        <v>0</v>
      </c>
      <c r="L447" s="990">
        <v>0</v>
      </c>
      <c r="M447" s="990">
        <v>0</v>
      </c>
      <c r="N447" s="994">
        <v>0</v>
      </c>
      <c r="O447" s="994">
        <v>0</v>
      </c>
      <c r="P447" s="990">
        <v>30083973.399999999</v>
      </c>
      <c r="Q447" s="990">
        <v>0</v>
      </c>
      <c r="R447" s="991">
        <v>38212022.399999999</v>
      </c>
      <c r="S447" s="992">
        <v>0</v>
      </c>
    </row>
    <row r="448" spans="1:19" ht="22.5" x14ac:dyDescent="0.25">
      <c r="A448" s="989" t="s">
        <v>4956</v>
      </c>
      <c r="B448" s="989" t="s">
        <v>1791</v>
      </c>
      <c r="C448" s="989" t="s">
        <v>4976</v>
      </c>
      <c r="D448" s="989" t="s">
        <v>4976</v>
      </c>
      <c r="E448" s="989" t="s">
        <v>5069</v>
      </c>
      <c r="F448" s="990">
        <v>0</v>
      </c>
      <c r="G448" s="990">
        <v>0</v>
      </c>
      <c r="H448" s="990">
        <v>0</v>
      </c>
      <c r="I448" s="990">
        <v>0</v>
      </c>
      <c r="J448" s="990">
        <v>0</v>
      </c>
      <c r="K448" s="990">
        <v>0</v>
      </c>
      <c r="L448" s="990">
        <v>0</v>
      </c>
      <c r="M448" s="990">
        <v>0</v>
      </c>
      <c r="N448" s="994">
        <v>21216894</v>
      </c>
      <c r="O448" s="994">
        <v>50308.9296875</v>
      </c>
      <c r="P448" s="990">
        <v>0</v>
      </c>
      <c r="Q448" s="990">
        <v>0</v>
      </c>
      <c r="R448" s="991">
        <v>0</v>
      </c>
      <c r="S448" s="992">
        <v>0</v>
      </c>
    </row>
    <row r="449" spans="1:19" ht="22.5" x14ac:dyDescent="0.25">
      <c r="A449" s="989" t="s">
        <v>4956</v>
      </c>
      <c r="B449" s="989" t="s">
        <v>1791</v>
      </c>
      <c r="C449" s="989" t="s">
        <v>316</v>
      </c>
      <c r="D449" s="989" t="s">
        <v>316</v>
      </c>
      <c r="E449" s="989" t="s">
        <v>2140</v>
      </c>
      <c r="F449" s="990">
        <v>7298027.2000000002</v>
      </c>
      <c r="G449" s="990">
        <v>0</v>
      </c>
      <c r="H449" s="990">
        <v>106741801.09999999</v>
      </c>
      <c r="I449" s="990">
        <v>0</v>
      </c>
      <c r="J449" s="990">
        <v>0</v>
      </c>
      <c r="K449" s="990">
        <v>0</v>
      </c>
      <c r="L449" s="990">
        <v>0</v>
      </c>
      <c r="M449" s="990">
        <v>0</v>
      </c>
      <c r="N449" s="994">
        <v>0</v>
      </c>
      <c r="O449" s="994">
        <v>0</v>
      </c>
      <c r="P449" s="990">
        <v>106741801.09999999</v>
      </c>
      <c r="Q449" s="990">
        <v>0</v>
      </c>
      <c r="R449" s="991">
        <v>114039828.3</v>
      </c>
      <c r="S449" s="992">
        <v>0</v>
      </c>
    </row>
    <row r="450" spans="1:19" ht="33.75" x14ac:dyDescent="0.25">
      <c r="A450" s="989" t="s">
        <v>4956</v>
      </c>
      <c r="B450" s="989" t="s">
        <v>1791</v>
      </c>
      <c r="C450" s="989" t="s">
        <v>1733</v>
      </c>
      <c r="D450" s="989" t="s">
        <v>325</v>
      </c>
      <c r="E450" s="989" t="s">
        <v>2141</v>
      </c>
      <c r="F450" s="990">
        <v>2492.6</v>
      </c>
      <c r="G450" s="990">
        <v>6</v>
      </c>
      <c r="H450" s="990">
        <v>48332.2</v>
      </c>
      <c r="I450" s="990">
        <v>134.26</v>
      </c>
      <c r="J450" s="990">
        <v>0</v>
      </c>
      <c r="K450" s="990">
        <v>0</v>
      </c>
      <c r="L450" s="990">
        <v>0</v>
      </c>
      <c r="M450" s="990">
        <v>0</v>
      </c>
      <c r="N450" s="994">
        <v>0</v>
      </c>
      <c r="O450" s="994">
        <v>0</v>
      </c>
      <c r="P450" s="990">
        <v>48332.2</v>
      </c>
      <c r="Q450" s="990">
        <v>134.26</v>
      </c>
      <c r="R450" s="991">
        <v>50824.800000000003</v>
      </c>
      <c r="S450" s="992">
        <v>141.16</v>
      </c>
    </row>
    <row r="451" spans="1:19" ht="22.5" x14ac:dyDescent="0.25">
      <c r="A451" s="989" t="s">
        <v>4956</v>
      </c>
      <c r="B451" s="989" t="s">
        <v>1791</v>
      </c>
      <c r="C451" s="989" t="s">
        <v>1730</v>
      </c>
      <c r="D451" s="989" t="s">
        <v>341</v>
      </c>
      <c r="E451" s="989" t="s">
        <v>2142</v>
      </c>
      <c r="F451" s="990">
        <v>0</v>
      </c>
      <c r="G451" s="990">
        <v>0</v>
      </c>
      <c r="H451" s="990">
        <v>2716.9</v>
      </c>
      <c r="I451" s="990">
        <v>7.6</v>
      </c>
      <c r="J451" s="990">
        <v>1805409.9</v>
      </c>
      <c r="K451" s="990">
        <v>5023.1000000000004</v>
      </c>
      <c r="L451" s="990">
        <v>0</v>
      </c>
      <c r="M451" s="990">
        <v>0</v>
      </c>
      <c r="N451" s="994">
        <v>0</v>
      </c>
      <c r="O451" s="994">
        <v>0</v>
      </c>
      <c r="P451" s="990">
        <v>1808126.8</v>
      </c>
      <c r="Q451" s="990">
        <v>5030.7</v>
      </c>
      <c r="R451" s="991">
        <v>1808126.8</v>
      </c>
      <c r="S451" s="992">
        <v>5030.7</v>
      </c>
    </row>
    <row r="452" spans="1:19" ht="45" x14ac:dyDescent="0.25">
      <c r="A452" s="989" t="s">
        <v>4956</v>
      </c>
      <c r="B452" s="989" t="s">
        <v>2982</v>
      </c>
      <c r="C452" s="989" t="s">
        <v>1726</v>
      </c>
      <c r="D452" s="989" t="s">
        <v>257</v>
      </c>
      <c r="E452" s="989" t="s">
        <v>2983</v>
      </c>
      <c r="F452" s="990">
        <v>17538371</v>
      </c>
      <c r="G452" s="990">
        <v>39690</v>
      </c>
      <c r="H452" s="990">
        <v>0</v>
      </c>
      <c r="I452" s="990">
        <v>0</v>
      </c>
      <c r="J452" s="990">
        <v>138728804</v>
      </c>
      <c r="K452" s="990">
        <v>458477</v>
      </c>
      <c r="L452" s="990">
        <v>0</v>
      </c>
      <c r="M452" s="990">
        <v>0</v>
      </c>
      <c r="N452" s="994">
        <v>0</v>
      </c>
      <c r="O452" s="994">
        <v>0</v>
      </c>
      <c r="P452" s="990">
        <v>138728804</v>
      </c>
      <c r="Q452" s="990">
        <v>458477</v>
      </c>
      <c r="R452" s="991">
        <v>156267175</v>
      </c>
      <c r="S452" s="992">
        <v>498167</v>
      </c>
    </row>
    <row r="453" spans="1:19" ht="45" x14ac:dyDescent="0.25">
      <c r="A453" s="989" t="s">
        <v>4956</v>
      </c>
      <c r="B453" s="989" t="s">
        <v>2982</v>
      </c>
      <c r="C453" s="989" t="s">
        <v>1726</v>
      </c>
      <c r="D453" s="989" t="s">
        <v>281</v>
      </c>
      <c r="E453" s="989" t="s">
        <v>2984</v>
      </c>
      <c r="F453" s="990">
        <v>54416121</v>
      </c>
      <c r="G453" s="990">
        <v>150122</v>
      </c>
      <c r="H453" s="990">
        <v>64661505</v>
      </c>
      <c r="I453" s="990">
        <v>182303</v>
      </c>
      <c r="J453" s="990">
        <v>145591946</v>
      </c>
      <c r="K453" s="990">
        <v>345141</v>
      </c>
      <c r="L453" s="990">
        <v>0</v>
      </c>
      <c r="M453" s="990">
        <v>0</v>
      </c>
      <c r="N453" s="994">
        <v>0</v>
      </c>
      <c r="O453" s="994">
        <v>0</v>
      </c>
      <c r="P453" s="990">
        <v>210253451</v>
      </c>
      <c r="Q453" s="990">
        <v>527444</v>
      </c>
      <c r="R453" s="991">
        <v>264669572</v>
      </c>
      <c r="S453" s="992">
        <v>677566</v>
      </c>
    </row>
    <row r="454" spans="1:19" ht="33.75" x14ac:dyDescent="0.25">
      <c r="A454" s="989" t="s">
        <v>4956</v>
      </c>
      <c r="B454" s="989" t="s">
        <v>2982</v>
      </c>
      <c r="C454" s="989" t="s">
        <v>297</v>
      </c>
      <c r="D454" s="989" t="s">
        <v>297</v>
      </c>
      <c r="E454" s="989" t="s">
        <v>2985</v>
      </c>
      <c r="F454" s="990">
        <v>18510946</v>
      </c>
      <c r="G454" s="990">
        <v>0</v>
      </c>
      <c r="H454" s="990">
        <v>120198127</v>
      </c>
      <c r="I454" s="990">
        <v>0</v>
      </c>
      <c r="J454" s="990">
        <v>0</v>
      </c>
      <c r="K454" s="990">
        <v>0</v>
      </c>
      <c r="L454" s="990">
        <v>0</v>
      </c>
      <c r="M454" s="990">
        <v>0</v>
      </c>
      <c r="N454" s="994">
        <v>0</v>
      </c>
      <c r="O454" s="994">
        <v>0</v>
      </c>
      <c r="P454" s="990">
        <v>120198127</v>
      </c>
      <c r="Q454" s="990">
        <v>0</v>
      </c>
      <c r="R454" s="991">
        <v>138709073</v>
      </c>
      <c r="S454" s="992">
        <v>0</v>
      </c>
    </row>
    <row r="455" spans="1:19" ht="33.75" x14ac:dyDescent="0.25">
      <c r="A455" s="989" t="s">
        <v>4956</v>
      </c>
      <c r="B455" s="989" t="s">
        <v>2982</v>
      </c>
      <c r="C455" s="989" t="s">
        <v>4976</v>
      </c>
      <c r="D455" s="989" t="s">
        <v>4976</v>
      </c>
      <c r="E455" s="989" t="s">
        <v>5070</v>
      </c>
      <c r="F455" s="990">
        <v>0</v>
      </c>
      <c r="G455" s="990">
        <v>0</v>
      </c>
      <c r="H455" s="990">
        <v>0</v>
      </c>
      <c r="I455" s="990">
        <v>0</v>
      </c>
      <c r="J455" s="990">
        <v>0</v>
      </c>
      <c r="K455" s="990">
        <v>0</v>
      </c>
      <c r="L455" s="990">
        <v>0</v>
      </c>
      <c r="M455" s="990">
        <v>0</v>
      </c>
      <c r="N455" s="994">
        <v>85869304</v>
      </c>
      <c r="O455" s="994">
        <v>236694</v>
      </c>
      <c r="P455" s="990">
        <v>0</v>
      </c>
      <c r="Q455" s="990">
        <v>0</v>
      </c>
      <c r="R455" s="991">
        <v>0</v>
      </c>
      <c r="S455" s="992">
        <v>0</v>
      </c>
    </row>
    <row r="456" spans="1:19" ht="33.75" x14ac:dyDescent="0.25">
      <c r="A456" s="989" t="s">
        <v>4956</v>
      </c>
      <c r="B456" s="989" t="s">
        <v>2982</v>
      </c>
      <c r="C456" s="989" t="s">
        <v>316</v>
      </c>
      <c r="D456" s="989" t="s">
        <v>316</v>
      </c>
      <c r="E456" s="989" t="s">
        <v>2986</v>
      </c>
      <c r="F456" s="990">
        <v>5098555</v>
      </c>
      <c r="G456" s="990">
        <v>0</v>
      </c>
      <c r="H456" s="990">
        <v>313796070</v>
      </c>
      <c r="I456" s="990">
        <v>0</v>
      </c>
      <c r="J456" s="990">
        <v>0</v>
      </c>
      <c r="K456" s="990">
        <v>0</v>
      </c>
      <c r="L456" s="990">
        <v>0</v>
      </c>
      <c r="M456" s="990">
        <v>0</v>
      </c>
      <c r="N456" s="994">
        <v>0</v>
      </c>
      <c r="O456" s="994">
        <v>0</v>
      </c>
      <c r="P456" s="990">
        <v>313796070</v>
      </c>
      <c r="Q456" s="990">
        <v>0</v>
      </c>
      <c r="R456" s="991">
        <v>318894625</v>
      </c>
      <c r="S456" s="992">
        <v>0</v>
      </c>
    </row>
    <row r="457" spans="1:19" ht="33.75" x14ac:dyDescent="0.25">
      <c r="A457" s="989" t="s">
        <v>4956</v>
      </c>
      <c r="B457" s="989" t="s">
        <v>2982</v>
      </c>
      <c r="C457" s="989" t="s">
        <v>1733</v>
      </c>
      <c r="D457" s="989" t="s">
        <v>325</v>
      </c>
      <c r="E457" s="989" t="s">
        <v>2987</v>
      </c>
      <c r="F457" s="990">
        <v>0</v>
      </c>
      <c r="G457" s="990">
        <v>0</v>
      </c>
      <c r="H457" s="990">
        <v>112347</v>
      </c>
      <c r="I457" s="990">
        <v>335</v>
      </c>
      <c r="J457" s="990">
        <v>0</v>
      </c>
      <c r="K457" s="990">
        <v>0</v>
      </c>
      <c r="L457" s="990">
        <v>0</v>
      </c>
      <c r="M457" s="990">
        <v>0</v>
      </c>
      <c r="N457" s="994">
        <v>0</v>
      </c>
      <c r="O457" s="994">
        <v>0</v>
      </c>
      <c r="P457" s="990">
        <v>112347</v>
      </c>
      <c r="Q457" s="990">
        <v>335</v>
      </c>
      <c r="R457" s="991">
        <v>112347</v>
      </c>
      <c r="S457" s="992">
        <v>335</v>
      </c>
    </row>
    <row r="458" spans="1:19" ht="33.75" x14ac:dyDescent="0.25">
      <c r="A458" s="989" t="s">
        <v>4956</v>
      </c>
      <c r="B458" s="989" t="s">
        <v>2982</v>
      </c>
      <c r="C458" s="989" t="s">
        <v>1730</v>
      </c>
      <c r="D458" s="989" t="s">
        <v>341</v>
      </c>
      <c r="E458" s="989" t="s">
        <v>2988</v>
      </c>
      <c r="F458" s="990">
        <v>6412440</v>
      </c>
      <c r="G458" s="990">
        <v>18740</v>
      </c>
      <c r="H458" s="990">
        <v>61288</v>
      </c>
      <c r="I458" s="990">
        <v>187</v>
      </c>
      <c r="J458" s="990">
        <v>911446</v>
      </c>
      <c r="K458" s="990">
        <v>1960</v>
      </c>
      <c r="L458" s="990">
        <v>0</v>
      </c>
      <c r="M458" s="990">
        <v>0</v>
      </c>
      <c r="N458" s="994">
        <v>0</v>
      </c>
      <c r="O458" s="994">
        <v>0</v>
      </c>
      <c r="P458" s="990">
        <v>972734</v>
      </c>
      <c r="Q458" s="990">
        <v>2147</v>
      </c>
      <c r="R458" s="991">
        <v>7385174</v>
      </c>
      <c r="S458" s="992">
        <v>20887</v>
      </c>
    </row>
    <row r="459" spans="1:19" ht="33.75" x14ac:dyDescent="0.25">
      <c r="A459" s="989" t="s">
        <v>4956</v>
      </c>
      <c r="B459" s="989" t="s">
        <v>2982</v>
      </c>
      <c r="C459" s="989" t="s">
        <v>1734</v>
      </c>
      <c r="D459" s="989" t="s">
        <v>343</v>
      </c>
      <c r="E459" s="989" t="s">
        <v>2989</v>
      </c>
      <c r="F459" s="990">
        <v>367569</v>
      </c>
      <c r="G459" s="990">
        <v>0</v>
      </c>
      <c r="H459" s="990">
        <v>1703301</v>
      </c>
      <c r="I459" s="990">
        <v>0</v>
      </c>
      <c r="J459" s="990">
        <v>0</v>
      </c>
      <c r="K459" s="990">
        <v>0</v>
      </c>
      <c r="L459" s="990">
        <v>0</v>
      </c>
      <c r="M459" s="990">
        <v>0</v>
      </c>
      <c r="N459" s="994">
        <v>0</v>
      </c>
      <c r="O459" s="994">
        <v>0</v>
      </c>
      <c r="P459" s="990">
        <v>1703301</v>
      </c>
      <c r="Q459" s="990">
        <v>0</v>
      </c>
      <c r="R459" s="991">
        <v>2070870</v>
      </c>
      <c r="S459" s="992">
        <v>0</v>
      </c>
    </row>
    <row r="460" spans="1:19" ht="45" x14ac:dyDescent="0.25">
      <c r="A460" s="989" t="s">
        <v>4956</v>
      </c>
      <c r="B460" s="989" t="s">
        <v>1792</v>
      </c>
      <c r="C460" s="989" t="s">
        <v>1726</v>
      </c>
      <c r="D460" s="989" t="s">
        <v>278</v>
      </c>
      <c r="E460" s="989" t="s">
        <v>2143</v>
      </c>
      <c r="F460" s="990">
        <v>28893579.920000002</v>
      </c>
      <c r="G460" s="990">
        <v>77806</v>
      </c>
      <c r="H460" s="990">
        <v>30460716.260000002</v>
      </c>
      <c r="I460" s="990">
        <v>133515.13</v>
      </c>
      <c r="J460" s="990">
        <v>22875166.809999999</v>
      </c>
      <c r="K460" s="990">
        <v>71461.77</v>
      </c>
      <c r="L460" s="990">
        <v>0</v>
      </c>
      <c r="M460" s="990">
        <v>0</v>
      </c>
      <c r="N460" s="994">
        <v>0</v>
      </c>
      <c r="O460" s="994">
        <v>0</v>
      </c>
      <c r="P460" s="990">
        <v>53335883.07</v>
      </c>
      <c r="Q460" s="990">
        <v>204976.9</v>
      </c>
      <c r="R460" s="991">
        <v>82229462.989999995</v>
      </c>
      <c r="S460" s="992">
        <v>282782.90999999997</v>
      </c>
    </row>
    <row r="461" spans="1:19" ht="45" x14ac:dyDescent="0.25">
      <c r="A461" s="989" t="s">
        <v>4956</v>
      </c>
      <c r="B461" s="989" t="s">
        <v>1792</v>
      </c>
      <c r="C461" s="989" t="s">
        <v>1726</v>
      </c>
      <c r="D461" s="989" t="s">
        <v>1793</v>
      </c>
      <c r="E461" s="989" t="s">
        <v>2144</v>
      </c>
      <c r="F461" s="990">
        <v>132583.32</v>
      </c>
      <c r="G461" s="990">
        <v>619</v>
      </c>
      <c r="H461" s="990">
        <v>0</v>
      </c>
      <c r="I461" s="990">
        <v>949.71</v>
      </c>
      <c r="J461" s="990">
        <v>180755.32</v>
      </c>
      <c r="K461" s="990">
        <v>180755.32</v>
      </c>
      <c r="L461" s="990">
        <v>0</v>
      </c>
      <c r="M461" s="990">
        <v>0</v>
      </c>
      <c r="N461" s="994">
        <v>0</v>
      </c>
      <c r="O461" s="994">
        <v>0</v>
      </c>
      <c r="P461" s="990">
        <v>180755.32</v>
      </c>
      <c r="Q461" s="990">
        <v>181705.03</v>
      </c>
      <c r="R461" s="991">
        <v>313338.64</v>
      </c>
      <c r="S461" s="992">
        <v>182324.91</v>
      </c>
    </row>
    <row r="462" spans="1:19" ht="45" x14ac:dyDescent="0.25">
      <c r="A462" s="989" t="s">
        <v>4956</v>
      </c>
      <c r="B462" s="989" t="s">
        <v>1792</v>
      </c>
      <c r="C462" s="989" t="s">
        <v>1726</v>
      </c>
      <c r="D462" s="989" t="s">
        <v>288</v>
      </c>
      <c r="E462" s="989" t="s">
        <v>2145</v>
      </c>
      <c r="F462" s="990">
        <v>10349123.210000001</v>
      </c>
      <c r="G462" s="990">
        <v>20744</v>
      </c>
      <c r="H462" s="990">
        <v>0</v>
      </c>
      <c r="I462" s="990">
        <v>45592.800000000003</v>
      </c>
      <c r="J462" s="990">
        <v>20391645.510000002</v>
      </c>
      <c r="K462" s="990">
        <v>45592.800000000003</v>
      </c>
      <c r="L462" s="990">
        <v>0</v>
      </c>
      <c r="M462" s="990">
        <v>0</v>
      </c>
      <c r="N462" s="994">
        <v>0</v>
      </c>
      <c r="O462" s="994">
        <v>0</v>
      </c>
      <c r="P462" s="990">
        <v>20391645.510000002</v>
      </c>
      <c r="Q462" s="990">
        <v>91185.600000000006</v>
      </c>
      <c r="R462" s="991">
        <v>30740768.719999999</v>
      </c>
      <c r="S462" s="992">
        <v>111930.38</v>
      </c>
    </row>
    <row r="463" spans="1:19" ht="22.5" x14ac:dyDescent="0.25">
      <c r="A463" s="989" t="s">
        <v>4956</v>
      </c>
      <c r="B463" s="989" t="s">
        <v>1792</v>
      </c>
      <c r="C463" s="989" t="s">
        <v>297</v>
      </c>
      <c r="D463" s="989" t="s">
        <v>297</v>
      </c>
      <c r="E463" s="989" t="s">
        <v>2146</v>
      </c>
      <c r="F463" s="990">
        <v>4706797.8</v>
      </c>
      <c r="G463" s="990">
        <v>0</v>
      </c>
      <c r="H463" s="990">
        <v>15345098.74</v>
      </c>
      <c r="I463" s="990">
        <v>0</v>
      </c>
      <c r="J463" s="990">
        <v>0</v>
      </c>
      <c r="K463" s="990">
        <v>0</v>
      </c>
      <c r="L463" s="990">
        <v>0</v>
      </c>
      <c r="M463" s="990">
        <v>0</v>
      </c>
      <c r="N463" s="994">
        <v>0</v>
      </c>
      <c r="O463" s="994">
        <v>0</v>
      </c>
      <c r="P463" s="990">
        <v>15345098.74</v>
      </c>
      <c r="Q463" s="990">
        <v>0</v>
      </c>
      <c r="R463" s="991">
        <v>20051896.539999999</v>
      </c>
      <c r="S463" s="992">
        <v>0</v>
      </c>
    </row>
    <row r="464" spans="1:19" ht="22.5" x14ac:dyDescent="0.25">
      <c r="A464" s="989" t="s">
        <v>4956</v>
      </c>
      <c r="B464" s="989" t="s">
        <v>1792</v>
      </c>
      <c r="C464" s="989" t="s">
        <v>4976</v>
      </c>
      <c r="D464" s="989" t="s">
        <v>4976</v>
      </c>
      <c r="E464" s="989" t="s">
        <v>5071</v>
      </c>
      <c r="F464" s="990">
        <v>0</v>
      </c>
      <c r="G464" s="990">
        <v>0</v>
      </c>
      <c r="H464" s="990">
        <v>0</v>
      </c>
      <c r="I464" s="990">
        <v>0</v>
      </c>
      <c r="J464" s="990">
        <v>0</v>
      </c>
      <c r="K464" s="990">
        <v>0</v>
      </c>
      <c r="L464" s="990">
        <v>0</v>
      </c>
      <c r="M464" s="990">
        <v>0</v>
      </c>
      <c r="N464" s="994">
        <v>48585896</v>
      </c>
      <c r="O464" s="994">
        <v>108682.8984375</v>
      </c>
      <c r="P464" s="990">
        <v>0</v>
      </c>
      <c r="Q464" s="990">
        <v>0</v>
      </c>
      <c r="R464" s="991">
        <v>0</v>
      </c>
      <c r="S464" s="992">
        <v>0</v>
      </c>
    </row>
    <row r="465" spans="1:19" ht="22.5" x14ac:dyDescent="0.25">
      <c r="A465" s="989" t="s">
        <v>4956</v>
      </c>
      <c r="B465" s="989" t="s">
        <v>1792</v>
      </c>
      <c r="C465" s="989" t="s">
        <v>316</v>
      </c>
      <c r="D465" s="989" t="s">
        <v>316</v>
      </c>
      <c r="E465" s="989" t="s">
        <v>2147</v>
      </c>
      <c r="F465" s="990">
        <v>3277037.95</v>
      </c>
      <c r="G465" s="990">
        <v>0</v>
      </c>
      <c r="H465" s="990">
        <v>45215011.609999999</v>
      </c>
      <c r="I465" s="990">
        <v>0</v>
      </c>
      <c r="J465" s="990">
        <v>0</v>
      </c>
      <c r="K465" s="990">
        <v>0</v>
      </c>
      <c r="L465" s="990">
        <v>0</v>
      </c>
      <c r="M465" s="990">
        <v>0</v>
      </c>
      <c r="N465" s="994">
        <v>0</v>
      </c>
      <c r="O465" s="994">
        <v>0</v>
      </c>
      <c r="P465" s="990">
        <v>45215011.609999999</v>
      </c>
      <c r="Q465" s="990">
        <v>0</v>
      </c>
      <c r="R465" s="991">
        <v>48492049.560000002</v>
      </c>
      <c r="S465" s="992">
        <v>0</v>
      </c>
    </row>
    <row r="466" spans="1:19" ht="33.75" x14ac:dyDescent="0.25">
      <c r="A466" s="989" t="s">
        <v>4956</v>
      </c>
      <c r="B466" s="989" t="s">
        <v>1792</v>
      </c>
      <c r="C466" s="989" t="s">
        <v>1733</v>
      </c>
      <c r="D466" s="989" t="s">
        <v>325</v>
      </c>
      <c r="E466" s="989" t="s">
        <v>2148</v>
      </c>
      <c r="F466" s="990">
        <v>0</v>
      </c>
      <c r="G466" s="990">
        <v>0</v>
      </c>
      <c r="H466" s="990">
        <v>35468.94</v>
      </c>
      <c r="I466" s="990">
        <v>104.5</v>
      </c>
      <c r="J466" s="990">
        <v>1664.1</v>
      </c>
      <c r="K466" s="990">
        <v>4.5</v>
      </c>
      <c r="L466" s="990">
        <v>0</v>
      </c>
      <c r="M466" s="990">
        <v>0</v>
      </c>
      <c r="N466" s="994">
        <v>0</v>
      </c>
      <c r="O466" s="994">
        <v>0</v>
      </c>
      <c r="P466" s="990">
        <v>37133.040000000001</v>
      </c>
      <c r="Q466" s="990">
        <v>109</v>
      </c>
      <c r="R466" s="991">
        <v>37133.040000000001</v>
      </c>
      <c r="S466" s="992">
        <v>109</v>
      </c>
    </row>
    <row r="467" spans="1:19" ht="22.5" x14ac:dyDescent="0.25">
      <c r="A467" s="989" t="s">
        <v>4956</v>
      </c>
      <c r="B467" s="989" t="s">
        <v>1792</v>
      </c>
      <c r="C467" s="989" t="s">
        <v>1730</v>
      </c>
      <c r="D467" s="989" t="s">
        <v>341</v>
      </c>
      <c r="E467" s="989" t="s">
        <v>2149</v>
      </c>
      <c r="F467" s="990">
        <v>0</v>
      </c>
      <c r="G467" s="990">
        <v>0</v>
      </c>
      <c r="H467" s="990">
        <v>0</v>
      </c>
      <c r="I467" s="990">
        <v>0</v>
      </c>
      <c r="J467" s="990">
        <v>1421206.68</v>
      </c>
      <c r="K467" s="990">
        <v>3703.54</v>
      </c>
      <c r="L467" s="990">
        <v>0</v>
      </c>
      <c r="M467" s="990">
        <v>0</v>
      </c>
      <c r="N467" s="994">
        <v>0</v>
      </c>
      <c r="O467" s="994">
        <v>0</v>
      </c>
      <c r="P467" s="990">
        <v>1421206.68</v>
      </c>
      <c r="Q467" s="990">
        <v>3703.54</v>
      </c>
      <c r="R467" s="991">
        <v>1421206.68</v>
      </c>
      <c r="S467" s="992">
        <v>3703.54</v>
      </c>
    </row>
    <row r="468" spans="1:19" ht="33.75" x14ac:dyDescent="0.25">
      <c r="A468" s="989" t="s">
        <v>4956</v>
      </c>
      <c r="B468" s="989" t="s">
        <v>1792</v>
      </c>
      <c r="C468" s="989" t="s">
        <v>1734</v>
      </c>
      <c r="D468" s="989" t="s">
        <v>343</v>
      </c>
      <c r="E468" s="989" t="s">
        <v>2150</v>
      </c>
      <c r="F468" s="990">
        <v>42075.07</v>
      </c>
      <c r="G468" s="990">
        <v>0</v>
      </c>
      <c r="H468" s="990">
        <v>314025.84999999998</v>
      </c>
      <c r="I468" s="990">
        <v>0</v>
      </c>
      <c r="J468" s="990">
        <v>0</v>
      </c>
      <c r="K468" s="990">
        <v>0</v>
      </c>
      <c r="L468" s="990">
        <v>0</v>
      </c>
      <c r="M468" s="990">
        <v>0</v>
      </c>
      <c r="N468" s="994">
        <v>0</v>
      </c>
      <c r="O468" s="994">
        <v>0</v>
      </c>
      <c r="P468" s="990">
        <v>314025.84999999998</v>
      </c>
      <c r="Q468" s="990">
        <v>0</v>
      </c>
      <c r="R468" s="991">
        <v>356100.92</v>
      </c>
      <c r="S468" s="992">
        <v>0</v>
      </c>
    </row>
    <row r="469" spans="1:19" ht="45" x14ac:dyDescent="0.25">
      <c r="A469" s="989" t="s">
        <v>4956</v>
      </c>
      <c r="B469" s="989" t="s">
        <v>1794</v>
      </c>
      <c r="C469" s="989" t="s">
        <v>1726</v>
      </c>
      <c r="D469" s="989" t="s">
        <v>257</v>
      </c>
      <c r="E469" s="989" t="s">
        <v>2151</v>
      </c>
      <c r="F469" s="990">
        <v>732600848.89999998</v>
      </c>
      <c r="G469" s="990">
        <v>1518958</v>
      </c>
      <c r="H469" s="990">
        <v>224274876</v>
      </c>
      <c r="I469" s="990">
        <v>460850</v>
      </c>
      <c r="J469" s="990">
        <v>3636042364</v>
      </c>
      <c r="K469" s="990">
        <v>8244123</v>
      </c>
      <c r="L469" s="990">
        <v>0</v>
      </c>
      <c r="M469" s="990">
        <v>0</v>
      </c>
      <c r="N469" s="994">
        <v>0</v>
      </c>
      <c r="O469" s="994">
        <v>0</v>
      </c>
      <c r="P469" s="990">
        <v>3860317240</v>
      </c>
      <c r="Q469" s="990">
        <v>8704973</v>
      </c>
      <c r="R469" s="991">
        <v>4592918088.8999996</v>
      </c>
      <c r="S469" s="992">
        <v>10223931.829</v>
      </c>
    </row>
    <row r="470" spans="1:19" ht="45" x14ac:dyDescent="0.25">
      <c r="A470" s="989" t="s">
        <v>4956</v>
      </c>
      <c r="B470" s="989" t="s">
        <v>1794</v>
      </c>
      <c r="C470" s="989" t="s">
        <v>1726</v>
      </c>
      <c r="D470" s="989" t="s">
        <v>281</v>
      </c>
      <c r="E470" s="989" t="s">
        <v>2152</v>
      </c>
      <c r="F470" s="990">
        <v>1150252916.80391</v>
      </c>
      <c r="G470" s="990">
        <v>3140421</v>
      </c>
      <c r="H470" s="990">
        <v>2971255013</v>
      </c>
      <c r="I470" s="990">
        <v>7006521</v>
      </c>
      <c r="J470" s="990">
        <v>5511959510</v>
      </c>
      <c r="K470" s="990">
        <v>14209398</v>
      </c>
      <c r="L470" s="990">
        <v>57576240</v>
      </c>
      <c r="M470" s="990">
        <v>114591</v>
      </c>
      <c r="N470" s="994">
        <v>0</v>
      </c>
      <c r="O470" s="994">
        <v>0</v>
      </c>
      <c r="P470" s="990">
        <v>8540790761</v>
      </c>
      <c r="Q470" s="990">
        <v>21330510</v>
      </c>
      <c r="R470" s="991">
        <v>9691043677.8039093</v>
      </c>
      <c r="S470" s="992">
        <v>24470931.169</v>
      </c>
    </row>
    <row r="471" spans="1:19" ht="33.75" x14ac:dyDescent="0.25">
      <c r="A471" s="989" t="s">
        <v>4956</v>
      </c>
      <c r="B471" s="989" t="s">
        <v>1794</v>
      </c>
      <c r="C471" s="989" t="s">
        <v>297</v>
      </c>
      <c r="D471" s="989" t="s">
        <v>297</v>
      </c>
      <c r="E471" s="989" t="s">
        <v>2153</v>
      </c>
      <c r="F471" s="990">
        <v>373836691.00329399</v>
      </c>
      <c r="G471" s="990">
        <v>0</v>
      </c>
      <c r="H471" s="990">
        <v>1926182439</v>
      </c>
      <c r="I471" s="990">
        <v>0</v>
      </c>
      <c r="J471" s="990">
        <v>3414877</v>
      </c>
      <c r="K471" s="990">
        <v>0</v>
      </c>
      <c r="L471" s="990">
        <v>0</v>
      </c>
      <c r="M471" s="990">
        <v>0</v>
      </c>
      <c r="N471" s="994">
        <v>0</v>
      </c>
      <c r="O471" s="994">
        <v>0</v>
      </c>
      <c r="P471" s="990">
        <v>1929597316</v>
      </c>
      <c r="Q471" s="990">
        <v>0</v>
      </c>
      <c r="R471" s="991">
        <v>2303434007.0032902</v>
      </c>
      <c r="S471" s="992">
        <v>0</v>
      </c>
    </row>
    <row r="472" spans="1:19" ht="22.5" x14ac:dyDescent="0.25">
      <c r="A472" s="989" t="s">
        <v>4956</v>
      </c>
      <c r="B472" s="989" t="s">
        <v>1794</v>
      </c>
      <c r="C472" s="989" t="s">
        <v>1732</v>
      </c>
      <c r="D472" s="989" t="s">
        <v>306</v>
      </c>
      <c r="E472" s="989" t="s">
        <v>2154</v>
      </c>
      <c r="F472" s="990">
        <v>304190956</v>
      </c>
      <c r="G472" s="990">
        <v>567822</v>
      </c>
      <c r="H472" s="990">
        <v>0</v>
      </c>
      <c r="I472" s="990">
        <v>0</v>
      </c>
      <c r="J472" s="990">
        <v>1847409704</v>
      </c>
      <c r="K472" s="990">
        <v>4008260</v>
      </c>
      <c r="L472" s="990">
        <v>273173600</v>
      </c>
      <c r="M472" s="990">
        <v>494814</v>
      </c>
      <c r="N472" s="994">
        <v>0</v>
      </c>
      <c r="O472" s="994">
        <v>0</v>
      </c>
      <c r="P472" s="990">
        <v>2120583293</v>
      </c>
      <c r="Q472" s="990">
        <v>4503074</v>
      </c>
      <c r="R472" s="991">
        <v>2424774249</v>
      </c>
      <c r="S472" s="992">
        <v>5070896.2318000002</v>
      </c>
    </row>
    <row r="473" spans="1:19" ht="22.5" x14ac:dyDescent="0.25">
      <c r="A473" s="989" t="s">
        <v>4956</v>
      </c>
      <c r="B473" s="989" t="s">
        <v>1794</v>
      </c>
      <c r="C473" s="989" t="s">
        <v>4976</v>
      </c>
      <c r="D473" s="989" t="s">
        <v>4976</v>
      </c>
      <c r="E473" s="989" t="s">
        <v>5072</v>
      </c>
      <c r="F473" s="990">
        <v>0</v>
      </c>
      <c r="G473" s="990">
        <v>0</v>
      </c>
      <c r="H473" s="990">
        <v>0</v>
      </c>
      <c r="I473" s="990">
        <v>0</v>
      </c>
      <c r="J473" s="990">
        <v>0</v>
      </c>
      <c r="K473" s="990">
        <v>0</v>
      </c>
      <c r="L473" s="990">
        <v>0</v>
      </c>
      <c r="M473" s="990">
        <v>0</v>
      </c>
      <c r="N473" s="994">
        <v>3698003200</v>
      </c>
      <c r="O473" s="994">
        <v>7128105</v>
      </c>
      <c r="P473" s="990">
        <v>0</v>
      </c>
      <c r="Q473" s="990">
        <v>0</v>
      </c>
      <c r="R473" s="991">
        <v>0</v>
      </c>
      <c r="S473" s="992">
        <v>0</v>
      </c>
    </row>
    <row r="474" spans="1:19" ht="33.75" x14ac:dyDescent="0.25">
      <c r="A474" s="989" t="s">
        <v>4956</v>
      </c>
      <c r="B474" s="989" t="s">
        <v>1794</v>
      </c>
      <c r="C474" s="989" t="s">
        <v>316</v>
      </c>
      <c r="D474" s="1080" t="s">
        <v>5073</v>
      </c>
      <c r="E474" s="1080" t="s">
        <v>2990</v>
      </c>
      <c r="F474" s="990">
        <v>1359526.4938703601</v>
      </c>
      <c r="G474" s="990">
        <v>0</v>
      </c>
      <c r="H474" s="990">
        <v>242122950</v>
      </c>
      <c r="I474" s="990">
        <v>0</v>
      </c>
      <c r="J474" s="990">
        <v>0</v>
      </c>
      <c r="K474" s="990">
        <v>0</v>
      </c>
      <c r="L474" s="990">
        <v>0</v>
      </c>
      <c r="M474" s="990">
        <v>0</v>
      </c>
      <c r="N474" s="994">
        <v>0</v>
      </c>
      <c r="O474" s="994">
        <v>0</v>
      </c>
      <c r="P474" s="990">
        <v>242122950</v>
      </c>
      <c r="Q474" s="990">
        <v>0</v>
      </c>
      <c r="R474" s="991">
        <v>243482476.49386999</v>
      </c>
      <c r="S474" s="992">
        <v>0</v>
      </c>
    </row>
    <row r="475" spans="1:19" ht="22.5" x14ac:dyDescent="0.25">
      <c r="A475" s="989" t="s">
        <v>4956</v>
      </c>
      <c r="B475" s="989" t="s">
        <v>1794</v>
      </c>
      <c r="C475" s="989" t="s">
        <v>316</v>
      </c>
      <c r="D475" s="1080" t="s">
        <v>316</v>
      </c>
      <c r="E475" s="1080" t="s">
        <v>6900</v>
      </c>
      <c r="F475" s="990">
        <v>153397164.90515301</v>
      </c>
      <c r="G475" s="990">
        <v>0</v>
      </c>
      <c r="H475" s="990">
        <v>4357189246</v>
      </c>
      <c r="I475" s="990">
        <v>0</v>
      </c>
      <c r="J475" s="990">
        <v>0</v>
      </c>
      <c r="K475" s="990">
        <v>0</v>
      </c>
      <c r="L475" s="990">
        <v>0</v>
      </c>
      <c r="M475" s="990">
        <v>0</v>
      </c>
      <c r="N475" s="994">
        <v>0</v>
      </c>
      <c r="O475" s="994">
        <v>0</v>
      </c>
      <c r="P475" s="990">
        <v>4357189246</v>
      </c>
      <c r="Q475" s="990">
        <v>0</v>
      </c>
      <c r="R475" s="991">
        <v>4510586410.9051504</v>
      </c>
      <c r="S475" s="992">
        <v>0</v>
      </c>
    </row>
    <row r="476" spans="1:19" ht="22.5" x14ac:dyDescent="0.25">
      <c r="A476" s="989" t="s">
        <v>4956</v>
      </c>
      <c r="B476" s="989" t="s">
        <v>1794</v>
      </c>
      <c r="C476" s="989" t="s">
        <v>1730</v>
      </c>
      <c r="D476" s="989" t="s">
        <v>341</v>
      </c>
      <c r="E476" s="989" t="s">
        <v>2155</v>
      </c>
      <c r="F476" s="990">
        <v>0</v>
      </c>
      <c r="G476" s="990">
        <v>0</v>
      </c>
      <c r="H476" s="990">
        <v>0</v>
      </c>
      <c r="I476" s="990">
        <v>0</v>
      </c>
      <c r="J476" s="990">
        <v>114345639</v>
      </c>
      <c r="K476" s="990">
        <v>329945</v>
      </c>
      <c r="L476" s="990">
        <v>0</v>
      </c>
      <c r="M476" s="990">
        <v>0</v>
      </c>
      <c r="N476" s="994">
        <v>0</v>
      </c>
      <c r="O476" s="994">
        <v>0</v>
      </c>
      <c r="P476" s="990">
        <v>114345639</v>
      </c>
      <c r="Q476" s="990">
        <v>329945</v>
      </c>
      <c r="R476" s="991">
        <v>114345639</v>
      </c>
      <c r="S476" s="992">
        <v>329945</v>
      </c>
    </row>
    <row r="477" spans="1:19" ht="33.75" x14ac:dyDescent="0.25">
      <c r="A477" s="989" t="s">
        <v>4956</v>
      </c>
      <c r="B477" s="989" t="s">
        <v>1794</v>
      </c>
      <c r="C477" s="989" t="s">
        <v>1734</v>
      </c>
      <c r="D477" s="989" t="s">
        <v>343</v>
      </c>
      <c r="E477" s="989" t="s">
        <v>2156</v>
      </c>
      <c r="F477" s="990">
        <v>367203.5024</v>
      </c>
      <c r="G477" s="990">
        <v>0</v>
      </c>
      <c r="H477" s="990">
        <v>40689847</v>
      </c>
      <c r="I477" s="990">
        <v>0</v>
      </c>
      <c r="J477" s="990">
        <v>0</v>
      </c>
      <c r="K477" s="990">
        <v>0</v>
      </c>
      <c r="L477" s="990">
        <v>0</v>
      </c>
      <c r="M477" s="990">
        <v>0</v>
      </c>
      <c r="N477" s="994">
        <v>0</v>
      </c>
      <c r="O477" s="994">
        <v>0</v>
      </c>
      <c r="P477" s="990">
        <v>40689847</v>
      </c>
      <c r="Q477" s="990">
        <v>0</v>
      </c>
      <c r="R477" s="991">
        <v>41057050.502400003</v>
      </c>
      <c r="S477" s="992">
        <v>0</v>
      </c>
    </row>
    <row r="478" spans="1:19" ht="45" x14ac:dyDescent="0.25">
      <c r="A478" s="989" t="s">
        <v>4956</v>
      </c>
      <c r="B478" s="989" t="s">
        <v>1795</v>
      </c>
      <c r="C478" s="989" t="s">
        <v>1726</v>
      </c>
      <c r="D478" s="989" t="s">
        <v>263</v>
      </c>
      <c r="E478" s="989" t="s">
        <v>2380</v>
      </c>
      <c r="F478" s="990">
        <v>0</v>
      </c>
      <c r="G478" s="990">
        <v>0</v>
      </c>
      <c r="H478" s="990">
        <v>0</v>
      </c>
      <c r="I478" s="990">
        <v>0</v>
      </c>
      <c r="J478" s="990">
        <v>124774480</v>
      </c>
      <c r="K478" s="990">
        <v>260827</v>
      </c>
      <c r="L478" s="990">
        <v>0</v>
      </c>
      <c r="M478" s="990">
        <v>0</v>
      </c>
      <c r="N478" s="994">
        <v>0</v>
      </c>
      <c r="O478" s="994">
        <v>0</v>
      </c>
      <c r="P478" s="990">
        <v>124774480</v>
      </c>
      <c r="Q478" s="990">
        <v>260827</v>
      </c>
      <c r="R478" s="991">
        <v>124774480</v>
      </c>
      <c r="S478" s="992">
        <v>260827</v>
      </c>
    </row>
    <row r="479" spans="1:19" ht="45" x14ac:dyDescent="0.25">
      <c r="A479" s="989" t="s">
        <v>4956</v>
      </c>
      <c r="B479" s="989" t="s">
        <v>1795</v>
      </c>
      <c r="C479" s="989" t="s">
        <v>1726</v>
      </c>
      <c r="D479" s="989" t="s">
        <v>272</v>
      </c>
      <c r="E479" s="989" t="s">
        <v>2381</v>
      </c>
      <c r="F479" s="990">
        <v>145784468</v>
      </c>
      <c r="G479" s="990">
        <v>376750</v>
      </c>
      <c r="H479" s="990">
        <v>97268625</v>
      </c>
      <c r="I479" s="990">
        <v>256894</v>
      </c>
      <c r="J479" s="990">
        <v>693509021</v>
      </c>
      <c r="K479" s="990">
        <v>1621525</v>
      </c>
      <c r="L479" s="990">
        <v>38095924</v>
      </c>
      <c r="M479" s="990">
        <v>74250</v>
      </c>
      <c r="N479" s="994">
        <v>0</v>
      </c>
      <c r="O479" s="994">
        <v>0</v>
      </c>
      <c r="P479" s="990">
        <v>828873571</v>
      </c>
      <c r="Q479" s="990">
        <v>1952669</v>
      </c>
      <c r="R479" s="991">
        <v>974658039</v>
      </c>
      <c r="S479" s="992">
        <v>2329419</v>
      </c>
    </row>
    <row r="480" spans="1:19" ht="22.5" x14ac:dyDescent="0.25">
      <c r="A480" s="989" t="s">
        <v>4956</v>
      </c>
      <c r="B480" s="989" t="s">
        <v>1795</v>
      </c>
      <c r="C480" s="989" t="s">
        <v>297</v>
      </c>
      <c r="D480" s="989" t="s">
        <v>297</v>
      </c>
      <c r="E480" s="989" t="s">
        <v>2382</v>
      </c>
      <c r="F480" s="990">
        <v>53778591</v>
      </c>
      <c r="G480" s="990">
        <v>0</v>
      </c>
      <c r="H480" s="990">
        <v>231591811</v>
      </c>
      <c r="I480" s="990">
        <v>0</v>
      </c>
      <c r="J480" s="990">
        <v>273690</v>
      </c>
      <c r="K480" s="990">
        <v>0</v>
      </c>
      <c r="L480" s="990">
        <v>0</v>
      </c>
      <c r="M480" s="990">
        <v>0</v>
      </c>
      <c r="N480" s="994">
        <v>0</v>
      </c>
      <c r="O480" s="994">
        <v>0</v>
      </c>
      <c r="P480" s="990">
        <v>231865501</v>
      </c>
      <c r="Q480" s="990">
        <v>0</v>
      </c>
      <c r="R480" s="991">
        <v>285644092</v>
      </c>
      <c r="S480" s="992">
        <v>0</v>
      </c>
    </row>
    <row r="481" spans="1:19" ht="22.5" x14ac:dyDescent="0.25">
      <c r="A481" s="989" t="s">
        <v>4956</v>
      </c>
      <c r="B481" s="989" t="s">
        <v>1795</v>
      </c>
      <c r="C481" s="989" t="s">
        <v>1732</v>
      </c>
      <c r="D481" s="989" t="s">
        <v>306</v>
      </c>
      <c r="E481" s="989" t="s">
        <v>2383</v>
      </c>
      <c r="F481" s="990">
        <v>0</v>
      </c>
      <c r="G481" s="990">
        <v>0</v>
      </c>
      <c r="H481" s="990">
        <v>0</v>
      </c>
      <c r="I481" s="990">
        <v>0</v>
      </c>
      <c r="J481" s="990">
        <v>183958479</v>
      </c>
      <c r="K481" s="990">
        <v>321747</v>
      </c>
      <c r="L481" s="990">
        <v>0</v>
      </c>
      <c r="M481" s="990">
        <v>0</v>
      </c>
      <c r="N481" s="994">
        <v>0</v>
      </c>
      <c r="O481" s="994">
        <v>0</v>
      </c>
      <c r="P481" s="990">
        <v>183958479</v>
      </c>
      <c r="Q481" s="990">
        <v>321747</v>
      </c>
      <c r="R481" s="991">
        <v>183958479</v>
      </c>
      <c r="S481" s="992">
        <v>321747</v>
      </c>
    </row>
    <row r="482" spans="1:19" ht="22.5" x14ac:dyDescent="0.25">
      <c r="A482" s="989" t="s">
        <v>4956</v>
      </c>
      <c r="B482" s="989" t="s">
        <v>1795</v>
      </c>
      <c r="C482" s="989" t="s">
        <v>4976</v>
      </c>
      <c r="D482" s="989" t="s">
        <v>4976</v>
      </c>
      <c r="E482" s="989" t="s">
        <v>5074</v>
      </c>
      <c r="F482" s="990">
        <v>0</v>
      </c>
      <c r="G482" s="990">
        <v>0</v>
      </c>
      <c r="H482" s="990">
        <v>0</v>
      </c>
      <c r="I482" s="990">
        <v>0</v>
      </c>
      <c r="J482" s="990">
        <v>0</v>
      </c>
      <c r="K482" s="990">
        <v>0</v>
      </c>
      <c r="L482" s="990">
        <v>0</v>
      </c>
      <c r="M482" s="990">
        <v>0</v>
      </c>
      <c r="N482" s="994">
        <v>413770176</v>
      </c>
      <c r="O482" s="994">
        <v>787331</v>
      </c>
      <c r="P482" s="990">
        <v>0</v>
      </c>
      <c r="Q482" s="990">
        <v>0</v>
      </c>
      <c r="R482" s="991">
        <v>0</v>
      </c>
      <c r="S482" s="992">
        <v>0</v>
      </c>
    </row>
    <row r="483" spans="1:19" ht="22.5" x14ac:dyDescent="0.25">
      <c r="A483" s="989" t="s">
        <v>4956</v>
      </c>
      <c r="B483" s="989" t="s">
        <v>1795</v>
      </c>
      <c r="C483" s="989" t="s">
        <v>316</v>
      </c>
      <c r="D483" s="989" t="s">
        <v>316</v>
      </c>
      <c r="E483" s="989" t="s">
        <v>2384</v>
      </c>
      <c r="F483" s="990">
        <v>45973898</v>
      </c>
      <c r="G483" s="990">
        <v>0</v>
      </c>
      <c r="H483" s="990">
        <v>858967920</v>
      </c>
      <c r="I483" s="990">
        <v>0</v>
      </c>
      <c r="J483" s="990">
        <v>186972</v>
      </c>
      <c r="K483" s="990">
        <v>0</v>
      </c>
      <c r="L483" s="990">
        <v>0</v>
      </c>
      <c r="M483" s="990">
        <v>0</v>
      </c>
      <c r="N483" s="994">
        <v>0</v>
      </c>
      <c r="O483" s="994">
        <v>0</v>
      </c>
      <c r="P483" s="990">
        <v>859154892</v>
      </c>
      <c r="Q483" s="990">
        <v>0</v>
      </c>
      <c r="R483" s="991">
        <v>905128790</v>
      </c>
      <c r="S483" s="992">
        <v>0</v>
      </c>
    </row>
    <row r="484" spans="1:19" ht="22.5" x14ac:dyDescent="0.25">
      <c r="A484" s="989" t="s">
        <v>4956</v>
      </c>
      <c r="B484" s="989" t="s">
        <v>1795</v>
      </c>
      <c r="C484" s="989" t="s">
        <v>316</v>
      </c>
      <c r="D484" s="1080" t="s">
        <v>324</v>
      </c>
      <c r="E484" s="1080" t="s">
        <v>2901</v>
      </c>
      <c r="F484" s="990">
        <v>109164</v>
      </c>
      <c r="G484" s="990">
        <v>0</v>
      </c>
      <c r="H484" s="990">
        <v>9623441</v>
      </c>
      <c r="I484" s="990">
        <v>0</v>
      </c>
      <c r="J484" s="990">
        <v>0</v>
      </c>
      <c r="K484" s="990">
        <v>0</v>
      </c>
      <c r="L484" s="990">
        <v>0</v>
      </c>
      <c r="M484" s="990">
        <v>0</v>
      </c>
      <c r="N484" s="994">
        <v>0</v>
      </c>
      <c r="O484" s="994">
        <v>0</v>
      </c>
      <c r="P484" s="990">
        <v>9623441</v>
      </c>
      <c r="Q484" s="990">
        <v>0</v>
      </c>
      <c r="R484" s="991">
        <v>9732605</v>
      </c>
      <c r="S484" s="992">
        <v>0</v>
      </c>
    </row>
    <row r="485" spans="1:19" ht="33.75" x14ac:dyDescent="0.25">
      <c r="A485" s="989" t="s">
        <v>4956</v>
      </c>
      <c r="B485" s="989" t="s">
        <v>1795</v>
      </c>
      <c r="C485" s="989" t="s">
        <v>1733</v>
      </c>
      <c r="D485" s="989" t="s">
        <v>325</v>
      </c>
      <c r="E485" s="989" t="s">
        <v>2385</v>
      </c>
      <c r="F485" s="990">
        <v>83567</v>
      </c>
      <c r="G485" s="990">
        <v>232</v>
      </c>
      <c r="H485" s="990">
        <v>243261</v>
      </c>
      <c r="I485" s="990">
        <v>676</v>
      </c>
      <c r="J485" s="990">
        <v>22133</v>
      </c>
      <c r="K485" s="990">
        <v>59</v>
      </c>
      <c r="L485" s="990">
        <v>0</v>
      </c>
      <c r="M485" s="990">
        <v>0</v>
      </c>
      <c r="N485" s="994">
        <v>0</v>
      </c>
      <c r="O485" s="994">
        <v>0</v>
      </c>
      <c r="P485" s="990">
        <v>265394</v>
      </c>
      <c r="Q485" s="990">
        <v>735</v>
      </c>
      <c r="R485" s="991">
        <v>348961</v>
      </c>
      <c r="S485" s="992">
        <v>967</v>
      </c>
    </row>
    <row r="486" spans="1:19" ht="22.5" x14ac:dyDescent="0.25">
      <c r="A486" s="989" t="s">
        <v>4956</v>
      </c>
      <c r="B486" s="989" t="s">
        <v>1795</v>
      </c>
      <c r="C486" s="989" t="s">
        <v>1730</v>
      </c>
      <c r="D486" s="989" t="s">
        <v>341</v>
      </c>
      <c r="E486" s="989" t="s">
        <v>2386</v>
      </c>
      <c r="F486" s="990">
        <v>4894159</v>
      </c>
      <c r="G486" s="990">
        <v>13842</v>
      </c>
      <c r="H486" s="990">
        <v>0</v>
      </c>
      <c r="I486" s="990">
        <v>0</v>
      </c>
      <c r="J486" s="990">
        <v>14685115</v>
      </c>
      <c r="K486" s="990">
        <v>41066</v>
      </c>
      <c r="L486" s="990">
        <v>0</v>
      </c>
      <c r="M486" s="990">
        <v>0</v>
      </c>
      <c r="N486" s="994">
        <v>0</v>
      </c>
      <c r="O486" s="994">
        <v>0</v>
      </c>
      <c r="P486" s="990">
        <v>14685115</v>
      </c>
      <c r="Q486" s="990">
        <v>41066</v>
      </c>
      <c r="R486" s="991">
        <v>19579274</v>
      </c>
      <c r="S486" s="992">
        <v>54908</v>
      </c>
    </row>
    <row r="487" spans="1:19" ht="33.75" x14ac:dyDescent="0.25">
      <c r="A487" s="989" t="s">
        <v>4956</v>
      </c>
      <c r="B487" s="989" t="s">
        <v>1795</v>
      </c>
      <c r="C487" s="989" t="s">
        <v>1734</v>
      </c>
      <c r="D487" s="989" t="s">
        <v>343</v>
      </c>
      <c r="E487" s="989" t="s">
        <v>2387</v>
      </c>
      <c r="F487" s="990">
        <v>223044</v>
      </c>
      <c r="G487" s="990">
        <v>0</v>
      </c>
      <c r="H487" s="990">
        <v>4483724</v>
      </c>
      <c r="I487" s="990">
        <v>0</v>
      </c>
      <c r="J487" s="990">
        <v>0</v>
      </c>
      <c r="K487" s="990">
        <v>0</v>
      </c>
      <c r="L487" s="990">
        <v>0</v>
      </c>
      <c r="M487" s="990">
        <v>0</v>
      </c>
      <c r="N487" s="994">
        <v>0</v>
      </c>
      <c r="O487" s="994">
        <v>0</v>
      </c>
      <c r="P487" s="990">
        <v>4483724</v>
      </c>
      <c r="Q487" s="990">
        <v>0</v>
      </c>
      <c r="R487" s="991">
        <v>4706768</v>
      </c>
      <c r="S487" s="992">
        <v>0</v>
      </c>
    </row>
    <row r="488" spans="1:19" ht="45" x14ac:dyDescent="0.25">
      <c r="A488" s="989" t="s">
        <v>4956</v>
      </c>
      <c r="B488" s="989" t="s">
        <v>1796</v>
      </c>
      <c r="C488" s="989" t="s">
        <v>1726</v>
      </c>
      <c r="D488" s="989" t="s">
        <v>277</v>
      </c>
      <c r="E488" s="989" t="s">
        <v>2157</v>
      </c>
      <c r="F488" s="990">
        <v>2813123</v>
      </c>
      <c r="G488" s="990">
        <v>7692</v>
      </c>
      <c r="H488" s="990">
        <v>953578</v>
      </c>
      <c r="I488" s="990">
        <v>0</v>
      </c>
      <c r="J488" s="990">
        <v>12291167</v>
      </c>
      <c r="K488" s="990">
        <v>41747</v>
      </c>
      <c r="L488" s="990">
        <v>2803203</v>
      </c>
      <c r="M488" s="990">
        <v>5557.580078125</v>
      </c>
      <c r="N488" s="994">
        <v>0</v>
      </c>
      <c r="O488" s="994">
        <v>0</v>
      </c>
      <c r="P488" s="990">
        <v>16047948</v>
      </c>
      <c r="Q488" s="990">
        <v>47304.58</v>
      </c>
      <c r="R488" s="991">
        <v>18861071</v>
      </c>
      <c r="S488" s="992">
        <v>54997.279999999999</v>
      </c>
    </row>
    <row r="489" spans="1:19" ht="22.5" x14ac:dyDescent="0.25">
      <c r="A489" s="989" t="s">
        <v>4956</v>
      </c>
      <c r="B489" s="989" t="s">
        <v>1796</v>
      </c>
      <c r="C489" s="989" t="s">
        <v>297</v>
      </c>
      <c r="D489" s="989" t="s">
        <v>297</v>
      </c>
      <c r="E489" s="989" t="s">
        <v>2158</v>
      </c>
      <c r="F489" s="990">
        <v>1460192</v>
      </c>
      <c r="G489" s="990">
        <v>0</v>
      </c>
      <c r="H489" s="990">
        <v>15571504</v>
      </c>
      <c r="I489" s="990">
        <v>0</v>
      </c>
      <c r="J489" s="990">
        <v>0</v>
      </c>
      <c r="K489" s="990">
        <v>0</v>
      </c>
      <c r="L489" s="990">
        <v>0</v>
      </c>
      <c r="M489" s="990">
        <v>0</v>
      </c>
      <c r="N489" s="994">
        <v>0</v>
      </c>
      <c r="O489" s="994">
        <v>0</v>
      </c>
      <c r="P489" s="990">
        <v>15571504</v>
      </c>
      <c r="Q489" s="990">
        <v>0</v>
      </c>
      <c r="R489" s="991">
        <v>17031696</v>
      </c>
      <c r="S489" s="992">
        <v>0</v>
      </c>
    </row>
    <row r="490" spans="1:19" ht="22.5" x14ac:dyDescent="0.25">
      <c r="A490" s="989" t="s">
        <v>4956</v>
      </c>
      <c r="B490" s="989" t="s">
        <v>1796</v>
      </c>
      <c r="C490" s="989" t="s">
        <v>4976</v>
      </c>
      <c r="D490" s="989" t="s">
        <v>4976</v>
      </c>
      <c r="E490" s="989" t="s">
        <v>5075</v>
      </c>
      <c r="F490" s="990">
        <v>0</v>
      </c>
      <c r="G490" s="990">
        <v>0</v>
      </c>
      <c r="H490" s="990">
        <v>0</v>
      </c>
      <c r="I490" s="990">
        <v>0</v>
      </c>
      <c r="J490" s="990">
        <v>0</v>
      </c>
      <c r="K490" s="990">
        <v>0</v>
      </c>
      <c r="L490" s="990">
        <v>0</v>
      </c>
      <c r="M490" s="990">
        <v>0</v>
      </c>
      <c r="N490" s="994">
        <v>0</v>
      </c>
      <c r="O490" s="994">
        <v>0</v>
      </c>
      <c r="P490" s="990">
        <v>0</v>
      </c>
      <c r="Q490" s="990">
        <v>0</v>
      </c>
      <c r="R490" s="991">
        <v>0</v>
      </c>
      <c r="S490" s="992">
        <v>0</v>
      </c>
    </row>
    <row r="491" spans="1:19" ht="22.5" x14ac:dyDescent="0.25">
      <c r="A491" s="989" t="s">
        <v>4956</v>
      </c>
      <c r="B491" s="989" t="s">
        <v>1796</v>
      </c>
      <c r="C491" s="989" t="s">
        <v>316</v>
      </c>
      <c r="D491" s="989" t="s">
        <v>316</v>
      </c>
      <c r="E491" s="989" t="s">
        <v>2159</v>
      </c>
      <c r="F491" s="990">
        <v>1675850</v>
      </c>
      <c r="G491" s="990">
        <v>0</v>
      </c>
      <c r="H491" s="990">
        <v>86202673</v>
      </c>
      <c r="I491" s="990">
        <v>0</v>
      </c>
      <c r="J491" s="990">
        <v>0</v>
      </c>
      <c r="K491" s="990">
        <v>0</v>
      </c>
      <c r="L491" s="990">
        <v>0</v>
      </c>
      <c r="M491" s="990">
        <v>0</v>
      </c>
      <c r="N491" s="994">
        <v>0</v>
      </c>
      <c r="O491" s="994">
        <v>0</v>
      </c>
      <c r="P491" s="990">
        <v>86202673</v>
      </c>
      <c r="Q491" s="990">
        <v>0</v>
      </c>
      <c r="R491" s="991">
        <v>87878523</v>
      </c>
      <c r="S491" s="992">
        <v>0</v>
      </c>
    </row>
    <row r="492" spans="1:19" ht="22.5" x14ac:dyDescent="0.25">
      <c r="A492" s="989" t="s">
        <v>4956</v>
      </c>
      <c r="B492" s="989" t="s">
        <v>1796</v>
      </c>
      <c r="C492" s="989" t="s">
        <v>1730</v>
      </c>
      <c r="D492" s="989" t="s">
        <v>341</v>
      </c>
      <c r="E492" s="989" t="s">
        <v>2160</v>
      </c>
      <c r="F492" s="990">
        <v>0</v>
      </c>
      <c r="G492" s="990">
        <v>0</v>
      </c>
      <c r="H492" s="990">
        <v>0</v>
      </c>
      <c r="I492" s="990">
        <v>0</v>
      </c>
      <c r="J492" s="990">
        <v>758728</v>
      </c>
      <c r="K492" s="990">
        <v>2244</v>
      </c>
      <c r="L492" s="990">
        <v>0</v>
      </c>
      <c r="M492" s="990">
        <v>0</v>
      </c>
      <c r="N492" s="994">
        <v>0</v>
      </c>
      <c r="O492" s="994">
        <v>0</v>
      </c>
      <c r="P492" s="990">
        <v>758728</v>
      </c>
      <c r="Q492" s="990">
        <v>2244</v>
      </c>
      <c r="R492" s="991">
        <v>758728</v>
      </c>
      <c r="S492" s="992">
        <v>2244</v>
      </c>
    </row>
    <row r="493" spans="1:19" ht="33.75" x14ac:dyDescent="0.25">
      <c r="A493" s="989" t="s">
        <v>4956</v>
      </c>
      <c r="B493" s="989" t="s">
        <v>1796</v>
      </c>
      <c r="C493" s="989" t="s">
        <v>1734</v>
      </c>
      <c r="D493" s="989" t="s">
        <v>343</v>
      </c>
      <c r="E493" s="989" t="s">
        <v>2161</v>
      </c>
      <c r="F493" s="990">
        <v>0</v>
      </c>
      <c r="G493" s="990">
        <v>0</v>
      </c>
      <c r="H493" s="990">
        <v>148721</v>
      </c>
      <c r="I493" s="990">
        <v>0</v>
      </c>
      <c r="J493" s="990">
        <v>0</v>
      </c>
      <c r="K493" s="990">
        <v>0</v>
      </c>
      <c r="L493" s="990">
        <v>0</v>
      </c>
      <c r="M493" s="990">
        <v>0</v>
      </c>
      <c r="N493" s="994">
        <v>0</v>
      </c>
      <c r="O493" s="994">
        <v>0</v>
      </c>
      <c r="P493" s="990">
        <v>148721</v>
      </c>
      <c r="Q493" s="990">
        <v>0</v>
      </c>
      <c r="R493" s="991">
        <v>148721</v>
      </c>
      <c r="S493" s="992">
        <v>0</v>
      </c>
    </row>
    <row r="494" spans="1:19" ht="22.5" x14ac:dyDescent="0.25">
      <c r="A494" s="989" t="s">
        <v>4956</v>
      </c>
      <c r="B494" s="989" t="s">
        <v>1797</v>
      </c>
      <c r="C494" s="989" t="s">
        <v>1736</v>
      </c>
      <c r="D494" s="989" t="s">
        <v>249</v>
      </c>
      <c r="E494" s="989" t="s">
        <v>2162</v>
      </c>
      <c r="F494" s="990">
        <v>0</v>
      </c>
      <c r="G494" s="990">
        <v>0</v>
      </c>
      <c r="H494" s="990">
        <v>0</v>
      </c>
      <c r="I494" s="990">
        <v>0</v>
      </c>
      <c r="J494" s="990">
        <v>34185131</v>
      </c>
      <c r="K494" s="990">
        <v>80788</v>
      </c>
      <c r="L494" s="990">
        <v>0</v>
      </c>
      <c r="M494" s="990">
        <v>0</v>
      </c>
      <c r="N494" s="994">
        <v>0</v>
      </c>
      <c r="O494" s="994">
        <v>0</v>
      </c>
      <c r="P494" s="990">
        <v>34185131</v>
      </c>
      <c r="Q494" s="990">
        <v>80788</v>
      </c>
      <c r="R494" s="991">
        <v>34185131</v>
      </c>
      <c r="S494" s="992">
        <v>80788</v>
      </c>
    </row>
    <row r="495" spans="1:19" ht="45" x14ac:dyDescent="0.25">
      <c r="A495" s="989" t="s">
        <v>4956</v>
      </c>
      <c r="B495" s="989" t="s">
        <v>1797</v>
      </c>
      <c r="C495" s="989" t="s">
        <v>1726</v>
      </c>
      <c r="D495" s="989" t="s">
        <v>277</v>
      </c>
      <c r="E495" s="989" t="s">
        <v>2163</v>
      </c>
      <c r="F495" s="990">
        <v>113775480</v>
      </c>
      <c r="G495" s="990">
        <v>0</v>
      </c>
      <c r="H495" s="990">
        <v>80254874</v>
      </c>
      <c r="I495" s="990">
        <v>226709</v>
      </c>
      <c r="J495" s="990">
        <v>478401721</v>
      </c>
      <c r="K495" s="990">
        <v>1532075</v>
      </c>
      <c r="L495" s="990">
        <v>6231611</v>
      </c>
      <c r="M495" s="990">
        <v>0</v>
      </c>
      <c r="N495" s="994">
        <v>0</v>
      </c>
      <c r="O495" s="994">
        <v>0</v>
      </c>
      <c r="P495" s="990">
        <v>564888206</v>
      </c>
      <c r="Q495" s="990">
        <v>1758784</v>
      </c>
      <c r="R495" s="991">
        <v>678663686</v>
      </c>
      <c r="S495" s="992">
        <v>1758784</v>
      </c>
    </row>
    <row r="496" spans="1:19" ht="22.5" x14ac:dyDescent="0.25">
      <c r="A496" s="989" t="s">
        <v>4956</v>
      </c>
      <c r="B496" s="989" t="s">
        <v>1797</v>
      </c>
      <c r="C496" s="989" t="s">
        <v>297</v>
      </c>
      <c r="D496" s="989" t="s">
        <v>297</v>
      </c>
      <c r="E496" s="989" t="s">
        <v>2164</v>
      </c>
      <c r="F496" s="990">
        <v>34852193</v>
      </c>
      <c r="G496" s="990">
        <v>0</v>
      </c>
      <c r="H496" s="990">
        <v>154315181</v>
      </c>
      <c r="I496" s="990">
        <v>0</v>
      </c>
      <c r="J496" s="990">
        <v>814614</v>
      </c>
      <c r="K496" s="990">
        <v>0</v>
      </c>
      <c r="L496" s="990">
        <v>0</v>
      </c>
      <c r="M496" s="990">
        <v>0</v>
      </c>
      <c r="N496" s="994">
        <v>0</v>
      </c>
      <c r="O496" s="994">
        <v>0</v>
      </c>
      <c r="P496" s="990">
        <v>155129795</v>
      </c>
      <c r="Q496" s="990">
        <v>0</v>
      </c>
      <c r="R496" s="991">
        <v>189981988</v>
      </c>
      <c r="S496" s="992">
        <v>0</v>
      </c>
    </row>
    <row r="497" spans="1:19" ht="22.5" x14ac:dyDescent="0.25">
      <c r="A497" s="989" t="s">
        <v>4956</v>
      </c>
      <c r="B497" s="989" t="s">
        <v>1797</v>
      </c>
      <c r="C497" s="989" t="s">
        <v>1732</v>
      </c>
      <c r="D497" s="989" t="s">
        <v>306</v>
      </c>
      <c r="E497" s="989" t="s">
        <v>2165</v>
      </c>
      <c r="F497" s="990">
        <v>0</v>
      </c>
      <c r="G497" s="990">
        <v>0</v>
      </c>
      <c r="H497" s="990">
        <v>0</v>
      </c>
      <c r="I497" s="990">
        <v>0</v>
      </c>
      <c r="J497" s="990">
        <v>95093184</v>
      </c>
      <c r="K497" s="990">
        <v>177858</v>
      </c>
      <c r="L497" s="990">
        <v>0</v>
      </c>
      <c r="M497" s="990">
        <v>0</v>
      </c>
      <c r="N497" s="994">
        <v>0</v>
      </c>
      <c r="O497" s="994">
        <v>0</v>
      </c>
      <c r="P497" s="990">
        <v>95093184</v>
      </c>
      <c r="Q497" s="990">
        <v>177858</v>
      </c>
      <c r="R497" s="991">
        <v>95093184</v>
      </c>
      <c r="S497" s="992">
        <v>177858</v>
      </c>
    </row>
    <row r="498" spans="1:19" ht="22.5" x14ac:dyDescent="0.25">
      <c r="A498" s="989" t="s">
        <v>4956</v>
      </c>
      <c r="B498" s="989" t="s">
        <v>1797</v>
      </c>
      <c r="C498" s="989" t="s">
        <v>4976</v>
      </c>
      <c r="D498" s="989" t="s">
        <v>4976</v>
      </c>
      <c r="E498" s="989" t="s">
        <v>5076</v>
      </c>
      <c r="F498" s="990">
        <v>0</v>
      </c>
      <c r="G498" s="990">
        <v>0</v>
      </c>
      <c r="H498" s="990">
        <v>0</v>
      </c>
      <c r="I498" s="990">
        <v>0</v>
      </c>
      <c r="J498" s="990">
        <v>0</v>
      </c>
      <c r="K498" s="990">
        <v>0</v>
      </c>
      <c r="L498" s="990">
        <v>0</v>
      </c>
      <c r="M498" s="990">
        <v>0</v>
      </c>
      <c r="N498" s="994">
        <v>196274832</v>
      </c>
      <c r="O498" s="996"/>
      <c r="P498" s="990">
        <v>0</v>
      </c>
      <c r="Q498" s="990">
        <v>0</v>
      </c>
      <c r="R498" s="991">
        <v>0</v>
      </c>
      <c r="S498" s="992">
        <v>0</v>
      </c>
    </row>
    <row r="499" spans="1:19" ht="22.5" x14ac:dyDescent="0.25">
      <c r="A499" s="989" t="s">
        <v>4956</v>
      </c>
      <c r="B499" s="989" t="s">
        <v>1797</v>
      </c>
      <c r="C499" s="989" t="s">
        <v>316</v>
      </c>
      <c r="D499" s="989" t="s">
        <v>316</v>
      </c>
      <c r="E499" s="989" t="s">
        <v>2166</v>
      </c>
      <c r="F499" s="990">
        <v>11779766</v>
      </c>
      <c r="G499" s="990">
        <v>0</v>
      </c>
      <c r="H499" s="990">
        <v>385021704</v>
      </c>
      <c r="I499" s="990">
        <v>0</v>
      </c>
      <c r="J499" s="990">
        <v>0</v>
      </c>
      <c r="K499" s="990">
        <v>0</v>
      </c>
      <c r="L499" s="990">
        <v>0</v>
      </c>
      <c r="M499" s="990">
        <v>0</v>
      </c>
      <c r="N499" s="994">
        <v>0</v>
      </c>
      <c r="O499" s="994">
        <v>0</v>
      </c>
      <c r="P499" s="990">
        <v>385021704</v>
      </c>
      <c r="Q499" s="990">
        <v>0</v>
      </c>
      <c r="R499" s="991">
        <v>396801470</v>
      </c>
      <c r="S499" s="992">
        <v>0</v>
      </c>
    </row>
    <row r="500" spans="1:19" ht="22.5" x14ac:dyDescent="0.25">
      <c r="A500" s="989" t="s">
        <v>4956</v>
      </c>
      <c r="B500" s="989" t="s">
        <v>1797</v>
      </c>
      <c r="C500" s="989" t="s">
        <v>1730</v>
      </c>
      <c r="D500" s="989" t="s">
        <v>341</v>
      </c>
      <c r="E500" s="989" t="s">
        <v>2167</v>
      </c>
      <c r="F500" s="990">
        <v>4502</v>
      </c>
      <c r="G500" s="990">
        <v>0</v>
      </c>
      <c r="H500" s="990">
        <v>26344</v>
      </c>
      <c r="I500" s="990">
        <v>16</v>
      </c>
      <c r="J500" s="990">
        <v>5499819</v>
      </c>
      <c r="K500" s="990">
        <v>15669</v>
      </c>
      <c r="L500" s="990">
        <v>0</v>
      </c>
      <c r="M500" s="990">
        <v>0</v>
      </c>
      <c r="N500" s="994">
        <v>0</v>
      </c>
      <c r="O500" s="994">
        <v>0</v>
      </c>
      <c r="P500" s="990">
        <v>5526163</v>
      </c>
      <c r="Q500" s="990">
        <v>15685</v>
      </c>
      <c r="R500" s="991">
        <v>5530665</v>
      </c>
      <c r="S500" s="992">
        <v>15685</v>
      </c>
    </row>
    <row r="501" spans="1:19" ht="33.75" x14ac:dyDescent="0.25">
      <c r="A501" s="989" t="s">
        <v>4956</v>
      </c>
      <c r="B501" s="989" t="s">
        <v>1797</v>
      </c>
      <c r="C501" s="989" t="s">
        <v>1734</v>
      </c>
      <c r="D501" s="989" t="s">
        <v>343</v>
      </c>
      <c r="E501" s="989" t="s">
        <v>2168</v>
      </c>
      <c r="F501" s="990">
        <v>7229</v>
      </c>
      <c r="G501" s="990">
        <v>0</v>
      </c>
      <c r="H501" s="990">
        <v>2672241</v>
      </c>
      <c r="I501" s="990">
        <v>0</v>
      </c>
      <c r="J501" s="990">
        <v>0</v>
      </c>
      <c r="K501" s="990">
        <v>0</v>
      </c>
      <c r="L501" s="990">
        <v>0</v>
      </c>
      <c r="M501" s="990">
        <v>0</v>
      </c>
      <c r="N501" s="994">
        <v>0</v>
      </c>
      <c r="O501" s="994">
        <v>0</v>
      </c>
      <c r="P501" s="990">
        <v>2672241</v>
      </c>
      <c r="Q501" s="990">
        <v>0</v>
      </c>
      <c r="R501" s="991">
        <v>2679470</v>
      </c>
      <c r="S501" s="992">
        <v>0</v>
      </c>
    </row>
    <row r="502" spans="1:19" ht="45" x14ac:dyDescent="0.25">
      <c r="A502" s="989" t="s">
        <v>4956</v>
      </c>
      <c r="B502" s="989" t="s">
        <v>1798</v>
      </c>
      <c r="C502" s="989" t="s">
        <v>1726</v>
      </c>
      <c r="D502" s="989" t="s">
        <v>277</v>
      </c>
      <c r="E502" s="989" t="s">
        <v>2169</v>
      </c>
      <c r="F502" s="990">
        <v>7447014</v>
      </c>
      <c r="G502" s="990">
        <v>21197</v>
      </c>
      <c r="H502" s="990">
        <v>13051977</v>
      </c>
      <c r="I502" s="990">
        <v>37971</v>
      </c>
      <c r="J502" s="990">
        <v>120977356</v>
      </c>
      <c r="K502" s="990">
        <v>333050</v>
      </c>
      <c r="L502" s="990">
        <v>3013780</v>
      </c>
      <c r="M502" s="990">
        <v>5518</v>
      </c>
      <c r="N502" s="994">
        <v>0</v>
      </c>
      <c r="O502" s="994">
        <v>0</v>
      </c>
      <c r="P502" s="990">
        <v>137043113</v>
      </c>
      <c r="Q502" s="990">
        <v>376539</v>
      </c>
      <c r="R502" s="991">
        <v>144490127</v>
      </c>
      <c r="S502" s="992">
        <v>397736</v>
      </c>
    </row>
    <row r="503" spans="1:19" ht="22.5" x14ac:dyDescent="0.25">
      <c r="A503" s="989" t="s">
        <v>4956</v>
      </c>
      <c r="B503" s="989" t="s">
        <v>1798</v>
      </c>
      <c r="C503" s="989" t="s">
        <v>297</v>
      </c>
      <c r="D503" s="989" t="s">
        <v>297</v>
      </c>
      <c r="E503" s="989" t="s">
        <v>2170</v>
      </c>
      <c r="F503" s="990">
        <v>8717207</v>
      </c>
      <c r="G503" s="990">
        <v>0</v>
      </c>
      <c r="H503" s="990">
        <v>43602755</v>
      </c>
      <c r="I503" s="990">
        <v>0</v>
      </c>
      <c r="J503" s="990">
        <v>0</v>
      </c>
      <c r="K503" s="990">
        <v>0</v>
      </c>
      <c r="L503" s="990">
        <v>0</v>
      </c>
      <c r="M503" s="990">
        <v>0</v>
      </c>
      <c r="N503" s="994">
        <v>0</v>
      </c>
      <c r="O503" s="994">
        <v>0</v>
      </c>
      <c r="P503" s="990">
        <v>43602755</v>
      </c>
      <c r="Q503" s="990">
        <v>0</v>
      </c>
      <c r="R503" s="991">
        <v>52319962</v>
      </c>
      <c r="S503" s="992">
        <v>0</v>
      </c>
    </row>
    <row r="504" spans="1:19" ht="22.5" x14ac:dyDescent="0.25">
      <c r="A504" s="989" t="s">
        <v>4956</v>
      </c>
      <c r="B504" s="989" t="s">
        <v>1798</v>
      </c>
      <c r="C504" s="989" t="s">
        <v>4976</v>
      </c>
      <c r="D504" s="989" t="s">
        <v>4976</v>
      </c>
      <c r="E504" s="989" t="s">
        <v>5077</v>
      </c>
      <c r="F504" s="990">
        <v>0</v>
      </c>
      <c r="G504" s="990">
        <v>0</v>
      </c>
      <c r="H504" s="990">
        <v>0</v>
      </c>
      <c r="I504" s="990">
        <v>0</v>
      </c>
      <c r="J504" s="990">
        <v>0</v>
      </c>
      <c r="K504" s="990">
        <v>0</v>
      </c>
      <c r="L504" s="990">
        <v>0</v>
      </c>
      <c r="M504" s="990">
        <v>0</v>
      </c>
      <c r="N504" s="994">
        <v>14542159</v>
      </c>
      <c r="O504" s="994">
        <v>61045</v>
      </c>
      <c r="P504" s="990">
        <v>0</v>
      </c>
      <c r="Q504" s="990">
        <v>0</v>
      </c>
      <c r="R504" s="991">
        <v>0</v>
      </c>
      <c r="S504" s="992">
        <v>0</v>
      </c>
    </row>
    <row r="505" spans="1:19" ht="22.5" x14ac:dyDescent="0.25">
      <c r="A505" s="989" t="s">
        <v>4956</v>
      </c>
      <c r="B505" s="989" t="s">
        <v>1798</v>
      </c>
      <c r="C505" s="989" t="s">
        <v>316</v>
      </c>
      <c r="D505" s="989" t="s">
        <v>316</v>
      </c>
      <c r="E505" s="989" t="s">
        <v>2171</v>
      </c>
      <c r="F505" s="990">
        <v>5469909</v>
      </c>
      <c r="G505" s="990">
        <v>0</v>
      </c>
      <c r="H505" s="990">
        <v>148355832</v>
      </c>
      <c r="I505" s="990">
        <v>0</v>
      </c>
      <c r="J505" s="990">
        <v>0</v>
      </c>
      <c r="K505" s="990">
        <v>0</v>
      </c>
      <c r="L505" s="990">
        <v>0</v>
      </c>
      <c r="M505" s="990">
        <v>0</v>
      </c>
      <c r="N505" s="994">
        <v>0</v>
      </c>
      <c r="O505" s="994">
        <v>0</v>
      </c>
      <c r="P505" s="990">
        <v>148355832</v>
      </c>
      <c r="Q505" s="990">
        <v>0</v>
      </c>
      <c r="R505" s="991">
        <v>153825741</v>
      </c>
      <c r="S505" s="992">
        <v>0</v>
      </c>
    </row>
    <row r="506" spans="1:19" ht="33.75" x14ac:dyDescent="0.25">
      <c r="A506" s="989" t="s">
        <v>4956</v>
      </c>
      <c r="B506" s="989" t="s">
        <v>1798</v>
      </c>
      <c r="C506" s="989" t="s">
        <v>1733</v>
      </c>
      <c r="D506" s="989" t="s">
        <v>325</v>
      </c>
      <c r="E506" s="989" t="s">
        <v>2172</v>
      </c>
      <c r="F506" s="990">
        <v>60994</v>
      </c>
      <c r="G506" s="990">
        <v>164</v>
      </c>
      <c r="H506" s="990">
        <v>668139</v>
      </c>
      <c r="I506" s="990">
        <v>1848</v>
      </c>
      <c r="J506" s="990">
        <v>0</v>
      </c>
      <c r="K506" s="990">
        <v>0</v>
      </c>
      <c r="L506" s="990">
        <v>0</v>
      </c>
      <c r="M506" s="990">
        <v>0</v>
      </c>
      <c r="N506" s="994">
        <v>0</v>
      </c>
      <c r="O506" s="994">
        <v>0</v>
      </c>
      <c r="P506" s="990">
        <v>668139</v>
      </c>
      <c r="Q506" s="990">
        <v>1848</v>
      </c>
      <c r="R506" s="991">
        <v>729133</v>
      </c>
      <c r="S506" s="992">
        <v>2012</v>
      </c>
    </row>
    <row r="507" spans="1:19" ht="22.5" x14ac:dyDescent="0.25">
      <c r="A507" s="989" t="s">
        <v>4956</v>
      </c>
      <c r="B507" s="989" t="s">
        <v>1798</v>
      </c>
      <c r="C507" s="989" t="s">
        <v>1730</v>
      </c>
      <c r="D507" s="989" t="s">
        <v>341</v>
      </c>
      <c r="E507" s="989" t="s">
        <v>2173</v>
      </c>
      <c r="F507" s="990">
        <v>0</v>
      </c>
      <c r="G507" s="990">
        <v>0</v>
      </c>
      <c r="H507" s="990">
        <v>0</v>
      </c>
      <c r="I507" s="990">
        <v>0</v>
      </c>
      <c r="J507" s="990">
        <v>1393112</v>
      </c>
      <c r="K507" s="990">
        <v>3890</v>
      </c>
      <c r="L507" s="990">
        <v>0</v>
      </c>
      <c r="M507" s="990">
        <v>0</v>
      </c>
      <c r="N507" s="994">
        <v>0</v>
      </c>
      <c r="O507" s="994">
        <v>0</v>
      </c>
      <c r="P507" s="990">
        <v>1393112</v>
      </c>
      <c r="Q507" s="990">
        <v>3890</v>
      </c>
      <c r="R507" s="991">
        <v>1393112</v>
      </c>
      <c r="S507" s="992">
        <v>3890</v>
      </c>
    </row>
    <row r="508" spans="1:19" ht="33.75" x14ac:dyDescent="0.25">
      <c r="A508" s="989" t="s">
        <v>4956</v>
      </c>
      <c r="B508" s="989" t="s">
        <v>1798</v>
      </c>
      <c r="C508" s="989" t="s">
        <v>1734</v>
      </c>
      <c r="D508" s="989" t="s">
        <v>343</v>
      </c>
      <c r="E508" s="989" t="s">
        <v>2174</v>
      </c>
      <c r="F508" s="990">
        <v>5612</v>
      </c>
      <c r="G508" s="990">
        <v>0</v>
      </c>
      <c r="H508" s="990">
        <v>830424</v>
      </c>
      <c r="I508" s="990">
        <v>0</v>
      </c>
      <c r="J508" s="990">
        <v>122691</v>
      </c>
      <c r="K508" s="990">
        <v>0</v>
      </c>
      <c r="L508" s="990">
        <v>0</v>
      </c>
      <c r="M508" s="990">
        <v>0</v>
      </c>
      <c r="N508" s="994">
        <v>0</v>
      </c>
      <c r="O508" s="994">
        <v>0</v>
      </c>
      <c r="P508" s="990">
        <v>953115</v>
      </c>
      <c r="Q508" s="990">
        <v>0</v>
      </c>
      <c r="R508" s="991">
        <v>958727</v>
      </c>
      <c r="S508" s="992">
        <v>0</v>
      </c>
    </row>
    <row r="509" spans="1:19" ht="45" x14ac:dyDescent="0.25">
      <c r="A509" s="989" t="s">
        <v>4956</v>
      </c>
      <c r="B509" s="989" t="s">
        <v>1799</v>
      </c>
      <c r="C509" s="989" t="s">
        <v>1726</v>
      </c>
      <c r="D509" s="989" t="s">
        <v>257</v>
      </c>
      <c r="E509" s="989" t="s">
        <v>2175</v>
      </c>
      <c r="F509" s="990">
        <v>26626552</v>
      </c>
      <c r="G509" s="990">
        <v>50861</v>
      </c>
      <c r="H509" s="990">
        <v>0</v>
      </c>
      <c r="I509" s="990">
        <v>0</v>
      </c>
      <c r="J509" s="990">
        <v>19123975</v>
      </c>
      <c r="K509" s="990">
        <v>47731</v>
      </c>
      <c r="L509" s="990">
        <v>0</v>
      </c>
      <c r="M509" s="990">
        <v>0</v>
      </c>
      <c r="N509" s="994">
        <v>0</v>
      </c>
      <c r="O509" s="994">
        <v>0</v>
      </c>
      <c r="P509" s="990">
        <v>19123975</v>
      </c>
      <c r="Q509" s="990">
        <v>47731</v>
      </c>
      <c r="R509" s="991">
        <v>45750527</v>
      </c>
      <c r="S509" s="992">
        <v>98592</v>
      </c>
    </row>
    <row r="510" spans="1:19" ht="45" x14ac:dyDescent="0.25">
      <c r="A510" s="989" t="s">
        <v>4956</v>
      </c>
      <c r="B510" s="989" t="s">
        <v>1799</v>
      </c>
      <c r="C510" s="989" t="s">
        <v>1726</v>
      </c>
      <c r="D510" s="989" t="s">
        <v>281</v>
      </c>
      <c r="E510" s="989" t="s">
        <v>2176</v>
      </c>
      <c r="F510" s="990">
        <v>2698546</v>
      </c>
      <c r="G510" s="990">
        <v>10645</v>
      </c>
      <c r="H510" s="990">
        <v>489077</v>
      </c>
      <c r="I510" s="990">
        <v>1281</v>
      </c>
      <c r="J510" s="990">
        <v>15841990</v>
      </c>
      <c r="K510" s="990">
        <v>41479</v>
      </c>
      <c r="L510" s="990">
        <v>0</v>
      </c>
      <c r="M510" s="990">
        <v>0</v>
      </c>
      <c r="N510" s="994">
        <v>0</v>
      </c>
      <c r="O510" s="994">
        <v>0</v>
      </c>
      <c r="P510" s="990">
        <v>16331067</v>
      </c>
      <c r="Q510" s="990">
        <v>42760</v>
      </c>
      <c r="R510" s="991">
        <v>19029613</v>
      </c>
      <c r="S510" s="992">
        <v>53405</v>
      </c>
    </row>
    <row r="511" spans="1:19" ht="22.5" x14ac:dyDescent="0.25">
      <c r="A511" s="989" t="s">
        <v>4956</v>
      </c>
      <c r="B511" s="989" t="s">
        <v>1799</v>
      </c>
      <c r="C511" s="989" t="s">
        <v>297</v>
      </c>
      <c r="D511" s="989" t="s">
        <v>297</v>
      </c>
      <c r="E511" s="989" t="s">
        <v>2177</v>
      </c>
      <c r="F511" s="990">
        <v>2326530</v>
      </c>
      <c r="G511" s="990">
        <v>0</v>
      </c>
      <c r="H511" s="990">
        <v>9083861</v>
      </c>
      <c r="I511" s="990">
        <v>0</v>
      </c>
      <c r="J511" s="990">
        <v>0</v>
      </c>
      <c r="K511" s="990">
        <v>0</v>
      </c>
      <c r="L511" s="990">
        <v>0</v>
      </c>
      <c r="M511" s="990">
        <v>0</v>
      </c>
      <c r="N511" s="994">
        <v>0</v>
      </c>
      <c r="O511" s="994">
        <v>0</v>
      </c>
      <c r="P511" s="990">
        <v>9083861</v>
      </c>
      <c r="Q511" s="990">
        <v>0</v>
      </c>
      <c r="R511" s="991">
        <v>11410391</v>
      </c>
      <c r="S511" s="992">
        <v>0</v>
      </c>
    </row>
    <row r="512" spans="1:19" ht="22.5" x14ac:dyDescent="0.25">
      <c r="A512" s="989" t="s">
        <v>4956</v>
      </c>
      <c r="B512" s="989" t="s">
        <v>1799</v>
      </c>
      <c r="C512" s="989" t="s">
        <v>4976</v>
      </c>
      <c r="D512" s="989" t="s">
        <v>4976</v>
      </c>
      <c r="E512" s="989" t="s">
        <v>5078</v>
      </c>
      <c r="F512" s="990">
        <v>0</v>
      </c>
      <c r="G512" s="990">
        <v>0</v>
      </c>
      <c r="H512" s="990">
        <v>0</v>
      </c>
      <c r="I512" s="990">
        <v>0</v>
      </c>
      <c r="J512" s="990">
        <v>0</v>
      </c>
      <c r="K512" s="990">
        <v>0</v>
      </c>
      <c r="L512" s="990">
        <v>0</v>
      </c>
      <c r="M512" s="990">
        <v>0</v>
      </c>
      <c r="N512" s="994">
        <v>11318188</v>
      </c>
      <c r="O512" s="994">
        <v>19738.80078125</v>
      </c>
      <c r="P512" s="990">
        <v>0</v>
      </c>
      <c r="Q512" s="990">
        <v>0</v>
      </c>
      <c r="R512" s="991">
        <v>0</v>
      </c>
      <c r="S512" s="992">
        <v>0</v>
      </c>
    </row>
    <row r="513" spans="1:19" ht="22.5" x14ac:dyDescent="0.25">
      <c r="A513" s="989" t="s">
        <v>4956</v>
      </c>
      <c r="B513" s="989" t="s">
        <v>1799</v>
      </c>
      <c r="C513" s="989" t="s">
        <v>316</v>
      </c>
      <c r="D513" s="989" t="s">
        <v>316</v>
      </c>
      <c r="E513" s="989" t="s">
        <v>2178</v>
      </c>
      <c r="F513" s="990">
        <v>859600</v>
      </c>
      <c r="G513" s="990">
        <v>0</v>
      </c>
      <c r="H513" s="990">
        <v>23003510</v>
      </c>
      <c r="I513" s="990">
        <v>0</v>
      </c>
      <c r="J513" s="990">
        <v>0</v>
      </c>
      <c r="K513" s="990">
        <v>0</v>
      </c>
      <c r="L513" s="990">
        <v>0</v>
      </c>
      <c r="M513" s="990">
        <v>0</v>
      </c>
      <c r="N513" s="994">
        <v>0</v>
      </c>
      <c r="O513" s="994">
        <v>0</v>
      </c>
      <c r="P513" s="990">
        <v>23003510</v>
      </c>
      <c r="Q513" s="990">
        <v>0</v>
      </c>
      <c r="R513" s="991">
        <v>23863110</v>
      </c>
      <c r="S513" s="992">
        <v>0</v>
      </c>
    </row>
    <row r="514" spans="1:19" ht="33.75" x14ac:dyDescent="0.25">
      <c r="A514" s="989" t="s">
        <v>4956</v>
      </c>
      <c r="B514" s="989" t="s">
        <v>1799</v>
      </c>
      <c r="C514" s="989" t="s">
        <v>1733</v>
      </c>
      <c r="D514" s="989" t="s">
        <v>325</v>
      </c>
      <c r="E514" s="989" t="s">
        <v>2179</v>
      </c>
      <c r="F514" s="990">
        <v>2252</v>
      </c>
      <c r="G514" s="990">
        <v>7</v>
      </c>
      <c r="H514" s="990">
        <v>17422</v>
      </c>
      <c r="I514" s="990">
        <v>48</v>
      </c>
      <c r="J514" s="990">
        <v>0</v>
      </c>
      <c r="K514" s="990">
        <v>0</v>
      </c>
      <c r="L514" s="990">
        <v>0</v>
      </c>
      <c r="M514" s="990">
        <v>0</v>
      </c>
      <c r="N514" s="994">
        <v>0</v>
      </c>
      <c r="O514" s="994">
        <v>0</v>
      </c>
      <c r="P514" s="990">
        <v>17422</v>
      </c>
      <c r="Q514" s="990">
        <v>48</v>
      </c>
      <c r="R514" s="991">
        <v>19674</v>
      </c>
      <c r="S514" s="992">
        <v>55</v>
      </c>
    </row>
    <row r="515" spans="1:19" ht="22.5" x14ac:dyDescent="0.25">
      <c r="A515" s="989" t="s">
        <v>4956</v>
      </c>
      <c r="B515" s="989" t="s">
        <v>1799</v>
      </c>
      <c r="C515" s="989" t="s">
        <v>1730</v>
      </c>
      <c r="D515" s="989" t="s">
        <v>341</v>
      </c>
      <c r="E515" s="989" t="s">
        <v>2180</v>
      </c>
      <c r="F515" s="990">
        <v>18900</v>
      </c>
      <c r="G515" s="990">
        <v>53</v>
      </c>
      <c r="H515" s="990">
        <v>0</v>
      </c>
      <c r="I515" s="990">
        <v>0</v>
      </c>
      <c r="J515" s="990">
        <v>678459</v>
      </c>
      <c r="K515" s="990">
        <v>1867</v>
      </c>
      <c r="L515" s="990">
        <v>0</v>
      </c>
      <c r="M515" s="990">
        <v>0</v>
      </c>
      <c r="N515" s="994">
        <v>0</v>
      </c>
      <c r="O515" s="994">
        <v>0</v>
      </c>
      <c r="P515" s="990">
        <v>678459</v>
      </c>
      <c r="Q515" s="990">
        <v>1867</v>
      </c>
      <c r="R515" s="991">
        <v>697359</v>
      </c>
      <c r="S515" s="992">
        <v>1920</v>
      </c>
    </row>
    <row r="516" spans="1:19" ht="33.75" x14ac:dyDescent="0.25">
      <c r="A516" s="989" t="s">
        <v>4956</v>
      </c>
      <c r="B516" s="989" t="s">
        <v>1799</v>
      </c>
      <c r="C516" s="989" t="s">
        <v>1734</v>
      </c>
      <c r="D516" s="989" t="s">
        <v>343</v>
      </c>
      <c r="E516" s="989" t="s">
        <v>2181</v>
      </c>
      <c r="F516" s="990">
        <v>357</v>
      </c>
      <c r="G516" s="990">
        <v>0</v>
      </c>
      <c r="H516" s="990">
        <v>6444</v>
      </c>
      <c r="I516" s="990">
        <v>0</v>
      </c>
      <c r="J516" s="990">
        <v>0</v>
      </c>
      <c r="K516" s="990">
        <v>0</v>
      </c>
      <c r="L516" s="990">
        <v>0</v>
      </c>
      <c r="M516" s="990">
        <v>0</v>
      </c>
      <c r="N516" s="994">
        <v>0</v>
      </c>
      <c r="O516" s="994">
        <v>0</v>
      </c>
      <c r="P516" s="990">
        <v>6444</v>
      </c>
      <c r="Q516" s="990">
        <v>0</v>
      </c>
      <c r="R516" s="991">
        <v>6801</v>
      </c>
      <c r="S516" s="992">
        <v>0</v>
      </c>
    </row>
    <row r="517" spans="1:19" ht="45" x14ac:dyDescent="0.25">
      <c r="A517" s="989" t="s">
        <v>4956</v>
      </c>
      <c r="B517" s="989" t="s">
        <v>1800</v>
      </c>
      <c r="C517" s="989" t="s">
        <v>1726</v>
      </c>
      <c r="D517" s="989" t="s">
        <v>278</v>
      </c>
      <c r="E517" s="989" t="s">
        <v>2182</v>
      </c>
      <c r="F517" s="990">
        <v>5428793</v>
      </c>
      <c r="G517" s="990">
        <v>12918</v>
      </c>
      <c r="H517" s="990">
        <v>3347146</v>
      </c>
      <c r="I517" s="990">
        <v>9924.4699999999993</v>
      </c>
      <c r="J517" s="990">
        <v>10358520</v>
      </c>
      <c r="K517" s="990">
        <v>30899.23</v>
      </c>
      <c r="L517" s="990">
        <v>0</v>
      </c>
      <c r="M517" s="990">
        <v>0</v>
      </c>
      <c r="N517" s="994">
        <v>0</v>
      </c>
      <c r="O517" s="994">
        <v>0</v>
      </c>
      <c r="P517" s="990">
        <v>13705666</v>
      </c>
      <c r="Q517" s="990">
        <v>40823.699999999997</v>
      </c>
      <c r="R517" s="991">
        <v>19134459</v>
      </c>
      <c r="S517" s="992">
        <v>53742.03</v>
      </c>
    </row>
    <row r="518" spans="1:19" ht="45" x14ac:dyDescent="0.25">
      <c r="A518" s="989" t="s">
        <v>4956</v>
      </c>
      <c r="B518" s="989" t="s">
        <v>1800</v>
      </c>
      <c r="C518" s="989" t="s">
        <v>1726</v>
      </c>
      <c r="D518" s="989" t="s">
        <v>282</v>
      </c>
      <c r="E518" s="989" t="s">
        <v>2183</v>
      </c>
      <c r="F518" s="990">
        <v>7189698</v>
      </c>
      <c r="G518" s="990">
        <v>14535</v>
      </c>
      <c r="H518" s="990">
        <v>0</v>
      </c>
      <c r="I518" s="990">
        <v>0</v>
      </c>
      <c r="J518" s="990">
        <v>11346279</v>
      </c>
      <c r="K518" s="990">
        <v>29772.639999999999</v>
      </c>
      <c r="L518" s="990">
        <v>0</v>
      </c>
      <c r="M518" s="990">
        <v>0</v>
      </c>
      <c r="N518" s="994">
        <v>0</v>
      </c>
      <c r="O518" s="994">
        <v>0</v>
      </c>
      <c r="P518" s="990">
        <v>11346279</v>
      </c>
      <c r="Q518" s="990">
        <v>29772.639999999999</v>
      </c>
      <c r="R518" s="991">
        <v>18535977</v>
      </c>
      <c r="S518" s="992">
        <v>44308</v>
      </c>
    </row>
    <row r="519" spans="1:19" ht="22.5" x14ac:dyDescent="0.25">
      <c r="A519" s="989" t="s">
        <v>4956</v>
      </c>
      <c r="B519" s="989" t="s">
        <v>1800</v>
      </c>
      <c r="C519" s="989" t="s">
        <v>297</v>
      </c>
      <c r="D519" s="989" t="s">
        <v>297</v>
      </c>
      <c r="E519" s="989" t="s">
        <v>2184</v>
      </c>
      <c r="F519" s="990">
        <v>2500200</v>
      </c>
      <c r="G519" s="990">
        <v>0</v>
      </c>
      <c r="H519" s="990">
        <v>11534784</v>
      </c>
      <c r="I519" s="990">
        <v>0</v>
      </c>
      <c r="J519" s="990">
        <v>0</v>
      </c>
      <c r="K519" s="990">
        <v>0</v>
      </c>
      <c r="L519" s="990">
        <v>0</v>
      </c>
      <c r="M519" s="990">
        <v>0</v>
      </c>
      <c r="N519" s="994">
        <v>0</v>
      </c>
      <c r="O519" s="994">
        <v>0</v>
      </c>
      <c r="P519" s="990">
        <v>11534784</v>
      </c>
      <c r="Q519" s="990">
        <v>0</v>
      </c>
      <c r="R519" s="991">
        <v>14034984</v>
      </c>
      <c r="S519" s="992">
        <v>0</v>
      </c>
    </row>
    <row r="520" spans="1:19" ht="22.5" x14ac:dyDescent="0.25">
      <c r="A520" s="989" t="s">
        <v>4956</v>
      </c>
      <c r="B520" s="989" t="s">
        <v>1800</v>
      </c>
      <c r="C520" s="989" t="s">
        <v>1732</v>
      </c>
      <c r="D520" s="989" t="s">
        <v>306</v>
      </c>
      <c r="E520" s="989" t="s">
        <v>2185</v>
      </c>
      <c r="F520" s="990">
        <v>0</v>
      </c>
      <c r="G520" s="990">
        <v>0</v>
      </c>
      <c r="H520" s="990">
        <v>0</v>
      </c>
      <c r="I520" s="990">
        <v>0</v>
      </c>
      <c r="J520" s="990">
        <v>0</v>
      </c>
      <c r="K520" s="990">
        <v>0</v>
      </c>
      <c r="L520" s="990">
        <v>63334264</v>
      </c>
      <c r="M520" s="990">
        <v>158301.40625</v>
      </c>
      <c r="N520" s="994">
        <v>0</v>
      </c>
      <c r="O520" s="994">
        <v>0</v>
      </c>
      <c r="P520" s="990">
        <v>63334264</v>
      </c>
      <c r="Q520" s="990">
        <v>158301.4</v>
      </c>
      <c r="R520" s="991">
        <v>63334264</v>
      </c>
      <c r="S520" s="992">
        <v>158301.4</v>
      </c>
    </row>
    <row r="521" spans="1:19" ht="22.5" x14ac:dyDescent="0.25">
      <c r="A521" s="989" t="s">
        <v>4956</v>
      </c>
      <c r="B521" s="989" t="s">
        <v>1800</v>
      </c>
      <c r="C521" s="989" t="s">
        <v>4976</v>
      </c>
      <c r="D521" s="989" t="s">
        <v>4976</v>
      </c>
      <c r="E521" s="989" t="s">
        <v>5079</v>
      </c>
      <c r="F521" s="990">
        <v>0</v>
      </c>
      <c r="G521" s="990">
        <v>0</v>
      </c>
      <c r="H521" s="990">
        <v>0</v>
      </c>
      <c r="I521" s="990">
        <v>0</v>
      </c>
      <c r="J521" s="990">
        <v>0</v>
      </c>
      <c r="K521" s="990">
        <v>0</v>
      </c>
      <c r="L521" s="990">
        <v>0</v>
      </c>
      <c r="M521" s="990">
        <v>0</v>
      </c>
      <c r="N521" s="994">
        <v>8950719</v>
      </c>
      <c r="O521" s="994">
        <v>16378.599609375</v>
      </c>
      <c r="P521" s="990">
        <v>0</v>
      </c>
      <c r="Q521" s="990">
        <v>0</v>
      </c>
      <c r="R521" s="991">
        <v>0</v>
      </c>
      <c r="S521" s="992">
        <v>0</v>
      </c>
    </row>
    <row r="522" spans="1:19" ht="22.5" x14ac:dyDescent="0.25">
      <c r="A522" s="989" t="s">
        <v>4956</v>
      </c>
      <c r="B522" s="989" t="s">
        <v>1800</v>
      </c>
      <c r="C522" s="989" t="s">
        <v>316</v>
      </c>
      <c r="D522" s="989" t="s">
        <v>316</v>
      </c>
      <c r="E522" s="989" t="s">
        <v>2186</v>
      </c>
      <c r="F522" s="990">
        <v>883373</v>
      </c>
      <c r="G522" s="990">
        <v>0</v>
      </c>
      <c r="H522" s="990">
        <v>22831257</v>
      </c>
      <c r="I522" s="990">
        <v>0</v>
      </c>
      <c r="J522" s="990">
        <v>0</v>
      </c>
      <c r="K522" s="990">
        <v>0</v>
      </c>
      <c r="L522" s="990">
        <v>0</v>
      </c>
      <c r="M522" s="990">
        <v>0</v>
      </c>
      <c r="N522" s="994">
        <v>0</v>
      </c>
      <c r="O522" s="994">
        <v>0</v>
      </c>
      <c r="P522" s="990">
        <v>22831257</v>
      </c>
      <c r="Q522" s="990">
        <v>0</v>
      </c>
      <c r="R522" s="991">
        <v>23714630</v>
      </c>
      <c r="S522" s="992">
        <v>0</v>
      </c>
    </row>
    <row r="523" spans="1:19" ht="33.75" x14ac:dyDescent="0.25">
      <c r="A523" s="989" t="s">
        <v>4956</v>
      </c>
      <c r="B523" s="989" t="s">
        <v>1800</v>
      </c>
      <c r="C523" s="989" t="s">
        <v>1733</v>
      </c>
      <c r="D523" s="989" t="s">
        <v>325</v>
      </c>
      <c r="E523" s="989" t="s">
        <v>2187</v>
      </c>
      <c r="F523" s="990">
        <v>0</v>
      </c>
      <c r="G523" s="990">
        <v>0</v>
      </c>
      <c r="H523" s="990">
        <v>1927</v>
      </c>
      <c r="I523" s="990">
        <v>5.35</v>
      </c>
      <c r="J523" s="990">
        <v>0</v>
      </c>
      <c r="K523" s="990">
        <v>0</v>
      </c>
      <c r="L523" s="990">
        <v>0</v>
      </c>
      <c r="M523" s="990">
        <v>0</v>
      </c>
      <c r="N523" s="994">
        <v>0</v>
      </c>
      <c r="O523" s="994">
        <v>0</v>
      </c>
      <c r="P523" s="990">
        <v>1927</v>
      </c>
      <c r="Q523" s="990">
        <v>5.35</v>
      </c>
      <c r="R523" s="991">
        <v>1927</v>
      </c>
      <c r="S523" s="992">
        <v>5.35</v>
      </c>
    </row>
    <row r="524" spans="1:19" ht="22.5" x14ac:dyDescent="0.25">
      <c r="A524" s="989" t="s">
        <v>4956</v>
      </c>
      <c r="B524" s="989" t="s">
        <v>1800</v>
      </c>
      <c r="C524" s="989" t="s">
        <v>1730</v>
      </c>
      <c r="D524" s="989" t="s">
        <v>341</v>
      </c>
      <c r="E524" s="989" t="s">
        <v>2188</v>
      </c>
      <c r="F524" s="990">
        <v>299665</v>
      </c>
      <c r="G524" s="990">
        <v>826</v>
      </c>
      <c r="H524" s="990">
        <v>81342</v>
      </c>
      <c r="I524" s="990">
        <v>225.91</v>
      </c>
      <c r="J524" s="990">
        <v>0</v>
      </c>
      <c r="K524" s="990">
        <v>0</v>
      </c>
      <c r="L524" s="990">
        <v>0</v>
      </c>
      <c r="M524" s="990">
        <v>0</v>
      </c>
      <c r="N524" s="994">
        <v>0</v>
      </c>
      <c r="O524" s="994">
        <v>0</v>
      </c>
      <c r="P524" s="990">
        <v>81342</v>
      </c>
      <c r="Q524" s="990">
        <v>225.91</v>
      </c>
      <c r="R524" s="991">
        <v>381007</v>
      </c>
      <c r="S524" s="992">
        <v>1052.56</v>
      </c>
    </row>
    <row r="525" spans="1:19" ht="33.75" x14ac:dyDescent="0.25">
      <c r="A525" s="989" t="s">
        <v>4956</v>
      </c>
      <c r="B525" s="989" t="s">
        <v>1800</v>
      </c>
      <c r="C525" s="989" t="s">
        <v>1734</v>
      </c>
      <c r="D525" s="989" t="s">
        <v>343</v>
      </c>
      <c r="E525" s="989" t="s">
        <v>2189</v>
      </c>
      <c r="F525" s="990">
        <v>0</v>
      </c>
      <c r="G525" s="990">
        <v>0</v>
      </c>
      <c r="H525" s="990">
        <v>83100</v>
      </c>
      <c r="I525" s="990">
        <v>0</v>
      </c>
      <c r="J525" s="990">
        <v>0</v>
      </c>
      <c r="K525" s="990">
        <v>0</v>
      </c>
      <c r="L525" s="990">
        <v>0</v>
      </c>
      <c r="M525" s="990">
        <v>0</v>
      </c>
      <c r="N525" s="994">
        <v>0</v>
      </c>
      <c r="O525" s="994">
        <v>0</v>
      </c>
      <c r="P525" s="990">
        <v>83100</v>
      </c>
      <c r="Q525" s="990">
        <v>0</v>
      </c>
      <c r="R525" s="991">
        <v>83100</v>
      </c>
      <c r="S525" s="992">
        <v>0</v>
      </c>
    </row>
    <row r="526" spans="1:19" ht="45" x14ac:dyDescent="0.25">
      <c r="A526" s="989" t="s">
        <v>4956</v>
      </c>
      <c r="B526" s="989" t="s">
        <v>1801</v>
      </c>
      <c r="C526" s="989" t="s">
        <v>1726</v>
      </c>
      <c r="D526" s="989" t="s">
        <v>277</v>
      </c>
      <c r="E526" s="989" t="s">
        <v>2190</v>
      </c>
      <c r="F526" s="990">
        <v>63693996.600000001</v>
      </c>
      <c r="G526" s="990">
        <v>153711</v>
      </c>
      <c r="H526" s="990">
        <v>9066533</v>
      </c>
      <c r="I526" s="990">
        <v>25943</v>
      </c>
      <c r="J526" s="990">
        <v>97506110</v>
      </c>
      <c r="K526" s="990">
        <v>259381</v>
      </c>
      <c r="L526" s="990">
        <v>1827725</v>
      </c>
      <c r="M526" s="990">
        <v>4899</v>
      </c>
      <c r="N526" s="994">
        <v>0</v>
      </c>
      <c r="O526" s="994">
        <v>0</v>
      </c>
      <c r="P526" s="990">
        <v>108400368</v>
      </c>
      <c r="Q526" s="990">
        <v>290223</v>
      </c>
      <c r="R526" s="991">
        <v>172094364.59999999</v>
      </c>
      <c r="S526" s="992">
        <v>443934.6</v>
      </c>
    </row>
    <row r="527" spans="1:19" ht="22.5" x14ac:dyDescent="0.25">
      <c r="A527" s="989" t="s">
        <v>4956</v>
      </c>
      <c r="B527" s="989" t="s">
        <v>1801</v>
      </c>
      <c r="C527" s="989" t="s">
        <v>297</v>
      </c>
      <c r="D527" s="989" t="s">
        <v>297</v>
      </c>
      <c r="E527" s="989" t="s">
        <v>2191</v>
      </c>
      <c r="F527" s="990">
        <v>17569114</v>
      </c>
      <c r="G527" s="990">
        <v>0</v>
      </c>
      <c r="H527" s="990">
        <v>50182105</v>
      </c>
      <c r="I527" s="990">
        <v>0</v>
      </c>
      <c r="J527" s="990">
        <v>0</v>
      </c>
      <c r="K527" s="990">
        <v>0</v>
      </c>
      <c r="L527" s="990">
        <v>0</v>
      </c>
      <c r="M527" s="990">
        <v>0</v>
      </c>
      <c r="N527" s="994">
        <v>0</v>
      </c>
      <c r="O527" s="994">
        <v>0</v>
      </c>
      <c r="P527" s="990">
        <v>50182105</v>
      </c>
      <c r="Q527" s="990">
        <v>0</v>
      </c>
      <c r="R527" s="991">
        <v>67751219</v>
      </c>
      <c r="S527" s="992">
        <v>0</v>
      </c>
    </row>
    <row r="528" spans="1:19" ht="22.5" x14ac:dyDescent="0.25">
      <c r="A528" s="989" t="s">
        <v>4956</v>
      </c>
      <c r="B528" s="989" t="s">
        <v>1801</v>
      </c>
      <c r="C528" s="989" t="s">
        <v>4976</v>
      </c>
      <c r="D528" s="989" t="s">
        <v>4976</v>
      </c>
      <c r="E528" s="989" t="s">
        <v>5080</v>
      </c>
      <c r="F528" s="990">
        <v>0</v>
      </c>
      <c r="G528" s="990">
        <v>0</v>
      </c>
      <c r="H528" s="990">
        <v>0</v>
      </c>
      <c r="I528" s="990">
        <v>0</v>
      </c>
      <c r="J528" s="990">
        <v>0</v>
      </c>
      <c r="K528" s="990">
        <v>0</v>
      </c>
      <c r="L528" s="990">
        <v>0</v>
      </c>
      <c r="M528" s="990">
        <v>0</v>
      </c>
      <c r="N528" s="994">
        <v>36676920</v>
      </c>
      <c r="O528" s="994">
        <v>75716</v>
      </c>
      <c r="P528" s="990">
        <v>0</v>
      </c>
      <c r="Q528" s="990">
        <v>0</v>
      </c>
      <c r="R528" s="991">
        <v>0</v>
      </c>
      <c r="S528" s="992">
        <v>0</v>
      </c>
    </row>
    <row r="529" spans="1:19" ht="22.5" x14ac:dyDescent="0.25">
      <c r="A529" s="989" t="s">
        <v>4956</v>
      </c>
      <c r="B529" s="989" t="s">
        <v>1801</v>
      </c>
      <c r="C529" s="989" t="s">
        <v>316</v>
      </c>
      <c r="D529" s="989" t="s">
        <v>316</v>
      </c>
      <c r="E529" s="989" t="s">
        <v>2192</v>
      </c>
      <c r="F529" s="990">
        <v>4883172.2</v>
      </c>
      <c r="G529" s="990">
        <v>0</v>
      </c>
      <c r="H529" s="990">
        <v>170346881</v>
      </c>
      <c r="I529" s="990">
        <v>0</v>
      </c>
      <c r="J529" s="990">
        <v>0</v>
      </c>
      <c r="K529" s="990">
        <v>0</v>
      </c>
      <c r="L529" s="990">
        <v>0</v>
      </c>
      <c r="M529" s="990">
        <v>0</v>
      </c>
      <c r="N529" s="994">
        <v>0</v>
      </c>
      <c r="O529" s="994">
        <v>0</v>
      </c>
      <c r="P529" s="990">
        <v>170346881</v>
      </c>
      <c r="Q529" s="990">
        <v>0</v>
      </c>
      <c r="R529" s="991">
        <v>175230053.19999999</v>
      </c>
      <c r="S529" s="992">
        <v>0</v>
      </c>
    </row>
    <row r="530" spans="1:19" ht="33.75" x14ac:dyDescent="0.25">
      <c r="A530" s="989" t="s">
        <v>4956</v>
      </c>
      <c r="B530" s="989" t="s">
        <v>1801</v>
      </c>
      <c r="C530" s="989" t="s">
        <v>1733</v>
      </c>
      <c r="D530" s="989" t="s">
        <v>325</v>
      </c>
      <c r="E530" s="989" t="s">
        <v>2193</v>
      </c>
      <c r="F530" s="990">
        <v>1872.4</v>
      </c>
      <c r="G530" s="990">
        <v>5</v>
      </c>
      <c r="H530" s="990">
        <v>5985</v>
      </c>
      <c r="I530" s="990">
        <v>11</v>
      </c>
      <c r="J530" s="990">
        <v>0</v>
      </c>
      <c r="K530" s="990">
        <v>0</v>
      </c>
      <c r="L530" s="990">
        <v>0</v>
      </c>
      <c r="M530" s="990">
        <v>0</v>
      </c>
      <c r="N530" s="994">
        <v>0</v>
      </c>
      <c r="O530" s="994">
        <v>0</v>
      </c>
      <c r="P530" s="990">
        <v>5985</v>
      </c>
      <c r="Q530" s="990">
        <v>11</v>
      </c>
      <c r="R530" s="991">
        <v>7857.4</v>
      </c>
      <c r="S530" s="992">
        <v>16.5</v>
      </c>
    </row>
    <row r="531" spans="1:19" ht="22.5" x14ac:dyDescent="0.25">
      <c r="A531" s="989" t="s">
        <v>4956</v>
      </c>
      <c r="B531" s="989" t="s">
        <v>1801</v>
      </c>
      <c r="C531" s="989" t="s">
        <v>1730</v>
      </c>
      <c r="D531" s="989" t="s">
        <v>341</v>
      </c>
      <c r="E531" s="989" t="s">
        <v>2194</v>
      </c>
      <c r="F531" s="990">
        <v>1728885.5</v>
      </c>
      <c r="G531" s="990">
        <v>4639</v>
      </c>
      <c r="H531" s="990">
        <v>9054</v>
      </c>
      <c r="I531" s="990">
        <v>25</v>
      </c>
      <c r="J531" s="990">
        <v>1029045</v>
      </c>
      <c r="K531" s="990">
        <v>2771</v>
      </c>
      <c r="L531" s="990">
        <v>0</v>
      </c>
      <c r="M531" s="990">
        <v>0</v>
      </c>
      <c r="N531" s="994">
        <v>0</v>
      </c>
      <c r="O531" s="994">
        <v>0</v>
      </c>
      <c r="P531" s="990">
        <v>1038099</v>
      </c>
      <c r="Q531" s="990">
        <v>2796</v>
      </c>
      <c r="R531" s="991">
        <v>2766984.5</v>
      </c>
      <c r="S531" s="992">
        <v>7435.8</v>
      </c>
    </row>
    <row r="532" spans="1:19" ht="33.75" x14ac:dyDescent="0.25">
      <c r="A532" s="989" t="s">
        <v>4956</v>
      </c>
      <c r="B532" s="989" t="s">
        <v>1801</v>
      </c>
      <c r="C532" s="989" t="s">
        <v>1734</v>
      </c>
      <c r="D532" s="989" t="s">
        <v>343</v>
      </c>
      <c r="E532" s="989" t="s">
        <v>2195</v>
      </c>
      <c r="F532" s="990">
        <v>55511.8</v>
      </c>
      <c r="G532" s="990">
        <v>0</v>
      </c>
      <c r="H532" s="990">
        <v>206241</v>
      </c>
      <c r="I532" s="990">
        <v>0</v>
      </c>
      <c r="J532" s="990">
        <v>0</v>
      </c>
      <c r="K532" s="990">
        <v>0</v>
      </c>
      <c r="L532" s="990">
        <v>0</v>
      </c>
      <c r="M532" s="990">
        <v>0</v>
      </c>
      <c r="N532" s="994">
        <v>0</v>
      </c>
      <c r="O532" s="994">
        <v>0</v>
      </c>
      <c r="P532" s="990">
        <v>206241</v>
      </c>
      <c r="Q532" s="990">
        <v>0</v>
      </c>
      <c r="R532" s="991">
        <v>261752.8</v>
      </c>
      <c r="S532" s="992">
        <v>0</v>
      </c>
    </row>
    <row r="533" spans="1:19" ht="45" x14ac:dyDescent="0.25">
      <c r="A533" s="989" t="s">
        <v>4956</v>
      </c>
      <c r="B533" s="989" t="s">
        <v>1802</v>
      </c>
      <c r="C533" s="989" t="s">
        <v>1726</v>
      </c>
      <c r="D533" s="989" t="s">
        <v>277</v>
      </c>
      <c r="E533" s="989" t="s">
        <v>2196</v>
      </c>
      <c r="F533" s="990">
        <v>80177359</v>
      </c>
      <c r="G533" s="990">
        <v>185905</v>
      </c>
      <c r="H533" s="990">
        <v>47823584</v>
      </c>
      <c r="I533" s="990">
        <v>134953</v>
      </c>
      <c r="J533" s="990">
        <v>258374065</v>
      </c>
      <c r="K533" s="990">
        <v>588462</v>
      </c>
      <c r="L533" s="990">
        <v>4279141</v>
      </c>
      <c r="M533" s="990">
        <v>8605</v>
      </c>
      <c r="N533" s="994">
        <v>0</v>
      </c>
      <c r="O533" s="994">
        <v>0</v>
      </c>
      <c r="P533" s="990">
        <v>310476790</v>
      </c>
      <c r="Q533" s="990">
        <v>732020</v>
      </c>
      <c r="R533" s="991">
        <v>390654149</v>
      </c>
      <c r="S533" s="992">
        <v>917925</v>
      </c>
    </row>
    <row r="534" spans="1:19" ht="22.5" x14ac:dyDescent="0.25">
      <c r="A534" s="989" t="s">
        <v>4956</v>
      </c>
      <c r="B534" s="989" t="s">
        <v>1802</v>
      </c>
      <c r="C534" s="989" t="s">
        <v>297</v>
      </c>
      <c r="D534" s="989" t="s">
        <v>297</v>
      </c>
      <c r="E534" s="989" t="s">
        <v>2197</v>
      </c>
      <c r="F534" s="990">
        <v>16199804</v>
      </c>
      <c r="G534" s="990">
        <v>0</v>
      </c>
      <c r="H534" s="990">
        <v>70179126</v>
      </c>
      <c r="I534" s="990">
        <v>0</v>
      </c>
      <c r="J534" s="990">
        <v>0</v>
      </c>
      <c r="K534" s="990">
        <v>0</v>
      </c>
      <c r="L534" s="990">
        <v>0</v>
      </c>
      <c r="M534" s="990">
        <v>0</v>
      </c>
      <c r="N534" s="994">
        <v>0</v>
      </c>
      <c r="O534" s="994">
        <v>0</v>
      </c>
      <c r="P534" s="990">
        <v>70179126</v>
      </c>
      <c r="Q534" s="990">
        <v>0</v>
      </c>
      <c r="R534" s="991">
        <v>86378930</v>
      </c>
      <c r="S534" s="992">
        <v>0</v>
      </c>
    </row>
    <row r="535" spans="1:19" ht="22.5" x14ac:dyDescent="0.25">
      <c r="A535" s="989" t="s">
        <v>4956</v>
      </c>
      <c r="B535" s="989" t="s">
        <v>1802</v>
      </c>
      <c r="C535" s="989" t="s">
        <v>4976</v>
      </c>
      <c r="D535" s="989" t="s">
        <v>4976</v>
      </c>
      <c r="E535" s="989" t="s">
        <v>5081</v>
      </c>
      <c r="F535" s="990">
        <v>0</v>
      </c>
      <c r="G535" s="990">
        <v>0</v>
      </c>
      <c r="H535" s="990">
        <v>0</v>
      </c>
      <c r="I535" s="990">
        <v>0</v>
      </c>
      <c r="J535" s="990">
        <v>0</v>
      </c>
      <c r="K535" s="990">
        <v>0</v>
      </c>
      <c r="L535" s="990">
        <v>0</v>
      </c>
      <c r="M535" s="990">
        <v>0</v>
      </c>
      <c r="N535" s="994">
        <v>98787816</v>
      </c>
      <c r="O535" s="994">
        <v>171705</v>
      </c>
      <c r="P535" s="990">
        <v>0</v>
      </c>
      <c r="Q535" s="990">
        <v>0</v>
      </c>
      <c r="R535" s="991">
        <v>0</v>
      </c>
      <c r="S535" s="992">
        <v>0</v>
      </c>
    </row>
    <row r="536" spans="1:19" ht="22.5" x14ac:dyDescent="0.25">
      <c r="A536" s="989" t="s">
        <v>4956</v>
      </c>
      <c r="B536" s="989" t="s">
        <v>1802</v>
      </c>
      <c r="C536" s="989" t="s">
        <v>316</v>
      </c>
      <c r="D536" s="989" t="s">
        <v>316</v>
      </c>
      <c r="E536" s="989" t="s">
        <v>2198</v>
      </c>
      <c r="F536" s="990">
        <v>10347696</v>
      </c>
      <c r="G536" s="990">
        <v>0</v>
      </c>
      <c r="H536" s="990">
        <v>329430041</v>
      </c>
      <c r="I536" s="990">
        <v>0</v>
      </c>
      <c r="J536" s="990">
        <v>0</v>
      </c>
      <c r="K536" s="990">
        <v>0</v>
      </c>
      <c r="L536" s="990">
        <v>0</v>
      </c>
      <c r="M536" s="990">
        <v>0</v>
      </c>
      <c r="N536" s="994">
        <v>0</v>
      </c>
      <c r="O536" s="994">
        <v>0</v>
      </c>
      <c r="P536" s="990">
        <v>329430041</v>
      </c>
      <c r="Q536" s="990">
        <v>0</v>
      </c>
      <c r="R536" s="991">
        <v>339777737</v>
      </c>
      <c r="S536" s="992">
        <v>0</v>
      </c>
    </row>
    <row r="537" spans="1:19" ht="33.75" x14ac:dyDescent="0.25">
      <c r="A537" s="989" t="s">
        <v>4956</v>
      </c>
      <c r="B537" s="989" t="s">
        <v>1802</v>
      </c>
      <c r="C537" s="989" t="s">
        <v>1733</v>
      </c>
      <c r="D537" s="989" t="s">
        <v>325</v>
      </c>
      <c r="E537" s="989" t="s">
        <v>2199</v>
      </c>
      <c r="F537" s="990">
        <v>756</v>
      </c>
      <c r="G537" s="990">
        <v>2</v>
      </c>
      <c r="H537" s="990">
        <v>31096</v>
      </c>
      <c r="I537" s="990">
        <v>86</v>
      </c>
      <c r="J537" s="990">
        <v>0</v>
      </c>
      <c r="K537" s="990">
        <v>0</v>
      </c>
      <c r="L537" s="990">
        <v>0</v>
      </c>
      <c r="M537" s="990">
        <v>0</v>
      </c>
      <c r="N537" s="994">
        <v>0</v>
      </c>
      <c r="O537" s="994">
        <v>0</v>
      </c>
      <c r="P537" s="990">
        <v>31096</v>
      </c>
      <c r="Q537" s="990">
        <v>86</v>
      </c>
      <c r="R537" s="991">
        <v>31852</v>
      </c>
      <c r="S537" s="992">
        <v>88</v>
      </c>
    </row>
    <row r="538" spans="1:19" ht="22.5" x14ac:dyDescent="0.25">
      <c r="A538" s="989" t="s">
        <v>4956</v>
      </c>
      <c r="B538" s="989" t="s">
        <v>1802</v>
      </c>
      <c r="C538" s="989" t="s">
        <v>1730</v>
      </c>
      <c r="D538" s="989" t="s">
        <v>341</v>
      </c>
      <c r="E538" s="989" t="s">
        <v>2200</v>
      </c>
      <c r="F538" s="990">
        <v>0</v>
      </c>
      <c r="G538" s="990">
        <v>0</v>
      </c>
      <c r="H538" s="990">
        <v>0</v>
      </c>
      <c r="I538" s="990">
        <v>0</v>
      </c>
      <c r="J538" s="990">
        <v>4772412</v>
      </c>
      <c r="K538" s="990">
        <v>12797</v>
      </c>
      <c r="L538" s="990">
        <v>0</v>
      </c>
      <c r="M538" s="990">
        <v>0</v>
      </c>
      <c r="N538" s="994">
        <v>0</v>
      </c>
      <c r="O538" s="994">
        <v>0</v>
      </c>
      <c r="P538" s="990">
        <v>4772412</v>
      </c>
      <c r="Q538" s="990">
        <v>12797</v>
      </c>
      <c r="R538" s="991">
        <v>4772412</v>
      </c>
      <c r="S538" s="992">
        <v>12797</v>
      </c>
    </row>
    <row r="539" spans="1:19" ht="33.75" x14ac:dyDescent="0.25">
      <c r="A539" s="989" t="s">
        <v>4956</v>
      </c>
      <c r="B539" s="989" t="s">
        <v>1802</v>
      </c>
      <c r="C539" s="989" t="s">
        <v>1734</v>
      </c>
      <c r="D539" s="989" t="s">
        <v>343</v>
      </c>
      <c r="E539" s="989" t="s">
        <v>2201</v>
      </c>
      <c r="F539" s="990">
        <v>0</v>
      </c>
      <c r="G539" s="990">
        <v>0</v>
      </c>
      <c r="H539" s="990">
        <v>1744019</v>
      </c>
      <c r="I539" s="990">
        <v>0</v>
      </c>
      <c r="J539" s="990">
        <v>0</v>
      </c>
      <c r="K539" s="990">
        <v>0</v>
      </c>
      <c r="L539" s="990">
        <v>0</v>
      </c>
      <c r="M539" s="990">
        <v>0</v>
      </c>
      <c r="N539" s="994">
        <v>0</v>
      </c>
      <c r="O539" s="994">
        <v>0</v>
      </c>
      <c r="P539" s="990">
        <v>1744019</v>
      </c>
      <c r="Q539" s="990">
        <v>0</v>
      </c>
      <c r="R539" s="991">
        <v>1744019</v>
      </c>
      <c r="S539" s="992">
        <v>0</v>
      </c>
    </row>
    <row r="540" spans="1:19" x14ac:dyDescent="0.25">
      <c r="A540" s="986" t="s">
        <v>2461</v>
      </c>
    </row>
  </sheetData>
  <sheetProtection algorithmName="SHA-512" hashValue="bCSK8/DooTf0emDgB3Ben4O4rFMQkHMV/amhS3IQs2D984JixYr7mgHChXlMWaN4aERfCfV5w6AMNg71TFieqQ==" saltValue="Zfc/VPN6Y1IlgPvOuBXFaw==" spinCount="100000" sheet="1" objects="1" scenarios="1"/>
  <autoFilter ref="A4:T540"/>
  <pageMargins left="0.75" right="0.75" top="1" bottom="1" header="0.5" footer="0.5"/>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600"/>
  <sheetViews>
    <sheetView showGridLines="0" topLeftCell="A214" workbookViewId="0">
      <selection activeCell="C255" sqref="C255"/>
    </sheetView>
  </sheetViews>
  <sheetFormatPr defaultRowHeight="15" x14ac:dyDescent="0.25"/>
  <cols>
    <col min="1" max="1" width="40.140625" style="841" customWidth="1"/>
    <col min="2" max="2" width="28.42578125" style="841" customWidth="1"/>
    <col min="3" max="3" width="21.42578125" style="841" customWidth="1"/>
    <col min="4" max="4" width="0.7109375" style="841" customWidth="1"/>
    <col min="5" max="5" width="12" style="841" customWidth="1"/>
    <col min="6" max="16384" width="9.140625" style="841"/>
  </cols>
  <sheetData>
    <row r="1" spans="1:3" x14ac:dyDescent="0.25">
      <c r="A1" s="1077" t="s">
        <v>4951</v>
      </c>
    </row>
    <row r="2" spans="1:3" x14ac:dyDescent="0.25">
      <c r="A2" s="1078" t="s">
        <v>4952</v>
      </c>
    </row>
    <row r="3" spans="1:3" x14ac:dyDescent="0.25">
      <c r="A3" s="986" t="s">
        <v>2461</v>
      </c>
    </row>
    <row r="4" spans="1:3" x14ac:dyDescent="0.25">
      <c r="A4" s="998">
        <v>2017</v>
      </c>
    </row>
    <row r="5" spans="1:3" x14ac:dyDescent="0.25">
      <c r="A5" s="987" t="s">
        <v>1681</v>
      </c>
      <c r="B5" s="987" t="s">
        <v>1596</v>
      </c>
      <c r="C5" s="1079" t="s">
        <v>1682</v>
      </c>
    </row>
    <row r="6" spans="1:3" x14ac:dyDescent="0.25">
      <c r="A6" s="999" t="s">
        <v>4874</v>
      </c>
      <c r="B6" s="999" t="s">
        <v>1599</v>
      </c>
      <c r="C6" s="1000">
        <v>889842</v>
      </c>
    </row>
    <row r="7" spans="1:3" x14ac:dyDescent="0.25">
      <c r="A7" s="999" t="s">
        <v>4874</v>
      </c>
      <c r="B7" s="999" t="s">
        <v>1601</v>
      </c>
      <c r="C7" s="1000">
        <v>79168</v>
      </c>
    </row>
    <row r="8" spans="1:3" x14ac:dyDescent="0.25">
      <c r="A8" s="999" t="s">
        <v>4874</v>
      </c>
      <c r="B8" s="999" t="s">
        <v>1598</v>
      </c>
      <c r="C8" s="1000">
        <v>12983</v>
      </c>
    </row>
    <row r="9" spans="1:3" x14ac:dyDescent="0.25">
      <c r="A9" s="999" t="s">
        <v>4874</v>
      </c>
      <c r="B9" s="999" t="s">
        <v>1602</v>
      </c>
      <c r="C9" s="1000">
        <v>29</v>
      </c>
    </row>
    <row r="10" spans="1:3" x14ac:dyDescent="0.25">
      <c r="A10" s="999" t="s">
        <v>4874</v>
      </c>
      <c r="B10" s="999" t="s">
        <v>1606</v>
      </c>
      <c r="C10" s="1000">
        <v>0</v>
      </c>
    </row>
    <row r="11" spans="1:3" x14ac:dyDescent="0.25">
      <c r="A11" s="999" t="s">
        <v>4874</v>
      </c>
      <c r="B11" s="999" t="s">
        <v>1605</v>
      </c>
      <c r="C11" s="1000">
        <v>1</v>
      </c>
    </row>
    <row r="12" spans="1:3" x14ac:dyDescent="0.25">
      <c r="A12" s="999" t="s">
        <v>4874</v>
      </c>
      <c r="B12" s="999" t="s">
        <v>1600</v>
      </c>
      <c r="C12" s="1000">
        <v>213634</v>
      </c>
    </row>
    <row r="13" spans="1:3" x14ac:dyDescent="0.25">
      <c r="A13" s="999" t="s">
        <v>4874</v>
      </c>
      <c r="B13" s="999" t="s">
        <v>1603</v>
      </c>
      <c r="C13" s="1000">
        <v>518</v>
      </c>
    </row>
    <row r="14" spans="1:3" x14ac:dyDescent="0.25">
      <c r="A14" s="999" t="s">
        <v>4874</v>
      </c>
      <c r="B14" s="999" t="s">
        <v>1604</v>
      </c>
      <c r="C14" s="1000">
        <v>10598</v>
      </c>
    </row>
    <row r="15" spans="1:3" x14ac:dyDescent="0.25">
      <c r="A15" s="999" t="s">
        <v>162</v>
      </c>
      <c r="B15" s="999" t="s">
        <v>1599</v>
      </c>
      <c r="C15" s="1000">
        <v>11685</v>
      </c>
    </row>
    <row r="16" spans="1:3" x14ac:dyDescent="0.25">
      <c r="A16" s="999" t="s">
        <v>162</v>
      </c>
      <c r="B16" s="999" t="s">
        <v>1601</v>
      </c>
      <c r="C16" s="1000">
        <v>0</v>
      </c>
    </row>
    <row r="17" spans="1:3" x14ac:dyDescent="0.25">
      <c r="A17" s="999" t="s">
        <v>162</v>
      </c>
      <c r="B17" s="999" t="s">
        <v>1598</v>
      </c>
      <c r="C17" s="1000">
        <v>39</v>
      </c>
    </row>
    <row r="18" spans="1:3" x14ac:dyDescent="0.25">
      <c r="A18" s="999" t="s">
        <v>162</v>
      </c>
      <c r="B18" s="999" t="s">
        <v>1602</v>
      </c>
      <c r="C18" s="1000">
        <v>0</v>
      </c>
    </row>
    <row r="19" spans="1:3" x14ac:dyDescent="0.25">
      <c r="A19" s="999" t="s">
        <v>162</v>
      </c>
      <c r="B19" s="999" t="s">
        <v>1606</v>
      </c>
      <c r="C19" s="1000">
        <v>0</v>
      </c>
    </row>
    <row r="20" spans="1:3" x14ac:dyDescent="0.25">
      <c r="A20" s="999" t="s">
        <v>162</v>
      </c>
      <c r="B20" s="999" t="s">
        <v>1605</v>
      </c>
      <c r="C20" s="1000">
        <v>0</v>
      </c>
    </row>
    <row r="21" spans="1:3" x14ac:dyDescent="0.25">
      <c r="A21" s="999" t="s">
        <v>162</v>
      </c>
      <c r="B21" s="999" t="s">
        <v>1600</v>
      </c>
      <c r="C21" s="1000">
        <v>1070</v>
      </c>
    </row>
    <row r="22" spans="1:3" x14ac:dyDescent="0.25">
      <c r="A22" s="999" t="s">
        <v>162</v>
      </c>
      <c r="B22" s="999" t="s">
        <v>1603</v>
      </c>
      <c r="C22" s="1000">
        <v>0</v>
      </c>
    </row>
    <row r="23" spans="1:3" x14ac:dyDescent="0.25">
      <c r="A23" s="999" t="s">
        <v>162</v>
      </c>
      <c r="B23" s="999" t="s">
        <v>1604</v>
      </c>
      <c r="C23" s="1000">
        <v>0</v>
      </c>
    </row>
    <row r="24" spans="1:3" x14ac:dyDescent="0.25">
      <c r="A24" s="999" t="s">
        <v>199</v>
      </c>
      <c r="B24" s="999" t="s">
        <v>1599</v>
      </c>
      <c r="C24" s="1000">
        <v>1388</v>
      </c>
    </row>
    <row r="25" spans="1:3" x14ac:dyDescent="0.25">
      <c r="A25" s="999" t="s">
        <v>199</v>
      </c>
      <c r="B25" s="999" t="s">
        <v>1601</v>
      </c>
      <c r="C25" s="1000">
        <v>232</v>
      </c>
    </row>
    <row r="26" spans="1:3" x14ac:dyDescent="0.25">
      <c r="A26" s="999" t="s">
        <v>199</v>
      </c>
      <c r="B26" s="999" t="s">
        <v>1598</v>
      </c>
      <c r="C26" s="1000">
        <v>17</v>
      </c>
    </row>
    <row r="27" spans="1:3" x14ac:dyDescent="0.25">
      <c r="A27" s="999" t="s">
        <v>199</v>
      </c>
      <c r="B27" s="999" t="s">
        <v>1602</v>
      </c>
      <c r="C27" s="1000">
        <v>0</v>
      </c>
    </row>
    <row r="28" spans="1:3" x14ac:dyDescent="0.25">
      <c r="A28" s="999" t="s">
        <v>199</v>
      </c>
      <c r="B28" s="999" t="s">
        <v>1606</v>
      </c>
      <c r="C28" s="1000">
        <v>0</v>
      </c>
    </row>
    <row r="29" spans="1:3" x14ac:dyDescent="0.25">
      <c r="A29" s="999" t="s">
        <v>199</v>
      </c>
      <c r="B29" s="999" t="s">
        <v>1605</v>
      </c>
      <c r="C29" s="1000">
        <v>0</v>
      </c>
    </row>
    <row r="30" spans="1:3" x14ac:dyDescent="0.25">
      <c r="A30" s="999" t="s">
        <v>199</v>
      </c>
      <c r="B30" s="999" t="s">
        <v>1600</v>
      </c>
      <c r="C30" s="1000">
        <v>626</v>
      </c>
    </row>
    <row r="31" spans="1:3" x14ac:dyDescent="0.25">
      <c r="A31" s="999" t="s">
        <v>199</v>
      </c>
      <c r="B31" s="999" t="s">
        <v>1603</v>
      </c>
      <c r="C31" s="1000">
        <v>0</v>
      </c>
    </row>
    <row r="32" spans="1:3" x14ac:dyDescent="0.25">
      <c r="A32" s="999" t="s">
        <v>199</v>
      </c>
      <c r="B32" s="999" t="s">
        <v>1604</v>
      </c>
      <c r="C32" s="1000">
        <v>0</v>
      </c>
    </row>
    <row r="33" spans="1:3" x14ac:dyDescent="0.25">
      <c r="A33" s="999" t="s">
        <v>236</v>
      </c>
      <c r="B33" s="999" t="s">
        <v>1599</v>
      </c>
      <c r="C33" s="1000">
        <v>32703</v>
      </c>
    </row>
    <row r="34" spans="1:3" x14ac:dyDescent="0.25">
      <c r="A34" s="999" t="s">
        <v>236</v>
      </c>
      <c r="B34" s="999" t="s">
        <v>1601</v>
      </c>
      <c r="C34" s="1000">
        <v>3480</v>
      </c>
    </row>
    <row r="35" spans="1:3" x14ac:dyDescent="0.25">
      <c r="A35" s="999" t="s">
        <v>236</v>
      </c>
      <c r="B35" s="999" t="s">
        <v>1598</v>
      </c>
      <c r="C35" s="1000">
        <v>398</v>
      </c>
    </row>
    <row r="36" spans="1:3" x14ac:dyDescent="0.25">
      <c r="A36" s="999" t="s">
        <v>236</v>
      </c>
      <c r="B36" s="999" t="s">
        <v>1602</v>
      </c>
      <c r="C36" s="1000">
        <v>4</v>
      </c>
    </row>
    <row r="37" spans="1:3" x14ac:dyDescent="0.25">
      <c r="A37" s="999" t="s">
        <v>236</v>
      </c>
      <c r="B37" s="999" t="s">
        <v>1606</v>
      </c>
      <c r="C37" s="1000">
        <v>0</v>
      </c>
    </row>
    <row r="38" spans="1:3" x14ac:dyDescent="0.25">
      <c r="A38" s="999" t="s">
        <v>236</v>
      </c>
      <c r="B38" s="999" t="s">
        <v>1605</v>
      </c>
      <c r="C38" s="1000">
        <v>0</v>
      </c>
    </row>
    <row r="39" spans="1:3" x14ac:dyDescent="0.25">
      <c r="A39" s="999" t="s">
        <v>236</v>
      </c>
      <c r="B39" s="999" t="s">
        <v>1600</v>
      </c>
      <c r="C39" s="1000">
        <v>10033</v>
      </c>
    </row>
    <row r="40" spans="1:3" x14ac:dyDescent="0.25">
      <c r="A40" s="999" t="s">
        <v>236</v>
      </c>
      <c r="B40" s="999" t="s">
        <v>1603</v>
      </c>
      <c r="C40" s="1000">
        <v>386</v>
      </c>
    </row>
    <row r="41" spans="1:3" x14ac:dyDescent="0.25">
      <c r="A41" s="999" t="s">
        <v>236</v>
      </c>
      <c r="B41" s="999" t="s">
        <v>1604</v>
      </c>
      <c r="C41" s="1000">
        <v>257</v>
      </c>
    </row>
    <row r="42" spans="1:3" x14ac:dyDescent="0.25">
      <c r="A42" s="999" t="s">
        <v>173</v>
      </c>
      <c r="B42" s="999" t="s">
        <v>1599</v>
      </c>
      <c r="C42" s="1000">
        <v>36349</v>
      </c>
    </row>
    <row r="43" spans="1:3" x14ac:dyDescent="0.25">
      <c r="A43" s="999" t="s">
        <v>173</v>
      </c>
      <c r="B43" s="999" t="s">
        <v>1601</v>
      </c>
      <c r="C43" s="1000">
        <v>2815</v>
      </c>
    </row>
    <row r="44" spans="1:3" x14ac:dyDescent="0.25">
      <c r="A44" s="999" t="s">
        <v>173</v>
      </c>
      <c r="B44" s="999" t="s">
        <v>1598</v>
      </c>
      <c r="C44" s="1000">
        <v>458</v>
      </c>
    </row>
    <row r="45" spans="1:3" x14ac:dyDescent="0.25">
      <c r="A45" s="999" t="s">
        <v>173</v>
      </c>
      <c r="B45" s="999" t="s">
        <v>1602</v>
      </c>
      <c r="C45" s="1000">
        <v>0</v>
      </c>
    </row>
    <row r="46" spans="1:3" x14ac:dyDescent="0.25">
      <c r="A46" s="999" t="s">
        <v>173</v>
      </c>
      <c r="B46" s="999" t="s">
        <v>1606</v>
      </c>
      <c r="C46" s="1000">
        <v>0</v>
      </c>
    </row>
    <row r="47" spans="1:3" x14ac:dyDescent="0.25">
      <c r="A47" s="999" t="s">
        <v>173</v>
      </c>
      <c r="B47" s="999" t="s">
        <v>1605</v>
      </c>
      <c r="C47" s="1000">
        <v>1</v>
      </c>
    </row>
    <row r="48" spans="1:3" x14ac:dyDescent="0.25">
      <c r="A48" s="999" t="s">
        <v>173</v>
      </c>
      <c r="B48" s="999" t="s">
        <v>1600</v>
      </c>
      <c r="C48" s="1000">
        <v>5771</v>
      </c>
    </row>
    <row r="49" spans="1:3" x14ac:dyDescent="0.25">
      <c r="A49" s="999" t="s">
        <v>173</v>
      </c>
      <c r="B49" s="999" t="s">
        <v>1603</v>
      </c>
      <c r="C49" s="1000">
        <v>505</v>
      </c>
    </row>
    <row r="50" spans="1:3" x14ac:dyDescent="0.25">
      <c r="A50" s="999" t="s">
        <v>173</v>
      </c>
      <c r="B50" s="999" t="s">
        <v>1604</v>
      </c>
      <c r="C50" s="1000">
        <v>425</v>
      </c>
    </row>
    <row r="51" spans="1:3" x14ac:dyDescent="0.25">
      <c r="A51" s="999" t="s">
        <v>174</v>
      </c>
      <c r="B51" s="999" t="s">
        <v>1599</v>
      </c>
      <c r="C51" s="1000">
        <v>60593</v>
      </c>
    </row>
    <row r="52" spans="1:3" x14ac:dyDescent="0.25">
      <c r="A52" s="999" t="s">
        <v>174</v>
      </c>
      <c r="B52" s="999" t="s">
        <v>1601</v>
      </c>
      <c r="C52" s="1000">
        <v>5523</v>
      </c>
    </row>
    <row r="53" spans="1:3" x14ac:dyDescent="0.25">
      <c r="A53" s="999" t="s">
        <v>174</v>
      </c>
      <c r="B53" s="999" t="s">
        <v>1598</v>
      </c>
      <c r="C53" s="1000">
        <v>1006</v>
      </c>
    </row>
    <row r="54" spans="1:3" x14ac:dyDescent="0.25">
      <c r="A54" s="999" t="s">
        <v>174</v>
      </c>
      <c r="B54" s="999" t="s">
        <v>1602</v>
      </c>
      <c r="C54" s="1000">
        <v>0</v>
      </c>
    </row>
    <row r="55" spans="1:3" x14ac:dyDescent="0.25">
      <c r="A55" s="999" t="s">
        <v>174</v>
      </c>
      <c r="B55" s="999" t="s">
        <v>1606</v>
      </c>
      <c r="C55" s="1000">
        <v>0</v>
      </c>
    </row>
    <row r="56" spans="1:3" x14ac:dyDescent="0.25">
      <c r="A56" s="999" t="s">
        <v>174</v>
      </c>
      <c r="B56" s="999" t="s">
        <v>1605</v>
      </c>
      <c r="C56" s="1000">
        <v>0</v>
      </c>
    </row>
    <row r="57" spans="1:3" x14ac:dyDescent="0.25">
      <c r="A57" s="999" t="s">
        <v>174</v>
      </c>
      <c r="B57" s="999" t="s">
        <v>1600</v>
      </c>
      <c r="C57" s="1000">
        <v>15386</v>
      </c>
    </row>
    <row r="58" spans="1:3" x14ac:dyDescent="0.25">
      <c r="A58" s="999" t="s">
        <v>174</v>
      </c>
      <c r="B58" s="999" t="s">
        <v>1603</v>
      </c>
      <c r="C58" s="1000">
        <v>0</v>
      </c>
    </row>
    <row r="59" spans="1:3" x14ac:dyDescent="0.25">
      <c r="A59" s="999" t="s">
        <v>174</v>
      </c>
      <c r="B59" s="999" t="s">
        <v>1604</v>
      </c>
      <c r="C59" s="1000">
        <v>582</v>
      </c>
    </row>
    <row r="60" spans="1:3" x14ac:dyDescent="0.25">
      <c r="A60" s="999" t="s">
        <v>424</v>
      </c>
      <c r="B60" s="999" t="s">
        <v>1599</v>
      </c>
      <c r="C60" s="1000">
        <v>26371</v>
      </c>
    </row>
    <row r="61" spans="1:3" x14ac:dyDescent="0.25">
      <c r="A61" s="999" t="s">
        <v>424</v>
      </c>
      <c r="B61" s="999" t="s">
        <v>1601</v>
      </c>
      <c r="C61" s="1000">
        <v>2488</v>
      </c>
    </row>
    <row r="62" spans="1:3" x14ac:dyDescent="0.25">
      <c r="A62" s="999" t="s">
        <v>424</v>
      </c>
      <c r="B62" s="999" t="s">
        <v>1598</v>
      </c>
      <c r="C62" s="1000">
        <v>197</v>
      </c>
    </row>
    <row r="63" spans="1:3" x14ac:dyDescent="0.25">
      <c r="A63" s="999" t="s">
        <v>424</v>
      </c>
      <c r="B63" s="999" t="s">
        <v>1602</v>
      </c>
      <c r="C63" s="1000">
        <v>0</v>
      </c>
    </row>
    <row r="64" spans="1:3" x14ac:dyDescent="0.25">
      <c r="A64" s="999" t="s">
        <v>424</v>
      </c>
      <c r="B64" s="999" t="s">
        <v>1606</v>
      </c>
      <c r="C64" s="1000">
        <v>0</v>
      </c>
    </row>
    <row r="65" spans="1:3" x14ac:dyDescent="0.25">
      <c r="A65" s="999" t="s">
        <v>424</v>
      </c>
      <c r="B65" s="999" t="s">
        <v>1605</v>
      </c>
      <c r="C65" s="1000">
        <v>1</v>
      </c>
    </row>
    <row r="66" spans="1:3" x14ac:dyDescent="0.25">
      <c r="A66" s="999" t="s">
        <v>424</v>
      </c>
      <c r="B66" s="999" t="s">
        <v>1600</v>
      </c>
      <c r="C66" s="1000">
        <v>5758</v>
      </c>
    </row>
    <row r="67" spans="1:3" x14ac:dyDescent="0.25">
      <c r="A67" s="999" t="s">
        <v>424</v>
      </c>
      <c r="B67" s="999" t="s">
        <v>1603</v>
      </c>
      <c r="C67" s="1000">
        <v>662</v>
      </c>
    </row>
    <row r="68" spans="1:3" x14ac:dyDescent="0.25">
      <c r="A68" s="999" t="s">
        <v>424</v>
      </c>
      <c r="B68" s="999" t="s">
        <v>1604</v>
      </c>
      <c r="C68" s="1000">
        <v>50</v>
      </c>
    </row>
    <row r="69" spans="1:3" x14ac:dyDescent="0.25">
      <c r="A69" s="999" t="s">
        <v>175</v>
      </c>
      <c r="B69" s="999" t="s">
        <v>1599</v>
      </c>
      <c r="C69" s="1000">
        <v>6115</v>
      </c>
    </row>
    <row r="70" spans="1:3" x14ac:dyDescent="0.25">
      <c r="A70" s="999" t="s">
        <v>175</v>
      </c>
      <c r="B70" s="999" t="s">
        <v>1601</v>
      </c>
      <c r="C70" s="1000">
        <v>747</v>
      </c>
    </row>
    <row r="71" spans="1:3" x14ac:dyDescent="0.25">
      <c r="A71" s="999" t="s">
        <v>175</v>
      </c>
      <c r="B71" s="999" t="s">
        <v>1598</v>
      </c>
      <c r="C71" s="1000">
        <v>54</v>
      </c>
    </row>
    <row r="72" spans="1:3" x14ac:dyDescent="0.25">
      <c r="A72" s="999" t="s">
        <v>175</v>
      </c>
      <c r="B72" s="999" t="s">
        <v>1602</v>
      </c>
      <c r="C72" s="1000">
        <v>0</v>
      </c>
    </row>
    <row r="73" spans="1:3" x14ac:dyDescent="0.25">
      <c r="A73" s="999" t="s">
        <v>175</v>
      </c>
      <c r="B73" s="999" t="s">
        <v>1606</v>
      </c>
      <c r="C73" s="1000">
        <v>0</v>
      </c>
    </row>
    <row r="74" spans="1:3" x14ac:dyDescent="0.25">
      <c r="A74" s="999" t="s">
        <v>175</v>
      </c>
      <c r="B74" s="999" t="s">
        <v>1605</v>
      </c>
      <c r="C74" s="1000">
        <v>0</v>
      </c>
    </row>
    <row r="75" spans="1:3" x14ac:dyDescent="0.25">
      <c r="A75" s="999" t="s">
        <v>175</v>
      </c>
      <c r="B75" s="999" t="s">
        <v>1600</v>
      </c>
      <c r="C75" s="1000">
        <v>1750</v>
      </c>
    </row>
    <row r="76" spans="1:3" x14ac:dyDescent="0.25">
      <c r="A76" s="999" t="s">
        <v>175</v>
      </c>
      <c r="B76" s="999" t="s">
        <v>1603</v>
      </c>
      <c r="C76" s="1000">
        <v>27</v>
      </c>
    </row>
    <row r="77" spans="1:3" x14ac:dyDescent="0.25">
      <c r="A77" s="999" t="s">
        <v>175</v>
      </c>
      <c r="B77" s="999" t="s">
        <v>1604</v>
      </c>
      <c r="C77" s="1000">
        <v>13</v>
      </c>
    </row>
    <row r="78" spans="1:3" x14ac:dyDescent="0.25">
      <c r="A78" s="999" t="s">
        <v>200</v>
      </c>
      <c r="B78" s="999" t="s">
        <v>1599</v>
      </c>
      <c r="C78" s="1000">
        <v>1065</v>
      </c>
    </row>
    <row r="79" spans="1:3" x14ac:dyDescent="0.25">
      <c r="A79" s="999" t="s">
        <v>200</v>
      </c>
      <c r="B79" s="999" t="s">
        <v>1601</v>
      </c>
      <c r="C79" s="1000">
        <v>160</v>
      </c>
    </row>
    <row r="80" spans="1:3" x14ac:dyDescent="0.25">
      <c r="A80" s="999" t="s">
        <v>200</v>
      </c>
      <c r="B80" s="999" t="s">
        <v>1598</v>
      </c>
      <c r="C80" s="1000">
        <v>16</v>
      </c>
    </row>
    <row r="81" spans="1:3" x14ac:dyDescent="0.25">
      <c r="A81" s="999" t="s">
        <v>200</v>
      </c>
      <c r="B81" s="999" t="s">
        <v>1602</v>
      </c>
      <c r="C81" s="1000">
        <v>0</v>
      </c>
    </row>
    <row r="82" spans="1:3" x14ac:dyDescent="0.25">
      <c r="A82" s="999" t="s">
        <v>200</v>
      </c>
      <c r="B82" s="999" t="s">
        <v>1606</v>
      </c>
      <c r="C82" s="1000">
        <v>0</v>
      </c>
    </row>
    <row r="83" spans="1:3" x14ac:dyDescent="0.25">
      <c r="A83" s="999" t="s">
        <v>200</v>
      </c>
      <c r="B83" s="999" t="s">
        <v>1605</v>
      </c>
      <c r="C83" s="1000">
        <v>0</v>
      </c>
    </row>
    <row r="84" spans="1:3" x14ac:dyDescent="0.25">
      <c r="A84" s="999" t="s">
        <v>200</v>
      </c>
      <c r="B84" s="999" t="s">
        <v>1600</v>
      </c>
      <c r="C84" s="1000">
        <v>328</v>
      </c>
    </row>
    <row r="85" spans="1:3" x14ac:dyDescent="0.25">
      <c r="A85" s="999" t="s">
        <v>200</v>
      </c>
      <c r="B85" s="999" t="s">
        <v>1603</v>
      </c>
      <c r="C85" s="1000">
        <v>23</v>
      </c>
    </row>
    <row r="86" spans="1:3" x14ac:dyDescent="0.25">
      <c r="A86" s="999" t="s">
        <v>200</v>
      </c>
      <c r="B86" s="999" t="s">
        <v>1604</v>
      </c>
      <c r="C86" s="1000">
        <v>4</v>
      </c>
    </row>
    <row r="87" spans="1:3" x14ac:dyDescent="0.25">
      <c r="A87" s="999" t="s">
        <v>623</v>
      </c>
      <c r="B87" s="999" t="s">
        <v>1599</v>
      </c>
      <c r="C87" s="1000">
        <v>15282</v>
      </c>
    </row>
    <row r="88" spans="1:3" x14ac:dyDescent="0.25">
      <c r="A88" s="999" t="s">
        <v>623</v>
      </c>
      <c r="B88" s="999" t="s">
        <v>1601</v>
      </c>
      <c r="C88" s="1000">
        <v>1751</v>
      </c>
    </row>
    <row r="89" spans="1:3" x14ac:dyDescent="0.25">
      <c r="A89" s="999" t="s">
        <v>623</v>
      </c>
      <c r="B89" s="999" t="s">
        <v>1598</v>
      </c>
      <c r="C89" s="1000">
        <v>139</v>
      </c>
    </row>
    <row r="90" spans="1:3" x14ac:dyDescent="0.25">
      <c r="A90" s="999" t="s">
        <v>623</v>
      </c>
      <c r="B90" s="999" t="s">
        <v>1602</v>
      </c>
      <c r="C90" s="1000">
        <v>0</v>
      </c>
    </row>
    <row r="91" spans="1:3" x14ac:dyDescent="0.25">
      <c r="A91" s="999" t="s">
        <v>623</v>
      </c>
      <c r="B91" s="999" t="s">
        <v>1606</v>
      </c>
      <c r="C91" s="1000">
        <v>0</v>
      </c>
    </row>
    <row r="92" spans="1:3" x14ac:dyDescent="0.25">
      <c r="A92" s="999" t="s">
        <v>623</v>
      </c>
      <c r="B92" s="999" t="s">
        <v>1605</v>
      </c>
      <c r="C92" s="1000">
        <v>0</v>
      </c>
    </row>
    <row r="93" spans="1:3" x14ac:dyDescent="0.25">
      <c r="A93" s="999" t="s">
        <v>623</v>
      </c>
      <c r="B93" s="999" t="s">
        <v>1600</v>
      </c>
      <c r="C93" s="1000">
        <v>3069</v>
      </c>
    </row>
    <row r="94" spans="1:3" x14ac:dyDescent="0.25">
      <c r="A94" s="999" t="s">
        <v>623</v>
      </c>
      <c r="B94" s="999" t="s">
        <v>1603</v>
      </c>
      <c r="C94" s="1000">
        <v>0</v>
      </c>
    </row>
    <row r="95" spans="1:3" x14ac:dyDescent="0.25">
      <c r="A95" s="999" t="s">
        <v>623</v>
      </c>
      <c r="B95" s="999" t="s">
        <v>1604</v>
      </c>
      <c r="C95" s="1000">
        <v>30</v>
      </c>
    </row>
    <row r="96" spans="1:3" x14ac:dyDescent="0.25">
      <c r="A96" s="999" t="s">
        <v>176</v>
      </c>
      <c r="B96" s="999" t="s">
        <v>1599</v>
      </c>
      <c r="C96" s="1000">
        <v>2068</v>
      </c>
    </row>
    <row r="97" spans="1:3" x14ac:dyDescent="0.25">
      <c r="A97" s="999" t="s">
        <v>176</v>
      </c>
      <c r="B97" s="999" t="s">
        <v>1601</v>
      </c>
      <c r="C97" s="1000">
        <v>165</v>
      </c>
    </row>
    <row r="98" spans="1:3" x14ac:dyDescent="0.25">
      <c r="A98" s="999" t="s">
        <v>176</v>
      </c>
      <c r="B98" s="999" t="s">
        <v>1598</v>
      </c>
      <c r="C98" s="1000">
        <v>9</v>
      </c>
    </row>
    <row r="99" spans="1:3" x14ac:dyDescent="0.25">
      <c r="A99" s="999" t="s">
        <v>176</v>
      </c>
      <c r="B99" s="999" t="s">
        <v>1602</v>
      </c>
      <c r="C99" s="1000">
        <v>0</v>
      </c>
    </row>
    <row r="100" spans="1:3" x14ac:dyDescent="0.25">
      <c r="A100" s="999" t="s">
        <v>176</v>
      </c>
      <c r="B100" s="999" t="s">
        <v>1606</v>
      </c>
      <c r="C100" s="1000">
        <v>0</v>
      </c>
    </row>
    <row r="101" spans="1:3" x14ac:dyDescent="0.25">
      <c r="A101" s="999" t="s">
        <v>176</v>
      </c>
      <c r="B101" s="999" t="s">
        <v>1605</v>
      </c>
      <c r="C101" s="1000">
        <v>0</v>
      </c>
    </row>
    <row r="102" spans="1:3" x14ac:dyDescent="0.25">
      <c r="A102" s="999" t="s">
        <v>176</v>
      </c>
      <c r="B102" s="999" t="s">
        <v>1600</v>
      </c>
      <c r="C102" s="1000">
        <v>556</v>
      </c>
    </row>
    <row r="103" spans="1:3" x14ac:dyDescent="0.25">
      <c r="A103" s="999" t="s">
        <v>176</v>
      </c>
      <c r="B103" s="999" t="s">
        <v>1603</v>
      </c>
      <c r="C103" s="1000">
        <v>0</v>
      </c>
    </row>
    <row r="104" spans="1:3" x14ac:dyDescent="0.25">
      <c r="A104" s="999" t="s">
        <v>176</v>
      </c>
      <c r="B104" s="999" t="s">
        <v>1604</v>
      </c>
      <c r="C104" s="1000">
        <v>17</v>
      </c>
    </row>
    <row r="105" spans="1:3" x14ac:dyDescent="0.25">
      <c r="A105" s="999" t="s">
        <v>177</v>
      </c>
      <c r="B105" s="999" t="s">
        <v>1599</v>
      </c>
      <c r="C105" s="1000">
        <v>10800</v>
      </c>
    </row>
    <row r="106" spans="1:3" x14ac:dyDescent="0.25">
      <c r="A106" s="999" t="s">
        <v>177</v>
      </c>
      <c r="B106" s="999" t="s">
        <v>1601</v>
      </c>
      <c r="C106" s="1000">
        <v>1418</v>
      </c>
    </row>
    <row r="107" spans="1:3" x14ac:dyDescent="0.25">
      <c r="A107" s="999" t="s">
        <v>177</v>
      </c>
      <c r="B107" s="999" t="s">
        <v>1598</v>
      </c>
      <c r="C107" s="1000">
        <v>126</v>
      </c>
    </row>
    <row r="108" spans="1:3" x14ac:dyDescent="0.25">
      <c r="A108" s="999" t="s">
        <v>177</v>
      </c>
      <c r="B108" s="999" t="s">
        <v>1602</v>
      </c>
      <c r="C108" s="1000">
        <v>0</v>
      </c>
    </row>
    <row r="109" spans="1:3" x14ac:dyDescent="0.25">
      <c r="A109" s="999" t="s">
        <v>177</v>
      </c>
      <c r="B109" s="999" t="s">
        <v>1606</v>
      </c>
      <c r="C109" s="1000">
        <v>0</v>
      </c>
    </row>
    <row r="110" spans="1:3" x14ac:dyDescent="0.25">
      <c r="A110" s="999" t="s">
        <v>177</v>
      </c>
      <c r="B110" s="999" t="s">
        <v>1605</v>
      </c>
      <c r="C110" s="1000">
        <v>1</v>
      </c>
    </row>
    <row r="111" spans="1:3" x14ac:dyDescent="0.25">
      <c r="A111" s="999" t="s">
        <v>177</v>
      </c>
      <c r="B111" s="999" t="s">
        <v>1600</v>
      </c>
      <c r="C111" s="1000">
        <v>2932</v>
      </c>
    </row>
    <row r="112" spans="1:3" x14ac:dyDescent="0.25">
      <c r="A112" s="999" t="s">
        <v>177</v>
      </c>
      <c r="B112" s="999" t="s">
        <v>1603</v>
      </c>
      <c r="C112" s="1000">
        <v>17</v>
      </c>
    </row>
    <row r="113" spans="1:3" x14ac:dyDescent="0.25">
      <c r="A113" s="999" t="s">
        <v>177</v>
      </c>
      <c r="B113" s="999" t="s">
        <v>1604</v>
      </c>
      <c r="C113" s="1000">
        <v>31</v>
      </c>
    </row>
    <row r="114" spans="1:3" x14ac:dyDescent="0.25">
      <c r="A114" s="999" t="s">
        <v>624</v>
      </c>
      <c r="B114" s="999" t="s">
        <v>1599</v>
      </c>
      <c r="C114" s="1000">
        <v>79478</v>
      </c>
    </row>
    <row r="115" spans="1:3" x14ac:dyDescent="0.25">
      <c r="A115" s="999" t="s">
        <v>624</v>
      </c>
      <c r="B115" s="999" t="s">
        <v>1601</v>
      </c>
      <c r="C115" s="1000">
        <v>7679</v>
      </c>
    </row>
    <row r="116" spans="1:3" x14ac:dyDescent="0.25">
      <c r="A116" s="999" t="s">
        <v>624</v>
      </c>
      <c r="B116" s="999" t="s">
        <v>1598</v>
      </c>
      <c r="C116" s="1000">
        <v>1256</v>
      </c>
    </row>
    <row r="117" spans="1:3" x14ac:dyDescent="0.25">
      <c r="A117" s="999" t="s">
        <v>624</v>
      </c>
      <c r="B117" s="999" t="s">
        <v>1602</v>
      </c>
      <c r="C117" s="1000">
        <v>9</v>
      </c>
    </row>
    <row r="118" spans="1:3" x14ac:dyDescent="0.25">
      <c r="A118" s="999" t="s">
        <v>624</v>
      </c>
      <c r="B118" s="999" t="s">
        <v>1606</v>
      </c>
      <c r="C118" s="1000">
        <v>0</v>
      </c>
    </row>
    <row r="119" spans="1:3" x14ac:dyDescent="0.25">
      <c r="A119" s="999" t="s">
        <v>624</v>
      </c>
      <c r="B119" s="999" t="s">
        <v>1605</v>
      </c>
      <c r="C119" s="1000">
        <v>0</v>
      </c>
    </row>
    <row r="120" spans="1:3" x14ac:dyDescent="0.25">
      <c r="A120" s="999" t="s">
        <v>624</v>
      </c>
      <c r="B120" s="999" t="s">
        <v>1600</v>
      </c>
      <c r="C120" s="1000">
        <v>24136</v>
      </c>
    </row>
    <row r="121" spans="1:3" x14ac:dyDescent="0.25">
      <c r="A121" s="999" t="s">
        <v>624</v>
      </c>
      <c r="B121" s="999" t="s">
        <v>1603</v>
      </c>
      <c r="C121" s="1000">
        <v>541</v>
      </c>
    </row>
    <row r="122" spans="1:3" x14ac:dyDescent="0.25">
      <c r="A122" s="999" t="s">
        <v>624</v>
      </c>
      <c r="B122" s="999" t="s">
        <v>1604</v>
      </c>
      <c r="C122" s="1000">
        <v>730</v>
      </c>
    </row>
    <row r="123" spans="1:3" x14ac:dyDescent="0.25">
      <c r="A123" s="999" t="s">
        <v>2457</v>
      </c>
      <c r="B123" s="999" t="s">
        <v>1599</v>
      </c>
      <c r="C123" s="1000">
        <v>57573</v>
      </c>
    </row>
    <row r="124" spans="1:3" x14ac:dyDescent="0.25">
      <c r="A124" s="999" t="s">
        <v>2457</v>
      </c>
      <c r="B124" s="999" t="s">
        <v>1601</v>
      </c>
      <c r="C124" s="1000">
        <v>6320</v>
      </c>
    </row>
    <row r="125" spans="1:3" x14ac:dyDescent="0.25">
      <c r="A125" s="999" t="s">
        <v>2457</v>
      </c>
      <c r="B125" s="999" t="s">
        <v>1598</v>
      </c>
      <c r="C125" s="1000">
        <v>829</v>
      </c>
    </row>
    <row r="126" spans="1:3" x14ac:dyDescent="0.25">
      <c r="A126" s="999" t="s">
        <v>2457</v>
      </c>
      <c r="B126" s="999" t="s">
        <v>1602</v>
      </c>
      <c r="C126" s="1000">
        <v>2</v>
      </c>
    </row>
    <row r="127" spans="1:3" x14ac:dyDescent="0.25">
      <c r="A127" s="999" t="s">
        <v>2457</v>
      </c>
      <c r="B127" s="999" t="s">
        <v>1606</v>
      </c>
      <c r="C127" s="1000">
        <v>0</v>
      </c>
    </row>
    <row r="128" spans="1:3" x14ac:dyDescent="0.25">
      <c r="A128" s="999" t="s">
        <v>2457</v>
      </c>
      <c r="B128" s="999" t="s">
        <v>1605</v>
      </c>
      <c r="C128" s="1000">
        <v>2</v>
      </c>
    </row>
    <row r="129" spans="1:3" x14ac:dyDescent="0.25">
      <c r="A129" s="999" t="s">
        <v>2457</v>
      </c>
      <c r="B129" s="999" t="s">
        <v>1600</v>
      </c>
      <c r="C129" s="1000">
        <v>16127</v>
      </c>
    </row>
    <row r="130" spans="1:3" x14ac:dyDescent="0.25">
      <c r="A130" s="999" t="s">
        <v>2457</v>
      </c>
      <c r="B130" s="999" t="s">
        <v>1603</v>
      </c>
      <c r="C130" s="1000">
        <v>163</v>
      </c>
    </row>
    <row r="131" spans="1:3" x14ac:dyDescent="0.25">
      <c r="A131" s="999" t="s">
        <v>2457</v>
      </c>
      <c r="B131" s="999" t="s">
        <v>1604</v>
      </c>
      <c r="C131" s="1000">
        <v>497</v>
      </c>
    </row>
    <row r="132" spans="1:3" x14ac:dyDescent="0.25">
      <c r="A132" s="999" t="s">
        <v>425</v>
      </c>
      <c r="B132" s="999" t="s">
        <v>1599</v>
      </c>
      <c r="C132" s="1000">
        <v>36780</v>
      </c>
    </row>
    <row r="133" spans="1:3" x14ac:dyDescent="0.25">
      <c r="A133" s="999" t="s">
        <v>425</v>
      </c>
      <c r="B133" s="999" t="s">
        <v>1601</v>
      </c>
      <c r="C133" s="1000">
        <v>3943</v>
      </c>
    </row>
    <row r="134" spans="1:3" x14ac:dyDescent="0.25">
      <c r="A134" s="999" t="s">
        <v>425</v>
      </c>
      <c r="B134" s="999" t="s">
        <v>1598</v>
      </c>
      <c r="C134" s="1000">
        <v>417</v>
      </c>
    </row>
    <row r="135" spans="1:3" x14ac:dyDescent="0.25">
      <c r="A135" s="999" t="s">
        <v>425</v>
      </c>
      <c r="B135" s="999" t="s">
        <v>1602</v>
      </c>
      <c r="C135" s="1000">
        <v>2</v>
      </c>
    </row>
    <row r="136" spans="1:3" x14ac:dyDescent="0.25">
      <c r="A136" s="999" t="s">
        <v>425</v>
      </c>
      <c r="B136" s="999" t="s">
        <v>1606</v>
      </c>
      <c r="C136" s="1000">
        <v>0</v>
      </c>
    </row>
    <row r="137" spans="1:3" x14ac:dyDescent="0.25">
      <c r="A137" s="999" t="s">
        <v>425</v>
      </c>
      <c r="B137" s="999" t="s">
        <v>1605</v>
      </c>
      <c r="C137" s="1000">
        <v>1</v>
      </c>
    </row>
    <row r="138" spans="1:3" x14ac:dyDescent="0.25">
      <c r="A138" s="999" t="s">
        <v>425</v>
      </c>
      <c r="B138" s="999" t="s">
        <v>1600</v>
      </c>
      <c r="C138" s="1000">
        <v>13018</v>
      </c>
    </row>
    <row r="139" spans="1:3" x14ac:dyDescent="0.25">
      <c r="A139" s="999" t="s">
        <v>425</v>
      </c>
      <c r="B139" s="999" t="s">
        <v>1603</v>
      </c>
      <c r="C139" s="1000">
        <v>341</v>
      </c>
    </row>
    <row r="140" spans="1:3" x14ac:dyDescent="0.25">
      <c r="A140" s="999" t="s">
        <v>425</v>
      </c>
      <c r="B140" s="999" t="s">
        <v>1604</v>
      </c>
      <c r="C140" s="1000">
        <v>228</v>
      </c>
    </row>
    <row r="141" spans="1:3" x14ac:dyDescent="0.25">
      <c r="A141" s="999" t="s">
        <v>239</v>
      </c>
      <c r="B141" s="999" t="s">
        <v>1599</v>
      </c>
      <c r="C141" s="1000">
        <v>16965</v>
      </c>
    </row>
    <row r="142" spans="1:3" x14ac:dyDescent="0.25">
      <c r="A142" s="999" t="s">
        <v>239</v>
      </c>
      <c r="B142" s="999" t="s">
        <v>1601</v>
      </c>
      <c r="C142" s="1000">
        <v>1822</v>
      </c>
    </row>
    <row r="143" spans="1:3" x14ac:dyDescent="0.25">
      <c r="A143" s="999" t="s">
        <v>239</v>
      </c>
      <c r="B143" s="999" t="s">
        <v>1598</v>
      </c>
      <c r="C143" s="1000">
        <v>160</v>
      </c>
    </row>
    <row r="144" spans="1:3" x14ac:dyDescent="0.25">
      <c r="A144" s="999" t="s">
        <v>239</v>
      </c>
      <c r="B144" s="999" t="s">
        <v>1602</v>
      </c>
      <c r="C144" s="1000">
        <v>1</v>
      </c>
    </row>
    <row r="145" spans="1:3" x14ac:dyDescent="0.25">
      <c r="A145" s="999" t="s">
        <v>239</v>
      </c>
      <c r="B145" s="999" t="s">
        <v>1606</v>
      </c>
      <c r="C145" s="1000">
        <v>0</v>
      </c>
    </row>
    <row r="146" spans="1:3" x14ac:dyDescent="0.25">
      <c r="A146" s="999" t="s">
        <v>239</v>
      </c>
      <c r="B146" s="999" t="s">
        <v>1605</v>
      </c>
      <c r="C146" s="1000">
        <v>4</v>
      </c>
    </row>
    <row r="147" spans="1:3" x14ac:dyDescent="0.25">
      <c r="A147" s="999" t="s">
        <v>239</v>
      </c>
      <c r="B147" s="999" t="s">
        <v>1600</v>
      </c>
      <c r="C147" s="1000">
        <v>6012</v>
      </c>
    </row>
    <row r="148" spans="1:3" x14ac:dyDescent="0.25">
      <c r="A148" s="999" t="s">
        <v>239</v>
      </c>
      <c r="B148" s="999" t="s">
        <v>1603</v>
      </c>
      <c r="C148" s="1000">
        <v>281</v>
      </c>
    </row>
    <row r="149" spans="1:3" x14ac:dyDescent="0.25">
      <c r="A149" s="999" t="s">
        <v>239</v>
      </c>
      <c r="B149" s="999" t="s">
        <v>1604</v>
      </c>
      <c r="C149" s="1000">
        <v>108</v>
      </c>
    </row>
    <row r="150" spans="1:3" x14ac:dyDescent="0.25">
      <c r="A150" s="999" t="s">
        <v>201</v>
      </c>
      <c r="B150" s="999" t="s">
        <v>1599</v>
      </c>
      <c r="C150" s="1000">
        <v>2872</v>
      </c>
    </row>
    <row r="151" spans="1:3" x14ac:dyDescent="0.25">
      <c r="A151" s="999" t="s">
        <v>201</v>
      </c>
      <c r="B151" s="999" t="s">
        <v>1601</v>
      </c>
      <c r="C151" s="1000">
        <v>388</v>
      </c>
    </row>
    <row r="152" spans="1:3" x14ac:dyDescent="0.25">
      <c r="A152" s="999" t="s">
        <v>201</v>
      </c>
      <c r="B152" s="999" t="s">
        <v>1598</v>
      </c>
      <c r="C152" s="1000">
        <v>28</v>
      </c>
    </row>
    <row r="153" spans="1:3" x14ac:dyDescent="0.25">
      <c r="A153" s="999" t="s">
        <v>201</v>
      </c>
      <c r="B153" s="999" t="s">
        <v>1602</v>
      </c>
      <c r="C153" s="1000">
        <v>0</v>
      </c>
    </row>
    <row r="154" spans="1:3" x14ac:dyDescent="0.25">
      <c r="A154" s="999" t="s">
        <v>201</v>
      </c>
      <c r="B154" s="999" t="s">
        <v>1606</v>
      </c>
      <c r="C154" s="1000">
        <v>0</v>
      </c>
    </row>
    <row r="155" spans="1:3" x14ac:dyDescent="0.25">
      <c r="A155" s="999" t="s">
        <v>201</v>
      </c>
      <c r="B155" s="999" t="s">
        <v>1605</v>
      </c>
      <c r="C155" s="1000">
        <v>0</v>
      </c>
    </row>
    <row r="156" spans="1:3" x14ac:dyDescent="0.25">
      <c r="A156" s="999" t="s">
        <v>201</v>
      </c>
      <c r="B156" s="999" t="s">
        <v>1600</v>
      </c>
      <c r="C156" s="1000">
        <v>1065</v>
      </c>
    </row>
    <row r="157" spans="1:3" x14ac:dyDescent="0.25">
      <c r="A157" s="999" t="s">
        <v>201</v>
      </c>
      <c r="B157" s="999" t="s">
        <v>1603</v>
      </c>
      <c r="C157" s="1000">
        <v>34</v>
      </c>
    </row>
    <row r="158" spans="1:3" x14ac:dyDescent="0.25">
      <c r="A158" s="999" t="s">
        <v>201</v>
      </c>
      <c r="B158" s="999" t="s">
        <v>1604</v>
      </c>
      <c r="C158" s="1000">
        <v>21</v>
      </c>
    </row>
    <row r="159" spans="1:3" x14ac:dyDescent="0.25">
      <c r="A159" s="999" t="s">
        <v>179</v>
      </c>
      <c r="B159" s="999" t="s">
        <v>1599</v>
      </c>
      <c r="C159" s="1000">
        <v>27523</v>
      </c>
    </row>
    <row r="160" spans="1:3" x14ac:dyDescent="0.25">
      <c r="A160" s="999" t="s">
        <v>179</v>
      </c>
      <c r="B160" s="999" t="s">
        <v>1601</v>
      </c>
      <c r="C160" s="1000">
        <v>1978</v>
      </c>
    </row>
    <row r="161" spans="1:3" x14ac:dyDescent="0.25">
      <c r="A161" s="999" t="s">
        <v>179</v>
      </c>
      <c r="B161" s="999" t="s">
        <v>1598</v>
      </c>
      <c r="C161" s="1000">
        <v>255</v>
      </c>
    </row>
    <row r="162" spans="1:3" x14ac:dyDescent="0.25">
      <c r="A162" s="999" t="s">
        <v>179</v>
      </c>
      <c r="B162" s="999" t="s">
        <v>1602</v>
      </c>
      <c r="C162" s="1000">
        <v>0</v>
      </c>
    </row>
    <row r="163" spans="1:3" x14ac:dyDescent="0.25">
      <c r="A163" s="999" t="s">
        <v>179</v>
      </c>
      <c r="B163" s="999" t="s">
        <v>1606</v>
      </c>
      <c r="C163" s="1000">
        <v>0</v>
      </c>
    </row>
    <row r="164" spans="1:3" x14ac:dyDescent="0.25">
      <c r="A164" s="999" t="s">
        <v>179</v>
      </c>
      <c r="B164" s="999" t="s">
        <v>1605</v>
      </c>
      <c r="C164" s="1000">
        <v>0</v>
      </c>
    </row>
    <row r="165" spans="1:3" x14ac:dyDescent="0.25">
      <c r="A165" s="999" t="s">
        <v>179</v>
      </c>
      <c r="B165" s="999" t="s">
        <v>1600</v>
      </c>
      <c r="C165" s="1000">
        <v>2759</v>
      </c>
    </row>
    <row r="166" spans="1:3" x14ac:dyDescent="0.25">
      <c r="A166" s="999" t="s">
        <v>179</v>
      </c>
      <c r="B166" s="999" t="s">
        <v>1603</v>
      </c>
      <c r="C166" s="1000">
        <v>246</v>
      </c>
    </row>
    <row r="167" spans="1:3" x14ac:dyDescent="0.25">
      <c r="A167" s="999" t="s">
        <v>179</v>
      </c>
      <c r="B167" s="999" t="s">
        <v>1604</v>
      </c>
      <c r="C167" s="1000">
        <v>132</v>
      </c>
    </row>
    <row r="168" spans="1:3" x14ac:dyDescent="0.25">
      <c r="A168" s="999" t="s">
        <v>180</v>
      </c>
      <c r="B168" s="999" t="s">
        <v>1599</v>
      </c>
      <c r="C168" s="1000">
        <v>18799</v>
      </c>
    </row>
    <row r="169" spans="1:3" x14ac:dyDescent="0.25">
      <c r="A169" s="999" t="s">
        <v>180</v>
      </c>
      <c r="B169" s="999" t="s">
        <v>1601</v>
      </c>
      <c r="C169" s="1000">
        <v>2088</v>
      </c>
    </row>
    <row r="170" spans="1:3" x14ac:dyDescent="0.25">
      <c r="A170" s="999" t="s">
        <v>180</v>
      </c>
      <c r="B170" s="999" t="s">
        <v>1598</v>
      </c>
      <c r="C170" s="1000">
        <v>220</v>
      </c>
    </row>
    <row r="171" spans="1:3" x14ac:dyDescent="0.25">
      <c r="A171" s="999" t="s">
        <v>180</v>
      </c>
      <c r="B171" s="999" t="s">
        <v>1602</v>
      </c>
      <c r="C171" s="1000">
        <v>1</v>
      </c>
    </row>
    <row r="172" spans="1:3" x14ac:dyDescent="0.25">
      <c r="A172" s="999" t="s">
        <v>180</v>
      </c>
      <c r="B172" s="999" t="s">
        <v>1606</v>
      </c>
      <c r="C172" s="1000">
        <v>0</v>
      </c>
    </row>
    <row r="173" spans="1:3" x14ac:dyDescent="0.25">
      <c r="A173" s="999" t="s">
        <v>180</v>
      </c>
      <c r="B173" s="999" t="s">
        <v>1605</v>
      </c>
      <c r="C173" s="1000">
        <v>0</v>
      </c>
    </row>
    <row r="174" spans="1:3" x14ac:dyDescent="0.25">
      <c r="A174" s="999" t="s">
        <v>180</v>
      </c>
      <c r="B174" s="999" t="s">
        <v>1600</v>
      </c>
      <c r="C174" s="1000">
        <v>6567</v>
      </c>
    </row>
    <row r="175" spans="1:3" x14ac:dyDescent="0.25">
      <c r="A175" s="999" t="s">
        <v>180</v>
      </c>
      <c r="B175" s="999" t="s">
        <v>1603</v>
      </c>
      <c r="C175" s="1000">
        <v>42</v>
      </c>
    </row>
    <row r="176" spans="1:3" x14ac:dyDescent="0.25">
      <c r="A176" s="999" t="s">
        <v>180</v>
      </c>
      <c r="B176" s="999" t="s">
        <v>1604</v>
      </c>
      <c r="C176" s="1000">
        <v>231</v>
      </c>
    </row>
    <row r="177" spans="1:3" x14ac:dyDescent="0.25">
      <c r="A177" s="999" t="s">
        <v>181</v>
      </c>
      <c r="B177" s="999" t="s">
        <v>1599</v>
      </c>
      <c r="C177" s="1000">
        <v>3275</v>
      </c>
    </row>
    <row r="178" spans="1:3" x14ac:dyDescent="0.25">
      <c r="A178" s="999" t="s">
        <v>181</v>
      </c>
      <c r="B178" s="999" t="s">
        <v>1601</v>
      </c>
      <c r="C178" s="1000">
        <v>431</v>
      </c>
    </row>
    <row r="179" spans="1:3" x14ac:dyDescent="0.25">
      <c r="A179" s="999" t="s">
        <v>181</v>
      </c>
      <c r="B179" s="999" t="s">
        <v>1598</v>
      </c>
      <c r="C179" s="1000">
        <v>42</v>
      </c>
    </row>
    <row r="180" spans="1:3" x14ac:dyDescent="0.25">
      <c r="A180" s="999" t="s">
        <v>181</v>
      </c>
      <c r="B180" s="999" t="s">
        <v>1602</v>
      </c>
      <c r="C180" s="1000">
        <v>0</v>
      </c>
    </row>
    <row r="181" spans="1:3" x14ac:dyDescent="0.25">
      <c r="A181" s="999" t="s">
        <v>181</v>
      </c>
      <c r="B181" s="999" t="s">
        <v>1606</v>
      </c>
      <c r="C181" s="1000">
        <v>0</v>
      </c>
    </row>
    <row r="182" spans="1:3" x14ac:dyDescent="0.25">
      <c r="A182" s="999" t="s">
        <v>181</v>
      </c>
      <c r="B182" s="999" t="s">
        <v>1605</v>
      </c>
      <c r="C182" s="1000">
        <v>0</v>
      </c>
    </row>
    <row r="183" spans="1:3" x14ac:dyDescent="0.25">
      <c r="A183" s="999" t="s">
        <v>181</v>
      </c>
      <c r="B183" s="999" t="s">
        <v>1600</v>
      </c>
      <c r="C183" s="1000">
        <v>1103</v>
      </c>
    </row>
    <row r="184" spans="1:3" x14ac:dyDescent="0.25">
      <c r="A184" s="999" t="s">
        <v>181</v>
      </c>
      <c r="B184" s="999" t="s">
        <v>1603</v>
      </c>
      <c r="C184" s="1000">
        <v>0</v>
      </c>
    </row>
    <row r="185" spans="1:3" x14ac:dyDescent="0.25">
      <c r="A185" s="999" t="s">
        <v>181</v>
      </c>
      <c r="B185" s="999" t="s">
        <v>1604</v>
      </c>
      <c r="C185" s="1000">
        <v>6</v>
      </c>
    </row>
    <row r="186" spans="1:3" x14ac:dyDescent="0.25">
      <c r="A186" s="999" t="s">
        <v>164</v>
      </c>
      <c r="B186" s="999" t="s">
        <v>1599</v>
      </c>
      <c r="C186" s="1000">
        <v>42827</v>
      </c>
    </row>
    <row r="187" spans="1:3" x14ac:dyDescent="0.25">
      <c r="A187" s="999" t="s">
        <v>164</v>
      </c>
      <c r="B187" s="999" t="s">
        <v>1601</v>
      </c>
      <c r="C187" s="1000">
        <v>4100</v>
      </c>
    </row>
    <row r="188" spans="1:3" x14ac:dyDescent="0.25">
      <c r="A188" s="999" t="s">
        <v>164</v>
      </c>
      <c r="B188" s="999" t="s">
        <v>1598</v>
      </c>
      <c r="C188" s="1000">
        <v>500</v>
      </c>
    </row>
    <row r="189" spans="1:3" x14ac:dyDescent="0.25">
      <c r="A189" s="999" t="s">
        <v>164</v>
      </c>
      <c r="B189" s="999" t="s">
        <v>1602</v>
      </c>
      <c r="C189" s="1000">
        <v>0</v>
      </c>
    </row>
    <row r="190" spans="1:3" x14ac:dyDescent="0.25">
      <c r="A190" s="999" t="s">
        <v>164</v>
      </c>
      <c r="B190" s="999" t="s">
        <v>1606</v>
      </c>
      <c r="C190" s="1000">
        <v>0</v>
      </c>
    </row>
    <row r="191" spans="1:3" x14ac:dyDescent="0.25">
      <c r="A191" s="999" t="s">
        <v>164</v>
      </c>
      <c r="B191" s="999" t="s">
        <v>1605</v>
      </c>
      <c r="C191" s="1000">
        <v>0</v>
      </c>
    </row>
    <row r="192" spans="1:3" x14ac:dyDescent="0.25">
      <c r="A192" s="999" t="s">
        <v>164</v>
      </c>
      <c r="B192" s="999" t="s">
        <v>1600</v>
      </c>
      <c r="C192" s="1000">
        <v>9794</v>
      </c>
    </row>
    <row r="193" spans="1:3" x14ac:dyDescent="0.25">
      <c r="A193" s="999" t="s">
        <v>164</v>
      </c>
      <c r="B193" s="999" t="s">
        <v>1603</v>
      </c>
      <c r="C193" s="1000">
        <v>382</v>
      </c>
    </row>
    <row r="194" spans="1:3" x14ac:dyDescent="0.25">
      <c r="A194" s="999" t="s">
        <v>164</v>
      </c>
      <c r="B194" s="999" t="s">
        <v>1604</v>
      </c>
      <c r="C194" s="1000">
        <v>298</v>
      </c>
    </row>
    <row r="195" spans="1:3" x14ac:dyDescent="0.25">
      <c r="A195" s="999" t="s">
        <v>625</v>
      </c>
      <c r="B195" s="999" t="s">
        <v>1599</v>
      </c>
      <c r="C195" s="1000">
        <v>10462</v>
      </c>
    </row>
    <row r="196" spans="1:3" x14ac:dyDescent="0.25">
      <c r="A196" s="999" t="s">
        <v>625</v>
      </c>
      <c r="B196" s="999" t="s">
        <v>1601</v>
      </c>
      <c r="C196" s="1000">
        <v>775</v>
      </c>
    </row>
    <row r="197" spans="1:3" x14ac:dyDescent="0.25">
      <c r="A197" s="999" t="s">
        <v>625</v>
      </c>
      <c r="B197" s="999" t="s">
        <v>1598</v>
      </c>
      <c r="C197" s="1000">
        <v>116</v>
      </c>
    </row>
    <row r="198" spans="1:3" x14ac:dyDescent="0.25">
      <c r="A198" s="999" t="s">
        <v>625</v>
      </c>
      <c r="B198" s="999" t="s">
        <v>1602</v>
      </c>
      <c r="C198" s="1000">
        <v>0</v>
      </c>
    </row>
    <row r="199" spans="1:3" x14ac:dyDescent="0.25">
      <c r="A199" s="999" t="s">
        <v>625</v>
      </c>
      <c r="B199" s="999" t="s">
        <v>1606</v>
      </c>
      <c r="C199" s="1000">
        <v>0</v>
      </c>
    </row>
    <row r="200" spans="1:3" x14ac:dyDescent="0.25">
      <c r="A200" s="999" t="s">
        <v>625</v>
      </c>
      <c r="B200" s="999" t="s">
        <v>1605</v>
      </c>
      <c r="C200" s="1000">
        <v>1</v>
      </c>
    </row>
    <row r="201" spans="1:3" x14ac:dyDescent="0.25">
      <c r="A201" s="999" t="s">
        <v>625</v>
      </c>
      <c r="B201" s="999" t="s">
        <v>1600</v>
      </c>
      <c r="C201" s="1000">
        <v>2665</v>
      </c>
    </row>
    <row r="202" spans="1:3" x14ac:dyDescent="0.25">
      <c r="A202" s="999" t="s">
        <v>625</v>
      </c>
      <c r="B202" s="999" t="s">
        <v>1603</v>
      </c>
      <c r="C202" s="1000">
        <v>0</v>
      </c>
    </row>
    <row r="203" spans="1:3" x14ac:dyDescent="0.25">
      <c r="A203" s="999" t="s">
        <v>625</v>
      </c>
      <c r="B203" s="999" t="s">
        <v>1604</v>
      </c>
      <c r="C203" s="1000">
        <v>67</v>
      </c>
    </row>
    <row r="204" spans="1:3" x14ac:dyDescent="0.25">
      <c r="A204" s="999" t="s">
        <v>202</v>
      </c>
      <c r="B204" s="999" t="s">
        <v>1599</v>
      </c>
      <c r="C204" s="1000">
        <v>50542</v>
      </c>
    </row>
    <row r="205" spans="1:3" x14ac:dyDescent="0.25">
      <c r="A205" s="999" t="s">
        <v>202</v>
      </c>
      <c r="B205" s="999" t="s">
        <v>1601</v>
      </c>
      <c r="C205" s="1000">
        <v>4079</v>
      </c>
    </row>
    <row r="206" spans="1:3" x14ac:dyDescent="0.25">
      <c r="A206" s="999" t="s">
        <v>202</v>
      </c>
      <c r="B206" s="999" t="s">
        <v>1598</v>
      </c>
      <c r="C206" s="1000">
        <v>614</v>
      </c>
    </row>
    <row r="207" spans="1:3" x14ac:dyDescent="0.25">
      <c r="A207" s="999" t="s">
        <v>202</v>
      </c>
      <c r="B207" s="999" t="s">
        <v>1602</v>
      </c>
      <c r="C207" s="1000">
        <v>4</v>
      </c>
    </row>
    <row r="208" spans="1:3" x14ac:dyDescent="0.25">
      <c r="A208" s="999" t="s">
        <v>202</v>
      </c>
      <c r="B208" s="999" t="s">
        <v>1606</v>
      </c>
      <c r="C208" s="1000">
        <v>0</v>
      </c>
    </row>
    <row r="209" spans="1:3" x14ac:dyDescent="0.25">
      <c r="A209" s="999" t="s">
        <v>202</v>
      </c>
      <c r="B209" s="999" t="s">
        <v>1605</v>
      </c>
      <c r="C209" s="1000">
        <v>0</v>
      </c>
    </row>
    <row r="210" spans="1:3" x14ac:dyDescent="0.25">
      <c r="A210" s="999" t="s">
        <v>202</v>
      </c>
      <c r="B210" s="999" t="s">
        <v>1600</v>
      </c>
      <c r="C210" s="1000">
        <v>14000</v>
      </c>
    </row>
    <row r="211" spans="1:3" x14ac:dyDescent="0.25">
      <c r="A211" s="999" t="s">
        <v>202</v>
      </c>
      <c r="B211" s="999" t="s">
        <v>1603</v>
      </c>
      <c r="C211" s="1000">
        <v>35</v>
      </c>
    </row>
    <row r="212" spans="1:3" x14ac:dyDescent="0.25">
      <c r="A212" s="999" t="s">
        <v>202</v>
      </c>
      <c r="B212" s="999" t="s">
        <v>1604</v>
      </c>
      <c r="C212" s="1000">
        <v>558</v>
      </c>
    </row>
    <row r="213" spans="1:3" x14ac:dyDescent="0.25">
      <c r="A213" s="999" t="s">
        <v>203</v>
      </c>
      <c r="B213" s="999" t="s">
        <v>1599</v>
      </c>
      <c r="C213" s="1000">
        <v>20188</v>
      </c>
    </row>
    <row r="214" spans="1:3" x14ac:dyDescent="0.25">
      <c r="A214" s="999" t="s">
        <v>203</v>
      </c>
      <c r="B214" s="999" t="s">
        <v>1601</v>
      </c>
      <c r="C214" s="1000">
        <v>1810</v>
      </c>
    </row>
    <row r="215" spans="1:3" x14ac:dyDescent="0.25">
      <c r="A215" s="999" t="s">
        <v>203</v>
      </c>
      <c r="B215" s="999" t="s">
        <v>1598</v>
      </c>
      <c r="C215" s="1000">
        <v>197</v>
      </c>
    </row>
    <row r="216" spans="1:3" x14ac:dyDescent="0.25">
      <c r="A216" s="999" t="s">
        <v>203</v>
      </c>
      <c r="B216" s="999" t="s">
        <v>1602</v>
      </c>
      <c r="C216" s="1000">
        <v>0</v>
      </c>
    </row>
    <row r="217" spans="1:3" x14ac:dyDescent="0.25">
      <c r="A217" s="999" t="s">
        <v>203</v>
      </c>
      <c r="B217" s="999" t="s">
        <v>1606</v>
      </c>
      <c r="C217" s="1000">
        <v>0</v>
      </c>
    </row>
    <row r="218" spans="1:3" x14ac:dyDescent="0.25">
      <c r="A218" s="999" t="s">
        <v>203</v>
      </c>
      <c r="B218" s="999" t="s">
        <v>1605</v>
      </c>
      <c r="C218" s="1000">
        <v>0</v>
      </c>
    </row>
    <row r="219" spans="1:3" x14ac:dyDescent="0.25">
      <c r="A219" s="999" t="s">
        <v>203</v>
      </c>
      <c r="B219" s="999" t="s">
        <v>1600</v>
      </c>
      <c r="C219" s="1000">
        <v>4674</v>
      </c>
    </row>
    <row r="220" spans="1:3" x14ac:dyDescent="0.25">
      <c r="A220" s="999" t="s">
        <v>203</v>
      </c>
      <c r="B220" s="999" t="s">
        <v>1603</v>
      </c>
      <c r="C220" s="1000">
        <v>173</v>
      </c>
    </row>
    <row r="221" spans="1:3" x14ac:dyDescent="0.25">
      <c r="A221" s="999" t="s">
        <v>203</v>
      </c>
      <c r="B221" s="999" t="s">
        <v>1604</v>
      </c>
      <c r="C221" s="1000">
        <v>152</v>
      </c>
    </row>
    <row r="222" spans="1:3" x14ac:dyDescent="0.25">
      <c r="A222" s="999" t="s">
        <v>2277</v>
      </c>
      <c r="B222" s="999" t="s">
        <v>1599</v>
      </c>
      <c r="C222" s="1000">
        <v>2255</v>
      </c>
    </row>
    <row r="223" spans="1:3" x14ac:dyDescent="0.25">
      <c r="A223" s="999" t="s">
        <v>2277</v>
      </c>
      <c r="B223" s="999" t="s">
        <v>1601</v>
      </c>
      <c r="C223" s="1000">
        <v>404</v>
      </c>
    </row>
    <row r="224" spans="1:3" x14ac:dyDescent="0.25">
      <c r="A224" s="999" t="s">
        <v>2277</v>
      </c>
      <c r="B224" s="999" t="s">
        <v>1598</v>
      </c>
      <c r="C224" s="1000">
        <v>38</v>
      </c>
    </row>
    <row r="225" spans="1:3" x14ac:dyDescent="0.25">
      <c r="A225" s="999" t="s">
        <v>2277</v>
      </c>
      <c r="B225" s="999" t="s">
        <v>1602</v>
      </c>
      <c r="C225" s="1000">
        <v>0</v>
      </c>
    </row>
    <row r="226" spans="1:3" x14ac:dyDescent="0.25">
      <c r="A226" s="999" t="s">
        <v>2277</v>
      </c>
      <c r="B226" s="999" t="s">
        <v>1606</v>
      </c>
      <c r="C226" s="1000">
        <v>0</v>
      </c>
    </row>
    <row r="227" spans="1:3" x14ac:dyDescent="0.25">
      <c r="A227" s="999" t="s">
        <v>2277</v>
      </c>
      <c r="B227" s="999" t="s">
        <v>1605</v>
      </c>
      <c r="C227" s="1000">
        <v>0</v>
      </c>
    </row>
    <row r="228" spans="1:3" x14ac:dyDescent="0.25">
      <c r="A228" s="999" t="s">
        <v>2277</v>
      </c>
      <c r="B228" s="999" t="s">
        <v>1600</v>
      </c>
      <c r="C228" s="1000">
        <v>962</v>
      </c>
    </row>
    <row r="229" spans="1:3" x14ac:dyDescent="0.25">
      <c r="A229" s="999" t="s">
        <v>2277</v>
      </c>
      <c r="B229" s="999" t="s">
        <v>1603</v>
      </c>
      <c r="C229" s="1000">
        <v>12</v>
      </c>
    </row>
    <row r="230" spans="1:3" x14ac:dyDescent="0.25">
      <c r="A230" s="999" t="s">
        <v>2277</v>
      </c>
      <c r="B230" s="999" t="s">
        <v>1604</v>
      </c>
      <c r="C230" s="1000">
        <v>0</v>
      </c>
    </row>
    <row r="231" spans="1:3" x14ac:dyDescent="0.25">
      <c r="A231" s="999" t="s">
        <v>204</v>
      </c>
      <c r="B231" s="999" t="s">
        <v>1599</v>
      </c>
      <c r="C231" s="1000">
        <v>1097</v>
      </c>
    </row>
    <row r="232" spans="1:3" x14ac:dyDescent="0.25">
      <c r="A232" s="999" t="s">
        <v>204</v>
      </c>
      <c r="B232" s="999" t="s">
        <v>1601</v>
      </c>
      <c r="C232" s="1000">
        <v>145</v>
      </c>
    </row>
    <row r="233" spans="1:3" x14ac:dyDescent="0.25">
      <c r="A233" s="999" t="s">
        <v>204</v>
      </c>
      <c r="B233" s="999" t="s">
        <v>1598</v>
      </c>
      <c r="C233" s="1000">
        <v>12</v>
      </c>
    </row>
    <row r="234" spans="1:3" x14ac:dyDescent="0.25">
      <c r="A234" s="999" t="s">
        <v>204</v>
      </c>
      <c r="B234" s="999" t="s">
        <v>1602</v>
      </c>
      <c r="C234" s="1000">
        <v>0</v>
      </c>
    </row>
    <row r="235" spans="1:3" x14ac:dyDescent="0.25">
      <c r="A235" s="999" t="s">
        <v>204</v>
      </c>
      <c r="B235" s="999" t="s">
        <v>1606</v>
      </c>
      <c r="C235" s="1000">
        <v>0</v>
      </c>
    </row>
    <row r="236" spans="1:3" x14ac:dyDescent="0.25">
      <c r="A236" s="999" t="s">
        <v>204</v>
      </c>
      <c r="B236" s="999" t="s">
        <v>1605</v>
      </c>
      <c r="C236" s="1000">
        <v>0</v>
      </c>
    </row>
    <row r="237" spans="1:3" x14ac:dyDescent="0.25">
      <c r="A237" s="999" t="s">
        <v>204</v>
      </c>
      <c r="B237" s="999" t="s">
        <v>1600</v>
      </c>
      <c r="C237" s="1000">
        <v>370</v>
      </c>
    </row>
    <row r="238" spans="1:3" x14ac:dyDescent="0.25">
      <c r="A238" s="999" t="s">
        <v>204</v>
      </c>
      <c r="B238" s="999" t="s">
        <v>1603</v>
      </c>
      <c r="C238" s="1000">
        <v>0</v>
      </c>
    </row>
    <row r="239" spans="1:3" x14ac:dyDescent="0.25">
      <c r="A239" s="999" t="s">
        <v>204</v>
      </c>
      <c r="B239" s="999" t="s">
        <v>1604</v>
      </c>
      <c r="C239" s="1000">
        <v>4</v>
      </c>
    </row>
    <row r="240" spans="1:3" x14ac:dyDescent="0.25">
      <c r="A240" s="999" t="s">
        <v>183</v>
      </c>
      <c r="B240" s="999" t="s">
        <v>1599</v>
      </c>
      <c r="C240" s="1000">
        <v>4837</v>
      </c>
    </row>
    <row r="241" spans="1:3" x14ac:dyDescent="0.25">
      <c r="A241" s="999" t="s">
        <v>183</v>
      </c>
      <c r="B241" s="999" t="s">
        <v>1601</v>
      </c>
      <c r="C241" s="1000">
        <v>615</v>
      </c>
    </row>
    <row r="242" spans="1:3" x14ac:dyDescent="0.25">
      <c r="A242" s="999" t="s">
        <v>183</v>
      </c>
      <c r="B242" s="999" t="s">
        <v>1598</v>
      </c>
      <c r="C242" s="1000">
        <v>82</v>
      </c>
    </row>
    <row r="243" spans="1:3" x14ac:dyDescent="0.25">
      <c r="A243" s="999" t="s">
        <v>183</v>
      </c>
      <c r="B243" s="999" t="s">
        <v>1602</v>
      </c>
      <c r="C243" s="1000">
        <v>0</v>
      </c>
    </row>
    <row r="244" spans="1:3" x14ac:dyDescent="0.25">
      <c r="A244" s="999" t="s">
        <v>183</v>
      </c>
      <c r="B244" s="999" t="s">
        <v>1606</v>
      </c>
      <c r="C244" s="1000">
        <v>0</v>
      </c>
    </row>
    <row r="245" spans="1:3" x14ac:dyDescent="0.25">
      <c r="A245" s="999" t="s">
        <v>183</v>
      </c>
      <c r="B245" s="999" t="s">
        <v>1605</v>
      </c>
      <c r="C245" s="1000">
        <v>0</v>
      </c>
    </row>
    <row r="246" spans="1:3" x14ac:dyDescent="0.25">
      <c r="A246" s="999" t="s">
        <v>183</v>
      </c>
      <c r="B246" s="999" t="s">
        <v>1600</v>
      </c>
      <c r="C246" s="1000">
        <v>1197</v>
      </c>
    </row>
    <row r="247" spans="1:3" x14ac:dyDescent="0.25">
      <c r="A247" s="999" t="s">
        <v>183</v>
      </c>
      <c r="B247" s="999" t="s">
        <v>1603</v>
      </c>
      <c r="C247" s="1000">
        <v>44</v>
      </c>
    </row>
    <row r="248" spans="1:3" x14ac:dyDescent="0.25">
      <c r="A248" s="999" t="s">
        <v>183</v>
      </c>
      <c r="B248" s="999" t="s">
        <v>1604</v>
      </c>
      <c r="C248" s="1000">
        <v>9</v>
      </c>
    </row>
    <row r="249" spans="1:3" x14ac:dyDescent="0.25">
      <c r="A249" s="999" t="s">
        <v>211</v>
      </c>
      <c r="B249" s="999" t="s">
        <v>1599</v>
      </c>
      <c r="C249" s="1000">
        <v>1199513</v>
      </c>
    </row>
    <row r="250" spans="1:3" x14ac:dyDescent="0.25">
      <c r="A250" s="999" t="s">
        <v>211</v>
      </c>
      <c r="B250" s="999" t="s">
        <v>1601</v>
      </c>
      <c r="C250" s="1000">
        <v>111284</v>
      </c>
    </row>
    <row r="251" spans="1:3" x14ac:dyDescent="0.25">
      <c r="A251" s="999" t="s">
        <v>211</v>
      </c>
      <c r="B251" s="999" t="s">
        <v>1598</v>
      </c>
      <c r="C251" s="1000">
        <v>8744</v>
      </c>
    </row>
    <row r="252" spans="1:3" x14ac:dyDescent="0.25">
      <c r="A252" s="999" t="s">
        <v>211</v>
      </c>
      <c r="B252" s="999" t="s">
        <v>1602</v>
      </c>
      <c r="C252" s="1000">
        <v>0</v>
      </c>
    </row>
    <row r="253" spans="1:3" x14ac:dyDescent="0.25">
      <c r="A253" s="999" t="s">
        <v>211</v>
      </c>
      <c r="B253" s="999" t="s">
        <v>1606</v>
      </c>
      <c r="C253" s="1000">
        <v>544</v>
      </c>
    </row>
    <row r="254" spans="1:3" x14ac:dyDescent="0.25">
      <c r="A254" s="999" t="s">
        <v>211</v>
      </c>
      <c r="B254" s="999" t="s">
        <v>1605</v>
      </c>
      <c r="C254" s="1000">
        <v>49</v>
      </c>
    </row>
    <row r="255" spans="1:3" x14ac:dyDescent="0.25">
      <c r="A255" s="999" t="s">
        <v>211</v>
      </c>
      <c r="B255" s="999" t="s">
        <v>1600</v>
      </c>
      <c r="C255" s="1000">
        <v>5405</v>
      </c>
    </row>
    <row r="256" spans="1:3" x14ac:dyDescent="0.25">
      <c r="A256" s="999" t="s">
        <v>211</v>
      </c>
      <c r="B256" s="999" t="s">
        <v>1603</v>
      </c>
      <c r="C256" s="1000">
        <v>22429</v>
      </c>
    </row>
    <row r="257" spans="1:3" x14ac:dyDescent="0.25">
      <c r="A257" s="999" t="s">
        <v>211</v>
      </c>
      <c r="B257" s="999" t="s">
        <v>1604</v>
      </c>
      <c r="C257" s="1000">
        <v>5605</v>
      </c>
    </row>
    <row r="258" spans="1:3" x14ac:dyDescent="0.25">
      <c r="A258" s="999" t="s">
        <v>626</v>
      </c>
      <c r="B258" s="999" t="s">
        <v>1599</v>
      </c>
      <c r="C258" s="1000">
        <v>0</v>
      </c>
    </row>
    <row r="259" spans="1:3" x14ac:dyDescent="0.25">
      <c r="A259" s="999" t="s">
        <v>626</v>
      </c>
      <c r="B259" s="999" t="s">
        <v>1601</v>
      </c>
      <c r="C259" s="1000">
        <v>0</v>
      </c>
    </row>
    <row r="260" spans="1:3" x14ac:dyDescent="0.25">
      <c r="A260" s="999" t="s">
        <v>626</v>
      </c>
      <c r="B260" s="999" t="s">
        <v>1598</v>
      </c>
      <c r="C260" s="1000">
        <v>0</v>
      </c>
    </row>
    <row r="261" spans="1:3" x14ac:dyDescent="0.25">
      <c r="A261" s="999" t="s">
        <v>626</v>
      </c>
      <c r="B261" s="999" t="s">
        <v>1602</v>
      </c>
      <c r="C261" s="1000">
        <v>0</v>
      </c>
    </row>
    <row r="262" spans="1:3" x14ac:dyDescent="0.25">
      <c r="A262" s="999" t="s">
        <v>626</v>
      </c>
      <c r="B262" s="999" t="s">
        <v>1606</v>
      </c>
      <c r="C262" s="1000">
        <v>0</v>
      </c>
    </row>
    <row r="263" spans="1:3" x14ac:dyDescent="0.25">
      <c r="A263" s="999" t="s">
        <v>626</v>
      </c>
      <c r="B263" s="999" t="s">
        <v>1605</v>
      </c>
      <c r="C263" s="1000">
        <v>0</v>
      </c>
    </row>
    <row r="264" spans="1:3" x14ac:dyDescent="0.25">
      <c r="A264" s="999" t="s">
        <v>626</v>
      </c>
      <c r="B264" s="999" t="s">
        <v>1600</v>
      </c>
      <c r="C264" s="1000">
        <v>0</v>
      </c>
    </row>
    <row r="265" spans="1:3" x14ac:dyDescent="0.25">
      <c r="A265" s="999" t="s">
        <v>626</v>
      </c>
      <c r="B265" s="999" t="s">
        <v>1603</v>
      </c>
      <c r="C265" s="1000">
        <v>0</v>
      </c>
    </row>
    <row r="266" spans="1:3" x14ac:dyDescent="0.25">
      <c r="A266" s="999" t="s">
        <v>626</v>
      </c>
      <c r="B266" s="999" t="s">
        <v>1604</v>
      </c>
      <c r="C266" s="1000">
        <v>0</v>
      </c>
    </row>
    <row r="267" spans="1:3" x14ac:dyDescent="0.25">
      <c r="A267" s="999" t="s">
        <v>205</v>
      </c>
      <c r="B267" s="999" t="s">
        <v>1599</v>
      </c>
      <c r="C267" s="1000">
        <v>303571</v>
      </c>
    </row>
    <row r="268" spans="1:3" x14ac:dyDescent="0.25">
      <c r="A268" s="999" t="s">
        <v>205</v>
      </c>
      <c r="B268" s="999" t="s">
        <v>1601</v>
      </c>
      <c r="C268" s="1000">
        <v>24888</v>
      </c>
    </row>
    <row r="269" spans="1:3" x14ac:dyDescent="0.25">
      <c r="A269" s="999" t="s">
        <v>205</v>
      </c>
      <c r="B269" s="999" t="s">
        <v>1598</v>
      </c>
      <c r="C269" s="1000">
        <v>3305</v>
      </c>
    </row>
    <row r="270" spans="1:3" x14ac:dyDescent="0.25">
      <c r="A270" s="999" t="s">
        <v>205</v>
      </c>
      <c r="B270" s="999" t="s">
        <v>1602</v>
      </c>
      <c r="C270" s="1000">
        <v>13</v>
      </c>
    </row>
    <row r="271" spans="1:3" x14ac:dyDescent="0.25">
      <c r="A271" s="999" t="s">
        <v>205</v>
      </c>
      <c r="B271" s="999" t="s">
        <v>1606</v>
      </c>
      <c r="C271" s="1000">
        <v>0</v>
      </c>
    </row>
    <row r="272" spans="1:3" x14ac:dyDescent="0.25">
      <c r="A272" s="999" t="s">
        <v>205</v>
      </c>
      <c r="B272" s="999" t="s">
        <v>1605</v>
      </c>
      <c r="C272" s="1000">
        <v>0</v>
      </c>
    </row>
    <row r="273" spans="1:3" x14ac:dyDescent="0.25">
      <c r="A273" s="999" t="s">
        <v>205</v>
      </c>
      <c r="B273" s="999" t="s">
        <v>1600</v>
      </c>
      <c r="C273" s="1000">
        <v>58760</v>
      </c>
    </row>
    <row r="274" spans="1:3" x14ac:dyDescent="0.25">
      <c r="A274" s="999" t="s">
        <v>205</v>
      </c>
      <c r="B274" s="999" t="s">
        <v>1603</v>
      </c>
      <c r="C274" s="1000">
        <v>58</v>
      </c>
    </row>
    <row r="275" spans="1:3" x14ac:dyDescent="0.25">
      <c r="A275" s="999" t="s">
        <v>205</v>
      </c>
      <c r="B275" s="999" t="s">
        <v>1604</v>
      </c>
      <c r="C275" s="1000">
        <v>3433</v>
      </c>
    </row>
    <row r="276" spans="1:3" x14ac:dyDescent="0.25">
      <c r="A276" s="999" t="s">
        <v>627</v>
      </c>
      <c r="B276" s="999" t="s">
        <v>1599</v>
      </c>
      <c r="C276" s="1000">
        <v>16103</v>
      </c>
    </row>
    <row r="277" spans="1:3" x14ac:dyDescent="0.25">
      <c r="A277" s="999" t="s">
        <v>627</v>
      </c>
      <c r="B277" s="999" t="s">
        <v>1601</v>
      </c>
      <c r="C277" s="1000">
        <v>1034</v>
      </c>
    </row>
    <row r="278" spans="1:3" x14ac:dyDescent="0.25">
      <c r="A278" s="999" t="s">
        <v>627</v>
      </c>
      <c r="B278" s="999" t="s">
        <v>1598</v>
      </c>
      <c r="C278" s="1000">
        <v>91</v>
      </c>
    </row>
    <row r="279" spans="1:3" x14ac:dyDescent="0.25">
      <c r="A279" s="999" t="s">
        <v>627</v>
      </c>
      <c r="B279" s="999" t="s">
        <v>1602</v>
      </c>
      <c r="C279" s="1000">
        <v>0</v>
      </c>
    </row>
    <row r="280" spans="1:3" x14ac:dyDescent="0.25">
      <c r="A280" s="999" t="s">
        <v>627</v>
      </c>
      <c r="B280" s="999" t="s">
        <v>1606</v>
      </c>
      <c r="C280" s="1000">
        <v>0</v>
      </c>
    </row>
    <row r="281" spans="1:3" x14ac:dyDescent="0.25">
      <c r="A281" s="999" t="s">
        <v>627</v>
      </c>
      <c r="B281" s="999" t="s">
        <v>1605</v>
      </c>
      <c r="C281" s="1000">
        <v>0</v>
      </c>
    </row>
    <row r="282" spans="1:3" x14ac:dyDescent="0.25">
      <c r="A282" s="999" t="s">
        <v>627</v>
      </c>
      <c r="B282" s="999" t="s">
        <v>1600</v>
      </c>
      <c r="C282" s="1000">
        <v>3044</v>
      </c>
    </row>
    <row r="283" spans="1:3" x14ac:dyDescent="0.25">
      <c r="A283" s="999" t="s">
        <v>627</v>
      </c>
      <c r="B283" s="999" t="s">
        <v>1603</v>
      </c>
      <c r="C283" s="1000">
        <v>158</v>
      </c>
    </row>
    <row r="284" spans="1:3" x14ac:dyDescent="0.25">
      <c r="A284" s="999" t="s">
        <v>627</v>
      </c>
      <c r="B284" s="999" t="s">
        <v>1604</v>
      </c>
      <c r="C284" s="1000">
        <v>71</v>
      </c>
    </row>
    <row r="285" spans="1:3" x14ac:dyDescent="0.25">
      <c r="A285" s="999" t="s">
        <v>167</v>
      </c>
      <c r="B285" s="999" t="s">
        <v>1599</v>
      </c>
      <c r="C285" s="1000">
        <v>4778</v>
      </c>
    </row>
    <row r="286" spans="1:3" x14ac:dyDescent="0.25">
      <c r="A286" s="999" t="s">
        <v>167</v>
      </c>
      <c r="B286" s="999" t="s">
        <v>1601</v>
      </c>
      <c r="C286" s="1000">
        <v>745</v>
      </c>
    </row>
    <row r="287" spans="1:3" x14ac:dyDescent="0.25">
      <c r="A287" s="999" t="s">
        <v>167</v>
      </c>
      <c r="B287" s="999" t="s">
        <v>1598</v>
      </c>
      <c r="C287" s="1000">
        <v>58</v>
      </c>
    </row>
    <row r="288" spans="1:3" x14ac:dyDescent="0.25">
      <c r="A288" s="999" t="s">
        <v>167</v>
      </c>
      <c r="B288" s="999" t="s">
        <v>1602</v>
      </c>
      <c r="C288" s="1000">
        <v>0</v>
      </c>
    </row>
    <row r="289" spans="1:3" x14ac:dyDescent="0.25">
      <c r="A289" s="999" t="s">
        <v>167</v>
      </c>
      <c r="B289" s="999" t="s">
        <v>1606</v>
      </c>
      <c r="C289" s="1000">
        <v>0</v>
      </c>
    </row>
    <row r="290" spans="1:3" x14ac:dyDescent="0.25">
      <c r="A290" s="999" t="s">
        <v>167</v>
      </c>
      <c r="B290" s="999" t="s">
        <v>1605</v>
      </c>
      <c r="C290" s="1000">
        <v>0</v>
      </c>
    </row>
    <row r="291" spans="1:3" x14ac:dyDescent="0.25">
      <c r="A291" s="999" t="s">
        <v>167</v>
      </c>
      <c r="B291" s="999" t="s">
        <v>1600</v>
      </c>
      <c r="C291" s="1000">
        <v>534</v>
      </c>
    </row>
    <row r="292" spans="1:3" x14ac:dyDescent="0.25">
      <c r="A292" s="999" t="s">
        <v>167</v>
      </c>
      <c r="B292" s="999" t="s">
        <v>1603</v>
      </c>
      <c r="C292" s="1000">
        <v>0</v>
      </c>
    </row>
    <row r="293" spans="1:3" x14ac:dyDescent="0.25">
      <c r="A293" s="999" t="s">
        <v>167</v>
      </c>
      <c r="B293" s="999" t="s">
        <v>1604</v>
      </c>
      <c r="C293" s="1000">
        <v>35</v>
      </c>
    </row>
    <row r="294" spans="1:3" x14ac:dyDescent="0.25">
      <c r="A294" s="999" t="s">
        <v>163</v>
      </c>
      <c r="B294" s="999" t="s">
        <v>1599</v>
      </c>
      <c r="C294" s="1000">
        <v>24316</v>
      </c>
    </row>
    <row r="295" spans="1:3" x14ac:dyDescent="0.25">
      <c r="A295" s="999" t="s">
        <v>163</v>
      </c>
      <c r="B295" s="999" t="s">
        <v>1601</v>
      </c>
      <c r="C295" s="1000">
        <v>2941</v>
      </c>
    </row>
    <row r="296" spans="1:3" x14ac:dyDescent="0.25">
      <c r="A296" s="999" t="s">
        <v>163</v>
      </c>
      <c r="B296" s="999" t="s">
        <v>1598</v>
      </c>
      <c r="C296" s="1000">
        <v>322</v>
      </c>
    </row>
    <row r="297" spans="1:3" x14ac:dyDescent="0.25">
      <c r="A297" s="999" t="s">
        <v>163</v>
      </c>
      <c r="B297" s="999" t="s">
        <v>1602</v>
      </c>
      <c r="C297" s="1000">
        <v>3</v>
      </c>
    </row>
    <row r="298" spans="1:3" x14ac:dyDescent="0.25">
      <c r="A298" s="999" t="s">
        <v>163</v>
      </c>
      <c r="B298" s="999" t="s">
        <v>1606</v>
      </c>
      <c r="C298" s="1000">
        <v>0</v>
      </c>
    </row>
    <row r="299" spans="1:3" x14ac:dyDescent="0.25">
      <c r="A299" s="999" t="s">
        <v>163</v>
      </c>
      <c r="B299" s="999" t="s">
        <v>1605</v>
      </c>
      <c r="C299" s="1000">
        <v>0</v>
      </c>
    </row>
    <row r="300" spans="1:3" x14ac:dyDescent="0.25">
      <c r="A300" s="999" t="s">
        <v>163</v>
      </c>
      <c r="B300" s="999" t="s">
        <v>1600</v>
      </c>
      <c r="C300" s="1000">
        <v>5514</v>
      </c>
    </row>
    <row r="301" spans="1:3" x14ac:dyDescent="0.25">
      <c r="A301" s="999" t="s">
        <v>163</v>
      </c>
      <c r="B301" s="999" t="s">
        <v>1603</v>
      </c>
      <c r="C301" s="1000">
        <v>0</v>
      </c>
    </row>
    <row r="302" spans="1:3" x14ac:dyDescent="0.25">
      <c r="A302" s="999" t="s">
        <v>163</v>
      </c>
      <c r="B302" s="999" t="s">
        <v>1604</v>
      </c>
      <c r="C302" s="1000">
        <v>161</v>
      </c>
    </row>
    <row r="303" spans="1:3" x14ac:dyDescent="0.25">
      <c r="A303" s="999" t="s">
        <v>184</v>
      </c>
      <c r="B303" s="999" t="s">
        <v>1599</v>
      </c>
      <c r="C303" s="1000">
        <v>86846</v>
      </c>
    </row>
    <row r="304" spans="1:3" x14ac:dyDescent="0.25">
      <c r="A304" s="999" t="s">
        <v>184</v>
      </c>
      <c r="B304" s="999" t="s">
        <v>1601</v>
      </c>
      <c r="C304" s="1000">
        <v>7964</v>
      </c>
    </row>
    <row r="305" spans="1:3" x14ac:dyDescent="0.25">
      <c r="A305" s="999" t="s">
        <v>184</v>
      </c>
      <c r="B305" s="999" t="s">
        <v>1598</v>
      </c>
      <c r="C305" s="1000">
        <v>946</v>
      </c>
    </row>
    <row r="306" spans="1:3" x14ac:dyDescent="0.25">
      <c r="A306" s="999" t="s">
        <v>184</v>
      </c>
      <c r="B306" s="999" t="s">
        <v>1602</v>
      </c>
      <c r="C306" s="1000">
        <v>1</v>
      </c>
    </row>
    <row r="307" spans="1:3" x14ac:dyDescent="0.25">
      <c r="A307" s="999" t="s">
        <v>184</v>
      </c>
      <c r="B307" s="999" t="s">
        <v>1606</v>
      </c>
      <c r="C307" s="1000">
        <v>0</v>
      </c>
    </row>
    <row r="308" spans="1:3" x14ac:dyDescent="0.25">
      <c r="A308" s="999" t="s">
        <v>184</v>
      </c>
      <c r="B308" s="999" t="s">
        <v>1605</v>
      </c>
      <c r="C308" s="1000">
        <v>1</v>
      </c>
    </row>
    <row r="309" spans="1:3" x14ac:dyDescent="0.25">
      <c r="A309" s="999" t="s">
        <v>184</v>
      </c>
      <c r="B309" s="999" t="s">
        <v>1600</v>
      </c>
      <c r="C309" s="1000">
        <v>25441</v>
      </c>
    </row>
    <row r="310" spans="1:3" x14ac:dyDescent="0.25">
      <c r="A310" s="999" t="s">
        <v>184</v>
      </c>
      <c r="B310" s="999" t="s">
        <v>1603</v>
      </c>
      <c r="C310" s="1000">
        <v>0</v>
      </c>
    </row>
    <row r="311" spans="1:3" x14ac:dyDescent="0.25">
      <c r="A311" s="999" t="s">
        <v>184</v>
      </c>
      <c r="B311" s="999" t="s">
        <v>1604</v>
      </c>
      <c r="C311" s="1000">
        <v>916</v>
      </c>
    </row>
    <row r="312" spans="1:3" x14ac:dyDescent="0.25">
      <c r="A312" s="999" t="s">
        <v>206</v>
      </c>
      <c r="B312" s="999" t="s">
        <v>1599</v>
      </c>
      <c r="C312" s="1000">
        <v>9117</v>
      </c>
    </row>
    <row r="313" spans="1:3" x14ac:dyDescent="0.25">
      <c r="A313" s="999" t="s">
        <v>206</v>
      </c>
      <c r="B313" s="999" t="s">
        <v>1601</v>
      </c>
      <c r="C313" s="1000">
        <v>1116</v>
      </c>
    </row>
    <row r="314" spans="1:3" x14ac:dyDescent="0.25">
      <c r="A314" s="999" t="s">
        <v>206</v>
      </c>
      <c r="B314" s="999" t="s">
        <v>1598</v>
      </c>
      <c r="C314" s="1000">
        <v>116</v>
      </c>
    </row>
    <row r="315" spans="1:3" x14ac:dyDescent="0.25">
      <c r="A315" s="999" t="s">
        <v>206</v>
      </c>
      <c r="B315" s="999" t="s">
        <v>1602</v>
      </c>
      <c r="C315" s="1000">
        <v>0</v>
      </c>
    </row>
    <row r="316" spans="1:3" x14ac:dyDescent="0.25">
      <c r="A316" s="999" t="s">
        <v>206</v>
      </c>
      <c r="B316" s="999" t="s">
        <v>1606</v>
      </c>
      <c r="C316" s="1000">
        <v>0</v>
      </c>
    </row>
    <row r="317" spans="1:3" x14ac:dyDescent="0.25">
      <c r="A317" s="999" t="s">
        <v>206</v>
      </c>
      <c r="B317" s="999" t="s">
        <v>1605</v>
      </c>
      <c r="C317" s="1000">
        <v>0</v>
      </c>
    </row>
    <row r="318" spans="1:3" x14ac:dyDescent="0.25">
      <c r="A318" s="999" t="s">
        <v>206</v>
      </c>
      <c r="B318" s="999" t="s">
        <v>1600</v>
      </c>
      <c r="C318" s="1000">
        <v>3182</v>
      </c>
    </row>
    <row r="319" spans="1:3" x14ac:dyDescent="0.25">
      <c r="A319" s="999" t="s">
        <v>206</v>
      </c>
      <c r="B319" s="999" t="s">
        <v>1603</v>
      </c>
      <c r="C319" s="1000">
        <v>48</v>
      </c>
    </row>
    <row r="320" spans="1:3" x14ac:dyDescent="0.25">
      <c r="A320" s="999" t="s">
        <v>206</v>
      </c>
      <c r="B320" s="999" t="s">
        <v>1604</v>
      </c>
      <c r="C320" s="1000">
        <v>84</v>
      </c>
    </row>
    <row r="321" spans="1:3" x14ac:dyDescent="0.25">
      <c r="A321" s="999" t="s">
        <v>185</v>
      </c>
      <c r="B321" s="999" t="s">
        <v>1599</v>
      </c>
      <c r="C321" s="1000">
        <v>11208</v>
      </c>
    </row>
    <row r="322" spans="1:3" x14ac:dyDescent="0.25">
      <c r="A322" s="999" t="s">
        <v>185</v>
      </c>
      <c r="B322" s="999" t="s">
        <v>1601</v>
      </c>
      <c r="C322" s="1000">
        <v>2146</v>
      </c>
    </row>
    <row r="323" spans="1:3" x14ac:dyDescent="0.25">
      <c r="A323" s="999" t="s">
        <v>185</v>
      </c>
      <c r="B323" s="999" t="s">
        <v>1598</v>
      </c>
      <c r="C323" s="1000">
        <v>137</v>
      </c>
    </row>
    <row r="324" spans="1:3" x14ac:dyDescent="0.25">
      <c r="A324" s="999" t="s">
        <v>185</v>
      </c>
      <c r="B324" s="999" t="s">
        <v>1602</v>
      </c>
      <c r="C324" s="1000">
        <v>0</v>
      </c>
    </row>
    <row r="325" spans="1:3" x14ac:dyDescent="0.25">
      <c r="A325" s="999" t="s">
        <v>185</v>
      </c>
      <c r="B325" s="999" t="s">
        <v>1606</v>
      </c>
      <c r="C325" s="1000">
        <v>0</v>
      </c>
    </row>
    <row r="326" spans="1:3" x14ac:dyDescent="0.25">
      <c r="A326" s="999" t="s">
        <v>185</v>
      </c>
      <c r="B326" s="999" t="s">
        <v>1605</v>
      </c>
      <c r="C326" s="1000">
        <v>0</v>
      </c>
    </row>
    <row r="327" spans="1:3" x14ac:dyDescent="0.25">
      <c r="A327" s="999" t="s">
        <v>185</v>
      </c>
      <c r="B327" s="999" t="s">
        <v>1600</v>
      </c>
      <c r="C327" s="1000">
        <v>2849</v>
      </c>
    </row>
    <row r="328" spans="1:3" x14ac:dyDescent="0.25">
      <c r="A328" s="999" t="s">
        <v>185</v>
      </c>
      <c r="B328" s="999" t="s">
        <v>1603</v>
      </c>
      <c r="C328" s="1000">
        <v>47</v>
      </c>
    </row>
    <row r="329" spans="1:3" x14ac:dyDescent="0.25">
      <c r="A329" s="999" t="s">
        <v>185</v>
      </c>
      <c r="B329" s="999" t="s">
        <v>1604</v>
      </c>
      <c r="C329" s="1000">
        <v>51</v>
      </c>
    </row>
    <row r="330" spans="1:3" x14ac:dyDescent="0.25">
      <c r="A330" s="999" t="s">
        <v>186</v>
      </c>
      <c r="B330" s="999" t="s">
        <v>1599</v>
      </c>
      <c r="C330" s="1000">
        <v>143018</v>
      </c>
    </row>
    <row r="331" spans="1:3" x14ac:dyDescent="0.25">
      <c r="A331" s="999" t="s">
        <v>186</v>
      </c>
      <c r="B331" s="999" t="s">
        <v>1601</v>
      </c>
      <c r="C331" s="1000">
        <v>12543</v>
      </c>
    </row>
    <row r="332" spans="1:3" x14ac:dyDescent="0.25">
      <c r="A332" s="999" t="s">
        <v>186</v>
      </c>
      <c r="B332" s="999" t="s">
        <v>1598</v>
      </c>
      <c r="C332" s="1000">
        <v>1626</v>
      </c>
    </row>
    <row r="333" spans="1:3" x14ac:dyDescent="0.25">
      <c r="A333" s="999" t="s">
        <v>186</v>
      </c>
      <c r="B333" s="999" t="s">
        <v>1602</v>
      </c>
      <c r="C333" s="1000">
        <v>1</v>
      </c>
    </row>
    <row r="334" spans="1:3" x14ac:dyDescent="0.25">
      <c r="A334" s="999" t="s">
        <v>186</v>
      </c>
      <c r="B334" s="999" t="s">
        <v>1606</v>
      </c>
      <c r="C334" s="1000">
        <v>0</v>
      </c>
    </row>
    <row r="335" spans="1:3" x14ac:dyDescent="0.25">
      <c r="A335" s="999" t="s">
        <v>186</v>
      </c>
      <c r="B335" s="999" t="s">
        <v>1605</v>
      </c>
      <c r="C335" s="1000">
        <v>0</v>
      </c>
    </row>
    <row r="336" spans="1:3" x14ac:dyDescent="0.25">
      <c r="A336" s="999" t="s">
        <v>186</v>
      </c>
      <c r="B336" s="999" t="s">
        <v>1600</v>
      </c>
      <c r="C336" s="1000">
        <v>36498</v>
      </c>
    </row>
    <row r="337" spans="1:3" x14ac:dyDescent="0.25">
      <c r="A337" s="999" t="s">
        <v>186</v>
      </c>
      <c r="B337" s="999" t="s">
        <v>1603</v>
      </c>
      <c r="C337" s="1000">
        <v>535</v>
      </c>
    </row>
    <row r="338" spans="1:3" x14ac:dyDescent="0.25">
      <c r="A338" s="999" t="s">
        <v>186</v>
      </c>
      <c r="B338" s="999" t="s">
        <v>1604</v>
      </c>
      <c r="C338" s="1000">
        <v>1530</v>
      </c>
    </row>
    <row r="339" spans="1:3" x14ac:dyDescent="0.25">
      <c r="A339" s="999" t="s">
        <v>187</v>
      </c>
      <c r="B339" s="999" t="s">
        <v>1599</v>
      </c>
      <c r="C339" s="1000">
        <v>6392</v>
      </c>
    </row>
    <row r="340" spans="1:3" x14ac:dyDescent="0.25">
      <c r="A340" s="999" t="s">
        <v>187</v>
      </c>
      <c r="B340" s="999" t="s">
        <v>1601</v>
      </c>
      <c r="C340" s="1000">
        <v>768</v>
      </c>
    </row>
    <row r="341" spans="1:3" x14ac:dyDescent="0.25">
      <c r="A341" s="999" t="s">
        <v>187</v>
      </c>
      <c r="B341" s="999" t="s">
        <v>1598</v>
      </c>
      <c r="C341" s="1000">
        <v>107</v>
      </c>
    </row>
    <row r="342" spans="1:3" x14ac:dyDescent="0.25">
      <c r="A342" s="999" t="s">
        <v>187</v>
      </c>
      <c r="B342" s="999" t="s">
        <v>1602</v>
      </c>
      <c r="C342" s="1000">
        <v>0</v>
      </c>
    </row>
    <row r="343" spans="1:3" x14ac:dyDescent="0.25">
      <c r="A343" s="999" t="s">
        <v>187</v>
      </c>
      <c r="B343" s="999" t="s">
        <v>1606</v>
      </c>
      <c r="C343" s="1000">
        <v>0</v>
      </c>
    </row>
    <row r="344" spans="1:3" x14ac:dyDescent="0.25">
      <c r="A344" s="999" t="s">
        <v>187</v>
      </c>
      <c r="B344" s="999" t="s">
        <v>1605</v>
      </c>
      <c r="C344" s="1000">
        <v>0</v>
      </c>
    </row>
    <row r="345" spans="1:3" x14ac:dyDescent="0.25">
      <c r="A345" s="999" t="s">
        <v>187</v>
      </c>
      <c r="B345" s="999" t="s">
        <v>1600</v>
      </c>
      <c r="C345" s="1000">
        <v>1846</v>
      </c>
    </row>
    <row r="346" spans="1:3" x14ac:dyDescent="0.25">
      <c r="A346" s="999" t="s">
        <v>187</v>
      </c>
      <c r="B346" s="999" t="s">
        <v>1603</v>
      </c>
      <c r="C346" s="1000">
        <v>0</v>
      </c>
    </row>
    <row r="347" spans="1:3" x14ac:dyDescent="0.25">
      <c r="A347" s="999" t="s">
        <v>187</v>
      </c>
      <c r="B347" s="999" t="s">
        <v>1604</v>
      </c>
      <c r="C347" s="1000">
        <v>11</v>
      </c>
    </row>
    <row r="348" spans="1:3" x14ac:dyDescent="0.25">
      <c r="A348" s="999" t="s">
        <v>440</v>
      </c>
      <c r="B348" s="999" t="s">
        <v>1599</v>
      </c>
      <c r="C348" s="1000">
        <v>34878</v>
      </c>
    </row>
    <row r="349" spans="1:3" x14ac:dyDescent="0.25">
      <c r="A349" s="999" t="s">
        <v>440</v>
      </c>
      <c r="B349" s="999" t="s">
        <v>1601</v>
      </c>
      <c r="C349" s="1000">
        <v>2668</v>
      </c>
    </row>
    <row r="350" spans="1:3" x14ac:dyDescent="0.25">
      <c r="A350" s="999" t="s">
        <v>440</v>
      </c>
      <c r="B350" s="999" t="s">
        <v>1598</v>
      </c>
      <c r="C350" s="1000">
        <v>346</v>
      </c>
    </row>
    <row r="351" spans="1:3" x14ac:dyDescent="0.25">
      <c r="A351" s="999" t="s">
        <v>440</v>
      </c>
      <c r="B351" s="999" t="s">
        <v>1602</v>
      </c>
      <c r="C351" s="1000">
        <v>3</v>
      </c>
    </row>
    <row r="352" spans="1:3" x14ac:dyDescent="0.25">
      <c r="A352" s="999" t="s">
        <v>440</v>
      </c>
      <c r="B352" s="999" t="s">
        <v>1606</v>
      </c>
      <c r="C352" s="1000">
        <v>0</v>
      </c>
    </row>
    <row r="353" spans="1:3" x14ac:dyDescent="0.25">
      <c r="A353" s="999" t="s">
        <v>440</v>
      </c>
      <c r="B353" s="999" t="s">
        <v>1605</v>
      </c>
      <c r="C353" s="1000">
        <v>0</v>
      </c>
    </row>
    <row r="354" spans="1:3" x14ac:dyDescent="0.25">
      <c r="A354" s="999" t="s">
        <v>440</v>
      </c>
      <c r="B354" s="999" t="s">
        <v>1600</v>
      </c>
      <c r="C354" s="1000">
        <v>3246</v>
      </c>
    </row>
    <row r="355" spans="1:3" x14ac:dyDescent="0.25">
      <c r="A355" s="999" t="s">
        <v>440</v>
      </c>
      <c r="B355" s="999" t="s">
        <v>1603</v>
      </c>
      <c r="C355" s="1000">
        <v>242</v>
      </c>
    </row>
    <row r="356" spans="1:3" x14ac:dyDescent="0.25">
      <c r="A356" s="999" t="s">
        <v>440</v>
      </c>
      <c r="B356" s="999" t="s">
        <v>1604</v>
      </c>
      <c r="C356" s="1000">
        <v>182</v>
      </c>
    </row>
    <row r="357" spans="1:3" x14ac:dyDescent="0.25">
      <c r="A357" s="999" t="s">
        <v>4930</v>
      </c>
      <c r="B357" s="999" t="s">
        <v>1599</v>
      </c>
      <c r="C357" s="1000">
        <v>32185</v>
      </c>
    </row>
    <row r="358" spans="1:3" x14ac:dyDescent="0.25">
      <c r="A358" s="999" t="s">
        <v>4930</v>
      </c>
      <c r="B358" s="999" t="s">
        <v>1601</v>
      </c>
      <c r="C358" s="1000">
        <v>3156</v>
      </c>
    </row>
    <row r="359" spans="1:3" x14ac:dyDescent="0.25">
      <c r="A359" s="999" t="s">
        <v>4930</v>
      </c>
      <c r="B359" s="999" t="s">
        <v>1598</v>
      </c>
      <c r="C359" s="1000">
        <v>371</v>
      </c>
    </row>
    <row r="360" spans="1:3" x14ac:dyDescent="0.25">
      <c r="A360" s="999" t="s">
        <v>4930</v>
      </c>
      <c r="B360" s="999" t="s">
        <v>1602</v>
      </c>
      <c r="C360" s="1000">
        <v>0</v>
      </c>
    </row>
    <row r="361" spans="1:3" x14ac:dyDescent="0.25">
      <c r="A361" s="999" t="s">
        <v>4930</v>
      </c>
      <c r="B361" s="999" t="s">
        <v>1606</v>
      </c>
      <c r="C361" s="1000">
        <v>0</v>
      </c>
    </row>
    <row r="362" spans="1:3" x14ac:dyDescent="0.25">
      <c r="A362" s="999" t="s">
        <v>4930</v>
      </c>
      <c r="B362" s="999" t="s">
        <v>1605</v>
      </c>
      <c r="C362" s="1000">
        <v>0</v>
      </c>
    </row>
    <row r="363" spans="1:3" x14ac:dyDescent="0.25">
      <c r="A363" s="999" t="s">
        <v>4930</v>
      </c>
      <c r="B363" s="999" t="s">
        <v>1600</v>
      </c>
      <c r="C363" s="1000">
        <v>8956</v>
      </c>
    </row>
    <row r="364" spans="1:3" x14ac:dyDescent="0.25">
      <c r="A364" s="999" t="s">
        <v>4930</v>
      </c>
      <c r="B364" s="999" t="s">
        <v>1603</v>
      </c>
      <c r="C364" s="1000">
        <v>428</v>
      </c>
    </row>
    <row r="365" spans="1:3" x14ac:dyDescent="0.25">
      <c r="A365" s="999" t="s">
        <v>4930</v>
      </c>
      <c r="B365" s="999" t="s">
        <v>1604</v>
      </c>
      <c r="C365" s="1000">
        <v>46</v>
      </c>
    </row>
    <row r="366" spans="1:3" x14ac:dyDescent="0.25">
      <c r="A366" s="999" t="s">
        <v>427</v>
      </c>
      <c r="B366" s="999" t="s">
        <v>1599</v>
      </c>
      <c r="C366" s="1000">
        <v>49606</v>
      </c>
    </row>
    <row r="367" spans="1:3" x14ac:dyDescent="0.25">
      <c r="A367" s="999" t="s">
        <v>427</v>
      </c>
      <c r="B367" s="999" t="s">
        <v>1601</v>
      </c>
      <c r="C367" s="1000">
        <v>4505</v>
      </c>
    </row>
    <row r="368" spans="1:3" x14ac:dyDescent="0.25">
      <c r="A368" s="999" t="s">
        <v>427</v>
      </c>
      <c r="B368" s="999" t="s">
        <v>1598</v>
      </c>
      <c r="C368" s="1000">
        <v>808</v>
      </c>
    </row>
    <row r="369" spans="1:3" x14ac:dyDescent="0.25">
      <c r="A369" s="999" t="s">
        <v>427</v>
      </c>
      <c r="B369" s="999" t="s">
        <v>1602</v>
      </c>
      <c r="C369" s="1000">
        <v>0</v>
      </c>
    </row>
    <row r="370" spans="1:3" x14ac:dyDescent="0.25">
      <c r="A370" s="999" t="s">
        <v>427</v>
      </c>
      <c r="B370" s="999" t="s">
        <v>1606</v>
      </c>
      <c r="C370" s="1000">
        <v>0</v>
      </c>
    </row>
    <row r="371" spans="1:3" x14ac:dyDescent="0.25">
      <c r="A371" s="999" t="s">
        <v>427</v>
      </c>
      <c r="B371" s="999" t="s">
        <v>1605</v>
      </c>
      <c r="C371" s="1000">
        <v>0</v>
      </c>
    </row>
    <row r="372" spans="1:3" x14ac:dyDescent="0.25">
      <c r="A372" s="999" t="s">
        <v>427</v>
      </c>
      <c r="B372" s="999" t="s">
        <v>1600</v>
      </c>
      <c r="C372" s="1000">
        <v>13436</v>
      </c>
    </row>
    <row r="373" spans="1:3" x14ac:dyDescent="0.25">
      <c r="A373" s="999" t="s">
        <v>427</v>
      </c>
      <c r="B373" s="999" t="s">
        <v>1603</v>
      </c>
      <c r="C373" s="1000">
        <v>332</v>
      </c>
    </row>
    <row r="374" spans="1:3" x14ac:dyDescent="0.25">
      <c r="A374" s="999" t="s">
        <v>427</v>
      </c>
      <c r="B374" s="999" t="s">
        <v>1604</v>
      </c>
      <c r="C374" s="1000">
        <v>366</v>
      </c>
    </row>
    <row r="375" spans="1:3" x14ac:dyDescent="0.25">
      <c r="A375" s="999" t="s">
        <v>188</v>
      </c>
      <c r="B375" s="999" t="s">
        <v>1599</v>
      </c>
      <c r="C375" s="1000">
        <v>7913</v>
      </c>
    </row>
    <row r="376" spans="1:3" x14ac:dyDescent="0.25">
      <c r="A376" s="999" t="s">
        <v>188</v>
      </c>
      <c r="B376" s="999" t="s">
        <v>1601</v>
      </c>
      <c r="C376" s="1000">
        <v>1337</v>
      </c>
    </row>
    <row r="377" spans="1:3" x14ac:dyDescent="0.25">
      <c r="A377" s="999" t="s">
        <v>188</v>
      </c>
      <c r="B377" s="999" t="s">
        <v>1598</v>
      </c>
      <c r="C377" s="1000">
        <v>127</v>
      </c>
    </row>
    <row r="378" spans="1:3" x14ac:dyDescent="0.25">
      <c r="A378" s="999" t="s">
        <v>188</v>
      </c>
      <c r="B378" s="999" t="s">
        <v>1602</v>
      </c>
      <c r="C378" s="1000">
        <v>0</v>
      </c>
    </row>
    <row r="379" spans="1:3" x14ac:dyDescent="0.25">
      <c r="A379" s="999" t="s">
        <v>188</v>
      </c>
      <c r="B379" s="999" t="s">
        <v>1606</v>
      </c>
      <c r="C379" s="1000">
        <v>0</v>
      </c>
    </row>
    <row r="380" spans="1:3" x14ac:dyDescent="0.25">
      <c r="A380" s="999" t="s">
        <v>188</v>
      </c>
      <c r="B380" s="999" t="s">
        <v>1605</v>
      </c>
      <c r="C380" s="1000">
        <v>0</v>
      </c>
    </row>
    <row r="381" spans="1:3" x14ac:dyDescent="0.25">
      <c r="A381" s="999" t="s">
        <v>188</v>
      </c>
      <c r="B381" s="999" t="s">
        <v>1600</v>
      </c>
      <c r="C381" s="1000">
        <v>2116</v>
      </c>
    </row>
    <row r="382" spans="1:3" x14ac:dyDescent="0.25">
      <c r="A382" s="999" t="s">
        <v>188</v>
      </c>
      <c r="B382" s="999" t="s">
        <v>1603</v>
      </c>
      <c r="C382" s="1000">
        <v>0</v>
      </c>
    </row>
    <row r="383" spans="1:3" x14ac:dyDescent="0.25">
      <c r="A383" s="999" t="s">
        <v>188</v>
      </c>
      <c r="B383" s="999" t="s">
        <v>1604</v>
      </c>
      <c r="C383" s="1000">
        <v>28</v>
      </c>
    </row>
    <row r="384" spans="1:3" x14ac:dyDescent="0.25">
      <c r="A384" s="999" t="s">
        <v>189</v>
      </c>
      <c r="B384" s="999" t="s">
        <v>1599</v>
      </c>
      <c r="C384" s="1000">
        <v>21205</v>
      </c>
    </row>
    <row r="385" spans="1:3" x14ac:dyDescent="0.25">
      <c r="A385" s="999" t="s">
        <v>189</v>
      </c>
      <c r="B385" s="999" t="s">
        <v>1601</v>
      </c>
      <c r="C385" s="1000">
        <v>2649</v>
      </c>
    </row>
    <row r="386" spans="1:3" x14ac:dyDescent="0.25">
      <c r="A386" s="999" t="s">
        <v>189</v>
      </c>
      <c r="B386" s="999" t="s">
        <v>1598</v>
      </c>
      <c r="C386" s="1000">
        <v>263</v>
      </c>
    </row>
    <row r="387" spans="1:3" x14ac:dyDescent="0.25">
      <c r="A387" s="999" t="s">
        <v>189</v>
      </c>
      <c r="B387" s="999" t="s">
        <v>1602</v>
      </c>
      <c r="C387" s="1000">
        <v>0</v>
      </c>
    </row>
    <row r="388" spans="1:3" x14ac:dyDescent="0.25">
      <c r="A388" s="999" t="s">
        <v>189</v>
      </c>
      <c r="B388" s="999" t="s">
        <v>1606</v>
      </c>
      <c r="C388" s="1000">
        <v>0</v>
      </c>
    </row>
    <row r="389" spans="1:3" x14ac:dyDescent="0.25">
      <c r="A389" s="999" t="s">
        <v>189</v>
      </c>
      <c r="B389" s="999" t="s">
        <v>1605</v>
      </c>
      <c r="C389" s="1000">
        <v>0</v>
      </c>
    </row>
    <row r="390" spans="1:3" x14ac:dyDescent="0.25">
      <c r="A390" s="999" t="s">
        <v>189</v>
      </c>
      <c r="B390" s="999" t="s">
        <v>1600</v>
      </c>
      <c r="C390" s="1000">
        <v>5424</v>
      </c>
    </row>
    <row r="391" spans="1:3" x14ac:dyDescent="0.25">
      <c r="A391" s="999" t="s">
        <v>189</v>
      </c>
      <c r="B391" s="999" t="s">
        <v>1603</v>
      </c>
      <c r="C391" s="1000">
        <v>428</v>
      </c>
    </row>
    <row r="392" spans="1:3" x14ac:dyDescent="0.25">
      <c r="A392" s="999" t="s">
        <v>189</v>
      </c>
      <c r="B392" s="999" t="s">
        <v>1604</v>
      </c>
      <c r="C392" s="1000">
        <v>10</v>
      </c>
    </row>
    <row r="393" spans="1:3" x14ac:dyDescent="0.25">
      <c r="A393" s="999" t="s">
        <v>190</v>
      </c>
      <c r="B393" s="999" t="s">
        <v>1599</v>
      </c>
      <c r="C393" s="1000">
        <v>5194</v>
      </c>
    </row>
    <row r="394" spans="1:3" x14ac:dyDescent="0.25">
      <c r="A394" s="999" t="s">
        <v>190</v>
      </c>
      <c r="B394" s="999" t="s">
        <v>1601</v>
      </c>
      <c r="C394" s="1000">
        <v>733</v>
      </c>
    </row>
    <row r="395" spans="1:3" x14ac:dyDescent="0.25">
      <c r="A395" s="999" t="s">
        <v>190</v>
      </c>
      <c r="B395" s="999" t="s">
        <v>1598</v>
      </c>
      <c r="C395" s="1000">
        <v>53</v>
      </c>
    </row>
    <row r="396" spans="1:3" x14ac:dyDescent="0.25">
      <c r="A396" s="999" t="s">
        <v>190</v>
      </c>
      <c r="B396" s="999" t="s">
        <v>1602</v>
      </c>
      <c r="C396" s="1000">
        <v>0</v>
      </c>
    </row>
    <row r="397" spans="1:3" x14ac:dyDescent="0.25">
      <c r="A397" s="999" t="s">
        <v>190</v>
      </c>
      <c r="B397" s="999" t="s">
        <v>1606</v>
      </c>
      <c r="C397" s="1000">
        <v>0</v>
      </c>
    </row>
    <row r="398" spans="1:3" x14ac:dyDescent="0.25">
      <c r="A398" s="999" t="s">
        <v>190</v>
      </c>
      <c r="B398" s="999" t="s">
        <v>1605</v>
      </c>
      <c r="C398" s="1000">
        <v>0</v>
      </c>
    </row>
    <row r="399" spans="1:3" x14ac:dyDescent="0.25">
      <c r="A399" s="999" t="s">
        <v>190</v>
      </c>
      <c r="B399" s="999" t="s">
        <v>1600</v>
      </c>
      <c r="C399" s="1000">
        <v>1650</v>
      </c>
    </row>
    <row r="400" spans="1:3" x14ac:dyDescent="0.25">
      <c r="A400" s="999" t="s">
        <v>190</v>
      </c>
      <c r="B400" s="999" t="s">
        <v>1603</v>
      </c>
      <c r="C400" s="1000">
        <v>0</v>
      </c>
    </row>
    <row r="401" spans="1:3" x14ac:dyDescent="0.25">
      <c r="A401" s="999" t="s">
        <v>190</v>
      </c>
      <c r="B401" s="999" t="s">
        <v>1604</v>
      </c>
      <c r="C401" s="1000">
        <v>23</v>
      </c>
    </row>
    <row r="402" spans="1:3" x14ac:dyDescent="0.25">
      <c r="A402" s="999" t="s">
        <v>242</v>
      </c>
      <c r="B402" s="999" t="s">
        <v>1599</v>
      </c>
      <c r="C402" s="1000">
        <v>64073</v>
      </c>
    </row>
    <row r="403" spans="1:3" x14ac:dyDescent="0.25">
      <c r="A403" s="999" t="s">
        <v>242</v>
      </c>
      <c r="B403" s="999" t="s">
        <v>1601</v>
      </c>
      <c r="C403" s="1000">
        <v>5512</v>
      </c>
    </row>
    <row r="404" spans="1:3" x14ac:dyDescent="0.25">
      <c r="A404" s="999" t="s">
        <v>242</v>
      </c>
      <c r="B404" s="999" t="s">
        <v>1598</v>
      </c>
      <c r="C404" s="1000">
        <v>906</v>
      </c>
    </row>
    <row r="405" spans="1:3" x14ac:dyDescent="0.25">
      <c r="A405" s="999" t="s">
        <v>242</v>
      </c>
      <c r="B405" s="999" t="s">
        <v>1602</v>
      </c>
      <c r="C405" s="1000">
        <v>0</v>
      </c>
    </row>
    <row r="406" spans="1:3" x14ac:dyDescent="0.25">
      <c r="A406" s="999" t="s">
        <v>242</v>
      </c>
      <c r="B406" s="999" t="s">
        <v>1606</v>
      </c>
      <c r="C406" s="1000">
        <v>0</v>
      </c>
    </row>
    <row r="407" spans="1:3" x14ac:dyDescent="0.25">
      <c r="A407" s="999" t="s">
        <v>242</v>
      </c>
      <c r="B407" s="999" t="s">
        <v>1605</v>
      </c>
      <c r="C407" s="1000">
        <v>1</v>
      </c>
    </row>
    <row r="408" spans="1:3" x14ac:dyDescent="0.25">
      <c r="A408" s="999" t="s">
        <v>242</v>
      </c>
      <c r="B408" s="999" t="s">
        <v>1600</v>
      </c>
      <c r="C408" s="1000">
        <v>11693</v>
      </c>
    </row>
    <row r="409" spans="1:3" x14ac:dyDescent="0.25">
      <c r="A409" s="999" t="s">
        <v>242</v>
      </c>
      <c r="B409" s="999" t="s">
        <v>1603</v>
      </c>
      <c r="C409" s="1000">
        <v>163</v>
      </c>
    </row>
    <row r="410" spans="1:3" x14ac:dyDescent="0.25">
      <c r="A410" s="999" t="s">
        <v>242</v>
      </c>
      <c r="B410" s="999" t="s">
        <v>1604</v>
      </c>
      <c r="C410" s="1000">
        <v>721</v>
      </c>
    </row>
    <row r="411" spans="1:3" x14ac:dyDescent="0.25">
      <c r="A411" s="999" t="s">
        <v>146</v>
      </c>
      <c r="B411" s="999" t="s">
        <v>1599</v>
      </c>
      <c r="C411" s="1000">
        <v>11084</v>
      </c>
    </row>
    <row r="412" spans="1:3" x14ac:dyDescent="0.25">
      <c r="A412" s="999" t="s">
        <v>146</v>
      </c>
      <c r="B412" s="999" t="s">
        <v>1601</v>
      </c>
      <c r="C412" s="1000">
        <v>1149</v>
      </c>
    </row>
    <row r="413" spans="1:3" x14ac:dyDescent="0.25">
      <c r="A413" s="999" t="s">
        <v>146</v>
      </c>
      <c r="B413" s="999" t="s">
        <v>1598</v>
      </c>
      <c r="C413" s="1000">
        <v>132</v>
      </c>
    </row>
    <row r="414" spans="1:3" x14ac:dyDescent="0.25">
      <c r="A414" s="999" t="s">
        <v>146</v>
      </c>
      <c r="B414" s="999" t="s">
        <v>1602</v>
      </c>
      <c r="C414" s="1000">
        <v>0</v>
      </c>
    </row>
    <row r="415" spans="1:3" x14ac:dyDescent="0.25">
      <c r="A415" s="999" t="s">
        <v>146</v>
      </c>
      <c r="B415" s="999" t="s">
        <v>1606</v>
      </c>
      <c r="C415" s="1000">
        <v>0</v>
      </c>
    </row>
    <row r="416" spans="1:3" x14ac:dyDescent="0.25">
      <c r="A416" s="999" t="s">
        <v>146</v>
      </c>
      <c r="B416" s="999" t="s">
        <v>1605</v>
      </c>
      <c r="C416" s="1000">
        <v>0</v>
      </c>
    </row>
    <row r="417" spans="1:3" x14ac:dyDescent="0.25">
      <c r="A417" s="999" t="s">
        <v>146</v>
      </c>
      <c r="B417" s="999" t="s">
        <v>1600</v>
      </c>
      <c r="C417" s="1000">
        <v>2890</v>
      </c>
    </row>
    <row r="418" spans="1:3" x14ac:dyDescent="0.25">
      <c r="A418" s="999" t="s">
        <v>146</v>
      </c>
      <c r="B418" s="999" t="s">
        <v>1603</v>
      </c>
      <c r="C418" s="1000">
        <v>151</v>
      </c>
    </row>
    <row r="419" spans="1:3" x14ac:dyDescent="0.25">
      <c r="A419" s="999" t="s">
        <v>146</v>
      </c>
      <c r="B419" s="999" t="s">
        <v>1604</v>
      </c>
      <c r="C419" s="1000">
        <v>97</v>
      </c>
    </row>
    <row r="420" spans="1:3" x14ac:dyDescent="0.25">
      <c r="A420" s="999" t="s">
        <v>243</v>
      </c>
      <c r="B420" s="999" t="s">
        <v>1599</v>
      </c>
      <c r="C420" s="1000">
        <v>12284</v>
      </c>
    </row>
    <row r="421" spans="1:3" x14ac:dyDescent="0.25">
      <c r="A421" s="999" t="s">
        <v>243</v>
      </c>
      <c r="B421" s="999" t="s">
        <v>1601</v>
      </c>
      <c r="C421" s="1000">
        <v>1382</v>
      </c>
    </row>
    <row r="422" spans="1:3" x14ac:dyDescent="0.25">
      <c r="A422" s="999" t="s">
        <v>243</v>
      </c>
      <c r="B422" s="999" t="s">
        <v>1598</v>
      </c>
      <c r="C422" s="1000">
        <v>164</v>
      </c>
    </row>
    <row r="423" spans="1:3" x14ac:dyDescent="0.25">
      <c r="A423" s="999" t="s">
        <v>243</v>
      </c>
      <c r="B423" s="999" t="s">
        <v>1602</v>
      </c>
      <c r="C423" s="1000">
        <v>0</v>
      </c>
    </row>
    <row r="424" spans="1:3" x14ac:dyDescent="0.25">
      <c r="A424" s="999" t="s">
        <v>243</v>
      </c>
      <c r="B424" s="999" t="s">
        <v>1606</v>
      </c>
      <c r="C424" s="1000">
        <v>0</v>
      </c>
    </row>
    <row r="425" spans="1:3" x14ac:dyDescent="0.25">
      <c r="A425" s="999" t="s">
        <v>243</v>
      </c>
      <c r="B425" s="999" t="s">
        <v>1605</v>
      </c>
      <c r="C425" s="1000">
        <v>0</v>
      </c>
    </row>
    <row r="426" spans="1:3" x14ac:dyDescent="0.25">
      <c r="A426" s="999" t="s">
        <v>243</v>
      </c>
      <c r="B426" s="999" t="s">
        <v>1600</v>
      </c>
      <c r="C426" s="1000">
        <v>3759</v>
      </c>
    </row>
    <row r="427" spans="1:3" x14ac:dyDescent="0.25">
      <c r="A427" s="999" t="s">
        <v>243</v>
      </c>
      <c r="B427" s="999" t="s">
        <v>1603</v>
      </c>
      <c r="C427" s="1000">
        <v>147</v>
      </c>
    </row>
    <row r="428" spans="1:3" x14ac:dyDescent="0.25">
      <c r="A428" s="999" t="s">
        <v>243</v>
      </c>
      <c r="B428" s="999" t="s">
        <v>1604</v>
      </c>
      <c r="C428" s="1000">
        <v>154</v>
      </c>
    </row>
    <row r="429" spans="1:3" x14ac:dyDescent="0.25">
      <c r="A429" s="999" t="s">
        <v>207</v>
      </c>
      <c r="B429" s="999" t="s">
        <v>1599</v>
      </c>
      <c r="C429" s="1000">
        <v>52993</v>
      </c>
    </row>
    <row r="430" spans="1:3" x14ac:dyDescent="0.25">
      <c r="A430" s="999" t="s">
        <v>207</v>
      </c>
      <c r="B430" s="999" t="s">
        <v>1601</v>
      </c>
      <c r="C430" s="1000">
        <v>4058</v>
      </c>
    </row>
    <row r="431" spans="1:3" x14ac:dyDescent="0.25">
      <c r="A431" s="999" t="s">
        <v>207</v>
      </c>
      <c r="B431" s="999" t="s">
        <v>1598</v>
      </c>
      <c r="C431" s="1000">
        <v>532</v>
      </c>
    </row>
    <row r="432" spans="1:3" x14ac:dyDescent="0.25">
      <c r="A432" s="999" t="s">
        <v>207</v>
      </c>
      <c r="B432" s="999" t="s">
        <v>1602</v>
      </c>
      <c r="C432" s="1000">
        <v>1</v>
      </c>
    </row>
    <row r="433" spans="1:3" x14ac:dyDescent="0.25">
      <c r="A433" s="999" t="s">
        <v>207</v>
      </c>
      <c r="B433" s="999" t="s">
        <v>1606</v>
      </c>
      <c r="C433" s="1000">
        <v>0</v>
      </c>
    </row>
    <row r="434" spans="1:3" x14ac:dyDescent="0.25">
      <c r="A434" s="999" t="s">
        <v>207</v>
      </c>
      <c r="B434" s="999" t="s">
        <v>1605</v>
      </c>
      <c r="C434" s="1000">
        <v>0</v>
      </c>
    </row>
    <row r="435" spans="1:3" x14ac:dyDescent="0.25">
      <c r="A435" s="999" t="s">
        <v>207</v>
      </c>
      <c r="B435" s="999" t="s">
        <v>1600</v>
      </c>
      <c r="C435" s="1000">
        <v>13605</v>
      </c>
    </row>
    <row r="436" spans="1:3" x14ac:dyDescent="0.25">
      <c r="A436" s="999" t="s">
        <v>207</v>
      </c>
      <c r="B436" s="999" t="s">
        <v>1603</v>
      </c>
      <c r="C436" s="1000">
        <v>31</v>
      </c>
    </row>
    <row r="437" spans="1:3" x14ac:dyDescent="0.25">
      <c r="A437" s="999" t="s">
        <v>207</v>
      </c>
      <c r="B437" s="999" t="s">
        <v>1604</v>
      </c>
      <c r="C437" s="1000">
        <v>248</v>
      </c>
    </row>
    <row r="438" spans="1:3" x14ac:dyDescent="0.25">
      <c r="A438" s="999" t="s">
        <v>191</v>
      </c>
      <c r="B438" s="999" t="s">
        <v>1599</v>
      </c>
      <c r="C438" s="1000">
        <v>9676</v>
      </c>
    </row>
    <row r="439" spans="1:3" x14ac:dyDescent="0.25">
      <c r="A439" s="999" t="s">
        <v>191</v>
      </c>
      <c r="B439" s="999" t="s">
        <v>1601</v>
      </c>
      <c r="C439" s="1000">
        <v>1283</v>
      </c>
    </row>
    <row r="440" spans="1:3" x14ac:dyDescent="0.25">
      <c r="A440" s="999" t="s">
        <v>191</v>
      </c>
      <c r="B440" s="999" t="s">
        <v>1598</v>
      </c>
      <c r="C440" s="1000">
        <v>150</v>
      </c>
    </row>
    <row r="441" spans="1:3" x14ac:dyDescent="0.25">
      <c r="A441" s="999" t="s">
        <v>191</v>
      </c>
      <c r="B441" s="999" t="s">
        <v>1602</v>
      </c>
      <c r="C441" s="1000">
        <v>0</v>
      </c>
    </row>
    <row r="442" spans="1:3" x14ac:dyDescent="0.25">
      <c r="A442" s="999" t="s">
        <v>191</v>
      </c>
      <c r="B442" s="999" t="s">
        <v>1606</v>
      </c>
      <c r="C442" s="1000">
        <v>0</v>
      </c>
    </row>
    <row r="443" spans="1:3" x14ac:dyDescent="0.25">
      <c r="A443" s="999" t="s">
        <v>191</v>
      </c>
      <c r="B443" s="999" t="s">
        <v>1605</v>
      </c>
      <c r="C443" s="1000">
        <v>0</v>
      </c>
    </row>
    <row r="444" spans="1:3" x14ac:dyDescent="0.25">
      <c r="A444" s="999" t="s">
        <v>191</v>
      </c>
      <c r="B444" s="999" t="s">
        <v>1600</v>
      </c>
      <c r="C444" s="1000">
        <v>2838</v>
      </c>
    </row>
    <row r="445" spans="1:3" x14ac:dyDescent="0.25">
      <c r="A445" s="999" t="s">
        <v>191</v>
      </c>
      <c r="B445" s="999" t="s">
        <v>1603</v>
      </c>
      <c r="C445" s="1000">
        <v>231</v>
      </c>
    </row>
    <row r="446" spans="1:3" x14ac:dyDescent="0.25">
      <c r="A446" s="999" t="s">
        <v>191</v>
      </c>
      <c r="B446" s="999" t="s">
        <v>1604</v>
      </c>
      <c r="C446" s="1000">
        <v>88</v>
      </c>
    </row>
    <row r="447" spans="1:3" x14ac:dyDescent="0.25">
      <c r="A447" s="999" t="s">
        <v>192</v>
      </c>
      <c r="B447" s="999" t="s">
        <v>1599</v>
      </c>
      <c r="C447" s="1000">
        <v>29803</v>
      </c>
    </row>
    <row r="448" spans="1:3" x14ac:dyDescent="0.25">
      <c r="A448" s="999" t="s">
        <v>192</v>
      </c>
      <c r="B448" s="999" t="s">
        <v>1601</v>
      </c>
      <c r="C448" s="1000">
        <v>3414</v>
      </c>
    </row>
    <row r="449" spans="1:3" x14ac:dyDescent="0.25">
      <c r="A449" s="999" t="s">
        <v>192</v>
      </c>
      <c r="B449" s="999" t="s">
        <v>1598</v>
      </c>
      <c r="C449" s="1000">
        <v>362</v>
      </c>
    </row>
    <row r="450" spans="1:3" x14ac:dyDescent="0.25">
      <c r="A450" s="999" t="s">
        <v>192</v>
      </c>
      <c r="B450" s="999" t="s">
        <v>1602</v>
      </c>
      <c r="C450" s="1000">
        <v>0</v>
      </c>
    </row>
    <row r="451" spans="1:3" x14ac:dyDescent="0.25">
      <c r="A451" s="999" t="s">
        <v>192</v>
      </c>
      <c r="B451" s="999" t="s">
        <v>1606</v>
      </c>
      <c r="C451" s="1000">
        <v>0</v>
      </c>
    </row>
    <row r="452" spans="1:3" x14ac:dyDescent="0.25">
      <c r="A452" s="999" t="s">
        <v>192</v>
      </c>
      <c r="B452" s="999" t="s">
        <v>1605</v>
      </c>
      <c r="C452" s="1000">
        <v>0</v>
      </c>
    </row>
    <row r="453" spans="1:3" x14ac:dyDescent="0.25">
      <c r="A453" s="999" t="s">
        <v>192</v>
      </c>
      <c r="B453" s="999" t="s">
        <v>1600</v>
      </c>
      <c r="C453" s="1000">
        <v>9317</v>
      </c>
    </row>
    <row r="454" spans="1:3" x14ac:dyDescent="0.25">
      <c r="A454" s="999" t="s">
        <v>192</v>
      </c>
      <c r="B454" s="999" t="s">
        <v>1603</v>
      </c>
      <c r="C454" s="1000">
        <v>358</v>
      </c>
    </row>
    <row r="455" spans="1:3" x14ac:dyDescent="0.25">
      <c r="A455" s="999" t="s">
        <v>192</v>
      </c>
      <c r="B455" s="999" t="s">
        <v>1604</v>
      </c>
      <c r="C455" s="1000">
        <v>22</v>
      </c>
    </row>
    <row r="456" spans="1:3" x14ac:dyDescent="0.25">
      <c r="A456" s="999" t="s">
        <v>244</v>
      </c>
      <c r="B456" s="999" t="s">
        <v>1599</v>
      </c>
      <c r="C456" s="1000">
        <v>33482</v>
      </c>
    </row>
    <row r="457" spans="1:3" x14ac:dyDescent="0.25">
      <c r="A457" s="999" t="s">
        <v>244</v>
      </c>
      <c r="B457" s="999" t="s">
        <v>1601</v>
      </c>
      <c r="C457" s="1000">
        <v>3504</v>
      </c>
    </row>
    <row r="458" spans="1:3" x14ac:dyDescent="0.25">
      <c r="A458" s="999" t="s">
        <v>244</v>
      </c>
      <c r="B458" s="999" t="s">
        <v>1598</v>
      </c>
      <c r="C458" s="1000">
        <v>361</v>
      </c>
    </row>
    <row r="459" spans="1:3" x14ac:dyDescent="0.25">
      <c r="A459" s="999" t="s">
        <v>244</v>
      </c>
      <c r="B459" s="999" t="s">
        <v>1602</v>
      </c>
      <c r="C459" s="1000">
        <v>2</v>
      </c>
    </row>
    <row r="460" spans="1:3" x14ac:dyDescent="0.25">
      <c r="A460" s="999" t="s">
        <v>244</v>
      </c>
      <c r="B460" s="999" t="s">
        <v>1606</v>
      </c>
      <c r="C460" s="1000">
        <v>0</v>
      </c>
    </row>
    <row r="461" spans="1:3" x14ac:dyDescent="0.25">
      <c r="A461" s="999" t="s">
        <v>244</v>
      </c>
      <c r="B461" s="999" t="s">
        <v>1605</v>
      </c>
      <c r="C461" s="1000">
        <v>0</v>
      </c>
    </row>
    <row r="462" spans="1:3" x14ac:dyDescent="0.25">
      <c r="A462" s="999" t="s">
        <v>244</v>
      </c>
      <c r="B462" s="999" t="s">
        <v>1600</v>
      </c>
      <c r="C462" s="1000">
        <v>8994</v>
      </c>
    </row>
    <row r="463" spans="1:3" x14ac:dyDescent="0.25">
      <c r="A463" s="999" t="s">
        <v>244</v>
      </c>
      <c r="B463" s="999" t="s">
        <v>1603</v>
      </c>
      <c r="C463" s="1000">
        <v>356</v>
      </c>
    </row>
    <row r="464" spans="1:3" x14ac:dyDescent="0.25">
      <c r="A464" s="999" t="s">
        <v>244</v>
      </c>
      <c r="B464" s="999" t="s">
        <v>1604</v>
      </c>
      <c r="C464" s="1000">
        <v>394</v>
      </c>
    </row>
    <row r="465" spans="1:3" x14ac:dyDescent="0.25">
      <c r="A465" s="999" t="s">
        <v>193</v>
      </c>
      <c r="B465" s="999" t="s">
        <v>1599</v>
      </c>
      <c r="C465" s="1000">
        <v>3810</v>
      </c>
    </row>
    <row r="466" spans="1:3" x14ac:dyDescent="0.25">
      <c r="A466" s="999" t="s">
        <v>193</v>
      </c>
      <c r="B466" s="999" t="s">
        <v>1601</v>
      </c>
      <c r="C466" s="1000">
        <v>436</v>
      </c>
    </row>
    <row r="467" spans="1:3" x14ac:dyDescent="0.25">
      <c r="A467" s="999" t="s">
        <v>193</v>
      </c>
      <c r="B467" s="999" t="s">
        <v>1598</v>
      </c>
      <c r="C467" s="1000">
        <v>54</v>
      </c>
    </row>
    <row r="468" spans="1:3" x14ac:dyDescent="0.25">
      <c r="A468" s="999" t="s">
        <v>193</v>
      </c>
      <c r="B468" s="999" t="s">
        <v>1602</v>
      </c>
      <c r="C468" s="1000">
        <v>0</v>
      </c>
    </row>
    <row r="469" spans="1:3" x14ac:dyDescent="0.25">
      <c r="A469" s="999" t="s">
        <v>193</v>
      </c>
      <c r="B469" s="999" t="s">
        <v>1606</v>
      </c>
      <c r="C469" s="1000">
        <v>0</v>
      </c>
    </row>
    <row r="470" spans="1:3" x14ac:dyDescent="0.25">
      <c r="A470" s="999" t="s">
        <v>193</v>
      </c>
      <c r="B470" s="999" t="s">
        <v>1605</v>
      </c>
      <c r="C470" s="1000">
        <v>0</v>
      </c>
    </row>
    <row r="471" spans="1:3" x14ac:dyDescent="0.25">
      <c r="A471" s="999" t="s">
        <v>193</v>
      </c>
      <c r="B471" s="999" t="s">
        <v>1600</v>
      </c>
      <c r="C471" s="1000">
        <v>1193</v>
      </c>
    </row>
    <row r="472" spans="1:3" x14ac:dyDescent="0.25">
      <c r="A472" s="999" t="s">
        <v>193</v>
      </c>
      <c r="B472" s="999" t="s">
        <v>1603</v>
      </c>
      <c r="C472" s="1000">
        <v>0</v>
      </c>
    </row>
    <row r="473" spans="1:3" x14ac:dyDescent="0.25">
      <c r="A473" s="999" t="s">
        <v>193</v>
      </c>
      <c r="B473" s="999" t="s">
        <v>1604</v>
      </c>
      <c r="C473" s="1000">
        <v>34</v>
      </c>
    </row>
    <row r="474" spans="1:3" x14ac:dyDescent="0.25">
      <c r="A474" s="999" t="s">
        <v>208</v>
      </c>
      <c r="B474" s="999" t="s">
        <v>1599</v>
      </c>
      <c r="C474" s="1000">
        <v>5089</v>
      </c>
    </row>
    <row r="475" spans="1:3" x14ac:dyDescent="0.25">
      <c r="A475" s="999" t="s">
        <v>208</v>
      </c>
      <c r="B475" s="999" t="s">
        <v>1601</v>
      </c>
      <c r="C475" s="1000">
        <v>741</v>
      </c>
    </row>
    <row r="476" spans="1:3" x14ac:dyDescent="0.25">
      <c r="A476" s="999" t="s">
        <v>208</v>
      </c>
      <c r="B476" s="999" t="s">
        <v>1598</v>
      </c>
      <c r="C476" s="1000">
        <v>63</v>
      </c>
    </row>
    <row r="477" spans="1:3" x14ac:dyDescent="0.25">
      <c r="A477" s="999" t="s">
        <v>208</v>
      </c>
      <c r="B477" s="999" t="s">
        <v>1602</v>
      </c>
      <c r="C477" s="1000">
        <v>0</v>
      </c>
    </row>
    <row r="478" spans="1:3" x14ac:dyDescent="0.25">
      <c r="A478" s="999" t="s">
        <v>208</v>
      </c>
      <c r="B478" s="999" t="s">
        <v>1606</v>
      </c>
      <c r="C478" s="1000">
        <v>0</v>
      </c>
    </row>
    <row r="479" spans="1:3" x14ac:dyDescent="0.25">
      <c r="A479" s="999" t="s">
        <v>208</v>
      </c>
      <c r="B479" s="999" t="s">
        <v>1605</v>
      </c>
      <c r="C479" s="1000">
        <v>0</v>
      </c>
    </row>
    <row r="480" spans="1:3" x14ac:dyDescent="0.25">
      <c r="A480" s="999" t="s">
        <v>208</v>
      </c>
      <c r="B480" s="999" t="s">
        <v>1600</v>
      </c>
      <c r="C480" s="1000">
        <v>1711</v>
      </c>
    </row>
    <row r="481" spans="1:3" x14ac:dyDescent="0.25">
      <c r="A481" s="999" t="s">
        <v>208</v>
      </c>
      <c r="B481" s="999" t="s">
        <v>1603</v>
      </c>
      <c r="C481" s="1000">
        <v>71</v>
      </c>
    </row>
    <row r="482" spans="1:3" x14ac:dyDescent="0.25">
      <c r="A482" s="999" t="s">
        <v>208</v>
      </c>
      <c r="B482" s="999" t="s">
        <v>1604</v>
      </c>
      <c r="C482" s="1000">
        <v>57</v>
      </c>
    </row>
    <row r="483" spans="1:3" x14ac:dyDescent="0.25">
      <c r="A483" s="999" t="s">
        <v>194</v>
      </c>
      <c r="B483" s="999" t="s">
        <v>1599</v>
      </c>
      <c r="C483" s="1000">
        <v>2385</v>
      </c>
    </row>
    <row r="484" spans="1:3" x14ac:dyDescent="0.25">
      <c r="A484" s="999" t="s">
        <v>194</v>
      </c>
      <c r="B484" s="999" t="s">
        <v>1601</v>
      </c>
      <c r="C484" s="1000">
        <v>408</v>
      </c>
    </row>
    <row r="485" spans="1:3" x14ac:dyDescent="0.25">
      <c r="A485" s="999" t="s">
        <v>194</v>
      </c>
      <c r="B485" s="999" t="s">
        <v>1598</v>
      </c>
      <c r="C485" s="1000">
        <v>49</v>
      </c>
    </row>
    <row r="486" spans="1:3" x14ac:dyDescent="0.25">
      <c r="A486" s="999" t="s">
        <v>194</v>
      </c>
      <c r="B486" s="999" t="s">
        <v>1602</v>
      </c>
      <c r="C486" s="1000">
        <v>0</v>
      </c>
    </row>
    <row r="487" spans="1:3" x14ac:dyDescent="0.25">
      <c r="A487" s="999" t="s">
        <v>194</v>
      </c>
      <c r="B487" s="999" t="s">
        <v>1606</v>
      </c>
      <c r="C487" s="1000">
        <v>0</v>
      </c>
    </row>
    <row r="488" spans="1:3" x14ac:dyDescent="0.25">
      <c r="A488" s="999" t="s">
        <v>194</v>
      </c>
      <c r="B488" s="999" t="s">
        <v>1605</v>
      </c>
      <c r="C488" s="1000">
        <v>0</v>
      </c>
    </row>
    <row r="489" spans="1:3" x14ac:dyDescent="0.25">
      <c r="A489" s="999" t="s">
        <v>194</v>
      </c>
      <c r="B489" s="999" t="s">
        <v>1600</v>
      </c>
      <c r="C489" s="1000">
        <v>528</v>
      </c>
    </row>
    <row r="490" spans="1:3" x14ac:dyDescent="0.25">
      <c r="A490" s="999" t="s">
        <v>194</v>
      </c>
      <c r="B490" s="999" t="s">
        <v>1603</v>
      </c>
      <c r="C490" s="1000">
        <v>0</v>
      </c>
    </row>
    <row r="491" spans="1:3" x14ac:dyDescent="0.25">
      <c r="A491" s="999" t="s">
        <v>194</v>
      </c>
      <c r="B491" s="999" t="s">
        <v>1604</v>
      </c>
      <c r="C491" s="1000">
        <v>0</v>
      </c>
    </row>
    <row r="492" spans="1:3" x14ac:dyDescent="0.25">
      <c r="A492" s="999" t="s">
        <v>168</v>
      </c>
      <c r="B492" s="999" t="s">
        <v>1599</v>
      </c>
      <c r="C492" s="1000">
        <v>15651</v>
      </c>
    </row>
    <row r="493" spans="1:3" x14ac:dyDescent="0.25">
      <c r="A493" s="999" t="s">
        <v>168</v>
      </c>
      <c r="B493" s="999" t="s">
        <v>1601</v>
      </c>
      <c r="C493" s="1000">
        <v>1737</v>
      </c>
    </row>
    <row r="494" spans="1:3" x14ac:dyDescent="0.25">
      <c r="A494" s="999" t="s">
        <v>168</v>
      </c>
      <c r="B494" s="999" t="s">
        <v>1598</v>
      </c>
      <c r="C494" s="1000">
        <v>131</v>
      </c>
    </row>
    <row r="495" spans="1:3" x14ac:dyDescent="0.25">
      <c r="A495" s="999" t="s">
        <v>168</v>
      </c>
      <c r="B495" s="999" t="s">
        <v>1602</v>
      </c>
      <c r="C495" s="1000">
        <v>0</v>
      </c>
    </row>
    <row r="496" spans="1:3" x14ac:dyDescent="0.25">
      <c r="A496" s="999" t="s">
        <v>168</v>
      </c>
      <c r="B496" s="999" t="s">
        <v>1606</v>
      </c>
      <c r="C496" s="1000">
        <v>0</v>
      </c>
    </row>
    <row r="497" spans="1:3" x14ac:dyDescent="0.25">
      <c r="A497" s="999" t="s">
        <v>168</v>
      </c>
      <c r="B497" s="999" t="s">
        <v>1605</v>
      </c>
      <c r="C497" s="1000">
        <v>0</v>
      </c>
    </row>
    <row r="498" spans="1:3" x14ac:dyDescent="0.25">
      <c r="A498" s="999" t="s">
        <v>168</v>
      </c>
      <c r="B498" s="999" t="s">
        <v>1600</v>
      </c>
      <c r="C498" s="1000">
        <v>4985</v>
      </c>
    </row>
    <row r="499" spans="1:3" x14ac:dyDescent="0.25">
      <c r="A499" s="999" t="s">
        <v>168</v>
      </c>
      <c r="B499" s="999" t="s">
        <v>1603</v>
      </c>
      <c r="C499" s="1000">
        <v>42</v>
      </c>
    </row>
    <row r="500" spans="1:3" x14ac:dyDescent="0.25">
      <c r="A500" s="999" t="s">
        <v>168</v>
      </c>
      <c r="B500" s="999" t="s">
        <v>1604</v>
      </c>
      <c r="C500" s="1000">
        <v>0</v>
      </c>
    </row>
    <row r="501" spans="1:3" x14ac:dyDescent="0.25">
      <c r="A501" s="999" t="s">
        <v>245</v>
      </c>
      <c r="B501" s="999" t="s">
        <v>1599</v>
      </c>
      <c r="C501" s="1000">
        <v>45679</v>
      </c>
    </row>
    <row r="502" spans="1:3" x14ac:dyDescent="0.25">
      <c r="A502" s="999" t="s">
        <v>245</v>
      </c>
      <c r="B502" s="999" t="s">
        <v>1601</v>
      </c>
      <c r="C502" s="1000">
        <v>4673</v>
      </c>
    </row>
    <row r="503" spans="1:3" x14ac:dyDescent="0.25">
      <c r="A503" s="999" t="s">
        <v>245</v>
      </c>
      <c r="B503" s="999" t="s">
        <v>1598</v>
      </c>
      <c r="C503" s="1000">
        <v>492</v>
      </c>
    </row>
    <row r="504" spans="1:3" x14ac:dyDescent="0.25">
      <c r="A504" s="999" t="s">
        <v>245</v>
      </c>
      <c r="B504" s="999" t="s">
        <v>1602</v>
      </c>
      <c r="C504" s="1000">
        <v>0</v>
      </c>
    </row>
    <row r="505" spans="1:3" x14ac:dyDescent="0.25">
      <c r="A505" s="999" t="s">
        <v>245</v>
      </c>
      <c r="B505" s="999" t="s">
        <v>1606</v>
      </c>
      <c r="C505" s="1000">
        <v>0</v>
      </c>
    </row>
    <row r="506" spans="1:3" x14ac:dyDescent="0.25">
      <c r="A506" s="999" t="s">
        <v>245</v>
      </c>
      <c r="B506" s="999" t="s">
        <v>1605</v>
      </c>
      <c r="C506" s="1000">
        <v>0</v>
      </c>
    </row>
    <row r="507" spans="1:3" x14ac:dyDescent="0.25">
      <c r="A507" s="999" t="s">
        <v>245</v>
      </c>
      <c r="B507" s="999" t="s">
        <v>1600</v>
      </c>
      <c r="C507" s="1000">
        <v>13265</v>
      </c>
    </row>
    <row r="508" spans="1:3" x14ac:dyDescent="0.25">
      <c r="A508" s="999" t="s">
        <v>245</v>
      </c>
      <c r="B508" s="999" t="s">
        <v>1603</v>
      </c>
      <c r="C508" s="1000">
        <v>152</v>
      </c>
    </row>
    <row r="509" spans="1:3" x14ac:dyDescent="0.25">
      <c r="A509" s="999" t="s">
        <v>245</v>
      </c>
      <c r="B509" s="999" t="s">
        <v>1604</v>
      </c>
      <c r="C509" s="1000">
        <v>431</v>
      </c>
    </row>
    <row r="510" spans="1:3" x14ac:dyDescent="0.25">
      <c r="A510" s="999" t="s">
        <v>195</v>
      </c>
      <c r="B510" s="999" t="s">
        <v>1599</v>
      </c>
      <c r="C510" s="1000">
        <v>6413</v>
      </c>
    </row>
    <row r="511" spans="1:3" x14ac:dyDescent="0.25">
      <c r="A511" s="999" t="s">
        <v>195</v>
      </c>
      <c r="B511" s="999" t="s">
        <v>1601</v>
      </c>
      <c r="C511" s="1000">
        <v>683</v>
      </c>
    </row>
    <row r="512" spans="1:3" x14ac:dyDescent="0.25">
      <c r="A512" s="999" t="s">
        <v>195</v>
      </c>
      <c r="B512" s="999" t="s">
        <v>1598</v>
      </c>
      <c r="C512" s="1000">
        <v>105</v>
      </c>
    </row>
    <row r="513" spans="1:3" x14ac:dyDescent="0.25">
      <c r="A513" s="999" t="s">
        <v>195</v>
      </c>
      <c r="B513" s="999" t="s">
        <v>1602</v>
      </c>
      <c r="C513" s="1000">
        <v>0</v>
      </c>
    </row>
    <row r="514" spans="1:3" x14ac:dyDescent="0.25">
      <c r="A514" s="999" t="s">
        <v>195</v>
      </c>
      <c r="B514" s="999" t="s">
        <v>1606</v>
      </c>
      <c r="C514" s="1000">
        <v>0</v>
      </c>
    </row>
    <row r="515" spans="1:3" x14ac:dyDescent="0.25">
      <c r="A515" s="999" t="s">
        <v>195</v>
      </c>
      <c r="B515" s="999" t="s">
        <v>1605</v>
      </c>
      <c r="C515" s="1000">
        <v>0</v>
      </c>
    </row>
    <row r="516" spans="1:3" x14ac:dyDescent="0.25">
      <c r="A516" s="999" t="s">
        <v>195</v>
      </c>
      <c r="B516" s="999" t="s">
        <v>1600</v>
      </c>
      <c r="C516" s="1000">
        <v>2765</v>
      </c>
    </row>
    <row r="517" spans="1:3" x14ac:dyDescent="0.25">
      <c r="A517" s="999" t="s">
        <v>195</v>
      </c>
      <c r="B517" s="999" t="s">
        <v>1603</v>
      </c>
      <c r="C517" s="1000">
        <v>121</v>
      </c>
    </row>
    <row r="518" spans="1:3" x14ac:dyDescent="0.25">
      <c r="A518" s="999" t="s">
        <v>195</v>
      </c>
      <c r="B518" s="999" t="s">
        <v>1604</v>
      </c>
      <c r="C518" s="1000">
        <v>62</v>
      </c>
    </row>
    <row r="519" spans="1:3" x14ac:dyDescent="0.25">
      <c r="A519" s="999" t="s">
        <v>169</v>
      </c>
      <c r="B519" s="999" t="s">
        <v>1599</v>
      </c>
      <c r="C519" s="1000">
        <v>685344</v>
      </c>
    </row>
    <row r="520" spans="1:3" x14ac:dyDescent="0.25">
      <c r="A520" s="999" t="s">
        <v>169</v>
      </c>
      <c r="B520" s="999" t="s">
        <v>1601</v>
      </c>
      <c r="C520" s="1000">
        <v>71703</v>
      </c>
    </row>
    <row r="521" spans="1:3" x14ac:dyDescent="0.25">
      <c r="A521" s="999" t="s">
        <v>169</v>
      </c>
      <c r="B521" s="999" t="s">
        <v>1598</v>
      </c>
      <c r="C521" s="1000">
        <v>10853</v>
      </c>
    </row>
    <row r="522" spans="1:3" x14ac:dyDescent="0.25">
      <c r="A522" s="999" t="s">
        <v>169</v>
      </c>
      <c r="B522" s="999" t="s">
        <v>1602</v>
      </c>
      <c r="C522" s="1000">
        <v>46</v>
      </c>
    </row>
    <row r="523" spans="1:3" x14ac:dyDescent="0.25">
      <c r="A523" s="999" t="s">
        <v>169</v>
      </c>
      <c r="B523" s="999" t="s">
        <v>1606</v>
      </c>
      <c r="C523" s="1000">
        <v>0</v>
      </c>
    </row>
    <row r="524" spans="1:3" x14ac:dyDescent="0.25">
      <c r="A524" s="999" t="s">
        <v>169</v>
      </c>
      <c r="B524" s="999" t="s">
        <v>1605</v>
      </c>
      <c r="C524" s="1000">
        <v>0</v>
      </c>
    </row>
    <row r="525" spans="1:3" x14ac:dyDescent="0.25">
      <c r="A525" s="999" t="s">
        <v>169</v>
      </c>
      <c r="B525" s="999" t="s">
        <v>1600</v>
      </c>
      <c r="C525" s="1000">
        <v>164552</v>
      </c>
    </row>
    <row r="526" spans="1:3" x14ac:dyDescent="0.25">
      <c r="A526" s="999" t="s">
        <v>169</v>
      </c>
      <c r="B526" s="999" t="s">
        <v>1603</v>
      </c>
      <c r="C526" s="1000">
        <v>0</v>
      </c>
    </row>
    <row r="527" spans="1:3" x14ac:dyDescent="0.25">
      <c r="A527" s="999" t="s">
        <v>169</v>
      </c>
      <c r="B527" s="999" t="s">
        <v>1604</v>
      </c>
      <c r="C527" s="1000">
        <v>12272</v>
      </c>
    </row>
    <row r="528" spans="1:3" x14ac:dyDescent="0.25">
      <c r="A528" s="999" t="s">
        <v>209</v>
      </c>
      <c r="B528" s="999" t="s">
        <v>1599</v>
      </c>
      <c r="C528" s="1000">
        <v>110330</v>
      </c>
    </row>
    <row r="529" spans="1:3" x14ac:dyDescent="0.25">
      <c r="A529" s="999" t="s">
        <v>209</v>
      </c>
      <c r="B529" s="999" t="s">
        <v>1601</v>
      </c>
      <c r="C529" s="1000">
        <v>9036</v>
      </c>
    </row>
    <row r="530" spans="1:3" x14ac:dyDescent="0.25">
      <c r="A530" s="999" t="s">
        <v>209</v>
      </c>
      <c r="B530" s="999" t="s">
        <v>1598</v>
      </c>
      <c r="C530" s="1000">
        <v>1088</v>
      </c>
    </row>
    <row r="531" spans="1:3" x14ac:dyDescent="0.25">
      <c r="A531" s="999" t="s">
        <v>209</v>
      </c>
      <c r="B531" s="999" t="s">
        <v>1602</v>
      </c>
      <c r="C531" s="1000">
        <v>3</v>
      </c>
    </row>
    <row r="532" spans="1:3" x14ac:dyDescent="0.25">
      <c r="A532" s="999" t="s">
        <v>209</v>
      </c>
      <c r="B532" s="999" t="s">
        <v>1606</v>
      </c>
      <c r="C532" s="1000">
        <v>0</v>
      </c>
    </row>
    <row r="533" spans="1:3" x14ac:dyDescent="0.25">
      <c r="A533" s="999" t="s">
        <v>209</v>
      </c>
      <c r="B533" s="999" t="s">
        <v>1605</v>
      </c>
      <c r="C533" s="1000">
        <v>0</v>
      </c>
    </row>
    <row r="534" spans="1:3" x14ac:dyDescent="0.25">
      <c r="A534" s="999" t="s">
        <v>209</v>
      </c>
      <c r="B534" s="999" t="s">
        <v>1600</v>
      </c>
      <c r="C534" s="1000">
        <v>30662</v>
      </c>
    </row>
    <row r="535" spans="1:3" x14ac:dyDescent="0.25">
      <c r="A535" s="999" t="s">
        <v>209</v>
      </c>
      <c r="B535" s="999" t="s">
        <v>1603</v>
      </c>
      <c r="C535" s="1000">
        <v>439</v>
      </c>
    </row>
    <row r="536" spans="1:3" x14ac:dyDescent="0.25">
      <c r="A536" s="999" t="s">
        <v>209</v>
      </c>
      <c r="B536" s="999" t="s">
        <v>1604</v>
      </c>
      <c r="C536" s="1000">
        <v>821</v>
      </c>
    </row>
    <row r="537" spans="1:3" x14ac:dyDescent="0.25">
      <c r="A537" s="999" t="s">
        <v>170</v>
      </c>
      <c r="B537" s="999" t="s">
        <v>1599</v>
      </c>
      <c r="C537" s="1000">
        <v>12738</v>
      </c>
    </row>
    <row r="538" spans="1:3" x14ac:dyDescent="0.25">
      <c r="A538" s="999" t="s">
        <v>170</v>
      </c>
      <c r="B538" s="999" t="s">
        <v>1601</v>
      </c>
      <c r="C538" s="1000">
        <v>819</v>
      </c>
    </row>
    <row r="539" spans="1:3" x14ac:dyDescent="0.25">
      <c r="A539" s="999" t="s">
        <v>170</v>
      </c>
      <c r="B539" s="999" t="s">
        <v>1598</v>
      </c>
      <c r="C539" s="1000">
        <v>35</v>
      </c>
    </row>
    <row r="540" spans="1:3" x14ac:dyDescent="0.25">
      <c r="A540" s="999" t="s">
        <v>170</v>
      </c>
      <c r="B540" s="999" t="s">
        <v>1602</v>
      </c>
      <c r="C540" s="1000">
        <v>0</v>
      </c>
    </row>
    <row r="541" spans="1:3" x14ac:dyDescent="0.25">
      <c r="A541" s="999" t="s">
        <v>170</v>
      </c>
      <c r="B541" s="999" t="s">
        <v>1606</v>
      </c>
      <c r="C541" s="1000">
        <v>0</v>
      </c>
    </row>
    <row r="542" spans="1:3" x14ac:dyDescent="0.25">
      <c r="A542" s="999" t="s">
        <v>170</v>
      </c>
      <c r="B542" s="999" t="s">
        <v>1605</v>
      </c>
      <c r="C542" s="1000">
        <v>0</v>
      </c>
    </row>
    <row r="543" spans="1:3" x14ac:dyDescent="0.25">
      <c r="A543" s="999" t="s">
        <v>170</v>
      </c>
      <c r="B543" s="999" t="s">
        <v>1600</v>
      </c>
      <c r="C543" s="1000">
        <v>3029</v>
      </c>
    </row>
    <row r="544" spans="1:3" x14ac:dyDescent="0.25">
      <c r="A544" s="999" t="s">
        <v>170</v>
      </c>
      <c r="B544" s="999" t="s">
        <v>1603</v>
      </c>
      <c r="C544" s="1000">
        <v>0</v>
      </c>
    </row>
    <row r="545" spans="1:3" x14ac:dyDescent="0.25">
      <c r="A545" s="999" t="s">
        <v>170</v>
      </c>
      <c r="B545" s="999" t="s">
        <v>1604</v>
      </c>
      <c r="C545" s="1000">
        <v>34</v>
      </c>
    </row>
    <row r="546" spans="1:3" x14ac:dyDescent="0.25">
      <c r="A546" s="999" t="s">
        <v>171</v>
      </c>
      <c r="B546" s="999" t="s">
        <v>1599</v>
      </c>
      <c r="C546" s="1000">
        <v>50463</v>
      </c>
    </row>
    <row r="547" spans="1:3" x14ac:dyDescent="0.25">
      <c r="A547" s="999" t="s">
        <v>171</v>
      </c>
      <c r="B547" s="999" t="s">
        <v>1601</v>
      </c>
      <c r="C547" s="1000">
        <v>5835</v>
      </c>
    </row>
    <row r="548" spans="1:3" x14ac:dyDescent="0.25">
      <c r="A548" s="999" t="s">
        <v>171</v>
      </c>
      <c r="B548" s="999" t="s">
        <v>1598</v>
      </c>
      <c r="C548" s="1000">
        <v>742</v>
      </c>
    </row>
    <row r="549" spans="1:3" x14ac:dyDescent="0.25">
      <c r="A549" s="999" t="s">
        <v>171</v>
      </c>
      <c r="B549" s="999" t="s">
        <v>1602</v>
      </c>
      <c r="C549" s="1000">
        <v>1</v>
      </c>
    </row>
    <row r="550" spans="1:3" x14ac:dyDescent="0.25">
      <c r="A550" s="999" t="s">
        <v>171</v>
      </c>
      <c r="B550" s="999" t="s">
        <v>1606</v>
      </c>
      <c r="C550" s="1000">
        <v>0</v>
      </c>
    </row>
    <row r="551" spans="1:3" x14ac:dyDescent="0.25">
      <c r="A551" s="999" t="s">
        <v>171</v>
      </c>
      <c r="B551" s="999" t="s">
        <v>1605</v>
      </c>
      <c r="C551" s="1000">
        <v>1</v>
      </c>
    </row>
    <row r="552" spans="1:3" x14ac:dyDescent="0.25">
      <c r="A552" s="999" t="s">
        <v>171</v>
      </c>
      <c r="B552" s="999" t="s">
        <v>1600</v>
      </c>
      <c r="C552" s="1000">
        <v>14480</v>
      </c>
    </row>
    <row r="553" spans="1:3" x14ac:dyDescent="0.25">
      <c r="A553" s="999" t="s">
        <v>171</v>
      </c>
      <c r="B553" s="999" t="s">
        <v>1603</v>
      </c>
      <c r="C553" s="1000">
        <v>0</v>
      </c>
    </row>
    <row r="554" spans="1:3" x14ac:dyDescent="0.25">
      <c r="A554" s="999" t="s">
        <v>171</v>
      </c>
      <c r="B554" s="999" t="s">
        <v>1604</v>
      </c>
      <c r="C554" s="1000">
        <v>539</v>
      </c>
    </row>
    <row r="555" spans="1:3" x14ac:dyDescent="0.25">
      <c r="A555" s="999" t="s">
        <v>246</v>
      </c>
      <c r="B555" s="999" t="s">
        <v>1599</v>
      </c>
      <c r="C555" s="1000">
        <v>21093</v>
      </c>
    </row>
    <row r="556" spans="1:3" x14ac:dyDescent="0.25">
      <c r="A556" s="999" t="s">
        <v>246</v>
      </c>
      <c r="B556" s="999" t="s">
        <v>1601</v>
      </c>
      <c r="C556" s="1000">
        <v>1796</v>
      </c>
    </row>
    <row r="557" spans="1:3" x14ac:dyDescent="0.25">
      <c r="A557" s="999" t="s">
        <v>246</v>
      </c>
      <c r="B557" s="999" t="s">
        <v>1598</v>
      </c>
      <c r="C557" s="1000">
        <v>159</v>
      </c>
    </row>
    <row r="558" spans="1:3" x14ac:dyDescent="0.25">
      <c r="A558" s="999" t="s">
        <v>246</v>
      </c>
      <c r="B558" s="999" t="s">
        <v>1602</v>
      </c>
      <c r="C558" s="1000">
        <v>0</v>
      </c>
    </row>
    <row r="559" spans="1:3" x14ac:dyDescent="0.25">
      <c r="A559" s="999" t="s">
        <v>246</v>
      </c>
      <c r="B559" s="999" t="s">
        <v>1606</v>
      </c>
      <c r="C559" s="1000">
        <v>0</v>
      </c>
    </row>
    <row r="560" spans="1:3" x14ac:dyDescent="0.25">
      <c r="A560" s="999" t="s">
        <v>246</v>
      </c>
      <c r="B560" s="999" t="s">
        <v>1605</v>
      </c>
      <c r="C560" s="1000">
        <v>0</v>
      </c>
    </row>
    <row r="561" spans="1:3" x14ac:dyDescent="0.25">
      <c r="A561" s="999" t="s">
        <v>246</v>
      </c>
      <c r="B561" s="999" t="s">
        <v>1600</v>
      </c>
      <c r="C561" s="1000">
        <v>6916</v>
      </c>
    </row>
    <row r="562" spans="1:3" x14ac:dyDescent="0.25">
      <c r="A562" s="999" t="s">
        <v>246</v>
      </c>
      <c r="B562" s="999" t="s">
        <v>1603</v>
      </c>
      <c r="C562" s="1000">
        <v>494</v>
      </c>
    </row>
    <row r="563" spans="1:3" x14ac:dyDescent="0.25">
      <c r="A563" s="999" t="s">
        <v>246</v>
      </c>
      <c r="B563" s="999" t="s">
        <v>1604</v>
      </c>
      <c r="C563" s="1000">
        <v>262</v>
      </c>
    </row>
    <row r="564" spans="1:3" x14ac:dyDescent="0.25">
      <c r="A564" s="999" t="s">
        <v>210</v>
      </c>
      <c r="B564" s="999" t="s">
        <v>1599</v>
      </c>
      <c r="C564" s="1000">
        <v>3261</v>
      </c>
    </row>
    <row r="565" spans="1:3" x14ac:dyDescent="0.25">
      <c r="A565" s="999" t="s">
        <v>210</v>
      </c>
      <c r="B565" s="999" t="s">
        <v>1601</v>
      </c>
      <c r="C565" s="1000">
        <v>471</v>
      </c>
    </row>
    <row r="566" spans="1:3" x14ac:dyDescent="0.25">
      <c r="A566" s="999" t="s">
        <v>210</v>
      </c>
      <c r="B566" s="999" t="s">
        <v>1598</v>
      </c>
      <c r="C566" s="1000">
        <v>38</v>
      </c>
    </row>
    <row r="567" spans="1:3" x14ac:dyDescent="0.25">
      <c r="A567" s="999" t="s">
        <v>210</v>
      </c>
      <c r="B567" s="999" t="s">
        <v>1602</v>
      </c>
      <c r="C567" s="1000">
        <v>0</v>
      </c>
    </row>
    <row r="568" spans="1:3" x14ac:dyDescent="0.25">
      <c r="A568" s="999" t="s">
        <v>210</v>
      </c>
      <c r="B568" s="999" t="s">
        <v>1606</v>
      </c>
      <c r="C568" s="1000">
        <v>0</v>
      </c>
    </row>
    <row r="569" spans="1:3" x14ac:dyDescent="0.25">
      <c r="A569" s="999" t="s">
        <v>210</v>
      </c>
      <c r="B569" s="999" t="s">
        <v>1605</v>
      </c>
      <c r="C569" s="1000">
        <v>0</v>
      </c>
    </row>
    <row r="570" spans="1:3" x14ac:dyDescent="0.25">
      <c r="A570" s="999" t="s">
        <v>210</v>
      </c>
      <c r="B570" s="999" t="s">
        <v>1600</v>
      </c>
      <c r="C570" s="1000">
        <v>908</v>
      </c>
    </row>
    <row r="571" spans="1:3" x14ac:dyDescent="0.25">
      <c r="A571" s="999" t="s">
        <v>210</v>
      </c>
      <c r="B571" s="999" t="s">
        <v>1603</v>
      </c>
      <c r="C571" s="1000">
        <v>23</v>
      </c>
    </row>
    <row r="572" spans="1:3" x14ac:dyDescent="0.25">
      <c r="A572" s="999" t="s">
        <v>210</v>
      </c>
      <c r="B572" s="999" t="s">
        <v>1604</v>
      </c>
      <c r="C572" s="1000">
        <v>2</v>
      </c>
    </row>
    <row r="573" spans="1:3" x14ac:dyDescent="0.25">
      <c r="A573" s="999" t="s">
        <v>196</v>
      </c>
      <c r="B573" s="999" t="s">
        <v>1599</v>
      </c>
      <c r="C573" s="1000">
        <v>3343</v>
      </c>
    </row>
    <row r="574" spans="1:3" x14ac:dyDescent="0.25">
      <c r="A574" s="999" t="s">
        <v>196</v>
      </c>
      <c r="B574" s="999" t="s">
        <v>1601</v>
      </c>
      <c r="C574" s="1000">
        <v>488</v>
      </c>
    </row>
    <row r="575" spans="1:3" x14ac:dyDescent="0.25">
      <c r="A575" s="999" t="s">
        <v>196</v>
      </c>
      <c r="B575" s="999" t="s">
        <v>1598</v>
      </c>
      <c r="C575" s="1000">
        <v>45</v>
      </c>
    </row>
    <row r="576" spans="1:3" x14ac:dyDescent="0.25">
      <c r="A576" s="999" t="s">
        <v>196</v>
      </c>
      <c r="B576" s="999" t="s">
        <v>1602</v>
      </c>
      <c r="C576" s="1000">
        <v>1</v>
      </c>
    </row>
    <row r="577" spans="1:3" x14ac:dyDescent="0.25">
      <c r="A577" s="999" t="s">
        <v>196</v>
      </c>
      <c r="B577" s="999" t="s">
        <v>1606</v>
      </c>
      <c r="C577" s="1000">
        <v>0</v>
      </c>
    </row>
    <row r="578" spans="1:3" x14ac:dyDescent="0.25">
      <c r="A578" s="999" t="s">
        <v>196</v>
      </c>
      <c r="B578" s="999" t="s">
        <v>1605</v>
      </c>
      <c r="C578" s="1000">
        <v>0</v>
      </c>
    </row>
    <row r="579" spans="1:3" x14ac:dyDescent="0.25">
      <c r="A579" s="999" t="s">
        <v>196</v>
      </c>
      <c r="B579" s="999" t="s">
        <v>1600</v>
      </c>
      <c r="C579" s="1000">
        <v>1406</v>
      </c>
    </row>
    <row r="580" spans="1:3" x14ac:dyDescent="0.25">
      <c r="A580" s="999" t="s">
        <v>196</v>
      </c>
      <c r="B580" s="999" t="s">
        <v>1603</v>
      </c>
      <c r="C580" s="1000">
        <v>2</v>
      </c>
    </row>
    <row r="581" spans="1:3" x14ac:dyDescent="0.25">
      <c r="A581" s="999" t="s">
        <v>196</v>
      </c>
      <c r="B581" s="999" t="s">
        <v>1604</v>
      </c>
      <c r="C581" s="1000">
        <v>3</v>
      </c>
    </row>
    <row r="582" spans="1:3" x14ac:dyDescent="0.25">
      <c r="A582" s="999" t="s">
        <v>197</v>
      </c>
      <c r="B582" s="999" t="s">
        <v>1599</v>
      </c>
      <c r="C582" s="1000">
        <v>20594</v>
      </c>
    </row>
    <row r="583" spans="1:3" x14ac:dyDescent="0.25">
      <c r="A583" s="999" t="s">
        <v>197</v>
      </c>
      <c r="B583" s="999" t="s">
        <v>1601</v>
      </c>
      <c r="C583" s="1000">
        <v>2589</v>
      </c>
    </row>
    <row r="584" spans="1:3" x14ac:dyDescent="0.25">
      <c r="A584" s="999" t="s">
        <v>197</v>
      </c>
      <c r="B584" s="999" t="s">
        <v>1598</v>
      </c>
      <c r="C584" s="1000">
        <v>190</v>
      </c>
    </row>
    <row r="585" spans="1:3" x14ac:dyDescent="0.25">
      <c r="A585" s="999" t="s">
        <v>197</v>
      </c>
      <c r="B585" s="999" t="s">
        <v>1602</v>
      </c>
      <c r="C585" s="1000">
        <v>0</v>
      </c>
    </row>
    <row r="586" spans="1:3" x14ac:dyDescent="0.25">
      <c r="A586" s="999" t="s">
        <v>197</v>
      </c>
      <c r="B586" s="999" t="s">
        <v>1606</v>
      </c>
      <c r="C586" s="1000">
        <v>0</v>
      </c>
    </row>
    <row r="587" spans="1:3" x14ac:dyDescent="0.25">
      <c r="A587" s="999" t="s">
        <v>197</v>
      </c>
      <c r="B587" s="999" t="s">
        <v>1605</v>
      </c>
      <c r="C587" s="1000">
        <v>0</v>
      </c>
    </row>
    <row r="588" spans="1:3" x14ac:dyDescent="0.25">
      <c r="A588" s="999" t="s">
        <v>197</v>
      </c>
      <c r="B588" s="999" t="s">
        <v>1600</v>
      </c>
      <c r="C588" s="1000">
        <v>6182</v>
      </c>
    </row>
    <row r="589" spans="1:3" x14ac:dyDescent="0.25">
      <c r="A589" s="999" t="s">
        <v>197</v>
      </c>
      <c r="B589" s="999" t="s">
        <v>1603</v>
      </c>
      <c r="C589" s="1000">
        <v>8</v>
      </c>
    </row>
    <row r="590" spans="1:3" x14ac:dyDescent="0.25">
      <c r="A590" s="999" t="s">
        <v>197</v>
      </c>
      <c r="B590" s="999" t="s">
        <v>1604</v>
      </c>
      <c r="C590" s="1000">
        <v>53</v>
      </c>
    </row>
    <row r="591" spans="1:3" x14ac:dyDescent="0.25">
      <c r="A591" s="999" t="s">
        <v>198</v>
      </c>
      <c r="B591" s="999" t="s">
        <v>1599</v>
      </c>
      <c r="C591" s="1000">
        <v>39890</v>
      </c>
    </row>
    <row r="592" spans="1:3" x14ac:dyDescent="0.25">
      <c r="A592" s="999" t="s">
        <v>198</v>
      </c>
      <c r="B592" s="999" t="s">
        <v>1601</v>
      </c>
      <c r="C592" s="1000">
        <v>2238</v>
      </c>
    </row>
    <row r="593" spans="1:3" x14ac:dyDescent="0.25">
      <c r="A593" s="999" t="s">
        <v>198</v>
      </c>
      <c r="B593" s="999" t="s">
        <v>1598</v>
      </c>
      <c r="C593" s="1000">
        <v>370</v>
      </c>
    </row>
    <row r="594" spans="1:3" x14ac:dyDescent="0.25">
      <c r="A594" s="999" t="s">
        <v>198</v>
      </c>
      <c r="B594" s="999" t="s">
        <v>1602</v>
      </c>
      <c r="C594" s="1000">
        <v>0</v>
      </c>
    </row>
    <row r="595" spans="1:3" x14ac:dyDescent="0.25">
      <c r="A595" s="999" t="s">
        <v>198</v>
      </c>
      <c r="B595" s="999" t="s">
        <v>1606</v>
      </c>
      <c r="C595" s="1000">
        <v>0</v>
      </c>
    </row>
    <row r="596" spans="1:3" x14ac:dyDescent="0.25">
      <c r="A596" s="999" t="s">
        <v>198</v>
      </c>
      <c r="B596" s="999" t="s">
        <v>1605</v>
      </c>
      <c r="C596" s="1000">
        <v>0</v>
      </c>
    </row>
    <row r="597" spans="1:3" x14ac:dyDescent="0.25">
      <c r="A597" s="999" t="s">
        <v>198</v>
      </c>
      <c r="B597" s="999" t="s">
        <v>1600</v>
      </c>
      <c r="C597" s="1000">
        <v>11902</v>
      </c>
    </row>
    <row r="598" spans="1:3" x14ac:dyDescent="0.25">
      <c r="A598" s="999" t="s">
        <v>198</v>
      </c>
      <c r="B598" s="999" t="s">
        <v>1603</v>
      </c>
      <c r="C598" s="1000">
        <v>38</v>
      </c>
    </row>
    <row r="599" spans="1:3" x14ac:dyDescent="0.25">
      <c r="A599" s="999" t="s">
        <v>198</v>
      </c>
      <c r="B599" s="999" t="s">
        <v>1604</v>
      </c>
      <c r="C599" s="1000">
        <v>372</v>
      </c>
    </row>
    <row r="600" spans="1:3" x14ac:dyDescent="0.25">
      <c r="A600" s="986" t="s">
        <v>2461</v>
      </c>
    </row>
  </sheetData>
  <sheetProtection algorithmName="SHA-512" hashValue="KN/FKMh1iNwcpRaDeIVAzDZUKZvP+pvmRAs1tA42ql4oT7haXKvtj+bmnxsY1Ibvpe8RHn7Q+COvYfpZgxP46Q==" saltValue="aDzWABfdn/D4X2GXc0VoUQ==" spinCount="100000" sheet="1" objects="1" scenarios="1"/>
  <pageMargins left="0.75" right="0.75" top="1" bottom="1" header="0.5" footer="0.5"/>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35"/>
  <sheetViews>
    <sheetView workbookViewId="0">
      <selection activeCell="C5" sqref="C5"/>
    </sheetView>
  </sheetViews>
  <sheetFormatPr defaultRowHeight="15" x14ac:dyDescent="0.25"/>
  <cols>
    <col min="1" max="1" width="36.85546875" customWidth="1"/>
  </cols>
  <sheetData>
    <row r="1" spans="1:3" x14ac:dyDescent="0.25">
      <c r="A1" t="s">
        <v>1670</v>
      </c>
    </row>
    <row r="2" spans="1:3" x14ac:dyDescent="0.25">
      <c r="A2" t="s">
        <v>1671</v>
      </c>
      <c r="B2" t="s">
        <v>628</v>
      </c>
    </row>
    <row r="3" spans="1:3" x14ac:dyDescent="0.25">
      <c r="A3" t="s">
        <v>1672</v>
      </c>
      <c r="B3" t="s">
        <v>628</v>
      </c>
      <c r="C3" t="s">
        <v>628</v>
      </c>
    </row>
    <row r="4" spans="1:3" x14ac:dyDescent="0.25">
      <c r="A4" t="s">
        <v>1673</v>
      </c>
      <c r="B4" t="s">
        <v>628</v>
      </c>
    </row>
    <row r="5" spans="1:3" s="841" customFormat="1" x14ac:dyDescent="0.25">
      <c r="A5" s="841" t="s">
        <v>2911</v>
      </c>
    </row>
    <row r="6" spans="1:3" x14ac:dyDescent="0.25">
      <c r="A6" t="s">
        <v>2275</v>
      </c>
      <c r="B6" t="s">
        <v>628</v>
      </c>
      <c r="C6" t="s">
        <v>628</v>
      </c>
    </row>
    <row r="7" spans="1:3" x14ac:dyDescent="0.25">
      <c r="A7" t="s">
        <v>1674</v>
      </c>
      <c r="B7" t="s">
        <v>628</v>
      </c>
      <c r="C7" t="s">
        <v>628</v>
      </c>
    </row>
    <row r="8" spans="1:3" x14ac:dyDescent="0.25">
      <c r="A8" t="s">
        <v>1675</v>
      </c>
      <c r="B8" t="s">
        <v>628</v>
      </c>
      <c r="C8" t="s">
        <v>628</v>
      </c>
    </row>
    <row r="9" spans="1:3" x14ac:dyDescent="0.25">
      <c r="A9" t="s">
        <v>2873</v>
      </c>
      <c r="B9" t="s">
        <v>628</v>
      </c>
    </row>
    <row r="10" spans="1:3" x14ac:dyDescent="0.25">
      <c r="A10" t="s">
        <v>2874</v>
      </c>
      <c r="B10" t="s">
        <v>628</v>
      </c>
      <c r="C10" s="841" t="s">
        <v>628</v>
      </c>
    </row>
    <row r="11" spans="1:3" s="841" customFormat="1" x14ac:dyDescent="0.25">
      <c r="A11" s="841" t="s">
        <v>2875</v>
      </c>
      <c r="B11" s="841" t="s">
        <v>628</v>
      </c>
    </row>
    <row r="12" spans="1:3" s="841" customFormat="1" x14ac:dyDescent="0.25">
      <c r="A12" s="841" t="s">
        <v>2876</v>
      </c>
      <c r="B12" s="841" t="s">
        <v>628</v>
      </c>
    </row>
    <row r="13" spans="1:3" s="841" customFormat="1" x14ac:dyDescent="0.25">
      <c r="A13" s="841" t="s">
        <v>2877</v>
      </c>
      <c r="B13" s="841" t="s">
        <v>628</v>
      </c>
    </row>
    <row r="14" spans="1:3" x14ac:dyDescent="0.25">
      <c r="A14" t="s">
        <v>1814</v>
      </c>
      <c r="B14" s="841" t="s">
        <v>628</v>
      </c>
      <c r="C14" t="s">
        <v>628</v>
      </c>
    </row>
    <row r="15" spans="1:3" x14ac:dyDescent="0.25">
      <c r="A15" t="s">
        <v>1815</v>
      </c>
      <c r="B15" t="s">
        <v>628</v>
      </c>
      <c r="C15" t="s">
        <v>628</v>
      </c>
    </row>
    <row r="16" spans="1:3" x14ac:dyDescent="0.25">
      <c r="A16" t="s">
        <v>1816</v>
      </c>
      <c r="B16" t="s">
        <v>628</v>
      </c>
      <c r="C16" t="s">
        <v>628</v>
      </c>
    </row>
    <row r="17" spans="1:3" x14ac:dyDescent="0.25">
      <c r="A17" t="s">
        <v>1817</v>
      </c>
      <c r="B17" t="s">
        <v>628</v>
      </c>
      <c r="C17" t="s">
        <v>628</v>
      </c>
    </row>
    <row r="18" spans="1:3" x14ac:dyDescent="0.25">
      <c r="A18" t="s">
        <v>1818</v>
      </c>
      <c r="B18" t="s">
        <v>628</v>
      </c>
      <c r="C18" t="s">
        <v>628</v>
      </c>
    </row>
    <row r="19" spans="1:3" x14ac:dyDescent="0.25">
      <c r="A19" t="s">
        <v>1819</v>
      </c>
      <c r="B19" t="s">
        <v>628</v>
      </c>
      <c r="C19" t="s">
        <v>628</v>
      </c>
    </row>
    <row r="20" spans="1:3" x14ac:dyDescent="0.25">
      <c r="A20" t="s">
        <v>1820</v>
      </c>
      <c r="B20" t="s">
        <v>628</v>
      </c>
      <c r="C20" t="s">
        <v>628</v>
      </c>
    </row>
    <row r="21" spans="1:3" x14ac:dyDescent="0.25">
      <c r="A21" t="s">
        <v>1821</v>
      </c>
      <c r="B21" t="s">
        <v>628</v>
      </c>
      <c r="C21" t="s">
        <v>628</v>
      </c>
    </row>
    <row r="22" spans="1:3" x14ac:dyDescent="0.25">
      <c r="A22" t="s">
        <v>1822</v>
      </c>
      <c r="B22" t="s">
        <v>628</v>
      </c>
      <c r="C22" t="s">
        <v>628</v>
      </c>
    </row>
    <row r="23" spans="1:3" x14ac:dyDescent="0.25">
      <c r="A23" t="s">
        <v>1823</v>
      </c>
      <c r="B23" t="s">
        <v>628</v>
      </c>
      <c r="C23" t="s">
        <v>628</v>
      </c>
    </row>
    <row r="24" spans="1:3" x14ac:dyDescent="0.25">
      <c r="A24" t="s">
        <v>1829</v>
      </c>
      <c r="B24" t="s">
        <v>628</v>
      </c>
      <c r="C24" t="s">
        <v>628</v>
      </c>
    </row>
    <row r="25" spans="1:3" x14ac:dyDescent="0.25">
      <c r="A25" t="s">
        <v>1824</v>
      </c>
      <c r="B25" t="s">
        <v>628</v>
      </c>
      <c r="C25" t="s">
        <v>628</v>
      </c>
    </row>
    <row r="26" spans="1:3" x14ac:dyDescent="0.25">
      <c r="A26" t="s">
        <v>1825</v>
      </c>
      <c r="B26" t="s">
        <v>628</v>
      </c>
      <c r="C26" t="s">
        <v>628</v>
      </c>
    </row>
    <row r="27" spans="1:3" x14ac:dyDescent="0.25">
      <c r="A27" t="s">
        <v>1826</v>
      </c>
      <c r="B27" t="s">
        <v>628</v>
      </c>
      <c r="C27" t="s">
        <v>628</v>
      </c>
    </row>
    <row r="28" spans="1:3" s="432" customFormat="1" x14ac:dyDescent="0.25">
      <c r="A28" s="432" t="s">
        <v>2273</v>
      </c>
      <c r="B28" s="432" t="s">
        <v>628</v>
      </c>
    </row>
    <row r="29" spans="1:3" x14ac:dyDescent="0.25">
      <c r="A29" t="s">
        <v>1827</v>
      </c>
      <c r="B29" t="s">
        <v>628</v>
      </c>
    </row>
    <row r="30" spans="1:3" x14ac:dyDescent="0.25">
      <c r="A30" t="s">
        <v>1676</v>
      </c>
      <c r="B30" t="s">
        <v>628</v>
      </c>
    </row>
    <row r="31" spans="1:3" x14ac:dyDescent="0.25">
      <c r="A31" t="s">
        <v>1846</v>
      </c>
      <c r="B31" t="s">
        <v>628</v>
      </c>
    </row>
    <row r="32" spans="1:3" x14ac:dyDescent="0.25">
      <c r="A32" t="s">
        <v>2272</v>
      </c>
      <c r="B32" t="s">
        <v>628</v>
      </c>
    </row>
    <row r="33" spans="1:2" x14ac:dyDescent="0.25">
      <c r="A33" t="s">
        <v>1828</v>
      </c>
      <c r="B33" t="s">
        <v>628</v>
      </c>
    </row>
    <row r="34" spans="1:2" x14ac:dyDescent="0.25">
      <c r="A34" t="s">
        <v>1677</v>
      </c>
      <c r="B34" t="s">
        <v>628</v>
      </c>
    </row>
    <row r="35" spans="1:2" x14ac:dyDescent="0.25">
      <c r="A35" t="s">
        <v>2274</v>
      </c>
      <c r="B35" s="432" t="s">
        <v>628</v>
      </c>
    </row>
  </sheetData>
  <sheetProtection algorithmName="SHA-512" hashValue="zXajU2CR5WRtdSyK/Uzab3cGu4TYrz1594U1i5Cn9XqneiNB/86I4qfP/gZwpP2kGq7HZZjjN72XT1LwOxjroA==" saltValue="vnEUUp9S6i/kGJVNZH7KsQ=="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23"/>
  <sheetViews>
    <sheetView showGridLines="0" topLeftCell="A424" workbookViewId="0">
      <selection activeCell="A424" sqref="A1:A1048576"/>
    </sheetView>
  </sheetViews>
  <sheetFormatPr defaultRowHeight="15" x14ac:dyDescent="0.25"/>
  <cols>
    <col min="1" max="1" width="22.28515625" style="841" customWidth="1"/>
    <col min="2" max="2" width="4.5703125" style="841" customWidth="1"/>
    <col min="3" max="3" width="9.5703125" style="841" customWidth="1"/>
    <col min="4" max="4" width="15.140625" style="841" customWidth="1"/>
    <col min="5" max="5" width="24.42578125" style="841" customWidth="1"/>
    <col min="6" max="6" width="10.140625" style="841" customWidth="1"/>
    <col min="7" max="7" width="6.28515625" style="841" customWidth="1"/>
    <col min="8" max="8" width="10.140625" style="841" customWidth="1"/>
    <col min="9" max="9" width="8.5703125" style="841" customWidth="1"/>
    <col min="10" max="10" width="11" style="841" customWidth="1"/>
    <col min="11" max="11" width="10.28515625" style="841" customWidth="1"/>
    <col min="12" max="12" width="0.7109375" style="841" customWidth="1"/>
    <col min="13" max="16384" width="9.140625" style="841"/>
  </cols>
  <sheetData>
    <row r="1" spans="1:11" x14ac:dyDescent="0.25">
      <c r="A1" s="1077" t="s">
        <v>4873</v>
      </c>
    </row>
    <row r="2" spans="1:11" ht="22.5" x14ac:dyDescent="0.25">
      <c r="A2" s="1078" t="s">
        <v>5980</v>
      </c>
    </row>
    <row r="3" spans="1:11" x14ac:dyDescent="0.25">
      <c r="A3" s="986" t="s">
        <v>2461</v>
      </c>
    </row>
    <row r="4" spans="1:11" ht="22.5" x14ac:dyDescent="0.25">
      <c r="A4" s="987" t="s">
        <v>648</v>
      </c>
      <c r="B4" s="987" t="s">
        <v>649</v>
      </c>
      <c r="C4" s="987" t="s">
        <v>650</v>
      </c>
      <c r="D4" s="987" t="s">
        <v>651</v>
      </c>
      <c r="E4" s="987" t="s">
        <v>1869</v>
      </c>
      <c r="F4" s="987" t="s">
        <v>652</v>
      </c>
      <c r="G4" s="987" t="s">
        <v>653</v>
      </c>
      <c r="H4" s="987" t="s">
        <v>654</v>
      </c>
      <c r="I4" s="987" t="s">
        <v>655</v>
      </c>
      <c r="J4" s="987" t="s">
        <v>656</v>
      </c>
      <c r="K4" s="988" t="s">
        <v>2236</v>
      </c>
    </row>
    <row r="5" spans="1:11" x14ac:dyDescent="0.25">
      <c r="A5" s="989" t="s">
        <v>4874</v>
      </c>
      <c r="B5" s="993">
        <v>2018</v>
      </c>
      <c r="C5" s="989" t="s">
        <v>2991</v>
      </c>
      <c r="D5" s="989" t="s">
        <v>49</v>
      </c>
      <c r="E5" s="989" t="s">
        <v>4875</v>
      </c>
      <c r="F5" s="994">
        <v>12419982.07</v>
      </c>
      <c r="G5" s="989" t="s">
        <v>657</v>
      </c>
      <c r="H5" s="994">
        <v>12240535</v>
      </c>
      <c r="I5" s="994">
        <v>179446.578125</v>
      </c>
      <c r="J5" s="994">
        <v>12419982</v>
      </c>
      <c r="K5" s="997">
        <v>12419982.07</v>
      </c>
    </row>
    <row r="6" spans="1:11" ht="33.75" x14ac:dyDescent="0.25">
      <c r="A6" s="989" t="s">
        <v>4874</v>
      </c>
      <c r="B6" s="993">
        <v>2018</v>
      </c>
      <c r="C6" s="989" t="s">
        <v>2992</v>
      </c>
      <c r="D6" s="989" t="s">
        <v>658</v>
      </c>
      <c r="E6" s="989" t="s">
        <v>4876</v>
      </c>
      <c r="F6" s="994">
        <v>-888403.29</v>
      </c>
      <c r="G6" s="989" t="s">
        <v>657</v>
      </c>
      <c r="H6" s="994">
        <v>-880000</v>
      </c>
      <c r="I6" s="994">
        <v>-8403.2802734375</v>
      </c>
      <c r="J6" s="994">
        <v>-888403.3125</v>
      </c>
      <c r="K6" s="997">
        <v>-888403.29</v>
      </c>
    </row>
    <row r="7" spans="1:11" ht="22.5" x14ac:dyDescent="0.25">
      <c r="A7" s="989" t="s">
        <v>4874</v>
      </c>
      <c r="B7" s="993">
        <v>2018</v>
      </c>
      <c r="C7" s="989" t="s">
        <v>2993</v>
      </c>
      <c r="D7" s="989" t="s">
        <v>464</v>
      </c>
      <c r="E7" s="989" t="s">
        <v>4877</v>
      </c>
      <c r="F7" s="994">
        <v>15684598.08</v>
      </c>
      <c r="G7" s="995"/>
      <c r="H7" s="996"/>
      <c r="I7" s="996"/>
      <c r="J7" s="994">
        <v>0</v>
      </c>
      <c r="K7" s="997">
        <v>15684598.08</v>
      </c>
    </row>
    <row r="8" spans="1:11" ht="33.75" x14ac:dyDescent="0.25">
      <c r="A8" s="989" t="s">
        <v>4874</v>
      </c>
      <c r="B8" s="993">
        <v>2018</v>
      </c>
      <c r="C8" s="989" t="s">
        <v>2994</v>
      </c>
      <c r="D8" s="989" t="s">
        <v>46</v>
      </c>
      <c r="E8" s="989" t="s">
        <v>4878</v>
      </c>
      <c r="F8" s="994">
        <v>-64500740.409999996</v>
      </c>
      <c r="G8" s="989" t="s">
        <v>657</v>
      </c>
      <c r="H8" s="994">
        <v>-63506152</v>
      </c>
      <c r="I8" s="994">
        <v>-994586.6875</v>
      </c>
      <c r="J8" s="994">
        <v>-64500740</v>
      </c>
      <c r="K8" s="997">
        <v>-64500740.409999996</v>
      </c>
    </row>
    <row r="9" spans="1:11" ht="22.5" x14ac:dyDescent="0.25">
      <c r="A9" s="989" t="s">
        <v>4874</v>
      </c>
      <c r="B9" s="993">
        <v>2018</v>
      </c>
      <c r="C9" s="989" t="s">
        <v>2994</v>
      </c>
      <c r="D9" s="989" t="s">
        <v>2482</v>
      </c>
      <c r="E9" s="989" t="s">
        <v>4878</v>
      </c>
      <c r="F9" s="994">
        <v>0</v>
      </c>
      <c r="G9" s="995"/>
      <c r="H9" s="996"/>
      <c r="I9" s="996"/>
      <c r="J9" s="994">
        <v>0</v>
      </c>
      <c r="K9" s="997">
        <v>0</v>
      </c>
    </row>
    <row r="10" spans="1:11" ht="22.5" x14ac:dyDescent="0.25">
      <c r="A10" s="989" t="s">
        <v>4874</v>
      </c>
      <c r="B10" s="993">
        <v>2018</v>
      </c>
      <c r="C10" s="989" t="s">
        <v>2994</v>
      </c>
      <c r="D10" s="989" t="s">
        <v>2483</v>
      </c>
      <c r="E10" s="989" t="s">
        <v>4878</v>
      </c>
      <c r="F10" s="994">
        <v>0</v>
      </c>
      <c r="G10" s="995"/>
      <c r="H10" s="996"/>
      <c r="I10" s="996"/>
      <c r="J10" s="994">
        <v>0</v>
      </c>
      <c r="K10" s="997">
        <v>0</v>
      </c>
    </row>
    <row r="11" spans="1:11" ht="22.5" x14ac:dyDescent="0.25">
      <c r="A11" s="989" t="s">
        <v>4874</v>
      </c>
      <c r="B11" s="993">
        <v>2018</v>
      </c>
      <c r="C11" s="989" t="s">
        <v>2994</v>
      </c>
      <c r="D11" s="989" t="s">
        <v>2484</v>
      </c>
      <c r="E11" s="989" t="s">
        <v>4878</v>
      </c>
      <c r="F11" s="994">
        <v>42438.74</v>
      </c>
      <c r="G11" s="995"/>
      <c r="H11" s="996"/>
      <c r="I11" s="996"/>
      <c r="J11" s="994">
        <v>0</v>
      </c>
      <c r="K11" s="997">
        <v>42438.74</v>
      </c>
    </row>
    <row r="12" spans="1:11" ht="22.5" x14ac:dyDescent="0.25">
      <c r="A12" s="989" t="s">
        <v>4874</v>
      </c>
      <c r="B12" s="993">
        <v>2018</v>
      </c>
      <c r="C12" s="989" t="s">
        <v>2994</v>
      </c>
      <c r="D12" s="989" t="s">
        <v>2485</v>
      </c>
      <c r="E12" s="989" t="s">
        <v>4878</v>
      </c>
      <c r="F12" s="994">
        <v>1260032.19</v>
      </c>
      <c r="G12" s="995"/>
      <c r="H12" s="996"/>
      <c r="I12" s="996"/>
      <c r="J12" s="994">
        <v>0</v>
      </c>
      <c r="K12" s="997">
        <v>1260032.19</v>
      </c>
    </row>
    <row r="13" spans="1:11" ht="33.75" x14ac:dyDescent="0.25">
      <c r="A13" s="989" t="s">
        <v>4874</v>
      </c>
      <c r="B13" s="993">
        <v>2018</v>
      </c>
      <c r="C13" s="989" t="s">
        <v>2995</v>
      </c>
      <c r="D13" s="989" t="s">
        <v>47</v>
      </c>
      <c r="E13" s="989" t="s">
        <v>4879</v>
      </c>
      <c r="F13" s="994">
        <v>-13129405.9</v>
      </c>
      <c r="G13" s="989" t="s">
        <v>657</v>
      </c>
      <c r="H13" s="994">
        <v>-12948270</v>
      </c>
      <c r="I13" s="994">
        <v>-181135.453125</v>
      </c>
      <c r="J13" s="994">
        <v>-13129406</v>
      </c>
      <c r="K13" s="997">
        <v>-13129405.9</v>
      </c>
    </row>
    <row r="14" spans="1:11" ht="33.75" x14ac:dyDescent="0.25">
      <c r="A14" s="989" t="s">
        <v>4874</v>
      </c>
      <c r="B14" s="993">
        <v>2018</v>
      </c>
      <c r="C14" s="989" t="s">
        <v>2996</v>
      </c>
      <c r="D14" s="989" t="s">
        <v>48</v>
      </c>
      <c r="E14" s="989" t="s">
        <v>4880</v>
      </c>
      <c r="F14" s="994">
        <v>3951327.34</v>
      </c>
      <c r="G14" s="989" t="s">
        <v>657</v>
      </c>
      <c r="H14" s="994">
        <v>3854893.5</v>
      </c>
      <c r="I14" s="994">
        <v>96433.859375</v>
      </c>
      <c r="J14" s="994">
        <v>3951327.25</v>
      </c>
      <c r="K14" s="997">
        <v>3951327.34</v>
      </c>
    </row>
    <row r="15" spans="1:11" ht="33.75" x14ac:dyDescent="0.25">
      <c r="A15" s="989" t="s">
        <v>4874</v>
      </c>
      <c r="B15" s="993">
        <v>2018</v>
      </c>
      <c r="C15" s="989" t="s">
        <v>2997</v>
      </c>
      <c r="D15" s="989" t="s">
        <v>50</v>
      </c>
      <c r="E15" s="989" t="s">
        <v>4881</v>
      </c>
      <c r="F15" s="994">
        <v>-2133956.37</v>
      </c>
      <c r="G15" s="989" t="s">
        <v>657</v>
      </c>
      <c r="H15" s="994">
        <v>-2095169.25</v>
      </c>
      <c r="I15" s="994">
        <v>-38787.078125</v>
      </c>
      <c r="J15" s="994">
        <v>-2133956.25</v>
      </c>
      <c r="K15" s="997">
        <v>-2133956.37</v>
      </c>
    </row>
    <row r="16" spans="1:11" ht="22.5" x14ac:dyDescent="0.25">
      <c r="A16" s="989" t="s">
        <v>4874</v>
      </c>
      <c r="B16" s="993">
        <v>2018</v>
      </c>
      <c r="C16" s="989" t="s">
        <v>2998</v>
      </c>
      <c r="D16" s="989" t="s">
        <v>348</v>
      </c>
      <c r="E16" s="989" t="s">
        <v>4882</v>
      </c>
      <c r="F16" s="994">
        <v>-2302695.0499999998</v>
      </c>
      <c r="G16" s="989" t="s">
        <v>657</v>
      </c>
      <c r="H16" s="994">
        <v>-2499829.25</v>
      </c>
      <c r="I16" s="994">
        <v>197134.203125</v>
      </c>
      <c r="J16" s="994">
        <v>-2302695</v>
      </c>
      <c r="K16" s="997">
        <v>-2302695.0499999998</v>
      </c>
    </row>
    <row r="17" spans="1:11" ht="45" x14ac:dyDescent="0.25">
      <c r="A17" s="989" t="s">
        <v>4874</v>
      </c>
      <c r="B17" s="993">
        <v>2018</v>
      </c>
      <c r="C17" s="989" t="s">
        <v>2999</v>
      </c>
      <c r="D17" s="989" t="s">
        <v>659</v>
      </c>
      <c r="E17" s="989" t="s">
        <v>4883</v>
      </c>
      <c r="F17" s="994">
        <v>0</v>
      </c>
      <c r="G17" s="989" t="s">
        <v>657</v>
      </c>
      <c r="H17" s="996"/>
      <c r="I17" s="996"/>
      <c r="J17" s="994">
        <v>0</v>
      </c>
      <c r="K17" s="997">
        <v>0</v>
      </c>
    </row>
    <row r="18" spans="1:11" ht="45" x14ac:dyDescent="0.25">
      <c r="A18" s="989" t="s">
        <v>4874</v>
      </c>
      <c r="B18" s="993">
        <v>2018</v>
      </c>
      <c r="C18" s="989" t="s">
        <v>2999</v>
      </c>
      <c r="D18" s="989" t="s">
        <v>660</v>
      </c>
      <c r="E18" s="989" t="s">
        <v>4884</v>
      </c>
      <c r="F18" s="994">
        <v>0</v>
      </c>
      <c r="G18" s="989" t="s">
        <v>657</v>
      </c>
      <c r="H18" s="994">
        <v>0</v>
      </c>
      <c r="I18" s="994">
        <v>-21761.599609375</v>
      </c>
      <c r="J18" s="994">
        <v>-21761.599609375</v>
      </c>
      <c r="K18" s="997">
        <v>-21761.599999999999</v>
      </c>
    </row>
    <row r="19" spans="1:11" ht="45" x14ac:dyDescent="0.25">
      <c r="A19" s="989" t="s">
        <v>4874</v>
      </c>
      <c r="B19" s="993">
        <v>2018</v>
      </c>
      <c r="C19" s="989" t="s">
        <v>2999</v>
      </c>
      <c r="D19" s="989" t="s">
        <v>661</v>
      </c>
      <c r="E19" s="989" t="s">
        <v>4885</v>
      </c>
      <c r="F19" s="994">
        <v>0</v>
      </c>
      <c r="G19" s="989" t="s">
        <v>657</v>
      </c>
      <c r="H19" s="994">
        <v>7318.39990234375</v>
      </c>
      <c r="I19" s="994">
        <v>240.64999389648401</v>
      </c>
      <c r="J19" s="994">
        <v>7559.0498046875</v>
      </c>
      <c r="K19" s="997">
        <v>7559.05</v>
      </c>
    </row>
    <row r="20" spans="1:11" ht="45" x14ac:dyDescent="0.25">
      <c r="A20" s="989" t="s">
        <v>4874</v>
      </c>
      <c r="B20" s="993">
        <v>2018</v>
      </c>
      <c r="C20" s="989" t="s">
        <v>2999</v>
      </c>
      <c r="D20" s="989" t="s">
        <v>662</v>
      </c>
      <c r="E20" s="989" t="s">
        <v>4886</v>
      </c>
      <c r="F20" s="994">
        <v>0</v>
      </c>
      <c r="G20" s="989" t="s">
        <v>657</v>
      </c>
      <c r="H20" s="994">
        <v>335.66000366210898</v>
      </c>
      <c r="I20" s="994">
        <v>46.860000610351598</v>
      </c>
      <c r="J20" s="994">
        <v>382.51998901367199</v>
      </c>
      <c r="K20" s="997">
        <v>382.52</v>
      </c>
    </row>
    <row r="21" spans="1:11" ht="45" x14ac:dyDescent="0.25">
      <c r="A21" s="989" t="s">
        <v>4874</v>
      </c>
      <c r="B21" s="993">
        <v>2018</v>
      </c>
      <c r="C21" s="989" t="s">
        <v>2999</v>
      </c>
      <c r="D21" s="989" t="s">
        <v>663</v>
      </c>
      <c r="E21" s="989" t="s">
        <v>4887</v>
      </c>
      <c r="F21" s="994">
        <v>0</v>
      </c>
      <c r="G21" s="989" t="s">
        <v>657</v>
      </c>
      <c r="H21" s="994">
        <v>12466.3203125</v>
      </c>
      <c r="I21" s="994">
        <v>153421.859375</v>
      </c>
      <c r="J21" s="994">
        <v>165888.1875</v>
      </c>
      <c r="K21" s="997">
        <v>165888.18</v>
      </c>
    </row>
    <row r="22" spans="1:11" ht="45" x14ac:dyDescent="0.25">
      <c r="A22" s="989" t="s">
        <v>4874</v>
      </c>
      <c r="B22" s="993">
        <v>2018</v>
      </c>
      <c r="C22" s="989" t="s">
        <v>2999</v>
      </c>
      <c r="D22" s="989" t="s">
        <v>664</v>
      </c>
      <c r="E22" s="989" t="s">
        <v>4888</v>
      </c>
      <c r="F22" s="994">
        <v>0</v>
      </c>
      <c r="G22" s="989" t="s">
        <v>657</v>
      </c>
      <c r="H22" s="994">
        <v>-923.63000488281295</v>
      </c>
      <c r="I22" s="994">
        <v>-15.2600002288818</v>
      </c>
      <c r="J22" s="994">
        <v>-938.89001464843795</v>
      </c>
      <c r="K22" s="997">
        <v>-938.89</v>
      </c>
    </row>
    <row r="23" spans="1:11" ht="45" x14ac:dyDescent="0.25">
      <c r="A23" s="989" t="s">
        <v>4874</v>
      </c>
      <c r="B23" s="993">
        <v>2018</v>
      </c>
      <c r="C23" s="989" t="s">
        <v>2999</v>
      </c>
      <c r="D23" s="989" t="s">
        <v>665</v>
      </c>
      <c r="E23" s="989" t="s">
        <v>4889</v>
      </c>
      <c r="F23" s="994">
        <v>0</v>
      </c>
      <c r="G23" s="989" t="s">
        <v>657</v>
      </c>
      <c r="H23" s="994">
        <v>228618.59375</v>
      </c>
      <c r="I23" s="994">
        <v>-336250.40625</v>
      </c>
      <c r="J23" s="994">
        <v>-107631.8125</v>
      </c>
      <c r="K23" s="997">
        <v>-107631.81</v>
      </c>
    </row>
    <row r="24" spans="1:11" ht="45" x14ac:dyDescent="0.25">
      <c r="A24" s="989" t="s">
        <v>4874</v>
      </c>
      <c r="B24" s="993">
        <v>2018</v>
      </c>
      <c r="C24" s="989" t="s">
        <v>2999</v>
      </c>
      <c r="D24" s="989" t="s">
        <v>1870</v>
      </c>
      <c r="E24" s="989" t="s">
        <v>4890</v>
      </c>
      <c r="F24" s="994">
        <v>0</v>
      </c>
      <c r="G24" s="989" t="s">
        <v>657</v>
      </c>
      <c r="H24" s="994">
        <v>-228741.1875</v>
      </c>
      <c r="I24" s="994">
        <v>353883.625</v>
      </c>
      <c r="J24" s="994">
        <v>125142.4609375</v>
      </c>
      <c r="K24" s="997">
        <v>125142.46</v>
      </c>
    </row>
    <row r="25" spans="1:11" ht="45" x14ac:dyDescent="0.25">
      <c r="A25" s="989" t="s">
        <v>4874</v>
      </c>
      <c r="B25" s="993">
        <v>2018</v>
      </c>
      <c r="C25" s="989" t="s">
        <v>2999</v>
      </c>
      <c r="D25" s="989" t="s">
        <v>2486</v>
      </c>
      <c r="E25" s="989" t="s">
        <v>4891</v>
      </c>
      <c r="F25" s="994">
        <v>0</v>
      </c>
      <c r="G25" s="989" t="s">
        <v>657</v>
      </c>
      <c r="H25" s="994">
        <v>3858991</v>
      </c>
      <c r="I25" s="994">
        <v>77515.25</v>
      </c>
      <c r="J25" s="994">
        <v>3936506.25</v>
      </c>
      <c r="K25" s="997">
        <v>3936506.15</v>
      </c>
    </row>
    <row r="26" spans="1:11" ht="45" x14ac:dyDescent="0.25">
      <c r="A26" s="989" t="s">
        <v>4874</v>
      </c>
      <c r="B26" s="993">
        <v>2018</v>
      </c>
      <c r="C26" s="989" t="s">
        <v>2999</v>
      </c>
      <c r="D26" s="989" t="s">
        <v>4892</v>
      </c>
      <c r="E26" s="989" t="s">
        <v>5981</v>
      </c>
      <c r="F26" s="994">
        <v>0</v>
      </c>
      <c r="G26" s="989" t="s">
        <v>657</v>
      </c>
      <c r="H26" s="994">
        <v>0</v>
      </c>
      <c r="I26" s="994">
        <v>0</v>
      </c>
      <c r="J26" s="994">
        <v>0</v>
      </c>
      <c r="K26" s="997">
        <v>0</v>
      </c>
    </row>
    <row r="27" spans="1:11" ht="45" x14ac:dyDescent="0.25">
      <c r="A27" s="989" t="s">
        <v>4874</v>
      </c>
      <c r="B27" s="993">
        <v>2018</v>
      </c>
      <c r="C27" s="989" t="s">
        <v>2999</v>
      </c>
      <c r="D27" s="989" t="s">
        <v>666</v>
      </c>
      <c r="E27" s="989" t="s">
        <v>4893</v>
      </c>
      <c r="F27" s="994">
        <v>4105146.06</v>
      </c>
      <c r="G27" s="995"/>
      <c r="H27" s="996"/>
      <c r="I27" s="996"/>
      <c r="J27" s="994">
        <v>0</v>
      </c>
      <c r="K27" s="997">
        <v>4105146.06</v>
      </c>
    </row>
    <row r="28" spans="1:11" x14ac:dyDescent="0.25">
      <c r="A28" s="989" t="s">
        <v>162</v>
      </c>
      <c r="B28" s="993">
        <v>2018</v>
      </c>
      <c r="C28" s="989" t="s">
        <v>2991</v>
      </c>
      <c r="D28" s="989" t="s">
        <v>49</v>
      </c>
      <c r="E28" s="989" t="s">
        <v>667</v>
      </c>
      <c r="F28" s="994">
        <v>0</v>
      </c>
      <c r="G28" s="989" t="s">
        <v>657</v>
      </c>
      <c r="H28" s="994">
        <v>0</v>
      </c>
      <c r="I28" s="994">
        <v>0</v>
      </c>
      <c r="J28" s="994">
        <v>0</v>
      </c>
      <c r="K28" s="997">
        <v>0</v>
      </c>
    </row>
    <row r="29" spans="1:11" ht="33.75" x14ac:dyDescent="0.25">
      <c r="A29" s="989" t="s">
        <v>162</v>
      </c>
      <c r="B29" s="993">
        <v>2018</v>
      </c>
      <c r="C29" s="989" t="s">
        <v>2992</v>
      </c>
      <c r="D29" s="989" t="s">
        <v>658</v>
      </c>
      <c r="E29" s="989" t="s">
        <v>668</v>
      </c>
      <c r="F29" s="994">
        <v>-5328.94</v>
      </c>
      <c r="G29" s="989" t="s">
        <v>657</v>
      </c>
      <c r="H29" s="994">
        <v>-5312.68017578125</v>
      </c>
      <c r="I29" s="994">
        <v>-16.2600002288818</v>
      </c>
      <c r="J29" s="994">
        <v>-5328.93994140625</v>
      </c>
      <c r="K29" s="997">
        <v>-5328.94</v>
      </c>
    </row>
    <row r="30" spans="1:11" ht="22.5" x14ac:dyDescent="0.25">
      <c r="A30" s="989" t="s">
        <v>162</v>
      </c>
      <c r="B30" s="993">
        <v>2018</v>
      </c>
      <c r="C30" s="989" t="s">
        <v>2993</v>
      </c>
      <c r="D30" s="989" t="s">
        <v>464</v>
      </c>
      <c r="E30" s="989" t="s">
        <v>669</v>
      </c>
      <c r="F30" s="994">
        <v>0</v>
      </c>
      <c r="G30" s="995"/>
      <c r="H30" s="996"/>
      <c r="I30" s="996"/>
      <c r="J30" s="994">
        <v>0</v>
      </c>
      <c r="K30" s="997">
        <v>0</v>
      </c>
    </row>
    <row r="31" spans="1:11" ht="33.75" x14ac:dyDescent="0.25">
      <c r="A31" s="989" t="s">
        <v>162</v>
      </c>
      <c r="B31" s="993">
        <v>2018</v>
      </c>
      <c r="C31" s="989" t="s">
        <v>2994</v>
      </c>
      <c r="D31" s="989" t="s">
        <v>46</v>
      </c>
      <c r="E31" s="989" t="s">
        <v>670</v>
      </c>
      <c r="F31" s="994">
        <v>-554043.85</v>
      </c>
      <c r="G31" s="989" t="s">
        <v>657</v>
      </c>
      <c r="H31" s="994">
        <v>-547472.125</v>
      </c>
      <c r="I31" s="994">
        <v>-6571.72021484375</v>
      </c>
      <c r="J31" s="994">
        <v>-554043.875</v>
      </c>
      <c r="K31" s="997">
        <v>-554043.85</v>
      </c>
    </row>
    <row r="32" spans="1:11" ht="22.5" x14ac:dyDescent="0.25">
      <c r="A32" s="989" t="s">
        <v>162</v>
      </c>
      <c r="B32" s="993">
        <v>2018</v>
      </c>
      <c r="C32" s="989" t="s">
        <v>2994</v>
      </c>
      <c r="D32" s="989" t="s">
        <v>2482</v>
      </c>
      <c r="E32" s="989" t="s">
        <v>670</v>
      </c>
      <c r="F32" s="994">
        <v>0</v>
      </c>
      <c r="G32" s="995"/>
      <c r="H32" s="996"/>
      <c r="I32" s="996"/>
      <c r="J32" s="994">
        <v>0</v>
      </c>
      <c r="K32" s="997">
        <v>0</v>
      </c>
    </row>
    <row r="33" spans="1:11" ht="22.5" x14ac:dyDescent="0.25">
      <c r="A33" s="989" t="s">
        <v>162</v>
      </c>
      <c r="B33" s="993">
        <v>2018</v>
      </c>
      <c r="C33" s="989" t="s">
        <v>2994</v>
      </c>
      <c r="D33" s="989" t="s">
        <v>2483</v>
      </c>
      <c r="E33" s="989" t="s">
        <v>670</v>
      </c>
      <c r="F33" s="994">
        <v>0</v>
      </c>
      <c r="G33" s="995"/>
      <c r="H33" s="996"/>
      <c r="I33" s="996"/>
      <c r="J33" s="994">
        <v>0</v>
      </c>
      <c r="K33" s="997">
        <v>0</v>
      </c>
    </row>
    <row r="34" spans="1:11" ht="22.5" x14ac:dyDescent="0.25">
      <c r="A34" s="989" t="s">
        <v>162</v>
      </c>
      <c r="B34" s="993">
        <v>2018</v>
      </c>
      <c r="C34" s="989" t="s">
        <v>2994</v>
      </c>
      <c r="D34" s="989" t="s">
        <v>2484</v>
      </c>
      <c r="E34" s="989" t="s">
        <v>670</v>
      </c>
      <c r="F34" s="994">
        <v>47.12</v>
      </c>
      <c r="G34" s="995"/>
      <c r="H34" s="996"/>
      <c r="I34" s="996"/>
      <c r="J34" s="994">
        <v>0</v>
      </c>
      <c r="K34" s="997">
        <v>47.12</v>
      </c>
    </row>
    <row r="35" spans="1:11" ht="22.5" x14ac:dyDescent="0.25">
      <c r="A35" s="989" t="s">
        <v>162</v>
      </c>
      <c r="B35" s="993">
        <v>2018</v>
      </c>
      <c r="C35" s="989" t="s">
        <v>2994</v>
      </c>
      <c r="D35" s="989" t="s">
        <v>2485</v>
      </c>
      <c r="E35" s="989" t="s">
        <v>670</v>
      </c>
      <c r="F35" s="994">
        <v>-12029</v>
      </c>
      <c r="G35" s="995"/>
      <c r="H35" s="996"/>
      <c r="I35" s="996"/>
      <c r="J35" s="994">
        <v>0</v>
      </c>
      <c r="K35" s="997">
        <v>-12029</v>
      </c>
    </row>
    <row r="36" spans="1:11" ht="33.75" x14ac:dyDescent="0.25">
      <c r="A36" s="989" t="s">
        <v>162</v>
      </c>
      <c r="B36" s="993">
        <v>2018</v>
      </c>
      <c r="C36" s="989" t="s">
        <v>2995</v>
      </c>
      <c r="D36" s="989" t="s">
        <v>47</v>
      </c>
      <c r="E36" s="989" t="s">
        <v>671</v>
      </c>
      <c r="F36" s="994">
        <v>-130349.73</v>
      </c>
      <c r="G36" s="989" t="s">
        <v>657</v>
      </c>
      <c r="H36" s="994">
        <v>-128813.1171875</v>
      </c>
      <c r="I36" s="994">
        <v>-1536.60998535156</v>
      </c>
      <c r="J36" s="994">
        <v>-130349.7265625</v>
      </c>
      <c r="K36" s="997">
        <v>-130349.73</v>
      </c>
    </row>
    <row r="37" spans="1:11" ht="33.75" x14ac:dyDescent="0.25">
      <c r="A37" s="989" t="s">
        <v>162</v>
      </c>
      <c r="B37" s="993">
        <v>2018</v>
      </c>
      <c r="C37" s="989" t="s">
        <v>2996</v>
      </c>
      <c r="D37" s="989" t="s">
        <v>48</v>
      </c>
      <c r="E37" s="989" t="s">
        <v>672</v>
      </c>
      <c r="F37" s="994">
        <v>92296.02</v>
      </c>
      <c r="G37" s="989" t="s">
        <v>657</v>
      </c>
      <c r="H37" s="994">
        <v>91961.6015625</v>
      </c>
      <c r="I37" s="994">
        <v>334.42001342773398</v>
      </c>
      <c r="J37" s="994">
        <v>92296.0234375</v>
      </c>
      <c r="K37" s="997">
        <v>92296.02</v>
      </c>
    </row>
    <row r="38" spans="1:11" ht="33.75" x14ac:dyDescent="0.25">
      <c r="A38" s="989" t="s">
        <v>162</v>
      </c>
      <c r="B38" s="993">
        <v>2018</v>
      </c>
      <c r="C38" s="989" t="s">
        <v>2997</v>
      </c>
      <c r="D38" s="989" t="s">
        <v>50</v>
      </c>
      <c r="E38" s="989" t="s">
        <v>673</v>
      </c>
      <c r="F38" s="994">
        <v>460063.29</v>
      </c>
      <c r="G38" s="989" t="s">
        <v>657</v>
      </c>
      <c r="H38" s="994">
        <v>447036.09375</v>
      </c>
      <c r="I38" s="994">
        <v>13027.2001953125</v>
      </c>
      <c r="J38" s="994">
        <v>460063.28125</v>
      </c>
      <c r="K38" s="997">
        <v>460063.29</v>
      </c>
    </row>
    <row r="39" spans="1:11" ht="22.5" x14ac:dyDescent="0.25">
      <c r="A39" s="989" t="s">
        <v>162</v>
      </c>
      <c r="B39" s="993">
        <v>2018</v>
      </c>
      <c r="C39" s="989" t="s">
        <v>2998</v>
      </c>
      <c r="D39" s="989" t="s">
        <v>348</v>
      </c>
      <c r="E39" s="989" t="s">
        <v>674</v>
      </c>
      <c r="F39" s="994">
        <v>528977.49</v>
      </c>
      <c r="G39" s="989" t="s">
        <v>657</v>
      </c>
      <c r="H39" s="994">
        <v>530966.75</v>
      </c>
      <c r="I39" s="994">
        <v>-1989.2900390625</v>
      </c>
      <c r="J39" s="994">
        <v>528977.5</v>
      </c>
      <c r="K39" s="997">
        <v>528977.49</v>
      </c>
    </row>
    <row r="40" spans="1:11" ht="45" x14ac:dyDescent="0.25">
      <c r="A40" s="989" t="s">
        <v>162</v>
      </c>
      <c r="B40" s="993">
        <v>2018</v>
      </c>
      <c r="C40" s="989" t="s">
        <v>2999</v>
      </c>
      <c r="D40" s="989" t="s">
        <v>659</v>
      </c>
      <c r="E40" s="989" t="s">
        <v>1131</v>
      </c>
      <c r="F40" s="994">
        <v>0</v>
      </c>
      <c r="G40" s="989" t="s">
        <v>657</v>
      </c>
      <c r="H40" s="994">
        <v>0</v>
      </c>
      <c r="I40" s="994">
        <v>0</v>
      </c>
      <c r="J40" s="994">
        <v>0</v>
      </c>
      <c r="K40" s="997">
        <v>0</v>
      </c>
    </row>
    <row r="41" spans="1:11" ht="45" x14ac:dyDescent="0.25">
      <c r="A41" s="989" t="s">
        <v>162</v>
      </c>
      <c r="B41" s="993">
        <v>2018</v>
      </c>
      <c r="C41" s="989" t="s">
        <v>2999</v>
      </c>
      <c r="D41" s="989" t="s">
        <v>660</v>
      </c>
      <c r="E41" s="989" t="s">
        <v>1132</v>
      </c>
      <c r="F41" s="994">
        <v>0</v>
      </c>
      <c r="G41" s="989" t="s">
        <v>657</v>
      </c>
      <c r="H41" s="994">
        <v>0</v>
      </c>
      <c r="I41" s="994">
        <v>0</v>
      </c>
      <c r="J41" s="994">
        <v>0</v>
      </c>
      <c r="K41" s="997">
        <v>0</v>
      </c>
    </row>
    <row r="42" spans="1:11" ht="45" x14ac:dyDescent="0.25">
      <c r="A42" s="989" t="s">
        <v>162</v>
      </c>
      <c r="B42" s="993">
        <v>2018</v>
      </c>
      <c r="C42" s="989" t="s">
        <v>2999</v>
      </c>
      <c r="D42" s="989" t="s">
        <v>661</v>
      </c>
      <c r="E42" s="989" t="s">
        <v>1133</v>
      </c>
      <c r="F42" s="994">
        <v>0</v>
      </c>
      <c r="G42" s="989" t="s">
        <v>657</v>
      </c>
      <c r="H42" s="994">
        <v>983879</v>
      </c>
      <c r="I42" s="994">
        <v>0</v>
      </c>
      <c r="J42" s="994">
        <v>983879</v>
      </c>
      <c r="K42" s="997">
        <v>983879.01</v>
      </c>
    </row>
    <row r="43" spans="1:11" ht="45" x14ac:dyDescent="0.25">
      <c r="A43" s="989" t="s">
        <v>162</v>
      </c>
      <c r="B43" s="993">
        <v>2018</v>
      </c>
      <c r="C43" s="989" t="s">
        <v>2999</v>
      </c>
      <c r="D43" s="989" t="s">
        <v>662</v>
      </c>
      <c r="E43" s="989" t="s">
        <v>1134</v>
      </c>
      <c r="F43" s="994">
        <v>0</v>
      </c>
      <c r="G43" s="989" t="s">
        <v>657</v>
      </c>
      <c r="H43" s="994">
        <v>0</v>
      </c>
      <c r="I43" s="994">
        <v>0</v>
      </c>
      <c r="J43" s="994">
        <v>0</v>
      </c>
      <c r="K43" s="997">
        <v>0</v>
      </c>
    </row>
    <row r="44" spans="1:11" ht="45" x14ac:dyDescent="0.25">
      <c r="A44" s="989" t="s">
        <v>162</v>
      </c>
      <c r="B44" s="993">
        <v>2018</v>
      </c>
      <c r="C44" s="989" t="s">
        <v>2999</v>
      </c>
      <c r="D44" s="989" t="s">
        <v>663</v>
      </c>
      <c r="E44" s="989" t="s">
        <v>1135</v>
      </c>
      <c r="F44" s="994">
        <v>0</v>
      </c>
      <c r="G44" s="989" t="s">
        <v>657</v>
      </c>
      <c r="H44" s="994">
        <v>0</v>
      </c>
      <c r="I44" s="994">
        <v>0</v>
      </c>
      <c r="J44" s="994">
        <v>0</v>
      </c>
      <c r="K44" s="997">
        <v>0</v>
      </c>
    </row>
    <row r="45" spans="1:11" ht="45" x14ac:dyDescent="0.25">
      <c r="A45" s="989" t="s">
        <v>162</v>
      </c>
      <c r="B45" s="993">
        <v>2018</v>
      </c>
      <c r="C45" s="989" t="s">
        <v>2999</v>
      </c>
      <c r="D45" s="989" t="s">
        <v>664</v>
      </c>
      <c r="E45" s="989" t="s">
        <v>1136</v>
      </c>
      <c r="F45" s="994">
        <v>0</v>
      </c>
      <c r="G45" s="989" t="s">
        <v>657</v>
      </c>
      <c r="H45" s="994">
        <v>0</v>
      </c>
      <c r="I45" s="994">
        <v>0</v>
      </c>
      <c r="J45" s="994">
        <v>0</v>
      </c>
      <c r="K45" s="997">
        <v>0</v>
      </c>
    </row>
    <row r="46" spans="1:11" ht="45" x14ac:dyDescent="0.25">
      <c r="A46" s="989" t="s">
        <v>162</v>
      </c>
      <c r="B46" s="993">
        <v>2018</v>
      </c>
      <c r="C46" s="989" t="s">
        <v>2999</v>
      </c>
      <c r="D46" s="989" t="s">
        <v>665</v>
      </c>
      <c r="E46" s="989" t="s">
        <v>1137</v>
      </c>
      <c r="F46" s="994">
        <v>0</v>
      </c>
      <c r="G46" s="989" t="s">
        <v>657</v>
      </c>
      <c r="H46" s="994">
        <v>0</v>
      </c>
      <c r="I46" s="994">
        <v>0</v>
      </c>
      <c r="J46" s="994">
        <v>0</v>
      </c>
      <c r="K46" s="997">
        <v>0</v>
      </c>
    </row>
    <row r="47" spans="1:11" ht="45" x14ac:dyDescent="0.25">
      <c r="A47" s="989" t="s">
        <v>162</v>
      </c>
      <c r="B47" s="993">
        <v>2018</v>
      </c>
      <c r="C47" s="989" t="s">
        <v>2999</v>
      </c>
      <c r="D47" s="989" t="s">
        <v>1870</v>
      </c>
      <c r="E47" s="989" t="s">
        <v>2283</v>
      </c>
      <c r="F47" s="994">
        <v>0</v>
      </c>
      <c r="G47" s="989" t="s">
        <v>657</v>
      </c>
      <c r="H47" s="994">
        <v>8785.7802734375</v>
      </c>
      <c r="I47" s="994">
        <v>693.07000732421898</v>
      </c>
      <c r="J47" s="994">
        <v>9478.849609375</v>
      </c>
      <c r="K47" s="997">
        <v>9478.85</v>
      </c>
    </row>
    <row r="48" spans="1:11" ht="45" x14ac:dyDescent="0.25">
      <c r="A48" s="989" t="s">
        <v>162</v>
      </c>
      <c r="B48" s="993">
        <v>2018</v>
      </c>
      <c r="C48" s="989" t="s">
        <v>2999</v>
      </c>
      <c r="D48" s="989" t="s">
        <v>2486</v>
      </c>
      <c r="E48" s="989" t="s">
        <v>2487</v>
      </c>
      <c r="F48" s="994">
        <v>0</v>
      </c>
      <c r="G48" s="989" t="s">
        <v>657</v>
      </c>
      <c r="H48" s="994">
        <v>0</v>
      </c>
      <c r="I48" s="994">
        <v>0</v>
      </c>
      <c r="J48" s="994">
        <v>0</v>
      </c>
      <c r="K48" s="997">
        <v>0</v>
      </c>
    </row>
    <row r="49" spans="1:11" ht="45" x14ac:dyDescent="0.25">
      <c r="A49" s="989" t="s">
        <v>162</v>
      </c>
      <c r="B49" s="993">
        <v>2018</v>
      </c>
      <c r="C49" s="989" t="s">
        <v>2999</v>
      </c>
      <c r="D49" s="989" t="s">
        <v>4892</v>
      </c>
      <c r="E49" s="989" t="s">
        <v>5982</v>
      </c>
      <c r="F49" s="994">
        <v>0</v>
      </c>
      <c r="G49" s="989" t="s">
        <v>657</v>
      </c>
      <c r="H49" s="994">
        <v>-226908.453125</v>
      </c>
      <c r="I49" s="994">
        <v>182404.65625</v>
      </c>
      <c r="J49" s="994">
        <v>-44503.80078125</v>
      </c>
      <c r="K49" s="997">
        <v>-44503.8</v>
      </c>
    </row>
    <row r="50" spans="1:11" ht="45" x14ac:dyDescent="0.25">
      <c r="A50" s="989" t="s">
        <v>162</v>
      </c>
      <c r="B50" s="993">
        <v>2018</v>
      </c>
      <c r="C50" s="989" t="s">
        <v>2999</v>
      </c>
      <c r="D50" s="989" t="s">
        <v>666</v>
      </c>
      <c r="E50" s="989" t="s">
        <v>1537</v>
      </c>
      <c r="F50" s="994">
        <v>948854.06</v>
      </c>
      <c r="G50" s="995"/>
      <c r="H50" s="996"/>
      <c r="I50" s="996"/>
      <c r="J50" s="994">
        <v>0</v>
      </c>
      <c r="K50" s="997">
        <v>948854.06</v>
      </c>
    </row>
    <row r="51" spans="1:11" x14ac:dyDescent="0.25">
      <c r="A51" s="989" t="s">
        <v>199</v>
      </c>
      <c r="B51" s="993">
        <v>2018</v>
      </c>
      <c r="C51" s="989" t="s">
        <v>2991</v>
      </c>
      <c r="D51" s="989" t="s">
        <v>49</v>
      </c>
      <c r="E51" s="989" t="s">
        <v>675</v>
      </c>
      <c r="F51" s="994">
        <v>0</v>
      </c>
      <c r="G51" s="989" t="s">
        <v>657</v>
      </c>
      <c r="H51" s="996"/>
      <c r="I51" s="996"/>
      <c r="J51" s="994">
        <v>0</v>
      </c>
      <c r="K51" s="997">
        <v>0</v>
      </c>
    </row>
    <row r="52" spans="1:11" ht="33.75" x14ac:dyDescent="0.25">
      <c r="A52" s="989" t="s">
        <v>199</v>
      </c>
      <c r="B52" s="993">
        <v>2018</v>
      </c>
      <c r="C52" s="989" t="s">
        <v>2992</v>
      </c>
      <c r="D52" s="989" t="s">
        <v>658</v>
      </c>
      <c r="E52" s="989" t="s">
        <v>676</v>
      </c>
      <c r="F52" s="994">
        <v>172.79</v>
      </c>
      <c r="G52" s="989" t="s">
        <v>657</v>
      </c>
      <c r="H52" s="994">
        <v>172.78999328613301</v>
      </c>
      <c r="I52" s="994">
        <v>0</v>
      </c>
      <c r="J52" s="994">
        <v>172.78999328613301</v>
      </c>
      <c r="K52" s="997">
        <v>172.79</v>
      </c>
    </row>
    <row r="53" spans="1:11" ht="22.5" x14ac:dyDescent="0.25">
      <c r="A53" s="989" t="s">
        <v>199</v>
      </c>
      <c r="B53" s="993">
        <v>2018</v>
      </c>
      <c r="C53" s="989" t="s">
        <v>2993</v>
      </c>
      <c r="D53" s="989" t="s">
        <v>464</v>
      </c>
      <c r="E53" s="989" t="s">
        <v>677</v>
      </c>
      <c r="F53" s="994">
        <v>0</v>
      </c>
      <c r="G53" s="995"/>
      <c r="H53" s="996"/>
      <c r="I53" s="996"/>
      <c r="J53" s="994">
        <v>0</v>
      </c>
      <c r="K53" s="997">
        <v>0</v>
      </c>
    </row>
    <row r="54" spans="1:11" ht="33.75" x14ac:dyDescent="0.25">
      <c r="A54" s="989" t="s">
        <v>199</v>
      </c>
      <c r="B54" s="993">
        <v>2018</v>
      </c>
      <c r="C54" s="989" t="s">
        <v>2994</v>
      </c>
      <c r="D54" s="989" t="s">
        <v>46</v>
      </c>
      <c r="E54" s="989" t="s">
        <v>678</v>
      </c>
      <c r="F54" s="994">
        <v>-77505.03</v>
      </c>
      <c r="G54" s="989" t="s">
        <v>657</v>
      </c>
      <c r="H54" s="994">
        <v>-76476.8828125</v>
      </c>
      <c r="I54" s="994">
        <v>-1028.15002441406</v>
      </c>
      <c r="J54" s="994">
        <v>-77505.03125</v>
      </c>
      <c r="K54" s="997">
        <v>-77505.03</v>
      </c>
    </row>
    <row r="55" spans="1:11" ht="22.5" x14ac:dyDescent="0.25">
      <c r="A55" s="989" t="s">
        <v>199</v>
      </c>
      <c r="B55" s="993">
        <v>2018</v>
      </c>
      <c r="C55" s="989" t="s">
        <v>2994</v>
      </c>
      <c r="D55" s="989" t="s">
        <v>2482</v>
      </c>
      <c r="E55" s="989" t="s">
        <v>678</v>
      </c>
      <c r="F55" s="994">
        <v>0</v>
      </c>
      <c r="G55" s="995"/>
      <c r="H55" s="996"/>
      <c r="I55" s="996"/>
      <c r="J55" s="994">
        <v>0</v>
      </c>
      <c r="K55" s="997">
        <v>0</v>
      </c>
    </row>
    <row r="56" spans="1:11" ht="22.5" x14ac:dyDescent="0.25">
      <c r="A56" s="989" t="s">
        <v>199</v>
      </c>
      <c r="B56" s="993">
        <v>2018</v>
      </c>
      <c r="C56" s="989" t="s">
        <v>2994</v>
      </c>
      <c r="D56" s="989" t="s">
        <v>2483</v>
      </c>
      <c r="E56" s="989" t="s">
        <v>678</v>
      </c>
      <c r="F56" s="994">
        <v>0</v>
      </c>
      <c r="G56" s="995"/>
      <c r="H56" s="996"/>
      <c r="I56" s="996"/>
      <c r="J56" s="994">
        <v>0</v>
      </c>
      <c r="K56" s="997">
        <v>0</v>
      </c>
    </row>
    <row r="57" spans="1:11" ht="22.5" x14ac:dyDescent="0.25">
      <c r="A57" s="989" t="s">
        <v>199</v>
      </c>
      <c r="B57" s="993">
        <v>2018</v>
      </c>
      <c r="C57" s="989" t="s">
        <v>2994</v>
      </c>
      <c r="D57" s="989" t="s">
        <v>2484</v>
      </c>
      <c r="E57" s="989" t="s">
        <v>678</v>
      </c>
      <c r="F57" s="994">
        <v>198.63</v>
      </c>
      <c r="G57" s="995"/>
      <c r="H57" s="996"/>
      <c r="I57" s="996"/>
      <c r="J57" s="994">
        <v>0</v>
      </c>
      <c r="K57" s="997">
        <v>198.63</v>
      </c>
    </row>
    <row r="58" spans="1:11" ht="22.5" x14ac:dyDescent="0.25">
      <c r="A58" s="989" t="s">
        <v>199</v>
      </c>
      <c r="B58" s="993">
        <v>2018</v>
      </c>
      <c r="C58" s="989" t="s">
        <v>2994</v>
      </c>
      <c r="D58" s="989" t="s">
        <v>2485</v>
      </c>
      <c r="E58" s="989" t="s">
        <v>678</v>
      </c>
      <c r="F58" s="994">
        <v>7488.53</v>
      </c>
      <c r="G58" s="995"/>
      <c r="H58" s="996"/>
      <c r="I58" s="996"/>
      <c r="J58" s="994">
        <v>0</v>
      </c>
      <c r="K58" s="997">
        <v>7488.53</v>
      </c>
    </row>
    <row r="59" spans="1:11" ht="33.75" x14ac:dyDescent="0.25">
      <c r="A59" s="989" t="s">
        <v>199</v>
      </c>
      <c r="B59" s="993">
        <v>2018</v>
      </c>
      <c r="C59" s="989" t="s">
        <v>2995</v>
      </c>
      <c r="D59" s="989" t="s">
        <v>47</v>
      </c>
      <c r="E59" s="989" t="s">
        <v>679</v>
      </c>
      <c r="F59" s="994">
        <v>55031.6</v>
      </c>
      <c r="G59" s="989" t="s">
        <v>657</v>
      </c>
      <c r="H59" s="994">
        <v>54438.94921875</v>
      </c>
      <c r="I59" s="994">
        <v>592.65002441406295</v>
      </c>
      <c r="J59" s="994">
        <v>55031.6015625</v>
      </c>
      <c r="K59" s="997">
        <v>55031.6</v>
      </c>
    </row>
    <row r="60" spans="1:11" ht="33.75" x14ac:dyDescent="0.25">
      <c r="A60" s="989" t="s">
        <v>199</v>
      </c>
      <c r="B60" s="993">
        <v>2018</v>
      </c>
      <c r="C60" s="989" t="s">
        <v>2996</v>
      </c>
      <c r="D60" s="989" t="s">
        <v>48</v>
      </c>
      <c r="E60" s="989" t="s">
        <v>680</v>
      </c>
      <c r="F60" s="994">
        <v>19212.84</v>
      </c>
      <c r="G60" s="989" t="s">
        <v>657</v>
      </c>
      <c r="H60" s="994">
        <v>19008.240234375</v>
      </c>
      <c r="I60" s="994">
        <v>204.60000610351599</v>
      </c>
      <c r="J60" s="994">
        <v>19212.83984375</v>
      </c>
      <c r="K60" s="997">
        <v>19212.84</v>
      </c>
    </row>
    <row r="61" spans="1:11" ht="33.75" x14ac:dyDescent="0.25">
      <c r="A61" s="989" t="s">
        <v>199</v>
      </c>
      <c r="B61" s="993">
        <v>2018</v>
      </c>
      <c r="C61" s="989" t="s">
        <v>2997</v>
      </c>
      <c r="D61" s="989" t="s">
        <v>50</v>
      </c>
      <c r="E61" s="989" t="s">
        <v>681</v>
      </c>
      <c r="F61" s="994">
        <v>-202983.83</v>
      </c>
      <c r="G61" s="989" t="s">
        <v>657</v>
      </c>
      <c r="H61" s="994">
        <v>-201934.09375</v>
      </c>
      <c r="I61" s="994">
        <v>-1049.73999023438</v>
      </c>
      <c r="J61" s="994">
        <v>-202983.828125</v>
      </c>
      <c r="K61" s="997">
        <v>-202983.83</v>
      </c>
    </row>
    <row r="62" spans="1:11" ht="22.5" x14ac:dyDescent="0.25">
      <c r="A62" s="989" t="s">
        <v>199</v>
      </c>
      <c r="B62" s="993">
        <v>2018</v>
      </c>
      <c r="C62" s="989" t="s">
        <v>2998</v>
      </c>
      <c r="D62" s="989" t="s">
        <v>348</v>
      </c>
      <c r="E62" s="989" t="s">
        <v>682</v>
      </c>
      <c r="F62" s="994">
        <v>261709.28</v>
      </c>
      <c r="G62" s="989" t="s">
        <v>657</v>
      </c>
      <c r="H62" s="994">
        <v>261583.4375</v>
      </c>
      <c r="I62" s="994">
        <v>125.83999633789099</v>
      </c>
      <c r="J62" s="994">
        <v>261709.28125</v>
      </c>
      <c r="K62" s="997">
        <v>261709.28</v>
      </c>
    </row>
    <row r="63" spans="1:11" ht="45" x14ac:dyDescent="0.25">
      <c r="A63" s="989" t="s">
        <v>199</v>
      </c>
      <c r="B63" s="993">
        <v>2018</v>
      </c>
      <c r="C63" s="989" t="s">
        <v>2999</v>
      </c>
      <c r="D63" s="989" t="s">
        <v>659</v>
      </c>
      <c r="E63" s="989" t="s">
        <v>1138</v>
      </c>
      <c r="F63" s="994">
        <v>0</v>
      </c>
      <c r="G63" s="989" t="s">
        <v>657</v>
      </c>
      <c r="H63" s="996"/>
      <c r="I63" s="996"/>
      <c r="J63" s="994">
        <v>0</v>
      </c>
      <c r="K63" s="997">
        <v>0</v>
      </c>
    </row>
    <row r="64" spans="1:11" ht="45" x14ac:dyDescent="0.25">
      <c r="A64" s="989" t="s">
        <v>199</v>
      </c>
      <c r="B64" s="993">
        <v>2018</v>
      </c>
      <c r="C64" s="989" t="s">
        <v>2999</v>
      </c>
      <c r="D64" s="989" t="s">
        <v>660</v>
      </c>
      <c r="E64" s="989" t="s">
        <v>1139</v>
      </c>
      <c r="F64" s="994">
        <v>0</v>
      </c>
      <c r="G64" s="989" t="s">
        <v>657</v>
      </c>
      <c r="H64" s="996"/>
      <c r="I64" s="996"/>
      <c r="J64" s="994">
        <v>0</v>
      </c>
      <c r="K64" s="997">
        <v>0</v>
      </c>
    </row>
    <row r="65" spans="1:11" ht="45" x14ac:dyDescent="0.25">
      <c r="A65" s="989" t="s">
        <v>199</v>
      </c>
      <c r="B65" s="993">
        <v>2018</v>
      </c>
      <c r="C65" s="989" t="s">
        <v>2999</v>
      </c>
      <c r="D65" s="989" t="s">
        <v>661</v>
      </c>
      <c r="E65" s="989" t="s">
        <v>1140</v>
      </c>
      <c r="F65" s="994">
        <v>0</v>
      </c>
      <c r="G65" s="989" t="s">
        <v>657</v>
      </c>
      <c r="H65" s="996"/>
      <c r="I65" s="996"/>
      <c r="J65" s="994">
        <v>0</v>
      </c>
      <c r="K65" s="997">
        <v>0</v>
      </c>
    </row>
    <row r="66" spans="1:11" ht="45" x14ac:dyDescent="0.25">
      <c r="A66" s="989" t="s">
        <v>199</v>
      </c>
      <c r="B66" s="993">
        <v>2018</v>
      </c>
      <c r="C66" s="989" t="s">
        <v>2999</v>
      </c>
      <c r="D66" s="989" t="s">
        <v>662</v>
      </c>
      <c r="E66" s="989" t="s">
        <v>1141</v>
      </c>
      <c r="F66" s="994">
        <v>0</v>
      </c>
      <c r="G66" s="989" t="s">
        <v>657</v>
      </c>
      <c r="H66" s="996"/>
      <c r="I66" s="996"/>
      <c r="J66" s="994">
        <v>0</v>
      </c>
      <c r="K66" s="997">
        <v>0</v>
      </c>
    </row>
    <row r="67" spans="1:11" ht="45" x14ac:dyDescent="0.25">
      <c r="A67" s="989" t="s">
        <v>199</v>
      </c>
      <c r="B67" s="993">
        <v>2018</v>
      </c>
      <c r="C67" s="989" t="s">
        <v>2999</v>
      </c>
      <c r="D67" s="989" t="s">
        <v>663</v>
      </c>
      <c r="E67" s="989" t="s">
        <v>1142</v>
      </c>
      <c r="F67" s="994">
        <v>0</v>
      </c>
      <c r="G67" s="989" t="s">
        <v>657</v>
      </c>
      <c r="H67" s="994">
        <v>-17117.19921875</v>
      </c>
      <c r="I67" s="994">
        <v>2248.69995117188</v>
      </c>
      <c r="J67" s="994">
        <v>-14868.5</v>
      </c>
      <c r="K67" s="997">
        <v>-14868.5</v>
      </c>
    </row>
    <row r="68" spans="1:11" ht="45" x14ac:dyDescent="0.25">
      <c r="A68" s="989" t="s">
        <v>199</v>
      </c>
      <c r="B68" s="993">
        <v>2018</v>
      </c>
      <c r="C68" s="989" t="s">
        <v>2999</v>
      </c>
      <c r="D68" s="989" t="s">
        <v>664</v>
      </c>
      <c r="E68" s="989" t="s">
        <v>1143</v>
      </c>
      <c r="F68" s="994">
        <v>0</v>
      </c>
      <c r="G68" s="989" t="s">
        <v>657</v>
      </c>
      <c r="H68" s="996"/>
      <c r="I68" s="996"/>
      <c r="J68" s="994">
        <v>0</v>
      </c>
      <c r="K68" s="997">
        <v>0</v>
      </c>
    </row>
    <row r="69" spans="1:11" ht="45" x14ac:dyDescent="0.25">
      <c r="A69" s="989" t="s">
        <v>199</v>
      </c>
      <c r="B69" s="993">
        <v>2018</v>
      </c>
      <c r="C69" s="989" t="s">
        <v>2999</v>
      </c>
      <c r="D69" s="989" t="s">
        <v>665</v>
      </c>
      <c r="E69" s="989" t="s">
        <v>1144</v>
      </c>
      <c r="F69" s="994">
        <v>0</v>
      </c>
      <c r="G69" s="989" t="s">
        <v>657</v>
      </c>
      <c r="H69" s="996"/>
      <c r="I69" s="996"/>
      <c r="J69" s="994">
        <v>0</v>
      </c>
      <c r="K69" s="997">
        <v>0</v>
      </c>
    </row>
    <row r="70" spans="1:11" ht="45" x14ac:dyDescent="0.25">
      <c r="A70" s="989" t="s">
        <v>199</v>
      </c>
      <c r="B70" s="993">
        <v>2018</v>
      </c>
      <c r="C70" s="989" t="s">
        <v>2999</v>
      </c>
      <c r="D70" s="989" t="s">
        <v>1870</v>
      </c>
      <c r="E70" s="989" t="s">
        <v>2284</v>
      </c>
      <c r="F70" s="994">
        <v>0</v>
      </c>
      <c r="G70" s="989" t="s">
        <v>657</v>
      </c>
      <c r="H70" s="994">
        <v>-192858.546875</v>
      </c>
      <c r="I70" s="994">
        <v>-2993.25</v>
      </c>
      <c r="J70" s="994">
        <v>-195851.796875</v>
      </c>
      <c r="K70" s="997">
        <v>-195851.79</v>
      </c>
    </row>
    <row r="71" spans="1:11" ht="45" x14ac:dyDescent="0.25">
      <c r="A71" s="989" t="s">
        <v>199</v>
      </c>
      <c r="B71" s="993">
        <v>2018</v>
      </c>
      <c r="C71" s="989" t="s">
        <v>2999</v>
      </c>
      <c r="D71" s="989" t="s">
        <v>2486</v>
      </c>
      <c r="E71" s="989" t="s">
        <v>2488</v>
      </c>
      <c r="F71" s="994">
        <v>0</v>
      </c>
      <c r="G71" s="989" t="s">
        <v>657</v>
      </c>
      <c r="H71" s="994">
        <v>-5010.35009765625</v>
      </c>
      <c r="I71" s="994">
        <v>-175.02000427246099</v>
      </c>
      <c r="J71" s="994">
        <v>-5185.3701171875</v>
      </c>
      <c r="K71" s="997">
        <v>-5185.37</v>
      </c>
    </row>
    <row r="72" spans="1:11" ht="45" x14ac:dyDescent="0.25">
      <c r="A72" s="989" t="s">
        <v>199</v>
      </c>
      <c r="B72" s="993">
        <v>2018</v>
      </c>
      <c r="C72" s="989" t="s">
        <v>2999</v>
      </c>
      <c r="D72" s="989" t="s">
        <v>4892</v>
      </c>
      <c r="E72" s="989" t="s">
        <v>5983</v>
      </c>
      <c r="F72" s="994">
        <v>0</v>
      </c>
      <c r="G72" s="989" t="s">
        <v>657</v>
      </c>
      <c r="H72" s="994">
        <v>22891.220703125</v>
      </c>
      <c r="I72" s="994">
        <v>218.05999755859401</v>
      </c>
      <c r="J72" s="994">
        <v>23109.279296875</v>
      </c>
      <c r="K72" s="997">
        <v>23109.279999999999</v>
      </c>
    </row>
    <row r="73" spans="1:11" ht="45" x14ac:dyDescent="0.25">
      <c r="A73" s="989" t="s">
        <v>199</v>
      </c>
      <c r="B73" s="993">
        <v>2018</v>
      </c>
      <c r="C73" s="989" t="s">
        <v>2999</v>
      </c>
      <c r="D73" s="989" t="s">
        <v>666</v>
      </c>
      <c r="E73" s="989" t="s">
        <v>1538</v>
      </c>
      <c r="F73" s="994">
        <v>-192796.38</v>
      </c>
      <c r="G73" s="995"/>
      <c r="H73" s="996"/>
      <c r="I73" s="996"/>
      <c r="J73" s="994">
        <v>0</v>
      </c>
      <c r="K73" s="997">
        <v>-192796.38</v>
      </c>
    </row>
    <row r="74" spans="1:11" ht="22.5" x14ac:dyDescent="0.25">
      <c r="A74" s="989" t="s">
        <v>236</v>
      </c>
      <c r="B74" s="993">
        <v>2018</v>
      </c>
      <c r="C74" s="989" t="s">
        <v>2991</v>
      </c>
      <c r="D74" s="989" t="s">
        <v>49</v>
      </c>
      <c r="E74" s="989" t="s">
        <v>683</v>
      </c>
      <c r="F74" s="994">
        <v>182510.84</v>
      </c>
      <c r="G74" s="989" t="s">
        <v>657</v>
      </c>
      <c r="H74" s="994">
        <v>180599</v>
      </c>
      <c r="I74" s="994">
        <v>1911.83996582031</v>
      </c>
      <c r="J74" s="994">
        <v>182510.84375</v>
      </c>
      <c r="K74" s="997">
        <v>182510.84</v>
      </c>
    </row>
    <row r="75" spans="1:11" ht="33.75" x14ac:dyDescent="0.25">
      <c r="A75" s="989" t="s">
        <v>236</v>
      </c>
      <c r="B75" s="993">
        <v>2018</v>
      </c>
      <c r="C75" s="989" t="s">
        <v>2992</v>
      </c>
      <c r="D75" s="989" t="s">
        <v>658</v>
      </c>
      <c r="E75" s="989" t="s">
        <v>684</v>
      </c>
      <c r="F75" s="994">
        <v>-5064.38</v>
      </c>
      <c r="G75" s="989" t="s">
        <v>657</v>
      </c>
      <c r="H75" s="994">
        <v>-4887</v>
      </c>
      <c r="I75" s="994">
        <v>-177.38000488281301</v>
      </c>
      <c r="J75" s="994">
        <v>-5064.3798828125</v>
      </c>
      <c r="K75" s="997">
        <v>-5064.38</v>
      </c>
    </row>
    <row r="76" spans="1:11" ht="22.5" x14ac:dyDescent="0.25">
      <c r="A76" s="989" t="s">
        <v>236</v>
      </c>
      <c r="B76" s="993">
        <v>2018</v>
      </c>
      <c r="C76" s="989" t="s">
        <v>2993</v>
      </c>
      <c r="D76" s="989" t="s">
        <v>464</v>
      </c>
      <c r="E76" s="989" t="s">
        <v>685</v>
      </c>
      <c r="F76" s="994">
        <v>0</v>
      </c>
      <c r="G76" s="995"/>
      <c r="H76" s="996"/>
      <c r="I76" s="996"/>
      <c r="J76" s="994">
        <v>0</v>
      </c>
      <c r="K76" s="997">
        <v>0</v>
      </c>
    </row>
    <row r="77" spans="1:11" ht="33.75" x14ac:dyDescent="0.25">
      <c r="A77" s="989" t="s">
        <v>236</v>
      </c>
      <c r="B77" s="993">
        <v>2018</v>
      </c>
      <c r="C77" s="989" t="s">
        <v>2994</v>
      </c>
      <c r="D77" s="989" t="s">
        <v>46</v>
      </c>
      <c r="E77" s="989" t="s">
        <v>686</v>
      </c>
      <c r="F77" s="994">
        <v>-2259607.2200000002</v>
      </c>
      <c r="G77" s="989" t="s">
        <v>657</v>
      </c>
      <c r="H77" s="994">
        <v>-2227545</v>
      </c>
      <c r="I77" s="994">
        <v>-32062.220703125</v>
      </c>
      <c r="J77" s="994">
        <v>-2259607.25</v>
      </c>
      <c r="K77" s="997">
        <v>-2259607.2200000002</v>
      </c>
    </row>
    <row r="78" spans="1:11" ht="22.5" x14ac:dyDescent="0.25">
      <c r="A78" s="989" t="s">
        <v>236</v>
      </c>
      <c r="B78" s="993">
        <v>2018</v>
      </c>
      <c r="C78" s="989" t="s">
        <v>2994</v>
      </c>
      <c r="D78" s="989" t="s">
        <v>2482</v>
      </c>
      <c r="E78" s="989" t="s">
        <v>686</v>
      </c>
      <c r="F78" s="994">
        <v>0</v>
      </c>
      <c r="G78" s="995"/>
      <c r="H78" s="996"/>
      <c r="I78" s="996"/>
      <c r="J78" s="994">
        <v>0</v>
      </c>
      <c r="K78" s="997">
        <v>0</v>
      </c>
    </row>
    <row r="79" spans="1:11" ht="22.5" x14ac:dyDescent="0.25">
      <c r="A79" s="989" t="s">
        <v>236</v>
      </c>
      <c r="B79" s="993">
        <v>2018</v>
      </c>
      <c r="C79" s="989" t="s">
        <v>2994</v>
      </c>
      <c r="D79" s="989" t="s">
        <v>2483</v>
      </c>
      <c r="E79" s="989" t="s">
        <v>686</v>
      </c>
      <c r="F79" s="994">
        <v>0</v>
      </c>
      <c r="G79" s="995"/>
      <c r="H79" s="996"/>
      <c r="I79" s="996"/>
      <c r="J79" s="994">
        <v>0</v>
      </c>
      <c r="K79" s="997">
        <v>0</v>
      </c>
    </row>
    <row r="80" spans="1:11" ht="22.5" x14ac:dyDescent="0.25">
      <c r="A80" s="989" t="s">
        <v>236</v>
      </c>
      <c r="B80" s="993">
        <v>2018</v>
      </c>
      <c r="C80" s="989" t="s">
        <v>2994</v>
      </c>
      <c r="D80" s="989" t="s">
        <v>2484</v>
      </c>
      <c r="E80" s="989" t="s">
        <v>686</v>
      </c>
      <c r="F80" s="994">
        <v>1205</v>
      </c>
      <c r="G80" s="995"/>
      <c r="H80" s="996"/>
      <c r="I80" s="996"/>
      <c r="J80" s="994">
        <v>0</v>
      </c>
      <c r="K80" s="997">
        <v>1205</v>
      </c>
    </row>
    <row r="81" spans="1:11" ht="22.5" x14ac:dyDescent="0.25">
      <c r="A81" s="989" t="s">
        <v>236</v>
      </c>
      <c r="B81" s="993">
        <v>2018</v>
      </c>
      <c r="C81" s="989" t="s">
        <v>2994</v>
      </c>
      <c r="D81" s="989" t="s">
        <v>2485</v>
      </c>
      <c r="E81" s="989" t="s">
        <v>686</v>
      </c>
      <c r="F81" s="994">
        <v>18707</v>
      </c>
      <c r="G81" s="995"/>
      <c r="H81" s="996"/>
      <c r="I81" s="996"/>
      <c r="J81" s="994">
        <v>0</v>
      </c>
      <c r="K81" s="997">
        <v>18707</v>
      </c>
    </row>
    <row r="82" spans="1:11" ht="33.75" x14ac:dyDescent="0.25">
      <c r="A82" s="989" t="s">
        <v>236</v>
      </c>
      <c r="B82" s="993">
        <v>2018</v>
      </c>
      <c r="C82" s="989" t="s">
        <v>2995</v>
      </c>
      <c r="D82" s="989" t="s">
        <v>47</v>
      </c>
      <c r="E82" s="989" t="s">
        <v>687</v>
      </c>
      <c r="F82" s="994">
        <v>167347.56</v>
      </c>
      <c r="G82" s="989" t="s">
        <v>657</v>
      </c>
      <c r="H82" s="994">
        <v>164857</v>
      </c>
      <c r="I82" s="994">
        <v>2490.56005859375</v>
      </c>
      <c r="J82" s="994">
        <v>167347.5625</v>
      </c>
      <c r="K82" s="997">
        <v>167347.56</v>
      </c>
    </row>
    <row r="83" spans="1:11" ht="33.75" x14ac:dyDescent="0.25">
      <c r="A83" s="989" t="s">
        <v>236</v>
      </c>
      <c r="B83" s="993">
        <v>2018</v>
      </c>
      <c r="C83" s="989" t="s">
        <v>2996</v>
      </c>
      <c r="D83" s="989" t="s">
        <v>48</v>
      </c>
      <c r="E83" s="989" t="s">
        <v>688</v>
      </c>
      <c r="F83" s="994">
        <v>273357.24</v>
      </c>
      <c r="G83" s="989" t="s">
        <v>657</v>
      </c>
      <c r="H83" s="994">
        <v>269977</v>
      </c>
      <c r="I83" s="994">
        <v>3380.23999023438</v>
      </c>
      <c r="J83" s="994">
        <v>273357.25</v>
      </c>
      <c r="K83" s="997">
        <v>273357.24</v>
      </c>
    </row>
    <row r="84" spans="1:11" ht="33.75" x14ac:dyDescent="0.25">
      <c r="A84" s="989" t="s">
        <v>236</v>
      </c>
      <c r="B84" s="993">
        <v>2018</v>
      </c>
      <c r="C84" s="989" t="s">
        <v>2997</v>
      </c>
      <c r="D84" s="989" t="s">
        <v>50</v>
      </c>
      <c r="E84" s="989" t="s">
        <v>689</v>
      </c>
      <c r="F84" s="994">
        <v>252184.21</v>
      </c>
      <c r="G84" s="989" t="s">
        <v>657</v>
      </c>
      <c r="H84" s="994">
        <v>265701</v>
      </c>
      <c r="I84" s="994">
        <v>-13516.7900390625</v>
      </c>
      <c r="J84" s="994">
        <v>252184.203125</v>
      </c>
      <c r="K84" s="997">
        <v>252184.21</v>
      </c>
    </row>
    <row r="85" spans="1:11" ht="22.5" x14ac:dyDescent="0.25">
      <c r="A85" s="989" t="s">
        <v>236</v>
      </c>
      <c r="B85" s="993">
        <v>2018</v>
      </c>
      <c r="C85" s="989" t="s">
        <v>2998</v>
      </c>
      <c r="D85" s="989" t="s">
        <v>348</v>
      </c>
      <c r="E85" s="989" t="s">
        <v>690</v>
      </c>
      <c r="F85" s="994">
        <v>-542979.07999999996</v>
      </c>
      <c r="G85" s="989" t="s">
        <v>657</v>
      </c>
      <c r="H85" s="994">
        <v>-552483</v>
      </c>
      <c r="I85" s="994">
        <v>9503.919921875</v>
      </c>
      <c r="J85" s="994">
        <v>-542979.0625</v>
      </c>
      <c r="K85" s="997">
        <v>-542979.07999999996</v>
      </c>
    </row>
    <row r="86" spans="1:11" ht="45" x14ac:dyDescent="0.25">
      <c r="A86" s="989" t="s">
        <v>236</v>
      </c>
      <c r="B86" s="993">
        <v>2018</v>
      </c>
      <c r="C86" s="989" t="s">
        <v>2999</v>
      </c>
      <c r="D86" s="989" t="s">
        <v>659</v>
      </c>
      <c r="E86" s="989" t="s">
        <v>1145</v>
      </c>
      <c r="F86" s="994">
        <v>0</v>
      </c>
      <c r="G86" s="989" t="s">
        <v>657</v>
      </c>
      <c r="H86" s="996"/>
      <c r="I86" s="996"/>
      <c r="J86" s="994">
        <v>0</v>
      </c>
      <c r="K86" s="997">
        <v>0</v>
      </c>
    </row>
    <row r="87" spans="1:11" ht="45" x14ac:dyDescent="0.25">
      <c r="A87" s="989" t="s">
        <v>236</v>
      </c>
      <c r="B87" s="993">
        <v>2018</v>
      </c>
      <c r="C87" s="989" t="s">
        <v>2999</v>
      </c>
      <c r="D87" s="989" t="s">
        <v>660</v>
      </c>
      <c r="E87" s="989" t="s">
        <v>1146</v>
      </c>
      <c r="F87" s="994">
        <v>0</v>
      </c>
      <c r="G87" s="989" t="s">
        <v>657</v>
      </c>
      <c r="H87" s="996"/>
      <c r="I87" s="996"/>
      <c r="J87" s="994">
        <v>0</v>
      </c>
      <c r="K87" s="997">
        <v>0</v>
      </c>
    </row>
    <row r="88" spans="1:11" ht="45" x14ac:dyDescent="0.25">
      <c r="A88" s="989" t="s">
        <v>236</v>
      </c>
      <c r="B88" s="993">
        <v>2018</v>
      </c>
      <c r="C88" s="989" t="s">
        <v>2999</v>
      </c>
      <c r="D88" s="989" t="s">
        <v>661</v>
      </c>
      <c r="E88" s="989" t="s">
        <v>1147</v>
      </c>
      <c r="F88" s="994">
        <v>0</v>
      </c>
      <c r="G88" s="989" t="s">
        <v>657</v>
      </c>
      <c r="H88" s="996"/>
      <c r="I88" s="996"/>
      <c r="J88" s="994">
        <v>0</v>
      </c>
      <c r="K88" s="997">
        <v>0</v>
      </c>
    </row>
    <row r="89" spans="1:11" ht="45" x14ac:dyDescent="0.25">
      <c r="A89" s="989" t="s">
        <v>236</v>
      </c>
      <c r="B89" s="993">
        <v>2018</v>
      </c>
      <c r="C89" s="989" t="s">
        <v>2999</v>
      </c>
      <c r="D89" s="989" t="s">
        <v>662</v>
      </c>
      <c r="E89" s="989" t="s">
        <v>1148</v>
      </c>
      <c r="F89" s="994">
        <v>0</v>
      </c>
      <c r="G89" s="989" t="s">
        <v>657</v>
      </c>
      <c r="H89" s="996"/>
      <c r="I89" s="996"/>
      <c r="J89" s="994">
        <v>0</v>
      </c>
      <c r="K89" s="997">
        <v>0</v>
      </c>
    </row>
    <row r="90" spans="1:11" ht="45" x14ac:dyDescent="0.25">
      <c r="A90" s="989" t="s">
        <v>236</v>
      </c>
      <c r="B90" s="993">
        <v>2018</v>
      </c>
      <c r="C90" s="989" t="s">
        <v>2999</v>
      </c>
      <c r="D90" s="989" t="s">
        <v>663</v>
      </c>
      <c r="E90" s="989" t="s">
        <v>1149</v>
      </c>
      <c r="F90" s="994">
        <v>0</v>
      </c>
      <c r="G90" s="989" t="s">
        <v>657</v>
      </c>
      <c r="H90" s="996"/>
      <c r="I90" s="996"/>
      <c r="J90" s="994">
        <v>0</v>
      </c>
      <c r="K90" s="997">
        <v>0</v>
      </c>
    </row>
    <row r="91" spans="1:11" ht="45" x14ac:dyDescent="0.25">
      <c r="A91" s="989" t="s">
        <v>236</v>
      </c>
      <c r="B91" s="993">
        <v>2018</v>
      </c>
      <c r="C91" s="989" t="s">
        <v>2999</v>
      </c>
      <c r="D91" s="989" t="s">
        <v>664</v>
      </c>
      <c r="E91" s="989" t="s">
        <v>1150</v>
      </c>
      <c r="F91" s="994">
        <v>0</v>
      </c>
      <c r="G91" s="989" t="s">
        <v>657</v>
      </c>
      <c r="H91" s="996"/>
      <c r="I91" s="996"/>
      <c r="J91" s="994">
        <v>0</v>
      </c>
      <c r="K91" s="997">
        <v>0</v>
      </c>
    </row>
    <row r="92" spans="1:11" ht="45" x14ac:dyDescent="0.25">
      <c r="A92" s="989" t="s">
        <v>236</v>
      </c>
      <c r="B92" s="993">
        <v>2018</v>
      </c>
      <c r="C92" s="989" t="s">
        <v>2999</v>
      </c>
      <c r="D92" s="989" t="s">
        <v>665</v>
      </c>
      <c r="E92" s="989" t="s">
        <v>1151</v>
      </c>
      <c r="F92" s="994">
        <v>0</v>
      </c>
      <c r="G92" s="989" t="s">
        <v>657</v>
      </c>
      <c r="H92" s="996"/>
      <c r="I92" s="996"/>
      <c r="J92" s="994">
        <v>0</v>
      </c>
      <c r="K92" s="997">
        <v>0</v>
      </c>
    </row>
    <row r="93" spans="1:11" ht="45" x14ac:dyDescent="0.25">
      <c r="A93" s="989" t="s">
        <v>236</v>
      </c>
      <c r="B93" s="993">
        <v>2018</v>
      </c>
      <c r="C93" s="989" t="s">
        <v>2999</v>
      </c>
      <c r="D93" s="989" t="s">
        <v>1870</v>
      </c>
      <c r="E93" s="989" t="s">
        <v>2285</v>
      </c>
      <c r="F93" s="994">
        <v>0</v>
      </c>
      <c r="G93" s="989" t="s">
        <v>657</v>
      </c>
      <c r="H93" s="994">
        <v>-31840</v>
      </c>
      <c r="I93" s="994">
        <v>-4208</v>
      </c>
      <c r="J93" s="994">
        <v>-36048</v>
      </c>
      <c r="K93" s="997">
        <v>-36048</v>
      </c>
    </row>
    <row r="94" spans="1:11" ht="45" x14ac:dyDescent="0.25">
      <c r="A94" s="989" t="s">
        <v>236</v>
      </c>
      <c r="B94" s="993">
        <v>2018</v>
      </c>
      <c r="C94" s="989" t="s">
        <v>2999</v>
      </c>
      <c r="D94" s="989" t="s">
        <v>2486</v>
      </c>
      <c r="E94" s="989" t="s">
        <v>2489</v>
      </c>
      <c r="F94" s="994">
        <v>0</v>
      </c>
      <c r="G94" s="989" t="s">
        <v>657</v>
      </c>
      <c r="H94" s="994">
        <v>165351</v>
      </c>
      <c r="I94" s="994">
        <v>12235</v>
      </c>
      <c r="J94" s="994">
        <v>177586</v>
      </c>
      <c r="K94" s="997">
        <v>177586</v>
      </c>
    </row>
    <row r="95" spans="1:11" ht="45" x14ac:dyDescent="0.25">
      <c r="A95" s="989" t="s">
        <v>236</v>
      </c>
      <c r="B95" s="993">
        <v>2018</v>
      </c>
      <c r="C95" s="989" t="s">
        <v>2999</v>
      </c>
      <c r="D95" s="989" t="s">
        <v>4892</v>
      </c>
      <c r="E95" s="989" t="s">
        <v>5984</v>
      </c>
      <c r="F95" s="994">
        <v>0</v>
      </c>
      <c r="G95" s="989" t="s">
        <v>657</v>
      </c>
      <c r="H95" s="994">
        <v>-447943</v>
      </c>
      <c r="I95" s="994">
        <v>-7878.759765625</v>
      </c>
      <c r="J95" s="994">
        <v>-455821.75</v>
      </c>
      <c r="K95" s="997">
        <v>-455821.76</v>
      </c>
    </row>
    <row r="96" spans="1:11" ht="45" x14ac:dyDescent="0.25">
      <c r="A96" s="989" t="s">
        <v>236</v>
      </c>
      <c r="B96" s="993">
        <v>2018</v>
      </c>
      <c r="C96" s="989" t="s">
        <v>2999</v>
      </c>
      <c r="D96" s="989" t="s">
        <v>666</v>
      </c>
      <c r="E96" s="989" t="s">
        <v>1539</v>
      </c>
      <c r="F96" s="994">
        <v>-314283.76</v>
      </c>
      <c r="G96" s="995"/>
      <c r="H96" s="996"/>
      <c r="I96" s="996"/>
      <c r="J96" s="994">
        <v>0</v>
      </c>
      <c r="K96" s="997">
        <v>-314283.76</v>
      </c>
    </row>
    <row r="97" spans="1:11" x14ac:dyDescent="0.25">
      <c r="A97" s="989" t="s">
        <v>173</v>
      </c>
      <c r="B97" s="993">
        <v>2018</v>
      </c>
      <c r="C97" s="989" t="s">
        <v>2991</v>
      </c>
      <c r="D97" s="989" t="s">
        <v>49</v>
      </c>
      <c r="E97" s="989" t="s">
        <v>691</v>
      </c>
      <c r="F97" s="994">
        <v>0</v>
      </c>
      <c r="G97" s="989" t="s">
        <v>657</v>
      </c>
      <c r="H97" s="996"/>
      <c r="I97" s="996"/>
      <c r="J97" s="994">
        <v>0</v>
      </c>
      <c r="K97" s="997">
        <v>0</v>
      </c>
    </row>
    <row r="98" spans="1:11" ht="33.75" x14ac:dyDescent="0.25">
      <c r="A98" s="989" t="s">
        <v>173</v>
      </c>
      <c r="B98" s="993">
        <v>2018</v>
      </c>
      <c r="C98" s="989" t="s">
        <v>2992</v>
      </c>
      <c r="D98" s="989" t="s">
        <v>658</v>
      </c>
      <c r="E98" s="989" t="s">
        <v>692</v>
      </c>
      <c r="F98" s="994">
        <v>-9403.23</v>
      </c>
      <c r="G98" s="989" t="s">
        <v>657</v>
      </c>
      <c r="H98" s="994">
        <v>-9338.7900390625</v>
      </c>
      <c r="I98" s="994">
        <v>-64.440002441406307</v>
      </c>
      <c r="J98" s="994">
        <v>-9403.23046875</v>
      </c>
      <c r="K98" s="997">
        <v>-9403.23</v>
      </c>
    </row>
    <row r="99" spans="1:11" ht="22.5" x14ac:dyDescent="0.25">
      <c r="A99" s="989" t="s">
        <v>173</v>
      </c>
      <c r="B99" s="993">
        <v>2018</v>
      </c>
      <c r="C99" s="989" t="s">
        <v>2993</v>
      </c>
      <c r="D99" s="989" t="s">
        <v>464</v>
      </c>
      <c r="E99" s="989" t="s">
        <v>693</v>
      </c>
      <c r="F99" s="994">
        <v>747366.19</v>
      </c>
      <c r="G99" s="995"/>
      <c r="H99" s="996"/>
      <c r="I99" s="996"/>
      <c r="J99" s="994">
        <v>0</v>
      </c>
      <c r="K99" s="997">
        <v>747366.19</v>
      </c>
    </row>
    <row r="100" spans="1:11" ht="33.75" x14ac:dyDescent="0.25">
      <c r="A100" s="989" t="s">
        <v>173</v>
      </c>
      <c r="B100" s="993">
        <v>2018</v>
      </c>
      <c r="C100" s="989" t="s">
        <v>2994</v>
      </c>
      <c r="D100" s="989" t="s">
        <v>46</v>
      </c>
      <c r="E100" s="989" t="s">
        <v>694</v>
      </c>
      <c r="F100" s="994">
        <v>-2039433.43</v>
      </c>
      <c r="G100" s="989" t="s">
        <v>657</v>
      </c>
      <c r="H100" s="994">
        <v>-2018019</v>
      </c>
      <c r="I100" s="994">
        <v>-21414.41015625</v>
      </c>
      <c r="J100" s="994">
        <v>-2039433.375</v>
      </c>
      <c r="K100" s="997">
        <v>-2039433.43</v>
      </c>
    </row>
    <row r="101" spans="1:11" ht="22.5" x14ac:dyDescent="0.25">
      <c r="A101" s="989" t="s">
        <v>173</v>
      </c>
      <c r="B101" s="993">
        <v>2018</v>
      </c>
      <c r="C101" s="989" t="s">
        <v>2994</v>
      </c>
      <c r="D101" s="989" t="s">
        <v>2482</v>
      </c>
      <c r="E101" s="989" t="s">
        <v>694</v>
      </c>
      <c r="F101" s="994">
        <v>0</v>
      </c>
      <c r="G101" s="995"/>
      <c r="H101" s="996"/>
      <c r="I101" s="996"/>
      <c r="J101" s="994">
        <v>0</v>
      </c>
      <c r="K101" s="997">
        <v>0</v>
      </c>
    </row>
    <row r="102" spans="1:11" ht="22.5" x14ac:dyDescent="0.25">
      <c r="A102" s="989" t="s">
        <v>173</v>
      </c>
      <c r="B102" s="993">
        <v>2018</v>
      </c>
      <c r="C102" s="989" t="s">
        <v>2994</v>
      </c>
      <c r="D102" s="989" t="s">
        <v>2483</v>
      </c>
      <c r="E102" s="989" t="s">
        <v>694</v>
      </c>
      <c r="F102" s="994">
        <v>0</v>
      </c>
      <c r="G102" s="995"/>
      <c r="H102" s="996"/>
      <c r="I102" s="996"/>
      <c r="J102" s="994">
        <v>0</v>
      </c>
      <c r="K102" s="997">
        <v>0</v>
      </c>
    </row>
    <row r="103" spans="1:11" ht="22.5" x14ac:dyDescent="0.25">
      <c r="A103" s="989" t="s">
        <v>173</v>
      </c>
      <c r="B103" s="993">
        <v>2018</v>
      </c>
      <c r="C103" s="989" t="s">
        <v>2994</v>
      </c>
      <c r="D103" s="989" t="s">
        <v>2484</v>
      </c>
      <c r="E103" s="989" t="s">
        <v>694</v>
      </c>
      <c r="F103" s="994">
        <v>1608.62</v>
      </c>
      <c r="G103" s="995"/>
      <c r="H103" s="996"/>
      <c r="I103" s="996"/>
      <c r="J103" s="994">
        <v>0</v>
      </c>
      <c r="K103" s="997">
        <v>1608.62</v>
      </c>
    </row>
    <row r="104" spans="1:11" ht="22.5" x14ac:dyDescent="0.25">
      <c r="A104" s="989" t="s">
        <v>173</v>
      </c>
      <c r="B104" s="993">
        <v>2018</v>
      </c>
      <c r="C104" s="989" t="s">
        <v>2994</v>
      </c>
      <c r="D104" s="989" t="s">
        <v>2485</v>
      </c>
      <c r="E104" s="989" t="s">
        <v>694</v>
      </c>
      <c r="F104" s="994">
        <v>-130936.48</v>
      </c>
      <c r="G104" s="995"/>
      <c r="H104" s="996"/>
      <c r="I104" s="996"/>
      <c r="J104" s="994">
        <v>0</v>
      </c>
      <c r="K104" s="997">
        <v>-130936.48</v>
      </c>
    </row>
    <row r="105" spans="1:11" ht="33.75" x14ac:dyDescent="0.25">
      <c r="A105" s="989" t="s">
        <v>173</v>
      </c>
      <c r="B105" s="993">
        <v>2018</v>
      </c>
      <c r="C105" s="989" t="s">
        <v>2995</v>
      </c>
      <c r="D105" s="989" t="s">
        <v>47</v>
      </c>
      <c r="E105" s="989" t="s">
        <v>695</v>
      </c>
      <c r="F105" s="994">
        <v>503836.32</v>
      </c>
      <c r="G105" s="989" t="s">
        <v>657</v>
      </c>
      <c r="H105" s="994">
        <v>493802.46875</v>
      </c>
      <c r="I105" s="994">
        <v>10033.849609375</v>
      </c>
      <c r="J105" s="994">
        <v>503836.3125</v>
      </c>
      <c r="K105" s="997">
        <v>503836.32</v>
      </c>
    </row>
    <row r="106" spans="1:11" ht="33.75" x14ac:dyDescent="0.25">
      <c r="A106" s="989" t="s">
        <v>173</v>
      </c>
      <c r="B106" s="993">
        <v>2018</v>
      </c>
      <c r="C106" s="989" t="s">
        <v>2996</v>
      </c>
      <c r="D106" s="989" t="s">
        <v>48</v>
      </c>
      <c r="E106" s="989" t="s">
        <v>696</v>
      </c>
      <c r="F106" s="994">
        <v>126930.14</v>
      </c>
      <c r="G106" s="989" t="s">
        <v>657</v>
      </c>
      <c r="H106" s="994">
        <v>122526.9296875</v>
      </c>
      <c r="I106" s="994">
        <v>4403.2099609375</v>
      </c>
      <c r="J106" s="994">
        <v>126930.140625</v>
      </c>
      <c r="K106" s="997">
        <v>126930.14</v>
      </c>
    </row>
    <row r="107" spans="1:11" ht="33.75" x14ac:dyDescent="0.25">
      <c r="A107" s="989" t="s">
        <v>173</v>
      </c>
      <c r="B107" s="993">
        <v>2018</v>
      </c>
      <c r="C107" s="989" t="s">
        <v>2997</v>
      </c>
      <c r="D107" s="989" t="s">
        <v>50</v>
      </c>
      <c r="E107" s="989" t="s">
        <v>697</v>
      </c>
      <c r="F107" s="994">
        <v>-54799.85</v>
      </c>
      <c r="G107" s="989" t="s">
        <v>657</v>
      </c>
      <c r="H107" s="994">
        <v>-70436.8203125</v>
      </c>
      <c r="I107" s="994">
        <v>15636.9697265625</v>
      </c>
      <c r="J107" s="994">
        <v>-54799.8515625</v>
      </c>
      <c r="K107" s="997">
        <v>-54799.85</v>
      </c>
    </row>
    <row r="108" spans="1:11" ht="22.5" x14ac:dyDescent="0.25">
      <c r="A108" s="989" t="s">
        <v>173</v>
      </c>
      <c r="B108" s="993">
        <v>2018</v>
      </c>
      <c r="C108" s="989" t="s">
        <v>2998</v>
      </c>
      <c r="D108" s="989" t="s">
        <v>348</v>
      </c>
      <c r="E108" s="989" t="s">
        <v>698</v>
      </c>
      <c r="F108" s="994">
        <v>-1571426.72</v>
      </c>
      <c r="G108" s="989" t="s">
        <v>657</v>
      </c>
      <c r="H108" s="994">
        <v>-1547662.5</v>
      </c>
      <c r="I108" s="994">
        <v>-23764.16015625</v>
      </c>
      <c r="J108" s="994">
        <v>-1571426.75</v>
      </c>
      <c r="K108" s="997">
        <v>-1571426.72</v>
      </c>
    </row>
    <row r="109" spans="1:11" ht="45" x14ac:dyDescent="0.25">
      <c r="A109" s="989" t="s">
        <v>173</v>
      </c>
      <c r="B109" s="993">
        <v>2018</v>
      </c>
      <c r="C109" s="989" t="s">
        <v>2999</v>
      </c>
      <c r="D109" s="989" t="s">
        <v>659</v>
      </c>
      <c r="E109" s="989" t="s">
        <v>1152</v>
      </c>
      <c r="F109" s="994">
        <v>0</v>
      </c>
      <c r="G109" s="989" t="s">
        <v>657</v>
      </c>
      <c r="H109" s="996"/>
      <c r="I109" s="996"/>
      <c r="J109" s="994">
        <v>0</v>
      </c>
      <c r="K109" s="997">
        <v>0</v>
      </c>
    </row>
    <row r="110" spans="1:11" ht="45" x14ac:dyDescent="0.25">
      <c r="A110" s="989" t="s">
        <v>173</v>
      </c>
      <c r="B110" s="993">
        <v>2018</v>
      </c>
      <c r="C110" s="989" t="s">
        <v>2999</v>
      </c>
      <c r="D110" s="989" t="s">
        <v>660</v>
      </c>
      <c r="E110" s="989" t="s">
        <v>1153</v>
      </c>
      <c r="F110" s="994">
        <v>0</v>
      </c>
      <c r="G110" s="989" t="s">
        <v>657</v>
      </c>
      <c r="H110" s="996"/>
      <c r="I110" s="996"/>
      <c r="J110" s="994">
        <v>0</v>
      </c>
      <c r="K110" s="997">
        <v>0</v>
      </c>
    </row>
    <row r="111" spans="1:11" ht="45" x14ac:dyDescent="0.25">
      <c r="A111" s="989" t="s">
        <v>173</v>
      </c>
      <c r="B111" s="993">
        <v>2018</v>
      </c>
      <c r="C111" s="989" t="s">
        <v>2999</v>
      </c>
      <c r="D111" s="989" t="s">
        <v>661</v>
      </c>
      <c r="E111" s="989" t="s">
        <v>1154</v>
      </c>
      <c r="F111" s="994">
        <v>0</v>
      </c>
      <c r="G111" s="989" t="s">
        <v>657</v>
      </c>
      <c r="H111" s="996"/>
      <c r="I111" s="996"/>
      <c r="J111" s="994">
        <v>0</v>
      </c>
      <c r="K111" s="997">
        <v>0</v>
      </c>
    </row>
    <row r="112" spans="1:11" ht="45" x14ac:dyDescent="0.25">
      <c r="A112" s="989" t="s">
        <v>173</v>
      </c>
      <c r="B112" s="993">
        <v>2018</v>
      </c>
      <c r="C112" s="989" t="s">
        <v>2999</v>
      </c>
      <c r="D112" s="989" t="s">
        <v>662</v>
      </c>
      <c r="E112" s="989" t="s">
        <v>1155</v>
      </c>
      <c r="F112" s="994">
        <v>0</v>
      </c>
      <c r="G112" s="989" t="s">
        <v>657</v>
      </c>
      <c r="H112" s="996"/>
      <c r="I112" s="996"/>
      <c r="J112" s="994">
        <v>0</v>
      </c>
      <c r="K112" s="997">
        <v>0</v>
      </c>
    </row>
    <row r="113" spans="1:11" ht="45" x14ac:dyDescent="0.25">
      <c r="A113" s="989" t="s">
        <v>173</v>
      </c>
      <c r="B113" s="993">
        <v>2018</v>
      </c>
      <c r="C113" s="989" t="s">
        <v>2999</v>
      </c>
      <c r="D113" s="989" t="s">
        <v>663</v>
      </c>
      <c r="E113" s="989" t="s">
        <v>1156</v>
      </c>
      <c r="F113" s="994">
        <v>0</v>
      </c>
      <c r="G113" s="989" t="s">
        <v>657</v>
      </c>
      <c r="H113" s="996"/>
      <c r="I113" s="996"/>
      <c r="J113" s="994">
        <v>0</v>
      </c>
      <c r="K113" s="997">
        <v>0</v>
      </c>
    </row>
    <row r="114" spans="1:11" ht="45" x14ac:dyDescent="0.25">
      <c r="A114" s="989" t="s">
        <v>173</v>
      </c>
      <c r="B114" s="993">
        <v>2018</v>
      </c>
      <c r="C114" s="989" t="s">
        <v>2999</v>
      </c>
      <c r="D114" s="989" t="s">
        <v>664</v>
      </c>
      <c r="E114" s="989" t="s">
        <v>1157</v>
      </c>
      <c r="F114" s="994">
        <v>0</v>
      </c>
      <c r="G114" s="989" t="s">
        <v>657</v>
      </c>
      <c r="H114" s="996"/>
      <c r="I114" s="996"/>
      <c r="J114" s="994">
        <v>0</v>
      </c>
      <c r="K114" s="997">
        <v>0</v>
      </c>
    </row>
    <row r="115" spans="1:11" ht="45" x14ac:dyDescent="0.25">
      <c r="A115" s="989" t="s">
        <v>173</v>
      </c>
      <c r="B115" s="993">
        <v>2018</v>
      </c>
      <c r="C115" s="989" t="s">
        <v>2999</v>
      </c>
      <c r="D115" s="989" t="s">
        <v>665</v>
      </c>
      <c r="E115" s="989" t="s">
        <v>1158</v>
      </c>
      <c r="F115" s="994">
        <v>0</v>
      </c>
      <c r="G115" s="989" t="s">
        <v>657</v>
      </c>
      <c r="H115" s="996"/>
      <c r="I115" s="996"/>
      <c r="J115" s="994">
        <v>0</v>
      </c>
      <c r="K115" s="997">
        <v>0</v>
      </c>
    </row>
    <row r="116" spans="1:11" ht="45" x14ac:dyDescent="0.25">
      <c r="A116" s="989" t="s">
        <v>173</v>
      </c>
      <c r="B116" s="993">
        <v>2018</v>
      </c>
      <c r="C116" s="989" t="s">
        <v>2999</v>
      </c>
      <c r="D116" s="989" t="s">
        <v>1870</v>
      </c>
      <c r="E116" s="989" t="s">
        <v>2286</v>
      </c>
      <c r="F116" s="994">
        <v>0</v>
      </c>
      <c r="G116" s="989" t="s">
        <v>657</v>
      </c>
      <c r="H116" s="996"/>
      <c r="I116" s="994">
        <v>-49.529998779296903</v>
      </c>
      <c r="J116" s="994">
        <v>-49.529998779296903</v>
      </c>
      <c r="K116" s="997">
        <v>-49.53</v>
      </c>
    </row>
    <row r="117" spans="1:11" ht="45" x14ac:dyDescent="0.25">
      <c r="A117" s="989" t="s">
        <v>173</v>
      </c>
      <c r="B117" s="993">
        <v>2018</v>
      </c>
      <c r="C117" s="989" t="s">
        <v>2999</v>
      </c>
      <c r="D117" s="989" t="s">
        <v>2486</v>
      </c>
      <c r="E117" s="989" t="s">
        <v>2490</v>
      </c>
      <c r="F117" s="994">
        <v>0</v>
      </c>
      <c r="G117" s="989" t="s">
        <v>657</v>
      </c>
      <c r="H117" s="994">
        <v>193172.546875</v>
      </c>
      <c r="I117" s="994">
        <v>-206797.59375</v>
      </c>
      <c r="J117" s="994">
        <v>-13625.0498046875</v>
      </c>
      <c r="K117" s="997">
        <v>-13625.05</v>
      </c>
    </row>
    <row r="118" spans="1:11" ht="45" x14ac:dyDescent="0.25">
      <c r="A118" s="989" t="s">
        <v>173</v>
      </c>
      <c r="B118" s="993">
        <v>2018</v>
      </c>
      <c r="C118" s="989" t="s">
        <v>2999</v>
      </c>
      <c r="D118" s="989" t="s">
        <v>4892</v>
      </c>
      <c r="E118" s="989" t="s">
        <v>5985</v>
      </c>
      <c r="F118" s="994">
        <v>0</v>
      </c>
      <c r="G118" s="989" t="s">
        <v>657</v>
      </c>
      <c r="H118" s="994">
        <v>74626.546875</v>
      </c>
      <c r="I118" s="994">
        <v>41151.58984375</v>
      </c>
      <c r="J118" s="994">
        <v>115778.140625</v>
      </c>
      <c r="K118" s="997">
        <v>115778.14</v>
      </c>
    </row>
    <row r="119" spans="1:11" ht="45" x14ac:dyDescent="0.25">
      <c r="A119" s="989" t="s">
        <v>173</v>
      </c>
      <c r="B119" s="993">
        <v>2018</v>
      </c>
      <c r="C119" s="989" t="s">
        <v>2999</v>
      </c>
      <c r="D119" s="989" t="s">
        <v>666</v>
      </c>
      <c r="E119" s="989" t="s">
        <v>1540</v>
      </c>
      <c r="F119" s="994">
        <v>102103.56</v>
      </c>
      <c r="G119" s="995"/>
      <c r="H119" s="996"/>
      <c r="I119" s="996"/>
      <c r="J119" s="994">
        <v>0</v>
      </c>
      <c r="K119" s="997">
        <v>102103.56</v>
      </c>
    </row>
    <row r="120" spans="1:11" x14ac:dyDescent="0.25">
      <c r="A120" s="989" t="s">
        <v>174</v>
      </c>
      <c r="B120" s="993">
        <v>2018</v>
      </c>
      <c r="C120" s="989" t="s">
        <v>2991</v>
      </c>
      <c r="D120" s="989" t="s">
        <v>49</v>
      </c>
      <c r="E120" s="989" t="s">
        <v>699</v>
      </c>
      <c r="F120" s="994">
        <v>0</v>
      </c>
      <c r="G120" s="989" t="s">
        <v>657</v>
      </c>
      <c r="H120" s="996"/>
      <c r="I120" s="996"/>
      <c r="J120" s="994">
        <v>0</v>
      </c>
      <c r="K120" s="997">
        <v>0</v>
      </c>
    </row>
    <row r="121" spans="1:11" ht="33.75" x14ac:dyDescent="0.25">
      <c r="A121" s="989" t="s">
        <v>174</v>
      </c>
      <c r="B121" s="993">
        <v>2018</v>
      </c>
      <c r="C121" s="989" t="s">
        <v>2992</v>
      </c>
      <c r="D121" s="989" t="s">
        <v>658</v>
      </c>
      <c r="E121" s="989" t="s">
        <v>700</v>
      </c>
      <c r="F121" s="994">
        <v>-5139.7299999999996</v>
      </c>
      <c r="G121" s="989" t="s">
        <v>657</v>
      </c>
      <c r="H121" s="994">
        <v>-6683.0400390625</v>
      </c>
      <c r="I121" s="994">
        <v>1543.31005859375</v>
      </c>
      <c r="J121" s="994">
        <v>-5139.72998046875</v>
      </c>
      <c r="K121" s="997">
        <v>-5139.7299999999996</v>
      </c>
    </row>
    <row r="122" spans="1:11" ht="22.5" x14ac:dyDescent="0.25">
      <c r="A122" s="989" t="s">
        <v>174</v>
      </c>
      <c r="B122" s="993">
        <v>2018</v>
      </c>
      <c r="C122" s="989" t="s">
        <v>2993</v>
      </c>
      <c r="D122" s="989" t="s">
        <v>464</v>
      </c>
      <c r="E122" s="989" t="s">
        <v>701</v>
      </c>
      <c r="F122" s="994">
        <v>792636.53</v>
      </c>
      <c r="G122" s="995"/>
      <c r="H122" s="996"/>
      <c r="I122" s="996"/>
      <c r="J122" s="994">
        <v>0</v>
      </c>
      <c r="K122" s="997">
        <v>792636.53</v>
      </c>
    </row>
    <row r="123" spans="1:11" ht="33.75" x14ac:dyDescent="0.25">
      <c r="A123" s="989" t="s">
        <v>174</v>
      </c>
      <c r="B123" s="993">
        <v>2018</v>
      </c>
      <c r="C123" s="989" t="s">
        <v>2994</v>
      </c>
      <c r="D123" s="989" t="s">
        <v>46</v>
      </c>
      <c r="E123" s="989" t="s">
        <v>702</v>
      </c>
      <c r="F123" s="994">
        <v>-3197944.76</v>
      </c>
      <c r="G123" s="989" t="s">
        <v>657</v>
      </c>
      <c r="H123" s="994">
        <v>-3145550.5</v>
      </c>
      <c r="I123" s="994">
        <v>-52394.1796875</v>
      </c>
      <c r="J123" s="994">
        <v>-3197944.75</v>
      </c>
      <c r="K123" s="997">
        <v>-3197944.76</v>
      </c>
    </row>
    <row r="124" spans="1:11" ht="22.5" x14ac:dyDescent="0.25">
      <c r="A124" s="989" t="s">
        <v>174</v>
      </c>
      <c r="B124" s="993">
        <v>2018</v>
      </c>
      <c r="C124" s="989" t="s">
        <v>2994</v>
      </c>
      <c r="D124" s="989" t="s">
        <v>2482</v>
      </c>
      <c r="E124" s="989" t="s">
        <v>702</v>
      </c>
      <c r="F124" s="994">
        <v>0</v>
      </c>
      <c r="G124" s="995"/>
      <c r="H124" s="996"/>
      <c r="I124" s="996"/>
      <c r="J124" s="994">
        <v>0</v>
      </c>
      <c r="K124" s="997">
        <v>0</v>
      </c>
    </row>
    <row r="125" spans="1:11" ht="22.5" x14ac:dyDescent="0.25">
      <c r="A125" s="989" t="s">
        <v>174</v>
      </c>
      <c r="B125" s="993">
        <v>2018</v>
      </c>
      <c r="C125" s="989" t="s">
        <v>2994</v>
      </c>
      <c r="D125" s="989" t="s">
        <v>2483</v>
      </c>
      <c r="E125" s="989" t="s">
        <v>702</v>
      </c>
      <c r="F125" s="994">
        <v>0</v>
      </c>
      <c r="G125" s="995"/>
      <c r="H125" s="996"/>
      <c r="I125" s="996"/>
      <c r="J125" s="994">
        <v>0</v>
      </c>
      <c r="K125" s="997">
        <v>0</v>
      </c>
    </row>
    <row r="126" spans="1:11" ht="22.5" x14ac:dyDescent="0.25">
      <c r="A126" s="989" t="s">
        <v>174</v>
      </c>
      <c r="B126" s="993">
        <v>2018</v>
      </c>
      <c r="C126" s="989" t="s">
        <v>2994</v>
      </c>
      <c r="D126" s="989" t="s">
        <v>2484</v>
      </c>
      <c r="E126" s="989" t="s">
        <v>702</v>
      </c>
      <c r="F126" s="994">
        <v>-4403.71</v>
      </c>
      <c r="G126" s="995"/>
      <c r="H126" s="996"/>
      <c r="I126" s="996"/>
      <c r="J126" s="994">
        <v>0</v>
      </c>
      <c r="K126" s="997">
        <v>-4403.71</v>
      </c>
    </row>
    <row r="127" spans="1:11" ht="22.5" x14ac:dyDescent="0.25">
      <c r="A127" s="989" t="s">
        <v>174</v>
      </c>
      <c r="B127" s="993">
        <v>2018</v>
      </c>
      <c r="C127" s="989" t="s">
        <v>2994</v>
      </c>
      <c r="D127" s="989" t="s">
        <v>2485</v>
      </c>
      <c r="E127" s="989" t="s">
        <v>702</v>
      </c>
      <c r="F127" s="994">
        <v>-504.88</v>
      </c>
      <c r="G127" s="995"/>
      <c r="H127" s="996"/>
      <c r="I127" s="996"/>
      <c r="J127" s="994">
        <v>0</v>
      </c>
      <c r="K127" s="997">
        <v>-504.88</v>
      </c>
    </row>
    <row r="128" spans="1:11" ht="33.75" x14ac:dyDescent="0.25">
      <c r="A128" s="989" t="s">
        <v>174</v>
      </c>
      <c r="B128" s="993">
        <v>2018</v>
      </c>
      <c r="C128" s="989" t="s">
        <v>2995</v>
      </c>
      <c r="D128" s="989" t="s">
        <v>47</v>
      </c>
      <c r="E128" s="989" t="s">
        <v>703</v>
      </c>
      <c r="F128" s="994">
        <v>90796.25</v>
      </c>
      <c r="G128" s="989" t="s">
        <v>657</v>
      </c>
      <c r="H128" s="994">
        <v>86136.4921875</v>
      </c>
      <c r="I128" s="994">
        <v>4659.759765625</v>
      </c>
      <c r="J128" s="994">
        <v>90796.25</v>
      </c>
      <c r="K128" s="997">
        <v>90796.25</v>
      </c>
    </row>
    <row r="129" spans="1:11" ht="33.75" x14ac:dyDescent="0.25">
      <c r="A129" s="989" t="s">
        <v>174</v>
      </c>
      <c r="B129" s="993">
        <v>2018</v>
      </c>
      <c r="C129" s="989" t="s">
        <v>2996</v>
      </c>
      <c r="D129" s="989" t="s">
        <v>48</v>
      </c>
      <c r="E129" s="989" t="s">
        <v>704</v>
      </c>
      <c r="F129" s="994">
        <v>-201951.21</v>
      </c>
      <c r="G129" s="989" t="s">
        <v>657</v>
      </c>
      <c r="H129" s="994">
        <v>-203512.375</v>
      </c>
      <c r="I129" s="994">
        <v>1561.16003417969</v>
      </c>
      <c r="J129" s="994">
        <v>-201951.203125</v>
      </c>
      <c r="K129" s="997">
        <v>-201951.21</v>
      </c>
    </row>
    <row r="130" spans="1:11" ht="33.75" x14ac:dyDescent="0.25">
      <c r="A130" s="989" t="s">
        <v>174</v>
      </c>
      <c r="B130" s="993">
        <v>2018</v>
      </c>
      <c r="C130" s="989" t="s">
        <v>2997</v>
      </c>
      <c r="D130" s="989" t="s">
        <v>50</v>
      </c>
      <c r="E130" s="989" t="s">
        <v>705</v>
      </c>
      <c r="F130" s="994">
        <v>2805959.06</v>
      </c>
      <c r="G130" s="989" t="s">
        <v>657</v>
      </c>
      <c r="H130" s="994">
        <v>2796057.5</v>
      </c>
      <c r="I130" s="994">
        <v>9901.4599609375</v>
      </c>
      <c r="J130" s="994">
        <v>2805959</v>
      </c>
      <c r="K130" s="997">
        <v>2805959.06</v>
      </c>
    </row>
    <row r="131" spans="1:11" ht="22.5" x14ac:dyDescent="0.25">
      <c r="A131" s="989" t="s">
        <v>174</v>
      </c>
      <c r="B131" s="993">
        <v>2018</v>
      </c>
      <c r="C131" s="989" t="s">
        <v>2998</v>
      </c>
      <c r="D131" s="989" t="s">
        <v>348</v>
      </c>
      <c r="E131" s="989" t="s">
        <v>706</v>
      </c>
      <c r="F131" s="994">
        <v>1507244.43</v>
      </c>
      <c r="G131" s="989" t="s">
        <v>657</v>
      </c>
      <c r="H131" s="994">
        <v>1449722.75</v>
      </c>
      <c r="I131" s="994">
        <v>57521.69921875</v>
      </c>
      <c r="J131" s="994">
        <v>1507244.375</v>
      </c>
      <c r="K131" s="997">
        <v>1507244.43</v>
      </c>
    </row>
    <row r="132" spans="1:11" ht="45" x14ac:dyDescent="0.25">
      <c r="A132" s="989" t="s">
        <v>174</v>
      </c>
      <c r="B132" s="993">
        <v>2018</v>
      </c>
      <c r="C132" s="989" t="s">
        <v>2999</v>
      </c>
      <c r="D132" s="989" t="s">
        <v>659</v>
      </c>
      <c r="E132" s="989" t="s">
        <v>1159</v>
      </c>
      <c r="F132" s="994">
        <v>0</v>
      </c>
      <c r="G132" s="989" t="s">
        <v>657</v>
      </c>
      <c r="H132" s="996"/>
      <c r="I132" s="996"/>
      <c r="J132" s="994">
        <v>0</v>
      </c>
      <c r="K132" s="997">
        <v>0</v>
      </c>
    </row>
    <row r="133" spans="1:11" ht="45" x14ac:dyDescent="0.25">
      <c r="A133" s="989" t="s">
        <v>174</v>
      </c>
      <c r="B133" s="993">
        <v>2018</v>
      </c>
      <c r="C133" s="989" t="s">
        <v>2999</v>
      </c>
      <c r="D133" s="989" t="s">
        <v>660</v>
      </c>
      <c r="E133" s="989" t="s">
        <v>1160</v>
      </c>
      <c r="F133" s="994">
        <v>0</v>
      </c>
      <c r="G133" s="989" t="s">
        <v>657</v>
      </c>
      <c r="H133" s="996"/>
      <c r="I133" s="996"/>
      <c r="J133" s="994">
        <v>0</v>
      </c>
      <c r="K133" s="997">
        <v>0</v>
      </c>
    </row>
    <row r="134" spans="1:11" ht="45" x14ac:dyDescent="0.25">
      <c r="A134" s="989" t="s">
        <v>174</v>
      </c>
      <c r="B134" s="993">
        <v>2018</v>
      </c>
      <c r="C134" s="989" t="s">
        <v>2999</v>
      </c>
      <c r="D134" s="989" t="s">
        <v>661</v>
      </c>
      <c r="E134" s="989" t="s">
        <v>1161</v>
      </c>
      <c r="F134" s="994">
        <v>0</v>
      </c>
      <c r="G134" s="989" t="s">
        <v>657</v>
      </c>
      <c r="H134" s="996"/>
      <c r="I134" s="996"/>
      <c r="J134" s="994">
        <v>0</v>
      </c>
      <c r="K134" s="997">
        <v>0</v>
      </c>
    </row>
    <row r="135" spans="1:11" ht="45" x14ac:dyDescent="0.25">
      <c r="A135" s="989" t="s">
        <v>174</v>
      </c>
      <c r="B135" s="993">
        <v>2018</v>
      </c>
      <c r="C135" s="989" t="s">
        <v>2999</v>
      </c>
      <c r="D135" s="989" t="s">
        <v>662</v>
      </c>
      <c r="E135" s="989" t="s">
        <v>1162</v>
      </c>
      <c r="F135" s="994">
        <v>0</v>
      </c>
      <c r="G135" s="989" t="s">
        <v>657</v>
      </c>
      <c r="H135" s="996"/>
      <c r="I135" s="996"/>
      <c r="J135" s="994">
        <v>0</v>
      </c>
      <c r="K135" s="997">
        <v>0</v>
      </c>
    </row>
    <row r="136" spans="1:11" ht="45" x14ac:dyDescent="0.25">
      <c r="A136" s="989" t="s">
        <v>174</v>
      </c>
      <c r="B136" s="993">
        <v>2018</v>
      </c>
      <c r="C136" s="989" t="s">
        <v>2999</v>
      </c>
      <c r="D136" s="989" t="s">
        <v>663</v>
      </c>
      <c r="E136" s="989" t="s">
        <v>1163</v>
      </c>
      <c r="F136" s="994">
        <v>0</v>
      </c>
      <c r="G136" s="989" t="s">
        <v>657</v>
      </c>
      <c r="H136" s="996"/>
      <c r="I136" s="996"/>
      <c r="J136" s="994">
        <v>0</v>
      </c>
      <c r="K136" s="997">
        <v>0</v>
      </c>
    </row>
    <row r="137" spans="1:11" ht="45" x14ac:dyDescent="0.25">
      <c r="A137" s="989" t="s">
        <v>174</v>
      </c>
      <c r="B137" s="993">
        <v>2018</v>
      </c>
      <c r="C137" s="989" t="s">
        <v>2999</v>
      </c>
      <c r="D137" s="989" t="s">
        <v>664</v>
      </c>
      <c r="E137" s="989" t="s">
        <v>1164</v>
      </c>
      <c r="F137" s="994">
        <v>0</v>
      </c>
      <c r="G137" s="989" t="s">
        <v>657</v>
      </c>
      <c r="H137" s="996"/>
      <c r="I137" s="996"/>
      <c r="J137" s="994">
        <v>0</v>
      </c>
      <c r="K137" s="997">
        <v>0</v>
      </c>
    </row>
    <row r="138" spans="1:11" ht="45" x14ac:dyDescent="0.25">
      <c r="A138" s="989" t="s">
        <v>174</v>
      </c>
      <c r="B138" s="993">
        <v>2018</v>
      </c>
      <c r="C138" s="989" t="s">
        <v>2999</v>
      </c>
      <c r="D138" s="989" t="s">
        <v>665</v>
      </c>
      <c r="E138" s="989" t="s">
        <v>1165</v>
      </c>
      <c r="F138" s="994">
        <v>0</v>
      </c>
      <c r="G138" s="989" t="s">
        <v>657</v>
      </c>
      <c r="H138" s="994">
        <v>-390893.375</v>
      </c>
      <c r="I138" s="994">
        <v>165328.703125</v>
      </c>
      <c r="J138" s="994">
        <v>-225564.65625</v>
      </c>
      <c r="K138" s="997">
        <v>-225564.66</v>
      </c>
    </row>
    <row r="139" spans="1:11" ht="45" x14ac:dyDescent="0.25">
      <c r="A139" s="989" t="s">
        <v>174</v>
      </c>
      <c r="B139" s="993">
        <v>2018</v>
      </c>
      <c r="C139" s="989" t="s">
        <v>2999</v>
      </c>
      <c r="D139" s="989" t="s">
        <v>1870</v>
      </c>
      <c r="E139" s="989" t="s">
        <v>2287</v>
      </c>
      <c r="F139" s="994">
        <v>0</v>
      </c>
      <c r="G139" s="989" t="s">
        <v>657</v>
      </c>
      <c r="H139" s="994">
        <v>0</v>
      </c>
      <c r="I139" s="994">
        <v>12981.580078125</v>
      </c>
      <c r="J139" s="994">
        <v>12981.580078125</v>
      </c>
      <c r="K139" s="997">
        <v>12981.58</v>
      </c>
    </row>
    <row r="140" spans="1:11" ht="45" x14ac:dyDescent="0.25">
      <c r="A140" s="989" t="s">
        <v>174</v>
      </c>
      <c r="B140" s="993">
        <v>2018</v>
      </c>
      <c r="C140" s="989" t="s">
        <v>2999</v>
      </c>
      <c r="D140" s="989" t="s">
        <v>2486</v>
      </c>
      <c r="E140" s="989" t="s">
        <v>2491</v>
      </c>
      <c r="F140" s="994">
        <v>0</v>
      </c>
      <c r="G140" s="989" t="s">
        <v>657</v>
      </c>
      <c r="H140" s="994">
        <v>-686801.75</v>
      </c>
      <c r="I140" s="994">
        <v>709258.3125</v>
      </c>
      <c r="J140" s="994">
        <v>22456.58984375</v>
      </c>
      <c r="K140" s="997">
        <v>22456.590000000098</v>
      </c>
    </row>
    <row r="141" spans="1:11" ht="45" x14ac:dyDescent="0.25">
      <c r="A141" s="989" t="s">
        <v>174</v>
      </c>
      <c r="B141" s="993">
        <v>2018</v>
      </c>
      <c r="C141" s="989" t="s">
        <v>2999</v>
      </c>
      <c r="D141" s="989" t="s">
        <v>4892</v>
      </c>
      <c r="E141" s="989" t="s">
        <v>5986</v>
      </c>
      <c r="F141" s="994">
        <v>0</v>
      </c>
      <c r="G141" s="989" t="s">
        <v>657</v>
      </c>
      <c r="H141" s="994">
        <v>-718186.3125</v>
      </c>
      <c r="I141" s="994">
        <v>-77057.7578125</v>
      </c>
      <c r="J141" s="994">
        <v>-795244.125</v>
      </c>
      <c r="K141" s="997">
        <v>-795244.1</v>
      </c>
    </row>
    <row r="142" spans="1:11" ht="45" x14ac:dyDescent="0.25">
      <c r="A142" s="989" t="s">
        <v>174</v>
      </c>
      <c r="B142" s="993">
        <v>2018</v>
      </c>
      <c r="C142" s="989" t="s">
        <v>2999</v>
      </c>
      <c r="D142" s="989" t="s">
        <v>666</v>
      </c>
      <c r="E142" s="989" t="s">
        <v>1541</v>
      </c>
      <c r="F142" s="994">
        <v>-985370.59</v>
      </c>
      <c r="G142" s="995"/>
      <c r="H142" s="996"/>
      <c r="I142" s="996"/>
      <c r="J142" s="994">
        <v>0</v>
      </c>
      <c r="K142" s="997">
        <v>-985370.59</v>
      </c>
    </row>
    <row r="143" spans="1:11" x14ac:dyDescent="0.25">
      <c r="A143" s="989" t="s">
        <v>424</v>
      </c>
      <c r="B143" s="993">
        <v>2018</v>
      </c>
      <c r="C143" s="989" t="s">
        <v>2991</v>
      </c>
      <c r="D143" s="989" t="s">
        <v>49</v>
      </c>
      <c r="E143" s="989" t="s">
        <v>707</v>
      </c>
      <c r="F143" s="994">
        <v>112410.58</v>
      </c>
      <c r="G143" s="989" t="s">
        <v>657</v>
      </c>
      <c r="H143" s="994">
        <v>110802.40625</v>
      </c>
      <c r="I143" s="994">
        <v>1608.17004394531</v>
      </c>
      <c r="J143" s="994">
        <v>112410.578125</v>
      </c>
      <c r="K143" s="997">
        <v>112410.58</v>
      </c>
    </row>
    <row r="144" spans="1:11" ht="33.75" x14ac:dyDescent="0.25">
      <c r="A144" s="989" t="s">
        <v>424</v>
      </c>
      <c r="B144" s="993">
        <v>2018</v>
      </c>
      <c r="C144" s="989" t="s">
        <v>2992</v>
      </c>
      <c r="D144" s="989" t="s">
        <v>658</v>
      </c>
      <c r="E144" s="989" t="s">
        <v>708</v>
      </c>
      <c r="F144" s="994">
        <v>-11969.38</v>
      </c>
      <c r="G144" s="989" t="s">
        <v>657</v>
      </c>
      <c r="H144" s="994">
        <v>-11959.3701171875</v>
      </c>
      <c r="I144" s="994">
        <v>-10.0100002288818</v>
      </c>
      <c r="J144" s="994">
        <v>-11969.3798828125</v>
      </c>
      <c r="K144" s="997">
        <v>-11969.38</v>
      </c>
    </row>
    <row r="145" spans="1:11" ht="22.5" x14ac:dyDescent="0.25">
      <c r="A145" s="989" t="s">
        <v>424</v>
      </c>
      <c r="B145" s="993">
        <v>2018</v>
      </c>
      <c r="C145" s="989" t="s">
        <v>2993</v>
      </c>
      <c r="D145" s="989" t="s">
        <v>464</v>
      </c>
      <c r="E145" s="989" t="s">
        <v>709</v>
      </c>
      <c r="F145" s="994">
        <v>0</v>
      </c>
      <c r="G145" s="995"/>
      <c r="H145" s="996"/>
      <c r="I145" s="996"/>
      <c r="J145" s="994">
        <v>0</v>
      </c>
      <c r="K145" s="997">
        <v>0</v>
      </c>
    </row>
    <row r="146" spans="1:11" ht="33.75" x14ac:dyDescent="0.25">
      <c r="A146" s="989" t="s">
        <v>424</v>
      </c>
      <c r="B146" s="993">
        <v>2018</v>
      </c>
      <c r="C146" s="989" t="s">
        <v>2994</v>
      </c>
      <c r="D146" s="989" t="s">
        <v>46</v>
      </c>
      <c r="E146" s="989" t="s">
        <v>710</v>
      </c>
      <c r="F146" s="994">
        <v>-1029095.17</v>
      </c>
      <c r="G146" s="989" t="s">
        <v>657</v>
      </c>
      <c r="H146" s="994">
        <v>-1014265.1875</v>
      </c>
      <c r="I146" s="994">
        <v>-14830</v>
      </c>
      <c r="J146" s="994">
        <v>-1029095.1875</v>
      </c>
      <c r="K146" s="997">
        <v>-1029095.17</v>
      </c>
    </row>
    <row r="147" spans="1:11" ht="22.5" x14ac:dyDescent="0.25">
      <c r="A147" s="989" t="s">
        <v>424</v>
      </c>
      <c r="B147" s="993">
        <v>2018</v>
      </c>
      <c r="C147" s="989" t="s">
        <v>2994</v>
      </c>
      <c r="D147" s="989" t="s">
        <v>2482</v>
      </c>
      <c r="E147" s="989" t="s">
        <v>710</v>
      </c>
      <c r="F147" s="994">
        <v>0</v>
      </c>
      <c r="G147" s="995"/>
      <c r="H147" s="996"/>
      <c r="I147" s="996"/>
      <c r="J147" s="994">
        <v>0</v>
      </c>
      <c r="K147" s="997">
        <v>0</v>
      </c>
    </row>
    <row r="148" spans="1:11" ht="22.5" x14ac:dyDescent="0.25">
      <c r="A148" s="989" t="s">
        <v>424</v>
      </c>
      <c r="B148" s="993">
        <v>2018</v>
      </c>
      <c r="C148" s="989" t="s">
        <v>2994</v>
      </c>
      <c r="D148" s="989" t="s">
        <v>2483</v>
      </c>
      <c r="E148" s="989" t="s">
        <v>710</v>
      </c>
      <c r="F148" s="994">
        <v>0</v>
      </c>
      <c r="G148" s="995"/>
      <c r="H148" s="996"/>
      <c r="I148" s="996"/>
      <c r="J148" s="994">
        <v>0</v>
      </c>
      <c r="K148" s="997">
        <v>0</v>
      </c>
    </row>
    <row r="149" spans="1:11" ht="22.5" x14ac:dyDescent="0.25">
      <c r="A149" s="989" t="s">
        <v>424</v>
      </c>
      <c r="B149" s="993">
        <v>2018</v>
      </c>
      <c r="C149" s="989" t="s">
        <v>2994</v>
      </c>
      <c r="D149" s="989" t="s">
        <v>2484</v>
      </c>
      <c r="E149" s="989" t="s">
        <v>710</v>
      </c>
      <c r="F149" s="994">
        <v>405.08</v>
      </c>
      <c r="G149" s="995"/>
      <c r="H149" s="996"/>
      <c r="I149" s="996"/>
      <c r="J149" s="994">
        <v>0</v>
      </c>
      <c r="K149" s="997">
        <v>405.08</v>
      </c>
    </row>
    <row r="150" spans="1:11" ht="22.5" x14ac:dyDescent="0.25">
      <c r="A150" s="989" t="s">
        <v>424</v>
      </c>
      <c r="B150" s="993">
        <v>2018</v>
      </c>
      <c r="C150" s="989" t="s">
        <v>2994</v>
      </c>
      <c r="D150" s="989" t="s">
        <v>2485</v>
      </c>
      <c r="E150" s="989" t="s">
        <v>710</v>
      </c>
      <c r="F150" s="994">
        <v>-31393.93</v>
      </c>
      <c r="G150" s="995"/>
      <c r="H150" s="996"/>
      <c r="I150" s="996"/>
      <c r="J150" s="994">
        <v>0</v>
      </c>
      <c r="K150" s="997">
        <v>-31393.93</v>
      </c>
    </row>
    <row r="151" spans="1:11" ht="33.75" x14ac:dyDescent="0.25">
      <c r="A151" s="989" t="s">
        <v>424</v>
      </c>
      <c r="B151" s="993">
        <v>2018</v>
      </c>
      <c r="C151" s="989" t="s">
        <v>2995</v>
      </c>
      <c r="D151" s="989" t="s">
        <v>47</v>
      </c>
      <c r="E151" s="989" t="s">
        <v>711</v>
      </c>
      <c r="F151" s="994">
        <v>-150345.95000000001</v>
      </c>
      <c r="G151" s="989" t="s">
        <v>657</v>
      </c>
      <c r="H151" s="994">
        <v>-147896.40625</v>
      </c>
      <c r="I151" s="994">
        <v>-2449.5400390625</v>
      </c>
      <c r="J151" s="994">
        <v>-150345.953125</v>
      </c>
      <c r="K151" s="997">
        <v>-150345.95000000001</v>
      </c>
    </row>
    <row r="152" spans="1:11" ht="33.75" x14ac:dyDescent="0.25">
      <c r="A152" s="989" t="s">
        <v>424</v>
      </c>
      <c r="B152" s="993">
        <v>2018</v>
      </c>
      <c r="C152" s="989" t="s">
        <v>2996</v>
      </c>
      <c r="D152" s="989" t="s">
        <v>48</v>
      </c>
      <c r="E152" s="989" t="s">
        <v>712</v>
      </c>
      <c r="F152" s="994">
        <v>105443.41</v>
      </c>
      <c r="G152" s="989" t="s">
        <v>657</v>
      </c>
      <c r="H152" s="994">
        <v>106491.9609375</v>
      </c>
      <c r="I152" s="994">
        <v>-1048.55004882813</v>
      </c>
      <c r="J152" s="994">
        <v>105443.40625</v>
      </c>
      <c r="K152" s="997">
        <v>105443.41</v>
      </c>
    </row>
    <row r="153" spans="1:11" ht="33.75" x14ac:dyDescent="0.25">
      <c r="A153" s="989" t="s">
        <v>424</v>
      </c>
      <c r="B153" s="993">
        <v>2018</v>
      </c>
      <c r="C153" s="989" t="s">
        <v>2997</v>
      </c>
      <c r="D153" s="989" t="s">
        <v>50</v>
      </c>
      <c r="E153" s="989" t="s">
        <v>713</v>
      </c>
      <c r="F153" s="994">
        <v>1000907.3</v>
      </c>
      <c r="G153" s="989" t="s">
        <v>657</v>
      </c>
      <c r="H153" s="994">
        <v>997838</v>
      </c>
      <c r="I153" s="994">
        <v>3069.27001953125</v>
      </c>
      <c r="J153" s="994">
        <v>1000907.3125</v>
      </c>
      <c r="K153" s="997">
        <v>1000907.3</v>
      </c>
    </row>
    <row r="154" spans="1:11" ht="22.5" x14ac:dyDescent="0.25">
      <c r="A154" s="989" t="s">
        <v>424</v>
      </c>
      <c r="B154" s="993">
        <v>2018</v>
      </c>
      <c r="C154" s="989" t="s">
        <v>2998</v>
      </c>
      <c r="D154" s="989" t="s">
        <v>348</v>
      </c>
      <c r="E154" s="989" t="s">
        <v>714</v>
      </c>
      <c r="F154" s="994">
        <v>536851.67000000004</v>
      </c>
      <c r="G154" s="989" t="s">
        <v>657</v>
      </c>
      <c r="H154" s="994">
        <v>521911.84375</v>
      </c>
      <c r="I154" s="994">
        <v>14939.830078125</v>
      </c>
      <c r="J154" s="994">
        <v>536851.6875</v>
      </c>
      <c r="K154" s="997">
        <v>536851.67000000004</v>
      </c>
    </row>
    <row r="155" spans="1:11" ht="45" x14ac:dyDescent="0.25">
      <c r="A155" s="989" t="s">
        <v>424</v>
      </c>
      <c r="B155" s="993">
        <v>2018</v>
      </c>
      <c r="C155" s="989" t="s">
        <v>2999</v>
      </c>
      <c r="D155" s="989" t="s">
        <v>659</v>
      </c>
      <c r="E155" s="989" t="s">
        <v>1166</v>
      </c>
      <c r="F155" s="994">
        <v>0</v>
      </c>
      <c r="G155" s="989" t="s">
        <v>657</v>
      </c>
      <c r="H155" s="994">
        <v>0</v>
      </c>
      <c r="I155" s="994">
        <v>0</v>
      </c>
      <c r="J155" s="994">
        <v>0</v>
      </c>
      <c r="K155" s="997">
        <v>0</v>
      </c>
    </row>
    <row r="156" spans="1:11" ht="45" x14ac:dyDescent="0.25">
      <c r="A156" s="989" t="s">
        <v>424</v>
      </c>
      <c r="B156" s="993">
        <v>2018</v>
      </c>
      <c r="C156" s="989" t="s">
        <v>2999</v>
      </c>
      <c r="D156" s="989" t="s">
        <v>660</v>
      </c>
      <c r="E156" s="989" t="s">
        <v>1167</v>
      </c>
      <c r="F156" s="994">
        <v>0</v>
      </c>
      <c r="G156" s="989" t="s">
        <v>657</v>
      </c>
      <c r="H156" s="994">
        <v>0</v>
      </c>
      <c r="I156" s="994">
        <v>0</v>
      </c>
      <c r="J156" s="994">
        <v>0</v>
      </c>
      <c r="K156" s="997">
        <v>0</v>
      </c>
    </row>
    <row r="157" spans="1:11" ht="45" x14ac:dyDescent="0.25">
      <c r="A157" s="989" t="s">
        <v>424</v>
      </c>
      <c r="B157" s="993">
        <v>2018</v>
      </c>
      <c r="C157" s="989" t="s">
        <v>2999</v>
      </c>
      <c r="D157" s="989" t="s">
        <v>661</v>
      </c>
      <c r="E157" s="989" t="s">
        <v>1168</v>
      </c>
      <c r="F157" s="994">
        <v>0</v>
      </c>
      <c r="G157" s="989" t="s">
        <v>657</v>
      </c>
      <c r="H157" s="994">
        <v>0</v>
      </c>
      <c r="I157" s="994">
        <v>0</v>
      </c>
      <c r="J157" s="994">
        <v>0</v>
      </c>
      <c r="K157" s="997">
        <v>0</v>
      </c>
    </row>
    <row r="158" spans="1:11" ht="45" x14ac:dyDescent="0.25">
      <c r="A158" s="989" t="s">
        <v>424</v>
      </c>
      <c r="B158" s="993">
        <v>2018</v>
      </c>
      <c r="C158" s="989" t="s">
        <v>2999</v>
      </c>
      <c r="D158" s="989" t="s">
        <v>662</v>
      </c>
      <c r="E158" s="989" t="s">
        <v>1169</v>
      </c>
      <c r="F158" s="994">
        <v>0</v>
      </c>
      <c r="G158" s="989" t="s">
        <v>657</v>
      </c>
      <c r="H158" s="994">
        <v>0</v>
      </c>
      <c r="I158" s="994">
        <v>0</v>
      </c>
      <c r="J158" s="994">
        <v>0</v>
      </c>
      <c r="K158" s="997">
        <v>0</v>
      </c>
    </row>
    <row r="159" spans="1:11" ht="45" x14ac:dyDescent="0.25">
      <c r="A159" s="989" t="s">
        <v>424</v>
      </c>
      <c r="B159" s="993">
        <v>2018</v>
      </c>
      <c r="C159" s="989" t="s">
        <v>2999</v>
      </c>
      <c r="D159" s="989" t="s">
        <v>663</v>
      </c>
      <c r="E159" s="989" t="s">
        <v>1170</v>
      </c>
      <c r="F159" s="994">
        <v>0</v>
      </c>
      <c r="G159" s="989" t="s">
        <v>657</v>
      </c>
      <c r="H159" s="994">
        <v>0</v>
      </c>
      <c r="I159" s="994">
        <v>0</v>
      </c>
      <c r="J159" s="994">
        <v>0</v>
      </c>
      <c r="K159" s="997">
        <v>0</v>
      </c>
    </row>
    <row r="160" spans="1:11" ht="45" x14ac:dyDescent="0.25">
      <c r="A160" s="989" t="s">
        <v>424</v>
      </c>
      <c r="B160" s="993">
        <v>2018</v>
      </c>
      <c r="C160" s="989" t="s">
        <v>2999</v>
      </c>
      <c r="D160" s="989" t="s">
        <v>664</v>
      </c>
      <c r="E160" s="989" t="s">
        <v>1171</v>
      </c>
      <c r="F160" s="994">
        <v>0</v>
      </c>
      <c r="G160" s="989" t="s">
        <v>657</v>
      </c>
      <c r="H160" s="994">
        <v>-15592.8701171875</v>
      </c>
      <c r="I160" s="994">
        <v>-186.77000427246099</v>
      </c>
      <c r="J160" s="994">
        <v>-15779.6396484375</v>
      </c>
      <c r="K160" s="997">
        <v>-15779.64</v>
      </c>
    </row>
    <row r="161" spans="1:11" ht="45" x14ac:dyDescent="0.25">
      <c r="A161" s="989" t="s">
        <v>424</v>
      </c>
      <c r="B161" s="993">
        <v>2018</v>
      </c>
      <c r="C161" s="989" t="s">
        <v>2999</v>
      </c>
      <c r="D161" s="989" t="s">
        <v>665</v>
      </c>
      <c r="E161" s="989" t="s">
        <v>1172</v>
      </c>
      <c r="F161" s="994">
        <v>0</v>
      </c>
      <c r="G161" s="989" t="s">
        <v>657</v>
      </c>
      <c r="H161" s="994">
        <v>0</v>
      </c>
      <c r="I161" s="994">
        <v>0</v>
      </c>
      <c r="J161" s="994">
        <v>0</v>
      </c>
      <c r="K161" s="997">
        <v>0</v>
      </c>
    </row>
    <row r="162" spans="1:11" ht="45" x14ac:dyDescent="0.25">
      <c r="A162" s="989" t="s">
        <v>424</v>
      </c>
      <c r="B162" s="993">
        <v>2018</v>
      </c>
      <c r="C162" s="989" t="s">
        <v>2999</v>
      </c>
      <c r="D162" s="989" t="s">
        <v>1870</v>
      </c>
      <c r="E162" s="989" t="s">
        <v>2288</v>
      </c>
      <c r="F162" s="994">
        <v>0</v>
      </c>
      <c r="G162" s="989" t="s">
        <v>657</v>
      </c>
      <c r="H162" s="994">
        <v>-136007.21875</v>
      </c>
      <c r="I162" s="994">
        <v>-7363.27001953125</v>
      </c>
      <c r="J162" s="994">
        <v>-143370.484375</v>
      </c>
      <c r="K162" s="997">
        <v>-143370.49</v>
      </c>
    </row>
    <row r="163" spans="1:11" ht="45" x14ac:dyDescent="0.25">
      <c r="A163" s="989" t="s">
        <v>424</v>
      </c>
      <c r="B163" s="993">
        <v>2018</v>
      </c>
      <c r="C163" s="989" t="s">
        <v>2999</v>
      </c>
      <c r="D163" s="989" t="s">
        <v>2486</v>
      </c>
      <c r="E163" s="989" t="s">
        <v>2492</v>
      </c>
      <c r="F163" s="994">
        <v>0</v>
      </c>
      <c r="G163" s="989" t="s">
        <v>657</v>
      </c>
      <c r="H163" s="994">
        <v>-169951.765625</v>
      </c>
      <c r="I163" s="994">
        <v>257890.953125</v>
      </c>
      <c r="J163" s="994">
        <v>87939.1796875</v>
      </c>
      <c r="K163" s="997">
        <v>87939.18</v>
      </c>
    </row>
    <row r="164" spans="1:11" ht="45" x14ac:dyDescent="0.25">
      <c r="A164" s="989" t="s">
        <v>424</v>
      </c>
      <c r="B164" s="993">
        <v>2018</v>
      </c>
      <c r="C164" s="989" t="s">
        <v>2999</v>
      </c>
      <c r="D164" s="989" t="s">
        <v>4892</v>
      </c>
      <c r="E164" s="989" t="s">
        <v>5987</v>
      </c>
      <c r="F164" s="994">
        <v>0</v>
      </c>
      <c r="G164" s="989" t="s">
        <v>657</v>
      </c>
      <c r="H164" s="994">
        <v>-65963.4609375</v>
      </c>
      <c r="I164" s="994">
        <v>-37703.23828125</v>
      </c>
      <c r="J164" s="994">
        <v>-103666.703125</v>
      </c>
      <c r="K164" s="997">
        <v>-103666.7</v>
      </c>
    </row>
    <row r="165" spans="1:11" ht="45" x14ac:dyDescent="0.25">
      <c r="A165" s="989" t="s">
        <v>424</v>
      </c>
      <c r="B165" s="993">
        <v>2018</v>
      </c>
      <c r="C165" s="989" t="s">
        <v>2999</v>
      </c>
      <c r="D165" s="989" t="s">
        <v>666</v>
      </c>
      <c r="E165" s="989" t="s">
        <v>1542</v>
      </c>
      <c r="F165" s="994">
        <v>-174877.65</v>
      </c>
      <c r="G165" s="995"/>
      <c r="H165" s="996"/>
      <c r="I165" s="996"/>
      <c r="J165" s="994">
        <v>0</v>
      </c>
      <c r="K165" s="997">
        <v>-174877.65</v>
      </c>
    </row>
    <row r="166" spans="1:11" x14ac:dyDescent="0.25">
      <c r="A166" s="989" t="s">
        <v>175</v>
      </c>
      <c r="B166" s="993">
        <v>2018</v>
      </c>
      <c r="C166" s="989" t="s">
        <v>2991</v>
      </c>
      <c r="D166" s="989" t="s">
        <v>49</v>
      </c>
      <c r="E166" s="989" t="s">
        <v>715</v>
      </c>
      <c r="F166" s="994">
        <v>501090.83</v>
      </c>
      <c r="G166" s="989" t="s">
        <v>657</v>
      </c>
      <c r="H166" s="994">
        <v>491436.09375</v>
      </c>
      <c r="I166" s="994">
        <v>9654.740234375</v>
      </c>
      <c r="J166" s="994">
        <v>501090.84375</v>
      </c>
      <c r="K166" s="997">
        <v>501090.83</v>
      </c>
    </row>
    <row r="167" spans="1:11" ht="33.75" x14ac:dyDescent="0.25">
      <c r="A167" s="989" t="s">
        <v>175</v>
      </c>
      <c r="B167" s="993">
        <v>2018</v>
      </c>
      <c r="C167" s="989" t="s">
        <v>2992</v>
      </c>
      <c r="D167" s="989" t="s">
        <v>658</v>
      </c>
      <c r="E167" s="989" t="s">
        <v>716</v>
      </c>
      <c r="F167" s="994">
        <v>-4257.92</v>
      </c>
      <c r="G167" s="989" t="s">
        <v>657</v>
      </c>
      <c r="H167" s="994">
        <v>-4174.68017578125</v>
      </c>
      <c r="I167" s="994">
        <v>-83.239997863769503</v>
      </c>
      <c r="J167" s="994">
        <v>-4257.919921875</v>
      </c>
      <c r="K167" s="997">
        <v>-4257.92</v>
      </c>
    </row>
    <row r="168" spans="1:11" ht="22.5" x14ac:dyDescent="0.25">
      <c r="A168" s="989" t="s">
        <v>175</v>
      </c>
      <c r="B168" s="993">
        <v>2018</v>
      </c>
      <c r="C168" s="989" t="s">
        <v>2993</v>
      </c>
      <c r="D168" s="989" t="s">
        <v>464</v>
      </c>
      <c r="E168" s="989" t="s">
        <v>717</v>
      </c>
      <c r="F168" s="994">
        <v>122294.36</v>
      </c>
      <c r="G168" s="995"/>
      <c r="H168" s="996"/>
      <c r="I168" s="996"/>
      <c r="J168" s="994">
        <v>0</v>
      </c>
      <c r="K168" s="997">
        <v>122294.36</v>
      </c>
    </row>
    <row r="169" spans="1:11" ht="33.75" x14ac:dyDescent="0.25">
      <c r="A169" s="989" t="s">
        <v>175</v>
      </c>
      <c r="B169" s="993">
        <v>2018</v>
      </c>
      <c r="C169" s="989" t="s">
        <v>2994</v>
      </c>
      <c r="D169" s="989" t="s">
        <v>46</v>
      </c>
      <c r="E169" s="989" t="s">
        <v>718</v>
      </c>
      <c r="F169" s="994">
        <v>-380927.21</v>
      </c>
      <c r="G169" s="989" t="s">
        <v>657</v>
      </c>
      <c r="H169" s="994">
        <v>-370133.9375</v>
      </c>
      <c r="I169" s="994">
        <v>-10793.26953125</v>
      </c>
      <c r="J169" s="994">
        <v>-380927.21875</v>
      </c>
      <c r="K169" s="997">
        <v>-380927.21</v>
      </c>
    </row>
    <row r="170" spans="1:11" ht="22.5" x14ac:dyDescent="0.25">
      <c r="A170" s="989" t="s">
        <v>175</v>
      </c>
      <c r="B170" s="993">
        <v>2018</v>
      </c>
      <c r="C170" s="989" t="s">
        <v>2994</v>
      </c>
      <c r="D170" s="989" t="s">
        <v>2482</v>
      </c>
      <c r="E170" s="989" t="s">
        <v>718</v>
      </c>
      <c r="F170" s="994">
        <v>0</v>
      </c>
      <c r="G170" s="995"/>
      <c r="H170" s="996"/>
      <c r="I170" s="996"/>
      <c r="J170" s="994">
        <v>0</v>
      </c>
      <c r="K170" s="997">
        <v>0</v>
      </c>
    </row>
    <row r="171" spans="1:11" ht="22.5" x14ac:dyDescent="0.25">
      <c r="A171" s="989" t="s">
        <v>175</v>
      </c>
      <c r="B171" s="993">
        <v>2018</v>
      </c>
      <c r="C171" s="989" t="s">
        <v>2994</v>
      </c>
      <c r="D171" s="989" t="s">
        <v>2483</v>
      </c>
      <c r="E171" s="989" t="s">
        <v>718</v>
      </c>
      <c r="F171" s="994">
        <v>0</v>
      </c>
      <c r="G171" s="995"/>
      <c r="H171" s="996"/>
      <c r="I171" s="996"/>
      <c r="J171" s="994">
        <v>0</v>
      </c>
      <c r="K171" s="997">
        <v>0</v>
      </c>
    </row>
    <row r="172" spans="1:11" ht="22.5" x14ac:dyDescent="0.25">
      <c r="A172" s="989" t="s">
        <v>175</v>
      </c>
      <c r="B172" s="993">
        <v>2018</v>
      </c>
      <c r="C172" s="989" t="s">
        <v>2994</v>
      </c>
      <c r="D172" s="989" t="s">
        <v>2484</v>
      </c>
      <c r="E172" s="989" t="s">
        <v>718</v>
      </c>
      <c r="F172" s="994">
        <v>292.2</v>
      </c>
      <c r="G172" s="995"/>
      <c r="H172" s="996"/>
      <c r="I172" s="996"/>
      <c r="J172" s="994">
        <v>0</v>
      </c>
      <c r="K172" s="997">
        <v>292.2</v>
      </c>
    </row>
    <row r="173" spans="1:11" ht="22.5" x14ac:dyDescent="0.25">
      <c r="A173" s="989" t="s">
        <v>175</v>
      </c>
      <c r="B173" s="993">
        <v>2018</v>
      </c>
      <c r="C173" s="989" t="s">
        <v>2994</v>
      </c>
      <c r="D173" s="989" t="s">
        <v>2485</v>
      </c>
      <c r="E173" s="989" t="s">
        <v>718</v>
      </c>
      <c r="F173" s="994">
        <v>-11085.47</v>
      </c>
      <c r="G173" s="995"/>
      <c r="H173" s="996"/>
      <c r="I173" s="996"/>
      <c r="J173" s="994">
        <v>0</v>
      </c>
      <c r="K173" s="997">
        <v>-11085.47</v>
      </c>
    </row>
    <row r="174" spans="1:11" ht="33.75" x14ac:dyDescent="0.25">
      <c r="A174" s="989" t="s">
        <v>175</v>
      </c>
      <c r="B174" s="993">
        <v>2018</v>
      </c>
      <c r="C174" s="989" t="s">
        <v>2995</v>
      </c>
      <c r="D174" s="989" t="s">
        <v>47</v>
      </c>
      <c r="E174" s="989" t="s">
        <v>719</v>
      </c>
      <c r="F174" s="994">
        <v>-57446.31</v>
      </c>
      <c r="G174" s="989" t="s">
        <v>657</v>
      </c>
      <c r="H174" s="994">
        <v>-54827.609375</v>
      </c>
      <c r="I174" s="994">
        <v>-2618.69995117188</v>
      </c>
      <c r="J174" s="994">
        <v>-57446.30859375</v>
      </c>
      <c r="K174" s="997">
        <v>-57446.31</v>
      </c>
    </row>
    <row r="175" spans="1:11" ht="33.75" x14ac:dyDescent="0.25">
      <c r="A175" s="989" t="s">
        <v>175</v>
      </c>
      <c r="B175" s="993">
        <v>2018</v>
      </c>
      <c r="C175" s="989" t="s">
        <v>2996</v>
      </c>
      <c r="D175" s="989" t="s">
        <v>48</v>
      </c>
      <c r="E175" s="989" t="s">
        <v>720</v>
      </c>
      <c r="F175" s="994">
        <v>909.74</v>
      </c>
      <c r="G175" s="989" t="s">
        <v>657</v>
      </c>
      <c r="H175" s="994">
        <v>1980.10998535156</v>
      </c>
      <c r="I175" s="994">
        <v>-1070.36999511719</v>
      </c>
      <c r="J175" s="994">
        <v>909.739990234375</v>
      </c>
      <c r="K175" s="997">
        <v>909.74</v>
      </c>
    </row>
    <row r="176" spans="1:11" ht="33.75" x14ac:dyDescent="0.25">
      <c r="A176" s="989" t="s">
        <v>175</v>
      </c>
      <c r="B176" s="993">
        <v>2018</v>
      </c>
      <c r="C176" s="989" t="s">
        <v>2997</v>
      </c>
      <c r="D176" s="989" t="s">
        <v>50</v>
      </c>
      <c r="E176" s="989" t="s">
        <v>721</v>
      </c>
      <c r="F176" s="994">
        <v>37637.620000000003</v>
      </c>
      <c r="G176" s="989" t="s">
        <v>657</v>
      </c>
      <c r="H176" s="994">
        <v>38637.46875</v>
      </c>
      <c r="I176" s="994">
        <v>-999.84997558593795</v>
      </c>
      <c r="J176" s="994">
        <v>37637.62109375</v>
      </c>
      <c r="K176" s="997">
        <v>37637.620000000003</v>
      </c>
    </row>
    <row r="177" spans="1:11" ht="22.5" x14ac:dyDescent="0.25">
      <c r="A177" s="989" t="s">
        <v>175</v>
      </c>
      <c r="B177" s="993">
        <v>2018</v>
      </c>
      <c r="C177" s="989" t="s">
        <v>2998</v>
      </c>
      <c r="D177" s="989" t="s">
        <v>348</v>
      </c>
      <c r="E177" s="989" t="s">
        <v>722</v>
      </c>
      <c r="F177" s="994">
        <v>321244.67</v>
      </c>
      <c r="G177" s="989" t="s">
        <v>657</v>
      </c>
      <c r="H177" s="994">
        <v>310413.21875</v>
      </c>
      <c r="I177" s="994">
        <v>10831.4404296875</v>
      </c>
      <c r="J177" s="994">
        <v>321244.65625</v>
      </c>
      <c r="K177" s="997">
        <v>321244.67</v>
      </c>
    </row>
    <row r="178" spans="1:11" ht="45" x14ac:dyDescent="0.25">
      <c r="A178" s="989" t="s">
        <v>175</v>
      </c>
      <c r="B178" s="993">
        <v>2018</v>
      </c>
      <c r="C178" s="989" t="s">
        <v>2999</v>
      </c>
      <c r="D178" s="989" t="s">
        <v>659</v>
      </c>
      <c r="E178" s="989" t="s">
        <v>1173</v>
      </c>
      <c r="F178" s="994">
        <v>0</v>
      </c>
      <c r="G178" s="989" t="s">
        <v>657</v>
      </c>
      <c r="H178" s="994">
        <v>0</v>
      </c>
      <c r="I178" s="994">
        <v>0</v>
      </c>
      <c r="J178" s="994">
        <v>0</v>
      </c>
      <c r="K178" s="997">
        <v>0</v>
      </c>
    </row>
    <row r="179" spans="1:11" ht="45" x14ac:dyDescent="0.25">
      <c r="A179" s="989" t="s">
        <v>175</v>
      </c>
      <c r="B179" s="993">
        <v>2018</v>
      </c>
      <c r="C179" s="989" t="s">
        <v>2999</v>
      </c>
      <c r="D179" s="989" t="s">
        <v>660</v>
      </c>
      <c r="E179" s="989" t="s">
        <v>1174</v>
      </c>
      <c r="F179" s="994">
        <v>0</v>
      </c>
      <c r="G179" s="989" t="s">
        <v>657</v>
      </c>
      <c r="H179" s="994">
        <v>0</v>
      </c>
      <c r="I179" s="994">
        <v>0</v>
      </c>
      <c r="J179" s="994">
        <v>0</v>
      </c>
      <c r="K179" s="997">
        <v>0</v>
      </c>
    </row>
    <row r="180" spans="1:11" ht="45" x14ac:dyDescent="0.25">
      <c r="A180" s="989" t="s">
        <v>175</v>
      </c>
      <c r="B180" s="993">
        <v>2018</v>
      </c>
      <c r="C180" s="989" t="s">
        <v>2999</v>
      </c>
      <c r="D180" s="989" t="s">
        <v>661</v>
      </c>
      <c r="E180" s="989" t="s">
        <v>1175</v>
      </c>
      <c r="F180" s="994">
        <v>0</v>
      </c>
      <c r="G180" s="989" t="s">
        <v>657</v>
      </c>
      <c r="H180" s="994">
        <v>0</v>
      </c>
      <c r="I180" s="994">
        <v>0</v>
      </c>
      <c r="J180" s="994">
        <v>0</v>
      </c>
      <c r="K180" s="997">
        <v>0</v>
      </c>
    </row>
    <row r="181" spans="1:11" ht="45" x14ac:dyDescent="0.25">
      <c r="A181" s="989" t="s">
        <v>175</v>
      </c>
      <c r="B181" s="993">
        <v>2018</v>
      </c>
      <c r="C181" s="989" t="s">
        <v>2999</v>
      </c>
      <c r="D181" s="989" t="s">
        <v>662</v>
      </c>
      <c r="E181" s="989" t="s">
        <v>1176</v>
      </c>
      <c r="F181" s="994">
        <v>0</v>
      </c>
      <c r="G181" s="989" t="s">
        <v>657</v>
      </c>
      <c r="H181" s="994">
        <v>0</v>
      </c>
      <c r="I181" s="994">
        <v>0</v>
      </c>
      <c r="J181" s="994">
        <v>0</v>
      </c>
      <c r="K181" s="997">
        <v>0</v>
      </c>
    </row>
    <row r="182" spans="1:11" ht="45" x14ac:dyDescent="0.25">
      <c r="A182" s="989" t="s">
        <v>175</v>
      </c>
      <c r="B182" s="993">
        <v>2018</v>
      </c>
      <c r="C182" s="989" t="s">
        <v>2999</v>
      </c>
      <c r="D182" s="989" t="s">
        <v>663</v>
      </c>
      <c r="E182" s="989" t="s">
        <v>1177</v>
      </c>
      <c r="F182" s="994">
        <v>0</v>
      </c>
      <c r="G182" s="989" t="s">
        <v>657</v>
      </c>
      <c r="H182" s="994">
        <v>863.41998291015602</v>
      </c>
      <c r="I182" s="994">
        <v>-2377.02001953125</v>
      </c>
      <c r="J182" s="994">
        <v>-1513.59997558594</v>
      </c>
      <c r="K182" s="997">
        <v>-1513.6</v>
      </c>
    </row>
    <row r="183" spans="1:11" ht="45" x14ac:dyDescent="0.25">
      <c r="A183" s="989" t="s">
        <v>175</v>
      </c>
      <c r="B183" s="993">
        <v>2018</v>
      </c>
      <c r="C183" s="989" t="s">
        <v>2999</v>
      </c>
      <c r="D183" s="989" t="s">
        <v>664</v>
      </c>
      <c r="E183" s="989" t="s">
        <v>1178</v>
      </c>
      <c r="F183" s="994">
        <v>0</v>
      </c>
      <c r="G183" s="989" t="s">
        <v>657</v>
      </c>
      <c r="H183" s="994">
        <v>-1243.08996582031</v>
      </c>
      <c r="I183" s="994">
        <v>-833.760009765625</v>
      </c>
      <c r="J183" s="994">
        <v>-2076.85009765625</v>
      </c>
      <c r="K183" s="997">
        <v>-2076.85</v>
      </c>
    </row>
    <row r="184" spans="1:11" ht="45" x14ac:dyDescent="0.25">
      <c r="A184" s="989" t="s">
        <v>175</v>
      </c>
      <c r="B184" s="993">
        <v>2018</v>
      </c>
      <c r="C184" s="989" t="s">
        <v>2999</v>
      </c>
      <c r="D184" s="989" t="s">
        <v>665</v>
      </c>
      <c r="E184" s="989" t="s">
        <v>1179</v>
      </c>
      <c r="F184" s="994">
        <v>0</v>
      </c>
      <c r="G184" s="989" t="s">
        <v>657</v>
      </c>
      <c r="H184" s="996"/>
      <c r="I184" s="996"/>
      <c r="J184" s="994">
        <v>0</v>
      </c>
      <c r="K184" s="997">
        <v>0</v>
      </c>
    </row>
    <row r="185" spans="1:11" ht="45" x14ac:dyDescent="0.25">
      <c r="A185" s="989" t="s">
        <v>175</v>
      </c>
      <c r="B185" s="993">
        <v>2018</v>
      </c>
      <c r="C185" s="989" t="s">
        <v>2999</v>
      </c>
      <c r="D185" s="989" t="s">
        <v>1870</v>
      </c>
      <c r="E185" s="989" t="s">
        <v>2289</v>
      </c>
      <c r="F185" s="994">
        <v>0</v>
      </c>
      <c r="G185" s="989" t="s">
        <v>657</v>
      </c>
      <c r="H185" s="994">
        <v>-14051.599609375</v>
      </c>
      <c r="I185" s="994">
        <v>1182.73999023438</v>
      </c>
      <c r="J185" s="994">
        <v>-12868.8603515625</v>
      </c>
      <c r="K185" s="997">
        <v>-12868.86</v>
      </c>
    </row>
    <row r="186" spans="1:11" ht="45" x14ac:dyDescent="0.25">
      <c r="A186" s="989" t="s">
        <v>175</v>
      </c>
      <c r="B186" s="993">
        <v>2018</v>
      </c>
      <c r="C186" s="989" t="s">
        <v>2999</v>
      </c>
      <c r="D186" s="989" t="s">
        <v>2486</v>
      </c>
      <c r="E186" s="989" t="s">
        <v>2493</v>
      </c>
      <c r="F186" s="994">
        <v>0</v>
      </c>
      <c r="G186" s="989" t="s">
        <v>657</v>
      </c>
      <c r="H186" s="996"/>
      <c r="I186" s="996"/>
      <c r="J186" s="994">
        <v>0</v>
      </c>
      <c r="K186" s="997">
        <v>0</v>
      </c>
    </row>
    <row r="187" spans="1:11" ht="45" x14ac:dyDescent="0.25">
      <c r="A187" s="989" t="s">
        <v>175</v>
      </c>
      <c r="B187" s="993">
        <v>2018</v>
      </c>
      <c r="C187" s="989" t="s">
        <v>2999</v>
      </c>
      <c r="D187" s="989" t="s">
        <v>4892</v>
      </c>
      <c r="E187" s="989" t="s">
        <v>5988</v>
      </c>
      <c r="F187" s="994">
        <v>0</v>
      </c>
      <c r="G187" s="989" t="s">
        <v>657</v>
      </c>
      <c r="H187" s="994">
        <v>19748.1796875</v>
      </c>
      <c r="I187" s="994">
        <v>317.30999755859398</v>
      </c>
      <c r="J187" s="994">
        <v>20065.490234375</v>
      </c>
      <c r="K187" s="997">
        <v>20065.490000000002</v>
      </c>
    </row>
    <row r="188" spans="1:11" ht="45" x14ac:dyDescent="0.25">
      <c r="A188" s="989" t="s">
        <v>175</v>
      </c>
      <c r="B188" s="993">
        <v>2018</v>
      </c>
      <c r="C188" s="989" t="s">
        <v>2999</v>
      </c>
      <c r="D188" s="989" t="s">
        <v>666</v>
      </c>
      <c r="E188" s="989" t="s">
        <v>1543</v>
      </c>
      <c r="F188" s="994">
        <v>3606.18</v>
      </c>
      <c r="G188" s="995"/>
      <c r="H188" s="996"/>
      <c r="I188" s="996"/>
      <c r="J188" s="994">
        <v>0</v>
      </c>
      <c r="K188" s="997">
        <v>3606.18</v>
      </c>
    </row>
    <row r="189" spans="1:11" ht="22.5" x14ac:dyDescent="0.25">
      <c r="A189" s="989" t="s">
        <v>200</v>
      </c>
      <c r="B189" s="993">
        <v>2018</v>
      </c>
      <c r="C189" s="989" t="s">
        <v>2991</v>
      </c>
      <c r="D189" s="989" t="s">
        <v>49</v>
      </c>
      <c r="E189" s="989" t="s">
        <v>723</v>
      </c>
      <c r="F189" s="994">
        <v>200139.14</v>
      </c>
      <c r="G189" s="989" t="s">
        <v>657</v>
      </c>
      <c r="H189" s="994">
        <v>195675.765625</v>
      </c>
      <c r="I189" s="994">
        <v>4463.3701171875</v>
      </c>
      <c r="J189" s="994">
        <v>200139.140625</v>
      </c>
      <c r="K189" s="997">
        <v>200139.14</v>
      </c>
    </row>
    <row r="190" spans="1:11" ht="33.75" x14ac:dyDescent="0.25">
      <c r="A190" s="989" t="s">
        <v>200</v>
      </c>
      <c r="B190" s="993">
        <v>2018</v>
      </c>
      <c r="C190" s="989" t="s">
        <v>2992</v>
      </c>
      <c r="D190" s="989" t="s">
        <v>658</v>
      </c>
      <c r="E190" s="989" t="s">
        <v>724</v>
      </c>
      <c r="F190" s="994">
        <v>-345.58</v>
      </c>
      <c r="G190" s="989" t="s">
        <v>657</v>
      </c>
      <c r="H190" s="994">
        <v>-285.94000244140602</v>
      </c>
      <c r="I190" s="994">
        <v>-59.639999389648402</v>
      </c>
      <c r="J190" s="994">
        <v>-345.57998657226602</v>
      </c>
      <c r="K190" s="997">
        <v>-345.58</v>
      </c>
    </row>
    <row r="191" spans="1:11" ht="22.5" x14ac:dyDescent="0.25">
      <c r="A191" s="989" t="s">
        <v>200</v>
      </c>
      <c r="B191" s="993">
        <v>2018</v>
      </c>
      <c r="C191" s="989" t="s">
        <v>2993</v>
      </c>
      <c r="D191" s="989" t="s">
        <v>464</v>
      </c>
      <c r="E191" s="989" t="s">
        <v>725</v>
      </c>
      <c r="F191" s="994">
        <v>-9753.85</v>
      </c>
      <c r="G191" s="995"/>
      <c r="H191" s="996"/>
      <c r="I191" s="996"/>
      <c r="J191" s="994">
        <v>0</v>
      </c>
      <c r="K191" s="997">
        <v>-9753.85</v>
      </c>
    </row>
    <row r="192" spans="1:11" ht="33.75" x14ac:dyDescent="0.25">
      <c r="A192" s="989" t="s">
        <v>200</v>
      </c>
      <c r="B192" s="993">
        <v>2018</v>
      </c>
      <c r="C192" s="989" t="s">
        <v>2994</v>
      </c>
      <c r="D192" s="989" t="s">
        <v>46</v>
      </c>
      <c r="E192" s="989" t="s">
        <v>726</v>
      </c>
      <c r="F192" s="994">
        <v>-105359.41</v>
      </c>
      <c r="G192" s="989" t="s">
        <v>657</v>
      </c>
      <c r="H192" s="994">
        <v>-103580.109375</v>
      </c>
      <c r="I192" s="994">
        <v>-1779.30004882813</v>
      </c>
      <c r="J192" s="994">
        <v>-105359.40625</v>
      </c>
      <c r="K192" s="997">
        <v>-105359.41</v>
      </c>
    </row>
    <row r="193" spans="1:11" ht="22.5" x14ac:dyDescent="0.25">
      <c r="A193" s="989" t="s">
        <v>200</v>
      </c>
      <c r="B193" s="993">
        <v>2018</v>
      </c>
      <c r="C193" s="989" t="s">
        <v>2994</v>
      </c>
      <c r="D193" s="989" t="s">
        <v>2482</v>
      </c>
      <c r="E193" s="989" t="s">
        <v>726</v>
      </c>
      <c r="F193" s="994">
        <v>0</v>
      </c>
      <c r="G193" s="995"/>
      <c r="H193" s="996"/>
      <c r="I193" s="996"/>
      <c r="J193" s="994">
        <v>0</v>
      </c>
      <c r="K193" s="997">
        <v>0</v>
      </c>
    </row>
    <row r="194" spans="1:11" ht="22.5" x14ac:dyDescent="0.25">
      <c r="A194" s="989" t="s">
        <v>200</v>
      </c>
      <c r="B194" s="993">
        <v>2018</v>
      </c>
      <c r="C194" s="989" t="s">
        <v>2994</v>
      </c>
      <c r="D194" s="989" t="s">
        <v>2483</v>
      </c>
      <c r="E194" s="989" t="s">
        <v>726</v>
      </c>
      <c r="F194" s="994">
        <v>0</v>
      </c>
      <c r="G194" s="995"/>
      <c r="H194" s="996"/>
      <c r="I194" s="996"/>
      <c r="J194" s="994">
        <v>0</v>
      </c>
      <c r="K194" s="997">
        <v>0</v>
      </c>
    </row>
    <row r="195" spans="1:11" ht="22.5" x14ac:dyDescent="0.25">
      <c r="A195" s="989" t="s">
        <v>200</v>
      </c>
      <c r="B195" s="993">
        <v>2018</v>
      </c>
      <c r="C195" s="989" t="s">
        <v>2994</v>
      </c>
      <c r="D195" s="989" t="s">
        <v>2484</v>
      </c>
      <c r="E195" s="989" t="s">
        <v>726</v>
      </c>
      <c r="F195" s="994">
        <v>-30.19</v>
      </c>
      <c r="G195" s="995"/>
      <c r="H195" s="996"/>
      <c r="I195" s="996"/>
      <c r="J195" s="994">
        <v>0</v>
      </c>
      <c r="K195" s="997">
        <v>-30.19</v>
      </c>
    </row>
    <row r="196" spans="1:11" ht="22.5" x14ac:dyDescent="0.25">
      <c r="A196" s="989" t="s">
        <v>200</v>
      </c>
      <c r="B196" s="993">
        <v>2018</v>
      </c>
      <c r="C196" s="989" t="s">
        <v>2994</v>
      </c>
      <c r="D196" s="989" t="s">
        <v>2485</v>
      </c>
      <c r="E196" s="989" t="s">
        <v>726</v>
      </c>
      <c r="F196" s="994">
        <v>-2036.97</v>
      </c>
      <c r="G196" s="995"/>
      <c r="H196" s="996"/>
      <c r="I196" s="996"/>
      <c r="J196" s="994">
        <v>0</v>
      </c>
      <c r="K196" s="997">
        <v>-2036.97</v>
      </c>
    </row>
    <row r="197" spans="1:11" ht="33.75" x14ac:dyDescent="0.25">
      <c r="A197" s="989" t="s">
        <v>200</v>
      </c>
      <c r="B197" s="993">
        <v>2018</v>
      </c>
      <c r="C197" s="989" t="s">
        <v>2995</v>
      </c>
      <c r="D197" s="989" t="s">
        <v>47</v>
      </c>
      <c r="E197" s="989" t="s">
        <v>727</v>
      </c>
      <c r="F197" s="994">
        <v>-8629.91</v>
      </c>
      <c r="G197" s="989" t="s">
        <v>657</v>
      </c>
      <c r="H197" s="994">
        <v>-8337.51953125</v>
      </c>
      <c r="I197" s="994">
        <v>-292.39001464843801</v>
      </c>
      <c r="J197" s="994">
        <v>-8629.91015625</v>
      </c>
      <c r="K197" s="997">
        <v>-8629.91</v>
      </c>
    </row>
    <row r="198" spans="1:11" ht="33.75" x14ac:dyDescent="0.25">
      <c r="A198" s="989" t="s">
        <v>200</v>
      </c>
      <c r="B198" s="993">
        <v>2018</v>
      </c>
      <c r="C198" s="989" t="s">
        <v>2996</v>
      </c>
      <c r="D198" s="989" t="s">
        <v>48</v>
      </c>
      <c r="E198" s="989" t="s">
        <v>728</v>
      </c>
      <c r="F198" s="994">
        <v>2122.4699999999998</v>
      </c>
      <c r="G198" s="989" t="s">
        <v>657</v>
      </c>
      <c r="H198" s="994">
        <v>2175.28002929688</v>
      </c>
      <c r="I198" s="994">
        <v>-52.810001373291001</v>
      </c>
      <c r="J198" s="994">
        <v>2122.46997070313</v>
      </c>
      <c r="K198" s="997">
        <v>2122.4699999999998</v>
      </c>
    </row>
    <row r="199" spans="1:11" ht="33.75" x14ac:dyDescent="0.25">
      <c r="A199" s="989" t="s">
        <v>200</v>
      </c>
      <c r="B199" s="993">
        <v>2018</v>
      </c>
      <c r="C199" s="989" t="s">
        <v>2997</v>
      </c>
      <c r="D199" s="989" t="s">
        <v>50</v>
      </c>
      <c r="E199" s="989" t="s">
        <v>729</v>
      </c>
      <c r="F199" s="994">
        <v>-203503.86</v>
      </c>
      <c r="G199" s="989" t="s">
        <v>657</v>
      </c>
      <c r="H199" s="994">
        <v>-196599.796875</v>
      </c>
      <c r="I199" s="994">
        <v>-6904.06982421875</v>
      </c>
      <c r="J199" s="994">
        <v>-203503.859375</v>
      </c>
      <c r="K199" s="997">
        <v>-203503.86</v>
      </c>
    </row>
    <row r="200" spans="1:11" ht="22.5" x14ac:dyDescent="0.25">
      <c r="A200" s="989" t="s">
        <v>200</v>
      </c>
      <c r="B200" s="993">
        <v>2018</v>
      </c>
      <c r="C200" s="989" t="s">
        <v>2998</v>
      </c>
      <c r="D200" s="989" t="s">
        <v>348</v>
      </c>
      <c r="E200" s="989" t="s">
        <v>730</v>
      </c>
      <c r="F200" s="994">
        <v>98628.89</v>
      </c>
      <c r="G200" s="989" t="s">
        <v>657</v>
      </c>
      <c r="H200" s="994">
        <v>97593.1875</v>
      </c>
      <c r="I200" s="994">
        <v>1035.69995117188</v>
      </c>
      <c r="J200" s="994">
        <v>98628.890625</v>
      </c>
      <c r="K200" s="997">
        <v>98628.89</v>
      </c>
    </row>
    <row r="201" spans="1:11" ht="45" x14ac:dyDescent="0.25">
      <c r="A201" s="989" t="s">
        <v>200</v>
      </c>
      <c r="B201" s="993">
        <v>2018</v>
      </c>
      <c r="C201" s="989" t="s">
        <v>2999</v>
      </c>
      <c r="D201" s="989" t="s">
        <v>659</v>
      </c>
      <c r="E201" s="989" t="s">
        <v>1180</v>
      </c>
      <c r="F201" s="994">
        <v>0</v>
      </c>
      <c r="G201" s="989" t="s">
        <v>657</v>
      </c>
      <c r="H201" s="996"/>
      <c r="I201" s="996"/>
      <c r="J201" s="994">
        <v>0</v>
      </c>
      <c r="K201" s="997">
        <v>0</v>
      </c>
    </row>
    <row r="202" spans="1:11" ht="45" x14ac:dyDescent="0.25">
      <c r="A202" s="989" t="s">
        <v>200</v>
      </c>
      <c r="B202" s="993">
        <v>2018</v>
      </c>
      <c r="C202" s="989" t="s">
        <v>2999</v>
      </c>
      <c r="D202" s="989" t="s">
        <v>660</v>
      </c>
      <c r="E202" s="989" t="s">
        <v>1181</v>
      </c>
      <c r="F202" s="994">
        <v>0</v>
      </c>
      <c r="G202" s="989" t="s">
        <v>657</v>
      </c>
      <c r="H202" s="996"/>
      <c r="I202" s="996"/>
      <c r="J202" s="994">
        <v>0</v>
      </c>
      <c r="K202" s="997">
        <v>0</v>
      </c>
    </row>
    <row r="203" spans="1:11" ht="45" x14ac:dyDescent="0.25">
      <c r="A203" s="989" t="s">
        <v>200</v>
      </c>
      <c r="B203" s="993">
        <v>2018</v>
      </c>
      <c r="C203" s="989" t="s">
        <v>2999</v>
      </c>
      <c r="D203" s="989" t="s">
        <v>661</v>
      </c>
      <c r="E203" s="989" t="s">
        <v>1182</v>
      </c>
      <c r="F203" s="994">
        <v>0</v>
      </c>
      <c r="G203" s="989" t="s">
        <v>657</v>
      </c>
      <c r="H203" s="996"/>
      <c r="I203" s="996"/>
      <c r="J203" s="994">
        <v>0</v>
      </c>
      <c r="K203" s="997">
        <v>0</v>
      </c>
    </row>
    <row r="204" spans="1:11" ht="45" x14ac:dyDescent="0.25">
      <c r="A204" s="989" t="s">
        <v>200</v>
      </c>
      <c r="B204" s="993">
        <v>2018</v>
      </c>
      <c r="C204" s="989" t="s">
        <v>2999</v>
      </c>
      <c r="D204" s="989" t="s">
        <v>662</v>
      </c>
      <c r="E204" s="989" t="s">
        <v>1183</v>
      </c>
      <c r="F204" s="994">
        <v>0</v>
      </c>
      <c r="G204" s="989" t="s">
        <v>657</v>
      </c>
      <c r="H204" s="996"/>
      <c r="I204" s="996"/>
      <c r="J204" s="994">
        <v>0</v>
      </c>
      <c r="K204" s="997">
        <v>0</v>
      </c>
    </row>
    <row r="205" spans="1:11" ht="45" x14ac:dyDescent="0.25">
      <c r="A205" s="989" t="s">
        <v>200</v>
      </c>
      <c r="B205" s="993">
        <v>2018</v>
      </c>
      <c r="C205" s="989" t="s">
        <v>2999</v>
      </c>
      <c r="D205" s="989" t="s">
        <v>663</v>
      </c>
      <c r="E205" s="989" t="s">
        <v>1184</v>
      </c>
      <c r="F205" s="994">
        <v>0</v>
      </c>
      <c r="G205" s="989" t="s">
        <v>657</v>
      </c>
      <c r="H205" s="994">
        <v>184452.328125</v>
      </c>
      <c r="I205" s="994">
        <v>-6539.830078125</v>
      </c>
      <c r="J205" s="994">
        <v>177912.5</v>
      </c>
      <c r="K205" s="997">
        <v>177912.5</v>
      </c>
    </row>
    <row r="206" spans="1:11" ht="45" x14ac:dyDescent="0.25">
      <c r="A206" s="989" t="s">
        <v>200</v>
      </c>
      <c r="B206" s="993">
        <v>2018</v>
      </c>
      <c r="C206" s="989" t="s">
        <v>2999</v>
      </c>
      <c r="D206" s="989" t="s">
        <v>664</v>
      </c>
      <c r="E206" s="989" t="s">
        <v>1185</v>
      </c>
      <c r="F206" s="994">
        <v>0</v>
      </c>
      <c r="G206" s="989" t="s">
        <v>657</v>
      </c>
      <c r="H206" s="994">
        <v>-7985.0498046875</v>
      </c>
      <c r="I206" s="994">
        <v>3048.17993164063</v>
      </c>
      <c r="J206" s="994">
        <v>-4936.8701171875</v>
      </c>
      <c r="K206" s="997">
        <v>-4936.87</v>
      </c>
    </row>
    <row r="207" spans="1:11" ht="45" x14ac:dyDescent="0.25">
      <c r="A207" s="989" t="s">
        <v>200</v>
      </c>
      <c r="B207" s="993">
        <v>2018</v>
      </c>
      <c r="C207" s="989" t="s">
        <v>2999</v>
      </c>
      <c r="D207" s="989" t="s">
        <v>665</v>
      </c>
      <c r="E207" s="989" t="s">
        <v>1186</v>
      </c>
      <c r="F207" s="994">
        <v>0</v>
      </c>
      <c r="G207" s="989" t="s">
        <v>657</v>
      </c>
      <c r="H207" s="994">
        <v>1513.89001464844</v>
      </c>
      <c r="I207" s="994">
        <v>-1034.81005859375</v>
      </c>
      <c r="J207" s="994">
        <v>479.07998657226602</v>
      </c>
      <c r="K207" s="997">
        <v>479.08</v>
      </c>
    </row>
    <row r="208" spans="1:11" ht="45" x14ac:dyDescent="0.25">
      <c r="A208" s="989" t="s">
        <v>200</v>
      </c>
      <c r="B208" s="993">
        <v>2018</v>
      </c>
      <c r="C208" s="989" t="s">
        <v>2999</v>
      </c>
      <c r="D208" s="989" t="s">
        <v>1870</v>
      </c>
      <c r="E208" s="989" t="s">
        <v>2290</v>
      </c>
      <c r="F208" s="994">
        <v>0</v>
      </c>
      <c r="G208" s="989" t="s">
        <v>657</v>
      </c>
      <c r="H208" s="994">
        <v>-4368.7099609375</v>
      </c>
      <c r="I208" s="994">
        <v>138.580001831055</v>
      </c>
      <c r="J208" s="994">
        <v>-4230.1298828125</v>
      </c>
      <c r="K208" s="997">
        <v>-4230.13</v>
      </c>
    </row>
    <row r="209" spans="1:11" ht="45" x14ac:dyDescent="0.25">
      <c r="A209" s="989" t="s">
        <v>200</v>
      </c>
      <c r="B209" s="993">
        <v>2018</v>
      </c>
      <c r="C209" s="989" t="s">
        <v>2999</v>
      </c>
      <c r="D209" s="989" t="s">
        <v>2486</v>
      </c>
      <c r="E209" s="989" t="s">
        <v>2494</v>
      </c>
      <c r="F209" s="994">
        <v>0</v>
      </c>
      <c r="G209" s="989" t="s">
        <v>657</v>
      </c>
      <c r="H209" s="996"/>
      <c r="I209" s="996"/>
      <c r="J209" s="994">
        <v>0</v>
      </c>
      <c r="K209" s="997">
        <v>0</v>
      </c>
    </row>
    <row r="210" spans="1:11" ht="45" x14ac:dyDescent="0.25">
      <c r="A210" s="989" t="s">
        <v>200</v>
      </c>
      <c r="B210" s="993">
        <v>2018</v>
      </c>
      <c r="C210" s="989" t="s">
        <v>2999</v>
      </c>
      <c r="D210" s="989" t="s">
        <v>4892</v>
      </c>
      <c r="E210" s="989" t="s">
        <v>5989</v>
      </c>
      <c r="F210" s="994">
        <v>0</v>
      </c>
      <c r="G210" s="989" t="s">
        <v>657</v>
      </c>
      <c r="H210" s="996"/>
      <c r="I210" s="996"/>
      <c r="J210" s="994">
        <v>0</v>
      </c>
      <c r="K210" s="997">
        <v>0</v>
      </c>
    </row>
    <row r="211" spans="1:11" ht="45" x14ac:dyDescent="0.25">
      <c r="A211" s="989" t="s">
        <v>200</v>
      </c>
      <c r="B211" s="993">
        <v>2018</v>
      </c>
      <c r="C211" s="989" t="s">
        <v>2999</v>
      </c>
      <c r="D211" s="989" t="s">
        <v>666</v>
      </c>
      <c r="E211" s="989" t="s">
        <v>1544</v>
      </c>
      <c r="F211" s="994">
        <v>169224.58</v>
      </c>
      <c r="G211" s="995"/>
      <c r="H211" s="996"/>
      <c r="I211" s="996"/>
      <c r="J211" s="994">
        <v>0</v>
      </c>
      <c r="K211" s="997">
        <v>169224.58</v>
      </c>
    </row>
    <row r="212" spans="1:11" x14ac:dyDescent="0.25">
      <c r="A212" s="989" t="s">
        <v>623</v>
      </c>
      <c r="B212" s="993">
        <v>2018</v>
      </c>
      <c r="C212" s="989" t="s">
        <v>2991</v>
      </c>
      <c r="D212" s="989" t="s">
        <v>49</v>
      </c>
      <c r="E212" s="989" t="s">
        <v>731</v>
      </c>
      <c r="F212" s="994">
        <v>1719861.55</v>
      </c>
      <c r="G212" s="989" t="s">
        <v>657</v>
      </c>
      <c r="H212" s="994">
        <v>1687869.25</v>
      </c>
      <c r="I212" s="994">
        <v>31992.3203125</v>
      </c>
      <c r="J212" s="994">
        <v>1719861.5</v>
      </c>
      <c r="K212" s="997">
        <v>1719861.55</v>
      </c>
    </row>
    <row r="213" spans="1:11" ht="33.75" x14ac:dyDescent="0.25">
      <c r="A213" s="989" t="s">
        <v>623</v>
      </c>
      <c r="B213" s="993">
        <v>2018</v>
      </c>
      <c r="C213" s="989" t="s">
        <v>2992</v>
      </c>
      <c r="D213" s="989" t="s">
        <v>658</v>
      </c>
      <c r="E213" s="989" t="s">
        <v>732</v>
      </c>
      <c r="F213" s="994">
        <v>-24520.21</v>
      </c>
      <c r="G213" s="989" t="s">
        <v>657</v>
      </c>
      <c r="H213" s="994">
        <v>-23985.55078125</v>
      </c>
      <c r="I213" s="994">
        <v>-534.65997314453102</v>
      </c>
      <c r="J213" s="994">
        <v>-24520.2109375</v>
      </c>
      <c r="K213" s="997">
        <v>-24520.21</v>
      </c>
    </row>
    <row r="214" spans="1:11" ht="22.5" x14ac:dyDescent="0.25">
      <c r="A214" s="989" t="s">
        <v>623</v>
      </c>
      <c r="B214" s="993">
        <v>2018</v>
      </c>
      <c r="C214" s="989" t="s">
        <v>2993</v>
      </c>
      <c r="D214" s="989" t="s">
        <v>464</v>
      </c>
      <c r="E214" s="989" t="s">
        <v>733</v>
      </c>
      <c r="F214" s="994">
        <v>145916.96</v>
      </c>
      <c r="G214" s="995"/>
      <c r="H214" s="996"/>
      <c r="I214" s="996"/>
      <c r="J214" s="994">
        <v>0</v>
      </c>
      <c r="K214" s="997">
        <v>145916.96</v>
      </c>
    </row>
    <row r="215" spans="1:11" ht="33.75" x14ac:dyDescent="0.25">
      <c r="A215" s="989" t="s">
        <v>623</v>
      </c>
      <c r="B215" s="993">
        <v>2018</v>
      </c>
      <c r="C215" s="989" t="s">
        <v>2994</v>
      </c>
      <c r="D215" s="989" t="s">
        <v>46</v>
      </c>
      <c r="E215" s="989" t="s">
        <v>734</v>
      </c>
      <c r="F215" s="994">
        <v>-1743753.82</v>
      </c>
      <c r="G215" s="989" t="s">
        <v>657</v>
      </c>
      <c r="H215" s="994">
        <v>-1701668.125</v>
      </c>
      <c r="I215" s="994">
        <v>-42085.69921875</v>
      </c>
      <c r="J215" s="994">
        <v>-1743753.875</v>
      </c>
      <c r="K215" s="997">
        <v>-1743753.82</v>
      </c>
    </row>
    <row r="216" spans="1:11" ht="22.5" x14ac:dyDescent="0.25">
      <c r="A216" s="989" t="s">
        <v>623</v>
      </c>
      <c r="B216" s="993">
        <v>2018</v>
      </c>
      <c r="C216" s="989" t="s">
        <v>2994</v>
      </c>
      <c r="D216" s="989" t="s">
        <v>2482</v>
      </c>
      <c r="E216" s="989" t="s">
        <v>734</v>
      </c>
      <c r="F216" s="994">
        <v>0</v>
      </c>
      <c r="G216" s="995"/>
      <c r="H216" s="996"/>
      <c r="I216" s="996"/>
      <c r="J216" s="994">
        <v>0</v>
      </c>
      <c r="K216" s="997">
        <v>0</v>
      </c>
    </row>
    <row r="217" spans="1:11" ht="22.5" x14ac:dyDescent="0.25">
      <c r="A217" s="989" t="s">
        <v>623</v>
      </c>
      <c r="B217" s="993">
        <v>2018</v>
      </c>
      <c r="C217" s="989" t="s">
        <v>2994</v>
      </c>
      <c r="D217" s="989" t="s">
        <v>2483</v>
      </c>
      <c r="E217" s="989" t="s">
        <v>734</v>
      </c>
      <c r="F217" s="994">
        <v>0</v>
      </c>
      <c r="G217" s="995"/>
      <c r="H217" s="996"/>
      <c r="I217" s="996"/>
      <c r="J217" s="994">
        <v>0</v>
      </c>
      <c r="K217" s="997">
        <v>0</v>
      </c>
    </row>
    <row r="218" spans="1:11" ht="22.5" x14ac:dyDescent="0.25">
      <c r="A218" s="989" t="s">
        <v>623</v>
      </c>
      <c r="B218" s="993">
        <v>2018</v>
      </c>
      <c r="C218" s="989" t="s">
        <v>2994</v>
      </c>
      <c r="D218" s="989" t="s">
        <v>2484</v>
      </c>
      <c r="E218" s="989" t="s">
        <v>734</v>
      </c>
      <c r="F218" s="994">
        <v>1793.58</v>
      </c>
      <c r="G218" s="995"/>
      <c r="H218" s="996"/>
      <c r="I218" s="996"/>
      <c r="J218" s="994">
        <v>0</v>
      </c>
      <c r="K218" s="997">
        <v>1793.58</v>
      </c>
    </row>
    <row r="219" spans="1:11" ht="22.5" x14ac:dyDescent="0.25">
      <c r="A219" s="989" t="s">
        <v>623</v>
      </c>
      <c r="B219" s="993">
        <v>2018</v>
      </c>
      <c r="C219" s="989" t="s">
        <v>2994</v>
      </c>
      <c r="D219" s="989" t="s">
        <v>2485</v>
      </c>
      <c r="E219" s="989" t="s">
        <v>734</v>
      </c>
      <c r="F219" s="994">
        <v>65158.57</v>
      </c>
      <c r="G219" s="995"/>
      <c r="H219" s="996"/>
      <c r="I219" s="996"/>
      <c r="J219" s="994">
        <v>0</v>
      </c>
      <c r="K219" s="997">
        <v>65158.57</v>
      </c>
    </row>
    <row r="220" spans="1:11" ht="33.75" x14ac:dyDescent="0.25">
      <c r="A220" s="989" t="s">
        <v>623</v>
      </c>
      <c r="B220" s="993">
        <v>2018</v>
      </c>
      <c r="C220" s="989" t="s">
        <v>2995</v>
      </c>
      <c r="D220" s="989" t="s">
        <v>47</v>
      </c>
      <c r="E220" s="989" t="s">
        <v>735</v>
      </c>
      <c r="F220" s="994">
        <v>68499.39</v>
      </c>
      <c r="G220" s="989" t="s">
        <v>657</v>
      </c>
      <c r="H220" s="994">
        <v>69014.203125</v>
      </c>
      <c r="I220" s="994">
        <v>-514.80999755859398</v>
      </c>
      <c r="J220" s="994">
        <v>68499.390625</v>
      </c>
      <c r="K220" s="997">
        <v>68499.39</v>
      </c>
    </row>
    <row r="221" spans="1:11" ht="33.75" x14ac:dyDescent="0.25">
      <c r="A221" s="989" t="s">
        <v>623</v>
      </c>
      <c r="B221" s="993">
        <v>2018</v>
      </c>
      <c r="C221" s="989" t="s">
        <v>2996</v>
      </c>
      <c r="D221" s="989" t="s">
        <v>48</v>
      </c>
      <c r="E221" s="989" t="s">
        <v>736</v>
      </c>
      <c r="F221" s="994">
        <v>165607.59</v>
      </c>
      <c r="G221" s="989" t="s">
        <v>657</v>
      </c>
      <c r="H221" s="994">
        <v>162684.515625</v>
      </c>
      <c r="I221" s="994">
        <v>2923.07006835938</v>
      </c>
      <c r="J221" s="994">
        <v>165607.59375</v>
      </c>
      <c r="K221" s="997">
        <v>165607.59</v>
      </c>
    </row>
    <row r="222" spans="1:11" ht="33.75" x14ac:dyDescent="0.25">
      <c r="A222" s="989" t="s">
        <v>623</v>
      </c>
      <c r="B222" s="993">
        <v>2018</v>
      </c>
      <c r="C222" s="989" t="s">
        <v>2997</v>
      </c>
      <c r="D222" s="989" t="s">
        <v>50</v>
      </c>
      <c r="E222" s="989" t="s">
        <v>737</v>
      </c>
      <c r="F222" s="994">
        <v>467298</v>
      </c>
      <c r="G222" s="989" t="s">
        <v>657</v>
      </c>
      <c r="H222" s="994">
        <v>528085.4375</v>
      </c>
      <c r="I222" s="994">
        <v>-60787.44921875</v>
      </c>
      <c r="J222" s="994">
        <v>467298</v>
      </c>
      <c r="K222" s="997">
        <v>467298</v>
      </c>
    </row>
    <row r="223" spans="1:11" ht="22.5" x14ac:dyDescent="0.25">
      <c r="A223" s="989" t="s">
        <v>623</v>
      </c>
      <c r="B223" s="993">
        <v>2018</v>
      </c>
      <c r="C223" s="989" t="s">
        <v>2998</v>
      </c>
      <c r="D223" s="989" t="s">
        <v>348</v>
      </c>
      <c r="E223" s="989" t="s">
        <v>738</v>
      </c>
      <c r="F223" s="994">
        <v>1024088.1</v>
      </c>
      <c r="G223" s="989" t="s">
        <v>657</v>
      </c>
      <c r="H223" s="994">
        <v>951177</v>
      </c>
      <c r="I223" s="994">
        <v>72911.1171875</v>
      </c>
      <c r="J223" s="994">
        <v>1024088.125</v>
      </c>
      <c r="K223" s="997">
        <v>1024088.1</v>
      </c>
    </row>
    <row r="224" spans="1:11" ht="45" x14ac:dyDescent="0.25">
      <c r="A224" s="989" t="s">
        <v>623</v>
      </c>
      <c r="B224" s="993">
        <v>2018</v>
      </c>
      <c r="C224" s="989" t="s">
        <v>2999</v>
      </c>
      <c r="D224" s="989" t="s">
        <v>659</v>
      </c>
      <c r="E224" s="989" t="s">
        <v>1187</v>
      </c>
      <c r="F224" s="994">
        <v>0</v>
      </c>
      <c r="G224" s="989" t="s">
        <v>657</v>
      </c>
      <c r="H224" s="996"/>
      <c r="I224" s="996"/>
      <c r="J224" s="994">
        <v>0</v>
      </c>
      <c r="K224" s="997">
        <v>0</v>
      </c>
    </row>
    <row r="225" spans="1:11" ht="45" x14ac:dyDescent="0.25">
      <c r="A225" s="989" t="s">
        <v>623</v>
      </c>
      <c r="B225" s="993">
        <v>2018</v>
      </c>
      <c r="C225" s="989" t="s">
        <v>2999</v>
      </c>
      <c r="D225" s="989" t="s">
        <v>660</v>
      </c>
      <c r="E225" s="989" t="s">
        <v>1188</v>
      </c>
      <c r="F225" s="994">
        <v>0</v>
      </c>
      <c r="G225" s="989" t="s">
        <v>657</v>
      </c>
      <c r="H225" s="996"/>
      <c r="I225" s="996"/>
      <c r="J225" s="994">
        <v>0</v>
      </c>
      <c r="K225" s="997">
        <v>0</v>
      </c>
    </row>
    <row r="226" spans="1:11" ht="45" x14ac:dyDescent="0.25">
      <c r="A226" s="989" t="s">
        <v>623</v>
      </c>
      <c r="B226" s="993">
        <v>2018</v>
      </c>
      <c r="C226" s="989" t="s">
        <v>2999</v>
      </c>
      <c r="D226" s="989" t="s">
        <v>661</v>
      </c>
      <c r="E226" s="989" t="s">
        <v>1189</v>
      </c>
      <c r="F226" s="994">
        <v>0</v>
      </c>
      <c r="G226" s="989" t="s">
        <v>657</v>
      </c>
      <c r="H226" s="994">
        <v>48738.9609375</v>
      </c>
      <c r="I226" s="994">
        <v>2323.35009765625</v>
      </c>
      <c r="J226" s="994">
        <v>51062.30859375</v>
      </c>
      <c r="K226" s="997">
        <v>51062.31</v>
      </c>
    </row>
    <row r="227" spans="1:11" ht="45" x14ac:dyDescent="0.25">
      <c r="A227" s="989" t="s">
        <v>623</v>
      </c>
      <c r="B227" s="993">
        <v>2018</v>
      </c>
      <c r="C227" s="989" t="s">
        <v>2999</v>
      </c>
      <c r="D227" s="989" t="s">
        <v>662</v>
      </c>
      <c r="E227" s="989" t="s">
        <v>1190</v>
      </c>
      <c r="F227" s="994">
        <v>0</v>
      </c>
      <c r="G227" s="989" t="s">
        <v>657</v>
      </c>
      <c r="H227" s="996"/>
      <c r="I227" s="996"/>
      <c r="J227" s="994">
        <v>0</v>
      </c>
      <c r="K227" s="997">
        <v>0</v>
      </c>
    </row>
    <row r="228" spans="1:11" ht="45" x14ac:dyDescent="0.25">
      <c r="A228" s="989" t="s">
        <v>623</v>
      </c>
      <c r="B228" s="993">
        <v>2018</v>
      </c>
      <c r="C228" s="989" t="s">
        <v>2999</v>
      </c>
      <c r="D228" s="989" t="s">
        <v>663</v>
      </c>
      <c r="E228" s="989" t="s">
        <v>1191</v>
      </c>
      <c r="F228" s="994">
        <v>0</v>
      </c>
      <c r="G228" s="989" t="s">
        <v>657</v>
      </c>
      <c r="H228" s="994">
        <v>6369.7900390625</v>
      </c>
      <c r="I228" s="994">
        <v>-18368.7890625</v>
      </c>
      <c r="J228" s="994">
        <v>-11999</v>
      </c>
      <c r="K228" s="997">
        <v>-11999</v>
      </c>
    </row>
    <row r="229" spans="1:11" ht="45" x14ac:dyDescent="0.25">
      <c r="A229" s="989" t="s">
        <v>623</v>
      </c>
      <c r="B229" s="993">
        <v>2018</v>
      </c>
      <c r="C229" s="989" t="s">
        <v>2999</v>
      </c>
      <c r="D229" s="989" t="s">
        <v>664</v>
      </c>
      <c r="E229" s="989" t="s">
        <v>1192</v>
      </c>
      <c r="F229" s="994">
        <v>0</v>
      </c>
      <c r="G229" s="989" t="s">
        <v>657</v>
      </c>
      <c r="H229" s="994">
        <v>107446.7890625</v>
      </c>
      <c r="I229" s="994">
        <v>-6338.06982421875</v>
      </c>
      <c r="J229" s="994">
        <v>101108.71875</v>
      </c>
      <c r="K229" s="997">
        <v>101108.72</v>
      </c>
    </row>
    <row r="230" spans="1:11" ht="45" x14ac:dyDescent="0.25">
      <c r="A230" s="989" t="s">
        <v>623</v>
      </c>
      <c r="B230" s="993">
        <v>2018</v>
      </c>
      <c r="C230" s="989" t="s">
        <v>2999</v>
      </c>
      <c r="D230" s="989" t="s">
        <v>665</v>
      </c>
      <c r="E230" s="989" t="s">
        <v>1193</v>
      </c>
      <c r="F230" s="994">
        <v>0</v>
      </c>
      <c r="G230" s="989" t="s">
        <v>657</v>
      </c>
      <c r="H230" s="996"/>
      <c r="I230" s="996"/>
      <c r="J230" s="994">
        <v>0</v>
      </c>
      <c r="K230" s="997">
        <v>0</v>
      </c>
    </row>
    <row r="231" spans="1:11" ht="45" x14ac:dyDescent="0.25">
      <c r="A231" s="989" t="s">
        <v>623</v>
      </c>
      <c r="B231" s="993">
        <v>2018</v>
      </c>
      <c r="C231" s="989" t="s">
        <v>2999</v>
      </c>
      <c r="D231" s="989" t="s">
        <v>1870</v>
      </c>
      <c r="E231" s="989" t="s">
        <v>2291</v>
      </c>
      <c r="F231" s="994">
        <v>0</v>
      </c>
      <c r="G231" s="989" t="s">
        <v>657</v>
      </c>
      <c r="H231" s="994">
        <v>142717.390625</v>
      </c>
      <c r="I231" s="994">
        <v>20763.01953125</v>
      </c>
      <c r="J231" s="994">
        <v>163480.40625</v>
      </c>
      <c r="K231" s="997">
        <v>163480.41</v>
      </c>
    </row>
    <row r="232" spans="1:11" ht="45" x14ac:dyDescent="0.25">
      <c r="A232" s="989" t="s">
        <v>623</v>
      </c>
      <c r="B232" s="993">
        <v>2018</v>
      </c>
      <c r="C232" s="989" t="s">
        <v>2999</v>
      </c>
      <c r="D232" s="989" t="s">
        <v>2486</v>
      </c>
      <c r="E232" s="989" t="s">
        <v>2495</v>
      </c>
      <c r="F232" s="994">
        <v>0</v>
      </c>
      <c r="G232" s="989" t="s">
        <v>657</v>
      </c>
      <c r="H232" s="996"/>
      <c r="I232" s="996"/>
      <c r="J232" s="994">
        <v>0</v>
      </c>
      <c r="K232" s="997">
        <v>0</v>
      </c>
    </row>
    <row r="233" spans="1:11" ht="45" x14ac:dyDescent="0.25">
      <c r="A233" s="989" t="s">
        <v>623</v>
      </c>
      <c r="B233" s="993">
        <v>2018</v>
      </c>
      <c r="C233" s="989" t="s">
        <v>2999</v>
      </c>
      <c r="D233" s="989" t="s">
        <v>4892</v>
      </c>
      <c r="E233" s="989" t="s">
        <v>5990</v>
      </c>
      <c r="F233" s="994">
        <v>0</v>
      </c>
      <c r="G233" s="989" t="s">
        <v>657</v>
      </c>
      <c r="H233" s="996"/>
      <c r="I233" s="996"/>
      <c r="J233" s="994">
        <v>0</v>
      </c>
      <c r="K233" s="997">
        <v>0</v>
      </c>
    </row>
    <row r="234" spans="1:11" ht="45" x14ac:dyDescent="0.25">
      <c r="A234" s="989" t="s">
        <v>623</v>
      </c>
      <c r="B234" s="993">
        <v>2018</v>
      </c>
      <c r="C234" s="989" t="s">
        <v>2999</v>
      </c>
      <c r="D234" s="989" t="s">
        <v>666</v>
      </c>
      <c r="E234" s="989" t="s">
        <v>1545</v>
      </c>
      <c r="F234" s="994">
        <v>303652.44</v>
      </c>
      <c r="G234" s="995"/>
      <c r="H234" s="996"/>
      <c r="I234" s="996"/>
      <c r="J234" s="994">
        <v>0</v>
      </c>
      <c r="K234" s="997">
        <v>303652.44</v>
      </c>
    </row>
    <row r="235" spans="1:11" ht="22.5" x14ac:dyDescent="0.25">
      <c r="A235" s="989" t="s">
        <v>176</v>
      </c>
      <c r="B235" s="993">
        <v>2018</v>
      </c>
      <c r="C235" s="989" t="s">
        <v>2991</v>
      </c>
      <c r="D235" s="989" t="s">
        <v>49</v>
      </c>
      <c r="E235" s="989" t="s">
        <v>739</v>
      </c>
      <c r="F235" s="994">
        <v>32813.379999999997</v>
      </c>
      <c r="G235" s="989" t="s">
        <v>657</v>
      </c>
      <c r="H235" s="994">
        <v>32623.98046875</v>
      </c>
      <c r="I235" s="994">
        <v>189.39999389648401</v>
      </c>
      <c r="J235" s="994">
        <v>32813.37890625</v>
      </c>
      <c r="K235" s="997">
        <v>32813.379999999997</v>
      </c>
    </row>
    <row r="236" spans="1:11" ht="33.75" x14ac:dyDescent="0.25">
      <c r="A236" s="989" t="s">
        <v>176</v>
      </c>
      <c r="B236" s="993">
        <v>2018</v>
      </c>
      <c r="C236" s="989" t="s">
        <v>2992</v>
      </c>
      <c r="D236" s="989" t="s">
        <v>658</v>
      </c>
      <c r="E236" s="989" t="s">
        <v>740</v>
      </c>
      <c r="F236" s="994">
        <v>1702.3</v>
      </c>
      <c r="G236" s="989" t="s">
        <v>657</v>
      </c>
      <c r="H236" s="994">
        <v>1706.7099609375</v>
      </c>
      <c r="I236" s="994">
        <v>-4.4099998474121103</v>
      </c>
      <c r="J236" s="994">
        <v>1702.30004882813</v>
      </c>
      <c r="K236" s="997">
        <v>1702.3</v>
      </c>
    </row>
    <row r="237" spans="1:11" ht="22.5" x14ac:dyDescent="0.25">
      <c r="A237" s="989" t="s">
        <v>176</v>
      </c>
      <c r="B237" s="993">
        <v>2018</v>
      </c>
      <c r="C237" s="989" t="s">
        <v>2993</v>
      </c>
      <c r="D237" s="989" t="s">
        <v>464</v>
      </c>
      <c r="E237" s="989" t="s">
        <v>741</v>
      </c>
      <c r="F237" s="994">
        <v>0</v>
      </c>
      <c r="G237" s="995"/>
      <c r="H237" s="996"/>
      <c r="I237" s="996"/>
      <c r="J237" s="994">
        <v>0</v>
      </c>
      <c r="K237" s="997">
        <v>0</v>
      </c>
    </row>
    <row r="238" spans="1:11" ht="33.75" x14ac:dyDescent="0.25">
      <c r="A238" s="989" t="s">
        <v>176</v>
      </c>
      <c r="B238" s="993">
        <v>2018</v>
      </c>
      <c r="C238" s="989" t="s">
        <v>2994</v>
      </c>
      <c r="D238" s="989" t="s">
        <v>46</v>
      </c>
      <c r="E238" s="989" t="s">
        <v>742</v>
      </c>
      <c r="F238" s="994">
        <v>14507.99</v>
      </c>
      <c r="G238" s="989" t="s">
        <v>657</v>
      </c>
      <c r="H238" s="994">
        <v>14397.3095703125</v>
      </c>
      <c r="I238" s="994">
        <v>110.68000030517599</v>
      </c>
      <c r="J238" s="994">
        <v>14507.990234375</v>
      </c>
      <c r="K238" s="997">
        <v>14507.99</v>
      </c>
    </row>
    <row r="239" spans="1:11" ht="22.5" x14ac:dyDescent="0.25">
      <c r="A239" s="989" t="s">
        <v>176</v>
      </c>
      <c r="B239" s="993">
        <v>2018</v>
      </c>
      <c r="C239" s="989" t="s">
        <v>2994</v>
      </c>
      <c r="D239" s="989" t="s">
        <v>2482</v>
      </c>
      <c r="E239" s="989" t="s">
        <v>742</v>
      </c>
      <c r="F239" s="994">
        <v>0</v>
      </c>
      <c r="G239" s="995"/>
      <c r="H239" s="996"/>
      <c r="I239" s="996"/>
      <c r="J239" s="994">
        <v>0</v>
      </c>
      <c r="K239" s="997">
        <v>0</v>
      </c>
    </row>
    <row r="240" spans="1:11" ht="22.5" x14ac:dyDescent="0.25">
      <c r="A240" s="989" t="s">
        <v>176</v>
      </c>
      <c r="B240" s="993">
        <v>2018</v>
      </c>
      <c r="C240" s="989" t="s">
        <v>2994</v>
      </c>
      <c r="D240" s="989" t="s">
        <v>2483</v>
      </c>
      <c r="E240" s="989" t="s">
        <v>742</v>
      </c>
      <c r="F240" s="994">
        <v>0</v>
      </c>
      <c r="G240" s="995"/>
      <c r="H240" s="996"/>
      <c r="I240" s="996"/>
      <c r="J240" s="994">
        <v>0</v>
      </c>
      <c r="K240" s="997">
        <v>0</v>
      </c>
    </row>
    <row r="241" spans="1:11" ht="22.5" x14ac:dyDescent="0.25">
      <c r="A241" s="989" t="s">
        <v>176</v>
      </c>
      <c r="B241" s="993">
        <v>2018</v>
      </c>
      <c r="C241" s="989" t="s">
        <v>2994</v>
      </c>
      <c r="D241" s="989" t="s">
        <v>2484</v>
      </c>
      <c r="E241" s="989" t="s">
        <v>742</v>
      </c>
      <c r="F241" s="994">
        <v>0</v>
      </c>
      <c r="G241" s="995"/>
      <c r="H241" s="996"/>
      <c r="I241" s="996"/>
      <c r="J241" s="994">
        <v>0</v>
      </c>
      <c r="K241" s="997">
        <v>0</v>
      </c>
    </row>
    <row r="242" spans="1:11" ht="22.5" x14ac:dyDescent="0.25">
      <c r="A242" s="989" t="s">
        <v>176</v>
      </c>
      <c r="B242" s="993">
        <v>2018</v>
      </c>
      <c r="C242" s="989" t="s">
        <v>2994</v>
      </c>
      <c r="D242" s="989" t="s">
        <v>2485</v>
      </c>
      <c r="E242" s="989" t="s">
        <v>742</v>
      </c>
      <c r="F242" s="994">
        <v>8718.68</v>
      </c>
      <c r="G242" s="995"/>
      <c r="H242" s="996"/>
      <c r="I242" s="996"/>
      <c r="J242" s="994">
        <v>0</v>
      </c>
      <c r="K242" s="997">
        <v>8718.68</v>
      </c>
    </row>
    <row r="243" spans="1:11" ht="33.75" x14ac:dyDescent="0.25">
      <c r="A243" s="989" t="s">
        <v>176</v>
      </c>
      <c r="B243" s="993">
        <v>2018</v>
      </c>
      <c r="C243" s="989" t="s">
        <v>2995</v>
      </c>
      <c r="D243" s="989" t="s">
        <v>47</v>
      </c>
      <c r="E243" s="989" t="s">
        <v>743</v>
      </c>
      <c r="F243" s="994">
        <v>-4668.8599999999997</v>
      </c>
      <c r="G243" s="989" t="s">
        <v>657</v>
      </c>
      <c r="H243" s="994">
        <v>-4631.33984375</v>
      </c>
      <c r="I243" s="994">
        <v>-37.5200004577637</v>
      </c>
      <c r="J243" s="994">
        <v>-4668.85986328125</v>
      </c>
      <c r="K243" s="997">
        <v>-4668.8599999999997</v>
      </c>
    </row>
    <row r="244" spans="1:11" ht="33.75" x14ac:dyDescent="0.25">
      <c r="A244" s="989" t="s">
        <v>176</v>
      </c>
      <c r="B244" s="993">
        <v>2018</v>
      </c>
      <c r="C244" s="989" t="s">
        <v>2996</v>
      </c>
      <c r="D244" s="989" t="s">
        <v>48</v>
      </c>
      <c r="E244" s="989" t="s">
        <v>744</v>
      </c>
      <c r="F244" s="994">
        <v>2252.9</v>
      </c>
      <c r="G244" s="989" t="s">
        <v>657</v>
      </c>
      <c r="H244" s="994">
        <v>2247.63989257813</v>
      </c>
      <c r="I244" s="994">
        <v>5.2600002288818404</v>
      </c>
      <c r="J244" s="994">
        <v>2252.89990234375</v>
      </c>
      <c r="K244" s="997">
        <v>2252.9</v>
      </c>
    </row>
    <row r="245" spans="1:11" ht="33.75" x14ac:dyDescent="0.25">
      <c r="A245" s="989" t="s">
        <v>176</v>
      </c>
      <c r="B245" s="993">
        <v>2018</v>
      </c>
      <c r="C245" s="989" t="s">
        <v>2997</v>
      </c>
      <c r="D245" s="989" t="s">
        <v>50</v>
      </c>
      <c r="E245" s="989" t="s">
        <v>745</v>
      </c>
      <c r="F245" s="994">
        <v>3200.4</v>
      </c>
      <c r="G245" s="989" t="s">
        <v>657</v>
      </c>
      <c r="H245" s="994">
        <v>3337.93994140625</v>
      </c>
      <c r="I245" s="994">
        <v>-137.53999328613301</v>
      </c>
      <c r="J245" s="994">
        <v>3200.39990234375</v>
      </c>
      <c r="K245" s="997">
        <v>3200.4</v>
      </c>
    </row>
    <row r="246" spans="1:11" ht="22.5" x14ac:dyDescent="0.25">
      <c r="A246" s="989" t="s">
        <v>176</v>
      </c>
      <c r="B246" s="993">
        <v>2018</v>
      </c>
      <c r="C246" s="989" t="s">
        <v>2998</v>
      </c>
      <c r="D246" s="989" t="s">
        <v>348</v>
      </c>
      <c r="E246" s="989" t="s">
        <v>746</v>
      </c>
      <c r="F246" s="994">
        <v>2003.12</v>
      </c>
      <c r="G246" s="989" t="s">
        <v>657</v>
      </c>
      <c r="H246" s="994">
        <v>2017.53002929688</v>
      </c>
      <c r="I246" s="994">
        <v>-14.4099998474121</v>
      </c>
      <c r="J246" s="994">
        <v>2003.11999511719</v>
      </c>
      <c r="K246" s="997">
        <v>2003.12</v>
      </c>
    </row>
    <row r="247" spans="1:11" ht="45" x14ac:dyDescent="0.25">
      <c r="A247" s="989" t="s">
        <v>176</v>
      </c>
      <c r="B247" s="993">
        <v>2018</v>
      </c>
      <c r="C247" s="989" t="s">
        <v>2999</v>
      </c>
      <c r="D247" s="989" t="s">
        <v>659</v>
      </c>
      <c r="E247" s="989" t="s">
        <v>1194</v>
      </c>
      <c r="F247" s="994">
        <v>0</v>
      </c>
      <c r="G247" s="989" t="s">
        <v>657</v>
      </c>
      <c r="H247" s="994">
        <v>0</v>
      </c>
      <c r="I247" s="994">
        <v>0</v>
      </c>
      <c r="J247" s="994">
        <v>0</v>
      </c>
      <c r="K247" s="997">
        <v>0</v>
      </c>
    </row>
    <row r="248" spans="1:11" ht="45" x14ac:dyDescent="0.25">
      <c r="A248" s="989" t="s">
        <v>176</v>
      </c>
      <c r="B248" s="993">
        <v>2018</v>
      </c>
      <c r="C248" s="989" t="s">
        <v>2999</v>
      </c>
      <c r="D248" s="989" t="s">
        <v>660</v>
      </c>
      <c r="E248" s="989" t="s">
        <v>1195</v>
      </c>
      <c r="F248" s="994">
        <v>0</v>
      </c>
      <c r="G248" s="989" t="s">
        <v>657</v>
      </c>
      <c r="H248" s="994">
        <v>0</v>
      </c>
      <c r="I248" s="994">
        <v>0</v>
      </c>
      <c r="J248" s="994">
        <v>0</v>
      </c>
      <c r="K248" s="997">
        <v>0</v>
      </c>
    </row>
    <row r="249" spans="1:11" ht="45" x14ac:dyDescent="0.25">
      <c r="A249" s="989" t="s">
        <v>176</v>
      </c>
      <c r="B249" s="993">
        <v>2018</v>
      </c>
      <c r="C249" s="989" t="s">
        <v>2999</v>
      </c>
      <c r="D249" s="989" t="s">
        <v>661</v>
      </c>
      <c r="E249" s="989" t="s">
        <v>1196</v>
      </c>
      <c r="F249" s="994">
        <v>0</v>
      </c>
      <c r="G249" s="989" t="s">
        <v>657</v>
      </c>
      <c r="H249" s="994">
        <v>0</v>
      </c>
      <c r="I249" s="994">
        <v>0</v>
      </c>
      <c r="J249" s="994">
        <v>0</v>
      </c>
      <c r="K249" s="997">
        <v>0</v>
      </c>
    </row>
    <row r="250" spans="1:11" ht="45" x14ac:dyDescent="0.25">
      <c r="A250" s="989" t="s">
        <v>176</v>
      </c>
      <c r="B250" s="993">
        <v>2018</v>
      </c>
      <c r="C250" s="989" t="s">
        <v>2999</v>
      </c>
      <c r="D250" s="989" t="s">
        <v>662</v>
      </c>
      <c r="E250" s="989" t="s">
        <v>1197</v>
      </c>
      <c r="F250" s="994">
        <v>0</v>
      </c>
      <c r="G250" s="989" t="s">
        <v>657</v>
      </c>
      <c r="H250" s="994">
        <v>0</v>
      </c>
      <c r="I250" s="994">
        <v>0</v>
      </c>
      <c r="J250" s="994">
        <v>0</v>
      </c>
      <c r="K250" s="997">
        <v>0</v>
      </c>
    </row>
    <row r="251" spans="1:11" ht="45" x14ac:dyDescent="0.25">
      <c r="A251" s="989" t="s">
        <v>176</v>
      </c>
      <c r="B251" s="993">
        <v>2018</v>
      </c>
      <c r="C251" s="989" t="s">
        <v>2999</v>
      </c>
      <c r="D251" s="989" t="s">
        <v>663</v>
      </c>
      <c r="E251" s="989" t="s">
        <v>1198</v>
      </c>
      <c r="F251" s="994">
        <v>0</v>
      </c>
      <c r="G251" s="989" t="s">
        <v>657</v>
      </c>
      <c r="H251" s="994">
        <v>0</v>
      </c>
      <c r="I251" s="994">
        <v>0</v>
      </c>
      <c r="J251" s="994">
        <v>0</v>
      </c>
      <c r="K251" s="997">
        <v>0</v>
      </c>
    </row>
    <row r="252" spans="1:11" ht="45" x14ac:dyDescent="0.25">
      <c r="A252" s="989" t="s">
        <v>176</v>
      </c>
      <c r="B252" s="993">
        <v>2018</v>
      </c>
      <c r="C252" s="989" t="s">
        <v>2999</v>
      </c>
      <c r="D252" s="989" t="s">
        <v>664</v>
      </c>
      <c r="E252" s="989" t="s">
        <v>1199</v>
      </c>
      <c r="F252" s="994">
        <v>0</v>
      </c>
      <c r="G252" s="989" t="s">
        <v>657</v>
      </c>
      <c r="H252" s="994">
        <v>0</v>
      </c>
      <c r="I252" s="994">
        <v>0</v>
      </c>
      <c r="J252" s="994">
        <v>0</v>
      </c>
      <c r="K252" s="997">
        <v>0</v>
      </c>
    </row>
    <row r="253" spans="1:11" ht="45" x14ac:dyDescent="0.25">
      <c r="A253" s="989" t="s">
        <v>176</v>
      </c>
      <c r="B253" s="993">
        <v>2018</v>
      </c>
      <c r="C253" s="989" t="s">
        <v>2999</v>
      </c>
      <c r="D253" s="989" t="s">
        <v>665</v>
      </c>
      <c r="E253" s="989" t="s">
        <v>1200</v>
      </c>
      <c r="F253" s="994">
        <v>0</v>
      </c>
      <c r="G253" s="989" t="s">
        <v>657</v>
      </c>
      <c r="H253" s="994">
        <v>0</v>
      </c>
      <c r="I253" s="994">
        <v>0</v>
      </c>
      <c r="J253" s="994">
        <v>0</v>
      </c>
      <c r="K253" s="997">
        <v>0</v>
      </c>
    </row>
    <row r="254" spans="1:11" ht="45" x14ac:dyDescent="0.25">
      <c r="A254" s="989" t="s">
        <v>176</v>
      </c>
      <c r="B254" s="993">
        <v>2018</v>
      </c>
      <c r="C254" s="989" t="s">
        <v>2999</v>
      </c>
      <c r="D254" s="989" t="s">
        <v>1870</v>
      </c>
      <c r="E254" s="989" t="s">
        <v>2292</v>
      </c>
      <c r="F254" s="994">
        <v>0</v>
      </c>
      <c r="G254" s="989" t="s">
        <v>657</v>
      </c>
      <c r="H254" s="994">
        <v>0</v>
      </c>
      <c r="I254" s="994">
        <v>0</v>
      </c>
      <c r="J254" s="994">
        <v>0</v>
      </c>
      <c r="K254" s="997">
        <v>0</v>
      </c>
    </row>
    <row r="255" spans="1:11" ht="45" x14ac:dyDescent="0.25">
      <c r="A255" s="989" t="s">
        <v>176</v>
      </c>
      <c r="B255" s="993">
        <v>2018</v>
      </c>
      <c r="C255" s="989" t="s">
        <v>2999</v>
      </c>
      <c r="D255" s="989" t="s">
        <v>2486</v>
      </c>
      <c r="E255" s="989" t="s">
        <v>2496</v>
      </c>
      <c r="F255" s="994">
        <v>0</v>
      </c>
      <c r="G255" s="989" t="s">
        <v>657</v>
      </c>
      <c r="H255" s="994">
        <v>186236.703125</v>
      </c>
      <c r="I255" s="994">
        <v>0</v>
      </c>
      <c r="J255" s="994">
        <v>186236.703125</v>
      </c>
      <c r="K255" s="997">
        <v>186236.7</v>
      </c>
    </row>
    <row r="256" spans="1:11" ht="45" x14ac:dyDescent="0.25">
      <c r="A256" s="989" t="s">
        <v>176</v>
      </c>
      <c r="B256" s="993">
        <v>2018</v>
      </c>
      <c r="C256" s="989" t="s">
        <v>2999</v>
      </c>
      <c r="D256" s="989" t="s">
        <v>4892</v>
      </c>
      <c r="E256" s="989" t="s">
        <v>5991</v>
      </c>
      <c r="F256" s="994">
        <v>0</v>
      </c>
      <c r="G256" s="989" t="s">
        <v>657</v>
      </c>
      <c r="H256" s="994">
        <v>0</v>
      </c>
      <c r="I256" s="994">
        <v>0</v>
      </c>
      <c r="J256" s="994">
        <v>0</v>
      </c>
      <c r="K256" s="997">
        <v>0</v>
      </c>
    </row>
    <row r="257" spans="1:11" ht="45" x14ac:dyDescent="0.25">
      <c r="A257" s="989" t="s">
        <v>176</v>
      </c>
      <c r="B257" s="993">
        <v>2018</v>
      </c>
      <c r="C257" s="989" t="s">
        <v>2999</v>
      </c>
      <c r="D257" s="989" t="s">
        <v>666</v>
      </c>
      <c r="E257" s="989" t="s">
        <v>1546</v>
      </c>
      <c r="F257" s="994">
        <v>186236.7</v>
      </c>
      <c r="G257" s="995"/>
      <c r="H257" s="996"/>
      <c r="I257" s="996"/>
      <c r="J257" s="994">
        <v>0</v>
      </c>
      <c r="K257" s="997">
        <v>186236.7</v>
      </c>
    </row>
    <row r="258" spans="1:11" x14ac:dyDescent="0.25">
      <c r="A258" s="989" t="s">
        <v>177</v>
      </c>
      <c r="B258" s="993">
        <v>2018</v>
      </c>
      <c r="C258" s="989" t="s">
        <v>2991</v>
      </c>
      <c r="D258" s="989" t="s">
        <v>49</v>
      </c>
      <c r="E258" s="989" t="s">
        <v>747</v>
      </c>
      <c r="F258" s="994">
        <v>707495.06</v>
      </c>
      <c r="G258" s="989" t="s">
        <v>657</v>
      </c>
      <c r="H258" s="994">
        <v>699291.75</v>
      </c>
      <c r="I258" s="994">
        <v>8203.3095703125</v>
      </c>
      <c r="J258" s="994">
        <v>707495.0625</v>
      </c>
      <c r="K258" s="997">
        <v>707495.06</v>
      </c>
    </row>
    <row r="259" spans="1:11" ht="33.75" x14ac:dyDescent="0.25">
      <c r="A259" s="989" t="s">
        <v>177</v>
      </c>
      <c r="B259" s="993">
        <v>2018</v>
      </c>
      <c r="C259" s="989" t="s">
        <v>2992</v>
      </c>
      <c r="D259" s="989" t="s">
        <v>658</v>
      </c>
      <c r="E259" s="989" t="s">
        <v>748</v>
      </c>
      <c r="F259" s="994">
        <v>12312.28</v>
      </c>
      <c r="G259" s="989" t="s">
        <v>657</v>
      </c>
      <c r="H259" s="994">
        <v>12153.2802734375</v>
      </c>
      <c r="I259" s="994">
        <v>159</v>
      </c>
      <c r="J259" s="994">
        <v>12312.2802734375</v>
      </c>
      <c r="K259" s="997">
        <v>12312.28</v>
      </c>
    </row>
    <row r="260" spans="1:11" ht="22.5" x14ac:dyDescent="0.25">
      <c r="A260" s="989" t="s">
        <v>177</v>
      </c>
      <c r="B260" s="993">
        <v>2018</v>
      </c>
      <c r="C260" s="989" t="s">
        <v>2993</v>
      </c>
      <c r="D260" s="989" t="s">
        <v>464</v>
      </c>
      <c r="E260" s="989" t="s">
        <v>749</v>
      </c>
      <c r="F260" s="994">
        <v>0</v>
      </c>
      <c r="G260" s="995"/>
      <c r="H260" s="996"/>
      <c r="I260" s="996"/>
      <c r="J260" s="994">
        <v>0</v>
      </c>
      <c r="K260" s="997">
        <v>0</v>
      </c>
    </row>
    <row r="261" spans="1:11" ht="33.75" x14ac:dyDescent="0.25">
      <c r="A261" s="989" t="s">
        <v>177</v>
      </c>
      <c r="B261" s="993">
        <v>2018</v>
      </c>
      <c r="C261" s="989" t="s">
        <v>2994</v>
      </c>
      <c r="D261" s="989" t="s">
        <v>46</v>
      </c>
      <c r="E261" s="989" t="s">
        <v>750</v>
      </c>
      <c r="F261" s="994">
        <v>-568845.41</v>
      </c>
      <c r="G261" s="989" t="s">
        <v>657</v>
      </c>
      <c r="H261" s="994">
        <v>-557121.25</v>
      </c>
      <c r="I261" s="994">
        <v>-11724.150390625</v>
      </c>
      <c r="J261" s="994">
        <v>-568845.4375</v>
      </c>
      <c r="K261" s="997">
        <v>-568845.41</v>
      </c>
    </row>
    <row r="262" spans="1:11" ht="22.5" x14ac:dyDescent="0.25">
      <c r="A262" s="989" t="s">
        <v>177</v>
      </c>
      <c r="B262" s="993">
        <v>2018</v>
      </c>
      <c r="C262" s="989" t="s">
        <v>2994</v>
      </c>
      <c r="D262" s="989" t="s">
        <v>2482</v>
      </c>
      <c r="E262" s="989" t="s">
        <v>750</v>
      </c>
      <c r="F262" s="994">
        <v>0</v>
      </c>
      <c r="G262" s="995"/>
      <c r="H262" s="996"/>
      <c r="I262" s="996"/>
      <c r="J262" s="994">
        <v>0</v>
      </c>
      <c r="K262" s="997">
        <v>0</v>
      </c>
    </row>
    <row r="263" spans="1:11" ht="22.5" x14ac:dyDescent="0.25">
      <c r="A263" s="989" t="s">
        <v>177</v>
      </c>
      <c r="B263" s="993">
        <v>2018</v>
      </c>
      <c r="C263" s="989" t="s">
        <v>2994</v>
      </c>
      <c r="D263" s="989" t="s">
        <v>2483</v>
      </c>
      <c r="E263" s="989" t="s">
        <v>750</v>
      </c>
      <c r="F263" s="994">
        <v>0</v>
      </c>
      <c r="G263" s="995"/>
      <c r="H263" s="996"/>
      <c r="I263" s="996"/>
      <c r="J263" s="994">
        <v>0</v>
      </c>
      <c r="K263" s="997">
        <v>0</v>
      </c>
    </row>
    <row r="264" spans="1:11" ht="22.5" x14ac:dyDescent="0.25">
      <c r="A264" s="989" t="s">
        <v>177</v>
      </c>
      <c r="B264" s="993">
        <v>2018</v>
      </c>
      <c r="C264" s="989" t="s">
        <v>2994</v>
      </c>
      <c r="D264" s="989" t="s">
        <v>2484</v>
      </c>
      <c r="E264" s="989" t="s">
        <v>750</v>
      </c>
      <c r="F264" s="994">
        <v>0</v>
      </c>
      <c r="G264" s="995"/>
      <c r="H264" s="996"/>
      <c r="I264" s="996"/>
      <c r="J264" s="994">
        <v>0</v>
      </c>
      <c r="K264" s="997">
        <v>0</v>
      </c>
    </row>
    <row r="265" spans="1:11" ht="22.5" x14ac:dyDescent="0.25">
      <c r="A265" s="989" t="s">
        <v>177</v>
      </c>
      <c r="B265" s="993">
        <v>2018</v>
      </c>
      <c r="C265" s="989" t="s">
        <v>2994</v>
      </c>
      <c r="D265" s="989" t="s">
        <v>2485</v>
      </c>
      <c r="E265" s="989" t="s">
        <v>750</v>
      </c>
      <c r="F265" s="994">
        <v>0</v>
      </c>
      <c r="G265" s="995"/>
      <c r="H265" s="996"/>
      <c r="I265" s="996"/>
      <c r="J265" s="994">
        <v>0</v>
      </c>
      <c r="K265" s="997">
        <v>0</v>
      </c>
    </row>
    <row r="266" spans="1:11" ht="33.75" x14ac:dyDescent="0.25">
      <c r="A266" s="989" t="s">
        <v>177</v>
      </c>
      <c r="B266" s="993">
        <v>2018</v>
      </c>
      <c r="C266" s="989" t="s">
        <v>2995</v>
      </c>
      <c r="D266" s="989" t="s">
        <v>47</v>
      </c>
      <c r="E266" s="989" t="s">
        <v>751</v>
      </c>
      <c r="F266" s="994">
        <v>577455.39</v>
      </c>
      <c r="G266" s="989" t="s">
        <v>657</v>
      </c>
      <c r="H266" s="994">
        <v>567933.5</v>
      </c>
      <c r="I266" s="994">
        <v>9521.91015625</v>
      </c>
      <c r="J266" s="994">
        <v>577455.375</v>
      </c>
      <c r="K266" s="997">
        <v>577455.39</v>
      </c>
    </row>
    <row r="267" spans="1:11" ht="33.75" x14ac:dyDescent="0.25">
      <c r="A267" s="989" t="s">
        <v>177</v>
      </c>
      <c r="B267" s="993">
        <v>2018</v>
      </c>
      <c r="C267" s="989" t="s">
        <v>2996</v>
      </c>
      <c r="D267" s="989" t="s">
        <v>48</v>
      </c>
      <c r="E267" s="989" t="s">
        <v>752</v>
      </c>
      <c r="F267" s="994">
        <v>786691.43</v>
      </c>
      <c r="G267" s="989" t="s">
        <v>657</v>
      </c>
      <c r="H267" s="994">
        <v>775927.8125</v>
      </c>
      <c r="I267" s="994">
        <v>10763.6396484375</v>
      </c>
      <c r="J267" s="994">
        <v>786691.4375</v>
      </c>
      <c r="K267" s="997">
        <v>786691.43</v>
      </c>
    </row>
    <row r="268" spans="1:11" ht="33.75" x14ac:dyDescent="0.25">
      <c r="A268" s="989" t="s">
        <v>177</v>
      </c>
      <c r="B268" s="993">
        <v>2018</v>
      </c>
      <c r="C268" s="989" t="s">
        <v>2997</v>
      </c>
      <c r="D268" s="989" t="s">
        <v>50</v>
      </c>
      <c r="E268" s="989" t="s">
        <v>753</v>
      </c>
      <c r="F268" s="994">
        <v>-1298073.78</v>
      </c>
      <c r="G268" s="989" t="s">
        <v>657</v>
      </c>
      <c r="H268" s="994">
        <v>-1276620.5</v>
      </c>
      <c r="I268" s="994">
        <v>-21453.3203125</v>
      </c>
      <c r="J268" s="994">
        <v>-1298073.75</v>
      </c>
      <c r="K268" s="997">
        <v>-1298073.78</v>
      </c>
    </row>
    <row r="269" spans="1:11" ht="22.5" x14ac:dyDescent="0.25">
      <c r="A269" s="989" t="s">
        <v>177</v>
      </c>
      <c r="B269" s="993">
        <v>2018</v>
      </c>
      <c r="C269" s="989" t="s">
        <v>2998</v>
      </c>
      <c r="D269" s="989" t="s">
        <v>348</v>
      </c>
      <c r="E269" s="989" t="s">
        <v>754</v>
      </c>
      <c r="F269" s="994">
        <v>-1137505.45</v>
      </c>
      <c r="G269" s="989" t="s">
        <v>657</v>
      </c>
      <c r="H269" s="994">
        <v>-1119462</v>
      </c>
      <c r="I269" s="994">
        <v>-18043.439453125</v>
      </c>
      <c r="J269" s="994">
        <v>-1137505.5</v>
      </c>
      <c r="K269" s="997">
        <v>-1137505.45</v>
      </c>
    </row>
    <row r="270" spans="1:11" ht="45" x14ac:dyDescent="0.25">
      <c r="A270" s="989" t="s">
        <v>177</v>
      </c>
      <c r="B270" s="993">
        <v>2018</v>
      </c>
      <c r="C270" s="989" t="s">
        <v>2999</v>
      </c>
      <c r="D270" s="989" t="s">
        <v>659</v>
      </c>
      <c r="E270" s="989" t="s">
        <v>1201</v>
      </c>
      <c r="F270" s="994">
        <v>0</v>
      </c>
      <c r="G270" s="989" t="s">
        <v>657</v>
      </c>
      <c r="H270" s="996"/>
      <c r="I270" s="996"/>
      <c r="J270" s="994">
        <v>0</v>
      </c>
      <c r="K270" s="997">
        <v>0</v>
      </c>
    </row>
    <row r="271" spans="1:11" ht="45" x14ac:dyDescent="0.25">
      <c r="A271" s="989" t="s">
        <v>177</v>
      </c>
      <c r="B271" s="993">
        <v>2018</v>
      </c>
      <c r="C271" s="989" t="s">
        <v>2999</v>
      </c>
      <c r="D271" s="989" t="s">
        <v>660</v>
      </c>
      <c r="E271" s="989" t="s">
        <v>1202</v>
      </c>
      <c r="F271" s="994">
        <v>0</v>
      </c>
      <c r="G271" s="989" t="s">
        <v>657</v>
      </c>
      <c r="H271" s="996"/>
      <c r="I271" s="996"/>
      <c r="J271" s="994">
        <v>0</v>
      </c>
      <c r="K271" s="997">
        <v>0</v>
      </c>
    </row>
    <row r="272" spans="1:11" ht="45" x14ac:dyDescent="0.25">
      <c r="A272" s="989" t="s">
        <v>177</v>
      </c>
      <c r="B272" s="993">
        <v>2018</v>
      </c>
      <c r="C272" s="989" t="s">
        <v>2999</v>
      </c>
      <c r="D272" s="989" t="s">
        <v>661</v>
      </c>
      <c r="E272" s="989" t="s">
        <v>1203</v>
      </c>
      <c r="F272" s="994">
        <v>0</v>
      </c>
      <c r="G272" s="989" t="s">
        <v>657</v>
      </c>
      <c r="H272" s="996"/>
      <c r="I272" s="996"/>
      <c r="J272" s="994">
        <v>0</v>
      </c>
      <c r="K272" s="997">
        <v>0</v>
      </c>
    </row>
    <row r="273" spans="1:11" ht="45" x14ac:dyDescent="0.25">
      <c r="A273" s="989" t="s">
        <v>177</v>
      </c>
      <c r="B273" s="993">
        <v>2018</v>
      </c>
      <c r="C273" s="989" t="s">
        <v>2999</v>
      </c>
      <c r="D273" s="989" t="s">
        <v>662</v>
      </c>
      <c r="E273" s="989" t="s">
        <v>1204</v>
      </c>
      <c r="F273" s="994">
        <v>0</v>
      </c>
      <c r="G273" s="989" t="s">
        <v>657</v>
      </c>
      <c r="H273" s="994">
        <v>3115178.75</v>
      </c>
      <c r="I273" s="996"/>
      <c r="J273" s="994">
        <v>3115178.75</v>
      </c>
      <c r="K273" s="997">
        <v>3115178.68</v>
      </c>
    </row>
    <row r="274" spans="1:11" ht="45" x14ac:dyDescent="0.25">
      <c r="A274" s="989" t="s">
        <v>177</v>
      </c>
      <c r="B274" s="993">
        <v>2018</v>
      </c>
      <c r="C274" s="989" t="s">
        <v>2999</v>
      </c>
      <c r="D274" s="989" t="s">
        <v>663</v>
      </c>
      <c r="E274" s="989" t="s">
        <v>1205</v>
      </c>
      <c r="F274" s="994">
        <v>0</v>
      </c>
      <c r="G274" s="989" t="s">
        <v>657</v>
      </c>
      <c r="H274" s="996"/>
      <c r="I274" s="996"/>
      <c r="J274" s="994">
        <v>0</v>
      </c>
      <c r="K274" s="997">
        <v>0</v>
      </c>
    </row>
    <row r="275" spans="1:11" ht="45" x14ac:dyDescent="0.25">
      <c r="A275" s="989" t="s">
        <v>177</v>
      </c>
      <c r="B275" s="993">
        <v>2018</v>
      </c>
      <c r="C275" s="989" t="s">
        <v>2999</v>
      </c>
      <c r="D275" s="989" t="s">
        <v>664</v>
      </c>
      <c r="E275" s="989" t="s">
        <v>1206</v>
      </c>
      <c r="F275" s="994">
        <v>0</v>
      </c>
      <c r="G275" s="989" t="s">
        <v>657</v>
      </c>
      <c r="H275" s="996"/>
      <c r="I275" s="996"/>
      <c r="J275" s="994">
        <v>0</v>
      </c>
      <c r="K275" s="997">
        <v>0</v>
      </c>
    </row>
    <row r="276" spans="1:11" ht="45" x14ac:dyDescent="0.25">
      <c r="A276" s="989" t="s">
        <v>177</v>
      </c>
      <c r="B276" s="993">
        <v>2018</v>
      </c>
      <c r="C276" s="989" t="s">
        <v>2999</v>
      </c>
      <c r="D276" s="989" t="s">
        <v>665</v>
      </c>
      <c r="E276" s="989" t="s">
        <v>1207</v>
      </c>
      <c r="F276" s="994">
        <v>0</v>
      </c>
      <c r="G276" s="989" t="s">
        <v>657</v>
      </c>
      <c r="H276" s="996"/>
      <c r="I276" s="996"/>
      <c r="J276" s="994">
        <v>0</v>
      </c>
      <c r="K276" s="997">
        <v>0</v>
      </c>
    </row>
    <row r="277" spans="1:11" ht="45" x14ac:dyDescent="0.25">
      <c r="A277" s="989" t="s">
        <v>177</v>
      </c>
      <c r="B277" s="993">
        <v>2018</v>
      </c>
      <c r="C277" s="989" t="s">
        <v>2999</v>
      </c>
      <c r="D277" s="989" t="s">
        <v>1870</v>
      </c>
      <c r="E277" s="989" t="s">
        <v>2293</v>
      </c>
      <c r="F277" s="994">
        <v>0</v>
      </c>
      <c r="G277" s="989" t="s">
        <v>657</v>
      </c>
      <c r="H277" s="994">
        <v>470193.0625</v>
      </c>
      <c r="I277" s="996"/>
      <c r="J277" s="994">
        <v>470193.0625</v>
      </c>
      <c r="K277" s="997">
        <v>470193.05</v>
      </c>
    </row>
    <row r="278" spans="1:11" ht="45" x14ac:dyDescent="0.25">
      <c r="A278" s="989" t="s">
        <v>177</v>
      </c>
      <c r="B278" s="993">
        <v>2018</v>
      </c>
      <c r="C278" s="989" t="s">
        <v>2999</v>
      </c>
      <c r="D278" s="989" t="s">
        <v>2486</v>
      </c>
      <c r="E278" s="989" t="s">
        <v>2497</v>
      </c>
      <c r="F278" s="994">
        <v>0</v>
      </c>
      <c r="G278" s="989" t="s">
        <v>657</v>
      </c>
      <c r="H278" s="996"/>
      <c r="I278" s="996"/>
      <c r="J278" s="994">
        <v>0</v>
      </c>
      <c r="K278" s="997">
        <v>0</v>
      </c>
    </row>
    <row r="279" spans="1:11" ht="45" x14ac:dyDescent="0.25">
      <c r="A279" s="989" t="s">
        <v>177</v>
      </c>
      <c r="B279" s="993">
        <v>2018</v>
      </c>
      <c r="C279" s="989" t="s">
        <v>2999</v>
      </c>
      <c r="D279" s="989" t="s">
        <v>4892</v>
      </c>
      <c r="E279" s="989" t="s">
        <v>5992</v>
      </c>
      <c r="F279" s="994">
        <v>0</v>
      </c>
      <c r="G279" s="989" t="s">
        <v>657</v>
      </c>
      <c r="H279" s="996"/>
      <c r="I279" s="996"/>
      <c r="J279" s="994">
        <v>0</v>
      </c>
      <c r="K279" s="997">
        <v>0</v>
      </c>
    </row>
    <row r="280" spans="1:11" ht="45" x14ac:dyDescent="0.25">
      <c r="A280" s="989" t="s">
        <v>177</v>
      </c>
      <c r="B280" s="993">
        <v>2018</v>
      </c>
      <c r="C280" s="989" t="s">
        <v>2999</v>
      </c>
      <c r="D280" s="989" t="s">
        <v>666</v>
      </c>
      <c r="E280" s="989" t="s">
        <v>1547</v>
      </c>
      <c r="F280" s="994">
        <v>3585371.73</v>
      </c>
      <c r="G280" s="995"/>
      <c r="H280" s="996"/>
      <c r="I280" s="996"/>
      <c r="J280" s="994">
        <v>0</v>
      </c>
      <c r="K280" s="997">
        <v>3585371.73</v>
      </c>
    </row>
    <row r="281" spans="1:11" x14ac:dyDescent="0.25">
      <c r="A281" s="989" t="s">
        <v>624</v>
      </c>
      <c r="B281" s="993">
        <v>2018</v>
      </c>
      <c r="C281" s="989" t="s">
        <v>2991</v>
      </c>
      <c r="D281" s="989" t="s">
        <v>49</v>
      </c>
      <c r="E281" s="989" t="s">
        <v>763</v>
      </c>
      <c r="F281" s="994">
        <v>0</v>
      </c>
      <c r="G281" s="989" t="s">
        <v>657</v>
      </c>
      <c r="H281" s="994">
        <v>0</v>
      </c>
      <c r="I281" s="994">
        <v>0</v>
      </c>
      <c r="J281" s="994">
        <v>0</v>
      </c>
      <c r="K281" s="997">
        <v>0</v>
      </c>
    </row>
    <row r="282" spans="1:11" ht="33.75" x14ac:dyDescent="0.25">
      <c r="A282" s="989" t="s">
        <v>624</v>
      </c>
      <c r="B282" s="993">
        <v>2018</v>
      </c>
      <c r="C282" s="989" t="s">
        <v>2992</v>
      </c>
      <c r="D282" s="989" t="s">
        <v>658</v>
      </c>
      <c r="E282" s="989" t="s">
        <v>764</v>
      </c>
      <c r="F282" s="994">
        <v>-13473.93</v>
      </c>
      <c r="G282" s="989" t="s">
        <v>657</v>
      </c>
      <c r="H282" s="994">
        <v>-13271.7802734375</v>
      </c>
      <c r="I282" s="994">
        <v>-202.14999389648401</v>
      </c>
      <c r="J282" s="994">
        <v>-13473.9296875</v>
      </c>
      <c r="K282" s="997">
        <v>-13473.93</v>
      </c>
    </row>
    <row r="283" spans="1:11" ht="22.5" x14ac:dyDescent="0.25">
      <c r="A283" s="989" t="s">
        <v>624</v>
      </c>
      <c r="B283" s="993">
        <v>2018</v>
      </c>
      <c r="C283" s="989" t="s">
        <v>2993</v>
      </c>
      <c r="D283" s="989" t="s">
        <v>464</v>
      </c>
      <c r="E283" s="989" t="s">
        <v>765</v>
      </c>
      <c r="F283" s="994">
        <v>4467380.21</v>
      </c>
      <c r="G283" s="995"/>
      <c r="H283" s="996"/>
      <c r="I283" s="996"/>
      <c r="J283" s="994">
        <v>0</v>
      </c>
      <c r="K283" s="997">
        <v>4467380.21</v>
      </c>
    </row>
    <row r="284" spans="1:11" ht="33.75" x14ac:dyDescent="0.25">
      <c r="A284" s="989" t="s">
        <v>624</v>
      </c>
      <c r="B284" s="993">
        <v>2018</v>
      </c>
      <c r="C284" s="989" t="s">
        <v>2994</v>
      </c>
      <c r="D284" s="989" t="s">
        <v>46</v>
      </c>
      <c r="E284" s="989" t="s">
        <v>766</v>
      </c>
      <c r="F284" s="994">
        <v>-4487646.51</v>
      </c>
      <c r="G284" s="989" t="s">
        <v>657</v>
      </c>
      <c r="H284" s="994">
        <v>-4437429.5</v>
      </c>
      <c r="I284" s="994">
        <v>-50216.91015625</v>
      </c>
      <c r="J284" s="994">
        <v>-4487646.5</v>
      </c>
      <c r="K284" s="997">
        <v>-4487646.51</v>
      </c>
    </row>
    <row r="285" spans="1:11" ht="22.5" x14ac:dyDescent="0.25">
      <c r="A285" s="989" t="s">
        <v>624</v>
      </c>
      <c r="B285" s="993">
        <v>2018</v>
      </c>
      <c r="C285" s="989" t="s">
        <v>2994</v>
      </c>
      <c r="D285" s="989" t="s">
        <v>2482</v>
      </c>
      <c r="E285" s="989" t="s">
        <v>766</v>
      </c>
      <c r="F285" s="994">
        <v>0</v>
      </c>
      <c r="G285" s="995"/>
      <c r="H285" s="996"/>
      <c r="I285" s="996"/>
      <c r="J285" s="994">
        <v>0</v>
      </c>
      <c r="K285" s="997">
        <v>0</v>
      </c>
    </row>
    <row r="286" spans="1:11" ht="22.5" x14ac:dyDescent="0.25">
      <c r="A286" s="989" t="s">
        <v>624</v>
      </c>
      <c r="B286" s="993">
        <v>2018</v>
      </c>
      <c r="C286" s="989" t="s">
        <v>2994</v>
      </c>
      <c r="D286" s="989" t="s">
        <v>2483</v>
      </c>
      <c r="E286" s="989" t="s">
        <v>766</v>
      </c>
      <c r="F286" s="994">
        <v>0</v>
      </c>
      <c r="G286" s="995"/>
      <c r="H286" s="996"/>
      <c r="I286" s="996"/>
      <c r="J286" s="994">
        <v>0</v>
      </c>
      <c r="K286" s="997">
        <v>0</v>
      </c>
    </row>
    <row r="287" spans="1:11" ht="22.5" x14ac:dyDescent="0.25">
      <c r="A287" s="989" t="s">
        <v>624</v>
      </c>
      <c r="B287" s="993">
        <v>2018</v>
      </c>
      <c r="C287" s="989" t="s">
        <v>2994</v>
      </c>
      <c r="D287" s="989" t="s">
        <v>2484</v>
      </c>
      <c r="E287" s="989" t="s">
        <v>766</v>
      </c>
      <c r="F287" s="994">
        <v>-1930.73</v>
      </c>
      <c r="G287" s="995"/>
      <c r="H287" s="996"/>
      <c r="I287" s="996"/>
      <c r="J287" s="994">
        <v>0</v>
      </c>
      <c r="K287" s="997">
        <v>-1930.73</v>
      </c>
    </row>
    <row r="288" spans="1:11" ht="22.5" x14ac:dyDescent="0.25">
      <c r="A288" s="989" t="s">
        <v>624</v>
      </c>
      <c r="B288" s="993">
        <v>2018</v>
      </c>
      <c r="C288" s="989" t="s">
        <v>2994</v>
      </c>
      <c r="D288" s="989" t="s">
        <v>2485</v>
      </c>
      <c r="E288" s="989" t="s">
        <v>766</v>
      </c>
      <c r="F288" s="994">
        <v>-110135.12</v>
      </c>
      <c r="G288" s="995"/>
      <c r="H288" s="996"/>
      <c r="I288" s="996"/>
      <c r="J288" s="994">
        <v>0</v>
      </c>
      <c r="K288" s="997">
        <v>-110135.12</v>
      </c>
    </row>
    <row r="289" spans="1:11" ht="33.75" x14ac:dyDescent="0.25">
      <c r="A289" s="989" t="s">
        <v>624</v>
      </c>
      <c r="B289" s="993">
        <v>2018</v>
      </c>
      <c r="C289" s="989" t="s">
        <v>2995</v>
      </c>
      <c r="D289" s="989" t="s">
        <v>47</v>
      </c>
      <c r="E289" s="989" t="s">
        <v>767</v>
      </c>
      <c r="F289" s="994">
        <v>791924.66</v>
      </c>
      <c r="G289" s="989" t="s">
        <v>657</v>
      </c>
      <c r="H289" s="994">
        <v>786153.625</v>
      </c>
      <c r="I289" s="994">
        <v>5771.0400390625</v>
      </c>
      <c r="J289" s="994">
        <v>791924.6875</v>
      </c>
      <c r="K289" s="997">
        <v>791924.66</v>
      </c>
    </row>
    <row r="290" spans="1:11" ht="33.75" x14ac:dyDescent="0.25">
      <c r="A290" s="989" t="s">
        <v>624</v>
      </c>
      <c r="B290" s="993">
        <v>2018</v>
      </c>
      <c r="C290" s="989" t="s">
        <v>2996</v>
      </c>
      <c r="D290" s="989" t="s">
        <v>48</v>
      </c>
      <c r="E290" s="989" t="s">
        <v>768</v>
      </c>
      <c r="F290" s="994">
        <v>508993.2</v>
      </c>
      <c r="G290" s="989" t="s">
        <v>657</v>
      </c>
      <c r="H290" s="994">
        <v>502160.21875</v>
      </c>
      <c r="I290" s="994">
        <v>6832.97021484375</v>
      </c>
      <c r="J290" s="994">
        <v>508993.1875</v>
      </c>
      <c r="K290" s="997">
        <v>508993.2</v>
      </c>
    </row>
    <row r="291" spans="1:11" ht="33.75" x14ac:dyDescent="0.25">
      <c r="A291" s="989" t="s">
        <v>624</v>
      </c>
      <c r="B291" s="993">
        <v>2018</v>
      </c>
      <c r="C291" s="989" t="s">
        <v>2997</v>
      </c>
      <c r="D291" s="989" t="s">
        <v>50</v>
      </c>
      <c r="E291" s="989" t="s">
        <v>769</v>
      </c>
      <c r="F291" s="994">
        <v>73424.22</v>
      </c>
      <c r="G291" s="989" t="s">
        <v>657</v>
      </c>
      <c r="H291" s="994">
        <v>123433.203125</v>
      </c>
      <c r="I291" s="994">
        <v>-50008.98046875</v>
      </c>
      <c r="J291" s="994">
        <v>73424.21875</v>
      </c>
      <c r="K291" s="997">
        <v>73424.22</v>
      </c>
    </row>
    <row r="292" spans="1:11" ht="22.5" x14ac:dyDescent="0.25">
      <c r="A292" s="989" t="s">
        <v>624</v>
      </c>
      <c r="B292" s="993">
        <v>2018</v>
      </c>
      <c r="C292" s="989" t="s">
        <v>2998</v>
      </c>
      <c r="D292" s="989" t="s">
        <v>348</v>
      </c>
      <c r="E292" s="989" t="s">
        <v>770</v>
      </c>
      <c r="F292" s="994">
        <v>-4184277.32</v>
      </c>
      <c r="G292" s="989" t="s">
        <v>657</v>
      </c>
      <c r="H292" s="994">
        <v>-4182865.25</v>
      </c>
      <c r="I292" s="994">
        <v>-1411.9599609375</v>
      </c>
      <c r="J292" s="994">
        <v>-4184277.25</v>
      </c>
      <c r="K292" s="997">
        <v>-4184277.32</v>
      </c>
    </row>
    <row r="293" spans="1:11" ht="45" x14ac:dyDescent="0.25">
      <c r="A293" s="989" t="s">
        <v>624</v>
      </c>
      <c r="B293" s="993">
        <v>2018</v>
      </c>
      <c r="C293" s="989" t="s">
        <v>2999</v>
      </c>
      <c r="D293" s="989" t="s">
        <v>659</v>
      </c>
      <c r="E293" s="989" t="s">
        <v>1215</v>
      </c>
      <c r="F293" s="994">
        <v>0</v>
      </c>
      <c r="G293" s="989" t="s">
        <v>657</v>
      </c>
      <c r="H293" s="996"/>
      <c r="I293" s="996"/>
      <c r="J293" s="994">
        <v>0</v>
      </c>
      <c r="K293" s="997">
        <v>0</v>
      </c>
    </row>
    <row r="294" spans="1:11" ht="45" x14ac:dyDescent="0.25">
      <c r="A294" s="989" t="s">
        <v>624</v>
      </c>
      <c r="B294" s="993">
        <v>2018</v>
      </c>
      <c r="C294" s="989" t="s">
        <v>2999</v>
      </c>
      <c r="D294" s="989" t="s">
        <v>660</v>
      </c>
      <c r="E294" s="989" t="s">
        <v>1216</v>
      </c>
      <c r="F294" s="994">
        <v>0</v>
      </c>
      <c r="G294" s="989" t="s">
        <v>657</v>
      </c>
      <c r="H294" s="996"/>
      <c r="I294" s="996"/>
      <c r="J294" s="994">
        <v>0</v>
      </c>
      <c r="K294" s="997">
        <v>0</v>
      </c>
    </row>
    <row r="295" spans="1:11" ht="45" x14ac:dyDescent="0.25">
      <c r="A295" s="989" t="s">
        <v>624</v>
      </c>
      <c r="B295" s="993">
        <v>2018</v>
      </c>
      <c r="C295" s="989" t="s">
        <v>2999</v>
      </c>
      <c r="D295" s="989" t="s">
        <v>661</v>
      </c>
      <c r="E295" s="989" t="s">
        <v>1217</v>
      </c>
      <c r="F295" s="994">
        <v>0</v>
      </c>
      <c r="G295" s="989" t="s">
        <v>657</v>
      </c>
      <c r="H295" s="996"/>
      <c r="I295" s="996"/>
      <c r="J295" s="994">
        <v>0</v>
      </c>
      <c r="K295" s="997">
        <v>0</v>
      </c>
    </row>
    <row r="296" spans="1:11" ht="45" x14ac:dyDescent="0.25">
      <c r="A296" s="989" t="s">
        <v>624</v>
      </c>
      <c r="B296" s="993">
        <v>2018</v>
      </c>
      <c r="C296" s="989" t="s">
        <v>2999</v>
      </c>
      <c r="D296" s="989" t="s">
        <v>662</v>
      </c>
      <c r="E296" s="989" t="s">
        <v>1218</v>
      </c>
      <c r="F296" s="994">
        <v>0</v>
      </c>
      <c r="G296" s="989" t="s">
        <v>657</v>
      </c>
      <c r="H296" s="996"/>
      <c r="I296" s="996"/>
      <c r="J296" s="994">
        <v>0</v>
      </c>
      <c r="K296" s="997">
        <v>0</v>
      </c>
    </row>
    <row r="297" spans="1:11" ht="45" x14ac:dyDescent="0.25">
      <c r="A297" s="989" t="s">
        <v>624</v>
      </c>
      <c r="B297" s="993">
        <v>2018</v>
      </c>
      <c r="C297" s="989" t="s">
        <v>2999</v>
      </c>
      <c r="D297" s="989" t="s">
        <v>663</v>
      </c>
      <c r="E297" s="989" t="s">
        <v>1219</v>
      </c>
      <c r="F297" s="994">
        <v>0</v>
      </c>
      <c r="G297" s="989" t="s">
        <v>657</v>
      </c>
      <c r="H297" s="996"/>
      <c r="I297" s="996"/>
      <c r="J297" s="994">
        <v>0</v>
      </c>
      <c r="K297" s="997">
        <v>0</v>
      </c>
    </row>
    <row r="298" spans="1:11" ht="45" x14ac:dyDescent="0.25">
      <c r="A298" s="989" t="s">
        <v>624</v>
      </c>
      <c r="B298" s="993">
        <v>2018</v>
      </c>
      <c r="C298" s="989" t="s">
        <v>2999</v>
      </c>
      <c r="D298" s="989" t="s">
        <v>664</v>
      </c>
      <c r="E298" s="989" t="s">
        <v>1220</v>
      </c>
      <c r="F298" s="994">
        <v>0</v>
      </c>
      <c r="G298" s="989" t="s">
        <v>657</v>
      </c>
      <c r="H298" s="996"/>
      <c r="I298" s="996"/>
      <c r="J298" s="994">
        <v>0</v>
      </c>
      <c r="K298" s="997">
        <v>0</v>
      </c>
    </row>
    <row r="299" spans="1:11" ht="45" x14ac:dyDescent="0.25">
      <c r="A299" s="989" t="s">
        <v>624</v>
      </c>
      <c r="B299" s="993">
        <v>2018</v>
      </c>
      <c r="C299" s="989" t="s">
        <v>2999</v>
      </c>
      <c r="D299" s="989" t="s">
        <v>665</v>
      </c>
      <c r="E299" s="989" t="s">
        <v>1221</v>
      </c>
      <c r="F299" s="994">
        <v>0</v>
      </c>
      <c r="G299" s="989" t="s">
        <v>657</v>
      </c>
      <c r="H299" s="994">
        <v>1497845</v>
      </c>
      <c r="I299" s="994">
        <v>56256.5390625</v>
      </c>
      <c r="J299" s="994">
        <v>1554101.5</v>
      </c>
      <c r="K299" s="997">
        <v>1554101.51</v>
      </c>
    </row>
    <row r="300" spans="1:11" ht="45" x14ac:dyDescent="0.25">
      <c r="A300" s="989" t="s">
        <v>624</v>
      </c>
      <c r="B300" s="993">
        <v>2018</v>
      </c>
      <c r="C300" s="989" t="s">
        <v>2999</v>
      </c>
      <c r="D300" s="989" t="s">
        <v>1870</v>
      </c>
      <c r="E300" s="989" t="s">
        <v>2295</v>
      </c>
      <c r="F300" s="994">
        <v>0</v>
      </c>
      <c r="G300" s="989" t="s">
        <v>657</v>
      </c>
      <c r="H300" s="994">
        <v>-73032.859375</v>
      </c>
      <c r="I300" s="994">
        <v>8067.89013671875</v>
      </c>
      <c r="J300" s="994">
        <v>-64964.96875</v>
      </c>
      <c r="K300" s="997">
        <v>-64964.97</v>
      </c>
    </row>
    <row r="301" spans="1:11" ht="45" x14ac:dyDescent="0.25">
      <c r="A301" s="989" t="s">
        <v>624</v>
      </c>
      <c r="B301" s="993">
        <v>2018</v>
      </c>
      <c r="C301" s="989" t="s">
        <v>2999</v>
      </c>
      <c r="D301" s="989" t="s">
        <v>2486</v>
      </c>
      <c r="E301" s="989" t="s">
        <v>2499</v>
      </c>
      <c r="F301" s="994">
        <v>0</v>
      </c>
      <c r="G301" s="989" t="s">
        <v>657</v>
      </c>
      <c r="H301" s="996"/>
      <c r="I301" s="996"/>
      <c r="J301" s="994">
        <v>0</v>
      </c>
      <c r="K301" s="997">
        <v>0</v>
      </c>
    </row>
    <row r="302" spans="1:11" ht="45" x14ac:dyDescent="0.25">
      <c r="A302" s="989" t="s">
        <v>624</v>
      </c>
      <c r="B302" s="993">
        <v>2018</v>
      </c>
      <c r="C302" s="989" t="s">
        <v>2999</v>
      </c>
      <c r="D302" s="989" t="s">
        <v>4892</v>
      </c>
      <c r="E302" s="989" t="s">
        <v>5993</v>
      </c>
      <c r="F302" s="994">
        <v>0</v>
      </c>
      <c r="G302" s="989" t="s">
        <v>657</v>
      </c>
      <c r="H302" s="994">
        <v>-2405810</v>
      </c>
      <c r="I302" s="994">
        <v>-150914.171875</v>
      </c>
      <c r="J302" s="994">
        <v>-2556724.25</v>
      </c>
      <c r="K302" s="997">
        <v>-2556724.2000000002</v>
      </c>
    </row>
    <row r="303" spans="1:11" ht="45" x14ac:dyDescent="0.25">
      <c r="A303" s="989" t="s">
        <v>624</v>
      </c>
      <c r="B303" s="993">
        <v>2018</v>
      </c>
      <c r="C303" s="989" t="s">
        <v>2999</v>
      </c>
      <c r="D303" s="989" t="s">
        <v>666</v>
      </c>
      <c r="E303" s="989" t="s">
        <v>1549</v>
      </c>
      <c r="F303" s="994">
        <v>-1067587.6599999999</v>
      </c>
      <c r="G303" s="995"/>
      <c r="H303" s="996"/>
      <c r="I303" s="996"/>
      <c r="J303" s="994">
        <v>0</v>
      </c>
      <c r="K303" s="997">
        <v>-1067587.6599999999</v>
      </c>
    </row>
    <row r="304" spans="1:11" x14ac:dyDescent="0.25">
      <c r="A304" s="989" t="s">
        <v>2457</v>
      </c>
      <c r="B304" s="993">
        <v>2018</v>
      </c>
      <c r="C304" s="989" t="s">
        <v>2991</v>
      </c>
      <c r="D304" s="989" t="s">
        <v>49</v>
      </c>
      <c r="E304" s="989" t="s">
        <v>4894</v>
      </c>
      <c r="F304" s="994">
        <v>-837081.07</v>
      </c>
      <c r="G304" s="989" t="s">
        <v>657</v>
      </c>
      <c r="H304" s="994">
        <v>-825018.625</v>
      </c>
      <c r="I304" s="994">
        <v>-12062.4697265625</v>
      </c>
      <c r="J304" s="994">
        <v>-837081.0625</v>
      </c>
      <c r="K304" s="997">
        <v>-837081.07</v>
      </c>
    </row>
    <row r="305" spans="1:11" ht="33.75" x14ac:dyDescent="0.25">
      <c r="A305" s="989" t="s">
        <v>2457</v>
      </c>
      <c r="B305" s="993">
        <v>2018</v>
      </c>
      <c r="C305" s="989" t="s">
        <v>2992</v>
      </c>
      <c r="D305" s="989" t="s">
        <v>658</v>
      </c>
      <c r="E305" s="989" t="s">
        <v>4895</v>
      </c>
      <c r="F305" s="994">
        <v>-58087.67</v>
      </c>
      <c r="G305" s="989" t="s">
        <v>657</v>
      </c>
      <c r="H305" s="994">
        <v>-56921.1484375</v>
      </c>
      <c r="I305" s="994">
        <v>-1166.52001953125</v>
      </c>
      <c r="J305" s="994">
        <v>-58087.671875</v>
      </c>
      <c r="K305" s="997">
        <v>-58087.67</v>
      </c>
    </row>
    <row r="306" spans="1:11" ht="22.5" x14ac:dyDescent="0.25">
      <c r="A306" s="989" t="s">
        <v>2457</v>
      </c>
      <c r="B306" s="993">
        <v>2018</v>
      </c>
      <c r="C306" s="989" t="s">
        <v>2993</v>
      </c>
      <c r="D306" s="989" t="s">
        <v>464</v>
      </c>
      <c r="E306" s="989" t="s">
        <v>4896</v>
      </c>
      <c r="F306" s="994">
        <v>1163176.6100000001</v>
      </c>
      <c r="G306" s="995"/>
      <c r="H306" s="996"/>
      <c r="I306" s="996"/>
      <c r="J306" s="994">
        <v>0</v>
      </c>
      <c r="K306" s="997">
        <v>1163176.6100000001</v>
      </c>
    </row>
    <row r="307" spans="1:11" ht="33.75" x14ac:dyDescent="0.25">
      <c r="A307" s="989" t="s">
        <v>2457</v>
      </c>
      <c r="B307" s="993">
        <v>2018</v>
      </c>
      <c r="C307" s="989" t="s">
        <v>2994</v>
      </c>
      <c r="D307" s="989" t="s">
        <v>46</v>
      </c>
      <c r="E307" s="989" t="s">
        <v>4897</v>
      </c>
      <c r="F307" s="994">
        <v>-6934673.2599999998</v>
      </c>
      <c r="G307" s="989" t="s">
        <v>657</v>
      </c>
      <c r="H307" s="994">
        <v>-6660665.5</v>
      </c>
      <c r="I307" s="994">
        <v>-274007.9375</v>
      </c>
      <c r="J307" s="994">
        <v>-6934673.5</v>
      </c>
      <c r="K307" s="997">
        <v>-6934673.2599999998</v>
      </c>
    </row>
    <row r="308" spans="1:11" ht="22.5" x14ac:dyDescent="0.25">
      <c r="A308" s="989" t="s">
        <v>2457</v>
      </c>
      <c r="B308" s="993">
        <v>2018</v>
      </c>
      <c r="C308" s="989" t="s">
        <v>2994</v>
      </c>
      <c r="D308" s="989" t="s">
        <v>2482</v>
      </c>
      <c r="E308" s="989" t="s">
        <v>4897</v>
      </c>
      <c r="F308" s="994">
        <v>0</v>
      </c>
      <c r="G308" s="995"/>
      <c r="H308" s="996"/>
      <c r="I308" s="996"/>
      <c r="J308" s="994">
        <v>0</v>
      </c>
      <c r="K308" s="997">
        <v>0</v>
      </c>
    </row>
    <row r="309" spans="1:11" ht="22.5" x14ac:dyDescent="0.25">
      <c r="A309" s="989" t="s">
        <v>2457</v>
      </c>
      <c r="B309" s="993">
        <v>2018</v>
      </c>
      <c r="C309" s="989" t="s">
        <v>2994</v>
      </c>
      <c r="D309" s="989" t="s">
        <v>2483</v>
      </c>
      <c r="E309" s="989" t="s">
        <v>4897</v>
      </c>
      <c r="F309" s="994">
        <v>0</v>
      </c>
      <c r="G309" s="995"/>
      <c r="H309" s="996"/>
      <c r="I309" s="996"/>
      <c r="J309" s="994">
        <v>0</v>
      </c>
      <c r="K309" s="997">
        <v>0</v>
      </c>
    </row>
    <row r="310" spans="1:11" ht="22.5" x14ac:dyDescent="0.25">
      <c r="A310" s="989" t="s">
        <v>2457</v>
      </c>
      <c r="B310" s="993">
        <v>2018</v>
      </c>
      <c r="C310" s="989" t="s">
        <v>2994</v>
      </c>
      <c r="D310" s="989" t="s">
        <v>2484</v>
      </c>
      <c r="E310" s="989" t="s">
        <v>4897</v>
      </c>
      <c r="F310" s="994">
        <v>15656</v>
      </c>
      <c r="G310" s="995"/>
      <c r="H310" s="996"/>
      <c r="I310" s="996"/>
      <c r="J310" s="994">
        <v>0</v>
      </c>
      <c r="K310" s="997">
        <v>15656</v>
      </c>
    </row>
    <row r="311" spans="1:11" ht="22.5" x14ac:dyDescent="0.25">
      <c r="A311" s="989" t="s">
        <v>2457</v>
      </c>
      <c r="B311" s="993">
        <v>2018</v>
      </c>
      <c r="C311" s="989" t="s">
        <v>2994</v>
      </c>
      <c r="D311" s="989" t="s">
        <v>2485</v>
      </c>
      <c r="E311" s="989" t="s">
        <v>4897</v>
      </c>
      <c r="F311" s="994">
        <v>653669.98</v>
      </c>
      <c r="G311" s="995"/>
      <c r="H311" s="996"/>
      <c r="I311" s="996"/>
      <c r="J311" s="994">
        <v>0</v>
      </c>
      <c r="K311" s="997">
        <v>653669.98</v>
      </c>
    </row>
    <row r="312" spans="1:11" ht="33.75" x14ac:dyDescent="0.25">
      <c r="A312" s="989" t="s">
        <v>2457</v>
      </c>
      <c r="B312" s="993">
        <v>2018</v>
      </c>
      <c r="C312" s="989" t="s">
        <v>2995</v>
      </c>
      <c r="D312" s="989" t="s">
        <v>47</v>
      </c>
      <c r="E312" s="989" t="s">
        <v>4898</v>
      </c>
      <c r="F312" s="994">
        <v>-1264284.96</v>
      </c>
      <c r="G312" s="989" t="s">
        <v>657</v>
      </c>
      <c r="H312" s="994">
        <v>-1366800.375</v>
      </c>
      <c r="I312" s="994">
        <v>102515.421875</v>
      </c>
      <c r="J312" s="994">
        <v>-1264285</v>
      </c>
      <c r="K312" s="997">
        <v>-1264284.96</v>
      </c>
    </row>
    <row r="313" spans="1:11" ht="33.75" x14ac:dyDescent="0.25">
      <c r="A313" s="989" t="s">
        <v>2457</v>
      </c>
      <c r="B313" s="993">
        <v>2018</v>
      </c>
      <c r="C313" s="989" t="s">
        <v>2996</v>
      </c>
      <c r="D313" s="989" t="s">
        <v>48</v>
      </c>
      <c r="E313" s="989" t="s">
        <v>4899</v>
      </c>
      <c r="F313" s="994">
        <v>-741807.89</v>
      </c>
      <c r="G313" s="989" t="s">
        <v>657</v>
      </c>
      <c r="H313" s="994">
        <v>-791488.375</v>
      </c>
      <c r="I313" s="994">
        <v>49680.5</v>
      </c>
      <c r="J313" s="994">
        <v>-741807.875</v>
      </c>
      <c r="K313" s="997">
        <v>-741807.89</v>
      </c>
    </row>
    <row r="314" spans="1:11" ht="33.75" x14ac:dyDescent="0.25">
      <c r="A314" s="989" t="s">
        <v>2457</v>
      </c>
      <c r="B314" s="993">
        <v>2018</v>
      </c>
      <c r="C314" s="989" t="s">
        <v>2997</v>
      </c>
      <c r="D314" s="989" t="s">
        <v>50</v>
      </c>
      <c r="E314" s="989" t="s">
        <v>4900</v>
      </c>
      <c r="F314" s="994">
        <v>-2348159.2400000002</v>
      </c>
      <c r="G314" s="989" t="s">
        <v>657</v>
      </c>
      <c r="H314" s="994">
        <v>-2171404.5</v>
      </c>
      <c r="I314" s="994">
        <v>-176754.84375</v>
      </c>
      <c r="J314" s="994">
        <v>-2348159.25</v>
      </c>
      <c r="K314" s="997">
        <v>-2348159.2400000002</v>
      </c>
    </row>
    <row r="315" spans="1:11" ht="22.5" x14ac:dyDescent="0.25">
      <c r="A315" s="989" t="s">
        <v>2457</v>
      </c>
      <c r="B315" s="993">
        <v>2018</v>
      </c>
      <c r="C315" s="989" t="s">
        <v>2998</v>
      </c>
      <c r="D315" s="989" t="s">
        <v>348</v>
      </c>
      <c r="E315" s="989" t="s">
        <v>4901</v>
      </c>
      <c r="F315" s="994">
        <v>5249828.54</v>
      </c>
      <c r="G315" s="989" t="s">
        <v>657</v>
      </c>
      <c r="H315" s="994">
        <v>5052499.5</v>
      </c>
      <c r="I315" s="994">
        <v>197329.109375</v>
      </c>
      <c r="J315" s="994">
        <v>5249828.5</v>
      </c>
      <c r="K315" s="997">
        <v>5249828.54</v>
      </c>
    </row>
    <row r="316" spans="1:11" ht="45" x14ac:dyDescent="0.25">
      <c r="A316" s="989" t="s">
        <v>2457</v>
      </c>
      <c r="B316" s="993">
        <v>2018</v>
      </c>
      <c r="C316" s="989" t="s">
        <v>2999</v>
      </c>
      <c r="D316" s="989" t="s">
        <v>659</v>
      </c>
      <c r="E316" s="989" t="s">
        <v>4902</v>
      </c>
      <c r="F316" s="994">
        <v>0</v>
      </c>
      <c r="G316" s="989" t="s">
        <v>657</v>
      </c>
      <c r="H316" s="996"/>
      <c r="I316" s="996"/>
      <c r="J316" s="994">
        <v>0</v>
      </c>
      <c r="K316" s="997">
        <v>0</v>
      </c>
    </row>
    <row r="317" spans="1:11" ht="45" x14ac:dyDescent="0.25">
      <c r="A317" s="989" t="s">
        <v>2457</v>
      </c>
      <c r="B317" s="993">
        <v>2018</v>
      </c>
      <c r="C317" s="989" t="s">
        <v>2999</v>
      </c>
      <c r="D317" s="989" t="s">
        <v>660</v>
      </c>
      <c r="E317" s="989" t="s">
        <v>4903</v>
      </c>
      <c r="F317" s="994">
        <v>0</v>
      </c>
      <c r="G317" s="989" t="s">
        <v>657</v>
      </c>
      <c r="H317" s="996"/>
      <c r="I317" s="996"/>
      <c r="J317" s="994">
        <v>0</v>
      </c>
      <c r="K317" s="997">
        <v>0</v>
      </c>
    </row>
    <row r="318" spans="1:11" ht="45" x14ac:dyDescent="0.25">
      <c r="A318" s="989" t="s">
        <v>2457</v>
      </c>
      <c r="B318" s="993">
        <v>2018</v>
      </c>
      <c r="C318" s="989" t="s">
        <v>2999</v>
      </c>
      <c r="D318" s="989" t="s">
        <v>661</v>
      </c>
      <c r="E318" s="989" t="s">
        <v>4904</v>
      </c>
      <c r="F318" s="994">
        <v>0</v>
      </c>
      <c r="G318" s="989" t="s">
        <v>657</v>
      </c>
      <c r="H318" s="996"/>
      <c r="I318" s="996"/>
      <c r="J318" s="994">
        <v>0</v>
      </c>
      <c r="K318" s="997">
        <v>0</v>
      </c>
    </row>
    <row r="319" spans="1:11" ht="45" x14ac:dyDescent="0.25">
      <c r="A319" s="989" t="s">
        <v>2457</v>
      </c>
      <c r="B319" s="993">
        <v>2018</v>
      </c>
      <c r="C319" s="989" t="s">
        <v>2999</v>
      </c>
      <c r="D319" s="989" t="s">
        <v>662</v>
      </c>
      <c r="E319" s="989" t="s">
        <v>4905</v>
      </c>
      <c r="F319" s="994">
        <v>0</v>
      </c>
      <c r="G319" s="989" t="s">
        <v>657</v>
      </c>
      <c r="H319" s="996"/>
      <c r="I319" s="996"/>
      <c r="J319" s="994">
        <v>0</v>
      </c>
      <c r="K319" s="997">
        <v>0</v>
      </c>
    </row>
    <row r="320" spans="1:11" ht="45" x14ac:dyDescent="0.25">
      <c r="A320" s="989" t="s">
        <v>2457</v>
      </c>
      <c r="B320" s="993">
        <v>2018</v>
      </c>
      <c r="C320" s="989" t="s">
        <v>2999</v>
      </c>
      <c r="D320" s="989" t="s">
        <v>663</v>
      </c>
      <c r="E320" s="989" t="s">
        <v>4906</v>
      </c>
      <c r="F320" s="994">
        <v>0</v>
      </c>
      <c r="G320" s="989" t="s">
        <v>657</v>
      </c>
      <c r="H320" s="996"/>
      <c r="I320" s="996"/>
      <c r="J320" s="994">
        <v>0</v>
      </c>
      <c r="K320" s="997">
        <v>0</v>
      </c>
    </row>
    <row r="321" spans="1:11" ht="45" x14ac:dyDescent="0.25">
      <c r="A321" s="989" t="s">
        <v>2457</v>
      </c>
      <c r="B321" s="993">
        <v>2018</v>
      </c>
      <c r="C321" s="989" t="s">
        <v>2999</v>
      </c>
      <c r="D321" s="989" t="s">
        <v>664</v>
      </c>
      <c r="E321" s="989" t="s">
        <v>4907</v>
      </c>
      <c r="F321" s="994">
        <v>0</v>
      </c>
      <c r="G321" s="989" t="s">
        <v>657</v>
      </c>
      <c r="H321" s="996"/>
      <c r="I321" s="996"/>
      <c r="J321" s="994">
        <v>0</v>
      </c>
      <c r="K321" s="997">
        <v>0</v>
      </c>
    </row>
    <row r="322" spans="1:11" ht="45" x14ac:dyDescent="0.25">
      <c r="A322" s="989" t="s">
        <v>2457</v>
      </c>
      <c r="B322" s="993">
        <v>2018</v>
      </c>
      <c r="C322" s="989" t="s">
        <v>2999</v>
      </c>
      <c r="D322" s="989" t="s">
        <v>665</v>
      </c>
      <c r="E322" s="989" t="s">
        <v>4908</v>
      </c>
      <c r="F322" s="994">
        <v>0</v>
      </c>
      <c r="G322" s="989" t="s">
        <v>657</v>
      </c>
      <c r="H322" s="994">
        <v>-126837.96875</v>
      </c>
      <c r="I322" s="994">
        <v>-108669</v>
      </c>
      <c r="J322" s="994">
        <v>-235506.96875</v>
      </c>
      <c r="K322" s="997">
        <v>-235506.97000000099</v>
      </c>
    </row>
    <row r="323" spans="1:11" ht="45" x14ac:dyDescent="0.25">
      <c r="A323" s="989" t="s">
        <v>2457</v>
      </c>
      <c r="B323" s="993">
        <v>2018</v>
      </c>
      <c r="C323" s="989" t="s">
        <v>2999</v>
      </c>
      <c r="D323" s="989" t="s">
        <v>1870</v>
      </c>
      <c r="E323" s="989" t="s">
        <v>4909</v>
      </c>
      <c r="F323" s="994">
        <v>0</v>
      </c>
      <c r="G323" s="989" t="s">
        <v>657</v>
      </c>
      <c r="H323" s="994">
        <v>-107687.8828125</v>
      </c>
      <c r="I323" s="994">
        <v>-41521.80859375</v>
      </c>
      <c r="J323" s="994">
        <v>-149209.6875</v>
      </c>
      <c r="K323" s="997">
        <v>-149209.69</v>
      </c>
    </row>
    <row r="324" spans="1:11" ht="45" x14ac:dyDescent="0.25">
      <c r="A324" s="989" t="s">
        <v>2457</v>
      </c>
      <c r="B324" s="993">
        <v>2018</v>
      </c>
      <c r="C324" s="989" t="s">
        <v>2999</v>
      </c>
      <c r="D324" s="989" t="s">
        <v>2486</v>
      </c>
      <c r="E324" s="989" t="s">
        <v>4910</v>
      </c>
      <c r="F324" s="994">
        <v>0</v>
      </c>
      <c r="G324" s="989" t="s">
        <v>657</v>
      </c>
      <c r="H324" s="994">
        <v>392419.59375</v>
      </c>
      <c r="I324" s="994">
        <v>-18.819999694824201</v>
      </c>
      <c r="J324" s="994">
        <v>392400.75</v>
      </c>
      <c r="K324" s="997">
        <v>392400.76</v>
      </c>
    </row>
    <row r="325" spans="1:11" ht="45" x14ac:dyDescent="0.25">
      <c r="A325" s="989" t="s">
        <v>2457</v>
      </c>
      <c r="B325" s="993">
        <v>2018</v>
      </c>
      <c r="C325" s="989" t="s">
        <v>2999</v>
      </c>
      <c r="D325" s="989" t="s">
        <v>4892</v>
      </c>
      <c r="E325" s="989" t="s">
        <v>5994</v>
      </c>
      <c r="F325" s="994">
        <v>0</v>
      </c>
      <c r="G325" s="989" t="s">
        <v>657</v>
      </c>
      <c r="H325" s="996"/>
      <c r="I325" s="996"/>
      <c r="J325" s="994">
        <v>0</v>
      </c>
      <c r="K325" s="997">
        <v>0</v>
      </c>
    </row>
    <row r="326" spans="1:11" ht="45" x14ac:dyDescent="0.25">
      <c r="A326" s="989" t="s">
        <v>2457</v>
      </c>
      <c r="B326" s="993">
        <v>2018</v>
      </c>
      <c r="C326" s="989" t="s">
        <v>2999</v>
      </c>
      <c r="D326" s="989" t="s">
        <v>666</v>
      </c>
      <c r="E326" s="989" t="s">
        <v>4911</v>
      </c>
      <c r="F326" s="994">
        <v>7684.1</v>
      </c>
      <c r="G326" s="995"/>
      <c r="H326" s="996"/>
      <c r="I326" s="996"/>
      <c r="J326" s="994">
        <v>0</v>
      </c>
      <c r="K326" s="997">
        <v>7684.1</v>
      </c>
    </row>
    <row r="327" spans="1:11" x14ac:dyDescent="0.25">
      <c r="A327" s="989" t="s">
        <v>425</v>
      </c>
      <c r="B327" s="993">
        <v>2018</v>
      </c>
      <c r="C327" s="989" t="s">
        <v>2991</v>
      </c>
      <c r="D327" s="989" t="s">
        <v>49</v>
      </c>
      <c r="E327" s="989" t="s">
        <v>755</v>
      </c>
      <c r="F327" s="994">
        <v>1097859.48</v>
      </c>
      <c r="G327" s="989" t="s">
        <v>657</v>
      </c>
      <c r="H327" s="994">
        <v>1081564.875</v>
      </c>
      <c r="I327" s="994">
        <v>16294.6298828125</v>
      </c>
      <c r="J327" s="994">
        <v>1097859.5</v>
      </c>
      <c r="K327" s="997">
        <v>1097859.48</v>
      </c>
    </row>
    <row r="328" spans="1:11" ht="33.75" x14ac:dyDescent="0.25">
      <c r="A328" s="989" t="s">
        <v>425</v>
      </c>
      <c r="B328" s="993">
        <v>2018</v>
      </c>
      <c r="C328" s="989" t="s">
        <v>2992</v>
      </c>
      <c r="D328" s="989" t="s">
        <v>658</v>
      </c>
      <c r="E328" s="989" t="s">
        <v>756</v>
      </c>
      <c r="F328" s="994">
        <v>-6715.78</v>
      </c>
      <c r="G328" s="989" t="s">
        <v>657</v>
      </c>
      <c r="H328" s="994">
        <v>-6002.14990234375</v>
      </c>
      <c r="I328" s="994">
        <v>-713.63000488281295</v>
      </c>
      <c r="J328" s="994">
        <v>-6715.77978515625</v>
      </c>
      <c r="K328" s="997">
        <v>-6715.78</v>
      </c>
    </row>
    <row r="329" spans="1:11" ht="22.5" x14ac:dyDescent="0.25">
      <c r="A329" s="989" t="s">
        <v>425</v>
      </c>
      <c r="B329" s="993">
        <v>2018</v>
      </c>
      <c r="C329" s="989" t="s">
        <v>2993</v>
      </c>
      <c r="D329" s="989" t="s">
        <v>464</v>
      </c>
      <c r="E329" s="989" t="s">
        <v>757</v>
      </c>
      <c r="F329" s="994">
        <v>266434.96000000002</v>
      </c>
      <c r="G329" s="995"/>
      <c r="H329" s="996"/>
      <c r="I329" s="996"/>
      <c r="J329" s="994">
        <v>0</v>
      </c>
      <c r="K329" s="997">
        <v>266434.96000000002</v>
      </c>
    </row>
    <row r="330" spans="1:11" ht="33.75" x14ac:dyDescent="0.25">
      <c r="A330" s="989" t="s">
        <v>425</v>
      </c>
      <c r="B330" s="993">
        <v>2018</v>
      </c>
      <c r="C330" s="989" t="s">
        <v>2994</v>
      </c>
      <c r="D330" s="989" t="s">
        <v>46</v>
      </c>
      <c r="E330" s="989" t="s">
        <v>758</v>
      </c>
      <c r="F330" s="994">
        <v>-1687206.32</v>
      </c>
      <c r="G330" s="989" t="s">
        <v>657</v>
      </c>
      <c r="H330" s="994">
        <v>-1667157.875</v>
      </c>
      <c r="I330" s="994">
        <v>-20048.4609375</v>
      </c>
      <c r="J330" s="994">
        <v>-1687206.375</v>
      </c>
      <c r="K330" s="997">
        <v>-1687206.32</v>
      </c>
    </row>
    <row r="331" spans="1:11" ht="22.5" x14ac:dyDescent="0.25">
      <c r="A331" s="989" t="s">
        <v>425</v>
      </c>
      <c r="B331" s="993">
        <v>2018</v>
      </c>
      <c r="C331" s="989" t="s">
        <v>2994</v>
      </c>
      <c r="D331" s="989" t="s">
        <v>2482</v>
      </c>
      <c r="E331" s="989" t="s">
        <v>758</v>
      </c>
      <c r="F331" s="994">
        <v>0</v>
      </c>
      <c r="G331" s="995"/>
      <c r="H331" s="996"/>
      <c r="I331" s="996"/>
      <c r="J331" s="994">
        <v>0</v>
      </c>
      <c r="K331" s="997">
        <v>0</v>
      </c>
    </row>
    <row r="332" spans="1:11" ht="22.5" x14ac:dyDescent="0.25">
      <c r="A332" s="989" t="s">
        <v>425</v>
      </c>
      <c r="B332" s="993">
        <v>2018</v>
      </c>
      <c r="C332" s="989" t="s">
        <v>2994</v>
      </c>
      <c r="D332" s="989" t="s">
        <v>2483</v>
      </c>
      <c r="E332" s="989" t="s">
        <v>758</v>
      </c>
      <c r="F332" s="994">
        <v>0</v>
      </c>
      <c r="G332" s="995"/>
      <c r="H332" s="996"/>
      <c r="I332" s="996"/>
      <c r="J332" s="994">
        <v>0</v>
      </c>
      <c r="K332" s="997">
        <v>0</v>
      </c>
    </row>
    <row r="333" spans="1:11" ht="22.5" x14ac:dyDescent="0.25">
      <c r="A333" s="989" t="s">
        <v>425</v>
      </c>
      <c r="B333" s="993">
        <v>2018</v>
      </c>
      <c r="C333" s="989" t="s">
        <v>2994</v>
      </c>
      <c r="D333" s="989" t="s">
        <v>2484</v>
      </c>
      <c r="E333" s="989" t="s">
        <v>758</v>
      </c>
      <c r="F333" s="994">
        <v>-44.72</v>
      </c>
      <c r="G333" s="995"/>
      <c r="H333" s="996"/>
      <c r="I333" s="996"/>
      <c r="J333" s="994">
        <v>0</v>
      </c>
      <c r="K333" s="997">
        <v>-44.72</v>
      </c>
    </row>
    <row r="334" spans="1:11" ht="22.5" x14ac:dyDescent="0.25">
      <c r="A334" s="989" t="s">
        <v>425</v>
      </c>
      <c r="B334" s="993">
        <v>2018</v>
      </c>
      <c r="C334" s="989" t="s">
        <v>2994</v>
      </c>
      <c r="D334" s="989" t="s">
        <v>2485</v>
      </c>
      <c r="E334" s="989" t="s">
        <v>758</v>
      </c>
      <c r="F334" s="994">
        <v>3352.53</v>
      </c>
      <c r="G334" s="995"/>
      <c r="H334" s="996"/>
      <c r="I334" s="996"/>
      <c r="J334" s="994">
        <v>0</v>
      </c>
      <c r="K334" s="997">
        <v>3352.53</v>
      </c>
    </row>
    <row r="335" spans="1:11" ht="33.75" x14ac:dyDescent="0.25">
      <c r="A335" s="989" t="s">
        <v>425</v>
      </c>
      <c r="B335" s="993">
        <v>2018</v>
      </c>
      <c r="C335" s="989" t="s">
        <v>2995</v>
      </c>
      <c r="D335" s="989" t="s">
        <v>47</v>
      </c>
      <c r="E335" s="989" t="s">
        <v>759</v>
      </c>
      <c r="F335" s="994">
        <v>164979.29</v>
      </c>
      <c r="G335" s="989" t="s">
        <v>657</v>
      </c>
      <c r="H335" s="994">
        <v>163594.375</v>
      </c>
      <c r="I335" s="994">
        <v>1384.92004394531</v>
      </c>
      <c r="J335" s="994">
        <v>164979.296875</v>
      </c>
      <c r="K335" s="997">
        <v>164979.29</v>
      </c>
    </row>
    <row r="336" spans="1:11" ht="33.75" x14ac:dyDescent="0.25">
      <c r="A336" s="989" t="s">
        <v>425</v>
      </c>
      <c r="B336" s="993">
        <v>2018</v>
      </c>
      <c r="C336" s="989" t="s">
        <v>2996</v>
      </c>
      <c r="D336" s="989" t="s">
        <v>48</v>
      </c>
      <c r="E336" s="989" t="s">
        <v>760</v>
      </c>
      <c r="F336" s="994">
        <v>349678.59</v>
      </c>
      <c r="G336" s="989" t="s">
        <v>657</v>
      </c>
      <c r="H336" s="994">
        <v>345612.09375</v>
      </c>
      <c r="I336" s="994">
        <v>4066.48999023438</v>
      </c>
      <c r="J336" s="994">
        <v>349678.59375</v>
      </c>
      <c r="K336" s="997">
        <v>349678.59</v>
      </c>
    </row>
    <row r="337" spans="1:11" ht="33.75" x14ac:dyDescent="0.25">
      <c r="A337" s="989" t="s">
        <v>425</v>
      </c>
      <c r="B337" s="993">
        <v>2018</v>
      </c>
      <c r="C337" s="989" t="s">
        <v>2997</v>
      </c>
      <c r="D337" s="989" t="s">
        <v>50</v>
      </c>
      <c r="E337" s="989" t="s">
        <v>761</v>
      </c>
      <c r="F337" s="994">
        <v>928439.43</v>
      </c>
      <c r="G337" s="989" t="s">
        <v>657</v>
      </c>
      <c r="H337" s="994">
        <v>915953.125</v>
      </c>
      <c r="I337" s="994">
        <v>12486.3203125</v>
      </c>
      <c r="J337" s="994">
        <v>928439.4375</v>
      </c>
      <c r="K337" s="997">
        <v>928439.43</v>
      </c>
    </row>
    <row r="338" spans="1:11" ht="22.5" x14ac:dyDescent="0.25">
      <c r="A338" s="989" t="s">
        <v>425</v>
      </c>
      <c r="B338" s="993">
        <v>2018</v>
      </c>
      <c r="C338" s="989" t="s">
        <v>2998</v>
      </c>
      <c r="D338" s="989" t="s">
        <v>348</v>
      </c>
      <c r="E338" s="989" t="s">
        <v>762</v>
      </c>
      <c r="F338" s="994">
        <v>1177019.58</v>
      </c>
      <c r="G338" s="989" t="s">
        <v>657</v>
      </c>
      <c r="H338" s="994">
        <v>1145552.125</v>
      </c>
      <c r="I338" s="994">
        <v>31467.4296875</v>
      </c>
      <c r="J338" s="994">
        <v>1177019.625</v>
      </c>
      <c r="K338" s="997">
        <v>1177019.58</v>
      </c>
    </row>
    <row r="339" spans="1:11" ht="45" x14ac:dyDescent="0.25">
      <c r="A339" s="989" t="s">
        <v>425</v>
      </c>
      <c r="B339" s="993">
        <v>2018</v>
      </c>
      <c r="C339" s="989" t="s">
        <v>2999</v>
      </c>
      <c r="D339" s="989" t="s">
        <v>659</v>
      </c>
      <c r="E339" s="989" t="s">
        <v>1208</v>
      </c>
      <c r="F339" s="994">
        <v>0</v>
      </c>
      <c r="G339" s="989" t="s">
        <v>657</v>
      </c>
      <c r="H339" s="996"/>
      <c r="I339" s="996"/>
      <c r="J339" s="994">
        <v>0</v>
      </c>
      <c r="K339" s="997">
        <v>0</v>
      </c>
    </row>
    <row r="340" spans="1:11" ht="45" x14ac:dyDescent="0.25">
      <c r="A340" s="989" t="s">
        <v>425</v>
      </c>
      <c r="B340" s="993">
        <v>2018</v>
      </c>
      <c r="C340" s="989" t="s">
        <v>2999</v>
      </c>
      <c r="D340" s="989" t="s">
        <v>660</v>
      </c>
      <c r="E340" s="989" t="s">
        <v>1209</v>
      </c>
      <c r="F340" s="994">
        <v>0</v>
      </c>
      <c r="G340" s="989" t="s">
        <v>657</v>
      </c>
      <c r="H340" s="996"/>
      <c r="I340" s="996"/>
      <c r="J340" s="994">
        <v>0</v>
      </c>
      <c r="K340" s="997">
        <v>0</v>
      </c>
    </row>
    <row r="341" spans="1:11" ht="45" x14ac:dyDescent="0.25">
      <c r="A341" s="989" t="s">
        <v>425</v>
      </c>
      <c r="B341" s="993">
        <v>2018</v>
      </c>
      <c r="C341" s="989" t="s">
        <v>2999</v>
      </c>
      <c r="D341" s="989" t="s">
        <v>661</v>
      </c>
      <c r="E341" s="989" t="s">
        <v>1210</v>
      </c>
      <c r="F341" s="994">
        <v>0</v>
      </c>
      <c r="G341" s="989" t="s">
        <v>657</v>
      </c>
      <c r="H341" s="996"/>
      <c r="I341" s="996"/>
      <c r="J341" s="994">
        <v>0</v>
      </c>
      <c r="K341" s="997">
        <v>0</v>
      </c>
    </row>
    <row r="342" spans="1:11" ht="45" x14ac:dyDescent="0.25">
      <c r="A342" s="989" t="s">
        <v>425</v>
      </c>
      <c r="B342" s="993">
        <v>2018</v>
      </c>
      <c r="C342" s="989" t="s">
        <v>2999</v>
      </c>
      <c r="D342" s="989" t="s">
        <v>662</v>
      </c>
      <c r="E342" s="989" t="s">
        <v>1211</v>
      </c>
      <c r="F342" s="994">
        <v>0</v>
      </c>
      <c r="G342" s="989" t="s">
        <v>657</v>
      </c>
      <c r="H342" s="996"/>
      <c r="I342" s="996"/>
      <c r="J342" s="994">
        <v>0</v>
      </c>
      <c r="K342" s="997">
        <v>0</v>
      </c>
    </row>
    <row r="343" spans="1:11" ht="45" x14ac:dyDescent="0.25">
      <c r="A343" s="989" t="s">
        <v>425</v>
      </c>
      <c r="B343" s="993">
        <v>2018</v>
      </c>
      <c r="C343" s="989" t="s">
        <v>2999</v>
      </c>
      <c r="D343" s="989" t="s">
        <v>663</v>
      </c>
      <c r="E343" s="989" t="s">
        <v>1212</v>
      </c>
      <c r="F343" s="994">
        <v>0</v>
      </c>
      <c r="G343" s="989" t="s">
        <v>657</v>
      </c>
      <c r="H343" s="996"/>
      <c r="I343" s="996"/>
      <c r="J343" s="994">
        <v>0</v>
      </c>
      <c r="K343" s="997">
        <v>0</v>
      </c>
    </row>
    <row r="344" spans="1:11" ht="45" x14ac:dyDescent="0.25">
      <c r="A344" s="989" t="s">
        <v>425</v>
      </c>
      <c r="B344" s="993">
        <v>2018</v>
      </c>
      <c r="C344" s="989" t="s">
        <v>2999</v>
      </c>
      <c r="D344" s="989" t="s">
        <v>664</v>
      </c>
      <c r="E344" s="989" t="s">
        <v>1213</v>
      </c>
      <c r="F344" s="994">
        <v>0</v>
      </c>
      <c r="G344" s="989" t="s">
        <v>657</v>
      </c>
      <c r="H344" s="994">
        <v>19249.48046875</v>
      </c>
      <c r="I344" s="996"/>
      <c r="J344" s="994">
        <v>19249.48046875</v>
      </c>
      <c r="K344" s="997">
        <v>19249.48</v>
      </c>
    </row>
    <row r="345" spans="1:11" ht="45" x14ac:dyDescent="0.25">
      <c r="A345" s="989" t="s">
        <v>425</v>
      </c>
      <c r="B345" s="993">
        <v>2018</v>
      </c>
      <c r="C345" s="989" t="s">
        <v>2999</v>
      </c>
      <c r="D345" s="989" t="s">
        <v>665</v>
      </c>
      <c r="E345" s="989" t="s">
        <v>1214</v>
      </c>
      <c r="F345" s="994">
        <v>0</v>
      </c>
      <c r="G345" s="989" t="s">
        <v>657</v>
      </c>
      <c r="H345" s="996"/>
      <c r="I345" s="996"/>
      <c r="J345" s="994">
        <v>0</v>
      </c>
      <c r="K345" s="997">
        <v>0</v>
      </c>
    </row>
    <row r="346" spans="1:11" ht="45" x14ac:dyDescent="0.25">
      <c r="A346" s="989" t="s">
        <v>425</v>
      </c>
      <c r="B346" s="993">
        <v>2018</v>
      </c>
      <c r="C346" s="989" t="s">
        <v>2999</v>
      </c>
      <c r="D346" s="989" t="s">
        <v>1870</v>
      </c>
      <c r="E346" s="989" t="s">
        <v>2294</v>
      </c>
      <c r="F346" s="994">
        <v>0</v>
      </c>
      <c r="G346" s="989" t="s">
        <v>657</v>
      </c>
      <c r="H346" s="994">
        <v>23593.5</v>
      </c>
      <c r="I346" s="996"/>
      <c r="J346" s="994">
        <v>23593.5</v>
      </c>
      <c r="K346" s="997">
        <v>23593.5</v>
      </c>
    </row>
    <row r="347" spans="1:11" ht="45" x14ac:dyDescent="0.25">
      <c r="A347" s="989" t="s">
        <v>425</v>
      </c>
      <c r="B347" s="993">
        <v>2018</v>
      </c>
      <c r="C347" s="989" t="s">
        <v>2999</v>
      </c>
      <c r="D347" s="989" t="s">
        <v>2486</v>
      </c>
      <c r="E347" s="989" t="s">
        <v>2498</v>
      </c>
      <c r="F347" s="994">
        <v>0</v>
      </c>
      <c r="G347" s="989" t="s">
        <v>657</v>
      </c>
      <c r="H347" s="994">
        <v>135865.390625</v>
      </c>
      <c r="I347" s="996"/>
      <c r="J347" s="994">
        <v>135865.390625</v>
      </c>
      <c r="K347" s="997">
        <v>135865.39000000001</v>
      </c>
    </row>
    <row r="348" spans="1:11" ht="45" x14ac:dyDescent="0.25">
      <c r="A348" s="989" t="s">
        <v>425</v>
      </c>
      <c r="B348" s="993">
        <v>2018</v>
      </c>
      <c r="C348" s="989" t="s">
        <v>2999</v>
      </c>
      <c r="D348" s="989" t="s">
        <v>4892</v>
      </c>
      <c r="E348" s="989" t="s">
        <v>5995</v>
      </c>
      <c r="F348" s="994">
        <v>0</v>
      </c>
      <c r="G348" s="989" t="s">
        <v>657</v>
      </c>
      <c r="H348" s="994">
        <v>-487721.125</v>
      </c>
      <c r="I348" s="996"/>
      <c r="J348" s="994">
        <v>-487721.125</v>
      </c>
      <c r="K348" s="997">
        <v>-487721.13</v>
      </c>
    </row>
    <row r="349" spans="1:11" ht="45" x14ac:dyDescent="0.25">
      <c r="A349" s="989" t="s">
        <v>425</v>
      </c>
      <c r="B349" s="993">
        <v>2018</v>
      </c>
      <c r="C349" s="989" t="s">
        <v>2999</v>
      </c>
      <c r="D349" s="989" t="s">
        <v>666</v>
      </c>
      <c r="E349" s="989" t="s">
        <v>1548</v>
      </c>
      <c r="F349" s="994">
        <v>-309012.76</v>
      </c>
      <c r="G349" s="995"/>
      <c r="H349" s="996"/>
      <c r="I349" s="996"/>
      <c r="J349" s="994">
        <v>0</v>
      </c>
      <c r="K349" s="997">
        <v>-309012.76</v>
      </c>
    </row>
    <row r="350" spans="1:11" ht="22.5" x14ac:dyDescent="0.25">
      <c r="A350" s="989" t="s">
        <v>239</v>
      </c>
      <c r="B350" s="993">
        <v>2018</v>
      </c>
      <c r="C350" s="989" t="s">
        <v>2991</v>
      </c>
      <c r="D350" s="989" t="s">
        <v>49</v>
      </c>
      <c r="E350" s="989" t="s">
        <v>771</v>
      </c>
      <c r="F350" s="994">
        <v>2047611.78</v>
      </c>
      <c r="G350" s="989" t="s">
        <v>657</v>
      </c>
      <c r="H350" s="994">
        <v>2013978.625</v>
      </c>
      <c r="I350" s="994">
        <v>33633.19921875</v>
      </c>
      <c r="J350" s="994">
        <v>2047611.75</v>
      </c>
      <c r="K350" s="997">
        <v>2047611.78</v>
      </c>
    </row>
    <row r="351" spans="1:11" ht="33.75" x14ac:dyDescent="0.25">
      <c r="A351" s="989" t="s">
        <v>239</v>
      </c>
      <c r="B351" s="993">
        <v>2018</v>
      </c>
      <c r="C351" s="989" t="s">
        <v>2992</v>
      </c>
      <c r="D351" s="989" t="s">
        <v>658</v>
      </c>
      <c r="E351" s="989" t="s">
        <v>772</v>
      </c>
      <c r="F351" s="994">
        <v>-17999.63</v>
      </c>
      <c r="G351" s="989" t="s">
        <v>657</v>
      </c>
      <c r="H351" s="994">
        <v>-17766.2890625</v>
      </c>
      <c r="I351" s="994">
        <v>-233.33999633789099</v>
      </c>
      <c r="J351" s="994">
        <v>-17999.630859375</v>
      </c>
      <c r="K351" s="997">
        <v>-17999.63</v>
      </c>
    </row>
    <row r="352" spans="1:11" ht="22.5" x14ac:dyDescent="0.25">
      <c r="A352" s="989" t="s">
        <v>239</v>
      </c>
      <c r="B352" s="993">
        <v>2018</v>
      </c>
      <c r="C352" s="989" t="s">
        <v>2993</v>
      </c>
      <c r="D352" s="989" t="s">
        <v>464</v>
      </c>
      <c r="E352" s="989" t="s">
        <v>773</v>
      </c>
      <c r="F352" s="994">
        <v>358570.27</v>
      </c>
      <c r="G352" s="995"/>
      <c r="H352" s="996"/>
      <c r="I352" s="996"/>
      <c r="J352" s="994">
        <v>0</v>
      </c>
      <c r="K352" s="997">
        <v>358570.27</v>
      </c>
    </row>
    <row r="353" spans="1:11" ht="33.75" x14ac:dyDescent="0.25">
      <c r="A353" s="989" t="s">
        <v>239</v>
      </c>
      <c r="B353" s="993">
        <v>2018</v>
      </c>
      <c r="C353" s="989" t="s">
        <v>2994</v>
      </c>
      <c r="D353" s="989" t="s">
        <v>46</v>
      </c>
      <c r="E353" s="989" t="s">
        <v>774</v>
      </c>
      <c r="F353" s="994">
        <v>-1932345.72</v>
      </c>
      <c r="G353" s="989" t="s">
        <v>657</v>
      </c>
      <c r="H353" s="994">
        <v>-1896867.375</v>
      </c>
      <c r="I353" s="994">
        <v>-35478.3984375</v>
      </c>
      <c r="J353" s="994">
        <v>-1932345.75</v>
      </c>
      <c r="K353" s="997">
        <v>-1932345.72</v>
      </c>
    </row>
    <row r="354" spans="1:11" ht="22.5" x14ac:dyDescent="0.25">
      <c r="A354" s="989" t="s">
        <v>239</v>
      </c>
      <c r="B354" s="993">
        <v>2018</v>
      </c>
      <c r="C354" s="989" t="s">
        <v>2994</v>
      </c>
      <c r="D354" s="989" t="s">
        <v>2482</v>
      </c>
      <c r="E354" s="989" t="s">
        <v>774</v>
      </c>
      <c r="F354" s="994">
        <v>210.93</v>
      </c>
      <c r="G354" s="995"/>
      <c r="H354" s="996"/>
      <c r="I354" s="996"/>
      <c r="J354" s="994">
        <v>0</v>
      </c>
      <c r="K354" s="997">
        <v>210.93</v>
      </c>
    </row>
    <row r="355" spans="1:11" ht="22.5" x14ac:dyDescent="0.25">
      <c r="A355" s="989" t="s">
        <v>239</v>
      </c>
      <c r="B355" s="993">
        <v>2018</v>
      </c>
      <c r="C355" s="989" t="s">
        <v>2994</v>
      </c>
      <c r="D355" s="989" t="s">
        <v>2483</v>
      </c>
      <c r="E355" s="989" t="s">
        <v>774</v>
      </c>
      <c r="F355" s="994">
        <v>-2076.5500000000002</v>
      </c>
      <c r="G355" s="995"/>
      <c r="H355" s="996"/>
      <c r="I355" s="996"/>
      <c r="J355" s="994">
        <v>0</v>
      </c>
      <c r="K355" s="997">
        <v>-2076.5500000000002</v>
      </c>
    </row>
    <row r="356" spans="1:11" ht="22.5" x14ac:dyDescent="0.25">
      <c r="A356" s="989" t="s">
        <v>239</v>
      </c>
      <c r="B356" s="993">
        <v>2018</v>
      </c>
      <c r="C356" s="989" t="s">
        <v>2994</v>
      </c>
      <c r="D356" s="989" t="s">
        <v>2484</v>
      </c>
      <c r="E356" s="989" t="s">
        <v>774</v>
      </c>
      <c r="F356" s="994">
        <v>2490.42</v>
      </c>
      <c r="G356" s="995"/>
      <c r="H356" s="996"/>
      <c r="I356" s="996"/>
      <c r="J356" s="994">
        <v>0</v>
      </c>
      <c r="K356" s="997">
        <v>2490.42</v>
      </c>
    </row>
    <row r="357" spans="1:11" ht="22.5" x14ac:dyDescent="0.25">
      <c r="A357" s="989" t="s">
        <v>239</v>
      </c>
      <c r="B357" s="993">
        <v>2018</v>
      </c>
      <c r="C357" s="989" t="s">
        <v>2994</v>
      </c>
      <c r="D357" s="989" t="s">
        <v>2485</v>
      </c>
      <c r="E357" s="989" t="s">
        <v>774</v>
      </c>
      <c r="F357" s="994">
        <v>98170.22</v>
      </c>
      <c r="G357" s="995"/>
      <c r="H357" s="996"/>
      <c r="I357" s="996"/>
      <c r="J357" s="994">
        <v>0</v>
      </c>
      <c r="K357" s="997">
        <v>98170.22</v>
      </c>
    </row>
    <row r="358" spans="1:11" ht="33.75" x14ac:dyDescent="0.25">
      <c r="A358" s="989" t="s">
        <v>239</v>
      </c>
      <c r="B358" s="993">
        <v>2018</v>
      </c>
      <c r="C358" s="989" t="s">
        <v>2995</v>
      </c>
      <c r="D358" s="989" t="s">
        <v>47</v>
      </c>
      <c r="E358" s="989" t="s">
        <v>775</v>
      </c>
      <c r="F358" s="994">
        <v>-151453.74</v>
      </c>
      <c r="G358" s="989" t="s">
        <v>657</v>
      </c>
      <c r="H358" s="994">
        <v>-151198.828125</v>
      </c>
      <c r="I358" s="994">
        <v>-254.91000366210901</v>
      </c>
      <c r="J358" s="994">
        <v>-151453.734375</v>
      </c>
      <c r="K358" s="997">
        <v>-151453.74</v>
      </c>
    </row>
    <row r="359" spans="1:11" ht="33.75" x14ac:dyDescent="0.25">
      <c r="A359" s="989" t="s">
        <v>239</v>
      </c>
      <c r="B359" s="993">
        <v>2018</v>
      </c>
      <c r="C359" s="989" t="s">
        <v>2996</v>
      </c>
      <c r="D359" s="989" t="s">
        <v>48</v>
      </c>
      <c r="E359" s="989" t="s">
        <v>776</v>
      </c>
      <c r="F359" s="994">
        <v>208087.08</v>
      </c>
      <c r="G359" s="989" t="s">
        <v>657</v>
      </c>
      <c r="H359" s="994">
        <v>200208.3125</v>
      </c>
      <c r="I359" s="994">
        <v>7878.759765625</v>
      </c>
      <c r="J359" s="994">
        <v>208087.078125</v>
      </c>
      <c r="K359" s="997">
        <v>208087.08</v>
      </c>
    </row>
    <row r="360" spans="1:11" ht="33.75" x14ac:dyDescent="0.25">
      <c r="A360" s="989" t="s">
        <v>239</v>
      </c>
      <c r="B360" s="993">
        <v>2018</v>
      </c>
      <c r="C360" s="989" t="s">
        <v>2997</v>
      </c>
      <c r="D360" s="989" t="s">
        <v>50</v>
      </c>
      <c r="E360" s="989" t="s">
        <v>777</v>
      </c>
      <c r="F360" s="994">
        <v>1051702.1299999999</v>
      </c>
      <c r="G360" s="989" t="s">
        <v>657</v>
      </c>
      <c r="H360" s="994">
        <v>1045238.625</v>
      </c>
      <c r="I360" s="994">
        <v>6463.52978515625</v>
      </c>
      <c r="J360" s="994">
        <v>1051702.125</v>
      </c>
      <c r="K360" s="997">
        <v>1051702.1299999999</v>
      </c>
    </row>
    <row r="361" spans="1:11" ht="22.5" x14ac:dyDescent="0.25">
      <c r="A361" s="989" t="s">
        <v>239</v>
      </c>
      <c r="B361" s="993">
        <v>2018</v>
      </c>
      <c r="C361" s="989" t="s">
        <v>2998</v>
      </c>
      <c r="D361" s="989" t="s">
        <v>348</v>
      </c>
      <c r="E361" s="989" t="s">
        <v>778</v>
      </c>
      <c r="F361" s="994">
        <v>1756060.32</v>
      </c>
      <c r="G361" s="989" t="s">
        <v>657</v>
      </c>
      <c r="H361" s="994">
        <v>1726814.25</v>
      </c>
      <c r="I361" s="994">
        <v>29246.029296875</v>
      </c>
      <c r="J361" s="994">
        <v>1756060.375</v>
      </c>
      <c r="K361" s="997">
        <v>1756060.32</v>
      </c>
    </row>
    <row r="362" spans="1:11" ht="45" x14ac:dyDescent="0.25">
      <c r="A362" s="989" t="s">
        <v>239</v>
      </c>
      <c r="B362" s="993">
        <v>2018</v>
      </c>
      <c r="C362" s="989" t="s">
        <v>2999</v>
      </c>
      <c r="D362" s="989" t="s">
        <v>659</v>
      </c>
      <c r="E362" s="989" t="s">
        <v>1222</v>
      </c>
      <c r="F362" s="994">
        <v>0</v>
      </c>
      <c r="G362" s="989" t="s">
        <v>657</v>
      </c>
      <c r="H362" s="996"/>
      <c r="I362" s="996"/>
      <c r="J362" s="994">
        <v>0</v>
      </c>
      <c r="K362" s="997">
        <v>0</v>
      </c>
    </row>
    <row r="363" spans="1:11" ht="45" x14ac:dyDescent="0.25">
      <c r="A363" s="989" t="s">
        <v>239</v>
      </c>
      <c r="B363" s="993">
        <v>2018</v>
      </c>
      <c r="C363" s="989" t="s">
        <v>2999</v>
      </c>
      <c r="D363" s="989" t="s">
        <v>660</v>
      </c>
      <c r="E363" s="989" t="s">
        <v>1223</v>
      </c>
      <c r="F363" s="994">
        <v>0</v>
      </c>
      <c r="G363" s="989" t="s">
        <v>657</v>
      </c>
      <c r="H363" s="996"/>
      <c r="I363" s="996"/>
      <c r="J363" s="994">
        <v>0</v>
      </c>
      <c r="K363" s="997">
        <v>0</v>
      </c>
    </row>
    <row r="364" spans="1:11" ht="45" x14ac:dyDescent="0.25">
      <c r="A364" s="989" t="s">
        <v>239</v>
      </c>
      <c r="B364" s="993">
        <v>2018</v>
      </c>
      <c r="C364" s="989" t="s">
        <v>2999</v>
      </c>
      <c r="D364" s="989" t="s">
        <v>661</v>
      </c>
      <c r="E364" s="989" t="s">
        <v>1224</v>
      </c>
      <c r="F364" s="994">
        <v>0</v>
      </c>
      <c r="G364" s="989" t="s">
        <v>657</v>
      </c>
      <c r="H364" s="996"/>
      <c r="I364" s="996"/>
      <c r="J364" s="994">
        <v>0</v>
      </c>
      <c r="K364" s="997">
        <v>0</v>
      </c>
    </row>
    <row r="365" spans="1:11" ht="45" x14ac:dyDescent="0.25">
      <c r="A365" s="989" t="s">
        <v>239</v>
      </c>
      <c r="B365" s="993">
        <v>2018</v>
      </c>
      <c r="C365" s="989" t="s">
        <v>2999</v>
      </c>
      <c r="D365" s="989" t="s">
        <v>662</v>
      </c>
      <c r="E365" s="989" t="s">
        <v>1225</v>
      </c>
      <c r="F365" s="994">
        <v>0</v>
      </c>
      <c r="G365" s="989" t="s">
        <v>657</v>
      </c>
      <c r="H365" s="996"/>
      <c r="I365" s="996"/>
      <c r="J365" s="994">
        <v>0</v>
      </c>
      <c r="K365" s="997">
        <v>0</v>
      </c>
    </row>
    <row r="366" spans="1:11" ht="45" x14ac:dyDescent="0.25">
      <c r="A366" s="989" t="s">
        <v>239</v>
      </c>
      <c r="B366" s="993">
        <v>2018</v>
      </c>
      <c r="C366" s="989" t="s">
        <v>2999</v>
      </c>
      <c r="D366" s="989" t="s">
        <v>663</v>
      </c>
      <c r="E366" s="989" t="s">
        <v>1226</v>
      </c>
      <c r="F366" s="994">
        <v>0</v>
      </c>
      <c r="G366" s="989" t="s">
        <v>657</v>
      </c>
      <c r="H366" s="994">
        <v>-612915.9375</v>
      </c>
      <c r="I366" s="994">
        <v>11675.1298828125</v>
      </c>
      <c r="J366" s="994">
        <v>-601240.8125</v>
      </c>
      <c r="K366" s="997">
        <v>-601240.82999999996</v>
      </c>
    </row>
    <row r="367" spans="1:11" ht="45" x14ac:dyDescent="0.25">
      <c r="A367" s="989" t="s">
        <v>239</v>
      </c>
      <c r="B367" s="993">
        <v>2018</v>
      </c>
      <c r="C367" s="989" t="s">
        <v>2999</v>
      </c>
      <c r="D367" s="989" t="s">
        <v>664</v>
      </c>
      <c r="E367" s="989" t="s">
        <v>1227</v>
      </c>
      <c r="F367" s="994">
        <v>0</v>
      </c>
      <c r="G367" s="989" t="s">
        <v>657</v>
      </c>
      <c r="H367" s="996"/>
      <c r="I367" s="996"/>
      <c r="J367" s="994">
        <v>0</v>
      </c>
      <c r="K367" s="997">
        <v>0</v>
      </c>
    </row>
    <row r="368" spans="1:11" ht="45" x14ac:dyDescent="0.25">
      <c r="A368" s="989" t="s">
        <v>239</v>
      </c>
      <c r="B368" s="993">
        <v>2018</v>
      </c>
      <c r="C368" s="989" t="s">
        <v>2999</v>
      </c>
      <c r="D368" s="989" t="s">
        <v>665</v>
      </c>
      <c r="E368" s="989" t="s">
        <v>1228</v>
      </c>
      <c r="F368" s="994">
        <v>0</v>
      </c>
      <c r="G368" s="989" t="s">
        <v>657</v>
      </c>
      <c r="H368" s="994">
        <v>656143.6875</v>
      </c>
      <c r="I368" s="994">
        <v>-24682.470703125</v>
      </c>
      <c r="J368" s="994">
        <v>631461.25</v>
      </c>
      <c r="K368" s="997">
        <v>631461.23</v>
      </c>
    </row>
    <row r="369" spans="1:11" ht="45" x14ac:dyDescent="0.25">
      <c r="A369" s="989" t="s">
        <v>239</v>
      </c>
      <c r="B369" s="993">
        <v>2018</v>
      </c>
      <c r="C369" s="989" t="s">
        <v>2999</v>
      </c>
      <c r="D369" s="989" t="s">
        <v>1870</v>
      </c>
      <c r="E369" s="989" t="s">
        <v>2296</v>
      </c>
      <c r="F369" s="994">
        <v>0</v>
      </c>
      <c r="G369" s="989" t="s">
        <v>657</v>
      </c>
      <c r="H369" s="994">
        <v>-58046.921875</v>
      </c>
      <c r="I369" s="994">
        <v>5802.72998046875</v>
      </c>
      <c r="J369" s="994">
        <v>-52244.19140625</v>
      </c>
      <c r="K369" s="997">
        <v>-52244.19</v>
      </c>
    </row>
    <row r="370" spans="1:11" ht="45" x14ac:dyDescent="0.25">
      <c r="A370" s="989" t="s">
        <v>239</v>
      </c>
      <c r="B370" s="993">
        <v>2018</v>
      </c>
      <c r="C370" s="989" t="s">
        <v>2999</v>
      </c>
      <c r="D370" s="989" t="s">
        <v>2486</v>
      </c>
      <c r="E370" s="989" t="s">
        <v>2500</v>
      </c>
      <c r="F370" s="994">
        <v>0</v>
      </c>
      <c r="G370" s="989" t="s">
        <v>657</v>
      </c>
      <c r="H370" s="994">
        <v>96635.25</v>
      </c>
      <c r="I370" s="994">
        <v>27015.83984375</v>
      </c>
      <c r="J370" s="994">
        <v>123651.09375</v>
      </c>
      <c r="K370" s="997">
        <v>123651.09</v>
      </c>
    </row>
    <row r="371" spans="1:11" ht="45" x14ac:dyDescent="0.25">
      <c r="A371" s="989" t="s">
        <v>239</v>
      </c>
      <c r="B371" s="993">
        <v>2018</v>
      </c>
      <c r="C371" s="989" t="s">
        <v>2999</v>
      </c>
      <c r="D371" s="989" t="s">
        <v>4892</v>
      </c>
      <c r="E371" s="989" t="s">
        <v>5996</v>
      </c>
      <c r="F371" s="994">
        <v>0</v>
      </c>
      <c r="G371" s="989" t="s">
        <v>657</v>
      </c>
      <c r="H371" s="996"/>
      <c r="I371" s="996"/>
      <c r="J371" s="994">
        <v>0</v>
      </c>
      <c r="K371" s="997">
        <v>0</v>
      </c>
    </row>
    <row r="372" spans="1:11" ht="45" x14ac:dyDescent="0.25">
      <c r="A372" s="989" t="s">
        <v>239</v>
      </c>
      <c r="B372" s="993">
        <v>2018</v>
      </c>
      <c r="C372" s="989" t="s">
        <v>2999</v>
      </c>
      <c r="D372" s="989" t="s">
        <v>666</v>
      </c>
      <c r="E372" s="989" t="s">
        <v>1550</v>
      </c>
      <c r="F372" s="994">
        <v>101627.3</v>
      </c>
      <c r="G372" s="995"/>
      <c r="H372" s="996"/>
      <c r="I372" s="996"/>
      <c r="J372" s="994">
        <v>0</v>
      </c>
      <c r="K372" s="997">
        <v>101627.3</v>
      </c>
    </row>
    <row r="373" spans="1:11" ht="22.5" x14ac:dyDescent="0.25">
      <c r="A373" s="989" t="s">
        <v>201</v>
      </c>
      <c r="B373" s="993">
        <v>2018</v>
      </c>
      <c r="C373" s="989" t="s">
        <v>2991</v>
      </c>
      <c r="D373" s="989" t="s">
        <v>49</v>
      </c>
      <c r="E373" s="989" t="s">
        <v>779</v>
      </c>
      <c r="F373" s="994">
        <v>-135325.32</v>
      </c>
      <c r="G373" s="989" t="s">
        <v>657</v>
      </c>
      <c r="H373" s="994">
        <v>-132379.828125</v>
      </c>
      <c r="I373" s="994">
        <v>-2945.48999023438</v>
      </c>
      <c r="J373" s="994">
        <v>-135325.3125</v>
      </c>
      <c r="K373" s="997">
        <v>-135325.32</v>
      </c>
    </row>
    <row r="374" spans="1:11" ht="33.75" x14ac:dyDescent="0.25">
      <c r="A374" s="989" t="s">
        <v>201</v>
      </c>
      <c r="B374" s="993">
        <v>2018</v>
      </c>
      <c r="C374" s="989" t="s">
        <v>2992</v>
      </c>
      <c r="D374" s="989" t="s">
        <v>658</v>
      </c>
      <c r="E374" s="989" t="s">
        <v>780</v>
      </c>
      <c r="F374" s="994">
        <v>-2526.13</v>
      </c>
      <c r="G374" s="989" t="s">
        <v>657</v>
      </c>
      <c r="H374" s="994">
        <v>-2443.76000976563</v>
      </c>
      <c r="I374" s="994">
        <v>-82.370002746582003</v>
      </c>
      <c r="J374" s="994">
        <v>-2526.1298828125</v>
      </c>
      <c r="K374" s="997">
        <v>-2526.13</v>
      </c>
    </row>
    <row r="375" spans="1:11" ht="22.5" x14ac:dyDescent="0.25">
      <c r="A375" s="989" t="s">
        <v>201</v>
      </c>
      <c r="B375" s="993">
        <v>2018</v>
      </c>
      <c r="C375" s="989" t="s">
        <v>2993</v>
      </c>
      <c r="D375" s="989" t="s">
        <v>464</v>
      </c>
      <c r="E375" s="989" t="s">
        <v>781</v>
      </c>
      <c r="F375" s="994">
        <v>0</v>
      </c>
      <c r="G375" s="995"/>
      <c r="H375" s="996"/>
      <c r="I375" s="996"/>
      <c r="J375" s="994">
        <v>0</v>
      </c>
      <c r="K375" s="997">
        <v>0</v>
      </c>
    </row>
    <row r="376" spans="1:11" ht="33.75" x14ac:dyDescent="0.25">
      <c r="A376" s="989" t="s">
        <v>201</v>
      </c>
      <c r="B376" s="993">
        <v>2018</v>
      </c>
      <c r="C376" s="989" t="s">
        <v>2994</v>
      </c>
      <c r="D376" s="989" t="s">
        <v>46</v>
      </c>
      <c r="E376" s="989" t="s">
        <v>782</v>
      </c>
      <c r="F376" s="994">
        <v>-84045.67</v>
      </c>
      <c r="G376" s="989" t="s">
        <v>657</v>
      </c>
      <c r="H376" s="994">
        <v>-78649.140625</v>
      </c>
      <c r="I376" s="994">
        <v>-5396.52978515625</v>
      </c>
      <c r="J376" s="994">
        <v>-84045.671875</v>
      </c>
      <c r="K376" s="997">
        <v>-84045.67</v>
      </c>
    </row>
    <row r="377" spans="1:11" ht="22.5" x14ac:dyDescent="0.25">
      <c r="A377" s="989" t="s">
        <v>201</v>
      </c>
      <c r="B377" s="993">
        <v>2018</v>
      </c>
      <c r="C377" s="989" t="s">
        <v>2994</v>
      </c>
      <c r="D377" s="989" t="s">
        <v>2482</v>
      </c>
      <c r="E377" s="989" t="s">
        <v>782</v>
      </c>
      <c r="F377" s="994">
        <v>0</v>
      </c>
      <c r="G377" s="995"/>
      <c r="H377" s="996"/>
      <c r="I377" s="996"/>
      <c r="J377" s="994">
        <v>0</v>
      </c>
      <c r="K377" s="997">
        <v>0</v>
      </c>
    </row>
    <row r="378" spans="1:11" ht="22.5" x14ac:dyDescent="0.25">
      <c r="A378" s="989" t="s">
        <v>201</v>
      </c>
      <c r="B378" s="993">
        <v>2018</v>
      </c>
      <c r="C378" s="989" t="s">
        <v>2994</v>
      </c>
      <c r="D378" s="989" t="s">
        <v>2483</v>
      </c>
      <c r="E378" s="989" t="s">
        <v>782</v>
      </c>
      <c r="F378" s="994">
        <v>0</v>
      </c>
      <c r="G378" s="995"/>
      <c r="H378" s="996"/>
      <c r="I378" s="996"/>
      <c r="J378" s="994">
        <v>0</v>
      </c>
      <c r="K378" s="997">
        <v>0</v>
      </c>
    </row>
    <row r="379" spans="1:11" ht="22.5" x14ac:dyDescent="0.25">
      <c r="A379" s="989" t="s">
        <v>201</v>
      </c>
      <c r="B379" s="993">
        <v>2018</v>
      </c>
      <c r="C379" s="989" t="s">
        <v>2994</v>
      </c>
      <c r="D379" s="989" t="s">
        <v>2484</v>
      </c>
      <c r="E379" s="989" t="s">
        <v>782</v>
      </c>
      <c r="F379" s="994">
        <v>0</v>
      </c>
      <c r="G379" s="995"/>
      <c r="H379" s="996"/>
      <c r="I379" s="996"/>
      <c r="J379" s="994">
        <v>0</v>
      </c>
      <c r="K379" s="997">
        <v>0</v>
      </c>
    </row>
    <row r="380" spans="1:11" ht="22.5" x14ac:dyDescent="0.25">
      <c r="A380" s="989" t="s">
        <v>201</v>
      </c>
      <c r="B380" s="993">
        <v>2018</v>
      </c>
      <c r="C380" s="989" t="s">
        <v>2994</v>
      </c>
      <c r="D380" s="989" t="s">
        <v>2485</v>
      </c>
      <c r="E380" s="989" t="s">
        <v>782</v>
      </c>
      <c r="F380" s="994">
        <v>0</v>
      </c>
      <c r="G380" s="995"/>
      <c r="H380" s="996"/>
      <c r="I380" s="996"/>
      <c r="J380" s="994">
        <v>0</v>
      </c>
      <c r="K380" s="997">
        <v>0</v>
      </c>
    </row>
    <row r="381" spans="1:11" ht="33.75" x14ac:dyDescent="0.25">
      <c r="A381" s="989" t="s">
        <v>201</v>
      </c>
      <c r="B381" s="993">
        <v>2018</v>
      </c>
      <c r="C381" s="989" t="s">
        <v>2995</v>
      </c>
      <c r="D381" s="989" t="s">
        <v>47</v>
      </c>
      <c r="E381" s="989" t="s">
        <v>783</v>
      </c>
      <c r="F381" s="994">
        <v>9730.2900000000009</v>
      </c>
      <c r="G381" s="989" t="s">
        <v>657</v>
      </c>
      <c r="H381" s="994">
        <v>11812.2197265625</v>
      </c>
      <c r="I381" s="994">
        <v>-2081.92993164063</v>
      </c>
      <c r="J381" s="994">
        <v>9730.2900390625</v>
      </c>
      <c r="K381" s="997">
        <v>9730.2900000000009</v>
      </c>
    </row>
    <row r="382" spans="1:11" ht="33.75" x14ac:dyDescent="0.25">
      <c r="A382" s="989" t="s">
        <v>201</v>
      </c>
      <c r="B382" s="993">
        <v>2018</v>
      </c>
      <c r="C382" s="989" t="s">
        <v>2996</v>
      </c>
      <c r="D382" s="989" t="s">
        <v>48</v>
      </c>
      <c r="E382" s="989" t="s">
        <v>784</v>
      </c>
      <c r="F382" s="994">
        <v>537111.68999999994</v>
      </c>
      <c r="G382" s="989" t="s">
        <v>657</v>
      </c>
      <c r="H382" s="994">
        <v>529029.1875</v>
      </c>
      <c r="I382" s="994">
        <v>8082.509765625</v>
      </c>
      <c r="J382" s="994">
        <v>537111.6875</v>
      </c>
      <c r="K382" s="997">
        <v>537111.68999999994</v>
      </c>
    </row>
    <row r="383" spans="1:11" ht="33.75" x14ac:dyDescent="0.25">
      <c r="A383" s="989" t="s">
        <v>201</v>
      </c>
      <c r="B383" s="993">
        <v>2018</v>
      </c>
      <c r="C383" s="989" t="s">
        <v>2997</v>
      </c>
      <c r="D383" s="989" t="s">
        <v>50</v>
      </c>
      <c r="E383" s="989" t="s">
        <v>785</v>
      </c>
      <c r="F383" s="994">
        <v>627953.01</v>
      </c>
      <c r="G383" s="989" t="s">
        <v>657</v>
      </c>
      <c r="H383" s="994">
        <v>644944.125</v>
      </c>
      <c r="I383" s="994">
        <v>-16991.08984375</v>
      </c>
      <c r="J383" s="994">
        <v>627953</v>
      </c>
      <c r="K383" s="997">
        <v>627953.01</v>
      </c>
    </row>
    <row r="384" spans="1:11" ht="22.5" x14ac:dyDescent="0.25">
      <c r="A384" s="989" t="s">
        <v>201</v>
      </c>
      <c r="B384" s="993">
        <v>2018</v>
      </c>
      <c r="C384" s="989" t="s">
        <v>2998</v>
      </c>
      <c r="D384" s="989" t="s">
        <v>348</v>
      </c>
      <c r="E384" s="989" t="s">
        <v>786</v>
      </c>
      <c r="F384" s="994">
        <v>-197522.15</v>
      </c>
      <c r="G384" s="989" t="s">
        <v>657</v>
      </c>
      <c r="H384" s="994">
        <v>-191714.078125</v>
      </c>
      <c r="I384" s="994">
        <v>-5808.06982421875</v>
      </c>
      <c r="J384" s="994">
        <v>-197522.15625</v>
      </c>
      <c r="K384" s="997">
        <v>-197522.15</v>
      </c>
    </row>
    <row r="385" spans="1:11" ht="45" x14ac:dyDescent="0.25">
      <c r="A385" s="989" t="s">
        <v>201</v>
      </c>
      <c r="B385" s="993">
        <v>2018</v>
      </c>
      <c r="C385" s="989" t="s">
        <v>2999</v>
      </c>
      <c r="D385" s="989" t="s">
        <v>659</v>
      </c>
      <c r="E385" s="989" t="s">
        <v>1229</v>
      </c>
      <c r="F385" s="994">
        <v>0</v>
      </c>
      <c r="G385" s="989" t="s">
        <v>657</v>
      </c>
      <c r="H385" s="996"/>
      <c r="I385" s="996"/>
      <c r="J385" s="994">
        <v>0</v>
      </c>
      <c r="K385" s="997">
        <v>0</v>
      </c>
    </row>
    <row r="386" spans="1:11" ht="45" x14ac:dyDescent="0.25">
      <c r="A386" s="989" t="s">
        <v>201</v>
      </c>
      <c r="B386" s="993">
        <v>2018</v>
      </c>
      <c r="C386" s="989" t="s">
        <v>2999</v>
      </c>
      <c r="D386" s="989" t="s">
        <v>660</v>
      </c>
      <c r="E386" s="989" t="s">
        <v>1230</v>
      </c>
      <c r="F386" s="994">
        <v>0</v>
      </c>
      <c r="G386" s="989" t="s">
        <v>657</v>
      </c>
      <c r="H386" s="996"/>
      <c r="I386" s="996"/>
      <c r="J386" s="994">
        <v>0</v>
      </c>
      <c r="K386" s="997">
        <v>0</v>
      </c>
    </row>
    <row r="387" spans="1:11" ht="45" x14ac:dyDescent="0.25">
      <c r="A387" s="989" t="s">
        <v>201</v>
      </c>
      <c r="B387" s="993">
        <v>2018</v>
      </c>
      <c r="C387" s="989" t="s">
        <v>2999</v>
      </c>
      <c r="D387" s="989" t="s">
        <v>661</v>
      </c>
      <c r="E387" s="989" t="s">
        <v>1231</v>
      </c>
      <c r="F387" s="994">
        <v>0</v>
      </c>
      <c r="G387" s="989" t="s">
        <v>657</v>
      </c>
      <c r="H387" s="996"/>
      <c r="I387" s="996"/>
      <c r="J387" s="994">
        <v>0</v>
      </c>
      <c r="K387" s="997">
        <v>0</v>
      </c>
    </row>
    <row r="388" spans="1:11" ht="45" x14ac:dyDescent="0.25">
      <c r="A388" s="989" t="s">
        <v>201</v>
      </c>
      <c r="B388" s="993">
        <v>2018</v>
      </c>
      <c r="C388" s="989" t="s">
        <v>2999</v>
      </c>
      <c r="D388" s="989" t="s">
        <v>662</v>
      </c>
      <c r="E388" s="989" t="s">
        <v>1232</v>
      </c>
      <c r="F388" s="994">
        <v>0</v>
      </c>
      <c r="G388" s="989" t="s">
        <v>657</v>
      </c>
      <c r="H388" s="996"/>
      <c r="I388" s="996"/>
      <c r="J388" s="994">
        <v>0</v>
      </c>
      <c r="K388" s="997">
        <v>0</v>
      </c>
    </row>
    <row r="389" spans="1:11" ht="45" x14ac:dyDescent="0.25">
      <c r="A389" s="989" t="s">
        <v>201</v>
      </c>
      <c r="B389" s="993">
        <v>2018</v>
      </c>
      <c r="C389" s="989" t="s">
        <v>2999</v>
      </c>
      <c r="D389" s="989" t="s">
        <v>663</v>
      </c>
      <c r="E389" s="989" t="s">
        <v>1233</v>
      </c>
      <c r="F389" s="994">
        <v>0</v>
      </c>
      <c r="G389" s="989" t="s">
        <v>657</v>
      </c>
      <c r="H389" s="994">
        <v>25234.349609375</v>
      </c>
      <c r="I389" s="994">
        <v>-4562.52001953125</v>
      </c>
      <c r="J389" s="994">
        <v>20671.830078125</v>
      </c>
      <c r="K389" s="997">
        <v>20671.830000000002</v>
      </c>
    </row>
    <row r="390" spans="1:11" ht="45" x14ac:dyDescent="0.25">
      <c r="A390" s="989" t="s">
        <v>201</v>
      </c>
      <c r="B390" s="993">
        <v>2018</v>
      </c>
      <c r="C390" s="989" t="s">
        <v>2999</v>
      </c>
      <c r="D390" s="989" t="s">
        <v>664</v>
      </c>
      <c r="E390" s="989" t="s">
        <v>1234</v>
      </c>
      <c r="F390" s="994">
        <v>0</v>
      </c>
      <c r="G390" s="989" t="s">
        <v>657</v>
      </c>
      <c r="H390" s="994">
        <v>53523.76171875</v>
      </c>
      <c r="I390" s="994">
        <v>-34231.078125</v>
      </c>
      <c r="J390" s="994">
        <v>19292.6796875</v>
      </c>
      <c r="K390" s="997">
        <v>19292.68</v>
      </c>
    </row>
    <row r="391" spans="1:11" ht="45" x14ac:dyDescent="0.25">
      <c r="A391" s="989" t="s">
        <v>201</v>
      </c>
      <c r="B391" s="993">
        <v>2018</v>
      </c>
      <c r="C391" s="989" t="s">
        <v>2999</v>
      </c>
      <c r="D391" s="989" t="s">
        <v>665</v>
      </c>
      <c r="E391" s="989" t="s">
        <v>1235</v>
      </c>
      <c r="F391" s="994">
        <v>0</v>
      </c>
      <c r="G391" s="989" t="s">
        <v>657</v>
      </c>
      <c r="H391" s="994">
        <v>7251.259765625</v>
      </c>
      <c r="I391" s="994">
        <v>-9196.6298828125</v>
      </c>
      <c r="J391" s="994">
        <v>-1945.36999511719</v>
      </c>
      <c r="K391" s="997">
        <v>-1945.37</v>
      </c>
    </row>
    <row r="392" spans="1:11" ht="45" x14ac:dyDescent="0.25">
      <c r="A392" s="989" t="s">
        <v>201</v>
      </c>
      <c r="B392" s="993">
        <v>2018</v>
      </c>
      <c r="C392" s="989" t="s">
        <v>2999</v>
      </c>
      <c r="D392" s="989" t="s">
        <v>1870</v>
      </c>
      <c r="E392" s="989" t="s">
        <v>2297</v>
      </c>
      <c r="F392" s="994">
        <v>0</v>
      </c>
      <c r="G392" s="989" t="s">
        <v>657</v>
      </c>
      <c r="H392" s="996"/>
      <c r="I392" s="996"/>
      <c r="J392" s="994">
        <v>0</v>
      </c>
      <c r="K392" s="997">
        <v>0</v>
      </c>
    </row>
    <row r="393" spans="1:11" ht="45" x14ac:dyDescent="0.25">
      <c r="A393" s="989" t="s">
        <v>201</v>
      </c>
      <c r="B393" s="993">
        <v>2018</v>
      </c>
      <c r="C393" s="989" t="s">
        <v>2999</v>
      </c>
      <c r="D393" s="989" t="s">
        <v>2486</v>
      </c>
      <c r="E393" s="989" t="s">
        <v>2501</v>
      </c>
      <c r="F393" s="994">
        <v>0</v>
      </c>
      <c r="G393" s="989" t="s">
        <v>657</v>
      </c>
      <c r="H393" s="996"/>
      <c r="I393" s="996"/>
      <c r="J393" s="994">
        <v>0</v>
      </c>
      <c r="K393" s="997">
        <v>0</v>
      </c>
    </row>
    <row r="394" spans="1:11" ht="45" x14ac:dyDescent="0.25">
      <c r="A394" s="989" t="s">
        <v>201</v>
      </c>
      <c r="B394" s="993">
        <v>2018</v>
      </c>
      <c r="C394" s="989" t="s">
        <v>2999</v>
      </c>
      <c r="D394" s="989" t="s">
        <v>4892</v>
      </c>
      <c r="E394" s="989" t="s">
        <v>5997</v>
      </c>
      <c r="F394" s="994">
        <v>0</v>
      </c>
      <c r="G394" s="989" t="s">
        <v>657</v>
      </c>
      <c r="H394" s="996"/>
      <c r="I394" s="996"/>
      <c r="J394" s="994">
        <v>0</v>
      </c>
      <c r="K394" s="997">
        <v>0</v>
      </c>
    </row>
    <row r="395" spans="1:11" ht="45" x14ac:dyDescent="0.25">
      <c r="A395" s="989" t="s">
        <v>201</v>
      </c>
      <c r="B395" s="993">
        <v>2018</v>
      </c>
      <c r="C395" s="989" t="s">
        <v>2999</v>
      </c>
      <c r="D395" s="989" t="s">
        <v>666</v>
      </c>
      <c r="E395" s="989" t="s">
        <v>1551</v>
      </c>
      <c r="F395" s="994">
        <v>38019.14</v>
      </c>
      <c r="G395" s="995"/>
      <c r="H395" s="996"/>
      <c r="I395" s="996"/>
      <c r="J395" s="994">
        <v>0</v>
      </c>
      <c r="K395" s="997">
        <v>38019.14</v>
      </c>
    </row>
    <row r="396" spans="1:11" ht="22.5" x14ac:dyDescent="0.25">
      <c r="A396" s="989" t="s">
        <v>179</v>
      </c>
      <c r="B396" s="993">
        <v>2018</v>
      </c>
      <c r="C396" s="989" t="s">
        <v>2991</v>
      </c>
      <c r="D396" s="989" t="s">
        <v>49</v>
      </c>
      <c r="E396" s="989" t="s">
        <v>2237</v>
      </c>
      <c r="F396" s="994">
        <v>3956944.47</v>
      </c>
      <c r="G396" s="989" t="s">
        <v>657</v>
      </c>
      <c r="H396" s="994">
        <v>3880116.25</v>
      </c>
      <c r="I396" s="994">
        <v>76828.21875</v>
      </c>
      <c r="J396" s="994">
        <v>3956944.5</v>
      </c>
      <c r="K396" s="997">
        <v>3956944.47</v>
      </c>
    </row>
    <row r="397" spans="1:11" ht="33.75" x14ac:dyDescent="0.25">
      <c r="A397" s="989" t="s">
        <v>179</v>
      </c>
      <c r="B397" s="993">
        <v>2018</v>
      </c>
      <c r="C397" s="989" t="s">
        <v>2992</v>
      </c>
      <c r="D397" s="989" t="s">
        <v>658</v>
      </c>
      <c r="E397" s="989" t="s">
        <v>2238</v>
      </c>
      <c r="F397" s="994">
        <v>-45280.61</v>
      </c>
      <c r="G397" s="989" t="s">
        <v>657</v>
      </c>
      <c r="H397" s="994">
        <v>-43869.53125</v>
      </c>
      <c r="I397" s="994">
        <v>-1411.07995605469</v>
      </c>
      <c r="J397" s="994">
        <v>-45280.609375</v>
      </c>
      <c r="K397" s="997">
        <v>-45280.61</v>
      </c>
    </row>
    <row r="398" spans="1:11" ht="22.5" x14ac:dyDescent="0.25">
      <c r="A398" s="989" t="s">
        <v>179</v>
      </c>
      <c r="B398" s="993">
        <v>2018</v>
      </c>
      <c r="C398" s="989" t="s">
        <v>2993</v>
      </c>
      <c r="D398" s="989" t="s">
        <v>464</v>
      </c>
      <c r="E398" s="989" t="s">
        <v>2239</v>
      </c>
      <c r="F398" s="994">
        <v>435966.33</v>
      </c>
      <c r="G398" s="995"/>
      <c r="H398" s="996"/>
      <c r="I398" s="996"/>
      <c r="J398" s="994">
        <v>0</v>
      </c>
      <c r="K398" s="997">
        <v>435966.33</v>
      </c>
    </row>
    <row r="399" spans="1:11" ht="33.75" x14ac:dyDescent="0.25">
      <c r="A399" s="989" t="s">
        <v>179</v>
      </c>
      <c r="B399" s="993">
        <v>2018</v>
      </c>
      <c r="C399" s="989" t="s">
        <v>2994</v>
      </c>
      <c r="D399" s="989" t="s">
        <v>46</v>
      </c>
      <c r="E399" s="989" t="s">
        <v>2240</v>
      </c>
      <c r="F399" s="994">
        <v>-1190724.56</v>
      </c>
      <c r="G399" s="989" t="s">
        <v>657</v>
      </c>
      <c r="H399" s="994">
        <v>-1164001.75</v>
      </c>
      <c r="I399" s="994">
        <v>-26722.810546875</v>
      </c>
      <c r="J399" s="994">
        <v>-1190724.5</v>
      </c>
      <c r="K399" s="997">
        <v>-1190724.56</v>
      </c>
    </row>
    <row r="400" spans="1:11" ht="22.5" x14ac:dyDescent="0.25">
      <c r="A400" s="989" t="s">
        <v>179</v>
      </c>
      <c r="B400" s="993">
        <v>2018</v>
      </c>
      <c r="C400" s="989" t="s">
        <v>2994</v>
      </c>
      <c r="D400" s="989" t="s">
        <v>2482</v>
      </c>
      <c r="E400" s="989" t="s">
        <v>2240</v>
      </c>
      <c r="F400" s="994">
        <v>0</v>
      </c>
      <c r="G400" s="995"/>
      <c r="H400" s="996"/>
      <c r="I400" s="996"/>
      <c r="J400" s="994">
        <v>0</v>
      </c>
      <c r="K400" s="997">
        <v>0</v>
      </c>
    </row>
    <row r="401" spans="1:11" ht="22.5" x14ac:dyDescent="0.25">
      <c r="A401" s="989" t="s">
        <v>179</v>
      </c>
      <c r="B401" s="993">
        <v>2018</v>
      </c>
      <c r="C401" s="989" t="s">
        <v>2994</v>
      </c>
      <c r="D401" s="989" t="s">
        <v>2483</v>
      </c>
      <c r="E401" s="989" t="s">
        <v>2240</v>
      </c>
      <c r="F401" s="994">
        <v>0</v>
      </c>
      <c r="G401" s="995"/>
      <c r="H401" s="996"/>
      <c r="I401" s="996"/>
      <c r="J401" s="994">
        <v>0</v>
      </c>
      <c r="K401" s="997">
        <v>0</v>
      </c>
    </row>
    <row r="402" spans="1:11" ht="22.5" x14ac:dyDescent="0.25">
      <c r="A402" s="989" t="s">
        <v>179</v>
      </c>
      <c r="B402" s="993">
        <v>2018</v>
      </c>
      <c r="C402" s="989" t="s">
        <v>2994</v>
      </c>
      <c r="D402" s="989" t="s">
        <v>2484</v>
      </c>
      <c r="E402" s="989" t="s">
        <v>2240</v>
      </c>
      <c r="F402" s="994">
        <v>726.75</v>
      </c>
      <c r="G402" s="995"/>
      <c r="H402" s="996"/>
      <c r="I402" s="996"/>
      <c r="J402" s="994">
        <v>0</v>
      </c>
      <c r="K402" s="997">
        <v>726.75</v>
      </c>
    </row>
    <row r="403" spans="1:11" ht="22.5" x14ac:dyDescent="0.25">
      <c r="A403" s="989" t="s">
        <v>179</v>
      </c>
      <c r="B403" s="993">
        <v>2018</v>
      </c>
      <c r="C403" s="989" t="s">
        <v>2994</v>
      </c>
      <c r="D403" s="989" t="s">
        <v>2485</v>
      </c>
      <c r="E403" s="989" t="s">
        <v>2240</v>
      </c>
      <c r="F403" s="994">
        <v>41395.75</v>
      </c>
      <c r="G403" s="995"/>
      <c r="H403" s="996"/>
      <c r="I403" s="996"/>
      <c r="J403" s="994">
        <v>0</v>
      </c>
      <c r="K403" s="997">
        <v>41395.75</v>
      </c>
    </row>
    <row r="404" spans="1:11" ht="33.75" x14ac:dyDescent="0.25">
      <c r="A404" s="989" t="s">
        <v>179</v>
      </c>
      <c r="B404" s="993">
        <v>2018</v>
      </c>
      <c r="C404" s="989" t="s">
        <v>2995</v>
      </c>
      <c r="D404" s="989" t="s">
        <v>47</v>
      </c>
      <c r="E404" s="989" t="s">
        <v>2241</v>
      </c>
      <c r="F404" s="994">
        <v>427440.98</v>
      </c>
      <c r="G404" s="989" t="s">
        <v>657</v>
      </c>
      <c r="H404" s="994">
        <v>468710.4375</v>
      </c>
      <c r="I404" s="994">
        <v>-41269.4609375</v>
      </c>
      <c r="J404" s="994">
        <v>427440.96875</v>
      </c>
      <c r="K404" s="997">
        <v>427440.98</v>
      </c>
    </row>
    <row r="405" spans="1:11" ht="33.75" x14ac:dyDescent="0.25">
      <c r="A405" s="989" t="s">
        <v>179</v>
      </c>
      <c r="B405" s="993">
        <v>2018</v>
      </c>
      <c r="C405" s="989" t="s">
        <v>2996</v>
      </c>
      <c r="D405" s="989" t="s">
        <v>48</v>
      </c>
      <c r="E405" s="989" t="s">
        <v>2242</v>
      </c>
      <c r="F405" s="994">
        <v>1003501.52</v>
      </c>
      <c r="G405" s="989" t="s">
        <v>657</v>
      </c>
      <c r="H405" s="994">
        <v>1009152</v>
      </c>
      <c r="I405" s="994">
        <v>-5650.4501953125</v>
      </c>
      <c r="J405" s="994">
        <v>1003501.5</v>
      </c>
      <c r="K405" s="997">
        <v>1003501.52</v>
      </c>
    </row>
    <row r="406" spans="1:11" ht="33.75" x14ac:dyDescent="0.25">
      <c r="A406" s="989" t="s">
        <v>179</v>
      </c>
      <c r="B406" s="993">
        <v>2018</v>
      </c>
      <c r="C406" s="989" t="s">
        <v>2997</v>
      </c>
      <c r="D406" s="989" t="s">
        <v>50</v>
      </c>
      <c r="E406" s="989" t="s">
        <v>2243</v>
      </c>
      <c r="F406" s="994">
        <v>-3686834.82</v>
      </c>
      <c r="G406" s="989" t="s">
        <v>657</v>
      </c>
      <c r="H406" s="994">
        <v>-3912650.25</v>
      </c>
      <c r="I406" s="994">
        <v>225815.4375</v>
      </c>
      <c r="J406" s="994">
        <v>-3686834.75</v>
      </c>
      <c r="K406" s="997">
        <v>-3686834.82</v>
      </c>
    </row>
    <row r="407" spans="1:11" ht="22.5" x14ac:dyDescent="0.25">
      <c r="A407" s="989" t="s">
        <v>179</v>
      </c>
      <c r="B407" s="993">
        <v>2018</v>
      </c>
      <c r="C407" s="989" t="s">
        <v>2998</v>
      </c>
      <c r="D407" s="989" t="s">
        <v>348</v>
      </c>
      <c r="E407" s="989" t="s">
        <v>2244</v>
      </c>
      <c r="F407" s="994">
        <v>-427218.74</v>
      </c>
      <c r="G407" s="989" t="s">
        <v>657</v>
      </c>
      <c r="H407" s="994">
        <v>-140203.65625</v>
      </c>
      <c r="I407" s="994">
        <v>-287015.09375</v>
      </c>
      <c r="J407" s="994">
        <v>-427218.75</v>
      </c>
      <c r="K407" s="997">
        <v>-427218.74</v>
      </c>
    </row>
    <row r="408" spans="1:11" ht="45" x14ac:dyDescent="0.25">
      <c r="A408" s="989" t="s">
        <v>179</v>
      </c>
      <c r="B408" s="993">
        <v>2018</v>
      </c>
      <c r="C408" s="989" t="s">
        <v>2999</v>
      </c>
      <c r="D408" s="989" t="s">
        <v>659</v>
      </c>
      <c r="E408" s="989" t="s">
        <v>2245</v>
      </c>
      <c r="F408" s="994">
        <v>0</v>
      </c>
      <c r="G408" s="989" t="s">
        <v>657</v>
      </c>
      <c r="H408" s="996"/>
      <c r="I408" s="996"/>
      <c r="J408" s="994">
        <v>0</v>
      </c>
      <c r="K408" s="997">
        <v>0</v>
      </c>
    </row>
    <row r="409" spans="1:11" ht="45" x14ac:dyDescent="0.25">
      <c r="A409" s="989" t="s">
        <v>179</v>
      </c>
      <c r="B409" s="993">
        <v>2018</v>
      </c>
      <c r="C409" s="989" t="s">
        <v>2999</v>
      </c>
      <c r="D409" s="989" t="s">
        <v>660</v>
      </c>
      <c r="E409" s="989" t="s">
        <v>2246</v>
      </c>
      <c r="F409" s="994">
        <v>0</v>
      </c>
      <c r="G409" s="989" t="s">
        <v>657</v>
      </c>
      <c r="H409" s="996"/>
      <c r="I409" s="996"/>
      <c r="J409" s="994">
        <v>0</v>
      </c>
      <c r="K409" s="997">
        <v>0</v>
      </c>
    </row>
    <row r="410" spans="1:11" ht="45" x14ac:dyDescent="0.25">
      <c r="A410" s="989" t="s">
        <v>179</v>
      </c>
      <c r="B410" s="993">
        <v>2018</v>
      </c>
      <c r="C410" s="989" t="s">
        <v>2999</v>
      </c>
      <c r="D410" s="989" t="s">
        <v>661</v>
      </c>
      <c r="E410" s="989" t="s">
        <v>2247</v>
      </c>
      <c r="F410" s="994">
        <v>0</v>
      </c>
      <c r="G410" s="989" t="s">
        <v>657</v>
      </c>
      <c r="H410" s="994">
        <v>-174821.328125</v>
      </c>
      <c r="I410" s="994">
        <v>-70478.046875</v>
      </c>
      <c r="J410" s="994">
        <v>-245299.375</v>
      </c>
      <c r="K410" s="997">
        <v>-245299.38</v>
      </c>
    </row>
    <row r="411" spans="1:11" ht="45" x14ac:dyDescent="0.25">
      <c r="A411" s="989" t="s">
        <v>179</v>
      </c>
      <c r="B411" s="993">
        <v>2018</v>
      </c>
      <c r="C411" s="989" t="s">
        <v>2999</v>
      </c>
      <c r="D411" s="989" t="s">
        <v>662</v>
      </c>
      <c r="E411" s="989" t="s">
        <v>2248</v>
      </c>
      <c r="F411" s="994">
        <v>0</v>
      </c>
      <c r="G411" s="989" t="s">
        <v>657</v>
      </c>
      <c r="H411" s="996"/>
      <c r="I411" s="996"/>
      <c r="J411" s="994">
        <v>0</v>
      </c>
      <c r="K411" s="997">
        <v>0</v>
      </c>
    </row>
    <row r="412" spans="1:11" ht="45" x14ac:dyDescent="0.25">
      <c r="A412" s="989" t="s">
        <v>179</v>
      </c>
      <c r="B412" s="993">
        <v>2018</v>
      </c>
      <c r="C412" s="989" t="s">
        <v>2999</v>
      </c>
      <c r="D412" s="989" t="s">
        <v>663</v>
      </c>
      <c r="E412" s="989" t="s">
        <v>2249</v>
      </c>
      <c r="F412" s="994">
        <v>0</v>
      </c>
      <c r="G412" s="989" t="s">
        <v>657</v>
      </c>
      <c r="H412" s="994">
        <v>149129.9375</v>
      </c>
      <c r="I412" s="994">
        <v>47718.48828125</v>
      </c>
      <c r="J412" s="994">
        <v>196848.4375</v>
      </c>
      <c r="K412" s="997">
        <v>196848.43</v>
      </c>
    </row>
    <row r="413" spans="1:11" ht="45" x14ac:dyDescent="0.25">
      <c r="A413" s="989" t="s">
        <v>179</v>
      </c>
      <c r="B413" s="993">
        <v>2018</v>
      </c>
      <c r="C413" s="989" t="s">
        <v>2999</v>
      </c>
      <c r="D413" s="989" t="s">
        <v>664</v>
      </c>
      <c r="E413" s="989" t="s">
        <v>2250</v>
      </c>
      <c r="F413" s="994">
        <v>0</v>
      </c>
      <c r="G413" s="989" t="s">
        <v>657</v>
      </c>
      <c r="H413" s="996"/>
      <c r="I413" s="996"/>
      <c r="J413" s="994">
        <v>0</v>
      </c>
      <c r="K413" s="997">
        <v>0</v>
      </c>
    </row>
    <row r="414" spans="1:11" ht="45" x14ac:dyDescent="0.25">
      <c r="A414" s="989" t="s">
        <v>179</v>
      </c>
      <c r="B414" s="993">
        <v>2018</v>
      </c>
      <c r="C414" s="989" t="s">
        <v>2999</v>
      </c>
      <c r="D414" s="989" t="s">
        <v>665</v>
      </c>
      <c r="E414" s="989" t="s">
        <v>2251</v>
      </c>
      <c r="F414" s="994">
        <v>0</v>
      </c>
      <c r="G414" s="989" t="s">
        <v>657</v>
      </c>
      <c r="H414" s="994">
        <v>2219.15991210938</v>
      </c>
      <c r="I414" s="994">
        <v>-20768.83984375</v>
      </c>
      <c r="J414" s="994">
        <v>-18549.6796875</v>
      </c>
      <c r="K414" s="997">
        <v>-18549.68</v>
      </c>
    </row>
    <row r="415" spans="1:11" ht="45" x14ac:dyDescent="0.25">
      <c r="A415" s="989" t="s">
        <v>179</v>
      </c>
      <c r="B415" s="993">
        <v>2018</v>
      </c>
      <c r="C415" s="989" t="s">
        <v>2999</v>
      </c>
      <c r="D415" s="989" t="s">
        <v>1870</v>
      </c>
      <c r="E415" s="989" t="s">
        <v>2298</v>
      </c>
      <c r="F415" s="994">
        <v>0</v>
      </c>
      <c r="G415" s="989" t="s">
        <v>657</v>
      </c>
      <c r="H415" s="994">
        <v>2582300</v>
      </c>
      <c r="I415" s="994">
        <v>100233.4375</v>
      </c>
      <c r="J415" s="994">
        <v>2682533.5</v>
      </c>
      <c r="K415" s="997">
        <v>2682533.44</v>
      </c>
    </row>
    <row r="416" spans="1:11" ht="45" x14ac:dyDescent="0.25">
      <c r="A416" s="989" t="s">
        <v>179</v>
      </c>
      <c r="B416" s="993">
        <v>2018</v>
      </c>
      <c r="C416" s="989" t="s">
        <v>2999</v>
      </c>
      <c r="D416" s="989" t="s">
        <v>2486</v>
      </c>
      <c r="E416" s="989" t="s">
        <v>2502</v>
      </c>
      <c r="F416" s="994">
        <v>0</v>
      </c>
      <c r="G416" s="989" t="s">
        <v>657</v>
      </c>
      <c r="H416" s="996"/>
      <c r="I416" s="996"/>
      <c r="J416" s="994">
        <v>0</v>
      </c>
      <c r="K416" s="997">
        <v>0</v>
      </c>
    </row>
    <row r="417" spans="1:11" ht="45" x14ac:dyDescent="0.25">
      <c r="A417" s="989" t="s">
        <v>179</v>
      </c>
      <c r="B417" s="993">
        <v>2018</v>
      </c>
      <c r="C417" s="989" t="s">
        <v>2999</v>
      </c>
      <c r="D417" s="989" t="s">
        <v>4892</v>
      </c>
      <c r="E417" s="989" t="s">
        <v>5998</v>
      </c>
      <c r="F417" s="994">
        <v>0</v>
      </c>
      <c r="G417" s="989" t="s">
        <v>657</v>
      </c>
      <c r="H417" s="996"/>
      <c r="I417" s="996"/>
      <c r="J417" s="994">
        <v>0</v>
      </c>
      <c r="K417" s="997">
        <v>0</v>
      </c>
    </row>
    <row r="418" spans="1:11" ht="45" x14ac:dyDescent="0.25">
      <c r="A418" s="989" t="s">
        <v>179</v>
      </c>
      <c r="B418" s="993">
        <v>2018</v>
      </c>
      <c r="C418" s="989" t="s">
        <v>2999</v>
      </c>
      <c r="D418" s="989" t="s">
        <v>666</v>
      </c>
      <c r="E418" s="989" t="s">
        <v>2252</v>
      </c>
      <c r="F418" s="994">
        <v>2615532.81</v>
      </c>
      <c r="G418" s="995"/>
      <c r="H418" s="996"/>
      <c r="I418" s="996"/>
      <c r="J418" s="994">
        <v>0</v>
      </c>
      <c r="K418" s="997">
        <v>2615532.81</v>
      </c>
    </row>
    <row r="419" spans="1:11" x14ac:dyDescent="0.25">
      <c r="A419" s="989" t="s">
        <v>180</v>
      </c>
      <c r="B419" s="993">
        <v>2018</v>
      </c>
      <c r="C419" s="989" t="s">
        <v>2991</v>
      </c>
      <c r="D419" s="989" t="s">
        <v>49</v>
      </c>
      <c r="E419" s="989" t="s">
        <v>1692</v>
      </c>
      <c r="F419" s="994">
        <v>95920.99</v>
      </c>
      <c r="G419" s="989" t="s">
        <v>657</v>
      </c>
      <c r="H419" s="994">
        <v>94612.6875</v>
      </c>
      <c r="I419" s="994">
        <v>1308.30004882813</v>
      </c>
      <c r="J419" s="994">
        <v>95920.9921875</v>
      </c>
      <c r="K419" s="997">
        <v>95920.99</v>
      </c>
    </row>
    <row r="420" spans="1:11" ht="33.75" x14ac:dyDescent="0.25">
      <c r="A420" s="989" t="s">
        <v>180</v>
      </c>
      <c r="B420" s="993">
        <v>2018</v>
      </c>
      <c r="C420" s="989" t="s">
        <v>2992</v>
      </c>
      <c r="D420" s="989" t="s">
        <v>658</v>
      </c>
      <c r="E420" s="989" t="s">
        <v>1693</v>
      </c>
      <c r="F420" s="994">
        <v>-4377.8900000000003</v>
      </c>
      <c r="G420" s="989" t="s">
        <v>657</v>
      </c>
      <c r="H420" s="994">
        <v>-4312.89990234375</v>
      </c>
      <c r="I420" s="994">
        <v>-64.989997863769503</v>
      </c>
      <c r="J420" s="994">
        <v>-4377.89013671875</v>
      </c>
      <c r="K420" s="997">
        <v>-4377.8900000000003</v>
      </c>
    </row>
    <row r="421" spans="1:11" ht="22.5" x14ac:dyDescent="0.25">
      <c r="A421" s="989" t="s">
        <v>180</v>
      </c>
      <c r="B421" s="993">
        <v>2018</v>
      </c>
      <c r="C421" s="989" t="s">
        <v>2993</v>
      </c>
      <c r="D421" s="989" t="s">
        <v>464</v>
      </c>
      <c r="E421" s="989" t="s">
        <v>1694</v>
      </c>
      <c r="F421" s="994">
        <v>254111.17</v>
      </c>
      <c r="G421" s="995"/>
      <c r="H421" s="996"/>
      <c r="I421" s="996"/>
      <c r="J421" s="994">
        <v>0</v>
      </c>
      <c r="K421" s="997">
        <v>254111.17</v>
      </c>
    </row>
    <row r="422" spans="1:11" ht="33.75" x14ac:dyDescent="0.25">
      <c r="A422" s="989" t="s">
        <v>180</v>
      </c>
      <c r="B422" s="993">
        <v>2018</v>
      </c>
      <c r="C422" s="989" t="s">
        <v>2994</v>
      </c>
      <c r="D422" s="989" t="s">
        <v>46</v>
      </c>
      <c r="E422" s="989" t="s">
        <v>1695</v>
      </c>
      <c r="F422" s="994">
        <v>101766.73</v>
      </c>
      <c r="G422" s="989" t="s">
        <v>657</v>
      </c>
      <c r="H422" s="994">
        <v>104398.78125</v>
      </c>
      <c r="I422" s="994">
        <v>-2632.05004882813</v>
      </c>
      <c r="J422" s="994">
        <v>101766.7265625</v>
      </c>
      <c r="K422" s="997">
        <v>101766.73</v>
      </c>
    </row>
    <row r="423" spans="1:11" ht="22.5" x14ac:dyDescent="0.25">
      <c r="A423" s="989" t="s">
        <v>180</v>
      </c>
      <c r="B423" s="993">
        <v>2018</v>
      </c>
      <c r="C423" s="989" t="s">
        <v>2994</v>
      </c>
      <c r="D423" s="989" t="s">
        <v>2482</v>
      </c>
      <c r="E423" s="989" t="s">
        <v>1695</v>
      </c>
      <c r="F423" s="994">
        <v>0</v>
      </c>
      <c r="G423" s="995"/>
      <c r="H423" s="996"/>
      <c r="I423" s="996"/>
      <c r="J423" s="994">
        <v>0</v>
      </c>
      <c r="K423" s="997">
        <v>0</v>
      </c>
    </row>
    <row r="424" spans="1:11" ht="22.5" x14ac:dyDescent="0.25">
      <c r="A424" s="989" t="s">
        <v>180</v>
      </c>
      <c r="B424" s="993">
        <v>2018</v>
      </c>
      <c r="C424" s="989" t="s">
        <v>2994</v>
      </c>
      <c r="D424" s="989" t="s">
        <v>2483</v>
      </c>
      <c r="E424" s="989" t="s">
        <v>1695</v>
      </c>
      <c r="F424" s="994">
        <v>0</v>
      </c>
      <c r="G424" s="995"/>
      <c r="H424" s="996"/>
      <c r="I424" s="996"/>
      <c r="J424" s="994">
        <v>0</v>
      </c>
      <c r="K424" s="997">
        <v>0</v>
      </c>
    </row>
    <row r="425" spans="1:11" ht="22.5" x14ac:dyDescent="0.25">
      <c r="A425" s="989" t="s">
        <v>180</v>
      </c>
      <c r="B425" s="993">
        <v>2018</v>
      </c>
      <c r="C425" s="989" t="s">
        <v>2994</v>
      </c>
      <c r="D425" s="989" t="s">
        <v>2484</v>
      </c>
      <c r="E425" s="989" t="s">
        <v>1695</v>
      </c>
      <c r="F425" s="994">
        <v>-548.88</v>
      </c>
      <c r="G425" s="995"/>
      <c r="H425" s="996"/>
      <c r="I425" s="996"/>
      <c r="J425" s="994">
        <v>0</v>
      </c>
      <c r="K425" s="997">
        <v>-548.88</v>
      </c>
    </row>
    <row r="426" spans="1:11" ht="22.5" x14ac:dyDescent="0.25">
      <c r="A426" s="989" t="s">
        <v>180</v>
      </c>
      <c r="B426" s="993">
        <v>2018</v>
      </c>
      <c r="C426" s="989" t="s">
        <v>2994</v>
      </c>
      <c r="D426" s="989" t="s">
        <v>2485</v>
      </c>
      <c r="E426" s="989" t="s">
        <v>1695</v>
      </c>
      <c r="F426" s="994">
        <v>-47292.38</v>
      </c>
      <c r="G426" s="995"/>
      <c r="H426" s="996"/>
      <c r="I426" s="996"/>
      <c r="J426" s="994">
        <v>0</v>
      </c>
      <c r="K426" s="997">
        <v>-47292.38</v>
      </c>
    </row>
    <row r="427" spans="1:11" ht="33.75" x14ac:dyDescent="0.25">
      <c r="A427" s="989" t="s">
        <v>180</v>
      </c>
      <c r="B427" s="993">
        <v>2018</v>
      </c>
      <c r="C427" s="989" t="s">
        <v>2995</v>
      </c>
      <c r="D427" s="989" t="s">
        <v>47</v>
      </c>
      <c r="E427" s="989" t="s">
        <v>1696</v>
      </c>
      <c r="F427" s="994">
        <v>97823.73</v>
      </c>
      <c r="G427" s="989" t="s">
        <v>657</v>
      </c>
      <c r="H427" s="994">
        <v>97449.5390625</v>
      </c>
      <c r="I427" s="994">
        <v>374.19000244140602</v>
      </c>
      <c r="J427" s="994">
        <v>97823.7265625</v>
      </c>
      <c r="K427" s="997">
        <v>97823.73</v>
      </c>
    </row>
    <row r="428" spans="1:11" ht="33.75" x14ac:dyDescent="0.25">
      <c r="A428" s="989" t="s">
        <v>180</v>
      </c>
      <c r="B428" s="993">
        <v>2018</v>
      </c>
      <c r="C428" s="989" t="s">
        <v>2996</v>
      </c>
      <c r="D428" s="989" t="s">
        <v>48</v>
      </c>
      <c r="E428" s="989" t="s">
        <v>1697</v>
      </c>
      <c r="F428" s="994">
        <v>24917.17</v>
      </c>
      <c r="G428" s="989" t="s">
        <v>657</v>
      </c>
      <c r="H428" s="994">
        <v>25115.48046875</v>
      </c>
      <c r="I428" s="994">
        <v>-198.30999755859401</v>
      </c>
      <c r="J428" s="994">
        <v>24917.169921875</v>
      </c>
      <c r="K428" s="997">
        <v>24917.17</v>
      </c>
    </row>
    <row r="429" spans="1:11" ht="33.75" x14ac:dyDescent="0.25">
      <c r="A429" s="989" t="s">
        <v>180</v>
      </c>
      <c r="B429" s="993">
        <v>2018</v>
      </c>
      <c r="C429" s="989" t="s">
        <v>2997</v>
      </c>
      <c r="D429" s="989" t="s">
        <v>50</v>
      </c>
      <c r="E429" s="989" t="s">
        <v>1698</v>
      </c>
      <c r="F429" s="994">
        <v>-45087.4</v>
      </c>
      <c r="G429" s="989" t="s">
        <v>657</v>
      </c>
      <c r="H429" s="994">
        <v>-50268.41015625</v>
      </c>
      <c r="I429" s="994">
        <v>5181.009765625</v>
      </c>
      <c r="J429" s="994">
        <v>-45087.3984375</v>
      </c>
      <c r="K429" s="997">
        <v>-45087.4</v>
      </c>
    </row>
    <row r="430" spans="1:11" ht="22.5" x14ac:dyDescent="0.25">
      <c r="A430" s="989" t="s">
        <v>180</v>
      </c>
      <c r="B430" s="993">
        <v>2018</v>
      </c>
      <c r="C430" s="989" t="s">
        <v>2998</v>
      </c>
      <c r="D430" s="989" t="s">
        <v>348</v>
      </c>
      <c r="E430" s="989" t="s">
        <v>1699</v>
      </c>
      <c r="F430" s="994">
        <v>444871.95</v>
      </c>
      <c r="G430" s="989" t="s">
        <v>657</v>
      </c>
      <c r="H430" s="994">
        <v>436817.375</v>
      </c>
      <c r="I430" s="994">
        <v>8054.580078125</v>
      </c>
      <c r="J430" s="994">
        <v>444871.9375</v>
      </c>
      <c r="K430" s="997">
        <v>444871.95</v>
      </c>
    </row>
    <row r="431" spans="1:11" ht="45" x14ac:dyDescent="0.25">
      <c r="A431" s="989" t="s">
        <v>180</v>
      </c>
      <c r="B431" s="993">
        <v>2018</v>
      </c>
      <c r="C431" s="989" t="s">
        <v>2999</v>
      </c>
      <c r="D431" s="989" t="s">
        <v>659</v>
      </c>
      <c r="E431" s="989" t="s">
        <v>1700</v>
      </c>
      <c r="F431" s="994">
        <v>0</v>
      </c>
      <c r="G431" s="989" t="s">
        <v>657</v>
      </c>
      <c r="H431" s="996"/>
      <c r="I431" s="996"/>
      <c r="J431" s="994">
        <v>0</v>
      </c>
      <c r="K431" s="997">
        <v>0</v>
      </c>
    </row>
    <row r="432" spans="1:11" ht="45" x14ac:dyDescent="0.25">
      <c r="A432" s="989" t="s">
        <v>180</v>
      </c>
      <c r="B432" s="993">
        <v>2018</v>
      </c>
      <c r="C432" s="989" t="s">
        <v>2999</v>
      </c>
      <c r="D432" s="989" t="s">
        <v>660</v>
      </c>
      <c r="E432" s="989" t="s">
        <v>1701</v>
      </c>
      <c r="F432" s="994">
        <v>0</v>
      </c>
      <c r="G432" s="989" t="s">
        <v>657</v>
      </c>
      <c r="H432" s="996"/>
      <c r="I432" s="996"/>
      <c r="J432" s="994">
        <v>0</v>
      </c>
      <c r="K432" s="997">
        <v>0</v>
      </c>
    </row>
    <row r="433" spans="1:11" ht="45" x14ac:dyDescent="0.25">
      <c r="A433" s="989" t="s">
        <v>180</v>
      </c>
      <c r="B433" s="993">
        <v>2018</v>
      </c>
      <c r="C433" s="989" t="s">
        <v>2999</v>
      </c>
      <c r="D433" s="989" t="s">
        <v>661</v>
      </c>
      <c r="E433" s="989" t="s">
        <v>1702</v>
      </c>
      <c r="F433" s="994">
        <v>0</v>
      </c>
      <c r="G433" s="989" t="s">
        <v>657</v>
      </c>
      <c r="H433" s="996"/>
      <c r="I433" s="996"/>
      <c r="J433" s="994">
        <v>0</v>
      </c>
      <c r="K433" s="997">
        <v>0</v>
      </c>
    </row>
    <row r="434" spans="1:11" ht="45" x14ac:dyDescent="0.25">
      <c r="A434" s="989" t="s">
        <v>180</v>
      </c>
      <c r="B434" s="993">
        <v>2018</v>
      </c>
      <c r="C434" s="989" t="s">
        <v>2999</v>
      </c>
      <c r="D434" s="989" t="s">
        <v>662</v>
      </c>
      <c r="E434" s="989" t="s">
        <v>1703</v>
      </c>
      <c r="F434" s="994">
        <v>0</v>
      </c>
      <c r="G434" s="989" t="s">
        <v>657</v>
      </c>
      <c r="H434" s="996"/>
      <c r="I434" s="996"/>
      <c r="J434" s="994">
        <v>0</v>
      </c>
      <c r="K434" s="997">
        <v>0</v>
      </c>
    </row>
    <row r="435" spans="1:11" ht="45" x14ac:dyDescent="0.25">
      <c r="A435" s="989" t="s">
        <v>180</v>
      </c>
      <c r="B435" s="993">
        <v>2018</v>
      </c>
      <c r="C435" s="989" t="s">
        <v>2999</v>
      </c>
      <c r="D435" s="989" t="s">
        <v>663</v>
      </c>
      <c r="E435" s="989" t="s">
        <v>1704</v>
      </c>
      <c r="F435" s="994">
        <v>0</v>
      </c>
      <c r="G435" s="989" t="s">
        <v>657</v>
      </c>
      <c r="H435" s="996"/>
      <c r="I435" s="996"/>
      <c r="J435" s="994">
        <v>0</v>
      </c>
      <c r="K435" s="997">
        <v>0</v>
      </c>
    </row>
    <row r="436" spans="1:11" ht="45" x14ac:dyDescent="0.25">
      <c r="A436" s="989" t="s">
        <v>180</v>
      </c>
      <c r="B436" s="993">
        <v>2018</v>
      </c>
      <c r="C436" s="989" t="s">
        <v>2999</v>
      </c>
      <c r="D436" s="989" t="s">
        <v>664</v>
      </c>
      <c r="E436" s="989" t="s">
        <v>1705</v>
      </c>
      <c r="F436" s="994">
        <v>0</v>
      </c>
      <c r="G436" s="989" t="s">
        <v>657</v>
      </c>
      <c r="H436" s="996"/>
      <c r="I436" s="996"/>
      <c r="J436" s="994">
        <v>0</v>
      </c>
      <c r="K436" s="997">
        <v>0</v>
      </c>
    </row>
    <row r="437" spans="1:11" ht="45" x14ac:dyDescent="0.25">
      <c r="A437" s="989" t="s">
        <v>180</v>
      </c>
      <c r="B437" s="993">
        <v>2018</v>
      </c>
      <c r="C437" s="989" t="s">
        <v>2999</v>
      </c>
      <c r="D437" s="989" t="s">
        <v>665</v>
      </c>
      <c r="E437" s="989" t="s">
        <v>1706</v>
      </c>
      <c r="F437" s="994">
        <v>0</v>
      </c>
      <c r="G437" s="989" t="s">
        <v>657</v>
      </c>
      <c r="H437" s="996"/>
      <c r="I437" s="996"/>
      <c r="J437" s="994">
        <v>0</v>
      </c>
      <c r="K437" s="997">
        <v>0</v>
      </c>
    </row>
    <row r="438" spans="1:11" ht="45" x14ac:dyDescent="0.25">
      <c r="A438" s="989" t="s">
        <v>180</v>
      </c>
      <c r="B438" s="993">
        <v>2018</v>
      </c>
      <c r="C438" s="989" t="s">
        <v>2999</v>
      </c>
      <c r="D438" s="989" t="s">
        <v>1870</v>
      </c>
      <c r="E438" s="989" t="s">
        <v>2299</v>
      </c>
      <c r="F438" s="994">
        <v>0</v>
      </c>
      <c r="G438" s="989" t="s">
        <v>657</v>
      </c>
      <c r="H438" s="994">
        <v>-10116.6796875</v>
      </c>
      <c r="I438" s="994">
        <v>-853.75</v>
      </c>
      <c r="J438" s="994">
        <v>-10970.4296875</v>
      </c>
      <c r="K438" s="997">
        <v>-10970.43</v>
      </c>
    </row>
    <row r="439" spans="1:11" ht="45" x14ac:dyDescent="0.25">
      <c r="A439" s="989" t="s">
        <v>180</v>
      </c>
      <c r="B439" s="993">
        <v>2018</v>
      </c>
      <c r="C439" s="989" t="s">
        <v>2999</v>
      </c>
      <c r="D439" s="989" t="s">
        <v>2486</v>
      </c>
      <c r="E439" s="989" t="s">
        <v>2503</v>
      </c>
      <c r="F439" s="994">
        <v>0</v>
      </c>
      <c r="G439" s="989" t="s">
        <v>657</v>
      </c>
      <c r="H439" s="994">
        <v>-3275.86010742188</v>
      </c>
      <c r="I439" s="994">
        <v>-3</v>
      </c>
      <c r="J439" s="994">
        <v>-3278.86010742188</v>
      </c>
      <c r="K439" s="997">
        <v>-3278.86</v>
      </c>
    </row>
    <row r="440" spans="1:11" ht="45" x14ac:dyDescent="0.25">
      <c r="A440" s="989" t="s">
        <v>180</v>
      </c>
      <c r="B440" s="993">
        <v>2018</v>
      </c>
      <c r="C440" s="989" t="s">
        <v>2999</v>
      </c>
      <c r="D440" s="989" t="s">
        <v>4892</v>
      </c>
      <c r="E440" s="989" t="s">
        <v>5999</v>
      </c>
      <c r="F440" s="994">
        <v>0</v>
      </c>
      <c r="G440" s="989" t="s">
        <v>657</v>
      </c>
      <c r="H440" s="994">
        <v>-80515.4296875</v>
      </c>
      <c r="I440" s="994">
        <v>-20798.810546875</v>
      </c>
      <c r="J440" s="994">
        <v>-101314.2421875</v>
      </c>
      <c r="K440" s="997">
        <v>-101314.24000000001</v>
      </c>
    </row>
    <row r="441" spans="1:11" ht="45" x14ac:dyDescent="0.25">
      <c r="A441" s="989" t="s">
        <v>180</v>
      </c>
      <c r="B441" s="993">
        <v>2018</v>
      </c>
      <c r="C441" s="989" t="s">
        <v>2999</v>
      </c>
      <c r="D441" s="989" t="s">
        <v>666</v>
      </c>
      <c r="E441" s="989" t="s">
        <v>1707</v>
      </c>
      <c r="F441" s="994">
        <v>-115563.53</v>
      </c>
      <c r="G441" s="995"/>
      <c r="H441" s="996"/>
      <c r="I441" s="996"/>
      <c r="J441" s="994">
        <v>0</v>
      </c>
      <c r="K441" s="997">
        <v>-115563.53</v>
      </c>
    </row>
    <row r="442" spans="1:11" ht="22.5" x14ac:dyDescent="0.25">
      <c r="A442" s="989" t="s">
        <v>181</v>
      </c>
      <c r="B442" s="993">
        <v>2018</v>
      </c>
      <c r="C442" s="989" t="s">
        <v>2991</v>
      </c>
      <c r="D442" s="989" t="s">
        <v>49</v>
      </c>
      <c r="E442" s="989" t="s">
        <v>787</v>
      </c>
      <c r="F442" s="994">
        <v>0</v>
      </c>
      <c r="G442" s="989" t="s">
        <v>657</v>
      </c>
      <c r="H442" s="996"/>
      <c r="I442" s="996"/>
      <c r="J442" s="994">
        <v>0</v>
      </c>
      <c r="K442" s="997">
        <v>0</v>
      </c>
    </row>
    <row r="443" spans="1:11" ht="33.75" x14ac:dyDescent="0.25">
      <c r="A443" s="989" t="s">
        <v>181</v>
      </c>
      <c r="B443" s="993">
        <v>2018</v>
      </c>
      <c r="C443" s="989" t="s">
        <v>2992</v>
      </c>
      <c r="D443" s="989" t="s">
        <v>658</v>
      </c>
      <c r="E443" s="989" t="s">
        <v>788</v>
      </c>
      <c r="F443" s="994">
        <v>-248.72</v>
      </c>
      <c r="G443" s="989" t="s">
        <v>657</v>
      </c>
      <c r="H443" s="994">
        <v>-254.830001831055</v>
      </c>
      <c r="I443" s="994">
        <v>6.1100001335143999</v>
      </c>
      <c r="J443" s="994">
        <v>-248.72000122070301</v>
      </c>
      <c r="K443" s="997">
        <v>-248.72</v>
      </c>
    </row>
    <row r="444" spans="1:11" ht="22.5" x14ac:dyDescent="0.25">
      <c r="A444" s="989" t="s">
        <v>181</v>
      </c>
      <c r="B444" s="993">
        <v>2018</v>
      </c>
      <c r="C444" s="989" t="s">
        <v>2993</v>
      </c>
      <c r="D444" s="989" t="s">
        <v>464</v>
      </c>
      <c r="E444" s="989" t="s">
        <v>789</v>
      </c>
      <c r="F444" s="994">
        <v>9386.2199999999993</v>
      </c>
      <c r="G444" s="995"/>
      <c r="H444" s="996"/>
      <c r="I444" s="996"/>
      <c r="J444" s="994">
        <v>0</v>
      </c>
      <c r="K444" s="997">
        <v>9386.2199999999993</v>
      </c>
    </row>
    <row r="445" spans="1:11" ht="33.75" x14ac:dyDescent="0.25">
      <c r="A445" s="989" t="s">
        <v>181</v>
      </c>
      <c r="B445" s="993">
        <v>2018</v>
      </c>
      <c r="C445" s="989" t="s">
        <v>2994</v>
      </c>
      <c r="D445" s="989" t="s">
        <v>46</v>
      </c>
      <c r="E445" s="989" t="s">
        <v>790</v>
      </c>
      <c r="F445" s="994">
        <v>-236789.53</v>
      </c>
      <c r="G445" s="989" t="s">
        <v>657</v>
      </c>
      <c r="H445" s="994">
        <v>-236728.3125</v>
      </c>
      <c r="I445" s="994">
        <v>-61.209999084472699</v>
      </c>
      <c r="J445" s="994">
        <v>-236789.53125</v>
      </c>
      <c r="K445" s="997">
        <v>-236789.53</v>
      </c>
    </row>
    <row r="446" spans="1:11" ht="22.5" x14ac:dyDescent="0.25">
      <c r="A446" s="989" t="s">
        <v>181</v>
      </c>
      <c r="B446" s="993">
        <v>2018</v>
      </c>
      <c r="C446" s="989" t="s">
        <v>2994</v>
      </c>
      <c r="D446" s="989" t="s">
        <v>2482</v>
      </c>
      <c r="E446" s="989" t="s">
        <v>790</v>
      </c>
      <c r="F446" s="994">
        <v>0</v>
      </c>
      <c r="G446" s="995"/>
      <c r="H446" s="996"/>
      <c r="I446" s="996"/>
      <c r="J446" s="994">
        <v>0</v>
      </c>
      <c r="K446" s="997">
        <v>0</v>
      </c>
    </row>
    <row r="447" spans="1:11" ht="22.5" x14ac:dyDescent="0.25">
      <c r="A447" s="989" t="s">
        <v>181</v>
      </c>
      <c r="B447" s="993">
        <v>2018</v>
      </c>
      <c r="C447" s="989" t="s">
        <v>2994</v>
      </c>
      <c r="D447" s="989" t="s">
        <v>2483</v>
      </c>
      <c r="E447" s="989" t="s">
        <v>790</v>
      </c>
      <c r="F447" s="994">
        <v>0</v>
      </c>
      <c r="G447" s="995"/>
      <c r="H447" s="996"/>
      <c r="I447" s="996"/>
      <c r="J447" s="994">
        <v>0</v>
      </c>
      <c r="K447" s="997">
        <v>0</v>
      </c>
    </row>
    <row r="448" spans="1:11" ht="22.5" x14ac:dyDescent="0.25">
      <c r="A448" s="989" t="s">
        <v>181</v>
      </c>
      <c r="B448" s="993">
        <v>2018</v>
      </c>
      <c r="C448" s="989" t="s">
        <v>2994</v>
      </c>
      <c r="D448" s="989" t="s">
        <v>2484</v>
      </c>
      <c r="E448" s="989" t="s">
        <v>790</v>
      </c>
      <c r="F448" s="994">
        <v>-445.13</v>
      </c>
      <c r="G448" s="995"/>
      <c r="H448" s="996"/>
      <c r="I448" s="996"/>
      <c r="J448" s="994">
        <v>0</v>
      </c>
      <c r="K448" s="997">
        <v>-445.13</v>
      </c>
    </row>
    <row r="449" spans="1:11" ht="22.5" x14ac:dyDescent="0.25">
      <c r="A449" s="989" t="s">
        <v>181</v>
      </c>
      <c r="B449" s="993">
        <v>2018</v>
      </c>
      <c r="C449" s="989" t="s">
        <v>2994</v>
      </c>
      <c r="D449" s="989" t="s">
        <v>2485</v>
      </c>
      <c r="E449" s="989" t="s">
        <v>790</v>
      </c>
      <c r="F449" s="994">
        <v>-24580.66</v>
      </c>
      <c r="G449" s="995"/>
      <c r="H449" s="996"/>
      <c r="I449" s="996"/>
      <c r="J449" s="994">
        <v>0</v>
      </c>
      <c r="K449" s="997">
        <v>-24580.66</v>
      </c>
    </row>
    <row r="450" spans="1:11" ht="33.75" x14ac:dyDescent="0.25">
      <c r="A450" s="989" t="s">
        <v>181</v>
      </c>
      <c r="B450" s="993">
        <v>2018</v>
      </c>
      <c r="C450" s="989" t="s">
        <v>2995</v>
      </c>
      <c r="D450" s="989" t="s">
        <v>47</v>
      </c>
      <c r="E450" s="989" t="s">
        <v>791</v>
      </c>
      <c r="F450" s="994">
        <v>-1005.99</v>
      </c>
      <c r="G450" s="989" t="s">
        <v>657</v>
      </c>
      <c r="H450" s="994">
        <v>-1135.02001953125</v>
      </c>
      <c r="I450" s="994">
        <v>129.02999877929699</v>
      </c>
      <c r="J450" s="994">
        <v>-1005.98999023438</v>
      </c>
      <c r="K450" s="997">
        <v>-1005.99</v>
      </c>
    </row>
    <row r="451" spans="1:11" ht="33.75" x14ac:dyDescent="0.25">
      <c r="A451" s="989" t="s">
        <v>181</v>
      </c>
      <c r="B451" s="993">
        <v>2018</v>
      </c>
      <c r="C451" s="989" t="s">
        <v>2996</v>
      </c>
      <c r="D451" s="989" t="s">
        <v>48</v>
      </c>
      <c r="E451" s="989" t="s">
        <v>792</v>
      </c>
      <c r="F451" s="994">
        <v>5479.69</v>
      </c>
      <c r="G451" s="989" t="s">
        <v>657</v>
      </c>
      <c r="H451" s="994">
        <v>5399.419921875</v>
      </c>
      <c r="I451" s="994">
        <v>80.269996643066406</v>
      </c>
      <c r="J451" s="994">
        <v>5479.68994140625</v>
      </c>
      <c r="K451" s="997">
        <v>5479.69</v>
      </c>
    </row>
    <row r="452" spans="1:11" ht="33.75" x14ac:dyDescent="0.25">
      <c r="A452" s="989" t="s">
        <v>181</v>
      </c>
      <c r="B452" s="993">
        <v>2018</v>
      </c>
      <c r="C452" s="989" t="s">
        <v>2997</v>
      </c>
      <c r="D452" s="989" t="s">
        <v>50</v>
      </c>
      <c r="E452" s="989" t="s">
        <v>793</v>
      </c>
      <c r="F452" s="994">
        <v>133980.43</v>
      </c>
      <c r="G452" s="989" t="s">
        <v>657</v>
      </c>
      <c r="H452" s="994">
        <v>132624.625</v>
      </c>
      <c r="I452" s="994">
        <v>1355.80004882813</v>
      </c>
      <c r="J452" s="994">
        <v>133980.4375</v>
      </c>
      <c r="K452" s="997">
        <v>133980.43</v>
      </c>
    </row>
    <row r="453" spans="1:11" ht="22.5" x14ac:dyDescent="0.25">
      <c r="A453" s="989" t="s">
        <v>181</v>
      </c>
      <c r="B453" s="993">
        <v>2018</v>
      </c>
      <c r="C453" s="989" t="s">
        <v>2998</v>
      </c>
      <c r="D453" s="989" t="s">
        <v>348</v>
      </c>
      <c r="E453" s="989" t="s">
        <v>794</v>
      </c>
      <c r="F453" s="994">
        <v>-3493.62</v>
      </c>
      <c r="G453" s="989" t="s">
        <v>657</v>
      </c>
      <c r="H453" s="994">
        <v>-3531.59008789063</v>
      </c>
      <c r="I453" s="994">
        <v>37.970001220703097</v>
      </c>
      <c r="J453" s="994">
        <v>-3493.6201171875</v>
      </c>
      <c r="K453" s="997">
        <v>-3493.62</v>
      </c>
    </row>
    <row r="454" spans="1:11" ht="45" x14ac:dyDescent="0.25">
      <c r="A454" s="989" t="s">
        <v>181</v>
      </c>
      <c r="B454" s="993">
        <v>2018</v>
      </c>
      <c r="C454" s="989" t="s">
        <v>2999</v>
      </c>
      <c r="D454" s="989" t="s">
        <v>659</v>
      </c>
      <c r="E454" s="989" t="s">
        <v>1236</v>
      </c>
      <c r="F454" s="994">
        <v>0</v>
      </c>
      <c r="G454" s="989" t="s">
        <v>657</v>
      </c>
      <c r="H454" s="996"/>
      <c r="I454" s="996"/>
      <c r="J454" s="994">
        <v>0</v>
      </c>
      <c r="K454" s="997">
        <v>0</v>
      </c>
    </row>
    <row r="455" spans="1:11" ht="45" x14ac:dyDescent="0.25">
      <c r="A455" s="989" t="s">
        <v>181</v>
      </c>
      <c r="B455" s="993">
        <v>2018</v>
      </c>
      <c r="C455" s="989" t="s">
        <v>2999</v>
      </c>
      <c r="D455" s="989" t="s">
        <v>660</v>
      </c>
      <c r="E455" s="989" t="s">
        <v>1237</v>
      </c>
      <c r="F455" s="994">
        <v>0</v>
      </c>
      <c r="G455" s="989" t="s">
        <v>657</v>
      </c>
      <c r="H455" s="996"/>
      <c r="I455" s="996"/>
      <c r="J455" s="994">
        <v>0</v>
      </c>
      <c r="K455" s="997">
        <v>0</v>
      </c>
    </row>
    <row r="456" spans="1:11" ht="45" x14ac:dyDescent="0.25">
      <c r="A456" s="989" t="s">
        <v>181</v>
      </c>
      <c r="B456" s="993">
        <v>2018</v>
      </c>
      <c r="C456" s="989" t="s">
        <v>2999</v>
      </c>
      <c r="D456" s="989" t="s">
        <v>661</v>
      </c>
      <c r="E456" s="989" t="s">
        <v>1238</v>
      </c>
      <c r="F456" s="994">
        <v>0</v>
      </c>
      <c r="G456" s="989" t="s">
        <v>657</v>
      </c>
      <c r="H456" s="996"/>
      <c r="I456" s="996"/>
      <c r="J456" s="994">
        <v>0</v>
      </c>
      <c r="K456" s="997">
        <v>0</v>
      </c>
    </row>
    <row r="457" spans="1:11" ht="45" x14ac:dyDescent="0.25">
      <c r="A457" s="989" t="s">
        <v>181</v>
      </c>
      <c r="B457" s="993">
        <v>2018</v>
      </c>
      <c r="C457" s="989" t="s">
        <v>2999</v>
      </c>
      <c r="D457" s="989" t="s">
        <v>662</v>
      </c>
      <c r="E457" s="989" t="s">
        <v>1239</v>
      </c>
      <c r="F457" s="994">
        <v>0</v>
      </c>
      <c r="G457" s="989" t="s">
        <v>657</v>
      </c>
      <c r="H457" s="996"/>
      <c r="I457" s="996"/>
      <c r="J457" s="994">
        <v>0</v>
      </c>
      <c r="K457" s="997">
        <v>0</v>
      </c>
    </row>
    <row r="458" spans="1:11" ht="45" x14ac:dyDescent="0.25">
      <c r="A458" s="989" t="s">
        <v>181</v>
      </c>
      <c r="B458" s="993">
        <v>2018</v>
      </c>
      <c r="C458" s="989" t="s">
        <v>2999</v>
      </c>
      <c r="D458" s="989" t="s">
        <v>663</v>
      </c>
      <c r="E458" s="989" t="s">
        <v>1240</v>
      </c>
      <c r="F458" s="994">
        <v>0</v>
      </c>
      <c r="G458" s="989" t="s">
        <v>657</v>
      </c>
      <c r="H458" s="996"/>
      <c r="I458" s="996"/>
      <c r="J458" s="994">
        <v>0</v>
      </c>
      <c r="K458" s="997">
        <v>0</v>
      </c>
    </row>
    <row r="459" spans="1:11" ht="45" x14ac:dyDescent="0.25">
      <c r="A459" s="989" t="s">
        <v>181</v>
      </c>
      <c r="B459" s="993">
        <v>2018</v>
      </c>
      <c r="C459" s="989" t="s">
        <v>2999</v>
      </c>
      <c r="D459" s="989" t="s">
        <v>664</v>
      </c>
      <c r="E459" s="989" t="s">
        <v>1241</v>
      </c>
      <c r="F459" s="994">
        <v>0</v>
      </c>
      <c r="G459" s="989" t="s">
        <v>657</v>
      </c>
      <c r="H459" s="996"/>
      <c r="I459" s="996"/>
      <c r="J459" s="994">
        <v>0</v>
      </c>
      <c r="K459" s="997">
        <v>0</v>
      </c>
    </row>
    <row r="460" spans="1:11" ht="45" x14ac:dyDescent="0.25">
      <c r="A460" s="989" t="s">
        <v>181</v>
      </c>
      <c r="B460" s="993">
        <v>2018</v>
      </c>
      <c r="C460" s="989" t="s">
        <v>2999</v>
      </c>
      <c r="D460" s="989" t="s">
        <v>665</v>
      </c>
      <c r="E460" s="989" t="s">
        <v>1242</v>
      </c>
      <c r="F460" s="994">
        <v>0</v>
      </c>
      <c r="G460" s="989" t="s">
        <v>657</v>
      </c>
      <c r="H460" s="994">
        <v>-50798.03125</v>
      </c>
      <c r="I460" s="994">
        <v>-2524.89990234375</v>
      </c>
      <c r="J460" s="994">
        <v>-53322.9296875</v>
      </c>
      <c r="K460" s="997">
        <v>-53322.93</v>
      </c>
    </row>
    <row r="461" spans="1:11" ht="45" x14ac:dyDescent="0.25">
      <c r="A461" s="989" t="s">
        <v>181</v>
      </c>
      <c r="B461" s="993">
        <v>2018</v>
      </c>
      <c r="C461" s="989" t="s">
        <v>2999</v>
      </c>
      <c r="D461" s="989" t="s">
        <v>1870</v>
      </c>
      <c r="E461" s="989" t="s">
        <v>2300</v>
      </c>
      <c r="F461" s="994">
        <v>0</v>
      </c>
      <c r="G461" s="989" t="s">
        <v>657</v>
      </c>
      <c r="H461" s="994">
        <v>31500.310546875</v>
      </c>
      <c r="I461" s="994">
        <v>9311.66015625</v>
      </c>
      <c r="J461" s="994">
        <v>40811.96875</v>
      </c>
      <c r="K461" s="997">
        <v>40811.97</v>
      </c>
    </row>
    <row r="462" spans="1:11" ht="45" x14ac:dyDescent="0.25">
      <c r="A462" s="989" t="s">
        <v>181</v>
      </c>
      <c r="B462" s="993">
        <v>2018</v>
      </c>
      <c r="C462" s="989" t="s">
        <v>2999</v>
      </c>
      <c r="D462" s="989" t="s">
        <v>2486</v>
      </c>
      <c r="E462" s="989" t="s">
        <v>2504</v>
      </c>
      <c r="F462" s="994">
        <v>0</v>
      </c>
      <c r="G462" s="989" t="s">
        <v>657</v>
      </c>
      <c r="H462" s="994">
        <v>26176.58984375</v>
      </c>
      <c r="I462" s="994">
        <v>-3536.17993164063</v>
      </c>
      <c r="J462" s="994">
        <v>22640.41015625</v>
      </c>
      <c r="K462" s="997">
        <v>22640.41</v>
      </c>
    </row>
    <row r="463" spans="1:11" ht="45" x14ac:dyDescent="0.25">
      <c r="A463" s="989" t="s">
        <v>181</v>
      </c>
      <c r="B463" s="993">
        <v>2018</v>
      </c>
      <c r="C463" s="989" t="s">
        <v>2999</v>
      </c>
      <c r="D463" s="989" t="s">
        <v>4892</v>
      </c>
      <c r="E463" s="989" t="s">
        <v>6000</v>
      </c>
      <c r="F463" s="994">
        <v>0</v>
      </c>
      <c r="G463" s="989" t="s">
        <v>657</v>
      </c>
      <c r="H463" s="994">
        <v>-7950.72998046875</v>
      </c>
      <c r="I463" s="994">
        <v>-18541.83984375</v>
      </c>
      <c r="J463" s="994">
        <v>-26492.5703125</v>
      </c>
      <c r="K463" s="997">
        <v>-26492.57</v>
      </c>
    </row>
    <row r="464" spans="1:11" ht="45" x14ac:dyDescent="0.25">
      <c r="A464" s="989" t="s">
        <v>181</v>
      </c>
      <c r="B464" s="993">
        <v>2018</v>
      </c>
      <c r="C464" s="989" t="s">
        <v>2999</v>
      </c>
      <c r="D464" s="989" t="s">
        <v>666</v>
      </c>
      <c r="E464" s="989" t="s">
        <v>1552</v>
      </c>
      <c r="F464" s="994">
        <v>-16363.12</v>
      </c>
      <c r="G464" s="995"/>
      <c r="H464" s="996"/>
      <c r="I464" s="996"/>
      <c r="J464" s="994">
        <v>0</v>
      </c>
      <c r="K464" s="997">
        <v>-16363.12</v>
      </c>
    </row>
    <row r="465" spans="1:11" x14ac:dyDescent="0.25">
      <c r="A465" s="989" t="s">
        <v>164</v>
      </c>
      <c r="B465" s="993">
        <v>2018</v>
      </c>
      <c r="C465" s="989" t="s">
        <v>2991</v>
      </c>
      <c r="D465" s="989" t="s">
        <v>49</v>
      </c>
      <c r="E465" s="989" t="s">
        <v>795</v>
      </c>
      <c r="F465" s="994">
        <v>370601.57</v>
      </c>
      <c r="G465" s="989" t="s">
        <v>657</v>
      </c>
      <c r="H465" s="994">
        <v>366019.875</v>
      </c>
      <c r="I465" s="994">
        <v>4581.7099609375</v>
      </c>
      <c r="J465" s="994">
        <v>370601.5625</v>
      </c>
      <c r="K465" s="997">
        <v>370601.57</v>
      </c>
    </row>
    <row r="466" spans="1:11" ht="33.75" x14ac:dyDescent="0.25">
      <c r="A466" s="989" t="s">
        <v>164</v>
      </c>
      <c r="B466" s="993">
        <v>2018</v>
      </c>
      <c r="C466" s="989" t="s">
        <v>2992</v>
      </c>
      <c r="D466" s="989" t="s">
        <v>658</v>
      </c>
      <c r="E466" s="989" t="s">
        <v>796</v>
      </c>
      <c r="F466" s="994">
        <v>-19904.919999999998</v>
      </c>
      <c r="G466" s="989" t="s">
        <v>657</v>
      </c>
      <c r="H466" s="994">
        <v>-19603.990234375</v>
      </c>
      <c r="I466" s="994">
        <v>-300.92999267578102</v>
      </c>
      <c r="J466" s="994">
        <v>-19904.919921875</v>
      </c>
      <c r="K466" s="997">
        <v>-19904.919999999998</v>
      </c>
    </row>
    <row r="467" spans="1:11" ht="22.5" x14ac:dyDescent="0.25">
      <c r="A467" s="989" t="s">
        <v>164</v>
      </c>
      <c r="B467" s="993">
        <v>2018</v>
      </c>
      <c r="C467" s="989" t="s">
        <v>2993</v>
      </c>
      <c r="D467" s="989" t="s">
        <v>464</v>
      </c>
      <c r="E467" s="989" t="s">
        <v>797</v>
      </c>
      <c r="F467" s="994">
        <v>684003.76</v>
      </c>
      <c r="G467" s="995"/>
      <c r="H467" s="996"/>
      <c r="I467" s="996"/>
      <c r="J467" s="994">
        <v>0</v>
      </c>
      <c r="K467" s="997">
        <v>684003.76</v>
      </c>
    </row>
    <row r="468" spans="1:11" ht="33.75" x14ac:dyDescent="0.25">
      <c r="A468" s="989" t="s">
        <v>164</v>
      </c>
      <c r="B468" s="993">
        <v>2018</v>
      </c>
      <c r="C468" s="989" t="s">
        <v>2994</v>
      </c>
      <c r="D468" s="989" t="s">
        <v>46</v>
      </c>
      <c r="E468" s="989" t="s">
        <v>798</v>
      </c>
      <c r="F468" s="994">
        <v>-1832448.98</v>
      </c>
      <c r="G468" s="989" t="s">
        <v>657</v>
      </c>
      <c r="H468" s="994">
        <v>-1805786.75</v>
      </c>
      <c r="I468" s="994">
        <v>-26662.19921875</v>
      </c>
      <c r="J468" s="994">
        <v>-1832449</v>
      </c>
      <c r="K468" s="997">
        <v>-1832448.98</v>
      </c>
    </row>
    <row r="469" spans="1:11" ht="22.5" x14ac:dyDescent="0.25">
      <c r="A469" s="989" t="s">
        <v>164</v>
      </c>
      <c r="B469" s="993">
        <v>2018</v>
      </c>
      <c r="C469" s="989" t="s">
        <v>2994</v>
      </c>
      <c r="D469" s="989" t="s">
        <v>2482</v>
      </c>
      <c r="E469" s="989" t="s">
        <v>798</v>
      </c>
      <c r="F469" s="994">
        <v>-3.43</v>
      </c>
      <c r="G469" s="995"/>
      <c r="H469" s="996"/>
      <c r="I469" s="996"/>
      <c r="J469" s="994">
        <v>0</v>
      </c>
      <c r="K469" s="997">
        <v>-3.43</v>
      </c>
    </row>
    <row r="470" spans="1:11" ht="22.5" x14ac:dyDescent="0.25">
      <c r="A470" s="989" t="s">
        <v>164</v>
      </c>
      <c r="B470" s="993">
        <v>2018</v>
      </c>
      <c r="C470" s="989" t="s">
        <v>2994</v>
      </c>
      <c r="D470" s="989" t="s">
        <v>2483</v>
      </c>
      <c r="E470" s="989" t="s">
        <v>798</v>
      </c>
      <c r="F470" s="994">
        <v>-1159.27</v>
      </c>
      <c r="G470" s="995"/>
      <c r="H470" s="996"/>
      <c r="I470" s="996"/>
      <c r="J470" s="994">
        <v>0</v>
      </c>
      <c r="K470" s="997">
        <v>-1159.27</v>
      </c>
    </row>
    <row r="471" spans="1:11" ht="22.5" x14ac:dyDescent="0.25">
      <c r="A471" s="989" t="s">
        <v>164</v>
      </c>
      <c r="B471" s="993">
        <v>2018</v>
      </c>
      <c r="C471" s="989" t="s">
        <v>2994</v>
      </c>
      <c r="D471" s="989" t="s">
        <v>2484</v>
      </c>
      <c r="E471" s="989" t="s">
        <v>798</v>
      </c>
      <c r="F471" s="994">
        <v>-1250.4100000000001</v>
      </c>
      <c r="G471" s="995"/>
      <c r="H471" s="996"/>
      <c r="I471" s="996"/>
      <c r="J471" s="994">
        <v>0</v>
      </c>
      <c r="K471" s="997">
        <v>-1250.4100000000001</v>
      </c>
    </row>
    <row r="472" spans="1:11" ht="22.5" x14ac:dyDescent="0.25">
      <c r="A472" s="989" t="s">
        <v>164</v>
      </c>
      <c r="B472" s="993">
        <v>2018</v>
      </c>
      <c r="C472" s="989" t="s">
        <v>2994</v>
      </c>
      <c r="D472" s="989" t="s">
        <v>2485</v>
      </c>
      <c r="E472" s="989" t="s">
        <v>798</v>
      </c>
      <c r="F472" s="994">
        <v>-131929.60999999999</v>
      </c>
      <c r="G472" s="995"/>
      <c r="H472" s="996"/>
      <c r="I472" s="996"/>
      <c r="J472" s="994">
        <v>0</v>
      </c>
      <c r="K472" s="997">
        <v>-131929.60999999999</v>
      </c>
    </row>
    <row r="473" spans="1:11" ht="33.75" x14ac:dyDescent="0.25">
      <c r="A473" s="989" t="s">
        <v>164</v>
      </c>
      <c r="B473" s="993">
        <v>2018</v>
      </c>
      <c r="C473" s="989" t="s">
        <v>2995</v>
      </c>
      <c r="D473" s="989" t="s">
        <v>47</v>
      </c>
      <c r="E473" s="989" t="s">
        <v>799</v>
      </c>
      <c r="F473" s="994">
        <v>-169933.44</v>
      </c>
      <c r="G473" s="989" t="s">
        <v>657</v>
      </c>
      <c r="H473" s="994">
        <v>-169796.921875</v>
      </c>
      <c r="I473" s="994">
        <v>-136.52000427246099</v>
      </c>
      <c r="J473" s="994">
        <v>-169933.4375</v>
      </c>
      <c r="K473" s="997">
        <v>-169933.44</v>
      </c>
    </row>
    <row r="474" spans="1:11" ht="33.75" x14ac:dyDescent="0.25">
      <c r="A474" s="989" t="s">
        <v>164</v>
      </c>
      <c r="B474" s="993">
        <v>2018</v>
      </c>
      <c r="C474" s="989" t="s">
        <v>2996</v>
      </c>
      <c r="D474" s="989" t="s">
        <v>48</v>
      </c>
      <c r="E474" s="989" t="s">
        <v>800</v>
      </c>
      <c r="F474" s="994">
        <v>157821.73000000001</v>
      </c>
      <c r="G474" s="989" t="s">
        <v>657</v>
      </c>
      <c r="H474" s="994">
        <v>150151.375</v>
      </c>
      <c r="I474" s="994">
        <v>7670.35009765625</v>
      </c>
      <c r="J474" s="994">
        <v>157821.734375</v>
      </c>
      <c r="K474" s="997">
        <v>157821.73000000001</v>
      </c>
    </row>
    <row r="475" spans="1:11" ht="33.75" x14ac:dyDescent="0.25">
      <c r="A475" s="989" t="s">
        <v>164</v>
      </c>
      <c r="B475" s="993">
        <v>2018</v>
      </c>
      <c r="C475" s="989" t="s">
        <v>2997</v>
      </c>
      <c r="D475" s="989" t="s">
        <v>50</v>
      </c>
      <c r="E475" s="989" t="s">
        <v>801</v>
      </c>
      <c r="F475" s="994">
        <v>-427417.17</v>
      </c>
      <c r="G475" s="989" t="s">
        <v>657</v>
      </c>
      <c r="H475" s="994">
        <v>-425529.125</v>
      </c>
      <c r="I475" s="994">
        <v>-1888.03002929688</v>
      </c>
      <c r="J475" s="994">
        <v>-427417.15625</v>
      </c>
      <c r="K475" s="997">
        <v>-427417.17</v>
      </c>
    </row>
    <row r="476" spans="1:11" ht="22.5" x14ac:dyDescent="0.25">
      <c r="A476" s="989" t="s">
        <v>164</v>
      </c>
      <c r="B476" s="993">
        <v>2018</v>
      </c>
      <c r="C476" s="989" t="s">
        <v>2998</v>
      </c>
      <c r="D476" s="989" t="s">
        <v>348</v>
      </c>
      <c r="E476" s="989" t="s">
        <v>802</v>
      </c>
      <c r="F476" s="994">
        <v>-366002.55</v>
      </c>
      <c r="G476" s="989" t="s">
        <v>657</v>
      </c>
      <c r="H476" s="994">
        <v>-372515</v>
      </c>
      <c r="I476" s="994">
        <v>6512.4599609375</v>
      </c>
      <c r="J476" s="994">
        <v>-366002.5625</v>
      </c>
      <c r="K476" s="997">
        <v>-366002.55</v>
      </c>
    </row>
    <row r="477" spans="1:11" ht="45" x14ac:dyDescent="0.25">
      <c r="A477" s="989" t="s">
        <v>164</v>
      </c>
      <c r="B477" s="993">
        <v>2018</v>
      </c>
      <c r="C477" s="989" t="s">
        <v>2999</v>
      </c>
      <c r="D477" s="989" t="s">
        <v>659</v>
      </c>
      <c r="E477" s="989" t="s">
        <v>1243</v>
      </c>
      <c r="F477" s="994">
        <v>0</v>
      </c>
      <c r="G477" s="989" t="s">
        <v>657</v>
      </c>
      <c r="H477" s="996"/>
      <c r="I477" s="996"/>
      <c r="J477" s="994">
        <v>0</v>
      </c>
      <c r="K477" s="997">
        <v>0</v>
      </c>
    </row>
    <row r="478" spans="1:11" ht="45" x14ac:dyDescent="0.25">
      <c r="A478" s="989" t="s">
        <v>164</v>
      </c>
      <c r="B478" s="993">
        <v>2018</v>
      </c>
      <c r="C478" s="989" t="s">
        <v>2999</v>
      </c>
      <c r="D478" s="989" t="s">
        <v>660</v>
      </c>
      <c r="E478" s="989" t="s">
        <v>1244</v>
      </c>
      <c r="F478" s="994">
        <v>0</v>
      </c>
      <c r="G478" s="989" t="s">
        <v>657</v>
      </c>
      <c r="H478" s="996"/>
      <c r="I478" s="996"/>
      <c r="J478" s="994">
        <v>0</v>
      </c>
      <c r="K478" s="997">
        <v>0</v>
      </c>
    </row>
    <row r="479" spans="1:11" ht="45" x14ac:dyDescent="0.25">
      <c r="A479" s="989" t="s">
        <v>164</v>
      </c>
      <c r="B479" s="993">
        <v>2018</v>
      </c>
      <c r="C479" s="989" t="s">
        <v>2999</v>
      </c>
      <c r="D479" s="989" t="s">
        <v>661</v>
      </c>
      <c r="E479" s="989" t="s">
        <v>1245</v>
      </c>
      <c r="F479" s="994">
        <v>0</v>
      </c>
      <c r="G479" s="989" t="s">
        <v>657</v>
      </c>
      <c r="H479" s="996"/>
      <c r="I479" s="996"/>
      <c r="J479" s="994">
        <v>0</v>
      </c>
      <c r="K479" s="997">
        <v>0</v>
      </c>
    </row>
    <row r="480" spans="1:11" ht="45" x14ac:dyDescent="0.25">
      <c r="A480" s="989" t="s">
        <v>164</v>
      </c>
      <c r="B480" s="993">
        <v>2018</v>
      </c>
      <c r="C480" s="989" t="s">
        <v>2999</v>
      </c>
      <c r="D480" s="989" t="s">
        <v>662</v>
      </c>
      <c r="E480" s="989" t="s">
        <v>1246</v>
      </c>
      <c r="F480" s="994">
        <v>0</v>
      </c>
      <c r="G480" s="989" t="s">
        <v>657</v>
      </c>
      <c r="H480" s="996"/>
      <c r="I480" s="996"/>
      <c r="J480" s="994">
        <v>0</v>
      </c>
      <c r="K480" s="997">
        <v>0</v>
      </c>
    </row>
    <row r="481" spans="1:11" ht="45" x14ac:dyDescent="0.25">
      <c r="A481" s="989" t="s">
        <v>164</v>
      </c>
      <c r="B481" s="993">
        <v>2018</v>
      </c>
      <c r="C481" s="989" t="s">
        <v>2999</v>
      </c>
      <c r="D481" s="989" t="s">
        <v>663</v>
      </c>
      <c r="E481" s="989" t="s">
        <v>1247</v>
      </c>
      <c r="F481" s="994">
        <v>0</v>
      </c>
      <c r="G481" s="989" t="s">
        <v>657</v>
      </c>
      <c r="H481" s="996"/>
      <c r="I481" s="996"/>
      <c r="J481" s="994">
        <v>0</v>
      </c>
      <c r="K481" s="997">
        <v>0</v>
      </c>
    </row>
    <row r="482" spans="1:11" ht="45" x14ac:dyDescent="0.25">
      <c r="A482" s="989" t="s">
        <v>164</v>
      </c>
      <c r="B482" s="993">
        <v>2018</v>
      </c>
      <c r="C482" s="989" t="s">
        <v>2999</v>
      </c>
      <c r="D482" s="989" t="s">
        <v>664</v>
      </c>
      <c r="E482" s="989" t="s">
        <v>1248</v>
      </c>
      <c r="F482" s="994">
        <v>0</v>
      </c>
      <c r="G482" s="989" t="s">
        <v>657</v>
      </c>
      <c r="H482" s="994">
        <v>-125093.46875</v>
      </c>
      <c r="I482" s="994">
        <v>-70320.3203125</v>
      </c>
      <c r="J482" s="994">
        <v>-195413.796875</v>
      </c>
      <c r="K482" s="997">
        <v>-195413.79</v>
      </c>
    </row>
    <row r="483" spans="1:11" ht="45" x14ac:dyDescent="0.25">
      <c r="A483" s="989" t="s">
        <v>164</v>
      </c>
      <c r="B483" s="993">
        <v>2018</v>
      </c>
      <c r="C483" s="989" t="s">
        <v>2999</v>
      </c>
      <c r="D483" s="989" t="s">
        <v>665</v>
      </c>
      <c r="E483" s="989" t="s">
        <v>1249</v>
      </c>
      <c r="F483" s="994">
        <v>0</v>
      </c>
      <c r="G483" s="989" t="s">
        <v>657</v>
      </c>
      <c r="H483" s="996"/>
      <c r="I483" s="996"/>
      <c r="J483" s="994">
        <v>0</v>
      </c>
      <c r="K483" s="997">
        <v>0</v>
      </c>
    </row>
    <row r="484" spans="1:11" ht="45" x14ac:dyDescent="0.25">
      <c r="A484" s="989" t="s">
        <v>164</v>
      </c>
      <c r="B484" s="993">
        <v>2018</v>
      </c>
      <c r="C484" s="989" t="s">
        <v>2999</v>
      </c>
      <c r="D484" s="989" t="s">
        <v>1870</v>
      </c>
      <c r="E484" s="989" t="s">
        <v>2301</v>
      </c>
      <c r="F484" s="994">
        <v>0</v>
      </c>
      <c r="G484" s="989" t="s">
        <v>657</v>
      </c>
      <c r="H484" s="996"/>
      <c r="I484" s="996"/>
      <c r="J484" s="994">
        <v>0</v>
      </c>
      <c r="K484" s="997">
        <v>0</v>
      </c>
    </row>
    <row r="485" spans="1:11" ht="45" x14ac:dyDescent="0.25">
      <c r="A485" s="989" t="s">
        <v>164</v>
      </c>
      <c r="B485" s="993">
        <v>2018</v>
      </c>
      <c r="C485" s="989" t="s">
        <v>2999</v>
      </c>
      <c r="D485" s="989" t="s">
        <v>2486</v>
      </c>
      <c r="E485" s="989" t="s">
        <v>2505</v>
      </c>
      <c r="F485" s="994">
        <v>0</v>
      </c>
      <c r="G485" s="989" t="s">
        <v>657</v>
      </c>
      <c r="H485" s="994">
        <v>68110.1015625</v>
      </c>
      <c r="I485" s="994">
        <v>6334.5</v>
      </c>
      <c r="J485" s="994">
        <v>74444.6015625</v>
      </c>
      <c r="K485" s="997">
        <v>74444.600000000006</v>
      </c>
    </row>
    <row r="486" spans="1:11" ht="45" x14ac:dyDescent="0.25">
      <c r="A486" s="989" t="s">
        <v>164</v>
      </c>
      <c r="B486" s="993">
        <v>2018</v>
      </c>
      <c r="C486" s="989" t="s">
        <v>2999</v>
      </c>
      <c r="D486" s="989" t="s">
        <v>4892</v>
      </c>
      <c r="E486" s="989" t="s">
        <v>6001</v>
      </c>
      <c r="F486" s="994">
        <v>0</v>
      </c>
      <c r="G486" s="989" t="s">
        <v>657</v>
      </c>
      <c r="H486" s="994">
        <v>-634390.5</v>
      </c>
      <c r="I486" s="994">
        <v>-10105.650390625</v>
      </c>
      <c r="J486" s="994">
        <v>-644496.125</v>
      </c>
      <c r="K486" s="997">
        <v>-644496.14</v>
      </c>
    </row>
    <row r="487" spans="1:11" ht="45" x14ac:dyDescent="0.25">
      <c r="A487" s="989" t="s">
        <v>164</v>
      </c>
      <c r="B487" s="993">
        <v>2018</v>
      </c>
      <c r="C487" s="989" t="s">
        <v>2999</v>
      </c>
      <c r="D487" s="989" t="s">
        <v>666</v>
      </c>
      <c r="E487" s="989" t="s">
        <v>1553</v>
      </c>
      <c r="F487" s="994">
        <v>-765465.33</v>
      </c>
      <c r="G487" s="995"/>
      <c r="H487" s="996"/>
      <c r="I487" s="996"/>
      <c r="J487" s="994">
        <v>0</v>
      </c>
      <c r="K487" s="997">
        <v>-765465.33</v>
      </c>
    </row>
    <row r="488" spans="1:11" x14ac:dyDescent="0.25">
      <c r="A488" s="989" t="s">
        <v>625</v>
      </c>
      <c r="B488" s="993">
        <v>2018</v>
      </c>
      <c r="C488" s="989" t="s">
        <v>2991</v>
      </c>
      <c r="D488" s="989" t="s">
        <v>49</v>
      </c>
      <c r="E488" s="989" t="s">
        <v>803</v>
      </c>
      <c r="F488" s="994">
        <v>240984.31</v>
      </c>
      <c r="G488" s="989" t="s">
        <v>657</v>
      </c>
      <c r="H488" s="994">
        <v>237385.125</v>
      </c>
      <c r="I488" s="994">
        <v>3599.17993164063</v>
      </c>
      <c r="J488" s="994">
        <v>240984.3125</v>
      </c>
      <c r="K488" s="997">
        <v>240984.31</v>
      </c>
    </row>
    <row r="489" spans="1:11" ht="33.75" x14ac:dyDescent="0.25">
      <c r="A489" s="989" t="s">
        <v>625</v>
      </c>
      <c r="B489" s="993">
        <v>2018</v>
      </c>
      <c r="C489" s="989" t="s">
        <v>2992</v>
      </c>
      <c r="D489" s="989" t="s">
        <v>658</v>
      </c>
      <c r="E489" s="989" t="s">
        <v>804</v>
      </c>
      <c r="F489" s="994">
        <v>-3747.62</v>
      </c>
      <c r="G489" s="989" t="s">
        <v>657</v>
      </c>
      <c r="H489" s="994">
        <v>-3681.830078125</v>
      </c>
      <c r="I489" s="994">
        <v>-65.790000915527301</v>
      </c>
      <c r="J489" s="994">
        <v>-3747.6201171875</v>
      </c>
      <c r="K489" s="997">
        <v>-3747.62</v>
      </c>
    </row>
    <row r="490" spans="1:11" ht="22.5" x14ac:dyDescent="0.25">
      <c r="A490" s="989" t="s">
        <v>625</v>
      </c>
      <c r="B490" s="993">
        <v>2018</v>
      </c>
      <c r="C490" s="989" t="s">
        <v>2993</v>
      </c>
      <c r="D490" s="989" t="s">
        <v>464</v>
      </c>
      <c r="E490" s="989" t="s">
        <v>805</v>
      </c>
      <c r="F490" s="994">
        <v>64571.37</v>
      </c>
      <c r="G490" s="995"/>
      <c r="H490" s="996"/>
      <c r="I490" s="996"/>
      <c r="J490" s="994">
        <v>0</v>
      </c>
      <c r="K490" s="997">
        <v>64571.37</v>
      </c>
    </row>
    <row r="491" spans="1:11" ht="33.75" x14ac:dyDescent="0.25">
      <c r="A491" s="989" t="s">
        <v>625</v>
      </c>
      <c r="B491" s="993">
        <v>2018</v>
      </c>
      <c r="C491" s="989" t="s">
        <v>2994</v>
      </c>
      <c r="D491" s="989" t="s">
        <v>46</v>
      </c>
      <c r="E491" s="989" t="s">
        <v>806</v>
      </c>
      <c r="F491" s="994">
        <v>-313745.09999999998</v>
      </c>
      <c r="G491" s="989" t="s">
        <v>657</v>
      </c>
      <c r="H491" s="994">
        <v>-309635.125</v>
      </c>
      <c r="I491" s="994">
        <v>-4109.990234375</v>
      </c>
      <c r="J491" s="994">
        <v>-313745.09375</v>
      </c>
      <c r="K491" s="997">
        <v>-313745.09999999998</v>
      </c>
    </row>
    <row r="492" spans="1:11" ht="22.5" x14ac:dyDescent="0.25">
      <c r="A492" s="989" t="s">
        <v>625</v>
      </c>
      <c r="B492" s="993">
        <v>2018</v>
      </c>
      <c r="C492" s="989" t="s">
        <v>2994</v>
      </c>
      <c r="D492" s="989" t="s">
        <v>2482</v>
      </c>
      <c r="E492" s="989" t="s">
        <v>806</v>
      </c>
      <c r="F492" s="994">
        <v>0</v>
      </c>
      <c r="G492" s="995"/>
      <c r="H492" s="996"/>
      <c r="I492" s="996"/>
      <c r="J492" s="994">
        <v>0</v>
      </c>
      <c r="K492" s="997">
        <v>0</v>
      </c>
    </row>
    <row r="493" spans="1:11" ht="22.5" x14ac:dyDescent="0.25">
      <c r="A493" s="989" t="s">
        <v>625</v>
      </c>
      <c r="B493" s="993">
        <v>2018</v>
      </c>
      <c r="C493" s="989" t="s">
        <v>2994</v>
      </c>
      <c r="D493" s="989" t="s">
        <v>2483</v>
      </c>
      <c r="E493" s="989" t="s">
        <v>806</v>
      </c>
      <c r="F493" s="994">
        <v>0</v>
      </c>
      <c r="G493" s="995"/>
      <c r="H493" s="996"/>
      <c r="I493" s="996"/>
      <c r="J493" s="994">
        <v>0</v>
      </c>
      <c r="K493" s="997">
        <v>0</v>
      </c>
    </row>
    <row r="494" spans="1:11" ht="22.5" x14ac:dyDescent="0.25">
      <c r="A494" s="989" t="s">
        <v>625</v>
      </c>
      <c r="B494" s="993">
        <v>2018</v>
      </c>
      <c r="C494" s="989" t="s">
        <v>2994</v>
      </c>
      <c r="D494" s="989" t="s">
        <v>2484</v>
      </c>
      <c r="E494" s="989" t="s">
        <v>806</v>
      </c>
      <c r="F494" s="994">
        <v>-128.69</v>
      </c>
      <c r="G494" s="995"/>
      <c r="H494" s="996"/>
      <c r="I494" s="996"/>
      <c r="J494" s="994">
        <v>0</v>
      </c>
      <c r="K494" s="997">
        <v>-128.69</v>
      </c>
    </row>
    <row r="495" spans="1:11" ht="22.5" x14ac:dyDescent="0.25">
      <c r="A495" s="989" t="s">
        <v>625</v>
      </c>
      <c r="B495" s="993">
        <v>2018</v>
      </c>
      <c r="C495" s="989" t="s">
        <v>2994</v>
      </c>
      <c r="D495" s="989" t="s">
        <v>2485</v>
      </c>
      <c r="E495" s="989" t="s">
        <v>806</v>
      </c>
      <c r="F495" s="994">
        <v>-8970.76</v>
      </c>
      <c r="G495" s="995"/>
      <c r="H495" s="996"/>
      <c r="I495" s="996"/>
      <c r="J495" s="994">
        <v>0</v>
      </c>
      <c r="K495" s="997">
        <v>-8970.76</v>
      </c>
    </row>
    <row r="496" spans="1:11" ht="33.75" x14ac:dyDescent="0.25">
      <c r="A496" s="989" t="s">
        <v>625</v>
      </c>
      <c r="B496" s="993">
        <v>2018</v>
      </c>
      <c r="C496" s="989" t="s">
        <v>2995</v>
      </c>
      <c r="D496" s="989" t="s">
        <v>47</v>
      </c>
      <c r="E496" s="989" t="s">
        <v>807</v>
      </c>
      <c r="F496" s="994">
        <v>425393.53</v>
      </c>
      <c r="G496" s="989" t="s">
        <v>657</v>
      </c>
      <c r="H496" s="994">
        <v>421884.65625</v>
      </c>
      <c r="I496" s="994">
        <v>3508.86010742188</v>
      </c>
      <c r="J496" s="994">
        <v>425393.53125</v>
      </c>
      <c r="K496" s="997">
        <v>425393.53</v>
      </c>
    </row>
    <row r="497" spans="1:11" ht="33.75" x14ac:dyDescent="0.25">
      <c r="A497" s="989" t="s">
        <v>625</v>
      </c>
      <c r="B497" s="993">
        <v>2018</v>
      </c>
      <c r="C497" s="989" t="s">
        <v>2996</v>
      </c>
      <c r="D497" s="989" t="s">
        <v>48</v>
      </c>
      <c r="E497" s="989" t="s">
        <v>808</v>
      </c>
      <c r="F497" s="994">
        <v>112040.68</v>
      </c>
      <c r="G497" s="989" t="s">
        <v>657</v>
      </c>
      <c r="H497" s="994">
        <v>111507.7578125</v>
      </c>
      <c r="I497" s="994">
        <v>532.91998291015602</v>
      </c>
      <c r="J497" s="994">
        <v>112040.6796875</v>
      </c>
      <c r="K497" s="997">
        <v>112040.68</v>
      </c>
    </row>
    <row r="498" spans="1:11" ht="33.75" x14ac:dyDescent="0.25">
      <c r="A498" s="989" t="s">
        <v>625</v>
      </c>
      <c r="B498" s="993">
        <v>2018</v>
      </c>
      <c r="C498" s="989" t="s">
        <v>2997</v>
      </c>
      <c r="D498" s="989" t="s">
        <v>50</v>
      </c>
      <c r="E498" s="989" t="s">
        <v>809</v>
      </c>
      <c r="F498" s="994">
        <v>169237.94</v>
      </c>
      <c r="G498" s="989" t="s">
        <v>657</v>
      </c>
      <c r="H498" s="994">
        <v>164251.921875</v>
      </c>
      <c r="I498" s="994">
        <v>4986.02001953125</v>
      </c>
      <c r="J498" s="994">
        <v>169237.9375</v>
      </c>
      <c r="K498" s="997">
        <v>169237.94</v>
      </c>
    </row>
    <row r="499" spans="1:11" ht="22.5" x14ac:dyDescent="0.25">
      <c r="A499" s="989" t="s">
        <v>625</v>
      </c>
      <c r="B499" s="993">
        <v>2018</v>
      </c>
      <c r="C499" s="989" t="s">
        <v>2998</v>
      </c>
      <c r="D499" s="989" t="s">
        <v>348</v>
      </c>
      <c r="E499" s="989" t="s">
        <v>810</v>
      </c>
      <c r="F499" s="994">
        <v>220361.37</v>
      </c>
      <c r="G499" s="989" t="s">
        <v>657</v>
      </c>
      <c r="H499" s="994">
        <v>219095.96875</v>
      </c>
      <c r="I499" s="994">
        <v>1265.40002441406</v>
      </c>
      <c r="J499" s="994">
        <v>220361.375</v>
      </c>
      <c r="K499" s="997">
        <v>220361.37</v>
      </c>
    </row>
    <row r="500" spans="1:11" ht="45" x14ac:dyDescent="0.25">
      <c r="A500" s="989" t="s">
        <v>625</v>
      </c>
      <c r="B500" s="993">
        <v>2018</v>
      </c>
      <c r="C500" s="989" t="s">
        <v>2999</v>
      </c>
      <c r="D500" s="989" t="s">
        <v>659</v>
      </c>
      <c r="E500" s="989" t="s">
        <v>1250</v>
      </c>
      <c r="F500" s="994">
        <v>0</v>
      </c>
      <c r="G500" s="989" t="s">
        <v>657</v>
      </c>
      <c r="H500" s="996"/>
      <c r="I500" s="996"/>
      <c r="J500" s="994">
        <v>0</v>
      </c>
      <c r="K500" s="997">
        <v>0</v>
      </c>
    </row>
    <row r="501" spans="1:11" ht="45" x14ac:dyDescent="0.25">
      <c r="A501" s="989" t="s">
        <v>625</v>
      </c>
      <c r="B501" s="993">
        <v>2018</v>
      </c>
      <c r="C501" s="989" t="s">
        <v>2999</v>
      </c>
      <c r="D501" s="989" t="s">
        <v>660</v>
      </c>
      <c r="E501" s="989" t="s">
        <v>1251</v>
      </c>
      <c r="F501" s="994">
        <v>0</v>
      </c>
      <c r="G501" s="989" t="s">
        <v>657</v>
      </c>
      <c r="H501" s="996"/>
      <c r="I501" s="996"/>
      <c r="J501" s="994">
        <v>0</v>
      </c>
      <c r="K501" s="997">
        <v>0</v>
      </c>
    </row>
    <row r="502" spans="1:11" ht="45" x14ac:dyDescent="0.25">
      <c r="A502" s="989" t="s">
        <v>625</v>
      </c>
      <c r="B502" s="993">
        <v>2018</v>
      </c>
      <c r="C502" s="989" t="s">
        <v>2999</v>
      </c>
      <c r="D502" s="989" t="s">
        <v>661</v>
      </c>
      <c r="E502" s="989" t="s">
        <v>1252</v>
      </c>
      <c r="F502" s="994">
        <v>0</v>
      </c>
      <c r="G502" s="989" t="s">
        <v>657</v>
      </c>
      <c r="H502" s="996"/>
      <c r="I502" s="996"/>
      <c r="J502" s="994">
        <v>0</v>
      </c>
      <c r="K502" s="997">
        <v>0</v>
      </c>
    </row>
    <row r="503" spans="1:11" ht="45" x14ac:dyDescent="0.25">
      <c r="A503" s="989" t="s">
        <v>625</v>
      </c>
      <c r="B503" s="993">
        <v>2018</v>
      </c>
      <c r="C503" s="989" t="s">
        <v>2999</v>
      </c>
      <c r="D503" s="989" t="s">
        <v>662</v>
      </c>
      <c r="E503" s="989" t="s">
        <v>1253</v>
      </c>
      <c r="F503" s="994">
        <v>0</v>
      </c>
      <c r="G503" s="989" t="s">
        <v>657</v>
      </c>
      <c r="H503" s="996"/>
      <c r="I503" s="996"/>
      <c r="J503" s="994">
        <v>0</v>
      </c>
      <c r="K503" s="997">
        <v>0</v>
      </c>
    </row>
    <row r="504" spans="1:11" ht="45" x14ac:dyDescent="0.25">
      <c r="A504" s="989" t="s">
        <v>625</v>
      </c>
      <c r="B504" s="993">
        <v>2018</v>
      </c>
      <c r="C504" s="989" t="s">
        <v>2999</v>
      </c>
      <c r="D504" s="989" t="s">
        <v>663</v>
      </c>
      <c r="E504" s="989" t="s">
        <v>1254</v>
      </c>
      <c r="F504" s="994">
        <v>0</v>
      </c>
      <c r="G504" s="989" t="s">
        <v>657</v>
      </c>
      <c r="H504" s="996"/>
      <c r="I504" s="996"/>
      <c r="J504" s="994">
        <v>0</v>
      </c>
      <c r="K504" s="997">
        <v>0</v>
      </c>
    </row>
    <row r="505" spans="1:11" ht="45" x14ac:dyDescent="0.25">
      <c r="A505" s="989" t="s">
        <v>625</v>
      </c>
      <c r="B505" s="993">
        <v>2018</v>
      </c>
      <c r="C505" s="989" t="s">
        <v>2999</v>
      </c>
      <c r="D505" s="989" t="s">
        <v>664</v>
      </c>
      <c r="E505" s="989" t="s">
        <v>1255</v>
      </c>
      <c r="F505" s="994">
        <v>0</v>
      </c>
      <c r="G505" s="989" t="s">
        <v>657</v>
      </c>
      <c r="H505" s="996"/>
      <c r="I505" s="996"/>
      <c r="J505" s="994">
        <v>0</v>
      </c>
      <c r="K505" s="997">
        <v>0</v>
      </c>
    </row>
    <row r="506" spans="1:11" ht="45" x14ac:dyDescent="0.25">
      <c r="A506" s="989" t="s">
        <v>625</v>
      </c>
      <c r="B506" s="993">
        <v>2018</v>
      </c>
      <c r="C506" s="989" t="s">
        <v>2999</v>
      </c>
      <c r="D506" s="989" t="s">
        <v>665</v>
      </c>
      <c r="E506" s="989" t="s">
        <v>1256</v>
      </c>
      <c r="F506" s="994">
        <v>0</v>
      </c>
      <c r="G506" s="989" t="s">
        <v>657</v>
      </c>
      <c r="H506" s="996"/>
      <c r="I506" s="996"/>
      <c r="J506" s="994">
        <v>0</v>
      </c>
      <c r="K506" s="997">
        <v>0</v>
      </c>
    </row>
    <row r="507" spans="1:11" ht="45" x14ac:dyDescent="0.25">
      <c r="A507" s="989" t="s">
        <v>625</v>
      </c>
      <c r="B507" s="993">
        <v>2018</v>
      </c>
      <c r="C507" s="989" t="s">
        <v>2999</v>
      </c>
      <c r="D507" s="989" t="s">
        <v>1870</v>
      </c>
      <c r="E507" s="989" t="s">
        <v>2302</v>
      </c>
      <c r="F507" s="994">
        <v>0</v>
      </c>
      <c r="G507" s="989" t="s">
        <v>657</v>
      </c>
      <c r="H507" s="996"/>
      <c r="I507" s="994">
        <v>-6.71000003814697</v>
      </c>
      <c r="J507" s="994">
        <v>-6.71000003814697</v>
      </c>
      <c r="K507" s="997">
        <v>-6.71</v>
      </c>
    </row>
    <row r="508" spans="1:11" ht="45" x14ac:dyDescent="0.25">
      <c r="A508" s="989" t="s">
        <v>625</v>
      </c>
      <c r="B508" s="993">
        <v>2018</v>
      </c>
      <c r="C508" s="989" t="s">
        <v>2999</v>
      </c>
      <c r="D508" s="989" t="s">
        <v>2486</v>
      </c>
      <c r="E508" s="989" t="s">
        <v>2506</v>
      </c>
      <c r="F508" s="994">
        <v>0</v>
      </c>
      <c r="G508" s="989" t="s">
        <v>657</v>
      </c>
      <c r="H508" s="994">
        <v>137260.8125</v>
      </c>
      <c r="I508" s="994">
        <v>-110679.6328125</v>
      </c>
      <c r="J508" s="994">
        <v>26581.189453125</v>
      </c>
      <c r="K508" s="997">
        <v>26581.19</v>
      </c>
    </row>
    <row r="509" spans="1:11" ht="45" x14ac:dyDescent="0.25">
      <c r="A509" s="989" t="s">
        <v>625</v>
      </c>
      <c r="B509" s="993">
        <v>2018</v>
      </c>
      <c r="C509" s="989" t="s">
        <v>2999</v>
      </c>
      <c r="D509" s="989" t="s">
        <v>4892</v>
      </c>
      <c r="E509" s="989" t="s">
        <v>6002</v>
      </c>
      <c r="F509" s="994">
        <v>0</v>
      </c>
      <c r="G509" s="989" t="s">
        <v>657</v>
      </c>
      <c r="H509" s="994">
        <v>38511.03125</v>
      </c>
      <c r="I509" s="994">
        <v>-33593.37890625</v>
      </c>
      <c r="J509" s="994">
        <v>4917.64990234375</v>
      </c>
      <c r="K509" s="997">
        <v>4917.6499999999996</v>
      </c>
    </row>
    <row r="510" spans="1:11" ht="45" x14ac:dyDescent="0.25">
      <c r="A510" s="989" t="s">
        <v>625</v>
      </c>
      <c r="B510" s="993">
        <v>2018</v>
      </c>
      <c r="C510" s="989" t="s">
        <v>2999</v>
      </c>
      <c r="D510" s="989" t="s">
        <v>666</v>
      </c>
      <c r="E510" s="989" t="s">
        <v>1554</v>
      </c>
      <c r="F510" s="994">
        <v>31492.13</v>
      </c>
      <c r="G510" s="995"/>
      <c r="H510" s="996"/>
      <c r="I510" s="996"/>
      <c r="J510" s="994">
        <v>0</v>
      </c>
      <c r="K510" s="997">
        <v>31492.13</v>
      </c>
    </row>
    <row r="511" spans="1:11" ht="22.5" x14ac:dyDescent="0.25">
      <c r="A511" s="989" t="s">
        <v>202</v>
      </c>
      <c r="B511" s="993">
        <v>2018</v>
      </c>
      <c r="C511" s="989" t="s">
        <v>2991</v>
      </c>
      <c r="D511" s="989" t="s">
        <v>49</v>
      </c>
      <c r="E511" s="989" t="s">
        <v>811</v>
      </c>
      <c r="F511" s="994">
        <v>160094.1</v>
      </c>
      <c r="G511" s="989" t="s">
        <v>657</v>
      </c>
      <c r="H511" s="994">
        <v>158122.34375</v>
      </c>
      <c r="I511" s="994">
        <v>1971.76000976563</v>
      </c>
      <c r="J511" s="994">
        <v>160094.09375</v>
      </c>
      <c r="K511" s="997">
        <v>160094.1</v>
      </c>
    </row>
    <row r="512" spans="1:11" ht="33.75" x14ac:dyDescent="0.25">
      <c r="A512" s="989" t="s">
        <v>202</v>
      </c>
      <c r="B512" s="993">
        <v>2018</v>
      </c>
      <c r="C512" s="989" t="s">
        <v>2992</v>
      </c>
      <c r="D512" s="989" t="s">
        <v>658</v>
      </c>
      <c r="E512" s="989" t="s">
        <v>812</v>
      </c>
      <c r="F512" s="994">
        <v>-29399.43</v>
      </c>
      <c r="G512" s="989" t="s">
        <v>657</v>
      </c>
      <c r="H512" s="994">
        <v>-28945.5703125</v>
      </c>
      <c r="I512" s="994">
        <v>-453.85998535156301</v>
      </c>
      <c r="J512" s="994">
        <v>-29399.4296875</v>
      </c>
      <c r="K512" s="997">
        <v>-29399.43</v>
      </c>
    </row>
    <row r="513" spans="1:11" ht="22.5" x14ac:dyDescent="0.25">
      <c r="A513" s="989" t="s">
        <v>202</v>
      </c>
      <c r="B513" s="993">
        <v>2018</v>
      </c>
      <c r="C513" s="989" t="s">
        <v>2993</v>
      </c>
      <c r="D513" s="989" t="s">
        <v>464</v>
      </c>
      <c r="E513" s="989" t="s">
        <v>813</v>
      </c>
      <c r="F513" s="994">
        <v>1061379.07</v>
      </c>
      <c r="G513" s="995"/>
      <c r="H513" s="996"/>
      <c r="I513" s="996"/>
      <c r="J513" s="994">
        <v>0</v>
      </c>
      <c r="K513" s="997">
        <v>1061379.07</v>
      </c>
    </row>
    <row r="514" spans="1:11" ht="33.75" x14ac:dyDescent="0.25">
      <c r="A514" s="989" t="s">
        <v>202</v>
      </c>
      <c r="B514" s="993">
        <v>2018</v>
      </c>
      <c r="C514" s="989" t="s">
        <v>2994</v>
      </c>
      <c r="D514" s="989" t="s">
        <v>46</v>
      </c>
      <c r="E514" s="989" t="s">
        <v>814</v>
      </c>
      <c r="F514" s="994">
        <v>-3389678.62</v>
      </c>
      <c r="G514" s="989" t="s">
        <v>657</v>
      </c>
      <c r="H514" s="994">
        <v>-3350131.5</v>
      </c>
      <c r="I514" s="994">
        <v>-39547.2109375</v>
      </c>
      <c r="J514" s="994">
        <v>-3389678.5</v>
      </c>
      <c r="K514" s="997">
        <v>-3389678.62</v>
      </c>
    </row>
    <row r="515" spans="1:11" ht="22.5" x14ac:dyDescent="0.25">
      <c r="A515" s="989" t="s">
        <v>202</v>
      </c>
      <c r="B515" s="993">
        <v>2018</v>
      </c>
      <c r="C515" s="989" t="s">
        <v>2994</v>
      </c>
      <c r="D515" s="989" t="s">
        <v>2482</v>
      </c>
      <c r="E515" s="989" t="s">
        <v>814</v>
      </c>
      <c r="F515" s="994">
        <v>50.39</v>
      </c>
      <c r="G515" s="995"/>
      <c r="H515" s="996"/>
      <c r="I515" s="996"/>
      <c r="J515" s="994">
        <v>0</v>
      </c>
      <c r="K515" s="997">
        <v>50.39</v>
      </c>
    </row>
    <row r="516" spans="1:11" ht="22.5" x14ac:dyDescent="0.25">
      <c r="A516" s="989" t="s">
        <v>202</v>
      </c>
      <c r="B516" s="993">
        <v>2018</v>
      </c>
      <c r="C516" s="989" t="s">
        <v>2994</v>
      </c>
      <c r="D516" s="989" t="s">
        <v>2483</v>
      </c>
      <c r="E516" s="989" t="s">
        <v>814</v>
      </c>
      <c r="F516" s="994">
        <v>0.04</v>
      </c>
      <c r="G516" s="995"/>
      <c r="H516" s="996"/>
      <c r="I516" s="996"/>
      <c r="J516" s="994">
        <v>0</v>
      </c>
      <c r="K516" s="997">
        <v>0.04</v>
      </c>
    </row>
    <row r="517" spans="1:11" ht="22.5" x14ac:dyDescent="0.25">
      <c r="A517" s="989" t="s">
        <v>202</v>
      </c>
      <c r="B517" s="993">
        <v>2018</v>
      </c>
      <c r="C517" s="989" t="s">
        <v>2994</v>
      </c>
      <c r="D517" s="989" t="s">
        <v>2484</v>
      </c>
      <c r="E517" s="989" t="s">
        <v>814</v>
      </c>
      <c r="F517" s="994">
        <v>-976.58</v>
      </c>
      <c r="G517" s="995"/>
      <c r="H517" s="996"/>
      <c r="I517" s="996"/>
      <c r="J517" s="994">
        <v>0</v>
      </c>
      <c r="K517" s="997">
        <v>-976.58</v>
      </c>
    </row>
    <row r="518" spans="1:11" ht="22.5" x14ac:dyDescent="0.25">
      <c r="A518" s="989" t="s">
        <v>202</v>
      </c>
      <c r="B518" s="993">
        <v>2018</v>
      </c>
      <c r="C518" s="989" t="s">
        <v>2994</v>
      </c>
      <c r="D518" s="989" t="s">
        <v>2485</v>
      </c>
      <c r="E518" s="989" t="s">
        <v>814</v>
      </c>
      <c r="F518" s="994">
        <v>-71555.34</v>
      </c>
      <c r="G518" s="995"/>
      <c r="H518" s="996"/>
      <c r="I518" s="996"/>
      <c r="J518" s="994">
        <v>0</v>
      </c>
      <c r="K518" s="997">
        <v>-71555.34</v>
      </c>
    </row>
    <row r="519" spans="1:11" ht="33.75" x14ac:dyDescent="0.25">
      <c r="A519" s="989" t="s">
        <v>202</v>
      </c>
      <c r="B519" s="993">
        <v>2018</v>
      </c>
      <c r="C519" s="989" t="s">
        <v>2995</v>
      </c>
      <c r="D519" s="989" t="s">
        <v>47</v>
      </c>
      <c r="E519" s="989" t="s">
        <v>815</v>
      </c>
      <c r="F519" s="994">
        <v>1043886.01</v>
      </c>
      <c r="G519" s="989" t="s">
        <v>657</v>
      </c>
      <c r="H519" s="994">
        <v>1044936.5625</v>
      </c>
      <c r="I519" s="994">
        <v>-1050.53002929688</v>
      </c>
      <c r="J519" s="994">
        <v>1043886</v>
      </c>
      <c r="K519" s="997">
        <v>1043886.01</v>
      </c>
    </row>
    <row r="520" spans="1:11" ht="33.75" x14ac:dyDescent="0.25">
      <c r="A520" s="989" t="s">
        <v>202</v>
      </c>
      <c r="B520" s="993">
        <v>2018</v>
      </c>
      <c r="C520" s="989" t="s">
        <v>2996</v>
      </c>
      <c r="D520" s="989" t="s">
        <v>48</v>
      </c>
      <c r="E520" s="989" t="s">
        <v>816</v>
      </c>
      <c r="F520" s="994">
        <v>1307379.8700000001</v>
      </c>
      <c r="G520" s="989" t="s">
        <v>657</v>
      </c>
      <c r="H520" s="994">
        <v>1301188</v>
      </c>
      <c r="I520" s="994">
        <v>6191.830078125</v>
      </c>
      <c r="J520" s="994">
        <v>1307379.875</v>
      </c>
      <c r="K520" s="997">
        <v>1307379.8700000001</v>
      </c>
    </row>
    <row r="521" spans="1:11" ht="33.75" x14ac:dyDescent="0.25">
      <c r="A521" s="989" t="s">
        <v>202</v>
      </c>
      <c r="B521" s="993">
        <v>2018</v>
      </c>
      <c r="C521" s="989" t="s">
        <v>2997</v>
      </c>
      <c r="D521" s="989" t="s">
        <v>50</v>
      </c>
      <c r="E521" s="989" t="s">
        <v>817</v>
      </c>
      <c r="F521" s="994">
        <v>-1209784.06</v>
      </c>
      <c r="G521" s="989" t="s">
        <v>657</v>
      </c>
      <c r="H521" s="994">
        <v>-1173419</v>
      </c>
      <c r="I521" s="994">
        <v>-36365.0703125</v>
      </c>
      <c r="J521" s="994">
        <v>-1209784</v>
      </c>
      <c r="K521" s="997">
        <v>-1209784.06</v>
      </c>
    </row>
    <row r="522" spans="1:11" ht="22.5" x14ac:dyDescent="0.25">
      <c r="A522" s="989" t="s">
        <v>202</v>
      </c>
      <c r="B522" s="993">
        <v>2018</v>
      </c>
      <c r="C522" s="989" t="s">
        <v>2998</v>
      </c>
      <c r="D522" s="989" t="s">
        <v>348</v>
      </c>
      <c r="E522" s="989" t="s">
        <v>818</v>
      </c>
      <c r="F522" s="994">
        <v>6258494.0499999998</v>
      </c>
      <c r="G522" s="989" t="s">
        <v>657</v>
      </c>
      <c r="H522" s="994">
        <v>6149391</v>
      </c>
      <c r="I522" s="994">
        <v>109102.953125</v>
      </c>
      <c r="J522" s="994">
        <v>6258494</v>
      </c>
      <c r="K522" s="997">
        <v>6258494.0499999998</v>
      </c>
    </row>
    <row r="523" spans="1:11" ht="45" x14ac:dyDescent="0.25">
      <c r="A523" s="989" t="s">
        <v>202</v>
      </c>
      <c r="B523" s="993">
        <v>2018</v>
      </c>
      <c r="C523" s="989" t="s">
        <v>2999</v>
      </c>
      <c r="D523" s="989" t="s">
        <v>659</v>
      </c>
      <c r="E523" s="989" t="s">
        <v>1257</v>
      </c>
      <c r="F523" s="994">
        <v>0</v>
      </c>
      <c r="G523" s="989" t="s">
        <v>657</v>
      </c>
      <c r="H523" s="996"/>
      <c r="I523" s="996"/>
      <c r="J523" s="994">
        <v>0</v>
      </c>
      <c r="K523" s="997">
        <v>0</v>
      </c>
    </row>
    <row r="524" spans="1:11" ht="45" x14ac:dyDescent="0.25">
      <c r="A524" s="989" t="s">
        <v>202</v>
      </c>
      <c r="B524" s="993">
        <v>2018</v>
      </c>
      <c r="C524" s="989" t="s">
        <v>2999</v>
      </c>
      <c r="D524" s="989" t="s">
        <v>660</v>
      </c>
      <c r="E524" s="989" t="s">
        <v>1258</v>
      </c>
      <c r="F524" s="994">
        <v>0</v>
      </c>
      <c r="G524" s="989" t="s">
        <v>657</v>
      </c>
      <c r="H524" s="996"/>
      <c r="I524" s="996"/>
      <c r="J524" s="994">
        <v>0</v>
      </c>
      <c r="K524" s="997">
        <v>0</v>
      </c>
    </row>
    <row r="525" spans="1:11" ht="45" x14ac:dyDescent="0.25">
      <c r="A525" s="989" t="s">
        <v>202</v>
      </c>
      <c r="B525" s="993">
        <v>2018</v>
      </c>
      <c r="C525" s="989" t="s">
        <v>2999</v>
      </c>
      <c r="D525" s="989" t="s">
        <v>661</v>
      </c>
      <c r="E525" s="989" t="s">
        <v>1259</v>
      </c>
      <c r="F525" s="994">
        <v>0</v>
      </c>
      <c r="G525" s="989" t="s">
        <v>657</v>
      </c>
      <c r="H525" s="996"/>
      <c r="I525" s="996"/>
      <c r="J525" s="994">
        <v>0</v>
      </c>
      <c r="K525" s="997">
        <v>0</v>
      </c>
    </row>
    <row r="526" spans="1:11" ht="45" x14ac:dyDescent="0.25">
      <c r="A526" s="989" t="s">
        <v>202</v>
      </c>
      <c r="B526" s="993">
        <v>2018</v>
      </c>
      <c r="C526" s="989" t="s">
        <v>2999</v>
      </c>
      <c r="D526" s="989" t="s">
        <v>662</v>
      </c>
      <c r="E526" s="989" t="s">
        <v>1260</v>
      </c>
      <c r="F526" s="994">
        <v>0</v>
      </c>
      <c r="G526" s="989" t="s">
        <v>657</v>
      </c>
      <c r="H526" s="996"/>
      <c r="I526" s="996"/>
      <c r="J526" s="994">
        <v>0</v>
      </c>
      <c r="K526" s="997">
        <v>0</v>
      </c>
    </row>
    <row r="527" spans="1:11" ht="45" x14ac:dyDescent="0.25">
      <c r="A527" s="989" t="s">
        <v>202</v>
      </c>
      <c r="B527" s="993">
        <v>2018</v>
      </c>
      <c r="C527" s="989" t="s">
        <v>2999</v>
      </c>
      <c r="D527" s="989" t="s">
        <v>663</v>
      </c>
      <c r="E527" s="989" t="s">
        <v>1261</v>
      </c>
      <c r="F527" s="994">
        <v>0</v>
      </c>
      <c r="G527" s="989" t="s">
        <v>657</v>
      </c>
      <c r="H527" s="996"/>
      <c r="I527" s="996"/>
      <c r="J527" s="994">
        <v>0</v>
      </c>
      <c r="K527" s="997">
        <v>0</v>
      </c>
    </row>
    <row r="528" spans="1:11" ht="45" x14ac:dyDescent="0.25">
      <c r="A528" s="989" t="s">
        <v>202</v>
      </c>
      <c r="B528" s="993">
        <v>2018</v>
      </c>
      <c r="C528" s="989" t="s">
        <v>2999</v>
      </c>
      <c r="D528" s="989" t="s">
        <v>664</v>
      </c>
      <c r="E528" s="989" t="s">
        <v>1262</v>
      </c>
      <c r="F528" s="994">
        <v>0</v>
      </c>
      <c r="G528" s="989" t="s">
        <v>657</v>
      </c>
      <c r="H528" s="996"/>
      <c r="I528" s="996"/>
      <c r="J528" s="994">
        <v>0</v>
      </c>
      <c r="K528" s="997">
        <v>0</v>
      </c>
    </row>
    <row r="529" spans="1:11" ht="45" x14ac:dyDescent="0.25">
      <c r="A529" s="989" t="s">
        <v>202</v>
      </c>
      <c r="B529" s="993">
        <v>2018</v>
      </c>
      <c r="C529" s="989" t="s">
        <v>2999</v>
      </c>
      <c r="D529" s="989" t="s">
        <v>665</v>
      </c>
      <c r="E529" s="989" t="s">
        <v>1263</v>
      </c>
      <c r="F529" s="994">
        <v>0</v>
      </c>
      <c r="G529" s="989" t="s">
        <v>657</v>
      </c>
      <c r="H529" s="996"/>
      <c r="I529" s="996"/>
      <c r="J529" s="994">
        <v>0</v>
      </c>
      <c r="K529" s="997">
        <v>0</v>
      </c>
    </row>
    <row r="530" spans="1:11" ht="45" x14ac:dyDescent="0.25">
      <c r="A530" s="989" t="s">
        <v>202</v>
      </c>
      <c r="B530" s="993">
        <v>2018</v>
      </c>
      <c r="C530" s="989" t="s">
        <v>2999</v>
      </c>
      <c r="D530" s="989" t="s">
        <v>1870</v>
      </c>
      <c r="E530" s="989" t="s">
        <v>2303</v>
      </c>
      <c r="F530" s="994">
        <v>0</v>
      </c>
      <c r="G530" s="989" t="s">
        <v>657</v>
      </c>
      <c r="H530" s="994">
        <v>-97851.4921875</v>
      </c>
      <c r="I530" s="994">
        <v>-2369.84008789063</v>
      </c>
      <c r="J530" s="994">
        <v>-100221.328125</v>
      </c>
      <c r="K530" s="997">
        <v>-100221.33</v>
      </c>
    </row>
    <row r="531" spans="1:11" ht="45" x14ac:dyDescent="0.25">
      <c r="A531" s="989" t="s">
        <v>202</v>
      </c>
      <c r="B531" s="993">
        <v>2018</v>
      </c>
      <c r="C531" s="989" t="s">
        <v>2999</v>
      </c>
      <c r="D531" s="989" t="s">
        <v>2486</v>
      </c>
      <c r="E531" s="989" t="s">
        <v>2507</v>
      </c>
      <c r="F531" s="994">
        <v>0</v>
      </c>
      <c r="G531" s="989" t="s">
        <v>657</v>
      </c>
      <c r="H531" s="994">
        <v>881967.3125</v>
      </c>
      <c r="I531" s="994">
        <v>-332937.71875</v>
      </c>
      <c r="J531" s="994">
        <v>549029.5625</v>
      </c>
      <c r="K531" s="997">
        <v>549029.59</v>
      </c>
    </row>
    <row r="532" spans="1:11" ht="45" x14ac:dyDescent="0.25">
      <c r="A532" s="989" t="s">
        <v>202</v>
      </c>
      <c r="B532" s="993">
        <v>2018</v>
      </c>
      <c r="C532" s="989" t="s">
        <v>2999</v>
      </c>
      <c r="D532" s="989" t="s">
        <v>4892</v>
      </c>
      <c r="E532" s="989" t="s">
        <v>6003</v>
      </c>
      <c r="F532" s="994">
        <v>0</v>
      </c>
      <c r="G532" s="989" t="s">
        <v>657</v>
      </c>
      <c r="H532" s="994">
        <v>-883355.0625</v>
      </c>
      <c r="I532" s="994">
        <v>543009.0625</v>
      </c>
      <c r="J532" s="994">
        <v>-340346</v>
      </c>
      <c r="K532" s="997">
        <v>-340346</v>
      </c>
    </row>
    <row r="533" spans="1:11" ht="45" x14ac:dyDescent="0.25">
      <c r="A533" s="989" t="s">
        <v>202</v>
      </c>
      <c r="B533" s="993">
        <v>2018</v>
      </c>
      <c r="C533" s="989" t="s">
        <v>2999</v>
      </c>
      <c r="D533" s="989" t="s">
        <v>666</v>
      </c>
      <c r="E533" s="989" t="s">
        <v>1555</v>
      </c>
      <c r="F533" s="994">
        <v>108462.26</v>
      </c>
      <c r="G533" s="995"/>
      <c r="H533" s="996"/>
      <c r="I533" s="996"/>
      <c r="J533" s="994">
        <v>0</v>
      </c>
      <c r="K533" s="997">
        <v>108462.26</v>
      </c>
    </row>
    <row r="534" spans="1:11" x14ac:dyDescent="0.25">
      <c r="A534" s="989" t="s">
        <v>203</v>
      </c>
      <c r="B534" s="993">
        <v>2018</v>
      </c>
      <c r="C534" s="989" t="s">
        <v>2991</v>
      </c>
      <c r="D534" s="989" t="s">
        <v>49</v>
      </c>
      <c r="E534" s="989" t="s">
        <v>819</v>
      </c>
      <c r="F534" s="994">
        <v>859695.54</v>
      </c>
      <c r="G534" s="989" t="s">
        <v>657</v>
      </c>
      <c r="H534" s="994">
        <v>842382.5625</v>
      </c>
      <c r="I534" s="994">
        <v>17313</v>
      </c>
      <c r="J534" s="994">
        <v>859695.5625</v>
      </c>
      <c r="K534" s="997">
        <v>859695.54</v>
      </c>
    </row>
    <row r="535" spans="1:11" ht="33.75" x14ac:dyDescent="0.25">
      <c r="A535" s="989" t="s">
        <v>203</v>
      </c>
      <c r="B535" s="993">
        <v>2018</v>
      </c>
      <c r="C535" s="989" t="s">
        <v>2992</v>
      </c>
      <c r="D535" s="989" t="s">
        <v>658</v>
      </c>
      <c r="E535" s="989" t="s">
        <v>820</v>
      </c>
      <c r="F535" s="994">
        <v>-18650.86</v>
      </c>
      <c r="G535" s="989" t="s">
        <v>657</v>
      </c>
      <c r="H535" s="994">
        <v>-18279.859375</v>
      </c>
      <c r="I535" s="994">
        <v>-371</v>
      </c>
      <c r="J535" s="994">
        <v>-18650.859375</v>
      </c>
      <c r="K535" s="997">
        <v>-18650.86</v>
      </c>
    </row>
    <row r="536" spans="1:11" ht="22.5" x14ac:dyDescent="0.25">
      <c r="A536" s="989" t="s">
        <v>203</v>
      </c>
      <c r="B536" s="993">
        <v>2018</v>
      </c>
      <c r="C536" s="989" t="s">
        <v>2993</v>
      </c>
      <c r="D536" s="989" t="s">
        <v>464</v>
      </c>
      <c r="E536" s="989" t="s">
        <v>821</v>
      </c>
      <c r="F536" s="994">
        <v>265625.02</v>
      </c>
      <c r="G536" s="995"/>
      <c r="H536" s="996"/>
      <c r="I536" s="996"/>
      <c r="J536" s="994">
        <v>0</v>
      </c>
      <c r="K536" s="997">
        <v>265625.02</v>
      </c>
    </row>
    <row r="537" spans="1:11" ht="33.75" x14ac:dyDescent="0.25">
      <c r="A537" s="989" t="s">
        <v>203</v>
      </c>
      <c r="B537" s="993">
        <v>2018</v>
      </c>
      <c r="C537" s="989" t="s">
        <v>2994</v>
      </c>
      <c r="D537" s="989" t="s">
        <v>46</v>
      </c>
      <c r="E537" s="989" t="s">
        <v>822</v>
      </c>
      <c r="F537" s="994">
        <v>-2022040.17</v>
      </c>
      <c r="G537" s="989" t="s">
        <v>657</v>
      </c>
      <c r="H537" s="994">
        <v>-2042333.125</v>
      </c>
      <c r="I537" s="994">
        <v>20293</v>
      </c>
      <c r="J537" s="994">
        <v>-2022040.125</v>
      </c>
      <c r="K537" s="997">
        <v>-2022040.17</v>
      </c>
    </row>
    <row r="538" spans="1:11" ht="22.5" x14ac:dyDescent="0.25">
      <c r="A538" s="989" t="s">
        <v>203</v>
      </c>
      <c r="B538" s="993">
        <v>2018</v>
      </c>
      <c r="C538" s="989" t="s">
        <v>2994</v>
      </c>
      <c r="D538" s="989" t="s">
        <v>2482</v>
      </c>
      <c r="E538" s="989" t="s">
        <v>822</v>
      </c>
      <c r="F538" s="994">
        <v>0</v>
      </c>
      <c r="G538" s="995"/>
      <c r="H538" s="996"/>
      <c r="I538" s="996"/>
      <c r="J538" s="994">
        <v>0</v>
      </c>
      <c r="K538" s="997">
        <v>0</v>
      </c>
    </row>
    <row r="539" spans="1:11" ht="22.5" x14ac:dyDescent="0.25">
      <c r="A539" s="989" t="s">
        <v>203</v>
      </c>
      <c r="B539" s="993">
        <v>2018</v>
      </c>
      <c r="C539" s="989" t="s">
        <v>2994</v>
      </c>
      <c r="D539" s="989" t="s">
        <v>2483</v>
      </c>
      <c r="E539" s="989" t="s">
        <v>822</v>
      </c>
      <c r="F539" s="994">
        <v>0</v>
      </c>
      <c r="G539" s="995"/>
      <c r="H539" s="996"/>
      <c r="I539" s="996"/>
      <c r="J539" s="994">
        <v>0</v>
      </c>
      <c r="K539" s="997">
        <v>0</v>
      </c>
    </row>
    <row r="540" spans="1:11" ht="22.5" x14ac:dyDescent="0.25">
      <c r="A540" s="989" t="s">
        <v>203</v>
      </c>
      <c r="B540" s="993">
        <v>2018</v>
      </c>
      <c r="C540" s="989" t="s">
        <v>2994</v>
      </c>
      <c r="D540" s="989" t="s">
        <v>2484</v>
      </c>
      <c r="E540" s="989" t="s">
        <v>822</v>
      </c>
      <c r="F540" s="994">
        <v>-858</v>
      </c>
      <c r="G540" s="995"/>
      <c r="H540" s="996"/>
      <c r="I540" s="996"/>
      <c r="J540" s="994">
        <v>0</v>
      </c>
      <c r="K540" s="997">
        <v>-858</v>
      </c>
    </row>
    <row r="541" spans="1:11" ht="22.5" x14ac:dyDescent="0.25">
      <c r="A541" s="989" t="s">
        <v>203</v>
      </c>
      <c r="B541" s="993">
        <v>2018</v>
      </c>
      <c r="C541" s="989" t="s">
        <v>2994</v>
      </c>
      <c r="D541" s="989" t="s">
        <v>2485</v>
      </c>
      <c r="E541" s="989" t="s">
        <v>822</v>
      </c>
      <c r="F541" s="994">
        <v>-46098</v>
      </c>
      <c r="G541" s="995"/>
      <c r="H541" s="996"/>
      <c r="I541" s="996"/>
      <c r="J541" s="994">
        <v>0</v>
      </c>
      <c r="K541" s="997">
        <v>-46098</v>
      </c>
    </row>
    <row r="542" spans="1:11" ht="33.75" x14ac:dyDescent="0.25">
      <c r="A542" s="989" t="s">
        <v>203</v>
      </c>
      <c r="B542" s="993">
        <v>2018</v>
      </c>
      <c r="C542" s="989" t="s">
        <v>2995</v>
      </c>
      <c r="D542" s="989" t="s">
        <v>47</v>
      </c>
      <c r="E542" s="989" t="s">
        <v>823</v>
      </c>
      <c r="F542" s="994">
        <v>60372.17</v>
      </c>
      <c r="G542" s="989" t="s">
        <v>657</v>
      </c>
      <c r="H542" s="994">
        <v>20846.169921875</v>
      </c>
      <c r="I542" s="994">
        <v>39526</v>
      </c>
      <c r="J542" s="994">
        <v>60372.171875</v>
      </c>
      <c r="K542" s="997">
        <v>60372.17</v>
      </c>
    </row>
    <row r="543" spans="1:11" ht="33.75" x14ac:dyDescent="0.25">
      <c r="A543" s="989" t="s">
        <v>203</v>
      </c>
      <c r="B543" s="993">
        <v>2018</v>
      </c>
      <c r="C543" s="989" t="s">
        <v>2996</v>
      </c>
      <c r="D543" s="989" t="s">
        <v>48</v>
      </c>
      <c r="E543" s="989" t="s">
        <v>824</v>
      </c>
      <c r="F543" s="994">
        <v>136098.57999999999</v>
      </c>
      <c r="G543" s="989" t="s">
        <v>657</v>
      </c>
      <c r="H543" s="994">
        <v>88190.578125</v>
      </c>
      <c r="I543" s="994">
        <v>47908</v>
      </c>
      <c r="J543" s="994">
        <v>136098.578125</v>
      </c>
      <c r="K543" s="997">
        <v>136098.57999999999</v>
      </c>
    </row>
    <row r="544" spans="1:11" ht="33.75" x14ac:dyDescent="0.25">
      <c r="A544" s="989" t="s">
        <v>203</v>
      </c>
      <c r="B544" s="993">
        <v>2018</v>
      </c>
      <c r="C544" s="989" t="s">
        <v>2997</v>
      </c>
      <c r="D544" s="989" t="s">
        <v>50</v>
      </c>
      <c r="E544" s="989" t="s">
        <v>825</v>
      </c>
      <c r="F544" s="994">
        <v>-2067260.89</v>
      </c>
      <c r="G544" s="989" t="s">
        <v>657</v>
      </c>
      <c r="H544" s="994">
        <v>-2067325.875</v>
      </c>
      <c r="I544" s="994">
        <v>65</v>
      </c>
      <c r="J544" s="994">
        <v>-2067260.875</v>
      </c>
      <c r="K544" s="997">
        <v>-2067260.89</v>
      </c>
    </row>
    <row r="545" spans="1:11" ht="22.5" x14ac:dyDescent="0.25">
      <c r="A545" s="989" t="s">
        <v>203</v>
      </c>
      <c r="B545" s="993">
        <v>2018</v>
      </c>
      <c r="C545" s="989" t="s">
        <v>2998</v>
      </c>
      <c r="D545" s="989" t="s">
        <v>348</v>
      </c>
      <c r="E545" s="989" t="s">
        <v>826</v>
      </c>
      <c r="F545" s="994">
        <v>1538256.71</v>
      </c>
      <c r="G545" s="989" t="s">
        <v>657</v>
      </c>
      <c r="H545" s="994">
        <v>1533427.75</v>
      </c>
      <c r="I545" s="994">
        <v>4829</v>
      </c>
      <c r="J545" s="994">
        <v>1538256.75</v>
      </c>
      <c r="K545" s="997">
        <v>1538256.71</v>
      </c>
    </row>
    <row r="546" spans="1:11" ht="45" x14ac:dyDescent="0.25">
      <c r="A546" s="989" t="s">
        <v>203</v>
      </c>
      <c r="B546" s="993">
        <v>2018</v>
      </c>
      <c r="C546" s="989" t="s">
        <v>2999</v>
      </c>
      <c r="D546" s="989" t="s">
        <v>659</v>
      </c>
      <c r="E546" s="989" t="s">
        <v>1264</v>
      </c>
      <c r="F546" s="994">
        <v>0</v>
      </c>
      <c r="G546" s="989" t="s">
        <v>657</v>
      </c>
      <c r="H546" s="994">
        <v>0</v>
      </c>
      <c r="I546" s="994">
        <v>0</v>
      </c>
      <c r="J546" s="994">
        <v>0</v>
      </c>
      <c r="K546" s="997">
        <v>0</v>
      </c>
    </row>
    <row r="547" spans="1:11" ht="45" x14ac:dyDescent="0.25">
      <c r="A547" s="989" t="s">
        <v>203</v>
      </c>
      <c r="B547" s="993">
        <v>2018</v>
      </c>
      <c r="C547" s="989" t="s">
        <v>2999</v>
      </c>
      <c r="D547" s="989" t="s">
        <v>660</v>
      </c>
      <c r="E547" s="989" t="s">
        <v>1265</v>
      </c>
      <c r="F547" s="994">
        <v>0</v>
      </c>
      <c r="G547" s="989" t="s">
        <v>657</v>
      </c>
      <c r="H547" s="994">
        <v>0</v>
      </c>
      <c r="I547" s="994">
        <v>0</v>
      </c>
      <c r="J547" s="994">
        <v>0</v>
      </c>
      <c r="K547" s="997">
        <v>0</v>
      </c>
    </row>
    <row r="548" spans="1:11" ht="45" x14ac:dyDescent="0.25">
      <c r="A548" s="989" t="s">
        <v>203</v>
      </c>
      <c r="B548" s="993">
        <v>2018</v>
      </c>
      <c r="C548" s="989" t="s">
        <v>2999</v>
      </c>
      <c r="D548" s="989" t="s">
        <v>661</v>
      </c>
      <c r="E548" s="989" t="s">
        <v>1266</v>
      </c>
      <c r="F548" s="994">
        <v>0</v>
      </c>
      <c r="G548" s="989" t="s">
        <v>657</v>
      </c>
      <c r="H548" s="994">
        <v>0</v>
      </c>
      <c r="I548" s="994">
        <v>0</v>
      </c>
      <c r="J548" s="994">
        <v>0</v>
      </c>
      <c r="K548" s="997">
        <v>0</v>
      </c>
    </row>
    <row r="549" spans="1:11" ht="45" x14ac:dyDescent="0.25">
      <c r="A549" s="989" t="s">
        <v>203</v>
      </c>
      <c r="B549" s="993">
        <v>2018</v>
      </c>
      <c r="C549" s="989" t="s">
        <v>2999</v>
      </c>
      <c r="D549" s="989" t="s">
        <v>662</v>
      </c>
      <c r="E549" s="989" t="s">
        <v>1267</v>
      </c>
      <c r="F549" s="994">
        <v>0</v>
      </c>
      <c r="G549" s="989" t="s">
        <v>657</v>
      </c>
      <c r="H549" s="994">
        <v>0</v>
      </c>
      <c r="I549" s="994">
        <v>0</v>
      </c>
      <c r="J549" s="994">
        <v>0</v>
      </c>
      <c r="K549" s="997">
        <v>0</v>
      </c>
    </row>
    <row r="550" spans="1:11" ht="45" x14ac:dyDescent="0.25">
      <c r="A550" s="989" t="s">
        <v>203</v>
      </c>
      <c r="B550" s="993">
        <v>2018</v>
      </c>
      <c r="C550" s="989" t="s">
        <v>2999</v>
      </c>
      <c r="D550" s="989" t="s">
        <v>663</v>
      </c>
      <c r="E550" s="989" t="s">
        <v>1268</v>
      </c>
      <c r="F550" s="994">
        <v>0</v>
      </c>
      <c r="G550" s="989" t="s">
        <v>657</v>
      </c>
      <c r="H550" s="994">
        <v>0</v>
      </c>
      <c r="I550" s="994">
        <v>0</v>
      </c>
      <c r="J550" s="994">
        <v>0</v>
      </c>
      <c r="K550" s="997">
        <v>0</v>
      </c>
    </row>
    <row r="551" spans="1:11" ht="45" x14ac:dyDescent="0.25">
      <c r="A551" s="989" t="s">
        <v>203</v>
      </c>
      <c r="B551" s="993">
        <v>2018</v>
      </c>
      <c r="C551" s="989" t="s">
        <v>2999</v>
      </c>
      <c r="D551" s="989" t="s">
        <v>664</v>
      </c>
      <c r="E551" s="989" t="s">
        <v>1269</v>
      </c>
      <c r="F551" s="994">
        <v>0</v>
      </c>
      <c r="G551" s="989" t="s">
        <v>657</v>
      </c>
      <c r="H551" s="994">
        <v>0</v>
      </c>
      <c r="I551" s="994">
        <v>0</v>
      </c>
      <c r="J551" s="994">
        <v>0</v>
      </c>
      <c r="K551" s="997">
        <v>0</v>
      </c>
    </row>
    <row r="552" spans="1:11" ht="45" x14ac:dyDescent="0.25">
      <c r="A552" s="989" t="s">
        <v>203</v>
      </c>
      <c r="B552" s="993">
        <v>2018</v>
      </c>
      <c r="C552" s="989" t="s">
        <v>2999</v>
      </c>
      <c r="D552" s="989" t="s">
        <v>665</v>
      </c>
      <c r="E552" s="989" t="s">
        <v>1270</v>
      </c>
      <c r="F552" s="994">
        <v>0</v>
      </c>
      <c r="G552" s="989" t="s">
        <v>657</v>
      </c>
      <c r="H552" s="994">
        <v>-292615</v>
      </c>
      <c r="I552" s="994">
        <v>27041</v>
      </c>
      <c r="J552" s="994">
        <v>-265574</v>
      </c>
      <c r="K552" s="997">
        <v>-265574</v>
      </c>
    </row>
    <row r="553" spans="1:11" ht="45" x14ac:dyDescent="0.25">
      <c r="A553" s="989" t="s">
        <v>203</v>
      </c>
      <c r="B553" s="993">
        <v>2018</v>
      </c>
      <c r="C553" s="989" t="s">
        <v>2999</v>
      </c>
      <c r="D553" s="989" t="s">
        <v>1870</v>
      </c>
      <c r="E553" s="989" t="s">
        <v>2304</v>
      </c>
      <c r="F553" s="994">
        <v>0</v>
      </c>
      <c r="G553" s="989" t="s">
        <v>657</v>
      </c>
      <c r="H553" s="994">
        <v>-123992</v>
      </c>
      <c r="I553" s="994">
        <v>72139</v>
      </c>
      <c r="J553" s="994">
        <v>-51853</v>
      </c>
      <c r="K553" s="997">
        <v>-51853</v>
      </c>
    </row>
    <row r="554" spans="1:11" ht="45" x14ac:dyDescent="0.25">
      <c r="A554" s="989" t="s">
        <v>203</v>
      </c>
      <c r="B554" s="993">
        <v>2018</v>
      </c>
      <c r="C554" s="989" t="s">
        <v>2999</v>
      </c>
      <c r="D554" s="989" t="s">
        <v>2486</v>
      </c>
      <c r="E554" s="989" t="s">
        <v>2508</v>
      </c>
      <c r="F554" s="994">
        <v>0</v>
      </c>
      <c r="G554" s="989" t="s">
        <v>657</v>
      </c>
      <c r="H554" s="994">
        <v>64624.390625</v>
      </c>
      <c r="I554" s="994">
        <v>63377</v>
      </c>
      <c r="J554" s="994">
        <v>128001.390625</v>
      </c>
      <c r="K554" s="997">
        <v>128001.39</v>
      </c>
    </row>
    <row r="555" spans="1:11" ht="45" x14ac:dyDescent="0.25">
      <c r="A555" s="989" t="s">
        <v>203</v>
      </c>
      <c r="B555" s="993">
        <v>2018</v>
      </c>
      <c r="C555" s="989" t="s">
        <v>2999</v>
      </c>
      <c r="D555" s="989" t="s">
        <v>4892</v>
      </c>
      <c r="E555" s="989" t="s">
        <v>6004</v>
      </c>
      <c r="F555" s="994">
        <v>0</v>
      </c>
      <c r="G555" s="989" t="s">
        <v>657</v>
      </c>
      <c r="H555" s="996"/>
      <c r="I555" s="996"/>
      <c r="J555" s="994">
        <v>0</v>
      </c>
      <c r="K555" s="997">
        <v>0</v>
      </c>
    </row>
    <row r="556" spans="1:11" ht="45" x14ac:dyDescent="0.25">
      <c r="A556" s="989" t="s">
        <v>203</v>
      </c>
      <c r="B556" s="993">
        <v>2018</v>
      </c>
      <c r="C556" s="989" t="s">
        <v>2999</v>
      </c>
      <c r="D556" s="989" t="s">
        <v>666</v>
      </c>
      <c r="E556" s="989" t="s">
        <v>1556</v>
      </c>
      <c r="F556" s="994">
        <v>-189425.61</v>
      </c>
      <c r="G556" s="995"/>
      <c r="H556" s="996"/>
      <c r="I556" s="996"/>
      <c r="J556" s="994">
        <v>0</v>
      </c>
      <c r="K556" s="997">
        <v>-189425.61</v>
      </c>
    </row>
    <row r="557" spans="1:11" ht="22.5" x14ac:dyDescent="0.25">
      <c r="A557" s="989" t="s">
        <v>2277</v>
      </c>
      <c r="B557" s="993">
        <v>2018</v>
      </c>
      <c r="C557" s="989" t="s">
        <v>2991</v>
      </c>
      <c r="D557" s="989" t="s">
        <v>49</v>
      </c>
      <c r="E557" s="989" t="s">
        <v>4912</v>
      </c>
      <c r="F557" s="994">
        <v>167728.04</v>
      </c>
      <c r="G557" s="989" t="s">
        <v>657</v>
      </c>
      <c r="H557" s="994">
        <v>166375.015625</v>
      </c>
      <c r="I557" s="994">
        <v>1353.03002929688</v>
      </c>
      <c r="J557" s="994">
        <v>167728.046875</v>
      </c>
      <c r="K557" s="997">
        <v>167728.04</v>
      </c>
    </row>
    <row r="558" spans="1:11" ht="33.75" x14ac:dyDescent="0.25">
      <c r="A558" s="989" t="s">
        <v>2277</v>
      </c>
      <c r="B558" s="993">
        <v>2018</v>
      </c>
      <c r="C558" s="989" t="s">
        <v>2992</v>
      </c>
      <c r="D558" s="989" t="s">
        <v>658</v>
      </c>
      <c r="E558" s="989" t="s">
        <v>4913</v>
      </c>
      <c r="F558" s="994">
        <v>30.26</v>
      </c>
      <c r="G558" s="989" t="s">
        <v>657</v>
      </c>
      <c r="H558" s="994">
        <v>29.25</v>
      </c>
      <c r="I558" s="994">
        <v>1.0099999904632599</v>
      </c>
      <c r="J558" s="994">
        <v>30.2600002288818</v>
      </c>
      <c r="K558" s="997">
        <v>30.26</v>
      </c>
    </row>
    <row r="559" spans="1:11" ht="22.5" x14ac:dyDescent="0.25">
      <c r="A559" s="989" t="s">
        <v>2277</v>
      </c>
      <c r="B559" s="993">
        <v>2018</v>
      </c>
      <c r="C559" s="989" t="s">
        <v>2993</v>
      </c>
      <c r="D559" s="989" t="s">
        <v>464</v>
      </c>
      <c r="E559" s="989" t="s">
        <v>4914</v>
      </c>
      <c r="F559" s="994">
        <v>27.38</v>
      </c>
      <c r="G559" s="995"/>
      <c r="H559" s="996"/>
      <c r="I559" s="996"/>
      <c r="J559" s="994">
        <v>0</v>
      </c>
      <c r="K559" s="997">
        <v>27.38</v>
      </c>
    </row>
    <row r="560" spans="1:11" ht="33.75" x14ac:dyDescent="0.25">
      <c r="A560" s="989" t="s">
        <v>2277</v>
      </c>
      <c r="B560" s="993">
        <v>2018</v>
      </c>
      <c r="C560" s="989" t="s">
        <v>2994</v>
      </c>
      <c r="D560" s="989" t="s">
        <v>46</v>
      </c>
      <c r="E560" s="989" t="s">
        <v>4915</v>
      </c>
      <c r="F560" s="994">
        <v>-78385.509999999995</v>
      </c>
      <c r="G560" s="989" t="s">
        <v>657</v>
      </c>
      <c r="H560" s="994">
        <v>-77536.421875</v>
      </c>
      <c r="I560" s="994">
        <v>-849.09002685546898</v>
      </c>
      <c r="J560" s="994">
        <v>-78385.5078125</v>
      </c>
      <c r="K560" s="997">
        <v>-78385.509999999995</v>
      </c>
    </row>
    <row r="561" spans="1:11" ht="22.5" x14ac:dyDescent="0.25">
      <c r="A561" s="989" t="s">
        <v>2277</v>
      </c>
      <c r="B561" s="993">
        <v>2018</v>
      </c>
      <c r="C561" s="989" t="s">
        <v>2994</v>
      </c>
      <c r="D561" s="989" t="s">
        <v>2482</v>
      </c>
      <c r="E561" s="989" t="s">
        <v>4915</v>
      </c>
      <c r="F561" s="994">
        <v>0</v>
      </c>
      <c r="G561" s="995"/>
      <c r="H561" s="996"/>
      <c r="I561" s="996"/>
      <c r="J561" s="994">
        <v>0</v>
      </c>
      <c r="K561" s="997">
        <v>0</v>
      </c>
    </row>
    <row r="562" spans="1:11" ht="22.5" x14ac:dyDescent="0.25">
      <c r="A562" s="989" t="s">
        <v>2277</v>
      </c>
      <c r="B562" s="993">
        <v>2018</v>
      </c>
      <c r="C562" s="989" t="s">
        <v>2994</v>
      </c>
      <c r="D562" s="989" t="s">
        <v>2483</v>
      </c>
      <c r="E562" s="989" t="s">
        <v>4915</v>
      </c>
      <c r="F562" s="994">
        <v>-0.01</v>
      </c>
      <c r="G562" s="995"/>
      <c r="H562" s="996"/>
      <c r="I562" s="996"/>
      <c r="J562" s="994">
        <v>0</v>
      </c>
      <c r="K562" s="997">
        <v>-0.01</v>
      </c>
    </row>
    <row r="563" spans="1:11" ht="22.5" x14ac:dyDescent="0.25">
      <c r="A563" s="989" t="s">
        <v>2277</v>
      </c>
      <c r="B563" s="993">
        <v>2018</v>
      </c>
      <c r="C563" s="989" t="s">
        <v>2994</v>
      </c>
      <c r="D563" s="989" t="s">
        <v>2484</v>
      </c>
      <c r="E563" s="989" t="s">
        <v>4915</v>
      </c>
      <c r="F563" s="994">
        <v>18.28</v>
      </c>
      <c r="G563" s="995"/>
      <c r="H563" s="996"/>
      <c r="I563" s="996"/>
      <c r="J563" s="994">
        <v>0</v>
      </c>
      <c r="K563" s="997">
        <v>18.28</v>
      </c>
    </row>
    <row r="564" spans="1:11" ht="22.5" x14ac:dyDescent="0.25">
      <c r="A564" s="989" t="s">
        <v>2277</v>
      </c>
      <c r="B564" s="993">
        <v>2018</v>
      </c>
      <c r="C564" s="989" t="s">
        <v>2994</v>
      </c>
      <c r="D564" s="989" t="s">
        <v>2485</v>
      </c>
      <c r="E564" s="989" t="s">
        <v>4915</v>
      </c>
      <c r="F564" s="994">
        <v>6281.93</v>
      </c>
      <c r="G564" s="995"/>
      <c r="H564" s="996"/>
      <c r="I564" s="996"/>
      <c r="J564" s="994">
        <v>0</v>
      </c>
      <c r="K564" s="997">
        <v>6281.93</v>
      </c>
    </row>
    <row r="565" spans="1:11" ht="33.75" x14ac:dyDescent="0.25">
      <c r="A565" s="989" t="s">
        <v>2277</v>
      </c>
      <c r="B565" s="993">
        <v>2018</v>
      </c>
      <c r="C565" s="989" t="s">
        <v>2995</v>
      </c>
      <c r="D565" s="989" t="s">
        <v>47</v>
      </c>
      <c r="E565" s="989" t="s">
        <v>4916</v>
      </c>
      <c r="F565" s="994">
        <v>6656.88</v>
      </c>
      <c r="G565" s="989" t="s">
        <v>657</v>
      </c>
      <c r="H565" s="994">
        <v>6671.259765625</v>
      </c>
      <c r="I565" s="994">
        <v>-14.3800001144409</v>
      </c>
      <c r="J565" s="994">
        <v>6656.8798828125</v>
      </c>
      <c r="K565" s="997">
        <v>6656.88</v>
      </c>
    </row>
    <row r="566" spans="1:11" ht="33.75" x14ac:dyDescent="0.25">
      <c r="A566" s="989" t="s">
        <v>2277</v>
      </c>
      <c r="B566" s="993">
        <v>2018</v>
      </c>
      <c r="C566" s="989" t="s">
        <v>2996</v>
      </c>
      <c r="D566" s="989" t="s">
        <v>48</v>
      </c>
      <c r="E566" s="989" t="s">
        <v>4917</v>
      </c>
      <c r="F566" s="994">
        <v>39216.31</v>
      </c>
      <c r="G566" s="989" t="s">
        <v>657</v>
      </c>
      <c r="H566" s="994">
        <v>38935.578125</v>
      </c>
      <c r="I566" s="994">
        <v>280.73001098632801</v>
      </c>
      <c r="J566" s="994">
        <v>39216.30859375</v>
      </c>
      <c r="K566" s="997">
        <v>39216.31</v>
      </c>
    </row>
    <row r="567" spans="1:11" ht="33.75" x14ac:dyDescent="0.25">
      <c r="A567" s="989" t="s">
        <v>2277</v>
      </c>
      <c r="B567" s="993">
        <v>2018</v>
      </c>
      <c r="C567" s="989" t="s">
        <v>2997</v>
      </c>
      <c r="D567" s="989" t="s">
        <v>50</v>
      </c>
      <c r="E567" s="989" t="s">
        <v>4918</v>
      </c>
      <c r="F567" s="994">
        <v>66284.14</v>
      </c>
      <c r="G567" s="989" t="s">
        <v>657</v>
      </c>
      <c r="H567" s="994">
        <v>66284.640625</v>
      </c>
      <c r="I567" s="994">
        <v>-0.5</v>
      </c>
      <c r="J567" s="994">
        <v>66284.140625</v>
      </c>
      <c r="K567" s="997">
        <v>66284.14</v>
      </c>
    </row>
    <row r="568" spans="1:11" ht="22.5" x14ac:dyDescent="0.25">
      <c r="A568" s="989" t="s">
        <v>2277</v>
      </c>
      <c r="B568" s="993">
        <v>2018</v>
      </c>
      <c r="C568" s="989" t="s">
        <v>2998</v>
      </c>
      <c r="D568" s="989" t="s">
        <v>348</v>
      </c>
      <c r="E568" s="989" t="s">
        <v>4919</v>
      </c>
      <c r="F568" s="994">
        <v>-63826.26</v>
      </c>
      <c r="G568" s="989" t="s">
        <v>657</v>
      </c>
      <c r="H568" s="994">
        <v>-63937.390625</v>
      </c>
      <c r="I568" s="994">
        <v>111.129997253418</v>
      </c>
      <c r="J568" s="994">
        <v>-63826.26171875</v>
      </c>
      <c r="K568" s="997">
        <v>-63826.26</v>
      </c>
    </row>
    <row r="569" spans="1:11" ht="45" x14ac:dyDescent="0.25">
      <c r="A569" s="989" t="s">
        <v>2277</v>
      </c>
      <c r="B569" s="993">
        <v>2018</v>
      </c>
      <c r="C569" s="989" t="s">
        <v>2999</v>
      </c>
      <c r="D569" s="989" t="s">
        <v>659</v>
      </c>
      <c r="E569" s="989" t="s">
        <v>4920</v>
      </c>
      <c r="F569" s="994">
        <v>0</v>
      </c>
      <c r="G569" s="989" t="s">
        <v>657</v>
      </c>
      <c r="H569" s="996"/>
      <c r="I569" s="996"/>
      <c r="J569" s="994">
        <v>0</v>
      </c>
      <c r="K569" s="997">
        <v>0</v>
      </c>
    </row>
    <row r="570" spans="1:11" ht="45" x14ac:dyDescent="0.25">
      <c r="A570" s="989" t="s">
        <v>2277</v>
      </c>
      <c r="B570" s="993">
        <v>2018</v>
      </c>
      <c r="C570" s="989" t="s">
        <v>2999</v>
      </c>
      <c r="D570" s="989" t="s">
        <v>660</v>
      </c>
      <c r="E570" s="989" t="s">
        <v>4921</v>
      </c>
      <c r="F570" s="994">
        <v>0</v>
      </c>
      <c r="G570" s="989" t="s">
        <v>657</v>
      </c>
      <c r="H570" s="996"/>
      <c r="I570" s="996"/>
      <c r="J570" s="994">
        <v>0</v>
      </c>
      <c r="K570" s="997">
        <v>0</v>
      </c>
    </row>
    <row r="571" spans="1:11" ht="45" x14ac:dyDescent="0.25">
      <c r="A571" s="989" t="s">
        <v>2277</v>
      </c>
      <c r="B571" s="993">
        <v>2018</v>
      </c>
      <c r="C571" s="989" t="s">
        <v>2999</v>
      </c>
      <c r="D571" s="989" t="s">
        <v>661</v>
      </c>
      <c r="E571" s="989" t="s">
        <v>4922</v>
      </c>
      <c r="F571" s="994">
        <v>0</v>
      </c>
      <c r="G571" s="989" t="s">
        <v>657</v>
      </c>
      <c r="H571" s="996"/>
      <c r="I571" s="996"/>
      <c r="J571" s="994">
        <v>0</v>
      </c>
      <c r="K571" s="997">
        <v>0</v>
      </c>
    </row>
    <row r="572" spans="1:11" ht="45" x14ac:dyDescent="0.25">
      <c r="A572" s="989" t="s">
        <v>2277</v>
      </c>
      <c r="B572" s="993">
        <v>2018</v>
      </c>
      <c r="C572" s="989" t="s">
        <v>2999</v>
      </c>
      <c r="D572" s="989" t="s">
        <v>662</v>
      </c>
      <c r="E572" s="989" t="s">
        <v>4923</v>
      </c>
      <c r="F572" s="994">
        <v>0</v>
      </c>
      <c r="G572" s="989" t="s">
        <v>657</v>
      </c>
      <c r="H572" s="994">
        <v>53.180000305175803</v>
      </c>
      <c r="I572" s="994">
        <v>-893.42999267578102</v>
      </c>
      <c r="J572" s="994">
        <v>-840.25</v>
      </c>
      <c r="K572" s="997">
        <v>-840.25</v>
      </c>
    </row>
    <row r="573" spans="1:11" ht="45" x14ac:dyDescent="0.25">
      <c r="A573" s="989" t="s">
        <v>2277</v>
      </c>
      <c r="B573" s="993">
        <v>2018</v>
      </c>
      <c r="C573" s="989" t="s">
        <v>2999</v>
      </c>
      <c r="D573" s="989" t="s">
        <v>663</v>
      </c>
      <c r="E573" s="989" t="s">
        <v>4924</v>
      </c>
      <c r="F573" s="994">
        <v>0</v>
      </c>
      <c r="G573" s="989" t="s">
        <v>657</v>
      </c>
      <c r="H573" s="994">
        <v>97054.2578125</v>
      </c>
      <c r="I573" s="994">
        <v>3296.31005859375</v>
      </c>
      <c r="J573" s="994">
        <v>100350.5703125</v>
      </c>
      <c r="K573" s="997">
        <v>100350.57</v>
      </c>
    </row>
    <row r="574" spans="1:11" ht="45" x14ac:dyDescent="0.25">
      <c r="A574" s="989" t="s">
        <v>2277</v>
      </c>
      <c r="B574" s="993">
        <v>2018</v>
      </c>
      <c r="C574" s="989" t="s">
        <v>2999</v>
      </c>
      <c r="D574" s="989" t="s">
        <v>664</v>
      </c>
      <c r="E574" s="989" t="s">
        <v>4925</v>
      </c>
      <c r="F574" s="994">
        <v>0</v>
      </c>
      <c r="G574" s="989" t="s">
        <v>657</v>
      </c>
      <c r="H574" s="994">
        <v>16.75</v>
      </c>
      <c r="I574" s="994">
        <v>139.75</v>
      </c>
      <c r="J574" s="994">
        <v>156.5</v>
      </c>
      <c r="K574" s="997">
        <v>156.5</v>
      </c>
    </row>
    <row r="575" spans="1:11" ht="45" x14ac:dyDescent="0.25">
      <c r="A575" s="989" t="s">
        <v>2277</v>
      </c>
      <c r="B575" s="993">
        <v>2018</v>
      </c>
      <c r="C575" s="989" t="s">
        <v>2999</v>
      </c>
      <c r="D575" s="989" t="s">
        <v>665</v>
      </c>
      <c r="E575" s="989" t="s">
        <v>4926</v>
      </c>
      <c r="F575" s="994">
        <v>0</v>
      </c>
      <c r="G575" s="989" t="s">
        <v>657</v>
      </c>
      <c r="H575" s="996"/>
      <c r="I575" s="996"/>
      <c r="J575" s="994">
        <v>0</v>
      </c>
      <c r="K575" s="997">
        <v>0</v>
      </c>
    </row>
    <row r="576" spans="1:11" ht="45" x14ac:dyDescent="0.25">
      <c r="A576" s="989" t="s">
        <v>2277</v>
      </c>
      <c r="B576" s="993">
        <v>2018</v>
      </c>
      <c r="C576" s="989" t="s">
        <v>2999</v>
      </c>
      <c r="D576" s="989" t="s">
        <v>1870</v>
      </c>
      <c r="E576" s="989" t="s">
        <v>4927</v>
      </c>
      <c r="F576" s="994">
        <v>0</v>
      </c>
      <c r="G576" s="989" t="s">
        <v>657</v>
      </c>
      <c r="H576" s="994">
        <v>168662.375</v>
      </c>
      <c r="I576" s="994">
        <v>-169075.421875</v>
      </c>
      <c r="J576" s="994">
        <v>-413.04000854492199</v>
      </c>
      <c r="K576" s="997">
        <v>-413.04000000000798</v>
      </c>
    </row>
    <row r="577" spans="1:11" ht="45" x14ac:dyDescent="0.25">
      <c r="A577" s="989" t="s">
        <v>2277</v>
      </c>
      <c r="B577" s="993">
        <v>2018</v>
      </c>
      <c r="C577" s="989" t="s">
        <v>2999</v>
      </c>
      <c r="D577" s="989" t="s">
        <v>2486</v>
      </c>
      <c r="E577" s="989" t="s">
        <v>4928</v>
      </c>
      <c r="F577" s="994">
        <v>0</v>
      </c>
      <c r="G577" s="989" t="s">
        <v>657</v>
      </c>
      <c r="H577" s="996"/>
      <c r="I577" s="996"/>
      <c r="J577" s="994">
        <v>0</v>
      </c>
      <c r="K577" s="997">
        <v>0</v>
      </c>
    </row>
    <row r="578" spans="1:11" ht="45" x14ac:dyDescent="0.25">
      <c r="A578" s="989" t="s">
        <v>2277</v>
      </c>
      <c r="B578" s="993">
        <v>2018</v>
      </c>
      <c r="C578" s="989" t="s">
        <v>2999</v>
      </c>
      <c r="D578" s="989" t="s">
        <v>4892</v>
      </c>
      <c r="E578" s="989" t="s">
        <v>6005</v>
      </c>
      <c r="F578" s="994">
        <v>0</v>
      </c>
      <c r="G578" s="989" t="s">
        <v>657</v>
      </c>
      <c r="H578" s="994">
        <v>37001.62890625</v>
      </c>
      <c r="I578" s="994">
        <v>1813.67004394531</v>
      </c>
      <c r="J578" s="994">
        <v>38815.30078125</v>
      </c>
      <c r="K578" s="997">
        <v>38815.300000000003</v>
      </c>
    </row>
    <row r="579" spans="1:11" ht="45" x14ac:dyDescent="0.25">
      <c r="A579" s="989" t="s">
        <v>2277</v>
      </c>
      <c r="B579" s="993">
        <v>2018</v>
      </c>
      <c r="C579" s="989" t="s">
        <v>2999</v>
      </c>
      <c r="D579" s="989" t="s">
        <v>666</v>
      </c>
      <c r="E579" s="989" t="s">
        <v>4929</v>
      </c>
      <c r="F579" s="994">
        <v>138069.07999999999</v>
      </c>
      <c r="G579" s="995"/>
      <c r="H579" s="996"/>
      <c r="I579" s="996"/>
      <c r="J579" s="994">
        <v>0</v>
      </c>
      <c r="K579" s="997">
        <v>138069.07999999999</v>
      </c>
    </row>
    <row r="580" spans="1:11" x14ac:dyDescent="0.25">
      <c r="A580" s="989" t="s">
        <v>204</v>
      </c>
      <c r="B580" s="993">
        <v>2018</v>
      </c>
      <c r="C580" s="989" t="s">
        <v>2991</v>
      </c>
      <c r="D580" s="989" t="s">
        <v>49</v>
      </c>
      <c r="E580" s="989" t="s">
        <v>827</v>
      </c>
      <c r="F580" s="994">
        <v>192219.33</v>
      </c>
      <c r="G580" s="989" t="s">
        <v>657</v>
      </c>
      <c r="H580" s="994">
        <v>188491.609375</v>
      </c>
      <c r="I580" s="994">
        <v>3727.71997070313</v>
      </c>
      <c r="J580" s="994">
        <v>192219.328125</v>
      </c>
      <c r="K580" s="997">
        <v>192219.33</v>
      </c>
    </row>
    <row r="581" spans="1:11" ht="33.75" x14ac:dyDescent="0.25">
      <c r="A581" s="989" t="s">
        <v>204</v>
      </c>
      <c r="B581" s="993">
        <v>2018</v>
      </c>
      <c r="C581" s="989" t="s">
        <v>2992</v>
      </c>
      <c r="D581" s="989" t="s">
        <v>658</v>
      </c>
      <c r="E581" s="989" t="s">
        <v>828</v>
      </c>
      <c r="F581" s="994">
        <v>-1471.74</v>
      </c>
      <c r="G581" s="989" t="s">
        <v>657</v>
      </c>
      <c r="H581" s="994">
        <v>-1463.15002441406</v>
      </c>
      <c r="I581" s="994">
        <v>-8.5900001525878906</v>
      </c>
      <c r="J581" s="994">
        <v>-1471.73999023438</v>
      </c>
      <c r="K581" s="997">
        <v>-1471.74</v>
      </c>
    </row>
    <row r="582" spans="1:11" ht="22.5" x14ac:dyDescent="0.25">
      <c r="A582" s="989" t="s">
        <v>204</v>
      </c>
      <c r="B582" s="993">
        <v>2018</v>
      </c>
      <c r="C582" s="989" t="s">
        <v>2993</v>
      </c>
      <c r="D582" s="989" t="s">
        <v>464</v>
      </c>
      <c r="E582" s="989" t="s">
        <v>829</v>
      </c>
      <c r="F582" s="994">
        <v>0</v>
      </c>
      <c r="G582" s="995"/>
      <c r="H582" s="996"/>
      <c r="I582" s="996"/>
      <c r="J582" s="994">
        <v>0</v>
      </c>
      <c r="K582" s="997">
        <v>0</v>
      </c>
    </row>
    <row r="583" spans="1:11" ht="33.75" x14ac:dyDescent="0.25">
      <c r="A583" s="989" t="s">
        <v>204</v>
      </c>
      <c r="B583" s="993">
        <v>2018</v>
      </c>
      <c r="C583" s="989" t="s">
        <v>2994</v>
      </c>
      <c r="D583" s="989" t="s">
        <v>46</v>
      </c>
      <c r="E583" s="989" t="s">
        <v>830</v>
      </c>
      <c r="F583" s="994">
        <v>10697.89</v>
      </c>
      <c r="G583" s="989" t="s">
        <v>657</v>
      </c>
      <c r="H583" s="994">
        <v>10662.8203125</v>
      </c>
      <c r="I583" s="994">
        <v>35.069999694824197</v>
      </c>
      <c r="J583" s="994">
        <v>10697.8896484375</v>
      </c>
      <c r="K583" s="997">
        <v>10697.89</v>
      </c>
    </row>
    <row r="584" spans="1:11" ht="22.5" x14ac:dyDescent="0.25">
      <c r="A584" s="989" t="s">
        <v>204</v>
      </c>
      <c r="B584" s="993">
        <v>2018</v>
      </c>
      <c r="C584" s="989" t="s">
        <v>2994</v>
      </c>
      <c r="D584" s="989" t="s">
        <v>2482</v>
      </c>
      <c r="E584" s="989" t="s">
        <v>830</v>
      </c>
      <c r="F584" s="994">
        <v>0</v>
      </c>
      <c r="G584" s="995"/>
      <c r="H584" s="996"/>
      <c r="I584" s="996"/>
      <c r="J584" s="994">
        <v>0</v>
      </c>
      <c r="K584" s="997">
        <v>0</v>
      </c>
    </row>
    <row r="585" spans="1:11" ht="22.5" x14ac:dyDescent="0.25">
      <c r="A585" s="989" t="s">
        <v>204</v>
      </c>
      <c r="B585" s="993">
        <v>2018</v>
      </c>
      <c r="C585" s="989" t="s">
        <v>2994</v>
      </c>
      <c r="D585" s="989" t="s">
        <v>2483</v>
      </c>
      <c r="E585" s="989" t="s">
        <v>830</v>
      </c>
      <c r="F585" s="994">
        <v>0</v>
      </c>
      <c r="G585" s="995"/>
      <c r="H585" s="996"/>
      <c r="I585" s="996"/>
      <c r="J585" s="994">
        <v>0</v>
      </c>
      <c r="K585" s="997">
        <v>0</v>
      </c>
    </row>
    <row r="586" spans="1:11" ht="22.5" x14ac:dyDescent="0.25">
      <c r="A586" s="989" t="s">
        <v>204</v>
      </c>
      <c r="B586" s="993">
        <v>2018</v>
      </c>
      <c r="C586" s="989" t="s">
        <v>2994</v>
      </c>
      <c r="D586" s="989" t="s">
        <v>2484</v>
      </c>
      <c r="E586" s="989" t="s">
        <v>830</v>
      </c>
      <c r="F586" s="994">
        <v>0</v>
      </c>
      <c r="G586" s="995"/>
      <c r="H586" s="996"/>
      <c r="I586" s="996"/>
      <c r="J586" s="994">
        <v>0</v>
      </c>
      <c r="K586" s="997">
        <v>0</v>
      </c>
    </row>
    <row r="587" spans="1:11" ht="22.5" x14ac:dyDescent="0.25">
      <c r="A587" s="989" t="s">
        <v>204</v>
      </c>
      <c r="B587" s="993">
        <v>2018</v>
      </c>
      <c r="C587" s="989" t="s">
        <v>2994</v>
      </c>
      <c r="D587" s="989" t="s">
        <v>2485</v>
      </c>
      <c r="E587" s="989" t="s">
        <v>830</v>
      </c>
      <c r="F587" s="994">
        <v>0</v>
      </c>
      <c r="G587" s="995"/>
      <c r="H587" s="996"/>
      <c r="I587" s="996"/>
      <c r="J587" s="994">
        <v>0</v>
      </c>
      <c r="K587" s="997">
        <v>0</v>
      </c>
    </row>
    <row r="588" spans="1:11" ht="33.75" x14ac:dyDescent="0.25">
      <c r="A588" s="989" t="s">
        <v>204</v>
      </c>
      <c r="B588" s="993">
        <v>2018</v>
      </c>
      <c r="C588" s="989" t="s">
        <v>2995</v>
      </c>
      <c r="D588" s="989" t="s">
        <v>47</v>
      </c>
      <c r="E588" s="989" t="s">
        <v>831</v>
      </c>
      <c r="F588" s="994">
        <v>28274.21</v>
      </c>
      <c r="G588" s="989" t="s">
        <v>657</v>
      </c>
      <c r="H588" s="994">
        <v>27719.779296875</v>
      </c>
      <c r="I588" s="994">
        <v>554.42999267578102</v>
      </c>
      <c r="J588" s="994">
        <v>28274.2109375</v>
      </c>
      <c r="K588" s="997">
        <v>28274.21</v>
      </c>
    </row>
    <row r="589" spans="1:11" ht="33.75" x14ac:dyDescent="0.25">
      <c r="A589" s="989" t="s">
        <v>204</v>
      </c>
      <c r="B589" s="993">
        <v>2018</v>
      </c>
      <c r="C589" s="989" t="s">
        <v>2996</v>
      </c>
      <c r="D589" s="989" t="s">
        <v>48</v>
      </c>
      <c r="E589" s="989" t="s">
        <v>832</v>
      </c>
      <c r="F589" s="994">
        <v>31035.83</v>
      </c>
      <c r="G589" s="989" t="s">
        <v>657</v>
      </c>
      <c r="H589" s="994">
        <v>30472.349609375</v>
      </c>
      <c r="I589" s="994">
        <v>563.47998046875</v>
      </c>
      <c r="J589" s="994">
        <v>31035.830078125</v>
      </c>
      <c r="K589" s="997">
        <v>31035.83</v>
      </c>
    </row>
    <row r="590" spans="1:11" ht="33.75" x14ac:dyDescent="0.25">
      <c r="A590" s="989" t="s">
        <v>204</v>
      </c>
      <c r="B590" s="993">
        <v>2018</v>
      </c>
      <c r="C590" s="989" t="s">
        <v>2997</v>
      </c>
      <c r="D590" s="989" t="s">
        <v>50</v>
      </c>
      <c r="E590" s="989" t="s">
        <v>833</v>
      </c>
      <c r="F590" s="994">
        <v>288418.84999999998</v>
      </c>
      <c r="G590" s="989" t="s">
        <v>657</v>
      </c>
      <c r="H590" s="994">
        <v>286068.375</v>
      </c>
      <c r="I590" s="994">
        <v>2350.46997070313</v>
      </c>
      <c r="J590" s="994">
        <v>288418.84375</v>
      </c>
      <c r="K590" s="997">
        <v>288418.84999999998</v>
      </c>
    </row>
    <row r="591" spans="1:11" ht="22.5" x14ac:dyDescent="0.25">
      <c r="A591" s="989" t="s">
        <v>204</v>
      </c>
      <c r="B591" s="993">
        <v>2018</v>
      </c>
      <c r="C591" s="989" t="s">
        <v>2998</v>
      </c>
      <c r="D591" s="989" t="s">
        <v>348</v>
      </c>
      <c r="E591" s="989" t="s">
        <v>834</v>
      </c>
      <c r="F591" s="994">
        <v>90193.49</v>
      </c>
      <c r="G591" s="989" t="s">
        <v>657</v>
      </c>
      <c r="H591" s="994">
        <v>85636.046875</v>
      </c>
      <c r="I591" s="994">
        <v>4557.43994140625</v>
      </c>
      <c r="J591" s="994">
        <v>90193.4921875</v>
      </c>
      <c r="K591" s="997">
        <v>90193.49</v>
      </c>
    </row>
    <row r="592" spans="1:11" ht="45" x14ac:dyDescent="0.25">
      <c r="A592" s="989" t="s">
        <v>204</v>
      </c>
      <c r="B592" s="993">
        <v>2018</v>
      </c>
      <c r="C592" s="989" t="s">
        <v>2999</v>
      </c>
      <c r="D592" s="989" t="s">
        <v>659</v>
      </c>
      <c r="E592" s="989" t="s">
        <v>1271</v>
      </c>
      <c r="F592" s="994">
        <v>0</v>
      </c>
      <c r="G592" s="989" t="s">
        <v>657</v>
      </c>
      <c r="H592" s="996"/>
      <c r="I592" s="996"/>
      <c r="J592" s="994">
        <v>0</v>
      </c>
      <c r="K592" s="997">
        <v>0</v>
      </c>
    </row>
    <row r="593" spans="1:11" ht="45" x14ac:dyDescent="0.25">
      <c r="A593" s="989" t="s">
        <v>204</v>
      </c>
      <c r="B593" s="993">
        <v>2018</v>
      </c>
      <c r="C593" s="989" t="s">
        <v>2999</v>
      </c>
      <c r="D593" s="989" t="s">
        <v>660</v>
      </c>
      <c r="E593" s="989" t="s">
        <v>1272</v>
      </c>
      <c r="F593" s="994">
        <v>0</v>
      </c>
      <c r="G593" s="989" t="s">
        <v>657</v>
      </c>
      <c r="H593" s="996"/>
      <c r="I593" s="996"/>
      <c r="J593" s="994">
        <v>0</v>
      </c>
      <c r="K593" s="997">
        <v>0</v>
      </c>
    </row>
    <row r="594" spans="1:11" ht="45" x14ac:dyDescent="0.25">
      <c r="A594" s="989" t="s">
        <v>204</v>
      </c>
      <c r="B594" s="993">
        <v>2018</v>
      </c>
      <c r="C594" s="989" t="s">
        <v>2999</v>
      </c>
      <c r="D594" s="989" t="s">
        <v>661</v>
      </c>
      <c r="E594" s="989" t="s">
        <v>1273</v>
      </c>
      <c r="F594" s="994">
        <v>0</v>
      </c>
      <c r="G594" s="989" t="s">
        <v>657</v>
      </c>
      <c r="H594" s="996"/>
      <c r="I594" s="996"/>
      <c r="J594" s="994">
        <v>0</v>
      </c>
      <c r="K594" s="997">
        <v>0</v>
      </c>
    </row>
    <row r="595" spans="1:11" ht="45" x14ac:dyDescent="0.25">
      <c r="A595" s="989" t="s">
        <v>204</v>
      </c>
      <c r="B595" s="993">
        <v>2018</v>
      </c>
      <c r="C595" s="989" t="s">
        <v>2999</v>
      </c>
      <c r="D595" s="989" t="s">
        <v>662</v>
      </c>
      <c r="E595" s="989" t="s">
        <v>1274</v>
      </c>
      <c r="F595" s="994">
        <v>0</v>
      </c>
      <c r="G595" s="989" t="s">
        <v>657</v>
      </c>
      <c r="H595" s="996"/>
      <c r="I595" s="996"/>
      <c r="J595" s="994">
        <v>0</v>
      </c>
      <c r="K595" s="997">
        <v>0</v>
      </c>
    </row>
    <row r="596" spans="1:11" ht="45" x14ac:dyDescent="0.25">
      <c r="A596" s="989" t="s">
        <v>204</v>
      </c>
      <c r="B596" s="993">
        <v>2018</v>
      </c>
      <c r="C596" s="989" t="s">
        <v>2999</v>
      </c>
      <c r="D596" s="989" t="s">
        <v>663</v>
      </c>
      <c r="E596" s="989" t="s">
        <v>1275</v>
      </c>
      <c r="F596" s="994">
        <v>0</v>
      </c>
      <c r="G596" s="989" t="s">
        <v>657</v>
      </c>
      <c r="H596" s="996"/>
      <c r="I596" s="996"/>
      <c r="J596" s="994">
        <v>0</v>
      </c>
      <c r="K596" s="997">
        <v>0</v>
      </c>
    </row>
    <row r="597" spans="1:11" ht="45" x14ac:dyDescent="0.25">
      <c r="A597" s="989" t="s">
        <v>204</v>
      </c>
      <c r="B597" s="993">
        <v>2018</v>
      </c>
      <c r="C597" s="989" t="s">
        <v>2999</v>
      </c>
      <c r="D597" s="989" t="s">
        <v>664</v>
      </c>
      <c r="E597" s="989" t="s">
        <v>1276</v>
      </c>
      <c r="F597" s="994">
        <v>0</v>
      </c>
      <c r="G597" s="989" t="s">
        <v>657</v>
      </c>
      <c r="H597" s="994">
        <v>3455</v>
      </c>
      <c r="I597" s="994">
        <v>1689.06005859375</v>
      </c>
      <c r="J597" s="994">
        <v>5144.06005859375</v>
      </c>
      <c r="K597" s="997">
        <v>5144.0600000000004</v>
      </c>
    </row>
    <row r="598" spans="1:11" ht="45" x14ac:dyDescent="0.25">
      <c r="A598" s="989" t="s">
        <v>204</v>
      </c>
      <c r="B598" s="993">
        <v>2018</v>
      </c>
      <c r="C598" s="989" t="s">
        <v>2999</v>
      </c>
      <c r="D598" s="989" t="s">
        <v>665</v>
      </c>
      <c r="E598" s="989" t="s">
        <v>1277</v>
      </c>
      <c r="F598" s="994">
        <v>0</v>
      </c>
      <c r="G598" s="989" t="s">
        <v>657</v>
      </c>
      <c r="H598" s="994">
        <v>-64819.19140625</v>
      </c>
      <c r="I598" s="994">
        <v>91067.1484375</v>
      </c>
      <c r="J598" s="994">
        <v>26247.9609375</v>
      </c>
      <c r="K598" s="997">
        <v>26247.96</v>
      </c>
    </row>
    <row r="599" spans="1:11" ht="45" x14ac:dyDescent="0.25">
      <c r="A599" s="989" t="s">
        <v>204</v>
      </c>
      <c r="B599" s="993">
        <v>2018</v>
      </c>
      <c r="C599" s="989" t="s">
        <v>2999</v>
      </c>
      <c r="D599" s="989" t="s">
        <v>1870</v>
      </c>
      <c r="E599" s="989" t="s">
        <v>2305</v>
      </c>
      <c r="F599" s="994">
        <v>0</v>
      </c>
      <c r="G599" s="989" t="s">
        <v>657</v>
      </c>
      <c r="H599" s="996"/>
      <c r="I599" s="996"/>
      <c r="J599" s="994">
        <v>0</v>
      </c>
      <c r="K599" s="997">
        <v>0</v>
      </c>
    </row>
    <row r="600" spans="1:11" ht="45" x14ac:dyDescent="0.25">
      <c r="A600" s="989" t="s">
        <v>204</v>
      </c>
      <c r="B600" s="993">
        <v>2018</v>
      </c>
      <c r="C600" s="989" t="s">
        <v>2999</v>
      </c>
      <c r="D600" s="989" t="s">
        <v>2486</v>
      </c>
      <c r="E600" s="989" t="s">
        <v>2509</v>
      </c>
      <c r="F600" s="994">
        <v>0</v>
      </c>
      <c r="G600" s="989" t="s">
        <v>657</v>
      </c>
      <c r="H600" s="996"/>
      <c r="I600" s="996"/>
      <c r="J600" s="994">
        <v>0</v>
      </c>
      <c r="K600" s="997">
        <v>0</v>
      </c>
    </row>
    <row r="601" spans="1:11" ht="45" x14ac:dyDescent="0.25">
      <c r="A601" s="989" t="s">
        <v>204</v>
      </c>
      <c r="B601" s="993">
        <v>2018</v>
      </c>
      <c r="C601" s="989" t="s">
        <v>2999</v>
      </c>
      <c r="D601" s="989" t="s">
        <v>4892</v>
      </c>
      <c r="E601" s="989" t="s">
        <v>6006</v>
      </c>
      <c r="F601" s="994">
        <v>0</v>
      </c>
      <c r="G601" s="989" t="s">
        <v>657</v>
      </c>
      <c r="H601" s="996"/>
      <c r="I601" s="996"/>
      <c r="J601" s="994">
        <v>0</v>
      </c>
      <c r="K601" s="997">
        <v>0</v>
      </c>
    </row>
    <row r="602" spans="1:11" ht="45" x14ac:dyDescent="0.25">
      <c r="A602" s="989" t="s">
        <v>204</v>
      </c>
      <c r="B602" s="993">
        <v>2018</v>
      </c>
      <c r="C602" s="989" t="s">
        <v>2999</v>
      </c>
      <c r="D602" s="989" t="s">
        <v>666</v>
      </c>
      <c r="E602" s="989" t="s">
        <v>1557</v>
      </c>
      <c r="F602" s="994">
        <v>31392.02</v>
      </c>
      <c r="G602" s="995"/>
      <c r="H602" s="996"/>
      <c r="I602" s="996"/>
      <c r="J602" s="994">
        <v>0</v>
      </c>
      <c r="K602" s="997">
        <v>31392.02</v>
      </c>
    </row>
    <row r="603" spans="1:11" x14ac:dyDescent="0.25">
      <c r="A603" s="989" t="s">
        <v>183</v>
      </c>
      <c r="B603" s="993">
        <v>2018</v>
      </c>
      <c r="C603" s="989" t="s">
        <v>2991</v>
      </c>
      <c r="D603" s="989" t="s">
        <v>49</v>
      </c>
      <c r="E603" s="989" t="s">
        <v>835</v>
      </c>
      <c r="F603" s="994">
        <v>250311.97</v>
      </c>
      <c r="G603" s="989" t="s">
        <v>657</v>
      </c>
      <c r="H603" s="994">
        <v>245732.015625</v>
      </c>
      <c r="I603" s="994">
        <v>4579.9501953125</v>
      </c>
      <c r="J603" s="994">
        <v>250311.96875</v>
      </c>
      <c r="K603" s="997">
        <v>250311.97</v>
      </c>
    </row>
    <row r="604" spans="1:11" ht="33.75" x14ac:dyDescent="0.25">
      <c r="A604" s="989" t="s">
        <v>183</v>
      </c>
      <c r="B604" s="993">
        <v>2018</v>
      </c>
      <c r="C604" s="989" t="s">
        <v>2992</v>
      </c>
      <c r="D604" s="989" t="s">
        <v>658</v>
      </c>
      <c r="E604" s="989" t="s">
        <v>836</v>
      </c>
      <c r="F604" s="994">
        <v>-1263.42</v>
      </c>
      <c r="G604" s="989" t="s">
        <v>657</v>
      </c>
      <c r="H604" s="994">
        <v>-1244.32995605469</v>
      </c>
      <c r="I604" s="994">
        <v>-19.090000152587901</v>
      </c>
      <c r="J604" s="994">
        <v>-1263.42004394531</v>
      </c>
      <c r="K604" s="997">
        <v>-1263.42</v>
      </c>
    </row>
    <row r="605" spans="1:11" ht="22.5" x14ac:dyDescent="0.25">
      <c r="A605" s="989" t="s">
        <v>183</v>
      </c>
      <c r="B605" s="993">
        <v>2018</v>
      </c>
      <c r="C605" s="989" t="s">
        <v>2993</v>
      </c>
      <c r="D605" s="989" t="s">
        <v>464</v>
      </c>
      <c r="E605" s="989" t="s">
        <v>837</v>
      </c>
      <c r="F605" s="994">
        <v>0</v>
      </c>
      <c r="G605" s="995"/>
      <c r="H605" s="996"/>
      <c r="I605" s="996"/>
      <c r="J605" s="994">
        <v>0</v>
      </c>
      <c r="K605" s="997">
        <v>0</v>
      </c>
    </row>
    <row r="606" spans="1:11" ht="33.75" x14ac:dyDescent="0.25">
      <c r="A606" s="989" t="s">
        <v>183</v>
      </c>
      <c r="B606" s="993">
        <v>2018</v>
      </c>
      <c r="C606" s="989" t="s">
        <v>2994</v>
      </c>
      <c r="D606" s="989" t="s">
        <v>46</v>
      </c>
      <c r="E606" s="989" t="s">
        <v>838</v>
      </c>
      <c r="F606" s="994">
        <v>-434886.44</v>
      </c>
      <c r="G606" s="989" t="s">
        <v>657</v>
      </c>
      <c r="H606" s="994">
        <v>-425769.21875</v>
      </c>
      <c r="I606" s="994">
        <v>-9117.2099609375</v>
      </c>
      <c r="J606" s="994">
        <v>-434886.4375</v>
      </c>
      <c r="K606" s="997">
        <v>-434886.44</v>
      </c>
    </row>
    <row r="607" spans="1:11" ht="22.5" x14ac:dyDescent="0.25">
      <c r="A607" s="989" t="s">
        <v>183</v>
      </c>
      <c r="B607" s="993">
        <v>2018</v>
      </c>
      <c r="C607" s="989" t="s">
        <v>2994</v>
      </c>
      <c r="D607" s="989" t="s">
        <v>2482</v>
      </c>
      <c r="E607" s="989" t="s">
        <v>838</v>
      </c>
      <c r="F607" s="994">
        <v>0</v>
      </c>
      <c r="G607" s="995"/>
      <c r="H607" s="996"/>
      <c r="I607" s="996"/>
      <c r="J607" s="994">
        <v>0</v>
      </c>
      <c r="K607" s="997">
        <v>0</v>
      </c>
    </row>
    <row r="608" spans="1:11" ht="22.5" x14ac:dyDescent="0.25">
      <c r="A608" s="989" t="s">
        <v>183</v>
      </c>
      <c r="B608" s="993">
        <v>2018</v>
      </c>
      <c r="C608" s="989" t="s">
        <v>2994</v>
      </c>
      <c r="D608" s="989" t="s">
        <v>2483</v>
      </c>
      <c r="E608" s="989" t="s">
        <v>838</v>
      </c>
      <c r="F608" s="994">
        <v>0</v>
      </c>
      <c r="G608" s="995"/>
      <c r="H608" s="996"/>
      <c r="I608" s="996"/>
      <c r="J608" s="994">
        <v>0</v>
      </c>
      <c r="K608" s="997">
        <v>0</v>
      </c>
    </row>
    <row r="609" spans="1:11" ht="22.5" x14ac:dyDescent="0.25">
      <c r="A609" s="989" t="s">
        <v>183</v>
      </c>
      <c r="B609" s="993">
        <v>2018</v>
      </c>
      <c r="C609" s="989" t="s">
        <v>2994</v>
      </c>
      <c r="D609" s="989" t="s">
        <v>2484</v>
      </c>
      <c r="E609" s="989" t="s">
        <v>838</v>
      </c>
      <c r="F609" s="994">
        <v>0</v>
      </c>
      <c r="G609" s="995"/>
      <c r="H609" s="996"/>
      <c r="I609" s="996"/>
      <c r="J609" s="994">
        <v>0</v>
      </c>
      <c r="K609" s="997">
        <v>0</v>
      </c>
    </row>
    <row r="610" spans="1:11" ht="22.5" x14ac:dyDescent="0.25">
      <c r="A610" s="989" t="s">
        <v>183</v>
      </c>
      <c r="B610" s="993">
        <v>2018</v>
      </c>
      <c r="C610" s="989" t="s">
        <v>2994</v>
      </c>
      <c r="D610" s="989" t="s">
        <v>2485</v>
      </c>
      <c r="E610" s="989" t="s">
        <v>838</v>
      </c>
      <c r="F610" s="994">
        <v>0</v>
      </c>
      <c r="G610" s="995"/>
      <c r="H610" s="996"/>
      <c r="I610" s="996"/>
      <c r="J610" s="994">
        <v>0</v>
      </c>
      <c r="K610" s="997">
        <v>0</v>
      </c>
    </row>
    <row r="611" spans="1:11" ht="33.75" x14ac:dyDescent="0.25">
      <c r="A611" s="989" t="s">
        <v>183</v>
      </c>
      <c r="B611" s="993">
        <v>2018</v>
      </c>
      <c r="C611" s="989" t="s">
        <v>2995</v>
      </c>
      <c r="D611" s="989" t="s">
        <v>47</v>
      </c>
      <c r="E611" s="989" t="s">
        <v>839</v>
      </c>
      <c r="F611" s="994">
        <v>-43479.54</v>
      </c>
      <c r="G611" s="989" t="s">
        <v>657</v>
      </c>
      <c r="H611" s="994">
        <v>-44974.83984375</v>
      </c>
      <c r="I611" s="994">
        <v>1495.30004882813</v>
      </c>
      <c r="J611" s="994">
        <v>-43479.5390625</v>
      </c>
      <c r="K611" s="997">
        <v>-43479.54</v>
      </c>
    </row>
    <row r="612" spans="1:11" ht="33.75" x14ac:dyDescent="0.25">
      <c r="A612" s="989" t="s">
        <v>183</v>
      </c>
      <c r="B612" s="993">
        <v>2018</v>
      </c>
      <c r="C612" s="989" t="s">
        <v>2996</v>
      </c>
      <c r="D612" s="989" t="s">
        <v>48</v>
      </c>
      <c r="E612" s="989" t="s">
        <v>840</v>
      </c>
      <c r="F612" s="994">
        <v>67207.86</v>
      </c>
      <c r="G612" s="989" t="s">
        <v>657</v>
      </c>
      <c r="H612" s="994">
        <v>64933.23046875</v>
      </c>
      <c r="I612" s="994">
        <v>2274.6298828125</v>
      </c>
      <c r="J612" s="994">
        <v>67207.859375</v>
      </c>
      <c r="K612" s="997">
        <v>67207.86</v>
      </c>
    </row>
    <row r="613" spans="1:11" ht="33.75" x14ac:dyDescent="0.25">
      <c r="A613" s="989" t="s">
        <v>183</v>
      </c>
      <c r="B613" s="993">
        <v>2018</v>
      </c>
      <c r="C613" s="989" t="s">
        <v>2997</v>
      </c>
      <c r="D613" s="989" t="s">
        <v>50</v>
      </c>
      <c r="E613" s="989" t="s">
        <v>841</v>
      </c>
      <c r="F613" s="994">
        <v>-567358.62</v>
      </c>
      <c r="G613" s="989" t="s">
        <v>657</v>
      </c>
      <c r="H613" s="994">
        <v>-559028.75</v>
      </c>
      <c r="I613" s="994">
        <v>-8329.8798828125</v>
      </c>
      <c r="J613" s="994">
        <v>-567358.625</v>
      </c>
      <c r="K613" s="997">
        <v>-567358.62</v>
      </c>
    </row>
    <row r="614" spans="1:11" ht="22.5" x14ac:dyDescent="0.25">
      <c r="A614" s="989" t="s">
        <v>183</v>
      </c>
      <c r="B614" s="993">
        <v>2018</v>
      </c>
      <c r="C614" s="989" t="s">
        <v>2998</v>
      </c>
      <c r="D614" s="989" t="s">
        <v>348</v>
      </c>
      <c r="E614" s="989" t="s">
        <v>842</v>
      </c>
      <c r="F614" s="994">
        <v>100800.34</v>
      </c>
      <c r="G614" s="989" t="s">
        <v>657</v>
      </c>
      <c r="H614" s="994">
        <v>105409.9375</v>
      </c>
      <c r="I614" s="994">
        <v>-4609.60009765625</v>
      </c>
      <c r="J614" s="994">
        <v>100800.34375</v>
      </c>
      <c r="K614" s="997">
        <v>100800.34</v>
      </c>
    </row>
    <row r="615" spans="1:11" ht="45" x14ac:dyDescent="0.25">
      <c r="A615" s="989" t="s">
        <v>183</v>
      </c>
      <c r="B615" s="993">
        <v>2018</v>
      </c>
      <c r="C615" s="989" t="s">
        <v>2999</v>
      </c>
      <c r="D615" s="989" t="s">
        <v>659</v>
      </c>
      <c r="E615" s="989" t="s">
        <v>1278</v>
      </c>
      <c r="F615" s="994">
        <v>0</v>
      </c>
      <c r="G615" s="989" t="s">
        <v>657</v>
      </c>
      <c r="H615" s="994">
        <v>0</v>
      </c>
      <c r="I615" s="994">
        <v>0</v>
      </c>
      <c r="J615" s="994">
        <v>0</v>
      </c>
      <c r="K615" s="997">
        <v>0</v>
      </c>
    </row>
    <row r="616" spans="1:11" ht="45" x14ac:dyDescent="0.25">
      <c r="A616" s="989" t="s">
        <v>183</v>
      </c>
      <c r="B616" s="993">
        <v>2018</v>
      </c>
      <c r="C616" s="989" t="s">
        <v>2999</v>
      </c>
      <c r="D616" s="989" t="s">
        <v>660</v>
      </c>
      <c r="E616" s="989" t="s">
        <v>1279</v>
      </c>
      <c r="F616" s="994">
        <v>0</v>
      </c>
      <c r="G616" s="989" t="s">
        <v>657</v>
      </c>
      <c r="H616" s="994">
        <v>0</v>
      </c>
      <c r="I616" s="994">
        <v>0</v>
      </c>
      <c r="J616" s="994">
        <v>0</v>
      </c>
      <c r="K616" s="997">
        <v>0</v>
      </c>
    </row>
    <row r="617" spans="1:11" ht="45" x14ac:dyDescent="0.25">
      <c r="A617" s="989" t="s">
        <v>183</v>
      </c>
      <c r="B617" s="993">
        <v>2018</v>
      </c>
      <c r="C617" s="989" t="s">
        <v>2999</v>
      </c>
      <c r="D617" s="989" t="s">
        <v>661</v>
      </c>
      <c r="E617" s="989" t="s">
        <v>1280</v>
      </c>
      <c r="F617" s="994">
        <v>0</v>
      </c>
      <c r="G617" s="989" t="s">
        <v>657</v>
      </c>
      <c r="H617" s="994">
        <v>0</v>
      </c>
      <c r="I617" s="994">
        <v>0</v>
      </c>
      <c r="J617" s="994">
        <v>0</v>
      </c>
      <c r="K617" s="997">
        <v>0</v>
      </c>
    </row>
    <row r="618" spans="1:11" ht="45" x14ac:dyDescent="0.25">
      <c r="A618" s="989" t="s">
        <v>183</v>
      </c>
      <c r="B618" s="993">
        <v>2018</v>
      </c>
      <c r="C618" s="989" t="s">
        <v>2999</v>
      </c>
      <c r="D618" s="989" t="s">
        <v>662</v>
      </c>
      <c r="E618" s="989" t="s">
        <v>1281</v>
      </c>
      <c r="F618" s="994">
        <v>0</v>
      </c>
      <c r="G618" s="989" t="s">
        <v>657</v>
      </c>
      <c r="H618" s="994">
        <v>0</v>
      </c>
      <c r="I618" s="994">
        <v>0</v>
      </c>
      <c r="J618" s="994">
        <v>0</v>
      </c>
      <c r="K618" s="997">
        <v>0</v>
      </c>
    </row>
    <row r="619" spans="1:11" ht="45" x14ac:dyDescent="0.25">
      <c r="A619" s="989" t="s">
        <v>183</v>
      </c>
      <c r="B619" s="993">
        <v>2018</v>
      </c>
      <c r="C619" s="989" t="s">
        <v>2999</v>
      </c>
      <c r="D619" s="989" t="s">
        <v>663</v>
      </c>
      <c r="E619" s="989" t="s">
        <v>1282</v>
      </c>
      <c r="F619" s="994">
        <v>0</v>
      </c>
      <c r="G619" s="989" t="s">
        <v>657</v>
      </c>
      <c r="H619" s="994">
        <v>0</v>
      </c>
      <c r="I619" s="994">
        <v>0</v>
      </c>
      <c r="J619" s="994">
        <v>0</v>
      </c>
      <c r="K619" s="997">
        <v>0</v>
      </c>
    </row>
    <row r="620" spans="1:11" ht="45" x14ac:dyDescent="0.25">
      <c r="A620" s="989" t="s">
        <v>183</v>
      </c>
      <c r="B620" s="993">
        <v>2018</v>
      </c>
      <c r="C620" s="989" t="s">
        <v>2999</v>
      </c>
      <c r="D620" s="989" t="s">
        <v>664</v>
      </c>
      <c r="E620" s="989" t="s">
        <v>1283</v>
      </c>
      <c r="F620" s="994">
        <v>0</v>
      </c>
      <c r="G620" s="989" t="s">
        <v>657</v>
      </c>
      <c r="H620" s="994">
        <v>36283.640625</v>
      </c>
      <c r="I620" s="994">
        <v>7318.14013671875</v>
      </c>
      <c r="J620" s="994">
        <v>43601.78125</v>
      </c>
      <c r="K620" s="997">
        <v>43601.78</v>
      </c>
    </row>
    <row r="621" spans="1:11" ht="45" x14ac:dyDescent="0.25">
      <c r="A621" s="989" t="s">
        <v>183</v>
      </c>
      <c r="B621" s="993">
        <v>2018</v>
      </c>
      <c r="C621" s="989" t="s">
        <v>2999</v>
      </c>
      <c r="D621" s="989" t="s">
        <v>665</v>
      </c>
      <c r="E621" s="989" t="s">
        <v>1284</v>
      </c>
      <c r="F621" s="994">
        <v>0</v>
      </c>
      <c r="G621" s="989" t="s">
        <v>657</v>
      </c>
      <c r="H621" s="994">
        <v>-19844.30078125</v>
      </c>
      <c r="I621" s="994">
        <v>-61.389999389648402</v>
      </c>
      <c r="J621" s="994">
        <v>-19905.689453125</v>
      </c>
      <c r="K621" s="997">
        <v>-19905.689999999999</v>
      </c>
    </row>
    <row r="622" spans="1:11" ht="45" x14ac:dyDescent="0.25">
      <c r="A622" s="989" t="s">
        <v>183</v>
      </c>
      <c r="B622" s="993">
        <v>2018</v>
      </c>
      <c r="C622" s="989" t="s">
        <v>2999</v>
      </c>
      <c r="D622" s="989" t="s">
        <v>1870</v>
      </c>
      <c r="E622" s="989" t="s">
        <v>2306</v>
      </c>
      <c r="F622" s="994">
        <v>0</v>
      </c>
      <c r="G622" s="989" t="s">
        <v>657</v>
      </c>
      <c r="H622" s="994">
        <v>30516.240234375</v>
      </c>
      <c r="I622" s="994">
        <v>3255.1298828125</v>
      </c>
      <c r="J622" s="994">
        <v>33771.37109375</v>
      </c>
      <c r="K622" s="997">
        <v>33771.370000000003</v>
      </c>
    </row>
    <row r="623" spans="1:11" ht="45" x14ac:dyDescent="0.25">
      <c r="A623" s="989" t="s">
        <v>183</v>
      </c>
      <c r="B623" s="993">
        <v>2018</v>
      </c>
      <c r="C623" s="989" t="s">
        <v>2999</v>
      </c>
      <c r="D623" s="989" t="s">
        <v>2486</v>
      </c>
      <c r="E623" s="989" t="s">
        <v>2510</v>
      </c>
      <c r="F623" s="994">
        <v>0</v>
      </c>
      <c r="G623" s="989" t="s">
        <v>657</v>
      </c>
      <c r="H623" s="994">
        <v>0</v>
      </c>
      <c r="I623" s="994">
        <v>0</v>
      </c>
      <c r="J623" s="994">
        <v>0</v>
      </c>
      <c r="K623" s="997">
        <v>0</v>
      </c>
    </row>
    <row r="624" spans="1:11" ht="45" x14ac:dyDescent="0.25">
      <c r="A624" s="989" t="s">
        <v>183</v>
      </c>
      <c r="B624" s="993">
        <v>2018</v>
      </c>
      <c r="C624" s="989" t="s">
        <v>2999</v>
      </c>
      <c r="D624" s="989" t="s">
        <v>4892</v>
      </c>
      <c r="E624" s="989" t="s">
        <v>6007</v>
      </c>
      <c r="F624" s="994">
        <v>0</v>
      </c>
      <c r="G624" s="989" t="s">
        <v>657</v>
      </c>
      <c r="H624" s="994">
        <v>0</v>
      </c>
      <c r="I624" s="996"/>
      <c r="J624" s="994">
        <v>0</v>
      </c>
      <c r="K624" s="997">
        <v>0</v>
      </c>
    </row>
    <row r="625" spans="1:11" ht="45" x14ac:dyDescent="0.25">
      <c r="A625" s="989" t="s">
        <v>183</v>
      </c>
      <c r="B625" s="993">
        <v>2018</v>
      </c>
      <c r="C625" s="989" t="s">
        <v>2999</v>
      </c>
      <c r="D625" s="989" t="s">
        <v>666</v>
      </c>
      <c r="E625" s="989" t="s">
        <v>1558</v>
      </c>
      <c r="F625" s="994">
        <v>57467.46</v>
      </c>
      <c r="G625" s="995"/>
      <c r="H625" s="996"/>
      <c r="I625" s="996"/>
      <c r="J625" s="994">
        <v>0</v>
      </c>
      <c r="K625" s="997">
        <v>57467.46</v>
      </c>
    </row>
    <row r="626" spans="1:11" x14ac:dyDescent="0.25">
      <c r="A626" s="989" t="s">
        <v>211</v>
      </c>
      <c r="B626" s="993">
        <v>2018</v>
      </c>
      <c r="C626" s="989" t="s">
        <v>2991</v>
      </c>
      <c r="D626" s="989" t="s">
        <v>49</v>
      </c>
      <c r="E626" s="989" t="s">
        <v>843</v>
      </c>
      <c r="F626" s="994">
        <v>9715795.0800000001</v>
      </c>
      <c r="G626" s="989" t="s">
        <v>657</v>
      </c>
      <c r="H626" s="994">
        <v>9477495</v>
      </c>
      <c r="I626" s="994">
        <v>238299.90625</v>
      </c>
      <c r="J626" s="994">
        <v>9715795</v>
      </c>
      <c r="K626" s="997">
        <v>9715795.0800000001</v>
      </c>
    </row>
    <row r="627" spans="1:11" ht="33.75" x14ac:dyDescent="0.25">
      <c r="A627" s="989" t="s">
        <v>211</v>
      </c>
      <c r="B627" s="993">
        <v>2018</v>
      </c>
      <c r="C627" s="989" t="s">
        <v>2992</v>
      </c>
      <c r="D627" s="989" t="s">
        <v>658</v>
      </c>
      <c r="E627" s="989" t="s">
        <v>844</v>
      </c>
      <c r="F627" s="994">
        <v>-301821.99</v>
      </c>
      <c r="G627" s="989" t="s">
        <v>657</v>
      </c>
      <c r="H627" s="994">
        <v>-325948.8125</v>
      </c>
      <c r="I627" s="994">
        <v>24126.830078125</v>
      </c>
      <c r="J627" s="994">
        <v>-301822</v>
      </c>
      <c r="K627" s="997">
        <v>-301821.99</v>
      </c>
    </row>
    <row r="628" spans="1:11" ht="22.5" x14ac:dyDescent="0.25">
      <c r="A628" s="989" t="s">
        <v>211</v>
      </c>
      <c r="B628" s="993">
        <v>2018</v>
      </c>
      <c r="C628" s="989" t="s">
        <v>2993</v>
      </c>
      <c r="D628" s="989" t="s">
        <v>464</v>
      </c>
      <c r="E628" s="989" t="s">
        <v>845</v>
      </c>
      <c r="F628" s="994">
        <v>0</v>
      </c>
      <c r="G628" s="995"/>
      <c r="H628" s="996"/>
      <c r="I628" s="996"/>
      <c r="J628" s="994">
        <v>0</v>
      </c>
      <c r="K628" s="997">
        <v>0</v>
      </c>
    </row>
    <row r="629" spans="1:11" ht="33.75" x14ac:dyDescent="0.25">
      <c r="A629" s="989" t="s">
        <v>211</v>
      </c>
      <c r="B629" s="993">
        <v>2018</v>
      </c>
      <c r="C629" s="989" t="s">
        <v>2994</v>
      </c>
      <c r="D629" s="989" t="s">
        <v>46</v>
      </c>
      <c r="E629" s="989" t="s">
        <v>846</v>
      </c>
      <c r="F629" s="994">
        <v>-129544385.3</v>
      </c>
      <c r="G629" s="989" t="s">
        <v>657</v>
      </c>
      <c r="H629" s="994">
        <v>-126646528</v>
      </c>
      <c r="I629" s="994">
        <v>-2897859.5</v>
      </c>
      <c r="J629" s="994">
        <v>-129544384</v>
      </c>
      <c r="K629" s="997">
        <v>-129544385.3</v>
      </c>
    </row>
    <row r="630" spans="1:11" ht="22.5" x14ac:dyDescent="0.25">
      <c r="A630" s="989" t="s">
        <v>211</v>
      </c>
      <c r="B630" s="993">
        <v>2018</v>
      </c>
      <c r="C630" s="989" t="s">
        <v>2994</v>
      </c>
      <c r="D630" s="989" t="s">
        <v>2482</v>
      </c>
      <c r="E630" s="989" t="s">
        <v>846</v>
      </c>
      <c r="F630" s="994">
        <v>0</v>
      </c>
      <c r="G630" s="995"/>
      <c r="H630" s="996"/>
      <c r="I630" s="996"/>
      <c r="J630" s="994">
        <v>0</v>
      </c>
      <c r="K630" s="997">
        <v>0</v>
      </c>
    </row>
    <row r="631" spans="1:11" ht="22.5" x14ac:dyDescent="0.25">
      <c r="A631" s="989" t="s">
        <v>211</v>
      </c>
      <c r="B631" s="993">
        <v>2018</v>
      </c>
      <c r="C631" s="989" t="s">
        <v>2994</v>
      </c>
      <c r="D631" s="989" t="s">
        <v>2483</v>
      </c>
      <c r="E631" s="989" t="s">
        <v>846</v>
      </c>
      <c r="F631" s="994">
        <v>0</v>
      </c>
      <c r="G631" s="995"/>
      <c r="H631" s="996"/>
      <c r="I631" s="996"/>
      <c r="J631" s="994">
        <v>0</v>
      </c>
      <c r="K631" s="997">
        <v>0</v>
      </c>
    </row>
    <row r="632" spans="1:11" ht="22.5" x14ac:dyDescent="0.25">
      <c r="A632" s="989" t="s">
        <v>211</v>
      </c>
      <c r="B632" s="993">
        <v>2018</v>
      </c>
      <c r="C632" s="989" t="s">
        <v>2994</v>
      </c>
      <c r="D632" s="989" t="s">
        <v>2484</v>
      </c>
      <c r="E632" s="989" t="s">
        <v>846</v>
      </c>
      <c r="F632" s="994">
        <v>120303.63</v>
      </c>
      <c r="G632" s="995"/>
      <c r="H632" s="996"/>
      <c r="I632" s="996"/>
      <c r="J632" s="994">
        <v>0</v>
      </c>
      <c r="K632" s="997">
        <v>120303.63</v>
      </c>
    </row>
    <row r="633" spans="1:11" ht="22.5" x14ac:dyDescent="0.25">
      <c r="A633" s="989" t="s">
        <v>211</v>
      </c>
      <c r="B633" s="993">
        <v>2018</v>
      </c>
      <c r="C633" s="989" t="s">
        <v>2994</v>
      </c>
      <c r="D633" s="989" t="s">
        <v>2485</v>
      </c>
      <c r="E633" s="989" t="s">
        <v>846</v>
      </c>
      <c r="F633" s="994">
        <v>4920534.84</v>
      </c>
      <c r="G633" s="995"/>
      <c r="H633" s="996"/>
      <c r="I633" s="996"/>
      <c r="J633" s="994">
        <v>0</v>
      </c>
      <c r="K633" s="997">
        <v>4920534.84</v>
      </c>
    </row>
    <row r="634" spans="1:11" ht="33.75" x14ac:dyDescent="0.25">
      <c r="A634" s="989" t="s">
        <v>211</v>
      </c>
      <c r="B634" s="993">
        <v>2018</v>
      </c>
      <c r="C634" s="989" t="s">
        <v>2995</v>
      </c>
      <c r="D634" s="989" t="s">
        <v>47</v>
      </c>
      <c r="E634" s="989" t="s">
        <v>847</v>
      </c>
      <c r="F634" s="994">
        <v>10337523.529999999</v>
      </c>
      <c r="G634" s="989" t="s">
        <v>657</v>
      </c>
      <c r="H634" s="994">
        <v>9760950</v>
      </c>
      <c r="I634" s="994">
        <v>576573.1875</v>
      </c>
      <c r="J634" s="994">
        <v>10337524</v>
      </c>
      <c r="K634" s="997">
        <v>10337523.529999999</v>
      </c>
    </row>
    <row r="635" spans="1:11" ht="33.75" x14ac:dyDescent="0.25">
      <c r="A635" s="989" t="s">
        <v>211</v>
      </c>
      <c r="B635" s="993">
        <v>2018</v>
      </c>
      <c r="C635" s="989" t="s">
        <v>2996</v>
      </c>
      <c r="D635" s="989" t="s">
        <v>48</v>
      </c>
      <c r="E635" s="989" t="s">
        <v>848</v>
      </c>
      <c r="F635" s="994">
        <v>84533201.329999998</v>
      </c>
      <c r="G635" s="989" t="s">
        <v>657</v>
      </c>
      <c r="H635" s="994">
        <v>82593920</v>
      </c>
      <c r="I635" s="994">
        <v>1939284.125</v>
      </c>
      <c r="J635" s="994">
        <v>84533200</v>
      </c>
      <c r="K635" s="997">
        <v>84533201.329999998</v>
      </c>
    </row>
    <row r="636" spans="1:11" ht="33.75" x14ac:dyDescent="0.25">
      <c r="A636" s="989" t="s">
        <v>211</v>
      </c>
      <c r="B636" s="993">
        <v>2018</v>
      </c>
      <c r="C636" s="989" t="s">
        <v>2997</v>
      </c>
      <c r="D636" s="989" t="s">
        <v>50</v>
      </c>
      <c r="E636" s="989" t="s">
        <v>849</v>
      </c>
      <c r="F636" s="994">
        <v>56551701.079999998</v>
      </c>
      <c r="G636" s="989" t="s">
        <v>657</v>
      </c>
      <c r="H636" s="994">
        <v>55535480</v>
      </c>
      <c r="I636" s="994">
        <v>1016220.875</v>
      </c>
      <c r="J636" s="994">
        <v>56551700</v>
      </c>
      <c r="K636" s="997">
        <v>56551701.079999998</v>
      </c>
    </row>
    <row r="637" spans="1:11" ht="22.5" x14ac:dyDescent="0.25">
      <c r="A637" s="989" t="s">
        <v>211</v>
      </c>
      <c r="B637" s="993">
        <v>2018</v>
      </c>
      <c r="C637" s="989" t="s">
        <v>2998</v>
      </c>
      <c r="D637" s="989" t="s">
        <v>348</v>
      </c>
      <c r="E637" s="989" t="s">
        <v>850</v>
      </c>
      <c r="F637" s="994">
        <v>-32454725.800000001</v>
      </c>
      <c r="G637" s="989" t="s">
        <v>657</v>
      </c>
      <c r="H637" s="994">
        <v>-33349388</v>
      </c>
      <c r="I637" s="994">
        <v>894661.75</v>
      </c>
      <c r="J637" s="994">
        <v>-32454726</v>
      </c>
      <c r="K637" s="997">
        <v>-32454725.800000001</v>
      </c>
    </row>
    <row r="638" spans="1:11" ht="45" x14ac:dyDescent="0.25">
      <c r="A638" s="989" t="s">
        <v>211</v>
      </c>
      <c r="B638" s="993">
        <v>2018</v>
      </c>
      <c r="C638" s="989" t="s">
        <v>2999</v>
      </c>
      <c r="D638" s="989" t="s">
        <v>659</v>
      </c>
      <c r="E638" s="989" t="s">
        <v>1285</v>
      </c>
      <c r="F638" s="994">
        <v>0</v>
      </c>
      <c r="G638" s="989" t="s">
        <v>657</v>
      </c>
      <c r="H638" s="994">
        <v>0</v>
      </c>
      <c r="I638" s="994">
        <v>0</v>
      </c>
      <c r="J638" s="994">
        <v>0</v>
      </c>
      <c r="K638" s="997">
        <v>0</v>
      </c>
    </row>
    <row r="639" spans="1:11" ht="45" x14ac:dyDescent="0.25">
      <c r="A639" s="989" t="s">
        <v>211</v>
      </c>
      <c r="B639" s="993">
        <v>2018</v>
      </c>
      <c r="C639" s="989" t="s">
        <v>2999</v>
      </c>
      <c r="D639" s="989" t="s">
        <v>660</v>
      </c>
      <c r="E639" s="989" t="s">
        <v>1286</v>
      </c>
      <c r="F639" s="994">
        <v>0</v>
      </c>
      <c r="G639" s="989" t="s">
        <v>657</v>
      </c>
      <c r="H639" s="994">
        <v>0</v>
      </c>
      <c r="I639" s="994">
        <v>0</v>
      </c>
      <c r="J639" s="994">
        <v>0</v>
      </c>
      <c r="K639" s="997">
        <v>0</v>
      </c>
    </row>
    <row r="640" spans="1:11" ht="45" x14ac:dyDescent="0.25">
      <c r="A640" s="989" t="s">
        <v>211</v>
      </c>
      <c r="B640" s="993">
        <v>2018</v>
      </c>
      <c r="C640" s="989" t="s">
        <v>2999</v>
      </c>
      <c r="D640" s="989" t="s">
        <v>661</v>
      </c>
      <c r="E640" s="989" t="s">
        <v>1287</v>
      </c>
      <c r="F640" s="994">
        <v>0</v>
      </c>
      <c r="G640" s="989" t="s">
        <v>657</v>
      </c>
      <c r="H640" s="994">
        <v>0</v>
      </c>
      <c r="I640" s="994">
        <v>0</v>
      </c>
      <c r="J640" s="994">
        <v>0</v>
      </c>
      <c r="K640" s="997">
        <v>0</v>
      </c>
    </row>
    <row r="641" spans="1:11" ht="45" x14ac:dyDescent="0.25">
      <c r="A641" s="989" t="s">
        <v>211</v>
      </c>
      <c r="B641" s="993">
        <v>2018</v>
      </c>
      <c r="C641" s="989" t="s">
        <v>2999</v>
      </c>
      <c r="D641" s="989" t="s">
        <v>662</v>
      </c>
      <c r="E641" s="989" t="s">
        <v>1288</v>
      </c>
      <c r="F641" s="994">
        <v>0</v>
      </c>
      <c r="G641" s="989" t="s">
        <v>657</v>
      </c>
      <c r="H641" s="994">
        <v>0</v>
      </c>
      <c r="I641" s="994">
        <v>0</v>
      </c>
      <c r="J641" s="994">
        <v>0</v>
      </c>
      <c r="K641" s="997">
        <v>0</v>
      </c>
    </row>
    <row r="642" spans="1:11" ht="45" x14ac:dyDescent="0.25">
      <c r="A642" s="989" t="s">
        <v>211</v>
      </c>
      <c r="B642" s="993">
        <v>2018</v>
      </c>
      <c r="C642" s="989" t="s">
        <v>2999</v>
      </c>
      <c r="D642" s="989" t="s">
        <v>663</v>
      </c>
      <c r="E642" s="989" t="s">
        <v>1289</v>
      </c>
      <c r="F642" s="994">
        <v>0</v>
      </c>
      <c r="G642" s="989" t="s">
        <v>657</v>
      </c>
      <c r="H642" s="994">
        <v>0</v>
      </c>
      <c r="I642" s="994">
        <v>0</v>
      </c>
      <c r="J642" s="994">
        <v>0</v>
      </c>
      <c r="K642" s="997">
        <v>0</v>
      </c>
    </row>
    <row r="643" spans="1:11" ht="45" x14ac:dyDescent="0.25">
      <c r="A643" s="989" t="s">
        <v>211</v>
      </c>
      <c r="B643" s="993">
        <v>2018</v>
      </c>
      <c r="C643" s="989" t="s">
        <v>2999</v>
      </c>
      <c r="D643" s="989" t="s">
        <v>664</v>
      </c>
      <c r="E643" s="989" t="s">
        <v>1290</v>
      </c>
      <c r="F643" s="994">
        <v>0</v>
      </c>
      <c r="G643" s="989" t="s">
        <v>657</v>
      </c>
      <c r="H643" s="994">
        <v>0</v>
      </c>
      <c r="I643" s="994">
        <v>0</v>
      </c>
      <c r="J643" s="994">
        <v>0</v>
      </c>
      <c r="K643" s="997">
        <v>0</v>
      </c>
    </row>
    <row r="644" spans="1:11" ht="45" x14ac:dyDescent="0.25">
      <c r="A644" s="989" t="s">
        <v>211</v>
      </c>
      <c r="B644" s="993">
        <v>2018</v>
      </c>
      <c r="C644" s="989" t="s">
        <v>2999</v>
      </c>
      <c r="D644" s="989" t="s">
        <v>665</v>
      </c>
      <c r="E644" s="989" t="s">
        <v>1291</v>
      </c>
      <c r="F644" s="994">
        <v>0</v>
      </c>
      <c r="G644" s="989" t="s">
        <v>657</v>
      </c>
      <c r="H644" s="994">
        <v>0</v>
      </c>
      <c r="I644" s="994">
        <v>0</v>
      </c>
      <c r="J644" s="994">
        <v>0</v>
      </c>
      <c r="K644" s="997">
        <v>0</v>
      </c>
    </row>
    <row r="645" spans="1:11" ht="45" x14ac:dyDescent="0.25">
      <c r="A645" s="989" t="s">
        <v>211</v>
      </c>
      <c r="B645" s="993">
        <v>2018</v>
      </c>
      <c r="C645" s="989" t="s">
        <v>2999</v>
      </c>
      <c r="D645" s="989" t="s">
        <v>1870</v>
      </c>
      <c r="E645" s="989" t="s">
        <v>2307</v>
      </c>
      <c r="F645" s="994">
        <v>0</v>
      </c>
      <c r="G645" s="989" t="s">
        <v>657</v>
      </c>
      <c r="H645" s="994">
        <v>0</v>
      </c>
      <c r="I645" s="994">
        <v>0</v>
      </c>
      <c r="J645" s="994">
        <v>0</v>
      </c>
      <c r="K645" s="997">
        <v>0</v>
      </c>
    </row>
    <row r="646" spans="1:11" ht="45" x14ac:dyDescent="0.25">
      <c r="A646" s="989" t="s">
        <v>211</v>
      </c>
      <c r="B646" s="993">
        <v>2018</v>
      </c>
      <c r="C646" s="989" t="s">
        <v>2999</v>
      </c>
      <c r="D646" s="989" t="s">
        <v>2486</v>
      </c>
      <c r="E646" s="989" t="s">
        <v>2511</v>
      </c>
      <c r="F646" s="994">
        <v>0</v>
      </c>
      <c r="G646" s="989" t="s">
        <v>657</v>
      </c>
      <c r="H646" s="994">
        <v>0</v>
      </c>
      <c r="I646" s="994">
        <v>0</v>
      </c>
      <c r="J646" s="994">
        <v>0</v>
      </c>
      <c r="K646" s="997">
        <v>0</v>
      </c>
    </row>
    <row r="647" spans="1:11" ht="45" x14ac:dyDescent="0.25">
      <c r="A647" s="989" t="s">
        <v>211</v>
      </c>
      <c r="B647" s="993">
        <v>2018</v>
      </c>
      <c r="C647" s="989" t="s">
        <v>2999</v>
      </c>
      <c r="D647" s="989" t="s">
        <v>4892</v>
      </c>
      <c r="E647" s="989" t="s">
        <v>6008</v>
      </c>
      <c r="F647" s="994">
        <v>0</v>
      </c>
      <c r="G647" s="989" t="s">
        <v>657</v>
      </c>
      <c r="H647" s="994">
        <v>-6832437.5</v>
      </c>
      <c r="I647" s="994">
        <v>252304.40625</v>
      </c>
      <c r="J647" s="994">
        <v>-6580133.5</v>
      </c>
      <c r="K647" s="997">
        <v>-6580133.3200000003</v>
      </c>
    </row>
    <row r="648" spans="1:11" ht="45" x14ac:dyDescent="0.25">
      <c r="A648" s="989" t="s">
        <v>211</v>
      </c>
      <c r="B648" s="993">
        <v>2018</v>
      </c>
      <c r="C648" s="989" t="s">
        <v>2999</v>
      </c>
      <c r="D648" s="989" t="s">
        <v>666</v>
      </c>
      <c r="E648" s="989" t="s">
        <v>1559</v>
      </c>
      <c r="F648" s="994">
        <v>-6580133.3200000003</v>
      </c>
      <c r="G648" s="995"/>
      <c r="H648" s="996"/>
      <c r="I648" s="996"/>
      <c r="J648" s="994">
        <v>0</v>
      </c>
      <c r="K648" s="997">
        <v>-6580133.3200000003</v>
      </c>
    </row>
    <row r="649" spans="1:11" ht="22.5" x14ac:dyDescent="0.25">
      <c r="A649" s="989" t="s">
        <v>626</v>
      </c>
      <c r="B649" s="993">
        <v>2018</v>
      </c>
      <c r="C649" s="989" t="s">
        <v>2991</v>
      </c>
      <c r="D649" s="989" t="s">
        <v>49</v>
      </c>
      <c r="E649" s="989" t="s">
        <v>851</v>
      </c>
      <c r="F649" s="994">
        <v>0</v>
      </c>
      <c r="G649" s="989" t="s">
        <v>657</v>
      </c>
      <c r="H649" s="994">
        <v>0</v>
      </c>
      <c r="I649" s="994">
        <v>0</v>
      </c>
      <c r="J649" s="994">
        <v>0</v>
      </c>
      <c r="K649" s="997">
        <v>0</v>
      </c>
    </row>
    <row r="650" spans="1:11" ht="33.75" x14ac:dyDescent="0.25">
      <c r="A650" s="989" t="s">
        <v>626</v>
      </c>
      <c r="B650" s="993">
        <v>2018</v>
      </c>
      <c r="C650" s="989" t="s">
        <v>2992</v>
      </c>
      <c r="D650" s="989" t="s">
        <v>658</v>
      </c>
      <c r="E650" s="989" t="s">
        <v>852</v>
      </c>
      <c r="F650" s="994">
        <v>0</v>
      </c>
      <c r="G650" s="989" t="s">
        <v>657</v>
      </c>
      <c r="H650" s="994">
        <v>0</v>
      </c>
      <c r="I650" s="994">
        <v>0</v>
      </c>
      <c r="J650" s="994">
        <v>0</v>
      </c>
      <c r="K650" s="997">
        <v>0</v>
      </c>
    </row>
    <row r="651" spans="1:11" ht="22.5" x14ac:dyDescent="0.25">
      <c r="A651" s="989" t="s">
        <v>626</v>
      </c>
      <c r="B651" s="993">
        <v>2018</v>
      </c>
      <c r="C651" s="989" t="s">
        <v>2993</v>
      </c>
      <c r="D651" s="989" t="s">
        <v>464</v>
      </c>
      <c r="E651" s="989" t="s">
        <v>853</v>
      </c>
      <c r="F651" s="994">
        <v>0</v>
      </c>
      <c r="G651" s="995"/>
      <c r="H651" s="996"/>
      <c r="I651" s="996"/>
      <c r="J651" s="994">
        <v>0</v>
      </c>
      <c r="K651" s="997">
        <v>0</v>
      </c>
    </row>
    <row r="652" spans="1:11" ht="33.75" x14ac:dyDescent="0.25">
      <c r="A652" s="989" t="s">
        <v>626</v>
      </c>
      <c r="B652" s="993">
        <v>2018</v>
      </c>
      <c r="C652" s="989" t="s">
        <v>2994</v>
      </c>
      <c r="D652" s="989" t="s">
        <v>46</v>
      </c>
      <c r="E652" s="989" t="s">
        <v>854</v>
      </c>
      <c r="F652" s="994">
        <v>0</v>
      </c>
      <c r="G652" s="989" t="s">
        <v>657</v>
      </c>
      <c r="H652" s="994">
        <v>0</v>
      </c>
      <c r="I652" s="994">
        <v>0</v>
      </c>
      <c r="J652" s="994">
        <v>0</v>
      </c>
      <c r="K652" s="997">
        <v>0</v>
      </c>
    </row>
    <row r="653" spans="1:11" ht="22.5" x14ac:dyDescent="0.25">
      <c r="A653" s="989" t="s">
        <v>626</v>
      </c>
      <c r="B653" s="993">
        <v>2018</v>
      </c>
      <c r="C653" s="989" t="s">
        <v>2994</v>
      </c>
      <c r="D653" s="989" t="s">
        <v>2482</v>
      </c>
      <c r="E653" s="989" t="s">
        <v>854</v>
      </c>
      <c r="F653" s="994">
        <v>0</v>
      </c>
      <c r="G653" s="995"/>
      <c r="H653" s="996"/>
      <c r="I653" s="996"/>
      <c r="J653" s="994">
        <v>0</v>
      </c>
      <c r="K653" s="997">
        <v>0</v>
      </c>
    </row>
    <row r="654" spans="1:11" ht="22.5" x14ac:dyDescent="0.25">
      <c r="A654" s="989" t="s">
        <v>626</v>
      </c>
      <c r="B654" s="993">
        <v>2018</v>
      </c>
      <c r="C654" s="989" t="s">
        <v>2994</v>
      </c>
      <c r="D654" s="989" t="s">
        <v>2483</v>
      </c>
      <c r="E654" s="989" t="s">
        <v>854</v>
      </c>
      <c r="F654" s="994">
        <v>0</v>
      </c>
      <c r="G654" s="995"/>
      <c r="H654" s="996"/>
      <c r="I654" s="996"/>
      <c r="J654" s="994">
        <v>0</v>
      </c>
      <c r="K654" s="997">
        <v>0</v>
      </c>
    </row>
    <row r="655" spans="1:11" ht="22.5" x14ac:dyDescent="0.25">
      <c r="A655" s="989" t="s">
        <v>626</v>
      </c>
      <c r="B655" s="993">
        <v>2018</v>
      </c>
      <c r="C655" s="989" t="s">
        <v>2994</v>
      </c>
      <c r="D655" s="989" t="s">
        <v>2484</v>
      </c>
      <c r="E655" s="989" t="s">
        <v>854</v>
      </c>
      <c r="F655" s="994">
        <v>0</v>
      </c>
      <c r="G655" s="995"/>
      <c r="H655" s="996"/>
      <c r="I655" s="996"/>
      <c r="J655" s="994">
        <v>0</v>
      </c>
      <c r="K655" s="997">
        <v>0</v>
      </c>
    </row>
    <row r="656" spans="1:11" ht="22.5" x14ac:dyDescent="0.25">
      <c r="A656" s="989" t="s">
        <v>626</v>
      </c>
      <c r="B656" s="993">
        <v>2018</v>
      </c>
      <c r="C656" s="989" t="s">
        <v>2994</v>
      </c>
      <c r="D656" s="989" t="s">
        <v>2485</v>
      </c>
      <c r="E656" s="989" t="s">
        <v>854</v>
      </c>
      <c r="F656" s="994">
        <v>0</v>
      </c>
      <c r="G656" s="995"/>
      <c r="H656" s="996"/>
      <c r="I656" s="996"/>
      <c r="J656" s="994">
        <v>0</v>
      </c>
      <c r="K656" s="997">
        <v>0</v>
      </c>
    </row>
    <row r="657" spans="1:11" ht="33.75" x14ac:dyDescent="0.25">
      <c r="A657" s="989" t="s">
        <v>626</v>
      </c>
      <c r="B657" s="993">
        <v>2018</v>
      </c>
      <c r="C657" s="989" t="s">
        <v>2995</v>
      </c>
      <c r="D657" s="989" t="s">
        <v>47</v>
      </c>
      <c r="E657" s="989" t="s">
        <v>855</v>
      </c>
      <c r="F657" s="994">
        <v>0</v>
      </c>
      <c r="G657" s="989" t="s">
        <v>657</v>
      </c>
      <c r="H657" s="994">
        <v>0</v>
      </c>
      <c r="I657" s="994">
        <v>0</v>
      </c>
      <c r="J657" s="994">
        <v>0</v>
      </c>
      <c r="K657" s="997">
        <v>0</v>
      </c>
    </row>
    <row r="658" spans="1:11" ht="33.75" x14ac:dyDescent="0.25">
      <c r="A658" s="989" t="s">
        <v>626</v>
      </c>
      <c r="B658" s="993">
        <v>2018</v>
      </c>
      <c r="C658" s="989" t="s">
        <v>2996</v>
      </c>
      <c r="D658" s="989" t="s">
        <v>48</v>
      </c>
      <c r="E658" s="989" t="s">
        <v>856</v>
      </c>
      <c r="F658" s="994">
        <v>0</v>
      </c>
      <c r="G658" s="989" t="s">
        <v>657</v>
      </c>
      <c r="H658" s="994">
        <v>0</v>
      </c>
      <c r="I658" s="994">
        <v>0</v>
      </c>
      <c r="J658" s="994">
        <v>0</v>
      </c>
      <c r="K658" s="997">
        <v>0</v>
      </c>
    </row>
    <row r="659" spans="1:11" ht="33.75" x14ac:dyDescent="0.25">
      <c r="A659" s="989" t="s">
        <v>626</v>
      </c>
      <c r="B659" s="993">
        <v>2018</v>
      </c>
      <c r="C659" s="989" t="s">
        <v>2997</v>
      </c>
      <c r="D659" s="989" t="s">
        <v>50</v>
      </c>
      <c r="E659" s="989" t="s">
        <v>857</v>
      </c>
      <c r="F659" s="994">
        <v>0</v>
      </c>
      <c r="G659" s="989" t="s">
        <v>657</v>
      </c>
      <c r="H659" s="994">
        <v>0</v>
      </c>
      <c r="I659" s="994">
        <v>0</v>
      </c>
      <c r="J659" s="994">
        <v>0</v>
      </c>
      <c r="K659" s="997">
        <v>0</v>
      </c>
    </row>
    <row r="660" spans="1:11" ht="22.5" x14ac:dyDescent="0.25">
      <c r="A660" s="989" t="s">
        <v>626</v>
      </c>
      <c r="B660" s="993">
        <v>2018</v>
      </c>
      <c r="C660" s="989" t="s">
        <v>2998</v>
      </c>
      <c r="D660" s="989" t="s">
        <v>348</v>
      </c>
      <c r="E660" s="989" t="s">
        <v>858</v>
      </c>
      <c r="F660" s="994">
        <v>0</v>
      </c>
      <c r="G660" s="989" t="s">
        <v>657</v>
      </c>
      <c r="H660" s="994">
        <v>0</v>
      </c>
      <c r="I660" s="994">
        <v>0</v>
      </c>
      <c r="J660" s="994">
        <v>0</v>
      </c>
      <c r="K660" s="997">
        <v>0</v>
      </c>
    </row>
    <row r="661" spans="1:11" ht="45" x14ac:dyDescent="0.25">
      <c r="A661" s="989" t="s">
        <v>626</v>
      </c>
      <c r="B661" s="993">
        <v>2018</v>
      </c>
      <c r="C661" s="989" t="s">
        <v>2999</v>
      </c>
      <c r="D661" s="989" t="s">
        <v>659</v>
      </c>
      <c r="E661" s="989" t="s">
        <v>1292</v>
      </c>
      <c r="F661" s="994">
        <v>0</v>
      </c>
      <c r="G661" s="989" t="s">
        <v>657</v>
      </c>
      <c r="H661" s="994">
        <v>0</v>
      </c>
      <c r="I661" s="994">
        <v>0</v>
      </c>
      <c r="J661" s="994">
        <v>0</v>
      </c>
      <c r="K661" s="997">
        <v>0</v>
      </c>
    </row>
    <row r="662" spans="1:11" ht="45" x14ac:dyDescent="0.25">
      <c r="A662" s="989" t="s">
        <v>626</v>
      </c>
      <c r="B662" s="993">
        <v>2018</v>
      </c>
      <c r="C662" s="989" t="s">
        <v>2999</v>
      </c>
      <c r="D662" s="989" t="s">
        <v>660</v>
      </c>
      <c r="E662" s="989" t="s">
        <v>1293</v>
      </c>
      <c r="F662" s="994">
        <v>0</v>
      </c>
      <c r="G662" s="989" t="s">
        <v>657</v>
      </c>
      <c r="H662" s="994">
        <v>0</v>
      </c>
      <c r="I662" s="994">
        <v>0</v>
      </c>
      <c r="J662" s="994">
        <v>0</v>
      </c>
      <c r="K662" s="997">
        <v>0</v>
      </c>
    </row>
    <row r="663" spans="1:11" ht="45" x14ac:dyDescent="0.25">
      <c r="A663" s="989" t="s">
        <v>626</v>
      </c>
      <c r="B663" s="993">
        <v>2018</v>
      </c>
      <c r="C663" s="989" t="s">
        <v>2999</v>
      </c>
      <c r="D663" s="989" t="s">
        <v>661</v>
      </c>
      <c r="E663" s="989" t="s">
        <v>1294</v>
      </c>
      <c r="F663" s="994">
        <v>0</v>
      </c>
      <c r="G663" s="989" t="s">
        <v>657</v>
      </c>
      <c r="H663" s="994">
        <v>0</v>
      </c>
      <c r="I663" s="994">
        <v>0</v>
      </c>
      <c r="J663" s="994">
        <v>0</v>
      </c>
      <c r="K663" s="997">
        <v>0</v>
      </c>
    </row>
    <row r="664" spans="1:11" ht="45" x14ac:dyDescent="0.25">
      <c r="A664" s="989" t="s">
        <v>626</v>
      </c>
      <c r="B664" s="993">
        <v>2018</v>
      </c>
      <c r="C664" s="989" t="s">
        <v>2999</v>
      </c>
      <c r="D664" s="989" t="s">
        <v>662</v>
      </c>
      <c r="E664" s="989" t="s">
        <v>1295</v>
      </c>
      <c r="F664" s="994">
        <v>0</v>
      </c>
      <c r="G664" s="989" t="s">
        <v>657</v>
      </c>
      <c r="H664" s="994">
        <v>0</v>
      </c>
      <c r="I664" s="994">
        <v>0</v>
      </c>
      <c r="J664" s="994">
        <v>0</v>
      </c>
      <c r="K664" s="997">
        <v>0</v>
      </c>
    </row>
    <row r="665" spans="1:11" ht="45" x14ac:dyDescent="0.25">
      <c r="A665" s="989" t="s">
        <v>626</v>
      </c>
      <c r="B665" s="993">
        <v>2018</v>
      </c>
      <c r="C665" s="989" t="s">
        <v>2999</v>
      </c>
      <c r="D665" s="989" t="s">
        <v>663</v>
      </c>
      <c r="E665" s="989" t="s">
        <v>1296</v>
      </c>
      <c r="F665" s="994">
        <v>0</v>
      </c>
      <c r="G665" s="989" t="s">
        <v>657</v>
      </c>
      <c r="H665" s="994">
        <v>0</v>
      </c>
      <c r="I665" s="994">
        <v>0</v>
      </c>
      <c r="J665" s="994">
        <v>0</v>
      </c>
      <c r="K665" s="997">
        <v>0</v>
      </c>
    </row>
    <row r="666" spans="1:11" ht="45" x14ac:dyDescent="0.25">
      <c r="A666" s="989" t="s">
        <v>626</v>
      </c>
      <c r="B666" s="993">
        <v>2018</v>
      </c>
      <c r="C666" s="989" t="s">
        <v>2999</v>
      </c>
      <c r="D666" s="989" t="s">
        <v>664</v>
      </c>
      <c r="E666" s="989" t="s">
        <v>1297</v>
      </c>
      <c r="F666" s="994">
        <v>0</v>
      </c>
      <c r="G666" s="989" t="s">
        <v>657</v>
      </c>
      <c r="H666" s="994">
        <v>0</v>
      </c>
      <c r="I666" s="994">
        <v>0</v>
      </c>
      <c r="J666" s="994">
        <v>0</v>
      </c>
      <c r="K666" s="997">
        <v>0</v>
      </c>
    </row>
    <row r="667" spans="1:11" ht="45" x14ac:dyDescent="0.25">
      <c r="A667" s="989" t="s">
        <v>626</v>
      </c>
      <c r="B667" s="993">
        <v>2018</v>
      </c>
      <c r="C667" s="989" t="s">
        <v>2999</v>
      </c>
      <c r="D667" s="989" t="s">
        <v>665</v>
      </c>
      <c r="E667" s="989" t="s">
        <v>1298</v>
      </c>
      <c r="F667" s="994">
        <v>0</v>
      </c>
      <c r="G667" s="989" t="s">
        <v>657</v>
      </c>
      <c r="H667" s="994">
        <v>0</v>
      </c>
      <c r="I667" s="994">
        <v>0</v>
      </c>
      <c r="J667" s="994">
        <v>0</v>
      </c>
      <c r="K667" s="997">
        <v>0</v>
      </c>
    </row>
    <row r="668" spans="1:11" ht="45" x14ac:dyDescent="0.25">
      <c r="A668" s="989" t="s">
        <v>626</v>
      </c>
      <c r="B668" s="993">
        <v>2018</v>
      </c>
      <c r="C668" s="989" t="s">
        <v>2999</v>
      </c>
      <c r="D668" s="989" t="s">
        <v>1870</v>
      </c>
      <c r="E668" s="989" t="s">
        <v>2308</v>
      </c>
      <c r="F668" s="994">
        <v>0</v>
      </c>
      <c r="G668" s="989" t="s">
        <v>657</v>
      </c>
      <c r="H668" s="994">
        <v>0</v>
      </c>
      <c r="I668" s="994">
        <v>0</v>
      </c>
      <c r="J668" s="994">
        <v>0</v>
      </c>
      <c r="K668" s="997">
        <v>0</v>
      </c>
    </row>
    <row r="669" spans="1:11" ht="45" x14ac:dyDescent="0.25">
      <c r="A669" s="989" t="s">
        <v>626</v>
      </c>
      <c r="B669" s="993">
        <v>2018</v>
      </c>
      <c r="C669" s="989" t="s">
        <v>2999</v>
      </c>
      <c r="D669" s="989" t="s">
        <v>2486</v>
      </c>
      <c r="E669" s="989" t="s">
        <v>2512</v>
      </c>
      <c r="F669" s="994">
        <v>0</v>
      </c>
      <c r="G669" s="989" t="s">
        <v>657</v>
      </c>
      <c r="H669" s="994">
        <v>0</v>
      </c>
      <c r="I669" s="994">
        <v>0</v>
      </c>
      <c r="J669" s="994">
        <v>0</v>
      </c>
      <c r="K669" s="997">
        <v>0</v>
      </c>
    </row>
    <row r="670" spans="1:11" ht="45" x14ac:dyDescent="0.25">
      <c r="A670" s="989" t="s">
        <v>626</v>
      </c>
      <c r="B670" s="993">
        <v>2018</v>
      </c>
      <c r="C670" s="989" t="s">
        <v>2999</v>
      </c>
      <c r="D670" s="989" t="s">
        <v>4892</v>
      </c>
      <c r="E670" s="989" t="s">
        <v>6009</v>
      </c>
      <c r="F670" s="994">
        <v>0</v>
      </c>
      <c r="G670" s="989" t="s">
        <v>657</v>
      </c>
      <c r="H670" s="994">
        <v>0</v>
      </c>
      <c r="I670" s="994">
        <v>0</v>
      </c>
      <c r="J670" s="994">
        <v>0</v>
      </c>
      <c r="K670" s="997">
        <v>0</v>
      </c>
    </row>
    <row r="671" spans="1:11" ht="45" x14ac:dyDescent="0.25">
      <c r="A671" s="989" t="s">
        <v>626</v>
      </c>
      <c r="B671" s="993">
        <v>2018</v>
      </c>
      <c r="C671" s="989" t="s">
        <v>2999</v>
      </c>
      <c r="D671" s="989" t="s">
        <v>666</v>
      </c>
      <c r="E671" s="989" t="s">
        <v>1560</v>
      </c>
      <c r="F671" s="994">
        <v>0</v>
      </c>
      <c r="G671" s="995"/>
      <c r="H671" s="996"/>
      <c r="I671" s="996"/>
      <c r="J671" s="994">
        <v>0</v>
      </c>
      <c r="K671" s="997">
        <v>0</v>
      </c>
    </row>
    <row r="672" spans="1:11" x14ac:dyDescent="0.25">
      <c r="A672" s="989" t="s">
        <v>205</v>
      </c>
      <c r="B672" s="993">
        <v>2018</v>
      </c>
      <c r="C672" s="989" t="s">
        <v>2991</v>
      </c>
      <c r="D672" s="989" t="s">
        <v>49</v>
      </c>
      <c r="E672" s="989" t="s">
        <v>859</v>
      </c>
      <c r="F672" s="994">
        <v>-583577.69999999995</v>
      </c>
      <c r="G672" s="989" t="s">
        <v>657</v>
      </c>
      <c r="H672" s="994">
        <v>-576985.25</v>
      </c>
      <c r="I672" s="994">
        <v>-6592.47998046875</v>
      </c>
      <c r="J672" s="994">
        <v>-583577.6875</v>
      </c>
      <c r="K672" s="997">
        <v>-583577.69999999995</v>
      </c>
    </row>
    <row r="673" spans="1:11" ht="33.75" x14ac:dyDescent="0.25">
      <c r="A673" s="989" t="s">
        <v>205</v>
      </c>
      <c r="B673" s="993">
        <v>2018</v>
      </c>
      <c r="C673" s="989" t="s">
        <v>2992</v>
      </c>
      <c r="D673" s="989" t="s">
        <v>658</v>
      </c>
      <c r="E673" s="989" t="s">
        <v>860</v>
      </c>
      <c r="F673" s="994">
        <v>-163823.37</v>
      </c>
      <c r="G673" s="989" t="s">
        <v>657</v>
      </c>
      <c r="H673" s="994">
        <v>-161935.5625</v>
      </c>
      <c r="I673" s="994">
        <v>-1887.80004882813</v>
      </c>
      <c r="J673" s="994">
        <v>-163823.375</v>
      </c>
      <c r="K673" s="997">
        <v>-163823.37</v>
      </c>
    </row>
    <row r="674" spans="1:11" ht="22.5" x14ac:dyDescent="0.25">
      <c r="A674" s="989" t="s">
        <v>205</v>
      </c>
      <c r="B674" s="993">
        <v>2018</v>
      </c>
      <c r="C674" s="989" t="s">
        <v>2993</v>
      </c>
      <c r="D674" s="989" t="s">
        <v>464</v>
      </c>
      <c r="E674" s="989" t="s">
        <v>861</v>
      </c>
      <c r="F674" s="994">
        <v>2571801.4300000002</v>
      </c>
      <c r="G674" s="995"/>
      <c r="H674" s="996"/>
      <c r="I674" s="996"/>
      <c r="J674" s="994">
        <v>0</v>
      </c>
      <c r="K674" s="997">
        <v>2571801.4300000002</v>
      </c>
    </row>
    <row r="675" spans="1:11" ht="33.75" x14ac:dyDescent="0.25">
      <c r="A675" s="989" t="s">
        <v>205</v>
      </c>
      <c r="B675" s="993">
        <v>2018</v>
      </c>
      <c r="C675" s="989" t="s">
        <v>2994</v>
      </c>
      <c r="D675" s="989" t="s">
        <v>46</v>
      </c>
      <c r="E675" s="989" t="s">
        <v>862</v>
      </c>
      <c r="F675" s="994">
        <v>-15032026.300000001</v>
      </c>
      <c r="G675" s="989" t="s">
        <v>657</v>
      </c>
      <c r="H675" s="994">
        <v>-14707285</v>
      </c>
      <c r="I675" s="994">
        <v>-324741</v>
      </c>
      <c r="J675" s="994">
        <v>-15032026</v>
      </c>
      <c r="K675" s="997">
        <v>-15032026.300000001</v>
      </c>
    </row>
    <row r="676" spans="1:11" ht="22.5" x14ac:dyDescent="0.25">
      <c r="A676" s="989" t="s">
        <v>205</v>
      </c>
      <c r="B676" s="993">
        <v>2018</v>
      </c>
      <c r="C676" s="989" t="s">
        <v>2994</v>
      </c>
      <c r="D676" s="989" t="s">
        <v>2482</v>
      </c>
      <c r="E676" s="989" t="s">
        <v>862</v>
      </c>
      <c r="F676" s="994">
        <v>-0.69</v>
      </c>
      <c r="G676" s="995"/>
      <c r="H676" s="996"/>
      <c r="I676" s="996"/>
      <c r="J676" s="994">
        <v>0</v>
      </c>
      <c r="K676" s="997">
        <v>-0.69</v>
      </c>
    </row>
    <row r="677" spans="1:11" ht="22.5" x14ac:dyDescent="0.25">
      <c r="A677" s="989" t="s">
        <v>205</v>
      </c>
      <c r="B677" s="993">
        <v>2018</v>
      </c>
      <c r="C677" s="989" t="s">
        <v>2994</v>
      </c>
      <c r="D677" s="989" t="s">
        <v>2483</v>
      </c>
      <c r="E677" s="989" t="s">
        <v>862</v>
      </c>
      <c r="F677" s="994">
        <v>0</v>
      </c>
      <c r="G677" s="995"/>
      <c r="H677" s="996"/>
      <c r="I677" s="996"/>
      <c r="J677" s="994">
        <v>0</v>
      </c>
      <c r="K677" s="997">
        <v>0</v>
      </c>
    </row>
    <row r="678" spans="1:11" ht="22.5" x14ac:dyDescent="0.25">
      <c r="A678" s="989" t="s">
        <v>205</v>
      </c>
      <c r="B678" s="993">
        <v>2018</v>
      </c>
      <c r="C678" s="989" t="s">
        <v>2994</v>
      </c>
      <c r="D678" s="989" t="s">
        <v>2484</v>
      </c>
      <c r="E678" s="989" t="s">
        <v>862</v>
      </c>
      <c r="F678" s="994">
        <v>-432465.19</v>
      </c>
      <c r="G678" s="995"/>
      <c r="H678" s="996"/>
      <c r="I678" s="996"/>
      <c r="J678" s="994">
        <v>0</v>
      </c>
      <c r="K678" s="997">
        <v>-432465.19</v>
      </c>
    </row>
    <row r="679" spans="1:11" ht="22.5" x14ac:dyDescent="0.25">
      <c r="A679" s="989" t="s">
        <v>205</v>
      </c>
      <c r="B679" s="993">
        <v>2018</v>
      </c>
      <c r="C679" s="989" t="s">
        <v>2994</v>
      </c>
      <c r="D679" s="989" t="s">
        <v>2485</v>
      </c>
      <c r="E679" s="989" t="s">
        <v>862</v>
      </c>
      <c r="F679" s="994">
        <v>-8200.16</v>
      </c>
      <c r="G679" s="995"/>
      <c r="H679" s="996"/>
      <c r="I679" s="996"/>
      <c r="J679" s="994">
        <v>0</v>
      </c>
      <c r="K679" s="997">
        <v>-8200.16</v>
      </c>
    </row>
    <row r="680" spans="1:11" ht="33.75" x14ac:dyDescent="0.25">
      <c r="A680" s="989" t="s">
        <v>205</v>
      </c>
      <c r="B680" s="993">
        <v>2018</v>
      </c>
      <c r="C680" s="989" t="s">
        <v>2995</v>
      </c>
      <c r="D680" s="989" t="s">
        <v>47</v>
      </c>
      <c r="E680" s="989" t="s">
        <v>863</v>
      </c>
      <c r="F680" s="994">
        <v>375983.82</v>
      </c>
      <c r="G680" s="989" t="s">
        <v>657</v>
      </c>
      <c r="H680" s="994">
        <v>374863.28125</v>
      </c>
      <c r="I680" s="994">
        <v>1120.5400390625</v>
      </c>
      <c r="J680" s="994">
        <v>375983.8125</v>
      </c>
      <c r="K680" s="997">
        <v>375983.82</v>
      </c>
    </row>
    <row r="681" spans="1:11" ht="33.75" x14ac:dyDescent="0.25">
      <c r="A681" s="989" t="s">
        <v>205</v>
      </c>
      <c r="B681" s="993">
        <v>2018</v>
      </c>
      <c r="C681" s="989" t="s">
        <v>2996</v>
      </c>
      <c r="D681" s="989" t="s">
        <v>48</v>
      </c>
      <c r="E681" s="989" t="s">
        <v>864</v>
      </c>
      <c r="F681" s="994">
        <v>-5128835.2</v>
      </c>
      <c r="G681" s="989" t="s">
        <v>657</v>
      </c>
      <c r="H681" s="994">
        <v>-5068339.5</v>
      </c>
      <c r="I681" s="994">
        <v>-60495.78125</v>
      </c>
      <c r="J681" s="994">
        <v>-5128835</v>
      </c>
      <c r="K681" s="997">
        <v>-5128835.2</v>
      </c>
    </row>
    <row r="682" spans="1:11" ht="33.75" x14ac:dyDescent="0.25">
      <c r="A682" s="989" t="s">
        <v>205</v>
      </c>
      <c r="B682" s="993">
        <v>2018</v>
      </c>
      <c r="C682" s="989" t="s">
        <v>2997</v>
      </c>
      <c r="D682" s="989" t="s">
        <v>50</v>
      </c>
      <c r="E682" s="989" t="s">
        <v>865</v>
      </c>
      <c r="F682" s="994">
        <v>2119012.13</v>
      </c>
      <c r="G682" s="989" t="s">
        <v>657</v>
      </c>
      <c r="H682" s="994">
        <v>2071532.375</v>
      </c>
      <c r="I682" s="994">
        <v>47479.73828125</v>
      </c>
      <c r="J682" s="994">
        <v>2119012.25</v>
      </c>
      <c r="K682" s="997">
        <v>2119012.13</v>
      </c>
    </row>
    <row r="683" spans="1:11" ht="22.5" x14ac:dyDescent="0.25">
      <c r="A683" s="989" t="s">
        <v>205</v>
      </c>
      <c r="B683" s="993">
        <v>2018</v>
      </c>
      <c r="C683" s="989" t="s">
        <v>2998</v>
      </c>
      <c r="D683" s="989" t="s">
        <v>348</v>
      </c>
      <c r="E683" s="989" t="s">
        <v>866</v>
      </c>
      <c r="F683" s="994">
        <v>-424754.75</v>
      </c>
      <c r="G683" s="989" t="s">
        <v>657</v>
      </c>
      <c r="H683" s="994">
        <v>-451505.125</v>
      </c>
      <c r="I683" s="994">
        <v>26750.390625</v>
      </c>
      <c r="J683" s="994">
        <v>-424754.75</v>
      </c>
      <c r="K683" s="997">
        <v>-424754.75</v>
      </c>
    </row>
    <row r="684" spans="1:11" ht="45" x14ac:dyDescent="0.25">
      <c r="A684" s="989" t="s">
        <v>205</v>
      </c>
      <c r="B684" s="993">
        <v>2018</v>
      </c>
      <c r="C684" s="989" t="s">
        <v>2999</v>
      </c>
      <c r="D684" s="989" t="s">
        <v>659</v>
      </c>
      <c r="E684" s="989" t="s">
        <v>1299</v>
      </c>
      <c r="F684" s="994">
        <v>0</v>
      </c>
      <c r="G684" s="989" t="s">
        <v>657</v>
      </c>
      <c r="H684" s="994">
        <v>0</v>
      </c>
      <c r="I684" s="994">
        <v>0</v>
      </c>
      <c r="J684" s="994">
        <v>0</v>
      </c>
      <c r="K684" s="997">
        <v>0</v>
      </c>
    </row>
    <row r="685" spans="1:11" ht="45" x14ac:dyDescent="0.25">
      <c r="A685" s="989" t="s">
        <v>205</v>
      </c>
      <c r="B685" s="993">
        <v>2018</v>
      </c>
      <c r="C685" s="989" t="s">
        <v>2999</v>
      </c>
      <c r="D685" s="989" t="s">
        <v>660</v>
      </c>
      <c r="E685" s="989" t="s">
        <v>1300</v>
      </c>
      <c r="F685" s="994">
        <v>0</v>
      </c>
      <c r="G685" s="989" t="s">
        <v>657</v>
      </c>
      <c r="H685" s="994">
        <v>0</v>
      </c>
      <c r="I685" s="994">
        <v>0</v>
      </c>
      <c r="J685" s="994">
        <v>0</v>
      </c>
      <c r="K685" s="997">
        <v>0</v>
      </c>
    </row>
    <row r="686" spans="1:11" ht="45" x14ac:dyDescent="0.25">
      <c r="A686" s="989" t="s">
        <v>205</v>
      </c>
      <c r="B686" s="993">
        <v>2018</v>
      </c>
      <c r="C686" s="989" t="s">
        <v>2999</v>
      </c>
      <c r="D686" s="989" t="s">
        <v>661</v>
      </c>
      <c r="E686" s="989" t="s">
        <v>1301</v>
      </c>
      <c r="F686" s="994">
        <v>0</v>
      </c>
      <c r="G686" s="989" t="s">
        <v>657</v>
      </c>
      <c r="H686" s="994">
        <v>0</v>
      </c>
      <c r="I686" s="994">
        <v>0</v>
      </c>
      <c r="J686" s="994">
        <v>0</v>
      </c>
      <c r="K686" s="997">
        <v>0</v>
      </c>
    </row>
    <row r="687" spans="1:11" ht="45" x14ac:dyDescent="0.25">
      <c r="A687" s="989" t="s">
        <v>205</v>
      </c>
      <c r="B687" s="993">
        <v>2018</v>
      </c>
      <c r="C687" s="989" t="s">
        <v>2999</v>
      </c>
      <c r="D687" s="989" t="s">
        <v>662</v>
      </c>
      <c r="E687" s="989" t="s">
        <v>1302</v>
      </c>
      <c r="F687" s="994">
        <v>0</v>
      </c>
      <c r="G687" s="989" t="s">
        <v>657</v>
      </c>
      <c r="H687" s="994">
        <v>0</v>
      </c>
      <c r="I687" s="994">
        <v>0</v>
      </c>
      <c r="J687" s="994">
        <v>0</v>
      </c>
      <c r="K687" s="997">
        <v>0</v>
      </c>
    </row>
    <row r="688" spans="1:11" ht="45" x14ac:dyDescent="0.25">
      <c r="A688" s="989" t="s">
        <v>205</v>
      </c>
      <c r="B688" s="993">
        <v>2018</v>
      </c>
      <c r="C688" s="989" t="s">
        <v>2999</v>
      </c>
      <c r="D688" s="989" t="s">
        <v>663</v>
      </c>
      <c r="E688" s="989" t="s">
        <v>1303</v>
      </c>
      <c r="F688" s="994">
        <v>0</v>
      </c>
      <c r="G688" s="989" t="s">
        <v>657</v>
      </c>
      <c r="H688" s="994">
        <v>0</v>
      </c>
      <c r="I688" s="994">
        <v>0</v>
      </c>
      <c r="J688" s="994">
        <v>0</v>
      </c>
      <c r="K688" s="997">
        <v>0</v>
      </c>
    </row>
    <row r="689" spans="1:11" ht="45" x14ac:dyDescent="0.25">
      <c r="A689" s="989" t="s">
        <v>205</v>
      </c>
      <c r="B689" s="993">
        <v>2018</v>
      </c>
      <c r="C689" s="989" t="s">
        <v>2999</v>
      </c>
      <c r="D689" s="989" t="s">
        <v>664</v>
      </c>
      <c r="E689" s="989" t="s">
        <v>1304</v>
      </c>
      <c r="F689" s="994">
        <v>0</v>
      </c>
      <c r="G689" s="989" t="s">
        <v>657</v>
      </c>
      <c r="H689" s="994">
        <v>0</v>
      </c>
      <c r="I689" s="994">
        <v>0</v>
      </c>
      <c r="J689" s="994">
        <v>0</v>
      </c>
      <c r="K689" s="997">
        <v>0</v>
      </c>
    </row>
    <row r="690" spans="1:11" ht="45" x14ac:dyDescent="0.25">
      <c r="A690" s="989" t="s">
        <v>205</v>
      </c>
      <c r="B690" s="993">
        <v>2018</v>
      </c>
      <c r="C690" s="989" t="s">
        <v>2999</v>
      </c>
      <c r="D690" s="989" t="s">
        <v>665</v>
      </c>
      <c r="E690" s="989" t="s">
        <v>1305</v>
      </c>
      <c r="F690" s="994">
        <v>0</v>
      </c>
      <c r="G690" s="989" t="s">
        <v>657</v>
      </c>
      <c r="H690" s="994">
        <v>-90151.2734375</v>
      </c>
      <c r="I690" s="994">
        <v>-1516.10998535156</v>
      </c>
      <c r="J690" s="994">
        <v>-91667.3828125</v>
      </c>
      <c r="K690" s="997">
        <v>-91667.38</v>
      </c>
    </row>
    <row r="691" spans="1:11" ht="45" x14ac:dyDescent="0.25">
      <c r="A691" s="989" t="s">
        <v>205</v>
      </c>
      <c r="B691" s="993">
        <v>2018</v>
      </c>
      <c r="C691" s="989" t="s">
        <v>2999</v>
      </c>
      <c r="D691" s="989" t="s">
        <v>1870</v>
      </c>
      <c r="E691" s="989" t="s">
        <v>2309</v>
      </c>
      <c r="F691" s="994">
        <v>0</v>
      </c>
      <c r="G691" s="989" t="s">
        <v>657</v>
      </c>
      <c r="H691" s="994">
        <v>0</v>
      </c>
      <c r="I691" s="994">
        <v>0</v>
      </c>
      <c r="J691" s="994">
        <v>0</v>
      </c>
      <c r="K691" s="997">
        <v>0</v>
      </c>
    </row>
    <row r="692" spans="1:11" ht="45" x14ac:dyDescent="0.25">
      <c r="A692" s="989" t="s">
        <v>205</v>
      </c>
      <c r="B692" s="993">
        <v>2018</v>
      </c>
      <c r="C692" s="989" t="s">
        <v>2999</v>
      </c>
      <c r="D692" s="989" t="s">
        <v>2486</v>
      </c>
      <c r="E692" s="989" t="s">
        <v>2513</v>
      </c>
      <c r="F692" s="994">
        <v>0</v>
      </c>
      <c r="G692" s="989" t="s">
        <v>657</v>
      </c>
      <c r="H692" s="994">
        <v>5437.47021484375</v>
      </c>
      <c r="I692" s="994">
        <v>56269.1484375</v>
      </c>
      <c r="J692" s="994">
        <v>61706.62109375</v>
      </c>
      <c r="K692" s="997">
        <v>61706.62</v>
      </c>
    </row>
    <row r="693" spans="1:11" ht="45" x14ac:dyDescent="0.25">
      <c r="A693" s="989" t="s">
        <v>205</v>
      </c>
      <c r="B693" s="993">
        <v>2018</v>
      </c>
      <c r="C693" s="989" t="s">
        <v>2999</v>
      </c>
      <c r="D693" s="989" t="s">
        <v>4892</v>
      </c>
      <c r="E693" s="989" t="s">
        <v>6010</v>
      </c>
      <c r="F693" s="994">
        <v>0</v>
      </c>
      <c r="G693" s="989" t="s">
        <v>657</v>
      </c>
      <c r="H693" s="994">
        <v>-694569.625</v>
      </c>
      <c r="I693" s="994">
        <v>-303761.90625</v>
      </c>
      <c r="J693" s="994">
        <v>-998331.5</v>
      </c>
      <c r="K693" s="997">
        <v>-998331.51</v>
      </c>
    </row>
    <row r="694" spans="1:11" ht="45" x14ac:dyDescent="0.25">
      <c r="A694" s="989" t="s">
        <v>205</v>
      </c>
      <c r="B694" s="993">
        <v>2018</v>
      </c>
      <c r="C694" s="989" t="s">
        <v>2999</v>
      </c>
      <c r="D694" s="989" t="s">
        <v>666</v>
      </c>
      <c r="E694" s="989" t="s">
        <v>1561</v>
      </c>
      <c r="F694" s="994">
        <v>-1028292.27</v>
      </c>
      <c r="G694" s="995"/>
      <c r="H694" s="996"/>
      <c r="I694" s="996"/>
      <c r="J694" s="994">
        <v>0</v>
      </c>
      <c r="K694" s="997">
        <v>-1028292.27</v>
      </c>
    </row>
    <row r="695" spans="1:11" x14ac:dyDescent="0.25">
      <c r="A695" s="989" t="s">
        <v>627</v>
      </c>
      <c r="B695" s="993">
        <v>2018</v>
      </c>
      <c r="C695" s="989" t="s">
        <v>2991</v>
      </c>
      <c r="D695" s="989" t="s">
        <v>49</v>
      </c>
      <c r="E695" s="989" t="s">
        <v>867</v>
      </c>
      <c r="F695" s="994">
        <v>1345598.11</v>
      </c>
      <c r="G695" s="989" t="s">
        <v>657</v>
      </c>
      <c r="H695" s="994">
        <v>1331817.125</v>
      </c>
      <c r="I695" s="994">
        <v>13780.9404296875</v>
      </c>
      <c r="J695" s="994">
        <v>1345598.125</v>
      </c>
      <c r="K695" s="997">
        <v>1345598.11</v>
      </c>
    </row>
    <row r="696" spans="1:11" ht="33.75" x14ac:dyDescent="0.25">
      <c r="A696" s="989" t="s">
        <v>627</v>
      </c>
      <c r="B696" s="993">
        <v>2018</v>
      </c>
      <c r="C696" s="989" t="s">
        <v>2992</v>
      </c>
      <c r="D696" s="989" t="s">
        <v>658</v>
      </c>
      <c r="E696" s="989" t="s">
        <v>868</v>
      </c>
      <c r="F696" s="994">
        <v>-15446.96</v>
      </c>
      <c r="G696" s="989" t="s">
        <v>657</v>
      </c>
      <c r="H696" s="994">
        <v>-15291.8701171875</v>
      </c>
      <c r="I696" s="994">
        <v>-155.08999633789099</v>
      </c>
      <c r="J696" s="994">
        <v>-15446.9599609375</v>
      </c>
      <c r="K696" s="997">
        <v>-15446.96</v>
      </c>
    </row>
    <row r="697" spans="1:11" ht="22.5" x14ac:dyDescent="0.25">
      <c r="A697" s="989" t="s">
        <v>627</v>
      </c>
      <c r="B697" s="993">
        <v>2018</v>
      </c>
      <c r="C697" s="989" t="s">
        <v>2993</v>
      </c>
      <c r="D697" s="989" t="s">
        <v>464</v>
      </c>
      <c r="E697" s="989" t="s">
        <v>869</v>
      </c>
      <c r="F697" s="994">
        <v>5000.1899999999996</v>
      </c>
      <c r="G697" s="995"/>
      <c r="H697" s="996"/>
      <c r="I697" s="996"/>
      <c r="J697" s="994">
        <v>0</v>
      </c>
      <c r="K697" s="997">
        <v>5000.1899999999996</v>
      </c>
    </row>
    <row r="698" spans="1:11" ht="33.75" x14ac:dyDescent="0.25">
      <c r="A698" s="989" t="s">
        <v>627</v>
      </c>
      <c r="B698" s="993">
        <v>2018</v>
      </c>
      <c r="C698" s="989" t="s">
        <v>2994</v>
      </c>
      <c r="D698" s="989" t="s">
        <v>46</v>
      </c>
      <c r="E698" s="989" t="s">
        <v>870</v>
      </c>
      <c r="F698" s="994">
        <v>-1132506.68</v>
      </c>
      <c r="G698" s="989" t="s">
        <v>657</v>
      </c>
      <c r="H698" s="994">
        <v>-1119794.25</v>
      </c>
      <c r="I698" s="994">
        <v>-12712.4404296875</v>
      </c>
      <c r="J698" s="994">
        <v>-1132506.625</v>
      </c>
      <c r="K698" s="997">
        <v>-1132506.68</v>
      </c>
    </row>
    <row r="699" spans="1:11" ht="22.5" x14ac:dyDescent="0.25">
      <c r="A699" s="989" t="s">
        <v>627</v>
      </c>
      <c r="B699" s="993">
        <v>2018</v>
      </c>
      <c r="C699" s="989" t="s">
        <v>2994</v>
      </c>
      <c r="D699" s="989" t="s">
        <v>2482</v>
      </c>
      <c r="E699" s="989" t="s">
        <v>870</v>
      </c>
      <c r="F699" s="994">
        <v>0</v>
      </c>
      <c r="G699" s="995"/>
      <c r="H699" s="996"/>
      <c r="I699" s="996"/>
      <c r="J699" s="994">
        <v>0</v>
      </c>
      <c r="K699" s="997">
        <v>0</v>
      </c>
    </row>
    <row r="700" spans="1:11" ht="22.5" x14ac:dyDescent="0.25">
      <c r="A700" s="989" t="s">
        <v>627</v>
      </c>
      <c r="B700" s="993">
        <v>2018</v>
      </c>
      <c r="C700" s="989" t="s">
        <v>2994</v>
      </c>
      <c r="D700" s="989" t="s">
        <v>2483</v>
      </c>
      <c r="E700" s="989" t="s">
        <v>870</v>
      </c>
      <c r="F700" s="994">
        <v>0</v>
      </c>
      <c r="G700" s="995"/>
      <c r="H700" s="996"/>
      <c r="I700" s="996"/>
      <c r="J700" s="994">
        <v>0</v>
      </c>
      <c r="K700" s="997">
        <v>0</v>
      </c>
    </row>
    <row r="701" spans="1:11" ht="22.5" x14ac:dyDescent="0.25">
      <c r="A701" s="989" t="s">
        <v>627</v>
      </c>
      <c r="B701" s="993">
        <v>2018</v>
      </c>
      <c r="C701" s="989" t="s">
        <v>2994</v>
      </c>
      <c r="D701" s="989" t="s">
        <v>2484</v>
      </c>
      <c r="E701" s="989" t="s">
        <v>870</v>
      </c>
      <c r="F701" s="994">
        <v>-12712.44</v>
      </c>
      <c r="G701" s="995"/>
      <c r="H701" s="996"/>
      <c r="I701" s="996"/>
      <c r="J701" s="994">
        <v>0</v>
      </c>
      <c r="K701" s="997">
        <v>-12712.44</v>
      </c>
    </row>
    <row r="702" spans="1:11" ht="22.5" x14ac:dyDescent="0.25">
      <c r="A702" s="989" t="s">
        <v>627</v>
      </c>
      <c r="B702" s="993">
        <v>2018</v>
      </c>
      <c r="C702" s="989" t="s">
        <v>2994</v>
      </c>
      <c r="D702" s="989" t="s">
        <v>2485</v>
      </c>
      <c r="E702" s="989" t="s">
        <v>870</v>
      </c>
      <c r="F702" s="994">
        <v>-1119794.24</v>
      </c>
      <c r="G702" s="995"/>
      <c r="H702" s="996"/>
      <c r="I702" s="996"/>
      <c r="J702" s="994">
        <v>0</v>
      </c>
      <c r="K702" s="997">
        <v>-1119794.24</v>
      </c>
    </row>
    <row r="703" spans="1:11" ht="33.75" x14ac:dyDescent="0.25">
      <c r="A703" s="989" t="s">
        <v>627</v>
      </c>
      <c r="B703" s="993">
        <v>2018</v>
      </c>
      <c r="C703" s="989" t="s">
        <v>2995</v>
      </c>
      <c r="D703" s="989" t="s">
        <v>47</v>
      </c>
      <c r="E703" s="989" t="s">
        <v>871</v>
      </c>
      <c r="F703" s="994">
        <v>1145946.79</v>
      </c>
      <c r="G703" s="989" t="s">
        <v>657</v>
      </c>
      <c r="H703" s="994">
        <v>1134092.25</v>
      </c>
      <c r="I703" s="994">
        <v>11854.58984375</v>
      </c>
      <c r="J703" s="994">
        <v>1145946.75</v>
      </c>
      <c r="K703" s="997">
        <v>1145946.79</v>
      </c>
    </row>
    <row r="704" spans="1:11" ht="33.75" x14ac:dyDescent="0.25">
      <c r="A704" s="989" t="s">
        <v>627</v>
      </c>
      <c r="B704" s="993">
        <v>2018</v>
      </c>
      <c r="C704" s="989" t="s">
        <v>2996</v>
      </c>
      <c r="D704" s="989" t="s">
        <v>48</v>
      </c>
      <c r="E704" s="989" t="s">
        <v>872</v>
      </c>
      <c r="F704" s="994">
        <v>1110397.8700000001</v>
      </c>
      <c r="G704" s="989" t="s">
        <v>657</v>
      </c>
      <c r="H704" s="994">
        <v>1098916.25</v>
      </c>
      <c r="I704" s="994">
        <v>11481.66015625</v>
      </c>
      <c r="J704" s="994">
        <v>1110397.875</v>
      </c>
      <c r="K704" s="997">
        <v>1110397.8700000001</v>
      </c>
    </row>
    <row r="705" spans="1:11" ht="33.75" x14ac:dyDescent="0.25">
      <c r="A705" s="989" t="s">
        <v>627</v>
      </c>
      <c r="B705" s="993">
        <v>2018</v>
      </c>
      <c r="C705" s="989" t="s">
        <v>2997</v>
      </c>
      <c r="D705" s="989" t="s">
        <v>50</v>
      </c>
      <c r="E705" s="989" t="s">
        <v>873</v>
      </c>
      <c r="F705" s="994">
        <v>-1149647.72</v>
      </c>
      <c r="G705" s="989" t="s">
        <v>657</v>
      </c>
      <c r="H705" s="994">
        <v>-1139903.5</v>
      </c>
      <c r="I705" s="994">
        <v>-9744.169921875</v>
      </c>
      <c r="J705" s="994">
        <v>-1149647.75</v>
      </c>
      <c r="K705" s="997">
        <v>-1149647.72</v>
      </c>
    </row>
    <row r="706" spans="1:11" ht="22.5" x14ac:dyDescent="0.25">
      <c r="A706" s="989" t="s">
        <v>627</v>
      </c>
      <c r="B706" s="993">
        <v>2018</v>
      </c>
      <c r="C706" s="989" t="s">
        <v>2998</v>
      </c>
      <c r="D706" s="989" t="s">
        <v>348</v>
      </c>
      <c r="E706" s="989" t="s">
        <v>874</v>
      </c>
      <c r="F706" s="994">
        <v>1078486.49</v>
      </c>
      <c r="G706" s="989" t="s">
        <v>657</v>
      </c>
      <c r="H706" s="994">
        <v>1066560.25</v>
      </c>
      <c r="I706" s="994">
        <v>11926.259765625</v>
      </c>
      <c r="J706" s="994">
        <v>1078486.5</v>
      </c>
      <c r="K706" s="997">
        <v>1078486.49</v>
      </c>
    </row>
    <row r="707" spans="1:11" ht="45" x14ac:dyDescent="0.25">
      <c r="A707" s="989" t="s">
        <v>627</v>
      </c>
      <c r="B707" s="993">
        <v>2018</v>
      </c>
      <c r="C707" s="989" t="s">
        <v>2999</v>
      </c>
      <c r="D707" s="989" t="s">
        <v>659</v>
      </c>
      <c r="E707" s="989" t="s">
        <v>1306</v>
      </c>
      <c r="F707" s="994">
        <v>0</v>
      </c>
      <c r="G707" s="989" t="s">
        <v>657</v>
      </c>
      <c r="H707" s="996"/>
      <c r="I707" s="996"/>
      <c r="J707" s="994">
        <v>0</v>
      </c>
      <c r="K707" s="997">
        <v>0</v>
      </c>
    </row>
    <row r="708" spans="1:11" ht="45" x14ac:dyDescent="0.25">
      <c r="A708" s="989" t="s">
        <v>627</v>
      </c>
      <c r="B708" s="993">
        <v>2018</v>
      </c>
      <c r="C708" s="989" t="s">
        <v>2999</v>
      </c>
      <c r="D708" s="989" t="s">
        <v>660</v>
      </c>
      <c r="E708" s="989" t="s">
        <v>1307</v>
      </c>
      <c r="F708" s="994">
        <v>0</v>
      </c>
      <c r="G708" s="989" t="s">
        <v>657</v>
      </c>
      <c r="H708" s="996"/>
      <c r="I708" s="996"/>
      <c r="J708" s="994">
        <v>0</v>
      </c>
      <c r="K708" s="997">
        <v>0</v>
      </c>
    </row>
    <row r="709" spans="1:11" ht="45" x14ac:dyDescent="0.25">
      <c r="A709" s="989" t="s">
        <v>627</v>
      </c>
      <c r="B709" s="993">
        <v>2018</v>
      </c>
      <c r="C709" s="989" t="s">
        <v>2999</v>
      </c>
      <c r="D709" s="989" t="s">
        <v>661</v>
      </c>
      <c r="E709" s="989" t="s">
        <v>1308</v>
      </c>
      <c r="F709" s="994">
        <v>0</v>
      </c>
      <c r="G709" s="989" t="s">
        <v>657</v>
      </c>
      <c r="H709" s="996"/>
      <c r="I709" s="996"/>
      <c r="J709" s="994">
        <v>0</v>
      </c>
      <c r="K709" s="997">
        <v>0</v>
      </c>
    </row>
    <row r="710" spans="1:11" ht="45" x14ac:dyDescent="0.25">
      <c r="A710" s="989" t="s">
        <v>627</v>
      </c>
      <c r="B710" s="993">
        <v>2018</v>
      </c>
      <c r="C710" s="989" t="s">
        <v>2999</v>
      </c>
      <c r="D710" s="989" t="s">
        <v>662</v>
      </c>
      <c r="E710" s="989" t="s">
        <v>1309</v>
      </c>
      <c r="F710" s="994">
        <v>0</v>
      </c>
      <c r="G710" s="989" t="s">
        <v>657</v>
      </c>
      <c r="H710" s="996"/>
      <c r="I710" s="996"/>
      <c r="J710" s="994">
        <v>0</v>
      </c>
      <c r="K710" s="997">
        <v>0</v>
      </c>
    </row>
    <row r="711" spans="1:11" ht="45" x14ac:dyDescent="0.25">
      <c r="A711" s="989" t="s">
        <v>627</v>
      </c>
      <c r="B711" s="993">
        <v>2018</v>
      </c>
      <c r="C711" s="989" t="s">
        <v>2999</v>
      </c>
      <c r="D711" s="989" t="s">
        <v>663</v>
      </c>
      <c r="E711" s="989" t="s">
        <v>1310</v>
      </c>
      <c r="F711" s="994">
        <v>0</v>
      </c>
      <c r="G711" s="989" t="s">
        <v>657</v>
      </c>
      <c r="H711" s="994">
        <v>-54021.44921875</v>
      </c>
      <c r="I711" s="994">
        <v>137.33999633789099</v>
      </c>
      <c r="J711" s="994">
        <v>-53884.109375</v>
      </c>
      <c r="K711" s="997">
        <v>-53884.11</v>
      </c>
    </row>
    <row r="712" spans="1:11" ht="45" x14ac:dyDescent="0.25">
      <c r="A712" s="989" t="s">
        <v>627</v>
      </c>
      <c r="B712" s="993">
        <v>2018</v>
      </c>
      <c r="C712" s="989" t="s">
        <v>2999</v>
      </c>
      <c r="D712" s="989" t="s">
        <v>664</v>
      </c>
      <c r="E712" s="989" t="s">
        <v>1311</v>
      </c>
      <c r="F712" s="994">
        <v>0</v>
      </c>
      <c r="G712" s="989" t="s">
        <v>657</v>
      </c>
      <c r="H712" s="994">
        <v>117.55999755859401</v>
      </c>
      <c r="I712" s="994">
        <v>127.779998779297</v>
      </c>
      <c r="J712" s="994">
        <v>245.33999633789099</v>
      </c>
      <c r="K712" s="997">
        <v>245.34</v>
      </c>
    </row>
    <row r="713" spans="1:11" ht="45" x14ac:dyDescent="0.25">
      <c r="A713" s="989" t="s">
        <v>627</v>
      </c>
      <c r="B713" s="993">
        <v>2018</v>
      </c>
      <c r="C713" s="989" t="s">
        <v>2999</v>
      </c>
      <c r="D713" s="989" t="s">
        <v>665</v>
      </c>
      <c r="E713" s="989" t="s">
        <v>1312</v>
      </c>
      <c r="F713" s="994">
        <v>0</v>
      </c>
      <c r="G713" s="989" t="s">
        <v>657</v>
      </c>
      <c r="H713" s="996"/>
      <c r="I713" s="996"/>
      <c r="J713" s="994">
        <v>0</v>
      </c>
      <c r="K713" s="997">
        <v>0</v>
      </c>
    </row>
    <row r="714" spans="1:11" ht="45" x14ac:dyDescent="0.25">
      <c r="A714" s="989" t="s">
        <v>627</v>
      </c>
      <c r="B714" s="993">
        <v>2018</v>
      </c>
      <c r="C714" s="989" t="s">
        <v>2999</v>
      </c>
      <c r="D714" s="989" t="s">
        <v>1870</v>
      </c>
      <c r="E714" s="989" t="s">
        <v>2310</v>
      </c>
      <c r="F714" s="994">
        <v>0</v>
      </c>
      <c r="G714" s="989" t="s">
        <v>657</v>
      </c>
      <c r="H714" s="994">
        <v>26174.41015625</v>
      </c>
      <c r="I714" s="994">
        <v>56339.1484375</v>
      </c>
      <c r="J714" s="994">
        <v>82513.5625</v>
      </c>
      <c r="K714" s="997">
        <v>82513.56</v>
      </c>
    </row>
    <row r="715" spans="1:11" ht="45" x14ac:dyDescent="0.25">
      <c r="A715" s="989" t="s">
        <v>627</v>
      </c>
      <c r="B715" s="993">
        <v>2018</v>
      </c>
      <c r="C715" s="989" t="s">
        <v>2999</v>
      </c>
      <c r="D715" s="989" t="s">
        <v>2486</v>
      </c>
      <c r="E715" s="989" t="s">
        <v>2514</v>
      </c>
      <c r="F715" s="994">
        <v>0</v>
      </c>
      <c r="G715" s="989" t="s">
        <v>657</v>
      </c>
      <c r="H715" s="994">
        <v>-313194.625</v>
      </c>
      <c r="I715" s="994">
        <v>-78266.890625</v>
      </c>
      <c r="J715" s="994">
        <v>-391461.5</v>
      </c>
      <c r="K715" s="997">
        <v>-391461.5</v>
      </c>
    </row>
    <row r="716" spans="1:11" ht="45" x14ac:dyDescent="0.25">
      <c r="A716" s="989" t="s">
        <v>627</v>
      </c>
      <c r="B716" s="993">
        <v>2018</v>
      </c>
      <c r="C716" s="989" t="s">
        <v>2999</v>
      </c>
      <c r="D716" s="989" t="s">
        <v>4892</v>
      </c>
      <c r="E716" s="989" t="s">
        <v>6011</v>
      </c>
      <c r="F716" s="994">
        <v>0</v>
      </c>
      <c r="G716" s="989" t="s">
        <v>657</v>
      </c>
      <c r="H716" s="996"/>
      <c r="I716" s="996"/>
      <c r="J716" s="994">
        <v>0</v>
      </c>
      <c r="K716" s="997">
        <v>0</v>
      </c>
    </row>
    <row r="717" spans="1:11" ht="45" x14ac:dyDescent="0.25">
      <c r="A717" s="989" t="s">
        <v>627</v>
      </c>
      <c r="B717" s="993">
        <v>2018</v>
      </c>
      <c r="C717" s="989" t="s">
        <v>2999</v>
      </c>
      <c r="D717" s="989" t="s">
        <v>666</v>
      </c>
      <c r="E717" s="989" t="s">
        <v>1562</v>
      </c>
      <c r="F717" s="994">
        <v>-362586.71</v>
      </c>
      <c r="G717" s="995"/>
      <c r="H717" s="996"/>
      <c r="I717" s="996"/>
      <c r="J717" s="994">
        <v>0</v>
      </c>
      <c r="K717" s="997">
        <v>-362586.71</v>
      </c>
    </row>
    <row r="718" spans="1:11" ht="22.5" x14ac:dyDescent="0.25">
      <c r="A718" s="989" t="s">
        <v>167</v>
      </c>
      <c r="B718" s="993">
        <v>2018</v>
      </c>
      <c r="C718" s="989" t="s">
        <v>2991</v>
      </c>
      <c r="D718" s="989" t="s">
        <v>49</v>
      </c>
      <c r="E718" s="989" t="s">
        <v>875</v>
      </c>
      <c r="F718" s="994">
        <v>0</v>
      </c>
      <c r="G718" s="989" t="s">
        <v>657</v>
      </c>
      <c r="H718" s="996"/>
      <c r="I718" s="996"/>
      <c r="J718" s="994">
        <v>0</v>
      </c>
      <c r="K718" s="997">
        <v>0</v>
      </c>
    </row>
    <row r="719" spans="1:11" ht="33.75" x14ac:dyDescent="0.25">
      <c r="A719" s="989" t="s">
        <v>167</v>
      </c>
      <c r="B719" s="993">
        <v>2018</v>
      </c>
      <c r="C719" s="989" t="s">
        <v>2992</v>
      </c>
      <c r="D719" s="989" t="s">
        <v>658</v>
      </c>
      <c r="E719" s="989" t="s">
        <v>876</v>
      </c>
      <c r="F719" s="994">
        <v>3671</v>
      </c>
      <c r="G719" s="989" t="s">
        <v>657</v>
      </c>
      <c r="H719" s="994">
        <v>3428</v>
      </c>
      <c r="I719" s="994">
        <v>243</v>
      </c>
      <c r="J719" s="994">
        <v>3671</v>
      </c>
      <c r="K719" s="997">
        <v>3671</v>
      </c>
    </row>
    <row r="720" spans="1:11" ht="22.5" x14ac:dyDescent="0.25">
      <c r="A720" s="989" t="s">
        <v>167</v>
      </c>
      <c r="B720" s="993">
        <v>2018</v>
      </c>
      <c r="C720" s="989" t="s">
        <v>2993</v>
      </c>
      <c r="D720" s="989" t="s">
        <v>464</v>
      </c>
      <c r="E720" s="989" t="s">
        <v>877</v>
      </c>
      <c r="F720" s="994">
        <v>9451</v>
      </c>
      <c r="G720" s="995"/>
      <c r="H720" s="996"/>
      <c r="I720" s="996"/>
      <c r="J720" s="994">
        <v>0</v>
      </c>
      <c r="K720" s="997">
        <v>9451</v>
      </c>
    </row>
    <row r="721" spans="1:11" ht="33.75" x14ac:dyDescent="0.25">
      <c r="A721" s="989" t="s">
        <v>167</v>
      </c>
      <c r="B721" s="993">
        <v>2018</v>
      </c>
      <c r="C721" s="989" t="s">
        <v>2994</v>
      </c>
      <c r="D721" s="989" t="s">
        <v>46</v>
      </c>
      <c r="E721" s="989" t="s">
        <v>878</v>
      </c>
      <c r="F721" s="994">
        <v>-604475</v>
      </c>
      <c r="G721" s="989" t="s">
        <v>657</v>
      </c>
      <c r="H721" s="994">
        <v>-583221</v>
      </c>
      <c r="I721" s="994">
        <v>-21254</v>
      </c>
      <c r="J721" s="994">
        <v>-604475</v>
      </c>
      <c r="K721" s="997">
        <v>-604475</v>
      </c>
    </row>
    <row r="722" spans="1:11" ht="22.5" x14ac:dyDescent="0.25">
      <c r="A722" s="989" t="s">
        <v>167</v>
      </c>
      <c r="B722" s="993">
        <v>2018</v>
      </c>
      <c r="C722" s="989" t="s">
        <v>2994</v>
      </c>
      <c r="D722" s="989" t="s">
        <v>2482</v>
      </c>
      <c r="E722" s="989" t="s">
        <v>878</v>
      </c>
      <c r="F722" s="994">
        <v>0</v>
      </c>
      <c r="G722" s="995"/>
      <c r="H722" s="996"/>
      <c r="I722" s="996"/>
      <c r="J722" s="994">
        <v>0</v>
      </c>
      <c r="K722" s="997">
        <v>0</v>
      </c>
    </row>
    <row r="723" spans="1:11" ht="22.5" x14ac:dyDescent="0.25">
      <c r="A723" s="989" t="s">
        <v>167</v>
      </c>
      <c r="B723" s="993">
        <v>2018</v>
      </c>
      <c r="C723" s="989" t="s">
        <v>2994</v>
      </c>
      <c r="D723" s="989" t="s">
        <v>2483</v>
      </c>
      <c r="E723" s="989" t="s">
        <v>878</v>
      </c>
      <c r="F723" s="994">
        <v>0</v>
      </c>
      <c r="G723" s="995"/>
      <c r="H723" s="996"/>
      <c r="I723" s="996"/>
      <c r="J723" s="994">
        <v>0</v>
      </c>
      <c r="K723" s="997">
        <v>0</v>
      </c>
    </row>
    <row r="724" spans="1:11" ht="22.5" x14ac:dyDescent="0.25">
      <c r="A724" s="989" t="s">
        <v>167</v>
      </c>
      <c r="B724" s="993">
        <v>2018</v>
      </c>
      <c r="C724" s="989" t="s">
        <v>2994</v>
      </c>
      <c r="D724" s="989" t="s">
        <v>2484</v>
      </c>
      <c r="E724" s="989" t="s">
        <v>878</v>
      </c>
      <c r="F724" s="994">
        <v>-157</v>
      </c>
      <c r="G724" s="995"/>
      <c r="H724" s="996"/>
      <c r="I724" s="996"/>
      <c r="J724" s="994">
        <v>0</v>
      </c>
      <c r="K724" s="997">
        <v>-157</v>
      </c>
    </row>
    <row r="725" spans="1:11" ht="22.5" x14ac:dyDescent="0.25">
      <c r="A725" s="989" t="s">
        <v>167</v>
      </c>
      <c r="B725" s="993">
        <v>2018</v>
      </c>
      <c r="C725" s="989" t="s">
        <v>2994</v>
      </c>
      <c r="D725" s="989" t="s">
        <v>2485</v>
      </c>
      <c r="E725" s="989" t="s">
        <v>878</v>
      </c>
      <c r="F725" s="994">
        <v>-11242</v>
      </c>
      <c r="G725" s="995"/>
      <c r="H725" s="996"/>
      <c r="I725" s="996"/>
      <c r="J725" s="994">
        <v>0</v>
      </c>
      <c r="K725" s="997">
        <v>-11242</v>
      </c>
    </row>
    <row r="726" spans="1:11" ht="33.75" x14ac:dyDescent="0.25">
      <c r="A726" s="989" t="s">
        <v>167</v>
      </c>
      <c r="B726" s="993">
        <v>2018</v>
      </c>
      <c r="C726" s="989" t="s">
        <v>2995</v>
      </c>
      <c r="D726" s="989" t="s">
        <v>47</v>
      </c>
      <c r="E726" s="989" t="s">
        <v>879</v>
      </c>
      <c r="F726" s="994">
        <v>72746</v>
      </c>
      <c r="G726" s="989" t="s">
        <v>657</v>
      </c>
      <c r="H726" s="994">
        <v>66204</v>
      </c>
      <c r="I726" s="994">
        <v>6542</v>
      </c>
      <c r="J726" s="994">
        <v>72746</v>
      </c>
      <c r="K726" s="997">
        <v>72746</v>
      </c>
    </row>
    <row r="727" spans="1:11" ht="33.75" x14ac:dyDescent="0.25">
      <c r="A727" s="989" t="s">
        <v>167</v>
      </c>
      <c r="B727" s="993">
        <v>2018</v>
      </c>
      <c r="C727" s="989" t="s">
        <v>2996</v>
      </c>
      <c r="D727" s="989" t="s">
        <v>48</v>
      </c>
      <c r="E727" s="989" t="s">
        <v>880</v>
      </c>
      <c r="F727" s="994">
        <v>16313</v>
      </c>
      <c r="G727" s="989" t="s">
        <v>657</v>
      </c>
      <c r="H727" s="994">
        <v>14966</v>
      </c>
      <c r="I727" s="994">
        <v>1347</v>
      </c>
      <c r="J727" s="994">
        <v>16313</v>
      </c>
      <c r="K727" s="997">
        <v>16313</v>
      </c>
    </row>
    <row r="728" spans="1:11" ht="33.75" x14ac:dyDescent="0.25">
      <c r="A728" s="989" t="s">
        <v>167</v>
      </c>
      <c r="B728" s="993">
        <v>2018</v>
      </c>
      <c r="C728" s="989" t="s">
        <v>2997</v>
      </c>
      <c r="D728" s="989" t="s">
        <v>50</v>
      </c>
      <c r="E728" s="989" t="s">
        <v>881</v>
      </c>
      <c r="F728" s="994">
        <v>234524</v>
      </c>
      <c r="G728" s="989" t="s">
        <v>657</v>
      </c>
      <c r="H728" s="994">
        <v>221123</v>
      </c>
      <c r="I728" s="994">
        <v>13401</v>
      </c>
      <c r="J728" s="994">
        <v>234524</v>
      </c>
      <c r="K728" s="997">
        <v>234524</v>
      </c>
    </row>
    <row r="729" spans="1:11" ht="22.5" x14ac:dyDescent="0.25">
      <c r="A729" s="989" t="s">
        <v>167</v>
      </c>
      <c r="B729" s="993">
        <v>2018</v>
      </c>
      <c r="C729" s="989" t="s">
        <v>2998</v>
      </c>
      <c r="D729" s="989" t="s">
        <v>348</v>
      </c>
      <c r="E729" s="989" t="s">
        <v>882</v>
      </c>
      <c r="F729" s="994">
        <v>41915</v>
      </c>
      <c r="G729" s="989" t="s">
        <v>657</v>
      </c>
      <c r="H729" s="994">
        <v>31575</v>
      </c>
      <c r="I729" s="994">
        <v>10340</v>
      </c>
      <c r="J729" s="994">
        <v>41915</v>
      </c>
      <c r="K729" s="997">
        <v>41915</v>
      </c>
    </row>
    <row r="730" spans="1:11" ht="45" x14ac:dyDescent="0.25">
      <c r="A730" s="989" t="s">
        <v>167</v>
      </c>
      <c r="B730" s="993">
        <v>2018</v>
      </c>
      <c r="C730" s="989" t="s">
        <v>2999</v>
      </c>
      <c r="D730" s="989" t="s">
        <v>659</v>
      </c>
      <c r="E730" s="989" t="s">
        <v>1313</v>
      </c>
      <c r="F730" s="994">
        <v>0</v>
      </c>
      <c r="G730" s="989" t="s">
        <v>657</v>
      </c>
      <c r="H730" s="996"/>
      <c r="I730" s="996"/>
      <c r="J730" s="994">
        <v>0</v>
      </c>
      <c r="K730" s="997">
        <v>0</v>
      </c>
    </row>
    <row r="731" spans="1:11" ht="45" x14ac:dyDescent="0.25">
      <c r="A731" s="989" t="s">
        <v>167</v>
      </c>
      <c r="B731" s="993">
        <v>2018</v>
      </c>
      <c r="C731" s="989" t="s">
        <v>2999</v>
      </c>
      <c r="D731" s="989" t="s">
        <v>660</v>
      </c>
      <c r="E731" s="989" t="s">
        <v>1314</v>
      </c>
      <c r="F731" s="994">
        <v>0</v>
      </c>
      <c r="G731" s="989" t="s">
        <v>657</v>
      </c>
      <c r="H731" s="996"/>
      <c r="I731" s="996"/>
      <c r="J731" s="994">
        <v>0</v>
      </c>
      <c r="K731" s="997">
        <v>0</v>
      </c>
    </row>
    <row r="732" spans="1:11" ht="45" x14ac:dyDescent="0.25">
      <c r="A732" s="989" t="s">
        <v>167</v>
      </c>
      <c r="B732" s="993">
        <v>2018</v>
      </c>
      <c r="C732" s="989" t="s">
        <v>2999</v>
      </c>
      <c r="D732" s="989" t="s">
        <v>661</v>
      </c>
      <c r="E732" s="989" t="s">
        <v>1315</v>
      </c>
      <c r="F732" s="994">
        <v>0</v>
      </c>
      <c r="G732" s="989" t="s">
        <v>657</v>
      </c>
      <c r="H732" s="996"/>
      <c r="I732" s="996"/>
      <c r="J732" s="994">
        <v>0</v>
      </c>
      <c r="K732" s="997">
        <v>0</v>
      </c>
    </row>
    <row r="733" spans="1:11" ht="45" x14ac:dyDescent="0.25">
      <c r="A733" s="989" t="s">
        <v>167</v>
      </c>
      <c r="B733" s="993">
        <v>2018</v>
      </c>
      <c r="C733" s="989" t="s">
        <v>2999</v>
      </c>
      <c r="D733" s="989" t="s">
        <v>662</v>
      </c>
      <c r="E733" s="989" t="s">
        <v>1316</v>
      </c>
      <c r="F733" s="994">
        <v>0</v>
      </c>
      <c r="G733" s="989" t="s">
        <v>657</v>
      </c>
      <c r="H733" s="994">
        <v>-34561</v>
      </c>
      <c r="I733" s="994">
        <v>-55608</v>
      </c>
      <c r="J733" s="994">
        <v>-90169</v>
      </c>
      <c r="K733" s="997">
        <v>-90169</v>
      </c>
    </row>
    <row r="734" spans="1:11" ht="45" x14ac:dyDescent="0.25">
      <c r="A734" s="989" t="s">
        <v>167</v>
      </c>
      <c r="B734" s="993">
        <v>2018</v>
      </c>
      <c r="C734" s="989" t="s">
        <v>2999</v>
      </c>
      <c r="D734" s="989" t="s">
        <v>663</v>
      </c>
      <c r="E734" s="989" t="s">
        <v>1317</v>
      </c>
      <c r="F734" s="994">
        <v>0</v>
      </c>
      <c r="G734" s="989" t="s">
        <v>657</v>
      </c>
      <c r="H734" s="994">
        <v>148547</v>
      </c>
      <c r="I734" s="994">
        <v>-166106</v>
      </c>
      <c r="J734" s="994">
        <v>-17559</v>
      </c>
      <c r="K734" s="997">
        <v>-17559</v>
      </c>
    </row>
    <row r="735" spans="1:11" ht="45" x14ac:dyDescent="0.25">
      <c r="A735" s="989" t="s">
        <v>167</v>
      </c>
      <c r="B735" s="993">
        <v>2018</v>
      </c>
      <c r="C735" s="989" t="s">
        <v>2999</v>
      </c>
      <c r="D735" s="989" t="s">
        <v>664</v>
      </c>
      <c r="E735" s="989" t="s">
        <v>1318</v>
      </c>
      <c r="F735" s="994">
        <v>0</v>
      </c>
      <c r="G735" s="989" t="s">
        <v>657</v>
      </c>
      <c r="H735" s="994">
        <v>-10034</v>
      </c>
      <c r="I735" s="994">
        <v>-4613</v>
      </c>
      <c r="J735" s="994">
        <v>-14647</v>
      </c>
      <c r="K735" s="997">
        <v>-14647</v>
      </c>
    </row>
    <row r="736" spans="1:11" ht="45" x14ac:dyDescent="0.25">
      <c r="A736" s="989" t="s">
        <v>167</v>
      </c>
      <c r="B736" s="993">
        <v>2018</v>
      </c>
      <c r="C736" s="989" t="s">
        <v>2999</v>
      </c>
      <c r="D736" s="989" t="s">
        <v>665</v>
      </c>
      <c r="E736" s="989" t="s">
        <v>1319</v>
      </c>
      <c r="F736" s="994">
        <v>0</v>
      </c>
      <c r="G736" s="989" t="s">
        <v>657</v>
      </c>
      <c r="H736" s="996"/>
      <c r="I736" s="996"/>
      <c r="J736" s="994">
        <v>0</v>
      </c>
      <c r="K736" s="997">
        <v>0</v>
      </c>
    </row>
    <row r="737" spans="1:11" ht="45" x14ac:dyDescent="0.25">
      <c r="A737" s="989" t="s">
        <v>167</v>
      </c>
      <c r="B737" s="993">
        <v>2018</v>
      </c>
      <c r="C737" s="989" t="s">
        <v>2999</v>
      </c>
      <c r="D737" s="989" t="s">
        <v>1870</v>
      </c>
      <c r="E737" s="989" t="s">
        <v>2311</v>
      </c>
      <c r="F737" s="994">
        <v>0</v>
      </c>
      <c r="G737" s="989" t="s">
        <v>657</v>
      </c>
      <c r="H737" s="996"/>
      <c r="I737" s="996"/>
      <c r="J737" s="994">
        <v>0</v>
      </c>
      <c r="K737" s="997">
        <v>0</v>
      </c>
    </row>
    <row r="738" spans="1:11" ht="45" x14ac:dyDescent="0.25">
      <c r="A738" s="989" t="s">
        <v>167</v>
      </c>
      <c r="B738" s="993">
        <v>2018</v>
      </c>
      <c r="C738" s="989" t="s">
        <v>2999</v>
      </c>
      <c r="D738" s="989" t="s">
        <v>2486</v>
      </c>
      <c r="E738" s="989" t="s">
        <v>2515</v>
      </c>
      <c r="F738" s="994">
        <v>0</v>
      </c>
      <c r="G738" s="989" t="s">
        <v>657</v>
      </c>
      <c r="H738" s="996"/>
      <c r="I738" s="996"/>
      <c r="J738" s="994">
        <v>0</v>
      </c>
      <c r="K738" s="997">
        <v>0</v>
      </c>
    </row>
    <row r="739" spans="1:11" ht="45" x14ac:dyDescent="0.25">
      <c r="A739" s="989" t="s">
        <v>167</v>
      </c>
      <c r="B739" s="993">
        <v>2018</v>
      </c>
      <c r="C739" s="989" t="s">
        <v>2999</v>
      </c>
      <c r="D739" s="989" t="s">
        <v>4892</v>
      </c>
      <c r="E739" s="989" t="s">
        <v>6012</v>
      </c>
      <c r="F739" s="994">
        <v>0</v>
      </c>
      <c r="G739" s="989" t="s">
        <v>657</v>
      </c>
      <c r="H739" s="994">
        <v>-413</v>
      </c>
      <c r="I739" s="996"/>
      <c r="J739" s="994">
        <v>-413</v>
      </c>
      <c r="K739" s="997">
        <v>-413</v>
      </c>
    </row>
    <row r="740" spans="1:11" ht="45" x14ac:dyDescent="0.25">
      <c r="A740" s="989" t="s">
        <v>167</v>
      </c>
      <c r="B740" s="993">
        <v>2018</v>
      </c>
      <c r="C740" s="989" t="s">
        <v>2999</v>
      </c>
      <c r="D740" s="989" t="s">
        <v>666</v>
      </c>
      <c r="E740" s="989" t="s">
        <v>1563</v>
      </c>
      <c r="F740" s="994">
        <v>-122788</v>
      </c>
      <c r="G740" s="995"/>
      <c r="H740" s="996"/>
      <c r="I740" s="996"/>
      <c r="J740" s="994">
        <v>0</v>
      </c>
      <c r="K740" s="997">
        <v>-122788</v>
      </c>
    </row>
    <row r="741" spans="1:11" x14ac:dyDescent="0.25">
      <c r="A741" s="989" t="s">
        <v>163</v>
      </c>
      <c r="B741" s="993">
        <v>2018</v>
      </c>
      <c r="C741" s="989" t="s">
        <v>2991</v>
      </c>
      <c r="D741" s="989" t="s">
        <v>49</v>
      </c>
      <c r="E741" s="989" t="s">
        <v>883</v>
      </c>
      <c r="F741" s="994">
        <v>159724</v>
      </c>
      <c r="G741" s="989" t="s">
        <v>657</v>
      </c>
      <c r="H741" s="994">
        <v>158205</v>
      </c>
      <c r="I741" s="994">
        <v>1519</v>
      </c>
      <c r="J741" s="994">
        <v>159724</v>
      </c>
      <c r="K741" s="997">
        <v>159724</v>
      </c>
    </row>
    <row r="742" spans="1:11" ht="33.75" x14ac:dyDescent="0.25">
      <c r="A742" s="989" t="s">
        <v>163</v>
      </c>
      <c r="B742" s="993">
        <v>2018</v>
      </c>
      <c r="C742" s="989" t="s">
        <v>2992</v>
      </c>
      <c r="D742" s="989" t="s">
        <v>658</v>
      </c>
      <c r="E742" s="989" t="s">
        <v>884</v>
      </c>
      <c r="F742" s="994">
        <v>-2457</v>
      </c>
      <c r="G742" s="989" t="s">
        <v>657</v>
      </c>
      <c r="H742" s="994">
        <v>-2625</v>
      </c>
      <c r="I742" s="994">
        <v>168</v>
      </c>
      <c r="J742" s="994">
        <v>-2457</v>
      </c>
      <c r="K742" s="997">
        <v>-2457</v>
      </c>
    </row>
    <row r="743" spans="1:11" ht="22.5" x14ac:dyDescent="0.25">
      <c r="A743" s="989" t="s">
        <v>163</v>
      </c>
      <c r="B743" s="993">
        <v>2018</v>
      </c>
      <c r="C743" s="989" t="s">
        <v>2993</v>
      </c>
      <c r="D743" s="989" t="s">
        <v>464</v>
      </c>
      <c r="E743" s="989" t="s">
        <v>885</v>
      </c>
      <c r="F743" s="994">
        <v>0</v>
      </c>
      <c r="G743" s="995"/>
      <c r="H743" s="996"/>
      <c r="I743" s="996"/>
      <c r="J743" s="994">
        <v>0</v>
      </c>
      <c r="K743" s="997">
        <v>0</v>
      </c>
    </row>
    <row r="744" spans="1:11" ht="33.75" x14ac:dyDescent="0.25">
      <c r="A744" s="989" t="s">
        <v>163</v>
      </c>
      <c r="B744" s="993">
        <v>2018</v>
      </c>
      <c r="C744" s="989" t="s">
        <v>2994</v>
      </c>
      <c r="D744" s="989" t="s">
        <v>46</v>
      </c>
      <c r="E744" s="989" t="s">
        <v>886</v>
      </c>
      <c r="F744" s="994">
        <v>-1516410</v>
      </c>
      <c r="G744" s="989" t="s">
        <v>657</v>
      </c>
      <c r="H744" s="994">
        <v>-1500065</v>
      </c>
      <c r="I744" s="994">
        <v>-16345</v>
      </c>
      <c r="J744" s="994">
        <v>-1516410</v>
      </c>
      <c r="K744" s="997">
        <v>-1516410</v>
      </c>
    </row>
    <row r="745" spans="1:11" ht="22.5" x14ac:dyDescent="0.25">
      <c r="A745" s="989" t="s">
        <v>163</v>
      </c>
      <c r="B745" s="993">
        <v>2018</v>
      </c>
      <c r="C745" s="989" t="s">
        <v>2994</v>
      </c>
      <c r="D745" s="989" t="s">
        <v>2482</v>
      </c>
      <c r="E745" s="989" t="s">
        <v>886</v>
      </c>
      <c r="F745" s="994">
        <v>238.92</v>
      </c>
      <c r="G745" s="995"/>
      <c r="H745" s="996"/>
      <c r="I745" s="996"/>
      <c r="J745" s="994">
        <v>0</v>
      </c>
      <c r="K745" s="997">
        <v>238.92</v>
      </c>
    </row>
    <row r="746" spans="1:11" ht="22.5" x14ac:dyDescent="0.25">
      <c r="A746" s="989" t="s">
        <v>163</v>
      </c>
      <c r="B746" s="993">
        <v>2018</v>
      </c>
      <c r="C746" s="989" t="s">
        <v>2994</v>
      </c>
      <c r="D746" s="989" t="s">
        <v>2483</v>
      </c>
      <c r="E746" s="989" t="s">
        <v>886</v>
      </c>
      <c r="F746" s="994">
        <v>1256.53</v>
      </c>
      <c r="G746" s="995"/>
      <c r="H746" s="996"/>
      <c r="I746" s="996"/>
      <c r="J746" s="994">
        <v>0</v>
      </c>
      <c r="K746" s="997">
        <v>1256.53</v>
      </c>
    </row>
    <row r="747" spans="1:11" ht="22.5" x14ac:dyDescent="0.25">
      <c r="A747" s="989" t="s">
        <v>163</v>
      </c>
      <c r="B747" s="993">
        <v>2018</v>
      </c>
      <c r="C747" s="989" t="s">
        <v>2994</v>
      </c>
      <c r="D747" s="989" t="s">
        <v>2484</v>
      </c>
      <c r="E747" s="989" t="s">
        <v>886</v>
      </c>
      <c r="F747" s="994">
        <v>129.55000000000001</v>
      </c>
      <c r="G747" s="995"/>
      <c r="H747" s="996"/>
      <c r="I747" s="996"/>
      <c r="J747" s="994">
        <v>0</v>
      </c>
      <c r="K747" s="997">
        <v>129.55000000000001</v>
      </c>
    </row>
    <row r="748" spans="1:11" ht="22.5" x14ac:dyDescent="0.25">
      <c r="A748" s="989" t="s">
        <v>163</v>
      </c>
      <c r="B748" s="993">
        <v>2018</v>
      </c>
      <c r="C748" s="989" t="s">
        <v>2994</v>
      </c>
      <c r="D748" s="989" t="s">
        <v>2485</v>
      </c>
      <c r="E748" s="989" t="s">
        <v>886</v>
      </c>
      <c r="F748" s="994">
        <v>-27223.919999999998</v>
      </c>
      <c r="G748" s="995"/>
      <c r="H748" s="996"/>
      <c r="I748" s="996"/>
      <c r="J748" s="994">
        <v>0</v>
      </c>
      <c r="K748" s="997">
        <v>-27223.919999999998</v>
      </c>
    </row>
    <row r="749" spans="1:11" ht="33.75" x14ac:dyDescent="0.25">
      <c r="A749" s="989" t="s">
        <v>163</v>
      </c>
      <c r="B749" s="993">
        <v>2018</v>
      </c>
      <c r="C749" s="989" t="s">
        <v>2995</v>
      </c>
      <c r="D749" s="989" t="s">
        <v>47</v>
      </c>
      <c r="E749" s="989" t="s">
        <v>887</v>
      </c>
      <c r="F749" s="994">
        <v>-791164</v>
      </c>
      <c r="G749" s="989" t="s">
        <v>657</v>
      </c>
      <c r="H749" s="994">
        <v>-780808</v>
      </c>
      <c r="I749" s="994">
        <v>-10356</v>
      </c>
      <c r="J749" s="994">
        <v>-791164</v>
      </c>
      <c r="K749" s="997">
        <v>-791164</v>
      </c>
    </row>
    <row r="750" spans="1:11" ht="33.75" x14ac:dyDescent="0.25">
      <c r="A750" s="989" t="s">
        <v>163</v>
      </c>
      <c r="B750" s="993">
        <v>2018</v>
      </c>
      <c r="C750" s="989" t="s">
        <v>2996</v>
      </c>
      <c r="D750" s="989" t="s">
        <v>48</v>
      </c>
      <c r="E750" s="989" t="s">
        <v>888</v>
      </c>
      <c r="F750" s="994">
        <v>-377006</v>
      </c>
      <c r="G750" s="989" t="s">
        <v>657</v>
      </c>
      <c r="H750" s="994">
        <v>-371523</v>
      </c>
      <c r="I750" s="994">
        <v>-5483</v>
      </c>
      <c r="J750" s="994">
        <v>-377006</v>
      </c>
      <c r="K750" s="997">
        <v>-377006</v>
      </c>
    </row>
    <row r="751" spans="1:11" ht="33.75" x14ac:dyDescent="0.25">
      <c r="A751" s="989" t="s">
        <v>163</v>
      </c>
      <c r="B751" s="993">
        <v>2018</v>
      </c>
      <c r="C751" s="989" t="s">
        <v>2997</v>
      </c>
      <c r="D751" s="989" t="s">
        <v>50</v>
      </c>
      <c r="E751" s="989" t="s">
        <v>889</v>
      </c>
      <c r="F751" s="994">
        <v>2290112</v>
      </c>
      <c r="G751" s="989" t="s">
        <v>657</v>
      </c>
      <c r="H751" s="994">
        <v>2266888</v>
      </c>
      <c r="I751" s="994">
        <v>23224</v>
      </c>
      <c r="J751" s="994">
        <v>2290112</v>
      </c>
      <c r="K751" s="997">
        <v>2290112</v>
      </c>
    </row>
    <row r="752" spans="1:11" ht="22.5" x14ac:dyDescent="0.25">
      <c r="A752" s="989" t="s">
        <v>163</v>
      </c>
      <c r="B752" s="993">
        <v>2018</v>
      </c>
      <c r="C752" s="989" t="s">
        <v>2998</v>
      </c>
      <c r="D752" s="989" t="s">
        <v>348</v>
      </c>
      <c r="E752" s="989" t="s">
        <v>890</v>
      </c>
      <c r="F752" s="994">
        <v>299106</v>
      </c>
      <c r="G752" s="989" t="s">
        <v>657</v>
      </c>
      <c r="H752" s="994">
        <v>179597</v>
      </c>
      <c r="I752" s="994">
        <v>119509</v>
      </c>
      <c r="J752" s="994">
        <v>299106</v>
      </c>
      <c r="K752" s="997">
        <v>299106</v>
      </c>
    </row>
    <row r="753" spans="1:11" ht="45" x14ac:dyDescent="0.25">
      <c r="A753" s="989" t="s">
        <v>163</v>
      </c>
      <c r="B753" s="993">
        <v>2018</v>
      </c>
      <c r="C753" s="989" t="s">
        <v>2999</v>
      </c>
      <c r="D753" s="989" t="s">
        <v>659</v>
      </c>
      <c r="E753" s="989" t="s">
        <v>1320</v>
      </c>
      <c r="F753" s="994">
        <v>0</v>
      </c>
      <c r="G753" s="989" t="s">
        <v>657</v>
      </c>
      <c r="H753" s="996"/>
      <c r="I753" s="996"/>
      <c r="J753" s="994">
        <v>0</v>
      </c>
      <c r="K753" s="997">
        <v>0</v>
      </c>
    </row>
    <row r="754" spans="1:11" ht="45" x14ac:dyDescent="0.25">
      <c r="A754" s="989" t="s">
        <v>163</v>
      </c>
      <c r="B754" s="993">
        <v>2018</v>
      </c>
      <c r="C754" s="989" t="s">
        <v>2999</v>
      </c>
      <c r="D754" s="989" t="s">
        <v>660</v>
      </c>
      <c r="E754" s="989" t="s">
        <v>1321</v>
      </c>
      <c r="F754" s="994">
        <v>0</v>
      </c>
      <c r="G754" s="989" t="s">
        <v>657</v>
      </c>
      <c r="H754" s="996"/>
      <c r="I754" s="996"/>
      <c r="J754" s="994">
        <v>0</v>
      </c>
      <c r="K754" s="997">
        <v>0</v>
      </c>
    </row>
    <row r="755" spans="1:11" ht="45" x14ac:dyDescent="0.25">
      <c r="A755" s="989" t="s">
        <v>163</v>
      </c>
      <c r="B755" s="993">
        <v>2018</v>
      </c>
      <c r="C755" s="989" t="s">
        <v>2999</v>
      </c>
      <c r="D755" s="989" t="s">
        <v>661</v>
      </c>
      <c r="E755" s="989" t="s">
        <v>1322</v>
      </c>
      <c r="F755" s="994">
        <v>0</v>
      </c>
      <c r="G755" s="989" t="s">
        <v>657</v>
      </c>
      <c r="H755" s="996"/>
      <c r="I755" s="996"/>
      <c r="J755" s="994">
        <v>0</v>
      </c>
      <c r="K755" s="997">
        <v>0</v>
      </c>
    </row>
    <row r="756" spans="1:11" ht="45" x14ac:dyDescent="0.25">
      <c r="A756" s="989" t="s">
        <v>163</v>
      </c>
      <c r="B756" s="993">
        <v>2018</v>
      </c>
      <c r="C756" s="989" t="s">
        <v>2999</v>
      </c>
      <c r="D756" s="989" t="s">
        <v>662</v>
      </c>
      <c r="E756" s="989" t="s">
        <v>1323</v>
      </c>
      <c r="F756" s="994">
        <v>0</v>
      </c>
      <c r="G756" s="989" t="s">
        <v>657</v>
      </c>
      <c r="H756" s="996"/>
      <c r="I756" s="996"/>
      <c r="J756" s="994">
        <v>0</v>
      </c>
      <c r="K756" s="997">
        <v>0</v>
      </c>
    </row>
    <row r="757" spans="1:11" ht="45" x14ac:dyDescent="0.25">
      <c r="A757" s="989" t="s">
        <v>163</v>
      </c>
      <c r="B757" s="993">
        <v>2018</v>
      </c>
      <c r="C757" s="989" t="s">
        <v>2999</v>
      </c>
      <c r="D757" s="989" t="s">
        <v>663</v>
      </c>
      <c r="E757" s="989" t="s">
        <v>1324</v>
      </c>
      <c r="F757" s="994">
        <v>0</v>
      </c>
      <c r="G757" s="989" t="s">
        <v>657</v>
      </c>
      <c r="H757" s="996"/>
      <c r="I757" s="996"/>
      <c r="J757" s="994">
        <v>0</v>
      </c>
      <c r="K757" s="997">
        <v>0</v>
      </c>
    </row>
    <row r="758" spans="1:11" ht="45" x14ac:dyDescent="0.25">
      <c r="A758" s="989" t="s">
        <v>163</v>
      </c>
      <c r="B758" s="993">
        <v>2018</v>
      </c>
      <c r="C758" s="989" t="s">
        <v>2999</v>
      </c>
      <c r="D758" s="989" t="s">
        <v>664</v>
      </c>
      <c r="E758" s="989" t="s">
        <v>1325</v>
      </c>
      <c r="F758" s="994">
        <v>0</v>
      </c>
      <c r="G758" s="989" t="s">
        <v>657</v>
      </c>
      <c r="H758" s="996"/>
      <c r="I758" s="996"/>
      <c r="J758" s="994">
        <v>0</v>
      </c>
      <c r="K758" s="997">
        <v>0</v>
      </c>
    </row>
    <row r="759" spans="1:11" ht="45" x14ac:dyDescent="0.25">
      <c r="A759" s="989" t="s">
        <v>163</v>
      </c>
      <c r="B759" s="993">
        <v>2018</v>
      </c>
      <c r="C759" s="989" t="s">
        <v>2999</v>
      </c>
      <c r="D759" s="989" t="s">
        <v>665</v>
      </c>
      <c r="E759" s="989" t="s">
        <v>1326</v>
      </c>
      <c r="F759" s="994">
        <v>0</v>
      </c>
      <c r="G759" s="989" t="s">
        <v>657</v>
      </c>
      <c r="H759" s="996"/>
      <c r="I759" s="996"/>
      <c r="J759" s="994">
        <v>0</v>
      </c>
      <c r="K759" s="997">
        <v>0</v>
      </c>
    </row>
    <row r="760" spans="1:11" ht="45" x14ac:dyDescent="0.25">
      <c r="A760" s="989" t="s">
        <v>163</v>
      </c>
      <c r="B760" s="993">
        <v>2018</v>
      </c>
      <c r="C760" s="989" t="s">
        <v>2999</v>
      </c>
      <c r="D760" s="989" t="s">
        <v>1870</v>
      </c>
      <c r="E760" s="989" t="s">
        <v>2312</v>
      </c>
      <c r="F760" s="994">
        <v>0</v>
      </c>
      <c r="G760" s="989" t="s">
        <v>657</v>
      </c>
      <c r="H760" s="994">
        <v>-371962</v>
      </c>
      <c r="I760" s="994">
        <v>116382</v>
      </c>
      <c r="J760" s="994">
        <v>-255580</v>
      </c>
      <c r="K760" s="997">
        <v>-255580</v>
      </c>
    </row>
    <row r="761" spans="1:11" ht="45" x14ac:dyDescent="0.25">
      <c r="A761" s="989" t="s">
        <v>163</v>
      </c>
      <c r="B761" s="993">
        <v>2018</v>
      </c>
      <c r="C761" s="989" t="s">
        <v>2999</v>
      </c>
      <c r="D761" s="989" t="s">
        <v>2486</v>
      </c>
      <c r="E761" s="989" t="s">
        <v>2516</v>
      </c>
      <c r="F761" s="994">
        <v>0</v>
      </c>
      <c r="G761" s="989" t="s">
        <v>657</v>
      </c>
      <c r="H761" s="994">
        <v>-115166</v>
      </c>
      <c r="I761" s="994">
        <v>213131</v>
      </c>
      <c r="J761" s="994">
        <v>97965</v>
      </c>
      <c r="K761" s="997">
        <v>97965</v>
      </c>
    </row>
    <row r="762" spans="1:11" ht="45" x14ac:dyDescent="0.25">
      <c r="A762" s="989" t="s">
        <v>163</v>
      </c>
      <c r="B762" s="993">
        <v>2018</v>
      </c>
      <c r="C762" s="989" t="s">
        <v>2999</v>
      </c>
      <c r="D762" s="989" t="s">
        <v>4892</v>
      </c>
      <c r="E762" s="989" t="s">
        <v>6013</v>
      </c>
      <c r="F762" s="994">
        <v>0</v>
      </c>
      <c r="G762" s="989" t="s">
        <v>657</v>
      </c>
      <c r="H762" s="994">
        <v>-115295</v>
      </c>
      <c r="I762" s="994">
        <v>141701</v>
      </c>
      <c r="J762" s="994">
        <v>26406</v>
      </c>
      <c r="K762" s="997">
        <v>26406</v>
      </c>
    </row>
    <row r="763" spans="1:11" ht="45" x14ac:dyDescent="0.25">
      <c r="A763" s="989" t="s">
        <v>163</v>
      </c>
      <c r="B763" s="993">
        <v>2018</v>
      </c>
      <c r="C763" s="989" t="s">
        <v>2999</v>
      </c>
      <c r="D763" s="989" t="s">
        <v>666</v>
      </c>
      <c r="E763" s="989" t="s">
        <v>1564</v>
      </c>
      <c r="F763" s="994">
        <v>-131209</v>
      </c>
      <c r="G763" s="995"/>
      <c r="H763" s="996"/>
      <c r="I763" s="996"/>
      <c r="J763" s="994">
        <v>0</v>
      </c>
      <c r="K763" s="997">
        <v>-131209</v>
      </c>
    </row>
    <row r="764" spans="1:11" x14ac:dyDescent="0.25">
      <c r="A764" s="989" t="s">
        <v>184</v>
      </c>
      <c r="B764" s="993">
        <v>2018</v>
      </c>
      <c r="C764" s="989" t="s">
        <v>2991</v>
      </c>
      <c r="D764" s="989" t="s">
        <v>49</v>
      </c>
      <c r="E764" s="989" t="s">
        <v>891</v>
      </c>
      <c r="F764" s="994">
        <v>0</v>
      </c>
      <c r="G764" s="989" t="s">
        <v>657</v>
      </c>
      <c r="H764" s="996"/>
      <c r="I764" s="996"/>
      <c r="J764" s="994">
        <v>0</v>
      </c>
      <c r="K764" s="997">
        <v>0</v>
      </c>
    </row>
    <row r="765" spans="1:11" ht="33.75" x14ac:dyDescent="0.25">
      <c r="A765" s="989" t="s">
        <v>184</v>
      </c>
      <c r="B765" s="993">
        <v>2018</v>
      </c>
      <c r="C765" s="989" t="s">
        <v>2992</v>
      </c>
      <c r="D765" s="989" t="s">
        <v>658</v>
      </c>
      <c r="E765" s="989" t="s">
        <v>892</v>
      </c>
      <c r="F765" s="994">
        <v>-76592.05</v>
      </c>
      <c r="G765" s="989" t="s">
        <v>657</v>
      </c>
      <c r="H765" s="994">
        <v>-75689.7265625</v>
      </c>
      <c r="I765" s="994">
        <v>-902.32000732421898</v>
      </c>
      <c r="J765" s="994">
        <v>-76592.046875</v>
      </c>
      <c r="K765" s="997">
        <v>-76592.05</v>
      </c>
    </row>
    <row r="766" spans="1:11" ht="22.5" x14ac:dyDescent="0.25">
      <c r="A766" s="989" t="s">
        <v>184</v>
      </c>
      <c r="B766" s="993">
        <v>2018</v>
      </c>
      <c r="C766" s="989" t="s">
        <v>2993</v>
      </c>
      <c r="D766" s="989" t="s">
        <v>464</v>
      </c>
      <c r="E766" s="989" t="s">
        <v>893</v>
      </c>
      <c r="F766" s="994">
        <v>0</v>
      </c>
      <c r="G766" s="995"/>
      <c r="H766" s="996"/>
      <c r="I766" s="996"/>
      <c r="J766" s="994">
        <v>0</v>
      </c>
      <c r="K766" s="997">
        <v>0</v>
      </c>
    </row>
    <row r="767" spans="1:11" ht="33.75" x14ac:dyDescent="0.25">
      <c r="A767" s="989" t="s">
        <v>184</v>
      </c>
      <c r="B767" s="993">
        <v>2018</v>
      </c>
      <c r="C767" s="989" t="s">
        <v>2994</v>
      </c>
      <c r="D767" s="989" t="s">
        <v>46</v>
      </c>
      <c r="E767" s="989" t="s">
        <v>894</v>
      </c>
      <c r="F767" s="994">
        <v>-7472770.8099999996</v>
      </c>
      <c r="G767" s="989" t="s">
        <v>657</v>
      </c>
      <c r="H767" s="994">
        <v>-7304624</v>
      </c>
      <c r="I767" s="994">
        <v>-168146.953125</v>
      </c>
      <c r="J767" s="994">
        <v>-7472771</v>
      </c>
      <c r="K767" s="997">
        <v>-7472770.8099999996</v>
      </c>
    </row>
    <row r="768" spans="1:11" ht="22.5" x14ac:dyDescent="0.25">
      <c r="A768" s="989" t="s">
        <v>184</v>
      </c>
      <c r="B768" s="993">
        <v>2018</v>
      </c>
      <c r="C768" s="989" t="s">
        <v>2994</v>
      </c>
      <c r="D768" s="989" t="s">
        <v>2482</v>
      </c>
      <c r="E768" s="989" t="s">
        <v>894</v>
      </c>
      <c r="F768" s="994">
        <v>0</v>
      </c>
      <c r="G768" s="995"/>
      <c r="H768" s="996"/>
      <c r="I768" s="996"/>
      <c r="J768" s="994">
        <v>0</v>
      </c>
      <c r="K768" s="997">
        <v>0</v>
      </c>
    </row>
    <row r="769" spans="1:11" ht="22.5" x14ac:dyDescent="0.25">
      <c r="A769" s="989" t="s">
        <v>184</v>
      </c>
      <c r="B769" s="993">
        <v>2018</v>
      </c>
      <c r="C769" s="989" t="s">
        <v>2994</v>
      </c>
      <c r="D769" s="989" t="s">
        <v>2483</v>
      </c>
      <c r="E769" s="989" t="s">
        <v>894</v>
      </c>
      <c r="F769" s="994">
        <v>0</v>
      </c>
      <c r="G769" s="995"/>
      <c r="H769" s="996"/>
      <c r="I769" s="996"/>
      <c r="J769" s="994">
        <v>0</v>
      </c>
      <c r="K769" s="997">
        <v>0</v>
      </c>
    </row>
    <row r="770" spans="1:11" ht="22.5" x14ac:dyDescent="0.25">
      <c r="A770" s="989" t="s">
        <v>184</v>
      </c>
      <c r="B770" s="993">
        <v>2018</v>
      </c>
      <c r="C770" s="989" t="s">
        <v>2994</v>
      </c>
      <c r="D770" s="989" t="s">
        <v>2484</v>
      </c>
      <c r="E770" s="989" t="s">
        <v>894</v>
      </c>
      <c r="F770" s="994">
        <v>11274.13</v>
      </c>
      <c r="G770" s="995"/>
      <c r="H770" s="996"/>
      <c r="I770" s="996"/>
      <c r="J770" s="994">
        <v>0</v>
      </c>
      <c r="K770" s="997">
        <v>11274.13</v>
      </c>
    </row>
    <row r="771" spans="1:11" ht="22.5" x14ac:dyDescent="0.25">
      <c r="A771" s="989" t="s">
        <v>184</v>
      </c>
      <c r="B771" s="993">
        <v>2018</v>
      </c>
      <c r="C771" s="989" t="s">
        <v>2994</v>
      </c>
      <c r="D771" s="989" t="s">
        <v>2485</v>
      </c>
      <c r="E771" s="989" t="s">
        <v>894</v>
      </c>
      <c r="F771" s="994">
        <v>430277.74</v>
      </c>
      <c r="G771" s="995"/>
      <c r="H771" s="996"/>
      <c r="I771" s="996"/>
      <c r="J771" s="994">
        <v>0</v>
      </c>
      <c r="K771" s="997">
        <v>430277.74</v>
      </c>
    </row>
    <row r="772" spans="1:11" ht="33.75" x14ac:dyDescent="0.25">
      <c r="A772" s="989" t="s">
        <v>184</v>
      </c>
      <c r="B772" s="993">
        <v>2018</v>
      </c>
      <c r="C772" s="989" t="s">
        <v>2995</v>
      </c>
      <c r="D772" s="989" t="s">
        <v>47</v>
      </c>
      <c r="E772" s="989" t="s">
        <v>895</v>
      </c>
      <c r="F772" s="994">
        <v>-3107156.02</v>
      </c>
      <c r="G772" s="989" t="s">
        <v>657</v>
      </c>
      <c r="H772" s="994">
        <v>-3082236</v>
      </c>
      <c r="I772" s="994">
        <v>-24920.099609375</v>
      </c>
      <c r="J772" s="994">
        <v>-3107156</v>
      </c>
      <c r="K772" s="997">
        <v>-3107156.02</v>
      </c>
    </row>
    <row r="773" spans="1:11" ht="33.75" x14ac:dyDescent="0.25">
      <c r="A773" s="989" t="s">
        <v>184</v>
      </c>
      <c r="B773" s="993">
        <v>2018</v>
      </c>
      <c r="C773" s="989" t="s">
        <v>2996</v>
      </c>
      <c r="D773" s="989" t="s">
        <v>48</v>
      </c>
      <c r="E773" s="989" t="s">
        <v>896</v>
      </c>
      <c r="F773" s="994">
        <v>245262.51</v>
      </c>
      <c r="G773" s="989" t="s">
        <v>657</v>
      </c>
      <c r="H773" s="994">
        <v>234070.890625</v>
      </c>
      <c r="I773" s="994">
        <v>11191.6201171875</v>
      </c>
      <c r="J773" s="994">
        <v>245262.515625</v>
      </c>
      <c r="K773" s="997">
        <v>245262.51</v>
      </c>
    </row>
    <row r="774" spans="1:11" ht="33.75" x14ac:dyDescent="0.25">
      <c r="A774" s="989" t="s">
        <v>184</v>
      </c>
      <c r="B774" s="993">
        <v>2018</v>
      </c>
      <c r="C774" s="989" t="s">
        <v>2997</v>
      </c>
      <c r="D774" s="989" t="s">
        <v>50</v>
      </c>
      <c r="E774" s="989" t="s">
        <v>897</v>
      </c>
      <c r="F774" s="994">
        <v>3300542.98</v>
      </c>
      <c r="G774" s="989" t="s">
        <v>657</v>
      </c>
      <c r="H774" s="994">
        <v>3246718.25</v>
      </c>
      <c r="I774" s="994">
        <v>53824.671875</v>
      </c>
      <c r="J774" s="994">
        <v>3300543</v>
      </c>
      <c r="K774" s="997">
        <v>3300542.98</v>
      </c>
    </row>
    <row r="775" spans="1:11" ht="22.5" x14ac:dyDescent="0.25">
      <c r="A775" s="989" t="s">
        <v>184</v>
      </c>
      <c r="B775" s="993">
        <v>2018</v>
      </c>
      <c r="C775" s="989" t="s">
        <v>2998</v>
      </c>
      <c r="D775" s="989" t="s">
        <v>348</v>
      </c>
      <c r="E775" s="989" t="s">
        <v>898</v>
      </c>
      <c r="F775" s="994">
        <v>1030120.23</v>
      </c>
      <c r="G775" s="989" t="s">
        <v>657</v>
      </c>
      <c r="H775" s="994">
        <v>956974.0625</v>
      </c>
      <c r="I775" s="994">
        <v>73146.140625</v>
      </c>
      <c r="J775" s="994">
        <v>1030120.25</v>
      </c>
      <c r="K775" s="997">
        <v>1030120.23</v>
      </c>
    </row>
    <row r="776" spans="1:11" ht="45" x14ac:dyDescent="0.25">
      <c r="A776" s="989" t="s">
        <v>184</v>
      </c>
      <c r="B776" s="993">
        <v>2018</v>
      </c>
      <c r="C776" s="989" t="s">
        <v>2999</v>
      </c>
      <c r="D776" s="989" t="s">
        <v>659</v>
      </c>
      <c r="E776" s="989" t="s">
        <v>1327</v>
      </c>
      <c r="F776" s="994">
        <v>0</v>
      </c>
      <c r="G776" s="989" t="s">
        <v>657</v>
      </c>
      <c r="H776" s="996"/>
      <c r="I776" s="996"/>
      <c r="J776" s="994">
        <v>0</v>
      </c>
      <c r="K776" s="997">
        <v>0</v>
      </c>
    </row>
    <row r="777" spans="1:11" ht="45" x14ac:dyDescent="0.25">
      <c r="A777" s="989" t="s">
        <v>184</v>
      </c>
      <c r="B777" s="993">
        <v>2018</v>
      </c>
      <c r="C777" s="989" t="s">
        <v>2999</v>
      </c>
      <c r="D777" s="989" t="s">
        <v>660</v>
      </c>
      <c r="E777" s="989" t="s">
        <v>1328</v>
      </c>
      <c r="F777" s="994">
        <v>0</v>
      </c>
      <c r="G777" s="989" t="s">
        <v>657</v>
      </c>
      <c r="H777" s="996"/>
      <c r="I777" s="996"/>
      <c r="J777" s="994">
        <v>0</v>
      </c>
      <c r="K777" s="997">
        <v>0</v>
      </c>
    </row>
    <row r="778" spans="1:11" ht="45" x14ac:dyDescent="0.25">
      <c r="A778" s="989" t="s">
        <v>184</v>
      </c>
      <c r="B778" s="993">
        <v>2018</v>
      </c>
      <c r="C778" s="989" t="s">
        <v>2999</v>
      </c>
      <c r="D778" s="989" t="s">
        <v>661</v>
      </c>
      <c r="E778" s="989" t="s">
        <v>1329</v>
      </c>
      <c r="F778" s="994">
        <v>0</v>
      </c>
      <c r="G778" s="989" t="s">
        <v>657</v>
      </c>
      <c r="H778" s="996"/>
      <c r="I778" s="996"/>
      <c r="J778" s="994">
        <v>0</v>
      </c>
      <c r="K778" s="997">
        <v>0</v>
      </c>
    </row>
    <row r="779" spans="1:11" ht="45" x14ac:dyDescent="0.25">
      <c r="A779" s="989" t="s">
        <v>184</v>
      </c>
      <c r="B779" s="993">
        <v>2018</v>
      </c>
      <c r="C779" s="989" t="s">
        <v>2999</v>
      </c>
      <c r="D779" s="989" t="s">
        <v>662</v>
      </c>
      <c r="E779" s="989" t="s">
        <v>1330</v>
      </c>
      <c r="F779" s="994">
        <v>0</v>
      </c>
      <c r="G779" s="989" t="s">
        <v>657</v>
      </c>
      <c r="H779" s="996"/>
      <c r="I779" s="996"/>
      <c r="J779" s="994">
        <v>0</v>
      </c>
      <c r="K779" s="997">
        <v>0</v>
      </c>
    </row>
    <row r="780" spans="1:11" ht="45" x14ac:dyDescent="0.25">
      <c r="A780" s="989" t="s">
        <v>184</v>
      </c>
      <c r="B780" s="993">
        <v>2018</v>
      </c>
      <c r="C780" s="989" t="s">
        <v>2999</v>
      </c>
      <c r="D780" s="989" t="s">
        <v>663</v>
      </c>
      <c r="E780" s="989" t="s">
        <v>1331</v>
      </c>
      <c r="F780" s="994">
        <v>0</v>
      </c>
      <c r="G780" s="989" t="s">
        <v>657</v>
      </c>
      <c r="H780" s="996"/>
      <c r="I780" s="996"/>
      <c r="J780" s="994">
        <v>0</v>
      </c>
      <c r="K780" s="997">
        <v>0</v>
      </c>
    </row>
    <row r="781" spans="1:11" ht="45" x14ac:dyDescent="0.25">
      <c r="A781" s="989" t="s">
        <v>184</v>
      </c>
      <c r="B781" s="993">
        <v>2018</v>
      </c>
      <c r="C781" s="989" t="s">
        <v>2999</v>
      </c>
      <c r="D781" s="989" t="s">
        <v>664</v>
      </c>
      <c r="E781" s="989" t="s">
        <v>1332</v>
      </c>
      <c r="F781" s="994">
        <v>0</v>
      </c>
      <c r="G781" s="989" t="s">
        <v>657</v>
      </c>
      <c r="H781" s="996"/>
      <c r="I781" s="996"/>
      <c r="J781" s="994">
        <v>0</v>
      </c>
      <c r="K781" s="997">
        <v>0</v>
      </c>
    </row>
    <row r="782" spans="1:11" ht="45" x14ac:dyDescent="0.25">
      <c r="A782" s="989" t="s">
        <v>184</v>
      </c>
      <c r="B782" s="993">
        <v>2018</v>
      </c>
      <c r="C782" s="989" t="s">
        <v>2999</v>
      </c>
      <c r="D782" s="989" t="s">
        <v>665</v>
      </c>
      <c r="E782" s="989" t="s">
        <v>1333</v>
      </c>
      <c r="F782" s="994">
        <v>0</v>
      </c>
      <c r="G782" s="989" t="s">
        <v>657</v>
      </c>
      <c r="H782" s="994">
        <v>918008.9375</v>
      </c>
      <c r="I782" s="994">
        <v>-114164.4375</v>
      </c>
      <c r="J782" s="994">
        <v>803844.5</v>
      </c>
      <c r="K782" s="997">
        <v>803844.49</v>
      </c>
    </row>
    <row r="783" spans="1:11" ht="45" x14ac:dyDescent="0.25">
      <c r="A783" s="989" t="s">
        <v>184</v>
      </c>
      <c r="B783" s="993">
        <v>2018</v>
      </c>
      <c r="C783" s="989" t="s">
        <v>2999</v>
      </c>
      <c r="D783" s="989" t="s">
        <v>1870</v>
      </c>
      <c r="E783" s="989" t="s">
        <v>2313</v>
      </c>
      <c r="F783" s="994">
        <v>0</v>
      </c>
      <c r="G783" s="989" t="s">
        <v>657</v>
      </c>
      <c r="H783" s="994">
        <v>-126402.3984375</v>
      </c>
      <c r="I783" s="994">
        <v>80441.6015625</v>
      </c>
      <c r="J783" s="994">
        <v>-45960.80078125</v>
      </c>
      <c r="K783" s="997">
        <v>-45960.800000000003</v>
      </c>
    </row>
    <row r="784" spans="1:11" ht="45" x14ac:dyDescent="0.25">
      <c r="A784" s="989" t="s">
        <v>184</v>
      </c>
      <c r="B784" s="993">
        <v>2018</v>
      </c>
      <c r="C784" s="989" t="s">
        <v>2999</v>
      </c>
      <c r="D784" s="989" t="s">
        <v>2486</v>
      </c>
      <c r="E784" s="989" t="s">
        <v>2517</v>
      </c>
      <c r="F784" s="994">
        <v>0</v>
      </c>
      <c r="G784" s="989" t="s">
        <v>657</v>
      </c>
      <c r="H784" s="994">
        <v>16492.810546875</v>
      </c>
      <c r="I784" s="994">
        <v>19638.130859375</v>
      </c>
      <c r="J784" s="994">
        <v>36130.94140625</v>
      </c>
      <c r="K784" s="997">
        <v>36130.94</v>
      </c>
    </row>
    <row r="785" spans="1:11" ht="45" x14ac:dyDescent="0.25">
      <c r="A785" s="989" t="s">
        <v>184</v>
      </c>
      <c r="B785" s="993">
        <v>2018</v>
      </c>
      <c r="C785" s="989" t="s">
        <v>2999</v>
      </c>
      <c r="D785" s="989" t="s">
        <v>4892</v>
      </c>
      <c r="E785" s="989" t="s">
        <v>6014</v>
      </c>
      <c r="F785" s="994">
        <v>0</v>
      </c>
      <c r="G785" s="989" t="s">
        <v>657</v>
      </c>
      <c r="H785" s="996"/>
      <c r="I785" s="996"/>
      <c r="J785" s="994">
        <v>0</v>
      </c>
      <c r="K785" s="997">
        <v>0</v>
      </c>
    </row>
    <row r="786" spans="1:11" ht="45" x14ac:dyDescent="0.25">
      <c r="A786" s="989" t="s">
        <v>184</v>
      </c>
      <c r="B786" s="993">
        <v>2018</v>
      </c>
      <c r="C786" s="989" t="s">
        <v>2999</v>
      </c>
      <c r="D786" s="989" t="s">
        <v>666</v>
      </c>
      <c r="E786" s="989" t="s">
        <v>1565</v>
      </c>
      <c r="F786" s="994">
        <v>794014.63</v>
      </c>
      <c r="G786" s="995"/>
      <c r="H786" s="996"/>
      <c r="I786" s="996"/>
      <c r="J786" s="994">
        <v>0</v>
      </c>
      <c r="K786" s="997">
        <v>794014.63</v>
      </c>
    </row>
    <row r="787" spans="1:11" x14ac:dyDescent="0.25">
      <c r="A787" s="989" t="s">
        <v>206</v>
      </c>
      <c r="B787" s="993">
        <v>2018</v>
      </c>
      <c r="C787" s="989" t="s">
        <v>2991</v>
      </c>
      <c r="D787" s="989" t="s">
        <v>49</v>
      </c>
      <c r="E787" s="989" t="s">
        <v>899</v>
      </c>
      <c r="F787" s="994">
        <v>815884.85</v>
      </c>
      <c r="G787" s="989" t="s">
        <v>657</v>
      </c>
      <c r="H787" s="994">
        <v>807548.9375</v>
      </c>
      <c r="I787" s="994">
        <v>8335.919921875</v>
      </c>
      <c r="J787" s="994">
        <v>815884.875</v>
      </c>
      <c r="K787" s="997">
        <v>815884.85</v>
      </c>
    </row>
    <row r="788" spans="1:11" ht="33.75" x14ac:dyDescent="0.25">
      <c r="A788" s="989" t="s">
        <v>206</v>
      </c>
      <c r="B788" s="993">
        <v>2018</v>
      </c>
      <c r="C788" s="989" t="s">
        <v>2992</v>
      </c>
      <c r="D788" s="989" t="s">
        <v>658</v>
      </c>
      <c r="E788" s="989" t="s">
        <v>900</v>
      </c>
      <c r="F788" s="994">
        <v>-4303.5600000000004</v>
      </c>
      <c r="G788" s="989" t="s">
        <v>657</v>
      </c>
      <c r="H788" s="994">
        <v>-4185.93994140625</v>
      </c>
      <c r="I788" s="994">
        <v>-117.620002746582</v>
      </c>
      <c r="J788" s="994">
        <v>-4303.56005859375</v>
      </c>
      <c r="K788" s="997">
        <v>-4303.5600000000004</v>
      </c>
    </row>
    <row r="789" spans="1:11" ht="22.5" x14ac:dyDescent="0.25">
      <c r="A789" s="989" t="s">
        <v>206</v>
      </c>
      <c r="B789" s="993">
        <v>2018</v>
      </c>
      <c r="C789" s="989" t="s">
        <v>2993</v>
      </c>
      <c r="D789" s="989" t="s">
        <v>464</v>
      </c>
      <c r="E789" s="989" t="s">
        <v>901</v>
      </c>
      <c r="F789" s="994">
        <v>0</v>
      </c>
      <c r="G789" s="995"/>
      <c r="H789" s="996"/>
      <c r="I789" s="996"/>
      <c r="J789" s="994">
        <v>0</v>
      </c>
      <c r="K789" s="997">
        <v>0</v>
      </c>
    </row>
    <row r="790" spans="1:11" ht="33.75" x14ac:dyDescent="0.25">
      <c r="A790" s="989" t="s">
        <v>206</v>
      </c>
      <c r="B790" s="993">
        <v>2018</v>
      </c>
      <c r="C790" s="989" t="s">
        <v>2994</v>
      </c>
      <c r="D790" s="989" t="s">
        <v>46</v>
      </c>
      <c r="E790" s="989" t="s">
        <v>902</v>
      </c>
      <c r="F790" s="994">
        <v>-545290.18000000005</v>
      </c>
      <c r="G790" s="989" t="s">
        <v>657</v>
      </c>
      <c r="H790" s="994">
        <v>-538481.125</v>
      </c>
      <c r="I790" s="994">
        <v>-6809.0400390625</v>
      </c>
      <c r="J790" s="994">
        <v>-545290.1875</v>
      </c>
      <c r="K790" s="997">
        <v>-545290.18000000005</v>
      </c>
    </row>
    <row r="791" spans="1:11" ht="22.5" x14ac:dyDescent="0.25">
      <c r="A791" s="989" t="s">
        <v>206</v>
      </c>
      <c r="B791" s="993">
        <v>2018</v>
      </c>
      <c r="C791" s="989" t="s">
        <v>2994</v>
      </c>
      <c r="D791" s="989" t="s">
        <v>2482</v>
      </c>
      <c r="E791" s="989" t="s">
        <v>902</v>
      </c>
      <c r="F791" s="994">
        <v>10.54</v>
      </c>
      <c r="G791" s="995"/>
      <c r="H791" s="996"/>
      <c r="I791" s="996"/>
      <c r="J791" s="994">
        <v>0</v>
      </c>
      <c r="K791" s="997">
        <v>10.54</v>
      </c>
    </row>
    <row r="792" spans="1:11" ht="22.5" x14ac:dyDescent="0.25">
      <c r="A792" s="989" t="s">
        <v>206</v>
      </c>
      <c r="B792" s="993">
        <v>2018</v>
      </c>
      <c r="C792" s="989" t="s">
        <v>2994</v>
      </c>
      <c r="D792" s="989" t="s">
        <v>2483</v>
      </c>
      <c r="E792" s="989" t="s">
        <v>902</v>
      </c>
      <c r="F792" s="994">
        <v>0</v>
      </c>
      <c r="G792" s="995"/>
      <c r="H792" s="996"/>
      <c r="I792" s="996"/>
      <c r="J792" s="994">
        <v>0</v>
      </c>
      <c r="K792" s="997">
        <v>0</v>
      </c>
    </row>
    <row r="793" spans="1:11" ht="22.5" x14ac:dyDescent="0.25">
      <c r="A793" s="989" t="s">
        <v>206</v>
      </c>
      <c r="B793" s="993">
        <v>2018</v>
      </c>
      <c r="C793" s="989" t="s">
        <v>2994</v>
      </c>
      <c r="D793" s="989" t="s">
        <v>2484</v>
      </c>
      <c r="E793" s="989" t="s">
        <v>902</v>
      </c>
      <c r="F793" s="994">
        <v>2144.0700000000002</v>
      </c>
      <c r="G793" s="995"/>
      <c r="H793" s="996"/>
      <c r="I793" s="996"/>
      <c r="J793" s="994">
        <v>0</v>
      </c>
      <c r="K793" s="997">
        <v>2144.0700000000002</v>
      </c>
    </row>
    <row r="794" spans="1:11" ht="22.5" x14ac:dyDescent="0.25">
      <c r="A794" s="989" t="s">
        <v>206</v>
      </c>
      <c r="B794" s="993">
        <v>2018</v>
      </c>
      <c r="C794" s="989" t="s">
        <v>2994</v>
      </c>
      <c r="D794" s="989" t="s">
        <v>2485</v>
      </c>
      <c r="E794" s="989" t="s">
        <v>902</v>
      </c>
      <c r="F794" s="994">
        <v>88955.99</v>
      </c>
      <c r="G794" s="995"/>
      <c r="H794" s="996"/>
      <c r="I794" s="996"/>
      <c r="J794" s="994">
        <v>0</v>
      </c>
      <c r="K794" s="997">
        <v>88955.99</v>
      </c>
    </row>
    <row r="795" spans="1:11" ht="33.75" x14ac:dyDescent="0.25">
      <c r="A795" s="989" t="s">
        <v>206</v>
      </c>
      <c r="B795" s="993">
        <v>2018</v>
      </c>
      <c r="C795" s="989" t="s">
        <v>2995</v>
      </c>
      <c r="D795" s="989" t="s">
        <v>47</v>
      </c>
      <c r="E795" s="989" t="s">
        <v>903</v>
      </c>
      <c r="F795" s="994">
        <v>14628.43</v>
      </c>
      <c r="G795" s="989" t="s">
        <v>657</v>
      </c>
      <c r="H795" s="994">
        <v>12623.4404296875</v>
      </c>
      <c r="I795" s="994">
        <v>2004.98999023438</v>
      </c>
      <c r="J795" s="994">
        <v>14628.4296875</v>
      </c>
      <c r="K795" s="997">
        <v>14628.43</v>
      </c>
    </row>
    <row r="796" spans="1:11" ht="33.75" x14ac:dyDescent="0.25">
      <c r="A796" s="989" t="s">
        <v>206</v>
      </c>
      <c r="B796" s="993">
        <v>2018</v>
      </c>
      <c r="C796" s="989" t="s">
        <v>2996</v>
      </c>
      <c r="D796" s="989" t="s">
        <v>48</v>
      </c>
      <c r="E796" s="989" t="s">
        <v>904</v>
      </c>
      <c r="F796" s="994">
        <v>81301.14</v>
      </c>
      <c r="G796" s="989" t="s">
        <v>657</v>
      </c>
      <c r="H796" s="994">
        <v>78519.9296875</v>
      </c>
      <c r="I796" s="994">
        <v>2781.2099609375</v>
      </c>
      <c r="J796" s="994">
        <v>81301.140625</v>
      </c>
      <c r="K796" s="997">
        <v>81301.14</v>
      </c>
    </row>
    <row r="797" spans="1:11" ht="33.75" x14ac:dyDescent="0.25">
      <c r="A797" s="989" t="s">
        <v>206</v>
      </c>
      <c r="B797" s="993">
        <v>2018</v>
      </c>
      <c r="C797" s="989" t="s">
        <v>2997</v>
      </c>
      <c r="D797" s="989" t="s">
        <v>50</v>
      </c>
      <c r="E797" s="989" t="s">
        <v>905</v>
      </c>
      <c r="F797" s="994">
        <v>647300.22</v>
      </c>
      <c r="G797" s="989" t="s">
        <v>657</v>
      </c>
      <c r="H797" s="994">
        <v>638965.375</v>
      </c>
      <c r="I797" s="994">
        <v>8334.8701171875</v>
      </c>
      <c r="J797" s="994">
        <v>647300.25</v>
      </c>
      <c r="K797" s="997">
        <v>647300.22</v>
      </c>
    </row>
    <row r="798" spans="1:11" ht="22.5" x14ac:dyDescent="0.25">
      <c r="A798" s="989" t="s">
        <v>206</v>
      </c>
      <c r="B798" s="993">
        <v>2018</v>
      </c>
      <c r="C798" s="989" t="s">
        <v>2998</v>
      </c>
      <c r="D798" s="989" t="s">
        <v>348</v>
      </c>
      <c r="E798" s="989" t="s">
        <v>906</v>
      </c>
      <c r="F798" s="994">
        <v>847792.93</v>
      </c>
      <c r="G798" s="989" t="s">
        <v>657</v>
      </c>
      <c r="H798" s="994">
        <v>865622.875</v>
      </c>
      <c r="I798" s="994">
        <v>-17829.970703125</v>
      </c>
      <c r="J798" s="994">
        <v>847792.9375</v>
      </c>
      <c r="K798" s="997">
        <v>847792.93</v>
      </c>
    </row>
    <row r="799" spans="1:11" ht="45" x14ac:dyDescent="0.25">
      <c r="A799" s="989" t="s">
        <v>206</v>
      </c>
      <c r="B799" s="993">
        <v>2018</v>
      </c>
      <c r="C799" s="989" t="s">
        <v>2999</v>
      </c>
      <c r="D799" s="989" t="s">
        <v>659</v>
      </c>
      <c r="E799" s="989" t="s">
        <v>1334</v>
      </c>
      <c r="F799" s="994">
        <v>0</v>
      </c>
      <c r="G799" s="989" t="s">
        <v>657</v>
      </c>
      <c r="H799" s="996"/>
      <c r="I799" s="996"/>
      <c r="J799" s="994">
        <v>0</v>
      </c>
      <c r="K799" s="997">
        <v>0</v>
      </c>
    </row>
    <row r="800" spans="1:11" ht="45" x14ac:dyDescent="0.25">
      <c r="A800" s="989" t="s">
        <v>206</v>
      </c>
      <c r="B800" s="993">
        <v>2018</v>
      </c>
      <c r="C800" s="989" t="s">
        <v>2999</v>
      </c>
      <c r="D800" s="989" t="s">
        <v>660</v>
      </c>
      <c r="E800" s="989" t="s">
        <v>1335</v>
      </c>
      <c r="F800" s="994">
        <v>0</v>
      </c>
      <c r="G800" s="989" t="s">
        <v>657</v>
      </c>
      <c r="H800" s="996"/>
      <c r="I800" s="996"/>
      <c r="J800" s="994">
        <v>0</v>
      </c>
      <c r="K800" s="997">
        <v>0</v>
      </c>
    </row>
    <row r="801" spans="1:11" ht="45" x14ac:dyDescent="0.25">
      <c r="A801" s="989" t="s">
        <v>206</v>
      </c>
      <c r="B801" s="993">
        <v>2018</v>
      </c>
      <c r="C801" s="989" t="s">
        <v>2999</v>
      </c>
      <c r="D801" s="989" t="s">
        <v>661</v>
      </c>
      <c r="E801" s="989" t="s">
        <v>1336</v>
      </c>
      <c r="F801" s="994">
        <v>0</v>
      </c>
      <c r="G801" s="989" t="s">
        <v>657</v>
      </c>
      <c r="H801" s="996"/>
      <c r="I801" s="996"/>
      <c r="J801" s="994">
        <v>0</v>
      </c>
      <c r="K801" s="997">
        <v>0</v>
      </c>
    </row>
    <row r="802" spans="1:11" ht="45" x14ac:dyDescent="0.25">
      <c r="A802" s="989" t="s">
        <v>206</v>
      </c>
      <c r="B802" s="993">
        <v>2018</v>
      </c>
      <c r="C802" s="989" t="s">
        <v>2999</v>
      </c>
      <c r="D802" s="989" t="s">
        <v>662</v>
      </c>
      <c r="E802" s="989" t="s">
        <v>1337</v>
      </c>
      <c r="F802" s="994">
        <v>0</v>
      </c>
      <c r="G802" s="989" t="s">
        <v>657</v>
      </c>
      <c r="H802" s="996"/>
      <c r="I802" s="996"/>
      <c r="J802" s="994">
        <v>0</v>
      </c>
      <c r="K802" s="997">
        <v>0</v>
      </c>
    </row>
    <row r="803" spans="1:11" ht="45" x14ac:dyDescent="0.25">
      <c r="A803" s="989" t="s">
        <v>206</v>
      </c>
      <c r="B803" s="993">
        <v>2018</v>
      </c>
      <c r="C803" s="989" t="s">
        <v>2999</v>
      </c>
      <c r="D803" s="989" t="s">
        <v>663</v>
      </c>
      <c r="E803" s="989" t="s">
        <v>1338</v>
      </c>
      <c r="F803" s="994">
        <v>0</v>
      </c>
      <c r="G803" s="989" t="s">
        <v>657</v>
      </c>
      <c r="H803" s="994">
        <v>170827.09375</v>
      </c>
      <c r="I803" s="994">
        <v>-78470.109375</v>
      </c>
      <c r="J803" s="994">
        <v>92356.9921875</v>
      </c>
      <c r="K803" s="997">
        <v>92356.99</v>
      </c>
    </row>
    <row r="804" spans="1:11" ht="45" x14ac:dyDescent="0.25">
      <c r="A804" s="989" t="s">
        <v>206</v>
      </c>
      <c r="B804" s="993">
        <v>2018</v>
      </c>
      <c r="C804" s="989" t="s">
        <v>2999</v>
      </c>
      <c r="D804" s="989" t="s">
        <v>664</v>
      </c>
      <c r="E804" s="989" t="s">
        <v>1339</v>
      </c>
      <c r="F804" s="994">
        <v>0</v>
      </c>
      <c r="G804" s="989" t="s">
        <v>657</v>
      </c>
      <c r="H804" s="996"/>
      <c r="I804" s="996"/>
      <c r="J804" s="994">
        <v>0</v>
      </c>
      <c r="K804" s="997">
        <v>0</v>
      </c>
    </row>
    <row r="805" spans="1:11" ht="45" x14ac:dyDescent="0.25">
      <c r="A805" s="989" t="s">
        <v>206</v>
      </c>
      <c r="B805" s="993">
        <v>2018</v>
      </c>
      <c r="C805" s="989" t="s">
        <v>2999</v>
      </c>
      <c r="D805" s="989" t="s">
        <v>665</v>
      </c>
      <c r="E805" s="989" t="s">
        <v>1340</v>
      </c>
      <c r="F805" s="994">
        <v>0</v>
      </c>
      <c r="G805" s="989" t="s">
        <v>657</v>
      </c>
      <c r="H805" s="996"/>
      <c r="I805" s="996"/>
      <c r="J805" s="994">
        <v>0</v>
      </c>
      <c r="K805" s="997">
        <v>0</v>
      </c>
    </row>
    <row r="806" spans="1:11" ht="45" x14ac:dyDescent="0.25">
      <c r="A806" s="989" t="s">
        <v>206</v>
      </c>
      <c r="B806" s="993">
        <v>2018</v>
      </c>
      <c r="C806" s="989" t="s">
        <v>2999</v>
      </c>
      <c r="D806" s="989" t="s">
        <v>1870</v>
      </c>
      <c r="E806" s="989" t="s">
        <v>2314</v>
      </c>
      <c r="F806" s="994">
        <v>0</v>
      </c>
      <c r="G806" s="989" t="s">
        <v>657</v>
      </c>
      <c r="H806" s="994">
        <v>-1477802</v>
      </c>
      <c r="I806" s="994">
        <v>1506504.5</v>
      </c>
      <c r="J806" s="994">
        <v>28702.51953125</v>
      </c>
      <c r="K806" s="997">
        <v>28702.52</v>
      </c>
    </row>
    <row r="807" spans="1:11" ht="45" x14ac:dyDescent="0.25">
      <c r="A807" s="989" t="s">
        <v>206</v>
      </c>
      <c r="B807" s="993">
        <v>2018</v>
      </c>
      <c r="C807" s="989" t="s">
        <v>2999</v>
      </c>
      <c r="D807" s="989" t="s">
        <v>2486</v>
      </c>
      <c r="E807" s="989" t="s">
        <v>2518</v>
      </c>
      <c r="F807" s="994">
        <v>0</v>
      </c>
      <c r="G807" s="989" t="s">
        <v>657</v>
      </c>
      <c r="H807" s="994">
        <v>-17456.380859375</v>
      </c>
      <c r="I807" s="994">
        <v>-62265.48046875</v>
      </c>
      <c r="J807" s="994">
        <v>-79721.859375</v>
      </c>
      <c r="K807" s="997">
        <v>-79721.86</v>
      </c>
    </row>
    <row r="808" spans="1:11" ht="45" x14ac:dyDescent="0.25">
      <c r="A808" s="989" t="s">
        <v>206</v>
      </c>
      <c r="B808" s="993">
        <v>2018</v>
      </c>
      <c r="C808" s="989" t="s">
        <v>2999</v>
      </c>
      <c r="D808" s="989" t="s">
        <v>4892</v>
      </c>
      <c r="E808" s="989" t="s">
        <v>6015</v>
      </c>
      <c r="F808" s="994">
        <v>0</v>
      </c>
      <c r="G808" s="989" t="s">
        <v>657</v>
      </c>
      <c r="H808" s="994">
        <v>166030.625</v>
      </c>
      <c r="I808" s="994">
        <v>-179685.40625</v>
      </c>
      <c r="J808" s="994">
        <v>-13654.76953125</v>
      </c>
      <c r="K808" s="997">
        <v>-13654.77</v>
      </c>
    </row>
    <row r="809" spans="1:11" ht="45" x14ac:dyDescent="0.25">
      <c r="A809" s="989" t="s">
        <v>206</v>
      </c>
      <c r="B809" s="993">
        <v>2018</v>
      </c>
      <c r="C809" s="989" t="s">
        <v>2999</v>
      </c>
      <c r="D809" s="989" t="s">
        <v>666</v>
      </c>
      <c r="E809" s="989" t="s">
        <v>1566</v>
      </c>
      <c r="F809" s="994">
        <v>27682.880000000001</v>
      </c>
      <c r="G809" s="995"/>
      <c r="H809" s="996"/>
      <c r="I809" s="996"/>
      <c r="J809" s="994">
        <v>0</v>
      </c>
      <c r="K809" s="997">
        <v>27682.880000000001</v>
      </c>
    </row>
    <row r="810" spans="1:11" ht="22.5" x14ac:dyDescent="0.25">
      <c r="A810" s="989" t="s">
        <v>185</v>
      </c>
      <c r="B810" s="993">
        <v>2018</v>
      </c>
      <c r="C810" s="989" t="s">
        <v>2991</v>
      </c>
      <c r="D810" s="989" t="s">
        <v>49</v>
      </c>
      <c r="E810" s="989" t="s">
        <v>907</v>
      </c>
      <c r="F810" s="994">
        <v>594221.56999999995</v>
      </c>
      <c r="G810" s="989" t="s">
        <v>657</v>
      </c>
      <c r="H810" s="994">
        <v>586808.25</v>
      </c>
      <c r="I810" s="994">
        <v>7413.35009765625</v>
      </c>
      <c r="J810" s="994">
        <v>594221.5625</v>
      </c>
      <c r="K810" s="997">
        <v>594221.56999999995</v>
      </c>
    </row>
    <row r="811" spans="1:11" ht="33.75" x14ac:dyDescent="0.25">
      <c r="A811" s="989" t="s">
        <v>185</v>
      </c>
      <c r="B811" s="993">
        <v>2018</v>
      </c>
      <c r="C811" s="989" t="s">
        <v>2992</v>
      </c>
      <c r="D811" s="989" t="s">
        <v>658</v>
      </c>
      <c r="E811" s="989" t="s">
        <v>908</v>
      </c>
      <c r="F811" s="994">
        <v>-4142.1099999999997</v>
      </c>
      <c r="G811" s="989" t="s">
        <v>657</v>
      </c>
      <c r="H811" s="994">
        <v>-4089.78002929688</v>
      </c>
      <c r="I811" s="994">
        <v>-52.330001831054702</v>
      </c>
      <c r="J811" s="994">
        <v>-4142.10986328125</v>
      </c>
      <c r="K811" s="997">
        <v>-4142.1099999999997</v>
      </c>
    </row>
    <row r="812" spans="1:11" ht="22.5" x14ac:dyDescent="0.25">
      <c r="A812" s="989" t="s">
        <v>185</v>
      </c>
      <c r="B812" s="993">
        <v>2018</v>
      </c>
      <c r="C812" s="989" t="s">
        <v>2993</v>
      </c>
      <c r="D812" s="989" t="s">
        <v>464</v>
      </c>
      <c r="E812" s="989" t="s">
        <v>909</v>
      </c>
      <c r="F812" s="994">
        <v>112800.88</v>
      </c>
      <c r="G812" s="995"/>
      <c r="H812" s="996"/>
      <c r="I812" s="996"/>
      <c r="J812" s="994">
        <v>0</v>
      </c>
      <c r="K812" s="997">
        <v>112800.88</v>
      </c>
    </row>
    <row r="813" spans="1:11" ht="33.75" x14ac:dyDescent="0.25">
      <c r="A813" s="989" t="s">
        <v>185</v>
      </c>
      <c r="B813" s="993">
        <v>2018</v>
      </c>
      <c r="C813" s="989" t="s">
        <v>2994</v>
      </c>
      <c r="D813" s="989" t="s">
        <v>46</v>
      </c>
      <c r="E813" s="989" t="s">
        <v>910</v>
      </c>
      <c r="F813" s="994">
        <v>-788768.9</v>
      </c>
      <c r="G813" s="989" t="s">
        <v>657</v>
      </c>
      <c r="H813" s="994">
        <v>-774411.6875</v>
      </c>
      <c r="I813" s="994">
        <v>-14357.2099609375</v>
      </c>
      <c r="J813" s="994">
        <v>-788768.875</v>
      </c>
      <c r="K813" s="997">
        <v>-788768.9</v>
      </c>
    </row>
    <row r="814" spans="1:11" ht="22.5" x14ac:dyDescent="0.25">
      <c r="A814" s="989" t="s">
        <v>185</v>
      </c>
      <c r="B814" s="993">
        <v>2018</v>
      </c>
      <c r="C814" s="989" t="s">
        <v>2994</v>
      </c>
      <c r="D814" s="989" t="s">
        <v>2482</v>
      </c>
      <c r="E814" s="989" t="s">
        <v>910</v>
      </c>
      <c r="F814" s="994">
        <v>0</v>
      </c>
      <c r="G814" s="995"/>
      <c r="H814" s="996"/>
      <c r="I814" s="996"/>
      <c r="J814" s="994">
        <v>0</v>
      </c>
      <c r="K814" s="997">
        <v>0</v>
      </c>
    </row>
    <row r="815" spans="1:11" ht="22.5" x14ac:dyDescent="0.25">
      <c r="A815" s="989" t="s">
        <v>185</v>
      </c>
      <c r="B815" s="993">
        <v>2018</v>
      </c>
      <c r="C815" s="989" t="s">
        <v>2994</v>
      </c>
      <c r="D815" s="989" t="s">
        <v>2483</v>
      </c>
      <c r="E815" s="989" t="s">
        <v>910</v>
      </c>
      <c r="F815" s="994">
        <v>0</v>
      </c>
      <c r="G815" s="995"/>
      <c r="H815" s="996"/>
      <c r="I815" s="996"/>
      <c r="J815" s="994">
        <v>0</v>
      </c>
      <c r="K815" s="997">
        <v>0</v>
      </c>
    </row>
    <row r="816" spans="1:11" ht="22.5" x14ac:dyDescent="0.25">
      <c r="A816" s="989" t="s">
        <v>185</v>
      </c>
      <c r="B816" s="993">
        <v>2018</v>
      </c>
      <c r="C816" s="989" t="s">
        <v>2994</v>
      </c>
      <c r="D816" s="989" t="s">
        <v>2484</v>
      </c>
      <c r="E816" s="989" t="s">
        <v>910</v>
      </c>
      <c r="F816" s="994">
        <v>-196.66</v>
      </c>
      <c r="G816" s="995"/>
      <c r="H816" s="996"/>
      <c r="I816" s="996"/>
      <c r="J816" s="994">
        <v>0</v>
      </c>
      <c r="K816" s="997">
        <v>-196.66</v>
      </c>
    </row>
    <row r="817" spans="1:11" ht="22.5" x14ac:dyDescent="0.25">
      <c r="A817" s="989" t="s">
        <v>185</v>
      </c>
      <c r="B817" s="993">
        <v>2018</v>
      </c>
      <c r="C817" s="989" t="s">
        <v>2994</v>
      </c>
      <c r="D817" s="989" t="s">
        <v>2485</v>
      </c>
      <c r="E817" s="989" t="s">
        <v>910</v>
      </c>
      <c r="F817" s="994">
        <v>-22881.72</v>
      </c>
      <c r="G817" s="995"/>
      <c r="H817" s="996"/>
      <c r="I817" s="996"/>
      <c r="J817" s="994">
        <v>0</v>
      </c>
      <c r="K817" s="997">
        <v>-22881.72</v>
      </c>
    </row>
    <row r="818" spans="1:11" ht="33.75" x14ac:dyDescent="0.25">
      <c r="A818" s="989" t="s">
        <v>185</v>
      </c>
      <c r="B818" s="993">
        <v>2018</v>
      </c>
      <c r="C818" s="989" t="s">
        <v>2995</v>
      </c>
      <c r="D818" s="989" t="s">
        <v>47</v>
      </c>
      <c r="E818" s="989" t="s">
        <v>911</v>
      </c>
      <c r="F818" s="994">
        <v>200130.21</v>
      </c>
      <c r="G818" s="989" t="s">
        <v>657</v>
      </c>
      <c r="H818" s="994">
        <v>198213.6875</v>
      </c>
      <c r="I818" s="994">
        <v>1916.52001953125</v>
      </c>
      <c r="J818" s="994">
        <v>200130.203125</v>
      </c>
      <c r="K818" s="997">
        <v>200130.21</v>
      </c>
    </row>
    <row r="819" spans="1:11" ht="33.75" x14ac:dyDescent="0.25">
      <c r="A819" s="989" t="s">
        <v>185</v>
      </c>
      <c r="B819" s="993">
        <v>2018</v>
      </c>
      <c r="C819" s="989" t="s">
        <v>2996</v>
      </c>
      <c r="D819" s="989" t="s">
        <v>48</v>
      </c>
      <c r="E819" s="989" t="s">
        <v>912</v>
      </c>
      <c r="F819" s="994">
        <v>296274.46000000002</v>
      </c>
      <c r="G819" s="989" t="s">
        <v>657</v>
      </c>
      <c r="H819" s="994">
        <v>291974.75</v>
      </c>
      <c r="I819" s="994">
        <v>4299.7001953125</v>
      </c>
      <c r="J819" s="994">
        <v>296274.46875</v>
      </c>
      <c r="K819" s="997">
        <v>296274.46000000002</v>
      </c>
    </row>
    <row r="820" spans="1:11" ht="33.75" x14ac:dyDescent="0.25">
      <c r="A820" s="989" t="s">
        <v>185</v>
      </c>
      <c r="B820" s="993">
        <v>2018</v>
      </c>
      <c r="C820" s="989" t="s">
        <v>2997</v>
      </c>
      <c r="D820" s="989" t="s">
        <v>50</v>
      </c>
      <c r="E820" s="989" t="s">
        <v>913</v>
      </c>
      <c r="F820" s="994">
        <v>-517553.58</v>
      </c>
      <c r="G820" s="989" t="s">
        <v>657</v>
      </c>
      <c r="H820" s="994">
        <v>-593976.5625</v>
      </c>
      <c r="I820" s="994">
        <v>76422.96875</v>
      </c>
      <c r="J820" s="994">
        <v>-517553.59375</v>
      </c>
      <c r="K820" s="997">
        <v>-517553.58</v>
      </c>
    </row>
    <row r="821" spans="1:11" ht="22.5" x14ac:dyDescent="0.25">
      <c r="A821" s="989" t="s">
        <v>185</v>
      </c>
      <c r="B821" s="993">
        <v>2018</v>
      </c>
      <c r="C821" s="989" t="s">
        <v>2998</v>
      </c>
      <c r="D821" s="989" t="s">
        <v>348</v>
      </c>
      <c r="E821" s="989" t="s">
        <v>914</v>
      </c>
      <c r="F821" s="994">
        <v>309920.42</v>
      </c>
      <c r="G821" s="989" t="s">
        <v>657</v>
      </c>
      <c r="H821" s="994">
        <v>391707.1875</v>
      </c>
      <c r="I821" s="994">
        <v>-81786.78125</v>
      </c>
      <c r="J821" s="994">
        <v>309920.40625</v>
      </c>
      <c r="K821" s="997">
        <v>309920.42</v>
      </c>
    </row>
    <row r="822" spans="1:11" ht="45" x14ac:dyDescent="0.25">
      <c r="A822" s="989" t="s">
        <v>185</v>
      </c>
      <c r="B822" s="993">
        <v>2018</v>
      </c>
      <c r="C822" s="989" t="s">
        <v>2999</v>
      </c>
      <c r="D822" s="989" t="s">
        <v>659</v>
      </c>
      <c r="E822" s="989" t="s">
        <v>1341</v>
      </c>
      <c r="F822" s="994">
        <v>0</v>
      </c>
      <c r="G822" s="989" t="s">
        <v>657</v>
      </c>
      <c r="H822" s="996"/>
      <c r="I822" s="996"/>
      <c r="J822" s="994">
        <v>0</v>
      </c>
      <c r="K822" s="997">
        <v>0</v>
      </c>
    </row>
    <row r="823" spans="1:11" ht="45" x14ac:dyDescent="0.25">
      <c r="A823" s="989" t="s">
        <v>185</v>
      </c>
      <c r="B823" s="993">
        <v>2018</v>
      </c>
      <c r="C823" s="989" t="s">
        <v>2999</v>
      </c>
      <c r="D823" s="989" t="s">
        <v>660</v>
      </c>
      <c r="E823" s="989" t="s">
        <v>1342</v>
      </c>
      <c r="F823" s="994">
        <v>0</v>
      </c>
      <c r="G823" s="989" t="s">
        <v>657</v>
      </c>
      <c r="H823" s="996"/>
      <c r="I823" s="996"/>
      <c r="J823" s="994">
        <v>0</v>
      </c>
      <c r="K823" s="997">
        <v>0</v>
      </c>
    </row>
    <row r="824" spans="1:11" ht="45" x14ac:dyDescent="0.25">
      <c r="A824" s="989" t="s">
        <v>185</v>
      </c>
      <c r="B824" s="993">
        <v>2018</v>
      </c>
      <c r="C824" s="989" t="s">
        <v>2999</v>
      </c>
      <c r="D824" s="989" t="s">
        <v>661</v>
      </c>
      <c r="E824" s="989" t="s">
        <v>1343</v>
      </c>
      <c r="F824" s="994">
        <v>0</v>
      </c>
      <c r="G824" s="989" t="s">
        <v>657</v>
      </c>
      <c r="H824" s="996"/>
      <c r="I824" s="996"/>
      <c r="J824" s="994">
        <v>0</v>
      </c>
      <c r="K824" s="997">
        <v>0</v>
      </c>
    </row>
    <row r="825" spans="1:11" ht="45" x14ac:dyDescent="0.25">
      <c r="A825" s="989" t="s">
        <v>185</v>
      </c>
      <c r="B825" s="993">
        <v>2018</v>
      </c>
      <c r="C825" s="989" t="s">
        <v>2999</v>
      </c>
      <c r="D825" s="989" t="s">
        <v>662</v>
      </c>
      <c r="E825" s="989" t="s">
        <v>1344</v>
      </c>
      <c r="F825" s="994">
        <v>0</v>
      </c>
      <c r="G825" s="989" t="s">
        <v>657</v>
      </c>
      <c r="H825" s="996"/>
      <c r="I825" s="996"/>
      <c r="J825" s="994">
        <v>0</v>
      </c>
      <c r="K825" s="997">
        <v>0</v>
      </c>
    </row>
    <row r="826" spans="1:11" ht="45" x14ac:dyDescent="0.25">
      <c r="A826" s="989" t="s">
        <v>185</v>
      </c>
      <c r="B826" s="993">
        <v>2018</v>
      </c>
      <c r="C826" s="989" t="s">
        <v>2999</v>
      </c>
      <c r="D826" s="989" t="s">
        <v>663</v>
      </c>
      <c r="E826" s="989" t="s">
        <v>1345</v>
      </c>
      <c r="F826" s="994">
        <v>0</v>
      </c>
      <c r="G826" s="989" t="s">
        <v>657</v>
      </c>
      <c r="H826" s="996"/>
      <c r="I826" s="996"/>
      <c r="J826" s="994">
        <v>0</v>
      </c>
      <c r="K826" s="997">
        <v>0</v>
      </c>
    </row>
    <row r="827" spans="1:11" ht="45" x14ac:dyDescent="0.25">
      <c r="A827" s="989" t="s">
        <v>185</v>
      </c>
      <c r="B827" s="993">
        <v>2018</v>
      </c>
      <c r="C827" s="989" t="s">
        <v>2999</v>
      </c>
      <c r="D827" s="989" t="s">
        <v>664</v>
      </c>
      <c r="E827" s="989" t="s">
        <v>1346</v>
      </c>
      <c r="F827" s="994">
        <v>0</v>
      </c>
      <c r="G827" s="989" t="s">
        <v>657</v>
      </c>
      <c r="H827" s="996"/>
      <c r="I827" s="996"/>
      <c r="J827" s="994">
        <v>0</v>
      </c>
      <c r="K827" s="997">
        <v>0</v>
      </c>
    </row>
    <row r="828" spans="1:11" ht="45" x14ac:dyDescent="0.25">
      <c r="A828" s="989" t="s">
        <v>185</v>
      </c>
      <c r="B828" s="993">
        <v>2018</v>
      </c>
      <c r="C828" s="989" t="s">
        <v>2999</v>
      </c>
      <c r="D828" s="989" t="s">
        <v>665</v>
      </c>
      <c r="E828" s="989" t="s">
        <v>1347</v>
      </c>
      <c r="F828" s="994">
        <v>0</v>
      </c>
      <c r="G828" s="989" t="s">
        <v>657</v>
      </c>
      <c r="H828" s="996"/>
      <c r="I828" s="996"/>
      <c r="J828" s="994">
        <v>0</v>
      </c>
      <c r="K828" s="997">
        <v>0</v>
      </c>
    </row>
    <row r="829" spans="1:11" ht="45" x14ac:dyDescent="0.25">
      <c r="A829" s="989" t="s">
        <v>185</v>
      </c>
      <c r="B829" s="993">
        <v>2018</v>
      </c>
      <c r="C829" s="989" t="s">
        <v>2999</v>
      </c>
      <c r="D829" s="989" t="s">
        <v>1870</v>
      </c>
      <c r="E829" s="989" t="s">
        <v>2315</v>
      </c>
      <c r="F829" s="994">
        <v>0</v>
      </c>
      <c r="G829" s="989" t="s">
        <v>657</v>
      </c>
      <c r="H829" s="996"/>
      <c r="I829" s="996"/>
      <c r="J829" s="994">
        <v>0</v>
      </c>
      <c r="K829" s="997">
        <v>0</v>
      </c>
    </row>
    <row r="830" spans="1:11" ht="45" x14ac:dyDescent="0.25">
      <c r="A830" s="989" t="s">
        <v>185</v>
      </c>
      <c r="B830" s="993">
        <v>2018</v>
      </c>
      <c r="C830" s="989" t="s">
        <v>2999</v>
      </c>
      <c r="D830" s="989" t="s">
        <v>2486</v>
      </c>
      <c r="E830" s="989" t="s">
        <v>2519</v>
      </c>
      <c r="F830" s="994">
        <v>0</v>
      </c>
      <c r="G830" s="989" t="s">
        <v>657</v>
      </c>
      <c r="H830" s="994">
        <v>-556165.375</v>
      </c>
      <c r="I830" s="994">
        <v>514430.25</v>
      </c>
      <c r="J830" s="994">
        <v>-41735.109375</v>
      </c>
      <c r="K830" s="997">
        <v>-41735.11</v>
      </c>
    </row>
    <row r="831" spans="1:11" ht="45" x14ac:dyDescent="0.25">
      <c r="A831" s="989" t="s">
        <v>185</v>
      </c>
      <c r="B831" s="993">
        <v>2018</v>
      </c>
      <c r="C831" s="989" t="s">
        <v>2999</v>
      </c>
      <c r="D831" s="989" t="s">
        <v>4892</v>
      </c>
      <c r="E831" s="989" t="s">
        <v>6016</v>
      </c>
      <c r="F831" s="994">
        <v>0</v>
      </c>
      <c r="G831" s="989" t="s">
        <v>657</v>
      </c>
      <c r="H831" s="994">
        <v>133092.28125</v>
      </c>
      <c r="I831" s="994">
        <v>-12573.7900390625</v>
      </c>
      <c r="J831" s="994">
        <v>120518.4921875</v>
      </c>
      <c r="K831" s="997">
        <v>120518.49</v>
      </c>
    </row>
    <row r="832" spans="1:11" ht="45" x14ac:dyDescent="0.25">
      <c r="A832" s="989" t="s">
        <v>185</v>
      </c>
      <c r="B832" s="993">
        <v>2018</v>
      </c>
      <c r="C832" s="989" t="s">
        <v>2999</v>
      </c>
      <c r="D832" s="989" t="s">
        <v>666</v>
      </c>
      <c r="E832" s="989" t="s">
        <v>1567</v>
      </c>
      <c r="F832" s="994">
        <v>78783.38</v>
      </c>
      <c r="G832" s="995"/>
      <c r="H832" s="996"/>
      <c r="I832" s="996"/>
      <c r="J832" s="994">
        <v>0</v>
      </c>
      <c r="K832" s="997">
        <v>78783.38</v>
      </c>
    </row>
    <row r="833" spans="1:11" x14ac:dyDescent="0.25">
      <c r="A833" s="989" t="s">
        <v>186</v>
      </c>
      <c r="B833" s="993">
        <v>2018</v>
      </c>
      <c r="C833" s="989" t="s">
        <v>2991</v>
      </c>
      <c r="D833" s="989" t="s">
        <v>49</v>
      </c>
      <c r="E833" s="989" t="s">
        <v>915</v>
      </c>
      <c r="F833" s="994">
        <v>0</v>
      </c>
      <c r="G833" s="989" t="s">
        <v>657</v>
      </c>
      <c r="H833" s="996"/>
      <c r="I833" s="996"/>
      <c r="J833" s="994">
        <v>0</v>
      </c>
      <c r="K833" s="997">
        <v>0</v>
      </c>
    </row>
    <row r="834" spans="1:11" ht="33.75" x14ac:dyDescent="0.25">
      <c r="A834" s="989" t="s">
        <v>186</v>
      </c>
      <c r="B834" s="993">
        <v>2018</v>
      </c>
      <c r="C834" s="989" t="s">
        <v>2992</v>
      </c>
      <c r="D834" s="989" t="s">
        <v>658</v>
      </c>
      <c r="E834" s="989" t="s">
        <v>916</v>
      </c>
      <c r="F834" s="994">
        <v>-48678.04</v>
      </c>
      <c r="G834" s="989" t="s">
        <v>657</v>
      </c>
      <c r="H834" s="994">
        <v>-48149.76171875</v>
      </c>
      <c r="I834" s="994">
        <v>-528.280029296875</v>
      </c>
      <c r="J834" s="994">
        <v>-48678.0390625</v>
      </c>
      <c r="K834" s="997">
        <v>-48678.04</v>
      </c>
    </row>
    <row r="835" spans="1:11" ht="22.5" x14ac:dyDescent="0.25">
      <c r="A835" s="989" t="s">
        <v>186</v>
      </c>
      <c r="B835" s="993">
        <v>2018</v>
      </c>
      <c r="C835" s="989" t="s">
        <v>2993</v>
      </c>
      <c r="D835" s="989" t="s">
        <v>464</v>
      </c>
      <c r="E835" s="989" t="s">
        <v>917</v>
      </c>
      <c r="F835" s="994">
        <v>1336071.06</v>
      </c>
      <c r="G835" s="995"/>
      <c r="H835" s="996"/>
      <c r="I835" s="996"/>
      <c r="J835" s="994">
        <v>0</v>
      </c>
      <c r="K835" s="997">
        <v>1336071.06</v>
      </c>
    </row>
    <row r="836" spans="1:11" ht="33.75" x14ac:dyDescent="0.25">
      <c r="A836" s="989" t="s">
        <v>186</v>
      </c>
      <c r="B836" s="993">
        <v>2018</v>
      </c>
      <c r="C836" s="989" t="s">
        <v>2994</v>
      </c>
      <c r="D836" s="989" t="s">
        <v>46</v>
      </c>
      <c r="E836" s="989" t="s">
        <v>918</v>
      </c>
      <c r="F836" s="994">
        <v>-6321038.9800000004</v>
      </c>
      <c r="G836" s="989" t="s">
        <v>657</v>
      </c>
      <c r="H836" s="994">
        <v>-6249653.5</v>
      </c>
      <c r="I836" s="994">
        <v>-71385.6484375</v>
      </c>
      <c r="J836" s="994">
        <v>-6321039</v>
      </c>
      <c r="K836" s="997">
        <v>-6321038.9800000004</v>
      </c>
    </row>
    <row r="837" spans="1:11" ht="22.5" x14ac:dyDescent="0.25">
      <c r="A837" s="989" t="s">
        <v>186</v>
      </c>
      <c r="B837" s="993">
        <v>2018</v>
      </c>
      <c r="C837" s="989" t="s">
        <v>2994</v>
      </c>
      <c r="D837" s="989" t="s">
        <v>2482</v>
      </c>
      <c r="E837" s="989" t="s">
        <v>918</v>
      </c>
      <c r="F837" s="994">
        <v>-1.88</v>
      </c>
      <c r="G837" s="995"/>
      <c r="H837" s="996"/>
      <c r="I837" s="996"/>
      <c r="J837" s="994">
        <v>0</v>
      </c>
      <c r="K837" s="997">
        <v>-1.88</v>
      </c>
    </row>
    <row r="838" spans="1:11" ht="22.5" x14ac:dyDescent="0.25">
      <c r="A838" s="989" t="s">
        <v>186</v>
      </c>
      <c r="B838" s="993">
        <v>2018</v>
      </c>
      <c r="C838" s="989" t="s">
        <v>2994</v>
      </c>
      <c r="D838" s="989" t="s">
        <v>2483</v>
      </c>
      <c r="E838" s="989" t="s">
        <v>918</v>
      </c>
      <c r="F838" s="994">
        <v>-185.27</v>
      </c>
      <c r="G838" s="995"/>
      <c r="H838" s="996"/>
      <c r="I838" s="996"/>
      <c r="J838" s="994">
        <v>0</v>
      </c>
      <c r="K838" s="997">
        <v>-185.27</v>
      </c>
    </row>
    <row r="839" spans="1:11" ht="22.5" x14ac:dyDescent="0.25">
      <c r="A839" s="989" t="s">
        <v>186</v>
      </c>
      <c r="B839" s="993">
        <v>2018</v>
      </c>
      <c r="C839" s="989" t="s">
        <v>2994</v>
      </c>
      <c r="D839" s="989" t="s">
        <v>2484</v>
      </c>
      <c r="E839" s="989" t="s">
        <v>918</v>
      </c>
      <c r="F839" s="994">
        <v>-2961.94</v>
      </c>
      <c r="G839" s="995"/>
      <c r="H839" s="996"/>
      <c r="I839" s="996"/>
      <c r="J839" s="994">
        <v>0</v>
      </c>
      <c r="K839" s="997">
        <v>-2961.94</v>
      </c>
    </row>
    <row r="840" spans="1:11" ht="22.5" x14ac:dyDescent="0.25">
      <c r="A840" s="989" t="s">
        <v>186</v>
      </c>
      <c r="B840" s="993">
        <v>2018</v>
      </c>
      <c r="C840" s="989" t="s">
        <v>2994</v>
      </c>
      <c r="D840" s="989" t="s">
        <v>2485</v>
      </c>
      <c r="E840" s="989" t="s">
        <v>918</v>
      </c>
      <c r="F840" s="994">
        <v>-157810.48000000001</v>
      </c>
      <c r="G840" s="995"/>
      <c r="H840" s="996"/>
      <c r="I840" s="996"/>
      <c r="J840" s="994">
        <v>0</v>
      </c>
      <c r="K840" s="997">
        <v>-157810.48000000001</v>
      </c>
    </row>
    <row r="841" spans="1:11" ht="33.75" x14ac:dyDescent="0.25">
      <c r="A841" s="989" t="s">
        <v>186</v>
      </c>
      <c r="B841" s="993">
        <v>2018</v>
      </c>
      <c r="C841" s="989" t="s">
        <v>2995</v>
      </c>
      <c r="D841" s="989" t="s">
        <v>47</v>
      </c>
      <c r="E841" s="989" t="s">
        <v>919</v>
      </c>
      <c r="F841" s="994">
        <v>1046840.87</v>
      </c>
      <c r="G841" s="989" t="s">
        <v>657</v>
      </c>
      <c r="H841" s="994">
        <v>1036784.375</v>
      </c>
      <c r="I841" s="994">
        <v>10056.509765625</v>
      </c>
      <c r="J841" s="994">
        <v>1046840.875</v>
      </c>
      <c r="K841" s="997">
        <v>1046840.87</v>
      </c>
    </row>
    <row r="842" spans="1:11" ht="33.75" x14ac:dyDescent="0.25">
      <c r="A842" s="989" t="s">
        <v>186</v>
      </c>
      <c r="B842" s="993">
        <v>2018</v>
      </c>
      <c r="C842" s="989" t="s">
        <v>2996</v>
      </c>
      <c r="D842" s="989" t="s">
        <v>48</v>
      </c>
      <c r="E842" s="989" t="s">
        <v>920</v>
      </c>
      <c r="F842" s="994">
        <v>-925417.26</v>
      </c>
      <c r="G842" s="989" t="s">
        <v>657</v>
      </c>
      <c r="H842" s="994">
        <v>-923870.875</v>
      </c>
      <c r="I842" s="994">
        <v>-1546.40002441406</v>
      </c>
      <c r="J842" s="994">
        <v>-925417.25</v>
      </c>
      <c r="K842" s="997">
        <v>-925417.26</v>
      </c>
    </row>
    <row r="843" spans="1:11" ht="33.75" x14ac:dyDescent="0.25">
      <c r="A843" s="989" t="s">
        <v>186</v>
      </c>
      <c r="B843" s="993">
        <v>2018</v>
      </c>
      <c r="C843" s="989" t="s">
        <v>2997</v>
      </c>
      <c r="D843" s="989" t="s">
        <v>50</v>
      </c>
      <c r="E843" s="989" t="s">
        <v>921</v>
      </c>
      <c r="F843" s="994">
        <v>-458064.76</v>
      </c>
      <c r="G843" s="989" t="s">
        <v>657</v>
      </c>
      <c r="H843" s="994">
        <v>-462496.625</v>
      </c>
      <c r="I843" s="994">
        <v>4431.8798828125</v>
      </c>
      <c r="J843" s="994">
        <v>-458064.75</v>
      </c>
      <c r="K843" s="997">
        <v>-458064.76</v>
      </c>
    </row>
    <row r="844" spans="1:11" ht="22.5" x14ac:dyDescent="0.25">
      <c r="A844" s="989" t="s">
        <v>186</v>
      </c>
      <c r="B844" s="993">
        <v>2018</v>
      </c>
      <c r="C844" s="989" t="s">
        <v>2998</v>
      </c>
      <c r="D844" s="989" t="s">
        <v>348</v>
      </c>
      <c r="E844" s="989" t="s">
        <v>922</v>
      </c>
      <c r="F844" s="994">
        <v>1584363.42</v>
      </c>
      <c r="G844" s="989" t="s">
        <v>657</v>
      </c>
      <c r="H844" s="994">
        <v>1536437.75</v>
      </c>
      <c r="I844" s="994">
        <v>47925.69140625</v>
      </c>
      <c r="J844" s="994">
        <v>1584363.375</v>
      </c>
      <c r="K844" s="997">
        <v>1584363.42</v>
      </c>
    </row>
    <row r="845" spans="1:11" ht="45" x14ac:dyDescent="0.25">
      <c r="A845" s="989" t="s">
        <v>186</v>
      </c>
      <c r="B845" s="993">
        <v>2018</v>
      </c>
      <c r="C845" s="989" t="s">
        <v>2999</v>
      </c>
      <c r="D845" s="989" t="s">
        <v>659</v>
      </c>
      <c r="E845" s="989" t="s">
        <v>1348</v>
      </c>
      <c r="F845" s="994">
        <v>0</v>
      </c>
      <c r="G845" s="989" t="s">
        <v>657</v>
      </c>
      <c r="H845" s="996"/>
      <c r="I845" s="996"/>
      <c r="J845" s="994">
        <v>0</v>
      </c>
      <c r="K845" s="997">
        <v>0</v>
      </c>
    </row>
    <row r="846" spans="1:11" ht="45" x14ac:dyDescent="0.25">
      <c r="A846" s="989" t="s">
        <v>186</v>
      </c>
      <c r="B846" s="993">
        <v>2018</v>
      </c>
      <c r="C846" s="989" t="s">
        <v>2999</v>
      </c>
      <c r="D846" s="989" t="s">
        <v>660</v>
      </c>
      <c r="E846" s="989" t="s">
        <v>1349</v>
      </c>
      <c r="F846" s="994">
        <v>0</v>
      </c>
      <c r="G846" s="989" t="s">
        <v>657</v>
      </c>
      <c r="H846" s="996"/>
      <c r="I846" s="996"/>
      <c r="J846" s="994">
        <v>0</v>
      </c>
      <c r="K846" s="997">
        <v>0</v>
      </c>
    </row>
    <row r="847" spans="1:11" ht="45" x14ac:dyDescent="0.25">
      <c r="A847" s="989" t="s">
        <v>186</v>
      </c>
      <c r="B847" s="993">
        <v>2018</v>
      </c>
      <c r="C847" s="989" t="s">
        <v>2999</v>
      </c>
      <c r="D847" s="989" t="s">
        <v>661</v>
      </c>
      <c r="E847" s="989" t="s">
        <v>1350</v>
      </c>
      <c r="F847" s="994">
        <v>0</v>
      </c>
      <c r="G847" s="989" t="s">
        <v>657</v>
      </c>
      <c r="H847" s="996"/>
      <c r="I847" s="996"/>
      <c r="J847" s="994">
        <v>0</v>
      </c>
      <c r="K847" s="997">
        <v>0</v>
      </c>
    </row>
    <row r="848" spans="1:11" ht="45" x14ac:dyDescent="0.25">
      <c r="A848" s="989" t="s">
        <v>186</v>
      </c>
      <c r="B848" s="993">
        <v>2018</v>
      </c>
      <c r="C848" s="989" t="s">
        <v>2999</v>
      </c>
      <c r="D848" s="989" t="s">
        <v>662</v>
      </c>
      <c r="E848" s="989" t="s">
        <v>1351</v>
      </c>
      <c r="F848" s="994">
        <v>0</v>
      </c>
      <c r="G848" s="989" t="s">
        <v>657</v>
      </c>
      <c r="H848" s="996"/>
      <c r="I848" s="996"/>
      <c r="J848" s="994">
        <v>0</v>
      </c>
      <c r="K848" s="997">
        <v>0</v>
      </c>
    </row>
    <row r="849" spans="1:11" ht="45" x14ac:dyDescent="0.25">
      <c r="A849" s="989" t="s">
        <v>186</v>
      </c>
      <c r="B849" s="993">
        <v>2018</v>
      </c>
      <c r="C849" s="989" t="s">
        <v>2999</v>
      </c>
      <c r="D849" s="989" t="s">
        <v>663</v>
      </c>
      <c r="E849" s="989" t="s">
        <v>1352</v>
      </c>
      <c r="F849" s="994">
        <v>0</v>
      </c>
      <c r="G849" s="989" t="s">
        <v>657</v>
      </c>
      <c r="H849" s="996"/>
      <c r="I849" s="996"/>
      <c r="J849" s="994">
        <v>0</v>
      </c>
      <c r="K849" s="997">
        <v>0</v>
      </c>
    </row>
    <row r="850" spans="1:11" ht="45" x14ac:dyDescent="0.25">
      <c r="A850" s="989" t="s">
        <v>186</v>
      </c>
      <c r="B850" s="993">
        <v>2018</v>
      </c>
      <c r="C850" s="989" t="s">
        <v>2999</v>
      </c>
      <c r="D850" s="989" t="s">
        <v>664</v>
      </c>
      <c r="E850" s="989" t="s">
        <v>1353</v>
      </c>
      <c r="F850" s="994">
        <v>0</v>
      </c>
      <c r="G850" s="989" t="s">
        <v>657</v>
      </c>
      <c r="H850" s="996"/>
      <c r="I850" s="996"/>
      <c r="J850" s="994">
        <v>0</v>
      </c>
      <c r="K850" s="997">
        <v>0</v>
      </c>
    </row>
    <row r="851" spans="1:11" ht="45" x14ac:dyDescent="0.25">
      <c r="A851" s="989" t="s">
        <v>186</v>
      </c>
      <c r="B851" s="993">
        <v>2018</v>
      </c>
      <c r="C851" s="989" t="s">
        <v>2999</v>
      </c>
      <c r="D851" s="989" t="s">
        <v>665</v>
      </c>
      <c r="E851" s="989" t="s">
        <v>1354</v>
      </c>
      <c r="F851" s="994">
        <v>0</v>
      </c>
      <c r="G851" s="989" t="s">
        <v>657</v>
      </c>
      <c r="H851" s="996"/>
      <c r="I851" s="996"/>
      <c r="J851" s="994">
        <v>0</v>
      </c>
      <c r="K851" s="997">
        <v>0</v>
      </c>
    </row>
    <row r="852" spans="1:11" ht="45" x14ac:dyDescent="0.25">
      <c r="A852" s="989" t="s">
        <v>186</v>
      </c>
      <c r="B852" s="993">
        <v>2018</v>
      </c>
      <c r="C852" s="989" t="s">
        <v>2999</v>
      </c>
      <c r="D852" s="989" t="s">
        <v>1870</v>
      </c>
      <c r="E852" s="989" t="s">
        <v>2316</v>
      </c>
      <c r="F852" s="994">
        <v>0</v>
      </c>
      <c r="G852" s="989" t="s">
        <v>657</v>
      </c>
      <c r="H852" s="996"/>
      <c r="I852" s="996"/>
      <c r="J852" s="994">
        <v>0</v>
      </c>
      <c r="K852" s="997">
        <v>0</v>
      </c>
    </row>
    <row r="853" spans="1:11" ht="45" x14ac:dyDescent="0.25">
      <c r="A853" s="989" t="s">
        <v>186</v>
      </c>
      <c r="B853" s="993">
        <v>2018</v>
      </c>
      <c r="C853" s="989" t="s">
        <v>2999</v>
      </c>
      <c r="D853" s="989" t="s">
        <v>2486</v>
      </c>
      <c r="E853" s="989" t="s">
        <v>2520</v>
      </c>
      <c r="F853" s="994">
        <v>0</v>
      </c>
      <c r="G853" s="989" t="s">
        <v>657</v>
      </c>
      <c r="H853" s="994">
        <v>106064.7578125</v>
      </c>
      <c r="I853" s="994">
        <v>-200948.84375</v>
      </c>
      <c r="J853" s="994">
        <v>-94884.09375</v>
      </c>
      <c r="K853" s="997">
        <v>-94884.09</v>
      </c>
    </row>
    <row r="854" spans="1:11" ht="45" x14ac:dyDescent="0.25">
      <c r="A854" s="989" t="s">
        <v>186</v>
      </c>
      <c r="B854" s="993">
        <v>2018</v>
      </c>
      <c r="C854" s="989" t="s">
        <v>2999</v>
      </c>
      <c r="D854" s="989" t="s">
        <v>4892</v>
      </c>
      <c r="E854" s="989" t="s">
        <v>6017</v>
      </c>
      <c r="F854" s="994">
        <v>0</v>
      </c>
      <c r="G854" s="989" t="s">
        <v>657</v>
      </c>
      <c r="H854" s="994">
        <v>-2912393.25</v>
      </c>
      <c r="I854" s="994">
        <v>-144883.578125</v>
      </c>
      <c r="J854" s="994">
        <v>-3057276.75</v>
      </c>
      <c r="K854" s="997">
        <v>-3057276.78</v>
      </c>
    </row>
    <row r="855" spans="1:11" ht="45" x14ac:dyDescent="0.25">
      <c r="A855" s="989" t="s">
        <v>186</v>
      </c>
      <c r="B855" s="993">
        <v>2018</v>
      </c>
      <c r="C855" s="989" t="s">
        <v>2999</v>
      </c>
      <c r="D855" s="989" t="s">
        <v>666</v>
      </c>
      <c r="E855" s="989" t="s">
        <v>1568</v>
      </c>
      <c r="F855" s="994">
        <v>-3152160.87</v>
      </c>
      <c r="G855" s="995"/>
      <c r="H855" s="996"/>
      <c r="I855" s="996"/>
      <c r="J855" s="994">
        <v>0</v>
      </c>
      <c r="K855" s="997">
        <v>-3152160.87</v>
      </c>
    </row>
    <row r="856" spans="1:11" ht="22.5" x14ac:dyDescent="0.25">
      <c r="A856" s="989" t="s">
        <v>187</v>
      </c>
      <c r="B856" s="993">
        <v>2018</v>
      </c>
      <c r="C856" s="989" t="s">
        <v>2991</v>
      </c>
      <c r="D856" s="989" t="s">
        <v>49</v>
      </c>
      <c r="E856" s="989" t="s">
        <v>923</v>
      </c>
      <c r="F856" s="994">
        <v>528075.81999999995</v>
      </c>
      <c r="G856" s="989" t="s">
        <v>657</v>
      </c>
      <c r="H856" s="994">
        <v>521795.96875</v>
      </c>
      <c r="I856" s="994">
        <v>6279.85009765625</v>
      </c>
      <c r="J856" s="994">
        <v>528075.8125</v>
      </c>
      <c r="K856" s="997">
        <v>528075.81999999995</v>
      </c>
    </row>
    <row r="857" spans="1:11" ht="33.75" x14ac:dyDescent="0.25">
      <c r="A857" s="989" t="s">
        <v>187</v>
      </c>
      <c r="B857" s="993">
        <v>2018</v>
      </c>
      <c r="C857" s="989" t="s">
        <v>2992</v>
      </c>
      <c r="D857" s="989" t="s">
        <v>658</v>
      </c>
      <c r="E857" s="989" t="s">
        <v>924</v>
      </c>
      <c r="F857" s="994">
        <v>-5335.86</v>
      </c>
      <c r="G857" s="989" t="s">
        <v>657</v>
      </c>
      <c r="H857" s="994">
        <v>-5275.18017578125</v>
      </c>
      <c r="I857" s="994">
        <v>-60.680000305175803</v>
      </c>
      <c r="J857" s="994">
        <v>-5335.85986328125</v>
      </c>
      <c r="K857" s="997">
        <v>-5335.86</v>
      </c>
    </row>
    <row r="858" spans="1:11" ht="22.5" x14ac:dyDescent="0.25">
      <c r="A858" s="989" t="s">
        <v>187</v>
      </c>
      <c r="B858" s="993">
        <v>2018</v>
      </c>
      <c r="C858" s="989" t="s">
        <v>2993</v>
      </c>
      <c r="D858" s="989" t="s">
        <v>464</v>
      </c>
      <c r="E858" s="989" t="s">
        <v>925</v>
      </c>
      <c r="F858" s="994">
        <v>132995.20000000001</v>
      </c>
      <c r="G858" s="995"/>
      <c r="H858" s="996"/>
      <c r="I858" s="996"/>
      <c r="J858" s="994">
        <v>0</v>
      </c>
      <c r="K858" s="997">
        <v>132995.20000000001</v>
      </c>
    </row>
    <row r="859" spans="1:11" ht="33.75" x14ac:dyDescent="0.25">
      <c r="A859" s="989" t="s">
        <v>187</v>
      </c>
      <c r="B859" s="993">
        <v>2018</v>
      </c>
      <c r="C859" s="989" t="s">
        <v>2994</v>
      </c>
      <c r="D859" s="989" t="s">
        <v>46</v>
      </c>
      <c r="E859" s="989" t="s">
        <v>926</v>
      </c>
      <c r="F859" s="994">
        <v>-357459.18</v>
      </c>
      <c r="G859" s="989" t="s">
        <v>657</v>
      </c>
      <c r="H859" s="994">
        <v>-353133.40625</v>
      </c>
      <c r="I859" s="994">
        <v>-4325.759765625</v>
      </c>
      <c r="J859" s="994">
        <v>-357459.1875</v>
      </c>
      <c r="K859" s="997">
        <v>-357459.18</v>
      </c>
    </row>
    <row r="860" spans="1:11" ht="22.5" x14ac:dyDescent="0.25">
      <c r="A860" s="989" t="s">
        <v>187</v>
      </c>
      <c r="B860" s="993">
        <v>2018</v>
      </c>
      <c r="C860" s="989" t="s">
        <v>2994</v>
      </c>
      <c r="D860" s="989" t="s">
        <v>2482</v>
      </c>
      <c r="E860" s="989" t="s">
        <v>926</v>
      </c>
      <c r="F860" s="994">
        <v>0</v>
      </c>
      <c r="G860" s="995"/>
      <c r="H860" s="996"/>
      <c r="I860" s="996"/>
      <c r="J860" s="994">
        <v>0</v>
      </c>
      <c r="K860" s="997">
        <v>0</v>
      </c>
    </row>
    <row r="861" spans="1:11" ht="22.5" x14ac:dyDescent="0.25">
      <c r="A861" s="989" t="s">
        <v>187</v>
      </c>
      <c r="B861" s="993">
        <v>2018</v>
      </c>
      <c r="C861" s="989" t="s">
        <v>2994</v>
      </c>
      <c r="D861" s="989" t="s">
        <v>2483</v>
      </c>
      <c r="E861" s="989" t="s">
        <v>926</v>
      </c>
      <c r="F861" s="994">
        <v>0</v>
      </c>
      <c r="G861" s="995"/>
      <c r="H861" s="996"/>
      <c r="I861" s="996"/>
      <c r="J861" s="994">
        <v>0</v>
      </c>
      <c r="K861" s="997">
        <v>0</v>
      </c>
    </row>
    <row r="862" spans="1:11" ht="22.5" x14ac:dyDescent="0.25">
      <c r="A862" s="989" t="s">
        <v>187</v>
      </c>
      <c r="B862" s="993">
        <v>2018</v>
      </c>
      <c r="C862" s="989" t="s">
        <v>2994</v>
      </c>
      <c r="D862" s="989" t="s">
        <v>2484</v>
      </c>
      <c r="E862" s="989" t="s">
        <v>926</v>
      </c>
      <c r="F862" s="994">
        <v>462.78</v>
      </c>
      <c r="G862" s="995"/>
      <c r="H862" s="996"/>
      <c r="I862" s="996"/>
      <c r="J862" s="994">
        <v>0</v>
      </c>
      <c r="K862" s="997">
        <v>462.78</v>
      </c>
    </row>
    <row r="863" spans="1:11" ht="22.5" x14ac:dyDescent="0.25">
      <c r="A863" s="989" t="s">
        <v>187</v>
      </c>
      <c r="B863" s="993">
        <v>2018</v>
      </c>
      <c r="C863" s="989" t="s">
        <v>2994</v>
      </c>
      <c r="D863" s="989" t="s">
        <v>2485</v>
      </c>
      <c r="E863" s="989" t="s">
        <v>926</v>
      </c>
      <c r="F863" s="994">
        <v>9549.84</v>
      </c>
      <c r="G863" s="995"/>
      <c r="H863" s="996"/>
      <c r="I863" s="996"/>
      <c r="J863" s="994">
        <v>0</v>
      </c>
      <c r="K863" s="997">
        <v>9549.84</v>
      </c>
    </row>
    <row r="864" spans="1:11" ht="33.75" x14ac:dyDescent="0.25">
      <c r="A864" s="989" t="s">
        <v>187</v>
      </c>
      <c r="B864" s="993">
        <v>2018</v>
      </c>
      <c r="C864" s="989" t="s">
        <v>2995</v>
      </c>
      <c r="D864" s="989" t="s">
        <v>47</v>
      </c>
      <c r="E864" s="989" t="s">
        <v>927</v>
      </c>
      <c r="F864" s="994">
        <v>-18625.11</v>
      </c>
      <c r="G864" s="989" t="s">
        <v>657</v>
      </c>
      <c r="H864" s="994">
        <v>-18745.0703125</v>
      </c>
      <c r="I864" s="994">
        <v>119.959999084473</v>
      </c>
      <c r="J864" s="994">
        <v>-18625.109375</v>
      </c>
      <c r="K864" s="997">
        <v>-18625.11</v>
      </c>
    </row>
    <row r="865" spans="1:11" ht="33.75" x14ac:dyDescent="0.25">
      <c r="A865" s="989" t="s">
        <v>187</v>
      </c>
      <c r="B865" s="993">
        <v>2018</v>
      </c>
      <c r="C865" s="989" t="s">
        <v>2996</v>
      </c>
      <c r="D865" s="989" t="s">
        <v>48</v>
      </c>
      <c r="E865" s="989" t="s">
        <v>928</v>
      </c>
      <c r="F865" s="994">
        <v>16734.63</v>
      </c>
      <c r="G865" s="989" t="s">
        <v>657</v>
      </c>
      <c r="H865" s="994">
        <v>16196.8203125</v>
      </c>
      <c r="I865" s="994">
        <v>537.80999755859398</v>
      </c>
      <c r="J865" s="994">
        <v>16734.630859375</v>
      </c>
      <c r="K865" s="997">
        <v>16734.63</v>
      </c>
    </row>
    <row r="866" spans="1:11" ht="33.75" x14ac:dyDescent="0.25">
      <c r="A866" s="989" t="s">
        <v>187</v>
      </c>
      <c r="B866" s="993">
        <v>2018</v>
      </c>
      <c r="C866" s="989" t="s">
        <v>2997</v>
      </c>
      <c r="D866" s="989" t="s">
        <v>50</v>
      </c>
      <c r="E866" s="989" t="s">
        <v>929</v>
      </c>
      <c r="F866" s="994">
        <v>66106.070000000007</v>
      </c>
      <c r="G866" s="989" t="s">
        <v>657</v>
      </c>
      <c r="H866" s="994">
        <v>62099.25</v>
      </c>
      <c r="I866" s="994">
        <v>4006.82006835938</v>
      </c>
      <c r="J866" s="994">
        <v>66106.0703125</v>
      </c>
      <c r="K866" s="997">
        <v>66106.070000000007</v>
      </c>
    </row>
    <row r="867" spans="1:11" ht="22.5" x14ac:dyDescent="0.25">
      <c r="A867" s="989" t="s">
        <v>187</v>
      </c>
      <c r="B867" s="993">
        <v>2018</v>
      </c>
      <c r="C867" s="989" t="s">
        <v>2998</v>
      </c>
      <c r="D867" s="989" t="s">
        <v>348</v>
      </c>
      <c r="E867" s="989" t="s">
        <v>930</v>
      </c>
      <c r="F867" s="994">
        <v>198905.21</v>
      </c>
      <c r="G867" s="989" t="s">
        <v>657</v>
      </c>
      <c r="H867" s="994">
        <v>191475.296875</v>
      </c>
      <c r="I867" s="994">
        <v>7429.91015625</v>
      </c>
      <c r="J867" s="994">
        <v>198905.203125</v>
      </c>
      <c r="K867" s="997">
        <v>198905.21</v>
      </c>
    </row>
    <row r="868" spans="1:11" ht="45" x14ac:dyDescent="0.25">
      <c r="A868" s="989" t="s">
        <v>187</v>
      </c>
      <c r="B868" s="993">
        <v>2018</v>
      </c>
      <c r="C868" s="989" t="s">
        <v>2999</v>
      </c>
      <c r="D868" s="989" t="s">
        <v>659</v>
      </c>
      <c r="E868" s="989" t="s">
        <v>1355</v>
      </c>
      <c r="F868" s="994">
        <v>0</v>
      </c>
      <c r="G868" s="989" t="s">
        <v>657</v>
      </c>
      <c r="H868" s="996"/>
      <c r="I868" s="996"/>
      <c r="J868" s="994">
        <v>0</v>
      </c>
      <c r="K868" s="997">
        <v>0</v>
      </c>
    </row>
    <row r="869" spans="1:11" ht="45" x14ac:dyDescent="0.25">
      <c r="A869" s="989" t="s">
        <v>187</v>
      </c>
      <c r="B869" s="993">
        <v>2018</v>
      </c>
      <c r="C869" s="989" t="s">
        <v>2999</v>
      </c>
      <c r="D869" s="989" t="s">
        <v>660</v>
      </c>
      <c r="E869" s="989" t="s">
        <v>1356</v>
      </c>
      <c r="F869" s="994">
        <v>0</v>
      </c>
      <c r="G869" s="989" t="s">
        <v>657</v>
      </c>
      <c r="H869" s="996"/>
      <c r="I869" s="996"/>
      <c r="J869" s="994">
        <v>0</v>
      </c>
      <c r="K869" s="997">
        <v>0</v>
      </c>
    </row>
    <row r="870" spans="1:11" ht="45" x14ac:dyDescent="0.25">
      <c r="A870" s="989" t="s">
        <v>187</v>
      </c>
      <c r="B870" s="993">
        <v>2018</v>
      </c>
      <c r="C870" s="989" t="s">
        <v>2999</v>
      </c>
      <c r="D870" s="989" t="s">
        <v>661</v>
      </c>
      <c r="E870" s="989" t="s">
        <v>1357</v>
      </c>
      <c r="F870" s="994">
        <v>0</v>
      </c>
      <c r="G870" s="989" t="s">
        <v>657</v>
      </c>
      <c r="H870" s="994">
        <v>-1231</v>
      </c>
      <c r="I870" s="994">
        <v>-116.93000030517599</v>
      </c>
      <c r="J870" s="994">
        <v>-1347.93005371094</v>
      </c>
      <c r="K870" s="997">
        <v>-1347.93</v>
      </c>
    </row>
    <row r="871" spans="1:11" ht="45" x14ac:dyDescent="0.25">
      <c r="A871" s="989" t="s">
        <v>187</v>
      </c>
      <c r="B871" s="993">
        <v>2018</v>
      </c>
      <c r="C871" s="989" t="s">
        <v>2999</v>
      </c>
      <c r="D871" s="989" t="s">
        <v>662</v>
      </c>
      <c r="E871" s="989" t="s">
        <v>1358</v>
      </c>
      <c r="F871" s="994">
        <v>0</v>
      </c>
      <c r="G871" s="989" t="s">
        <v>657</v>
      </c>
      <c r="H871" s="994">
        <v>-2447</v>
      </c>
      <c r="I871" s="994">
        <v>-217.38000488281301</v>
      </c>
      <c r="J871" s="994">
        <v>-2664.3798828125</v>
      </c>
      <c r="K871" s="997">
        <v>-2664.38</v>
      </c>
    </row>
    <row r="872" spans="1:11" ht="45" x14ac:dyDescent="0.25">
      <c r="A872" s="989" t="s">
        <v>187</v>
      </c>
      <c r="B872" s="993">
        <v>2018</v>
      </c>
      <c r="C872" s="989" t="s">
        <v>2999</v>
      </c>
      <c r="D872" s="989" t="s">
        <v>663</v>
      </c>
      <c r="E872" s="989" t="s">
        <v>1359</v>
      </c>
      <c r="F872" s="994">
        <v>0</v>
      </c>
      <c r="G872" s="989" t="s">
        <v>657</v>
      </c>
      <c r="H872" s="994">
        <v>-2447</v>
      </c>
      <c r="I872" s="994">
        <v>-197.42999267578099</v>
      </c>
      <c r="J872" s="994">
        <v>-2644.42993164063</v>
      </c>
      <c r="K872" s="997">
        <v>-2644.43</v>
      </c>
    </row>
    <row r="873" spans="1:11" ht="45" x14ac:dyDescent="0.25">
      <c r="A873" s="989" t="s">
        <v>187</v>
      </c>
      <c r="B873" s="993">
        <v>2018</v>
      </c>
      <c r="C873" s="989" t="s">
        <v>2999</v>
      </c>
      <c r="D873" s="989" t="s">
        <v>664</v>
      </c>
      <c r="E873" s="989" t="s">
        <v>1360</v>
      </c>
      <c r="F873" s="994">
        <v>0</v>
      </c>
      <c r="G873" s="989" t="s">
        <v>657</v>
      </c>
      <c r="H873" s="996"/>
      <c r="I873" s="996"/>
      <c r="J873" s="994">
        <v>0</v>
      </c>
      <c r="K873" s="997">
        <v>0</v>
      </c>
    </row>
    <row r="874" spans="1:11" ht="45" x14ac:dyDescent="0.25">
      <c r="A874" s="989" t="s">
        <v>187</v>
      </c>
      <c r="B874" s="993">
        <v>2018</v>
      </c>
      <c r="C874" s="989" t="s">
        <v>2999</v>
      </c>
      <c r="D874" s="989" t="s">
        <v>665</v>
      </c>
      <c r="E874" s="989" t="s">
        <v>1361</v>
      </c>
      <c r="F874" s="994">
        <v>0</v>
      </c>
      <c r="G874" s="989" t="s">
        <v>657</v>
      </c>
      <c r="H874" s="996"/>
      <c r="I874" s="996"/>
      <c r="J874" s="994">
        <v>0</v>
      </c>
      <c r="K874" s="997">
        <v>0</v>
      </c>
    </row>
    <row r="875" spans="1:11" ht="45" x14ac:dyDescent="0.25">
      <c r="A875" s="989" t="s">
        <v>187</v>
      </c>
      <c r="B875" s="993">
        <v>2018</v>
      </c>
      <c r="C875" s="989" t="s">
        <v>2999</v>
      </c>
      <c r="D875" s="989" t="s">
        <v>1870</v>
      </c>
      <c r="E875" s="989" t="s">
        <v>2317</v>
      </c>
      <c r="F875" s="994">
        <v>0</v>
      </c>
      <c r="G875" s="989" t="s">
        <v>657</v>
      </c>
      <c r="H875" s="994">
        <v>-489663.15625</v>
      </c>
      <c r="I875" s="994">
        <v>482889.65625</v>
      </c>
      <c r="J875" s="994">
        <v>-6773.5</v>
      </c>
      <c r="K875" s="997">
        <v>-6773.5</v>
      </c>
    </row>
    <row r="876" spans="1:11" ht="45" x14ac:dyDescent="0.25">
      <c r="A876" s="989" t="s">
        <v>187</v>
      </c>
      <c r="B876" s="993">
        <v>2018</v>
      </c>
      <c r="C876" s="989" t="s">
        <v>2999</v>
      </c>
      <c r="D876" s="989" t="s">
        <v>2486</v>
      </c>
      <c r="E876" s="989" t="s">
        <v>2521</v>
      </c>
      <c r="F876" s="994">
        <v>0</v>
      </c>
      <c r="G876" s="989" t="s">
        <v>657</v>
      </c>
      <c r="H876" s="994">
        <v>88538.8203125</v>
      </c>
      <c r="I876" s="994">
        <v>-70145.15625</v>
      </c>
      <c r="J876" s="994">
        <v>18393.66015625</v>
      </c>
      <c r="K876" s="997">
        <v>18393.66</v>
      </c>
    </row>
    <row r="877" spans="1:11" ht="45" x14ac:dyDescent="0.25">
      <c r="A877" s="989" t="s">
        <v>187</v>
      </c>
      <c r="B877" s="993">
        <v>2018</v>
      </c>
      <c r="C877" s="989" t="s">
        <v>2999</v>
      </c>
      <c r="D877" s="989" t="s">
        <v>4892</v>
      </c>
      <c r="E877" s="989" t="s">
        <v>6018</v>
      </c>
      <c r="F877" s="994">
        <v>0</v>
      </c>
      <c r="G877" s="989" t="s">
        <v>657</v>
      </c>
      <c r="H877" s="994">
        <v>95322.2109375</v>
      </c>
      <c r="I877" s="994">
        <v>-13905.5302734375</v>
      </c>
      <c r="J877" s="994">
        <v>81416.6796875</v>
      </c>
      <c r="K877" s="997">
        <v>81416.679999999993</v>
      </c>
    </row>
    <row r="878" spans="1:11" ht="45" x14ac:dyDescent="0.25">
      <c r="A878" s="989" t="s">
        <v>187</v>
      </c>
      <c r="B878" s="993">
        <v>2018</v>
      </c>
      <c r="C878" s="989" t="s">
        <v>2999</v>
      </c>
      <c r="D878" s="989" t="s">
        <v>666</v>
      </c>
      <c r="E878" s="989" t="s">
        <v>1569</v>
      </c>
      <c r="F878" s="994">
        <v>86380.1</v>
      </c>
      <c r="G878" s="995"/>
      <c r="H878" s="996"/>
      <c r="I878" s="996"/>
      <c r="J878" s="994">
        <v>0</v>
      </c>
      <c r="K878" s="997">
        <v>86380.1</v>
      </c>
    </row>
    <row r="879" spans="1:11" ht="22.5" x14ac:dyDescent="0.25">
      <c r="A879" s="989" t="s">
        <v>440</v>
      </c>
      <c r="B879" s="993">
        <v>2018</v>
      </c>
      <c r="C879" s="989" t="s">
        <v>2991</v>
      </c>
      <c r="D879" s="989" t="s">
        <v>49</v>
      </c>
      <c r="E879" s="989" t="s">
        <v>931</v>
      </c>
      <c r="F879" s="994">
        <v>836355</v>
      </c>
      <c r="G879" s="989" t="s">
        <v>657</v>
      </c>
      <c r="H879" s="994">
        <v>819540</v>
      </c>
      <c r="I879" s="994">
        <v>16815</v>
      </c>
      <c r="J879" s="994">
        <v>836355</v>
      </c>
      <c r="K879" s="997">
        <v>836355</v>
      </c>
    </row>
    <row r="880" spans="1:11" ht="33.75" x14ac:dyDescent="0.25">
      <c r="A880" s="989" t="s">
        <v>440</v>
      </c>
      <c r="B880" s="993">
        <v>2018</v>
      </c>
      <c r="C880" s="989" t="s">
        <v>2992</v>
      </c>
      <c r="D880" s="989" t="s">
        <v>658</v>
      </c>
      <c r="E880" s="989" t="s">
        <v>932</v>
      </c>
      <c r="F880" s="994">
        <v>-24983</v>
      </c>
      <c r="G880" s="989" t="s">
        <v>657</v>
      </c>
      <c r="H880" s="994">
        <v>-24460</v>
      </c>
      <c r="I880" s="994">
        <v>-523</v>
      </c>
      <c r="J880" s="994">
        <v>-24983</v>
      </c>
      <c r="K880" s="997">
        <v>-24983</v>
      </c>
    </row>
    <row r="881" spans="1:11" ht="22.5" x14ac:dyDescent="0.25">
      <c r="A881" s="989" t="s">
        <v>440</v>
      </c>
      <c r="B881" s="993">
        <v>2018</v>
      </c>
      <c r="C881" s="989" t="s">
        <v>2993</v>
      </c>
      <c r="D881" s="989" t="s">
        <v>464</v>
      </c>
      <c r="E881" s="989" t="s">
        <v>933</v>
      </c>
      <c r="F881" s="994">
        <v>144940</v>
      </c>
      <c r="G881" s="995"/>
      <c r="H881" s="996"/>
      <c r="I881" s="996"/>
      <c r="J881" s="994">
        <v>0</v>
      </c>
      <c r="K881" s="997">
        <v>144940</v>
      </c>
    </row>
    <row r="882" spans="1:11" ht="33.75" x14ac:dyDescent="0.25">
      <c r="A882" s="989" t="s">
        <v>440</v>
      </c>
      <c r="B882" s="993">
        <v>2018</v>
      </c>
      <c r="C882" s="989" t="s">
        <v>2994</v>
      </c>
      <c r="D882" s="989" t="s">
        <v>46</v>
      </c>
      <c r="E882" s="989" t="s">
        <v>934</v>
      </c>
      <c r="F882" s="994">
        <v>-18252</v>
      </c>
      <c r="G882" s="989" t="s">
        <v>657</v>
      </c>
      <c r="H882" s="994">
        <v>-144</v>
      </c>
      <c r="I882" s="994">
        <v>-18108</v>
      </c>
      <c r="J882" s="994">
        <v>-18252</v>
      </c>
      <c r="K882" s="997">
        <v>-18252</v>
      </c>
    </row>
    <row r="883" spans="1:11" ht="22.5" x14ac:dyDescent="0.25">
      <c r="A883" s="989" t="s">
        <v>440</v>
      </c>
      <c r="B883" s="993">
        <v>2018</v>
      </c>
      <c r="C883" s="989" t="s">
        <v>2994</v>
      </c>
      <c r="D883" s="989" t="s">
        <v>2482</v>
      </c>
      <c r="E883" s="989" t="s">
        <v>934</v>
      </c>
      <c r="F883" s="994">
        <v>37</v>
      </c>
      <c r="G883" s="995"/>
      <c r="H883" s="996"/>
      <c r="I883" s="996"/>
      <c r="J883" s="994">
        <v>0</v>
      </c>
      <c r="K883" s="997">
        <v>37</v>
      </c>
    </row>
    <row r="884" spans="1:11" ht="22.5" x14ac:dyDescent="0.25">
      <c r="A884" s="989" t="s">
        <v>440</v>
      </c>
      <c r="B884" s="993">
        <v>2018</v>
      </c>
      <c r="C884" s="989" t="s">
        <v>2994</v>
      </c>
      <c r="D884" s="989" t="s">
        <v>2483</v>
      </c>
      <c r="E884" s="989" t="s">
        <v>934</v>
      </c>
      <c r="F884" s="994">
        <v>0</v>
      </c>
      <c r="G884" s="995"/>
      <c r="H884" s="996"/>
      <c r="I884" s="996"/>
      <c r="J884" s="994">
        <v>0</v>
      </c>
      <c r="K884" s="997">
        <v>0</v>
      </c>
    </row>
    <row r="885" spans="1:11" ht="22.5" x14ac:dyDescent="0.25">
      <c r="A885" s="989" t="s">
        <v>440</v>
      </c>
      <c r="B885" s="993">
        <v>2018</v>
      </c>
      <c r="C885" s="989" t="s">
        <v>2994</v>
      </c>
      <c r="D885" s="989" t="s">
        <v>2484</v>
      </c>
      <c r="E885" s="989" t="s">
        <v>934</v>
      </c>
      <c r="F885" s="994">
        <v>-2766</v>
      </c>
      <c r="G885" s="995"/>
      <c r="H885" s="996"/>
      <c r="I885" s="996"/>
      <c r="J885" s="994">
        <v>0</v>
      </c>
      <c r="K885" s="997">
        <v>-2766</v>
      </c>
    </row>
    <row r="886" spans="1:11" ht="22.5" x14ac:dyDescent="0.25">
      <c r="A886" s="989" t="s">
        <v>440</v>
      </c>
      <c r="B886" s="993">
        <v>2018</v>
      </c>
      <c r="C886" s="989" t="s">
        <v>2994</v>
      </c>
      <c r="D886" s="989" t="s">
        <v>2485</v>
      </c>
      <c r="E886" s="989" t="s">
        <v>934</v>
      </c>
      <c r="F886" s="994">
        <v>-76851</v>
      </c>
      <c r="G886" s="995"/>
      <c r="H886" s="996"/>
      <c r="I886" s="996"/>
      <c r="J886" s="994">
        <v>0</v>
      </c>
      <c r="K886" s="997">
        <v>-76851</v>
      </c>
    </row>
    <row r="887" spans="1:11" ht="33.75" x14ac:dyDescent="0.25">
      <c r="A887" s="989" t="s">
        <v>440</v>
      </c>
      <c r="B887" s="993">
        <v>2018</v>
      </c>
      <c r="C887" s="989" t="s">
        <v>2995</v>
      </c>
      <c r="D887" s="989" t="s">
        <v>47</v>
      </c>
      <c r="E887" s="989" t="s">
        <v>935</v>
      </c>
      <c r="F887" s="994">
        <v>-248547</v>
      </c>
      <c r="G887" s="989" t="s">
        <v>657</v>
      </c>
      <c r="H887" s="994">
        <v>-256516</v>
      </c>
      <c r="I887" s="994">
        <v>7969</v>
      </c>
      <c r="J887" s="994">
        <v>-248547</v>
      </c>
      <c r="K887" s="997">
        <v>-248547</v>
      </c>
    </row>
    <row r="888" spans="1:11" ht="33.75" x14ac:dyDescent="0.25">
      <c r="A888" s="989" t="s">
        <v>440</v>
      </c>
      <c r="B888" s="993">
        <v>2018</v>
      </c>
      <c r="C888" s="989" t="s">
        <v>2996</v>
      </c>
      <c r="D888" s="989" t="s">
        <v>48</v>
      </c>
      <c r="E888" s="989" t="s">
        <v>936</v>
      </c>
      <c r="F888" s="994">
        <v>-121025</v>
      </c>
      <c r="G888" s="989" t="s">
        <v>657</v>
      </c>
      <c r="H888" s="994">
        <v>-125978</v>
      </c>
      <c r="I888" s="994">
        <v>4953</v>
      </c>
      <c r="J888" s="994">
        <v>-121025</v>
      </c>
      <c r="K888" s="997">
        <v>-121025</v>
      </c>
    </row>
    <row r="889" spans="1:11" ht="33.75" x14ac:dyDescent="0.25">
      <c r="A889" s="989" t="s">
        <v>440</v>
      </c>
      <c r="B889" s="993">
        <v>2018</v>
      </c>
      <c r="C889" s="989" t="s">
        <v>2997</v>
      </c>
      <c r="D889" s="989" t="s">
        <v>50</v>
      </c>
      <c r="E889" s="989" t="s">
        <v>937</v>
      </c>
      <c r="F889" s="994">
        <v>-590507</v>
      </c>
      <c r="G889" s="989" t="s">
        <v>657</v>
      </c>
      <c r="H889" s="994">
        <v>-557375</v>
      </c>
      <c r="I889" s="994">
        <v>-33132</v>
      </c>
      <c r="J889" s="994">
        <v>-590507</v>
      </c>
      <c r="K889" s="997">
        <v>-590507</v>
      </c>
    </row>
    <row r="890" spans="1:11" ht="22.5" x14ac:dyDescent="0.25">
      <c r="A890" s="989" t="s">
        <v>440</v>
      </c>
      <c r="B890" s="993">
        <v>2018</v>
      </c>
      <c r="C890" s="989" t="s">
        <v>2998</v>
      </c>
      <c r="D890" s="989" t="s">
        <v>348</v>
      </c>
      <c r="E890" s="989" t="s">
        <v>938</v>
      </c>
      <c r="F890" s="994">
        <v>1362873</v>
      </c>
      <c r="G890" s="989" t="s">
        <v>657</v>
      </c>
      <c r="H890" s="994">
        <v>1337585</v>
      </c>
      <c r="I890" s="994">
        <v>25288</v>
      </c>
      <c r="J890" s="994">
        <v>1362873</v>
      </c>
      <c r="K890" s="997">
        <v>1362873</v>
      </c>
    </row>
    <row r="891" spans="1:11" ht="45" x14ac:dyDescent="0.25">
      <c r="A891" s="989" t="s">
        <v>440</v>
      </c>
      <c r="B891" s="993">
        <v>2018</v>
      </c>
      <c r="C891" s="989" t="s">
        <v>2999</v>
      </c>
      <c r="D891" s="989" t="s">
        <v>659</v>
      </c>
      <c r="E891" s="989" t="s">
        <v>1362</v>
      </c>
      <c r="F891" s="994">
        <v>0</v>
      </c>
      <c r="G891" s="989" t="s">
        <v>657</v>
      </c>
      <c r="H891" s="996"/>
      <c r="I891" s="996"/>
      <c r="J891" s="994">
        <v>0</v>
      </c>
      <c r="K891" s="997">
        <v>0</v>
      </c>
    </row>
    <row r="892" spans="1:11" ht="45" x14ac:dyDescent="0.25">
      <c r="A892" s="989" t="s">
        <v>440</v>
      </c>
      <c r="B892" s="993">
        <v>2018</v>
      </c>
      <c r="C892" s="989" t="s">
        <v>2999</v>
      </c>
      <c r="D892" s="989" t="s">
        <v>660</v>
      </c>
      <c r="E892" s="989" t="s">
        <v>1363</v>
      </c>
      <c r="F892" s="994">
        <v>0</v>
      </c>
      <c r="G892" s="989" t="s">
        <v>657</v>
      </c>
      <c r="H892" s="996"/>
      <c r="I892" s="996"/>
      <c r="J892" s="994">
        <v>0</v>
      </c>
      <c r="K892" s="997">
        <v>0</v>
      </c>
    </row>
    <row r="893" spans="1:11" ht="45" x14ac:dyDescent="0.25">
      <c r="A893" s="989" t="s">
        <v>440</v>
      </c>
      <c r="B893" s="993">
        <v>2018</v>
      </c>
      <c r="C893" s="989" t="s">
        <v>2999</v>
      </c>
      <c r="D893" s="989" t="s">
        <v>661</v>
      </c>
      <c r="E893" s="989" t="s">
        <v>1364</v>
      </c>
      <c r="F893" s="994">
        <v>0</v>
      </c>
      <c r="G893" s="989" t="s">
        <v>657</v>
      </c>
      <c r="H893" s="996"/>
      <c r="I893" s="994">
        <v>901</v>
      </c>
      <c r="J893" s="994">
        <v>901</v>
      </c>
      <c r="K893" s="997">
        <v>901</v>
      </c>
    </row>
    <row r="894" spans="1:11" ht="45" x14ac:dyDescent="0.25">
      <c r="A894" s="989" t="s">
        <v>440</v>
      </c>
      <c r="B894" s="993">
        <v>2018</v>
      </c>
      <c r="C894" s="989" t="s">
        <v>2999</v>
      </c>
      <c r="D894" s="989" t="s">
        <v>662</v>
      </c>
      <c r="E894" s="989" t="s">
        <v>1365</v>
      </c>
      <c r="F894" s="994">
        <v>0</v>
      </c>
      <c r="G894" s="989" t="s">
        <v>657</v>
      </c>
      <c r="H894" s="996"/>
      <c r="I894" s="994">
        <v>-62</v>
      </c>
      <c r="J894" s="994">
        <v>-62</v>
      </c>
      <c r="K894" s="997">
        <v>-62</v>
      </c>
    </row>
    <row r="895" spans="1:11" ht="45" x14ac:dyDescent="0.25">
      <c r="A895" s="989" t="s">
        <v>440</v>
      </c>
      <c r="B895" s="993">
        <v>2018</v>
      </c>
      <c r="C895" s="989" t="s">
        <v>2999</v>
      </c>
      <c r="D895" s="989" t="s">
        <v>663</v>
      </c>
      <c r="E895" s="989" t="s">
        <v>1366</v>
      </c>
      <c r="F895" s="994">
        <v>0</v>
      </c>
      <c r="G895" s="989" t="s">
        <v>657</v>
      </c>
      <c r="H895" s="994">
        <v>-84903</v>
      </c>
      <c r="I895" s="994">
        <v>12537</v>
      </c>
      <c r="J895" s="994">
        <v>-72366</v>
      </c>
      <c r="K895" s="997">
        <v>-72366</v>
      </c>
    </row>
    <row r="896" spans="1:11" ht="45" x14ac:dyDescent="0.25">
      <c r="A896" s="989" t="s">
        <v>440</v>
      </c>
      <c r="B896" s="993">
        <v>2018</v>
      </c>
      <c r="C896" s="989" t="s">
        <v>2999</v>
      </c>
      <c r="D896" s="989" t="s">
        <v>664</v>
      </c>
      <c r="E896" s="989" t="s">
        <v>1367</v>
      </c>
      <c r="F896" s="994">
        <v>0</v>
      </c>
      <c r="G896" s="989" t="s">
        <v>657</v>
      </c>
      <c r="H896" s="996"/>
      <c r="I896" s="996"/>
      <c r="J896" s="994">
        <v>0</v>
      </c>
      <c r="K896" s="997">
        <v>0</v>
      </c>
    </row>
    <row r="897" spans="1:11" ht="45" x14ac:dyDescent="0.25">
      <c r="A897" s="989" t="s">
        <v>440</v>
      </c>
      <c r="B897" s="993">
        <v>2018</v>
      </c>
      <c r="C897" s="989" t="s">
        <v>2999</v>
      </c>
      <c r="D897" s="989" t="s">
        <v>665</v>
      </c>
      <c r="E897" s="989" t="s">
        <v>1368</v>
      </c>
      <c r="F897" s="994">
        <v>0</v>
      </c>
      <c r="G897" s="989" t="s">
        <v>657</v>
      </c>
      <c r="H897" s="996"/>
      <c r="I897" s="996"/>
      <c r="J897" s="994">
        <v>0</v>
      </c>
      <c r="K897" s="997">
        <v>0</v>
      </c>
    </row>
    <row r="898" spans="1:11" ht="45" x14ac:dyDescent="0.25">
      <c r="A898" s="989" t="s">
        <v>440</v>
      </c>
      <c r="B898" s="993">
        <v>2018</v>
      </c>
      <c r="C898" s="989" t="s">
        <v>2999</v>
      </c>
      <c r="D898" s="989" t="s">
        <v>1870</v>
      </c>
      <c r="E898" s="989" t="s">
        <v>2318</v>
      </c>
      <c r="F898" s="994">
        <v>0</v>
      </c>
      <c r="G898" s="989" t="s">
        <v>657</v>
      </c>
      <c r="H898" s="996"/>
      <c r="I898" s="996"/>
      <c r="J898" s="994">
        <v>0</v>
      </c>
      <c r="K898" s="997">
        <v>0</v>
      </c>
    </row>
    <row r="899" spans="1:11" ht="45" x14ac:dyDescent="0.25">
      <c r="A899" s="989" t="s">
        <v>440</v>
      </c>
      <c r="B899" s="993">
        <v>2018</v>
      </c>
      <c r="C899" s="989" t="s">
        <v>2999</v>
      </c>
      <c r="D899" s="989" t="s">
        <v>2486</v>
      </c>
      <c r="E899" s="989" t="s">
        <v>2522</v>
      </c>
      <c r="F899" s="994">
        <v>0</v>
      </c>
      <c r="G899" s="989" t="s">
        <v>657</v>
      </c>
      <c r="H899" s="994">
        <v>82602</v>
      </c>
      <c r="I899" s="994">
        <v>-80823</v>
      </c>
      <c r="J899" s="994">
        <v>1779</v>
      </c>
      <c r="K899" s="997">
        <v>1779</v>
      </c>
    </row>
    <row r="900" spans="1:11" ht="45" x14ac:dyDescent="0.25">
      <c r="A900" s="989" t="s">
        <v>440</v>
      </c>
      <c r="B900" s="993">
        <v>2018</v>
      </c>
      <c r="C900" s="989" t="s">
        <v>2999</v>
      </c>
      <c r="D900" s="989" t="s">
        <v>4892</v>
      </c>
      <c r="E900" s="989" t="s">
        <v>6019</v>
      </c>
      <c r="F900" s="994">
        <v>0</v>
      </c>
      <c r="G900" s="989" t="s">
        <v>657</v>
      </c>
      <c r="H900" s="994">
        <v>-600482</v>
      </c>
      <c r="I900" s="994">
        <v>-56398</v>
      </c>
      <c r="J900" s="994">
        <v>-656880</v>
      </c>
      <c r="K900" s="997">
        <v>-656880</v>
      </c>
    </row>
    <row r="901" spans="1:11" ht="45" x14ac:dyDescent="0.25">
      <c r="A901" s="989" t="s">
        <v>440</v>
      </c>
      <c r="B901" s="993">
        <v>2018</v>
      </c>
      <c r="C901" s="989" t="s">
        <v>2999</v>
      </c>
      <c r="D901" s="989" t="s">
        <v>666</v>
      </c>
      <c r="E901" s="989" t="s">
        <v>1570</v>
      </c>
      <c r="F901" s="994">
        <v>-726628</v>
      </c>
      <c r="G901" s="995"/>
      <c r="H901" s="996"/>
      <c r="I901" s="996"/>
      <c r="J901" s="994">
        <v>0</v>
      </c>
      <c r="K901" s="997">
        <v>-726628</v>
      </c>
    </row>
    <row r="902" spans="1:11" ht="22.5" x14ac:dyDescent="0.25">
      <c r="A902" s="989" t="s">
        <v>4930</v>
      </c>
      <c r="B902" s="993">
        <v>2018</v>
      </c>
      <c r="C902" s="989" t="s">
        <v>2991</v>
      </c>
      <c r="D902" s="989" t="s">
        <v>49</v>
      </c>
      <c r="E902" s="989" t="s">
        <v>4931</v>
      </c>
      <c r="F902" s="994">
        <v>666674.55000000005</v>
      </c>
      <c r="G902" s="989" t="s">
        <v>657</v>
      </c>
      <c r="H902" s="994">
        <v>657362.5</v>
      </c>
      <c r="I902" s="994">
        <v>9312.0302734375</v>
      </c>
      <c r="J902" s="994">
        <v>666674.5625</v>
      </c>
      <c r="K902" s="997">
        <v>666674.55000000005</v>
      </c>
    </row>
    <row r="903" spans="1:11" ht="33.75" x14ac:dyDescent="0.25">
      <c r="A903" s="989" t="s">
        <v>4930</v>
      </c>
      <c r="B903" s="993">
        <v>2018</v>
      </c>
      <c r="C903" s="989" t="s">
        <v>2992</v>
      </c>
      <c r="D903" s="989" t="s">
        <v>658</v>
      </c>
      <c r="E903" s="989" t="s">
        <v>4932</v>
      </c>
      <c r="F903" s="994">
        <v>39717.22</v>
      </c>
      <c r="G903" s="989" t="s">
        <v>657</v>
      </c>
      <c r="H903" s="994">
        <v>38215.80859375</v>
      </c>
      <c r="I903" s="994">
        <v>1501.41003417969</v>
      </c>
      <c r="J903" s="994">
        <v>39717.21875</v>
      </c>
      <c r="K903" s="997">
        <v>39717.22</v>
      </c>
    </row>
    <row r="904" spans="1:11" ht="22.5" x14ac:dyDescent="0.25">
      <c r="A904" s="989" t="s">
        <v>4930</v>
      </c>
      <c r="B904" s="993">
        <v>2018</v>
      </c>
      <c r="C904" s="989" t="s">
        <v>2993</v>
      </c>
      <c r="D904" s="989" t="s">
        <v>464</v>
      </c>
      <c r="E904" s="989" t="s">
        <v>4933</v>
      </c>
      <c r="F904" s="994">
        <v>1366.73</v>
      </c>
      <c r="G904" s="995"/>
      <c r="H904" s="996"/>
      <c r="I904" s="996"/>
      <c r="J904" s="994">
        <v>0</v>
      </c>
      <c r="K904" s="997">
        <v>1366.73</v>
      </c>
    </row>
    <row r="905" spans="1:11" ht="33.75" x14ac:dyDescent="0.25">
      <c r="A905" s="989" t="s">
        <v>4930</v>
      </c>
      <c r="B905" s="993">
        <v>2018</v>
      </c>
      <c r="C905" s="989" t="s">
        <v>2994</v>
      </c>
      <c r="D905" s="989" t="s">
        <v>46</v>
      </c>
      <c r="E905" s="989" t="s">
        <v>4934</v>
      </c>
      <c r="F905" s="994">
        <v>-2682862.84</v>
      </c>
      <c r="G905" s="989" t="s">
        <v>657</v>
      </c>
      <c r="H905" s="994">
        <v>-2629181</v>
      </c>
      <c r="I905" s="994">
        <v>-53681.80859375</v>
      </c>
      <c r="J905" s="994">
        <v>-2682862.75</v>
      </c>
      <c r="K905" s="997">
        <v>-2682862.84</v>
      </c>
    </row>
    <row r="906" spans="1:11" ht="22.5" x14ac:dyDescent="0.25">
      <c r="A906" s="989" t="s">
        <v>4930</v>
      </c>
      <c r="B906" s="993">
        <v>2018</v>
      </c>
      <c r="C906" s="989" t="s">
        <v>2994</v>
      </c>
      <c r="D906" s="989" t="s">
        <v>2482</v>
      </c>
      <c r="E906" s="989" t="s">
        <v>4934</v>
      </c>
      <c r="F906" s="994">
        <v>0</v>
      </c>
      <c r="G906" s="995"/>
      <c r="H906" s="996"/>
      <c r="I906" s="996"/>
      <c r="J906" s="994">
        <v>0</v>
      </c>
      <c r="K906" s="997">
        <v>0</v>
      </c>
    </row>
    <row r="907" spans="1:11" ht="22.5" x14ac:dyDescent="0.25">
      <c r="A907" s="989" t="s">
        <v>4930</v>
      </c>
      <c r="B907" s="993">
        <v>2018</v>
      </c>
      <c r="C907" s="989" t="s">
        <v>2994</v>
      </c>
      <c r="D907" s="989" t="s">
        <v>2483</v>
      </c>
      <c r="E907" s="989" t="s">
        <v>4934</v>
      </c>
      <c r="F907" s="994">
        <v>1384.57</v>
      </c>
      <c r="G907" s="995"/>
      <c r="H907" s="996"/>
      <c r="I907" s="996"/>
      <c r="J907" s="994">
        <v>0</v>
      </c>
      <c r="K907" s="997">
        <v>1384.57</v>
      </c>
    </row>
    <row r="908" spans="1:11" ht="22.5" x14ac:dyDescent="0.25">
      <c r="A908" s="989" t="s">
        <v>4930</v>
      </c>
      <c r="B908" s="993">
        <v>2018</v>
      </c>
      <c r="C908" s="989" t="s">
        <v>2994</v>
      </c>
      <c r="D908" s="989" t="s">
        <v>2484</v>
      </c>
      <c r="E908" s="989" t="s">
        <v>4934</v>
      </c>
      <c r="F908" s="994">
        <v>3796.68</v>
      </c>
      <c r="G908" s="995"/>
      <c r="H908" s="996"/>
      <c r="I908" s="996"/>
      <c r="J908" s="994">
        <v>0</v>
      </c>
      <c r="K908" s="997">
        <v>3796.68</v>
      </c>
    </row>
    <row r="909" spans="1:11" ht="22.5" x14ac:dyDescent="0.25">
      <c r="A909" s="989" t="s">
        <v>4930</v>
      </c>
      <c r="B909" s="993">
        <v>2018</v>
      </c>
      <c r="C909" s="989" t="s">
        <v>2994</v>
      </c>
      <c r="D909" s="989" t="s">
        <v>2485</v>
      </c>
      <c r="E909" s="989" t="s">
        <v>4934</v>
      </c>
      <c r="F909" s="994">
        <v>487035.76</v>
      </c>
      <c r="G909" s="995"/>
      <c r="H909" s="996"/>
      <c r="I909" s="996"/>
      <c r="J909" s="994">
        <v>0</v>
      </c>
      <c r="K909" s="997">
        <v>487035.76</v>
      </c>
    </row>
    <row r="910" spans="1:11" ht="33.75" x14ac:dyDescent="0.25">
      <c r="A910" s="989" t="s">
        <v>4930</v>
      </c>
      <c r="B910" s="993">
        <v>2018</v>
      </c>
      <c r="C910" s="989" t="s">
        <v>2995</v>
      </c>
      <c r="D910" s="989" t="s">
        <v>47</v>
      </c>
      <c r="E910" s="989" t="s">
        <v>4935</v>
      </c>
      <c r="F910" s="994">
        <v>-471988.14</v>
      </c>
      <c r="G910" s="989" t="s">
        <v>657</v>
      </c>
      <c r="H910" s="994">
        <v>-476132.3125</v>
      </c>
      <c r="I910" s="994">
        <v>4144.169921875</v>
      </c>
      <c r="J910" s="994">
        <v>-471988.125</v>
      </c>
      <c r="K910" s="997">
        <v>-471988.14</v>
      </c>
    </row>
    <row r="911" spans="1:11" ht="33.75" x14ac:dyDescent="0.25">
      <c r="A911" s="989" t="s">
        <v>4930</v>
      </c>
      <c r="B911" s="993">
        <v>2018</v>
      </c>
      <c r="C911" s="989" t="s">
        <v>2996</v>
      </c>
      <c r="D911" s="989" t="s">
        <v>48</v>
      </c>
      <c r="E911" s="989" t="s">
        <v>4936</v>
      </c>
      <c r="F911" s="994">
        <v>452950.86</v>
      </c>
      <c r="G911" s="989" t="s">
        <v>657</v>
      </c>
      <c r="H911" s="994">
        <v>426003.84375</v>
      </c>
      <c r="I911" s="994">
        <v>26947.029296875</v>
      </c>
      <c r="J911" s="994">
        <v>452950.875</v>
      </c>
      <c r="K911" s="997">
        <v>452950.86</v>
      </c>
    </row>
    <row r="912" spans="1:11" ht="33.75" x14ac:dyDescent="0.25">
      <c r="A912" s="989" t="s">
        <v>4930</v>
      </c>
      <c r="B912" s="993">
        <v>2018</v>
      </c>
      <c r="C912" s="989" t="s">
        <v>2997</v>
      </c>
      <c r="D912" s="989" t="s">
        <v>50</v>
      </c>
      <c r="E912" s="989" t="s">
        <v>4937</v>
      </c>
      <c r="F912" s="994">
        <v>2667104.98</v>
      </c>
      <c r="G912" s="989" t="s">
        <v>657</v>
      </c>
      <c r="H912" s="994">
        <v>2575039.75</v>
      </c>
      <c r="I912" s="994">
        <v>92065.2421875</v>
      </c>
      <c r="J912" s="994">
        <v>2667105</v>
      </c>
      <c r="K912" s="997">
        <v>2667104.98</v>
      </c>
    </row>
    <row r="913" spans="1:11" ht="22.5" x14ac:dyDescent="0.25">
      <c r="A913" s="989" t="s">
        <v>4930</v>
      </c>
      <c r="B913" s="993">
        <v>2018</v>
      </c>
      <c r="C913" s="989" t="s">
        <v>2998</v>
      </c>
      <c r="D913" s="989" t="s">
        <v>348</v>
      </c>
      <c r="E913" s="989" t="s">
        <v>4938</v>
      </c>
      <c r="F913" s="994">
        <v>1737123.82</v>
      </c>
      <c r="G913" s="989" t="s">
        <v>657</v>
      </c>
      <c r="H913" s="994">
        <v>1718574</v>
      </c>
      <c r="I913" s="994">
        <v>18549.8203125</v>
      </c>
      <c r="J913" s="994">
        <v>1737123.875</v>
      </c>
      <c r="K913" s="997">
        <v>1737123.82</v>
      </c>
    </row>
    <row r="914" spans="1:11" ht="45" x14ac:dyDescent="0.25">
      <c r="A914" s="989" t="s">
        <v>4930</v>
      </c>
      <c r="B914" s="993">
        <v>2018</v>
      </c>
      <c r="C914" s="989" t="s">
        <v>2999</v>
      </c>
      <c r="D914" s="989" t="s">
        <v>659</v>
      </c>
      <c r="E914" s="989" t="s">
        <v>4939</v>
      </c>
      <c r="F914" s="994">
        <v>0</v>
      </c>
      <c r="G914" s="989" t="s">
        <v>657</v>
      </c>
      <c r="H914" s="994">
        <v>-270622.96875</v>
      </c>
      <c r="I914" s="996"/>
      <c r="J914" s="994">
        <v>-270622.96875</v>
      </c>
      <c r="K914" s="997">
        <v>-270622.98</v>
      </c>
    </row>
    <row r="915" spans="1:11" ht="45" x14ac:dyDescent="0.25">
      <c r="A915" s="989" t="s">
        <v>4930</v>
      </c>
      <c r="B915" s="993">
        <v>2018</v>
      </c>
      <c r="C915" s="989" t="s">
        <v>2999</v>
      </c>
      <c r="D915" s="989" t="s">
        <v>660</v>
      </c>
      <c r="E915" s="989" t="s">
        <v>4940</v>
      </c>
      <c r="F915" s="994">
        <v>0</v>
      </c>
      <c r="G915" s="989" t="s">
        <v>657</v>
      </c>
      <c r="H915" s="996"/>
      <c r="I915" s="996"/>
      <c r="J915" s="994">
        <v>0</v>
      </c>
      <c r="K915" s="997">
        <v>0</v>
      </c>
    </row>
    <row r="916" spans="1:11" ht="45" x14ac:dyDescent="0.25">
      <c r="A916" s="989" t="s">
        <v>4930</v>
      </c>
      <c r="B916" s="993">
        <v>2018</v>
      </c>
      <c r="C916" s="989" t="s">
        <v>2999</v>
      </c>
      <c r="D916" s="989" t="s">
        <v>661</v>
      </c>
      <c r="E916" s="989" t="s">
        <v>4941</v>
      </c>
      <c r="F916" s="994">
        <v>0</v>
      </c>
      <c r="G916" s="989" t="s">
        <v>657</v>
      </c>
      <c r="H916" s="994">
        <v>-459694.84375</v>
      </c>
      <c r="I916" s="994">
        <v>8771.2197265625</v>
      </c>
      <c r="J916" s="994">
        <v>-450923.625</v>
      </c>
      <c r="K916" s="997">
        <v>-450923.63</v>
      </c>
    </row>
    <row r="917" spans="1:11" ht="45" x14ac:dyDescent="0.25">
      <c r="A917" s="989" t="s">
        <v>4930</v>
      </c>
      <c r="B917" s="993">
        <v>2018</v>
      </c>
      <c r="C917" s="989" t="s">
        <v>2999</v>
      </c>
      <c r="D917" s="989" t="s">
        <v>662</v>
      </c>
      <c r="E917" s="989" t="s">
        <v>4942</v>
      </c>
      <c r="F917" s="994">
        <v>0</v>
      </c>
      <c r="G917" s="989" t="s">
        <v>657</v>
      </c>
      <c r="H917" s="996"/>
      <c r="I917" s="996"/>
      <c r="J917" s="994">
        <v>0</v>
      </c>
      <c r="K917" s="997">
        <v>0</v>
      </c>
    </row>
    <row r="918" spans="1:11" ht="45" x14ac:dyDescent="0.25">
      <c r="A918" s="989" t="s">
        <v>4930</v>
      </c>
      <c r="B918" s="993">
        <v>2018</v>
      </c>
      <c r="C918" s="989" t="s">
        <v>2999</v>
      </c>
      <c r="D918" s="989" t="s">
        <v>663</v>
      </c>
      <c r="E918" s="989" t="s">
        <v>4943</v>
      </c>
      <c r="F918" s="994">
        <v>0</v>
      </c>
      <c r="G918" s="989" t="s">
        <v>657</v>
      </c>
      <c r="H918" s="994">
        <v>228913.703125</v>
      </c>
      <c r="I918" s="994">
        <v>-16095.400390625</v>
      </c>
      <c r="J918" s="994">
        <v>212818.3125</v>
      </c>
      <c r="K918" s="997">
        <v>212818.31</v>
      </c>
    </row>
    <row r="919" spans="1:11" ht="45" x14ac:dyDescent="0.25">
      <c r="A919" s="989" t="s">
        <v>4930</v>
      </c>
      <c r="B919" s="993">
        <v>2018</v>
      </c>
      <c r="C919" s="989" t="s">
        <v>2999</v>
      </c>
      <c r="D919" s="989" t="s">
        <v>664</v>
      </c>
      <c r="E919" s="989" t="s">
        <v>4944</v>
      </c>
      <c r="F919" s="994">
        <v>0</v>
      </c>
      <c r="G919" s="989" t="s">
        <v>657</v>
      </c>
      <c r="H919" s="996"/>
      <c r="I919" s="996"/>
      <c r="J919" s="994">
        <v>0</v>
      </c>
      <c r="K919" s="997">
        <v>0</v>
      </c>
    </row>
    <row r="920" spans="1:11" ht="45" x14ac:dyDescent="0.25">
      <c r="A920" s="989" t="s">
        <v>4930</v>
      </c>
      <c r="B920" s="993">
        <v>2018</v>
      </c>
      <c r="C920" s="989" t="s">
        <v>2999</v>
      </c>
      <c r="D920" s="989" t="s">
        <v>665</v>
      </c>
      <c r="E920" s="989" t="s">
        <v>4945</v>
      </c>
      <c r="F920" s="994">
        <v>0</v>
      </c>
      <c r="G920" s="989" t="s">
        <v>657</v>
      </c>
      <c r="H920" s="996"/>
      <c r="I920" s="996"/>
      <c r="J920" s="994">
        <v>0</v>
      </c>
      <c r="K920" s="997">
        <v>0</v>
      </c>
    </row>
    <row r="921" spans="1:11" ht="45" x14ac:dyDescent="0.25">
      <c r="A921" s="989" t="s">
        <v>4930</v>
      </c>
      <c r="B921" s="993">
        <v>2018</v>
      </c>
      <c r="C921" s="989" t="s">
        <v>2999</v>
      </c>
      <c r="D921" s="989" t="s">
        <v>1870</v>
      </c>
      <c r="E921" s="989" t="s">
        <v>4946</v>
      </c>
      <c r="F921" s="994">
        <v>0</v>
      </c>
      <c r="G921" s="989" t="s">
        <v>657</v>
      </c>
      <c r="H921" s="996"/>
      <c r="I921" s="996"/>
      <c r="J921" s="994">
        <v>0</v>
      </c>
      <c r="K921" s="997">
        <v>0</v>
      </c>
    </row>
    <row r="922" spans="1:11" ht="45" x14ac:dyDescent="0.25">
      <c r="A922" s="989" t="s">
        <v>4930</v>
      </c>
      <c r="B922" s="993">
        <v>2018</v>
      </c>
      <c r="C922" s="989" t="s">
        <v>2999</v>
      </c>
      <c r="D922" s="989" t="s">
        <v>2486</v>
      </c>
      <c r="E922" s="989" t="s">
        <v>4947</v>
      </c>
      <c r="F922" s="994">
        <v>0</v>
      </c>
      <c r="G922" s="989" t="s">
        <v>657</v>
      </c>
      <c r="H922" s="996"/>
      <c r="I922" s="996"/>
      <c r="J922" s="994">
        <v>0</v>
      </c>
      <c r="K922" s="997">
        <v>0</v>
      </c>
    </row>
    <row r="923" spans="1:11" ht="45" x14ac:dyDescent="0.25">
      <c r="A923" s="989" t="s">
        <v>4930</v>
      </c>
      <c r="B923" s="993">
        <v>2018</v>
      </c>
      <c r="C923" s="989" t="s">
        <v>2999</v>
      </c>
      <c r="D923" s="989" t="s">
        <v>4892</v>
      </c>
      <c r="E923" s="989" t="s">
        <v>6020</v>
      </c>
      <c r="F923" s="994">
        <v>0</v>
      </c>
      <c r="G923" s="989" t="s">
        <v>657</v>
      </c>
      <c r="H923" s="996"/>
      <c r="I923" s="996"/>
      <c r="J923" s="994">
        <v>0</v>
      </c>
      <c r="K923" s="997">
        <v>0</v>
      </c>
    </row>
    <row r="924" spans="1:11" ht="45" x14ac:dyDescent="0.25">
      <c r="A924" s="989" t="s">
        <v>4930</v>
      </c>
      <c r="B924" s="993">
        <v>2018</v>
      </c>
      <c r="C924" s="989" t="s">
        <v>2999</v>
      </c>
      <c r="D924" s="989" t="s">
        <v>666</v>
      </c>
      <c r="E924" s="989" t="s">
        <v>4948</v>
      </c>
      <c r="F924" s="994">
        <v>-508728.3</v>
      </c>
      <c r="G924" s="995"/>
      <c r="H924" s="996"/>
      <c r="I924" s="996"/>
      <c r="J924" s="994">
        <v>0</v>
      </c>
      <c r="K924" s="997">
        <v>-508728.3</v>
      </c>
    </row>
    <row r="925" spans="1:11" ht="22.5" x14ac:dyDescent="0.25">
      <c r="A925" s="989" t="s">
        <v>427</v>
      </c>
      <c r="B925" s="993">
        <v>2018</v>
      </c>
      <c r="C925" s="989" t="s">
        <v>2991</v>
      </c>
      <c r="D925" s="989" t="s">
        <v>49</v>
      </c>
      <c r="E925" s="989" t="s">
        <v>939</v>
      </c>
      <c r="F925" s="994">
        <v>2138048.09</v>
      </c>
      <c r="G925" s="989" t="s">
        <v>657</v>
      </c>
      <c r="H925" s="994">
        <v>2104298</v>
      </c>
      <c r="I925" s="994">
        <v>33750.0390625</v>
      </c>
      <c r="J925" s="994">
        <v>2138048</v>
      </c>
      <c r="K925" s="997">
        <v>2138048.09</v>
      </c>
    </row>
    <row r="926" spans="1:11" ht="33.75" x14ac:dyDescent="0.25">
      <c r="A926" s="989" t="s">
        <v>427</v>
      </c>
      <c r="B926" s="993">
        <v>2018</v>
      </c>
      <c r="C926" s="989" t="s">
        <v>2992</v>
      </c>
      <c r="D926" s="989" t="s">
        <v>658</v>
      </c>
      <c r="E926" s="989" t="s">
        <v>940</v>
      </c>
      <c r="F926" s="994">
        <v>-59046.39</v>
      </c>
      <c r="G926" s="989" t="s">
        <v>657</v>
      </c>
      <c r="H926" s="994">
        <v>-57968.26171875</v>
      </c>
      <c r="I926" s="994">
        <v>-1078.13000488281</v>
      </c>
      <c r="J926" s="994">
        <v>-59046.390625</v>
      </c>
      <c r="K926" s="997">
        <v>-59046.39</v>
      </c>
    </row>
    <row r="927" spans="1:11" ht="22.5" x14ac:dyDescent="0.25">
      <c r="A927" s="989" t="s">
        <v>427</v>
      </c>
      <c r="B927" s="993">
        <v>2018</v>
      </c>
      <c r="C927" s="989" t="s">
        <v>2993</v>
      </c>
      <c r="D927" s="989" t="s">
        <v>464</v>
      </c>
      <c r="E927" s="989" t="s">
        <v>941</v>
      </c>
      <c r="F927" s="994">
        <v>0</v>
      </c>
      <c r="G927" s="995"/>
      <c r="H927" s="996"/>
      <c r="I927" s="996"/>
      <c r="J927" s="994">
        <v>0</v>
      </c>
      <c r="K927" s="997">
        <v>0</v>
      </c>
    </row>
    <row r="928" spans="1:11" ht="33.75" x14ac:dyDescent="0.25">
      <c r="A928" s="989" t="s">
        <v>427</v>
      </c>
      <c r="B928" s="993">
        <v>2018</v>
      </c>
      <c r="C928" s="989" t="s">
        <v>2994</v>
      </c>
      <c r="D928" s="989" t="s">
        <v>46</v>
      </c>
      <c r="E928" s="989" t="s">
        <v>942</v>
      </c>
      <c r="F928" s="994">
        <v>-5433685.25</v>
      </c>
      <c r="G928" s="989" t="s">
        <v>657</v>
      </c>
      <c r="H928" s="994">
        <v>-5314858.5</v>
      </c>
      <c r="I928" s="994">
        <v>-118826.7890625</v>
      </c>
      <c r="J928" s="994">
        <v>-5433685</v>
      </c>
      <c r="K928" s="997">
        <v>-5433685.25</v>
      </c>
    </row>
    <row r="929" spans="1:11" ht="22.5" x14ac:dyDescent="0.25">
      <c r="A929" s="989" t="s">
        <v>427</v>
      </c>
      <c r="B929" s="993">
        <v>2018</v>
      </c>
      <c r="C929" s="989" t="s">
        <v>2994</v>
      </c>
      <c r="D929" s="989" t="s">
        <v>2482</v>
      </c>
      <c r="E929" s="989" t="s">
        <v>942</v>
      </c>
      <c r="F929" s="994">
        <v>0</v>
      </c>
      <c r="G929" s="995"/>
      <c r="H929" s="996"/>
      <c r="I929" s="996"/>
      <c r="J929" s="994">
        <v>0</v>
      </c>
      <c r="K929" s="997">
        <v>0</v>
      </c>
    </row>
    <row r="930" spans="1:11" ht="22.5" x14ac:dyDescent="0.25">
      <c r="A930" s="989" t="s">
        <v>427</v>
      </c>
      <c r="B930" s="993">
        <v>2018</v>
      </c>
      <c r="C930" s="989" t="s">
        <v>2994</v>
      </c>
      <c r="D930" s="989" t="s">
        <v>2483</v>
      </c>
      <c r="E930" s="989" t="s">
        <v>942</v>
      </c>
      <c r="F930" s="994">
        <v>0</v>
      </c>
      <c r="G930" s="995"/>
      <c r="H930" s="996"/>
      <c r="I930" s="996"/>
      <c r="J930" s="994">
        <v>0</v>
      </c>
      <c r="K930" s="997">
        <v>0</v>
      </c>
    </row>
    <row r="931" spans="1:11" ht="22.5" x14ac:dyDescent="0.25">
      <c r="A931" s="989" t="s">
        <v>427</v>
      </c>
      <c r="B931" s="993">
        <v>2018</v>
      </c>
      <c r="C931" s="989" t="s">
        <v>2994</v>
      </c>
      <c r="D931" s="989" t="s">
        <v>2484</v>
      </c>
      <c r="E931" s="989" t="s">
        <v>942</v>
      </c>
      <c r="F931" s="994">
        <v>7140.45</v>
      </c>
      <c r="G931" s="995"/>
      <c r="H931" s="996"/>
      <c r="I931" s="996"/>
      <c r="J931" s="994">
        <v>0</v>
      </c>
      <c r="K931" s="997">
        <v>7140.45</v>
      </c>
    </row>
    <row r="932" spans="1:11" ht="22.5" x14ac:dyDescent="0.25">
      <c r="A932" s="989" t="s">
        <v>427</v>
      </c>
      <c r="B932" s="993">
        <v>2018</v>
      </c>
      <c r="C932" s="989" t="s">
        <v>2994</v>
      </c>
      <c r="D932" s="989" t="s">
        <v>2485</v>
      </c>
      <c r="E932" s="989" t="s">
        <v>942</v>
      </c>
      <c r="F932" s="994">
        <v>260201.4</v>
      </c>
      <c r="G932" s="995"/>
      <c r="H932" s="996"/>
      <c r="I932" s="996"/>
      <c r="J932" s="994">
        <v>0</v>
      </c>
      <c r="K932" s="997">
        <v>260201.4</v>
      </c>
    </row>
    <row r="933" spans="1:11" ht="33.75" x14ac:dyDescent="0.25">
      <c r="A933" s="989" t="s">
        <v>427</v>
      </c>
      <c r="B933" s="993">
        <v>2018</v>
      </c>
      <c r="C933" s="989" t="s">
        <v>2995</v>
      </c>
      <c r="D933" s="989" t="s">
        <v>47</v>
      </c>
      <c r="E933" s="989" t="s">
        <v>943</v>
      </c>
      <c r="F933" s="994">
        <v>331324.96999999997</v>
      </c>
      <c r="G933" s="989" t="s">
        <v>657</v>
      </c>
      <c r="H933" s="994">
        <v>311358.78125</v>
      </c>
      <c r="I933" s="994">
        <v>19966.19921875</v>
      </c>
      <c r="J933" s="994">
        <v>331324.96875</v>
      </c>
      <c r="K933" s="997">
        <v>331324.96999999997</v>
      </c>
    </row>
    <row r="934" spans="1:11" ht="33.75" x14ac:dyDescent="0.25">
      <c r="A934" s="989" t="s">
        <v>427</v>
      </c>
      <c r="B934" s="993">
        <v>2018</v>
      </c>
      <c r="C934" s="989" t="s">
        <v>2996</v>
      </c>
      <c r="D934" s="989" t="s">
        <v>48</v>
      </c>
      <c r="E934" s="989" t="s">
        <v>944</v>
      </c>
      <c r="F934" s="994">
        <v>-870741.94</v>
      </c>
      <c r="G934" s="989" t="s">
        <v>657</v>
      </c>
      <c r="H934" s="994">
        <v>-865560.3125</v>
      </c>
      <c r="I934" s="994">
        <v>-5181.60009765625</v>
      </c>
      <c r="J934" s="994">
        <v>-870741.9375</v>
      </c>
      <c r="K934" s="997">
        <v>-870741.94</v>
      </c>
    </row>
    <row r="935" spans="1:11" ht="33.75" x14ac:dyDescent="0.25">
      <c r="A935" s="989" t="s">
        <v>427</v>
      </c>
      <c r="B935" s="993">
        <v>2018</v>
      </c>
      <c r="C935" s="989" t="s">
        <v>2997</v>
      </c>
      <c r="D935" s="989" t="s">
        <v>50</v>
      </c>
      <c r="E935" s="989" t="s">
        <v>945</v>
      </c>
      <c r="F935" s="994">
        <v>-1742301.15</v>
      </c>
      <c r="G935" s="989" t="s">
        <v>657</v>
      </c>
      <c r="H935" s="994">
        <v>-1591517.25</v>
      </c>
      <c r="I935" s="994">
        <v>-150783.953125</v>
      </c>
      <c r="J935" s="994">
        <v>-1742301.125</v>
      </c>
      <c r="K935" s="997">
        <v>-1742301.15</v>
      </c>
    </row>
    <row r="936" spans="1:11" ht="22.5" x14ac:dyDescent="0.25">
      <c r="A936" s="989" t="s">
        <v>427</v>
      </c>
      <c r="B936" s="993">
        <v>2018</v>
      </c>
      <c r="C936" s="989" t="s">
        <v>2998</v>
      </c>
      <c r="D936" s="989" t="s">
        <v>348</v>
      </c>
      <c r="E936" s="989" t="s">
        <v>946</v>
      </c>
      <c r="F936" s="994">
        <v>1188386.29</v>
      </c>
      <c r="G936" s="989" t="s">
        <v>657</v>
      </c>
      <c r="H936" s="994">
        <v>1123221.125</v>
      </c>
      <c r="I936" s="994">
        <v>65165.19140625</v>
      </c>
      <c r="J936" s="994">
        <v>1188386.25</v>
      </c>
      <c r="K936" s="997">
        <v>1188386.29</v>
      </c>
    </row>
    <row r="937" spans="1:11" ht="45" x14ac:dyDescent="0.25">
      <c r="A937" s="989" t="s">
        <v>427</v>
      </c>
      <c r="B937" s="993">
        <v>2018</v>
      </c>
      <c r="C937" s="989" t="s">
        <v>2999</v>
      </c>
      <c r="D937" s="989" t="s">
        <v>659</v>
      </c>
      <c r="E937" s="989" t="s">
        <v>1369</v>
      </c>
      <c r="F937" s="994">
        <v>0</v>
      </c>
      <c r="G937" s="989" t="s">
        <v>657</v>
      </c>
      <c r="H937" s="996"/>
      <c r="I937" s="996"/>
      <c r="J937" s="994">
        <v>0</v>
      </c>
      <c r="K937" s="997">
        <v>0</v>
      </c>
    </row>
    <row r="938" spans="1:11" ht="45" x14ac:dyDescent="0.25">
      <c r="A938" s="989" t="s">
        <v>427</v>
      </c>
      <c r="B938" s="993">
        <v>2018</v>
      </c>
      <c r="C938" s="989" t="s">
        <v>2999</v>
      </c>
      <c r="D938" s="989" t="s">
        <v>660</v>
      </c>
      <c r="E938" s="989" t="s">
        <v>1370</v>
      </c>
      <c r="F938" s="994">
        <v>0</v>
      </c>
      <c r="G938" s="989" t="s">
        <v>657</v>
      </c>
      <c r="H938" s="996"/>
      <c r="I938" s="996"/>
      <c r="J938" s="994">
        <v>0</v>
      </c>
      <c r="K938" s="997">
        <v>0</v>
      </c>
    </row>
    <row r="939" spans="1:11" ht="45" x14ac:dyDescent="0.25">
      <c r="A939" s="989" t="s">
        <v>427</v>
      </c>
      <c r="B939" s="993">
        <v>2018</v>
      </c>
      <c r="C939" s="989" t="s">
        <v>2999</v>
      </c>
      <c r="D939" s="989" t="s">
        <v>661</v>
      </c>
      <c r="E939" s="989" t="s">
        <v>1371</v>
      </c>
      <c r="F939" s="994">
        <v>0</v>
      </c>
      <c r="G939" s="989" t="s">
        <v>657</v>
      </c>
      <c r="H939" s="996"/>
      <c r="I939" s="996"/>
      <c r="J939" s="994">
        <v>0</v>
      </c>
      <c r="K939" s="997">
        <v>0</v>
      </c>
    </row>
    <row r="940" spans="1:11" ht="45" x14ac:dyDescent="0.25">
      <c r="A940" s="989" t="s">
        <v>427</v>
      </c>
      <c r="B940" s="993">
        <v>2018</v>
      </c>
      <c r="C940" s="989" t="s">
        <v>2999</v>
      </c>
      <c r="D940" s="989" t="s">
        <v>662</v>
      </c>
      <c r="E940" s="989" t="s">
        <v>1372</v>
      </c>
      <c r="F940" s="994">
        <v>0</v>
      </c>
      <c r="G940" s="989" t="s">
        <v>657</v>
      </c>
      <c r="H940" s="996"/>
      <c r="I940" s="996"/>
      <c r="J940" s="994">
        <v>0</v>
      </c>
      <c r="K940" s="997">
        <v>0</v>
      </c>
    </row>
    <row r="941" spans="1:11" ht="45" x14ac:dyDescent="0.25">
      <c r="A941" s="989" t="s">
        <v>427</v>
      </c>
      <c r="B941" s="993">
        <v>2018</v>
      </c>
      <c r="C941" s="989" t="s">
        <v>2999</v>
      </c>
      <c r="D941" s="989" t="s">
        <v>663</v>
      </c>
      <c r="E941" s="989" t="s">
        <v>1373</v>
      </c>
      <c r="F941" s="994">
        <v>0</v>
      </c>
      <c r="G941" s="989" t="s">
        <v>657</v>
      </c>
      <c r="H941" s="996"/>
      <c r="I941" s="996"/>
      <c r="J941" s="994">
        <v>0</v>
      </c>
      <c r="K941" s="997">
        <v>0</v>
      </c>
    </row>
    <row r="942" spans="1:11" ht="45" x14ac:dyDescent="0.25">
      <c r="A942" s="989" t="s">
        <v>427</v>
      </c>
      <c r="B942" s="993">
        <v>2018</v>
      </c>
      <c r="C942" s="989" t="s">
        <v>2999</v>
      </c>
      <c r="D942" s="989" t="s">
        <v>664</v>
      </c>
      <c r="E942" s="989" t="s">
        <v>1374</v>
      </c>
      <c r="F942" s="994">
        <v>0</v>
      </c>
      <c r="G942" s="989" t="s">
        <v>657</v>
      </c>
      <c r="H942" s="996"/>
      <c r="I942" s="996"/>
      <c r="J942" s="994">
        <v>0</v>
      </c>
      <c r="K942" s="997">
        <v>0</v>
      </c>
    </row>
    <row r="943" spans="1:11" ht="45" x14ac:dyDescent="0.25">
      <c r="A943" s="989" t="s">
        <v>427</v>
      </c>
      <c r="B943" s="993">
        <v>2018</v>
      </c>
      <c r="C943" s="989" t="s">
        <v>2999</v>
      </c>
      <c r="D943" s="989" t="s">
        <v>665</v>
      </c>
      <c r="E943" s="989" t="s">
        <v>1375</v>
      </c>
      <c r="F943" s="994">
        <v>0</v>
      </c>
      <c r="G943" s="989" t="s">
        <v>657</v>
      </c>
      <c r="H943" s="994">
        <v>-1596482.375</v>
      </c>
      <c r="I943" s="994">
        <v>1383914.625</v>
      </c>
      <c r="J943" s="994">
        <v>-212567.734375</v>
      </c>
      <c r="K943" s="997">
        <v>-212567.73</v>
      </c>
    </row>
    <row r="944" spans="1:11" ht="45" x14ac:dyDescent="0.25">
      <c r="A944" s="989" t="s">
        <v>427</v>
      </c>
      <c r="B944" s="993">
        <v>2018</v>
      </c>
      <c r="C944" s="989" t="s">
        <v>2999</v>
      </c>
      <c r="D944" s="989" t="s">
        <v>1870</v>
      </c>
      <c r="E944" s="989" t="s">
        <v>2319</v>
      </c>
      <c r="F944" s="994">
        <v>0</v>
      </c>
      <c r="G944" s="989" t="s">
        <v>657</v>
      </c>
      <c r="H944" s="994">
        <v>162081.8125</v>
      </c>
      <c r="I944" s="994">
        <v>-40999.1796875</v>
      </c>
      <c r="J944" s="994">
        <v>121082.6328125</v>
      </c>
      <c r="K944" s="997">
        <v>121082.63</v>
      </c>
    </row>
    <row r="945" spans="1:11" ht="45" x14ac:dyDescent="0.25">
      <c r="A945" s="989" t="s">
        <v>427</v>
      </c>
      <c r="B945" s="993">
        <v>2018</v>
      </c>
      <c r="C945" s="989" t="s">
        <v>2999</v>
      </c>
      <c r="D945" s="989" t="s">
        <v>2486</v>
      </c>
      <c r="E945" s="989" t="s">
        <v>2523</v>
      </c>
      <c r="F945" s="994">
        <v>0</v>
      </c>
      <c r="G945" s="989" t="s">
        <v>657</v>
      </c>
      <c r="H945" s="994">
        <v>-18230.169921875</v>
      </c>
      <c r="I945" s="994">
        <v>-138.30999755859401</v>
      </c>
      <c r="J945" s="994">
        <v>-18368.48046875</v>
      </c>
      <c r="K945" s="997">
        <v>-18368.48</v>
      </c>
    </row>
    <row r="946" spans="1:11" ht="45" x14ac:dyDescent="0.25">
      <c r="A946" s="989" t="s">
        <v>427</v>
      </c>
      <c r="B946" s="993">
        <v>2018</v>
      </c>
      <c r="C946" s="989" t="s">
        <v>2999</v>
      </c>
      <c r="D946" s="989" t="s">
        <v>4892</v>
      </c>
      <c r="E946" s="989" t="s">
        <v>6021</v>
      </c>
      <c r="F946" s="994">
        <v>0</v>
      </c>
      <c r="G946" s="989" t="s">
        <v>657</v>
      </c>
      <c r="H946" s="994">
        <v>190439.890625</v>
      </c>
      <c r="I946" s="994">
        <v>22805.7109375</v>
      </c>
      <c r="J946" s="994">
        <v>213245.59375</v>
      </c>
      <c r="K946" s="997">
        <v>213245.6</v>
      </c>
    </row>
    <row r="947" spans="1:11" ht="45" x14ac:dyDescent="0.25">
      <c r="A947" s="989" t="s">
        <v>427</v>
      </c>
      <c r="B947" s="993">
        <v>2018</v>
      </c>
      <c r="C947" s="989" t="s">
        <v>2999</v>
      </c>
      <c r="D947" s="989" t="s">
        <v>666</v>
      </c>
      <c r="E947" s="989" t="s">
        <v>1571</v>
      </c>
      <c r="F947" s="994">
        <v>103392.02</v>
      </c>
      <c r="G947" s="995"/>
      <c r="H947" s="996"/>
      <c r="I947" s="996"/>
      <c r="J947" s="994">
        <v>0</v>
      </c>
      <c r="K947" s="997">
        <v>103392.02</v>
      </c>
    </row>
    <row r="948" spans="1:11" ht="22.5" x14ac:dyDescent="0.25">
      <c r="A948" s="989" t="s">
        <v>188</v>
      </c>
      <c r="B948" s="993">
        <v>2018</v>
      </c>
      <c r="C948" s="989" t="s">
        <v>2991</v>
      </c>
      <c r="D948" s="989" t="s">
        <v>49</v>
      </c>
      <c r="E948" s="989" t="s">
        <v>947</v>
      </c>
      <c r="F948" s="994">
        <v>0</v>
      </c>
      <c r="G948" s="989" t="s">
        <v>657</v>
      </c>
      <c r="H948" s="994">
        <v>0</v>
      </c>
      <c r="I948" s="994">
        <v>0</v>
      </c>
      <c r="J948" s="994">
        <v>0</v>
      </c>
      <c r="K948" s="997">
        <v>0</v>
      </c>
    </row>
    <row r="949" spans="1:11" ht="33.75" x14ac:dyDescent="0.25">
      <c r="A949" s="989" t="s">
        <v>188</v>
      </c>
      <c r="B949" s="993">
        <v>2018</v>
      </c>
      <c r="C949" s="989" t="s">
        <v>2992</v>
      </c>
      <c r="D949" s="989" t="s">
        <v>658</v>
      </c>
      <c r="E949" s="989" t="s">
        <v>948</v>
      </c>
      <c r="F949" s="994">
        <v>-7433.66</v>
      </c>
      <c r="G949" s="989" t="s">
        <v>657</v>
      </c>
      <c r="H949" s="994">
        <v>-7342.85009765625</v>
      </c>
      <c r="I949" s="994">
        <v>-90.809997558593807</v>
      </c>
      <c r="J949" s="994">
        <v>-7433.66015625</v>
      </c>
      <c r="K949" s="997">
        <v>-7433.66</v>
      </c>
    </row>
    <row r="950" spans="1:11" ht="22.5" x14ac:dyDescent="0.25">
      <c r="A950" s="989" t="s">
        <v>188</v>
      </c>
      <c r="B950" s="993">
        <v>2018</v>
      </c>
      <c r="C950" s="989" t="s">
        <v>2993</v>
      </c>
      <c r="D950" s="989" t="s">
        <v>464</v>
      </c>
      <c r="E950" s="989" t="s">
        <v>949</v>
      </c>
      <c r="F950" s="994">
        <v>0</v>
      </c>
      <c r="G950" s="995"/>
      <c r="H950" s="996"/>
      <c r="I950" s="996"/>
      <c r="J950" s="994">
        <v>0</v>
      </c>
      <c r="K950" s="997">
        <v>0</v>
      </c>
    </row>
    <row r="951" spans="1:11" ht="33.75" x14ac:dyDescent="0.25">
      <c r="A951" s="989" t="s">
        <v>188</v>
      </c>
      <c r="B951" s="993">
        <v>2018</v>
      </c>
      <c r="C951" s="989" t="s">
        <v>2994</v>
      </c>
      <c r="D951" s="989" t="s">
        <v>46</v>
      </c>
      <c r="E951" s="989" t="s">
        <v>950</v>
      </c>
      <c r="F951" s="994">
        <v>-436569.64</v>
      </c>
      <c r="G951" s="989" t="s">
        <v>657</v>
      </c>
      <c r="H951" s="994">
        <v>-430876.875</v>
      </c>
      <c r="I951" s="994">
        <v>-5692.75</v>
      </c>
      <c r="J951" s="994">
        <v>-436569.625</v>
      </c>
      <c r="K951" s="997">
        <v>-436569.64</v>
      </c>
    </row>
    <row r="952" spans="1:11" ht="22.5" x14ac:dyDescent="0.25">
      <c r="A952" s="989" t="s">
        <v>188</v>
      </c>
      <c r="B952" s="993">
        <v>2018</v>
      </c>
      <c r="C952" s="989" t="s">
        <v>2994</v>
      </c>
      <c r="D952" s="989" t="s">
        <v>2482</v>
      </c>
      <c r="E952" s="989" t="s">
        <v>950</v>
      </c>
      <c r="F952" s="994">
        <v>1.2</v>
      </c>
      <c r="G952" s="995"/>
      <c r="H952" s="996"/>
      <c r="I952" s="996"/>
      <c r="J952" s="994">
        <v>0</v>
      </c>
      <c r="K952" s="997">
        <v>1.2</v>
      </c>
    </row>
    <row r="953" spans="1:11" ht="22.5" x14ac:dyDescent="0.25">
      <c r="A953" s="989" t="s">
        <v>188</v>
      </c>
      <c r="B953" s="993">
        <v>2018</v>
      </c>
      <c r="C953" s="989" t="s">
        <v>2994</v>
      </c>
      <c r="D953" s="989" t="s">
        <v>2483</v>
      </c>
      <c r="E953" s="989" t="s">
        <v>950</v>
      </c>
      <c r="F953" s="994">
        <v>156.41</v>
      </c>
      <c r="G953" s="995"/>
      <c r="H953" s="996"/>
      <c r="I953" s="996"/>
      <c r="J953" s="994">
        <v>0</v>
      </c>
      <c r="K953" s="997">
        <v>156.41</v>
      </c>
    </row>
    <row r="954" spans="1:11" ht="22.5" x14ac:dyDescent="0.25">
      <c r="A954" s="989" t="s">
        <v>188</v>
      </c>
      <c r="B954" s="993">
        <v>2018</v>
      </c>
      <c r="C954" s="989" t="s">
        <v>2994</v>
      </c>
      <c r="D954" s="989" t="s">
        <v>2484</v>
      </c>
      <c r="E954" s="989" t="s">
        <v>950</v>
      </c>
      <c r="F954" s="994">
        <v>32.619999999999997</v>
      </c>
      <c r="G954" s="995"/>
      <c r="H954" s="996"/>
      <c r="I954" s="996"/>
      <c r="J954" s="994">
        <v>0</v>
      </c>
      <c r="K954" s="997">
        <v>32.619999999999997</v>
      </c>
    </row>
    <row r="955" spans="1:11" ht="22.5" x14ac:dyDescent="0.25">
      <c r="A955" s="989" t="s">
        <v>188</v>
      </c>
      <c r="B955" s="993">
        <v>2018</v>
      </c>
      <c r="C955" s="989" t="s">
        <v>2994</v>
      </c>
      <c r="D955" s="989" t="s">
        <v>2485</v>
      </c>
      <c r="E955" s="989" t="s">
        <v>950</v>
      </c>
      <c r="F955" s="994">
        <v>3425.61</v>
      </c>
      <c r="G955" s="995"/>
      <c r="H955" s="996"/>
      <c r="I955" s="996"/>
      <c r="J955" s="994">
        <v>0</v>
      </c>
      <c r="K955" s="997">
        <v>3425.61</v>
      </c>
    </row>
    <row r="956" spans="1:11" ht="33.75" x14ac:dyDescent="0.25">
      <c r="A956" s="989" t="s">
        <v>188</v>
      </c>
      <c r="B956" s="993">
        <v>2018</v>
      </c>
      <c r="C956" s="989" t="s">
        <v>2995</v>
      </c>
      <c r="D956" s="989" t="s">
        <v>47</v>
      </c>
      <c r="E956" s="989" t="s">
        <v>951</v>
      </c>
      <c r="F956" s="994">
        <v>-66155.28</v>
      </c>
      <c r="G956" s="989" t="s">
        <v>657</v>
      </c>
      <c r="H956" s="994">
        <v>-67792.3984375</v>
      </c>
      <c r="I956" s="994">
        <v>1637.11999511719</v>
      </c>
      <c r="J956" s="994">
        <v>-66155.28125</v>
      </c>
      <c r="K956" s="997">
        <v>-66155.28</v>
      </c>
    </row>
    <row r="957" spans="1:11" ht="33.75" x14ac:dyDescent="0.25">
      <c r="A957" s="989" t="s">
        <v>188</v>
      </c>
      <c r="B957" s="993">
        <v>2018</v>
      </c>
      <c r="C957" s="989" t="s">
        <v>2996</v>
      </c>
      <c r="D957" s="989" t="s">
        <v>48</v>
      </c>
      <c r="E957" s="989" t="s">
        <v>952</v>
      </c>
      <c r="F957" s="994">
        <v>6876.57</v>
      </c>
      <c r="G957" s="989" t="s">
        <v>657</v>
      </c>
      <c r="H957" s="994">
        <v>6408.009765625</v>
      </c>
      <c r="I957" s="994">
        <v>468.55999755859398</v>
      </c>
      <c r="J957" s="994">
        <v>6876.56982421875</v>
      </c>
      <c r="K957" s="997">
        <v>6876.57</v>
      </c>
    </row>
    <row r="958" spans="1:11" ht="33.75" x14ac:dyDescent="0.25">
      <c r="A958" s="989" t="s">
        <v>188</v>
      </c>
      <c r="B958" s="993">
        <v>2018</v>
      </c>
      <c r="C958" s="989" t="s">
        <v>2997</v>
      </c>
      <c r="D958" s="989" t="s">
        <v>50</v>
      </c>
      <c r="E958" s="989" t="s">
        <v>953</v>
      </c>
      <c r="F958" s="994">
        <v>310672.84000000003</v>
      </c>
      <c r="G958" s="989" t="s">
        <v>657</v>
      </c>
      <c r="H958" s="994">
        <v>309234.90625</v>
      </c>
      <c r="I958" s="994">
        <v>1437.93005371094</v>
      </c>
      <c r="J958" s="994">
        <v>310672.84375</v>
      </c>
      <c r="K958" s="997">
        <v>310672.84000000003</v>
      </c>
    </row>
    <row r="959" spans="1:11" ht="22.5" x14ac:dyDescent="0.25">
      <c r="A959" s="989" t="s">
        <v>188</v>
      </c>
      <c r="B959" s="993">
        <v>2018</v>
      </c>
      <c r="C959" s="989" t="s">
        <v>2998</v>
      </c>
      <c r="D959" s="989" t="s">
        <v>348</v>
      </c>
      <c r="E959" s="989" t="s">
        <v>954</v>
      </c>
      <c r="F959" s="994">
        <v>-534672.85</v>
      </c>
      <c r="G959" s="989" t="s">
        <v>657</v>
      </c>
      <c r="H959" s="994">
        <v>-543032.4375</v>
      </c>
      <c r="I959" s="994">
        <v>8359.599609375</v>
      </c>
      <c r="J959" s="994">
        <v>-534672.875</v>
      </c>
      <c r="K959" s="997">
        <v>-534672.85</v>
      </c>
    </row>
    <row r="960" spans="1:11" ht="45" x14ac:dyDescent="0.25">
      <c r="A960" s="989" t="s">
        <v>188</v>
      </c>
      <c r="B960" s="993">
        <v>2018</v>
      </c>
      <c r="C960" s="989" t="s">
        <v>2999</v>
      </c>
      <c r="D960" s="989" t="s">
        <v>659</v>
      </c>
      <c r="E960" s="989" t="s">
        <v>1376</v>
      </c>
      <c r="F960" s="994">
        <v>0</v>
      </c>
      <c r="G960" s="989" t="s">
        <v>657</v>
      </c>
      <c r="H960" s="994">
        <v>0</v>
      </c>
      <c r="I960" s="994">
        <v>0</v>
      </c>
      <c r="J960" s="994">
        <v>0</v>
      </c>
      <c r="K960" s="997">
        <v>0</v>
      </c>
    </row>
    <row r="961" spans="1:11" ht="45" x14ac:dyDescent="0.25">
      <c r="A961" s="989" t="s">
        <v>188</v>
      </c>
      <c r="B961" s="993">
        <v>2018</v>
      </c>
      <c r="C961" s="989" t="s">
        <v>2999</v>
      </c>
      <c r="D961" s="989" t="s">
        <v>660</v>
      </c>
      <c r="E961" s="989" t="s">
        <v>1377</v>
      </c>
      <c r="F961" s="994">
        <v>0</v>
      </c>
      <c r="G961" s="989" t="s">
        <v>657</v>
      </c>
      <c r="H961" s="994">
        <v>0</v>
      </c>
      <c r="I961" s="994">
        <v>0</v>
      </c>
      <c r="J961" s="994">
        <v>0</v>
      </c>
      <c r="K961" s="997">
        <v>0</v>
      </c>
    </row>
    <row r="962" spans="1:11" ht="45" x14ac:dyDescent="0.25">
      <c r="A962" s="989" t="s">
        <v>188</v>
      </c>
      <c r="B962" s="993">
        <v>2018</v>
      </c>
      <c r="C962" s="989" t="s">
        <v>2999</v>
      </c>
      <c r="D962" s="989" t="s">
        <v>661</v>
      </c>
      <c r="E962" s="989" t="s">
        <v>1378</v>
      </c>
      <c r="F962" s="994">
        <v>0</v>
      </c>
      <c r="G962" s="989" t="s">
        <v>657</v>
      </c>
      <c r="H962" s="994">
        <v>0</v>
      </c>
      <c r="I962" s="994">
        <v>0</v>
      </c>
      <c r="J962" s="994">
        <v>0</v>
      </c>
      <c r="K962" s="997">
        <v>0</v>
      </c>
    </row>
    <row r="963" spans="1:11" ht="45" x14ac:dyDescent="0.25">
      <c r="A963" s="989" t="s">
        <v>188</v>
      </c>
      <c r="B963" s="993">
        <v>2018</v>
      </c>
      <c r="C963" s="989" t="s">
        <v>2999</v>
      </c>
      <c r="D963" s="989" t="s">
        <v>662</v>
      </c>
      <c r="E963" s="989" t="s">
        <v>1379</v>
      </c>
      <c r="F963" s="994">
        <v>0</v>
      </c>
      <c r="G963" s="989" t="s">
        <v>657</v>
      </c>
      <c r="H963" s="994">
        <v>0</v>
      </c>
      <c r="I963" s="994">
        <v>0</v>
      </c>
      <c r="J963" s="994">
        <v>0</v>
      </c>
      <c r="K963" s="997">
        <v>0</v>
      </c>
    </row>
    <row r="964" spans="1:11" ht="45" x14ac:dyDescent="0.25">
      <c r="A964" s="989" t="s">
        <v>188</v>
      </c>
      <c r="B964" s="993">
        <v>2018</v>
      </c>
      <c r="C964" s="989" t="s">
        <v>2999</v>
      </c>
      <c r="D964" s="989" t="s">
        <v>663</v>
      </c>
      <c r="E964" s="989" t="s">
        <v>1380</v>
      </c>
      <c r="F964" s="994">
        <v>0</v>
      </c>
      <c r="G964" s="989" t="s">
        <v>657</v>
      </c>
      <c r="H964" s="994">
        <v>0</v>
      </c>
      <c r="I964" s="994">
        <v>0</v>
      </c>
      <c r="J964" s="994">
        <v>0</v>
      </c>
      <c r="K964" s="997">
        <v>0</v>
      </c>
    </row>
    <row r="965" spans="1:11" ht="45" x14ac:dyDescent="0.25">
      <c r="A965" s="989" t="s">
        <v>188</v>
      </c>
      <c r="B965" s="993">
        <v>2018</v>
      </c>
      <c r="C965" s="989" t="s">
        <v>2999</v>
      </c>
      <c r="D965" s="989" t="s">
        <v>664</v>
      </c>
      <c r="E965" s="989" t="s">
        <v>1381</v>
      </c>
      <c r="F965" s="994">
        <v>0</v>
      </c>
      <c r="G965" s="989" t="s">
        <v>657</v>
      </c>
      <c r="H965" s="994">
        <v>0</v>
      </c>
      <c r="I965" s="994">
        <v>0</v>
      </c>
      <c r="J965" s="994">
        <v>0</v>
      </c>
      <c r="K965" s="997">
        <v>0</v>
      </c>
    </row>
    <row r="966" spans="1:11" ht="45" x14ac:dyDescent="0.25">
      <c r="A966" s="989" t="s">
        <v>188</v>
      </c>
      <c r="B966" s="993">
        <v>2018</v>
      </c>
      <c r="C966" s="989" t="s">
        <v>2999</v>
      </c>
      <c r="D966" s="989" t="s">
        <v>665</v>
      </c>
      <c r="E966" s="989" t="s">
        <v>1382</v>
      </c>
      <c r="F966" s="994">
        <v>0</v>
      </c>
      <c r="G966" s="989" t="s">
        <v>657</v>
      </c>
      <c r="H966" s="994">
        <v>0</v>
      </c>
      <c r="I966" s="994">
        <v>0</v>
      </c>
      <c r="J966" s="994">
        <v>0</v>
      </c>
      <c r="K966" s="997">
        <v>0</v>
      </c>
    </row>
    <row r="967" spans="1:11" ht="45" x14ac:dyDescent="0.25">
      <c r="A967" s="989" t="s">
        <v>188</v>
      </c>
      <c r="B967" s="993">
        <v>2018</v>
      </c>
      <c r="C967" s="989" t="s">
        <v>2999</v>
      </c>
      <c r="D967" s="989" t="s">
        <v>1870</v>
      </c>
      <c r="E967" s="989" t="s">
        <v>2282</v>
      </c>
      <c r="F967" s="994">
        <v>0</v>
      </c>
      <c r="G967" s="989" t="s">
        <v>657</v>
      </c>
      <c r="H967" s="994">
        <v>47601.80859375</v>
      </c>
      <c r="I967" s="994">
        <v>10523.7001953125</v>
      </c>
      <c r="J967" s="994">
        <v>58125.51171875</v>
      </c>
      <c r="K967" s="997">
        <v>58125.51</v>
      </c>
    </row>
    <row r="968" spans="1:11" ht="45" x14ac:dyDescent="0.25">
      <c r="A968" s="989" t="s">
        <v>188</v>
      </c>
      <c r="B968" s="993">
        <v>2018</v>
      </c>
      <c r="C968" s="989" t="s">
        <v>2999</v>
      </c>
      <c r="D968" s="989" t="s">
        <v>2486</v>
      </c>
      <c r="E968" s="989" t="s">
        <v>2524</v>
      </c>
      <c r="F968" s="994">
        <v>0</v>
      </c>
      <c r="G968" s="989" t="s">
        <v>657</v>
      </c>
      <c r="H968" s="994">
        <v>216592.703125</v>
      </c>
      <c r="I968" s="994">
        <v>-73.410003662109403</v>
      </c>
      <c r="J968" s="994">
        <v>216519.296875</v>
      </c>
      <c r="K968" s="997">
        <v>216519.29</v>
      </c>
    </row>
    <row r="969" spans="1:11" ht="45" x14ac:dyDescent="0.25">
      <c r="A969" s="989" t="s">
        <v>188</v>
      </c>
      <c r="B969" s="993">
        <v>2018</v>
      </c>
      <c r="C969" s="989" t="s">
        <v>2999</v>
      </c>
      <c r="D969" s="989" t="s">
        <v>4892</v>
      </c>
      <c r="E969" s="989" t="s">
        <v>6022</v>
      </c>
      <c r="F969" s="994">
        <v>0</v>
      </c>
      <c r="G969" s="989" t="s">
        <v>657</v>
      </c>
      <c r="H969" s="994">
        <v>-104740.25</v>
      </c>
      <c r="I969" s="994">
        <v>-9335.759765625</v>
      </c>
      <c r="J969" s="994">
        <v>-114076.0078125</v>
      </c>
      <c r="K969" s="997">
        <v>-114076.01</v>
      </c>
    </row>
    <row r="970" spans="1:11" ht="45" x14ac:dyDescent="0.25">
      <c r="A970" s="989" t="s">
        <v>188</v>
      </c>
      <c r="B970" s="993">
        <v>2018</v>
      </c>
      <c r="C970" s="989" t="s">
        <v>2999</v>
      </c>
      <c r="D970" s="989" t="s">
        <v>666</v>
      </c>
      <c r="E970" s="989" t="s">
        <v>1572</v>
      </c>
      <c r="F970" s="994">
        <v>160568.79</v>
      </c>
      <c r="G970" s="995"/>
      <c r="H970" s="996"/>
      <c r="I970" s="996"/>
      <c r="J970" s="994">
        <v>0</v>
      </c>
      <c r="K970" s="997">
        <v>160568.79</v>
      </c>
    </row>
    <row r="971" spans="1:11" ht="22.5" x14ac:dyDescent="0.25">
      <c r="A971" s="989" t="s">
        <v>189</v>
      </c>
      <c r="B971" s="993">
        <v>2018</v>
      </c>
      <c r="C971" s="989" t="s">
        <v>2991</v>
      </c>
      <c r="D971" s="989" t="s">
        <v>49</v>
      </c>
      <c r="E971" s="989" t="s">
        <v>955</v>
      </c>
      <c r="F971" s="994">
        <v>52898.13</v>
      </c>
      <c r="G971" s="989" t="s">
        <v>657</v>
      </c>
      <c r="H971" s="994">
        <v>52088.48828125</v>
      </c>
      <c r="I971" s="994">
        <v>809.64001464843795</v>
      </c>
      <c r="J971" s="994">
        <v>52898.12890625</v>
      </c>
      <c r="K971" s="997">
        <v>52898.13</v>
      </c>
    </row>
    <row r="972" spans="1:11" ht="33.75" x14ac:dyDescent="0.25">
      <c r="A972" s="989" t="s">
        <v>189</v>
      </c>
      <c r="B972" s="993">
        <v>2018</v>
      </c>
      <c r="C972" s="989" t="s">
        <v>2992</v>
      </c>
      <c r="D972" s="989" t="s">
        <v>658</v>
      </c>
      <c r="E972" s="989" t="s">
        <v>956</v>
      </c>
      <c r="F972" s="994">
        <v>-1615.23</v>
      </c>
      <c r="G972" s="989" t="s">
        <v>657</v>
      </c>
      <c r="H972" s="994">
        <v>-1595.7900390625</v>
      </c>
      <c r="I972" s="994">
        <v>-19.440000534057599</v>
      </c>
      <c r="J972" s="994">
        <v>-1615.22998046875</v>
      </c>
      <c r="K972" s="997">
        <v>-1615.23</v>
      </c>
    </row>
    <row r="973" spans="1:11" ht="22.5" x14ac:dyDescent="0.25">
      <c r="A973" s="989" t="s">
        <v>189</v>
      </c>
      <c r="B973" s="993">
        <v>2018</v>
      </c>
      <c r="C973" s="989" t="s">
        <v>2993</v>
      </c>
      <c r="D973" s="989" t="s">
        <v>464</v>
      </c>
      <c r="E973" s="989" t="s">
        <v>957</v>
      </c>
      <c r="F973" s="994">
        <v>104242.98</v>
      </c>
      <c r="G973" s="995"/>
      <c r="H973" s="996"/>
      <c r="I973" s="996"/>
      <c r="J973" s="994">
        <v>0</v>
      </c>
      <c r="K973" s="997">
        <v>104242.98</v>
      </c>
    </row>
    <row r="974" spans="1:11" ht="33.75" x14ac:dyDescent="0.25">
      <c r="A974" s="989" t="s">
        <v>189</v>
      </c>
      <c r="B974" s="993">
        <v>2018</v>
      </c>
      <c r="C974" s="989" t="s">
        <v>2994</v>
      </c>
      <c r="D974" s="989" t="s">
        <v>46</v>
      </c>
      <c r="E974" s="989" t="s">
        <v>958</v>
      </c>
      <c r="F974" s="994">
        <v>-1045136.49</v>
      </c>
      <c r="G974" s="989" t="s">
        <v>657</v>
      </c>
      <c r="H974" s="994">
        <v>-1032239.125</v>
      </c>
      <c r="I974" s="994">
        <v>-12897.33984375</v>
      </c>
      <c r="J974" s="994">
        <v>-1045136.5</v>
      </c>
      <c r="K974" s="997">
        <v>-1045136.49</v>
      </c>
    </row>
    <row r="975" spans="1:11" ht="22.5" x14ac:dyDescent="0.25">
      <c r="A975" s="989" t="s">
        <v>189</v>
      </c>
      <c r="B975" s="993">
        <v>2018</v>
      </c>
      <c r="C975" s="989" t="s">
        <v>2994</v>
      </c>
      <c r="D975" s="989" t="s">
        <v>2482</v>
      </c>
      <c r="E975" s="989" t="s">
        <v>958</v>
      </c>
      <c r="F975" s="994">
        <v>0</v>
      </c>
      <c r="G975" s="995"/>
      <c r="H975" s="996"/>
      <c r="I975" s="996"/>
      <c r="J975" s="994">
        <v>0</v>
      </c>
      <c r="K975" s="997">
        <v>0</v>
      </c>
    </row>
    <row r="976" spans="1:11" ht="22.5" x14ac:dyDescent="0.25">
      <c r="A976" s="989" t="s">
        <v>189</v>
      </c>
      <c r="B976" s="993">
        <v>2018</v>
      </c>
      <c r="C976" s="989" t="s">
        <v>2994</v>
      </c>
      <c r="D976" s="989" t="s">
        <v>2483</v>
      </c>
      <c r="E976" s="989" t="s">
        <v>958</v>
      </c>
      <c r="F976" s="994">
        <v>0</v>
      </c>
      <c r="G976" s="995"/>
      <c r="H976" s="996"/>
      <c r="I976" s="996"/>
      <c r="J976" s="994">
        <v>0</v>
      </c>
      <c r="K976" s="997">
        <v>0</v>
      </c>
    </row>
    <row r="977" spans="1:11" ht="22.5" x14ac:dyDescent="0.25">
      <c r="A977" s="989" t="s">
        <v>189</v>
      </c>
      <c r="B977" s="993">
        <v>2018</v>
      </c>
      <c r="C977" s="989" t="s">
        <v>2994</v>
      </c>
      <c r="D977" s="989" t="s">
        <v>2484</v>
      </c>
      <c r="E977" s="989" t="s">
        <v>958</v>
      </c>
      <c r="F977" s="994">
        <v>-570.72</v>
      </c>
      <c r="G977" s="995"/>
      <c r="H977" s="996"/>
      <c r="I977" s="996"/>
      <c r="J977" s="994">
        <v>0</v>
      </c>
      <c r="K977" s="997">
        <v>-570.72</v>
      </c>
    </row>
    <row r="978" spans="1:11" ht="22.5" x14ac:dyDescent="0.25">
      <c r="A978" s="989" t="s">
        <v>189</v>
      </c>
      <c r="B978" s="993">
        <v>2018</v>
      </c>
      <c r="C978" s="989" t="s">
        <v>2994</v>
      </c>
      <c r="D978" s="989" t="s">
        <v>2485</v>
      </c>
      <c r="E978" s="989" t="s">
        <v>958</v>
      </c>
      <c r="F978" s="994">
        <v>-36772</v>
      </c>
      <c r="G978" s="995"/>
      <c r="H978" s="996"/>
      <c r="I978" s="996"/>
      <c r="J978" s="994">
        <v>0</v>
      </c>
      <c r="K978" s="997">
        <v>-36772</v>
      </c>
    </row>
    <row r="979" spans="1:11" ht="33.75" x14ac:dyDescent="0.25">
      <c r="A979" s="989" t="s">
        <v>189</v>
      </c>
      <c r="B979" s="993">
        <v>2018</v>
      </c>
      <c r="C979" s="989" t="s">
        <v>2995</v>
      </c>
      <c r="D979" s="989" t="s">
        <v>47</v>
      </c>
      <c r="E979" s="989" t="s">
        <v>959</v>
      </c>
      <c r="F979" s="994">
        <v>-6960.33</v>
      </c>
      <c r="G979" s="989" t="s">
        <v>657</v>
      </c>
      <c r="H979" s="994">
        <v>-6268.16015625</v>
      </c>
      <c r="I979" s="994">
        <v>-692.16998291015602</v>
      </c>
      <c r="J979" s="994">
        <v>-6960.330078125</v>
      </c>
      <c r="K979" s="997">
        <v>-6960.33</v>
      </c>
    </row>
    <row r="980" spans="1:11" ht="33.75" x14ac:dyDescent="0.25">
      <c r="A980" s="989" t="s">
        <v>189</v>
      </c>
      <c r="B980" s="993">
        <v>2018</v>
      </c>
      <c r="C980" s="989" t="s">
        <v>2996</v>
      </c>
      <c r="D980" s="989" t="s">
        <v>48</v>
      </c>
      <c r="E980" s="989" t="s">
        <v>960</v>
      </c>
      <c r="F980" s="994">
        <v>178905.31</v>
      </c>
      <c r="G980" s="989" t="s">
        <v>657</v>
      </c>
      <c r="H980" s="994">
        <v>176755.75</v>
      </c>
      <c r="I980" s="994">
        <v>2149.56005859375</v>
      </c>
      <c r="J980" s="994">
        <v>178905.3125</v>
      </c>
      <c r="K980" s="997">
        <v>178905.31</v>
      </c>
    </row>
    <row r="981" spans="1:11" ht="33.75" x14ac:dyDescent="0.25">
      <c r="A981" s="989" t="s">
        <v>189</v>
      </c>
      <c r="B981" s="993">
        <v>2018</v>
      </c>
      <c r="C981" s="989" t="s">
        <v>2997</v>
      </c>
      <c r="D981" s="989" t="s">
        <v>50</v>
      </c>
      <c r="E981" s="989" t="s">
        <v>961</v>
      </c>
      <c r="F981" s="994">
        <v>79987.179999999993</v>
      </c>
      <c r="G981" s="989" t="s">
        <v>657</v>
      </c>
      <c r="H981" s="994">
        <v>78371.90625</v>
      </c>
      <c r="I981" s="994">
        <v>1615.27001953125</v>
      </c>
      <c r="J981" s="994">
        <v>79987.1796875</v>
      </c>
      <c r="K981" s="997">
        <v>79987.179999999993</v>
      </c>
    </row>
    <row r="982" spans="1:11" ht="22.5" x14ac:dyDescent="0.25">
      <c r="A982" s="989" t="s">
        <v>189</v>
      </c>
      <c r="B982" s="993">
        <v>2018</v>
      </c>
      <c r="C982" s="989" t="s">
        <v>2998</v>
      </c>
      <c r="D982" s="989" t="s">
        <v>348</v>
      </c>
      <c r="E982" s="989" t="s">
        <v>962</v>
      </c>
      <c r="F982" s="994">
        <v>-609929.12</v>
      </c>
      <c r="G982" s="989" t="s">
        <v>657</v>
      </c>
      <c r="H982" s="994">
        <v>-603238.5</v>
      </c>
      <c r="I982" s="994">
        <v>-6690.6298828125</v>
      </c>
      <c r="J982" s="994">
        <v>-609929.125</v>
      </c>
      <c r="K982" s="997">
        <v>-609929.12</v>
      </c>
    </row>
    <row r="983" spans="1:11" ht="45" x14ac:dyDescent="0.25">
      <c r="A983" s="989" t="s">
        <v>189</v>
      </c>
      <c r="B983" s="993">
        <v>2018</v>
      </c>
      <c r="C983" s="989" t="s">
        <v>2999</v>
      </c>
      <c r="D983" s="989" t="s">
        <v>659</v>
      </c>
      <c r="E983" s="989" t="s">
        <v>1383</v>
      </c>
      <c r="F983" s="994">
        <v>0</v>
      </c>
      <c r="G983" s="989" t="s">
        <v>657</v>
      </c>
      <c r="H983" s="996"/>
      <c r="I983" s="996"/>
      <c r="J983" s="994">
        <v>0</v>
      </c>
      <c r="K983" s="997">
        <v>0</v>
      </c>
    </row>
    <row r="984" spans="1:11" ht="45" x14ac:dyDescent="0.25">
      <c r="A984" s="989" t="s">
        <v>189</v>
      </c>
      <c r="B984" s="993">
        <v>2018</v>
      </c>
      <c r="C984" s="989" t="s">
        <v>2999</v>
      </c>
      <c r="D984" s="989" t="s">
        <v>660</v>
      </c>
      <c r="E984" s="989" t="s">
        <v>1384</v>
      </c>
      <c r="F984" s="994">
        <v>0</v>
      </c>
      <c r="G984" s="989" t="s">
        <v>657</v>
      </c>
      <c r="H984" s="996"/>
      <c r="I984" s="996"/>
      <c r="J984" s="994">
        <v>0</v>
      </c>
      <c r="K984" s="997">
        <v>0</v>
      </c>
    </row>
    <row r="985" spans="1:11" ht="45" x14ac:dyDescent="0.25">
      <c r="A985" s="989" t="s">
        <v>189</v>
      </c>
      <c r="B985" s="993">
        <v>2018</v>
      </c>
      <c r="C985" s="989" t="s">
        <v>2999</v>
      </c>
      <c r="D985" s="989" t="s">
        <v>661</v>
      </c>
      <c r="E985" s="989" t="s">
        <v>1385</v>
      </c>
      <c r="F985" s="994">
        <v>0</v>
      </c>
      <c r="G985" s="989" t="s">
        <v>657</v>
      </c>
      <c r="H985" s="996"/>
      <c r="I985" s="996"/>
      <c r="J985" s="994">
        <v>0</v>
      </c>
      <c r="K985" s="997">
        <v>0</v>
      </c>
    </row>
    <row r="986" spans="1:11" ht="45" x14ac:dyDescent="0.25">
      <c r="A986" s="989" t="s">
        <v>189</v>
      </c>
      <c r="B986" s="993">
        <v>2018</v>
      </c>
      <c r="C986" s="989" t="s">
        <v>2999</v>
      </c>
      <c r="D986" s="989" t="s">
        <v>662</v>
      </c>
      <c r="E986" s="989" t="s">
        <v>1386</v>
      </c>
      <c r="F986" s="994">
        <v>0</v>
      </c>
      <c r="G986" s="989" t="s">
        <v>657</v>
      </c>
      <c r="H986" s="996"/>
      <c r="I986" s="996"/>
      <c r="J986" s="994">
        <v>0</v>
      </c>
      <c r="K986" s="997">
        <v>0</v>
      </c>
    </row>
    <row r="987" spans="1:11" ht="45" x14ac:dyDescent="0.25">
      <c r="A987" s="989" t="s">
        <v>189</v>
      </c>
      <c r="B987" s="993">
        <v>2018</v>
      </c>
      <c r="C987" s="989" t="s">
        <v>2999</v>
      </c>
      <c r="D987" s="989" t="s">
        <v>663</v>
      </c>
      <c r="E987" s="989" t="s">
        <v>1387</v>
      </c>
      <c r="F987" s="994">
        <v>0</v>
      </c>
      <c r="G987" s="989" t="s">
        <v>657</v>
      </c>
      <c r="H987" s="996"/>
      <c r="I987" s="996"/>
      <c r="J987" s="994">
        <v>0</v>
      </c>
      <c r="K987" s="997">
        <v>0</v>
      </c>
    </row>
    <row r="988" spans="1:11" ht="45" x14ac:dyDescent="0.25">
      <c r="A988" s="989" t="s">
        <v>189</v>
      </c>
      <c r="B988" s="993">
        <v>2018</v>
      </c>
      <c r="C988" s="989" t="s">
        <v>2999</v>
      </c>
      <c r="D988" s="989" t="s">
        <v>664</v>
      </c>
      <c r="E988" s="989" t="s">
        <v>1388</v>
      </c>
      <c r="F988" s="994">
        <v>0</v>
      </c>
      <c r="G988" s="989" t="s">
        <v>657</v>
      </c>
      <c r="H988" s="996"/>
      <c r="I988" s="996"/>
      <c r="J988" s="994">
        <v>0</v>
      </c>
      <c r="K988" s="997">
        <v>0</v>
      </c>
    </row>
    <row r="989" spans="1:11" ht="45" x14ac:dyDescent="0.25">
      <c r="A989" s="989" t="s">
        <v>189</v>
      </c>
      <c r="B989" s="993">
        <v>2018</v>
      </c>
      <c r="C989" s="989" t="s">
        <v>2999</v>
      </c>
      <c r="D989" s="989" t="s">
        <v>665</v>
      </c>
      <c r="E989" s="989" t="s">
        <v>1389</v>
      </c>
      <c r="F989" s="994">
        <v>0</v>
      </c>
      <c r="G989" s="989" t="s">
        <v>657</v>
      </c>
      <c r="H989" s="994">
        <v>40077.859375</v>
      </c>
      <c r="I989" s="994">
        <v>-22375.3203125</v>
      </c>
      <c r="J989" s="994">
        <v>17702.5390625</v>
      </c>
      <c r="K989" s="997">
        <v>17702.54</v>
      </c>
    </row>
    <row r="990" spans="1:11" ht="45" x14ac:dyDescent="0.25">
      <c r="A990" s="989" t="s">
        <v>189</v>
      </c>
      <c r="B990" s="993">
        <v>2018</v>
      </c>
      <c r="C990" s="989" t="s">
        <v>2999</v>
      </c>
      <c r="D990" s="989" t="s">
        <v>1870</v>
      </c>
      <c r="E990" s="989" t="s">
        <v>2320</v>
      </c>
      <c r="F990" s="994">
        <v>0</v>
      </c>
      <c r="G990" s="989" t="s">
        <v>657</v>
      </c>
      <c r="H990" s="994">
        <v>-82886.8671875</v>
      </c>
      <c r="I990" s="994">
        <v>76571.0703125</v>
      </c>
      <c r="J990" s="994">
        <v>-6315.7998046875</v>
      </c>
      <c r="K990" s="997">
        <v>-6315.7999999999902</v>
      </c>
    </row>
    <row r="991" spans="1:11" ht="45" x14ac:dyDescent="0.25">
      <c r="A991" s="989" t="s">
        <v>189</v>
      </c>
      <c r="B991" s="993">
        <v>2018</v>
      </c>
      <c r="C991" s="989" t="s">
        <v>2999</v>
      </c>
      <c r="D991" s="989" t="s">
        <v>2486</v>
      </c>
      <c r="E991" s="989" t="s">
        <v>2525</v>
      </c>
      <c r="F991" s="994">
        <v>0</v>
      </c>
      <c r="G991" s="989" t="s">
        <v>657</v>
      </c>
      <c r="H991" s="994">
        <v>35840.4296875</v>
      </c>
      <c r="I991" s="994">
        <v>23238.029296875</v>
      </c>
      <c r="J991" s="994">
        <v>59078.4609375</v>
      </c>
      <c r="K991" s="997">
        <v>59078.46</v>
      </c>
    </row>
    <row r="992" spans="1:11" ht="45" x14ac:dyDescent="0.25">
      <c r="A992" s="989" t="s">
        <v>189</v>
      </c>
      <c r="B992" s="993">
        <v>2018</v>
      </c>
      <c r="C992" s="989" t="s">
        <v>2999</v>
      </c>
      <c r="D992" s="989" t="s">
        <v>4892</v>
      </c>
      <c r="E992" s="989" t="s">
        <v>6023</v>
      </c>
      <c r="F992" s="994">
        <v>0</v>
      </c>
      <c r="G992" s="989" t="s">
        <v>657</v>
      </c>
      <c r="H992" s="994">
        <v>-203892.4375</v>
      </c>
      <c r="I992" s="994">
        <v>-17841.080078125</v>
      </c>
      <c r="J992" s="994">
        <v>-221733.515625</v>
      </c>
      <c r="K992" s="997">
        <v>-221733.52</v>
      </c>
    </row>
    <row r="993" spans="1:11" ht="45" x14ac:dyDescent="0.25">
      <c r="A993" s="989" t="s">
        <v>189</v>
      </c>
      <c r="B993" s="993">
        <v>2018</v>
      </c>
      <c r="C993" s="989" t="s">
        <v>2999</v>
      </c>
      <c r="D993" s="989" t="s">
        <v>666</v>
      </c>
      <c r="E993" s="989" t="s">
        <v>1573</v>
      </c>
      <c r="F993" s="994">
        <v>-151268.32</v>
      </c>
      <c r="G993" s="995"/>
      <c r="H993" s="996"/>
      <c r="I993" s="996"/>
      <c r="J993" s="994">
        <v>0</v>
      </c>
      <c r="K993" s="997">
        <v>-151268.32</v>
      </c>
    </row>
    <row r="994" spans="1:11" x14ac:dyDescent="0.25">
      <c r="A994" s="989" t="s">
        <v>190</v>
      </c>
      <c r="B994" s="993">
        <v>2018</v>
      </c>
      <c r="C994" s="989" t="s">
        <v>2991</v>
      </c>
      <c r="D994" s="989" t="s">
        <v>49</v>
      </c>
      <c r="E994" s="989" t="s">
        <v>963</v>
      </c>
      <c r="F994" s="994">
        <v>17512</v>
      </c>
      <c r="G994" s="989" t="s">
        <v>657</v>
      </c>
      <c r="H994" s="994">
        <v>17077.330078125</v>
      </c>
      <c r="I994" s="994">
        <v>434.67001342773398</v>
      </c>
      <c r="J994" s="994">
        <v>17512</v>
      </c>
      <c r="K994" s="997">
        <v>17512</v>
      </c>
    </row>
    <row r="995" spans="1:11" ht="33.75" x14ac:dyDescent="0.25">
      <c r="A995" s="989" t="s">
        <v>190</v>
      </c>
      <c r="B995" s="993">
        <v>2018</v>
      </c>
      <c r="C995" s="989" t="s">
        <v>2992</v>
      </c>
      <c r="D995" s="989" t="s">
        <v>658</v>
      </c>
      <c r="E995" s="989" t="s">
        <v>964</v>
      </c>
      <c r="F995" s="994">
        <v>510.2</v>
      </c>
      <c r="G995" s="989" t="s">
        <v>657</v>
      </c>
      <c r="H995" s="994">
        <v>505.32000732421898</v>
      </c>
      <c r="I995" s="994">
        <v>4.8800001144409197</v>
      </c>
      <c r="J995" s="994">
        <v>510.20001220703102</v>
      </c>
      <c r="K995" s="997">
        <v>510.2</v>
      </c>
    </row>
    <row r="996" spans="1:11" ht="22.5" x14ac:dyDescent="0.25">
      <c r="A996" s="989" t="s">
        <v>190</v>
      </c>
      <c r="B996" s="993">
        <v>2018</v>
      </c>
      <c r="C996" s="989" t="s">
        <v>2993</v>
      </c>
      <c r="D996" s="989" t="s">
        <v>464</v>
      </c>
      <c r="E996" s="989" t="s">
        <v>965</v>
      </c>
      <c r="F996" s="994">
        <v>0</v>
      </c>
      <c r="G996" s="995"/>
      <c r="H996" s="996"/>
      <c r="I996" s="996"/>
      <c r="J996" s="994">
        <v>0</v>
      </c>
      <c r="K996" s="997">
        <v>0</v>
      </c>
    </row>
    <row r="997" spans="1:11" ht="33.75" x14ac:dyDescent="0.25">
      <c r="A997" s="989" t="s">
        <v>190</v>
      </c>
      <c r="B997" s="993">
        <v>2018</v>
      </c>
      <c r="C997" s="989" t="s">
        <v>2994</v>
      </c>
      <c r="D997" s="989" t="s">
        <v>46</v>
      </c>
      <c r="E997" s="989" t="s">
        <v>966</v>
      </c>
      <c r="F997" s="994">
        <v>-273449.74</v>
      </c>
      <c r="G997" s="989" t="s">
        <v>657</v>
      </c>
      <c r="H997" s="994">
        <v>-269936.21875</v>
      </c>
      <c r="I997" s="994">
        <v>-3513.51000976563</v>
      </c>
      <c r="J997" s="994">
        <v>-273449.75</v>
      </c>
      <c r="K997" s="997">
        <v>-273449.74</v>
      </c>
    </row>
    <row r="998" spans="1:11" ht="22.5" x14ac:dyDescent="0.25">
      <c r="A998" s="989" t="s">
        <v>190</v>
      </c>
      <c r="B998" s="993">
        <v>2018</v>
      </c>
      <c r="C998" s="989" t="s">
        <v>2994</v>
      </c>
      <c r="D998" s="989" t="s">
        <v>2482</v>
      </c>
      <c r="E998" s="989" t="s">
        <v>966</v>
      </c>
      <c r="F998" s="994">
        <v>0</v>
      </c>
      <c r="G998" s="995"/>
      <c r="H998" s="996"/>
      <c r="I998" s="996"/>
      <c r="J998" s="994">
        <v>0</v>
      </c>
      <c r="K998" s="997">
        <v>0</v>
      </c>
    </row>
    <row r="999" spans="1:11" ht="22.5" x14ac:dyDescent="0.25">
      <c r="A999" s="989" t="s">
        <v>190</v>
      </c>
      <c r="B999" s="993">
        <v>2018</v>
      </c>
      <c r="C999" s="989" t="s">
        <v>2994</v>
      </c>
      <c r="D999" s="989" t="s">
        <v>2483</v>
      </c>
      <c r="E999" s="989" t="s">
        <v>966</v>
      </c>
      <c r="F999" s="994">
        <v>0</v>
      </c>
      <c r="G999" s="995"/>
      <c r="H999" s="996"/>
      <c r="I999" s="996"/>
      <c r="J999" s="994">
        <v>0</v>
      </c>
      <c r="K999" s="997">
        <v>0</v>
      </c>
    </row>
    <row r="1000" spans="1:11" ht="22.5" x14ac:dyDescent="0.25">
      <c r="A1000" s="989" t="s">
        <v>190</v>
      </c>
      <c r="B1000" s="993">
        <v>2018</v>
      </c>
      <c r="C1000" s="989" t="s">
        <v>2994</v>
      </c>
      <c r="D1000" s="989" t="s">
        <v>2484</v>
      </c>
      <c r="E1000" s="989" t="s">
        <v>966</v>
      </c>
      <c r="F1000" s="994">
        <v>-116.51</v>
      </c>
      <c r="G1000" s="995"/>
      <c r="H1000" s="996"/>
      <c r="I1000" s="996"/>
      <c r="J1000" s="994">
        <v>0</v>
      </c>
      <c r="K1000" s="997">
        <v>-116.51</v>
      </c>
    </row>
    <row r="1001" spans="1:11" ht="22.5" x14ac:dyDescent="0.25">
      <c r="A1001" s="989" t="s">
        <v>190</v>
      </c>
      <c r="B1001" s="993">
        <v>2018</v>
      </c>
      <c r="C1001" s="989" t="s">
        <v>2994</v>
      </c>
      <c r="D1001" s="989" t="s">
        <v>2485</v>
      </c>
      <c r="E1001" s="989" t="s">
        <v>966</v>
      </c>
      <c r="F1001" s="994">
        <v>-8500.2099999999991</v>
      </c>
      <c r="G1001" s="995"/>
      <c r="H1001" s="996"/>
      <c r="I1001" s="996"/>
      <c r="J1001" s="994">
        <v>0</v>
      </c>
      <c r="K1001" s="997">
        <v>-8500.2099999999991</v>
      </c>
    </row>
    <row r="1002" spans="1:11" ht="33.75" x14ac:dyDescent="0.25">
      <c r="A1002" s="989" t="s">
        <v>190</v>
      </c>
      <c r="B1002" s="993">
        <v>2018</v>
      </c>
      <c r="C1002" s="989" t="s">
        <v>2995</v>
      </c>
      <c r="D1002" s="989" t="s">
        <v>47</v>
      </c>
      <c r="E1002" s="989" t="s">
        <v>967</v>
      </c>
      <c r="F1002" s="994">
        <v>106791.17</v>
      </c>
      <c r="G1002" s="989" t="s">
        <v>657</v>
      </c>
      <c r="H1002" s="994">
        <v>104936.359375</v>
      </c>
      <c r="I1002" s="994">
        <v>1854.81005859375</v>
      </c>
      <c r="J1002" s="994">
        <v>106791.171875</v>
      </c>
      <c r="K1002" s="997">
        <v>106791.17</v>
      </c>
    </row>
    <row r="1003" spans="1:11" ht="33.75" x14ac:dyDescent="0.25">
      <c r="A1003" s="989" t="s">
        <v>190</v>
      </c>
      <c r="B1003" s="993">
        <v>2018</v>
      </c>
      <c r="C1003" s="989" t="s">
        <v>2996</v>
      </c>
      <c r="D1003" s="989" t="s">
        <v>48</v>
      </c>
      <c r="E1003" s="989" t="s">
        <v>968</v>
      </c>
      <c r="F1003" s="994">
        <v>57965.98</v>
      </c>
      <c r="G1003" s="989" t="s">
        <v>657</v>
      </c>
      <c r="H1003" s="994">
        <v>56878.609375</v>
      </c>
      <c r="I1003" s="994">
        <v>1087.36999511719</v>
      </c>
      <c r="J1003" s="994">
        <v>57965.98046875</v>
      </c>
      <c r="K1003" s="997">
        <v>57965.98</v>
      </c>
    </row>
    <row r="1004" spans="1:11" ht="33.75" x14ac:dyDescent="0.25">
      <c r="A1004" s="989" t="s">
        <v>190</v>
      </c>
      <c r="B1004" s="993">
        <v>2018</v>
      </c>
      <c r="C1004" s="989" t="s">
        <v>2997</v>
      </c>
      <c r="D1004" s="989" t="s">
        <v>50</v>
      </c>
      <c r="E1004" s="989" t="s">
        <v>969</v>
      </c>
      <c r="F1004" s="994">
        <v>-343234.48</v>
      </c>
      <c r="G1004" s="989" t="s">
        <v>657</v>
      </c>
      <c r="H1004" s="994">
        <v>-340671.375</v>
      </c>
      <c r="I1004" s="994">
        <v>-2563.10009765625</v>
      </c>
      <c r="J1004" s="994">
        <v>-343234.46875</v>
      </c>
      <c r="K1004" s="997">
        <v>-343234.48</v>
      </c>
    </row>
    <row r="1005" spans="1:11" ht="22.5" x14ac:dyDescent="0.25">
      <c r="A1005" s="989" t="s">
        <v>190</v>
      </c>
      <c r="B1005" s="993">
        <v>2018</v>
      </c>
      <c r="C1005" s="989" t="s">
        <v>2998</v>
      </c>
      <c r="D1005" s="989" t="s">
        <v>348</v>
      </c>
      <c r="E1005" s="989" t="s">
        <v>970</v>
      </c>
      <c r="F1005" s="994">
        <v>120558.52</v>
      </c>
      <c r="G1005" s="989" t="s">
        <v>657</v>
      </c>
      <c r="H1005" s="994">
        <v>121802.96875</v>
      </c>
      <c r="I1005" s="994">
        <v>-1244.44995117188</v>
      </c>
      <c r="J1005" s="994">
        <v>120558.5234375</v>
      </c>
      <c r="K1005" s="997">
        <v>120558.52</v>
      </c>
    </row>
    <row r="1006" spans="1:11" ht="45" x14ac:dyDescent="0.25">
      <c r="A1006" s="989" t="s">
        <v>190</v>
      </c>
      <c r="B1006" s="993">
        <v>2018</v>
      </c>
      <c r="C1006" s="989" t="s">
        <v>2999</v>
      </c>
      <c r="D1006" s="989" t="s">
        <v>659</v>
      </c>
      <c r="E1006" s="989" t="s">
        <v>1390</v>
      </c>
      <c r="F1006" s="994">
        <v>0</v>
      </c>
      <c r="G1006" s="989" t="s">
        <v>657</v>
      </c>
      <c r="H1006" s="996"/>
      <c r="I1006" s="996"/>
      <c r="J1006" s="994">
        <v>0</v>
      </c>
      <c r="K1006" s="997">
        <v>0</v>
      </c>
    </row>
    <row r="1007" spans="1:11" ht="45" x14ac:dyDescent="0.25">
      <c r="A1007" s="989" t="s">
        <v>190</v>
      </c>
      <c r="B1007" s="993">
        <v>2018</v>
      </c>
      <c r="C1007" s="989" t="s">
        <v>2999</v>
      </c>
      <c r="D1007" s="989" t="s">
        <v>660</v>
      </c>
      <c r="E1007" s="989" t="s">
        <v>1391</v>
      </c>
      <c r="F1007" s="994">
        <v>0</v>
      </c>
      <c r="G1007" s="989" t="s">
        <v>657</v>
      </c>
      <c r="H1007" s="996"/>
      <c r="I1007" s="996"/>
      <c r="J1007" s="994">
        <v>0</v>
      </c>
      <c r="K1007" s="997">
        <v>0</v>
      </c>
    </row>
    <row r="1008" spans="1:11" ht="45" x14ac:dyDescent="0.25">
      <c r="A1008" s="989" t="s">
        <v>190</v>
      </c>
      <c r="B1008" s="993">
        <v>2018</v>
      </c>
      <c r="C1008" s="989" t="s">
        <v>2999</v>
      </c>
      <c r="D1008" s="989" t="s">
        <v>661</v>
      </c>
      <c r="E1008" s="989" t="s">
        <v>1392</v>
      </c>
      <c r="F1008" s="994">
        <v>0</v>
      </c>
      <c r="G1008" s="989" t="s">
        <v>657</v>
      </c>
      <c r="H1008" s="996"/>
      <c r="I1008" s="996"/>
      <c r="J1008" s="994">
        <v>0</v>
      </c>
      <c r="K1008" s="997">
        <v>0</v>
      </c>
    </row>
    <row r="1009" spans="1:11" ht="45" x14ac:dyDescent="0.25">
      <c r="A1009" s="989" t="s">
        <v>190</v>
      </c>
      <c r="B1009" s="993">
        <v>2018</v>
      </c>
      <c r="C1009" s="989" t="s">
        <v>2999</v>
      </c>
      <c r="D1009" s="989" t="s">
        <v>662</v>
      </c>
      <c r="E1009" s="989" t="s">
        <v>1393</v>
      </c>
      <c r="F1009" s="994">
        <v>0</v>
      </c>
      <c r="G1009" s="989" t="s">
        <v>657</v>
      </c>
      <c r="H1009" s="996"/>
      <c r="I1009" s="996"/>
      <c r="J1009" s="994">
        <v>0</v>
      </c>
      <c r="K1009" s="997">
        <v>0</v>
      </c>
    </row>
    <row r="1010" spans="1:11" ht="45" x14ac:dyDescent="0.25">
      <c r="A1010" s="989" t="s">
        <v>190</v>
      </c>
      <c r="B1010" s="993">
        <v>2018</v>
      </c>
      <c r="C1010" s="989" t="s">
        <v>2999</v>
      </c>
      <c r="D1010" s="989" t="s">
        <v>663</v>
      </c>
      <c r="E1010" s="989" t="s">
        <v>1394</v>
      </c>
      <c r="F1010" s="994">
        <v>0</v>
      </c>
      <c r="G1010" s="989" t="s">
        <v>657</v>
      </c>
      <c r="H1010" s="996"/>
      <c r="I1010" s="996"/>
      <c r="J1010" s="994">
        <v>0</v>
      </c>
      <c r="K1010" s="997">
        <v>0</v>
      </c>
    </row>
    <row r="1011" spans="1:11" ht="45" x14ac:dyDescent="0.25">
      <c r="A1011" s="989" t="s">
        <v>190</v>
      </c>
      <c r="B1011" s="993">
        <v>2018</v>
      </c>
      <c r="C1011" s="989" t="s">
        <v>2999</v>
      </c>
      <c r="D1011" s="989" t="s">
        <v>664</v>
      </c>
      <c r="E1011" s="989" t="s">
        <v>1395</v>
      </c>
      <c r="F1011" s="994">
        <v>0</v>
      </c>
      <c r="G1011" s="989" t="s">
        <v>657</v>
      </c>
      <c r="H1011" s="996"/>
      <c r="I1011" s="996"/>
      <c r="J1011" s="994">
        <v>0</v>
      </c>
      <c r="K1011" s="997">
        <v>0</v>
      </c>
    </row>
    <row r="1012" spans="1:11" ht="45" x14ac:dyDescent="0.25">
      <c r="A1012" s="989" t="s">
        <v>190</v>
      </c>
      <c r="B1012" s="993">
        <v>2018</v>
      </c>
      <c r="C1012" s="989" t="s">
        <v>2999</v>
      </c>
      <c r="D1012" s="989" t="s">
        <v>665</v>
      </c>
      <c r="E1012" s="989" t="s">
        <v>1396</v>
      </c>
      <c r="F1012" s="994">
        <v>0</v>
      </c>
      <c r="G1012" s="989" t="s">
        <v>657</v>
      </c>
      <c r="H1012" s="996"/>
      <c r="I1012" s="996"/>
      <c r="J1012" s="994">
        <v>0</v>
      </c>
      <c r="K1012" s="997">
        <v>0</v>
      </c>
    </row>
    <row r="1013" spans="1:11" ht="45" x14ac:dyDescent="0.25">
      <c r="A1013" s="989" t="s">
        <v>190</v>
      </c>
      <c r="B1013" s="993">
        <v>2018</v>
      </c>
      <c r="C1013" s="989" t="s">
        <v>2999</v>
      </c>
      <c r="D1013" s="989" t="s">
        <v>1870</v>
      </c>
      <c r="E1013" s="989" t="s">
        <v>2321</v>
      </c>
      <c r="F1013" s="994">
        <v>0</v>
      </c>
      <c r="G1013" s="989" t="s">
        <v>657</v>
      </c>
      <c r="H1013" s="994">
        <v>482.35000610351602</v>
      </c>
      <c r="I1013" s="994">
        <v>-953.32000732421898</v>
      </c>
      <c r="J1013" s="994">
        <v>-470.97000122070301</v>
      </c>
      <c r="K1013" s="997">
        <v>-470.97</v>
      </c>
    </row>
    <row r="1014" spans="1:11" ht="45" x14ac:dyDescent="0.25">
      <c r="A1014" s="989" t="s">
        <v>190</v>
      </c>
      <c r="B1014" s="993">
        <v>2018</v>
      </c>
      <c r="C1014" s="989" t="s">
        <v>2999</v>
      </c>
      <c r="D1014" s="989" t="s">
        <v>2486</v>
      </c>
      <c r="E1014" s="989" t="s">
        <v>2526</v>
      </c>
      <c r="F1014" s="994">
        <v>0</v>
      </c>
      <c r="G1014" s="989" t="s">
        <v>657</v>
      </c>
      <c r="H1014" s="994">
        <v>46468.078125</v>
      </c>
      <c r="I1014" s="994">
        <v>3854.65991210938</v>
      </c>
      <c r="J1014" s="994">
        <v>50322.73828125</v>
      </c>
      <c r="K1014" s="997">
        <v>50322.74</v>
      </c>
    </row>
    <row r="1015" spans="1:11" ht="45" x14ac:dyDescent="0.25">
      <c r="A1015" s="989" t="s">
        <v>190</v>
      </c>
      <c r="B1015" s="993">
        <v>2018</v>
      </c>
      <c r="C1015" s="989" t="s">
        <v>2999</v>
      </c>
      <c r="D1015" s="989" t="s">
        <v>4892</v>
      </c>
      <c r="E1015" s="989" t="s">
        <v>6024</v>
      </c>
      <c r="F1015" s="994">
        <v>0</v>
      </c>
      <c r="G1015" s="989" t="s">
        <v>657</v>
      </c>
      <c r="H1015" s="994">
        <v>-80613.96875</v>
      </c>
      <c r="I1015" s="994">
        <v>-767.69000244140602</v>
      </c>
      <c r="J1015" s="994">
        <v>-81381.65625</v>
      </c>
      <c r="K1015" s="997">
        <v>-81381.66</v>
      </c>
    </row>
    <row r="1016" spans="1:11" ht="45" x14ac:dyDescent="0.25">
      <c r="A1016" s="989" t="s">
        <v>190</v>
      </c>
      <c r="B1016" s="993">
        <v>2018</v>
      </c>
      <c r="C1016" s="989" t="s">
        <v>2999</v>
      </c>
      <c r="D1016" s="989" t="s">
        <v>666</v>
      </c>
      <c r="E1016" s="989" t="s">
        <v>1574</v>
      </c>
      <c r="F1016" s="994">
        <v>-31529.89</v>
      </c>
      <c r="G1016" s="995"/>
      <c r="H1016" s="996"/>
      <c r="I1016" s="996"/>
      <c r="J1016" s="994">
        <v>0</v>
      </c>
      <c r="K1016" s="997">
        <v>-31529.89</v>
      </c>
    </row>
    <row r="1017" spans="1:11" ht="22.5" x14ac:dyDescent="0.25">
      <c r="A1017" s="989" t="s">
        <v>242</v>
      </c>
      <c r="B1017" s="993">
        <v>2018</v>
      </c>
      <c r="C1017" s="989" t="s">
        <v>2991</v>
      </c>
      <c r="D1017" s="989" t="s">
        <v>49</v>
      </c>
      <c r="E1017" s="989" t="s">
        <v>971</v>
      </c>
      <c r="F1017" s="994">
        <v>948820.41</v>
      </c>
      <c r="G1017" s="989" t="s">
        <v>657</v>
      </c>
      <c r="H1017" s="994">
        <v>937997.8125</v>
      </c>
      <c r="I1017" s="994">
        <v>10822.599609375</v>
      </c>
      <c r="J1017" s="994">
        <v>948820.4375</v>
      </c>
      <c r="K1017" s="997">
        <v>948820.41</v>
      </c>
    </row>
    <row r="1018" spans="1:11" ht="33.75" x14ac:dyDescent="0.25">
      <c r="A1018" s="989" t="s">
        <v>242</v>
      </c>
      <c r="B1018" s="993">
        <v>2018</v>
      </c>
      <c r="C1018" s="989" t="s">
        <v>2992</v>
      </c>
      <c r="D1018" s="989" t="s">
        <v>658</v>
      </c>
      <c r="E1018" s="989" t="s">
        <v>972</v>
      </c>
      <c r="F1018" s="994">
        <v>-204527.06</v>
      </c>
      <c r="G1018" s="989" t="s">
        <v>657</v>
      </c>
      <c r="H1018" s="994">
        <v>-202111.90625</v>
      </c>
      <c r="I1018" s="994">
        <v>-2415.15991210938</v>
      </c>
      <c r="J1018" s="994">
        <v>-204527.0625</v>
      </c>
      <c r="K1018" s="997">
        <v>-204527.06</v>
      </c>
    </row>
    <row r="1019" spans="1:11" ht="22.5" x14ac:dyDescent="0.25">
      <c r="A1019" s="989" t="s">
        <v>242</v>
      </c>
      <c r="B1019" s="993">
        <v>2018</v>
      </c>
      <c r="C1019" s="989" t="s">
        <v>2993</v>
      </c>
      <c r="D1019" s="989" t="s">
        <v>464</v>
      </c>
      <c r="E1019" s="989" t="s">
        <v>973</v>
      </c>
      <c r="F1019" s="994">
        <v>466871</v>
      </c>
      <c r="G1019" s="995"/>
      <c r="H1019" s="996"/>
      <c r="I1019" s="996"/>
      <c r="J1019" s="994">
        <v>0</v>
      </c>
      <c r="K1019" s="997">
        <v>466871</v>
      </c>
    </row>
    <row r="1020" spans="1:11" ht="33.75" x14ac:dyDescent="0.25">
      <c r="A1020" s="989" t="s">
        <v>242</v>
      </c>
      <c r="B1020" s="993">
        <v>2018</v>
      </c>
      <c r="C1020" s="989" t="s">
        <v>2994</v>
      </c>
      <c r="D1020" s="989" t="s">
        <v>46</v>
      </c>
      <c r="E1020" s="989" t="s">
        <v>974</v>
      </c>
      <c r="F1020" s="994">
        <v>-3011616.49</v>
      </c>
      <c r="G1020" s="989" t="s">
        <v>657</v>
      </c>
      <c r="H1020" s="994">
        <v>-2976523</v>
      </c>
      <c r="I1020" s="994">
        <v>-35093.51171875</v>
      </c>
      <c r="J1020" s="994">
        <v>-3011616.5</v>
      </c>
      <c r="K1020" s="997">
        <v>-3011616.49</v>
      </c>
    </row>
    <row r="1021" spans="1:11" ht="22.5" x14ac:dyDescent="0.25">
      <c r="A1021" s="989" t="s">
        <v>242</v>
      </c>
      <c r="B1021" s="993">
        <v>2018</v>
      </c>
      <c r="C1021" s="989" t="s">
        <v>2994</v>
      </c>
      <c r="D1021" s="989" t="s">
        <v>2482</v>
      </c>
      <c r="E1021" s="989" t="s">
        <v>974</v>
      </c>
      <c r="F1021" s="994">
        <v>35.229999999999997</v>
      </c>
      <c r="G1021" s="995"/>
      <c r="H1021" s="996"/>
      <c r="I1021" s="996"/>
      <c r="J1021" s="994">
        <v>0</v>
      </c>
      <c r="K1021" s="997">
        <v>35.229999999999997</v>
      </c>
    </row>
    <row r="1022" spans="1:11" ht="22.5" x14ac:dyDescent="0.25">
      <c r="A1022" s="989" t="s">
        <v>242</v>
      </c>
      <c r="B1022" s="993">
        <v>2018</v>
      </c>
      <c r="C1022" s="989" t="s">
        <v>2994</v>
      </c>
      <c r="D1022" s="989" t="s">
        <v>2483</v>
      </c>
      <c r="E1022" s="989" t="s">
        <v>974</v>
      </c>
      <c r="F1022" s="994">
        <v>1286.8499999999999</v>
      </c>
      <c r="G1022" s="995"/>
      <c r="H1022" s="996"/>
      <c r="I1022" s="996"/>
      <c r="J1022" s="994">
        <v>0</v>
      </c>
      <c r="K1022" s="997">
        <v>1286.8499999999999</v>
      </c>
    </row>
    <row r="1023" spans="1:11" ht="22.5" x14ac:dyDescent="0.25">
      <c r="A1023" s="989" t="s">
        <v>242</v>
      </c>
      <c r="B1023" s="993">
        <v>2018</v>
      </c>
      <c r="C1023" s="989" t="s">
        <v>2994</v>
      </c>
      <c r="D1023" s="989" t="s">
        <v>2484</v>
      </c>
      <c r="E1023" s="989" t="s">
        <v>974</v>
      </c>
      <c r="F1023" s="994">
        <v>11200.78</v>
      </c>
      <c r="G1023" s="995"/>
      <c r="H1023" s="996"/>
      <c r="I1023" s="996"/>
      <c r="J1023" s="994">
        <v>0</v>
      </c>
      <c r="K1023" s="997">
        <v>11200.78</v>
      </c>
    </row>
    <row r="1024" spans="1:11" ht="22.5" x14ac:dyDescent="0.25">
      <c r="A1024" s="989" t="s">
        <v>242</v>
      </c>
      <c r="B1024" s="993">
        <v>2018</v>
      </c>
      <c r="C1024" s="989" t="s">
        <v>2994</v>
      </c>
      <c r="D1024" s="989" t="s">
        <v>2485</v>
      </c>
      <c r="E1024" s="989" t="s">
        <v>974</v>
      </c>
      <c r="F1024" s="994">
        <v>483545.9</v>
      </c>
      <c r="G1024" s="995"/>
      <c r="H1024" s="996"/>
      <c r="I1024" s="996"/>
      <c r="J1024" s="994">
        <v>0</v>
      </c>
      <c r="K1024" s="997">
        <v>483545.9</v>
      </c>
    </row>
    <row r="1025" spans="1:11" ht="33.75" x14ac:dyDescent="0.25">
      <c r="A1025" s="989" t="s">
        <v>242</v>
      </c>
      <c r="B1025" s="993">
        <v>2018</v>
      </c>
      <c r="C1025" s="989" t="s">
        <v>2995</v>
      </c>
      <c r="D1025" s="989" t="s">
        <v>47</v>
      </c>
      <c r="E1025" s="989" t="s">
        <v>975</v>
      </c>
      <c r="F1025" s="994">
        <v>-593340.18999999994</v>
      </c>
      <c r="G1025" s="989" t="s">
        <v>657</v>
      </c>
      <c r="H1025" s="994">
        <v>-589791.375</v>
      </c>
      <c r="I1025" s="994">
        <v>-3548.830078125</v>
      </c>
      <c r="J1025" s="994">
        <v>-593340.1875</v>
      </c>
      <c r="K1025" s="997">
        <v>-593340.18999999994</v>
      </c>
    </row>
    <row r="1026" spans="1:11" ht="33.75" x14ac:dyDescent="0.25">
      <c r="A1026" s="989" t="s">
        <v>242</v>
      </c>
      <c r="B1026" s="993">
        <v>2018</v>
      </c>
      <c r="C1026" s="989" t="s">
        <v>2996</v>
      </c>
      <c r="D1026" s="989" t="s">
        <v>48</v>
      </c>
      <c r="E1026" s="989" t="s">
        <v>976</v>
      </c>
      <c r="F1026" s="994">
        <v>-357284.89</v>
      </c>
      <c r="G1026" s="989" t="s">
        <v>657</v>
      </c>
      <c r="H1026" s="994">
        <v>-357149.125</v>
      </c>
      <c r="I1026" s="994">
        <v>-135.75999450683599</v>
      </c>
      <c r="J1026" s="994">
        <v>-357284.875</v>
      </c>
      <c r="K1026" s="997">
        <v>-357284.89</v>
      </c>
    </row>
    <row r="1027" spans="1:11" ht="33.75" x14ac:dyDescent="0.25">
      <c r="A1027" s="989" t="s">
        <v>242</v>
      </c>
      <c r="B1027" s="993">
        <v>2018</v>
      </c>
      <c r="C1027" s="989" t="s">
        <v>2997</v>
      </c>
      <c r="D1027" s="989" t="s">
        <v>50</v>
      </c>
      <c r="E1027" s="989" t="s">
        <v>977</v>
      </c>
      <c r="F1027" s="994">
        <v>1244550.17</v>
      </c>
      <c r="G1027" s="989" t="s">
        <v>657</v>
      </c>
      <c r="H1027" s="994">
        <v>1223441.25</v>
      </c>
      <c r="I1027" s="994">
        <v>21108.98046875</v>
      </c>
      <c r="J1027" s="994">
        <v>1244550.125</v>
      </c>
      <c r="K1027" s="997">
        <v>1244550.17</v>
      </c>
    </row>
    <row r="1028" spans="1:11" ht="22.5" x14ac:dyDescent="0.25">
      <c r="A1028" s="989" t="s">
        <v>242</v>
      </c>
      <c r="B1028" s="993">
        <v>2018</v>
      </c>
      <c r="C1028" s="989" t="s">
        <v>2998</v>
      </c>
      <c r="D1028" s="989" t="s">
        <v>348</v>
      </c>
      <c r="E1028" s="989" t="s">
        <v>978</v>
      </c>
      <c r="F1028" s="994">
        <v>3266022.04</v>
      </c>
      <c r="G1028" s="989" t="s">
        <v>657</v>
      </c>
      <c r="H1028" s="994">
        <v>3218808.5</v>
      </c>
      <c r="I1028" s="994">
        <v>47213.46875</v>
      </c>
      <c r="J1028" s="994">
        <v>3266022</v>
      </c>
      <c r="K1028" s="997">
        <v>3266022.04</v>
      </c>
    </row>
    <row r="1029" spans="1:11" ht="45" x14ac:dyDescent="0.25">
      <c r="A1029" s="989" t="s">
        <v>242</v>
      </c>
      <c r="B1029" s="993">
        <v>2018</v>
      </c>
      <c r="C1029" s="989" t="s">
        <v>2999</v>
      </c>
      <c r="D1029" s="989" t="s">
        <v>659</v>
      </c>
      <c r="E1029" s="989" t="s">
        <v>1397</v>
      </c>
      <c r="F1029" s="994">
        <v>0</v>
      </c>
      <c r="G1029" s="989" t="s">
        <v>657</v>
      </c>
      <c r="H1029" s="996"/>
      <c r="I1029" s="996"/>
      <c r="J1029" s="994">
        <v>0</v>
      </c>
      <c r="K1029" s="997">
        <v>0</v>
      </c>
    </row>
    <row r="1030" spans="1:11" ht="45" x14ac:dyDescent="0.25">
      <c r="A1030" s="989" t="s">
        <v>242</v>
      </c>
      <c r="B1030" s="993">
        <v>2018</v>
      </c>
      <c r="C1030" s="989" t="s">
        <v>2999</v>
      </c>
      <c r="D1030" s="989" t="s">
        <v>660</v>
      </c>
      <c r="E1030" s="989" t="s">
        <v>1398</v>
      </c>
      <c r="F1030" s="994">
        <v>0</v>
      </c>
      <c r="G1030" s="989" t="s">
        <v>657</v>
      </c>
      <c r="H1030" s="996"/>
      <c r="I1030" s="996"/>
      <c r="J1030" s="994">
        <v>0</v>
      </c>
      <c r="K1030" s="997">
        <v>0</v>
      </c>
    </row>
    <row r="1031" spans="1:11" ht="45" x14ac:dyDescent="0.25">
      <c r="A1031" s="989" t="s">
        <v>242</v>
      </c>
      <c r="B1031" s="993">
        <v>2018</v>
      </c>
      <c r="C1031" s="989" t="s">
        <v>2999</v>
      </c>
      <c r="D1031" s="989" t="s">
        <v>661</v>
      </c>
      <c r="E1031" s="989" t="s">
        <v>1399</v>
      </c>
      <c r="F1031" s="994">
        <v>0</v>
      </c>
      <c r="G1031" s="989" t="s">
        <v>657</v>
      </c>
      <c r="H1031" s="996"/>
      <c r="I1031" s="996"/>
      <c r="J1031" s="994">
        <v>0</v>
      </c>
      <c r="K1031" s="997">
        <v>0</v>
      </c>
    </row>
    <row r="1032" spans="1:11" ht="45" x14ac:dyDescent="0.25">
      <c r="A1032" s="989" t="s">
        <v>242</v>
      </c>
      <c r="B1032" s="993">
        <v>2018</v>
      </c>
      <c r="C1032" s="989" t="s">
        <v>2999</v>
      </c>
      <c r="D1032" s="989" t="s">
        <v>662</v>
      </c>
      <c r="E1032" s="989" t="s">
        <v>1400</v>
      </c>
      <c r="F1032" s="994">
        <v>0</v>
      </c>
      <c r="G1032" s="989" t="s">
        <v>657</v>
      </c>
      <c r="H1032" s="996"/>
      <c r="I1032" s="996"/>
      <c r="J1032" s="994">
        <v>0</v>
      </c>
      <c r="K1032" s="997">
        <v>0</v>
      </c>
    </row>
    <row r="1033" spans="1:11" ht="45" x14ac:dyDescent="0.25">
      <c r="A1033" s="989" t="s">
        <v>242</v>
      </c>
      <c r="B1033" s="993">
        <v>2018</v>
      </c>
      <c r="C1033" s="989" t="s">
        <v>2999</v>
      </c>
      <c r="D1033" s="989" t="s">
        <v>663</v>
      </c>
      <c r="E1033" s="989" t="s">
        <v>1401</v>
      </c>
      <c r="F1033" s="994">
        <v>0</v>
      </c>
      <c r="G1033" s="989" t="s">
        <v>657</v>
      </c>
      <c r="H1033" s="996"/>
      <c r="I1033" s="996"/>
      <c r="J1033" s="994">
        <v>0</v>
      </c>
      <c r="K1033" s="997">
        <v>0</v>
      </c>
    </row>
    <row r="1034" spans="1:11" ht="45" x14ac:dyDescent="0.25">
      <c r="A1034" s="989" t="s">
        <v>242</v>
      </c>
      <c r="B1034" s="993">
        <v>2018</v>
      </c>
      <c r="C1034" s="989" t="s">
        <v>2999</v>
      </c>
      <c r="D1034" s="989" t="s">
        <v>664</v>
      </c>
      <c r="E1034" s="989" t="s">
        <v>1402</v>
      </c>
      <c r="F1034" s="994">
        <v>0</v>
      </c>
      <c r="G1034" s="989" t="s">
        <v>657</v>
      </c>
      <c r="H1034" s="996"/>
      <c r="I1034" s="996"/>
      <c r="J1034" s="994">
        <v>0</v>
      </c>
      <c r="K1034" s="997">
        <v>0</v>
      </c>
    </row>
    <row r="1035" spans="1:11" ht="45" x14ac:dyDescent="0.25">
      <c r="A1035" s="989" t="s">
        <v>242</v>
      </c>
      <c r="B1035" s="993">
        <v>2018</v>
      </c>
      <c r="C1035" s="989" t="s">
        <v>2999</v>
      </c>
      <c r="D1035" s="989" t="s">
        <v>665</v>
      </c>
      <c r="E1035" s="989" t="s">
        <v>1403</v>
      </c>
      <c r="F1035" s="994">
        <v>0</v>
      </c>
      <c r="G1035" s="989" t="s">
        <v>657</v>
      </c>
      <c r="H1035" s="994">
        <v>-42785.5</v>
      </c>
      <c r="I1035" s="994">
        <v>-907.78997802734398</v>
      </c>
      <c r="J1035" s="994">
        <v>-43693.2890625</v>
      </c>
      <c r="K1035" s="997">
        <v>-43693.29</v>
      </c>
    </row>
    <row r="1036" spans="1:11" ht="45" x14ac:dyDescent="0.25">
      <c r="A1036" s="989" t="s">
        <v>242</v>
      </c>
      <c r="B1036" s="993">
        <v>2018</v>
      </c>
      <c r="C1036" s="989" t="s">
        <v>2999</v>
      </c>
      <c r="D1036" s="989" t="s">
        <v>1870</v>
      </c>
      <c r="E1036" s="989" t="s">
        <v>2322</v>
      </c>
      <c r="F1036" s="994">
        <v>0</v>
      </c>
      <c r="G1036" s="989" t="s">
        <v>657</v>
      </c>
      <c r="H1036" s="996"/>
      <c r="I1036" s="996"/>
      <c r="J1036" s="994">
        <v>0</v>
      </c>
      <c r="K1036" s="997">
        <v>0</v>
      </c>
    </row>
    <row r="1037" spans="1:11" ht="45" x14ac:dyDescent="0.25">
      <c r="A1037" s="989" t="s">
        <v>242</v>
      </c>
      <c r="B1037" s="993">
        <v>2018</v>
      </c>
      <c r="C1037" s="989" t="s">
        <v>2999</v>
      </c>
      <c r="D1037" s="989" t="s">
        <v>2486</v>
      </c>
      <c r="E1037" s="989" t="s">
        <v>2527</v>
      </c>
      <c r="F1037" s="994">
        <v>0</v>
      </c>
      <c r="G1037" s="989" t="s">
        <v>657</v>
      </c>
      <c r="H1037" s="996"/>
      <c r="I1037" s="996"/>
      <c r="J1037" s="994">
        <v>0</v>
      </c>
      <c r="K1037" s="997">
        <v>0</v>
      </c>
    </row>
    <row r="1038" spans="1:11" ht="45" x14ac:dyDescent="0.25">
      <c r="A1038" s="989" t="s">
        <v>242</v>
      </c>
      <c r="B1038" s="993">
        <v>2018</v>
      </c>
      <c r="C1038" s="989" t="s">
        <v>2999</v>
      </c>
      <c r="D1038" s="989" t="s">
        <v>4892</v>
      </c>
      <c r="E1038" s="989" t="s">
        <v>6025</v>
      </c>
      <c r="F1038" s="994">
        <v>0</v>
      </c>
      <c r="G1038" s="989" t="s">
        <v>657</v>
      </c>
      <c r="H1038" s="994">
        <v>-520.67999267578102</v>
      </c>
      <c r="I1038" s="994">
        <v>6509.64990234375</v>
      </c>
      <c r="J1038" s="994">
        <v>5988.97021484375</v>
      </c>
      <c r="K1038" s="997">
        <v>5988.97</v>
      </c>
    </row>
    <row r="1039" spans="1:11" ht="45" x14ac:dyDescent="0.25">
      <c r="A1039" s="989" t="s">
        <v>242</v>
      </c>
      <c r="B1039" s="993">
        <v>2018</v>
      </c>
      <c r="C1039" s="989" t="s">
        <v>2999</v>
      </c>
      <c r="D1039" s="989" t="s">
        <v>666</v>
      </c>
      <c r="E1039" s="989" t="s">
        <v>1575</v>
      </c>
      <c r="F1039" s="994">
        <v>-37704.32</v>
      </c>
      <c r="G1039" s="995"/>
      <c r="H1039" s="996"/>
      <c r="I1039" s="996"/>
      <c r="J1039" s="994">
        <v>0</v>
      </c>
      <c r="K1039" s="997">
        <v>-37704.32</v>
      </c>
    </row>
    <row r="1040" spans="1:11" x14ac:dyDescent="0.25">
      <c r="A1040" s="989" t="s">
        <v>146</v>
      </c>
      <c r="B1040" s="993">
        <v>2018</v>
      </c>
      <c r="C1040" s="989" t="s">
        <v>2991</v>
      </c>
      <c r="D1040" s="989" t="s">
        <v>49</v>
      </c>
      <c r="E1040" s="989" t="s">
        <v>979</v>
      </c>
      <c r="F1040" s="994">
        <v>819061.94</v>
      </c>
      <c r="G1040" s="989" t="s">
        <v>657</v>
      </c>
      <c r="H1040" s="994">
        <v>808058.9375</v>
      </c>
      <c r="I1040" s="994">
        <v>11003.01953125</v>
      </c>
      <c r="J1040" s="994">
        <v>819061.9375</v>
      </c>
      <c r="K1040" s="997">
        <v>819061.94</v>
      </c>
    </row>
    <row r="1041" spans="1:11" ht="33.75" x14ac:dyDescent="0.25">
      <c r="A1041" s="989" t="s">
        <v>146</v>
      </c>
      <c r="B1041" s="993">
        <v>2018</v>
      </c>
      <c r="C1041" s="989" t="s">
        <v>2992</v>
      </c>
      <c r="D1041" s="989" t="s">
        <v>658</v>
      </c>
      <c r="E1041" s="989" t="s">
        <v>980</v>
      </c>
      <c r="F1041" s="994">
        <v>-9170.93</v>
      </c>
      <c r="G1041" s="989" t="s">
        <v>657</v>
      </c>
      <c r="H1041" s="994">
        <v>-9311.240234375</v>
      </c>
      <c r="I1041" s="994">
        <v>140.30999755859401</v>
      </c>
      <c r="J1041" s="994">
        <v>-9170.9296875</v>
      </c>
      <c r="K1041" s="997">
        <v>-9170.93</v>
      </c>
    </row>
    <row r="1042" spans="1:11" ht="22.5" x14ac:dyDescent="0.25">
      <c r="A1042" s="989" t="s">
        <v>146</v>
      </c>
      <c r="B1042" s="993">
        <v>2018</v>
      </c>
      <c r="C1042" s="989" t="s">
        <v>2993</v>
      </c>
      <c r="D1042" s="989" t="s">
        <v>464</v>
      </c>
      <c r="E1042" s="989" t="s">
        <v>981</v>
      </c>
      <c r="F1042" s="994">
        <v>139765.15</v>
      </c>
      <c r="G1042" s="995"/>
      <c r="H1042" s="996"/>
      <c r="I1042" s="996"/>
      <c r="J1042" s="994">
        <v>0</v>
      </c>
      <c r="K1042" s="997">
        <v>139765.15</v>
      </c>
    </row>
    <row r="1043" spans="1:11" ht="33.75" x14ac:dyDescent="0.25">
      <c r="A1043" s="989" t="s">
        <v>146</v>
      </c>
      <c r="B1043" s="993">
        <v>2018</v>
      </c>
      <c r="C1043" s="989" t="s">
        <v>2994</v>
      </c>
      <c r="D1043" s="989" t="s">
        <v>46</v>
      </c>
      <c r="E1043" s="989" t="s">
        <v>982</v>
      </c>
      <c r="F1043" s="994">
        <v>-491057.52</v>
      </c>
      <c r="G1043" s="989" t="s">
        <v>657</v>
      </c>
      <c r="H1043" s="994">
        <v>-485089.125</v>
      </c>
      <c r="I1043" s="994">
        <v>-5968.39013671875</v>
      </c>
      <c r="J1043" s="994">
        <v>-491057.53125</v>
      </c>
      <c r="K1043" s="997">
        <v>-491057.52</v>
      </c>
    </row>
    <row r="1044" spans="1:11" ht="22.5" x14ac:dyDescent="0.25">
      <c r="A1044" s="989" t="s">
        <v>146</v>
      </c>
      <c r="B1044" s="993">
        <v>2018</v>
      </c>
      <c r="C1044" s="989" t="s">
        <v>2994</v>
      </c>
      <c r="D1044" s="989" t="s">
        <v>2482</v>
      </c>
      <c r="E1044" s="989" t="s">
        <v>982</v>
      </c>
      <c r="F1044" s="994">
        <v>-3.39</v>
      </c>
      <c r="G1044" s="995"/>
      <c r="H1044" s="996"/>
      <c r="I1044" s="996"/>
      <c r="J1044" s="994">
        <v>0</v>
      </c>
      <c r="K1044" s="997">
        <v>-3.39</v>
      </c>
    </row>
    <row r="1045" spans="1:11" ht="22.5" x14ac:dyDescent="0.25">
      <c r="A1045" s="989" t="s">
        <v>146</v>
      </c>
      <c r="B1045" s="993">
        <v>2018</v>
      </c>
      <c r="C1045" s="989" t="s">
        <v>2994</v>
      </c>
      <c r="D1045" s="989" t="s">
        <v>2483</v>
      </c>
      <c r="E1045" s="989" t="s">
        <v>982</v>
      </c>
      <c r="F1045" s="994">
        <v>-997.61</v>
      </c>
      <c r="G1045" s="995"/>
      <c r="H1045" s="996"/>
      <c r="I1045" s="996"/>
      <c r="J1045" s="994">
        <v>0</v>
      </c>
      <c r="K1045" s="997">
        <v>-997.61</v>
      </c>
    </row>
    <row r="1046" spans="1:11" ht="22.5" x14ac:dyDescent="0.25">
      <c r="A1046" s="989" t="s">
        <v>146</v>
      </c>
      <c r="B1046" s="993">
        <v>2018</v>
      </c>
      <c r="C1046" s="989" t="s">
        <v>2994</v>
      </c>
      <c r="D1046" s="989" t="s">
        <v>2484</v>
      </c>
      <c r="E1046" s="989" t="s">
        <v>982</v>
      </c>
      <c r="F1046" s="994">
        <v>-55.65</v>
      </c>
      <c r="G1046" s="995"/>
      <c r="H1046" s="996"/>
      <c r="I1046" s="996"/>
      <c r="J1046" s="994">
        <v>0</v>
      </c>
      <c r="K1046" s="997">
        <v>-55.65</v>
      </c>
    </row>
    <row r="1047" spans="1:11" ht="22.5" x14ac:dyDescent="0.25">
      <c r="A1047" s="989" t="s">
        <v>146</v>
      </c>
      <c r="B1047" s="993">
        <v>2018</v>
      </c>
      <c r="C1047" s="989" t="s">
        <v>2994</v>
      </c>
      <c r="D1047" s="989" t="s">
        <v>2485</v>
      </c>
      <c r="E1047" s="989" t="s">
        <v>982</v>
      </c>
      <c r="F1047" s="994">
        <v>-12134.29</v>
      </c>
      <c r="G1047" s="995"/>
      <c r="H1047" s="996"/>
      <c r="I1047" s="996"/>
      <c r="J1047" s="994">
        <v>0</v>
      </c>
      <c r="K1047" s="997">
        <v>-12134.29</v>
      </c>
    </row>
    <row r="1048" spans="1:11" ht="33.75" x14ac:dyDescent="0.25">
      <c r="A1048" s="989" t="s">
        <v>146</v>
      </c>
      <c r="B1048" s="993">
        <v>2018</v>
      </c>
      <c r="C1048" s="989" t="s">
        <v>2995</v>
      </c>
      <c r="D1048" s="989" t="s">
        <v>47</v>
      </c>
      <c r="E1048" s="989" t="s">
        <v>983</v>
      </c>
      <c r="F1048" s="994">
        <v>-38486.019999999997</v>
      </c>
      <c r="G1048" s="989" t="s">
        <v>657</v>
      </c>
      <c r="H1048" s="994">
        <v>-38530.1796875</v>
      </c>
      <c r="I1048" s="994">
        <v>44.159999847412102</v>
      </c>
      <c r="J1048" s="994">
        <v>-38486.01953125</v>
      </c>
      <c r="K1048" s="997">
        <v>-38486.019999999997</v>
      </c>
    </row>
    <row r="1049" spans="1:11" ht="33.75" x14ac:dyDescent="0.25">
      <c r="A1049" s="989" t="s">
        <v>146</v>
      </c>
      <c r="B1049" s="993">
        <v>2018</v>
      </c>
      <c r="C1049" s="989" t="s">
        <v>2996</v>
      </c>
      <c r="D1049" s="989" t="s">
        <v>48</v>
      </c>
      <c r="E1049" s="989" t="s">
        <v>984</v>
      </c>
      <c r="F1049" s="994">
        <v>532.75</v>
      </c>
      <c r="G1049" s="989" t="s">
        <v>657</v>
      </c>
      <c r="H1049" s="994">
        <v>67.650001525878906</v>
      </c>
      <c r="I1049" s="994">
        <v>465.10000610351602</v>
      </c>
      <c r="J1049" s="994">
        <v>532.75</v>
      </c>
      <c r="K1049" s="997">
        <v>532.75</v>
      </c>
    </row>
    <row r="1050" spans="1:11" ht="33.75" x14ac:dyDescent="0.25">
      <c r="A1050" s="989" t="s">
        <v>146</v>
      </c>
      <c r="B1050" s="993">
        <v>2018</v>
      </c>
      <c r="C1050" s="989" t="s">
        <v>2997</v>
      </c>
      <c r="D1050" s="989" t="s">
        <v>50</v>
      </c>
      <c r="E1050" s="989" t="s">
        <v>985</v>
      </c>
      <c r="F1050" s="994">
        <v>56315.22</v>
      </c>
      <c r="G1050" s="989" t="s">
        <v>657</v>
      </c>
      <c r="H1050" s="994">
        <v>56481.921875</v>
      </c>
      <c r="I1050" s="994">
        <v>-166.69999694824199</v>
      </c>
      <c r="J1050" s="994">
        <v>56315.21875</v>
      </c>
      <c r="K1050" s="997">
        <v>56315.22</v>
      </c>
    </row>
    <row r="1051" spans="1:11" ht="22.5" x14ac:dyDescent="0.25">
      <c r="A1051" s="989" t="s">
        <v>146</v>
      </c>
      <c r="B1051" s="993">
        <v>2018</v>
      </c>
      <c r="C1051" s="989" t="s">
        <v>2998</v>
      </c>
      <c r="D1051" s="989" t="s">
        <v>348</v>
      </c>
      <c r="E1051" s="989" t="s">
        <v>986</v>
      </c>
      <c r="F1051" s="994">
        <v>878486.15</v>
      </c>
      <c r="G1051" s="989" t="s">
        <v>657</v>
      </c>
      <c r="H1051" s="994">
        <v>871256.125</v>
      </c>
      <c r="I1051" s="994">
        <v>7230</v>
      </c>
      <c r="J1051" s="994">
        <v>878486.125</v>
      </c>
      <c r="K1051" s="997">
        <v>878486.15</v>
      </c>
    </row>
    <row r="1052" spans="1:11" ht="45" x14ac:dyDescent="0.25">
      <c r="A1052" s="989" t="s">
        <v>146</v>
      </c>
      <c r="B1052" s="993">
        <v>2018</v>
      </c>
      <c r="C1052" s="989" t="s">
        <v>2999</v>
      </c>
      <c r="D1052" s="989" t="s">
        <v>659</v>
      </c>
      <c r="E1052" s="989" t="s">
        <v>1404</v>
      </c>
      <c r="F1052" s="994">
        <v>0</v>
      </c>
      <c r="G1052" s="989" t="s">
        <v>657</v>
      </c>
      <c r="H1052" s="996"/>
      <c r="I1052" s="996"/>
      <c r="J1052" s="994">
        <v>0</v>
      </c>
      <c r="K1052" s="997">
        <v>0</v>
      </c>
    </row>
    <row r="1053" spans="1:11" ht="45" x14ac:dyDescent="0.25">
      <c r="A1053" s="989" t="s">
        <v>146</v>
      </c>
      <c r="B1053" s="993">
        <v>2018</v>
      </c>
      <c r="C1053" s="989" t="s">
        <v>2999</v>
      </c>
      <c r="D1053" s="989" t="s">
        <v>660</v>
      </c>
      <c r="E1053" s="989" t="s">
        <v>1405</v>
      </c>
      <c r="F1053" s="994">
        <v>0</v>
      </c>
      <c r="G1053" s="989" t="s">
        <v>657</v>
      </c>
      <c r="H1053" s="996"/>
      <c r="I1053" s="996"/>
      <c r="J1053" s="994">
        <v>0</v>
      </c>
      <c r="K1053" s="997">
        <v>0</v>
      </c>
    </row>
    <row r="1054" spans="1:11" ht="45" x14ac:dyDescent="0.25">
      <c r="A1054" s="989" t="s">
        <v>146</v>
      </c>
      <c r="B1054" s="993">
        <v>2018</v>
      </c>
      <c r="C1054" s="989" t="s">
        <v>2999</v>
      </c>
      <c r="D1054" s="989" t="s">
        <v>661</v>
      </c>
      <c r="E1054" s="989" t="s">
        <v>1406</v>
      </c>
      <c r="F1054" s="994">
        <v>0</v>
      </c>
      <c r="G1054" s="989" t="s">
        <v>657</v>
      </c>
      <c r="H1054" s="996"/>
      <c r="I1054" s="996"/>
      <c r="J1054" s="994">
        <v>0</v>
      </c>
      <c r="K1054" s="997">
        <v>0</v>
      </c>
    </row>
    <row r="1055" spans="1:11" ht="45" x14ac:dyDescent="0.25">
      <c r="A1055" s="989" t="s">
        <v>146</v>
      </c>
      <c r="B1055" s="993">
        <v>2018</v>
      </c>
      <c r="C1055" s="989" t="s">
        <v>2999</v>
      </c>
      <c r="D1055" s="989" t="s">
        <v>662</v>
      </c>
      <c r="E1055" s="989" t="s">
        <v>1407</v>
      </c>
      <c r="F1055" s="994">
        <v>0</v>
      </c>
      <c r="G1055" s="989" t="s">
        <v>657</v>
      </c>
      <c r="H1055" s="996"/>
      <c r="I1055" s="996"/>
      <c r="J1055" s="994">
        <v>0</v>
      </c>
      <c r="K1055" s="997">
        <v>0</v>
      </c>
    </row>
    <row r="1056" spans="1:11" ht="45" x14ac:dyDescent="0.25">
      <c r="A1056" s="989" t="s">
        <v>146</v>
      </c>
      <c r="B1056" s="993">
        <v>2018</v>
      </c>
      <c r="C1056" s="989" t="s">
        <v>2999</v>
      </c>
      <c r="D1056" s="989" t="s">
        <v>663</v>
      </c>
      <c r="E1056" s="989" t="s">
        <v>1408</v>
      </c>
      <c r="F1056" s="994">
        <v>0</v>
      </c>
      <c r="G1056" s="989" t="s">
        <v>657</v>
      </c>
      <c r="H1056" s="996"/>
      <c r="I1056" s="996"/>
      <c r="J1056" s="994">
        <v>0</v>
      </c>
      <c r="K1056" s="997">
        <v>0</v>
      </c>
    </row>
    <row r="1057" spans="1:11" ht="45" x14ac:dyDescent="0.25">
      <c r="A1057" s="989" t="s">
        <v>146</v>
      </c>
      <c r="B1057" s="993">
        <v>2018</v>
      </c>
      <c r="C1057" s="989" t="s">
        <v>2999</v>
      </c>
      <c r="D1057" s="989" t="s">
        <v>664</v>
      </c>
      <c r="E1057" s="989" t="s">
        <v>1409</v>
      </c>
      <c r="F1057" s="994">
        <v>0</v>
      </c>
      <c r="G1057" s="989" t="s">
        <v>657</v>
      </c>
      <c r="H1057" s="996"/>
      <c r="I1057" s="996"/>
      <c r="J1057" s="994">
        <v>0</v>
      </c>
      <c r="K1057" s="997">
        <v>0</v>
      </c>
    </row>
    <row r="1058" spans="1:11" ht="45" x14ac:dyDescent="0.25">
      <c r="A1058" s="989" t="s">
        <v>146</v>
      </c>
      <c r="B1058" s="993">
        <v>2018</v>
      </c>
      <c r="C1058" s="989" t="s">
        <v>2999</v>
      </c>
      <c r="D1058" s="989" t="s">
        <v>665</v>
      </c>
      <c r="E1058" s="989" t="s">
        <v>1410</v>
      </c>
      <c r="F1058" s="994">
        <v>0</v>
      </c>
      <c r="G1058" s="989" t="s">
        <v>657</v>
      </c>
      <c r="H1058" s="996"/>
      <c r="I1058" s="996"/>
      <c r="J1058" s="994">
        <v>0</v>
      </c>
      <c r="K1058" s="997">
        <v>0</v>
      </c>
    </row>
    <row r="1059" spans="1:11" ht="45" x14ac:dyDescent="0.25">
      <c r="A1059" s="989" t="s">
        <v>146</v>
      </c>
      <c r="B1059" s="993">
        <v>2018</v>
      </c>
      <c r="C1059" s="989" t="s">
        <v>2999</v>
      </c>
      <c r="D1059" s="989" t="s">
        <v>1870</v>
      </c>
      <c r="E1059" s="989" t="s">
        <v>2323</v>
      </c>
      <c r="F1059" s="994">
        <v>0</v>
      </c>
      <c r="G1059" s="989" t="s">
        <v>657</v>
      </c>
      <c r="H1059" s="994">
        <v>10319.830078125</v>
      </c>
      <c r="I1059" s="994">
        <v>1464.05004882813</v>
      </c>
      <c r="J1059" s="994">
        <v>11783.8798828125</v>
      </c>
      <c r="K1059" s="997">
        <v>11783.88</v>
      </c>
    </row>
    <row r="1060" spans="1:11" ht="45" x14ac:dyDescent="0.25">
      <c r="A1060" s="989" t="s">
        <v>146</v>
      </c>
      <c r="B1060" s="993">
        <v>2018</v>
      </c>
      <c r="C1060" s="989" t="s">
        <v>2999</v>
      </c>
      <c r="D1060" s="989" t="s">
        <v>2486</v>
      </c>
      <c r="E1060" s="989" t="s">
        <v>2528</v>
      </c>
      <c r="F1060" s="994">
        <v>0</v>
      </c>
      <c r="G1060" s="989" t="s">
        <v>657</v>
      </c>
      <c r="H1060" s="994">
        <v>-13128</v>
      </c>
      <c r="I1060" s="994">
        <v>2484.51000976563</v>
      </c>
      <c r="J1060" s="994">
        <v>-10643.490234375</v>
      </c>
      <c r="K1060" s="997">
        <v>-10643.49</v>
      </c>
    </row>
    <row r="1061" spans="1:11" ht="45" x14ac:dyDescent="0.25">
      <c r="A1061" s="989" t="s">
        <v>146</v>
      </c>
      <c r="B1061" s="993">
        <v>2018</v>
      </c>
      <c r="C1061" s="989" t="s">
        <v>2999</v>
      </c>
      <c r="D1061" s="989" t="s">
        <v>4892</v>
      </c>
      <c r="E1061" s="989" t="s">
        <v>6026</v>
      </c>
      <c r="F1061" s="994">
        <v>0</v>
      </c>
      <c r="G1061" s="989" t="s">
        <v>657</v>
      </c>
      <c r="H1061" s="994">
        <v>42698.51171875</v>
      </c>
      <c r="I1061" s="994">
        <v>870.88000488281295</v>
      </c>
      <c r="J1061" s="994">
        <v>43569.390625</v>
      </c>
      <c r="K1061" s="997">
        <v>43569.39</v>
      </c>
    </row>
    <row r="1062" spans="1:11" ht="45" x14ac:dyDescent="0.25">
      <c r="A1062" s="989" t="s">
        <v>146</v>
      </c>
      <c r="B1062" s="993">
        <v>2018</v>
      </c>
      <c r="C1062" s="989" t="s">
        <v>2999</v>
      </c>
      <c r="D1062" s="989" t="s">
        <v>666</v>
      </c>
      <c r="E1062" s="989" t="s">
        <v>1576</v>
      </c>
      <c r="F1062" s="994">
        <v>44709.78</v>
      </c>
      <c r="G1062" s="995"/>
      <c r="H1062" s="996"/>
      <c r="I1062" s="996"/>
      <c r="J1062" s="994">
        <v>0</v>
      </c>
      <c r="K1062" s="997">
        <v>44709.78</v>
      </c>
    </row>
    <row r="1063" spans="1:11" ht="22.5" x14ac:dyDescent="0.25">
      <c r="A1063" s="989" t="s">
        <v>243</v>
      </c>
      <c r="B1063" s="993">
        <v>2018</v>
      </c>
      <c r="C1063" s="989" t="s">
        <v>2991</v>
      </c>
      <c r="D1063" s="989" t="s">
        <v>49</v>
      </c>
      <c r="E1063" s="989" t="s">
        <v>987</v>
      </c>
      <c r="F1063" s="994">
        <v>1392029</v>
      </c>
      <c r="G1063" s="989" t="s">
        <v>657</v>
      </c>
      <c r="H1063" s="994">
        <v>1375448</v>
      </c>
      <c r="I1063" s="994">
        <v>16581</v>
      </c>
      <c r="J1063" s="994">
        <v>1392029</v>
      </c>
      <c r="K1063" s="997">
        <v>1392029</v>
      </c>
    </row>
    <row r="1064" spans="1:11" ht="33.75" x14ac:dyDescent="0.25">
      <c r="A1064" s="989" t="s">
        <v>243</v>
      </c>
      <c r="B1064" s="993">
        <v>2018</v>
      </c>
      <c r="C1064" s="989" t="s">
        <v>2992</v>
      </c>
      <c r="D1064" s="989" t="s">
        <v>658</v>
      </c>
      <c r="E1064" s="989" t="s">
        <v>988</v>
      </c>
      <c r="F1064" s="994">
        <v>-8667</v>
      </c>
      <c r="G1064" s="989" t="s">
        <v>657</v>
      </c>
      <c r="H1064" s="994">
        <v>-8597</v>
      </c>
      <c r="I1064" s="994">
        <v>-70</v>
      </c>
      <c r="J1064" s="994">
        <v>-8667</v>
      </c>
      <c r="K1064" s="997">
        <v>-8667</v>
      </c>
    </row>
    <row r="1065" spans="1:11" ht="22.5" x14ac:dyDescent="0.25">
      <c r="A1065" s="989" t="s">
        <v>243</v>
      </c>
      <c r="B1065" s="993">
        <v>2018</v>
      </c>
      <c r="C1065" s="989" t="s">
        <v>2993</v>
      </c>
      <c r="D1065" s="989" t="s">
        <v>464</v>
      </c>
      <c r="E1065" s="989" t="s">
        <v>989</v>
      </c>
      <c r="F1065" s="994">
        <v>241822</v>
      </c>
      <c r="G1065" s="995"/>
      <c r="H1065" s="996"/>
      <c r="I1065" s="996"/>
      <c r="J1065" s="994">
        <v>0</v>
      </c>
      <c r="K1065" s="997">
        <v>241822</v>
      </c>
    </row>
    <row r="1066" spans="1:11" ht="33.75" x14ac:dyDescent="0.25">
      <c r="A1066" s="989" t="s">
        <v>243</v>
      </c>
      <c r="B1066" s="993">
        <v>2018</v>
      </c>
      <c r="C1066" s="989" t="s">
        <v>2994</v>
      </c>
      <c r="D1066" s="989" t="s">
        <v>46</v>
      </c>
      <c r="E1066" s="989" t="s">
        <v>990</v>
      </c>
      <c r="F1066" s="994">
        <v>-1072629</v>
      </c>
      <c r="G1066" s="989" t="s">
        <v>657</v>
      </c>
      <c r="H1066" s="994">
        <v>-1057082</v>
      </c>
      <c r="I1066" s="994">
        <v>-15547</v>
      </c>
      <c r="J1066" s="994">
        <v>-1072629</v>
      </c>
      <c r="K1066" s="997">
        <v>-1072629</v>
      </c>
    </row>
    <row r="1067" spans="1:11" ht="22.5" x14ac:dyDescent="0.25">
      <c r="A1067" s="989" t="s">
        <v>243</v>
      </c>
      <c r="B1067" s="993">
        <v>2018</v>
      </c>
      <c r="C1067" s="989" t="s">
        <v>2994</v>
      </c>
      <c r="D1067" s="989" t="s">
        <v>2482</v>
      </c>
      <c r="E1067" s="989" t="s">
        <v>990</v>
      </c>
      <c r="F1067" s="994">
        <v>0</v>
      </c>
      <c r="G1067" s="995"/>
      <c r="H1067" s="996"/>
      <c r="I1067" s="996"/>
      <c r="J1067" s="994">
        <v>0</v>
      </c>
      <c r="K1067" s="997">
        <v>0</v>
      </c>
    </row>
    <row r="1068" spans="1:11" ht="22.5" x14ac:dyDescent="0.25">
      <c r="A1068" s="989" t="s">
        <v>243</v>
      </c>
      <c r="B1068" s="993">
        <v>2018</v>
      </c>
      <c r="C1068" s="989" t="s">
        <v>2994</v>
      </c>
      <c r="D1068" s="989" t="s">
        <v>2483</v>
      </c>
      <c r="E1068" s="989" t="s">
        <v>990</v>
      </c>
      <c r="F1068" s="994">
        <v>0</v>
      </c>
      <c r="G1068" s="995"/>
      <c r="H1068" s="996"/>
      <c r="I1068" s="996"/>
      <c r="J1068" s="994">
        <v>0</v>
      </c>
      <c r="K1068" s="997">
        <v>0</v>
      </c>
    </row>
    <row r="1069" spans="1:11" ht="22.5" x14ac:dyDescent="0.25">
      <c r="A1069" s="989" t="s">
        <v>243</v>
      </c>
      <c r="B1069" s="993">
        <v>2018</v>
      </c>
      <c r="C1069" s="989" t="s">
        <v>2994</v>
      </c>
      <c r="D1069" s="989" t="s">
        <v>2484</v>
      </c>
      <c r="E1069" s="989" t="s">
        <v>990</v>
      </c>
      <c r="F1069" s="994">
        <v>-315</v>
      </c>
      <c r="G1069" s="995"/>
      <c r="H1069" s="996"/>
      <c r="I1069" s="996"/>
      <c r="J1069" s="994">
        <v>0</v>
      </c>
      <c r="K1069" s="997">
        <v>-315</v>
      </c>
    </row>
    <row r="1070" spans="1:11" ht="22.5" x14ac:dyDescent="0.25">
      <c r="A1070" s="989" t="s">
        <v>243</v>
      </c>
      <c r="B1070" s="993">
        <v>2018</v>
      </c>
      <c r="C1070" s="989" t="s">
        <v>2994</v>
      </c>
      <c r="D1070" s="989" t="s">
        <v>2485</v>
      </c>
      <c r="E1070" s="989" t="s">
        <v>990</v>
      </c>
      <c r="F1070" s="994">
        <v>-18263</v>
      </c>
      <c r="G1070" s="995"/>
      <c r="H1070" s="996"/>
      <c r="I1070" s="996"/>
      <c r="J1070" s="994">
        <v>0</v>
      </c>
      <c r="K1070" s="997">
        <v>-18263</v>
      </c>
    </row>
    <row r="1071" spans="1:11" ht="33.75" x14ac:dyDescent="0.25">
      <c r="A1071" s="989" t="s">
        <v>243</v>
      </c>
      <c r="B1071" s="993">
        <v>2018</v>
      </c>
      <c r="C1071" s="989" t="s">
        <v>2995</v>
      </c>
      <c r="D1071" s="989" t="s">
        <v>47</v>
      </c>
      <c r="E1071" s="989" t="s">
        <v>991</v>
      </c>
      <c r="F1071" s="994">
        <v>5197</v>
      </c>
      <c r="G1071" s="989" t="s">
        <v>657</v>
      </c>
      <c r="H1071" s="994">
        <v>4631</v>
      </c>
      <c r="I1071" s="994">
        <v>566</v>
      </c>
      <c r="J1071" s="994">
        <v>5197</v>
      </c>
      <c r="K1071" s="997">
        <v>5197</v>
      </c>
    </row>
    <row r="1072" spans="1:11" ht="33.75" x14ac:dyDescent="0.25">
      <c r="A1072" s="989" t="s">
        <v>243</v>
      </c>
      <c r="B1072" s="993">
        <v>2018</v>
      </c>
      <c r="C1072" s="989" t="s">
        <v>2996</v>
      </c>
      <c r="D1072" s="989" t="s">
        <v>48</v>
      </c>
      <c r="E1072" s="989" t="s">
        <v>992</v>
      </c>
      <c r="F1072" s="994">
        <v>18854</v>
      </c>
      <c r="G1072" s="989" t="s">
        <v>657</v>
      </c>
      <c r="H1072" s="994">
        <v>18014</v>
      </c>
      <c r="I1072" s="994">
        <v>840</v>
      </c>
      <c r="J1072" s="994">
        <v>18854</v>
      </c>
      <c r="K1072" s="997">
        <v>18854</v>
      </c>
    </row>
    <row r="1073" spans="1:11" ht="33.75" x14ac:dyDescent="0.25">
      <c r="A1073" s="989" t="s">
        <v>243</v>
      </c>
      <c r="B1073" s="993">
        <v>2018</v>
      </c>
      <c r="C1073" s="989" t="s">
        <v>2997</v>
      </c>
      <c r="D1073" s="989" t="s">
        <v>50</v>
      </c>
      <c r="E1073" s="989" t="s">
        <v>993</v>
      </c>
      <c r="F1073" s="994">
        <v>-219463</v>
      </c>
      <c r="G1073" s="989" t="s">
        <v>657</v>
      </c>
      <c r="H1073" s="994">
        <v>-218171</v>
      </c>
      <c r="I1073" s="994">
        <v>-1292</v>
      </c>
      <c r="J1073" s="994">
        <v>-219463</v>
      </c>
      <c r="K1073" s="997">
        <v>-219463</v>
      </c>
    </row>
    <row r="1074" spans="1:11" ht="22.5" x14ac:dyDescent="0.25">
      <c r="A1074" s="989" t="s">
        <v>243</v>
      </c>
      <c r="B1074" s="993">
        <v>2018</v>
      </c>
      <c r="C1074" s="989" t="s">
        <v>2998</v>
      </c>
      <c r="D1074" s="989" t="s">
        <v>348</v>
      </c>
      <c r="E1074" s="989" t="s">
        <v>994</v>
      </c>
      <c r="F1074" s="994">
        <v>24530</v>
      </c>
      <c r="G1074" s="989" t="s">
        <v>657</v>
      </c>
      <c r="H1074" s="994">
        <v>19545</v>
      </c>
      <c r="I1074" s="994">
        <v>4985</v>
      </c>
      <c r="J1074" s="994">
        <v>24530</v>
      </c>
      <c r="K1074" s="997">
        <v>24530</v>
      </c>
    </row>
    <row r="1075" spans="1:11" ht="45" x14ac:dyDescent="0.25">
      <c r="A1075" s="989" t="s">
        <v>243</v>
      </c>
      <c r="B1075" s="993">
        <v>2018</v>
      </c>
      <c r="C1075" s="989" t="s">
        <v>2999</v>
      </c>
      <c r="D1075" s="989" t="s">
        <v>659</v>
      </c>
      <c r="E1075" s="989" t="s">
        <v>1411</v>
      </c>
      <c r="F1075" s="994">
        <v>0</v>
      </c>
      <c r="G1075" s="989" t="s">
        <v>657</v>
      </c>
      <c r="H1075" s="996"/>
      <c r="I1075" s="996"/>
      <c r="J1075" s="994">
        <v>0</v>
      </c>
      <c r="K1075" s="997">
        <v>0</v>
      </c>
    </row>
    <row r="1076" spans="1:11" ht="45" x14ac:dyDescent="0.25">
      <c r="A1076" s="989" t="s">
        <v>243</v>
      </c>
      <c r="B1076" s="993">
        <v>2018</v>
      </c>
      <c r="C1076" s="989" t="s">
        <v>2999</v>
      </c>
      <c r="D1076" s="989" t="s">
        <v>660</v>
      </c>
      <c r="E1076" s="989" t="s">
        <v>1412</v>
      </c>
      <c r="F1076" s="994">
        <v>0</v>
      </c>
      <c r="G1076" s="989" t="s">
        <v>657</v>
      </c>
      <c r="H1076" s="996"/>
      <c r="I1076" s="996"/>
      <c r="J1076" s="994">
        <v>0</v>
      </c>
      <c r="K1076" s="997">
        <v>0</v>
      </c>
    </row>
    <row r="1077" spans="1:11" ht="45" x14ac:dyDescent="0.25">
      <c r="A1077" s="989" t="s">
        <v>243</v>
      </c>
      <c r="B1077" s="993">
        <v>2018</v>
      </c>
      <c r="C1077" s="989" t="s">
        <v>2999</v>
      </c>
      <c r="D1077" s="989" t="s">
        <v>661</v>
      </c>
      <c r="E1077" s="989" t="s">
        <v>1413</v>
      </c>
      <c r="F1077" s="994">
        <v>0</v>
      </c>
      <c r="G1077" s="989" t="s">
        <v>657</v>
      </c>
      <c r="H1077" s="996"/>
      <c r="I1077" s="996"/>
      <c r="J1077" s="994">
        <v>0</v>
      </c>
      <c r="K1077" s="997">
        <v>0</v>
      </c>
    </row>
    <row r="1078" spans="1:11" ht="45" x14ac:dyDescent="0.25">
      <c r="A1078" s="989" t="s">
        <v>243</v>
      </c>
      <c r="B1078" s="993">
        <v>2018</v>
      </c>
      <c r="C1078" s="989" t="s">
        <v>2999</v>
      </c>
      <c r="D1078" s="989" t="s">
        <v>662</v>
      </c>
      <c r="E1078" s="989" t="s">
        <v>1414</v>
      </c>
      <c r="F1078" s="994">
        <v>0</v>
      </c>
      <c r="G1078" s="989" t="s">
        <v>657</v>
      </c>
      <c r="H1078" s="996"/>
      <c r="I1078" s="996"/>
      <c r="J1078" s="994">
        <v>0</v>
      </c>
      <c r="K1078" s="997">
        <v>0</v>
      </c>
    </row>
    <row r="1079" spans="1:11" ht="45" x14ac:dyDescent="0.25">
      <c r="A1079" s="989" t="s">
        <v>243</v>
      </c>
      <c r="B1079" s="993">
        <v>2018</v>
      </c>
      <c r="C1079" s="989" t="s">
        <v>2999</v>
      </c>
      <c r="D1079" s="989" t="s">
        <v>663</v>
      </c>
      <c r="E1079" s="989" t="s">
        <v>1415</v>
      </c>
      <c r="F1079" s="994">
        <v>0</v>
      </c>
      <c r="G1079" s="989" t="s">
        <v>657</v>
      </c>
      <c r="H1079" s="996"/>
      <c r="I1079" s="996"/>
      <c r="J1079" s="994">
        <v>0</v>
      </c>
      <c r="K1079" s="997">
        <v>0</v>
      </c>
    </row>
    <row r="1080" spans="1:11" ht="45" x14ac:dyDescent="0.25">
      <c r="A1080" s="989" t="s">
        <v>243</v>
      </c>
      <c r="B1080" s="993">
        <v>2018</v>
      </c>
      <c r="C1080" s="989" t="s">
        <v>2999</v>
      </c>
      <c r="D1080" s="989" t="s">
        <v>664</v>
      </c>
      <c r="E1080" s="989" t="s">
        <v>1416</v>
      </c>
      <c r="F1080" s="994">
        <v>0</v>
      </c>
      <c r="G1080" s="989" t="s">
        <v>657</v>
      </c>
      <c r="H1080" s="996"/>
      <c r="I1080" s="996"/>
      <c r="J1080" s="994">
        <v>0</v>
      </c>
      <c r="K1080" s="997">
        <v>0</v>
      </c>
    </row>
    <row r="1081" spans="1:11" ht="45" x14ac:dyDescent="0.25">
      <c r="A1081" s="989" t="s">
        <v>243</v>
      </c>
      <c r="B1081" s="993">
        <v>2018</v>
      </c>
      <c r="C1081" s="989" t="s">
        <v>2999</v>
      </c>
      <c r="D1081" s="989" t="s">
        <v>665</v>
      </c>
      <c r="E1081" s="989" t="s">
        <v>1417</v>
      </c>
      <c r="F1081" s="994">
        <v>0</v>
      </c>
      <c r="G1081" s="989" t="s">
        <v>657</v>
      </c>
      <c r="H1081" s="996"/>
      <c r="I1081" s="996"/>
      <c r="J1081" s="994">
        <v>0</v>
      </c>
      <c r="K1081" s="997">
        <v>0</v>
      </c>
    </row>
    <row r="1082" spans="1:11" ht="45" x14ac:dyDescent="0.25">
      <c r="A1082" s="989" t="s">
        <v>243</v>
      </c>
      <c r="B1082" s="993">
        <v>2018</v>
      </c>
      <c r="C1082" s="989" t="s">
        <v>2999</v>
      </c>
      <c r="D1082" s="989" t="s">
        <v>1870</v>
      </c>
      <c r="E1082" s="989" t="s">
        <v>2324</v>
      </c>
      <c r="F1082" s="994">
        <v>0</v>
      </c>
      <c r="G1082" s="989" t="s">
        <v>657</v>
      </c>
      <c r="H1082" s="996"/>
      <c r="I1082" s="996"/>
      <c r="J1082" s="994">
        <v>0</v>
      </c>
      <c r="K1082" s="997">
        <v>0</v>
      </c>
    </row>
    <row r="1083" spans="1:11" ht="45" x14ac:dyDescent="0.25">
      <c r="A1083" s="989" t="s">
        <v>243</v>
      </c>
      <c r="B1083" s="993">
        <v>2018</v>
      </c>
      <c r="C1083" s="989" t="s">
        <v>2999</v>
      </c>
      <c r="D1083" s="989" t="s">
        <v>2486</v>
      </c>
      <c r="E1083" s="989" t="s">
        <v>2529</v>
      </c>
      <c r="F1083" s="994">
        <v>0</v>
      </c>
      <c r="G1083" s="989" t="s">
        <v>657</v>
      </c>
      <c r="H1083" s="994">
        <v>36462</v>
      </c>
      <c r="I1083" s="994">
        <v>-42300</v>
      </c>
      <c r="J1083" s="994">
        <v>-5838</v>
      </c>
      <c r="K1083" s="997">
        <v>-5838</v>
      </c>
    </row>
    <row r="1084" spans="1:11" ht="45" x14ac:dyDescent="0.25">
      <c r="A1084" s="989" t="s">
        <v>243</v>
      </c>
      <c r="B1084" s="993">
        <v>2018</v>
      </c>
      <c r="C1084" s="989" t="s">
        <v>2999</v>
      </c>
      <c r="D1084" s="989" t="s">
        <v>4892</v>
      </c>
      <c r="E1084" s="989" t="s">
        <v>6027</v>
      </c>
      <c r="F1084" s="994">
        <v>0</v>
      </c>
      <c r="G1084" s="989" t="s">
        <v>657</v>
      </c>
      <c r="H1084" s="994">
        <v>31366</v>
      </c>
      <c r="I1084" s="994">
        <v>28618</v>
      </c>
      <c r="J1084" s="994">
        <v>59984</v>
      </c>
      <c r="K1084" s="997">
        <v>59984</v>
      </c>
    </row>
    <row r="1085" spans="1:11" ht="45" x14ac:dyDescent="0.25">
      <c r="A1085" s="989" t="s">
        <v>243</v>
      </c>
      <c r="B1085" s="993">
        <v>2018</v>
      </c>
      <c r="C1085" s="989" t="s">
        <v>2999</v>
      </c>
      <c r="D1085" s="989" t="s">
        <v>666</v>
      </c>
      <c r="E1085" s="989" t="s">
        <v>1577</v>
      </c>
      <c r="F1085" s="994">
        <v>54146</v>
      </c>
      <c r="G1085" s="995"/>
      <c r="H1085" s="996"/>
      <c r="I1085" s="996"/>
      <c r="J1085" s="994">
        <v>0</v>
      </c>
      <c r="K1085" s="997">
        <v>54146</v>
      </c>
    </row>
    <row r="1086" spans="1:11" x14ac:dyDescent="0.25">
      <c r="A1086" s="989" t="s">
        <v>207</v>
      </c>
      <c r="B1086" s="993">
        <v>2018</v>
      </c>
      <c r="C1086" s="989" t="s">
        <v>2991</v>
      </c>
      <c r="D1086" s="989" t="s">
        <v>49</v>
      </c>
      <c r="E1086" s="989" t="s">
        <v>995</v>
      </c>
      <c r="F1086" s="994">
        <v>0</v>
      </c>
      <c r="G1086" s="989" t="s">
        <v>657</v>
      </c>
      <c r="H1086" s="996"/>
      <c r="I1086" s="996"/>
      <c r="J1086" s="994">
        <v>0</v>
      </c>
      <c r="K1086" s="997">
        <v>0</v>
      </c>
    </row>
    <row r="1087" spans="1:11" ht="33.75" x14ac:dyDescent="0.25">
      <c r="A1087" s="989" t="s">
        <v>207</v>
      </c>
      <c r="B1087" s="993">
        <v>2018</v>
      </c>
      <c r="C1087" s="989" t="s">
        <v>2992</v>
      </c>
      <c r="D1087" s="989" t="s">
        <v>658</v>
      </c>
      <c r="E1087" s="989" t="s">
        <v>996</v>
      </c>
      <c r="F1087" s="994">
        <v>-21757.52</v>
      </c>
      <c r="G1087" s="989" t="s">
        <v>657</v>
      </c>
      <c r="H1087" s="994">
        <v>-21171.990234375</v>
      </c>
      <c r="I1087" s="994">
        <v>-585.530029296875</v>
      </c>
      <c r="J1087" s="994">
        <v>-21757.51953125</v>
      </c>
      <c r="K1087" s="997">
        <v>-21757.52</v>
      </c>
    </row>
    <row r="1088" spans="1:11" ht="22.5" x14ac:dyDescent="0.25">
      <c r="A1088" s="989" t="s">
        <v>207</v>
      </c>
      <c r="B1088" s="993">
        <v>2018</v>
      </c>
      <c r="C1088" s="989" t="s">
        <v>2993</v>
      </c>
      <c r="D1088" s="989" t="s">
        <v>464</v>
      </c>
      <c r="E1088" s="989" t="s">
        <v>997</v>
      </c>
      <c r="F1088" s="994">
        <v>0</v>
      </c>
      <c r="G1088" s="995"/>
      <c r="H1088" s="996"/>
      <c r="I1088" s="996"/>
      <c r="J1088" s="994">
        <v>0</v>
      </c>
      <c r="K1088" s="997">
        <v>0</v>
      </c>
    </row>
    <row r="1089" spans="1:11" ht="33.75" x14ac:dyDescent="0.25">
      <c r="A1089" s="989" t="s">
        <v>207</v>
      </c>
      <c r="B1089" s="993">
        <v>2018</v>
      </c>
      <c r="C1089" s="989" t="s">
        <v>2994</v>
      </c>
      <c r="D1089" s="989" t="s">
        <v>46</v>
      </c>
      <c r="E1089" s="989" t="s">
        <v>998</v>
      </c>
      <c r="F1089" s="994">
        <v>-2065950.43</v>
      </c>
      <c r="G1089" s="989" t="s">
        <v>657</v>
      </c>
      <c r="H1089" s="994">
        <v>-2056798.125</v>
      </c>
      <c r="I1089" s="994">
        <v>-9152.259765625</v>
      </c>
      <c r="J1089" s="994">
        <v>-2065950.375</v>
      </c>
      <c r="K1089" s="997">
        <v>-2065950.43</v>
      </c>
    </row>
    <row r="1090" spans="1:11" ht="22.5" x14ac:dyDescent="0.25">
      <c r="A1090" s="989" t="s">
        <v>207</v>
      </c>
      <c r="B1090" s="993">
        <v>2018</v>
      </c>
      <c r="C1090" s="989" t="s">
        <v>2994</v>
      </c>
      <c r="D1090" s="989" t="s">
        <v>2482</v>
      </c>
      <c r="E1090" s="989" t="s">
        <v>998</v>
      </c>
      <c r="F1090" s="994">
        <v>55.42</v>
      </c>
      <c r="G1090" s="995"/>
      <c r="H1090" s="996"/>
      <c r="I1090" s="996"/>
      <c r="J1090" s="994">
        <v>0</v>
      </c>
      <c r="K1090" s="997">
        <v>55.42</v>
      </c>
    </row>
    <row r="1091" spans="1:11" ht="22.5" x14ac:dyDescent="0.25">
      <c r="A1091" s="989" t="s">
        <v>207</v>
      </c>
      <c r="B1091" s="993">
        <v>2018</v>
      </c>
      <c r="C1091" s="989" t="s">
        <v>2994</v>
      </c>
      <c r="D1091" s="989" t="s">
        <v>2483</v>
      </c>
      <c r="E1091" s="989" t="s">
        <v>998</v>
      </c>
      <c r="F1091" s="994">
        <v>1662.44</v>
      </c>
      <c r="G1091" s="995"/>
      <c r="H1091" s="996"/>
      <c r="I1091" s="996"/>
      <c r="J1091" s="994">
        <v>0</v>
      </c>
      <c r="K1091" s="997">
        <v>1662.44</v>
      </c>
    </row>
    <row r="1092" spans="1:11" ht="22.5" x14ac:dyDescent="0.25">
      <c r="A1092" s="989" t="s">
        <v>207</v>
      </c>
      <c r="B1092" s="993">
        <v>2018</v>
      </c>
      <c r="C1092" s="989" t="s">
        <v>2994</v>
      </c>
      <c r="D1092" s="989" t="s">
        <v>2484</v>
      </c>
      <c r="E1092" s="989" t="s">
        <v>998</v>
      </c>
      <c r="F1092" s="994">
        <v>-335.38</v>
      </c>
      <c r="G1092" s="995"/>
      <c r="H1092" s="996"/>
      <c r="I1092" s="996"/>
      <c r="J1092" s="994">
        <v>0</v>
      </c>
      <c r="K1092" s="997">
        <v>-335.38</v>
      </c>
    </row>
    <row r="1093" spans="1:11" ht="22.5" x14ac:dyDescent="0.25">
      <c r="A1093" s="989" t="s">
        <v>207</v>
      </c>
      <c r="B1093" s="993">
        <v>2018</v>
      </c>
      <c r="C1093" s="989" t="s">
        <v>2994</v>
      </c>
      <c r="D1093" s="989" t="s">
        <v>2485</v>
      </c>
      <c r="E1093" s="989" t="s">
        <v>998</v>
      </c>
      <c r="F1093" s="994">
        <v>7022.56</v>
      </c>
      <c r="G1093" s="995"/>
      <c r="H1093" s="996"/>
      <c r="I1093" s="996"/>
      <c r="J1093" s="994">
        <v>0</v>
      </c>
      <c r="K1093" s="997">
        <v>7022.56</v>
      </c>
    </row>
    <row r="1094" spans="1:11" ht="33.75" x14ac:dyDescent="0.25">
      <c r="A1094" s="989" t="s">
        <v>207</v>
      </c>
      <c r="B1094" s="993">
        <v>2018</v>
      </c>
      <c r="C1094" s="989" t="s">
        <v>2995</v>
      </c>
      <c r="D1094" s="989" t="s">
        <v>47</v>
      </c>
      <c r="E1094" s="989" t="s">
        <v>999</v>
      </c>
      <c r="F1094" s="994">
        <v>982403.07</v>
      </c>
      <c r="G1094" s="989" t="s">
        <v>657</v>
      </c>
      <c r="H1094" s="994">
        <v>977891.625</v>
      </c>
      <c r="I1094" s="994">
        <v>4511.47021484375</v>
      </c>
      <c r="J1094" s="994">
        <v>982403.0625</v>
      </c>
      <c r="K1094" s="997">
        <v>982403.07</v>
      </c>
    </row>
    <row r="1095" spans="1:11" ht="33.75" x14ac:dyDescent="0.25">
      <c r="A1095" s="989" t="s">
        <v>207</v>
      </c>
      <c r="B1095" s="993">
        <v>2018</v>
      </c>
      <c r="C1095" s="989" t="s">
        <v>2996</v>
      </c>
      <c r="D1095" s="989" t="s">
        <v>48</v>
      </c>
      <c r="E1095" s="989" t="s">
        <v>1000</v>
      </c>
      <c r="F1095" s="994">
        <v>-1135907.3400000001</v>
      </c>
      <c r="G1095" s="989" t="s">
        <v>657</v>
      </c>
      <c r="H1095" s="994">
        <v>-1127177.875</v>
      </c>
      <c r="I1095" s="994">
        <v>-8729.509765625</v>
      </c>
      <c r="J1095" s="994">
        <v>-1135907.375</v>
      </c>
      <c r="K1095" s="997">
        <v>-1135907.3400000001</v>
      </c>
    </row>
    <row r="1096" spans="1:11" ht="33.75" x14ac:dyDescent="0.25">
      <c r="A1096" s="989" t="s">
        <v>207</v>
      </c>
      <c r="B1096" s="993">
        <v>2018</v>
      </c>
      <c r="C1096" s="989" t="s">
        <v>2997</v>
      </c>
      <c r="D1096" s="989" t="s">
        <v>50</v>
      </c>
      <c r="E1096" s="989" t="s">
        <v>1001</v>
      </c>
      <c r="F1096" s="994">
        <v>1243519.07</v>
      </c>
      <c r="G1096" s="989" t="s">
        <v>657</v>
      </c>
      <c r="H1096" s="994">
        <v>1243351.625</v>
      </c>
      <c r="I1096" s="994">
        <v>167.44000244140599</v>
      </c>
      <c r="J1096" s="994">
        <v>1243519.125</v>
      </c>
      <c r="K1096" s="997">
        <v>1243519.07</v>
      </c>
    </row>
    <row r="1097" spans="1:11" ht="22.5" x14ac:dyDescent="0.25">
      <c r="A1097" s="989" t="s">
        <v>207</v>
      </c>
      <c r="B1097" s="993">
        <v>2018</v>
      </c>
      <c r="C1097" s="989" t="s">
        <v>2998</v>
      </c>
      <c r="D1097" s="989" t="s">
        <v>348</v>
      </c>
      <c r="E1097" s="989" t="s">
        <v>1002</v>
      </c>
      <c r="F1097" s="994">
        <v>2567149.27</v>
      </c>
      <c r="G1097" s="989" t="s">
        <v>657</v>
      </c>
      <c r="H1097" s="994">
        <v>2570509.5</v>
      </c>
      <c r="I1097" s="994">
        <v>-3360.23999023438</v>
      </c>
      <c r="J1097" s="994">
        <v>2567149.25</v>
      </c>
      <c r="K1097" s="997">
        <v>2567149.27</v>
      </c>
    </row>
    <row r="1098" spans="1:11" ht="45" x14ac:dyDescent="0.25">
      <c r="A1098" s="989" t="s">
        <v>207</v>
      </c>
      <c r="B1098" s="993">
        <v>2018</v>
      </c>
      <c r="C1098" s="989" t="s">
        <v>2999</v>
      </c>
      <c r="D1098" s="989" t="s">
        <v>659</v>
      </c>
      <c r="E1098" s="989" t="s">
        <v>1418</v>
      </c>
      <c r="F1098" s="994">
        <v>0</v>
      </c>
      <c r="G1098" s="989" t="s">
        <v>657</v>
      </c>
      <c r="H1098" s="996"/>
      <c r="I1098" s="996"/>
      <c r="J1098" s="994">
        <v>0</v>
      </c>
      <c r="K1098" s="997">
        <v>0</v>
      </c>
    </row>
    <row r="1099" spans="1:11" ht="45" x14ac:dyDescent="0.25">
      <c r="A1099" s="989" t="s">
        <v>207</v>
      </c>
      <c r="B1099" s="993">
        <v>2018</v>
      </c>
      <c r="C1099" s="989" t="s">
        <v>2999</v>
      </c>
      <c r="D1099" s="989" t="s">
        <v>660</v>
      </c>
      <c r="E1099" s="989" t="s">
        <v>1419</v>
      </c>
      <c r="F1099" s="994">
        <v>0</v>
      </c>
      <c r="G1099" s="989" t="s">
        <v>657</v>
      </c>
      <c r="H1099" s="996"/>
      <c r="I1099" s="996"/>
      <c r="J1099" s="994">
        <v>0</v>
      </c>
      <c r="K1099" s="997">
        <v>0</v>
      </c>
    </row>
    <row r="1100" spans="1:11" ht="45" x14ac:dyDescent="0.25">
      <c r="A1100" s="989" t="s">
        <v>207</v>
      </c>
      <c r="B1100" s="993">
        <v>2018</v>
      </c>
      <c r="C1100" s="989" t="s">
        <v>2999</v>
      </c>
      <c r="D1100" s="989" t="s">
        <v>661</v>
      </c>
      <c r="E1100" s="989" t="s">
        <v>1420</v>
      </c>
      <c r="F1100" s="994">
        <v>0</v>
      </c>
      <c r="G1100" s="989" t="s">
        <v>657</v>
      </c>
      <c r="H1100" s="996"/>
      <c r="I1100" s="996"/>
      <c r="J1100" s="994">
        <v>0</v>
      </c>
      <c r="K1100" s="997">
        <v>0</v>
      </c>
    </row>
    <row r="1101" spans="1:11" ht="45" x14ac:dyDescent="0.25">
      <c r="A1101" s="989" t="s">
        <v>207</v>
      </c>
      <c r="B1101" s="993">
        <v>2018</v>
      </c>
      <c r="C1101" s="989" t="s">
        <v>2999</v>
      </c>
      <c r="D1101" s="989" t="s">
        <v>662</v>
      </c>
      <c r="E1101" s="989" t="s">
        <v>1421</v>
      </c>
      <c r="F1101" s="994">
        <v>0</v>
      </c>
      <c r="G1101" s="989" t="s">
        <v>657</v>
      </c>
      <c r="H1101" s="996"/>
      <c r="I1101" s="996"/>
      <c r="J1101" s="994">
        <v>0</v>
      </c>
      <c r="K1101" s="997">
        <v>0</v>
      </c>
    </row>
    <row r="1102" spans="1:11" ht="45" x14ac:dyDescent="0.25">
      <c r="A1102" s="989" t="s">
        <v>207</v>
      </c>
      <c r="B1102" s="993">
        <v>2018</v>
      </c>
      <c r="C1102" s="989" t="s">
        <v>2999</v>
      </c>
      <c r="D1102" s="989" t="s">
        <v>663</v>
      </c>
      <c r="E1102" s="989" t="s">
        <v>1422</v>
      </c>
      <c r="F1102" s="994">
        <v>0</v>
      </c>
      <c r="G1102" s="989" t="s">
        <v>657</v>
      </c>
      <c r="H1102" s="996"/>
      <c r="I1102" s="996"/>
      <c r="J1102" s="994">
        <v>0</v>
      </c>
      <c r="K1102" s="997">
        <v>0</v>
      </c>
    </row>
    <row r="1103" spans="1:11" ht="45" x14ac:dyDescent="0.25">
      <c r="A1103" s="989" t="s">
        <v>207</v>
      </c>
      <c r="B1103" s="993">
        <v>2018</v>
      </c>
      <c r="C1103" s="989" t="s">
        <v>2999</v>
      </c>
      <c r="D1103" s="989" t="s">
        <v>664</v>
      </c>
      <c r="E1103" s="989" t="s">
        <v>1423</v>
      </c>
      <c r="F1103" s="994">
        <v>0</v>
      </c>
      <c r="G1103" s="989" t="s">
        <v>657</v>
      </c>
      <c r="H1103" s="996"/>
      <c r="I1103" s="996"/>
      <c r="J1103" s="994">
        <v>0</v>
      </c>
      <c r="K1103" s="997">
        <v>0</v>
      </c>
    </row>
    <row r="1104" spans="1:11" ht="45" x14ac:dyDescent="0.25">
      <c r="A1104" s="989" t="s">
        <v>207</v>
      </c>
      <c r="B1104" s="993">
        <v>2018</v>
      </c>
      <c r="C1104" s="989" t="s">
        <v>2999</v>
      </c>
      <c r="D1104" s="989" t="s">
        <v>665</v>
      </c>
      <c r="E1104" s="989" t="s">
        <v>1424</v>
      </c>
      <c r="F1104" s="994">
        <v>0</v>
      </c>
      <c r="G1104" s="989" t="s">
        <v>657</v>
      </c>
      <c r="H1104" s="996"/>
      <c r="I1104" s="996"/>
      <c r="J1104" s="994">
        <v>0</v>
      </c>
      <c r="K1104" s="997">
        <v>0</v>
      </c>
    </row>
    <row r="1105" spans="1:11" ht="45" x14ac:dyDescent="0.25">
      <c r="A1105" s="989" t="s">
        <v>207</v>
      </c>
      <c r="B1105" s="993">
        <v>2018</v>
      </c>
      <c r="C1105" s="989" t="s">
        <v>2999</v>
      </c>
      <c r="D1105" s="989" t="s">
        <v>1870</v>
      </c>
      <c r="E1105" s="989" t="s">
        <v>2325</v>
      </c>
      <c r="F1105" s="994">
        <v>0</v>
      </c>
      <c r="G1105" s="989" t="s">
        <v>657</v>
      </c>
      <c r="H1105" s="996"/>
      <c r="I1105" s="996"/>
      <c r="J1105" s="994">
        <v>0</v>
      </c>
      <c r="K1105" s="997">
        <v>0</v>
      </c>
    </row>
    <row r="1106" spans="1:11" ht="45" x14ac:dyDescent="0.25">
      <c r="A1106" s="989" t="s">
        <v>207</v>
      </c>
      <c r="B1106" s="993">
        <v>2018</v>
      </c>
      <c r="C1106" s="989" t="s">
        <v>2999</v>
      </c>
      <c r="D1106" s="989" t="s">
        <v>2486</v>
      </c>
      <c r="E1106" s="989" t="s">
        <v>2530</v>
      </c>
      <c r="F1106" s="994">
        <v>0</v>
      </c>
      <c r="G1106" s="989" t="s">
        <v>657</v>
      </c>
      <c r="H1106" s="996"/>
      <c r="I1106" s="996"/>
      <c r="J1106" s="994">
        <v>0</v>
      </c>
      <c r="K1106" s="997">
        <v>0</v>
      </c>
    </row>
    <row r="1107" spans="1:11" ht="45" x14ac:dyDescent="0.25">
      <c r="A1107" s="989" t="s">
        <v>207</v>
      </c>
      <c r="B1107" s="993">
        <v>2018</v>
      </c>
      <c r="C1107" s="989" t="s">
        <v>2999</v>
      </c>
      <c r="D1107" s="989" t="s">
        <v>4892</v>
      </c>
      <c r="E1107" s="989" t="s">
        <v>6028</v>
      </c>
      <c r="F1107" s="994">
        <v>0</v>
      </c>
      <c r="G1107" s="989" t="s">
        <v>657</v>
      </c>
      <c r="H1107" s="994">
        <v>-91297.75</v>
      </c>
      <c r="I1107" s="994">
        <v>131342.515625</v>
      </c>
      <c r="J1107" s="994">
        <v>40044.76171875</v>
      </c>
      <c r="K1107" s="997">
        <v>40044.76</v>
      </c>
    </row>
    <row r="1108" spans="1:11" ht="45" x14ac:dyDescent="0.25">
      <c r="A1108" s="989" t="s">
        <v>207</v>
      </c>
      <c r="B1108" s="993">
        <v>2018</v>
      </c>
      <c r="C1108" s="989" t="s">
        <v>2999</v>
      </c>
      <c r="D1108" s="989" t="s">
        <v>666</v>
      </c>
      <c r="E1108" s="989" t="s">
        <v>1578</v>
      </c>
      <c r="F1108" s="994">
        <v>40044.76</v>
      </c>
      <c r="G1108" s="995"/>
      <c r="H1108" s="996"/>
      <c r="I1108" s="996"/>
      <c r="J1108" s="994">
        <v>0</v>
      </c>
      <c r="K1108" s="997">
        <v>40044.76</v>
      </c>
    </row>
    <row r="1109" spans="1:11" ht="22.5" x14ac:dyDescent="0.25">
      <c r="A1109" s="989" t="s">
        <v>191</v>
      </c>
      <c r="B1109" s="993">
        <v>2018</v>
      </c>
      <c r="C1109" s="989" t="s">
        <v>2991</v>
      </c>
      <c r="D1109" s="989" t="s">
        <v>49</v>
      </c>
      <c r="E1109" s="989" t="s">
        <v>1003</v>
      </c>
      <c r="F1109" s="994">
        <v>870538.77</v>
      </c>
      <c r="G1109" s="989" t="s">
        <v>657</v>
      </c>
      <c r="H1109" s="994">
        <v>852325.9375</v>
      </c>
      <c r="I1109" s="994">
        <v>18212.849609375</v>
      </c>
      <c r="J1109" s="994">
        <v>870538.75</v>
      </c>
      <c r="K1109" s="997">
        <v>870538.77</v>
      </c>
    </row>
    <row r="1110" spans="1:11" ht="33.75" x14ac:dyDescent="0.25">
      <c r="A1110" s="989" t="s">
        <v>191</v>
      </c>
      <c r="B1110" s="993">
        <v>2018</v>
      </c>
      <c r="C1110" s="989" t="s">
        <v>2992</v>
      </c>
      <c r="D1110" s="989" t="s">
        <v>658</v>
      </c>
      <c r="E1110" s="989" t="s">
        <v>1004</v>
      </c>
      <c r="F1110" s="994">
        <v>-9454.06</v>
      </c>
      <c r="G1110" s="989" t="s">
        <v>657</v>
      </c>
      <c r="H1110" s="994">
        <v>-9234.48046875</v>
      </c>
      <c r="I1110" s="994">
        <v>-219.580001831055</v>
      </c>
      <c r="J1110" s="994">
        <v>-9454.0595703125</v>
      </c>
      <c r="K1110" s="997">
        <v>-9454.06</v>
      </c>
    </row>
    <row r="1111" spans="1:11" ht="22.5" x14ac:dyDescent="0.25">
      <c r="A1111" s="989" t="s">
        <v>191</v>
      </c>
      <c r="B1111" s="993">
        <v>2018</v>
      </c>
      <c r="C1111" s="989" t="s">
        <v>2993</v>
      </c>
      <c r="D1111" s="989" t="s">
        <v>464</v>
      </c>
      <c r="E1111" s="989" t="s">
        <v>1005</v>
      </c>
      <c r="F1111" s="994">
        <v>0</v>
      </c>
      <c r="G1111" s="995"/>
      <c r="H1111" s="996"/>
      <c r="I1111" s="996"/>
      <c r="J1111" s="994">
        <v>0</v>
      </c>
      <c r="K1111" s="997">
        <v>0</v>
      </c>
    </row>
    <row r="1112" spans="1:11" ht="33.75" x14ac:dyDescent="0.25">
      <c r="A1112" s="989" t="s">
        <v>191</v>
      </c>
      <c r="B1112" s="993">
        <v>2018</v>
      </c>
      <c r="C1112" s="989" t="s">
        <v>2994</v>
      </c>
      <c r="D1112" s="989" t="s">
        <v>46</v>
      </c>
      <c r="E1112" s="989" t="s">
        <v>1006</v>
      </c>
      <c r="F1112" s="994">
        <v>-565512.78</v>
      </c>
      <c r="G1112" s="989" t="s">
        <v>657</v>
      </c>
      <c r="H1112" s="994">
        <v>-552143.1875</v>
      </c>
      <c r="I1112" s="994">
        <v>-13369.6201171875</v>
      </c>
      <c r="J1112" s="994">
        <v>-565512.75</v>
      </c>
      <c r="K1112" s="997">
        <v>-565512.78</v>
      </c>
    </row>
    <row r="1113" spans="1:11" ht="22.5" x14ac:dyDescent="0.25">
      <c r="A1113" s="989" t="s">
        <v>191</v>
      </c>
      <c r="B1113" s="993">
        <v>2018</v>
      </c>
      <c r="C1113" s="989" t="s">
        <v>2994</v>
      </c>
      <c r="D1113" s="989" t="s">
        <v>2482</v>
      </c>
      <c r="E1113" s="989" t="s">
        <v>1006</v>
      </c>
      <c r="F1113" s="994">
        <v>0</v>
      </c>
      <c r="G1113" s="995"/>
      <c r="H1113" s="996"/>
      <c r="I1113" s="996"/>
      <c r="J1113" s="994">
        <v>0</v>
      </c>
      <c r="K1113" s="997">
        <v>0</v>
      </c>
    </row>
    <row r="1114" spans="1:11" ht="22.5" x14ac:dyDescent="0.25">
      <c r="A1114" s="989" t="s">
        <v>191</v>
      </c>
      <c r="B1114" s="993">
        <v>2018</v>
      </c>
      <c r="C1114" s="989" t="s">
        <v>2994</v>
      </c>
      <c r="D1114" s="989" t="s">
        <v>2483</v>
      </c>
      <c r="E1114" s="989" t="s">
        <v>1006</v>
      </c>
      <c r="F1114" s="994">
        <v>0</v>
      </c>
      <c r="G1114" s="995"/>
      <c r="H1114" s="996"/>
      <c r="I1114" s="996"/>
      <c r="J1114" s="994">
        <v>0</v>
      </c>
      <c r="K1114" s="997">
        <v>0</v>
      </c>
    </row>
    <row r="1115" spans="1:11" ht="22.5" x14ac:dyDescent="0.25">
      <c r="A1115" s="989" t="s">
        <v>191</v>
      </c>
      <c r="B1115" s="993">
        <v>2018</v>
      </c>
      <c r="C1115" s="989" t="s">
        <v>2994</v>
      </c>
      <c r="D1115" s="989" t="s">
        <v>2484</v>
      </c>
      <c r="E1115" s="989" t="s">
        <v>1006</v>
      </c>
      <c r="F1115" s="994">
        <v>0</v>
      </c>
      <c r="G1115" s="995"/>
      <c r="H1115" s="996"/>
      <c r="I1115" s="996"/>
      <c r="J1115" s="994">
        <v>0</v>
      </c>
      <c r="K1115" s="997">
        <v>0</v>
      </c>
    </row>
    <row r="1116" spans="1:11" ht="22.5" x14ac:dyDescent="0.25">
      <c r="A1116" s="989" t="s">
        <v>191</v>
      </c>
      <c r="B1116" s="993">
        <v>2018</v>
      </c>
      <c r="C1116" s="989" t="s">
        <v>2994</v>
      </c>
      <c r="D1116" s="989" t="s">
        <v>2485</v>
      </c>
      <c r="E1116" s="989" t="s">
        <v>1006</v>
      </c>
      <c r="F1116" s="994">
        <v>0</v>
      </c>
      <c r="G1116" s="995"/>
      <c r="H1116" s="996"/>
      <c r="I1116" s="996"/>
      <c r="J1116" s="994">
        <v>0</v>
      </c>
      <c r="K1116" s="997">
        <v>0</v>
      </c>
    </row>
    <row r="1117" spans="1:11" ht="33.75" x14ac:dyDescent="0.25">
      <c r="A1117" s="989" t="s">
        <v>191</v>
      </c>
      <c r="B1117" s="993">
        <v>2018</v>
      </c>
      <c r="C1117" s="989" t="s">
        <v>2995</v>
      </c>
      <c r="D1117" s="989" t="s">
        <v>47</v>
      </c>
      <c r="E1117" s="989" t="s">
        <v>1007</v>
      </c>
      <c r="F1117" s="994">
        <v>114715.8</v>
      </c>
      <c r="G1117" s="989" t="s">
        <v>657</v>
      </c>
      <c r="H1117" s="994">
        <v>112738.5703125</v>
      </c>
      <c r="I1117" s="994">
        <v>1977.22998046875</v>
      </c>
      <c r="J1117" s="994">
        <v>114715.796875</v>
      </c>
      <c r="K1117" s="997">
        <v>114715.8</v>
      </c>
    </row>
    <row r="1118" spans="1:11" ht="33.75" x14ac:dyDescent="0.25">
      <c r="A1118" s="989" t="s">
        <v>191</v>
      </c>
      <c r="B1118" s="993">
        <v>2018</v>
      </c>
      <c r="C1118" s="989" t="s">
        <v>2996</v>
      </c>
      <c r="D1118" s="989" t="s">
        <v>48</v>
      </c>
      <c r="E1118" s="989" t="s">
        <v>1008</v>
      </c>
      <c r="F1118" s="994">
        <v>74978.53</v>
      </c>
      <c r="G1118" s="989" t="s">
        <v>657</v>
      </c>
      <c r="H1118" s="994">
        <v>74110.6875</v>
      </c>
      <c r="I1118" s="994">
        <v>867.84002685546898</v>
      </c>
      <c r="J1118" s="994">
        <v>74978.53125</v>
      </c>
      <c r="K1118" s="997">
        <v>74978.53</v>
      </c>
    </row>
    <row r="1119" spans="1:11" ht="33.75" x14ac:dyDescent="0.25">
      <c r="A1119" s="989" t="s">
        <v>191</v>
      </c>
      <c r="B1119" s="993">
        <v>2018</v>
      </c>
      <c r="C1119" s="989" t="s">
        <v>2997</v>
      </c>
      <c r="D1119" s="989" t="s">
        <v>50</v>
      </c>
      <c r="E1119" s="989" t="s">
        <v>1009</v>
      </c>
      <c r="F1119" s="994">
        <v>121847.95</v>
      </c>
      <c r="G1119" s="989" t="s">
        <v>657</v>
      </c>
      <c r="H1119" s="994">
        <v>125555.03125</v>
      </c>
      <c r="I1119" s="994">
        <v>-3707.080078125</v>
      </c>
      <c r="J1119" s="994">
        <v>121847.953125</v>
      </c>
      <c r="K1119" s="997">
        <v>121847.95</v>
      </c>
    </row>
    <row r="1120" spans="1:11" ht="22.5" x14ac:dyDescent="0.25">
      <c r="A1120" s="989" t="s">
        <v>191</v>
      </c>
      <c r="B1120" s="993">
        <v>2018</v>
      </c>
      <c r="C1120" s="989" t="s">
        <v>2998</v>
      </c>
      <c r="D1120" s="989" t="s">
        <v>348</v>
      </c>
      <c r="E1120" s="989" t="s">
        <v>1010</v>
      </c>
      <c r="F1120" s="994">
        <v>149826.32999999999</v>
      </c>
      <c r="G1120" s="989" t="s">
        <v>657</v>
      </c>
      <c r="H1120" s="994">
        <v>141052.390625</v>
      </c>
      <c r="I1120" s="994">
        <v>8773.9404296875</v>
      </c>
      <c r="J1120" s="994">
        <v>149826.328125</v>
      </c>
      <c r="K1120" s="997">
        <v>149826.32999999999</v>
      </c>
    </row>
    <row r="1121" spans="1:11" ht="45" x14ac:dyDescent="0.25">
      <c r="A1121" s="989" t="s">
        <v>191</v>
      </c>
      <c r="B1121" s="993">
        <v>2018</v>
      </c>
      <c r="C1121" s="989" t="s">
        <v>2999</v>
      </c>
      <c r="D1121" s="989" t="s">
        <v>659</v>
      </c>
      <c r="E1121" s="989" t="s">
        <v>1425</v>
      </c>
      <c r="F1121" s="994">
        <v>0</v>
      </c>
      <c r="G1121" s="989" t="s">
        <v>657</v>
      </c>
      <c r="H1121" s="996"/>
      <c r="I1121" s="996"/>
      <c r="J1121" s="994">
        <v>0</v>
      </c>
      <c r="K1121" s="997">
        <v>0</v>
      </c>
    </row>
    <row r="1122" spans="1:11" ht="45" x14ac:dyDescent="0.25">
      <c r="A1122" s="989" t="s">
        <v>191</v>
      </c>
      <c r="B1122" s="993">
        <v>2018</v>
      </c>
      <c r="C1122" s="989" t="s">
        <v>2999</v>
      </c>
      <c r="D1122" s="989" t="s">
        <v>660</v>
      </c>
      <c r="E1122" s="989" t="s">
        <v>1426</v>
      </c>
      <c r="F1122" s="994">
        <v>0</v>
      </c>
      <c r="G1122" s="989" t="s">
        <v>657</v>
      </c>
      <c r="H1122" s="996"/>
      <c r="I1122" s="996"/>
      <c r="J1122" s="994">
        <v>0</v>
      </c>
      <c r="K1122" s="997">
        <v>0</v>
      </c>
    </row>
    <row r="1123" spans="1:11" ht="45" x14ac:dyDescent="0.25">
      <c r="A1123" s="989" t="s">
        <v>191</v>
      </c>
      <c r="B1123" s="993">
        <v>2018</v>
      </c>
      <c r="C1123" s="989" t="s">
        <v>2999</v>
      </c>
      <c r="D1123" s="989" t="s">
        <v>661</v>
      </c>
      <c r="E1123" s="989" t="s">
        <v>1427</v>
      </c>
      <c r="F1123" s="994">
        <v>0</v>
      </c>
      <c r="G1123" s="989" t="s">
        <v>657</v>
      </c>
      <c r="H1123" s="996"/>
      <c r="I1123" s="996"/>
      <c r="J1123" s="994">
        <v>0</v>
      </c>
      <c r="K1123" s="997">
        <v>0</v>
      </c>
    </row>
    <row r="1124" spans="1:11" ht="45" x14ac:dyDescent="0.25">
      <c r="A1124" s="989" t="s">
        <v>191</v>
      </c>
      <c r="B1124" s="993">
        <v>2018</v>
      </c>
      <c r="C1124" s="989" t="s">
        <v>2999</v>
      </c>
      <c r="D1124" s="989" t="s">
        <v>662</v>
      </c>
      <c r="E1124" s="989" t="s">
        <v>1428</v>
      </c>
      <c r="F1124" s="994">
        <v>0</v>
      </c>
      <c r="G1124" s="989" t="s">
        <v>657</v>
      </c>
      <c r="H1124" s="996"/>
      <c r="I1124" s="996"/>
      <c r="J1124" s="994">
        <v>0</v>
      </c>
      <c r="K1124" s="997">
        <v>0</v>
      </c>
    </row>
    <row r="1125" spans="1:11" ht="45" x14ac:dyDescent="0.25">
      <c r="A1125" s="989" t="s">
        <v>191</v>
      </c>
      <c r="B1125" s="993">
        <v>2018</v>
      </c>
      <c r="C1125" s="989" t="s">
        <v>2999</v>
      </c>
      <c r="D1125" s="989" t="s">
        <v>663</v>
      </c>
      <c r="E1125" s="989" t="s">
        <v>1429</v>
      </c>
      <c r="F1125" s="994">
        <v>0</v>
      </c>
      <c r="G1125" s="989" t="s">
        <v>657</v>
      </c>
      <c r="H1125" s="996"/>
      <c r="I1125" s="996"/>
      <c r="J1125" s="994">
        <v>0</v>
      </c>
      <c r="K1125" s="997">
        <v>0</v>
      </c>
    </row>
    <row r="1126" spans="1:11" ht="45" x14ac:dyDescent="0.25">
      <c r="A1126" s="989" t="s">
        <v>191</v>
      </c>
      <c r="B1126" s="993">
        <v>2018</v>
      </c>
      <c r="C1126" s="989" t="s">
        <v>2999</v>
      </c>
      <c r="D1126" s="989" t="s">
        <v>664</v>
      </c>
      <c r="E1126" s="989" t="s">
        <v>1430</v>
      </c>
      <c r="F1126" s="994">
        <v>0</v>
      </c>
      <c r="G1126" s="989" t="s">
        <v>657</v>
      </c>
      <c r="H1126" s="994">
        <v>43860.21875</v>
      </c>
      <c r="I1126" s="994">
        <v>4396.22998046875</v>
      </c>
      <c r="J1126" s="994">
        <v>48256.44921875</v>
      </c>
      <c r="K1126" s="997">
        <v>48256.45</v>
      </c>
    </row>
    <row r="1127" spans="1:11" ht="45" x14ac:dyDescent="0.25">
      <c r="A1127" s="989" t="s">
        <v>191</v>
      </c>
      <c r="B1127" s="993">
        <v>2018</v>
      </c>
      <c r="C1127" s="989" t="s">
        <v>2999</v>
      </c>
      <c r="D1127" s="989" t="s">
        <v>665</v>
      </c>
      <c r="E1127" s="989" t="s">
        <v>1431</v>
      </c>
      <c r="F1127" s="994">
        <v>0</v>
      </c>
      <c r="G1127" s="989" t="s">
        <v>657</v>
      </c>
      <c r="H1127" s="996"/>
      <c r="I1127" s="996"/>
      <c r="J1127" s="994">
        <v>0</v>
      </c>
      <c r="K1127" s="997">
        <v>0</v>
      </c>
    </row>
    <row r="1128" spans="1:11" ht="45" x14ac:dyDescent="0.25">
      <c r="A1128" s="989" t="s">
        <v>191</v>
      </c>
      <c r="B1128" s="993">
        <v>2018</v>
      </c>
      <c r="C1128" s="989" t="s">
        <v>2999</v>
      </c>
      <c r="D1128" s="989" t="s">
        <v>1870</v>
      </c>
      <c r="E1128" s="989" t="s">
        <v>2326</v>
      </c>
      <c r="F1128" s="994">
        <v>0</v>
      </c>
      <c r="G1128" s="989" t="s">
        <v>657</v>
      </c>
      <c r="H1128" s="996"/>
      <c r="I1128" s="996"/>
      <c r="J1128" s="994">
        <v>0</v>
      </c>
      <c r="K1128" s="997">
        <v>0</v>
      </c>
    </row>
    <row r="1129" spans="1:11" ht="45" x14ac:dyDescent="0.25">
      <c r="A1129" s="989" t="s">
        <v>191</v>
      </c>
      <c r="B1129" s="993">
        <v>2018</v>
      </c>
      <c r="C1129" s="989" t="s">
        <v>2999</v>
      </c>
      <c r="D1129" s="989" t="s">
        <v>2486</v>
      </c>
      <c r="E1129" s="989" t="s">
        <v>2531</v>
      </c>
      <c r="F1129" s="994">
        <v>0</v>
      </c>
      <c r="G1129" s="989" t="s">
        <v>657</v>
      </c>
      <c r="H1129" s="994">
        <v>-123176.8984375</v>
      </c>
      <c r="I1129" s="994">
        <v>-8872.400390625</v>
      </c>
      <c r="J1129" s="994">
        <v>-132049.296875</v>
      </c>
      <c r="K1129" s="997">
        <v>-132049.29999999999</v>
      </c>
    </row>
    <row r="1130" spans="1:11" ht="45" x14ac:dyDescent="0.25">
      <c r="A1130" s="989" t="s">
        <v>191</v>
      </c>
      <c r="B1130" s="993">
        <v>2018</v>
      </c>
      <c r="C1130" s="989" t="s">
        <v>2999</v>
      </c>
      <c r="D1130" s="989" t="s">
        <v>4892</v>
      </c>
      <c r="E1130" s="989" t="s">
        <v>6029</v>
      </c>
      <c r="F1130" s="994">
        <v>0</v>
      </c>
      <c r="G1130" s="989" t="s">
        <v>657</v>
      </c>
      <c r="H1130" s="996"/>
      <c r="I1130" s="996"/>
      <c r="J1130" s="994">
        <v>0</v>
      </c>
      <c r="K1130" s="997">
        <v>0</v>
      </c>
    </row>
    <row r="1131" spans="1:11" ht="45" x14ac:dyDescent="0.25">
      <c r="A1131" s="989" t="s">
        <v>191</v>
      </c>
      <c r="B1131" s="993">
        <v>2018</v>
      </c>
      <c r="C1131" s="989" t="s">
        <v>2999</v>
      </c>
      <c r="D1131" s="989" t="s">
        <v>666</v>
      </c>
      <c r="E1131" s="989" t="s">
        <v>1579</v>
      </c>
      <c r="F1131" s="994">
        <v>-83792.850000000006</v>
      </c>
      <c r="G1131" s="995"/>
      <c r="H1131" s="996"/>
      <c r="I1131" s="996"/>
      <c r="J1131" s="994">
        <v>0</v>
      </c>
      <c r="K1131" s="997">
        <v>-83792.850000000006</v>
      </c>
    </row>
    <row r="1132" spans="1:11" x14ac:dyDescent="0.25">
      <c r="A1132" s="989" t="s">
        <v>192</v>
      </c>
      <c r="B1132" s="993">
        <v>2018</v>
      </c>
      <c r="C1132" s="989" t="s">
        <v>2991</v>
      </c>
      <c r="D1132" s="989" t="s">
        <v>49</v>
      </c>
      <c r="E1132" s="989" t="s">
        <v>1019</v>
      </c>
      <c r="F1132" s="994">
        <v>0</v>
      </c>
      <c r="G1132" s="989" t="s">
        <v>657</v>
      </c>
      <c r="H1132" s="994">
        <v>0</v>
      </c>
      <c r="I1132" s="994">
        <v>0</v>
      </c>
      <c r="J1132" s="994">
        <v>0</v>
      </c>
      <c r="K1132" s="997">
        <v>0</v>
      </c>
    </row>
    <row r="1133" spans="1:11" ht="33.75" x14ac:dyDescent="0.25">
      <c r="A1133" s="989" t="s">
        <v>192</v>
      </c>
      <c r="B1133" s="993">
        <v>2018</v>
      </c>
      <c r="C1133" s="989" t="s">
        <v>2992</v>
      </c>
      <c r="D1133" s="989" t="s">
        <v>658</v>
      </c>
      <c r="E1133" s="989" t="s">
        <v>1020</v>
      </c>
      <c r="F1133" s="994">
        <v>24916.19</v>
      </c>
      <c r="G1133" s="989" t="s">
        <v>657</v>
      </c>
      <c r="H1133" s="994">
        <v>23082.310546875</v>
      </c>
      <c r="I1133" s="994">
        <v>1833.88000488281</v>
      </c>
      <c r="J1133" s="994">
        <v>24916.189453125</v>
      </c>
      <c r="K1133" s="997">
        <v>24916.19</v>
      </c>
    </row>
    <row r="1134" spans="1:11" ht="22.5" x14ac:dyDescent="0.25">
      <c r="A1134" s="989" t="s">
        <v>192</v>
      </c>
      <c r="B1134" s="993">
        <v>2018</v>
      </c>
      <c r="C1134" s="989" t="s">
        <v>2993</v>
      </c>
      <c r="D1134" s="989" t="s">
        <v>464</v>
      </c>
      <c r="E1134" s="989" t="s">
        <v>1021</v>
      </c>
      <c r="F1134" s="994">
        <v>-105489.15</v>
      </c>
      <c r="G1134" s="995"/>
      <c r="H1134" s="996"/>
      <c r="I1134" s="996"/>
      <c r="J1134" s="994">
        <v>0</v>
      </c>
      <c r="K1134" s="997">
        <v>-105489.15</v>
      </c>
    </row>
    <row r="1135" spans="1:11" ht="33.75" x14ac:dyDescent="0.25">
      <c r="A1135" s="989" t="s">
        <v>192</v>
      </c>
      <c r="B1135" s="993">
        <v>2018</v>
      </c>
      <c r="C1135" s="989" t="s">
        <v>2994</v>
      </c>
      <c r="D1135" s="989" t="s">
        <v>46</v>
      </c>
      <c r="E1135" s="989" t="s">
        <v>1022</v>
      </c>
      <c r="F1135" s="994">
        <v>-3406567.04</v>
      </c>
      <c r="G1135" s="989" t="s">
        <v>657</v>
      </c>
      <c r="H1135" s="994">
        <v>-3340756.25</v>
      </c>
      <c r="I1135" s="994">
        <v>-65810.7265625</v>
      </c>
      <c r="J1135" s="994">
        <v>-3406567</v>
      </c>
      <c r="K1135" s="997">
        <v>-3406567.04</v>
      </c>
    </row>
    <row r="1136" spans="1:11" ht="22.5" x14ac:dyDescent="0.25">
      <c r="A1136" s="989" t="s">
        <v>192</v>
      </c>
      <c r="B1136" s="993">
        <v>2018</v>
      </c>
      <c r="C1136" s="989" t="s">
        <v>2994</v>
      </c>
      <c r="D1136" s="989" t="s">
        <v>2482</v>
      </c>
      <c r="E1136" s="989" t="s">
        <v>1022</v>
      </c>
      <c r="F1136" s="994">
        <v>0.02</v>
      </c>
      <c r="G1136" s="995"/>
      <c r="H1136" s="996"/>
      <c r="I1136" s="996"/>
      <c r="J1136" s="994">
        <v>0</v>
      </c>
      <c r="K1136" s="997">
        <v>0.02</v>
      </c>
    </row>
    <row r="1137" spans="1:11" ht="22.5" x14ac:dyDescent="0.25">
      <c r="A1137" s="989" t="s">
        <v>192</v>
      </c>
      <c r="B1137" s="993">
        <v>2018</v>
      </c>
      <c r="C1137" s="989" t="s">
        <v>2994</v>
      </c>
      <c r="D1137" s="989" t="s">
        <v>2483</v>
      </c>
      <c r="E1137" s="989" t="s">
        <v>1022</v>
      </c>
      <c r="F1137" s="994">
        <v>-5.0199999999999996</v>
      </c>
      <c r="G1137" s="995"/>
      <c r="H1137" s="996"/>
      <c r="I1137" s="996"/>
      <c r="J1137" s="994">
        <v>0</v>
      </c>
      <c r="K1137" s="997">
        <v>-5.0199999999999996</v>
      </c>
    </row>
    <row r="1138" spans="1:11" ht="22.5" x14ac:dyDescent="0.25">
      <c r="A1138" s="989" t="s">
        <v>192</v>
      </c>
      <c r="B1138" s="993">
        <v>2018</v>
      </c>
      <c r="C1138" s="989" t="s">
        <v>2994</v>
      </c>
      <c r="D1138" s="989" t="s">
        <v>2484</v>
      </c>
      <c r="E1138" s="989" t="s">
        <v>1022</v>
      </c>
      <c r="F1138" s="994">
        <v>85.62</v>
      </c>
      <c r="G1138" s="995"/>
      <c r="H1138" s="996"/>
      <c r="I1138" s="996"/>
      <c r="J1138" s="994">
        <v>0</v>
      </c>
      <c r="K1138" s="997">
        <v>85.62</v>
      </c>
    </row>
    <row r="1139" spans="1:11" ht="22.5" x14ac:dyDescent="0.25">
      <c r="A1139" s="989" t="s">
        <v>192</v>
      </c>
      <c r="B1139" s="993">
        <v>2018</v>
      </c>
      <c r="C1139" s="989" t="s">
        <v>2994</v>
      </c>
      <c r="D1139" s="989" t="s">
        <v>2485</v>
      </c>
      <c r="E1139" s="989" t="s">
        <v>1022</v>
      </c>
      <c r="F1139" s="994">
        <v>3690.17</v>
      </c>
      <c r="G1139" s="995"/>
      <c r="H1139" s="996"/>
      <c r="I1139" s="996"/>
      <c r="J1139" s="994">
        <v>0</v>
      </c>
      <c r="K1139" s="997">
        <v>3690.17</v>
      </c>
    </row>
    <row r="1140" spans="1:11" ht="33.75" x14ac:dyDescent="0.25">
      <c r="A1140" s="989" t="s">
        <v>192</v>
      </c>
      <c r="B1140" s="993">
        <v>2018</v>
      </c>
      <c r="C1140" s="989" t="s">
        <v>2995</v>
      </c>
      <c r="D1140" s="989" t="s">
        <v>47</v>
      </c>
      <c r="E1140" s="989" t="s">
        <v>1023</v>
      </c>
      <c r="F1140" s="994">
        <v>-284281.34999999998</v>
      </c>
      <c r="G1140" s="989" t="s">
        <v>657</v>
      </c>
      <c r="H1140" s="994">
        <v>-282667</v>
      </c>
      <c r="I1140" s="994">
        <v>-1614.35998535156</v>
      </c>
      <c r="J1140" s="994">
        <v>-284281.34375</v>
      </c>
      <c r="K1140" s="997">
        <v>-284281.34999999998</v>
      </c>
    </row>
    <row r="1141" spans="1:11" ht="33.75" x14ac:dyDescent="0.25">
      <c r="A1141" s="989" t="s">
        <v>192</v>
      </c>
      <c r="B1141" s="993">
        <v>2018</v>
      </c>
      <c r="C1141" s="989" t="s">
        <v>2996</v>
      </c>
      <c r="D1141" s="989" t="s">
        <v>48</v>
      </c>
      <c r="E1141" s="989" t="s">
        <v>1024</v>
      </c>
      <c r="F1141" s="994">
        <v>0</v>
      </c>
      <c r="G1141" s="989" t="s">
        <v>657</v>
      </c>
      <c r="H1141" s="994">
        <v>0</v>
      </c>
      <c r="I1141" s="994">
        <v>0</v>
      </c>
      <c r="J1141" s="994">
        <v>0</v>
      </c>
      <c r="K1141" s="997">
        <v>0</v>
      </c>
    </row>
    <row r="1142" spans="1:11" ht="33.75" x14ac:dyDescent="0.25">
      <c r="A1142" s="989" t="s">
        <v>192</v>
      </c>
      <c r="B1142" s="993">
        <v>2018</v>
      </c>
      <c r="C1142" s="989" t="s">
        <v>2997</v>
      </c>
      <c r="D1142" s="989" t="s">
        <v>50</v>
      </c>
      <c r="E1142" s="989" t="s">
        <v>1025</v>
      </c>
      <c r="F1142" s="994">
        <v>-1612588.84</v>
      </c>
      <c r="G1142" s="989" t="s">
        <v>657</v>
      </c>
      <c r="H1142" s="994">
        <v>-1627259.5</v>
      </c>
      <c r="I1142" s="994">
        <v>14670.7001953125</v>
      </c>
      <c r="J1142" s="994">
        <v>-1612588.875</v>
      </c>
      <c r="K1142" s="997">
        <v>-1612588.84</v>
      </c>
    </row>
    <row r="1143" spans="1:11" ht="22.5" x14ac:dyDescent="0.25">
      <c r="A1143" s="989" t="s">
        <v>192</v>
      </c>
      <c r="B1143" s="993">
        <v>2018</v>
      </c>
      <c r="C1143" s="989" t="s">
        <v>2998</v>
      </c>
      <c r="D1143" s="989" t="s">
        <v>348</v>
      </c>
      <c r="E1143" s="989" t="s">
        <v>1026</v>
      </c>
      <c r="F1143" s="994">
        <v>586550.43000000005</v>
      </c>
      <c r="G1143" s="989" t="s">
        <v>657</v>
      </c>
      <c r="H1143" s="994">
        <v>542002.5625</v>
      </c>
      <c r="I1143" s="994">
        <v>44547.87109375</v>
      </c>
      <c r="J1143" s="994">
        <v>586550.4375</v>
      </c>
      <c r="K1143" s="997">
        <v>586550.43000000005</v>
      </c>
    </row>
    <row r="1144" spans="1:11" ht="45" x14ac:dyDescent="0.25">
      <c r="A1144" s="989" t="s">
        <v>192</v>
      </c>
      <c r="B1144" s="993">
        <v>2018</v>
      </c>
      <c r="C1144" s="989" t="s">
        <v>2999</v>
      </c>
      <c r="D1144" s="989" t="s">
        <v>659</v>
      </c>
      <c r="E1144" s="989" t="s">
        <v>1439</v>
      </c>
      <c r="F1144" s="994">
        <v>0</v>
      </c>
      <c r="G1144" s="989" t="s">
        <v>657</v>
      </c>
      <c r="H1144" s="994">
        <v>0</v>
      </c>
      <c r="I1144" s="994">
        <v>0</v>
      </c>
      <c r="J1144" s="994">
        <v>0</v>
      </c>
      <c r="K1144" s="997">
        <v>0</v>
      </c>
    </row>
    <row r="1145" spans="1:11" ht="45" x14ac:dyDescent="0.25">
      <c r="A1145" s="989" t="s">
        <v>192</v>
      </c>
      <c r="B1145" s="993">
        <v>2018</v>
      </c>
      <c r="C1145" s="989" t="s">
        <v>2999</v>
      </c>
      <c r="D1145" s="989" t="s">
        <v>660</v>
      </c>
      <c r="E1145" s="989" t="s">
        <v>1440</v>
      </c>
      <c r="F1145" s="994">
        <v>0</v>
      </c>
      <c r="G1145" s="989" t="s">
        <v>657</v>
      </c>
      <c r="H1145" s="994">
        <v>0</v>
      </c>
      <c r="I1145" s="994">
        <v>0</v>
      </c>
      <c r="J1145" s="994">
        <v>0</v>
      </c>
      <c r="K1145" s="997">
        <v>0</v>
      </c>
    </row>
    <row r="1146" spans="1:11" ht="45" x14ac:dyDescent="0.25">
      <c r="A1146" s="989" t="s">
        <v>192</v>
      </c>
      <c r="B1146" s="993">
        <v>2018</v>
      </c>
      <c r="C1146" s="989" t="s">
        <v>2999</v>
      </c>
      <c r="D1146" s="989" t="s">
        <v>661</v>
      </c>
      <c r="E1146" s="989" t="s">
        <v>1441</v>
      </c>
      <c r="F1146" s="994">
        <v>0</v>
      </c>
      <c r="G1146" s="989" t="s">
        <v>657</v>
      </c>
      <c r="H1146" s="994">
        <v>0</v>
      </c>
      <c r="I1146" s="994">
        <v>0</v>
      </c>
      <c r="J1146" s="994">
        <v>0</v>
      </c>
      <c r="K1146" s="997">
        <v>0</v>
      </c>
    </row>
    <row r="1147" spans="1:11" ht="45" x14ac:dyDescent="0.25">
      <c r="A1147" s="989" t="s">
        <v>192</v>
      </c>
      <c r="B1147" s="993">
        <v>2018</v>
      </c>
      <c r="C1147" s="989" t="s">
        <v>2999</v>
      </c>
      <c r="D1147" s="989" t="s">
        <v>662</v>
      </c>
      <c r="E1147" s="989" t="s">
        <v>1442</v>
      </c>
      <c r="F1147" s="994">
        <v>0</v>
      </c>
      <c r="G1147" s="989" t="s">
        <v>657</v>
      </c>
      <c r="H1147" s="994">
        <v>0</v>
      </c>
      <c r="I1147" s="994">
        <v>0</v>
      </c>
      <c r="J1147" s="994">
        <v>0</v>
      </c>
      <c r="K1147" s="997">
        <v>0</v>
      </c>
    </row>
    <row r="1148" spans="1:11" ht="45" x14ac:dyDescent="0.25">
      <c r="A1148" s="989" t="s">
        <v>192</v>
      </c>
      <c r="B1148" s="993">
        <v>2018</v>
      </c>
      <c r="C1148" s="989" t="s">
        <v>2999</v>
      </c>
      <c r="D1148" s="989" t="s">
        <v>663</v>
      </c>
      <c r="E1148" s="989" t="s">
        <v>1443</v>
      </c>
      <c r="F1148" s="994">
        <v>0</v>
      </c>
      <c r="G1148" s="989" t="s">
        <v>657</v>
      </c>
      <c r="H1148" s="994">
        <v>1</v>
      </c>
      <c r="I1148" s="994">
        <v>0</v>
      </c>
      <c r="J1148" s="994">
        <v>1</v>
      </c>
      <c r="K1148" s="997">
        <v>1</v>
      </c>
    </row>
    <row r="1149" spans="1:11" ht="45" x14ac:dyDescent="0.25">
      <c r="A1149" s="989" t="s">
        <v>192</v>
      </c>
      <c r="B1149" s="993">
        <v>2018</v>
      </c>
      <c r="C1149" s="989" t="s">
        <v>2999</v>
      </c>
      <c r="D1149" s="989" t="s">
        <v>664</v>
      </c>
      <c r="E1149" s="989" t="s">
        <v>1444</v>
      </c>
      <c r="F1149" s="994">
        <v>0</v>
      </c>
      <c r="G1149" s="989" t="s">
        <v>657</v>
      </c>
      <c r="H1149" s="994">
        <v>127549.640625</v>
      </c>
      <c r="I1149" s="994">
        <v>-118123.703125</v>
      </c>
      <c r="J1149" s="994">
        <v>9425.9404296875</v>
      </c>
      <c r="K1149" s="997">
        <v>9425.94</v>
      </c>
    </row>
    <row r="1150" spans="1:11" ht="45" x14ac:dyDescent="0.25">
      <c r="A1150" s="989" t="s">
        <v>192</v>
      </c>
      <c r="B1150" s="993">
        <v>2018</v>
      </c>
      <c r="C1150" s="989" t="s">
        <v>2999</v>
      </c>
      <c r="D1150" s="989" t="s">
        <v>665</v>
      </c>
      <c r="E1150" s="989" t="s">
        <v>1445</v>
      </c>
      <c r="F1150" s="994">
        <v>0</v>
      </c>
      <c r="G1150" s="989" t="s">
        <v>657</v>
      </c>
      <c r="H1150" s="994">
        <v>-1189.78002929688</v>
      </c>
      <c r="I1150" s="994">
        <v>-57875.9296875</v>
      </c>
      <c r="J1150" s="994">
        <v>-59065.7109375</v>
      </c>
      <c r="K1150" s="997">
        <v>-59065.71</v>
      </c>
    </row>
    <row r="1151" spans="1:11" ht="45" x14ac:dyDescent="0.25">
      <c r="A1151" s="989" t="s">
        <v>192</v>
      </c>
      <c r="B1151" s="993">
        <v>2018</v>
      </c>
      <c r="C1151" s="989" t="s">
        <v>2999</v>
      </c>
      <c r="D1151" s="989" t="s">
        <v>1870</v>
      </c>
      <c r="E1151" s="989" t="s">
        <v>2327</v>
      </c>
      <c r="F1151" s="994">
        <v>0</v>
      </c>
      <c r="G1151" s="989" t="s">
        <v>657</v>
      </c>
      <c r="H1151" s="994">
        <v>0</v>
      </c>
      <c r="I1151" s="994">
        <v>0</v>
      </c>
      <c r="J1151" s="994">
        <v>0</v>
      </c>
      <c r="K1151" s="997">
        <v>0</v>
      </c>
    </row>
    <row r="1152" spans="1:11" ht="45" x14ac:dyDescent="0.25">
      <c r="A1152" s="989" t="s">
        <v>192</v>
      </c>
      <c r="B1152" s="993">
        <v>2018</v>
      </c>
      <c r="C1152" s="989" t="s">
        <v>2999</v>
      </c>
      <c r="D1152" s="989" t="s">
        <v>2486</v>
      </c>
      <c r="E1152" s="989" t="s">
        <v>2532</v>
      </c>
      <c r="F1152" s="994">
        <v>0</v>
      </c>
      <c r="G1152" s="989" t="s">
        <v>657</v>
      </c>
      <c r="H1152" s="994">
        <v>164247.546875</v>
      </c>
      <c r="I1152" s="994">
        <v>-112480.75</v>
      </c>
      <c r="J1152" s="994">
        <v>51766.7890625</v>
      </c>
      <c r="K1152" s="997">
        <v>51766.79</v>
      </c>
    </row>
    <row r="1153" spans="1:11" ht="45" x14ac:dyDescent="0.25">
      <c r="A1153" s="989" t="s">
        <v>192</v>
      </c>
      <c r="B1153" s="993">
        <v>2018</v>
      </c>
      <c r="C1153" s="989" t="s">
        <v>2999</v>
      </c>
      <c r="D1153" s="989" t="s">
        <v>4892</v>
      </c>
      <c r="E1153" s="989" t="s">
        <v>6030</v>
      </c>
      <c r="F1153" s="994">
        <v>0</v>
      </c>
      <c r="G1153" s="989" t="s">
        <v>657</v>
      </c>
      <c r="H1153" s="994">
        <v>0</v>
      </c>
      <c r="I1153" s="994">
        <v>0</v>
      </c>
      <c r="J1153" s="994">
        <v>0</v>
      </c>
      <c r="K1153" s="997">
        <v>0</v>
      </c>
    </row>
    <row r="1154" spans="1:11" ht="45" x14ac:dyDescent="0.25">
      <c r="A1154" s="989" t="s">
        <v>192</v>
      </c>
      <c r="B1154" s="993">
        <v>2018</v>
      </c>
      <c r="C1154" s="989" t="s">
        <v>2999</v>
      </c>
      <c r="D1154" s="989" t="s">
        <v>666</v>
      </c>
      <c r="E1154" s="989" t="s">
        <v>1581</v>
      </c>
      <c r="F1154" s="994">
        <v>2128.02</v>
      </c>
      <c r="G1154" s="995"/>
      <c r="H1154" s="996"/>
      <c r="I1154" s="996"/>
      <c r="J1154" s="994">
        <v>0</v>
      </c>
      <c r="K1154" s="997">
        <v>2128.02</v>
      </c>
    </row>
    <row r="1155" spans="1:11" ht="22.5" x14ac:dyDescent="0.25">
      <c r="A1155" s="989" t="s">
        <v>244</v>
      </c>
      <c r="B1155" s="993">
        <v>2018</v>
      </c>
      <c r="C1155" s="989" t="s">
        <v>2991</v>
      </c>
      <c r="D1155" s="989" t="s">
        <v>49</v>
      </c>
      <c r="E1155" s="989" t="s">
        <v>1011</v>
      </c>
      <c r="F1155" s="994">
        <v>745802.63</v>
      </c>
      <c r="G1155" s="989" t="s">
        <v>657</v>
      </c>
      <c r="H1155" s="994">
        <v>734394.0625</v>
      </c>
      <c r="I1155" s="994">
        <v>11408.580078125</v>
      </c>
      <c r="J1155" s="994">
        <v>745802.625</v>
      </c>
      <c r="K1155" s="997">
        <v>745802.63</v>
      </c>
    </row>
    <row r="1156" spans="1:11" ht="33.75" x14ac:dyDescent="0.25">
      <c r="A1156" s="989" t="s">
        <v>244</v>
      </c>
      <c r="B1156" s="993">
        <v>2018</v>
      </c>
      <c r="C1156" s="989" t="s">
        <v>2992</v>
      </c>
      <c r="D1156" s="989" t="s">
        <v>658</v>
      </c>
      <c r="E1156" s="989" t="s">
        <v>1012</v>
      </c>
      <c r="F1156" s="994">
        <v>-10113.19</v>
      </c>
      <c r="G1156" s="989" t="s">
        <v>657</v>
      </c>
      <c r="H1156" s="994">
        <v>-10156.8798828125</v>
      </c>
      <c r="I1156" s="994">
        <v>43.689998626708999</v>
      </c>
      <c r="J1156" s="994">
        <v>-10113.1904296875</v>
      </c>
      <c r="K1156" s="997">
        <v>-10113.19</v>
      </c>
    </row>
    <row r="1157" spans="1:11" ht="22.5" x14ac:dyDescent="0.25">
      <c r="A1157" s="989" t="s">
        <v>244</v>
      </c>
      <c r="B1157" s="993">
        <v>2018</v>
      </c>
      <c r="C1157" s="989" t="s">
        <v>2993</v>
      </c>
      <c r="D1157" s="989" t="s">
        <v>464</v>
      </c>
      <c r="E1157" s="989" t="s">
        <v>1013</v>
      </c>
      <c r="F1157" s="994">
        <v>75945.289999999994</v>
      </c>
      <c r="G1157" s="995"/>
      <c r="H1157" s="996"/>
      <c r="I1157" s="996"/>
      <c r="J1157" s="994">
        <v>0</v>
      </c>
      <c r="K1157" s="997">
        <v>75945.289999999994</v>
      </c>
    </row>
    <row r="1158" spans="1:11" ht="33.75" x14ac:dyDescent="0.25">
      <c r="A1158" s="989" t="s">
        <v>244</v>
      </c>
      <c r="B1158" s="993">
        <v>2018</v>
      </c>
      <c r="C1158" s="989" t="s">
        <v>2994</v>
      </c>
      <c r="D1158" s="989" t="s">
        <v>46</v>
      </c>
      <c r="E1158" s="989" t="s">
        <v>1014</v>
      </c>
      <c r="F1158" s="994">
        <v>-3899737.4</v>
      </c>
      <c r="G1158" s="989" t="s">
        <v>657</v>
      </c>
      <c r="H1158" s="994">
        <v>-3815143</v>
      </c>
      <c r="I1158" s="994">
        <v>-84594.3671875</v>
      </c>
      <c r="J1158" s="994">
        <v>-3899737.5</v>
      </c>
      <c r="K1158" s="997">
        <v>-3899737.4</v>
      </c>
    </row>
    <row r="1159" spans="1:11" ht="22.5" x14ac:dyDescent="0.25">
      <c r="A1159" s="989" t="s">
        <v>244</v>
      </c>
      <c r="B1159" s="993">
        <v>2018</v>
      </c>
      <c r="C1159" s="989" t="s">
        <v>2994</v>
      </c>
      <c r="D1159" s="989" t="s">
        <v>2482</v>
      </c>
      <c r="E1159" s="989" t="s">
        <v>1014</v>
      </c>
      <c r="F1159" s="994">
        <v>0</v>
      </c>
      <c r="G1159" s="995"/>
      <c r="H1159" s="996"/>
      <c r="I1159" s="996"/>
      <c r="J1159" s="994">
        <v>0</v>
      </c>
      <c r="K1159" s="997">
        <v>0</v>
      </c>
    </row>
    <row r="1160" spans="1:11" ht="22.5" x14ac:dyDescent="0.25">
      <c r="A1160" s="989" t="s">
        <v>244</v>
      </c>
      <c r="B1160" s="993">
        <v>2018</v>
      </c>
      <c r="C1160" s="989" t="s">
        <v>2994</v>
      </c>
      <c r="D1160" s="989" t="s">
        <v>2483</v>
      </c>
      <c r="E1160" s="989" t="s">
        <v>1014</v>
      </c>
      <c r="F1160" s="994">
        <v>0</v>
      </c>
      <c r="G1160" s="995"/>
      <c r="H1160" s="996"/>
      <c r="I1160" s="996"/>
      <c r="J1160" s="994">
        <v>0</v>
      </c>
      <c r="K1160" s="997">
        <v>0</v>
      </c>
    </row>
    <row r="1161" spans="1:11" ht="22.5" x14ac:dyDescent="0.25">
      <c r="A1161" s="989" t="s">
        <v>244</v>
      </c>
      <c r="B1161" s="993">
        <v>2018</v>
      </c>
      <c r="C1161" s="989" t="s">
        <v>2994</v>
      </c>
      <c r="D1161" s="989" t="s">
        <v>2484</v>
      </c>
      <c r="E1161" s="989" t="s">
        <v>1014</v>
      </c>
      <c r="F1161" s="994">
        <v>0</v>
      </c>
      <c r="G1161" s="995"/>
      <c r="H1161" s="996"/>
      <c r="I1161" s="996"/>
      <c r="J1161" s="994">
        <v>0</v>
      </c>
      <c r="K1161" s="997">
        <v>0</v>
      </c>
    </row>
    <row r="1162" spans="1:11" ht="22.5" x14ac:dyDescent="0.25">
      <c r="A1162" s="989" t="s">
        <v>244</v>
      </c>
      <c r="B1162" s="993">
        <v>2018</v>
      </c>
      <c r="C1162" s="989" t="s">
        <v>2994</v>
      </c>
      <c r="D1162" s="989" t="s">
        <v>2485</v>
      </c>
      <c r="E1162" s="989" t="s">
        <v>1014</v>
      </c>
      <c r="F1162" s="994">
        <v>0</v>
      </c>
      <c r="G1162" s="995"/>
      <c r="H1162" s="996"/>
      <c r="I1162" s="996"/>
      <c r="J1162" s="994">
        <v>0</v>
      </c>
      <c r="K1162" s="997">
        <v>0</v>
      </c>
    </row>
    <row r="1163" spans="1:11" ht="33.75" x14ac:dyDescent="0.25">
      <c r="A1163" s="989" t="s">
        <v>244</v>
      </c>
      <c r="B1163" s="993">
        <v>2018</v>
      </c>
      <c r="C1163" s="989" t="s">
        <v>2995</v>
      </c>
      <c r="D1163" s="989" t="s">
        <v>47</v>
      </c>
      <c r="E1163" s="989" t="s">
        <v>1015</v>
      </c>
      <c r="F1163" s="994">
        <v>319261.40999999997</v>
      </c>
      <c r="G1163" s="989" t="s">
        <v>657</v>
      </c>
      <c r="H1163" s="994">
        <v>312571.34375</v>
      </c>
      <c r="I1163" s="994">
        <v>6690.080078125</v>
      </c>
      <c r="J1163" s="994">
        <v>319261.40625</v>
      </c>
      <c r="K1163" s="997">
        <v>319261.40999999997</v>
      </c>
    </row>
    <row r="1164" spans="1:11" ht="33.75" x14ac:dyDescent="0.25">
      <c r="A1164" s="989" t="s">
        <v>244</v>
      </c>
      <c r="B1164" s="993">
        <v>2018</v>
      </c>
      <c r="C1164" s="989" t="s">
        <v>2996</v>
      </c>
      <c r="D1164" s="989" t="s">
        <v>48</v>
      </c>
      <c r="E1164" s="989" t="s">
        <v>1016</v>
      </c>
      <c r="F1164" s="994">
        <v>604617.15</v>
      </c>
      <c r="G1164" s="989" t="s">
        <v>657</v>
      </c>
      <c r="H1164" s="994">
        <v>594791.6875</v>
      </c>
      <c r="I1164" s="994">
        <v>9825.490234375</v>
      </c>
      <c r="J1164" s="994">
        <v>604617.125</v>
      </c>
      <c r="K1164" s="997">
        <v>604617.15</v>
      </c>
    </row>
    <row r="1165" spans="1:11" ht="33.75" x14ac:dyDescent="0.25">
      <c r="A1165" s="989" t="s">
        <v>244</v>
      </c>
      <c r="B1165" s="993">
        <v>2018</v>
      </c>
      <c r="C1165" s="989" t="s">
        <v>2997</v>
      </c>
      <c r="D1165" s="989" t="s">
        <v>50</v>
      </c>
      <c r="E1165" s="989" t="s">
        <v>1017</v>
      </c>
      <c r="F1165" s="994">
        <v>1970878.33</v>
      </c>
      <c r="G1165" s="989" t="s">
        <v>657</v>
      </c>
      <c r="H1165" s="994">
        <v>1933489</v>
      </c>
      <c r="I1165" s="994">
        <v>37389.28125</v>
      </c>
      <c r="J1165" s="994">
        <v>1970878.375</v>
      </c>
      <c r="K1165" s="997">
        <v>1970878.33</v>
      </c>
    </row>
    <row r="1166" spans="1:11" ht="22.5" x14ac:dyDescent="0.25">
      <c r="A1166" s="989" t="s">
        <v>244</v>
      </c>
      <c r="B1166" s="993">
        <v>2018</v>
      </c>
      <c r="C1166" s="989" t="s">
        <v>2998</v>
      </c>
      <c r="D1166" s="989" t="s">
        <v>348</v>
      </c>
      <c r="E1166" s="989" t="s">
        <v>1018</v>
      </c>
      <c r="F1166" s="994">
        <v>226482.66</v>
      </c>
      <c r="G1166" s="989" t="s">
        <v>657</v>
      </c>
      <c r="H1166" s="994">
        <v>186444.15625</v>
      </c>
      <c r="I1166" s="994">
        <v>40038.5</v>
      </c>
      <c r="J1166" s="994">
        <v>226482.65625</v>
      </c>
      <c r="K1166" s="997">
        <v>226482.66</v>
      </c>
    </row>
    <row r="1167" spans="1:11" ht="45" x14ac:dyDescent="0.25">
      <c r="A1167" s="989" t="s">
        <v>244</v>
      </c>
      <c r="B1167" s="993">
        <v>2018</v>
      </c>
      <c r="C1167" s="989" t="s">
        <v>2999</v>
      </c>
      <c r="D1167" s="989" t="s">
        <v>659</v>
      </c>
      <c r="E1167" s="989" t="s">
        <v>1432</v>
      </c>
      <c r="F1167" s="994">
        <v>0</v>
      </c>
      <c r="G1167" s="989" t="s">
        <v>657</v>
      </c>
      <c r="H1167" s="996"/>
      <c r="I1167" s="996"/>
      <c r="J1167" s="994">
        <v>0</v>
      </c>
      <c r="K1167" s="997">
        <v>0</v>
      </c>
    </row>
    <row r="1168" spans="1:11" ht="45" x14ac:dyDescent="0.25">
      <c r="A1168" s="989" t="s">
        <v>244</v>
      </c>
      <c r="B1168" s="993">
        <v>2018</v>
      </c>
      <c r="C1168" s="989" t="s">
        <v>2999</v>
      </c>
      <c r="D1168" s="989" t="s">
        <v>660</v>
      </c>
      <c r="E1168" s="989" t="s">
        <v>1433</v>
      </c>
      <c r="F1168" s="994">
        <v>0</v>
      </c>
      <c r="G1168" s="989" t="s">
        <v>657</v>
      </c>
      <c r="H1168" s="996"/>
      <c r="I1168" s="996"/>
      <c r="J1168" s="994">
        <v>0</v>
      </c>
      <c r="K1168" s="997">
        <v>0</v>
      </c>
    </row>
    <row r="1169" spans="1:11" ht="45" x14ac:dyDescent="0.25">
      <c r="A1169" s="989" t="s">
        <v>244</v>
      </c>
      <c r="B1169" s="993">
        <v>2018</v>
      </c>
      <c r="C1169" s="989" t="s">
        <v>2999</v>
      </c>
      <c r="D1169" s="989" t="s">
        <v>661</v>
      </c>
      <c r="E1169" s="989" t="s">
        <v>1434</v>
      </c>
      <c r="F1169" s="994">
        <v>0</v>
      </c>
      <c r="G1169" s="989" t="s">
        <v>657</v>
      </c>
      <c r="H1169" s="996"/>
      <c r="I1169" s="996"/>
      <c r="J1169" s="994">
        <v>0</v>
      </c>
      <c r="K1169" s="997">
        <v>0</v>
      </c>
    </row>
    <row r="1170" spans="1:11" ht="45" x14ac:dyDescent="0.25">
      <c r="A1170" s="989" t="s">
        <v>244</v>
      </c>
      <c r="B1170" s="993">
        <v>2018</v>
      </c>
      <c r="C1170" s="989" t="s">
        <v>2999</v>
      </c>
      <c r="D1170" s="989" t="s">
        <v>662</v>
      </c>
      <c r="E1170" s="989" t="s">
        <v>1435</v>
      </c>
      <c r="F1170" s="994">
        <v>0</v>
      </c>
      <c r="G1170" s="989" t="s">
        <v>657</v>
      </c>
      <c r="H1170" s="996"/>
      <c r="I1170" s="996"/>
      <c r="J1170" s="994">
        <v>0</v>
      </c>
      <c r="K1170" s="997">
        <v>0</v>
      </c>
    </row>
    <row r="1171" spans="1:11" ht="45" x14ac:dyDescent="0.25">
      <c r="A1171" s="989" t="s">
        <v>244</v>
      </c>
      <c r="B1171" s="993">
        <v>2018</v>
      </c>
      <c r="C1171" s="989" t="s">
        <v>2999</v>
      </c>
      <c r="D1171" s="989" t="s">
        <v>663</v>
      </c>
      <c r="E1171" s="989" t="s">
        <v>1436</v>
      </c>
      <c r="F1171" s="994">
        <v>0</v>
      </c>
      <c r="G1171" s="989" t="s">
        <v>657</v>
      </c>
      <c r="H1171" s="994">
        <v>0</v>
      </c>
      <c r="I1171" s="994">
        <v>-22.469999313354499</v>
      </c>
      <c r="J1171" s="994">
        <v>-22.469999313354499</v>
      </c>
      <c r="K1171" s="997">
        <v>-22.47</v>
      </c>
    </row>
    <row r="1172" spans="1:11" ht="45" x14ac:dyDescent="0.25">
      <c r="A1172" s="989" t="s">
        <v>244</v>
      </c>
      <c r="B1172" s="993">
        <v>2018</v>
      </c>
      <c r="C1172" s="989" t="s">
        <v>2999</v>
      </c>
      <c r="D1172" s="989" t="s">
        <v>664</v>
      </c>
      <c r="E1172" s="989" t="s">
        <v>1437</v>
      </c>
      <c r="F1172" s="994">
        <v>0</v>
      </c>
      <c r="G1172" s="989" t="s">
        <v>657</v>
      </c>
      <c r="H1172" s="994">
        <v>0</v>
      </c>
      <c r="I1172" s="994">
        <v>0.46000000834464999</v>
      </c>
      <c r="J1172" s="994">
        <v>0.46000000834464999</v>
      </c>
      <c r="K1172" s="997">
        <v>0.46</v>
      </c>
    </row>
    <row r="1173" spans="1:11" ht="45" x14ac:dyDescent="0.25">
      <c r="A1173" s="989" t="s">
        <v>244</v>
      </c>
      <c r="B1173" s="993">
        <v>2018</v>
      </c>
      <c r="C1173" s="989" t="s">
        <v>2999</v>
      </c>
      <c r="D1173" s="989" t="s">
        <v>665</v>
      </c>
      <c r="E1173" s="989" t="s">
        <v>1438</v>
      </c>
      <c r="F1173" s="994">
        <v>0</v>
      </c>
      <c r="G1173" s="989" t="s">
        <v>657</v>
      </c>
      <c r="H1173" s="996"/>
      <c r="I1173" s="996"/>
      <c r="J1173" s="994">
        <v>0</v>
      </c>
      <c r="K1173" s="997">
        <v>0</v>
      </c>
    </row>
    <row r="1174" spans="1:11" ht="45" x14ac:dyDescent="0.25">
      <c r="A1174" s="989" t="s">
        <v>244</v>
      </c>
      <c r="B1174" s="993">
        <v>2018</v>
      </c>
      <c r="C1174" s="989" t="s">
        <v>2999</v>
      </c>
      <c r="D1174" s="989" t="s">
        <v>1870</v>
      </c>
      <c r="E1174" s="989" t="s">
        <v>4949</v>
      </c>
      <c r="F1174" s="994">
        <v>261545.42</v>
      </c>
      <c r="G1174" s="989" t="s">
        <v>657</v>
      </c>
      <c r="H1174" s="994">
        <v>261546.421875</v>
      </c>
      <c r="I1174" s="994">
        <v>48997.140625</v>
      </c>
      <c r="J1174" s="994">
        <v>310543.5625</v>
      </c>
      <c r="K1174" s="997">
        <v>261545.42</v>
      </c>
    </row>
    <row r="1175" spans="1:11" ht="45" x14ac:dyDescent="0.25">
      <c r="A1175" s="989" t="s">
        <v>244</v>
      </c>
      <c r="B1175" s="993">
        <v>2018</v>
      </c>
      <c r="C1175" s="989" t="s">
        <v>2999</v>
      </c>
      <c r="D1175" s="989" t="s">
        <v>2486</v>
      </c>
      <c r="E1175" s="989" t="s">
        <v>4950</v>
      </c>
      <c r="F1175" s="994">
        <v>64938.95</v>
      </c>
      <c r="G1175" s="989" t="s">
        <v>657</v>
      </c>
      <c r="H1175" s="994">
        <v>64938.94921875</v>
      </c>
      <c r="I1175" s="994">
        <v>55842</v>
      </c>
      <c r="J1175" s="994">
        <v>120780.953125</v>
      </c>
      <c r="K1175" s="997">
        <v>64938.95</v>
      </c>
    </row>
    <row r="1176" spans="1:11" ht="45" x14ac:dyDescent="0.25">
      <c r="A1176" s="989" t="s">
        <v>244</v>
      </c>
      <c r="B1176" s="993">
        <v>2018</v>
      </c>
      <c r="C1176" s="989" t="s">
        <v>2999</v>
      </c>
      <c r="D1176" s="989" t="s">
        <v>4892</v>
      </c>
      <c r="E1176" s="989" t="s">
        <v>6031</v>
      </c>
      <c r="F1176" s="994">
        <v>0</v>
      </c>
      <c r="G1176" s="989" t="s">
        <v>657</v>
      </c>
      <c r="H1176" s="996"/>
      <c r="I1176" s="996"/>
      <c r="J1176" s="994">
        <v>0</v>
      </c>
      <c r="K1176" s="997">
        <v>0</v>
      </c>
    </row>
    <row r="1177" spans="1:11" ht="45" x14ac:dyDescent="0.25">
      <c r="A1177" s="989" t="s">
        <v>244</v>
      </c>
      <c r="B1177" s="993">
        <v>2018</v>
      </c>
      <c r="C1177" s="989" t="s">
        <v>2999</v>
      </c>
      <c r="D1177" s="989" t="s">
        <v>666</v>
      </c>
      <c r="E1177" s="989" t="s">
        <v>1580</v>
      </c>
      <c r="F1177" s="994">
        <v>431302.5</v>
      </c>
      <c r="G1177" s="995"/>
      <c r="H1177" s="996"/>
      <c r="I1177" s="996"/>
      <c r="J1177" s="994">
        <v>0</v>
      </c>
      <c r="K1177" s="997">
        <v>431302.5</v>
      </c>
    </row>
    <row r="1178" spans="1:11" x14ac:dyDescent="0.25">
      <c r="A1178" s="989" t="s">
        <v>193</v>
      </c>
      <c r="B1178" s="993">
        <v>2018</v>
      </c>
      <c r="C1178" s="989" t="s">
        <v>2991</v>
      </c>
      <c r="D1178" s="989" t="s">
        <v>49</v>
      </c>
      <c r="E1178" s="989" t="s">
        <v>1027</v>
      </c>
      <c r="F1178" s="994">
        <v>211208.08</v>
      </c>
      <c r="G1178" s="989" t="s">
        <v>657</v>
      </c>
      <c r="H1178" s="994">
        <v>208286.15625</v>
      </c>
      <c r="I1178" s="994">
        <v>2921.92993164063</v>
      </c>
      <c r="J1178" s="994">
        <v>211208.078125</v>
      </c>
      <c r="K1178" s="997">
        <v>211208.08</v>
      </c>
    </row>
    <row r="1179" spans="1:11" ht="33.75" x14ac:dyDescent="0.25">
      <c r="A1179" s="989" t="s">
        <v>193</v>
      </c>
      <c r="B1179" s="993">
        <v>2018</v>
      </c>
      <c r="C1179" s="989" t="s">
        <v>2992</v>
      </c>
      <c r="D1179" s="989" t="s">
        <v>658</v>
      </c>
      <c r="E1179" s="989" t="s">
        <v>1028</v>
      </c>
      <c r="F1179" s="994">
        <v>2320.39</v>
      </c>
      <c r="G1179" s="989" t="s">
        <v>657</v>
      </c>
      <c r="H1179" s="994">
        <v>2315.6201171875</v>
      </c>
      <c r="I1179" s="994">
        <v>4.7699999809265101</v>
      </c>
      <c r="J1179" s="994">
        <v>2320.38989257813</v>
      </c>
      <c r="K1179" s="997">
        <v>2320.39</v>
      </c>
    </row>
    <row r="1180" spans="1:11" ht="22.5" x14ac:dyDescent="0.25">
      <c r="A1180" s="989" t="s">
        <v>193</v>
      </c>
      <c r="B1180" s="993">
        <v>2018</v>
      </c>
      <c r="C1180" s="989" t="s">
        <v>2993</v>
      </c>
      <c r="D1180" s="989" t="s">
        <v>464</v>
      </c>
      <c r="E1180" s="989" t="s">
        <v>1029</v>
      </c>
      <c r="F1180" s="994">
        <v>0</v>
      </c>
      <c r="G1180" s="995"/>
      <c r="H1180" s="996"/>
      <c r="I1180" s="996"/>
      <c r="J1180" s="994">
        <v>0</v>
      </c>
      <c r="K1180" s="997">
        <v>0</v>
      </c>
    </row>
    <row r="1181" spans="1:11" ht="33.75" x14ac:dyDescent="0.25">
      <c r="A1181" s="989" t="s">
        <v>193</v>
      </c>
      <c r="B1181" s="993">
        <v>2018</v>
      </c>
      <c r="C1181" s="989" t="s">
        <v>2994</v>
      </c>
      <c r="D1181" s="989" t="s">
        <v>46</v>
      </c>
      <c r="E1181" s="989" t="s">
        <v>1030</v>
      </c>
      <c r="F1181" s="994">
        <v>-208974.11</v>
      </c>
      <c r="G1181" s="989" t="s">
        <v>657</v>
      </c>
      <c r="H1181" s="994">
        <v>-206651.65625</v>
      </c>
      <c r="I1181" s="994">
        <v>-2322.44995117188</v>
      </c>
      <c r="J1181" s="994">
        <v>-208974.109375</v>
      </c>
      <c r="K1181" s="997">
        <v>-208974.11</v>
      </c>
    </row>
    <row r="1182" spans="1:11" ht="22.5" x14ac:dyDescent="0.25">
      <c r="A1182" s="989" t="s">
        <v>193</v>
      </c>
      <c r="B1182" s="993">
        <v>2018</v>
      </c>
      <c r="C1182" s="989" t="s">
        <v>2994</v>
      </c>
      <c r="D1182" s="989" t="s">
        <v>2482</v>
      </c>
      <c r="E1182" s="989" t="s">
        <v>1030</v>
      </c>
      <c r="F1182" s="994">
        <v>0</v>
      </c>
      <c r="G1182" s="995"/>
      <c r="H1182" s="996"/>
      <c r="I1182" s="996"/>
      <c r="J1182" s="994">
        <v>0</v>
      </c>
      <c r="K1182" s="997">
        <v>0</v>
      </c>
    </row>
    <row r="1183" spans="1:11" ht="22.5" x14ac:dyDescent="0.25">
      <c r="A1183" s="989" t="s">
        <v>193</v>
      </c>
      <c r="B1183" s="993">
        <v>2018</v>
      </c>
      <c r="C1183" s="989" t="s">
        <v>2994</v>
      </c>
      <c r="D1183" s="989" t="s">
        <v>2483</v>
      </c>
      <c r="E1183" s="989" t="s">
        <v>1030</v>
      </c>
      <c r="F1183" s="994">
        <v>1.1299999999999999</v>
      </c>
      <c r="G1183" s="995"/>
      <c r="H1183" s="996"/>
      <c r="I1183" s="996"/>
      <c r="J1183" s="994">
        <v>0</v>
      </c>
      <c r="K1183" s="997">
        <v>1.1299999999999999</v>
      </c>
    </row>
    <row r="1184" spans="1:11" ht="22.5" x14ac:dyDescent="0.25">
      <c r="A1184" s="989" t="s">
        <v>193</v>
      </c>
      <c r="B1184" s="993">
        <v>2018</v>
      </c>
      <c r="C1184" s="989" t="s">
        <v>2994</v>
      </c>
      <c r="D1184" s="989" t="s">
        <v>2484</v>
      </c>
      <c r="E1184" s="989" t="s">
        <v>1030</v>
      </c>
      <c r="F1184" s="994">
        <v>-230.77</v>
      </c>
      <c r="G1184" s="995"/>
      <c r="H1184" s="996"/>
      <c r="I1184" s="996"/>
      <c r="J1184" s="994">
        <v>0</v>
      </c>
      <c r="K1184" s="997">
        <v>-230.77</v>
      </c>
    </row>
    <row r="1185" spans="1:11" ht="22.5" x14ac:dyDescent="0.25">
      <c r="A1185" s="989" t="s">
        <v>193</v>
      </c>
      <c r="B1185" s="993">
        <v>2018</v>
      </c>
      <c r="C1185" s="989" t="s">
        <v>2994</v>
      </c>
      <c r="D1185" s="989" t="s">
        <v>2485</v>
      </c>
      <c r="E1185" s="989" t="s">
        <v>1030</v>
      </c>
      <c r="F1185" s="994">
        <v>-20773.03</v>
      </c>
      <c r="G1185" s="995"/>
      <c r="H1185" s="996"/>
      <c r="I1185" s="996"/>
      <c r="J1185" s="994">
        <v>0</v>
      </c>
      <c r="K1185" s="997">
        <v>-20773.03</v>
      </c>
    </row>
    <row r="1186" spans="1:11" ht="33.75" x14ac:dyDescent="0.25">
      <c r="A1186" s="989" t="s">
        <v>193</v>
      </c>
      <c r="B1186" s="993">
        <v>2018</v>
      </c>
      <c r="C1186" s="989" t="s">
        <v>2995</v>
      </c>
      <c r="D1186" s="989" t="s">
        <v>47</v>
      </c>
      <c r="E1186" s="989" t="s">
        <v>1031</v>
      </c>
      <c r="F1186" s="994">
        <v>-103315.21</v>
      </c>
      <c r="G1186" s="989" t="s">
        <v>657</v>
      </c>
      <c r="H1186" s="994">
        <v>-102370.140625</v>
      </c>
      <c r="I1186" s="994">
        <v>-945.07000732421898</v>
      </c>
      <c r="J1186" s="994">
        <v>-103315.2109375</v>
      </c>
      <c r="K1186" s="997">
        <v>-103315.21</v>
      </c>
    </row>
    <row r="1187" spans="1:11" ht="33.75" x14ac:dyDescent="0.25">
      <c r="A1187" s="989" t="s">
        <v>193</v>
      </c>
      <c r="B1187" s="993">
        <v>2018</v>
      </c>
      <c r="C1187" s="989" t="s">
        <v>2996</v>
      </c>
      <c r="D1187" s="989" t="s">
        <v>48</v>
      </c>
      <c r="E1187" s="989" t="s">
        <v>1032</v>
      </c>
      <c r="F1187" s="994">
        <v>50314.29</v>
      </c>
      <c r="G1187" s="989" t="s">
        <v>657</v>
      </c>
      <c r="H1187" s="994">
        <v>49487.328125</v>
      </c>
      <c r="I1187" s="994">
        <v>826.96002197265602</v>
      </c>
      <c r="J1187" s="994">
        <v>50314.2890625</v>
      </c>
      <c r="K1187" s="997">
        <v>50314.29</v>
      </c>
    </row>
    <row r="1188" spans="1:11" ht="33.75" x14ac:dyDescent="0.25">
      <c r="A1188" s="989" t="s">
        <v>193</v>
      </c>
      <c r="B1188" s="993">
        <v>2018</v>
      </c>
      <c r="C1188" s="989" t="s">
        <v>2997</v>
      </c>
      <c r="D1188" s="989" t="s">
        <v>50</v>
      </c>
      <c r="E1188" s="989" t="s">
        <v>1033</v>
      </c>
      <c r="F1188" s="994">
        <v>-24679.18</v>
      </c>
      <c r="G1188" s="989" t="s">
        <v>657</v>
      </c>
      <c r="H1188" s="994">
        <v>-23565.7890625</v>
      </c>
      <c r="I1188" s="994">
        <v>-1113.39001464844</v>
      </c>
      <c r="J1188" s="994">
        <v>-24679.1796875</v>
      </c>
      <c r="K1188" s="997">
        <v>-24679.18</v>
      </c>
    </row>
    <row r="1189" spans="1:11" ht="22.5" x14ac:dyDescent="0.25">
      <c r="A1189" s="989" t="s">
        <v>193</v>
      </c>
      <c r="B1189" s="993">
        <v>2018</v>
      </c>
      <c r="C1189" s="989" t="s">
        <v>2998</v>
      </c>
      <c r="D1189" s="989" t="s">
        <v>348</v>
      </c>
      <c r="E1189" s="989" t="s">
        <v>1034</v>
      </c>
      <c r="F1189" s="994">
        <v>4554.8599999999997</v>
      </c>
      <c r="G1189" s="989" t="s">
        <v>657</v>
      </c>
      <c r="H1189" s="994">
        <v>3977.5400390625</v>
      </c>
      <c r="I1189" s="994">
        <v>577.32000732421898</v>
      </c>
      <c r="J1189" s="994">
        <v>4554.85986328125</v>
      </c>
      <c r="K1189" s="997">
        <v>4554.8599999999997</v>
      </c>
    </row>
    <row r="1190" spans="1:11" ht="45" x14ac:dyDescent="0.25">
      <c r="A1190" s="989" t="s">
        <v>193</v>
      </c>
      <c r="B1190" s="993">
        <v>2018</v>
      </c>
      <c r="C1190" s="989" t="s">
        <v>2999</v>
      </c>
      <c r="D1190" s="989" t="s">
        <v>659</v>
      </c>
      <c r="E1190" s="989" t="s">
        <v>1446</v>
      </c>
      <c r="F1190" s="994">
        <v>0</v>
      </c>
      <c r="G1190" s="989" t="s">
        <v>657</v>
      </c>
      <c r="H1190" s="994">
        <v>0</v>
      </c>
      <c r="I1190" s="994">
        <v>0</v>
      </c>
      <c r="J1190" s="994">
        <v>0</v>
      </c>
      <c r="K1190" s="997">
        <v>0</v>
      </c>
    </row>
    <row r="1191" spans="1:11" ht="45" x14ac:dyDescent="0.25">
      <c r="A1191" s="989" t="s">
        <v>193</v>
      </c>
      <c r="B1191" s="993">
        <v>2018</v>
      </c>
      <c r="C1191" s="989" t="s">
        <v>2999</v>
      </c>
      <c r="D1191" s="989" t="s">
        <v>660</v>
      </c>
      <c r="E1191" s="989" t="s">
        <v>1447</v>
      </c>
      <c r="F1191" s="994">
        <v>0</v>
      </c>
      <c r="G1191" s="989" t="s">
        <v>657</v>
      </c>
      <c r="H1191" s="994">
        <v>0</v>
      </c>
      <c r="I1191" s="994">
        <v>0</v>
      </c>
      <c r="J1191" s="994">
        <v>0</v>
      </c>
      <c r="K1191" s="997">
        <v>0</v>
      </c>
    </row>
    <row r="1192" spans="1:11" ht="45" x14ac:dyDescent="0.25">
      <c r="A1192" s="989" t="s">
        <v>193</v>
      </c>
      <c r="B1192" s="993">
        <v>2018</v>
      </c>
      <c r="C1192" s="989" t="s">
        <v>2999</v>
      </c>
      <c r="D1192" s="989" t="s">
        <v>661</v>
      </c>
      <c r="E1192" s="989" t="s">
        <v>1448</v>
      </c>
      <c r="F1192" s="994">
        <v>0</v>
      </c>
      <c r="G1192" s="989" t="s">
        <v>657</v>
      </c>
      <c r="H1192" s="994">
        <v>0</v>
      </c>
      <c r="I1192" s="994">
        <v>0</v>
      </c>
      <c r="J1192" s="994">
        <v>0</v>
      </c>
      <c r="K1192" s="997">
        <v>0</v>
      </c>
    </row>
    <row r="1193" spans="1:11" ht="45" x14ac:dyDescent="0.25">
      <c r="A1193" s="989" t="s">
        <v>193</v>
      </c>
      <c r="B1193" s="993">
        <v>2018</v>
      </c>
      <c r="C1193" s="989" t="s">
        <v>2999</v>
      </c>
      <c r="D1193" s="989" t="s">
        <v>662</v>
      </c>
      <c r="E1193" s="989" t="s">
        <v>1449</v>
      </c>
      <c r="F1193" s="994">
        <v>0</v>
      </c>
      <c r="G1193" s="989" t="s">
        <v>657</v>
      </c>
      <c r="H1193" s="994">
        <v>0</v>
      </c>
      <c r="I1193" s="994">
        <v>0</v>
      </c>
      <c r="J1193" s="994">
        <v>0</v>
      </c>
      <c r="K1193" s="997">
        <v>0</v>
      </c>
    </row>
    <row r="1194" spans="1:11" ht="45" x14ac:dyDescent="0.25">
      <c r="A1194" s="989" t="s">
        <v>193</v>
      </c>
      <c r="B1194" s="993">
        <v>2018</v>
      </c>
      <c r="C1194" s="989" t="s">
        <v>2999</v>
      </c>
      <c r="D1194" s="989" t="s">
        <v>663</v>
      </c>
      <c r="E1194" s="989" t="s">
        <v>1450</v>
      </c>
      <c r="F1194" s="994">
        <v>0</v>
      </c>
      <c r="G1194" s="989" t="s">
        <v>657</v>
      </c>
      <c r="H1194" s="994">
        <v>0</v>
      </c>
      <c r="I1194" s="994">
        <v>0</v>
      </c>
      <c r="J1194" s="994">
        <v>0</v>
      </c>
      <c r="K1194" s="997">
        <v>0</v>
      </c>
    </row>
    <row r="1195" spans="1:11" ht="45" x14ac:dyDescent="0.25">
      <c r="A1195" s="989" t="s">
        <v>193</v>
      </c>
      <c r="B1195" s="993">
        <v>2018</v>
      </c>
      <c r="C1195" s="989" t="s">
        <v>2999</v>
      </c>
      <c r="D1195" s="989" t="s">
        <v>664</v>
      </c>
      <c r="E1195" s="989" t="s">
        <v>1451</v>
      </c>
      <c r="F1195" s="994">
        <v>0</v>
      </c>
      <c r="G1195" s="989" t="s">
        <v>657</v>
      </c>
      <c r="H1195" s="994">
        <v>0</v>
      </c>
      <c r="I1195" s="994">
        <v>0</v>
      </c>
      <c r="J1195" s="994">
        <v>0</v>
      </c>
      <c r="K1195" s="997">
        <v>0</v>
      </c>
    </row>
    <row r="1196" spans="1:11" ht="45" x14ac:dyDescent="0.25">
      <c r="A1196" s="989" t="s">
        <v>193</v>
      </c>
      <c r="B1196" s="993">
        <v>2018</v>
      </c>
      <c r="C1196" s="989" t="s">
        <v>2999</v>
      </c>
      <c r="D1196" s="989" t="s">
        <v>665</v>
      </c>
      <c r="E1196" s="989" t="s">
        <v>1452</v>
      </c>
      <c r="F1196" s="994">
        <v>0</v>
      </c>
      <c r="G1196" s="989" t="s">
        <v>657</v>
      </c>
      <c r="H1196" s="994">
        <v>0</v>
      </c>
      <c r="I1196" s="994">
        <v>0</v>
      </c>
      <c r="J1196" s="994">
        <v>0</v>
      </c>
      <c r="K1196" s="997">
        <v>0</v>
      </c>
    </row>
    <row r="1197" spans="1:11" ht="45" x14ac:dyDescent="0.25">
      <c r="A1197" s="989" t="s">
        <v>193</v>
      </c>
      <c r="B1197" s="993">
        <v>2018</v>
      </c>
      <c r="C1197" s="989" t="s">
        <v>2999</v>
      </c>
      <c r="D1197" s="989" t="s">
        <v>1870</v>
      </c>
      <c r="E1197" s="989" t="s">
        <v>2328</v>
      </c>
      <c r="F1197" s="994">
        <v>0</v>
      </c>
      <c r="G1197" s="989" t="s">
        <v>657</v>
      </c>
      <c r="H1197" s="994">
        <v>-9844.98046875</v>
      </c>
      <c r="I1197" s="994">
        <v>8814.2998046875</v>
      </c>
      <c r="J1197" s="994">
        <v>-1030.68005371094</v>
      </c>
      <c r="K1197" s="997">
        <v>-1030.68</v>
      </c>
    </row>
    <row r="1198" spans="1:11" ht="45" x14ac:dyDescent="0.25">
      <c r="A1198" s="989" t="s">
        <v>193</v>
      </c>
      <c r="B1198" s="993">
        <v>2018</v>
      </c>
      <c r="C1198" s="989" t="s">
        <v>2999</v>
      </c>
      <c r="D1198" s="989" t="s">
        <v>2486</v>
      </c>
      <c r="E1198" s="989" t="s">
        <v>2533</v>
      </c>
      <c r="F1198" s="994">
        <v>0</v>
      </c>
      <c r="G1198" s="989" t="s">
        <v>657</v>
      </c>
      <c r="H1198" s="994">
        <v>0</v>
      </c>
      <c r="I1198" s="994">
        <v>0</v>
      </c>
      <c r="J1198" s="994">
        <v>0</v>
      </c>
      <c r="K1198" s="997">
        <v>0</v>
      </c>
    </row>
    <row r="1199" spans="1:11" ht="45" x14ac:dyDescent="0.25">
      <c r="A1199" s="989" t="s">
        <v>193</v>
      </c>
      <c r="B1199" s="993">
        <v>2018</v>
      </c>
      <c r="C1199" s="989" t="s">
        <v>2999</v>
      </c>
      <c r="D1199" s="989" t="s">
        <v>4892</v>
      </c>
      <c r="E1199" s="989" t="s">
        <v>6032</v>
      </c>
      <c r="F1199" s="994">
        <v>0</v>
      </c>
      <c r="G1199" s="989" t="s">
        <v>657</v>
      </c>
      <c r="H1199" s="994">
        <v>41986.609375</v>
      </c>
      <c r="I1199" s="994">
        <v>-14128.8701171875</v>
      </c>
      <c r="J1199" s="994">
        <v>27857.740234375</v>
      </c>
      <c r="K1199" s="997">
        <v>27857.74</v>
      </c>
    </row>
    <row r="1200" spans="1:11" ht="45" x14ac:dyDescent="0.25">
      <c r="A1200" s="989" t="s">
        <v>193</v>
      </c>
      <c r="B1200" s="993">
        <v>2018</v>
      </c>
      <c r="C1200" s="989" t="s">
        <v>2999</v>
      </c>
      <c r="D1200" s="989" t="s">
        <v>666</v>
      </c>
      <c r="E1200" s="989" t="s">
        <v>1582</v>
      </c>
      <c r="F1200" s="994">
        <v>26827.06</v>
      </c>
      <c r="G1200" s="995"/>
      <c r="H1200" s="996"/>
      <c r="I1200" s="996"/>
      <c r="J1200" s="994">
        <v>0</v>
      </c>
      <c r="K1200" s="997">
        <v>26827.06</v>
      </c>
    </row>
    <row r="1201" spans="1:11" ht="22.5" x14ac:dyDescent="0.25">
      <c r="A1201" s="989" t="s">
        <v>208</v>
      </c>
      <c r="B1201" s="993">
        <v>2018</v>
      </c>
      <c r="C1201" s="989" t="s">
        <v>2991</v>
      </c>
      <c r="D1201" s="989" t="s">
        <v>49</v>
      </c>
      <c r="E1201" s="989" t="s">
        <v>1035</v>
      </c>
      <c r="F1201" s="994">
        <v>251758.54</v>
      </c>
      <c r="G1201" s="989" t="s">
        <v>657</v>
      </c>
      <c r="H1201" s="994">
        <v>246566.796875</v>
      </c>
      <c r="I1201" s="994">
        <v>5191.75</v>
      </c>
      <c r="J1201" s="994">
        <v>251758.546875</v>
      </c>
      <c r="K1201" s="997">
        <v>251758.54</v>
      </c>
    </row>
    <row r="1202" spans="1:11" ht="33.75" x14ac:dyDescent="0.25">
      <c r="A1202" s="989" t="s">
        <v>208</v>
      </c>
      <c r="B1202" s="993">
        <v>2018</v>
      </c>
      <c r="C1202" s="989" t="s">
        <v>2992</v>
      </c>
      <c r="D1202" s="989" t="s">
        <v>658</v>
      </c>
      <c r="E1202" s="989" t="s">
        <v>1036</v>
      </c>
      <c r="F1202" s="994">
        <v>-496.38</v>
      </c>
      <c r="G1202" s="989" t="s">
        <v>657</v>
      </c>
      <c r="H1202" s="994">
        <v>-487.05999755859398</v>
      </c>
      <c r="I1202" s="994">
        <v>-9.3199996948242205</v>
      </c>
      <c r="J1202" s="994">
        <v>-496.38000488281301</v>
      </c>
      <c r="K1202" s="997">
        <v>-496.38</v>
      </c>
    </row>
    <row r="1203" spans="1:11" ht="22.5" x14ac:dyDescent="0.25">
      <c r="A1203" s="989" t="s">
        <v>208</v>
      </c>
      <c r="B1203" s="993">
        <v>2018</v>
      </c>
      <c r="C1203" s="989" t="s">
        <v>2993</v>
      </c>
      <c r="D1203" s="989" t="s">
        <v>464</v>
      </c>
      <c r="E1203" s="989" t="s">
        <v>1037</v>
      </c>
      <c r="F1203" s="994">
        <v>82045.490000000005</v>
      </c>
      <c r="G1203" s="995"/>
      <c r="H1203" s="996"/>
      <c r="I1203" s="996"/>
      <c r="J1203" s="994">
        <v>0</v>
      </c>
      <c r="K1203" s="997">
        <v>82045.490000000005</v>
      </c>
    </row>
    <row r="1204" spans="1:11" ht="33.75" x14ac:dyDescent="0.25">
      <c r="A1204" s="989" t="s">
        <v>208</v>
      </c>
      <c r="B1204" s="993">
        <v>2018</v>
      </c>
      <c r="C1204" s="989" t="s">
        <v>2994</v>
      </c>
      <c r="D1204" s="989" t="s">
        <v>46</v>
      </c>
      <c r="E1204" s="989" t="s">
        <v>1038</v>
      </c>
      <c r="F1204" s="994">
        <v>-217826.31</v>
      </c>
      <c r="G1204" s="989" t="s">
        <v>657</v>
      </c>
      <c r="H1204" s="994">
        <v>-212810.46875</v>
      </c>
      <c r="I1204" s="994">
        <v>-5015.83984375</v>
      </c>
      <c r="J1204" s="994">
        <v>-217826.3125</v>
      </c>
      <c r="K1204" s="997">
        <v>-217826.31</v>
      </c>
    </row>
    <row r="1205" spans="1:11" ht="22.5" x14ac:dyDescent="0.25">
      <c r="A1205" s="989" t="s">
        <v>208</v>
      </c>
      <c r="B1205" s="993">
        <v>2018</v>
      </c>
      <c r="C1205" s="989" t="s">
        <v>2994</v>
      </c>
      <c r="D1205" s="989" t="s">
        <v>2482</v>
      </c>
      <c r="E1205" s="989" t="s">
        <v>1038</v>
      </c>
      <c r="F1205" s="994">
        <v>0</v>
      </c>
      <c r="G1205" s="995"/>
      <c r="H1205" s="996"/>
      <c r="I1205" s="996"/>
      <c r="J1205" s="994">
        <v>0</v>
      </c>
      <c r="K1205" s="997">
        <v>0</v>
      </c>
    </row>
    <row r="1206" spans="1:11" ht="22.5" x14ac:dyDescent="0.25">
      <c r="A1206" s="989" t="s">
        <v>208</v>
      </c>
      <c r="B1206" s="993">
        <v>2018</v>
      </c>
      <c r="C1206" s="989" t="s">
        <v>2994</v>
      </c>
      <c r="D1206" s="989" t="s">
        <v>2483</v>
      </c>
      <c r="E1206" s="989" t="s">
        <v>1038</v>
      </c>
      <c r="F1206" s="994">
        <v>0</v>
      </c>
      <c r="G1206" s="995"/>
      <c r="H1206" s="996"/>
      <c r="I1206" s="996"/>
      <c r="J1206" s="994">
        <v>0</v>
      </c>
      <c r="K1206" s="997">
        <v>0</v>
      </c>
    </row>
    <row r="1207" spans="1:11" ht="22.5" x14ac:dyDescent="0.25">
      <c r="A1207" s="989" t="s">
        <v>208</v>
      </c>
      <c r="B1207" s="993">
        <v>2018</v>
      </c>
      <c r="C1207" s="989" t="s">
        <v>2994</v>
      </c>
      <c r="D1207" s="989" t="s">
        <v>2484</v>
      </c>
      <c r="E1207" s="989" t="s">
        <v>1038</v>
      </c>
      <c r="F1207" s="994">
        <v>11.1</v>
      </c>
      <c r="G1207" s="995"/>
      <c r="H1207" s="996"/>
      <c r="I1207" s="996"/>
      <c r="J1207" s="994">
        <v>0</v>
      </c>
      <c r="K1207" s="997">
        <v>11.1</v>
      </c>
    </row>
    <row r="1208" spans="1:11" ht="22.5" x14ac:dyDescent="0.25">
      <c r="A1208" s="989" t="s">
        <v>208</v>
      </c>
      <c r="B1208" s="993">
        <v>2018</v>
      </c>
      <c r="C1208" s="989" t="s">
        <v>2994</v>
      </c>
      <c r="D1208" s="989" t="s">
        <v>2485</v>
      </c>
      <c r="E1208" s="989" t="s">
        <v>1038</v>
      </c>
      <c r="F1208" s="994">
        <v>-1711.53</v>
      </c>
      <c r="G1208" s="995"/>
      <c r="H1208" s="996"/>
      <c r="I1208" s="996"/>
      <c r="J1208" s="994">
        <v>0</v>
      </c>
      <c r="K1208" s="997">
        <v>-1711.53</v>
      </c>
    </row>
    <row r="1209" spans="1:11" ht="33.75" x14ac:dyDescent="0.25">
      <c r="A1209" s="989" t="s">
        <v>208</v>
      </c>
      <c r="B1209" s="993">
        <v>2018</v>
      </c>
      <c r="C1209" s="989" t="s">
        <v>2995</v>
      </c>
      <c r="D1209" s="989" t="s">
        <v>47</v>
      </c>
      <c r="E1209" s="989" t="s">
        <v>1039</v>
      </c>
      <c r="F1209" s="994">
        <v>-316410.73</v>
      </c>
      <c r="G1209" s="989" t="s">
        <v>657</v>
      </c>
      <c r="H1209" s="994">
        <v>-309763.3125</v>
      </c>
      <c r="I1209" s="994">
        <v>-6647.41015625</v>
      </c>
      <c r="J1209" s="994">
        <v>-316410.71875</v>
      </c>
      <c r="K1209" s="997">
        <v>-316410.73</v>
      </c>
    </row>
    <row r="1210" spans="1:11" ht="33.75" x14ac:dyDescent="0.25">
      <c r="A1210" s="989" t="s">
        <v>208</v>
      </c>
      <c r="B1210" s="993">
        <v>2018</v>
      </c>
      <c r="C1210" s="989" t="s">
        <v>2996</v>
      </c>
      <c r="D1210" s="989" t="s">
        <v>48</v>
      </c>
      <c r="E1210" s="989" t="s">
        <v>1040</v>
      </c>
      <c r="F1210" s="994">
        <v>-165363.92000000001</v>
      </c>
      <c r="G1210" s="989" t="s">
        <v>657</v>
      </c>
      <c r="H1210" s="994">
        <v>-164460.9375</v>
      </c>
      <c r="I1210" s="994">
        <v>-902.97998046875</v>
      </c>
      <c r="J1210" s="994">
        <v>-165363.921875</v>
      </c>
      <c r="K1210" s="997">
        <v>-165363.92000000001</v>
      </c>
    </row>
    <row r="1211" spans="1:11" ht="33.75" x14ac:dyDescent="0.25">
      <c r="A1211" s="989" t="s">
        <v>208</v>
      </c>
      <c r="B1211" s="993">
        <v>2018</v>
      </c>
      <c r="C1211" s="989" t="s">
        <v>2997</v>
      </c>
      <c r="D1211" s="989" t="s">
        <v>50</v>
      </c>
      <c r="E1211" s="989" t="s">
        <v>1041</v>
      </c>
      <c r="F1211" s="994">
        <v>48446.12</v>
      </c>
      <c r="G1211" s="989" t="s">
        <v>657</v>
      </c>
      <c r="H1211" s="994">
        <v>51140.73046875</v>
      </c>
      <c r="I1211" s="994">
        <v>-2694.61010742188</v>
      </c>
      <c r="J1211" s="994">
        <v>48446.12109375</v>
      </c>
      <c r="K1211" s="997">
        <v>48446.12</v>
      </c>
    </row>
    <row r="1212" spans="1:11" ht="22.5" x14ac:dyDescent="0.25">
      <c r="A1212" s="989" t="s">
        <v>208</v>
      </c>
      <c r="B1212" s="993">
        <v>2018</v>
      </c>
      <c r="C1212" s="989" t="s">
        <v>2998</v>
      </c>
      <c r="D1212" s="989" t="s">
        <v>348</v>
      </c>
      <c r="E1212" s="989" t="s">
        <v>1042</v>
      </c>
      <c r="F1212" s="994">
        <v>70954.539999999994</v>
      </c>
      <c r="G1212" s="989" t="s">
        <v>657</v>
      </c>
      <c r="H1212" s="994">
        <v>67847.0703125</v>
      </c>
      <c r="I1212" s="994">
        <v>3107.46997070313</v>
      </c>
      <c r="J1212" s="994">
        <v>70954.5390625</v>
      </c>
      <c r="K1212" s="997">
        <v>70954.539999999994</v>
      </c>
    </row>
    <row r="1213" spans="1:11" ht="45" x14ac:dyDescent="0.25">
      <c r="A1213" s="989" t="s">
        <v>208</v>
      </c>
      <c r="B1213" s="993">
        <v>2018</v>
      </c>
      <c r="C1213" s="989" t="s">
        <v>2999</v>
      </c>
      <c r="D1213" s="989" t="s">
        <v>659</v>
      </c>
      <c r="E1213" s="989" t="s">
        <v>1453</v>
      </c>
      <c r="F1213" s="994">
        <v>0</v>
      </c>
      <c r="G1213" s="989" t="s">
        <v>657</v>
      </c>
      <c r="H1213" s="996"/>
      <c r="I1213" s="996"/>
      <c r="J1213" s="994">
        <v>0</v>
      </c>
      <c r="K1213" s="997">
        <v>0</v>
      </c>
    </row>
    <row r="1214" spans="1:11" ht="45" x14ac:dyDescent="0.25">
      <c r="A1214" s="989" t="s">
        <v>208</v>
      </c>
      <c r="B1214" s="993">
        <v>2018</v>
      </c>
      <c r="C1214" s="989" t="s">
        <v>2999</v>
      </c>
      <c r="D1214" s="989" t="s">
        <v>660</v>
      </c>
      <c r="E1214" s="989" t="s">
        <v>1454</v>
      </c>
      <c r="F1214" s="994">
        <v>0</v>
      </c>
      <c r="G1214" s="989" t="s">
        <v>657</v>
      </c>
      <c r="H1214" s="996"/>
      <c r="I1214" s="996"/>
      <c r="J1214" s="994">
        <v>0</v>
      </c>
      <c r="K1214" s="997">
        <v>0</v>
      </c>
    </row>
    <row r="1215" spans="1:11" ht="45" x14ac:dyDescent="0.25">
      <c r="A1215" s="989" t="s">
        <v>208</v>
      </c>
      <c r="B1215" s="993">
        <v>2018</v>
      </c>
      <c r="C1215" s="989" t="s">
        <v>2999</v>
      </c>
      <c r="D1215" s="989" t="s">
        <v>661</v>
      </c>
      <c r="E1215" s="989" t="s">
        <v>1455</v>
      </c>
      <c r="F1215" s="994">
        <v>0</v>
      </c>
      <c r="G1215" s="989" t="s">
        <v>657</v>
      </c>
      <c r="H1215" s="996"/>
      <c r="I1215" s="996"/>
      <c r="J1215" s="994">
        <v>0</v>
      </c>
      <c r="K1215" s="997">
        <v>0</v>
      </c>
    </row>
    <row r="1216" spans="1:11" ht="45" x14ac:dyDescent="0.25">
      <c r="A1216" s="989" t="s">
        <v>208</v>
      </c>
      <c r="B1216" s="993">
        <v>2018</v>
      </c>
      <c r="C1216" s="989" t="s">
        <v>2999</v>
      </c>
      <c r="D1216" s="989" t="s">
        <v>662</v>
      </c>
      <c r="E1216" s="989" t="s">
        <v>1456</v>
      </c>
      <c r="F1216" s="994">
        <v>0</v>
      </c>
      <c r="G1216" s="989" t="s">
        <v>657</v>
      </c>
      <c r="H1216" s="996"/>
      <c r="I1216" s="996"/>
      <c r="J1216" s="994">
        <v>0</v>
      </c>
      <c r="K1216" s="997">
        <v>0</v>
      </c>
    </row>
    <row r="1217" spans="1:11" ht="45" x14ac:dyDescent="0.25">
      <c r="A1217" s="989" t="s">
        <v>208</v>
      </c>
      <c r="B1217" s="993">
        <v>2018</v>
      </c>
      <c r="C1217" s="989" t="s">
        <v>2999</v>
      </c>
      <c r="D1217" s="989" t="s">
        <v>663</v>
      </c>
      <c r="E1217" s="989" t="s">
        <v>1457</v>
      </c>
      <c r="F1217" s="994">
        <v>0</v>
      </c>
      <c r="G1217" s="989" t="s">
        <v>657</v>
      </c>
      <c r="H1217" s="996"/>
      <c r="I1217" s="994">
        <v>-15.819999694824199</v>
      </c>
      <c r="J1217" s="994">
        <v>-15.819999694824199</v>
      </c>
      <c r="K1217" s="997">
        <v>-15.82</v>
      </c>
    </row>
    <row r="1218" spans="1:11" ht="45" x14ac:dyDescent="0.25">
      <c r="A1218" s="989" t="s">
        <v>208</v>
      </c>
      <c r="B1218" s="993">
        <v>2018</v>
      </c>
      <c r="C1218" s="989" t="s">
        <v>2999</v>
      </c>
      <c r="D1218" s="989" t="s">
        <v>664</v>
      </c>
      <c r="E1218" s="989" t="s">
        <v>1458</v>
      </c>
      <c r="F1218" s="994">
        <v>0</v>
      </c>
      <c r="G1218" s="989" t="s">
        <v>657</v>
      </c>
      <c r="H1218" s="996"/>
      <c r="I1218" s="996"/>
      <c r="J1218" s="994">
        <v>0</v>
      </c>
      <c r="K1218" s="997">
        <v>0</v>
      </c>
    </row>
    <row r="1219" spans="1:11" ht="45" x14ac:dyDescent="0.25">
      <c r="A1219" s="989" t="s">
        <v>208</v>
      </c>
      <c r="B1219" s="993">
        <v>2018</v>
      </c>
      <c r="C1219" s="989" t="s">
        <v>2999</v>
      </c>
      <c r="D1219" s="989" t="s">
        <v>665</v>
      </c>
      <c r="E1219" s="989" t="s">
        <v>1459</v>
      </c>
      <c r="F1219" s="994">
        <v>0</v>
      </c>
      <c r="G1219" s="989" t="s">
        <v>657</v>
      </c>
      <c r="H1219" s="996"/>
      <c r="I1219" s="994">
        <v>-291.79000854492199</v>
      </c>
      <c r="J1219" s="994">
        <v>-291.79000854492199</v>
      </c>
      <c r="K1219" s="997">
        <v>-291.79000000000002</v>
      </c>
    </row>
    <row r="1220" spans="1:11" ht="45" x14ac:dyDescent="0.25">
      <c r="A1220" s="989" t="s">
        <v>208</v>
      </c>
      <c r="B1220" s="993">
        <v>2018</v>
      </c>
      <c r="C1220" s="989" t="s">
        <v>2999</v>
      </c>
      <c r="D1220" s="989" t="s">
        <v>1870</v>
      </c>
      <c r="E1220" s="989" t="s">
        <v>2329</v>
      </c>
      <c r="F1220" s="994">
        <v>0</v>
      </c>
      <c r="G1220" s="989" t="s">
        <v>657</v>
      </c>
      <c r="H1220" s="994">
        <v>33797.9296875</v>
      </c>
      <c r="I1220" s="994">
        <v>15998.16015625</v>
      </c>
      <c r="J1220" s="994">
        <v>49796.08984375</v>
      </c>
      <c r="K1220" s="997">
        <v>49796.09</v>
      </c>
    </row>
    <row r="1221" spans="1:11" ht="45" x14ac:dyDescent="0.25">
      <c r="A1221" s="989" t="s">
        <v>208</v>
      </c>
      <c r="B1221" s="993">
        <v>2018</v>
      </c>
      <c r="C1221" s="989" t="s">
        <v>2999</v>
      </c>
      <c r="D1221" s="989" t="s">
        <v>2486</v>
      </c>
      <c r="E1221" s="989" t="s">
        <v>2534</v>
      </c>
      <c r="F1221" s="994">
        <v>0</v>
      </c>
      <c r="G1221" s="989" t="s">
        <v>657</v>
      </c>
      <c r="H1221" s="996"/>
      <c r="I1221" s="996"/>
      <c r="J1221" s="994">
        <v>0</v>
      </c>
      <c r="K1221" s="997">
        <v>0</v>
      </c>
    </row>
    <row r="1222" spans="1:11" ht="45" x14ac:dyDescent="0.25">
      <c r="A1222" s="989" t="s">
        <v>208</v>
      </c>
      <c r="B1222" s="993">
        <v>2018</v>
      </c>
      <c r="C1222" s="989" t="s">
        <v>2999</v>
      </c>
      <c r="D1222" s="989" t="s">
        <v>4892</v>
      </c>
      <c r="E1222" s="989" t="s">
        <v>6033</v>
      </c>
      <c r="F1222" s="994">
        <v>0</v>
      </c>
      <c r="G1222" s="989" t="s">
        <v>657</v>
      </c>
      <c r="H1222" s="994">
        <v>-110614.609375</v>
      </c>
      <c r="I1222" s="994">
        <v>-4212.39990234375</v>
      </c>
      <c r="J1222" s="994">
        <v>-114827.0078125</v>
      </c>
      <c r="K1222" s="997">
        <v>-114827.01</v>
      </c>
    </row>
    <row r="1223" spans="1:11" ht="45" x14ac:dyDescent="0.25">
      <c r="A1223" s="989" t="s">
        <v>208</v>
      </c>
      <c r="B1223" s="993">
        <v>2018</v>
      </c>
      <c r="C1223" s="989" t="s">
        <v>2999</v>
      </c>
      <c r="D1223" s="989" t="s">
        <v>666</v>
      </c>
      <c r="E1223" s="989" t="s">
        <v>1583</v>
      </c>
      <c r="F1223" s="994">
        <v>-65338.53</v>
      </c>
      <c r="G1223" s="995"/>
      <c r="H1223" s="996"/>
      <c r="I1223" s="996"/>
      <c r="J1223" s="994">
        <v>0</v>
      </c>
      <c r="K1223" s="997">
        <v>-65338.53</v>
      </c>
    </row>
    <row r="1224" spans="1:11" x14ac:dyDescent="0.25">
      <c r="A1224" s="989" t="s">
        <v>194</v>
      </c>
      <c r="B1224" s="993">
        <v>2018</v>
      </c>
      <c r="C1224" s="989" t="s">
        <v>2991</v>
      </c>
      <c r="D1224" s="989" t="s">
        <v>49</v>
      </c>
      <c r="E1224" s="989" t="s">
        <v>2253</v>
      </c>
      <c r="F1224" s="994">
        <v>77992.800000000003</v>
      </c>
      <c r="G1224" s="989" t="s">
        <v>657</v>
      </c>
      <c r="H1224" s="994">
        <v>76767.40625</v>
      </c>
      <c r="I1224" s="994">
        <v>1225.39001464844</v>
      </c>
      <c r="J1224" s="994">
        <v>77992.796875</v>
      </c>
      <c r="K1224" s="997">
        <v>77992.800000000003</v>
      </c>
    </row>
    <row r="1225" spans="1:11" ht="33.75" x14ac:dyDescent="0.25">
      <c r="A1225" s="989" t="s">
        <v>194</v>
      </c>
      <c r="B1225" s="993">
        <v>2018</v>
      </c>
      <c r="C1225" s="989" t="s">
        <v>2992</v>
      </c>
      <c r="D1225" s="989" t="s">
        <v>658</v>
      </c>
      <c r="E1225" s="989" t="s">
        <v>2254</v>
      </c>
      <c r="F1225" s="994">
        <v>-229.52</v>
      </c>
      <c r="G1225" s="989" t="s">
        <v>657</v>
      </c>
      <c r="H1225" s="994">
        <v>-229.08999633789099</v>
      </c>
      <c r="I1225" s="994">
        <v>-0.43000000715255698</v>
      </c>
      <c r="J1225" s="994">
        <v>-229.52000427246099</v>
      </c>
      <c r="K1225" s="997">
        <v>-229.52</v>
      </c>
    </row>
    <row r="1226" spans="1:11" ht="22.5" x14ac:dyDescent="0.25">
      <c r="A1226" s="989" t="s">
        <v>194</v>
      </c>
      <c r="B1226" s="993">
        <v>2018</v>
      </c>
      <c r="C1226" s="989" t="s">
        <v>2993</v>
      </c>
      <c r="D1226" s="989" t="s">
        <v>464</v>
      </c>
      <c r="E1226" s="989" t="s">
        <v>2255</v>
      </c>
      <c r="F1226" s="994">
        <v>6029.52</v>
      </c>
      <c r="G1226" s="995"/>
      <c r="H1226" s="996"/>
      <c r="I1226" s="996"/>
      <c r="J1226" s="994">
        <v>0</v>
      </c>
      <c r="K1226" s="997">
        <v>6029.52</v>
      </c>
    </row>
    <row r="1227" spans="1:11" ht="33.75" x14ac:dyDescent="0.25">
      <c r="A1227" s="989" t="s">
        <v>194</v>
      </c>
      <c r="B1227" s="993">
        <v>2018</v>
      </c>
      <c r="C1227" s="989" t="s">
        <v>2994</v>
      </c>
      <c r="D1227" s="989" t="s">
        <v>46</v>
      </c>
      <c r="E1227" s="989" t="s">
        <v>2256</v>
      </c>
      <c r="F1227" s="994">
        <v>-33203.01</v>
      </c>
      <c r="G1227" s="989" t="s">
        <v>657</v>
      </c>
      <c r="H1227" s="994">
        <v>-32239.029296875</v>
      </c>
      <c r="I1227" s="994">
        <v>-963.97998046875</v>
      </c>
      <c r="J1227" s="994">
        <v>-33203.01171875</v>
      </c>
      <c r="K1227" s="997">
        <v>-33203.01</v>
      </c>
    </row>
    <row r="1228" spans="1:11" ht="22.5" x14ac:dyDescent="0.25">
      <c r="A1228" s="989" t="s">
        <v>194</v>
      </c>
      <c r="B1228" s="993">
        <v>2018</v>
      </c>
      <c r="C1228" s="989" t="s">
        <v>2994</v>
      </c>
      <c r="D1228" s="989" t="s">
        <v>2482</v>
      </c>
      <c r="E1228" s="989" t="s">
        <v>2256</v>
      </c>
      <c r="F1228" s="994">
        <v>0</v>
      </c>
      <c r="G1228" s="995"/>
      <c r="H1228" s="996"/>
      <c r="I1228" s="996"/>
      <c r="J1228" s="994">
        <v>0</v>
      </c>
      <c r="K1228" s="997">
        <v>0</v>
      </c>
    </row>
    <row r="1229" spans="1:11" ht="22.5" x14ac:dyDescent="0.25">
      <c r="A1229" s="989" t="s">
        <v>194</v>
      </c>
      <c r="B1229" s="993">
        <v>2018</v>
      </c>
      <c r="C1229" s="989" t="s">
        <v>2994</v>
      </c>
      <c r="D1229" s="989" t="s">
        <v>2483</v>
      </c>
      <c r="E1229" s="989" t="s">
        <v>2256</v>
      </c>
      <c r="F1229" s="994">
        <v>0</v>
      </c>
      <c r="G1229" s="995"/>
      <c r="H1229" s="996"/>
      <c r="I1229" s="996"/>
      <c r="J1229" s="994">
        <v>0</v>
      </c>
      <c r="K1229" s="997">
        <v>0</v>
      </c>
    </row>
    <row r="1230" spans="1:11" ht="22.5" x14ac:dyDescent="0.25">
      <c r="A1230" s="989" t="s">
        <v>194</v>
      </c>
      <c r="B1230" s="993">
        <v>2018</v>
      </c>
      <c r="C1230" s="989" t="s">
        <v>2994</v>
      </c>
      <c r="D1230" s="989" t="s">
        <v>2484</v>
      </c>
      <c r="E1230" s="989" t="s">
        <v>2256</v>
      </c>
      <c r="F1230" s="994">
        <v>0</v>
      </c>
      <c r="G1230" s="995"/>
      <c r="H1230" s="996"/>
      <c r="I1230" s="996"/>
      <c r="J1230" s="994">
        <v>0</v>
      </c>
      <c r="K1230" s="997">
        <v>0</v>
      </c>
    </row>
    <row r="1231" spans="1:11" ht="22.5" x14ac:dyDescent="0.25">
      <c r="A1231" s="989" t="s">
        <v>194</v>
      </c>
      <c r="B1231" s="993">
        <v>2018</v>
      </c>
      <c r="C1231" s="989" t="s">
        <v>2994</v>
      </c>
      <c r="D1231" s="989" t="s">
        <v>2485</v>
      </c>
      <c r="E1231" s="989" t="s">
        <v>2256</v>
      </c>
      <c r="F1231" s="994">
        <v>0</v>
      </c>
      <c r="G1231" s="995"/>
      <c r="H1231" s="996"/>
      <c r="I1231" s="996"/>
      <c r="J1231" s="994">
        <v>0</v>
      </c>
      <c r="K1231" s="997">
        <v>0</v>
      </c>
    </row>
    <row r="1232" spans="1:11" ht="33.75" x14ac:dyDescent="0.25">
      <c r="A1232" s="989" t="s">
        <v>194</v>
      </c>
      <c r="B1232" s="993">
        <v>2018</v>
      </c>
      <c r="C1232" s="989" t="s">
        <v>2995</v>
      </c>
      <c r="D1232" s="989" t="s">
        <v>47</v>
      </c>
      <c r="E1232" s="989" t="s">
        <v>2257</v>
      </c>
      <c r="F1232" s="994">
        <v>21759.39</v>
      </c>
      <c r="G1232" s="989" t="s">
        <v>657</v>
      </c>
      <c r="H1232" s="994">
        <v>21525.310546875</v>
      </c>
      <c r="I1232" s="994">
        <v>234.080001831055</v>
      </c>
      <c r="J1232" s="994">
        <v>21759.390625</v>
      </c>
      <c r="K1232" s="997">
        <v>21759.39</v>
      </c>
    </row>
    <row r="1233" spans="1:11" ht="33.75" x14ac:dyDescent="0.25">
      <c r="A1233" s="989" t="s">
        <v>194</v>
      </c>
      <c r="B1233" s="993">
        <v>2018</v>
      </c>
      <c r="C1233" s="989" t="s">
        <v>2996</v>
      </c>
      <c r="D1233" s="989" t="s">
        <v>48</v>
      </c>
      <c r="E1233" s="989" t="s">
        <v>2258</v>
      </c>
      <c r="F1233" s="994">
        <v>12663.95</v>
      </c>
      <c r="G1233" s="989" t="s">
        <v>657</v>
      </c>
      <c r="H1233" s="994">
        <v>12509.259765625</v>
      </c>
      <c r="I1233" s="994">
        <v>154.69000244140599</v>
      </c>
      <c r="J1233" s="994">
        <v>12663.9501953125</v>
      </c>
      <c r="K1233" s="997">
        <v>12663.95</v>
      </c>
    </row>
    <row r="1234" spans="1:11" ht="33.75" x14ac:dyDescent="0.25">
      <c r="A1234" s="989" t="s">
        <v>194</v>
      </c>
      <c r="B1234" s="993">
        <v>2018</v>
      </c>
      <c r="C1234" s="989" t="s">
        <v>2997</v>
      </c>
      <c r="D1234" s="989" t="s">
        <v>50</v>
      </c>
      <c r="E1234" s="989" t="s">
        <v>2259</v>
      </c>
      <c r="F1234" s="994">
        <v>-727130.72</v>
      </c>
      <c r="G1234" s="989" t="s">
        <v>657</v>
      </c>
      <c r="H1234" s="994">
        <v>-715955.9375</v>
      </c>
      <c r="I1234" s="994">
        <v>-11174.8095703125</v>
      </c>
      <c r="J1234" s="994">
        <v>-727130.75</v>
      </c>
      <c r="K1234" s="997">
        <v>-727130.72</v>
      </c>
    </row>
    <row r="1235" spans="1:11" ht="22.5" x14ac:dyDescent="0.25">
      <c r="A1235" s="989" t="s">
        <v>194</v>
      </c>
      <c r="B1235" s="993">
        <v>2018</v>
      </c>
      <c r="C1235" s="989" t="s">
        <v>2998</v>
      </c>
      <c r="D1235" s="989" t="s">
        <v>348</v>
      </c>
      <c r="E1235" s="989" t="s">
        <v>2260</v>
      </c>
      <c r="F1235" s="994">
        <v>-75205.47</v>
      </c>
      <c r="G1235" s="989" t="s">
        <v>657</v>
      </c>
      <c r="H1235" s="994">
        <v>-76736.3671875</v>
      </c>
      <c r="I1235" s="994">
        <v>1530.90002441406</v>
      </c>
      <c r="J1235" s="994">
        <v>-75205.46875</v>
      </c>
      <c r="K1235" s="997">
        <v>-75205.47</v>
      </c>
    </row>
    <row r="1236" spans="1:11" ht="45" x14ac:dyDescent="0.25">
      <c r="A1236" s="989" t="s">
        <v>194</v>
      </c>
      <c r="B1236" s="993">
        <v>2018</v>
      </c>
      <c r="C1236" s="989" t="s">
        <v>2999</v>
      </c>
      <c r="D1236" s="989" t="s">
        <v>659</v>
      </c>
      <c r="E1236" s="989" t="s">
        <v>2261</v>
      </c>
      <c r="F1236" s="994">
        <v>0</v>
      </c>
      <c r="G1236" s="989" t="s">
        <v>657</v>
      </c>
      <c r="H1236" s="996"/>
      <c r="I1236" s="996"/>
      <c r="J1236" s="994">
        <v>0</v>
      </c>
      <c r="K1236" s="997">
        <v>0</v>
      </c>
    </row>
    <row r="1237" spans="1:11" ht="45" x14ac:dyDescent="0.25">
      <c r="A1237" s="989" t="s">
        <v>194</v>
      </c>
      <c r="B1237" s="993">
        <v>2018</v>
      </c>
      <c r="C1237" s="989" t="s">
        <v>2999</v>
      </c>
      <c r="D1237" s="989" t="s">
        <v>660</v>
      </c>
      <c r="E1237" s="989" t="s">
        <v>2262</v>
      </c>
      <c r="F1237" s="994">
        <v>0</v>
      </c>
      <c r="G1237" s="989" t="s">
        <v>657</v>
      </c>
      <c r="H1237" s="996"/>
      <c r="I1237" s="996"/>
      <c r="J1237" s="994">
        <v>0</v>
      </c>
      <c r="K1237" s="997">
        <v>0</v>
      </c>
    </row>
    <row r="1238" spans="1:11" ht="45" x14ac:dyDescent="0.25">
      <c r="A1238" s="989" t="s">
        <v>194</v>
      </c>
      <c r="B1238" s="993">
        <v>2018</v>
      </c>
      <c r="C1238" s="989" t="s">
        <v>2999</v>
      </c>
      <c r="D1238" s="989" t="s">
        <v>661</v>
      </c>
      <c r="E1238" s="989" t="s">
        <v>2263</v>
      </c>
      <c r="F1238" s="994">
        <v>0</v>
      </c>
      <c r="G1238" s="989" t="s">
        <v>657</v>
      </c>
      <c r="H1238" s="996"/>
      <c r="I1238" s="996"/>
      <c r="J1238" s="994">
        <v>0</v>
      </c>
      <c r="K1238" s="997">
        <v>0</v>
      </c>
    </row>
    <row r="1239" spans="1:11" ht="45" x14ac:dyDescent="0.25">
      <c r="A1239" s="989" t="s">
        <v>194</v>
      </c>
      <c r="B1239" s="993">
        <v>2018</v>
      </c>
      <c r="C1239" s="989" t="s">
        <v>2999</v>
      </c>
      <c r="D1239" s="989" t="s">
        <v>662</v>
      </c>
      <c r="E1239" s="989" t="s">
        <v>2264</v>
      </c>
      <c r="F1239" s="994">
        <v>0</v>
      </c>
      <c r="G1239" s="989" t="s">
        <v>657</v>
      </c>
      <c r="H1239" s="996"/>
      <c r="I1239" s="996"/>
      <c r="J1239" s="994">
        <v>0</v>
      </c>
      <c r="K1239" s="997">
        <v>0</v>
      </c>
    </row>
    <row r="1240" spans="1:11" ht="45" x14ac:dyDescent="0.25">
      <c r="A1240" s="989" t="s">
        <v>194</v>
      </c>
      <c r="B1240" s="993">
        <v>2018</v>
      </c>
      <c r="C1240" s="989" t="s">
        <v>2999</v>
      </c>
      <c r="D1240" s="989" t="s">
        <v>663</v>
      </c>
      <c r="E1240" s="989" t="s">
        <v>2265</v>
      </c>
      <c r="F1240" s="994">
        <v>0</v>
      </c>
      <c r="G1240" s="989" t="s">
        <v>657</v>
      </c>
      <c r="H1240" s="996"/>
      <c r="I1240" s="994">
        <v>13.1000003814697</v>
      </c>
      <c r="J1240" s="994">
        <v>13.1000003814697</v>
      </c>
      <c r="K1240" s="997">
        <v>13.1</v>
      </c>
    </row>
    <row r="1241" spans="1:11" ht="45" x14ac:dyDescent="0.25">
      <c r="A1241" s="989" t="s">
        <v>194</v>
      </c>
      <c r="B1241" s="993">
        <v>2018</v>
      </c>
      <c r="C1241" s="989" t="s">
        <v>2999</v>
      </c>
      <c r="D1241" s="989" t="s">
        <v>664</v>
      </c>
      <c r="E1241" s="989" t="s">
        <v>2266</v>
      </c>
      <c r="F1241" s="994">
        <v>0</v>
      </c>
      <c r="G1241" s="989" t="s">
        <v>657</v>
      </c>
      <c r="H1241" s="996"/>
      <c r="I1241" s="994">
        <v>207.72999572753901</v>
      </c>
      <c r="J1241" s="994">
        <v>207.72999572753901</v>
      </c>
      <c r="K1241" s="997">
        <v>207.73</v>
      </c>
    </row>
    <row r="1242" spans="1:11" ht="45" x14ac:dyDescent="0.25">
      <c r="A1242" s="989" t="s">
        <v>194</v>
      </c>
      <c r="B1242" s="993">
        <v>2018</v>
      </c>
      <c r="C1242" s="989" t="s">
        <v>2999</v>
      </c>
      <c r="D1242" s="989" t="s">
        <v>665</v>
      </c>
      <c r="E1242" s="989" t="s">
        <v>2267</v>
      </c>
      <c r="F1242" s="994">
        <v>0</v>
      </c>
      <c r="G1242" s="989" t="s">
        <v>657</v>
      </c>
      <c r="H1242" s="994">
        <v>26680.91015625</v>
      </c>
      <c r="I1242" s="994">
        <v>-3143.43994140625</v>
      </c>
      <c r="J1242" s="994">
        <v>23537.470703125</v>
      </c>
      <c r="K1242" s="997">
        <v>23537.47</v>
      </c>
    </row>
    <row r="1243" spans="1:11" ht="45" x14ac:dyDescent="0.25">
      <c r="A1243" s="989" t="s">
        <v>194</v>
      </c>
      <c r="B1243" s="993">
        <v>2018</v>
      </c>
      <c r="C1243" s="989" t="s">
        <v>2999</v>
      </c>
      <c r="D1243" s="989" t="s">
        <v>1870</v>
      </c>
      <c r="E1243" s="989" t="s">
        <v>2330</v>
      </c>
      <c r="F1243" s="994">
        <v>0</v>
      </c>
      <c r="G1243" s="989" t="s">
        <v>657</v>
      </c>
      <c r="H1243" s="994">
        <v>-66147.296875</v>
      </c>
      <c r="I1243" s="994">
        <v>71057.7734375</v>
      </c>
      <c r="J1243" s="994">
        <v>4910.47021484375</v>
      </c>
      <c r="K1243" s="997">
        <v>4910.47</v>
      </c>
    </row>
    <row r="1244" spans="1:11" ht="45" x14ac:dyDescent="0.25">
      <c r="A1244" s="989" t="s">
        <v>194</v>
      </c>
      <c r="B1244" s="993">
        <v>2018</v>
      </c>
      <c r="C1244" s="989" t="s">
        <v>2999</v>
      </c>
      <c r="D1244" s="989" t="s">
        <v>2486</v>
      </c>
      <c r="E1244" s="989" t="s">
        <v>2535</v>
      </c>
      <c r="F1244" s="994">
        <v>0</v>
      </c>
      <c r="G1244" s="989" t="s">
        <v>657</v>
      </c>
      <c r="H1244" s="994">
        <v>-64308.94921875</v>
      </c>
      <c r="I1244" s="994">
        <v>51850.390625</v>
      </c>
      <c r="J1244" s="994">
        <v>-12458.5595703125</v>
      </c>
      <c r="K1244" s="997">
        <v>-12458.56</v>
      </c>
    </row>
    <row r="1245" spans="1:11" ht="45" x14ac:dyDescent="0.25">
      <c r="A1245" s="989" t="s">
        <v>194</v>
      </c>
      <c r="B1245" s="993">
        <v>2018</v>
      </c>
      <c r="C1245" s="989" t="s">
        <v>2999</v>
      </c>
      <c r="D1245" s="989" t="s">
        <v>4892</v>
      </c>
      <c r="E1245" s="989" t="s">
        <v>6034</v>
      </c>
      <c r="F1245" s="994">
        <v>0</v>
      </c>
      <c r="G1245" s="989" t="s">
        <v>657</v>
      </c>
      <c r="H1245" s="994">
        <v>-34291.76953125</v>
      </c>
      <c r="I1245" s="994">
        <v>920.989990234375</v>
      </c>
      <c r="J1245" s="994">
        <v>-33370.78125</v>
      </c>
      <c r="K1245" s="997">
        <v>-33370.78</v>
      </c>
    </row>
    <row r="1246" spans="1:11" ht="45" x14ac:dyDescent="0.25">
      <c r="A1246" s="989" t="s">
        <v>194</v>
      </c>
      <c r="B1246" s="993">
        <v>2018</v>
      </c>
      <c r="C1246" s="989" t="s">
        <v>2999</v>
      </c>
      <c r="D1246" s="989" t="s">
        <v>666</v>
      </c>
      <c r="E1246" s="989" t="s">
        <v>2268</v>
      </c>
      <c r="F1246" s="994">
        <v>-17160.57</v>
      </c>
      <c r="G1246" s="995"/>
      <c r="H1246" s="996"/>
      <c r="I1246" s="996"/>
      <c r="J1246" s="994">
        <v>0</v>
      </c>
      <c r="K1246" s="997">
        <v>-17160.57</v>
      </c>
    </row>
    <row r="1247" spans="1:11" x14ac:dyDescent="0.25">
      <c r="A1247" s="989" t="s">
        <v>168</v>
      </c>
      <c r="B1247" s="993">
        <v>2018</v>
      </c>
      <c r="C1247" s="989" t="s">
        <v>2991</v>
      </c>
      <c r="D1247" s="989" t="s">
        <v>49</v>
      </c>
      <c r="E1247" s="989" t="s">
        <v>1043</v>
      </c>
      <c r="F1247" s="994">
        <v>0</v>
      </c>
      <c r="G1247" s="989" t="s">
        <v>657</v>
      </c>
      <c r="H1247" s="996"/>
      <c r="I1247" s="996"/>
      <c r="J1247" s="994">
        <v>0</v>
      </c>
      <c r="K1247" s="997">
        <v>0</v>
      </c>
    </row>
    <row r="1248" spans="1:11" ht="33.75" x14ac:dyDescent="0.25">
      <c r="A1248" s="989" t="s">
        <v>168</v>
      </c>
      <c r="B1248" s="993">
        <v>2018</v>
      </c>
      <c r="C1248" s="989" t="s">
        <v>2992</v>
      </c>
      <c r="D1248" s="989" t="s">
        <v>658</v>
      </c>
      <c r="E1248" s="989" t="s">
        <v>1044</v>
      </c>
      <c r="F1248" s="994">
        <v>-16544.27</v>
      </c>
      <c r="G1248" s="989" t="s">
        <v>657</v>
      </c>
      <c r="H1248" s="994">
        <v>-16205.740234375</v>
      </c>
      <c r="I1248" s="994">
        <v>-338.52999877929699</v>
      </c>
      <c r="J1248" s="994">
        <v>-16544.26953125</v>
      </c>
      <c r="K1248" s="997">
        <v>-16544.27</v>
      </c>
    </row>
    <row r="1249" spans="1:11" ht="22.5" x14ac:dyDescent="0.25">
      <c r="A1249" s="989" t="s">
        <v>168</v>
      </c>
      <c r="B1249" s="993">
        <v>2018</v>
      </c>
      <c r="C1249" s="989" t="s">
        <v>2993</v>
      </c>
      <c r="D1249" s="989" t="s">
        <v>464</v>
      </c>
      <c r="E1249" s="989" t="s">
        <v>1045</v>
      </c>
      <c r="F1249" s="994">
        <v>15336.32</v>
      </c>
      <c r="G1249" s="995"/>
      <c r="H1249" s="996"/>
      <c r="I1249" s="996"/>
      <c r="J1249" s="994">
        <v>0</v>
      </c>
      <c r="K1249" s="997">
        <v>15336.32</v>
      </c>
    </row>
    <row r="1250" spans="1:11" ht="33.75" x14ac:dyDescent="0.25">
      <c r="A1250" s="989" t="s">
        <v>168</v>
      </c>
      <c r="B1250" s="993">
        <v>2018</v>
      </c>
      <c r="C1250" s="989" t="s">
        <v>2994</v>
      </c>
      <c r="D1250" s="989" t="s">
        <v>46</v>
      </c>
      <c r="E1250" s="989" t="s">
        <v>1046</v>
      </c>
      <c r="F1250" s="994">
        <v>-1089766.05</v>
      </c>
      <c r="G1250" s="989" t="s">
        <v>657</v>
      </c>
      <c r="H1250" s="994">
        <v>-1069359.5</v>
      </c>
      <c r="I1250" s="994">
        <v>-20406.55078125</v>
      </c>
      <c r="J1250" s="994">
        <v>-1089766</v>
      </c>
      <c r="K1250" s="997">
        <v>-1089766.05</v>
      </c>
    </row>
    <row r="1251" spans="1:11" ht="22.5" x14ac:dyDescent="0.25">
      <c r="A1251" s="989" t="s">
        <v>168</v>
      </c>
      <c r="B1251" s="993">
        <v>2018</v>
      </c>
      <c r="C1251" s="989" t="s">
        <v>2994</v>
      </c>
      <c r="D1251" s="989" t="s">
        <v>2482</v>
      </c>
      <c r="E1251" s="989" t="s">
        <v>1046</v>
      </c>
      <c r="F1251" s="994">
        <v>0</v>
      </c>
      <c r="G1251" s="995"/>
      <c r="H1251" s="996"/>
      <c r="I1251" s="996"/>
      <c r="J1251" s="994">
        <v>0</v>
      </c>
      <c r="K1251" s="997">
        <v>0</v>
      </c>
    </row>
    <row r="1252" spans="1:11" ht="22.5" x14ac:dyDescent="0.25">
      <c r="A1252" s="989" t="s">
        <v>168</v>
      </c>
      <c r="B1252" s="993">
        <v>2018</v>
      </c>
      <c r="C1252" s="989" t="s">
        <v>2994</v>
      </c>
      <c r="D1252" s="989" t="s">
        <v>2483</v>
      </c>
      <c r="E1252" s="989" t="s">
        <v>1046</v>
      </c>
      <c r="F1252" s="994">
        <v>0</v>
      </c>
      <c r="G1252" s="995"/>
      <c r="H1252" s="996"/>
      <c r="I1252" s="996"/>
      <c r="J1252" s="994">
        <v>0</v>
      </c>
      <c r="K1252" s="997">
        <v>0</v>
      </c>
    </row>
    <row r="1253" spans="1:11" ht="22.5" x14ac:dyDescent="0.25">
      <c r="A1253" s="989" t="s">
        <v>168</v>
      </c>
      <c r="B1253" s="993">
        <v>2018</v>
      </c>
      <c r="C1253" s="989" t="s">
        <v>2994</v>
      </c>
      <c r="D1253" s="989" t="s">
        <v>2484</v>
      </c>
      <c r="E1253" s="989" t="s">
        <v>1046</v>
      </c>
      <c r="F1253" s="994">
        <v>0</v>
      </c>
      <c r="G1253" s="995"/>
      <c r="H1253" s="996"/>
      <c r="I1253" s="996"/>
      <c r="J1253" s="994">
        <v>0</v>
      </c>
      <c r="K1253" s="997">
        <v>0</v>
      </c>
    </row>
    <row r="1254" spans="1:11" ht="22.5" x14ac:dyDescent="0.25">
      <c r="A1254" s="989" t="s">
        <v>168</v>
      </c>
      <c r="B1254" s="993">
        <v>2018</v>
      </c>
      <c r="C1254" s="989" t="s">
        <v>2994</v>
      </c>
      <c r="D1254" s="989" t="s">
        <v>2485</v>
      </c>
      <c r="E1254" s="989" t="s">
        <v>1046</v>
      </c>
      <c r="F1254" s="994">
        <v>0</v>
      </c>
      <c r="G1254" s="995"/>
      <c r="H1254" s="996"/>
      <c r="I1254" s="996"/>
      <c r="J1254" s="994">
        <v>0</v>
      </c>
      <c r="K1254" s="997">
        <v>0</v>
      </c>
    </row>
    <row r="1255" spans="1:11" ht="33.75" x14ac:dyDescent="0.25">
      <c r="A1255" s="989" t="s">
        <v>168</v>
      </c>
      <c r="B1255" s="993">
        <v>2018</v>
      </c>
      <c r="C1255" s="989" t="s">
        <v>2995</v>
      </c>
      <c r="D1255" s="989" t="s">
        <v>47</v>
      </c>
      <c r="E1255" s="989" t="s">
        <v>1047</v>
      </c>
      <c r="F1255" s="994">
        <v>-217554.78</v>
      </c>
      <c r="G1255" s="989" t="s">
        <v>657</v>
      </c>
      <c r="H1255" s="994">
        <v>-213693.015625</v>
      </c>
      <c r="I1255" s="994">
        <v>-3861.77001953125</v>
      </c>
      <c r="J1255" s="994">
        <v>-217554.78125</v>
      </c>
      <c r="K1255" s="997">
        <v>-217554.78</v>
      </c>
    </row>
    <row r="1256" spans="1:11" ht="33.75" x14ac:dyDescent="0.25">
      <c r="A1256" s="989" t="s">
        <v>168</v>
      </c>
      <c r="B1256" s="993">
        <v>2018</v>
      </c>
      <c r="C1256" s="989" t="s">
        <v>2996</v>
      </c>
      <c r="D1256" s="989" t="s">
        <v>48</v>
      </c>
      <c r="E1256" s="989" t="s">
        <v>1048</v>
      </c>
      <c r="F1256" s="994">
        <v>-55439.839999999997</v>
      </c>
      <c r="G1256" s="989" t="s">
        <v>657</v>
      </c>
      <c r="H1256" s="994">
        <v>-54596.3203125</v>
      </c>
      <c r="I1256" s="994">
        <v>-843.52001953125</v>
      </c>
      <c r="J1256" s="994">
        <v>-55439.83984375</v>
      </c>
      <c r="K1256" s="997">
        <v>-55439.839999999997</v>
      </c>
    </row>
    <row r="1257" spans="1:11" ht="33.75" x14ac:dyDescent="0.25">
      <c r="A1257" s="989" t="s">
        <v>168</v>
      </c>
      <c r="B1257" s="993">
        <v>2018</v>
      </c>
      <c r="C1257" s="989" t="s">
        <v>2997</v>
      </c>
      <c r="D1257" s="989" t="s">
        <v>50</v>
      </c>
      <c r="E1257" s="989" t="s">
        <v>1049</v>
      </c>
      <c r="F1257" s="994">
        <v>-1402949.57</v>
      </c>
      <c r="G1257" s="989" t="s">
        <v>657</v>
      </c>
      <c r="H1257" s="994">
        <v>-1342901.5</v>
      </c>
      <c r="I1257" s="994">
        <v>-60048.01953125</v>
      </c>
      <c r="J1257" s="994">
        <v>-1402949.625</v>
      </c>
      <c r="K1257" s="997">
        <v>-1402949.57</v>
      </c>
    </row>
    <row r="1258" spans="1:11" ht="22.5" x14ac:dyDescent="0.25">
      <c r="A1258" s="989" t="s">
        <v>168</v>
      </c>
      <c r="B1258" s="993">
        <v>2018</v>
      </c>
      <c r="C1258" s="989" t="s">
        <v>2998</v>
      </c>
      <c r="D1258" s="989" t="s">
        <v>348</v>
      </c>
      <c r="E1258" s="989" t="s">
        <v>1050</v>
      </c>
      <c r="F1258" s="994">
        <v>913948.73</v>
      </c>
      <c r="G1258" s="989" t="s">
        <v>657</v>
      </c>
      <c r="H1258" s="994">
        <v>859429.6875</v>
      </c>
      <c r="I1258" s="994">
        <v>54519.01953125</v>
      </c>
      <c r="J1258" s="994">
        <v>913948.75</v>
      </c>
      <c r="K1258" s="997">
        <v>913948.73</v>
      </c>
    </row>
    <row r="1259" spans="1:11" ht="45" x14ac:dyDescent="0.25">
      <c r="A1259" s="989" t="s">
        <v>168</v>
      </c>
      <c r="B1259" s="993">
        <v>2018</v>
      </c>
      <c r="C1259" s="989" t="s">
        <v>2999</v>
      </c>
      <c r="D1259" s="989" t="s">
        <v>659</v>
      </c>
      <c r="E1259" s="989" t="s">
        <v>1460</v>
      </c>
      <c r="F1259" s="994">
        <v>0</v>
      </c>
      <c r="G1259" s="989" t="s">
        <v>657</v>
      </c>
      <c r="H1259" s="994">
        <v>0</v>
      </c>
      <c r="I1259" s="994">
        <v>0</v>
      </c>
      <c r="J1259" s="994">
        <v>0</v>
      </c>
      <c r="K1259" s="997">
        <v>0</v>
      </c>
    </row>
    <row r="1260" spans="1:11" ht="45" x14ac:dyDescent="0.25">
      <c r="A1260" s="989" t="s">
        <v>168</v>
      </c>
      <c r="B1260" s="993">
        <v>2018</v>
      </c>
      <c r="C1260" s="989" t="s">
        <v>2999</v>
      </c>
      <c r="D1260" s="989" t="s">
        <v>660</v>
      </c>
      <c r="E1260" s="989" t="s">
        <v>1461</v>
      </c>
      <c r="F1260" s="994">
        <v>0</v>
      </c>
      <c r="G1260" s="989" t="s">
        <v>657</v>
      </c>
      <c r="H1260" s="994">
        <v>0</v>
      </c>
      <c r="I1260" s="994">
        <v>0</v>
      </c>
      <c r="J1260" s="994">
        <v>0</v>
      </c>
      <c r="K1260" s="997">
        <v>0</v>
      </c>
    </row>
    <row r="1261" spans="1:11" ht="45" x14ac:dyDescent="0.25">
      <c r="A1261" s="989" t="s">
        <v>168</v>
      </c>
      <c r="B1261" s="993">
        <v>2018</v>
      </c>
      <c r="C1261" s="989" t="s">
        <v>2999</v>
      </c>
      <c r="D1261" s="989" t="s">
        <v>661</v>
      </c>
      <c r="E1261" s="989" t="s">
        <v>1462</v>
      </c>
      <c r="F1261" s="994">
        <v>0</v>
      </c>
      <c r="G1261" s="989" t="s">
        <v>657</v>
      </c>
      <c r="H1261" s="994">
        <v>-41.590000152587898</v>
      </c>
      <c r="I1261" s="994">
        <v>-61.970001220703097</v>
      </c>
      <c r="J1261" s="994">
        <v>-103.55999755859401</v>
      </c>
      <c r="K1261" s="997">
        <v>-103.56</v>
      </c>
    </row>
    <row r="1262" spans="1:11" ht="45" x14ac:dyDescent="0.25">
      <c r="A1262" s="989" t="s">
        <v>168</v>
      </c>
      <c r="B1262" s="993">
        <v>2018</v>
      </c>
      <c r="C1262" s="989" t="s">
        <v>2999</v>
      </c>
      <c r="D1262" s="989" t="s">
        <v>662</v>
      </c>
      <c r="E1262" s="989" t="s">
        <v>1463</v>
      </c>
      <c r="F1262" s="994">
        <v>0</v>
      </c>
      <c r="G1262" s="989" t="s">
        <v>657</v>
      </c>
      <c r="H1262" s="994">
        <v>0</v>
      </c>
      <c r="I1262" s="994">
        <v>0</v>
      </c>
      <c r="J1262" s="994">
        <v>0</v>
      </c>
      <c r="K1262" s="997">
        <v>0</v>
      </c>
    </row>
    <row r="1263" spans="1:11" ht="45" x14ac:dyDescent="0.25">
      <c r="A1263" s="989" t="s">
        <v>168</v>
      </c>
      <c r="B1263" s="993">
        <v>2018</v>
      </c>
      <c r="C1263" s="989" t="s">
        <v>2999</v>
      </c>
      <c r="D1263" s="989" t="s">
        <v>663</v>
      </c>
      <c r="E1263" s="989" t="s">
        <v>1464</v>
      </c>
      <c r="F1263" s="994">
        <v>0</v>
      </c>
      <c r="G1263" s="989" t="s">
        <v>657</v>
      </c>
      <c r="H1263" s="994">
        <v>39.490001678466797</v>
      </c>
      <c r="I1263" s="994">
        <v>-6.3699998855590803</v>
      </c>
      <c r="J1263" s="994">
        <v>33.119998931884801</v>
      </c>
      <c r="K1263" s="997">
        <v>33.119999999999997</v>
      </c>
    </row>
    <row r="1264" spans="1:11" ht="45" x14ac:dyDescent="0.25">
      <c r="A1264" s="989" t="s">
        <v>168</v>
      </c>
      <c r="B1264" s="993">
        <v>2018</v>
      </c>
      <c r="C1264" s="989" t="s">
        <v>2999</v>
      </c>
      <c r="D1264" s="989" t="s">
        <v>664</v>
      </c>
      <c r="E1264" s="989" t="s">
        <v>1465</v>
      </c>
      <c r="F1264" s="994">
        <v>0</v>
      </c>
      <c r="G1264" s="989" t="s">
        <v>657</v>
      </c>
      <c r="H1264" s="994">
        <v>0</v>
      </c>
      <c r="I1264" s="994">
        <v>0</v>
      </c>
      <c r="J1264" s="994">
        <v>0</v>
      </c>
      <c r="K1264" s="997">
        <v>0</v>
      </c>
    </row>
    <row r="1265" spans="1:11" ht="45" x14ac:dyDescent="0.25">
      <c r="A1265" s="989" t="s">
        <v>168</v>
      </c>
      <c r="B1265" s="993">
        <v>2018</v>
      </c>
      <c r="C1265" s="989" t="s">
        <v>2999</v>
      </c>
      <c r="D1265" s="989" t="s">
        <v>665</v>
      </c>
      <c r="E1265" s="989" t="s">
        <v>1466</v>
      </c>
      <c r="F1265" s="994">
        <v>0</v>
      </c>
      <c r="G1265" s="989" t="s">
        <v>657</v>
      </c>
      <c r="H1265" s="994">
        <v>190382.640625</v>
      </c>
      <c r="I1265" s="994">
        <v>6379.83984375</v>
      </c>
      <c r="J1265" s="994">
        <v>196762.484375</v>
      </c>
      <c r="K1265" s="997">
        <v>196762.48</v>
      </c>
    </row>
    <row r="1266" spans="1:11" ht="45" x14ac:dyDescent="0.25">
      <c r="A1266" s="989" t="s">
        <v>168</v>
      </c>
      <c r="B1266" s="993">
        <v>2018</v>
      </c>
      <c r="C1266" s="989" t="s">
        <v>2999</v>
      </c>
      <c r="D1266" s="989" t="s">
        <v>1870</v>
      </c>
      <c r="E1266" s="989" t="s">
        <v>2331</v>
      </c>
      <c r="F1266" s="994">
        <v>0</v>
      </c>
      <c r="G1266" s="989" t="s">
        <v>657</v>
      </c>
      <c r="H1266" s="994">
        <v>8443.7998046875</v>
      </c>
      <c r="I1266" s="994">
        <v>3039.68994140625</v>
      </c>
      <c r="J1266" s="994">
        <v>11483.490234375</v>
      </c>
      <c r="K1266" s="997">
        <v>11483.49</v>
      </c>
    </row>
    <row r="1267" spans="1:11" ht="45" x14ac:dyDescent="0.25">
      <c r="A1267" s="989" t="s">
        <v>168</v>
      </c>
      <c r="B1267" s="993">
        <v>2018</v>
      </c>
      <c r="C1267" s="989" t="s">
        <v>2999</v>
      </c>
      <c r="D1267" s="989" t="s">
        <v>2486</v>
      </c>
      <c r="E1267" s="989" t="s">
        <v>2536</v>
      </c>
      <c r="F1267" s="994">
        <v>0</v>
      </c>
      <c r="G1267" s="989" t="s">
        <v>657</v>
      </c>
      <c r="H1267" s="994">
        <v>14876.7099609375</v>
      </c>
      <c r="I1267" s="994">
        <v>3049.18994140625</v>
      </c>
      <c r="J1267" s="994">
        <v>17925.900390625</v>
      </c>
      <c r="K1267" s="997">
        <v>17925.900000000001</v>
      </c>
    </row>
    <row r="1268" spans="1:11" ht="45" x14ac:dyDescent="0.25">
      <c r="A1268" s="989" t="s">
        <v>168</v>
      </c>
      <c r="B1268" s="993">
        <v>2018</v>
      </c>
      <c r="C1268" s="989" t="s">
        <v>2999</v>
      </c>
      <c r="D1268" s="989" t="s">
        <v>4892</v>
      </c>
      <c r="E1268" s="989" t="s">
        <v>6035</v>
      </c>
      <c r="F1268" s="994">
        <v>0</v>
      </c>
      <c r="G1268" s="989" t="s">
        <v>657</v>
      </c>
      <c r="H1268" s="994">
        <v>0</v>
      </c>
      <c r="I1268" s="994">
        <v>0</v>
      </c>
      <c r="J1268" s="994">
        <v>0</v>
      </c>
      <c r="K1268" s="997">
        <v>0</v>
      </c>
    </row>
    <row r="1269" spans="1:11" ht="45" x14ac:dyDescent="0.25">
      <c r="A1269" s="989" t="s">
        <v>168</v>
      </c>
      <c r="B1269" s="993">
        <v>2018</v>
      </c>
      <c r="C1269" s="989" t="s">
        <v>2999</v>
      </c>
      <c r="D1269" s="989" t="s">
        <v>666</v>
      </c>
      <c r="E1269" s="989" t="s">
        <v>1584</v>
      </c>
      <c r="F1269" s="994">
        <v>226101.43</v>
      </c>
      <c r="G1269" s="995"/>
      <c r="H1269" s="996"/>
      <c r="I1269" s="996"/>
      <c r="J1269" s="994">
        <v>0</v>
      </c>
      <c r="K1269" s="997">
        <v>226101.43</v>
      </c>
    </row>
    <row r="1270" spans="1:11" ht="22.5" x14ac:dyDescent="0.25">
      <c r="A1270" s="989" t="s">
        <v>245</v>
      </c>
      <c r="B1270" s="993">
        <v>2018</v>
      </c>
      <c r="C1270" s="989" t="s">
        <v>2991</v>
      </c>
      <c r="D1270" s="989" t="s">
        <v>49</v>
      </c>
      <c r="E1270" s="989" t="s">
        <v>3000</v>
      </c>
      <c r="F1270" s="994">
        <v>0</v>
      </c>
      <c r="G1270" s="989" t="s">
        <v>657</v>
      </c>
      <c r="H1270" s="994">
        <v>0</v>
      </c>
      <c r="I1270" s="994">
        <v>0</v>
      </c>
      <c r="J1270" s="994">
        <v>0</v>
      </c>
      <c r="K1270" s="997">
        <v>0</v>
      </c>
    </row>
    <row r="1271" spans="1:11" ht="33.75" x14ac:dyDescent="0.25">
      <c r="A1271" s="989" t="s">
        <v>245</v>
      </c>
      <c r="B1271" s="993">
        <v>2018</v>
      </c>
      <c r="C1271" s="989" t="s">
        <v>2992</v>
      </c>
      <c r="D1271" s="989" t="s">
        <v>658</v>
      </c>
      <c r="E1271" s="989" t="s">
        <v>3001</v>
      </c>
      <c r="F1271" s="994">
        <v>-10647.75</v>
      </c>
      <c r="G1271" s="989" t="s">
        <v>657</v>
      </c>
      <c r="H1271" s="994">
        <v>-10595.849609375</v>
      </c>
      <c r="I1271" s="994">
        <v>-51.900001525878899</v>
      </c>
      <c r="J1271" s="994">
        <v>-10647.75</v>
      </c>
      <c r="K1271" s="997">
        <v>-10647.75</v>
      </c>
    </row>
    <row r="1272" spans="1:11" ht="22.5" x14ac:dyDescent="0.25">
      <c r="A1272" s="989" t="s">
        <v>245</v>
      </c>
      <c r="B1272" s="993">
        <v>2018</v>
      </c>
      <c r="C1272" s="989" t="s">
        <v>2993</v>
      </c>
      <c r="D1272" s="989" t="s">
        <v>464</v>
      </c>
      <c r="E1272" s="989" t="s">
        <v>3002</v>
      </c>
      <c r="F1272" s="994">
        <v>0</v>
      </c>
      <c r="G1272" s="995"/>
      <c r="H1272" s="996"/>
      <c r="I1272" s="996"/>
      <c r="J1272" s="994">
        <v>0</v>
      </c>
      <c r="K1272" s="997">
        <v>0</v>
      </c>
    </row>
    <row r="1273" spans="1:11" ht="33.75" x14ac:dyDescent="0.25">
      <c r="A1273" s="989" t="s">
        <v>245</v>
      </c>
      <c r="B1273" s="993">
        <v>2018</v>
      </c>
      <c r="C1273" s="989" t="s">
        <v>2994</v>
      </c>
      <c r="D1273" s="989" t="s">
        <v>46</v>
      </c>
      <c r="E1273" s="989" t="s">
        <v>3003</v>
      </c>
      <c r="F1273" s="994">
        <v>-2092457.34</v>
      </c>
      <c r="G1273" s="989" t="s">
        <v>657</v>
      </c>
      <c r="H1273" s="994">
        <v>-2066904.125</v>
      </c>
      <c r="I1273" s="994">
        <v>-25553.189453125</v>
      </c>
      <c r="J1273" s="994">
        <v>-2092457.375</v>
      </c>
      <c r="K1273" s="997">
        <v>-2092457.34</v>
      </c>
    </row>
    <row r="1274" spans="1:11" ht="22.5" x14ac:dyDescent="0.25">
      <c r="A1274" s="989" t="s">
        <v>245</v>
      </c>
      <c r="B1274" s="993">
        <v>2018</v>
      </c>
      <c r="C1274" s="989" t="s">
        <v>2994</v>
      </c>
      <c r="D1274" s="989" t="s">
        <v>2482</v>
      </c>
      <c r="E1274" s="989" t="s">
        <v>3003</v>
      </c>
      <c r="F1274" s="994">
        <v>0</v>
      </c>
      <c r="G1274" s="995"/>
      <c r="H1274" s="996"/>
      <c r="I1274" s="996"/>
      <c r="J1274" s="994">
        <v>0</v>
      </c>
      <c r="K1274" s="997">
        <v>0</v>
      </c>
    </row>
    <row r="1275" spans="1:11" ht="22.5" x14ac:dyDescent="0.25">
      <c r="A1275" s="989" t="s">
        <v>245</v>
      </c>
      <c r="B1275" s="993">
        <v>2018</v>
      </c>
      <c r="C1275" s="989" t="s">
        <v>2994</v>
      </c>
      <c r="D1275" s="989" t="s">
        <v>2483</v>
      </c>
      <c r="E1275" s="989" t="s">
        <v>3003</v>
      </c>
      <c r="F1275" s="994">
        <v>0</v>
      </c>
      <c r="G1275" s="995"/>
      <c r="H1275" s="996"/>
      <c r="I1275" s="996"/>
      <c r="J1275" s="994">
        <v>0</v>
      </c>
      <c r="K1275" s="997">
        <v>0</v>
      </c>
    </row>
    <row r="1276" spans="1:11" ht="22.5" x14ac:dyDescent="0.25">
      <c r="A1276" s="989" t="s">
        <v>245</v>
      </c>
      <c r="B1276" s="993">
        <v>2018</v>
      </c>
      <c r="C1276" s="989" t="s">
        <v>2994</v>
      </c>
      <c r="D1276" s="989" t="s">
        <v>2484</v>
      </c>
      <c r="E1276" s="989" t="s">
        <v>3003</v>
      </c>
      <c r="F1276" s="994">
        <v>-25553.57</v>
      </c>
      <c r="G1276" s="995"/>
      <c r="H1276" s="996"/>
      <c r="I1276" s="996"/>
      <c r="J1276" s="994">
        <v>0</v>
      </c>
      <c r="K1276" s="997">
        <v>-25553.57</v>
      </c>
    </row>
    <row r="1277" spans="1:11" ht="22.5" x14ac:dyDescent="0.25">
      <c r="A1277" s="989" t="s">
        <v>245</v>
      </c>
      <c r="B1277" s="993">
        <v>2018</v>
      </c>
      <c r="C1277" s="989" t="s">
        <v>2994</v>
      </c>
      <c r="D1277" s="989" t="s">
        <v>2485</v>
      </c>
      <c r="E1277" s="989" t="s">
        <v>3003</v>
      </c>
      <c r="F1277" s="994">
        <v>-2066904.38</v>
      </c>
      <c r="G1277" s="995"/>
      <c r="H1277" s="996"/>
      <c r="I1277" s="996"/>
      <c r="J1277" s="994">
        <v>0</v>
      </c>
      <c r="K1277" s="997">
        <v>-2066904.38</v>
      </c>
    </row>
    <row r="1278" spans="1:11" ht="33.75" x14ac:dyDescent="0.25">
      <c r="A1278" s="989" t="s">
        <v>245</v>
      </c>
      <c r="B1278" s="993">
        <v>2018</v>
      </c>
      <c r="C1278" s="989" t="s">
        <v>2995</v>
      </c>
      <c r="D1278" s="989" t="s">
        <v>47</v>
      </c>
      <c r="E1278" s="989" t="s">
        <v>3004</v>
      </c>
      <c r="F1278" s="994">
        <v>-46544.53</v>
      </c>
      <c r="G1278" s="989" t="s">
        <v>657</v>
      </c>
      <c r="H1278" s="994">
        <v>-41280.41015625</v>
      </c>
      <c r="I1278" s="994">
        <v>-5264.1201171875</v>
      </c>
      <c r="J1278" s="994">
        <v>-46544.53125</v>
      </c>
      <c r="K1278" s="997">
        <v>-46544.53</v>
      </c>
    </row>
    <row r="1279" spans="1:11" ht="33.75" x14ac:dyDescent="0.25">
      <c r="A1279" s="989" t="s">
        <v>245</v>
      </c>
      <c r="B1279" s="993">
        <v>2018</v>
      </c>
      <c r="C1279" s="989" t="s">
        <v>2996</v>
      </c>
      <c r="D1279" s="989" t="s">
        <v>48</v>
      </c>
      <c r="E1279" s="989" t="s">
        <v>3005</v>
      </c>
      <c r="F1279" s="994">
        <v>420954.13</v>
      </c>
      <c r="G1279" s="989" t="s">
        <v>657</v>
      </c>
      <c r="H1279" s="994">
        <v>420725.375</v>
      </c>
      <c r="I1279" s="994">
        <v>228.75999450683599</v>
      </c>
      <c r="J1279" s="994">
        <v>420954.125</v>
      </c>
      <c r="K1279" s="997">
        <v>420954.13</v>
      </c>
    </row>
    <row r="1280" spans="1:11" ht="33.75" x14ac:dyDescent="0.25">
      <c r="A1280" s="989" t="s">
        <v>245</v>
      </c>
      <c r="B1280" s="993">
        <v>2018</v>
      </c>
      <c r="C1280" s="989" t="s">
        <v>2997</v>
      </c>
      <c r="D1280" s="989" t="s">
        <v>50</v>
      </c>
      <c r="E1280" s="989" t="s">
        <v>3006</v>
      </c>
      <c r="F1280" s="994">
        <v>534746.29</v>
      </c>
      <c r="G1280" s="989" t="s">
        <v>657</v>
      </c>
      <c r="H1280" s="994">
        <v>537045.5</v>
      </c>
      <c r="I1280" s="994">
        <v>-2299.2099609375</v>
      </c>
      <c r="J1280" s="994">
        <v>534746.3125</v>
      </c>
      <c r="K1280" s="997">
        <v>534746.29</v>
      </c>
    </row>
    <row r="1281" spans="1:11" ht="22.5" x14ac:dyDescent="0.25">
      <c r="A1281" s="989" t="s">
        <v>245</v>
      </c>
      <c r="B1281" s="993">
        <v>2018</v>
      </c>
      <c r="C1281" s="989" t="s">
        <v>2998</v>
      </c>
      <c r="D1281" s="989" t="s">
        <v>348</v>
      </c>
      <c r="E1281" s="989" t="s">
        <v>3007</v>
      </c>
      <c r="F1281" s="994">
        <v>83197.87</v>
      </c>
      <c r="G1281" s="989" t="s">
        <v>657</v>
      </c>
      <c r="H1281" s="994">
        <v>76544.6875</v>
      </c>
      <c r="I1281" s="994">
        <v>6653.18017578125</v>
      </c>
      <c r="J1281" s="994">
        <v>83197.8671875</v>
      </c>
      <c r="K1281" s="997">
        <v>83197.87</v>
      </c>
    </row>
    <row r="1282" spans="1:11" ht="45" x14ac:dyDescent="0.25">
      <c r="A1282" s="989" t="s">
        <v>245</v>
      </c>
      <c r="B1282" s="993">
        <v>2018</v>
      </c>
      <c r="C1282" s="989" t="s">
        <v>2999</v>
      </c>
      <c r="D1282" s="989" t="s">
        <v>659</v>
      </c>
      <c r="E1282" s="989" t="s">
        <v>3008</v>
      </c>
      <c r="F1282" s="994">
        <v>0</v>
      </c>
      <c r="G1282" s="989" t="s">
        <v>657</v>
      </c>
      <c r="H1282" s="994">
        <v>0</v>
      </c>
      <c r="I1282" s="994">
        <v>0</v>
      </c>
      <c r="J1282" s="994">
        <v>0</v>
      </c>
      <c r="K1282" s="997">
        <v>0</v>
      </c>
    </row>
    <row r="1283" spans="1:11" ht="45" x14ac:dyDescent="0.25">
      <c r="A1283" s="989" t="s">
        <v>245</v>
      </c>
      <c r="B1283" s="993">
        <v>2018</v>
      </c>
      <c r="C1283" s="989" t="s">
        <v>2999</v>
      </c>
      <c r="D1283" s="989" t="s">
        <v>660</v>
      </c>
      <c r="E1283" s="989" t="s">
        <v>3009</v>
      </c>
      <c r="F1283" s="994">
        <v>0</v>
      </c>
      <c r="G1283" s="989" t="s">
        <v>657</v>
      </c>
      <c r="H1283" s="994">
        <v>0</v>
      </c>
      <c r="I1283" s="994">
        <v>0</v>
      </c>
      <c r="J1283" s="994">
        <v>0</v>
      </c>
      <c r="K1283" s="997">
        <v>0</v>
      </c>
    </row>
    <row r="1284" spans="1:11" ht="45" x14ac:dyDescent="0.25">
      <c r="A1284" s="989" t="s">
        <v>245</v>
      </c>
      <c r="B1284" s="993">
        <v>2018</v>
      </c>
      <c r="C1284" s="989" t="s">
        <v>2999</v>
      </c>
      <c r="D1284" s="989" t="s">
        <v>661</v>
      </c>
      <c r="E1284" s="989" t="s">
        <v>3010</v>
      </c>
      <c r="F1284" s="994">
        <v>0</v>
      </c>
      <c r="G1284" s="989" t="s">
        <v>657</v>
      </c>
      <c r="H1284" s="994">
        <v>0</v>
      </c>
      <c r="I1284" s="994">
        <v>0</v>
      </c>
      <c r="J1284" s="994">
        <v>0</v>
      </c>
      <c r="K1284" s="997">
        <v>0</v>
      </c>
    </row>
    <row r="1285" spans="1:11" ht="45" x14ac:dyDescent="0.25">
      <c r="A1285" s="989" t="s">
        <v>245</v>
      </c>
      <c r="B1285" s="993">
        <v>2018</v>
      </c>
      <c r="C1285" s="989" t="s">
        <v>2999</v>
      </c>
      <c r="D1285" s="989" t="s">
        <v>662</v>
      </c>
      <c r="E1285" s="989" t="s">
        <v>3011</v>
      </c>
      <c r="F1285" s="994">
        <v>0</v>
      </c>
      <c r="G1285" s="989" t="s">
        <v>657</v>
      </c>
      <c r="H1285" s="994">
        <v>0</v>
      </c>
      <c r="I1285" s="994">
        <v>0</v>
      </c>
      <c r="J1285" s="994">
        <v>0</v>
      </c>
      <c r="K1285" s="997">
        <v>0</v>
      </c>
    </row>
    <row r="1286" spans="1:11" ht="45" x14ac:dyDescent="0.25">
      <c r="A1286" s="989" t="s">
        <v>245</v>
      </c>
      <c r="B1286" s="993">
        <v>2018</v>
      </c>
      <c r="C1286" s="989" t="s">
        <v>2999</v>
      </c>
      <c r="D1286" s="989" t="s">
        <v>663</v>
      </c>
      <c r="E1286" s="989" t="s">
        <v>3012</v>
      </c>
      <c r="F1286" s="994">
        <v>0</v>
      </c>
      <c r="G1286" s="989" t="s">
        <v>657</v>
      </c>
      <c r="H1286" s="994">
        <v>0</v>
      </c>
      <c r="I1286" s="994">
        <v>0</v>
      </c>
      <c r="J1286" s="994">
        <v>0</v>
      </c>
      <c r="K1286" s="997">
        <v>0</v>
      </c>
    </row>
    <row r="1287" spans="1:11" ht="45" x14ac:dyDescent="0.25">
      <c r="A1287" s="989" t="s">
        <v>245</v>
      </c>
      <c r="B1287" s="993">
        <v>2018</v>
      </c>
      <c r="C1287" s="989" t="s">
        <v>2999</v>
      </c>
      <c r="D1287" s="989" t="s">
        <v>664</v>
      </c>
      <c r="E1287" s="989" t="s">
        <v>3013</v>
      </c>
      <c r="F1287" s="994">
        <v>0</v>
      </c>
      <c r="G1287" s="989" t="s">
        <v>657</v>
      </c>
      <c r="H1287" s="994">
        <v>0</v>
      </c>
      <c r="I1287" s="994">
        <v>0</v>
      </c>
      <c r="J1287" s="994">
        <v>0</v>
      </c>
      <c r="K1287" s="997">
        <v>0</v>
      </c>
    </row>
    <row r="1288" spans="1:11" ht="45" x14ac:dyDescent="0.25">
      <c r="A1288" s="989" t="s">
        <v>245</v>
      </c>
      <c r="B1288" s="993">
        <v>2018</v>
      </c>
      <c r="C1288" s="989" t="s">
        <v>2999</v>
      </c>
      <c r="D1288" s="989" t="s">
        <v>665</v>
      </c>
      <c r="E1288" s="989" t="s">
        <v>3014</v>
      </c>
      <c r="F1288" s="994">
        <v>0</v>
      </c>
      <c r="G1288" s="989" t="s">
        <v>657</v>
      </c>
      <c r="H1288" s="994">
        <v>0</v>
      </c>
      <c r="I1288" s="994">
        <v>0</v>
      </c>
      <c r="J1288" s="994">
        <v>0</v>
      </c>
      <c r="K1288" s="997">
        <v>0</v>
      </c>
    </row>
    <row r="1289" spans="1:11" ht="45" x14ac:dyDescent="0.25">
      <c r="A1289" s="989" t="s">
        <v>245</v>
      </c>
      <c r="B1289" s="993">
        <v>2018</v>
      </c>
      <c r="C1289" s="989" t="s">
        <v>2999</v>
      </c>
      <c r="D1289" s="989" t="s">
        <v>1870</v>
      </c>
      <c r="E1289" s="989" t="s">
        <v>3015</v>
      </c>
      <c r="F1289" s="994">
        <v>0</v>
      </c>
      <c r="G1289" s="989" t="s">
        <v>657</v>
      </c>
      <c r="H1289" s="994">
        <v>-186299.546875</v>
      </c>
      <c r="I1289" s="994">
        <v>-133786</v>
      </c>
      <c r="J1289" s="994">
        <v>-320085.53125</v>
      </c>
      <c r="K1289" s="997">
        <v>-320085.53999999998</v>
      </c>
    </row>
    <row r="1290" spans="1:11" ht="45" x14ac:dyDescent="0.25">
      <c r="A1290" s="989" t="s">
        <v>245</v>
      </c>
      <c r="B1290" s="993">
        <v>2018</v>
      </c>
      <c r="C1290" s="989" t="s">
        <v>2999</v>
      </c>
      <c r="D1290" s="989" t="s">
        <v>2486</v>
      </c>
      <c r="E1290" s="989" t="s">
        <v>3016</v>
      </c>
      <c r="F1290" s="994">
        <v>0</v>
      </c>
      <c r="G1290" s="989" t="s">
        <v>657</v>
      </c>
      <c r="H1290" s="994">
        <v>222413.984375</v>
      </c>
      <c r="I1290" s="994">
        <v>-410886.3125</v>
      </c>
      <c r="J1290" s="994">
        <v>-188472.3125</v>
      </c>
      <c r="K1290" s="997">
        <v>-188472.31</v>
      </c>
    </row>
    <row r="1291" spans="1:11" ht="45" x14ac:dyDescent="0.25">
      <c r="A1291" s="989" t="s">
        <v>245</v>
      </c>
      <c r="B1291" s="993">
        <v>2018</v>
      </c>
      <c r="C1291" s="989" t="s">
        <v>2999</v>
      </c>
      <c r="D1291" s="989" t="s">
        <v>4892</v>
      </c>
      <c r="E1291" s="989" t="s">
        <v>6036</v>
      </c>
      <c r="F1291" s="994">
        <v>0</v>
      </c>
      <c r="G1291" s="989" t="s">
        <v>657</v>
      </c>
      <c r="H1291" s="994">
        <v>-47127.73046875</v>
      </c>
      <c r="I1291" s="994">
        <v>-60857.7890625</v>
      </c>
      <c r="J1291" s="994">
        <v>-107985.5234375</v>
      </c>
      <c r="K1291" s="997">
        <v>-107985.52</v>
      </c>
    </row>
    <row r="1292" spans="1:11" ht="45" x14ac:dyDescent="0.25">
      <c r="A1292" s="989" t="s">
        <v>245</v>
      </c>
      <c r="B1292" s="993">
        <v>2018</v>
      </c>
      <c r="C1292" s="989" t="s">
        <v>2999</v>
      </c>
      <c r="D1292" s="989" t="s">
        <v>666</v>
      </c>
      <c r="E1292" s="989" t="s">
        <v>3017</v>
      </c>
      <c r="F1292" s="994">
        <v>-616543.37</v>
      </c>
      <c r="G1292" s="995"/>
      <c r="H1292" s="996"/>
      <c r="I1292" s="996"/>
      <c r="J1292" s="994">
        <v>0</v>
      </c>
      <c r="K1292" s="997">
        <v>-616543.37</v>
      </c>
    </row>
    <row r="1293" spans="1:11" x14ac:dyDescent="0.25">
      <c r="A1293" s="989" t="s">
        <v>195</v>
      </c>
      <c r="B1293" s="993">
        <v>2018</v>
      </c>
      <c r="C1293" s="989" t="s">
        <v>2991</v>
      </c>
      <c r="D1293" s="989" t="s">
        <v>49</v>
      </c>
      <c r="E1293" s="989" t="s">
        <v>1051</v>
      </c>
      <c r="F1293" s="994">
        <v>0</v>
      </c>
      <c r="G1293" s="989" t="s">
        <v>657</v>
      </c>
      <c r="H1293" s="996"/>
      <c r="I1293" s="996"/>
      <c r="J1293" s="994">
        <v>0</v>
      </c>
      <c r="K1293" s="997">
        <v>0</v>
      </c>
    </row>
    <row r="1294" spans="1:11" ht="33.75" x14ac:dyDescent="0.25">
      <c r="A1294" s="989" t="s">
        <v>195</v>
      </c>
      <c r="B1294" s="993">
        <v>2018</v>
      </c>
      <c r="C1294" s="989" t="s">
        <v>2992</v>
      </c>
      <c r="D1294" s="989" t="s">
        <v>658</v>
      </c>
      <c r="E1294" s="989" t="s">
        <v>1052</v>
      </c>
      <c r="F1294" s="994">
        <v>-5057.7</v>
      </c>
      <c r="G1294" s="989" t="s">
        <v>657</v>
      </c>
      <c r="H1294" s="994">
        <v>-5019.419921875</v>
      </c>
      <c r="I1294" s="994">
        <v>-38.279998779296903</v>
      </c>
      <c r="J1294" s="994">
        <v>-5057.7001953125</v>
      </c>
      <c r="K1294" s="997">
        <v>-5057.7</v>
      </c>
    </row>
    <row r="1295" spans="1:11" ht="22.5" x14ac:dyDescent="0.25">
      <c r="A1295" s="989" t="s">
        <v>195</v>
      </c>
      <c r="B1295" s="993">
        <v>2018</v>
      </c>
      <c r="C1295" s="989" t="s">
        <v>2993</v>
      </c>
      <c r="D1295" s="989" t="s">
        <v>464</v>
      </c>
      <c r="E1295" s="989" t="s">
        <v>1053</v>
      </c>
      <c r="F1295" s="994">
        <v>20682.759999999998</v>
      </c>
      <c r="G1295" s="995"/>
      <c r="H1295" s="996"/>
      <c r="I1295" s="996"/>
      <c r="J1295" s="994">
        <v>0</v>
      </c>
      <c r="K1295" s="997">
        <v>20682.759999999998</v>
      </c>
    </row>
    <row r="1296" spans="1:11" ht="33.75" x14ac:dyDescent="0.25">
      <c r="A1296" s="989" t="s">
        <v>195</v>
      </c>
      <c r="B1296" s="993">
        <v>2018</v>
      </c>
      <c r="C1296" s="989" t="s">
        <v>2994</v>
      </c>
      <c r="D1296" s="989" t="s">
        <v>46</v>
      </c>
      <c r="E1296" s="989" t="s">
        <v>1054</v>
      </c>
      <c r="F1296" s="994">
        <v>-388757.06</v>
      </c>
      <c r="G1296" s="989" t="s">
        <v>657</v>
      </c>
      <c r="H1296" s="994">
        <v>-379743.5</v>
      </c>
      <c r="I1296" s="994">
        <v>-9013.5703125</v>
      </c>
      <c r="J1296" s="994">
        <v>-388757.0625</v>
      </c>
      <c r="K1296" s="997">
        <v>-388757.06</v>
      </c>
    </row>
    <row r="1297" spans="1:11" ht="22.5" x14ac:dyDescent="0.25">
      <c r="A1297" s="989" t="s">
        <v>195</v>
      </c>
      <c r="B1297" s="993">
        <v>2018</v>
      </c>
      <c r="C1297" s="989" t="s">
        <v>2994</v>
      </c>
      <c r="D1297" s="989" t="s">
        <v>2482</v>
      </c>
      <c r="E1297" s="989" t="s">
        <v>1054</v>
      </c>
      <c r="F1297" s="994">
        <v>0</v>
      </c>
      <c r="G1297" s="995"/>
      <c r="H1297" s="996"/>
      <c r="I1297" s="996"/>
      <c r="J1297" s="994">
        <v>0</v>
      </c>
      <c r="K1297" s="997">
        <v>0</v>
      </c>
    </row>
    <row r="1298" spans="1:11" ht="22.5" x14ac:dyDescent="0.25">
      <c r="A1298" s="989" t="s">
        <v>195</v>
      </c>
      <c r="B1298" s="993">
        <v>2018</v>
      </c>
      <c r="C1298" s="989" t="s">
        <v>2994</v>
      </c>
      <c r="D1298" s="989" t="s">
        <v>2483</v>
      </c>
      <c r="E1298" s="989" t="s">
        <v>1054</v>
      </c>
      <c r="F1298" s="994">
        <v>0</v>
      </c>
      <c r="G1298" s="995"/>
      <c r="H1298" s="996"/>
      <c r="I1298" s="996"/>
      <c r="J1298" s="994">
        <v>0</v>
      </c>
      <c r="K1298" s="997">
        <v>0</v>
      </c>
    </row>
    <row r="1299" spans="1:11" ht="22.5" x14ac:dyDescent="0.25">
      <c r="A1299" s="989" t="s">
        <v>195</v>
      </c>
      <c r="B1299" s="993">
        <v>2018</v>
      </c>
      <c r="C1299" s="989" t="s">
        <v>2994</v>
      </c>
      <c r="D1299" s="989" t="s">
        <v>2484</v>
      </c>
      <c r="E1299" s="989" t="s">
        <v>1054</v>
      </c>
      <c r="F1299" s="994">
        <v>0</v>
      </c>
      <c r="G1299" s="995"/>
      <c r="H1299" s="996"/>
      <c r="I1299" s="996"/>
      <c r="J1299" s="994">
        <v>0</v>
      </c>
      <c r="K1299" s="997">
        <v>0</v>
      </c>
    </row>
    <row r="1300" spans="1:11" ht="22.5" x14ac:dyDescent="0.25">
      <c r="A1300" s="989" t="s">
        <v>195</v>
      </c>
      <c r="B1300" s="993">
        <v>2018</v>
      </c>
      <c r="C1300" s="989" t="s">
        <v>2994</v>
      </c>
      <c r="D1300" s="989" t="s">
        <v>2485</v>
      </c>
      <c r="E1300" s="989" t="s">
        <v>1054</v>
      </c>
      <c r="F1300" s="994">
        <v>0</v>
      </c>
      <c r="G1300" s="995"/>
      <c r="H1300" s="996"/>
      <c r="I1300" s="996"/>
      <c r="J1300" s="994">
        <v>0</v>
      </c>
      <c r="K1300" s="997">
        <v>0</v>
      </c>
    </row>
    <row r="1301" spans="1:11" ht="33.75" x14ac:dyDescent="0.25">
      <c r="A1301" s="989" t="s">
        <v>195</v>
      </c>
      <c r="B1301" s="993">
        <v>2018</v>
      </c>
      <c r="C1301" s="989" t="s">
        <v>2995</v>
      </c>
      <c r="D1301" s="989" t="s">
        <v>47</v>
      </c>
      <c r="E1301" s="989" t="s">
        <v>1055</v>
      </c>
      <c r="F1301" s="994">
        <v>-120783.54</v>
      </c>
      <c r="G1301" s="989" t="s">
        <v>657</v>
      </c>
      <c r="H1301" s="994">
        <v>-119257.8125</v>
      </c>
      <c r="I1301" s="994">
        <v>-1525.72998046875</v>
      </c>
      <c r="J1301" s="994">
        <v>-120783.5390625</v>
      </c>
      <c r="K1301" s="997">
        <v>-120783.54</v>
      </c>
    </row>
    <row r="1302" spans="1:11" ht="33.75" x14ac:dyDescent="0.25">
      <c r="A1302" s="989" t="s">
        <v>195</v>
      </c>
      <c r="B1302" s="993">
        <v>2018</v>
      </c>
      <c r="C1302" s="989" t="s">
        <v>2996</v>
      </c>
      <c r="D1302" s="989" t="s">
        <v>48</v>
      </c>
      <c r="E1302" s="989" t="s">
        <v>1056</v>
      </c>
      <c r="F1302" s="994">
        <v>-50180.54</v>
      </c>
      <c r="G1302" s="989" t="s">
        <v>657</v>
      </c>
      <c r="H1302" s="994">
        <v>-49069.48046875</v>
      </c>
      <c r="I1302" s="994">
        <v>-1111.06005859375</v>
      </c>
      <c r="J1302" s="994">
        <v>-50180.5390625</v>
      </c>
      <c r="K1302" s="997">
        <v>-50180.54</v>
      </c>
    </row>
    <row r="1303" spans="1:11" ht="33.75" x14ac:dyDescent="0.25">
      <c r="A1303" s="989" t="s">
        <v>195</v>
      </c>
      <c r="B1303" s="993">
        <v>2018</v>
      </c>
      <c r="C1303" s="989" t="s">
        <v>2997</v>
      </c>
      <c r="D1303" s="989" t="s">
        <v>50</v>
      </c>
      <c r="E1303" s="989" t="s">
        <v>1057</v>
      </c>
      <c r="F1303" s="994">
        <v>60140.27</v>
      </c>
      <c r="G1303" s="989" t="s">
        <v>657</v>
      </c>
      <c r="H1303" s="994">
        <v>64500.26171875</v>
      </c>
      <c r="I1303" s="994">
        <v>-4359.990234375</v>
      </c>
      <c r="J1303" s="994">
        <v>60140.26953125</v>
      </c>
      <c r="K1303" s="997">
        <v>60140.27</v>
      </c>
    </row>
    <row r="1304" spans="1:11" ht="22.5" x14ac:dyDescent="0.25">
      <c r="A1304" s="989" t="s">
        <v>195</v>
      </c>
      <c r="B1304" s="993">
        <v>2018</v>
      </c>
      <c r="C1304" s="989" t="s">
        <v>2998</v>
      </c>
      <c r="D1304" s="989" t="s">
        <v>348</v>
      </c>
      <c r="E1304" s="989" t="s">
        <v>1058</v>
      </c>
      <c r="F1304" s="994">
        <v>487867.47</v>
      </c>
      <c r="G1304" s="989" t="s">
        <v>657</v>
      </c>
      <c r="H1304" s="994">
        <v>478956.46875</v>
      </c>
      <c r="I1304" s="994">
        <v>8911.009765625</v>
      </c>
      <c r="J1304" s="994">
        <v>487867.46875</v>
      </c>
      <c r="K1304" s="997">
        <v>487867.47</v>
      </c>
    </row>
    <row r="1305" spans="1:11" ht="45" x14ac:dyDescent="0.25">
      <c r="A1305" s="989" t="s">
        <v>195</v>
      </c>
      <c r="B1305" s="993">
        <v>2018</v>
      </c>
      <c r="C1305" s="989" t="s">
        <v>2999</v>
      </c>
      <c r="D1305" s="989" t="s">
        <v>659</v>
      </c>
      <c r="E1305" s="989" t="s">
        <v>1467</v>
      </c>
      <c r="F1305" s="994">
        <v>0</v>
      </c>
      <c r="G1305" s="989" t="s">
        <v>657</v>
      </c>
      <c r="H1305" s="996"/>
      <c r="I1305" s="996"/>
      <c r="J1305" s="994">
        <v>0</v>
      </c>
      <c r="K1305" s="997">
        <v>0</v>
      </c>
    </row>
    <row r="1306" spans="1:11" ht="45" x14ac:dyDescent="0.25">
      <c r="A1306" s="989" t="s">
        <v>195</v>
      </c>
      <c r="B1306" s="993">
        <v>2018</v>
      </c>
      <c r="C1306" s="989" t="s">
        <v>2999</v>
      </c>
      <c r="D1306" s="989" t="s">
        <v>660</v>
      </c>
      <c r="E1306" s="989" t="s">
        <v>1468</v>
      </c>
      <c r="F1306" s="994">
        <v>0</v>
      </c>
      <c r="G1306" s="989" t="s">
        <v>657</v>
      </c>
      <c r="H1306" s="996"/>
      <c r="I1306" s="996"/>
      <c r="J1306" s="994">
        <v>0</v>
      </c>
      <c r="K1306" s="997">
        <v>0</v>
      </c>
    </row>
    <row r="1307" spans="1:11" ht="45" x14ac:dyDescent="0.25">
      <c r="A1307" s="989" t="s">
        <v>195</v>
      </c>
      <c r="B1307" s="993">
        <v>2018</v>
      </c>
      <c r="C1307" s="989" t="s">
        <v>2999</v>
      </c>
      <c r="D1307" s="989" t="s">
        <v>661</v>
      </c>
      <c r="E1307" s="989" t="s">
        <v>1469</v>
      </c>
      <c r="F1307" s="994">
        <v>0</v>
      </c>
      <c r="G1307" s="989" t="s">
        <v>657</v>
      </c>
      <c r="H1307" s="996"/>
      <c r="I1307" s="996"/>
      <c r="J1307" s="994">
        <v>0</v>
      </c>
      <c r="K1307" s="997">
        <v>0</v>
      </c>
    </row>
    <row r="1308" spans="1:11" ht="45" x14ac:dyDescent="0.25">
      <c r="A1308" s="989" t="s">
        <v>195</v>
      </c>
      <c r="B1308" s="993">
        <v>2018</v>
      </c>
      <c r="C1308" s="989" t="s">
        <v>2999</v>
      </c>
      <c r="D1308" s="989" t="s">
        <v>662</v>
      </c>
      <c r="E1308" s="989" t="s">
        <v>1470</v>
      </c>
      <c r="F1308" s="994">
        <v>0</v>
      </c>
      <c r="G1308" s="989" t="s">
        <v>657</v>
      </c>
      <c r="H1308" s="996"/>
      <c r="I1308" s="996"/>
      <c r="J1308" s="994">
        <v>0</v>
      </c>
      <c r="K1308" s="997">
        <v>0</v>
      </c>
    </row>
    <row r="1309" spans="1:11" ht="45" x14ac:dyDescent="0.25">
      <c r="A1309" s="989" t="s">
        <v>195</v>
      </c>
      <c r="B1309" s="993">
        <v>2018</v>
      </c>
      <c r="C1309" s="989" t="s">
        <v>2999</v>
      </c>
      <c r="D1309" s="989" t="s">
        <v>663</v>
      </c>
      <c r="E1309" s="989" t="s">
        <v>1471</v>
      </c>
      <c r="F1309" s="994">
        <v>0</v>
      </c>
      <c r="G1309" s="989" t="s">
        <v>657</v>
      </c>
      <c r="H1309" s="996"/>
      <c r="I1309" s="996"/>
      <c r="J1309" s="994">
        <v>0</v>
      </c>
      <c r="K1309" s="997">
        <v>0</v>
      </c>
    </row>
    <row r="1310" spans="1:11" ht="45" x14ac:dyDescent="0.25">
      <c r="A1310" s="989" t="s">
        <v>195</v>
      </c>
      <c r="B1310" s="993">
        <v>2018</v>
      </c>
      <c r="C1310" s="989" t="s">
        <v>2999</v>
      </c>
      <c r="D1310" s="989" t="s">
        <v>664</v>
      </c>
      <c r="E1310" s="989" t="s">
        <v>1472</v>
      </c>
      <c r="F1310" s="994">
        <v>0</v>
      </c>
      <c r="G1310" s="989" t="s">
        <v>657</v>
      </c>
      <c r="H1310" s="996"/>
      <c r="I1310" s="996"/>
      <c r="J1310" s="994">
        <v>0</v>
      </c>
      <c r="K1310" s="997">
        <v>0</v>
      </c>
    </row>
    <row r="1311" spans="1:11" ht="45" x14ac:dyDescent="0.25">
      <c r="A1311" s="989" t="s">
        <v>195</v>
      </c>
      <c r="B1311" s="993">
        <v>2018</v>
      </c>
      <c r="C1311" s="989" t="s">
        <v>2999</v>
      </c>
      <c r="D1311" s="989" t="s">
        <v>665</v>
      </c>
      <c r="E1311" s="989" t="s">
        <v>1473</v>
      </c>
      <c r="F1311" s="994">
        <v>0</v>
      </c>
      <c r="G1311" s="989" t="s">
        <v>657</v>
      </c>
      <c r="H1311" s="996"/>
      <c r="I1311" s="996"/>
      <c r="J1311" s="994">
        <v>0</v>
      </c>
      <c r="K1311" s="997">
        <v>0</v>
      </c>
    </row>
    <row r="1312" spans="1:11" ht="45" x14ac:dyDescent="0.25">
      <c r="A1312" s="989" t="s">
        <v>195</v>
      </c>
      <c r="B1312" s="993">
        <v>2018</v>
      </c>
      <c r="C1312" s="989" t="s">
        <v>2999</v>
      </c>
      <c r="D1312" s="989" t="s">
        <v>1870</v>
      </c>
      <c r="E1312" s="989" t="s">
        <v>2332</v>
      </c>
      <c r="F1312" s="994">
        <v>0</v>
      </c>
      <c r="G1312" s="989" t="s">
        <v>657</v>
      </c>
      <c r="H1312" s="994">
        <v>-115658.8984375</v>
      </c>
      <c r="I1312" s="994">
        <v>-16716.73046875</v>
      </c>
      <c r="J1312" s="994">
        <v>-132375.625</v>
      </c>
      <c r="K1312" s="997">
        <v>-132375.63</v>
      </c>
    </row>
    <row r="1313" spans="1:11" ht="45" x14ac:dyDescent="0.25">
      <c r="A1313" s="989" t="s">
        <v>195</v>
      </c>
      <c r="B1313" s="993">
        <v>2018</v>
      </c>
      <c r="C1313" s="989" t="s">
        <v>2999</v>
      </c>
      <c r="D1313" s="989" t="s">
        <v>2486</v>
      </c>
      <c r="E1313" s="989" t="s">
        <v>2537</v>
      </c>
      <c r="F1313" s="994">
        <v>0</v>
      </c>
      <c r="G1313" s="989" t="s">
        <v>657</v>
      </c>
      <c r="H1313" s="994">
        <v>54558</v>
      </c>
      <c r="I1313" s="994">
        <v>-34626.4609375</v>
      </c>
      <c r="J1313" s="994">
        <v>19931.5390625</v>
      </c>
      <c r="K1313" s="997">
        <v>19931.54</v>
      </c>
    </row>
    <row r="1314" spans="1:11" ht="45" x14ac:dyDescent="0.25">
      <c r="A1314" s="989" t="s">
        <v>195</v>
      </c>
      <c r="B1314" s="993">
        <v>2018</v>
      </c>
      <c r="C1314" s="989" t="s">
        <v>2999</v>
      </c>
      <c r="D1314" s="989" t="s">
        <v>4892</v>
      </c>
      <c r="E1314" s="989" t="s">
        <v>6037</v>
      </c>
      <c r="F1314" s="994">
        <v>0</v>
      </c>
      <c r="G1314" s="989" t="s">
        <v>657</v>
      </c>
      <c r="H1314" s="994">
        <v>12092.6201171875</v>
      </c>
      <c r="I1314" s="994">
        <v>-9181.5595703125</v>
      </c>
      <c r="J1314" s="994">
        <v>2911.06005859375</v>
      </c>
      <c r="K1314" s="997">
        <v>2911.06</v>
      </c>
    </row>
    <row r="1315" spans="1:11" ht="45" x14ac:dyDescent="0.25">
      <c r="A1315" s="989" t="s">
        <v>195</v>
      </c>
      <c r="B1315" s="993">
        <v>2018</v>
      </c>
      <c r="C1315" s="989" t="s">
        <v>2999</v>
      </c>
      <c r="D1315" s="989" t="s">
        <v>666</v>
      </c>
      <c r="E1315" s="989" t="s">
        <v>1585</v>
      </c>
      <c r="F1315" s="994">
        <v>-109533.03</v>
      </c>
      <c r="G1315" s="995"/>
      <c r="H1315" s="996"/>
      <c r="I1315" s="996"/>
      <c r="J1315" s="994">
        <v>0</v>
      </c>
      <c r="K1315" s="997">
        <v>-109533.03</v>
      </c>
    </row>
    <row r="1316" spans="1:11" ht="22.5" x14ac:dyDescent="0.25">
      <c r="A1316" s="989" t="s">
        <v>169</v>
      </c>
      <c r="B1316" s="993">
        <v>2018</v>
      </c>
      <c r="C1316" s="989" t="s">
        <v>2991</v>
      </c>
      <c r="D1316" s="989" t="s">
        <v>49</v>
      </c>
      <c r="E1316" s="989" t="s">
        <v>1059</v>
      </c>
      <c r="F1316" s="994">
        <v>714420.2</v>
      </c>
      <c r="G1316" s="989" t="s">
        <v>657</v>
      </c>
      <c r="H1316" s="994">
        <v>706352.6875</v>
      </c>
      <c r="I1316" s="994">
        <v>8067.5</v>
      </c>
      <c r="J1316" s="994">
        <v>714420.1875</v>
      </c>
      <c r="K1316" s="997">
        <v>714420.2</v>
      </c>
    </row>
    <row r="1317" spans="1:11" ht="33.75" x14ac:dyDescent="0.25">
      <c r="A1317" s="989" t="s">
        <v>169</v>
      </c>
      <c r="B1317" s="993">
        <v>2018</v>
      </c>
      <c r="C1317" s="989" t="s">
        <v>2992</v>
      </c>
      <c r="D1317" s="989" t="s">
        <v>658</v>
      </c>
      <c r="E1317" s="989" t="s">
        <v>1060</v>
      </c>
      <c r="F1317" s="994">
        <v>-489957.09</v>
      </c>
      <c r="G1317" s="989" t="s">
        <v>657</v>
      </c>
      <c r="H1317" s="994">
        <v>-492958.3125</v>
      </c>
      <c r="I1317" s="994">
        <v>3001.21997070313</v>
      </c>
      <c r="J1317" s="994">
        <v>-489957.09375</v>
      </c>
      <c r="K1317" s="997">
        <v>-489957.09</v>
      </c>
    </row>
    <row r="1318" spans="1:11" ht="22.5" x14ac:dyDescent="0.25">
      <c r="A1318" s="989" t="s">
        <v>169</v>
      </c>
      <c r="B1318" s="993">
        <v>2018</v>
      </c>
      <c r="C1318" s="989" t="s">
        <v>2993</v>
      </c>
      <c r="D1318" s="989" t="s">
        <v>464</v>
      </c>
      <c r="E1318" s="989" t="s">
        <v>1061</v>
      </c>
      <c r="F1318" s="994">
        <v>16272080.810000001</v>
      </c>
      <c r="G1318" s="995"/>
      <c r="H1318" s="996"/>
      <c r="I1318" s="996"/>
      <c r="J1318" s="994">
        <v>0</v>
      </c>
      <c r="K1318" s="997">
        <v>16272080.810000001</v>
      </c>
    </row>
    <row r="1319" spans="1:11" ht="33.75" x14ac:dyDescent="0.25">
      <c r="A1319" s="989" t="s">
        <v>169</v>
      </c>
      <c r="B1319" s="993">
        <v>2018</v>
      </c>
      <c r="C1319" s="989" t="s">
        <v>2994</v>
      </c>
      <c r="D1319" s="989" t="s">
        <v>46</v>
      </c>
      <c r="E1319" s="989" t="s">
        <v>1062</v>
      </c>
      <c r="F1319" s="994">
        <v>-49829209.960000001</v>
      </c>
      <c r="G1319" s="989" t="s">
        <v>657</v>
      </c>
      <c r="H1319" s="994">
        <v>-49176012</v>
      </c>
      <c r="I1319" s="994">
        <v>-653197.6875</v>
      </c>
      <c r="J1319" s="994">
        <v>-49829208</v>
      </c>
      <c r="K1319" s="997">
        <v>-49829209.960000001</v>
      </c>
    </row>
    <row r="1320" spans="1:11" ht="22.5" x14ac:dyDescent="0.25">
      <c r="A1320" s="989" t="s">
        <v>169</v>
      </c>
      <c r="B1320" s="993">
        <v>2018</v>
      </c>
      <c r="C1320" s="989" t="s">
        <v>2994</v>
      </c>
      <c r="D1320" s="989" t="s">
        <v>2482</v>
      </c>
      <c r="E1320" s="989" t="s">
        <v>1062</v>
      </c>
      <c r="F1320" s="994">
        <v>0</v>
      </c>
      <c r="G1320" s="995"/>
      <c r="H1320" s="996"/>
      <c r="I1320" s="996"/>
      <c r="J1320" s="994">
        <v>0</v>
      </c>
      <c r="K1320" s="997">
        <v>0</v>
      </c>
    </row>
    <row r="1321" spans="1:11" ht="22.5" x14ac:dyDescent="0.25">
      <c r="A1321" s="989" t="s">
        <v>169</v>
      </c>
      <c r="B1321" s="993">
        <v>2018</v>
      </c>
      <c r="C1321" s="989" t="s">
        <v>2994</v>
      </c>
      <c r="D1321" s="989" t="s">
        <v>2483</v>
      </c>
      <c r="E1321" s="989" t="s">
        <v>1062</v>
      </c>
      <c r="F1321" s="994">
        <v>0</v>
      </c>
      <c r="G1321" s="995"/>
      <c r="H1321" s="996"/>
      <c r="I1321" s="996"/>
      <c r="J1321" s="994">
        <v>0</v>
      </c>
      <c r="K1321" s="997">
        <v>0</v>
      </c>
    </row>
    <row r="1322" spans="1:11" ht="22.5" x14ac:dyDescent="0.25">
      <c r="A1322" s="989" t="s">
        <v>169</v>
      </c>
      <c r="B1322" s="993">
        <v>2018</v>
      </c>
      <c r="C1322" s="989" t="s">
        <v>2994</v>
      </c>
      <c r="D1322" s="989" t="s">
        <v>2484</v>
      </c>
      <c r="E1322" s="989" t="s">
        <v>1062</v>
      </c>
      <c r="F1322" s="994">
        <v>35169.97</v>
      </c>
      <c r="G1322" s="995"/>
      <c r="H1322" s="996"/>
      <c r="I1322" s="996"/>
      <c r="J1322" s="994">
        <v>0</v>
      </c>
      <c r="K1322" s="997">
        <v>35169.97</v>
      </c>
    </row>
    <row r="1323" spans="1:11" ht="22.5" x14ac:dyDescent="0.25">
      <c r="A1323" s="989" t="s">
        <v>169</v>
      </c>
      <c r="B1323" s="993">
        <v>2018</v>
      </c>
      <c r="C1323" s="989" t="s">
        <v>2994</v>
      </c>
      <c r="D1323" s="989" t="s">
        <v>2485</v>
      </c>
      <c r="E1323" s="989" t="s">
        <v>1062</v>
      </c>
      <c r="F1323" s="994">
        <v>2059564.64</v>
      </c>
      <c r="G1323" s="995"/>
      <c r="H1323" s="996"/>
      <c r="I1323" s="996"/>
      <c r="J1323" s="994">
        <v>0</v>
      </c>
      <c r="K1323" s="997">
        <v>2059564.64</v>
      </c>
    </row>
    <row r="1324" spans="1:11" ht="33.75" x14ac:dyDescent="0.25">
      <c r="A1324" s="989" t="s">
        <v>169</v>
      </c>
      <c r="B1324" s="993">
        <v>2018</v>
      </c>
      <c r="C1324" s="989" t="s">
        <v>2995</v>
      </c>
      <c r="D1324" s="989" t="s">
        <v>47</v>
      </c>
      <c r="E1324" s="989" t="s">
        <v>1063</v>
      </c>
      <c r="F1324" s="994">
        <v>-8471332.8100000005</v>
      </c>
      <c r="G1324" s="989" t="s">
        <v>657</v>
      </c>
      <c r="H1324" s="994">
        <v>-8318224</v>
      </c>
      <c r="I1324" s="994">
        <v>-153108.828125</v>
      </c>
      <c r="J1324" s="994">
        <v>-8471333</v>
      </c>
      <c r="K1324" s="997">
        <v>-8471332.8100000005</v>
      </c>
    </row>
    <row r="1325" spans="1:11" ht="33.75" x14ac:dyDescent="0.25">
      <c r="A1325" s="989" t="s">
        <v>169</v>
      </c>
      <c r="B1325" s="993">
        <v>2018</v>
      </c>
      <c r="C1325" s="989" t="s">
        <v>2996</v>
      </c>
      <c r="D1325" s="989" t="s">
        <v>48</v>
      </c>
      <c r="E1325" s="989" t="s">
        <v>1064</v>
      </c>
      <c r="F1325" s="994">
        <v>-22014588.34</v>
      </c>
      <c r="G1325" s="989" t="s">
        <v>657</v>
      </c>
      <c r="H1325" s="994">
        <v>-21616766</v>
      </c>
      <c r="I1325" s="994">
        <v>-397823.09375</v>
      </c>
      <c r="J1325" s="994">
        <v>-22014588</v>
      </c>
      <c r="K1325" s="997">
        <v>-22014588.34</v>
      </c>
    </row>
    <row r="1326" spans="1:11" ht="33.75" x14ac:dyDescent="0.25">
      <c r="A1326" s="989" t="s">
        <v>169</v>
      </c>
      <c r="B1326" s="993">
        <v>2018</v>
      </c>
      <c r="C1326" s="989" t="s">
        <v>2997</v>
      </c>
      <c r="D1326" s="989" t="s">
        <v>50</v>
      </c>
      <c r="E1326" s="989" t="s">
        <v>1065</v>
      </c>
      <c r="F1326" s="994">
        <v>-8354607.6399999997</v>
      </c>
      <c r="G1326" s="989" t="s">
        <v>657</v>
      </c>
      <c r="H1326" s="994">
        <v>-8241858.5</v>
      </c>
      <c r="I1326" s="994">
        <v>-112749.296875</v>
      </c>
      <c r="J1326" s="994">
        <v>-8354607.5</v>
      </c>
      <c r="K1326" s="997">
        <v>-8354607.6399999997</v>
      </c>
    </row>
    <row r="1327" spans="1:11" ht="22.5" x14ac:dyDescent="0.25">
      <c r="A1327" s="989" t="s">
        <v>169</v>
      </c>
      <c r="B1327" s="993">
        <v>2018</v>
      </c>
      <c r="C1327" s="989" t="s">
        <v>2998</v>
      </c>
      <c r="D1327" s="989" t="s">
        <v>348</v>
      </c>
      <c r="E1327" s="989" t="s">
        <v>1066</v>
      </c>
      <c r="F1327" s="994">
        <v>44040688.299999997</v>
      </c>
      <c r="G1327" s="989" t="s">
        <v>657</v>
      </c>
      <c r="H1327" s="994">
        <v>43636524</v>
      </c>
      <c r="I1327" s="994">
        <v>404165.6875</v>
      </c>
      <c r="J1327" s="994">
        <v>44040688</v>
      </c>
      <c r="K1327" s="997">
        <v>44040688.299999997</v>
      </c>
    </row>
    <row r="1328" spans="1:11" ht="45" x14ac:dyDescent="0.25">
      <c r="A1328" s="989" t="s">
        <v>169</v>
      </c>
      <c r="B1328" s="993">
        <v>2018</v>
      </c>
      <c r="C1328" s="989" t="s">
        <v>2999</v>
      </c>
      <c r="D1328" s="989" t="s">
        <v>659</v>
      </c>
      <c r="E1328" s="989" t="s">
        <v>1474</v>
      </c>
      <c r="F1328" s="994">
        <v>0</v>
      </c>
      <c r="G1328" s="989" t="s">
        <v>657</v>
      </c>
      <c r="H1328" s="996"/>
      <c r="I1328" s="996"/>
      <c r="J1328" s="994">
        <v>0</v>
      </c>
      <c r="K1328" s="997">
        <v>0</v>
      </c>
    </row>
    <row r="1329" spans="1:11" ht="45" x14ac:dyDescent="0.25">
      <c r="A1329" s="989" t="s">
        <v>169</v>
      </c>
      <c r="B1329" s="993">
        <v>2018</v>
      </c>
      <c r="C1329" s="989" t="s">
        <v>2999</v>
      </c>
      <c r="D1329" s="989" t="s">
        <v>660</v>
      </c>
      <c r="E1329" s="989" t="s">
        <v>1475</v>
      </c>
      <c r="F1329" s="994">
        <v>0</v>
      </c>
      <c r="G1329" s="989" t="s">
        <v>657</v>
      </c>
      <c r="H1329" s="996"/>
      <c r="I1329" s="996"/>
      <c r="J1329" s="994">
        <v>0</v>
      </c>
      <c r="K1329" s="997">
        <v>0</v>
      </c>
    </row>
    <row r="1330" spans="1:11" ht="45" x14ac:dyDescent="0.25">
      <c r="A1330" s="989" t="s">
        <v>169</v>
      </c>
      <c r="B1330" s="993">
        <v>2018</v>
      </c>
      <c r="C1330" s="989" t="s">
        <v>2999</v>
      </c>
      <c r="D1330" s="989" t="s">
        <v>661</v>
      </c>
      <c r="E1330" s="989" t="s">
        <v>1476</v>
      </c>
      <c r="F1330" s="994">
        <v>0</v>
      </c>
      <c r="G1330" s="989" t="s">
        <v>657</v>
      </c>
      <c r="H1330" s="996"/>
      <c r="I1330" s="996"/>
      <c r="J1330" s="994">
        <v>0</v>
      </c>
      <c r="K1330" s="997">
        <v>0</v>
      </c>
    </row>
    <row r="1331" spans="1:11" ht="45" x14ac:dyDescent="0.25">
      <c r="A1331" s="989" t="s">
        <v>169</v>
      </c>
      <c r="B1331" s="993">
        <v>2018</v>
      </c>
      <c r="C1331" s="989" t="s">
        <v>2999</v>
      </c>
      <c r="D1331" s="989" t="s">
        <v>662</v>
      </c>
      <c r="E1331" s="989" t="s">
        <v>1477</v>
      </c>
      <c r="F1331" s="994">
        <v>0</v>
      </c>
      <c r="G1331" s="989" t="s">
        <v>657</v>
      </c>
      <c r="H1331" s="996"/>
      <c r="I1331" s="996"/>
      <c r="J1331" s="994">
        <v>0</v>
      </c>
      <c r="K1331" s="997">
        <v>0</v>
      </c>
    </row>
    <row r="1332" spans="1:11" ht="45" x14ac:dyDescent="0.25">
      <c r="A1332" s="989" t="s">
        <v>169</v>
      </c>
      <c r="B1332" s="993">
        <v>2018</v>
      </c>
      <c r="C1332" s="989" t="s">
        <v>2999</v>
      </c>
      <c r="D1332" s="989" t="s">
        <v>663</v>
      </c>
      <c r="E1332" s="989" t="s">
        <v>1478</v>
      </c>
      <c r="F1332" s="994">
        <v>0</v>
      </c>
      <c r="G1332" s="989" t="s">
        <v>657</v>
      </c>
      <c r="H1332" s="996"/>
      <c r="I1332" s="996"/>
      <c r="J1332" s="994">
        <v>0</v>
      </c>
      <c r="K1332" s="997">
        <v>0</v>
      </c>
    </row>
    <row r="1333" spans="1:11" ht="45" x14ac:dyDescent="0.25">
      <c r="A1333" s="989" t="s">
        <v>169</v>
      </c>
      <c r="B1333" s="993">
        <v>2018</v>
      </c>
      <c r="C1333" s="989" t="s">
        <v>2999</v>
      </c>
      <c r="D1333" s="989" t="s">
        <v>664</v>
      </c>
      <c r="E1333" s="989" t="s">
        <v>1479</v>
      </c>
      <c r="F1333" s="994">
        <v>0</v>
      </c>
      <c r="G1333" s="989" t="s">
        <v>657</v>
      </c>
      <c r="H1333" s="996"/>
      <c r="I1333" s="996"/>
      <c r="J1333" s="994">
        <v>0</v>
      </c>
      <c r="K1333" s="997">
        <v>0</v>
      </c>
    </row>
    <row r="1334" spans="1:11" ht="45" x14ac:dyDescent="0.25">
      <c r="A1334" s="989" t="s">
        <v>169</v>
      </c>
      <c r="B1334" s="993">
        <v>2018</v>
      </c>
      <c r="C1334" s="989" t="s">
        <v>2999</v>
      </c>
      <c r="D1334" s="989" t="s">
        <v>665</v>
      </c>
      <c r="E1334" s="989" t="s">
        <v>1480</v>
      </c>
      <c r="F1334" s="994">
        <v>0</v>
      </c>
      <c r="G1334" s="989" t="s">
        <v>657</v>
      </c>
      <c r="H1334" s="996"/>
      <c r="I1334" s="996"/>
      <c r="J1334" s="994">
        <v>0</v>
      </c>
      <c r="K1334" s="997">
        <v>0</v>
      </c>
    </row>
    <row r="1335" spans="1:11" ht="45" x14ac:dyDescent="0.25">
      <c r="A1335" s="989" t="s">
        <v>169</v>
      </c>
      <c r="B1335" s="993">
        <v>2018</v>
      </c>
      <c r="C1335" s="989" t="s">
        <v>2999</v>
      </c>
      <c r="D1335" s="989" t="s">
        <v>1870</v>
      </c>
      <c r="E1335" s="989" t="s">
        <v>2333</v>
      </c>
      <c r="F1335" s="994">
        <v>0</v>
      </c>
      <c r="G1335" s="989" t="s">
        <v>657</v>
      </c>
      <c r="H1335" s="996"/>
      <c r="I1335" s="996"/>
      <c r="J1335" s="994">
        <v>0</v>
      </c>
      <c r="K1335" s="997">
        <v>0</v>
      </c>
    </row>
    <row r="1336" spans="1:11" ht="45" x14ac:dyDescent="0.25">
      <c r="A1336" s="989" t="s">
        <v>169</v>
      </c>
      <c r="B1336" s="993">
        <v>2018</v>
      </c>
      <c r="C1336" s="989" t="s">
        <v>2999</v>
      </c>
      <c r="D1336" s="989" t="s">
        <v>2486</v>
      </c>
      <c r="E1336" s="989" t="s">
        <v>2538</v>
      </c>
      <c r="F1336" s="994">
        <v>0</v>
      </c>
      <c r="G1336" s="989" t="s">
        <v>657</v>
      </c>
      <c r="H1336" s="994">
        <v>39616564</v>
      </c>
      <c r="I1336" s="994">
        <v>-370476.625</v>
      </c>
      <c r="J1336" s="994">
        <v>39246088</v>
      </c>
      <c r="K1336" s="997">
        <v>39246089.189999998</v>
      </c>
    </row>
    <row r="1337" spans="1:11" ht="45" x14ac:dyDescent="0.25">
      <c r="A1337" s="989" t="s">
        <v>169</v>
      </c>
      <c r="B1337" s="993">
        <v>2018</v>
      </c>
      <c r="C1337" s="989" t="s">
        <v>2999</v>
      </c>
      <c r="D1337" s="989" t="s">
        <v>4892</v>
      </c>
      <c r="E1337" s="989" t="s">
        <v>6038</v>
      </c>
      <c r="F1337" s="994">
        <v>0</v>
      </c>
      <c r="G1337" s="989" t="s">
        <v>657</v>
      </c>
      <c r="H1337" s="994">
        <v>2815542</v>
      </c>
      <c r="I1337" s="994">
        <v>142065.21875</v>
      </c>
      <c r="J1337" s="994">
        <v>2957607.25</v>
      </c>
      <c r="K1337" s="997">
        <v>2957607.29</v>
      </c>
    </row>
    <row r="1338" spans="1:11" ht="45" x14ac:dyDescent="0.25">
      <c r="A1338" s="989" t="s">
        <v>169</v>
      </c>
      <c r="B1338" s="993">
        <v>2018</v>
      </c>
      <c r="C1338" s="989" t="s">
        <v>2999</v>
      </c>
      <c r="D1338" s="989" t="s">
        <v>666</v>
      </c>
      <c r="E1338" s="989" t="s">
        <v>1586</v>
      </c>
      <c r="F1338" s="994">
        <v>42203696.479999997</v>
      </c>
      <c r="G1338" s="995"/>
      <c r="H1338" s="996"/>
      <c r="I1338" s="996"/>
      <c r="J1338" s="994">
        <v>0</v>
      </c>
      <c r="K1338" s="997">
        <v>42203696.479999997</v>
      </c>
    </row>
    <row r="1339" spans="1:11" x14ac:dyDescent="0.25">
      <c r="A1339" s="989" t="s">
        <v>209</v>
      </c>
      <c r="B1339" s="993">
        <v>2018</v>
      </c>
      <c r="C1339" s="989" t="s">
        <v>2991</v>
      </c>
      <c r="D1339" s="989" t="s">
        <v>49</v>
      </c>
      <c r="E1339" s="989" t="s">
        <v>1067</v>
      </c>
      <c r="F1339" s="994">
        <v>2414784</v>
      </c>
      <c r="G1339" s="989" t="s">
        <v>657</v>
      </c>
      <c r="H1339" s="994">
        <v>2387643</v>
      </c>
      <c r="I1339" s="994">
        <v>27141</v>
      </c>
      <c r="J1339" s="994">
        <v>2414784</v>
      </c>
      <c r="K1339" s="997">
        <v>2414784</v>
      </c>
    </row>
    <row r="1340" spans="1:11" ht="33.75" x14ac:dyDescent="0.25">
      <c r="A1340" s="989" t="s">
        <v>209</v>
      </c>
      <c r="B1340" s="993">
        <v>2018</v>
      </c>
      <c r="C1340" s="989" t="s">
        <v>2992</v>
      </c>
      <c r="D1340" s="989" t="s">
        <v>658</v>
      </c>
      <c r="E1340" s="989" t="s">
        <v>1068</v>
      </c>
      <c r="F1340" s="994">
        <v>-37809</v>
      </c>
      <c r="G1340" s="989" t="s">
        <v>657</v>
      </c>
      <c r="H1340" s="994">
        <v>-37401</v>
      </c>
      <c r="I1340" s="994">
        <v>-408</v>
      </c>
      <c r="J1340" s="994">
        <v>-37809</v>
      </c>
      <c r="K1340" s="997">
        <v>-37809</v>
      </c>
    </row>
    <row r="1341" spans="1:11" ht="22.5" x14ac:dyDescent="0.25">
      <c r="A1341" s="989" t="s">
        <v>209</v>
      </c>
      <c r="B1341" s="993">
        <v>2018</v>
      </c>
      <c r="C1341" s="989" t="s">
        <v>2993</v>
      </c>
      <c r="D1341" s="989" t="s">
        <v>464</v>
      </c>
      <c r="E1341" s="989" t="s">
        <v>1069</v>
      </c>
      <c r="F1341" s="994">
        <v>726553</v>
      </c>
      <c r="G1341" s="995"/>
      <c r="H1341" s="996"/>
      <c r="I1341" s="996"/>
      <c r="J1341" s="994">
        <v>0</v>
      </c>
      <c r="K1341" s="997">
        <v>726553</v>
      </c>
    </row>
    <row r="1342" spans="1:11" ht="33.75" x14ac:dyDescent="0.25">
      <c r="A1342" s="989" t="s">
        <v>209</v>
      </c>
      <c r="B1342" s="993">
        <v>2018</v>
      </c>
      <c r="C1342" s="989" t="s">
        <v>2994</v>
      </c>
      <c r="D1342" s="989" t="s">
        <v>46</v>
      </c>
      <c r="E1342" s="989" t="s">
        <v>1070</v>
      </c>
      <c r="F1342" s="994">
        <v>-5600317</v>
      </c>
      <c r="G1342" s="989" t="s">
        <v>657</v>
      </c>
      <c r="H1342" s="994">
        <v>-5538109</v>
      </c>
      <c r="I1342" s="994">
        <v>-62208</v>
      </c>
      <c r="J1342" s="994">
        <v>-5600317</v>
      </c>
      <c r="K1342" s="997">
        <v>-5600317</v>
      </c>
    </row>
    <row r="1343" spans="1:11" ht="22.5" x14ac:dyDescent="0.25">
      <c r="A1343" s="989" t="s">
        <v>209</v>
      </c>
      <c r="B1343" s="993">
        <v>2018</v>
      </c>
      <c r="C1343" s="989" t="s">
        <v>2994</v>
      </c>
      <c r="D1343" s="989" t="s">
        <v>2482</v>
      </c>
      <c r="E1343" s="989" t="s">
        <v>1070</v>
      </c>
      <c r="F1343" s="994">
        <v>0</v>
      </c>
      <c r="G1343" s="995"/>
      <c r="H1343" s="996"/>
      <c r="I1343" s="996"/>
      <c r="J1343" s="994">
        <v>0</v>
      </c>
      <c r="K1343" s="997">
        <v>0</v>
      </c>
    </row>
    <row r="1344" spans="1:11" ht="22.5" x14ac:dyDescent="0.25">
      <c r="A1344" s="989" t="s">
        <v>209</v>
      </c>
      <c r="B1344" s="993">
        <v>2018</v>
      </c>
      <c r="C1344" s="989" t="s">
        <v>2994</v>
      </c>
      <c r="D1344" s="989" t="s">
        <v>2483</v>
      </c>
      <c r="E1344" s="989" t="s">
        <v>1070</v>
      </c>
      <c r="F1344" s="994">
        <v>0</v>
      </c>
      <c r="G1344" s="995"/>
      <c r="H1344" s="996"/>
      <c r="I1344" s="996"/>
      <c r="J1344" s="994">
        <v>0</v>
      </c>
      <c r="K1344" s="997">
        <v>0</v>
      </c>
    </row>
    <row r="1345" spans="1:11" ht="22.5" x14ac:dyDescent="0.25">
      <c r="A1345" s="989" t="s">
        <v>209</v>
      </c>
      <c r="B1345" s="993">
        <v>2018</v>
      </c>
      <c r="C1345" s="989" t="s">
        <v>2994</v>
      </c>
      <c r="D1345" s="989" t="s">
        <v>2484</v>
      </c>
      <c r="E1345" s="989" t="s">
        <v>1070</v>
      </c>
      <c r="F1345" s="994">
        <v>-2682</v>
      </c>
      <c r="G1345" s="995"/>
      <c r="H1345" s="996"/>
      <c r="I1345" s="996"/>
      <c r="J1345" s="994">
        <v>0</v>
      </c>
      <c r="K1345" s="997">
        <v>-2682</v>
      </c>
    </row>
    <row r="1346" spans="1:11" ht="22.5" x14ac:dyDescent="0.25">
      <c r="A1346" s="989" t="s">
        <v>209</v>
      </c>
      <c r="B1346" s="993">
        <v>2018</v>
      </c>
      <c r="C1346" s="989" t="s">
        <v>2994</v>
      </c>
      <c r="D1346" s="989" t="s">
        <v>2485</v>
      </c>
      <c r="E1346" s="989" t="s">
        <v>1070</v>
      </c>
      <c r="F1346" s="994">
        <v>-231694</v>
      </c>
      <c r="G1346" s="995"/>
      <c r="H1346" s="996"/>
      <c r="I1346" s="996"/>
      <c r="J1346" s="994">
        <v>0</v>
      </c>
      <c r="K1346" s="997">
        <v>-231694</v>
      </c>
    </row>
    <row r="1347" spans="1:11" ht="33.75" x14ac:dyDescent="0.25">
      <c r="A1347" s="989" t="s">
        <v>209</v>
      </c>
      <c r="B1347" s="993">
        <v>2018</v>
      </c>
      <c r="C1347" s="989" t="s">
        <v>2995</v>
      </c>
      <c r="D1347" s="989" t="s">
        <v>47</v>
      </c>
      <c r="E1347" s="989" t="s">
        <v>1071</v>
      </c>
      <c r="F1347" s="994">
        <v>-1045247</v>
      </c>
      <c r="G1347" s="989" t="s">
        <v>657</v>
      </c>
      <c r="H1347" s="994">
        <v>-1033757</v>
      </c>
      <c r="I1347" s="994">
        <v>-11490</v>
      </c>
      <c r="J1347" s="994">
        <v>-1045247</v>
      </c>
      <c r="K1347" s="997">
        <v>-1045247</v>
      </c>
    </row>
    <row r="1348" spans="1:11" ht="33.75" x14ac:dyDescent="0.25">
      <c r="A1348" s="989" t="s">
        <v>209</v>
      </c>
      <c r="B1348" s="993">
        <v>2018</v>
      </c>
      <c r="C1348" s="989" t="s">
        <v>2996</v>
      </c>
      <c r="D1348" s="989" t="s">
        <v>48</v>
      </c>
      <c r="E1348" s="989" t="s">
        <v>1072</v>
      </c>
      <c r="F1348" s="994">
        <v>-499365</v>
      </c>
      <c r="G1348" s="989" t="s">
        <v>657</v>
      </c>
      <c r="H1348" s="994">
        <v>-496009</v>
      </c>
      <c r="I1348" s="994">
        <v>-3356</v>
      </c>
      <c r="J1348" s="994">
        <v>-499365</v>
      </c>
      <c r="K1348" s="997">
        <v>-499365</v>
      </c>
    </row>
    <row r="1349" spans="1:11" ht="33.75" x14ac:dyDescent="0.25">
      <c r="A1349" s="989" t="s">
        <v>209</v>
      </c>
      <c r="B1349" s="993">
        <v>2018</v>
      </c>
      <c r="C1349" s="989" t="s">
        <v>2997</v>
      </c>
      <c r="D1349" s="989" t="s">
        <v>50</v>
      </c>
      <c r="E1349" s="989" t="s">
        <v>1073</v>
      </c>
      <c r="F1349" s="994">
        <v>-3862357</v>
      </c>
      <c r="G1349" s="989" t="s">
        <v>657</v>
      </c>
      <c r="H1349" s="994">
        <v>-3786010</v>
      </c>
      <c r="I1349" s="994">
        <v>-76347</v>
      </c>
      <c r="J1349" s="994">
        <v>-3862357</v>
      </c>
      <c r="K1349" s="997">
        <v>-3862357</v>
      </c>
    </row>
    <row r="1350" spans="1:11" ht="22.5" x14ac:dyDescent="0.25">
      <c r="A1350" s="989" t="s">
        <v>209</v>
      </c>
      <c r="B1350" s="993">
        <v>2018</v>
      </c>
      <c r="C1350" s="989" t="s">
        <v>2998</v>
      </c>
      <c r="D1350" s="989" t="s">
        <v>348</v>
      </c>
      <c r="E1350" s="989" t="s">
        <v>1074</v>
      </c>
      <c r="F1350" s="994">
        <v>-793539</v>
      </c>
      <c r="G1350" s="989" t="s">
        <v>657</v>
      </c>
      <c r="H1350" s="994">
        <v>-755737</v>
      </c>
      <c r="I1350" s="994">
        <v>-37802</v>
      </c>
      <c r="J1350" s="994">
        <v>-793539</v>
      </c>
      <c r="K1350" s="997">
        <v>-793539</v>
      </c>
    </row>
    <row r="1351" spans="1:11" ht="45" x14ac:dyDescent="0.25">
      <c r="A1351" s="989" t="s">
        <v>209</v>
      </c>
      <c r="B1351" s="993">
        <v>2018</v>
      </c>
      <c r="C1351" s="989" t="s">
        <v>2999</v>
      </c>
      <c r="D1351" s="989" t="s">
        <v>659</v>
      </c>
      <c r="E1351" s="989" t="s">
        <v>1481</v>
      </c>
      <c r="F1351" s="994">
        <v>0</v>
      </c>
      <c r="G1351" s="989" t="s">
        <v>657</v>
      </c>
      <c r="H1351" s="996"/>
      <c r="I1351" s="996"/>
      <c r="J1351" s="994">
        <v>0</v>
      </c>
      <c r="K1351" s="997">
        <v>0</v>
      </c>
    </row>
    <row r="1352" spans="1:11" ht="45" x14ac:dyDescent="0.25">
      <c r="A1352" s="989" t="s">
        <v>209</v>
      </c>
      <c r="B1352" s="993">
        <v>2018</v>
      </c>
      <c r="C1352" s="989" t="s">
        <v>2999</v>
      </c>
      <c r="D1352" s="989" t="s">
        <v>660</v>
      </c>
      <c r="E1352" s="989" t="s">
        <v>1482</v>
      </c>
      <c r="F1352" s="994">
        <v>0</v>
      </c>
      <c r="G1352" s="989" t="s">
        <v>657</v>
      </c>
      <c r="H1352" s="996"/>
      <c r="I1352" s="996"/>
      <c r="J1352" s="994">
        <v>0</v>
      </c>
      <c r="K1352" s="997">
        <v>0</v>
      </c>
    </row>
    <row r="1353" spans="1:11" ht="45" x14ac:dyDescent="0.25">
      <c r="A1353" s="989" t="s">
        <v>209</v>
      </c>
      <c r="B1353" s="993">
        <v>2018</v>
      </c>
      <c r="C1353" s="989" t="s">
        <v>2999</v>
      </c>
      <c r="D1353" s="989" t="s">
        <v>661</v>
      </c>
      <c r="E1353" s="989" t="s">
        <v>1483</v>
      </c>
      <c r="F1353" s="994">
        <v>0</v>
      </c>
      <c r="G1353" s="989" t="s">
        <v>657</v>
      </c>
      <c r="H1353" s="996"/>
      <c r="I1353" s="996"/>
      <c r="J1353" s="994">
        <v>0</v>
      </c>
      <c r="K1353" s="997">
        <v>0</v>
      </c>
    </row>
    <row r="1354" spans="1:11" ht="45" x14ac:dyDescent="0.25">
      <c r="A1354" s="989" t="s">
        <v>209</v>
      </c>
      <c r="B1354" s="993">
        <v>2018</v>
      </c>
      <c r="C1354" s="989" t="s">
        <v>2999</v>
      </c>
      <c r="D1354" s="989" t="s">
        <v>662</v>
      </c>
      <c r="E1354" s="989" t="s">
        <v>1484</v>
      </c>
      <c r="F1354" s="994">
        <v>0</v>
      </c>
      <c r="G1354" s="989" t="s">
        <v>657</v>
      </c>
      <c r="H1354" s="996"/>
      <c r="I1354" s="996"/>
      <c r="J1354" s="994">
        <v>0</v>
      </c>
      <c r="K1354" s="997">
        <v>0</v>
      </c>
    </row>
    <row r="1355" spans="1:11" ht="45" x14ac:dyDescent="0.25">
      <c r="A1355" s="989" t="s">
        <v>209</v>
      </c>
      <c r="B1355" s="993">
        <v>2018</v>
      </c>
      <c r="C1355" s="989" t="s">
        <v>2999</v>
      </c>
      <c r="D1355" s="989" t="s">
        <v>663</v>
      </c>
      <c r="E1355" s="989" t="s">
        <v>1485</v>
      </c>
      <c r="F1355" s="994">
        <v>0</v>
      </c>
      <c r="G1355" s="989" t="s">
        <v>657</v>
      </c>
      <c r="H1355" s="996"/>
      <c r="I1355" s="996"/>
      <c r="J1355" s="994">
        <v>0</v>
      </c>
      <c r="K1355" s="997">
        <v>0</v>
      </c>
    </row>
    <row r="1356" spans="1:11" ht="45" x14ac:dyDescent="0.25">
      <c r="A1356" s="989" t="s">
        <v>209</v>
      </c>
      <c r="B1356" s="993">
        <v>2018</v>
      </c>
      <c r="C1356" s="989" t="s">
        <v>2999</v>
      </c>
      <c r="D1356" s="989" t="s">
        <v>664</v>
      </c>
      <c r="E1356" s="989" t="s">
        <v>1486</v>
      </c>
      <c r="F1356" s="994">
        <v>0</v>
      </c>
      <c r="G1356" s="989" t="s">
        <v>657</v>
      </c>
      <c r="H1356" s="996"/>
      <c r="I1356" s="996"/>
      <c r="J1356" s="994">
        <v>0</v>
      </c>
      <c r="K1356" s="997">
        <v>0</v>
      </c>
    </row>
    <row r="1357" spans="1:11" ht="45" x14ac:dyDescent="0.25">
      <c r="A1357" s="989" t="s">
        <v>209</v>
      </c>
      <c r="B1357" s="993">
        <v>2018</v>
      </c>
      <c r="C1357" s="989" t="s">
        <v>2999</v>
      </c>
      <c r="D1357" s="989" t="s">
        <v>665</v>
      </c>
      <c r="E1357" s="989" t="s">
        <v>1487</v>
      </c>
      <c r="F1357" s="994">
        <v>0</v>
      </c>
      <c r="G1357" s="989" t="s">
        <v>657</v>
      </c>
      <c r="H1357" s="996"/>
      <c r="I1357" s="996"/>
      <c r="J1357" s="994">
        <v>0</v>
      </c>
      <c r="K1357" s="997">
        <v>0</v>
      </c>
    </row>
    <row r="1358" spans="1:11" ht="45" x14ac:dyDescent="0.25">
      <c r="A1358" s="989" t="s">
        <v>209</v>
      </c>
      <c r="B1358" s="993">
        <v>2018</v>
      </c>
      <c r="C1358" s="989" t="s">
        <v>2999</v>
      </c>
      <c r="D1358" s="989" t="s">
        <v>1870</v>
      </c>
      <c r="E1358" s="989" t="s">
        <v>2334</v>
      </c>
      <c r="F1358" s="994">
        <v>0</v>
      </c>
      <c r="G1358" s="989" t="s">
        <v>657</v>
      </c>
      <c r="H1358" s="994">
        <v>-152547</v>
      </c>
      <c r="I1358" s="994">
        <v>121575</v>
      </c>
      <c r="J1358" s="994">
        <v>-30972</v>
      </c>
      <c r="K1358" s="997">
        <v>-30972</v>
      </c>
    </row>
    <row r="1359" spans="1:11" ht="45" x14ac:dyDescent="0.25">
      <c r="A1359" s="989" t="s">
        <v>209</v>
      </c>
      <c r="B1359" s="993">
        <v>2018</v>
      </c>
      <c r="C1359" s="989" t="s">
        <v>2999</v>
      </c>
      <c r="D1359" s="989" t="s">
        <v>2486</v>
      </c>
      <c r="E1359" s="989" t="s">
        <v>2539</v>
      </c>
      <c r="F1359" s="994">
        <v>0</v>
      </c>
      <c r="G1359" s="989" t="s">
        <v>657</v>
      </c>
      <c r="H1359" s="994">
        <v>2849</v>
      </c>
      <c r="I1359" s="994">
        <v>50</v>
      </c>
      <c r="J1359" s="994">
        <v>2899</v>
      </c>
      <c r="K1359" s="997">
        <v>2899</v>
      </c>
    </row>
    <row r="1360" spans="1:11" ht="45" x14ac:dyDescent="0.25">
      <c r="A1360" s="989" t="s">
        <v>209</v>
      </c>
      <c r="B1360" s="993">
        <v>2018</v>
      </c>
      <c r="C1360" s="989" t="s">
        <v>2999</v>
      </c>
      <c r="D1360" s="989" t="s">
        <v>4892</v>
      </c>
      <c r="E1360" s="989" t="s">
        <v>6039</v>
      </c>
      <c r="F1360" s="994">
        <v>0</v>
      </c>
      <c r="G1360" s="989" t="s">
        <v>657</v>
      </c>
      <c r="H1360" s="994">
        <v>-173539</v>
      </c>
      <c r="I1360" s="994">
        <v>-167438</v>
      </c>
      <c r="J1360" s="994">
        <v>-340977</v>
      </c>
      <c r="K1360" s="997">
        <v>-340977</v>
      </c>
    </row>
    <row r="1361" spans="1:11" ht="45" x14ac:dyDescent="0.25">
      <c r="A1361" s="989" t="s">
        <v>209</v>
      </c>
      <c r="B1361" s="993">
        <v>2018</v>
      </c>
      <c r="C1361" s="989" t="s">
        <v>2999</v>
      </c>
      <c r="D1361" s="989" t="s">
        <v>666</v>
      </c>
      <c r="E1361" s="989" t="s">
        <v>1587</v>
      </c>
      <c r="F1361" s="994">
        <v>-369050</v>
      </c>
      <c r="G1361" s="995"/>
      <c r="H1361" s="996"/>
      <c r="I1361" s="996"/>
      <c r="J1361" s="994">
        <v>0</v>
      </c>
      <c r="K1361" s="997">
        <v>-369050</v>
      </c>
    </row>
    <row r="1362" spans="1:11" x14ac:dyDescent="0.25">
      <c r="A1362" s="989" t="s">
        <v>170</v>
      </c>
      <c r="B1362" s="993">
        <v>2018</v>
      </c>
      <c r="C1362" s="989" t="s">
        <v>2991</v>
      </c>
      <c r="D1362" s="989" t="s">
        <v>49</v>
      </c>
      <c r="E1362" s="989" t="s">
        <v>1075</v>
      </c>
      <c r="F1362" s="994">
        <v>556361.36</v>
      </c>
      <c r="G1362" s="989" t="s">
        <v>657</v>
      </c>
      <c r="H1362" s="994">
        <v>547185.875</v>
      </c>
      <c r="I1362" s="994">
        <v>9175.4697265625</v>
      </c>
      <c r="J1362" s="994">
        <v>556361.375</v>
      </c>
      <c r="K1362" s="997">
        <v>556361.36</v>
      </c>
    </row>
    <row r="1363" spans="1:11" ht="33.75" x14ac:dyDescent="0.25">
      <c r="A1363" s="989" t="s">
        <v>170</v>
      </c>
      <c r="B1363" s="993">
        <v>2018</v>
      </c>
      <c r="C1363" s="989" t="s">
        <v>2992</v>
      </c>
      <c r="D1363" s="989" t="s">
        <v>658</v>
      </c>
      <c r="E1363" s="989" t="s">
        <v>1076</v>
      </c>
      <c r="F1363" s="994">
        <v>-14734.93</v>
      </c>
      <c r="G1363" s="989" t="s">
        <v>657</v>
      </c>
      <c r="H1363" s="994">
        <v>-14469.0400390625</v>
      </c>
      <c r="I1363" s="994">
        <v>-265.89001464843801</v>
      </c>
      <c r="J1363" s="994">
        <v>-14734.9296875</v>
      </c>
      <c r="K1363" s="997">
        <v>-14734.93</v>
      </c>
    </row>
    <row r="1364" spans="1:11" ht="22.5" x14ac:dyDescent="0.25">
      <c r="A1364" s="989" t="s">
        <v>170</v>
      </c>
      <c r="B1364" s="993">
        <v>2018</v>
      </c>
      <c r="C1364" s="989" t="s">
        <v>2993</v>
      </c>
      <c r="D1364" s="989" t="s">
        <v>464</v>
      </c>
      <c r="E1364" s="989" t="s">
        <v>1077</v>
      </c>
      <c r="F1364" s="994">
        <v>6085.28</v>
      </c>
      <c r="G1364" s="995"/>
      <c r="H1364" s="996"/>
      <c r="I1364" s="996"/>
      <c r="J1364" s="994">
        <v>0</v>
      </c>
      <c r="K1364" s="997">
        <v>6085.28</v>
      </c>
    </row>
    <row r="1365" spans="1:11" ht="33.75" x14ac:dyDescent="0.25">
      <c r="A1365" s="989" t="s">
        <v>170</v>
      </c>
      <c r="B1365" s="993">
        <v>2018</v>
      </c>
      <c r="C1365" s="989" t="s">
        <v>2994</v>
      </c>
      <c r="D1365" s="989" t="s">
        <v>46</v>
      </c>
      <c r="E1365" s="989" t="s">
        <v>1078</v>
      </c>
      <c r="F1365" s="994">
        <v>-394676.65</v>
      </c>
      <c r="G1365" s="989" t="s">
        <v>657</v>
      </c>
      <c r="H1365" s="994">
        <v>-388525.1875</v>
      </c>
      <c r="I1365" s="994">
        <v>-6151.4501953125</v>
      </c>
      <c r="J1365" s="994">
        <v>-394676.65625</v>
      </c>
      <c r="K1365" s="997">
        <v>-394676.65</v>
      </c>
    </row>
    <row r="1366" spans="1:11" ht="22.5" x14ac:dyDescent="0.25">
      <c r="A1366" s="989" t="s">
        <v>170</v>
      </c>
      <c r="B1366" s="993">
        <v>2018</v>
      </c>
      <c r="C1366" s="989" t="s">
        <v>2994</v>
      </c>
      <c r="D1366" s="989" t="s">
        <v>2482</v>
      </c>
      <c r="E1366" s="989" t="s">
        <v>1078</v>
      </c>
      <c r="F1366" s="994">
        <v>0</v>
      </c>
      <c r="G1366" s="995"/>
      <c r="H1366" s="996"/>
      <c r="I1366" s="996"/>
      <c r="J1366" s="994">
        <v>0</v>
      </c>
      <c r="K1366" s="997">
        <v>0</v>
      </c>
    </row>
    <row r="1367" spans="1:11" ht="22.5" x14ac:dyDescent="0.25">
      <c r="A1367" s="989" t="s">
        <v>170</v>
      </c>
      <c r="B1367" s="993">
        <v>2018</v>
      </c>
      <c r="C1367" s="989" t="s">
        <v>2994</v>
      </c>
      <c r="D1367" s="989" t="s">
        <v>2483</v>
      </c>
      <c r="E1367" s="989" t="s">
        <v>1078</v>
      </c>
      <c r="F1367" s="994">
        <v>0</v>
      </c>
      <c r="G1367" s="995"/>
      <c r="H1367" s="996"/>
      <c r="I1367" s="996"/>
      <c r="J1367" s="994">
        <v>0</v>
      </c>
      <c r="K1367" s="997">
        <v>0</v>
      </c>
    </row>
    <row r="1368" spans="1:11" ht="22.5" x14ac:dyDescent="0.25">
      <c r="A1368" s="989" t="s">
        <v>170</v>
      </c>
      <c r="B1368" s="993">
        <v>2018</v>
      </c>
      <c r="C1368" s="989" t="s">
        <v>2994</v>
      </c>
      <c r="D1368" s="989" t="s">
        <v>2484</v>
      </c>
      <c r="E1368" s="989" t="s">
        <v>1078</v>
      </c>
      <c r="F1368" s="994">
        <v>798.78</v>
      </c>
      <c r="G1368" s="995"/>
      <c r="H1368" s="996"/>
      <c r="I1368" s="996"/>
      <c r="J1368" s="994">
        <v>0</v>
      </c>
      <c r="K1368" s="997">
        <v>798.78</v>
      </c>
    </row>
    <row r="1369" spans="1:11" ht="22.5" x14ac:dyDescent="0.25">
      <c r="A1369" s="989" t="s">
        <v>170</v>
      </c>
      <c r="B1369" s="993">
        <v>2018</v>
      </c>
      <c r="C1369" s="989" t="s">
        <v>2994</v>
      </c>
      <c r="D1369" s="989" t="s">
        <v>2485</v>
      </c>
      <c r="E1369" s="989" t="s">
        <v>1078</v>
      </c>
      <c r="F1369" s="994">
        <v>27187.040000000001</v>
      </c>
      <c r="G1369" s="995"/>
      <c r="H1369" s="996"/>
      <c r="I1369" s="996"/>
      <c r="J1369" s="994">
        <v>0</v>
      </c>
      <c r="K1369" s="997">
        <v>27187.040000000001</v>
      </c>
    </row>
    <row r="1370" spans="1:11" ht="33.75" x14ac:dyDescent="0.25">
      <c r="A1370" s="989" t="s">
        <v>170</v>
      </c>
      <c r="B1370" s="993">
        <v>2018</v>
      </c>
      <c r="C1370" s="989" t="s">
        <v>2995</v>
      </c>
      <c r="D1370" s="989" t="s">
        <v>47</v>
      </c>
      <c r="E1370" s="989" t="s">
        <v>1079</v>
      </c>
      <c r="F1370" s="994">
        <v>135702.57</v>
      </c>
      <c r="G1370" s="989" t="s">
        <v>657</v>
      </c>
      <c r="H1370" s="994">
        <v>133108.671875</v>
      </c>
      <c r="I1370" s="994">
        <v>2593.89990234375</v>
      </c>
      <c r="J1370" s="994">
        <v>135702.5625</v>
      </c>
      <c r="K1370" s="997">
        <v>135702.57</v>
      </c>
    </row>
    <row r="1371" spans="1:11" ht="33.75" x14ac:dyDescent="0.25">
      <c r="A1371" s="989" t="s">
        <v>170</v>
      </c>
      <c r="B1371" s="993">
        <v>2018</v>
      </c>
      <c r="C1371" s="989" t="s">
        <v>2996</v>
      </c>
      <c r="D1371" s="989" t="s">
        <v>48</v>
      </c>
      <c r="E1371" s="989" t="s">
        <v>1080</v>
      </c>
      <c r="F1371" s="994">
        <v>-302203.49</v>
      </c>
      <c r="G1371" s="989" t="s">
        <v>657</v>
      </c>
      <c r="H1371" s="994">
        <v>-297272.625</v>
      </c>
      <c r="I1371" s="994">
        <v>-4930.8701171875</v>
      </c>
      <c r="J1371" s="994">
        <v>-302203.5</v>
      </c>
      <c r="K1371" s="997">
        <v>-302203.49</v>
      </c>
    </row>
    <row r="1372" spans="1:11" ht="33.75" x14ac:dyDescent="0.25">
      <c r="A1372" s="989" t="s">
        <v>170</v>
      </c>
      <c r="B1372" s="993">
        <v>2018</v>
      </c>
      <c r="C1372" s="989" t="s">
        <v>2997</v>
      </c>
      <c r="D1372" s="989" t="s">
        <v>50</v>
      </c>
      <c r="E1372" s="989" t="s">
        <v>1081</v>
      </c>
      <c r="F1372" s="994">
        <v>-645720.63</v>
      </c>
      <c r="G1372" s="989" t="s">
        <v>657</v>
      </c>
      <c r="H1372" s="994">
        <v>-633588</v>
      </c>
      <c r="I1372" s="994">
        <v>-12132.6396484375</v>
      </c>
      <c r="J1372" s="994">
        <v>-645720.625</v>
      </c>
      <c r="K1372" s="997">
        <v>-645720.63</v>
      </c>
    </row>
    <row r="1373" spans="1:11" ht="22.5" x14ac:dyDescent="0.25">
      <c r="A1373" s="989" t="s">
        <v>170</v>
      </c>
      <c r="B1373" s="993">
        <v>2018</v>
      </c>
      <c r="C1373" s="989" t="s">
        <v>2998</v>
      </c>
      <c r="D1373" s="989" t="s">
        <v>348</v>
      </c>
      <c r="E1373" s="989" t="s">
        <v>1082</v>
      </c>
      <c r="F1373" s="994">
        <v>-30243.68</v>
      </c>
      <c r="G1373" s="989" t="s">
        <v>657</v>
      </c>
      <c r="H1373" s="994">
        <v>-27736.880859375</v>
      </c>
      <c r="I1373" s="994">
        <v>-2506.80004882813</v>
      </c>
      <c r="J1373" s="994">
        <v>-30243.6796875</v>
      </c>
      <c r="K1373" s="997">
        <v>-30243.68</v>
      </c>
    </row>
    <row r="1374" spans="1:11" ht="45" x14ac:dyDescent="0.25">
      <c r="A1374" s="989" t="s">
        <v>170</v>
      </c>
      <c r="B1374" s="993">
        <v>2018</v>
      </c>
      <c r="C1374" s="989" t="s">
        <v>2999</v>
      </c>
      <c r="D1374" s="989" t="s">
        <v>659</v>
      </c>
      <c r="E1374" s="989" t="s">
        <v>1488</v>
      </c>
      <c r="F1374" s="994">
        <v>0</v>
      </c>
      <c r="G1374" s="989" t="s">
        <v>657</v>
      </c>
      <c r="H1374" s="996"/>
      <c r="I1374" s="996"/>
      <c r="J1374" s="994">
        <v>0</v>
      </c>
      <c r="K1374" s="997">
        <v>0</v>
      </c>
    </row>
    <row r="1375" spans="1:11" ht="45" x14ac:dyDescent="0.25">
      <c r="A1375" s="989" t="s">
        <v>170</v>
      </c>
      <c r="B1375" s="993">
        <v>2018</v>
      </c>
      <c r="C1375" s="989" t="s">
        <v>2999</v>
      </c>
      <c r="D1375" s="989" t="s">
        <v>660</v>
      </c>
      <c r="E1375" s="989" t="s">
        <v>1489</v>
      </c>
      <c r="F1375" s="994">
        <v>0</v>
      </c>
      <c r="G1375" s="989" t="s">
        <v>657</v>
      </c>
      <c r="H1375" s="996"/>
      <c r="I1375" s="996"/>
      <c r="J1375" s="994">
        <v>0</v>
      </c>
      <c r="K1375" s="997">
        <v>0</v>
      </c>
    </row>
    <row r="1376" spans="1:11" ht="45" x14ac:dyDescent="0.25">
      <c r="A1376" s="989" t="s">
        <v>170</v>
      </c>
      <c r="B1376" s="993">
        <v>2018</v>
      </c>
      <c r="C1376" s="989" t="s">
        <v>2999</v>
      </c>
      <c r="D1376" s="989" t="s">
        <v>661</v>
      </c>
      <c r="E1376" s="989" t="s">
        <v>1490</v>
      </c>
      <c r="F1376" s="994">
        <v>0</v>
      </c>
      <c r="G1376" s="989" t="s">
        <v>657</v>
      </c>
      <c r="H1376" s="996"/>
      <c r="I1376" s="996"/>
      <c r="J1376" s="994">
        <v>0</v>
      </c>
      <c r="K1376" s="997">
        <v>0</v>
      </c>
    </row>
    <row r="1377" spans="1:11" ht="45" x14ac:dyDescent="0.25">
      <c r="A1377" s="989" t="s">
        <v>170</v>
      </c>
      <c r="B1377" s="993">
        <v>2018</v>
      </c>
      <c r="C1377" s="989" t="s">
        <v>2999</v>
      </c>
      <c r="D1377" s="989" t="s">
        <v>662</v>
      </c>
      <c r="E1377" s="989" t="s">
        <v>1491</v>
      </c>
      <c r="F1377" s="994">
        <v>0</v>
      </c>
      <c r="G1377" s="989" t="s">
        <v>657</v>
      </c>
      <c r="H1377" s="994">
        <v>-561075.75</v>
      </c>
      <c r="I1377" s="994">
        <v>-5036.97021484375</v>
      </c>
      <c r="J1377" s="994">
        <v>-566112.75</v>
      </c>
      <c r="K1377" s="997">
        <v>-566112.73</v>
      </c>
    </row>
    <row r="1378" spans="1:11" ht="45" x14ac:dyDescent="0.25">
      <c r="A1378" s="989" t="s">
        <v>170</v>
      </c>
      <c r="B1378" s="993">
        <v>2018</v>
      </c>
      <c r="C1378" s="989" t="s">
        <v>2999</v>
      </c>
      <c r="D1378" s="989" t="s">
        <v>663</v>
      </c>
      <c r="E1378" s="989" t="s">
        <v>1492</v>
      </c>
      <c r="F1378" s="994">
        <v>0</v>
      </c>
      <c r="G1378" s="989" t="s">
        <v>657</v>
      </c>
      <c r="H1378" s="994">
        <v>155989.765625</v>
      </c>
      <c r="I1378" s="994">
        <v>-56427.26171875</v>
      </c>
      <c r="J1378" s="994">
        <v>99562.5</v>
      </c>
      <c r="K1378" s="997">
        <v>99562.5</v>
      </c>
    </row>
    <row r="1379" spans="1:11" ht="45" x14ac:dyDescent="0.25">
      <c r="A1379" s="989" t="s">
        <v>170</v>
      </c>
      <c r="B1379" s="993">
        <v>2018</v>
      </c>
      <c r="C1379" s="989" t="s">
        <v>2999</v>
      </c>
      <c r="D1379" s="989" t="s">
        <v>664</v>
      </c>
      <c r="E1379" s="989" t="s">
        <v>1493</v>
      </c>
      <c r="F1379" s="994">
        <v>0</v>
      </c>
      <c r="G1379" s="989" t="s">
        <v>657</v>
      </c>
      <c r="H1379" s="996"/>
      <c r="I1379" s="996"/>
      <c r="J1379" s="994">
        <v>0</v>
      </c>
      <c r="K1379" s="997">
        <v>0</v>
      </c>
    </row>
    <row r="1380" spans="1:11" ht="45" x14ac:dyDescent="0.25">
      <c r="A1380" s="989" t="s">
        <v>170</v>
      </c>
      <c r="B1380" s="993">
        <v>2018</v>
      </c>
      <c r="C1380" s="989" t="s">
        <v>2999</v>
      </c>
      <c r="D1380" s="989" t="s">
        <v>665</v>
      </c>
      <c r="E1380" s="989" t="s">
        <v>1494</v>
      </c>
      <c r="F1380" s="994">
        <v>0</v>
      </c>
      <c r="G1380" s="989" t="s">
        <v>657</v>
      </c>
      <c r="H1380" s="994">
        <v>192510.0625</v>
      </c>
      <c r="I1380" s="994">
        <v>-46740.16015625</v>
      </c>
      <c r="J1380" s="994">
        <v>145769.90625</v>
      </c>
      <c r="K1380" s="997">
        <v>145769.9</v>
      </c>
    </row>
    <row r="1381" spans="1:11" ht="45" x14ac:dyDescent="0.25">
      <c r="A1381" s="989" t="s">
        <v>170</v>
      </c>
      <c r="B1381" s="993">
        <v>2018</v>
      </c>
      <c r="C1381" s="989" t="s">
        <v>2999</v>
      </c>
      <c r="D1381" s="989" t="s">
        <v>1870</v>
      </c>
      <c r="E1381" s="989" t="s">
        <v>2335</v>
      </c>
      <c r="F1381" s="994">
        <v>0</v>
      </c>
      <c r="G1381" s="989" t="s">
        <v>657</v>
      </c>
      <c r="H1381" s="994">
        <v>-44619.19140625</v>
      </c>
      <c r="I1381" s="994">
        <v>91471.9296875</v>
      </c>
      <c r="J1381" s="994">
        <v>46852.73828125</v>
      </c>
      <c r="K1381" s="997">
        <v>46852.74</v>
      </c>
    </row>
    <row r="1382" spans="1:11" ht="45" x14ac:dyDescent="0.25">
      <c r="A1382" s="989" t="s">
        <v>170</v>
      </c>
      <c r="B1382" s="993">
        <v>2018</v>
      </c>
      <c r="C1382" s="989" t="s">
        <v>2999</v>
      </c>
      <c r="D1382" s="989" t="s">
        <v>2486</v>
      </c>
      <c r="E1382" s="989" t="s">
        <v>2540</v>
      </c>
      <c r="F1382" s="994">
        <v>0</v>
      </c>
      <c r="G1382" s="989" t="s">
        <v>657</v>
      </c>
      <c r="H1382" s="994">
        <v>2595.0400390625</v>
      </c>
      <c r="I1382" s="994">
        <v>540.90002441406295</v>
      </c>
      <c r="J1382" s="994">
        <v>3135.93994140625</v>
      </c>
      <c r="K1382" s="997">
        <v>3135.94</v>
      </c>
    </row>
    <row r="1383" spans="1:11" ht="45" x14ac:dyDescent="0.25">
      <c r="A1383" s="989" t="s">
        <v>170</v>
      </c>
      <c r="B1383" s="993">
        <v>2018</v>
      </c>
      <c r="C1383" s="989" t="s">
        <v>2999</v>
      </c>
      <c r="D1383" s="989" t="s">
        <v>4892</v>
      </c>
      <c r="E1383" s="989" t="s">
        <v>6040</v>
      </c>
      <c r="F1383" s="994">
        <v>0</v>
      </c>
      <c r="G1383" s="989" t="s">
        <v>657</v>
      </c>
      <c r="H1383" s="996"/>
      <c r="I1383" s="996"/>
      <c r="J1383" s="994">
        <v>0</v>
      </c>
      <c r="K1383" s="997">
        <v>0</v>
      </c>
    </row>
    <row r="1384" spans="1:11" ht="45" x14ac:dyDescent="0.25">
      <c r="A1384" s="989" t="s">
        <v>170</v>
      </c>
      <c r="B1384" s="993">
        <v>2018</v>
      </c>
      <c r="C1384" s="989" t="s">
        <v>2999</v>
      </c>
      <c r="D1384" s="989" t="s">
        <v>666</v>
      </c>
      <c r="E1384" s="989" t="s">
        <v>1588</v>
      </c>
      <c r="F1384" s="994">
        <v>-270791.65000000002</v>
      </c>
      <c r="G1384" s="995"/>
      <c r="H1384" s="996"/>
      <c r="I1384" s="996"/>
      <c r="J1384" s="994">
        <v>0</v>
      </c>
      <c r="K1384" s="997">
        <v>-270791.65000000002</v>
      </c>
    </row>
    <row r="1385" spans="1:11" x14ac:dyDescent="0.25">
      <c r="A1385" s="989" t="s">
        <v>171</v>
      </c>
      <c r="B1385" s="993">
        <v>2018</v>
      </c>
      <c r="C1385" s="989" t="s">
        <v>2991</v>
      </c>
      <c r="D1385" s="989" t="s">
        <v>49</v>
      </c>
      <c r="E1385" s="989" t="s">
        <v>1083</v>
      </c>
      <c r="F1385" s="994">
        <v>342880</v>
      </c>
      <c r="G1385" s="989" t="s">
        <v>657</v>
      </c>
      <c r="H1385" s="994">
        <v>339132</v>
      </c>
      <c r="I1385" s="994">
        <v>3748</v>
      </c>
      <c r="J1385" s="994">
        <v>342880</v>
      </c>
      <c r="K1385" s="997">
        <v>342880</v>
      </c>
    </row>
    <row r="1386" spans="1:11" ht="33.75" x14ac:dyDescent="0.25">
      <c r="A1386" s="989" t="s">
        <v>171</v>
      </c>
      <c r="B1386" s="993">
        <v>2018</v>
      </c>
      <c r="C1386" s="989" t="s">
        <v>2992</v>
      </c>
      <c r="D1386" s="989" t="s">
        <v>658</v>
      </c>
      <c r="E1386" s="989" t="s">
        <v>1084</v>
      </c>
      <c r="F1386" s="994">
        <v>-22843</v>
      </c>
      <c r="G1386" s="989" t="s">
        <v>657</v>
      </c>
      <c r="H1386" s="994">
        <v>-22408</v>
      </c>
      <c r="I1386" s="994">
        <v>-435</v>
      </c>
      <c r="J1386" s="994">
        <v>-22843</v>
      </c>
      <c r="K1386" s="997">
        <v>-22843</v>
      </c>
    </row>
    <row r="1387" spans="1:11" ht="22.5" x14ac:dyDescent="0.25">
      <c r="A1387" s="989" t="s">
        <v>171</v>
      </c>
      <c r="B1387" s="993">
        <v>2018</v>
      </c>
      <c r="C1387" s="989" t="s">
        <v>2993</v>
      </c>
      <c r="D1387" s="989" t="s">
        <v>464</v>
      </c>
      <c r="E1387" s="989" t="s">
        <v>1085</v>
      </c>
      <c r="F1387" s="994">
        <v>-24273</v>
      </c>
      <c r="G1387" s="995"/>
      <c r="H1387" s="996"/>
      <c r="I1387" s="996"/>
      <c r="J1387" s="994">
        <v>0</v>
      </c>
      <c r="K1387" s="997">
        <v>-24273</v>
      </c>
    </row>
    <row r="1388" spans="1:11" ht="33.75" x14ac:dyDescent="0.25">
      <c r="A1388" s="989" t="s">
        <v>171</v>
      </c>
      <c r="B1388" s="993">
        <v>2018</v>
      </c>
      <c r="C1388" s="989" t="s">
        <v>2994</v>
      </c>
      <c r="D1388" s="989" t="s">
        <v>46</v>
      </c>
      <c r="E1388" s="989" t="s">
        <v>1086</v>
      </c>
      <c r="F1388" s="994">
        <v>-3309406</v>
      </c>
      <c r="G1388" s="989" t="s">
        <v>657</v>
      </c>
      <c r="H1388" s="994">
        <v>-3252404</v>
      </c>
      <c r="I1388" s="994">
        <v>-57002</v>
      </c>
      <c r="J1388" s="994">
        <v>-3309406</v>
      </c>
      <c r="K1388" s="997">
        <v>-3309406</v>
      </c>
    </row>
    <row r="1389" spans="1:11" ht="22.5" x14ac:dyDescent="0.25">
      <c r="A1389" s="989" t="s">
        <v>171</v>
      </c>
      <c r="B1389" s="993">
        <v>2018</v>
      </c>
      <c r="C1389" s="989" t="s">
        <v>2994</v>
      </c>
      <c r="D1389" s="989" t="s">
        <v>2482</v>
      </c>
      <c r="E1389" s="989" t="s">
        <v>1086</v>
      </c>
      <c r="F1389" s="994">
        <v>0</v>
      </c>
      <c r="G1389" s="995"/>
      <c r="H1389" s="996"/>
      <c r="I1389" s="996"/>
      <c r="J1389" s="994">
        <v>0</v>
      </c>
      <c r="K1389" s="997">
        <v>0</v>
      </c>
    </row>
    <row r="1390" spans="1:11" ht="22.5" x14ac:dyDescent="0.25">
      <c r="A1390" s="989" t="s">
        <v>171</v>
      </c>
      <c r="B1390" s="993">
        <v>2018</v>
      </c>
      <c r="C1390" s="989" t="s">
        <v>2994</v>
      </c>
      <c r="D1390" s="989" t="s">
        <v>2483</v>
      </c>
      <c r="E1390" s="989" t="s">
        <v>1086</v>
      </c>
      <c r="F1390" s="994">
        <v>0</v>
      </c>
      <c r="G1390" s="995"/>
      <c r="H1390" s="996"/>
      <c r="I1390" s="996"/>
      <c r="J1390" s="994">
        <v>0</v>
      </c>
      <c r="K1390" s="997">
        <v>0</v>
      </c>
    </row>
    <row r="1391" spans="1:11" ht="22.5" x14ac:dyDescent="0.25">
      <c r="A1391" s="989" t="s">
        <v>171</v>
      </c>
      <c r="B1391" s="993">
        <v>2018</v>
      </c>
      <c r="C1391" s="989" t="s">
        <v>2994</v>
      </c>
      <c r="D1391" s="989" t="s">
        <v>2484</v>
      </c>
      <c r="E1391" s="989" t="s">
        <v>1086</v>
      </c>
      <c r="F1391" s="994">
        <v>11819</v>
      </c>
      <c r="G1391" s="995"/>
      <c r="H1391" s="996"/>
      <c r="I1391" s="996"/>
      <c r="J1391" s="994">
        <v>0</v>
      </c>
      <c r="K1391" s="997">
        <v>11819</v>
      </c>
    </row>
    <row r="1392" spans="1:11" ht="22.5" x14ac:dyDescent="0.25">
      <c r="A1392" s="989" t="s">
        <v>171</v>
      </c>
      <c r="B1392" s="993">
        <v>2018</v>
      </c>
      <c r="C1392" s="989" t="s">
        <v>2994</v>
      </c>
      <c r="D1392" s="989" t="s">
        <v>2485</v>
      </c>
      <c r="E1392" s="989" t="s">
        <v>1086</v>
      </c>
      <c r="F1392" s="994">
        <v>169715</v>
      </c>
      <c r="G1392" s="995"/>
      <c r="H1392" s="996"/>
      <c r="I1392" s="996"/>
      <c r="J1392" s="994">
        <v>0</v>
      </c>
      <c r="K1392" s="997">
        <v>169715</v>
      </c>
    </row>
    <row r="1393" spans="1:11" ht="33.75" x14ac:dyDescent="0.25">
      <c r="A1393" s="989" t="s">
        <v>171</v>
      </c>
      <c r="B1393" s="993">
        <v>2018</v>
      </c>
      <c r="C1393" s="989" t="s">
        <v>2995</v>
      </c>
      <c r="D1393" s="989" t="s">
        <v>47</v>
      </c>
      <c r="E1393" s="989" t="s">
        <v>1087</v>
      </c>
      <c r="F1393" s="994">
        <v>-522631</v>
      </c>
      <c r="G1393" s="989" t="s">
        <v>657</v>
      </c>
      <c r="H1393" s="994">
        <v>-512638</v>
      </c>
      <c r="I1393" s="994">
        <v>-9993</v>
      </c>
      <c r="J1393" s="994">
        <v>-522631</v>
      </c>
      <c r="K1393" s="997">
        <v>-522631</v>
      </c>
    </row>
    <row r="1394" spans="1:11" ht="33.75" x14ac:dyDescent="0.25">
      <c r="A1394" s="989" t="s">
        <v>171</v>
      </c>
      <c r="B1394" s="993">
        <v>2018</v>
      </c>
      <c r="C1394" s="989" t="s">
        <v>2996</v>
      </c>
      <c r="D1394" s="989" t="s">
        <v>48</v>
      </c>
      <c r="E1394" s="989" t="s">
        <v>1088</v>
      </c>
      <c r="F1394" s="994">
        <v>120152</v>
      </c>
      <c r="G1394" s="989" t="s">
        <v>657</v>
      </c>
      <c r="H1394" s="994">
        <v>118984</v>
      </c>
      <c r="I1394" s="994">
        <v>1168</v>
      </c>
      <c r="J1394" s="994">
        <v>120152</v>
      </c>
      <c r="K1394" s="997">
        <v>120152</v>
      </c>
    </row>
    <row r="1395" spans="1:11" ht="33.75" x14ac:dyDescent="0.25">
      <c r="A1395" s="989" t="s">
        <v>171</v>
      </c>
      <c r="B1395" s="993">
        <v>2018</v>
      </c>
      <c r="C1395" s="989" t="s">
        <v>2997</v>
      </c>
      <c r="D1395" s="989" t="s">
        <v>50</v>
      </c>
      <c r="E1395" s="989" t="s">
        <v>1089</v>
      </c>
      <c r="F1395" s="994">
        <v>-696608</v>
      </c>
      <c r="G1395" s="989" t="s">
        <v>657</v>
      </c>
      <c r="H1395" s="994">
        <v>-710031</v>
      </c>
      <c r="I1395" s="994">
        <v>13423</v>
      </c>
      <c r="J1395" s="994">
        <v>-696608</v>
      </c>
      <c r="K1395" s="997">
        <v>-696608</v>
      </c>
    </row>
    <row r="1396" spans="1:11" ht="22.5" x14ac:dyDescent="0.25">
      <c r="A1396" s="989" t="s">
        <v>171</v>
      </c>
      <c r="B1396" s="993">
        <v>2018</v>
      </c>
      <c r="C1396" s="989" t="s">
        <v>2998</v>
      </c>
      <c r="D1396" s="989" t="s">
        <v>348</v>
      </c>
      <c r="E1396" s="989" t="s">
        <v>1090</v>
      </c>
      <c r="F1396" s="994">
        <v>1342537</v>
      </c>
      <c r="G1396" s="989" t="s">
        <v>657</v>
      </c>
      <c r="H1396" s="994">
        <v>1331356</v>
      </c>
      <c r="I1396" s="994">
        <v>11181</v>
      </c>
      <c r="J1396" s="994">
        <v>1342537</v>
      </c>
      <c r="K1396" s="997">
        <v>1342537</v>
      </c>
    </row>
    <row r="1397" spans="1:11" ht="45" x14ac:dyDescent="0.25">
      <c r="A1397" s="989" t="s">
        <v>171</v>
      </c>
      <c r="B1397" s="993">
        <v>2018</v>
      </c>
      <c r="C1397" s="989" t="s">
        <v>2999</v>
      </c>
      <c r="D1397" s="989" t="s">
        <v>659</v>
      </c>
      <c r="E1397" s="989" t="s">
        <v>1495</v>
      </c>
      <c r="F1397" s="994">
        <v>0</v>
      </c>
      <c r="G1397" s="989" t="s">
        <v>657</v>
      </c>
      <c r="H1397" s="996"/>
      <c r="I1397" s="996"/>
      <c r="J1397" s="994">
        <v>0</v>
      </c>
      <c r="K1397" s="997">
        <v>0</v>
      </c>
    </row>
    <row r="1398" spans="1:11" ht="45" x14ac:dyDescent="0.25">
      <c r="A1398" s="989" t="s">
        <v>171</v>
      </c>
      <c r="B1398" s="993">
        <v>2018</v>
      </c>
      <c r="C1398" s="989" t="s">
        <v>2999</v>
      </c>
      <c r="D1398" s="989" t="s">
        <v>660</v>
      </c>
      <c r="E1398" s="989" t="s">
        <v>1496</v>
      </c>
      <c r="F1398" s="994">
        <v>0</v>
      </c>
      <c r="G1398" s="989" t="s">
        <v>657</v>
      </c>
      <c r="H1398" s="996"/>
      <c r="I1398" s="996"/>
      <c r="J1398" s="994">
        <v>0</v>
      </c>
      <c r="K1398" s="997">
        <v>0</v>
      </c>
    </row>
    <row r="1399" spans="1:11" ht="45" x14ac:dyDescent="0.25">
      <c r="A1399" s="989" t="s">
        <v>171</v>
      </c>
      <c r="B1399" s="993">
        <v>2018</v>
      </c>
      <c r="C1399" s="989" t="s">
        <v>2999</v>
      </c>
      <c r="D1399" s="989" t="s">
        <v>661</v>
      </c>
      <c r="E1399" s="989" t="s">
        <v>1497</v>
      </c>
      <c r="F1399" s="994">
        <v>0</v>
      </c>
      <c r="G1399" s="989" t="s">
        <v>657</v>
      </c>
      <c r="H1399" s="996"/>
      <c r="I1399" s="996"/>
      <c r="J1399" s="994">
        <v>0</v>
      </c>
      <c r="K1399" s="997">
        <v>0</v>
      </c>
    </row>
    <row r="1400" spans="1:11" ht="45" x14ac:dyDescent="0.25">
      <c r="A1400" s="989" t="s">
        <v>171</v>
      </c>
      <c r="B1400" s="993">
        <v>2018</v>
      </c>
      <c r="C1400" s="989" t="s">
        <v>2999</v>
      </c>
      <c r="D1400" s="989" t="s">
        <v>662</v>
      </c>
      <c r="E1400" s="989" t="s">
        <v>1498</v>
      </c>
      <c r="F1400" s="994">
        <v>0</v>
      </c>
      <c r="G1400" s="989" t="s">
        <v>657</v>
      </c>
      <c r="H1400" s="996"/>
      <c r="I1400" s="996"/>
      <c r="J1400" s="994">
        <v>0</v>
      </c>
      <c r="K1400" s="997">
        <v>0</v>
      </c>
    </row>
    <row r="1401" spans="1:11" ht="45" x14ac:dyDescent="0.25">
      <c r="A1401" s="989" t="s">
        <v>171</v>
      </c>
      <c r="B1401" s="993">
        <v>2018</v>
      </c>
      <c r="C1401" s="989" t="s">
        <v>2999</v>
      </c>
      <c r="D1401" s="989" t="s">
        <v>663</v>
      </c>
      <c r="E1401" s="989" t="s">
        <v>1499</v>
      </c>
      <c r="F1401" s="994">
        <v>0</v>
      </c>
      <c r="G1401" s="989" t="s">
        <v>657</v>
      </c>
      <c r="H1401" s="996"/>
      <c r="I1401" s="996"/>
      <c r="J1401" s="994">
        <v>0</v>
      </c>
      <c r="K1401" s="997">
        <v>0</v>
      </c>
    </row>
    <row r="1402" spans="1:11" ht="45" x14ac:dyDescent="0.25">
      <c r="A1402" s="989" t="s">
        <v>171</v>
      </c>
      <c r="B1402" s="993">
        <v>2018</v>
      </c>
      <c r="C1402" s="989" t="s">
        <v>2999</v>
      </c>
      <c r="D1402" s="989" t="s">
        <v>664</v>
      </c>
      <c r="E1402" s="989" t="s">
        <v>1500</v>
      </c>
      <c r="F1402" s="994">
        <v>0</v>
      </c>
      <c r="G1402" s="989" t="s">
        <v>657</v>
      </c>
      <c r="H1402" s="996"/>
      <c r="I1402" s="996"/>
      <c r="J1402" s="994">
        <v>0</v>
      </c>
      <c r="K1402" s="997">
        <v>0</v>
      </c>
    </row>
    <row r="1403" spans="1:11" ht="45" x14ac:dyDescent="0.25">
      <c r="A1403" s="989" t="s">
        <v>171</v>
      </c>
      <c r="B1403" s="993">
        <v>2018</v>
      </c>
      <c r="C1403" s="989" t="s">
        <v>2999</v>
      </c>
      <c r="D1403" s="989" t="s">
        <v>665</v>
      </c>
      <c r="E1403" s="989" t="s">
        <v>1501</v>
      </c>
      <c r="F1403" s="994">
        <v>0</v>
      </c>
      <c r="G1403" s="989" t="s">
        <v>657</v>
      </c>
      <c r="H1403" s="996"/>
      <c r="I1403" s="996"/>
      <c r="J1403" s="994">
        <v>0</v>
      </c>
      <c r="K1403" s="997">
        <v>0</v>
      </c>
    </row>
    <row r="1404" spans="1:11" ht="45" x14ac:dyDescent="0.25">
      <c r="A1404" s="989" t="s">
        <v>171</v>
      </c>
      <c r="B1404" s="993">
        <v>2018</v>
      </c>
      <c r="C1404" s="989" t="s">
        <v>2999</v>
      </c>
      <c r="D1404" s="989" t="s">
        <v>1870</v>
      </c>
      <c r="E1404" s="989" t="s">
        <v>2336</v>
      </c>
      <c r="F1404" s="994">
        <v>0</v>
      </c>
      <c r="G1404" s="989" t="s">
        <v>657</v>
      </c>
      <c r="H1404" s="994">
        <v>162406</v>
      </c>
      <c r="I1404" s="994">
        <v>-33646</v>
      </c>
      <c r="J1404" s="994">
        <v>128760</v>
      </c>
      <c r="K1404" s="997">
        <v>128760</v>
      </c>
    </row>
    <row r="1405" spans="1:11" ht="45" x14ac:dyDescent="0.25">
      <c r="A1405" s="989" t="s">
        <v>171</v>
      </c>
      <c r="B1405" s="993">
        <v>2018</v>
      </c>
      <c r="C1405" s="989" t="s">
        <v>2999</v>
      </c>
      <c r="D1405" s="989" t="s">
        <v>2486</v>
      </c>
      <c r="E1405" s="989" t="s">
        <v>2541</v>
      </c>
      <c r="F1405" s="994">
        <v>0</v>
      </c>
      <c r="G1405" s="989" t="s">
        <v>657</v>
      </c>
      <c r="H1405" s="994">
        <v>1526128</v>
      </c>
      <c r="I1405" s="994">
        <v>-1447290</v>
      </c>
      <c r="J1405" s="994">
        <v>78838</v>
      </c>
      <c r="K1405" s="997">
        <v>78838</v>
      </c>
    </row>
    <row r="1406" spans="1:11" ht="45" x14ac:dyDescent="0.25">
      <c r="A1406" s="989" t="s">
        <v>171</v>
      </c>
      <c r="B1406" s="993">
        <v>2018</v>
      </c>
      <c r="C1406" s="989" t="s">
        <v>2999</v>
      </c>
      <c r="D1406" s="989" t="s">
        <v>4892</v>
      </c>
      <c r="E1406" s="989" t="s">
        <v>6041</v>
      </c>
      <c r="F1406" s="994">
        <v>0</v>
      </c>
      <c r="G1406" s="989" t="s">
        <v>657</v>
      </c>
      <c r="H1406" s="994">
        <v>89828</v>
      </c>
      <c r="I1406" s="994">
        <v>-142942</v>
      </c>
      <c r="J1406" s="994">
        <v>-53114</v>
      </c>
      <c r="K1406" s="997">
        <v>-53114</v>
      </c>
    </row>
    <row r="1407" spans="1:11" ht="45" x14ac:dyDescent="0.25">
      <c r="A1407" s="989" t="s">
        <v>171</v>
      </c>
      <c r="B1407" s="993">
        <v>2018</v>
      </c>
      <c r="C1407" s="989" t="s">
        <v>2999</v>
      </c>
      <c r="D1407" s="989" t="s">
        <v>666</v>
      </c>
      <c r="E1407" s="989" t="s">
        <v>1589</v>
      </c>
      <c r="F1407" s="994">
        <v>154484</v>
      </c>
      <c r="G1407" s="995"/>
      <c r="H1407" s="996"/>
      <c r="I1407" s="996"/>
      <c r="J1407" s="994">
        <v>0</v>
      </c>
      <c r="K1407" s="997">
        <v>154484</v>
      </c>
    </row>
    <row r="1408" spans="1:11" ht="22.5" x14ac:dyDescent="0.25">
      <c r="A1408" s="989" t="s">
        <v>246</v>
      </c>
      <c r="B1408" s="993">
        <v>2018</v>
      </c>
      <c r="C1408" s="989" t="s">
        <v>2991</v>
      </c>
      <c r="D1408" s="989" t="s">
        <v>49</v>
      </c>
      <c r="E1408" s="989" t="s">
        <v>1091</v>
      </c>
      <c r="F1408" s="994">
        <v>0</v>
      </c>
      <c r="G1408" s="989" t="s">
        <v>657</v>
      </c>
      <c r="H1408" s="996"/>
      <c r="I1408" s="996"/>
      <c r="J1408" s="994">
        <v>0</v>
      </c>
      <c r="K1408" s="997">
        <v>0</v>
      </c>
    </row>
    <row r="1409" spans="1:11" ht="33.75" x14ac:dyDescent="0.25">
      <c r="A1409" s="989" t="s">
        <v>246</v>
      </c>
      <c r="B1409" s="993">
        <v>2018</v>
      </c>
      <c r="C1409" s="989" t="s">
        <v>2992</v>
      </c>
      <c r="D1409" s="989" t="s">
        <v>658</v>
      </c>
      <c r="E1409" s="989" t="s">
        <v>1092</v>
      </c>
      <c r="F1409" s="994">
        <v>-7953.23</v>
      </c>
      <c r="G1409" s="989" t="s">
        <v>657</v>
      </c>
      <c r="H1409" s="994">
        <v>-7905.93017578125</v>
      </c>
      <c r="I1409" s="994">
        <v>-47.299999237060497</v>
      </c>
      <c r="J1409" s="994">
        <v>-7953.22998046875</v>
      </c>
      <c r="K1409" s="997">
        <v>-7953.23</v>
      </c>
    </row>
    <row r="1410" spans="1:11" ht="22.5" x14ac:dyDescent="0.25">
      <c r="A1410" s="989" t="s">
        <v>246</v>
      </c>
      <c r="B1410" s="993">
        <v>2018</v>
      </c>
      <c r="C1410" s="989" t="s">
        <v>2993</v>
      </c>
      <c r="D1410" s="989" t="s">
        <v>464</v>
      </c>
      <c r="E1410" s="989" t="s">
        <v>1093</v>
      </c>
      <c r="F1410" s="994">
        <v>0</v>
      </c>
      <c r="G1410" s="995"/>
      <c r="H1410" s="996"/>
      <c r="I1410" s="996"/>
      <c r="J1410" s="994">
        <v>0</v>
      </c>
      <c r="K1410" s="997">
        <v>0</v>
      </c>
    </row>
    <row r="1411" spans="1:11" ht="33.75" x14ac:dyDescent="0.25">
      <c r="A1411" s="989" t="s">
        <v>246</v>
      </c>
      <c r="B1411" s="993">
        <v>2018</v>
      </c>
      <c r="C1411" s="989" t="s">
        <v>2994</v>
      </c>
      <c r="D1411" s="989" t="s">
        <v>46</v>
      </c>
      <c r="E1411" s="989" t="s">
        <v>1094</v>
      </c>
      <c r="F1411" s="994">
        <v>-825754.27</v>
      </c>
      <c r="G1411" s="989" t="s">
        <v>657</v>
      </c>
      <c r="H1411" s="994">
        <v>-813897.75</v>
      </c>
      <c r="I1411" s="994">
        <v>-11856.509765625</v>
      </c>
      <c r="J1411" s="994">
        <v>-825754.25</v>
      </c>
      <c r="K1411" s="997">
        <v>-825754.27</v>
      </c>
    </row>
    <row r="1412" spans="1:11" ht="22.5" x14ac:dyDescent="0.25">
      <c r="A1412" s="989" t="s">
        <v>246</v>
      </c>
      <c r="B1412" s="993">
        <v>2018</v>
      </c>
      <c r="C1412" s="989" t="s">
        <v>2994</v>
      </c>
      <c r="D1412" s="989" t="s">
        <v>2482</v>
      </c>
      <c r="E1412" s="989" t="s">
        <v>1094</v>
      </c>
      <c r="F1412" s="994">
        <v>0</v>
      </c>
      <c r="G1412" s="995"/>
      <c r="H1412" s="996"/>
      <c r="I1412" s="996"/>
      <c r="J1412" s="994">
        <v>0</v>
      </c>
      <c r="K1412" s="997">
        <v>0</v>
      </c>
    </row>
    <row r="1413" spans="1:11" ht="22.5" x14ac:dyDescent="0.25">
      <c r="A1413" s="989" t="s">
        <v>246</v>
      </c>
      <c r="B1413" s="993">
        <v>2018</v>
      </c>
      <c r="C1413" s="989" t="s">
        <v>2994</v>
      </c>
      <c r="D1413" s="989" t="s">
        <v>2483</v>
      </c>
      <c r="E1413" s="989" t="s">
        <v>1094</v>
      </c>
      <c r="F1413" s="994">
        <v>0</v>
      </c>
      <c r="G1413" s="995"/>
      <c r="H1413" s="996"/>
      <c r="I1413" s="996"/>
      <c r="J1413" s="994">
        <v>0</v>
      </c>
      <c r="K1413" s="997">
        <v>0</v>
      </c>
    </row>
    <row r="1414" spans="1:11" ht="22.5" x14ac:dyDescent="0.25">
      <c r="A1414" s="989" t="s">
        <v>246</v>
      </c>
      <c r="B1414" s="993">
        <v>2018</v>
      </c>
      <c r="C1414" s="989" t="s">
        <v>2994</v>
      </c>
      <c r="D1414" s="989" t="s">
        <v>2484</v>
      </c>
      <c r="E1414" s="989" t="s">
        <v>1094</v>
      </c>
      <c r="F1414" s="994">
        <v>8.57</v>
      </c>
      <c r="G1414" s="995"/>
      <c r="H1414" s="996"/>
      <c r="I1414" s="996"/>
      <c r="J1414" s="994">
        <v>0</v>
      </c>
      <c r="K1414" s="997">
        <v>8.57</v>
      </c>
    </row>
    <row r="1415" spans="1:11" ht="22.5" x14ac:dyDescent="0.25">
      <c r="A1415" s="989" t="s">
        <v>246</v>
      </c>
      <c r="B1415" s="993">
        <v>2018</v>
      </c>
      <c r="C1415" s="989" t="s">
        <v>2994</v>
      </c>
      <c r="D1415" s="989" t="s">
        <v>2485</v>
      </c>
      <c r="E1415" s="989" t="s">
        <v>1094</v>
      </c>
      <c r="F1415" s="994">
        <v>-24224.19</v>
      </c>
      <c r="G1415" s="995"/>
      <c r="H1415" s="996"/>
      <c r="I1415" s="996"/>
      <c r="J1415" s="994">
        <v>0</v>
      </c>
      <c r="K1415" s="997">
        <v>-24224.19</v>
      </c>
    </row>
    <row r="1416" spans="1:11" ht="33.75" x14ac:dyDescent="0.25">
      <c r="A1416" s="989" t="s">
        <v>246</v>
      </c>
      <c r="B1416" s="993">
        <v>2018</v>
      </c>
      <c r="C1416" s="989" t="s">
        <v>2995</v>
      </c>
      <c r="D1416" s="989" t="s">
        <v>47</v>
      </c>
      <c r="E1416" s="989" t="s">
        <v>1095</v>
      </c>
      <c r="F1416" s="994">
        <v>-142841.26999999999</v>
      </c>
      <c r="G1416" s="989" t="s">
        <v>657</v>
      </c>
      <c r="H1416" s="994">
        <v>-139578.984375</v>
      </c>
      <c r="I1416" s="994">
        <v>-3262.2900390625</v>
      </c>
      <c r="J1416" s="994">
        <v>-142841.265625</v>
      </c>
      <c r="K1416" s="997">
        <v>-142841.26999999999</v>
      </c>
    </row>
    <row r="1417" spans="1:11" ht="33.75" x14ac:dyDescent="0.25">
      <c r="A1417" s="989" t="s">
        <v>246</v>
      </c>
      <c r="B1417" s="993">
        <v>2018</v>
      </c>
      <c r="C1417" s="989" t="s">
        <v>2996</v>
      </c>
      <c r="D1417" s="989" t="s">
        <v>48</v>
      </c>
      <c r="E1417" s="989" t="s">
        <v>1096</v>
      </c>
      <c r="F1417" s="994">
        <v>-86242.95</v>
      </c>
      <c r="G1417" s="989" t="s">
        <v>657</v>
      </c>
      <c r="H1417" s="994">
        <v>-84683.7109375</v>
      </c>
      <c r="I1417" s="994">
        <v>-1559.23999023438</v>
      </c>
      <c r="J1417" s="994">
        <v>-86242.953125</v>
      </c>
      <c r="K1417" s="997">
        <v>-86242.95</v>
      </c>
    </row>
    <row r="1418" spans="1:11" ht="33.75" x14ac:dyDescent="0.25">
      <c r="A1418" s="989" t="s">
        <v>246</v>
      </c>
      <c r="B1418" s="993">
        <v>2018</v>
      </c>
      <c r="C1418" s="989" t="s">
        <v>2997</v>
      </c>
      <c r="D1418" s="989" t="s">
        <v>50</v>
      </c>
      <c r="E1418" s="989" t="s">
        <v>1097</v>
      </c>
      <c r="F1418" s="994">
        <v>-91227.42</v>
      </c>
      <c r="G1418" s="989" t="s">
        <v>657</v>
      </c>
      <c r="H1418" s="994">
        <v>-76545.171875</v>
      </c>
      <c r="I1418" s="994">
        <v>-14682.25</v>
      </c>
      <c r="J1418" s="994">
        <v>-91227.421875</v>
      </c>
      <c r="K1418" s="997">
        <v>-91227.42</v>
      </c>
    </row>
    <row r="1419" spans="1:11" ht="22.5" x14ac:dyDescent="0.25">
      <c r="A1419" s="989" t="s">
        <v>246</v>
      </c>
      <c r="B1419" s="993">
        <v>2018</v>
      </c>
      <c r="C1419" s="989" t="s">
        <v>2998</v>
      </c>
      <c r="D1419" s="989" t="s">
        <v>348</v>
      </c>
      <c r="E1419" s="989" t="s">
        <v>1098</v>
      </c>
      <c r="F1419" s="994">
        <v>-1212711.0900000001</v>
      </c>
      <c r="G1419" s="989" t="s">
        <v>657</v>
      </c>
      <c r="H1419" s="994">
        <v>-1198050.125</v>
      </c>
      <c r="I1419" s="994">
        <v>-14660.919921875</v>
      </c>
      <c r="J1419" s="994">
        <v>-1212711.125</v>
      </c>
      <c r="K1419" s="997">
        <v>-1212711.0900000001</v>
      </c>
    </row>
    <row r="1420" spans="1:11" ht="45" x14ac:dyDescent="0.25">
      <c r="A1420" s="989" t="s">
        <v>246</v>
      </c>
      <c r="B1420" s="993">
        <v>2018</v>
      </c>
      <c r="C1420" s="989" t="s">
        <v>2999</v>
      </c>
      <c r="D1420" s="989" t="s">
        <v>659</v>
      </c>
      <c r="E1420" s="989" t="s">
        <v>1502</v>
      </c>
      <c r="F1420" s="994">
        <v>0</v>
      </c>
      <c r="G1420" s="989" t="s">
        <v>657</v>
      </c>
      <c r="H1420" s="994">
        <v>0</v>
      </c>
      <c r="I1420" s="996"/>
      <c r="J1420" s="994">
        <v>0</v>
      </c>
      <c r="K1420" s="997">
        <v>0</v>
      </c>
    </row>
    <row r="1421" spans="1:11" ht="45" x14ac:dyDescent="0.25">
      <c r="A1421" s="989" t="s">
        <v>246</v>
      </c>
      <c r="B1421" s="993">
        <v>2018</v>
      </c>
      <c r="C1421" s="989" t="s">
        <v>2999</v>
      </c>
      <c r="D1421" s="989" t="s">
        <v>660</v>
      </c>
      <c r="E1421" s="989" t="s">
        <v>1503</v>
      </c>
      <c r="F1421" s="994">
        <v>0</v>
      </c>
      <c r="G1421" s="989" t="s">
        <v>657</v>
      </c>
      <c r="H1421" s="994">
        <v>0</v>
      </c>
      <c r="I1421" s="996"/>
      <c r="J1421" s="994">
        <v>0</v>
      </c>
      <c r="K1421" s="997">
        <v>0</v>
      </c>
    </row>
    <row r="1422" spans="1:11" ht="45" x14ac:dyDescent="0.25">
      <c r="A1422" s="989" t="s">
        <v>246</v>
      </c>
      <c r="B1422" s="993">
        <v>2018</v>
      </c>
      <c r="C1422" s="989" t="s">
        <v>2999</v>
      </c>
      <c r="D1422" s="989" t="s">
        <v>661</v>
      </c>
      <c r="E1422" s="989" t="s">
        <v>1504</v>
      </c>
      <c r="F1422" s="994">
        <v>0</v>
      </c>
      <c r="G1422" s="989" t="s">
        <v>657</v>
      </c>
      <c r="H1422" s="994">
        <v>0</v>
      </c>
      <c r="I1422" s="996"/>
      <c r="J1422" s="994">
        <v>0</v>
      </c>
      <c r="K1422" s="997">
        <v>0</v>
      </c>
    </row>
    <row r="1423" spans="1:11" ht="45" x14ac:dyDescent="0.25">
      <c r="A1423" s="989" t="s">
        <v>246</v>
      </c>
      <c r="B1423" s="993">
        <v>2018</v>
      </c>
      <c r="C1423" s="989" t="s">
        <v>2999</v>
      </c>
      <c r="D1423" s="989" t="s">
        <v>662</v>
      </c>
      <c r="E1423" s="989" t="s">
        <v>1505</v>
      </c>
      <c r="F1423" s="994">
        <v>0</v>
      </c>
      <c r="G1423" s="989" t="s">
        <v>657</v>
      </c>
      <c r="H1423" s="994">
        <v>0</v>
      </c>
      <c r="I1423" s="996"/>
      <c r="J1423" s="994">
        <v>0</v>
      </c>
      <c r="K1423" s="997">
        <v>0</v>
      </c>
    </row>
    <row r="1424" spans="1:11" ht="45" x14ac:dyDescent="0.25">
      <c r="A1424" s="989" t="s">
        <v>246</v>
      </c>
      <c r="B1424" s="993">
        <v>2018</v>
      </c>
      <c r="C1424" s="989" t="s">
        <v>2999</v>
      </c>
      <c r="D1424" s="989" t="s">
        <v>663</v>
      </c>
      <c r="E1424" s="989" t="s">
        <v>1506</v>
      </c>
      <c r="F1424" s="994">
        <v>0</v>
      </c>
      <c r="G1424" s="989" t="s">
        <v>657</v>
      </c>
      <c r="H1424" s="996"/>
      <c r="I1424" s="996"/>
      <c r="J1424" s="994">
        <v>0</v>
      </c>
      <c r="K1424" s="997">
        <v>0</v>
      </c>
    </row>
    <row r="1425" spans="1:11" ht="45" x14ac:dyDescent="0.25">
      <c r="A1425" s="989" t="s">
        <v>246</v>
      </c>
      <c r="B1425" s="993">
        <v>2018</v>
      </c>
      <c r="C1425" s="989" t="s">
        <v>2999</v>
      </c>
      <c r="D1425" s="989" t="s">
        <v>664</v>
      </c>
      <c r="E1425" s="989" t="s">
        <v>1507</v>
      </c>
      <c r="F1425" s="994">
        <v>0</v>
      </c>
      <c r="G1425" s="989" t="s">
        <v>657</v>
      </c>
      <c r="H1425" s="996"/>
      <c r="I1425" s="996"/>
      <c r="J1425" s="994">
        <v>0</v>
      </c>
      <c r="K1425" s="997">
        <v>0</v>
      </c>
    </row>
    <row r="1426" spans="1:11" ht="45" x14ac:dyDescent="0.25">
      <c r="A1426" s="989" t="s">
        <v>246</v>
      </c>
      <c r="B1426" s="993">
        <v>2018</v>
      </c>
      <c r="C1426" s="989" t="s">
        <v>2999</v>
      </c>
      <c r="D1426" s="989" t="s">
        <v>665</v>
      </c>
      <c r="E1426" s="989" t="s">
        <v>1508</v>
      </c>
      <c r="F1426" s="994">
        <v>0</v>
      </c>
      <c r="G1426" s="989" t="s">
        <v>657</v>
      </c>
      <c r="H1426" s="996"/>
      <c r="I1426" s="996"/>
      <c r="J1426" s="994">
        <v>0</v>
      </c>
      <c r="K1426" s="997">
        <v>0</v>
      </c>
    </row>
    <row r="1427" spans="1:11" ht="45" x14ac:dyDescent="0.25">
      <c r="A1427" s="989" t="s">
        <v>246</v>
      </c>
      <c r="B1427" s="993">
        <v>2018</v>
      </c>
      <c r="C1427" s="989" t="s">
        <v>2999</v>
      </c>
      <c r="D1427" s="989" t="s">
        <v>1870</v>
      </c>
      <c r="E1427" s="989" t="s">
        <v>2337</v>
      </c>
      <c r="F1427" s="994">
        <v>0</v>
      </c>
      <c r="G1427" s="989" t="s">
        <v>657</v>
      </c>
      <c r="H1427" s="994">
        <v>26886.490234375</v>
      </c>
      <c r="I1427" s="994">
        <v>2631.56005859375</v>
      </c>
      <c r="J1427" s="994">
        <v>29518.05078125</v>
      </c>
      <c r="K1427" s="997">
        <v>29518.05</v>
      </c>
    </row>
    <row r="1428" spans="1:11" ht="45" x14ac:dyDescent="0.25">
      <c r="A1428" s="989" t="s">
        <v>246</v>
      </c>
      <c r="B1428" s="993">
        <v>2018</v>
      </c>
      <c r="C1428" s="989" t="s">
        <v>2999</v>
      </c>
      <c r="D1428" s="989" t="s">
        <v>2486</v>
      </c>
      <c r="E1428" s="989" t="s">
        <v>2542</v>
      </c>
      <c r="F1428" s="994">
        <v>0</v>
      </c>
      <c r="G1428" s="989" t="s">
        <v>657</v>
      </c>
      <c r="H1428" s="994">
        <v>-34999.19921875</v>
      </c>
      <c r="I1428" s="994">
        <v>-2454.97998046875</v>
      </c>
      <c r="J1428" s="994">
        <v>-37454.1796875</v>
      </c>
      <c r="K1428" s="997">
        <v>-37454.18</v>
      </c>
    </row>
    <row r="1429" spans="1:11" ht="45" x14ac:dyDescent="0.25">
      <c r="A1429" s="989" t="s">
        <v>246</v>
      </c>
      <c r="B1429" s="993">
        <v>2018</v>
      </c>
      <c r="C1429" s="989" t="s">
        <v>2999</v>
      </c>
      <c r="D1429" s="989" t="s">
        <v>4892</v>
      </c>
      <c r="E1429" s="989" t="s">
        <v>6042</v>
      </c>
      <c r="F1429" s="994">
        <v>0</v>
      </c>
      <c r="G1429" s="989" t="s">
        <v>657</v>
      </c>
      <c r="H1429" s="994">
        <v>-85374.46875</v>
      </c>
      <c r="I1429" s="994">
        <v>-929.39001464843795</v>
      </c>
      <c r="J1429" s="994">
        <v>-86303.859375</v>
      </c>
      <c r="K1429" s="997">
        <v>-86303.86</v>
      </c>
    </row>
    <row r="1430" spans="1:11" ht="45" x14ac:dyDescent="0.25">
      <c r="A1430" s="989" t="s">
        <v>246</v>
      </c>
      <c r="B1430" s="993">
        <v>2018</v>
      </c>
      <c r="C1430" s="989" t="s">
        <v>2999</v>
      </c>
      <c r="D1430" s="989" t="s">
        <v>666</v>
      </c>
      <c r="E1430" s="989" t="s">
        <v>1590</v>
      </c>
      <c r="F1430" s="994">
        <v>-94239.99</v>
      </c>
      <c r="G1430" s="995"/>
      <c r="H1430" s="996"/>
      <c r="I1430" s="996"/>
      <c r="J1430" s="994">
        <v>0</v>
      </c>
      <c r="K1430" s="997">
        <v>-94239.99</v>
      </c>
    </row>
    <row r="1431" spans="1:11" x14ac:dyDescent="0.25">
      <c r="A1431" s="989" t="s">
        <v>210</v>
      </c>
      <c r="B1431" s="993">
        <v>2018</v>
      </c>
      <c r="C1431" s="989" t="s">
        <v>2991</v>
      </c>
      <c r="D1431" s="989" t="s">
        <v>49</v>
      </c>
      <c r="E1431" s="989" t="s">
        <v>1099</v>
      </c>
      <c r="F1431" s="994">
        <v>284914.62</v>
      </c>
      <c r="G1431" s="989" t="s">
        <v>657</v>
      </c>
      <c r="H1431" s="994">
        <v>279855.34375</v>
      </c>
      <c r="I1431" s="994">
        <v>5059.27978515625</v>
      </c>
      <c r="J1431" s="994">
        <v>284914.625</v>
      </c>
      <c r="K1431" s="997">
        <v>284914.62</v>
      </c>
    </row>
    <row r="1432" spans="1:11" ht="33.75" x14ac:dyDescent="0.25">
      <c r="A1432" s="989" t="s">
        <v>210</v>
      </c>
      <c r="B1432" s="993">
        <v>2018</v>
      </c>
      <c r="C1432" s="989" t="s">
        <v>2992</v>
      </c>
      <c r="D1432" s="989" t="s">
        <v>658</v>
      </c>
      <c r="E1432" s="989" t="s">
        <v>1100</v>
      </c>
      <c r="F1432" s="994">
        <v>-991.28</v>
      </c>
      <c r="G1432" s="989" t="s">
        <v>657</v>
      </c>
      <c r="H1432" s="994">
        <v>-977.510009765625</v>
      </c>
      <c r="I1432" s="994">
        <v>-13.7700004577637</v>
      </c>
      <c r="J1432" s="994">
        <v>-991.280029296875</v>
      </c>
      <c r="K1432" s="997">
        <v>-991.28</v>
      </c>
    </row>
    <row r="1433" spans="1:11" ht="22.5" x14ac:dyDescent="0.25">
      <c r="A1433" s="989" t="s">
        <v>210</v>
      </c>
      <c r="B1433" s="993">
        <v>2018</v>
      </c>
      <c r="C1433" s="989" t="s">
        <v>2993</v>
      </c>
      <c r="D1433" s="989" t="s">
        <v>464</v>
      </c>
      <c r="E1433" s="989" t="s">
        <v>1101</v>
      </c>
      <c r="F1433" s="994">
        <v>2970.06</v>
      </c>
      <c r="G1433" s="995"/>
      <c r="H1433" s="996"/>
      <c r="I1433" s="996"/>
      <c r="J1433" s="994">
        <v>0</v>
      </c>
      <c r="K1433" s="997">
        <v>2970.06</v>
      </c>
    </row>
    <row r="1434" spans="1:11" ht="33.75" x14ac:dyDescent="0.25">
      <c r="A1434" s="989" t="s">
        <v>210</v>
      </c>
      <c r="B1434" s="993">
        <v>2018</v>
      </c>
      <c r="C1434" s="989" t="s">
        <v>2994</v>
      </c>
      <c r="D1434" s="989" t="s">
        <v>46</v>
      </c>
      <c r="E1434" s="989" t="s">
        <v>1102</v>
      </c>
      <c r="F1434" s="994">
        <v>-438298.66</v>
      </c>
      <c r="G1434" s="989" t="s">
        <v>657</v>
      </c>
      <c r="H1434" s="994">
        <v>-430085.4375</v>
      </c>
      <c r="I1434" s="994">
        <v>-8213.2197265625</v>
      </c>
      <c r="J1434" s="994">
        <v>-438298.65625</v>
      </c>
      <c r="K1434" s="997">
        <v>-438298.66</v>
      </c>
    </row>
    <row r="1435" spans="1:11" ht="22.5" x14ac:dyDescent="0.25">
      <c r="A1435" s="989" t="s">
        <v>210</v>
      </c>
      <c r="B1435" s="993">
        <v>2018</v>
      </c>
      <c r="C1435" s="989" t="s">
        <v>2994</v>
      </c>
      <c r="D1435" s="989" t="s">
        <v>2482</v>
      </c>
      <c r="E1435" s="989" t="s">
        <v>1102</v>
      </c>
      <c r="F1435" s="994">
        <v>0</v>
      </c>
      <c r="G1435" s="995"/>
      <c r="H1435" s="996"/>
      <c r="I1435" s="996"/>
      <c r="J1435" s="994">
        <v>0</v>
      </c>
      <c r="K1435" s="997">
        <v>0</v>
      </c>
    </row>
    <row r="1436" spans="1:11" ht="22.5" x14ac:dyDescent="0.25">
      <c r="A1436" s="989" t="s">
        <v>210</v>
      </c>
      <c r="B1436" s="993">
        <v>2018</v>
      </c>
      <c r="C1436" s="989" t="s">
        <v>2994</v>
      </c>
      <c r="D1436" s="989" t="s">
        <v>2483</v>
      </c>
      <c r="E1436" s="989" t="s">
        <v>1102</v>
      </c>
      <c r="F1436" s="994">
        <v>0</v>
      </c>
      <c r="G1436" s="995"/>
      <c r="H1436" s="996"/>
      <c r="I1436" s="996"/>
      <c r="J1436" s="994">
        <v>0</v>
      </c>
      <c r="K1436" s="997">
        <v>0</v>
      </c>
    </row>
    <row r="1437" spans="1:11" ht="22.5" x14ac:dyDescent="0.25">
      <c r="A1437" s="989" t="s">
        <v>210</v>
      </c>
      <c r="B1437" s="993">
        <v>2018</v>
      </c>
      <c r="C1437" s="989" t="s">
        <v>2994</v>
      </c>
      <c r="D1437" s="989" t="s">
        <v>2484</v>
      </c>
      <c r="E1437" s="989" t="s">
        <v>1102</v>
      </c>
      <c r="F1437" s="994">
        <v>635.44000000000005</v>
      </c>
      <c r="G1437" s="995"/>
      <c r="H1437" s="996"/>
      <c r="I1437" s="996"/>
      <c r="J1437" s="994">
        <v>0</v>
      </c>
      <c r="K1437" s="997">
        <v>635.44000000000005</v>
      </c>
    </row>
    <row r="1438" spans="1:11" ht="22.5" x14ac:dyDescent="0.25">
      <c r="A1438" s="989" t="s">
        <v>210</v>
      </c>
      <c r="B1438" s="993">
        <v>2018</v>
      </c>
      <c r="C1438" s="989" t="s">
        <v>2994</v>
      </c>
      <c r="D1438" s="989" t="s">
        <v>2485</v>
      </c>
      <c r="E1438" s="989" t="s">
        <v>1102</v>
      </c>
      <c r="F1438" s="994">
        <v>21585.11</v>
      </c>
      <c r="G1438" s="995"/>
      <c r="H1438" s="996"/>
      <c r="I1438" s="996"/>
      <c r="J1438" s="994">
        <v>0</v>
      </c>
      <c r="K1438" s="997">
        <v>21585.11</v>
      </c>
    </row>
    <row r="1439" spans="1:11" ht="33.75" x14ac:dyDescent="0.25">
      <c r="A1439" s="989" t="s">
        <v>210</v>
      </c>
      <c r="B1439" s="993">
        <v>2018</v>
      </c>
      <c r="C1439" s="989" t="s">
        <v>2995</v>
      </c>
      <c r="D1439" s="989" t="s">
        <v>47</v>
      </c>
      <c r="E1439" s="989" t="s">
        <v>1103</v>
      </c>
      <c r="F1439" s="994">
        <v>66411.11</v>
      </c>
      <c r="G1439" s="989" t="s">
        <v>657</v>
      </c>
      <c r="H1439" s="994">
        <v>65762.1796875</v>
      </c>
      <c r="I1439" s="994">
        <v>648.92999267578102</v>
      </c>
      <c r="J1439" s="994">
        <v>66411.109375</v>
      </c>
      <c r="K1439" s="997">
        <v>66411.11</v>
      </c>
    </row>
    <row r="1440" spans="1:11" ht="33.75" x14ac:dyDescent="0.25">
      <c r="A1440" s="989" t="s">
        <v>210</v>
      </c>
      <c r="B1440" s="993">
        <v>2018</v>
      </c>
      <c r="C1440" s="989" t="s">
        <v>2996</v>
      </c>
      <c r="D1440" s="989" t="s">
        <v>48</v>
      </c>
      <c r="E1440" s="989" t="s">
        <v>1104</v>
      </c>
      <c r="F1440" s="994">
        <v>113225.67</v>
      </c>
      <c r="G1440" s="989" t="s">
        <v>657</v>
      </c>
      <c r="H1440" s="994">
        <v>111662.328125</v>
      </c>
      <c r="I1440" s="994">
        <v>1563.33996582031</v>
      </c>
      <c r="J1440" s="994">
        <v>113225.671875</v>
      </c>
      <c r="K1440" s="997">
        <v>113225.67</v>
      </c>
    </row>
    <row r="1441" spans="1:11" ht="33.75" x14ac:dyDescent="0.25">
      <c r="A1441" s="989" t="s">
        <v>210</v>
      </c>
      <c r="B1441" s="993">
        <v>2018</v>
      </c>
      <c r="C1441" s="989" t="s">
        <v>2997</v>
      </c>
      <c r="D1441" s="989" t="s">
        <v>50</v>
      </c>
      <c r="E1441" s="989" t="s">
        <v>1105</v>
      </c>
      <c r="F1441" s="994">
        <v>259327.61</v>
      </c>
      <c r="G1441" s="989" t="s">
        <v>657</v>
      </c>
      <c r="H1441" s="994">
        <v>258829.84375</v>
      </c>
      <c r="I1441" s="994">
        <v>497.76998901367199</v>
      </c>
      <c r="J1441" s="994">
        <v>259327.609375</v>
      </c>
      <c r="K1441" s="997">
        <v>259327.61</v>
      </c>
    </row>
    <row r="1442" spans="1:11" ht="22.5" x14ac:dyDescent="0.25">
      <c r="A1442" s="989" t="s">
        <v>210</v>
      </c>
      <c r="B1442" s="993">
        <v>2018</v>
      </c>
      <c r="C1442" s="989" t="s">
        <v>2998</v>
      </c>
      <c r="D1442" s="989" t="s">
        <v>348</v>
      </c>
      <c r="E1442" s="989" t="s">
        <v>1106</v>
      </c>
      <c r="F1442" s="994">
        <v>-289342.64</v>
      </c>
      <c r="G1442" s="989" t="s">
        <v>657</v>
      </c>
      <c r="H1442" s="994">
        <v>-288689.3125</v>
      </c>
      <c r="I1442" s="994">
        <v>-653.34002685546898</v>
      </c>
      <c r="J1442" s="994">
        <v>-289342.625</v>
      </c>
      <c r="K1442" s="997">
        <v>-289342.64</v>
      </c>
    </row>
    <row r="1443" spans="1:11" ht="45" x14ac:dyDescent="0.25">
      <c r="A1443" s="989" t="s">
        <v>210</v>
      </c>
      <c r="B1443" s="993">
        <v>2018</v>
      </c>
      <c r="C1443" s="989" t="s">
        <v>2999</v>
      </c>
      <c r="D1443" s="989" t="s">
        <v>659</v>
      </c>
      <c r="E1443" s="989" t="s">
        <v>1509</v>
      </c>
      <c r="F1443" s="994">
        <v>0</v>
      </c>
      <c r="G1443" s="989" t="s">
        <v>657</v>
      </c>
      <c r="H1443" s="996"/>
      <c r="I1443" s="996"/>
      <c r="J1443" s="994">
        <v>0</v>
      </c>
      <c r="K1443" s="997">
        <v>0</v>
      </c>
    </row>
    <row r="1444" spans="1:11" ht="45" x14ac:dyDescent="0.25">
      <c r="A1444" s="989" t="s">
        <v>210</v>
      </c>
      <c r="B1444" s="993">
        <v>2018</v>
      </c>
      <c r="C1444" s="989" t="s">
        <v>2999</v>
      </c>
      <c r="D1444" s="989" t="s">
        <v>660</v>
      </c>
      <c r="E1444" s="989" t="s">
        <v>1510</v>
      </c>
      <c r="F1444" s="994">
        <v>0</v>
      </c>
      <c r="G1444" s="989" t="s">
        <v>657</v>
      </c>
      <c r="H1444" s="996"/>
      <c r="I1444" s="996"/>
      <c r="J1444" s="994">
        <v>0</v>
      </c>
      <c r="K1444" s="997">
        <v>0</v>
      </c>
    </row>
    <row r="1445" spans="1:11" ht="45" x14ac:dyDescent="0.25">
      <c r="A1445" s="989" t="s">
        <v>210</v>
      </c>
      <c r="B1445" s="993">
        <v>2018</v>
      </c>
      <c r="C1445" s="989" t="s">
        <v>2999</v>
      </c>
      <c r="D1445" s="989" t="s">
        <v>661</v>
      </c>
      <c r="E1445" s="989" t="s">
        <v>1511</v>
      </c>
      <c r="F1445" s="994">
        <v>0</v>
      </c>
      <c r="G1445" s="989" t="s">
        <v>657</v>
      </c>
      <c r="H1445" s="996"/>
      <c r="I1445" s="996"/>
      <c r="J1445" s="994">
        <v>0</v>
      </c>
      <c r="K1445" s="997">
        <v>0</v>
      </c>
    </row>
    <row r="1446" spans="1:11" ht="45" x14ac:dyDescent="0.25">
      <c r="A1446" s="989" t="s">
        <v>210</v>
      </c>
      <c r="B1446" s="993">
        <v>2018</v>
      </c>
      <c r="C1446" s="989" t="s">
        <v>2999</v>
      </c>
      <c r="D1446" s="989" t="s">
        <v>662</v>
      </c>
      <c r="E1446" s="989" t="s">
        <v>1512</v>
      </c>
      <c r="F1446" s="994">
        <v>0</v>
      </c>
      <c r="G1446" s="989" t="s">
        <v>657</v>
      </c>
      <c r="H1446" s="996"/>
      <c r="I1446" s="996"/>
      <c r="J1446" s="994">
        <v>0</v>
      </c>
      <c r="K1446" s="997">
        <v>0</v>
      </c>
    </row>
    <row r="1447" spans="1:11" ht="45" x14ac:dyDescent="0.25">
      <c r="A1447" s="989" t="s">
        <v>210</v>
      </c>
      <c r="B1447" s="993">
        <v>2018</v>
      </c>
      <c r="C1447" s="989" t="s">
        <v>2999</v>
      </c>
      <c r="D1447" s="989" t="s">
        <v>663</v>
      </c>
      <c r="E1447" s="989" t="s">
        <v>1513</v>
      </c>
      <c r="F1447" s="994">
        <v>0</v>
      </c>
      <c r="G1447" s="989" t="s">
        <v>657</v>
      </c>
      <c r="H1447" s="996"/>
      <c r="I1447" s="996"/>
      <c r="J1447" s="994">
        <v>0</v>
      </c>
      <c r="K1447" s="997">
        <v>0</v>
      </c>
    </row>
    <row r="1448" spans="1:11" ht="45" x14ac:dyDescent="0.25">
      <c r="A1448" s="989" t="s">
        <v>210</v>
      </c>
      <c r="B1448" s="993">
        <v>2018</v>
      </c>
      <c r="C1448" s="989" t="s">
        <v>2999</v>
      </c>
      <c r="D1448" s="989" t="s">
        <v>664</v>
      </c>
      <c r="E1448" s="989" t="s">
        <v>1514</v>
      </c>
      <c r="F1448" s="994">
        <v>0</v>
      </c>
      <c r="G1448" s="989" t="s">
        <v>657</v>
      </c>
      <c r="H1448" s="996"/>
      <c r="I1448" s="996"/>
      <c r="J1448" s="994">
        <v>0</v>
      </c>
      <c r="K1448" s="997">
        <v>0</v>
      </c>
    </row>
    <row r="1449" spans="1:11" ht="45" x14ac:dyDescent="0.25">
      <c r="A1449" s="989" t="s">
        <v>210</v>
      </c>
      <c r="B1449" s="993">
        <v>2018</v>
      </c>
      <c r="C1449" s="989" t="s">
        <v>2999</v>
      </c>
      <c r="D1449" s="989" t="s">
        <v>665</v>
      </c>
      <c r="E1449" s="989" t="s">
        <v>1515</v>
      </c>
      <c r="F1449" s="994">
        <v>0</v>
      </c>
      <c r="G1449" s="989" t="s">
        <v>657</v>
      </c>
      <c r="H1449" s="994">
        <v>30631.8203125</v>
      </c>
      <c r="I1449" s="994">
        <v>-638.59997558593795</v>
      </c>
      <c r="J1449" s="994">
        <v>29993.220703125</v>
      </c>
      <c r="K1449" s="997">
        <v>29993.22</v>
      </c>
    </row>
    <row r="1450" spans="1:11" ht="45" x14ac:dyDescent="0.25">
      <c r="A1450" s="989" t="s">
        <v>210</v>
      </c>
      <c r="B1450" s="993">
        <v>2018</v>
      </c>
      <c r="C1450" s="989" t="s">
        <v>2999</v>
      </c>
      <c r="D1450" s="989" t="s">
        <v>1870</v>
      </c>
      <c r="E1450" s="989" t="s">
        <v>2338</v>
      </c>
      <c r="F1450" s="994">
        <v>0</v>
      </c>
      <c r="G1450" s="989" t="s">
        <v>657</v>
      </c>
      <c r="H1450" s="996"/>
      <c r="I1450" s="996"/>
      <c r="J1450" s="994">
        <v>0</v>
      </c>
      <c r="K1450" s="997">
        <v>0</v>
      </c>
    </row>
    <row r="1451" spans="1:11" ht="45" x14ac:dyDescent="0.25">
      <c r="A1451" s="989" t="s">
        <v>210</v>
      </c>
      <c r="B1451" s="993">
        <v>2018</v>
      </c>
      <c r="C1451" s="989" t="s">
        <v>2999</v>
      </c>
      <c r="D1451" s="989" t="s">
        <v>2486</v>
      </c>
      <c r="E1451" s="989" t="s">
        <v>2543</v>
      </c>
      <c r="F1451" s="994">
        <v>0</v>
      </c>
      <c r="G1451" s="989" t="s">
        <v>657</v>
      </c>
      <c r="H1451" s="994">
        <v>18315.720703125</v>
      </c>
      <c r="I1451" s="994">
        <v>1476.7099609375</v>
      </c>
      <c r="J1451" s="994">
        <v>19792.4296875</v>
      </c>
      <c r="K1451" s="997">
        <v>19792.43</v>
      </c>
    </row>
    <row r="1452" spans="1:11" ht="45" x14ac:dyDescent="0.25">
      <c r="A1452" s="989" t="s">
        <v>210</v>
      </c>
      <c r="B1452" s="993">
        <v>2018</v>
      </c>
      <c r="C1452" s="989" t="s">
        <v>2999</v>
      </c>
      <c r="D1452" s="989" t="s">
        <v>4892</v>
      </c>
      <c r="E1452" s="989" t="s">
        <v>6043</v>
      </c>
      <c r="F1452" s="994">
        <v>0</v>
      </c>
      <c r="G1452" s="989" t="s">
        <v>657</v>
      </c>
      <c r="H1452" s="996"/>
      <c r="I1452" s="996"/>
      <c r="J1452" s="994">
        <v>0</v>
      </c>
      <c r="K1452" s="997">
        <v>0</v>
      </c>
    </row>
    <row r="1453" spans="1:11" ht="45" x14ac:dyDescent="0.25">
      <c r="A1453" s="989" t="s">
        <v>210</v>
      </c>
      <c r="B1453" s="993">
        <v>2018</v>
      </c>
      <c r="C1453" s="989" t="s">
        <v>2999</v>
      </c>
      <c r="D1453" s="989" t="s">
        <v>666</v>
      </c>
      <c r="E1453" s="989" t="s">
        <v>1591</v>
      </c>
      <c r="F1453" s="994">
        <v>49785.65</v>
      </c>
      <c r="G1453" s="995"/>
      <c r="H1453" s="996"/>
      <c r="I1453" s="996"/>
      <c r="J1453" s="994">
        <v>0</v>
      </c>
      <c r="K1453" s="997">
        <v>49785.65</v>
      </c>
    </row>
    <row r="1454" spans="1:11" x14ac:dyDescent="0.25">
      <c r="A1454" s="989" t="s">
        <v>196</v>
      </c>
      <c r="B1454" s="993">
        <v>2018</v>
      </c>
      <c r="C1454" s="989" t="s">
        <v>2991</v>
      </c>
      <c r="D1454" s="989" t="s">
        <v>49</v>
      </c>
      <c r="E1454" s="989" t="s">
        <v>1107</v>
      </c>
      <c r="F1454" s="994">
        <v>0</v>
      </c>
      <c r="G1454" s="989" t="s">
        <v>657</v>
      </c>
      <c r="H1454" s="996"/>
      <c r="I1454" s="996"/>
      <c r="J1454" s="994">
        <v>0</v>
      </c>
      <c r="K1454" s="997">
        <v>0</v>
      </c>
    </row>
    <row r="1455" spans="1:11" ht="33.75" x14ac:dyDescent="0.25">
      <c r="A1455" s="989" t="s">
        <v>196</v>
      </c>
      <c r="B1455" s="993">
        <v>2018</v>
      </c>
      <c r="C1455" s="989" t="s">
        <v>2992</v>
      </c>
      <c r="D1455" s="989" t="s">
        <v>658</v>
      </c>
      <c r="E1455" s="989" t="s">
        <v>1108</v>
      </c>
      <c r="F1455" s="994">
        <v>-3536</v>
      </c>
      <c r="G1455" s="989" t="s">
        <v>657</v>
      </c>
      <c r="H1455" s="994">
        <v>-3494</v>
      </c>
      <c r="I1455" s="994">
        <v>-42</v>
      </c>
      <c r="J1455" s="994">
        <v>-3536</v>
      </c>
      <c r="K1455" s="997">
        <v>-3536</v>
      </c>
    </row>
    <row r="1456" spans="1:11" ht="22.5" x14ac:dyDescent="0.25">
      <c r="A1456" s="989" t="s">
        <v>196</v>
      </c>
      <c r="B1456" s="993">
        <v>2018</v>
      </c>
      <c r="C1456" s="989" t="s">
        <v>2993</v>
      </c>
      <c r="D1456" s="989" t="s">
        <v>464</v>
      </c>
      <c r="E1456" s="989" t="s">
        <v>1109</v>
      </c>
      <c r="F1456" s="994">
        <v>0</v>
      </c>
      <c r="G1456" s="995"/>
      <c r="H1456" s="996"/>
      <c r="I1456" s="996"/>
      <c r="J1456" s="994">
        <v>0</v>
      </c>
      <c r="K1456" s="997">
        <v>0</v>
      </c>
    </row>
    <row r="1457" spans="1:11" ht="33.75" x14ac:dyDescent="0.25">
      <c r="A1457" s="989" t="s">
        <v>196</v>
      </c>
      <c r="B1457" s="993">
        <v>2018</v>
      </c>
      <c r="C1457" s="989" t="s">
        <v>2994</v>
      </c>
      <c r="D1457" s="989" t="s">
        <v>46</v>
      </c>
      <c r="E1457" s="989" t="s">
        <v>1110</v>
      </c>
      <c r="F1457" s="994">
        <v>-296159</v>
      </c>
      <c r="G1457" s="989" t="s">
        <v>657</v>
      </c>
      <c r="H1457" s="994">
        <v>-290618</v>
      </c>
      <c r="I1457" s="994">
        <v>-5541</v>
      </c>
      <c r="J1457" s="994">
        <v>-296159</v>
      </c>
      <c r="K1457" s="997">
        <v>-296159</v>
      </c>
    </row>
    <row r="1458" spans="1:11" ht="22.5" x14ac:dyDescent="0.25">
      <c r="A1458" s="989" t="s">
        <v>196</v>
      </c>
      <c r="B1458" s="993">
        <v>2018</v>
      </c>
      <c r="C1458" s="989" t="s">
        <v>2994</v>
      </c>
      <c r="D1458" s="989" t="s">
        <v>2482</v>
      </c>
      <c r="E1458" s="989" t="s">
        <v>1110</v>
      </c>
      <c r="F1458" s="994">
        <v>0</v>
      </c>
      <c r="G1458" s="995"/>
      <c r="H1458" s="996"/>
      <c r="I1458" s="996"/>
      <c r="J1458" s="994">
        <v>0</v>
      </c>
      <c r="K1458" s="997">
        <v>0</v>
      </c>
    </row>
    <row r="1459" spans="1:11" ht="22.5" x14ac:dyDescent="0.25">
      <c r="A1459" s="989" t="s">
        <v>196</v>
      </c>
      <c r="B1459" s="993">
        <v>2018</v>
      </c>
      <c r="C1459" s="989" t="s">
        <v>2994</v>
      </c>
      <c r="D1459" s="989" t="s">
        <v>2483</v>
      </c>
      <c r="E1459" s="989" t="s">
        <v>1110</v>
      </c>
      <c r="F1459" s="994">
        <v>0</v>
      </c>
      <c r="G1459" s="995"/>
      <c r="H1459" s="996"/>
      <c r="I1459" s="996"/>
      <c r="J1459" s="994">
        <v>0</v>
      </c>
      <c r="K1459" s="997">
        <v>0</v>
      </c>
    </row>
    <row r="1460" spans="1:11" ht="22.5" x14ac:dyDescent="0.25">
      <c r="A1460" s="989" t="s">
        <v>196</v>
      </c>
      <c r="B1460" s="993">
        <v>2018</v>
      </c>
      <c r="C1460" s="989" t="s">
        <v>2994</v>
      </c>
      <c r="D1460" s="989" t="s">
        <v>2484</v>
      </c>
      <c r="E1460" s="989" t="s">
        <v>1110</v>
      </c>
      <c r="F1460" s="994">
        <v>703</v>
      </c>
      <c r="G1460" s="995"/>
      <c r="H1460" s="996"/>
      <c r="I1460" s="996"/>
      <c r="J1460" s="994">
        <v>0</v>
      </c>
      <c r="K1460" s="997">
        <v>703</v>
      </c>
    </row>
    <row r="1461" spans="1:11" ht="22.5" x14ac:dyDescent="0.25">
      <c r="A1461" s="989" t="s">
        <v>196</v>
      </c>
      <c r="B1461" s="993">
        <v>2018</v>
      </c>
      <c r="C1461" s="989" t="s">
        <v>2994</v>
      </c>
      <c r="D1461" s="989" t="s">
        <v>2485</v>
      </c>
      <c r="E1461" s="989" t="s">
        <v>1110</v>
      </c>
      <c r="F1461" s="994">
        <v>27571</v>
      </c>
      <c r="G1461" s="995"/>
      <c r="H1461" s="996"/>
      <c r="I1461" s="996"/>
      <c r="J1461" s="994">
        <v>0</v>
      </c>
      <c r="K1461" s="997">
        <v>27571</v>
      </c>
    </row>
    <row r="1462" spans="1:11" ht="33.75" x14ac:dyDescent="0.25">
      <c r="A1462" s="989" t="s">
        <v>196</v>
      </c>
      <c r="B1462" s="993">
        <v>2018</v>
      </c>
      <c r="C1462" s="989" t="s">
        <v>2995</v>
      </c>
      <c r="D1462" s="989" t="s">
        <v>47</v>
      </c>
      <c r="E1462" s="989" t="s">
        <v>1111</v>
      </c>
      <c r="F1462" s="994">
        <v>-89058</v>
      </c>
      <c r="G1462" s="989" t="s">
        <v>657</v>
      </c>
      <c r="H1462" s="994">
        <v>-88179</v>
      </c>
      <c r="I1462" s="994">
        <v>-879</v>
      </c>
      <c r="J1462" s="994">
        <v>-89058</v>
      </c>
      <c r="K1462" s="997">
        <v>-89058</v>
      </c>
    </row>
    <row r="1463" spans="1:11" ht="33.75" x14ac:dyDescent="0.25">
      <c r="A1463" s="989" t="s">
        <v>196</v>
      </c>
      <c r="B1463" s="993">
        <v>2018</v>
      </c>
      <c r="C1463" s="989" t="s">
        <v>2996</v>
      </c>
      <c r="D1463" s="989" t="s">
        <v>48</v>
      </c>
      <c r="E1463" s="989" t="s">
        <v>1112</v>
      </c>
      <c r="F1463" s="994">
        <v>-24548</v>
      </c>
      <c r="G1463" s="989" t="s">
        <v>657</v>
      </c>
      <c r="H1463" s="994">
        <v>-24520</v>
      </c>
      <c r="I1463" s="994">
        <v>-28</v>
      </c>
      <c r="J1463" s="994">
        <v>-24548</v>
      </c>
      <c r="K1463" s="997">
        <v>-24548</v>
      </c>
    </row>
    <row r="1464" spans="1:11" ht="33.75" x14ac:dyDescent="0.25">
      <c r="A1464" s="989" t="s">
        <v>196</v>
      </c>
      <c r="B1464" s="993">
        <v>2018</v>
      </c>
      <c r="C1464" s="989" t="s">
        <v>2997</v>
      </c>
      <c r="D1464" s="989" t="s">
        <v>50</v>
      </c>
      <c r="E1464" s="989" t="s">
        <v>1113</v>
      </c>
      <c r="F1464" s="994">
        <v>503972</v>
      </c>
      <c r="G1464" s="989" t="s">
        <v>657</v>
      </c>
      <c r="H1464" s="994">
        <v>508302</v>
      </c>
      <c r="I1464" s="994">
        <v>-4330</v>
      </c>
      <c r="J1464" s="994">
        <v>503972</v>
      </c>
      <c r="K1464" s="997">
        <v>503972</v>
      </c>
    </row>
    <row r="1465" spans="1:11" ht="22.5" x14ac:dyDescent="0.25">
      <c r="A1465" s="989" t="s">
        <v>196</v>
      </c>
      <c r="B1465" s="993">
        <v>2018</v>
      </c>
      <c r="C1465" s="989" t="s">
        <v>2998</v>
      </c>
      <c r="D1465" s="989" t="s">
        <v>348</v>
      </c>
      <c r="E1465" s="989" t="s">
        <v>1114</v>
      </c>
      <c r="F1465" s="994">
        <v>195173</v>
      </c>
      <c r="G1465" s="989" t="s">
        <v>657</v>
      </c>
      <c r="H1465" s="994">
        <v>185490</v>
      </c>
      <c r="I1465" s="994">
        <v>9683</v>
      </c>
      <c r="J1465" s="994">
        <v>195173</v>
      </c>
      <c r="K1465" s="997">
        <v>195173</v>
      </c>
    </row>
    <row r="1466" spans="1:11" ht="45" x14ac:dyDescent="0.25">
      <c r="A1466" s="989" t="s">
        <v>196</v>
      </c>
      <c r="B1466" s="993">
        <v>2018</v>
      </c>
      <c r="C1466" s="989" t="s">
        <v>2999</v>
      </c>
      <c r="D1466" s="989" t="s">
        <v>659</v>
      </c>
      <c r="E1466" s="989" t="s">
        <v>1516</v>
      </c>
      <c r="F1466" s="994">
        <v>0</v>
      </c>
      <c r="G1466" s="989" t="s">
        <v>657</v>
      </c>
      <c r="H1466" s="996"/>
      <c r="I1466" s="996"/>
      <c r="J1466" s="994">
        <v>0</v>
      </c>
      <c r="K1466" s="997">
        <v>0</v>
      </c>
    </row>
    <row r="1467" spans="1:11" ht="45" x14ac:dyDescent="0.25">
      <c r="A1467" s="989" t="s">
        <v>196</v>
      </c>
      <c r="B1467" s="993">
        <v>2018</v>
      </c>
      <c r="C1467" s="989" t="s">
        <v>2999</v>
      </c>
      <c r="D1467" s="989" t="s">
        <v>660</v>
      </c>
      <c r="E1467" s="989" t="s">
        <v>1517</v>
      </c>
      <c r="F1467" s="994">
        <v>0</v>
      </c>
      <c r="G1467" s="989" t="s">
        <v>657</v>
      </c>
      <c r="H1467" s="996"/>
      <c r="I1467" s="996"/>
      <c r="J1467" s="994">
        <v>0</v>
      </c>
      <c r="K1467" s="997">
        <v>0</v>
      </c>
    </row>
    <row r="1468" spans="1:11" ht="45" x14ac:dyDescent="0.25">
      <c r="A1468" s="989" t="s">
        <v>196</v>
      </c>
      <c r="B1468" s="993">
        <v>2018</v>
      </c>
      <c r="C1468" s="989" t="s">
        <v>2999</v>
      </c>
      <c r="D1468" s="989" t="s">
        <v>661</v>
      </c>
      <c r="E1468" s="989" t="s">
        <v>1518</v>
      </c>
      <c r="F1468" s="994">
        <v>0</v>
      </c>
      <c r="G1468" s="989" t="s">
        <v>657</v>
      </c>
      <c r="H1468" s="996"/>
      <c r="I1468" s="996"/>
      <c r="J1468" s="994">
        <v>0</v>
      </c>
      <c r="K1468" s="997">
        <v>0</v>
      </c>
    </row>
    <row r="1469" spans="1:11" ht="45" x14ac:dyDescent="0.25">
      <c r="A1469" s="989" t="s">
        <v>196</v>
      </c>
      <c r="B1469" s="993">
        <v>2018</v>
      </c>
      <c r="C1469" s="989" t="s">
        <v>2999</v>
      </c>
      <c r="D1469" s="989" t="s">
        <v>662</v>
      </c>
      <c r="E1469" s="989" t="s">
        <v>1519</v>
      </c>
      <c r="F1469" s="994">
        <v>0</v>
      </c>
      <c r="G1469" s="989" t="s">
        <v>657</v>
      </c>
      <c r="H1469" s="996"/>
      <c r="I1469" s="996"/>
      <c r="J1469" s="994">
        <v>0</v>
      </c>
      <c r="K1469" s="997">
        <v>0</v>
      </c>
    </row>
    <row r="1470" spans="1:11" ht="45" x14ac:dyDescent="0.25">
      <c r="A1470" s="989" t="s">
        <v>196</v>
      </c>
      <c r="B1470" s="993">
        <v>2018</v>
      </c>
      <c r="C1470" s="989" t="s">
        <v>2999</v>
      </c>
      <c r="D1470" s="989" t="s">
        <v>663</v>
      </c>
      <c r="E1470" s="989" t="s">
        <v>1520</v>
      </c>
      <c r="F1470" s="994">
        <v>0</v>
      </c>
      <c r="G1470" s="989" t="s">
        <v>657</v>
      </c>
      <c r="H1470" s="996"/>
      <c r="I1470" s="996"/>
      <c r="J1470" s="994">
        <v>0</v>
      </c>
      <c r="K1470" s="997">
        <v>0</v>
      </c>
    </row>
    <row r="1471" spans="1:11" ht="45" x14ac:dyDescent="0.25">
      <c r="A1471" s="989" t="s">
        <v>196</v>
      </c>
      <c r="B1471" s="993">
        <v>2018</v>
      </c>
      <c r="C1471" s="989" t="s">
        <v>2999</v>
      </c>
      <c r="D1471" s="989" t="s">
        <v>664</v>
      </c>
      <c r="E1471" s="989" t="s">
        <v>1521</v>
      </c>
      <c r="F1471" s="994">
        <v>0</v>
      </c>
      <c r="G1471" s="989" t="s">
        <v>657</v>
      </c>
      <c r="H1471" s="996"/>
      <c r="I1471" s="996"/>
      <c r="J1471" s="994">
        <v>0</v>
      </c>
      <c r="K1471" s="997">
        <v>0</v>
      </c>
    </row>
    <row r="1472" spans="1:11" ht="45" x14ac:dyDescent="0.25">
      <c r="A1472" s="989" t="s">
        <v>196</v>
      </c>
      <c r="B1472" s="993">
        <v>2018</v>
      </c>
      <c r="C1472" s="989" t="s">
        <v>2999</v>
      </c>
      <c r="D1472" s="989" t="s">
        <v>665</v>
      </c>
      <c r="E1472" s="989" t="s">
        <v>1522</v>
      </c>
      <c r="F1472" s="994">
        <v>0</v>
      </c>
      <c r="G1472" s="989" t="s">
        <v>657</v>
      </c>
      <c r="H1472" s="994">
        <v>-2285</v>
      </c>
      <c r="I1472" s="994">
        <v>-18233</v>
      </c>
      <c r="J1472" s="994">
        <v>-20518</v>
      </c>
      <c r="K1472" s="997">
        <v>-20518</v>
      </c>
    </row>
    <row r="1473" spans="1:11" ht="45" x14ac:dyDescent="0.25">
      <c r="A1473" s="989" t="s">
        <v>196</v>
      </c>
      <c r="B1473" s="993">
        <v>2018</v>
      </c>
      <c r="C1473" s="989" t="s">
        <v>2999</v>
      </c>
      <c r="D1473" s="989" t="s">
        <v>1870</v>
      </c>
      <c r="E1473" s="989" t="s">
        <v>2339</v>
      </c>
      <c r="F1473" s="994">
        <v>0</v>
      </c>
      <c r="G1473" s="989" t="s">
        <v>657</v>
      </c>
      <c r="H1473" s="996"/>
      <c r="I1473" s="996"/>
      <c r="J1473" s="994">
        <v>0</v>
      </c>
      <c r="K1473" s="997">
        <v>0</v>
      </c>
    </row>
    <row r="1474" spans="1:11" ht="45" x14ac:dyDescent="0.25">
      <c r="A1474" s="989" t="s">
        <v>196</v>
      </c>
      <c r="B1474" s="993">
        <v>2018</v>
      </c>
      <c r="C1474" s="989" t="s">
        <v>2999</v>
      </c>
      <c r="D1474" s="989" t="s">
        <v>2486</v>
      </c>
      <c r="E1474" s="989" t="s">
        <v>2544</v>
      </c>
      <c r="F1474" s="994">
        <v>0</v>
      </c>
      <c r="G1474" s="989" t="s">
        <v>657</v>
      </c>
      <c r="H1474" s="994">
        <v>25214</v>
      </c>
      <c r="I1474" s="994">
        <v>-18913</v>
      </c>
      <c r="J1474" s="994">
        <v>6301</v>
      </c>
      <c r="K1474" s="997">
        <v>6301</v>
      </c>
    </row>
    <row r="1475" spans="1:11" ht="45" x14ac:dyDescent="0.25">
      <c r="A1475" s="989" t="s">
        <v>196</v>
      </c>
      <c r="B1475" s="993">
        <v>2018</v>
      </c>
      <c r="C1475" s="989" t="s">
        <v>2999</v>
      </c>
      <c r="D1475" s="989" t="s">
        <v>4892</v>
      </c>
      <c r="E1475" s="989" t="s">
        <v>6044</v>
      </c>
      <c r="F1475" s="994">
        <v>0</v>
      </c>
      <c r="G1475" s="989" t="s">
        <v>657</v>
      </c>
      <c r="H1475" s="996"/>
      <c r="I1475" s="996"/>
      <c r="J1475" s="994">
        <v>0</v>
      </c>
      <c r="K1475" s="997">
        <v>0</v>
      </c>
    </row>
    <row r="1476" spans="1:11" ht="45" x14ac:dyDescent="0.25">
      <c r="A1476" s="989" t="s">
        <v>196</v>
      </c>
      <c r="B1476" s="993">
        <v>2018</v>
      </c>
      <c r="C1476" s="989" t="s">
        <v>2999</v>
      </c>
      <c r="D1476" s="989" t="s">
        <v>666</v>
      </c>
      <c r="E1476" s="989" t="s">
        <v>1592</v>
      </c>
      <c r="F1476" s="994">
        <v>-14217</v>
      </c>
      <c r="G1476" s="995"/>
      <c r="H1476" s="996"/>
      <c r="I1476" s="996"/>
      <c r="J1476" s="994">
        <v>0</v>
      </c>
      <c r="K1476" s="997">
        <v>-14217</v>
      </c>
    </row>
    <row r="1477" spans="1:11" x14ac:dyDescent="0.25">
      <c r="A1477" s="989" t="s">
        <v>197</v>
      </c>
      <c r="B1477" s="993">
        <v>2018</v>
      </c>
      <c r="C1477" s="989" t="s">
        <v>2991</v>
      </c>
      <c r="D1477" s="989" t="s">
        <v>49</v>
      </c>
      <c r="E1477" s="989" t="s">
        <v>1115</v>
      </c>
      <c r="F1477" s="994">
        <v>1539747</v>
      </c>
      <c r="G1477" s="989" t="s">
        <v>657</v>
      </c>
      <c r="H1477" s="994">
        <v>1520952</v>
      </c>
      <c r="I1477" s="994">
        <v>18795</v>
      </c>
      <c r="J1477" s="994">
        <v>1539747</v>
      </c>
      <c r="K1477" s="997">
        <v>1539747</v>
      </c>
    </row>
    <row r="1478" spans="1:11" ht="33.75" x14ac:dyDescent="0.25">
      <c r="A1478" s="989" t="s">
        <v>197</v>
      </c>
      <c r="B1478" s="993">
        <v>2018</v>
      </c>
      <c r="C1478" s="989" t="s">
        <v>2992</v>
      </c>
      <c r="D1478" s="989" t="s">
        <v>658</v>
      </c>
      <c r="E1478" s="989" t="s">
        <v>1116</v>
      </c>
      <c r="F1478" s="994">
        <v>-9559</v>
      </c>
      <c r="G1478" s="989" t="s">
        <v>657</v>
      </c>
      <c r="H1478" s="994">
        <v>-9447</v>
      </c>
      <c r="I1478" s="994">
        <v>-112</v>
      </c>
      <c r="J1478" s="994">
        <v>-9559</v>
      </c>
      <c r="K1478" s="997">
        <v>-9559</v>
      </c>
    </row>
    <row r="1479" spans="1:11" ht="22.5" x14ac:dyDescent="0.25">
      <c r="A1479" s="989" t="s">
        <v>197</v>
      </c>
      <c r="B1479" s="993">
        <v>2018</v>
      </c>
      <c r="C1479" s="989" t="s">
        <v>2993</v>
      </c>
      <c r="D1479" s="989" t="s">
        <v>464</v>
      </c>
      <c r="E1479" s="989" t="s">
        <v>1117</v>
      </c>
      <c r="F1479" s="994">
        <v>-6685</v>
      </c>
      <c r="G1479" s="995"/>
      <c r="H1479" s="996"/>
      <c r="I1479" s="996"/>
      <c r="J1479" s="994">
        <v>0</v>
      </c>
      <c r="K1479" s="997">
        <v>-6685</v>
      </c>
    </row>
    <row r="1480" spans="1:11" ht="33.75" x14ac:dyDescent="0.25">
      <c r="A1480" s="989" t="s">
        <v>197</v>
      </c>
      <c r="B1480" s="993">
        <v>2018</v>
      </c>
      <c r="C1480" s="989" t="s">
        <v>2994</v>
      </c>
      <c r="D1480" s="989" t="s">
        <v>46</v>
      </c>
      <c r="E1480" s="989" t="s">
        <v>1118</v>
      </c>
      <c r="F1480" s="994">
        <v>-1069010</v>
      </c>
      <c r="G1480" s="989" t="s">
        <v>657</v>
      </c>
      <c r="H1480" s="994">
        <v>-1073383</v>
      </c>
      <c r="I1480" s="994">
        <v>4373</v>
      </c>
      <c r="J1480" s="994">
        <v>-1069010</v>
      </c>
      <c r="K1480" s="997">
        <v>-1069010</v>
      </c>
    </row>
    <row r="1481" spans="1:11" ht="22.5" x14ac:dyDescent="0.25">
      <c r="A1481" s="989" t="s">
        <v>197</v>
      </c>
      <c r="B1481" s="993">
        <v>2018</v>
      </c>
      <c r="C1481" s="989" t="s">
        <v>2994</v>
      </c>
      <c r="D1481" s="989" t="s">
        <v>2482</v>
      </c>
      <c r="E1481" s="989" t="s">
        <v>1118</v>
      </c>
      <c r="F1481" s="994">
        <v>-206</v>
      </c>
      <c r="G1481" s="995"/>
      <c r="H1481" s="996"/>
      <c r="I1481" s="996"/>
      <c r="J1481" s="994">
        <v>0</v>
      </c>
      <c r="K1481" s="997">
        <v>-206</v>
      </c>
    </row>
    <row r="1482" spans="1:11" ht="22.5" x14ac:dyDescent="0.25">
      <c r="A1482" s="989" t="s">
        <v>197</v>
      </c>
      <c r="B1482" s="993">
        <v>2018</v>
      </c>
      <c r="C1482" s="989" t="s">
        <v>2994</v>
      </c>
      <c r="D1482" s="989" t="s">
        <v>2483</v>
      </c>
      <c r="E1482" s="989" t="s">
        <v>1118</v>
      </c>
      <c r="F1482" s="994">
        <v>-54962</v>
      </c>
      <c r="G1482" s="995"/>
      <c r="H1482" s="996"/>
      <c r="I1482" s="996"/>
      <c r="J1482" s="994">
        <v>0</v>
      </c>
      <c r="K1482" s="997">
        <v>-54962</v>
      </c>
    </row>
    <row r="1483" spans="1:11" ht="22.5" x14ac:dyDescent="0.25">
      <c r="A1483" s="989" t="s">
        <v>197</v>
      </c>
      <c r="B1483" s="993">
        <v>2018</v>
      </c>
      <c r="C1483" s="989" t="s">
        <v>2994</v>
      </c>
      <c r="D1483" s="989" t="s">
        <v>2484</v>
      </c>
      <c r="E1483" s="989" t="s">
        <v>1118</v>
      </c>
      <c r="F1483" s="994">
        <v>4579</v>
      </c>
      <c r="G1483" s="995"/>
      <c r="H1483" s="996"/>
      <c r="I1483" s="996"/>
      <c r="J1483" s="994">
        <v>0</v>
      </c>
      <c r="K1483" s="997">
        <v>4579</v>
      </c>
    </row>
    <row r="1484" spans="1:11" ht="22.5" x14ac:dyDescent="0.25">
      <c r="A1484" s="989" t="s">
        <v>197</v>
      </c>
      <c r="B1484" s="993">
        <v>2018</v>
      </c>
      <c r="C1484" s="989" t="s">
        <v>2994</v>
      </c>
      <c r="D1484" s="989" t="s">
        <v>2485</v>
      </c>
      <c r="E1484" s="989" t="s">
        <v>1118</v>
      </c>
      <c r="F1484" s="994">
        <v>-1018421</v>
      </c>
      <c r="G1484" s="995"/>
      <c r="H1484" s="996"/>
      <c r="I1484" s="996"/>
      <c r="J1484" s="994">
        <v>0</v>
      </c>
      <c r="K1484" s="997">
        <v>-1018421</v>
      </c>
    </row>
    <row r="1485" spans="1:11" ht="33.75" x14ac:dyDescent="0.25">
      <c r="A1485" s="989" t="s">
        <v>197</v>
      </c>
      <c r="B1485" s="993">
        <v>2018</v>
      </c>
      <c r="C1485" s="989" t="s">
        <v>2995</v>
      </c>
      <c r="D1485" s="989" t="s">
        <v>47</v>
      </c>
      <c r="E1485" s="989" t="s">
        <v>1119</v>
      </c>
      <c r="F1485" s="994">
        <v>224799</v>
      </c>
      <c r="G1485" s="989" t="s">
        <v>657</v>
      </c>
      <c r="H1485" s="994">
        <v>224734</v>
      </c>
      <c r="I1485" s="994">
        <v>65</v>
      </c>
      <c r="J1485" s="994">
        <v>224799</v>
      </c>
      <c r="K1485" s="997">
        <v>224799</v>
      </c>
    </row>
    <row r="1486" spans="1:11" ht="33.75" x14ac:dyDescent="0.25">
      <c r="A1486" s="989" t="s">
        <v>197</v>
      </c>
      <c r="B1486" s="993">
        <v>2018</v>
      </c>
      <c r="C1486" s="989" t="s">
        <v>2996</v>
      </c>
      <c r="D1486" s="989" t="s">
        <v>48</v>
      </c>
      <c r="E1486" s="989" t="s">
        <v>1120</v>
      </c>
      <c r="F1486" s="994">
        <v>458213</v>
      </c>
      <c r="G1486" s="989" t="s">
        <v>657</v>
      </c>
      <c r="H1486" s="994">
        <v>449253</v>
      </c>
      <c r="I1486" s="994">
        <v>8960</v>
      </c>
      <c r="J1486" s="994">
        <v>458213</v>
      </c>
      <c r="K1486" s="997">
        <v>458213</v>
      </c>
    </row>
    <row r="1487" spans="1:11" ht="33.75" x14ac:dyDescent="0.25">
      <c r="A1487" s="989" t="s">
        <v>197</v>
      </c>
      <c r="B1487" s="993">
        <v>2018</v>
      </c>
      <c r="C1487" s="989" t="s">
        <v>2997</v>
      </c>
      <c r="D1487" s="989" t="s">
        <v>50</v>
      </c>
      <c r="E1487" s="989" t="s">
        <v>1121</v>
      </c>
      <c r="F1487" s="994">
        <v>2129400</v>
      </c>
      <c r="G1487" s="989" t="s">
        <v>657</v>
      </c>
      <c r="H1487" s="994">
        <v>2083692</v>
      </c>
      <c r="I1487" s="994">
        <v>45708</v>
      </c>
      <c r="J1487" s="994">
        <v>2129400</v>
      </c>
      <c r="K1487" s="997">
        <v>2129400</v>
      </c>
    </row>
    <row r="1488" spans="1:11" ht="22.5" x14ac:dyDescent="0.25">
      <c r="A1488" s="989" t="s">
        <v>197</v>
      </c>
      <c r="B1488" s="993">
        <v>2018</v>
      </c>
      <c r="C1488" s="989" t="s">
        <v>2998</v>
      </c>
      <c r="D1488" s="989" t="s">
        <v>348</v>
      </c>
      <c r="E1488" s="989" t="s">
        <v>1122</v>
      </c>
      <c r="F1488" s="994">
        <v>1162456</v>
      </c>
      <c r="G1488" s="989" t="s">
        <v>657</v>
      </c>
      <c r="H1488" s="994">
        <v>1171439</v>
      </c>
      <c r="I1488" s="994">
        <v>-8983</v>
      </c>
      <c r="J1488" s="994">
        <v>1162456</v>
      </c>
      <c r="K1488" s="997">
        <v>1162456</v>
      </c>
    </row>
    <row r="1489" spans="1:11" ht="45" x14ac:dyDescent="0.25">
      <c r="A1489" s="989" t="s">
        <v>197</v>
      </c>
      <c r="B1489" s="993">
        <v>2018</v>
      </c>
      <c r="C1489" s="989" t="s">
        <v>2999</v>
      </c>
      <c r="D1489" s="989" t="s">
        <v>659</v>
      </c>
      <c r="E1489" s="989" t="s">
        <v>1523</v>
      </c>
      <c r="F1489" s="994">
        <v>0</v>
      </c>
      <c r="G1489" s="989" t="s">
        <v>657</v>
      </c>
      <c r="H1489" s="996"/>
      <c r="I1489" s="996"/>
      <c r="J1489" s="994">
        <v>0</v>
      </c>
      <c r="K1489" s="997">
        <v>0</v>
      </c>
    </row>
    <row r="1490" spans="1:11" ht="45" x14ac:dyDescent="0.25">
      <c r="A1490" s="989" t="s">
        <v>197</v>
      </c>
      <c r="B1490" s="993">
        <v>2018</v>
      </c>
      <c r="C1490" s="989" t="s">
        <v>2999</v>
      </c>
      <c r="D1490" s="989" t="s">
        <v>660</v>
      </c>
      <c r="E1490" s="989" t="s">
        <v>1524</v>
      </c>
      <c r="F1490" s="994">
        <v>0</v>
      </c>
      <c r="G1490" s="989" t="s">
        <v>657</v>
      </c>
      <c r="H1490" s="996"/>
      <c r="I1490" s="996"/>
      <c r="J1490" s="994">
        <v>0</v>
      </c>
      <c r="K1490" s="997">
        <v>0</v>
      </c>
    </row>
    <row r="1491" spans="1:11" ht="45" x14ac:dyDescent="0.25">
      <c r="A1491" s="989" t="s">
        <v>197</v>
      </c>
      <c r="B1491" s="993">
        <v>2018</v>
      </c>
      <c r="C1491" s="989" t="s">
        <v>2999</v>
      </c>
      <c r="D1491" s="989" t="s">
        <v>661</v>
      </c>
      <c r="E1491" s="989" t="s">
        <v>1525</v>
      </c>
      <c r="F1491" s="994">
        <v>0</v>
      </c>
      <c r="G1491" s="989" t="s">
        <v>657</v>
      </c>
      <c r="H1491" s="996"/>
      <c r="I1491" s="996"/>
      <c r="J1491" s="994">
        <v>0</v>
      </c>
      <c r="K1491" s="997">
        <v>0</v>
      </c>
    </row>
    <row r="1492" spans="1:11" ht="45" x14ac:dyDescent="0.25">
      <c r="A1492" s="989" t="s">
        <v>197</v>
      </c>
      <c r="B1492" s="993">
        <v>2018</v>
      </c>
      <c r="C1492" s="989" t="s">
        <v>2999</v>
      </c>
      <c r="D1492" s="989" t="s">
        <v>662</v>
      </c>
      <c r="E1492" s="989" t="s">
        <v>1526</v>
      </c>
      <c r="F1492" s="994">
        <v>0</v>
      </c>
      <c r="G1492" s="989" t="s">
        <v>657</v>
      </c>
      <c r="H1492" s="996"/>
      <c r="I1492" s="996"/>
      <c r="J1492" s="994">
        <v>0</v>
      </c>
      <c r="K1492" s="997">
        <v>0</v>
      </c>
    </row>
    <row r="1493" spans="1:11" ht="45" x14ac:dyDescent="0.25">
      <c r="A1493" s="989" t="s">
        <v>197</v>
      </c>
      <c r="B1493" s="993">
        <v>2018</v>
      </c>
      <c r="C1493" s="989" t="s">
        <v>2999</v>
      </c>
      <c r="D1493" s="989" t="s">
        <v>663</v>
      </c>
      <c r="E1493" s="989" t="s">
        <v>1527</v>
      </c>
      <c r="F1493" s="994">
        <v>0</v>
      </c>
      <c r="G1493" s="989" t="s">
        <v>657</v>
      </c>
      <c r="H1493" s="996"/>
      <c r="I1493" s="996"/>
      <c r="J1493" s="994">
        <v>0</v>
      </c>
      <c r="K1493" s="997">
        <v>0</v>
      </c>
    </row>
    <row r="1494" spans="1:11" ht="45" x14ac:dyDescent="0.25">
      <c r="A1494" s="989" t="s">
        <v>197</v>
      </c>
      <c r="B1494" s="993">
        <v>2018</v>
      </c>
      <c r="C1494" s="989" t="s">
        <v>2999</v>
      </c>
      <c r="D1494" s="989" t="s">
        <v>664</v>
      </c>
      <c r="E1494" s="989" t="s">
        <v>1528</v>
      </c>
      <c r="F1494" s="994">
        <v>0</v>
      </c>
      <c r="G1494" s="989" t="s">
        <v>657</v>
      </c>
      <c r="H1494" s="994">
        <v>6577</v>
      </c>
      <c r="I1494" s="994">
        <v>-364</v>
      </c>
      <c r="J1494" s="994">
        <v>6213</v>
      </c>
      <c r="K1494" s="997">
        <v>6213</v>
      </c>
    </row>
    <row r="1495" spans="1:11" ht="45" x14ac:dyDescent="0.25">
      <c r="A1495" s="989" t="s">
        <v>197</v>
      </c>
      <c r="B1495" s="993">
        <v>2018</v>
      </c>
      <c r="C1495" s="989" t="s">
        <v>2999</v>
      </c>
      <c r="D1495" s="989" t="s">
        <v>665</v>
      </c>
      <c r="E1495" s="989" t="s">
        <v>1529</v>
      </c>
      <c r="F1495" s="994">
        <v>0</v>
      </c>
      <c r="G1495" s="989" t="s">
        <v>657</v>
      </c>
      <c r="H1495" s="996"/>
      <c r="I1495" s="996"/>
      <c r="J1495" s="994">
        <v>0</v>
      </c>
      <c r="K1495" s="997">
        <v>0</v>
      </c>
    </row>
    <row r="1496" spans="1:11" ht="45" x14ac:dyDescent="0.25">
      <c r="A1496" s="989" t="s">
        <v>197</v>
      </c>
      <c r="B1496" s="993">
        <v>2018</v>
      </c>
      <c r="C1496" s="989" t="s">
        <v>2999</v>
      </c>
      <c r="D1496" s="989" t="s">
        <v>1870</v>
      </c>
      <c r="E1496" s="989" t="s">
        <v>2340</v>
      </c>
      <c r="F1496" s="994">
        <v>0</v>
      </c>
      <c r="G1496" s="989" t="s">
        <v>657</v>
      </c>
      <c r="H1496" s="994">
        <v>224677</v>
      </c>
      <c r="I1496" s="994">
        <v>65853</v>
      </c>
      <c r="J1496" s="994">
        <v>290530</v>
      </c>
      <c r="K1496" s="997">
        <v>290530</v>
      </c>
    </row>
    <row r="1497" spans="1:11" ht="45" x14ac:dyDescent="0.25">
      <c r="A1497" s="989" t="s">
        <v>197</v>
      </c>
      <c r="B1497" s="993">
        <v>2018</v>
      </c>
      <c r="C1497" s="989" t="s">
        <v>2999</v>
      </c>
      <c r="D1497" s="989" t="s">
        <v>2486</v>
      </c>
      <c r="E1497" s="989" t="s">
        <v>2545</v>
      </c>
      <c r="F1497" s="994">
        <v>0</v>
      </c>
      <c r="G1497" s="989" t="s">
        <v>657</v>
      </c>
      <c r="H1497" s="994">
        <v>-142994</v>
      </c>
      <c r="I1497" s="994">
        <v>241958</v>
      </c>
      <c r="J1497" s="994">
        <v>98964</v>
      </c>
      <c r="K1497" s="997">
        <v>98964</v>
      </c>
    </row>
    <row r="1498" spans="1:11" ht="45" x14ac:dyDescent="0.25">
      <c r="A1498" s="989" t="s">
        <v>197</v>
      </c>
      <c r="B1498" s="993">
        <v>2018</v>
      </c>
      <c r="C1498" s="989" t="s">
        <v>2999</v>
      </c>
      <c r="D1498" s="989" t="s">
        <v>4892</v>
      </c>
      <c r="E1498" s="989" t="s">
        <v>6045</v>
      </c>
      <c r="F1498" s="994">
        <v>0</v>
      </c>
      <c r="G1498" s="989" t="s">
        <v>657</v>
      </c>
      <c r="H1498" s="994">
        <v>-246992</v>
      </c>
      <c r="I1498" s="994">
        <v>28475</v>
      </c>
      <c r="J1498" s="994">
        <v>-218517</v>
      </c>
      <c r="K1498" s="997">
        <v>-218517</v>
      </c>
    </row>
    <row r="1499" spans="1:11" ht="45" x14ac:dyDescent="0.25">
      <c r="A1499" s="989" t="s">
        <v>197</v>
      </c>
      <c r="B1499" s="993">
        <v>2018</v>
      </c>
      <c r="C1499" s="989" t="s">
        <v>2999</v>
      </c>
      <c r="D1499" s="989" t="s">
        <v>666</v>
      </c>
      <c r="E1499" s="989" t="s">
        <v>1593</v>
      </c>
      <c r="F1499" s="994">
        <v>177190</v>
      </c>
      <c r="G1499" s="995"/>
      <c r="H1499" s="996"/>
      <c r="I1499" s="996"/>
      <c r="J1499" s="994">
        <v>0</v>
      </c>
      <c r="K1499" s="997">
        <v>177190</v>
      </c>
    </row>
    <row r="1500" spans="1:11" ht="22.5" x14ac:dyDescent="0.25">
      <c r="A1500" s="989" t="s">
        <v>198</v>
      </c>
      <c r="B1500" s="993">
        <v>2018</v>
      </c>
      <c r="C1500" s="989" t="s">
        <v>2991</v>
      </c>
      <c r="D1500" s="989" t="s">
        <v>49</v>
      </c>
      <c r="E1500" s="989" t="s">
        <v>1123</v>
      </c>
      <c r="F1500" s="994">
        <v>1412330.71</v>
      </c>
      <c r="G1500" s="989" t="s">
        <v>657</v>
      </c>
      <c r="H1500" s="994">
        <v>1388642.75</v>
      </c>
      <c r="I1500" s="994">
        <v>23688</v>
      </c>
      <c r="J1500" s="994">
        <v>1412330.75</v>
      </c>
      <c r="K1500" s="997">
        <v>1412330.71</v>
      </c>
    </row>
    <row r="1501" spans="1:11" ht="33.75" x14ac:dyDescent="0.25">
      <c r="A1501" s="989" t="s">
        <v>198</v>
      </c>
      <c r="B1501" s="993">
        <v>2018</v>
      </c>
      <c r="C1501" s="989" t="s">
        <v>2992</v>
      </c>
      <c r="D1501" s="989" t="s">
        <v>658</v>
      </c>
      <c r="E1501" s="989" t="s">
        <v>1124</v>
      </c>
      <c r="F1501" s="994">
        <v>7659.73</v>
      </c>
      <c r="G1501" s="989" t="s">
        <v>657</v>
      </c>
      <c r="H1501" s="994">
        <v>7571.72998046875</v>
      </c>
      <c r="I1501" s="994">
        <v>88</v>
      </c>
      <c r="J1501" s="994">
        <v>7659.72998046875</v>
      </c>
      <c r="K1501" s="997">
        <v>7659.73</v>
      </c>
    </row>
    <row r="1502" spans="1:11" ht="22.5" x14ac:dyDescent="0.25">
      <c r="A1502" s="989" t="s">
        <v>198</v>
      </c>
      <c r="B1502" s="993">
        <v>2018</v>
      </c>
      <c r="C1502" s="989" t="s">
        <v>2993</v>
      </c>
      <c r="D1502" s="989" t="s">
        <v>464</v>
      </c>
      <c r="E1502" s="989" t="s">
        <v>1125</v>
      </c>
      <c r="F1502" s="994">
        <v>586075.63</v>
      </c>
      <c r="G1502" s="995"/>
      <c r="H1502" s="996"/>
      <c r="I1502" s="996"/>
      <c r="J1502" s="994">
        <v>0</v>
      </c>
      <c r="K1502" s="997">
        <v>586075.63</v>
      </c>
    </row>
    <row r="1503" spans="1:11" ht="33.75" x14ac:dyDescent="0.25">
      <c r="A1503" s="989" t="s">
        <v>198</v>
      </c>
      <c r="B1503" s="993">
        <v>2018</v>
      </c>
      <c r="C1503" s="989" t="s">
        <v>2994</v>
      </c>
      <c r="D1503" s="989" t="s">
        <v>46</v>
      </c>
      <c r="E1503" s="989" t="s">
        <v>1126</v>
      </c>
      <c r="F1503" s="994">
        <v>-3435067.02</v>
      </c>
      <c r="G1503" s="989" t="s">
        <v>657</v>
      </c>
      <c r="H1503" s="994">
        <v>-3370992</v>
      </c>
      <c r="I1503" s="994">
        <v>-64075</v>
      </c>
      <c r="J1503" s="994">
        <v>-3435067</v>
      </c>
      <c r="K1503" s="997">
        <v>-3435067.02</v>
      </c>
    </row>
    <row r="1504" spans="1:11" ht="22.5" x14ac:dyDescent="0.25">
      <c r="A1504" s="989" t="s">
        <v>198</v>
      </c>
      <c r="B1504" s="993">
        <v>2018</v>
      </c>
      <c r="C1504" s="989" t="s">
        <v>2994</v>
      </c>
      <c r="D1504" s="989" t="s">
        <v>2482</v>
      </c>
      <c r="E1504" s="989" t="s">
        <v>1126</v>
      </c>
      <c r="F1504" s="994">
        <v>0</v>
      </c>
      <c r="G1504" s="995"/>
      <c r="H1504" s="996"/>
      <c r="I1504" s="996"/>
      <c r="J1504" s="994">
        <v>0</v>
      </c>
      <c r="K1504" s="997">
        <v>0</v>
      </c>
    </row>
    <row r="1505" spans="1:11" ht="22.5" x14ac:dyDescent="0.25">
      <c r="A1505" s="989" t="s">
        <v>198</v>
      </c>
      <c r="B1505" s="993">
        <v>2018</v>
      </c>
      <c r="C1505" s="989" t="s">
        <v>2994</v>
      </c>
      <c r="D1505" s="989" t="s">
        <v>2483</v>
      </c>
      <c r="E1505" s="989" t="s">
        <v>1126</v>
      </c>
      <c r="F1505" s="994">
        <v>0</v>
      </c>
      <c r="G1505" s="995"/>
      <c r="H1505" s="996"/>
      <c r="I1505" s="996"/>
      <c r="J1505" s="994">
        <v>0</v>
      </c>
      <c r="K1505" s="997">
        <v>0</v>
      </c>
    </row>
    <row r="1506" spans="1:11" ht="22.5" x14ac:dyDescent="0.25">
      <c r="A1506" s="989" t="s">
        <v>198</v>
      </c>
      <c r="B1506" s="993">
        <v>2018</v>
      </c>
      <c r="C1506" s="989" t="s">
        <v>2994</v>
      </c>
      <c r="D1506" s="989" t="s">
        <v>2484</v>
      </c>
      <c r="E1506" s="989" t="s">
        <v>1126</v>
      </c>
      <c r="F1506" s="994">
        <v>6512</v>
      </c>
      <c r="G1506" s="995"/>
      <c r="H1506" s="996"/>
      <c r="I1506" s="996"/>
      <c r="J1506" s="994">
        <v>0</v>
      </c>
      <c r="K1506" s="997">
        <v>6512</v>
      </c>
    </row>
    <row r="1507" spans="1:11" ht="22.5" x14ac:dyDescent="0.25">
      <c r="A1507" s="989" t="s">
        <v>198</v>
      </c>
      <c r="B1507" s="993">
        <v>2018</v>
      </c>
      <c r="C1507" s="989" t="s">
        <v>2994</v>
      </c>
      <c r="D1507" s="989" t="s">
        <v>2485</v>
      </c>
      <c r="E1507" s="989" t="s">
        <v>1126</v>
      </c>
      <c r="F1507" s="994">
        <v>158056.5</v>
      </c>
      <c r="G1507" s="995"/>
      <c r="H1507" s="996"/>
      <c r="I1507" s="996"/>
      <c r="J1507" s="994">
        <v>0</v>
      </c>
      <c r="K1507" s="997">
        <v>158056.5</v>
      </c>
    </row>
    <row r="1508" spans="1:11" ht="33.75" x14ac:dyDescent="0.25">
      <c r="A1508" s="989" t="s">
        <v>198</v>
      </c>
      <c r="B1508" s="993">
        <v>2018</v>
      </c>
      <c r="C1508" s="989" t="s">
        <v>2995</v>
      </c>
      <c r="D1508" s="989" t="s">
        <v>47</v>
      </c>
      <c r="E1508" s="989" t="s">
        <v>1127</v>
      </c>
      <c r="F1508" s="994">
        <v>-613582.19999999995</v>
      </c>
      <c r="G1508" s="989" t="s">
        <v>657</v>
      </c>
      <c r="H1508" s="994">
        <v>-599439.1875</v>
      </c>
      <c r="I1508" s="994">
        <v>-14143</v>
      </c>
      <c r="J1508" s="994">
        <v>-613582.1875</v>
      </c>
      <c r="K1508" s="997">
        <v>-613582.19999999995</v>
      </c>
    </row>
    <row r="1509" spans="1:11" ht="33.75" x14ac:dyDescent="0.25">
      <c r="A1509" s="989" t="s">
        <v>198</v>
      </c>
      <c r="B1509" s="993">
        <v>2018</v>
      </c>
      <c r="C1509" s="989" t="s">
        <v>2996</v>
      </c>
      <c r="D1509" s="989" t="s">
        <v>48</v>
      </c>
      <c r="E1509" s="989" t="s">
        <v>1128</v>
      </c>
      <c r="F1509" s="994">
        <v>144394.96</v>
      </c>
      <c r="G1509" s="989" t="s">
        <v>657</v>
      </c>
      <c r="H1509" s="994">
        <v>143182.953125</v>
      </c>
      <c r="I1509" s="994">
        <v>1212</v>
      </c>
      <c r="J1509" s="994">
        <v>144394.953125</v>
      </c>
      <c r="K1509" s="997">
        <v>144394.96</v>
      </c>
    </row>
    <row r="1510" spans="1:11" ht="33.75" x14ac:dyDescent="0.25">
      <c r="A1510" s="989" t="s">
        <v>198</v>
      </c>
      <c r="B1510" s="993">
        <v>2018</v>
      </c>
      <c r="C1510" s="989" t="s">
        <v>2997</v>
      </c>
      <c r="D1510" s="989" t="s">
        <v>50</v>
      </c>
      <c r="E1510" s="989" t="s">
        <v>1129</v>
      </c>
      <c r="F1510" s="994">
        <v>-140466.6</v>
      </c>
      <c r="G1510" s="989" t="s">
        <v>657</v>
      </c>
      <c r="H1510" s="994">
        <v>-140508.59375</v>
      </c>
      <c r="I1510" s="994">
        <v>42</v>
      </c>
      <c r="J1510" s="994">
        <v>-140466.59375</v>
      </c>
      <c r="K1510" s="997">
        <v>-140466.6</v>
      </c>
    </row>
    <row r="1511" spans="1:11" ht="22.5" x14ac:dyDescent="0.25">
      <c r="A1511" s="989" t="s">
        <v>198</v>
      </c>
      <c r="B1511" s="993">
        <v>2018</v>
      </c>
      <c r="C1511" s="989" t="s">
        <v>2998</v>
      </c>
      <c r="D1511" s="989" t="s">
        <v>348</v>
      </c>
      <c r="E1511" s="989" t="s">
        <v>1130</v>
      </c>
      <c r="F1511" s="994">
        <v>1135171.79</v>
      </c>
      <c r="G1511" s="989" t="s">
        <v>657</v>
      </c>
      <c r="H1511" s="994">
        <v>1105471.75</v>
      </c>
      <c r="I1511" s="994">
        <v>29700</v>
      </c>
      <c r="J1511" s="994">
        <v>1135171.75</v>
      </c>
      <c r="K1511" s="997">
        <v>1135171.79</v>
      </c>
    </row>
    <row r="1512" spans="1:11" ht="45" x14ac:dyDescent="0.25">
      <c r="A1512" s="989" t="s">
        <v>198</v>
      </c>
      <c r="B1512" s="993">
        <v>2018</v>
      </c>
      <c r="C1512" s="989" t="s">
        <v>2999</v>
      </c>
      <c r="D1512" s="989" t="s">
        <v>659</v>
      </c>
      <c r="E1512" s="989" t="s">
        <v>1530</v>
      </c>
      <c r="F1512" s="994">
        <v>0</v>
      </c>
      <c r="G1512" s="989" t="s">
        <v>657</v>
      </c>
      <c r="H1512" s="996"/>
      <c r="I1512" s="996"/>
      <c r="J1512" s="994">
        <v>0</v>
      </c>
      <c r="K1512" s="997">
        <v>0</v>
      </c>
    </row>
    <row r="1513" spans="1:11" ht="45" x14ac:dyDescent="0.25">
      <c r="A1513" s="989" t="s">
        <v>198</v>
      </c>
      <c r="B1513" s="993">
        <v>2018</v>
      </c>
      <c r="C1513" s="989" t="s">
        <v>2999</v>
      </c>
      <c r="D1513" s="989" t="s">
        <v>660</v>
      </c>
      <c r="E1513" s="989" t="s">
        <v>1531</v>
      </c>
      <c r="F1513" s="994">
        <v>0</v>
      </c>
      <c r="G1513" s="989" t="s">
        <v>657</v>
      </c>
      <c r="H1513" s="996"/>
      <c r="I1513" s="996"/>
      <c r="J1513" s="994">
        <v>0</v>
      </c>
      <c r="K1513" s="997">
        <v>0</v>
      </c>
    </row>
    <row r="1514" spans="1:11" ht="45" x14ac:dyDescent="0.25">
      <c r="A1514" s="989" t="s">
        <v>198</v>
      </c>
      <c r="B1514" s="993">
        <v>2018</v>
      </c>
      <c r="C1514" s="989" t="s">
        <v>2999</v>
      </c>
      <c r="D1514" s="989" t="s">
        <v>661</v>
      </c>
      <c r="E1514" s="989" t="s">
        <v>1532</v>
      </c>
      <c r="F1514" s="994">
        <v>0</v>
      </c>
      <c r="G1514" s="989" t="s">
        <v>657</v>
      </c>
      <c r="H1514" s="996"/>
      <c r="I1514" s="996"/>
      <c r="J1514" s="994">
        <v>0</v>
      </c>
      <c r="K1514" s="997">
        <v>0</v>
      </c>
    </row>
    <row r="1515" spans="1:11" ht="45" x14ac:dyDescent="0.25">
      <c r="A1515" s="989" t="s">
        <v>198</v>
      </c>
      <c r="B1515" s="993">
        <v>2018</v>
      </c>
      <c r="C1515" s="989" t="s">
        <v>2999</v>
      </c>
      <c r="D1515" s="989" t="s">
        <v>662</v>
      </c>
      <c r="E1515" s="989" t="s">
        <v>1533</v>
      </c>
      <c r="F1515" s="994">
        <v>0</v>
      </c>
      <c r="G1515" s="989" t="s">
        <v>657</v>
      </c>
      <c r="H1515" s="996"/>
      <c r="I1515" s="996"/>
      <c r="J1515" s="994">
        <v>0</v>
      </c>
      <c r="K1515" s="997">
        <v>0</v>
      </c>
    </row>
    <row r="1516" spans="1:11" ht="45" x14ac:dyDescent="0.25">
      <c r="A1516" s="989" t="s">
        <v>198</v>
      </c>
      <c r="B1516" s="993">
        <v>2018</v>
      </c>
      <c r="C1516" s="989" t="s">
        <v>2999</v>
      </c>
      <c r="D1516" s="989" t="s">
        <v>663</v>
      </c>
      <c r="E1516" s="989" t="s">
        <v>1534</v>
      </c>
      <c r="F1516" s="994">
        <v>0</v>
      </c>
      <c r="G1516" s="989" t="s">
        <v>657</v>
      </c>
      <c r="H1516" s="996"/>
      <c r="I1516" s="996"/>
      <c r="J1516" s="994">
        <v>0</v>
      </c>
      <c r="K1516" s="997">
        <v>0</v>
      </c>
    </row>
    <row r="1517" spans="1:11" ht="45" x14ac:dyDescent="0.25">
      <c r="A1517" s="989" t="s">
        <v>198</v>
      </c>
      <c r="B1517" s="993">
        <v>2018</v>
      </c>
      <c r="C1517" s="989" t="s">
        <v>2999</v>
      </c>
      <c r="D1517" s="989" t="s">
        <v>664</v>
      </c>
      <c r="E1517" s="989" t="s">
        <v>1535</v>
      </c>
      <c r="F1517" s="994">
        <v>0</v>
      </c>
      <c r="G1517" s="989" t="s">
        <v>657</v>
      </c>
      <c r="H1517" s="996"/>
      <c r="I1517" s="996"/>
      <c r="J1517" s="994">
        <v>0</v>
      </c>
      <c r="K1517" s="997">
        <v>0</v>
      </c>
    </row>
    <row r="1518" spans="1:11" ht="45" x14ac:dyDescent="0.25">
      <c r="A1518" s="989" t="s">
        <v>198</v>
      </c>
      <c r="B1518" s="993">
        <v>2018</v>
      </c>
      <c r="C1518" s="989" t="s">
        <v>2999</v>
      </c>
      <c r="D1518" s="989" t="s">
        <v>665</v>
      </c>
      <c r="E1518" s="989" t="s">
        <v>1536</v>
      </c>
      <c r="F1518" s="994">
        <v>0</v>
      </c>
      <c r="G1518" s="989" t="s">
        <v>657</v>
      </c>
      <c r="H1518" s="994">
        <v>97398.921875</v>
      </c>
      <c r="I1518" s="994">
        <v>-39962.44921875</v>
      </c>
      <c r="J1518" s="994">
        <v>57436.46875</v>
      </c>
      <c r="K1518" s="997">
        <v>57436.47</v>
      </c>
    </row>
    <row r="1519" spans="1:11" ht="45" x14ac:dyDescent="0.25">
      <c r="A1519" s="989" t="s">
        <v>198</v>
      </c>
      <c r="B1519" s="993">
        <v>2018</v>
      </c>
      <c r="C1519" s="989" t="s">
        <v>2999</v>
      </c>
      <c r="D1519" s="989" t="s">
        <v>1870</v>
      </c>
      <c r="E1519" s="989" t="s">
        <v>2341</v>
      </c>
      <c r="F1519" s="994">
        <v>0</v>
      </c>
      <c r="G1519" s="989" t="s">
        <v>657</v>
      </c>
      <c r="H1519" s="994">
        <v>-100348</v>
      </c>
      <c r="I1519" s="994">
        <v>-1571</v>
      </c>
      <c r="J1519" s="994">
        <v>-101919</v>
      </c>
      <c r="K1519" s="997">
        <v>-101919</v>
      </c>
    </row>
    <row r="1520" spans="1:11" ht="45" x14ac:dyDescent="0.25">
      <c r="A1520" s="989" t="s">
        <v>198</v>
      </c>
      <c r="B1520" s="993">
        <v>2018</v>
      </c>
      <c r="C1520" s="989" t="s">
        <v>2999</v>
      </c>
      <c r="D1520" s="989" t="s">
        <v>2486</v>
      </c>
      <c r="E1520" s="989" t="s">
        <v>2546</v>
      </c>
      <c r="F1520" s="994">
        <v>0</v>
      </c>
      <c r="G1520" s="989" t="s">
        <v>657</v>
      </c>
      <c r="H1520" s="994">
        <v>-23359.2890625</v>
      </c>
      <c r="I1520" s="994">
        <v>19234.060546875</v>
      </c>
      <c r="J1520" s="994">
        <v>-4125.22998046875</v>
      </c>
      <c r="K1520" s="997">
        <v>-4125.2299999999996</v>
      </c>
    </row>
    <row r="1521" spans="1:11" ht="45" x14ac:dyDescent="0.25">
      <c r="A1521" s="989" t="s">
        <v>198</v>
      </c>
      <c r="B1521" s="993">
        <v>2018</v>
      </c>
      <c r="C1521" s="989" t="s">
        <v>2999</v>
      </c>
      <c r="D1521" s="989" t="s">
        <v>4892</v>
      </c>
      <c r="E1521" s="989" t="s">
        <v>6046</v>
      </c>
      <c r="F1521" s="994">
        <v>0</v>
      </c>
      <c r="G1521" s="989" t="s">
        <v>657</v>
      </c>
      <c r="H1521" s="994">
        <v>24892.94921875</v>
      </c>
      <c r="I1521" s="994">
        <v>18051</v>
      </c>
      <c r="J1521" s="994">
        <v>42943.94921875</v>
      </c>
      <c r="K1521" s="997">
        <v>42943.95</v>
      </c>
    </row>
    <row r="1522" spans="1:11" ht="45" x14ac:dyDescent="0.25">
      <c r="A1522" s="989" t="s">
        <v>198</v>
      </c>
      <c r="B1522" s="993">
        <v>2018</v>
      </c>
      <c r="C1522" s="989" t="s">
        <v>2999</v>
      </c>
      <c r="D1522" s="989" t="s">
        <v>666</v>
      </c>
      <c r="E1522" s="989" t="s">
        <v>1594</v>
      </c>
      <c r="F1522" s="994">
        <v>-5663.81</v>
      </c>
      <c r="G1522" s="995"/>
      <c r="H1522" s="996"/>
      <c r="I1522" s="996"/>
      <c r="J1522" s="994">
        <v>0</v>
      </c>
      <c r="K1522" s="997">
        <v>-5663.81</v>
      </c>
    </row>
    <row r="1523" spans="1:11" x14ac:dyDescent="0.25">
      <c r="A1523" s="986" t="s">
        <v>2461</v>
      </c>
    </row>
  </sheetData>
  <sheetProtection algorithmName="SHA-512" hashValue="NBn8E2IUyCBfrptlqXYThlJlRxoKWVYrZVbgpaX0I5XZAMdg/EKSaNkpXq13f+kACicj4Duq+KDq6d58FJs1PA==" saltValue="+PUVXVdAaDRMToZflcqmzg==" spinCount="100000" sheet="1" objects="1" scenarios="1"/>
  <pageMargins left="0.75" right="0.75" top="1" bottom="1" header="0.5" footer="0.5"/>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2:O71"/>
  <sheetViews>
    <sheetView showGridLines="0" topLeftCell="A6" workbookViewId="0">
      <selection activeCell="F25" sqref="F25"/>
    </sheetView>
  </sheetViews>
  <sheetFormatPr defaultColWidth="9.140625" defaultRowHeight="12.75" x14ac:dyDescent="0.2"/>
  <cols>
    <col min="1" max="1" width="15.28515625" style="59" customWidth="1"/>
    <col min="2" max="2" width="29.140625" style="59" customWidth="1"/>
    <col min="3" max="3" width="3.28515625" style="59" customWidth="1"/>
    <col min="4" max="4" width="34.7109375" style="59" customWidth="1"/>
    <col min="5" max="5" width="13.140625" style="59" customWidth="1"/>
    <col min="6" max="6" width="12.28515625" style="59" customWidth="1"/>
    <col min="7" max="7" width="11.5703125" style="59" customWidth="1"/>
    <col min="8" max="8" width="18.140625" style="59" customWidth="1"/>
    <col min="9" max="9" width="13.140625" style="59" customWidth="1"/>
    <col min="10" max="10" width="13.42578125" style="59" customWidth="1"/>
    <col min="11" max="11" width="13.5703125" style="59" customWidth="1"/>
    <col min="12" max="12" width="13.28515625" style="59" customWidth="1"/>
    <col min="13" max="13" width="12.7109375" style="59" customWidth="1"/>
    <col min="14" max="14" width="12.7109375" style="59" bestFit="1" customWidth="1"/>
    <col min="15" max="16" width="10.85546875" style="59" bestFit="1" customWidth="1"/>
    <col min="17" max="17" width="3.85546875" style="59" customWidth="1"/>
    <col min="18" max="20" width="9.140625" style="59"/>
    <col min="21" max="21" width="9.140625" style="59" customWidth="1"/>
    <col min="22" max="16384" width="9.140625" style="59"/>
  </cols>
  <sheetData>
    <row r="2" spans="1:15" x14ac:dyDescent="0.2">
      <c r="D2" s="290" t="s">
        <v>1652</v>
      </c>
      <c r="E2" s="1872"/>
      <c r="F2" s="1872"/>
      <c r="G2" s="1872"/>
      <c r="H2" s="1872"/>
      <c r="I2" s="1872"/>
      <c r="J2" s="1872"/>
      <c r="O2" s="59" t="e">
        <f>FIND("RESIDENTIAL", E2)</f>
        <v>#VALUE!</v>
      </c>
    </row>
    <row r="3" spans="1:15" x14ac:dyDescent="0.2">
      <c r="D3" s="290" t="s">
        <v>1653</v>
      </c>
      <c r="E3" s="1873"/>
      <c r="F3" s="1873"/>
      <c r="G3" s="1873"/>
      <c r="H3" s="291"/>
      <c r="I3" s="291"/>
    </row>
    <row r="4" spans="1:15" ht="15.75" x14ac:dyDescent="0.2">
      <c r="D4" s="290" t="s">
        <v>157</v>
      </c>
      <c r="E4" s="292"/>
      <c r="F4" s="293" t="s">
        <v>158</v>
      </c>
      <c r="G4" s="289"/>
      <c r="J4" s="294"/>
      <c r="K4" s="294"/>
      <c r="L4" s="294"/>
      <c r="M4" s="294"/>
      <c r="N4" s="294"/>
      <c r="O4" s="294"/>
    </row>
    <row r="5" spans="1:15" ht="15.75" x14ac:dyDescent="0.25">
      <c r="D5" s="290" t="s">
        <v>369</v>
      </c>
      <c r="E5" s="292"/>
      <c r="F5" s="295" t="s">
        <v>159</v>
      </c>
      <c r="G5" s="296"/>
      <c r="H5" s="297"/>
      <c r="I5" s="297"/>
      <c r="J5" s="297"/>
    </row>
    <row r="6" spans="1:15" x14ac:dyDescent="0.2">
      <c r="D6" s="290" t="s">
        <v>1684</v>
      </c>
      <c r="E6" s="298"/>
    </row>
    <row r="7" spans="1:15" x14ac:dyDescent="0.2">
      <c r="D7" s="290" t="s">
        <v>1685</v>
      </c>
      <c r="E7" s="298"/>
    </row>
    <row r="8" spans="1:15" x14ac:dyDescent="0.2">
      <c r="D8" s="289"/>
    </row>
    <row r="9" spans="1:15" x14ac:dyDescent="0.2">
      <c r="D9" s="289"/>
      <c r="E9" s="299"/>
      <c r="F9" s="1864" t="s">
        <v>2271</v>
      </c>
      <c r="G9" s="1874"/>
      <c r="H9" s="1865"/>
      <c r="I9" s="1864" t="s">
        <v>350</v>
      </c>
      <c r="J9" s="1874"/>
      <c r="K9" s="1865"/>
      <c r="L9" s="1864" t="s">
        <v>351</v>
      </c>
      <c r="M9" s="1865"/>
    </row>
    <row r="10" spans="1:15" x14ac:dyDescent="0.2">
      <c r="D10" s="289"/>
      <c r="E10" s="1866"/>
      <c r="F10" s="300" t="s">
        <v>352</v>
      </c>
      <c r="G10" s="300" t="s">
        <v>150</v>
      </c>
      <c r="H10" s="301" t="s">
        <v>353</v>
      </c>
      <c r="I10" s="300" t="s">
        <v>352</v>
      </c>
      <c r="J10" s="302" t="s">
        <v>150</v>
      </c>
      <c r="K10" s="301" t="s">
        <v>353</v>
      </c>
      <c r="L10" s="1868" t="s">
        <v>354</v>
      </c>
      <c r="M10" s="1870" t="s">
        <v>355</v>
      </c>
    </row>
    <row r="11" spans="1:15" x14ac:dyDescent="0.2">
      <c r="D11" s="289"/>
      <c r="E11" s="1867"/>
      <c r="F11" s="303" t="s">
        <v>356</v>
      </c>
      <c r="G11" s="303"/>
      <c r="H11" s="304" t="s">
        <v>356</v>
      </c>
      <c r="I11" s="303" t="s">
        <v>356</v>
      </c>
      <c r="J11" s="304"/>
      <c r="K11" s="304" t="s">
        <v>356</v>
      </c>
      <c r="L11" s="1869"/>
      <c r="M11" s="1871"/>
    </row>
    <row r="12" spans="1:15" x14ac:dyDescent="0.2">
      <c r="A12" s="59">
        <f>$E2</f>
        <v>0</v>
      </c>
      <c r="C12" s="390"/>
      <c r="D12" s="69" t="s">
        <v>357</v>
      </c>
      <c r="E12" s="348"/>
      <c r="F12" s="374"/>
      <c r="G12" s="330">
        <v>1</v>
      </c>
      <c r="H12" s="375">
        <f>G12*F12</f>
        <v>0</v>
      </c>
      <c r="I12" s="376"/>
      <c r="J12" s="357">
        <f>G12</f>
        <v>1</v>
      </c>
      <c r="K12" s="375">
        <f>J12*I12</f>
        <v>0</v>
      </c>
      <c r="L12" s="358">
        <f t="shared" ref="L12:L23" si="0">K12-H12</f>
        <v>0</v>
      </c>
      <c r="M12" s="377" t="str">
        <f>IF(ISERROR(L12/H12), "", L12/H12)</f>
        <v/>
      </c>
    </row>
    <row r="13" spans="1:15" x14ac:dyDescent="0.2">
      <c r="A13" s="59">
        <f>A12</f>
        <v>0</v>
      </c>
      <c r="C13" s="390"/>
      <c r="D13" s="69" t="s">
        <v>84</v>
      </c>
      <c r="E13" s="348"/>
      <c r="F13" s="354"/>
      <c r="G13" s="330">
        <f>IF($E5&gt;0, $E5, $E4)</f>
        <v>0</v>
      </c>
      <c r="H13" s="375">
        <f t="shared" ref="H13:H25" si="1">G13*F13</f>
        <v>0</v>
      </c>
      <c r="I13" s="351"/>
      <c r="J13" s="357">
        <f>IF($E5&gt;0, $E5, $E4)</f>
        <v>0</v>
      </c>
      <c r="K13" s="375">
        <f>J13*I13</f>
        <v>0</v>
      </c>
      <c r="L13" s="358">
        <f t="shared" si="0"/>
        <v>0</v>
      </c>
      <c r="M13" s="377" t="str">
        <f t="shared" ref="M13:M23" si="2">IF(ISERROR(L13/H13), "", L13/H13)</f>
        <v/>
      </c>
    </row>
    <row r="14" spans="1:15" x14ac:dyDescent="0.2">
      <c r="A14" s="59">
        <f t="shared" ref="A14:A55" si="3">A13</f>
        <v>0</v>
      </c>
      <c r="C14" s="390"/>
      <c r="D14" s="69" t="s">
        <v>5950</v>
      </c>
      <c r="E14" s="348"/>
      <c r="F14" s="354"/>
      <c r="G14" s="330">
        <f>IF($E5&gt;0, $E5, $E4)</f>
        <v>0</v>
      </c>
      <c r="H14" s="375">
        <v>-60.5</v>
      </c>
      <c r="I14" s="351"/>
      <c r="J14" s="357">
        <f>IF($E5&gt;0, $E5, $E4)</f>
        <v>0</v>
      </c>
      <c r="K14" s="375">
        <v>-60.5</v>
      </c>
      <c r="L14" s="358"/>
      <c r="M14" s="377"/>
    </row>
    <row r="15" spans="1:15" x14ac:dyDescent="0.2">
      <c r="A15" s="59">
        <f t="shared" si="3"/>
        <v>0</v>
      </c>
      <c r="C15" s="390"/>
      <c r="D15" s="69" t="s">
        <v>4872</v>
      </c>
      <c r="E15" s="348"/>
      <c r="F15" s="354"/>
      <c r="G15" s="330">
        <f>IF($E5&gt;0, $E5, $E4)</f>
        <v>0</v>
      </c>
      <c r="H15" s="375">
        <f>IF(H12+H13+H14&gt;36.43,-(H12+H13+H14-36.43),0)</f>
        <v>0</v>
      </c>
      <c r="I15" s="351"/>
      <c r="J15" s="330">
        <f>IF($E5&gt;0, $E5, $E4)</f>
        <v>0</v>
      </c>
      <c r="K15" s="375">
        <f>IF(K12+K13+K14&gt;36.43,-(K12+K13+K14-36.43),0)</f>
        <v>0</v>
      </c>
      <c r="L15" s="358">
        <f>K15-H15</f>
        <v>0</v>
      </c>
      <c r="M15" s="377" t="str">
        <f>IF(ISERROR(L15/H15), "", L15/H15)</f>
        <v/>
      </c>
    </row>
    <row r="16" spans="1:15" x14ac:dyDescent="0.2">
      <c r="A16" s="59">
        <f t="shared" si="3"/>
        <v>0</v>
      </c>
      <c r="C16" s="390"/>
      <c r="D16" s="70" t="s">
        <v>367</v>
      </c>
      <c r="E16" s="348"/>
      <c r="F16" s="374"/>
      <c r="G16" s="330">
        <v>1</v>
      </c>
      <c r="H16" s="375">
        <f t="shared" si="1"/>
        <v>0</v>
      </c>
      <c r="I16" s="376"/>
      <c r="J16" s="357">
        <f>G16</f>
        <v>1</v>
      </c>
      <c r="K16" s="375">
        <f t="shared" ref="K16:K23" si="4">J16*I16</f>
        <v>0</v>
      </c>
      <c r="L16" s="358">
        <f t="shared" si="0"/>
        <v>0</v>
      </c>
      <c r="M16" s="377" t="str">
        <f t="shared" si="2"/>
        <v/>
      </c>
    </row>
    <row r="17" spans="1:13" x14ac:dyDescent="0.2">
      <c r="A17" s="59">
        <f t="shared" si="3"/>
        <v>0</v>
      </c>
      <c r="C17" s="390"/>
      <c r="D17" s="69" t="s">
        <v>368</v>
      </c>
      <c r="E17" s="348"/>
      <c r="F17" s="354"/>
      <c r="G17" s="330">
        <f>IF($E5&gt;0, $E5, $E4)</f>
        <v>0</v>
      </c>
      <c r="H17" s="375">
        <f t="shared" si="1"/>
        <v>0</v>
      </c>
      <c r="I17" s="351"/>
      <c r="J17" s="357">
        <f>IF($E5&gt;0, $E5, $E4)</f>
        <v>0</v>
      </c>
      <c r="K17" s="375">
        <f t="shared" si="4"/>
        <v>0</v>
      </c>
      <c r="L17" s="358">
        <f t="shared" si="0"/>
        <v>0</v>
      </c>
      <c r="M17" s="377" t="str">
        <f t="shared" si="2"/>
        <v/>
      </c>
    </row>
    <row r="18" spans="1:13" x14ac:dyDescent="0.2">
      <c r="A18" s="59">
        <f t="shared" si="3"/>
        <v>0</v>
      </c>
      <c r="B18" s="306" t="s">
        <v>1654</v>
      </c>
      <c r="C18" s="390"/>
      <c r="D18" s="307" t="s">
        <v>358</v>
      </c>
      <c r="E18" s="308"/>
      <c r="F18" s="378"/>
      <c r="G18" s="898"/>
      <c r="H18" s="899">
        <f>SUM(H12:H17)</f>
        <v>-60.5</v>
      </c>
      <c r="I18" s="379"/>
      <c r="J18" s="315"/>
      <c r="K18" s="899">
        <f>SUM(K12:K17)</f>
        <v>-60.5</v>
      </c>
      <c r="L18" s="309">
        <f t="shared" si="0"/>
        <v>0</v>
      </c>
      <c r="M18" s="310">
        <f>IF((H18)=0,"",(L18/H18))</f>
        <v>0</v>
      </c>
    </row>
    <row r="19" spans="1:13" x14ac:dyDescent="0.2">
      <c r="A19" s="59">
        <f t="shared" si="3"/>
        <v>0</v>
      </c>
      <c r="C19" s="390"/>
      <c r="D19" s="73" t="s">
        <v>430</v>
      </c>
      <c r="E19" s="348"/>
      <c r="F19" s="354">
        <f>IF((E4*12&gt;=150000), 0, IF(E3="RPP",(F35*0.65+F36*0.17+F37*0.18),IF(E3="Non-RPP (Retailer)",F38,F39)))</f>
        <v>0.1101</v>
      </c>
      <c r="G19" s="361">
        <f>IF(F19=0, 0, $E4*E6-E4)</f>
        <v>0</v>
      </c>
      <c r="H19" s="375">
        <f>G19*F19</f>
        <v>0</v>
      </c>
      <c r="I19" s="351">
        <f>IF((E4*12&gt;=150000), 0, IF(E3="RPP",(I35*0.65+I36*0.17+I37*0.18),IF(E3="Non-RPP (Retailer)",I38,I39)))</f>
        <v>0.1101</v>
      </c>
      <c r="J19" s="361">
        <f>IF(I19=0, 0, E4*E7-E4)</f>
        <v>0</v>
      </c>
      <c r="K19" s="375">
        <f>J19*I19</f>
        <v>0</v>
      </c>
      <c r="L19" s="358">
        <f>K19-H19</f>
        <v>0</v>
      </c>
      <c r="M19" s="377" t="str">
        <f>IF(ISERROR(L19/H19), "", L19/H19)</f>
        <v/>
      </c>
    </row>
    <row r="20" spans="1:13" ht="25.5" x14ac:dyDescent="0.2">
      <c r="A20" s="59">
        <f t="shared" si="3"/>
        <v>0</v>
      </c>
      <c r="C20" s="390"/>
      <c r="D20" s="73" t="s">
        <v>366</v>
      </c>
      <c r="E20" s="348"/>
      <c r="F20" s="354"/>
      <c r="G20" s="362">
        <f>IF($E5&gt;0, $E5, $E4)</f>
        <v>0</v>
      </c>
      <c r="H20" s="375">
        <f t="shared" si="1"/>
        <v>0</v>
      </c>
      <c r="I20" s="351"/>
      <c r="J20" s="362">
        <f>IF($E5&gt;0, $E5, $E4)</f>
        <v>0</v>
      </c>
      <c r="K20" s="375">
        <f t="shared" si="4"/>
        <v>0</v>
      </c>
      <c r="L20" s="358">
        <f t="shared" si="0"/>
        <v>0</v>
      </c>
      <c r="M20" s="377" t="str">
        <f t="shared" si="2"/>
        <v/>
      </c>
    </row>
    <row r="21" spans="1:13" x14ac:dyDescent="0.2">
      <c r="A21" s="59">
        <f t="shared" si="3"/>
        <v>0</v>
      </c>
      <c r="C21" s="390"/>
      <c r="D21" s="73" t="s">
        <v>2885</v>
      </c>
      <c r="E21" s="348"/>
      <c r="F21" s="354"/>
      <c r="G21" s="362">
        <f>IF($E5&gt;0, $E5, $E4)</f>
        <v>0</v>
      </c>
      <c r="H21" s="375">
        <f>G21*F21</f>
        <v>0</v>
      </c>
      <c r="I21" s="351"/>
      <c r="J21" s="362">
        <f>IF($E5&gt;0, $E5, $E4)</f>
        <v>0</v>
      </c>
      <c r="K21" s="375">
        <f>J21*I21</f>
        <v>0</v>
      </c>
      <c r="L21" s="358">
        <f t="shared" si="0"/>
        <v>0</v>
      </c>
      <c r="M21" s="377" t="str">
        <f t="shared" si="2"/>
        <v/>
      </c>
    </row>
    <row r="22" spans="1:13" x14ac:dyDescent="0.2">
      <c r="A22" s="59">
        <f t="shared" si="3"/>
        <v>0</v>
      </c>
      <c r="C22" s="390"/>
      <c r="D22" s="73" t="s">
        <v>2281</v>
      </c>
      <c r="E22" s="348"/>
      <c r="F22" s="354"/>
      <c r="G22" s="362">
        <f>E4</f>
        <v>0</v>
      </c>
      <c r="H22" s="375">
        <f>G22*F22</f>
        <v>0</v>
      </c>
      <c r="I22" s="351"/>
      <c r="J22" s="362">
        <f>E4</f>
        <v>0</v>
      </c>
      <c r="K22" s="375">
        <f t="shared" si="4"/>
        <v>0</v>
      </c>
      <c r="L22" s="358">
        <f t="shared" si="0"/>
        <v>0</v>
      </c>
      <c r="M22" s="377" t="str">
        <f t="shared" si="2"/>
        <v/>
      </c>
    </row>
    <row r="23" spans="1:13" x14ac:dyDescent="0.2">
      <c r="A23" s="59">
        <f t="shared" si="3"/>
        <v>0</v>
      </c>
      <c r="C23" s="390"/>
      <c r="D23" s="75" t="s">
        <v>145</v>
      </c>
      <c r="E23" s="348"/>
      <c r="F23" s="354"/>
      <c r="G23" s="362">
        <f>IF($E5&gt;0, $E5, $E4)</f>
        <v>0</v>
      </c>
      <c r="H23" s="375">
        <f t="shared" si="1"/>
        <v>0</v>
      </c>
      <c r="I23" s="351"/>
      <c r="J23" s="362">
        <f>IF($E5&gt;0, $E5, $E4)</f>
        <v>0</v>
      </c>
      <c r="K23" s="375">
        <f t="shared" si="4"/>
        <v>0</v>
      </c>
      <c r="L23" s="358">
        <f t="shared" si="0"/>
        <v>0</v>
      </c>
      <c r="M23" s="377" t="str">
        <f t="shared" si="2"/>
        <v/>
      </c>
    </row>
    <row r="24" spans="1:13" ht="14.25" customHeight="1" x14ac:dyDescent="0.2">
      <c r="A24" s="59">
        <f t="shared" si="3"/>
        <v>0</v>
      </c>
      <c r="C24" s="390"/>
      <c r="D24" s="429" t="s">
        <v>5951</v>
      </c>
      <c r="E24" s="348"/>
      <c r="F24" s="1001">
        <f>IF(OR(ISNUMBER(SEARCH("RESIDENTIAL", E2))=TRUE, ISNUMBER(SEARCH("GENERAL SERVICE LESS THAN 50", E2))=TRUE), SME, 0)</f>
        <v>0</v>
      </c>
      <c r="G24" s="330">
        <v>1</v>
      </c>
      <c r="H24" s="375">
        <f>G24*F24</f>
        <v>0</v>
      </c>
      <c r="I24" s="1002">
        <f>IF(OR(ISNUMBER(SEARCH("RESIDENTIAL", E2))=TRUE, ISNUMBER(SEARCH("GENERAL SERVICE LESS THAN 50", E2))=TRUE), SME, 0)</f>
        <v>0</v>
      </c>
      <c r="J24" s="330">
        <v>1</v>
      </c>
      <c r="K24" s="375">
        <f>J24*I24</f>
        <v>0</v>
      </c>
      <c r="L24" s="358">
        <f t="shared" ref="L24:L33" si="5">K24-H24</f>
        <v>0</v>
      </c>
      <c r="M24" s="377" t="str">
        <f>IF(ISERROR(L24/H24), "", L24/H24)</f>
        <v/>
      </c>
    </row>
    <row r="25" spans="1:13" x14ac:dyDescent="0.2">
      <c r="A25" s="59">
        <f t="shared" si="3"/>
        <v>0</v>
      </c>
      <c r="C25" s="390"/>
      <c r="D25" s="75" t="s">
        <v>4871</v>
      </c>
      <c r="E25" s="348"/>
      <c r="F25" s="374"/>
      <c r="G25" s="330">
        <v>1</v>
      </c>
      <c r="H25" s="375">
        <f t="shared" si="1"/>
        <v>0</v>
      </c>
      <c r="I25" s="376"/>
      <c r="J25" s="330">
        <v>1</v>
      </c>
      <c r="K25" s="375">
        <f>J25*I25</f>
        <v>0</v>
      </c>
      <c r="L25" s="358">
        <f>K25-H25</f>
        <v>0</v>
      </c>
      <c r="M25" s="377" t="str">
        <f>IF(ISERROR(L25/H25), "", L25/H25)</f>
        <v/>
      </c>
    </row>
    <row r="26" spans="1:13" x14ac:dyDescent="0.2">
      <c r="A26" s="59">
        <f t="shared" si="3"/>
        <v>0</v>
      </c>
      <c r="C26" s="390"/>
      <c r="D26" s="75" t="s">
        <v>4870</v>
      </c>
      <c r="E26" s="348"/>
      <c r="F26" s="354"/>
      <c r="G26" s="362">
        <f>IF($E5&gt;0, $E5, $E4)</f>
        <v>0</v>
      </c>
      <c r="H26" s="375">
        <f>G26*F26</f>
        <v>0</v>
      </c>
      <c r="I26" s="351"/>
      <c r="J26" s="362">
        <f>IF($E5&gt;0, $E5, $E4)</f>
        <v>0</v>
      </c>
      <c r="K26" s="375">
        <f>J26*I26</f>
        <v>0</v>
      </c>
      <c r="L26" s="358">
        <f t="shared" si="5"/>
        <v>0</v>
      </c>
      <c r="M26" s="377" t="str">
        <f>IF(ISERROR(L26/H26), "", L26/H26)</f>
        <v/>
      </c>
    </row>
    <row r="27" spans="1:13" ht="25.5" x14ac:dyDescent="0.2">
      <c r="A27" s="59">
        <f t="shared" si="3"/>
        <v>0</v>
      </c>
      <c r="B27" s="289" t="s">
        <v>1655</v>
      </c>
      <c r="C27" s="390"/>
      <c r="D27" s="312" t="s">
        <v>1686</v>
      </c>
      <c r="E27" s="313"/>
      <c r="F27" s="349"/>
      <c r="G27" s="359"/>
      <c r="H27" s="314">
        <f>SUM(H18:H26)</f>
        <v>-60.5</v>
      </c>
      <c r="I27" s="350"/>
      <c r="J27" s="360"/>
      <c r="K27" s="314">
        <f>SUM(K18:K26)</f>
        <v>-60.5</v>
      </c>
      <c r="L27" s="309">
        <f t="shared" si="5"/>
        <v>0</v>
      </c>
      <c r="M27" s="310">
        <f>IF((H27)=0,"",(L27/H27))</f>
        <v>0</v>
      </c>
    </row>
    <row r="28" spans="1:13" x14ac:dyDescent="0.2">
      <c r="A28" s="59">
        <f t="shared" si="3"/>
        <v>0</v>
      </c>
      <c r="C28" s="390"/>
      <c r="D28" s="77" t="s">
        <v>360</v>
      </c>
      <c r="E28" s="348"/>
      <c r="F28" s="354"/>
      <c r="G28" s="361">
        <f>IF($E5&gt;0, $E5, $E4*$E6)</f>
        <v>0</v>
      </c>
      <c r="H28" s="375">
        <f>G28*F28</f>
        <v>0</v>
      </c>
      <c r="I28" s="351"/>
      <c r="J28" s="361">
        <f>IF($E5&gt;0, $E5, $E4*$E7)</f>
        <v>0</v>
      </c>
      <c r="K28" s="375">
        <f>J28*I28</f>
        <v>0</v>
      </c>
      <c r="L28" s="358">
        <f t="shared" si="5"/>
        <v>0</v>
      </c>
      <c r="M28" s="377" t="str">
        <f>IF(ISERROR(L28/H28), "", L28/H28)</f>
        <v/>
      </c>
    </row>
    <row r="29" spans="1:13" ht="25.5" x14ac:dyDescent="0.2">
      <c r="A29" s="59">
        <f t="shared" si="3"/>
        <v>0</v>
      </c>
      <c r="C29" s="390"/>
      <c r="D29" s="189" t="s">
        <v>370</v>
      </c>
      <c r="E29" s="348"/>
      <c r="F29" s="354"/>
      <c r="G29" s="361">
        <f>IF($E5&gt;0, $E5, $E4*$E6)</f>
        <v>0</v>
      </c>
      <c r="H29" s="375">
        <f>G29*F29</f>
        <v>0</v>
      </c>
      <c r="I29" s="351"/>
      <c r="J29" s="361">
        <f>IF($E5&gt;0, $E5, $E4*$E7)</f>
        <v>0</v>
      </c>
      <c r="K29" s="375">
        <f>J29*I29</f>
        <v>0</v>
      </c>
      <c r="L29" s="358">
        <f t="shared" si="5"/>
        <v>0</v>
      </c>
      <c r="M29" s="377" t="str">
        <f>IF(ISERROR(L29/H29), "", L29/H29)</f>
        <v/>
      </c>
    </row>
    <row r="30" spans="1:13" ht="25.5" x14ac:dyDescent="0.2">
      <c r="A30" s="59">
        <f t="shared" si="3"/>
        <v>0</v>
      </c>
      <c r="B30" s="289" t="s">
        <v>1656</v>
      </c>
      <c r="C30" s="390"/>
      <c r="D30" s="312" t="s">
        <v>1687</v>
      </c>
      <c r="E30" s="308"/>
      <c r="F30" s="349"/>
      <c r="G30" s="359"/>
      <c r="H30" s="314">
        <f>SUM(H27:H29)</f>
        <v>-60.5</v>
      </c>
      <c r="I30" s="350"/>
      <c r="J30" s="315"/>
      <c r="K30" s="314">
        <f>SUM(K27:K29)</f>
        <v>-60.5</v>
      </c>
      <c r="L30" s="309">
        <f t="shared" si="5"/>
        <v>0</v>
      </c>
      <c r="M30" s="310">
        <f>IF((H30)=0,"",(L30/H30))</f>
        <v>0</v>
      </c>
    </row>
    <row r="31" spans="1:13" ht="25.5" x14ac:dyDescent="0.2">
      <c r="A31" s="59">
        <f t="shared" si="3"/>
        <v>0</v>
      </c>
      <c r="C31" s="390"/>
      <c r="D31" s="316" t="s">
        <v>361</v>
      </c>
      <c r="E31" s="348"/>
      <c r="F31" s="354"/>
      <c r="G31" s="361">
        <f>E4*E6</f>
        <v>0</v>
      </c>
      <c r="H31" s="363">
        <f t="shared" ref="H31:H37" si="6">G31*F31</f>
        <v>0</v>
      </c>
      <c r="I31" s="351">
        <f>'17. Regulatory Charges'!$D$14</f>
        <v>3.2000000000000002E-3</v>
      </c>
      <c r="J31" s="361">
        <f>E4*E7</f>
        <v>0</v>
      </c>
      <c r="K31" s="363">
        <f t="shared" ref="K31:K37" si="7">J31*I31</f>
        <v>0</v>
      </c>
      <c r="L31" s="358">
        <f t="shared" si="5"/>
        <v>0</v>
      </c>
      <c r="M31" s="377" t="str">
        <f t="shared" ref="M31:M39" si="8">IF(ISERROR(L31/H31), "", L31/H31)</f>
        <v/>
      </c>
    </row>
    <row r="32" spans="1:13" ht="25.5" x14ac:dyDescent="0.2">
      <c r="A32" s="59">
        <f t="shared" si="3"/>
        <v>0</v>
      </c>
      <c r="C32" s="390"/>
      <c r="D32" s="316" t="s">
        <v>362</v>
      </c>
      <c r="E32" s="348"/>
      <c r="F32" s="354">
        <f>'17. Regulatory Charges'!$D$16</f>
        <v>2.9999999999999997E-4</v>
      </c>
      <c r="G32" s="361">
        <f>E4*E6</f>
        <v>0</v>
      </c>
      <c r="H32" s="363">
        <f t="shared" si="6"/>
        <v>0</v>
      </c>
      <c r="I32" s="351">
        <f>'17. Regulatory Charges'!$D$16</f>
        <v>2.9999999999999997E-4</v>
      </c>
      <c r="J32" s="361">
        <f>E4*E7</f>
        <v>0</v>
      </c>
      <c r="K32" s="363">
        <f t="shared" si="7"/>
        <v>0</v>
      </c>
      <c r="L32" s="358">
        <f t="shared" si="5"/>
        <v>0</v>
      </c>
      <c r="M32" s="377" t="str">
        <f t="shared" si="8"/>
        <v/>
      </c>
    </row>
    <row r="33" spans="1:13" x14ac:dyDescent="0.2">
      <c r="A33" s="59">
        <f t="shared" si="3"/>
        <v>0</v>
      </c>
      <c r="C33" s="390"/>
      <c r="D33" s="305" t="s">
        <v>363</v>
      </c>
      <c r="E33" s="348"/>
      <c r="F33" s="1001"/>
      <c r="G33" s="330">
        <v>1</v>
      </c>
      <c r="H33" s="363">
        <f t="shared" si="6"/>
        <v>0</v>
      </c>
      <c r="I33" s="1002">
        <f>'17. Regulatory Charges'!$D$17</f>
        <v>0.25</v>
      </c>
      <c r="J33" s="357">
        <v>1</v>
      </c>
      <c r="K33" s="363">
        <f t="shared" si="7"/>
        <v>0.25</v>
      </c>
      <c r="L33" s="358">
        <f t="shared" si="5"/>
        <v>0.25</v>
      </c>
      <c r="M33" s="377" t="str">
        <f t="shared" si="8"/>
        <v/>
      </c>
    </row>
    <row r="34" spans="1:13" ht="25.5" hidden="1" x14ac:dyDescent="0.2">
      <c r="A34" s="59">
        <f t="shared" si="3"/>
        <v>0</v>
      </c>
      <c r="C34" s="390"/>
      <c r="D34" s="316" t="s">
        <v>1688</v>
      </c>
      <c r="E34" s="348"/>
      <c r="F34" s="354"/>
      <c r="G34" s="361"/>
      <c r="H34" s="363"/>
      <c r="I34" s="351"/>
      <c r="J34" s="361"/>
      <c r="K34" s="363"/>
      <c r="L34" s="358"/>
      <c r="M34" s="377"/>
    </row>
    <row r="35" spans="1:13" x14ac:dyDescent="0.2">
      <c r="A35" s="59">
        <f t="shared" si="3"/>
        <v>0</v>
      </c>
      <c r="B35" s="289" t="s">
        <v>1647</v>
      </c>
      <c r="C35" s="390"/>
      <c r="D35" s="311" t="s">
        <v>228</v>
      </c>
      <c r="E35" s="348"/>
      <c r="F35" s="355">
        <f>OffPeak</f>
        <v>6.5000000000000002E-2</v>
      </c>
      <c r="G35" s="317">
        <f>IF(AND(E4*12&gt;=150000),0.65*E4*E6,0.65*E4)</f>
        <v>0</v>
      </c>
      <c r="H35" s="363">
        <f t="shared" si="6"/>
        <v>0</v>
      </c>
      <c r="I35" s="352">
        <f>OffPeak</f>
        <v>6.5000000000000002E-2</v>
      </c>
      <c r="J35" s="317">
        <f>IF(AND(E4*12&gt;=150000),0.65*E4*E7,0.65*E4)</f>
        <v>0</v>
      </c>
      <c r="K35" s="363">
        <f t="shared" si="7"/>
        <v>0</v>
      </c>
      <c r="L35" s="358">
        <f>K35-H35</f>
        <v>0</v>
      </c>
      <c r="M35" s="377" t="str">
        <f t="shared" si="8"/>
        <v/>
      </c>
    </row>
    <row r="36" spans="1:13" x14ac:dyDescent="0.2">
      <c r="A36" s="59">
        <f t="shared" si="3"/>
        <v>0</v>
      </c>
      <c r="B36" s="289" t="s">
        <v>1647</v>
      </c>
      <c r="C36" s="390"/>
      <c r="D36" s="311" t="s">
        <v>229</v>
      </c>
      <c r="E36" s="348"/>
      <c r="F36" s="355">
        <f>MidPeak</f>
        <v>9.4E-2</v>
      </c>
      <c r="G36" s="317">
        <f>IF(AND(E4*12&gt;=150000),0.17*E4*E6,0.17*E4)</f>
        <v>0</v>
      </c>
      <c r="H36" s="363">
        <f t="shared" si="6"/>
        <v>0</v>
      </c>
      <c r="I36" s="352">
        <f>MidPeak</f>
        <v>9.4E-2</v>
      </c>
      <c r="J36" s="317">
        <f>IF(AND(E4*12&gt;=150000),0.17*E4*E7,0.17*E4)</f>
        <v>0</v>
      </c>
      <c r="K36" s="363">
        <f t="shared" si="7"/>
        <v>0</v>
      </c>
      <c r="L36" s="358">
        <f>K36-H36</f>
        <v>0</v>
      </c>
      <c r="M36" s="377" t="str">
        <f t="shared" si="8"/>
        <v/>
      </c>
    </row>
    <row r="37" spans="1:13" x14ac:dyDescent="0.2">
      <c r="A37" s="59">
        <f t="shared" si="3"/>
        <v>0</v>
      </c>
      <c r="B37" s="289" t="s">
        <v>1647</v>
      </c>
      <c r="C37" s="390"/>
      <c r="D37" s="289" t="s">
        <v>230</v>
      </c>
      <c r="E37" s="348"/>
      <c r="F37" s="355">
        <f>OnPeak</f>
        <v>0.13200000000000001</v>
      </c>
      <c r="G37" s="317">
        <f>IF(AND(E4*12&gt;=150000),0.18*E4*E6,0.18*E4)</f>
        <v>0</v>
      </c>
      <c r="H37" s="363">
        <f t="shared" si="6"/>
        <v>0</v>
      </c>
      <c r="I37" s="352">
        <f>OnPeak</f>
        <v>0.13200000000000001</v>
      </c>
      <c r="J37" s="317">
        <f>IF(AND(E4*12&gt;=150000),0.18*E4*E7,0.18*E4)</f>
        <v>0</v>
      </c>
      <c r="K37" s="363">
        <f t="shared" si="7"/>
        <v>0</v>
      </c>
      <c r="L37" s="358">
        <f>K37-H37</f>
        <v>0</v>
      </c>
      <c r="M37" s="377" t="str">
        <f t="shared" si="8"/>
        <v/>
      </c>
    </row>
    <row r="38" spans="1:13" x14ac:dyDescent="0.2">
      <c r="A38" s="59">
        <f t="shared" si="3"/>
        <v>0</v>
      </c>
      <c r="B38" s="59" t="s">
        <v>1648</v>
      </c>
      <c r="C38" s="390"/>
      <c r="D38" s="311" t="s">
        <v>1657</v>
      </c>
      <c r="E38" s="348"/>
      <c r="F38" s="356">
        <v>0.1101</v>
      </c>
      <c r="G38" s="317">
        <f>IF(AND(E4*12&gt;=150000),E4*E6,E4)</f>
        <v>0</v>
      </c>
      <c r="H38" s="363">
        <f>G38*F38</f>
        <v>0</v>
      </c>
      <c r="I38" s="353">
        <f>F38</f>
        <v>0.1101</v>
      </c>
      <c r="J38" s="317">
        <f>IF(AND(E4*12&gt;=150000),E4*E7,E4)</f>
        <v>0</v>
      </c>
      <c r="K38" s="363">
        <f>J38*I38</f>
        <v>0</v>
      </c>
      <c r="L38" s="358">
        <f>K38-H38</f>
        <v>0</v>
      </c>
      <c r="M38" s="377" t="str">
        <f t="shared" si="8"/>
        <v/>
      </c>
    </row>
    <row r="39" spans="1:13" ht="13.5" thickBot="1" x14ac:dyDescent="0.25">
      <c r="A39" s="59">
        <f t="shared" si="3"/>
        <v>0</v>
      </c>
      <c r="B39" s="59" t="s">
        <v>1649</v>
      </c>
      <c r="C39" s="390"/>
      <c r="D39" s="311" t="s">
        <v>1658</v>
      </c>
      <c r="E39" s="348"/>
      <c r="F39" s="356">
        <v>0.1101</v>
      </c>
      <c r="G39" s="317">
        <f>IF(AND(E4*12&gt;=150000),E4*E6,E4)</f>
        <v>0</v>
      </c>
      <c r="H39" s="363">
        <f>G39*F39</f>
        <v>0</v>
      </c>
      <c r="I39" s="353">
        <f>F39</f>
        <v>0.1101</v>
      </c>
      <c r="J39" s="317">
        <f>IF(AND(E4*12&gt;=150000),E4*E7,E4)</f>
        <v>0</v>
      </c>
      <c r="K39" s="363">
        <f>J39*I39</f>
        <v>0</v>
      </c>
      <c r="L39" s="358">
        <f>K39-H39</f>
        <v>0</v>
      </c>
      <c r="M39" s="377" t="str">
        <f t="shared" si="8"/>
        <v/>
      </c>
    </row>
    <row r="40" spans="1:13" ht="13.5" thickBot="1" x14ac:dyDescent="0.25">
      <c r="A40" s="59">
        <f t="shared" si="3"/>
        <v>0</v>
      </c>
      <c r="B40" s="289"/>
      <c r="C40" s="390"/>
      <c r="D40" s="318"/>
      <c r="E40" s="319"/>
      <c r="F40" s="364"/>
      <c r="G40" s="236"/>
      <c r="H40" s="365"/>
      <c r="I40" s="364"/>
      <c r="J40" s="366"/>
      <c r="K40" s="365"/>
      <c r="L40" s="367"/>
      <c r="M40" s="239"/>
    </row>
    <row r="41" spans="1:13" x14ac:dyDescent="0.2">
      <c r="A41" s="59">
        <f t="shared" si="3"/>
        <v>0</v>
      </c>
      <c r="B41" s="289" t="s">
        <v>1647</v>
      </c>
      <c r="C41" s="390"/>
      <c r="D41" s="322" t="s">
        <v>365</v>
      </c>
      <c r="E41" s="305"/>
      <c r="F41" s="337"/>
      <c r="G41" s="368"/>
      <c r="H41" s="323">
        <f>SUM(H31:H37,H30)</f>
        <v>-60.5</v>
      </c>
      <c r="I41" s="324"/>
      <c r="J41" s="324"/>
      <c r="K41" s="323">
        <f>SUM(K31:K37,K30)</f>
        <v>-60.25</v>
      </c>
      <c r="L41" s="325">
        <f>K41-H41</f>
        <v>0.25</v>
      </c>
      <c r="M41" s="326">
        <f>IF((H41)=0,"",(L41/H41))</f>
        <v>-4.1322314049586778E-3</v>
      </c>
    </row>
    <row r="42" spans="1:13" x14ac:dyDescent="0.2">
      <c r="A42" s="59">
        <f t="shared" si="3"/>
        <v>0</v>
      </c>
      <c r="B42" s="289" t="s">
        <v>1647</v>
      </c>
      <c r="C42" s="390"/>
      <c r="D42" s="327" t="s">
        <v>152</v>
      </c>
      <c r="E42" s="305"/>
      <c r="F42" s="337">
        <v>0.13</v>
      </c>
      <c r="G42" s="369"/>
      <c r="H42" s="328">
        <f>H41*F42</f>
        <v>-7.8650000000000002</v>
      </c>
      <c r="I42" s="329">
        <v>0.13</v>
      </c>
      <c r="J42" s="330"/>
      <c r="K42" s="328">
        <f>K41*I42</f>
        <v>-7.8325000000000005</v>
      </c>
      <c r="L42" s="331">
        <f>K42-H42</f>
        <v>3.2499999999999751E-2</v>
      </c>
      <c r="M42" s="332">
        <f>IF((H42)=0,"",(L42/H42))</f>
        <v>-4.1322314049586457E-3</v>
      </c>
    </row>
    <row r="43" spans="1:13" x14ac:dyDescent="0.2">
      <c r="A43" s="59">
        <f t="shared" si="3"/>
        <v>0</v>
      </c>
      <c r="B43" s="289" t="s">
        <v>1647</v>
      </c>
      <c r="C43" s="390"/>
      <c r="D43" s="327" t="s">
        <v>2904</v>
      </c>
      <c r="E43" s="305"/>
      <c r="F43" s="337">
        <v>0.08</v>
      </c>
      <c r="G43" s="369"/>
      <c r="H43" s="328">
        <f>H41*-F43</f>
        <v>4.84</v>
      </c>
      <c r="I43" s="337">
        <v>0.08</v>
      </c>
      <c r="J43" s="330"/>
      <c r="K43" s="328">
        <f>K41*-I43</f>
        <v>4.82</v>
      </c>
      <c r="L43" s="331">
        <f>K43-H43</f>
        <v>-1.9999999999999574E-2</v>
      </c>
      <c r="M43" s="332"/>
    </row>
    <row r="44" spans="1:13" ht="13.5" thickBot="1" x14ac:dyDescent="0.25">
      <c r="A44" s="59">
        <f t="shared" si="3"/>
        <v>0</v>
      </c>
      <c r="B44" s="289" t="s">
        <v>1659</v>
      </c>
      <c r="C44" s="390"/>
      <c r="D44" s="1863" t="s">
        <v>1660</v>
      </c>
      <c r="E44" s="1863"/>
      <c r="F44" s="370"/>
      <c r="G44" s="371"/>
      <c r="H44" s="338">
        <f>H41+H42+H43</f>
        <v>-63.524999999999991</v>
      </c>
      <c r="I44" s="334"/>
      <c r="J44" s="334"/>
      <c r="K44" s="333">
        <f>K41+K42+K43</f>
        <v>-63.262499999999996</v>
      </c>
      <c r="L44" s="335">
        <f>K44-H44</f>
        <v>0.26249999999999574</v>
      </c>
      <c r="M44" s="336">
        <f>IF((H44)=0,"",(L44/H44))</f>
        <v>-4.132231404958611E-3</v>
      </c>
    </row>
    <row r="45" spans="1:13" ht="13.5" thickBot="1" x14ac:dyDescent="0.25">
      <c r="A45" s="59">
        <f t="shared" si="3"/>
        <v>0</v>
      </c>
      <c r="B45" s="59" t="s">
        <v>1647</v>
      </c>
      <c r="C45" s="390"/>
      <c r="D45" s="318"/>
      <c r="E45" s="319"/>
      <c r="F45" s="364"/>
      <c r="G45" s="236"/>
      <c r="H45" s="365"/>
      <c r="I45" s="364"/>
      <c r="J45" s="366"/>
      <c r="K45" s="365"/>
      <c r="L45" s="367"/>
      <c r="M45" s="239"/>
    </row>
    <row r="46" spans="1:13" x14ac:dyDescent="0.2">
      <c r="A46" s="59">
        <f t="shared" si="3"/>
        <v>0</v>
      </c>
      <c r="B46" s="59" t="s">
        <v>1648</v>
      </c>
      <c r="C46" s="390"/>
      <c r="D46" s="322" t="s">
        <v>1661</v>
      </c>
      <c r="E46" s="305"/>
      <c r="F46" s="337"/>
      <c r="G46" s="368"/>
      <c r="H46" s="323">
        <f>SUM(H38,H31:H34,H30)</f>
        <v>-60.5</v>
      </c>
      <c r="I46" s="324"/>
      <c r="J46" s="324"/>
      <c r="K46" s="323">
        <f>SUM(K38,K31:K34,K30)</f>
        <v>-60.25</v>
      </c>
      <c r="L46" s="325">
        <f>K46-H46</f>
        <v>0.25</v>
      </c>
      <c r="M46" s="326">
        <f>IF((H46)=0,"",(L46/H46))</f>
        <v>-4.1322314049586778E-3</v>
      </c>
    </row>
    <row r="47" spans="1:13" x14ac:dyDescent="0.2">
      <c r="A47" s="59">
        <f t="shared" si="3"/>
        <v>0</v>
      </c>
      <c r="B47" s="59" t="s">
        <v>1648</v>
      </c>
      <c r="C47" s="390"/>
      <c r="D47" s="327" t="s">
        <v>152</v>
      </c>
      <c r="E47" s="305"/>
      <c r="F47" s="337">
        <v>0.13</v>
      </c>
      <c r="G47" s="368"/>
      <c r="H47" s="328">
        <f>H46*F47</f>
        <v>-7.8650000000000002</v>
      </c>
      <c r="I47" s="337">
        <v>0.13</v>
      </c>
      <c r="J47" s="329"/>
      <c r="K47" s="328">
        <f>K46*I47</f>
        <v>-7.8325000000000005</v>
      </c>
      <c r="L47" s="331">
        <f>K47-H47</f>
        <v>3.2499999999999751E-2</v>
      </c>
      <c r="M47" s="332">
        <f>IF((H47)=0,"",(L47/H47))</f>
        <v>-4.1322314049586457E-3</v>
      </c>
    </row>
    <row r="48" spans="1:13" x14ac:dyDescent="0.2">
      <c r="A48" s="59">
        <f t="shared" si="3"/>
        <v>0</v>
      </c>
      <c r="B48" s="59" t="s">
        <v>1648</v>
      </c>
      <c r="C48" s="390"/>
      <c r="D48" s="327" t="s">
        <v>2904</v>
      </c>
      <c r="E48" s="305"/>
      <c r="F48" s="337">
        <v>0.08</v>
      </c>
      <c r="G48" s="368"/>
      <c r="H48" s="877"/>
      <c r="I48" s="337">
        <v>0.08</v>
      </c>
      <c r="J48" s="329"/>
      <c r="K48" s="877"/>
      <c r="L48" s="331"/>
      <c r="M48" s="332"/>
    </row>
    <row r="49" spans="1:13" ht="13.5" thickBot="1" x14ac:dyDescent="0.25">
      <c r="A49" s="59">
        <f t="shared" si="3"/>
        <v>0</v>
      </c>
      <c r="B49" s="59" t="s">
        <v>1662</v>
      </c>
      <c r="C49" s="390"/>
      <c r="D49" s="1863" t="s">
        <v>1661</v>
      </c>
      <c r="E49" s="1863"/>
      <c r="F49" s="372"/>
      <c r="G49" s="373"/>
      <c r="H49" s="338">
        <f>SUM(H46,H47)</f>
        <v>-68.364999999999995</v>
      </c>
      <c r="I49" s="339"/>
      <c r="J49" s="339"/>
      <c r="K49" s="338">
        <f>SUM(K46,K47)</f>
        <v>-68.082499999999996</v>
      </c>
      <c r="L49" s="340">
        <f>K49-H49</f>
        <v>0.28249999999999886</v>
      </c>
      <c r="M49" s="341">
        <f>IF((H49)=0,"",(L49/H49))</f>
        <v>-4.1322314049586613E-3</v>
      </c>
    </row>
    <row r="50" spans="1:13" ht="13.5" thickBot="1" x14ac:dyDescent="0.25">
      <c r="A50" s="59">
        <f t="shared" si="3"/>
        <v>0</v>
      </c>
      <c r="B50" s="59" t="s">
        <v>1648</v>
      </c>
      <c r="C50" s="390"/>
      <c r="D50" s="318"/>
      <c r="E50" s="319"/>
      <c r="F50" s="233"/>
      <c r="G50" s="234"/>
      <c r="H50" s="235"/>
      <c r="I50" s="233"/>
      <c r="J50" s="236"/>
      <c r="K50" s="235"/>
      <c r="L50" s="238"/>
      <c r="M50" s="239"/>
    </row>
    <row r="51" spans="1:13" x14ac:dyDescent="0.2">
      <c r="A51" s="59">
        <f t="shared" si="3"/>
        <v>0</v>
      </c>
      <c r="B51" s="59" t="s">
        <v>1649</v>
      </c>
      <c r="C51" s="390"/>
      <c r="D51" s="322" t="s">
        <v>1663</v>
      </c>
      <c r="E51" s="305"/>
      <c r="F51" s="337"/>
      <c r="G51" s="368"/>
      <c r="H51" s="323">
        <f>SUM(H39,H31:H34,H30)</f>
        <v>-60.5</v>
      </c>
      <c r="I51" s="324"/>
      <c r="J51" s="324"/>
      <c r="K51" s="323">
        <f>SUM(K39,K31:K34,K30)</f>
        <v>-60.25</v>
      </c>
      <c r="L51" s="325">
        <f>K51-H51</f>
        <v>0.25</v>
      </c>
      <c r="M51" s="326">
        <f>IF((H51)=0,"",(L51/H51))</f>
        <v>-4.1322314049586778E-3</v>
      </c>
    </row>
    <row r="52" spans="1:13" x14ac:dyDescent="0.2">
      <c r="A52" s="59">
        <f t="shared" si="3"/>
        <v>0</v>
      </c>
      <c r="B52" s="59" t="s">
        <v>1649</v>
      </c>
      <c r="C52" s="390"/>
      <c r="D52" s="327" t="s">
        <v>152</v>
      </c>
      <c r="E52" s="305"/>
      <c r="F52" s="337">
        <v>0.13</v>
      </c>
      <c r="G52" s="368"/>
      <c r="H52" s="328">
        <f>H51*F52</f>
        <v>-7.8650000000000002</v>
      </c>
      <c r="I52" s="337">
        <v>0.13</v>
      </c>
      <c r="J52" s="329"/>
      <c r="K52" s="328">
        <f>K51*I52</f>
        <v>-7.8325000000000005</v>
      </c>
      <c r="L52" s="331">
        <f>K52-H52</f>
        <v>3.2499999999999751E-2</v>
      </c>
      <c r="M52" s="332">
        <f>IF((H52)=0,"",(L52/H52))</f>
        <v>-4.1322314049586457E-3</v>
      </c>
    </row>
    <row r="53" spans="1:13" x14ac:dyDescent="0.2">
      <c r="A53" s="59">
        <f t="shared" si="3"/>
        <v>0</v>
      </c>
      <c r="B53" s="59" t="s">
        <v>1649</v>
      </c>
      <c r="C53" s="390"/>
      <c r="D53" s="327" t="s">
        <v>2904</v>
      </c>
      <c r="E53" s="305"/>
      <c r="F53" s="337">
        <v>0.08</v>
      </c>
      <c r="G53" s="368"/>
      <c r="H53" s="877"/>
      <c r="I53" s="337">
        <v>0.08</v>
      </c>
      <c r="J53" s="329"/>
      <c r="K53" s="877"/>
      <c r="L53" s="331"/>
      <c r="M53" s="332"/>
    </row>
    <row r="54" spans="1:13" ht="13.5" thickBot="1" x14ac:dyDescent="0.25">
      <c r="A54" s="59">
        <f t="shared" si="3"/>
        <v>0</v>
      </c>
      <c r="B54" s="59" t="s">
        <v>1664</v>
      </c>
      <c r="C54" s="390"/>
      <c r="D54" s="1863" t="s">
        <v>1663</v>
      </c>
      <c r="E54" s="1863"/>
      <c r="F54" s="372"/>
      <c r="G54" s="373"/>
      <c r="H54" s="338">
        <f>SUM(H51,H52)</f>
        <v>-68.364999999999995</v>
      </c>
      <c r="I54" s="339"/>
      <c r="J54" s="339"/>
      <c r="K54" s="338">
        <f>SUM(K51,K52)</f>
        <v>-68.082499999999996</v>
      </c>
      <c r="L54" s="340">
        <f>K54-H54</f>
        <v>0.28249999999999886</v>
      </c>
      <c r="M54" s="341">
        <f>IF((H54)=0,"",(L54/H54))</f>
        <v>-4.1322314049586613E-3</v>
      </c>
    </row>
    <row r="55" spans="1:13" ht="13.5" thickBot="1" x14ac:dyDescent="0.25">
      <c r="A55" s="59">
        <f t="shared" si="3"/>
        <v>0</v>
      </c>
      <c r="B55" s="59" t="s">
        <v>1649</v>
      </c>
      <c r="C55" s="390"/>
      <c r="D55" s="318"/>
      <c r="E55" s="319"/>
      <c r="F55" s="342"/>
      <c r="G55" s="343"/>
      <c r="H55" s="344"/>
      <c r="I55" s="342"/>
      <c r="J55" s="320"/>
      <c r="K55" s="344"/>
      <c r="L55" s="345"/>
      <c r="M55" s="321"/>
    </row>
    <row r="71" spans="11:11" x14ac:dyDescent="0.2">
      <c r="K71" s="346"/>
    </row>
  </sheetData>
  <sheetProtection algorithmName="SHA-512" hashValue="dr/BLi0CqpOPdsyRQ1mgOAFtY72xNnu1ilEjyFWocTRo7n3FglwdExQUw2q6U6TsSz7M2EBrPOgrBPTgrhx1Ow==" saltValue="9avVbjBW77AE/d27nC7SqQ==" spinCount="100000" sheet="1" objects="1" scenarios="1" selectLockedCells="1"/>
  <mergeCells count="11">
    <mergeCell ref="E10:E11"/>
    <mergeCell ref="L10:L11"/>
    <mergeCell ref="M10:M11"/>
    <mergeCell ref="D54:E54"/>
    <mergeCell ref="D44:E44"/>
    <mergeCell ref="D49:E49"/>
    <mergeCell ref="E3:G3"/>
    <mergeCell ref="F9:H9"/>
    <mergeCell ref="I9:K9"/>
    <mergeCell ref="E2:J2"/>
    <mergeCell ref="L9:M9"/>
  </mergeCells>
  <dataValidations disablePrompts="1" count="1">
    <dataValidation type="list" allowBlank="1" showInputMessage="1" showErrorMessage="1" prompt="Select Charge Unit - monthly, per kWh, per kW" sqref="E45 E50 E55 E40">
      <formula1>"Monthly, per kWh, per kW"</formula1>
    </dataValidation>
  </dataValidations>
  <pageMargins left="0.75" right="0.75" top="1" bottom="1" header="0.5" footer="0.5"/>
  <pageSetup scale="39" orientation="portrait" r:id="rId1"/>
  <headerFooter alignWithMargins="0">
    <oddFooter>&amp;C9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2:O63"/>
  <sheetViews>
    <sheetView showGridLines="0" workbookViewId="0">
      <selection activeCell="E42" sqref="E42"/>
    </sheetView>
  </sheetViews>
  <sheetFormatPr defaultColWidth="9.140625" defaultRowHeight="12.75" x14ac:dyDescent="0.2"/>
  <cols>
    <col min="1" max="1" width="15.28515625" style="60" customWidth="1"/>
    <col min="2" max="2" width="9.140625" style="60"/>
    <col min="3" max="3" width="3.28515625" style="60" customWidth="1"/>
    <col min="4" max="4" width="34.7109375" style="60" customWidth="1"/>
    <col min="5" max="5" width="13.140625" style="60" customWidth="1"/>
    <col min="6" max="6" width="12.28515625" style="60" customWidth="1"/>
    <col min="7" max="7" width="11.5703125" style="60" customWidth="1"/>
    <col min="8" max="8" width="18.140625" style="60" customWidth="1"/>
    <col min="9" max="9" width="13.140625" style="60" customWidth="1"/>
    <col min="10" max="10" width="13.42578125" style="60" customWidth="1"/>
    <col min="11" max="11" width="13.5703125" style="60" customWidth="1"/>
    <col min="12" max="12" width="13.28515625" style="60" customWidth="1"/>
    <col min="13" max="13" width="12.7109375" style="60" customWidth="1"/>
    <col min="14" max="14" width="12.7109375" style="60" bestFit="1" customWidth="1"/>
    <col min="15" max="16" width="10.85546875" style="60" bestFit="1" customWidth="1"/>
    <col min="17" max="17" width="3.85546875" style="60" customWidth="1"/>
    <col min="18" max="20" width="9.140625" style="60"/>
    <col min="21" max="21" width="9.140625" style="60" customWidth="1"/>
    <col min="22" max="16384" width="9.140625" style="60"/>
  </cols>
  <sheetData>
    <row r="2" spans="1:15" x14ac:dyDescent="0.2">
      <c r="D2" s="180" t="s">
        <v>1652</v>
      </c>
      <c r="E2" s="1900"/>
      <c r="F2" s="1900"/>
      <c r="G2" s="1900"/>
      <c r="H2" s="1900"/>
      <c r="I2" s="1900"/>
      <c r="J2" s="1900"/>
      <c r="K2" s="384"/>
    </row>
    <row r="3" spans="1:15" x14ac:dyDescent="0.2">
      <c r="D3" s="180" t="s">
        <v>1653</v>
      </c>
      <c r="E3" s="1899"/>
      <c r="F3" s="1899"/>
      <c r="G3" s="1899"/>
      <c r="H3" s="181"/>
      <c r="I3" s="181"/>
    </row>
    <row r="4" spans="1:15" ht="15.75" x14ac:dyDescent="0.2">
      <c r="D4" s="180" t="s">
        <v>157</v>
      </c>
      <c r="E4" s="182">
        <v>800</v>
      </c>
      <c r="F4" s="5" t="s">
        <v>158</v>
      </c>
      <c r="G4" s="6"/>
      <c r="J4" s="183"/>
      <c r="K4" s="183"/>
      <c r="L4" s="183"/>
      <c r="M4" s="183"/>
      <c r="N4" s="183"/>
      <c r="O4" s="183"/>
    </row>
    <row r="5" spans="1:15" ht="15.75" x14ac:dyDescent="0.25">
      <c r="D5" s="180" t="s">
        <v>369</v>
      </c>
      <c r="E5" s="182"/>
      <c r="F5" s="184" t="s">
        <v>159</v>
      </c>
      <c r="G5" s="63"/>
      <c r="H5" s="61"/>
      <c r="I5" s="61"/>
      <c r="J5" s="61"/>
    </row>
    <row r="6" spans="1:15" x14ac:dyDescent="0.2">
      <c r="D6" s="180" t="s">
        <v>156</v>
      </c>
      <c r="E6" s="185">
        <v>1.05</v>
      </c>
    </row>
    <row r="8" spans="1:15" x14ac:dyDescent="0.2">
      <c r="D8" s="6"/>
    </row>
    <row r="12" spans="1:15" x14ac:dyDescent="0.2">
      <c r="A12" s="60">
        <f>$E2</f>
        <v>0</v>
      </c>
      <c r="D12" s="6"/>
      <c r="E12" s="1901" t="s">
        <v>349</v>
      </c>
      <c r="F12" s="1902"/>
      <c r="G12" s="1903"/>
      <c r="H12" s="1901" t="s">
        <v>350</v>
      </c>
      <c r="I12" s="1902"/>
      <c r="J12" s="1903"/>
      <c r="K12" s="1901" t="s">
        <v>351</v>
      </c>
      <c r="L12" s="1903"/>
    </row>
    <row r="13" spans="1:15" x14ac:dyDescent="0.2">
      <c r="A13" s="60">
        <f>A12</f>
        <v>0</v>
      </c>
      <c r="D13" s="6"/>
      <c r="E13" s="64" t="s">
        <v>352</v>
      </c>
      <c r="F13" s="64" t="s">
        <v>150</v>
      </c>
      <c r="G13" s="65" t="s">
        <v>353</v>
      </c>
      <c r="H13" s="64" t="s">
        <v>352</v>
      </c>
      <c r="I13" s="66" t="s">
        <v>150</v>
      </c>
      <c r="J13" s="65" t="s">
        <v>353</v>
      </c>
      <c r="K13" s="1895" t="s">
        <v>354</v>
      </c>
      <c r="L13" s="1897" t="s">
        <v>355</v>
      </c>
    </row>
    <row r="14" spans="1:15" x14ac:dyDescent="0.2">
      <c r="A14" s="60">
        <f t="shared" ref="A14:A52" si="0">A13</f>
        <v>0</v>
      </c>
      <c r="D14" s="6"/>
      <c r="E14" s="67" t="s">
        <v>356</v>
      </c>
      <c r="F14" s="67"/>
      <c r="G14" s="68" t="s">
        <v>356</v>
      </c>
      <c r="H14" s="67" t="s">
        <v>356</v>
      </c>
      <c r="I14" s="68"/>
      <c r="J14" s="68" t="s">
        <v>356</v>
      </c>
      <c r="K14" s="1896"/>
      <c r="L14" s="1898"/>
    </row>
    <row r="15" spans="1:15" x14ac:dyDescent="0.2">
      <c r="A15" s="60">
        <f t="shared" si="0"/>
        <v>0</v>
      </c>
      <c r="D15" s="69" t="s">
        <v>357</v>
      </c>
      <c r="E15" s="192"/>
      <c r="F15" s="193">
        <v>1</v>
      </c>
      <c r="G15" s="194">
        <f>F15*E15</f>
        <v>0</v>
      </c>
      <c r="H15" s="192"/>
      <c r="I15" s="195"/>
      <c r="J15" s="194">
        <f>I15*H15</f>
        <v>0</v>
      </c>
      <c r="K15" s="196">
        <f>J15-G15</f>
        <v>0</v>
      </c>
      <c r="L15" s="197" t="str">
        <f>IF(ISERROR(K15/G15), "", K15/G15)</f>
        <v/>
      </c>
    </row>
    <row r="16" spans="1:15" x14ac:dyDescent="0.2">
      <c r="A16" s="60">
        <f t="shared" si="0"/>
        <v>0</v>
      </c>
      <c r="D16" s="69" t="s">
        <v>84</v>
      </c>
      <c r="E16" s="198"/>
      <c r="F16" s="199">
        <f>IF($E5&gt;0, $E5, $E4)</f>
        <v>800</v>
      </c>
      <c r="G16" s="194">
        <f>F16*E16</f>
        <v>0</v>
      </c>
      <c r="H16" s="198"/>
      <c r="I16" s="199">
        <f>IF($E5&gt;0, $E5, $E4)</f>
        <v>800</v>
      </c>
      <c r="J16" s="194">
        <f>I16*H16</f>
        <v>0</v>
      </c>
      <c r="K16" s="196">
        <f t="shared" ref="K16:K51" si="1">J16-G16</f>
        <v>0</v>
      </c>
      <c r="L16" s="197" t="str">
        <f t="shared" ref="L16:L51" si="2">IF(ISERROR(K16/G16), "", K16/G16)</f>
        <v/>
      </c>
    </row>
    <row r="17" spans="1:15" x14ac:dyDescent="0.2">
      <c r="A17" s="60">
        <f t="shared" si="0"/>
        <v>0</v>
      </c>
      <c r="D17" s="70" t="s">
        <v>367</v>
      </c>
      <c r="E17" s="200"/>
      <c r="F17" s="193">
        <v>1</v>
      </c>
      <c r="G17" s="194">
        <f>F17*E17</f>
        <v>0</v>
      </c>
      <c r="H17" s="200"/>
      <c r="I17" s="195"/>
      <c r="J17" s="194">
        <f>I17*H17</f>
        <v>0</v>
      </c>
      <c r="K17" s="196">
        <f t="shared" si="1"/>
        <v>0</v>
      </c>
      <c r="L17" s="197" t="str">
        <f t="shared" si="2"/>
        <v/>
      </c>
    </row>
    <row r="18" spans="1:15" x14ac:dyDescent="0.2">
      <c r="A18" s="60">
        <f t="shared" si="0"/>
        <v>0</v>
      </c>
      <c r="D18" s="71" t="s">
        <v>368</v>
      </c>
      <c r="E18" s="201"/>
      <c r="F18" s="202">
        <f>F16</f>
        <v>800</v>
      </c>
      <c r="G18" s="194">
        <f>F18*E18</f>
        <v>0</v>
      </c>
      <c r="H18" s="201"/>
      <c r="I18" s="202">
        <f>I16</f>
        <v>800</v>
      </c>
      <c r="J18" s="194">
        <f>I18*H18</f>
        <v>0</v>
      </c>
      <c r="K18" s="196">
        <f t="shared" si="1"/>
        <v>0</v>
      </c>
      <c r="L18" s="197" t="str">
        <f t="shared" si="2"/>
        <v/>
      </c>
    </row>
    <row r="19" spans="1:15" x14ac:dyDescent="0.2">
      <c r="A19" s="60">
        <f t="shared" si="0"/>
        <v>0</v>
      </c>
      <c r="B19" s="7" t="s">
        <v>1654</v>
      </c>
      <c r="D19" s="72" t="s">
        <v>358</v>
      </c>
      <c r="E19" s="203"/>
      <c r="F19" s="204"/>
      <c r="G19" s="205">
        <f>SUM(G15:G18)</f>
        <v>0</v>
      </c>
      <c r="H19" s="203"/>
      <c r="I19" s="206"/>
      <c r="J19" s="205">
        <f>SUM(J15:J18)</f>
        <v>0</v>
      </c>
      <c r="K19" s="205">
        <f>SUM(K15:K18)</f>
        <v>0</v>
      </c>
      <c r="L19" s="280"/>
    </row>
    <row r="20" spans="1:15" x14ac:dyDescent="0.2">
      <c r="A20" s="60">
        <f t="shared" si="0"/>
        <v>0</v>
      </c>
      <c r="D20" s="73" t="s">
        <v>430</v>
      </c>
      <c r="E20" s="243">
        <f>IF(E3="RPP",(E32*0.64+E33*0.18+E34*0.18),IF(E3="Non-RPP (Retailer)",E35,E36))</f>
        <v>9.06E-2</v>
      </c>
      <c r="F20" s="207">
        <f>$E4*($E6) - ($E4)</f>
        <v>40</v>
      </c>
      <c r="G20" s="194">
        <f>F20*E20</f>
        <v>3.6240000000000001</v>
      </c>
      <c r="H20" s="243">
        <f>IF(E3="RPP",(H32*0.64+H33*0.18+H34*0.18),IF(E3="Non-RPP (Retailer)",H35,H36))</f>
        <v>9.06E-2</v>
      </c>
      <c r="I20" s="207">
        <f>$E4*($E6) - ($E4)</f>
        <v>40</v>
      </c>
      <c r="J20" s="194">
        <f>I20*H20</f>
        <v>3.6240000000000001</v>
      </c>
      <c r="K20" s="196">
        <f t="shared" si="1"/>
        <v>0</v>
      </c>
      <c r="L20" s="197">
        <f t="shared" si="2"/>
        <v>0</v>
      </c>
    </row>
    <row r="21" spans="1:15" ht="25.5" x14ac:dyDescent="0.2">
      <c r="A21" s="60">
        <f t="shared" si="0"/>
        <v>0</v>
      </c>
      <c r="D21" s="73" t="s">
        <v>366</v>
      </c>
      <c r="E21" s="208"/>
      <c r="F21" s="207">
        <f>F16</f>
        <v>800</v>
      </c>
      <c r="G21" s="194">
        <f>F21*E21</f>
        <v>0</v>
      </c>
      <c r="H21" s="208"/>
      <c r="I21" s="207">
        <f>I16</f>
        <v>800</v>
      </c>
      <c r="J21" s="194">
        <f>I21*H21</f>
        <v>0</v>
      </c>
      <c r="K21" s="196">
        <f t="shared" si="1"/>
        <v>0</v>
      </c>
      <c r="L21" s="197" t="str">
        <f t="shared" si="2"/>
        <v/>
      </c>
    </row>
    <row r="22" spans="1:15" x14ac:dyDescent="0.2">
      <c r="A22" s="60">
        <f t="shared" si="0"/>
        <v>0</v>
      </c>
      <c r="D22" s="75" t="s">
        <v>145</v>
      </c>
      <c r="E22" s="198"/>
      <c r="F22" s="207">
        <f>F16</f>
        <v>800</v>
      </c>
      <c r="G22" s="194">
        <f>F22*E22</f>
        <v>0</v>
      </c>
      <c r="H22" s="198"/>
      <c r="I22" s="207">
        <f>I16</f>
        <v>800</v>
      </c>
      <c r="J22" s="194">
        <f>I22*H22</f>
        <v>0</v>
      </c>
      <c r="K22" s="196">
        <f t="shared" si="1"/>
        <v>0</v>
      </c>
      <c r="L22" s="197" t="str">
        <f t="shared" si="2"/>
        <v/>
      </c>
    </row>
    <row r="23" spans="1:15" x14ac:dyDescent="0.2">
      <c r="A23" s="60">
        <f t="shared" si="0"/>
        <v>0</v>
      </c>
      <c r="D23" s="75" t="s">
        <v>359</v>
      </c>
      <c r="E23" s="198"/>
      <c r="F23" s="207">
        <v>1</v>
      </c>
      <c r="G23" s="194">
        <f>F23*E23</f>
        <v>0</v>
      </c>
      <c r="H23" s="198"/>
      <c r="I23" s="207">
        <v>1</v>
      </c>
      <c r="J23" s="194">
        <f>I23*H23</f>
        <v>0</v>
      </c>
      <c r="K23" s="196">
        <f t="shared" si="1"/>
        <v>0</v>
      </c>
      <c r="L23" s="197" t="str">
        <f t="shared" si="2"/>
        <v/>
      </c>
    </row>
    <row r="24" spans="1:15" ht="25.5" x14ac:dyDescent="0.2">
      <c r="A24" s="60">
        <f t="shared" si="0"/>
        <v>0</v>
      </c>
      <c r="B24" s="6" t="s">
        <v>1655</v>
      </c>
      <c r="D24" s="76" t="s">
        <v>1666</v>
      </c>
      <c r="E24" s="209"/>
      <c r="F24" s="209"/>
      <c r="G24" s="210">
        <f>SUM(G19:G23)</f>
        <v>3.6240000000000001</v>
      </c>
      <c r="H24" s="209"/>
      <c r="I24" s="211"/>
      <c r="J24" s="210">
        <f>SUM(J19:J23)</f>
        <v>3.6240000000000001</v>
      </c>
      <c r="K24" s="210">
        <f>SUM(K19:K23)</f>
        <v>0</v>
      </c>
      <c r="L24" s="212"/>
    </row>
    <row r="25" spans="1:15" x14ac:dyDescent="0.2">
      <c r="A25" s="60">
        <f t="shared" si="0"/>
        <v>0</v>
      </c>
      <c r="D25" s="77" t="s">
        <v>360</v>
      </c>
      <c r="E25" s="198"/>
      <c r="F25" s="247">
        <f>IF($E5&gt;0, $E5, $E4*$E6)</f>
        <v>840</v>
      </c>
      <c r="G25" s="194">
        <f>F25*E25</f>
        <v>0</v>
      </c>
      <c r="H25" s="198"/>
      <c r="I25" s="248">
        <f>IF($E5&gt;0, $E5, $E4*$E6)</f>
        <v>840</v>
      </c>
      <c r="J25" s="194">
        <f>I25*H25</f>
        <v>0</v>
      </c>
      <c r="K25" s="196">
        <f t="shared" si="1"/>
        <v>0</v>
      </c>
      <c r="L25" s="197" t="str">
        <f t="shared" si="2"/>
        <v/>
      </c>
    </row>
    <row r="26" spans="1:15" ht="25.5" x14ac:dyDescent="0.2">
      <c r="A26" s="60">
        <f t="shared" si="0"/>
        <v>0</v>
      </c>
      <c r="D26" s="189" t="s">
        <v>370</v>
      </c>
      <c r="E26" s="198"/>
      <c r="F26" s="247">
        <f>IF($E5&gt;0, $E5, $E4*$E6)</f>
        <v>840</v>
      </c>
      <c r="G26" s="194">
        <f>F26*E26</f>
        <v>0</v>
      </c>
      <c r="H26" s="198"/>
      <c r="I26" s="248">
        <f>IF($E5&gt;0, $E5, $E4*$E6)</f>
        <v>840</v>
      </c>
      <c r="J26" s="194">
        <f>I26*H26</f>
        <v>0</v>
      </c>
      <c r="K26" s="196">
        <f t="shared" si="1"/>
        <v>0</v>
      </c>
      <c r="L26" s="197" t="str">
        <f t="shared" si="2"/>
        <v/>
      </c>
    </row>
    <row r="27" spans="1:15" ht="25.5" x14ac:dyDescent="0.2">
      <c r="A27" s="60">
        <f t="shared" si="0"/>
        <v>0</v>
      </c>
      <c r="B27" s="6" t="s">
        <v>1656</v>
      </c>
      <c r="D27" s="76" t="s">
        <v>1665</v>
      </c>
      <c r="E27" s="209"/>
      <c r="F27" s="209"/>
      <c r="G27" s="210">
        <f>SUM(G24:G26)</f>
        <v>3.6240000000000001</v>
      </c>
      <c r="H27" s="213"/>
      <c r="I27" s="214"/>
      <c r="J27" s="210">
        <f>SUM(J24:J26)</f>
        <v>3.6240000000000001</v>
      </c>
      <c r="K27" s="210">
        <f>SUM(K24:K26)</f>
        <v>0</v>
      </c>
      <c r="L27" s="212"/>
    </row>
    <row r="28" spans="1:15" ht="25.5" x14ac:dyDescent="0.2">
      <c r="A28" s="60">
        <f t="shared" si="0"/>
        <v>0</v>
      </c>
      <c r="C28" s="84"/>
      <c r="D28" s="78" t="s">
        <v>361</v>
      </c>
      <c r="E28" s="215"/>
      <c r="F28" s="249">
        <f>IF($E5&gt;0, $E5, $E4*$E6)</f>
        <v>840</v>
      </c>
      <c r="G28" s="216"/>
      <c r="H28" s="215"/>
      <c r="I28" s="249">
        <f>IF($E5&gt;0, $E5, $E4*$E6)</f>
        <v>840</v>
      </c>
      <c r="J28" s="216"/>
      <c r="K28" s="196">
        <f t="shared" si="1"/>
        <v>0</v>
      </c>
      <c r="L28" s="197" t="str">
        <f t="shared" si="2"/>
        <v/>
      </c>
      <c r="O28" s="84"/>
    </row>
    <row r="29" spans="1:15" ht="25.5" x14ac:dyDescent="0.2">
      <c r="A29" s="60">
        <f t="shared" si="0"/>
        <v>0</v>
      </c>
      <c r="D29" s="78" t="s">
        <v>362</v>
      </c>
      <c r="E29" s="215"/>
      <c r="F29" s="249">
        <f>IF($E5&gt;0, $E5, $E4*$E6)</f>
        <v>840</v>
      </c>
      <c r="G29" s="216"/>
      <c r="H29" s="215"/>
      <c r="I29" s="249">
        <f>IF($E5&gt;0, $E5, $E4*$E6)</f>
        <v>840</v>
      </c>
      <c r="J29" s="216"/>
      <c r="K29" s="196">
        <f t="shared" si="1"/>
        <v>0</v>
      </c>
      <c r="L29" s="197" t="str">
        <f t="shared" si="2"/>
        <v/>
      </c>
    </row>
    <row r="30" spans="1:15" x14ac:dyDescent="0.2">
      <c r="A30" s="60">
        <f t="shared" si="0"/>
        <v>0</v>
      </c>
      <c r="D30" s="74" t="s">
        <v>363</v>
      </c>
      <c r="E30" s="215"/>
      <c r="F30" s="240">
        <v>1</v>
      </c>
      <c r="G30" s="216"/>
      <c r="H30" s="215"/>
      <c r="I30" s="240">
        <v>1</v>
      </c>
      <c r="J30" s="216"/>
      <c r="K30" s="196">
        <f t="shared" si="1"/>
        <v>0</v>
      </c>
      <c r="L30" s="197" t="str">
        <f t="shared" si="2"/>
        <v/>
      </c>
    </row>
    <row r="31" spans="1:15" x14ac:dyDescent="0.2">
      <c r="A31" s="60">
        <f t="shared" si="0"/>
        <v>0</v>
      </c>
      <c r="D31" s="74" t="s">
        <v>151</v>
      </c>
      <c r="E31" s="215"/>
      <c r="F31" s="241">
        <f>IF($E5&gt;0, $E5, $E4)</f>
        <v>800</v>
      </c>
      <c r="G31" s="216"/>
      <c r="H31" s="215"/>
      <c r="I31" s="241">
        <f>IF($E5&gt;0, $E5, $E4)</f>
        <v>800</v>
      </c>
      <c r="J31" s="216"/>
      <c r="K31" s="196">
        <f t="shared" si="1"/>
        <v>0</v>
      </c>
      <c r="L31" s="197" t="str">
        <f t="shared" si="2"/>
        <v/>
      </c>
    </row>
    <row r="32" spans="1:15" x14ac:dyDescent="0.2">
      <c r="A32" s="60">
        <f t="shared" si="0"/>
        <v>0</v>
      </c>
      <c r="B32" s="6" t="s">
        <v>1647</v>
      </c>
      <c r="D32" s="75" t="s">
        <v>228</v>
      </c>
      <c r="E32" s="187">
        <v>0.08</v>
      </c>
      <c r="F32" s="191">
        <f>0.64*$E4</f>
        <v>512</v>
      </c>
      <c r="G32" s="216">
        <f>F32*E32</f>
        <v>40.96</v>
      </c>
      <c r="H32" s="187">
        <v>0.08</v>
      </c>
      <c r="I32" s="191">
        <f>0.64*$E4</f>
        <v>512</v>
      </c>
      <c r="J32" s="216">
        <f>I32*H32</f>
        <v>40.96</v>
      </c>
      <c r="K32" s="196">
        <f t="shared" si="1"/>
        <v>0</v>
      </c>
      <c r="L32" s="197">
        <f t="shared" si="2"/>
        <v>0</v>
      </c>
    </row>
    <row r="33" spans="1:12" x14ac:dyDescent="0.2">
      <c r="A33" s="60">
        <f t="shared" si="0"/>
        <v>0</v>
      </c>
      <c r="B33" s="6" t="s">
        <v>1647</v>
      </c>
      <c r="D33" s="75" t="s">
        <v>229</v>
      </c>
      <c r="E33" s="187">
        <v>0.122</v>
      </c>
      <c r="F33" s="191">
        <f>0.18*$E4</f>
        <v>144</v>
      </c>
      <c r="G33" s="216">
        <f>F33*E33</f>
        <v>17.567999999999998</v>
      </c>
      <c r="H33" s="187">
        <v>0.122</v>
      </c>
      <c r="I33" s="191">
        <f>0.18*$E4</f>
        <v>144</v>
      </c>
      <c r="J33" s="216">
        <f>I33*H33</f>
        <v>17.567999999999998</v>
      </c>
      <c r="K33" s="196">
        <f t="shared" si="1"/>
        <v>0</v>
      </c>
      <c r="L33" s="197">
        <f t="shared" si="2"/>
        <v>0</v>
      </c>
    </row>
    <row r="34" spans="1:12" x14ac:dyDescent="0.2">
      <c r="A34" s="60">
        <f t="shared" si="0"/>
        <v>0</v>
      </c>
      <c r="B34" s="6" t="s">
        <v>1647</v>
      </c>
      <c r="D34" s="6" t="s">
        <v>230</v>
      </c>
      <c r="E34" s="187">
        <v>0.161</v>
      </c>
      <c r="F34" s="191">
        <f>0.18*$E4</f>
        <v>144</v>
      </c>
      <c r="G34" s="216">
        <f>F34*E34</f>
        <v>23.184000000000001</v>
      </c>
      <c r="H34" s="187">
        <v>0.161</v>
      </c>
      <c r="I34" s="191">
        <f>0.18*$E4</f>
        <v>144</v>
      </c>
      <c r="J34" s="216">
        <f>I34*H34</f>
        <v>23.184000000000001</v>
      </c>
      <c r="K34" s="196">
        <f t="shared" si="1"/>
        <v>0</v>
      </c>
      <c r="L34" s="197">
        <f t="shared" si="2"/>
        <v>0</v>
      </c>
    </row>
    <row r="35" spans="1:12" x14ac:dyDescent="0.2">
      <c r="A35" s="60">
        <f t="shared" si="0"/>
        <v>0</v>
      </c>
      <c r="B35" s="60" t="s">
        <v>1648</v>
      </c>
      <c r="D35" s="75" t="s">
        <v>1657</v>
      </c>
      <c r="E35" s="187">
        <v>8.5999999999999993E-2</v>
      </c>
      <c r="F35" s="191">
        <f>$E4</f>
        <v>800</v>
      </c>
      <c r="G35" s="216">
        <f>F35*E35</f>
        <v>68.8</v>
      </c>
      <c r="H35" s="187">
        <v>8.5999999999999993E-2</v>
      </c>
      <c r="I35" s="191">
        <f>$E4</f>
        <v>800</v>
      </c>
      <c r="J35" s="216">
        <f>I35*H35</f>
        <v>68.8</v>
      </c>
      <c r="K35" s="196">
        <f t="shared" si="1"/>
        <v>0</v>
      </c>
      <c r="L35" s="197">
        <f t="shared" si="2"/>
        <v>0</v>
      </c>
    </row>
    <row r="36" spans="1:12" ht="13.5" thickBot="1" x14ac:dyDescent="0.25">
      <c r="A36" s="60">
        <f t="shared" si="0"/>
        <v>0</v>
      </c>
      <c r="B36" s="60" t="s">
        <v>1649</v>
      </c>
      <c r="D36" s="75" t="s">
        <v>1658</v>
      </c>
      <c r="E36" s="186">
        <f>0.0906</f>
        <v>9.06E-2</v>
      </c>
      <c r="F36" s="188">
        <f>$E4</f>
        <v>800</v>
      </c>
      <c r="G36" s="216">
        <f>F36*E36</f>
        <v>72.48</v>
      </c>
      <c r="H36" s="186">
        <f>0.0906</f>
        <v>9.06E-2</v>
      </c>
      <c r="I36" s="188">
        <f>$E4</f>
        <v>800</v>
      </c>
      <c r="J36" s="216">
        <f>I36*H36</f>
        <v>72.48</v>
      </c>
      <c r="K36" s="196">
        <f t="shared" si="1"/>
        <v>0</v>
      </c>
      <c r="L36" s="197">
        <f t="shared" si="2"/>
        <v>0</v>
      </c>
    </row>
    <row r="37" spans="1:12" ht="13.5" thickBot="1" x14ac:dyDescent="0.25">
      <c r="A37" s="60">
        <f t="shared" si="0"/>
        <v>0</v>
      </c>
      <c r="B37" s="6" t="s">
        <v>1647</v>
      </c>
      <c r="D37" s="79"/>
      <c r="E37" s="217"/>
      <c r="F37" s="218"/>
      <c r="G37" s="219"/>
      <c r="H37" s="217"/>
      <c r="I37" s="220"/>
      <c r="J37" s="219"/>
      <c r="K37" s="219"/>
      <c r="L37" s="221"/>
    </row>
    <row r="38" spans="1:12" x14ac:dyDescent="0.2">
      <c r="A38" s="60">
        <f t="shared" si="0"/>
        <v>0</v>
      </c>
      <c r="B38" s="6" t="s">
        <v>1647</v>
      </c>
      <c r="D38" s="80" t="s">
        <v>365</v>
      </c>
      <c r="E38" s="222"/>
      <c r="F38" s="223"/>
      <c r="G38" s="224">
        <f>SUM(G27:G34)</f>
        <v>85.335999999999999</v>
      </c>
      <c r="H38" s="225"/>
      <c r="I38" s="225"/>
      <c r="J38" s="224">
        <f>SUM(J27:J34)</f>
        <v>85.335999999999999</v>
      </c>
      <c r="K38" s="196">
        <f t="shared" si="1"/>
        <v>0</v>
      </c>
      <c r="L38" s="197">
        <f t="shared" si="2"/>
        <v>0</v>
      </c>
    </row>
    <row r="39" spans="1:12" x14ac:dyDescent="0.2">
      <c r="A39" s="60">
        <f t="shared" si="0"/>
        <v>0</v>
      </c>
      <c r="B39" s="6" t="s">
        <v>1647</v>
      </c>
      <c r="D39" s="81" t="s">
        <v>152</v>
      </c>
      <c r="E39" s="242">
        <v>0.13</v>
      </c>
      <c r="F39" s="226"/>
      <c r="G39" s="227">
        <f>E39*G38</f>
        <v>11.093680000000001</v>
      </c>
      <c r="H39" s="242">
        <v>0.13</v>
      </c>
      <c r="I39" s="228"/>
      <c r="J39" s="227">
        <f>H39*J38</f>
        <v>11.093680000000001</v>
      </c>
      <c r="K39" s="196">
        <f t="shared" si="1"/>
        <v>0</v>
      </c>
      <c r="L39" s="197">
        <f t="shared" si="2"/>
        <v>0</v>
      </c>
    </row>
    <row r="40" spans="1:12" x14ac:dyDescent="0.2">
      <c r="A40" s="60">
        <f t="shared" si="0"/>
        <v>0</v>
      </c>
      <c r="B40" s="6" t="s">
        <v>1647</v>
      </c>
      <c r="D40" s="82" t="s">
        <v>364</v>
      </c>
      <c r="E40" s="228"/>
      <c r="F40" s="226"/>
      <c r="G40" s="227">
        <f>SUM(G38:G39)</f>
        <v>96.429680000000005</v>
      </c>
      <c r="H40" s="228"/>
      <c r="I40" s="228"/>
      <c r="J40" s="227">
        <f>SUM(J38:J39)</f>
        <v>96.429680000000005</v>
      </c>
      <c r="K40" s="196">
        <f t="shared" si="1"/>
        <v>0</v>
      </c>
      <c r="L40" s="197">
        <f t="shared" si="2"/>
        <v>0</v>
      </c>
    </row>
    <row r="41" spans="1:12" ht="13.5" thickBot="1" x14ac:dyDescent="0.25">
      <c r="A41" s="60" t="e">
        <f>#REF!</f>
        <v>#REF!</v>
      </c>
      <c r="B41" s="60" t="s">
        <v>1647</v>
      </c>
      <c r="D41" s="190" t="s">
        <v>1660</v>
      </c>
      <c r="E41" s="281"/>
      <c r="F41" s="282"/>
      <c r="G41" s="283">
        <f>SUM(G40:G40)</f>
        <v>96.429680000000005</v>
      </c>
      <c r="H41" s="284"/>
      <c r="I41" s="284"/>
      <c r="J41" s="283">
        <f>SUM(J40:J40)</f>
        <v>96.429680000000005</v>
      </c>
      <c r="K41" s="285">
        <f t="shared" si="1"/>
        <v>0</v>
      </c>
      <c r="L41" s="286">
        <f t="shared" si="2"/>
        <v>0</v>
      </c>
    </row>
    <row r="42" spans="1:12" ht="13.5" thickBot="1" x14ac:dyDescent="0.25">
      <c r="A42" s="60" t="e">
        <f t="shared" si="0"/>
        <v>#REF!</v>
      </c>
      <c r="B42" s="60" t="s">
        <v>1648</v>
      </c>
      <c r="D42" s="79"/>
      <c r="E42" s="233"/>
      <c r="F42" s="234"/>
      <c r="G42" s="235"/>
      <c r="H42" s="233"/>
      <c r="I42" s="236"/>
      <c r="J42" s="237"/>
      <c r="K42" s="237"/>
      <c r="L42" s="239"/>
    </row>
    <row r="43" spans="1:12" x14ac:dyDescent="0.2">
      <c r="A43" s="60" t="e">
        <f t="shared" si="0"/>
        <v>#REF!</v>
      </c>
      <c r="B43" s="60" t="s">
        <v>1648</v>
      </c>
      <c r="D43" s="80" t="s">
        <v>1661</v>
      </c>
      <c r="E43" s="222"/>
      <c r="F43" s="223"/>
      <c r="G43" s="224">
        <f>SUM(G27:G31,G35)</f>
        <v>72.423999999999992</v>
      </c>
      <c r="H43" s="222"/>
      <c r="I43" s="225"/>
      <c r="J43" s="224">
        <f>SUM(J27:J31,J35)</f>
        <v>72.423999999999992</v>
      </c>
      <c r="K43" s="196">
        <f t="shared" si="1"/>
        <v>0</v>
      </c>
      <c r="L43" s="197">
        <f t="shared" si="2"/>
        <v>0</v>
      </c>
    </row>
    <row r="44" spans="1:12" x14ac:dyDescent="0.2">
      <c r="A44" s="60" t="e">
        <f t="shared" si="0"/>
        <v>#REF!</v>
      </c>
      <c r="B44" s="60" t="s">
        <v>1648</v>
      </c>
      <c r="D44" s="81" t="s">
        <v>152</v>
      </c>
      <c r="E44" s="242">
        <v>0.13</v>
      </c>
      <c r="F44" s="226"/>
      <c r="G44" s="227">
        <f>E44*G43</f>
        <v>9.4151199999999999</v>
      </c>
      <c r="H44" s="242">
        <v>0.13</v>
      </c>
      <c r="I44" s="228"/>
      <c r="J44" s="227">
        <f>H44*J43</f>
        <v>9.4151199999999999</v>
      </c>
      <c r="K44" s="196">
        <f t="shared" si="1"/>
        <v>0</v>
      </c>
      <c r="L44" s="197">
        <f t="shared" si="2"/>
        <v>0</v>
      </c>
    </row>
    <row r="45" spans="1:12" x14ac:dyDescent="0.2">
      <c r="A45" s="60" t="e">
        <f t="shared" si="0"/>
        <v>#REF!</v>
      </c>
      <c r="B45" s="60" t="s">
        <v>1648</v>
      </c>
      <c r="D45" s="82" t="s">
        <v>364</v>
      </c>
      <c r="E45" s="228"/>
      <c r="F45" s="226"/>
      <c r="G45" s="227">
        <f>SUM(G43:G44)</f>
        <v>81.839119999999994</v>
      </c>
      <c r="H45" s="228"/>
      <c r="I45" s="228"/>
      <c r="J45" s="227">
        <f>SUM(J43:J44)</f>
        <v>81.839119999999994</v>
      </c>
      <c r="K45" s="196">
        <f t="shared" si="1"/>
        <v>0</v>
      </c>
      <c r="L45" s="197">
        <f t="shared" si="2"/>
        <v>0</v>
      </c>
    </row>
    <row r="46" spans="1:12" ht="13.5" thickBot="1" x14ac:dyDescent="0.25">
      <c r="A46" s="60" t="e">
        <f>#REF!</f>
        <v>#REF!</v>
      </c>
      <c r="B46" s="60" t="s">
        <v>1648</v>
      </c>
      <c r="D46" s="190" t="s">
        <v>1661</v>
      </c>
      <c r="E46" s="229"/>
      <c r="F46" s="230"/>
      <c r="G46" s="231">
        <f>SUM(G45:G45)</f>
        <v>81.839119999999994</v>
      </c>
      <c r="H46" s="229"/>
      <c r="I46" s="232"/>
      <c r="J46" s="231">
        <f>SUM(J45:J45)</f>
        <v>81.839119999999994</v>
      </c>
      <c r="K46" s="244">
        <f t="shared" si="1"/>
        <v>0</v>
      </c>
      <c r="L46" s="245">
        <f t="shared" si="2"/>
        <v>0</v>
      </c>
    </row>
    <row r="47" spans="1:12" ht="13.5" thickBot="1" x14ac:dyDescent="0.25">
      <c r="A47" s="60" t="e">
        <f t="shared" si="0"/>
        <v>#REF!</v>
      </c>
      <c r="B47" s="60" t="s">
        <v>1649</v>
      </c>
      <c r="D47" s="79"/>
      <c r="E47" s="233"/>
      <c r="F47" s="234"/>
      <c r="G47" s="235"/>
      <c r="H47" s="233"/>
      <c r="I47" s="236"/>
      <c r="J47" s="237"/>
      <c r="K47" s="237"/>
      <c r="L47" s="239"/>
    </row>
    <row r="48" spans="1:12" ht="25.5" x14ac:dyDescent="0.2">
      <c r="A48" s="60" t="e">
        <f t="shared" si="0"/>
        <v>#REF!</v>
      </c>
      <c r="B48" s="60" t="s">
        <v>1649</v>
      </c>
      <c r="D48" s="246" t="s">
        <v>1667</v>
      </c>
      <c r="E48" s="222"/>
      <c r="F48" s="223"/>
      <c r="G48" s="224">
        <f>SUM(G27:G31,G36)</f>
        <v>76.103999999999999</v>
      </c>
      <c r="H48" s="222"/>
      <c r="I48" s="225"/>
      <c r="J48" s="224">
        <f>SUM(J27:J31,J36)</f>
        <v>76.103999999999999</v>
      </c>
      <c r="K48" s="196">
        <f t="shared" si="1"/>
        <v>0</v>
      </c>
      <c r="L48" s="197">
        <f t="shared" si="2"/>
        <v>0</v>
      </c>
    </row>
    <row r="49" spans="1:12" x14ac:dyDescent="0.2">
      <c r="A49" s="60" t="e">
        <f t="shared" si="0"/>
        <v>#REF!</v>
      </c>
      <c r="B49" s="60" t="s">
        <v>1649</v>
      </c>
      <c r="D49" s="81" t="s">
        <v>152</v>
      </c>
      <c r="E49" s="242">
        <v>0.13</v>
      </c>
      <c r="F49" s="226"/>
      <c r="G49" s="227">
        <f>E49*G48</f>
        <v>9.8935200000000005</v>
      </c>
      <c r="H49" s="242">
        <v>0.13</v>
      </c>
      <c r="I49" s="228"/>
      <c r="J49" s="227">
        <f>H49*J48</f>
        <v>9.8935200000000005</v>
      </c>
      <c r="K49" s="196">
        <f t="shared" si="1"/>
        <v>0</v>
      </c>
      <c r="L49" s="197">
        <f t="shared" si="2"/>
        <v>0</v>
      </c>
    </row>
    <row r="50" spans="1:12" x14ac:dyDescent="0.2">
      <c r="A50" s="60" t="e">
        <f t="shared" si="0"/>
        <v>#REF!</v>
      </c>
      <c r="B50" s="60" t="s">
        <v>1649</v>
      </c>
      <c r="D50" s="82" t="s">
        <v>364</v>
      </c>
      <c r="E50" s="228"/>
      <c r="F50" s="226"/>
      <c r="G50" s="227">
        <f>SUM(G48:G49)</f>
        <v>85.997519999999994</v>
      </c>
      <c r="H50" s="228"/>
      <c r="I50" s="228"/>
      <c r="J50" s="227">
        <f>SUM(J48:J49)</f>
        <v>85.997519999999994</v>
      </c>
      <c r="K50" s="196">
        <f t="shared" si="1"/>
        <v>0</v>
      </c>
      <c r="L50" s="197">
        <f t="shared" si="2"/>
        <v>0</v>
      </c>
    </row>
    <row r="51" spans="1:12" ht="26.25" thickBot="1" x14ac:dyDescent="0.25">
      <c r="A51" s="60" t="e">
        <f>#REF!</f>
        <v>#REF!</v>
      </c>
      <c r="B51" s="60" t="s">
        <v>1649</v>
      </c>
      <c r="D51" s="190" t="s">
        <v>1663</v>
      </c>
      <c r="E51" s="229"/>
      <c r="F51" s="230"/>
      <c r="G51" s="231">
        <f>SUM(G50:G50)</f>
        <v>85.997519999999994</v>
      </c>
      <c r="H51" s="229"/>
      <c r="I51" s="232"/>
      <c r="J51" s="231">
        <f>SUM(J50:J50)</f>
        <v>85.997519999999994</v>
      </c>
      <c r="K51" s="244">
        <f t="shared" si="1"/>
        <v>0</v>
      </c>
      <c r="L51" s="245">
        <f t="shared" si="2"/>
        <v>0</v>
      </c>
    </row>
    <row r="52" spans="1:12" ht="13.5" thickBot="1" x14ac:dyDescent="0.25">
      <c r="A52" s="60" t="e">
        <f t="shared" si="0"/>
        <v>#REF!</v>
      </c>
      <c r="B52" s="60" t="s">
        <v>1649</v>
      </c>
      <c r="D52" s="79"/>
      <c r="E52" s="233"/>
      <c r="F52" s="234"/>
      <c r="G52" s="235"/>
      <c r="H52" s="233"/>
      <c r="I52" s="236"/>
      <c r="J52" s="237"/>
      <c r="K52" s="238"/>
      <c r="L52" s="239"/>
    </row>
    <row r="56" spans="1:12" ht="12.75" customHeight="1" x14ac:dyDescent="0.2"/>
    <row r="62" spans="1:12" ht="12.75" customHeight="1" x14ac:dyDescent="0.2"/>
    <row r="63" spans="1:12" ht="13.5" customHeight="1" x14ac:dyDescent="0.2"/>
  </sheetData>
  <sheetProtection algorithmName="SHA-512" hashValue="42Mlx2JDdnDLsflC4EFDG6JUhVJYM10K669QZzOU5IrJj6bqDJQhjv44qNFIPPNWNFWH0j6Pp5iUQSQbers9kQ==" saltValue="f8qRcFOnF+ZvqRY8Do4lOw==" spinCount="100000" sheet="1" objects="1" scenarios="1" selectLockedCells="1"/>
  <mergeCells count="7">
    <mergeCell ref="K13:K14"/>
    <mergeCell ref="L13:L14"/>
    <mergeCell ref="E3:G3"/>
    <mergeCell ref="E2:J2"/>
    <mergeCell ref="E12:G12"/>
    <mergeCell ref="H12:J12"/>
    <mergeCell ref="K12:L12"/>
  </mergeCells>
  <pageMargins left="0.75" right="0.75" top="1" bottom="1" header="0.5" footer="0.5"/>
  <pageSetup scale="43" orientation="portrait" r:id="rId1"/>
  <headerFooter alignWithMargins="0">
    <oddFooter>&amp;C9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15700"/>
  <sheetViews>
    <sheetView topLeftCell="A15342" workbookViewId="0">
      <selection activeCell="T15529" sqref="T15529:T15700"/>
    </sheetView>
  </sheetViews>
  <sheetFormatPr defaultRowHeight="18" customHeight="1" x14ac:dyDescent="0.25"/>
  <cols>
    <col min="1" max="2" width="38.7109375" style="744" customWidth="1"/>
    <col min="3" max="3" width="30.28515625" style="744" customWidth="1"/>
    <col min="4" max="4" width="46" style="744" customWidth="1"/>
    <col min="5" max="6" width="38.7109375" style="744" customWidth="1"/>
    <col min="7" max="7" width="30.28515625" style="744" customWidth="1"/>
    <col min="8" max="8" width="12.5703125" style="744" customWidth="1"/>
    <col min="9" max="10" width="9.140625" style="744" customWidth="1"/>
    <col min="11" max="11" width="45.85546875" style="744" customWidth="1"/>
    <col min="12" max="18" width="9.140625" style="744" customWidth="1"/>
    <col min="19" max="19" width="10.140625" style="1364" customWidth="1"/>
    <col min="20" max="20" width="42.42578125" style="1364" customWidth="1"/>
    <col min="21" max="29" width="9.140625" style="744"/>
    <col min="30" max="30" width="56" style="744" bestFit="1" customWidth="1"/>
    <col min="31" max="31" width="57.85546875" style="744" bestFit="1" customWidth="1"/>
    <col min="32" max="16384" width="9.140625" style="744"/>
  </cols>
  <sheetData>
    <row r="1" spans="1:23" ht="15" x14ac:dyDescent="0.2">
      <c r="A1" s="744" t="s">
        <v>442</v>
      </c>
      <c r="B1" s="744" t="s">
        <v>443</v>
      </c>
      <c r="C1" s="744" t="s">
        <v>444</v>
      </c>
      <c r="D1" s="744" t="s">
        <v>2232</v>
      </c>
      <c r="E1" s="744" t="s">
        <v>2233</v>
      </c>
      <c r="F1" s="744" t="s">
        <v>2234</v>
      </c>
      <c r="G1" s="433" t="s">
        <v>3033</v>
      </c>
      <c r="H1" s="744" t="s">
        <v>3034</v>
      </c>
      <c r="I1" s="744" t="s">
        <v>3035</v>
      </c>
      <c r="J1" s="744" t="s">
        <v>3036</v>
      </c>
      <c r="K1" s="744" t="s">
        <v>3037</v>
      </c>
      <c r="L1" s="744" t="s">
        <v>3038</v>
      </c>
      <c r="M1" s="744" t="s">
        <v>3039</v>
      </c>
      <c r="N1" s="744" t="s">
        <v>3040</v>
      </c>
      <c r="O1" s="744" t="s">
        <v>3041</v>
      </c>
      <c r="P1" s="744" t="s">
        <v>3042</v>
      </c>
      <c r="Q1" s="744" t="s">
        <v>3043</v>
      </c>
      <c r="R1" s="744" t="s">
        <v>3044</v>
      </c>
      <c r="S1" s="1364" t="s">
        <v>3045</v>
      </c>
      <c r="T1" s="1364" t="s">
        <v>3046</v>
      </c>
      <c r="U1" s="744" t="s">
        <v>3047</v>
      </c>
      <c r="V1" s="744" t="s">
        <v>3048</v>
      </c>
      <c r="W1" s="744" t="s">
        <v>3049</v>
      </c>
    </row>
    <row r="2" spans="1:23" s="841" customFormat="1" ht="23.25" x14ac:dyDescent="0.25">
      <c r="A2" s="841" t="s">
        <v>164</v>
      </c>
      <c r="C2" s="841" t="s">
        <v>3050</v>
      </c>
      <c r="E2" s="1911" t="s">
        <v>164</v>
      </c>
      <c r="F2" s="1911"/>
      <c r="G2" s="1911"/>
      <c r="H2" s="1911"/>
      <c r="I2" s="841" t="s">
        <v>628</v>
      </c>
      <c r="J2" s="841" t="s">
        <v>3711</v>
      </c>
      <c r="K2" s="841" t="s">
        <v>164</v>
      </c>
      <c r="M2" s="1357">
        <v>7</v>
      </c>
      <c r="Q2" s="1357"/>
      <c r="S2" s="1420"/>
      <c r="T2" s="1420"/>
      <c r="V2" s="1357">
        <v>26</v>
      </c>
    </row>
    <row r="3" spans="1:23" s="841" customFormat="1" x14ac:dyDescent="0.25">
      <c r="A3" s="841" t="s">
        <v>164</v>
      </c>
      <c r="C3" s="841" t="s">
        <v>3052</v>
      </c>
      <c r="E3" s="1912" t="s">
        <v>3053</v>
      </c>
      <c r="F3" s="1912"/>
      <c r="G3" s="1912"/>
      <c r="H3" s="1912"/>
      <c r="M3" s="1357"/>
      <c r="Q3" s="1357"/>
      <c r="S3" s="1420"/>
      <c r="T3" s="1420"/>
      <c r="V3" s="1357">
        <v>27</v>
      </c>
    </row>
    <row r="4" spans="1:23" s="841" customFormat="1" ht="15.75" x14ac:dyDescent="0.25">
      <c r="A4" s="841" t="s">
        <v>164</v>
      </c>
      <c r="C4" s="841" t="s">
        <v>3054</v>
      </c>
      <c r="E4" s="1913" t="s">
        <v>5107</v>
      </c>
      <c r="F4" s="1913"/>
      <c r="G4" s="1913"/>
      <c r="H4" s="1913"/>
      <c r="M4" s="1357"/>
      <c r="Q4" s="1357"/>
      <c r="S4" s="1420">
        <v>43221</v>
      </c>
      <c r="T4" s="1420"/>
      <c r="V4" s="1357">
        <v>45</v>
      </c>
    </row>
    <row r="5" spans="1:23" s="841" customFormat="1" ht="15" x14ac:dyDescent="0.25">
      <c r="A5" s="841" t="s">
        <v>164</v>
      </c>
      <c r="C5" s="841" t="s">
        <v>3055</v>
      </c>
      <c r="E5" s="1914" t="s">
        <v>3056</v>
      </c>
      <c r="F5" s="1914"/>
      <c r="G5" s="1914"/>
      <c r="H5" s="1914"/>
      <c r="M5" s="1357"/>
      <c r="Q5" s="1357"/>
      <c r="S5" s="1420"/>
      <c r="T5" s="1420"/>
      <c r="V5" s="1357">
        <v>52</v>
      </c>
    </row>
    <row r="6" spans="1:23" s="841" customFormat="1" ht="15" x14ac:dyDescent="0.25">
      <c r="A6" s="841" t="s">
        <v>164</v>
      </c>
      <c r="E6" s="1914" t="s">
        <v>3057</v>
      </c>
      <c r="F6" s="1914"/>
      <c r="G6" s="1914"/>
      <c r="H6" s="1914"/>
      <c r="M6" s="1357"/>
      <c r="Q6" s="1357"/>
      <c r="S6" s="1420"/>
      <c r="T6" s="1420"/>
      <c r="V6" s="1357">
        <v>53</v>
      </c>
    </row>
    <row r="7" spans="1:23" s="841" customFormat="1" ht="15" x14ac:dyDescent="0.25">
      <c r="A7" s="841" t="s">
        <v>164</v>
      </c>
      <c r="E7" s="1925" t="s">
        <v>5108</v>
      </c>
      <c r="F7" s="1925"/>
      <c r="G7" s="1925"/>
      <c r="H7" s="1925"/>
      <c r="K7" s="841" t="s">
        <v>5108</v>
      </c>
      <c r="M7" s="1357"/>
      <c r="Q7" s="1357"/>
      <c r="S7" s="1420"/>
      <c r="T7" s="1420"/>
      <c r="V7" s="1357">
        <v>12</v>
      </c>
    </row>
    <row r="8" spans="1:23" s="841" customFormat="1" ht="15" x14ac:dyDescent="0.25">
      <c r="A8" s="841" t="s">
        <v>164</v>
      </c>
      <c r="E8" s="1909" t="s">
        <v>438</v>
      </c>
      <c r="F8" s="1697"/>
      <c r="G8" s="1697"/>
      <c r="H8" s="1697"/>
      <c r="K8" s="841" t="s">
        <v>3197</v>
      </c>
      <c r="M8" s="1357"/>
      <c r="Q8" s="1357"/>
      <c r="S8" s="1420"/>
      <c r="T8" s="1420"/>
      <c r="V8" s="1357">
        <v>34</v>
      </c>
    </row>
    <row r="9" spans="1:23" s="841" customFormat="1" ht="15" x14ac:dyDescent="0.25">
      <c r="A9" s="841" t="s">
        <v>164</v>
      </c>
      <c r="E9" s="1689" t="s">
        <v>3712</v>
      </c>
      <c r="F9" s="1689"/>
      <c r="G9" s="1689"/>
      <c r="H9" s="1689"/>
      <c r="K9" s="841" t="s">
        <v>3197</v>
      </c>
      <c r="M9" s="1357"/>
      <c r="Q9" s="1357"/>
      <c r="S9" s="1420"/>
      <c r="T9" s="1420"/>
      <c r="V9" s="1357">
        <v>1078</v>
      </c>
    </row>
    <row r="10" spans="1:23" s="841" customFormat="1" ht="15" x14ac:dyDescent="0.25">
      <c r="A10" s="841" t="s">
        <v>164</v>
      </c>
      <c r="E10" s="1916" t="s">
        <v>3061</v>
      </c>
      <c r="F10" s="1697"/>
      <c r="G10" s="1697"/>
      <c r="H10" s="1697"/>
      <c r="K10" s="841" t="s">
        <v>3062</v>
      </c>
      <c r="M10" s="1357"/>
      <c r="Q10" s="1357"/>
      <c r="S10" s="1420"/>
      <c r="T10" s="1420"/>
      <c r="V10" s="1357">
        <v>11</v>
      </c>
    </row>
    <row r="11" spans="1:23" s="841" customFormat="1" ht="15" x14ac:dyDescent="0.25">
      <c r="A11" s="841" t="s">
        <v>164</v>
      </c>
      <c r="E11" s="1689" t="s">
        <v>3063</v>
      </c>
      <c r="F11" s="1689"/>
      <c r="G11" s="1689"/>
      <c r="H11" s="1689"/>
      <c r="K11" s="841" t="s">
        <v>3197</v>
      </c>
      <c r="M11" s="1357"/>
      <c r="Q11" s="1357"/>
      <c r="S11" s="1420"/>
      <c r="T11" s="1420"/>
      <c r="V11" s="1357">
        <v>280</v>
      </c>
    </row>
    <row r="12" spans="1:23" s="841" customFormat="1" ht="15" x14ac:dyDescent="0.25">
      <c r="A12" s="841" t="s">
        <v>164</v>
      </c>
      <c r="E12" s="1689" t="s">
        <v>3064</v>
      </c>
      <c r="F12" s="1689"/>
      <c r="G12" s="1689"/>
      <c r="H12" s="1689"/>
      <c r="K12" s="841" t="s">
        <v>3197</v>
      </c>
      <c r="M12" s="1357"/>
      <c r="Q12" s="1357"/>
      <c r="S12" s="1420"/>
      <c r="T12" s="1420"/>
      <c r="V12" s="1357">
        <v>411</v>
      </c>
    </row>
    <row r="13" spans="1:23" s="841" customFormat="1" ht="15" x14ac:dyDescent="0.25">
      <c r="A13" s="841" t="s">
        <v>164</v>
      </c>
      <c r="E13" s="1689" t="s">
        <v>3199</v>
      </c>
      <c r="F13" s="1689"/>
      <c r="G13" s="1689"/>
      <c r="H13" s="1689"/>
      <c r="K13" s="841" t="s">
        <v>3197</v>
      </c>
      <c r="M13" s="1357"/>
      <c r="Q13" s="1357"/>
      <c r="S13" s="1420"/>
      <c r="T13" s="1420"/>
      <c r="V13" s="1357">
        <v>386</v>
      </c>
    </row>
    <row r="14" spans="1:23" s="841" customFormat="1" ht="15" x14ac:dyDescent="0.25">
      <c r="A14" s="841" t="s">
        <v>164</v>
      </c>
      <c r="E14" s="1689" t="s">
        <v>3200</v>
      </c>
      <c r="F14" s="1689"/>
      <c r="G14" s="1689"/>
      <c r="H14" s="1689"/>
      <c r="K14" s="841" t="s">
        <v>3197</v>
      </c>
      <c r="M14" s="1357"/>
      <c r="Q14" s="1357"/>
      <c r="S14" s="1420"/>
      <c r="T14" s="1420"/>
      <c r="V14" s="1357">
        <v>275</v>
      </c>
    </row>
    <row r="15" spans="1:23" s="841" customFormat="1" ht="15" x14ac:dyDescent="0.25">
      <c r="A15" s="841" t="s">
        <v>164</v>
      </c>
      <c r="E15" s="1694" t="s">
        <v>3067</v>
      </c>
      <c r="F15" s="1907"/>
      <c r="G15" s="1907"/>
      <c r="H15" s="1907"/>
      <c r="K15" s="841" t="s">
        <v>3068</v>
      </c>
      <c r="M15" s="1357"/>
      <c r="Q15" s="1357"/>
      <c r="S15" s="1420"/>
      <c r="T15" s="1420"/>
      <c r="V15" s="1357">
        <v>46</v>
      </c>
    </row>
    <row r="16" spans="1:23" s="841" customFormat="1" ht="15" x14ac:dyDescent="0.25">
      <c r="A16" s="841" t="s">
        <v>164</v>
      </c>
      <c r="E16" s="1690" t="s">
        <v>11</v>
      </c>
      <c r="F16" s="1690"/>
      <c r="G16" s="1408" t="s">
        <v>23</v>
      </c>
      <c r="H16" s="391">
        <v>24.07</v>
      </c>
      <c r="K16" s="841" t="s">
        <v>3197</v>
      </c>
      <c r="L16" s="841" t="s">
        <v>442</v>
      </c>
      <c r="M16" s="1357"/>
      <c r="P16" s="841" t="s">
        <v>3201</v>
      </c>
      <c r="Q16" s="1357"/>
      <c r="S16" s="1420"/>
      <c r="T16" s="1420"/>
      <c r="V16" s="1357">
        <v>14</v>
      </c>
    </row>
    <row r="17" spans="1:22" s="841" customFormat="1" ht="15" x14ac:dyDescent="0.25">
      <c r="A17" s="841" t="s">
        <v>164</v>
      </c>
      <c r="E17" s="1690" t="s">
        <v>5109</v>
      </c>
      <c r="F17" s="1690"/>
      <c r="G17" s="1408" t="s">
        <v>23</v>
      </c>
      <c r="H17" s="391">
        <v>0.56999999999999995</v>
      </c>
      <c r="K17" s="841" t="s">
        <v>3197</v>
      </c>
      <c r="L17" s="841" t="s">
        <v>443</v>
      </c>
      <c r="M17" s="1357"/>
      <c r="P17" s="841" t="s">
        <v>3202</v>
      </c>
      <c r="Q17" s="1357"/>
      <c r="S17" s="1420"/>
      <c r="T17" s="1420">
        <v>44926</v>
      </c>
      <c r="V17" s="1357">
        <v>64</v>
      </c>
    </row>
    <row r="18" spans="1:22" s="841" customFormat="1" ht="15" x14ac:dyDescent="0.25">
      <c r="A18" s="841" t="s">
        <v>164</v>
      </c>
      <c r="E18" s="1690" t="s">
        <v>84</v>
      </c>
      <c r="F18" s="1690"/>
      <c r="G18" s="1408" t="s">
        <v>24</v>
      </c>
      <c r="H18" s="393">
        <v>3.2000000000000002E-3</v>
      </c>
      <c r="K18" s="841" t="s">
        <v>3197</v>
      </c>
      <c r="L18" s="841" t="s">
        <v>442</v>
      </c>
      <c r="M18" s="1357"/>
      <c r="P18" s="841" t="s">
        <v>3203</v>
      </c>
      <c r="Q18" s="1357"/>
      <c r="S18" s="1420"/>
      <c r="T18" s="1420"/>
      <c r="V18" s="1357">
        <v>28</v>
      </c>
    </row>
    <row r="19" spans="1:22" s="841" customFormat="1" ht="15" x14ac:dyDescent="0.25">
      <c r="A19" s="841" t="s">
        <v>164</v>
      </c>
      <c r="E19" s="1690" t="s">
        <v>18</v>
      </c>
      <c r="F19" s="1690"/>
      <c r="G19" s="1408" t="s">
        <v>24</v>
      </c>
      <c r="H19" s="393">
        <v>2.0000000000000001E-4</v>
      </c>
      <c r="K19" s="841" t="s">
        <v>3197</v>
      </c>
      <c r="L19" s="841" t="s">
        <v>443</v>
      </c>
      <c r="M19" s="1357"/>
      <c r="P19" s="841" t="s">
        <v>3204</v>
      </c>
      <c r="Q19" s="1357"/>
      <c r="S19" s="1420"/>
      <c r="T19" s="1420"/>
      <c r="V19" s="1357">
        <v>24</v>
      </c>
    </row>
    <row r="20" spans="1:22" s="841" customFormat="1" ht="15" x14ac:dyDescent="0.25">
      <c r="A20" s="841" t="s">
        <v>164</v>
      </c>
      <c r="E20" s="1690" t="s">
        <v>221</v>
      </c>
      <c r="F20" s="1690"/>
      <c r="G20" s="1408" t="s">
        <v>24</v>
      </c>
      <c r="H20" s="393">
        <v>5.8999999999999999E-3</v>
      </c>
      <c r="K20" s="841" t="s">
        <v>3197</v>
      </c>
      <c r="L20" s="841" t="s">
        <v>444</v>
      </c>
      <c r="M20" s="1357"/>
      <c r="P20" s="841" t="s">
        <v>3208</v>
      </c>
      <c r="Q20" s="1357"/>
      <c r="S20" s="1420"/>
      <c r="T20" s="1420"/>
      <c r="V20" s="1357">
        <v>47</v>
      </c>
    </row>
    <row r="21" spans="1:22" s="841" customFormat="1" ht="15" x14ac:dyDescent="0.25">
      <c r="A21" s="841" t="s">
        <v>164</v>
      </c>
      <c r="E21" s="1690" t="s">
        <v>217</v>
      </c>
      <c r="F21" s="1690"/>
      <c r="G21" s="1408" t="s">
        <v>24</v>
      </c>
      <c r="H21" s="393">
        <v>5.1000000000000004E-3</v>
      </c>
      <c r="K21" s="841" t="s">
        <v>3197</v>
      </c>
      <c r="L21" s="841" t="s">
        <v>444</v>
      </c>
      <c r="M21" s="1357"/>
      <c r="P21" s="841" t="s">
        <v>3209</v>
      </c>
      <c r="Q21" s="1357"/>
      <c r="S21" s="1420"/>
      <c r="T21" s="1420"/>
      <c r="V21" s="1357">
        <v>74</v>
      </c>
    </row>
    <row r="22" spans="1:22" s="841" customFormat="1" ht="15" x14ac:dyDescent="0.25">
      <c r="A22" s="841" t="s">
        <v>164</v>
      </c>
      <c r="E22" s="1694" t="s">
        <v>3079</v>
      </c>
      <c r="F22" s="1690"/>
      <c r="G22" s="1408"/>
      <c r="H22" s="1408"/>
      <c r="K22" s="841" t="s">
        <v>3080</v>
      </c>
      <c r="M22" s="1357"/>
      <c r="Q22" s="1357"/>
      <c r="S22" s="1420"/>
      <c r="T22" s="1420"/>
      <c r="V22" s="1357">
        <v>48</v>
      </c>
    </row>
    <row r="23" spans="1:22" s="841" customFormat="1" ht="15" x14ac:dyDescent="0.25">
      <c r="A23" s="841" t="s">
        <v>164</v>
      </c>
      <c r="E23" s="1920" t="s">
        <v>2449</v>
      </c>
      <c r="F23" s="1690"/>
      <c r="G23" s="1408" t="s">
        <v>24</v>
      </c>
      <c r="H23" s="393">
        <v>3.2000000000000002E-3</v>
      </c>
      <c r="K23" s="841" t="s">
        <v>3197</v>
      </c>
      <c r="L23" s="841" t="s">
        <v>3046</v>
      </c>
      <c r="M23" s="1357"/>
      <c r="P23" s="841" t="s">
        <v>3210</v>
      </c>
      <c r="Q23" s="1357"/>
      <c r="S23" s="1420"/>
      <c r="T23" s="1420"/>
      <c r="V23" s="1357">
        <v>55</v>
      </c>
    </row>
    <row r="24" spans="1:22" s="841" customFormat="1" ht="15" x14ac:dyDescent="0.25">
      <c r="A24" s="841" t="s">
        <v>164</v>
      </c>
      <c r="E24" s="1690" t="s">
        <v>2450</v>
      </c>
      <c r="F24" s="1690"/>
      <c r="G24" s="1408" t="s">
        <v>24</v>
      </c>
      <c r="H24" s="393">
        <v>4.0000000000000002E-4</v>
      </c>
      <c r="K24" s="841" t="s">
        <v>3197</v>
      </c>
      <c r="L24" s="841" t="s">
        <v>3046</v>
      </c>
      <c r="M24" s="1357"/>
      <c r="P24" s="841" t="s">
        <v>3210</v>
      </c>
      <c r="Q24" s="1357"/>
      <c r="S24" s="1420"/>
      <c r="T24" s="1420"/>
      <c r="V24" s="1357">
        <v>65</v>
      </c>
    </row>
    <row r="25" spans="1:22" s="841" customFormat="1" ht="15" x14ac:dyDescent="0.25">
      <c r="A25" s="841" t="s">
        <v>164</v>
      </c>
      <c r="E25" s="1690" t="s">
        <v>439</v>
      </c>
      <c r="F25" s="1690"/>
      <c r="G25" s="1408" t="s">
        <v>24</v>
      </c>
      <c r="H25" s="393">
        <v>2.9999999999999997E-4</v>
      </c>
      <c r="K25" s="841" t="s">
        <v>3197</v>
      </c>
      <c r="L25" s="841" t="s">
        <v>3046</v>
      </c>
      <c r="M25" s="1357"/>
      <c r="P25" s="841" t="s">
        <v>3212</v>
      </c>
      <c r="Q25" s="1357"/>
      <c r="S25" s="1420"/>
      <c r="T25" s="1420"/>
      <c r="V25" s="1357">
        <v>57</v>
      </c>
    </row>
    <row r="26" spans="1:22" s="841" customFormat="1" ht="15" x14ac:dyDescent="0.25">
      <c r="A26" s="841" t="s">
        <v>164</v>
      </c>
      <c r="E26" s="1690" t="s">
        <v>32</v>
      </c>
      <c r="F26" s="1690"/>
      <c r="G26" s="1408" t="s">
        <v>23</v>
      </c>
      <c r="H26" s="391">
        <v>0.25</v>
      </c>
      <c r="K26" s="841" t="s">
        <v>3197</v>
      </c>
      <c r="L26" s="841" t="s">
        <v>3046</v>
      </c>
      <c r="M26" s="1357"/>
      <c r="P26" s="841" t="s">
        <v>3213</v>
      </c>
      <c r="Q26" s="1357"/>
      <c r="S26" s="1420"/>
      <c r="T26" s="1420"/>
      <c r="V26" s="1357">
        <v>63</v>
      </c>
    </row>
    <row r="27" spans="1:22" s="841" customFormat="1" x14ac:dyDescent="0.25">
      <c r="A27" s="841" t="s">
        <v>164</v>
      </c>
      <c r="E27" s="1909" t="s">
        <v>3214</v>
      </c>
      <c r="F27" s="1915"/>
      <c r="G27" s="1915"/>
      <c r="H27" s="1915"/>
      <c r="K27" s="841" t="s">
        <v>5110</v>
      </c>
      <c r="M27" s="1357"/>
      <c r="Q27" s="1357"/>
      <c r="S27" s="1420"/>
      <c r="T27" s="1420"/>
      <c r="V27" s="1357">
        <v>54</v>
      </c>
    </row>
    <row r="28" spans="1:22" s="841" customFormat="1" ht="15" x14ac:dyDescent="0.25">
      <c r="A28" s="841" t="s">
        <v>164</v>
      </c>
      <c r="E28" s="1689" t="s">
        <v>3713</v>
      </c>
      <c r="F28" s="1689"/>
      <c r="G28" s="1689"/>
      <c r="H28" s="1689"/>
      <c r="K28" s="841" t="s">
        <v>5110</v>
      </c>
      <c r="M28" s="1357"/>
      <c r="Q28" s="1357"/>
      <c r="S28" s="1420"/>
      <c r="T28" s="1420"/>
      <c r="V28" s="1357">
        <v>949</v>
      </c>
    </row>
    <row r="29" spans="1:22" s="841" customFormat="1" ht="15" x14ac:dyDescent="0.25">
      <c r="A29" s="841" t="s">
        <v>164</v>
      </c>
      <c r="E29" s="1916" t="s">
        <v>3061</v>
      </c>
      <c r="F29" s="1697"/>
      <c r="G29" s="1697"/>
      <c r="H29" s="1697"/>
      <c r="K29" s="841" t="s">
        <v>3086</v>
      </c>
      <c r="M29" s="1357"/>
      <c r="Q29" s="1357"/>
      <c r="S29" s="1420"/>
      <c r="T29" s="1420"/>
      <c r="V29" s="1357">
        <v>11</v>
      </c>
    </row>
    <row r="30" spans="1:22" s="841" customFormat="1" ht="15" x14ac:dyDescent="0.25">
      <c r="A30" s="841" t="s">
        <v>164</v>
      </c>
      <c r="E30" s="1689" t="s">
        <v>3063</v>
      </c>
      <c r="F30" s="1689"/>
      <c r="G30" s="1689"/>
      <c r="H30" s="1689"/>
      <c r="K30" s="841" t="s">
        <v>5110</v>
      </c>
      <c r="M30" s="1357"/>
      <c r="Q30" s="1357"/>
      <c r="S30" s="1420"/>
      <c r="T30" s="1420"/>
      <c r="V30" s="1357">
        <v>280</v>
      </c>
    </row>
    <row r="31" spans="1:22" s="841" customFormat="1" ht="15" x14ac:dyDescent="0.25">
      <c r="A31" s="841" t="s">
        <v>164</v>
      </c>
      <c r="E31" s="1689" t="s">
        <v>3064</v>
      </c>
      <c r="F31" s="1689"/>
      <c r="G31" s="1689"/>
      <c r="H31" s="1689"/>
      <c r="K31" s="841" t="s">
        <v>5110</v>
      </c>
      <c r="M31" s="1357"/>
      <c r="Q31" s="1357"/>
      <c r="S31" s="1420"/>
      <c r="T31" s="1420"/>
      <c r="V31" s="1357">
        <v>411</v>
      </c>
    </row>
    <row r="32" spans="1:22" s="841" customFormat="1" ht="15" x14ac:dyDescent="0.25">
      <c r="A32" s="841" t="s">
        <v>164</v>
      </c>
      <c r="E32" s="1689" t="s">
        <v>3199</v>
      </c>
      <c r="F32" s="1689"/>
      <c r="G32" s="1689"/>
      <c r="H32" s="1689"/>
      <c r="K32" s="841" t="s">
        <v>5110</v>
      </c>
      <c r="M32" s="1357"/>
      <c r="Q32" s="1357"/>
      <c r="S32" s="1420"/>
      <c r="T32" s="1420"/>
      <c r="V32" s="1357">
        <v>386</v>
      </c>
    </row>
    <row r="33" spans="1:22" s="841" customFormat="1" ht="15" x14ac:dyDescent="0.25">
      <c r="A33" s="841" t="s">
        <v>164</v>
      </c>
      <c r="E33" s="1689" t="s">
        <v>3200</v>
      </c>
      <c r="F33" s="1689"/>
      <c r="G33" s="1689"/>
      <c r="H33" s="1689"/>
      <c r="K33" s="841" t="s">
        <v>5110</v>
      </c>
      <c r="M33" s="1357"/>
      <c r="Q33" s="1357"/>
      <c r="S33" s="1420"/>
      <c r="T33" s="1420"/>
      <c r="V33" s="1357">
        <v>275</v>
      </c>
    </row>
    <row r="34" spans="1:22" s="841" customFormat="1" ht="15" x14ac:dyDescent="0.25">
      <c r="A34" s="841" t="s">
        <v>164</v>
      </c>
      <c r="E34" s="1694" t="s">
        <v>3067</v>
      </c>
      <c r="F34" s="1907"/>
      <c r="G34" s="1907"/>
      <c r="H34" s="1907"/>
      <c r="K34" s="841" t="s">
        <v>3087</v>
      </c>
      <c r="M34" s="1357"/>
      <c r="Q34" s="1357"/>
      <c r="S34" s="1420"/>
      <c r="T34" s="1420"/>
      <c r="V34" s="1357">
        <v>46</v>
      </c>
    </row>
    <row r="35" spans="1:22" s="841" customFormat="1" ht="15" x14ac:dyDescent="0.25">
      <c r="A35" s="841" t="s">
        <v>164</v>
      </c>
      <c r="E35" s="1690" t="s">
        <v>11</v>
      </c>
      <c r="F35" s="1690"/>
      <c r="G35" s="1408" t="s">
        <v>23</v>
      </c>
      <c r="H35" s="391">
        <v>22.15</v>
      </c>
      <c r="K35" s="841" t="s">
        <v>5110</v>
      </c>
      <c r="L35" s="841" t="s">
        <v>442</v>
      </c>
      <c r="M35" s="1357"/>
      <c r="P35" s="841" t="s">
        <v>5111</v>
      </c>
      <c r="Q35" s="1357"/>
      <c r="S35" s="1420"/>
      <c r="T35" s="1420"/>
      <c r="V35" s="1357">
        <v>14</v>
      </c>
    </row>
    <row r="36" spans="1:22" s="841" customFormat="1" ht="15" x14ac:dyDescent="0.25">
      <c r="A36" s="841" t="s">
        <v>164</v>
      </c>
      <c r="E36" s="1690" t="s">
        <v>5109</v>
      </c>
      <c r="F36" s="1690"/>
      <c r="G36" s="1408" t="s">
        <v>23</v>
      </c>
      <c r="H36" s="391">
        <v>0.56999999999999995</v>
      </c>
      <c r="K36" s="841" t="s">
        <v>5110</v>
      </c>
      <c r="L36" s="841" t="s">
        <v>443</v>
      </c>
      <c r="M36" s="1357"/>
      <c r="P36" s="841" t="s">
        <v>5112</v>
      </c>
      <c r="Q36" s="1357"/>
      <c r="S36" s="1420"/>
      <c r="T36" s="1420">
        <v>44926</v>
      </c>
      <c r="V36" s="1357">
        <v>64</v>
      </c>
    </row>
    <row r="37" spans="1:22" s="841" customFormat="1" ht="15" x14ac:dyDescent="0.25">
      <c r="A37" s="841" t="s">
        <v>164</v>
      </c>
      <c r="E37" s="1690" t="s">
        <v>84</v>
      </c>
      <c r="F37" s="1690"/>
      <c r="G37" s="1408" t="s">
        <v>24</v>
      </c>
      <c r="H37" s="393">
        <v>1.9099999999999999E-2</v>
      </c>
      <c r="K37" s="841" t="s">
        <v>5110</v>
      </c>
      <c r="L37" s="841" t="s">
        <v>442</v>
      </c>
      <c r="M37" s="1357"/>
      <c r="P37" s="841" t="s">
        <v>5113</v>
      </c>
      <c r="Q37" s="1357"/>
      <c r="S37" s="1420"/>
      <c r="T37" s="1420"/>
      <c r="V37" s="1357">
        <v>28</v>
      </c>
    </row>
    <row r="38" spans="1:22" s="841" customFormat="1" ht="15" x14ac:dyDescent="0.25">
      <c r="A38" s="841" t="s">
        <v>164</v>
      </c>
      <c r="E38" s="1690" t="s">
        <v>18</v>
      </c>
      <c r="F38" s="1690"/>
      <c r="G38" s="1408" t="s">
        <v>24</v>
      </c>
      <c r="H38" s="393">
        <v>1E-4</v>
      </c>
      <c r="K38" s="841" t="s">
        <v>5110</v>
      </c>
      <c r="L38" s="841" t="s">
        <v>443</v>
      </c>
      <c r="M38" s="1357"/>
      <c r="P38" s="841" t="s">
        <v>5114</v>
      </c>
      <c r="Q38" s="1357"/>
      <c r="S38" s="1420"/>
      <c r="T38" s="1420"/>
      <c r="V38" s="1357">
        <v>24</v>
      </c>
    </row>
    <row r="39" spans="1:22" s="841" customFormat="1" ht="15" x14ac:dyDescent="0.25">
      <c r="A39" s="841" t="s">
        <v>164</v>
      </c>
      <c r="E39" s="1690" t="s">
        <v>221</v>
      </c>
      <c r="F39" s="1690"/>
      <c r="G39" s="1408" t="s">
        <v>24</v>
      </c>
      <c r="H39" s="393">
        <v>4.4000000000000003E-3</v>
      </c>
      <c r="K39" s="841" t="s">
        <v>5110</v>
      </c>
      <c r="L39" s="841" t="s">
        <v>444</v>
      </c>
      <c r="M39" s="1357"/>
      <c r="P39" s="841" t="s">
        <v>5115</v>
      </c>
      <c r="Q39" s="1357"/>
      <c r="S39" s="1420"/>
      <c r="T39" s="1420"/>
      <c r="V39" s="1357">
        <v>47</v>
      </c>
    </row>
    <row r="40" spans="1:22" s="841" customFormat="1" ht="15" x14ac:dyDescent="0.25">
      <c r="A40" s="841" t="s">
        <v>164</v>
      </c>
      <c r="E40" s="1690" t="s">
        <v>217</v>
      </c>
      <c r="F40" s="1690"/>
      <c r="G40" s="1408" t="s">
        <v>24</v>
      </c>
      <c r="H40" s="393">
        <v>3.5999999999999999E-3</v>
      </c>
      <c r="K40" s="841" t="s">
        <v>5110</v>
      </c>
      <c r="L40" s="841" t="s">
        <v>444</v>
      </c>
      <c r="M40" s="1357"/>
      <c r="P40" s="841" t="s">
        <v>5116</v>
      </c>
      <c r="Q40" s="1357"/>
      <c r="S40" s="1420"/>
      <c r="T40" s="1420"/>
      <c r="V40" s="1357">
        <v>74</v>
      </c>
    </row>
    <row r="41" spans="1:22" s="841" customFormat="1" ht="15" x14ac:dyDescent="0.25">
      <c r="A41" s="841" t="s">
        <v>164</v>
      </c>
      <c r="E41" s="1694" t="s">
        <v>3079</v>
      </c>
      <c r="F41" s="1690"/>
      <c r="G41" s="1408"/>
      <c r="H41" s="1408"/>
      <c r="K41" s="841" t="s">
        <v>3093</v>
      </c>
      <c r="M41" s="1357"/>
      <c r="Q41" s="1357"/>
      <c r="S41" s="1420"/>
      <c r="T41" s="1420"/>
      <c r="V41" s="1357">
        <v>48</v>
      </c>
    </row>
    <row r="42" spans="1:22" s="841" customFormat="1" ht="15" x14ac:dyDescent="0.25">
      <c r="A42" s="841" t="s">
        <v>164</v>
      </c>
      <c r="E42" s="1920" t="s">
        <v>2449</v>
      </c>
      <c r="F42" s="1690"/>
      <c r="G42" s="1408" t="s">
        <v>24</v>
      </c>
      <c r="H42" s="393">
        <v>3.2000000000000002E-3</v>
      </c>
      <c r="K42" s="841" t="s">
        <v>5110</v>
      </c>
      <c r="L42" s="841" t="s">
        <v>3046</v>
      </c>
      <c r="M42" s="1357"/>
      <c r="P42" s="841" t="s">
        <v>5117</v>
      </c>
      <c r="Q42" s="1357"/>
      <c r="S42" s="1420"/>
      <c r="T42" s="1420"/>
      <c r="V42" s="1357">
        <v>55</v>
      </c>
    </row>
    <row r="43" spans="1:22" s="841" customFormat="1" ht="15" x14ac:dyDescent="0.25">
      <c r="A43" s="841" t="s">
        <v>164</v>
      </c>
      <c r="E43" s="1690" t="s">
        <v>2450</v>
      </c>
      <c r="F43" s="1690"/>
      <c r="G43" s="1408" t="s">
        <v>24</v>
      </c>
      <c r="H43" s="393">
        <v>4.0000000000000002E-4</v>
      </c>
      <c r="K43" s="841" t="s">
        <v>5110</v>
      </c>
      <c r="L43" s="841" t="s">
        <v>3046</v>
      </c>
      <c r="M43" s="1357"/>
      <c r="P43" s="841" t="s">
        <v>5117</v>
      </c>
      <c r="Q43" s="1357"/>
      <c r="S43" s="1420"/>
      <c r="T43" s="1420"/>
      <c r="V43" s="1357">
        <v>65</v>
      </c>
    </row>
    <row r="44" spans="1:22" s="841" customFormat="1" ht="15" x14ac:dyDescent="0.25">
      <c r="A44" s="841" t="s">
        <v>164</v>
      </c>
      <c r="E44" s="1690" t="s">
        <v>439</v>
      </c>
      <c r="F44" s="1690"/>
      <c r="G44" s="1408" t="s">
        <v>24</v>
      </c>
      <c r="H44" s="393">
        <v>2.9999999999999997E-4</v>
      </c>
      <c r="K44" s="841" t="s">
        <v>5110</v>
      </c>
      <c r="L44" s="841" t="s">
        <v>3046</v>
      </c>
      <c r="M44" s="1357"/>
      <c r="P44" s="841" t="s">
        <v>5118</v>
      </c>
      <c r="Q44" s="1357"/>
      <c r="S44" s="1420"/>
      <c r="T44" s="1420"/>
      <c r="V44" s="1357">
        <v>57</v>
      </c>
    </row>
    <row r="45" spans="1:22" s="841" customFormat="1" ht="15" x14ac:dyDescent="0.25">
      <c r="A45" s="841" t="s">
        <v>164</v>
      </c>
      <c r="E45" s="1690" t="s">
        <v>32</v>
      </c>
      <c r="F45" s="1690"/>
      <c r="G45" s="1408" t="s">
        <v>23</v>
      </c>
      <c r="H45" s="391">
        <v>0.25</v>
      </c>
      <c r="K45" s="841" t="s">
        <v>5110</v>
      </c>
      <c r="L45" s="841" t="s">
        <v>3046</v>
      </c>
      <c r="M45" s="1357"/>
      <c r="P45" s="841" t="s">
        <v>5119</v>
      </c>
      <c r="Q45" s="1357"/>
      <c r="S45" s="1420"/>
      <c r="T45" s="1420"/>
      <c r="V45" s="1357">
        <v>63</v>
      </c>
    </row>
    <row r="46" spans="1:22" s="841" customFormat="1" x14ac:dyDescent="0.25">
      <c r="A46" s="841" t="s">
        <v>164</v>
      </c>
      <c r="E46" s="1909" t="s">
        <v>616</v>
      </c>
      <c r="F46" s="1915"/>
      <c r="G46" s="1915"/>
      <c r="H46" s="1915"/>
      <c r="K46" s="841" t="s">
        <v>6095</v>
      </c>
      <c r="M46" s="1357"/>
      <c r="Q46" s="1357"/>
      <c r="S46" s="1420"/>
      <c r="T46" s="1420"/>
      <c r="V46" s="1357">
        <v>53</v>
      </c>
    </row>
    <row r="47" spans="1:22" s="841" customFormat="1" ht="15" x14ac:dyDescent="0.25">
      <c r="A47" s="841" t="s">
        <v>164</v>
      </c>
      <c r="E47" s="1689" t="s">
        <v>3714</v>
      </c>
      <c r="F47" s="1689"/>
      <c r="G47" s="1689"/>
      <c r="H47" s="1689"/>
      <c r="K47" s="841" t="s">
        <v>6095</v>
      </c>
      <c r="M47" s="1357"/>
      <c r="Q47" s="1357"/>
      <c r="S47" s="1420"/>
      <c r="T47" s="1420"/>
      <c r="V47" s="1357">
        <v>572</v>
      </c>
    </row>
    <row r="48" spans="1:22" s="841" customFormat="1" ht="15" x14ac:dyDescent="0.25">
      <c r="A48" s="841" t="s">
        <v>164</v>
      </c>
      <c r="E48" s="1916" t="s">
        <v>3061</v>
      </c>
      <c r="F48" s="1697"/>
      <c r="G48" s="1697"/>
      <c r="H48" s="1697"/>
      <c r="K48" s="841" t="s">
        <v>3098</v>
      </c>
      <c r="M48" s="1357"/>
      <c r="Q48" s="1357"/>
      <c r="S48" s="1420"/>
      <c r="T48" s="1420"/>
      <c r="V48" s="1357">
        <v>11</v>
      </c>
    </row>
    <row r="49" spans="1:22" s="841" customFormat="1" ht="15" x14ac:dyDescent="0.25">
      <c r="A49" s="841" t="s">
        <v>164</v>
      </c>
      <c r="E49" s="1689" t="s">
        <v>3063</v>
      </c>
      <c r="F49" s="1689"/>
      <c r="G49" s="1689"/>
      <c r="H49" s="1689"/>
      <c r="K49" s="841" t="s">
        <v>6095</v>
      </c>
      <c r="M49" s="1357"/>
      <c r="Q49" s="1357"/>
      <c r="S49" s="1420"/>
      <c r="T49" s="1420"/>
      <c r="V49" s="1357">
        <v>280</v>
      </c>
    </row>
    <row r="50" spans="1:22" s="841" customFormat="1" ht="15" x14ac:dyDescent="0.25">
      <c r="A50" s="841" t="s">
        <v>164</v>
      </c>
      <c r="E50" s="1689" t="s">
        <v>3064</v>
      </c>
      <c r="F50" s="1689"/>
      <c r="G50" s="1689"/>
      <c r="H50" s="1689"/>
      <c r="K50" s="841" t="s">
        <v>6095</v>
      </c>
      <c r="M50" s="1357"/>
      <c r="Q50" s="1357"/>
      <c r="S50" s="1420"/>
      <c r="T50" s="1420"/>
      <c r="V50" s="1357">
        <v>411</v>
      </c>
    </row>
    <row r="51" spans="1:22" s="841" customFormat="1" ht="15" x14ac:dyDescent="0.25">
      <c r="A51" s="841" t="s">
        <v>164</v>
      </c>
      <c r="E51" s="1689" t="s">
        <v>3199</v>
      </c>
      <c r="F51" s="1689"/>
      <c r="G51" s="1689"/>
      <c r="H51" s="1689"/>
      <c r="K51" s="841" t="s">
        <v>6095</v>
      </c>
      <c r="M51" s="1357"/>
      <c r="Q51" s="1357"/>
      <c r="S51" s="1420"/>
      <c r="T51" s="1420"/>
      <c r="V51" s="1357">
        <v>386</v>
      </c>
    </row>
    <row r="52" spans="1:22" s="841" customFormat="1" ht="15" x14ac:dyDescent="0.25">
      <c r="A52" s="841" t="s">
        <v>164</v>
      </c>
      <c r="E52" s="1689" t="s">
        <v>5120</v>
      </c>
      <c r="F52" s="1689"/>
      <c r="G52" s="1689"/>
      <c r="H52" s="1689"/>
      <c r="K52" s="841" t="s">
        <v>6095</v>
      </c>
      <c r="M52" s="1357"/>
      <c r="Q52" s="1357"/>
      <c r="S52" s="1420"/>
      <c r="T52" s="1420"/>
      <c r="V52" s="1357">
        <v>658</v>
      </c>
    </row>
    <row r="53" spans="1:22" s="841" customFormat="1" ht="15" x14ac:dyDescent="0.25">
      <c r="A53" s="841" t="s">
        <v>164</v>
      </c>
      <c r="E53" s="1689" t="s">
        <v>3200</v>
      </c>
      <c r="F53" s="1689"/>
      <c r="G53" s="1689"/>
      <c r="H53" s="1689"/>
      <c r="K53" s="841" t="s">
        <v>6095</v>
      </c>
      <c r="M53" s="1357"/>
      <c r="Q53" s="1357"/>
      <c r="S53" s="1420"/>
      <c r="T53" s="1420"/>
      <c r="V53" s="1357">
        <v>275</v>
      </c>
    </row>
    <row r="54" spans="1:22" s="841" customFormat="1" ht="15" x14ac:dyDescent="0.25">
      <c r="A54" s="841" t="s">
        <v>164</v>
      </c>
      <c r="E54" s="1694" t="s">
        <v>3067</v>
      </c>
      <c r="F54" s="1907"/>
      <c r="G54" s="1907"/>
      <c r="H54" s="1907"/>
      <c r="K54" s="841" t="s">
        <v>3099</v>
      </c>
      <c r="M54" s="1357"/>
      <c r="Q54" s="1357"/>
      <c r="S54" s="1420"/>
      <c r="T54" s="1420"/>
      <c r="V54" s="1357">
        <v>46</v>
      </c>
    </row>
    <row r="55" spans="1:22" s="841" customFormat="1" ht="15" x14ac:dyDescent="0.25">
      <c r="A55" s="841" t="s">
        <v>164</v>
      </c>
      <c r="E55" s="1690" t="s">
        <v>11</v>
      </c>
      <c r="F55" s="1690"/>
      <c r="G55" s="1408" t="s">
        <v>23</v>
      </c>
      <c r="H55" s="391">
        <v>168.99</v>
      </c>
      <c r="K55" s="841" t="s">
        <v>6095</v>
      </c>
      <c r="L55" s="841" t="s">
        <v>442</v>
      </c>
      <c r="M55" s="1357"/>
      <c r="P55" s="841" t="s">
        <v>6096</v>
      </c>
      <c r="Q55" s="1357"/>
      <c r="S55" s="1420"/>
      <c r="T55" s="1420"/>
      <c r="V55" s="1357">
        <v>14</v>
      </c>
    </row>
    <row r="56" spans="1:22" s="841" customFormat="1" ht="15" x14ac:dyDescent="0.25">
      <c r="A56" s="841" t="s">
        <v>164</v>
      </c>
      <c r="E56" s="1690" t="s">
        <v>84</v>
      </c>
      <c r="F56" s="1690"/>
      <c r="G56" s="1408" t="s">
        <v>33</v>
      </c>
      <c r="H56" s="393">
        <v>4.3906999999999998</v>
      </c>
      <c r="K56" s="841" t="s">
        <v>6095</v>
      </c>
      <c r="L56" s="841" t="s">
        <v>442</v>
      </c>
      <c r="M56" s="1357"/>
      <c r="P56" s="841" t="s">
        <v>6097</v>
      </c>
      <c r="Q56" s="1357"/>
      <c r="S56" s="1420"/>
      <c r="T56" s="1420"/>
      <c r="V56" s="1357">
        <v>28</v>
      </c>
    </row>
    <row r="57" spans="1:22" s="841" customFormat="1" ht="15" x14ac:dyDescent="0.25">
      <c r="A57" s="841" t="s">
        <v>164</v>
      </c>
      <c r="E57" s="1690" t="s">
        <v>18</v>
      </c>
      <c r="F57" s="1690"/>
      <c r="G57" s="1408" t="s">
        <v>33</v>
      </c>
      <c r="H57" s="393">
        <v>0.1027</v>
      </c>
      <c r="K57" s="841" t="s">
        <v>6095</v>
      </c>
      <c r="L57" s="841" t="s">
        <v>443</v>
      </c>
      <c r="M57" s="1357"/>
      <c r="P57" s="841" t="s">
        <v>6098</v>
      </c>
      <c r="Q57" s="1357"/>
      <c r="S57" s="1420"/>
      <c r="T57" s="1420"/>
      <c r="V57" s="1357">
        <v>24</v>
      </c>
    </row>
    <row r="58" spans="1:22" s="841" customFormat="1" ht="15" x14ac:dyDescent="0.25">
      <c r="A58" s="841" t="s">
        <v>164</v>
      </c>
      <c r="E58" s="1690" t="s">
        <v>221</v>
      </c>
      <c r="F58" s="1690"/>
      <c r="G58" s="1408" t="s">
        <v>33</v>
      </c>
      <c r="H58" s="393">
        <v>3.2854999999999999</v>
      </c>
      <c r="K58" s="841" t="s">
        <v>6095</v>
      </c>
      <c r="L58" s="841" t="s">
        <v>444</v>
      </c>
      <c r="M58" s="1357"/>
      <c r="P58" s="841" t="s">
        <v>6099</v>
      </c>
      <c r="Q58" s="1357"/>
      <c r="S58" s="1420"/>
      <c r="T58" s="1420"/>
      <c r="V58" s="1357">
        <v>47</v>
      </c>
    </row>
    <row r="59" spans="1:22" s="841" customFormat="1" ht="15" x14ac:dyDescent="0.25">
      <c r="A59" s="841" t="s">
        <v>164</v>
      </c>
      <c r="E59" s="1690" t="s">
        <v>217</v>
      </c>
      <c r="F59" s="1690"/>
      <c r="G59" s="1408" t="s">
        <v>33</v>
      </c>
      <c r="H59" s="393">
        <v>2.7585999999999999</v>
      </c>
      <c r="K59" s="841" t="s">
        <v>6095</v>
      </c>
      <c r="L59" s="841" t="s">
        <v>444</v>
      </c>
      <c r="M59" s="1357"/>
      <c r="P59" s="841" t="s">
        <v>6100</v>
      </c>
      <c r="Q59" s="1357"/>
      <c r="S59" s="1420"/>
      <c r="T59" s="1420"/>
      <c r="V59" s="1357">
        <v>74</v>
      </c>
    </row>
    <row r="60" spans="1:22" s="841" customFormat="1" ht="15" x14ac:dyDescent="0.25">
      <c r="A60" s="841" t="s">
        <v>164</v>
      </c>
      <c r="E60" s="1694" t="s">
        <v>3079</v>
      </c>
      <c r="F60" s="1690"/>
      <c r="G60" s="1408"/>
      <c r="H60" s="1408"/>
      <c r="K60" s="841" t="s">
        <v>3218</v>
      </c>
      <c r="M60" s="1357"/>
      <c r="Q60" s="1357"/>
      <c r="S60" s="1420"/>
      <c r="T60" s="1420"/>
      <c r="V60" s="1357">
        <v>48</v>
      </c>
    </row>
    <row r="61" spans="1:22" s="841" customFormat="1" ht="15" x14ac:dyDescent="0.25">
      <c r="A61" s="841" t="s">
        <v>164</v>
      </c>
      <c r="E61" s="1920" t="s">
        <v>2449</v>
      </c>
      <c r="F61" s="1690"/>
      <c r="G61" s="1408" t="s">
        <v>24</v>
      </c>
      <c r="H61" s="393">
        <v>3.2000000000000002E-3</v>
      </c>
      <c r="K61" s="841" t="s">
        <v>6095</v>
      </c>
      <c r="L61" s="841" t="s">
        <v>3046</v>
      </c>
      <c r="M61" s="1357"/>
      <c r="P61" s="841" t="s">
        <v>6101</v>
      </c>
      <c r="Q61" s="1357"/>
      <c r="S61" s="1420"/>
      <c r="T61" s="1420"/>
      <c r="V61" s="1357">
        <v>55</v>
      </c>
    </row>
    <row r="62" spans="1:22" s="841" customFormat="1" ht="15" x14ac:dyDescent="0.25">
      <c r="A62" s="841" t="s">
        <v>164</v>
      </c>
      <c r="E62" s="1690" t="s">
        <v>2450</v>
      </c>
      <c r="F62" s="1690"/>
      <c r="G62" s="1408" t="s">
        <v>24</v>
      </c>
      <c r="H62" s="393">
        <v>4.0000000000000002E-4</v>
      </c>
      <c r="K62" s="841" t="s">
        <v>6095</v>
      </c>
      <c r="L62" s="841" t="s">
        <v>3046</v>
      </c>
      <c r="M62" s="1357"/>
      <c r="P62" s="841" t="s">
        <v>6101</v>
      </c>
      <c r="Q62" s="1357"/>
      <c r="S62" s="1420"/>
      <c r="T62" s="1420"/>
      <c r="V62" s="1357">
        <v>65</v>
      </c>
    </row>
    <row r="63" spans="1:22" s="841" customFormat="1" ht="15" x14ac:dyDescent="0.25">
      <c r="A63" s="841" t="s">
        <v>164</v>
      </c>
      <c r="E63" s="1690" t="s">
        <v>439</v>
      </c>
      <c r="F63" s="1690"/>
      <c r="G63" s="1408" t="s">
        <v>24</v>
      </c>
      <c r="H63" s="393">
        <v>2.9999999999999997E-4</v>
      </c>
      <c r="K63" s="841" t="s">
        <v>6095</v>
      </c>
      <c r="L63" s="841" t="s">
        <v>3046</v>
      </c>
      <c r="M63" s="1357"/>
      <c r="P63" s="841" t="s">
        <v>6102</v>
      </c>
      <c r="Q63" s="1357"/>
      <c r="S63" s="1420"/>
      <c r="T63" s="1420"/>
      <c r="V63" s="1357">
        <v>57</v>
      </c>
    </row>
    <row r="64" spans="1:22" s="841" customFormat="1" ht="15" x14ac:dyDescent="0.25">
      <c r="A64" s="841" t="s">
        <v>164</v>
      </c>
      <c r="E64" s="1690" t="s">
        <v>32</v>
      </c>
      <c r="F64" s="1690"/>
      <c r="G64" s="1408" t="s">
        <v>23</v>
      </c>
      <c r="H64" s="391">
        <v>0.25</v>
      </c>
      <c r="K64" s="841" t="s">
        <v>6095</v>
      </c>
      <c r="L64" s="841" t="s">
        <v>3046</v>
      </c>
      <c r="M64" s="1357"/>
      <c r="P64" s="841" t="s">
        <v>6103</v>
      </c>
      <c r="Q64" s="1357"/>
      <c r="S64" s="1420"/>
      <c r="T64" s="1420"/>
      <c r="V64" s="1357">
        <v>63</v>
      </c>
    </row>
    <row r="65" spans="1:22" s="841" customFormat="1" x14ac:dyDescent="0.25">
      <c r="A65" s="841" t="s">
        <v>164</v>
      </c>
      <c r="E65" s="1909" t="s">
        <v>617</v>
      </c>
      <c r="F65" s="1915"/>
      <c r="G65" s="1915"/>
      <c r="H65" s="1915"/>
      <c r="K65" s="841" t="s">
        <v>3406</v>
      </c>
      <c r="M65" s="1357"/>
      <c r="Q65" s="1357"/>
      <c r="S65" s="1420"/>
      <c r="T65" s="1420"/>
      <c r="V65" s="1357">
        <v>47</v>
      </c>
    </row>
    <row r="66" spans="1:22" s="841" customFormat="1" ht="15" x14ac:dyDescent="0.25">
      <c r="A66" s="841" t="s">
        <v>164</v>
      </c>
      <c r="E66" s="1689" t="s">
        <v>3715</v>
      </c>
      <c r="F66" s="1689"/>
      <c r="G66" s="1689"/>
      <c r="H66" s="1689"/>
      <c r="K66" s="841" t="s">
        <v>3406</v>
      </c>
      <c r="M66" s="1357"/>
      <c r="Q66" s="1357"/>
      <c r="S66" s="1420"/>
      <c r="T66" s="1420"/>
      <c r="V66" s="1357">
        <v>681</v>
      </c>
    </row>
    <row r="67" spans="1:22" s="841" customFormat="1" ht="15" x14ac:dyDescent="0.25">
      <c r="A67" s="841" t="s">
        <v>164</v>
      </c>
      <c r="E67" s="1916" t="s">
        <v>3061</v>
      </c>
      <c r="F67" s="1697"/>
      <c r="G67" s="1697"/>
      <c r="H67" s="1697"/>
      <c r="K67" s="841" t="s">
        <v>3221</v>
      </c>
      <c r="M67" s="1357"/>
      <c r="Q67" s="1357"/>
      <c r="S67" s="1420"/>
      <c r="T67" s="1420"/>
      <c r="V67" s="1357">
        <v>11</v>
      </c>
    </row>
    <row r="68" spans="1:22" s="841" customFormat="1" ht="15" x14ac:dyDescent="0.25">
      <c r="A68" s="841" t="s">
        <v>164</v>
      </c>
      <c r="E68" s="1689" t="s">
        <v>3063</v>
      </c>
      <c r="F68" s="1689"/>
      <c r="G68" s="1689"/>
      <c r="H68" s="1689"/>
      <c r="K68" s="841" t="s">
        <v>3406</v>
      </c>
      <c r="M68" s="1357"/>
      <c r="Q68" s="1357"/>
      <c r="S68" s="1420"/>
      <c r="T68" s="1420"/>
      <c r="V68" s="1357">
        <v>280</v>
      </c>
    </row>
    <row r="69" spans="1:22" s="841" customFormat="1" ht="15" x14ac:dyDescent="0.25">
      <c r="A69" s="841" t="s">
        <v>164</v>
      </c>
      <c r="E69" s="1689" t="s">
        <v>3064</v>
      </c>
      <c r="F69" s="1689"/>
      <c r="G69" s="1689"/>
      <c r="H69" s="1689"/>
      <c r="K69" s="841" t="s">
        <v>3406</v>
      </c>
      <c r="M69" s="1357"/>
      <c r="Q69" s="1357"/>
      <c r="S69" s="1420"/>
      <c r="T69" s="1420"/>
      <c r="V69" s="1357">
        <v>411</v>
      </c>
    </row>
    <row r="70" spans="1:22" s="841" customFormat="1" ht="15" x14ac:dyDescent="0.25">
      <c r="A70" s="841" t="s">
        <v>164</v>
      </c>
      <c r="E70" s="1689" t="s">
        <v>3199</v>
      </c>
      <c r="F70" s="1689"/>
      <c r="G70" s="1689"/>
      <c r="H70" s="1689"/>
      <c r="K70" s="841" t="s">
        <v>3406</v>
      </c>
      <c r="M70" s="1357"/>
      <c r="Q70" s="1357"/>
      <c r="S70" s="1420"/>
      <c r="T70" s="1420"/>
      <c r="V70" s="1357">
        <v>386</v>
      </c>
    </row>
    <row r="71" spans="1:22" s="841" customFormat="1" ht="15" x14ac:dyDescent="0.25">
      <c r="A71" s="841" t="s">
        <v>164</v>
      </c>
      <c r="E71" s="1689" t="s">
        <v>3200</v>
      </c>
      <c r="F71" s="1689"/>
      <c r="G71" s="1689"/>
      <c r="H71" s="1689"/>
      <c r="K71" s="841" t="s">
        <v>3406</v>
      </c>
      <c r="M71" s="1357"/>
      <c r="Q71" s="1357"/>
      <c r="S71" s="1420"/>
      <c r="T71" s="1420"/>
      <c r="V71" s="1357">
        <v>275</v>
      </c>
    </row>
    <row r="72" spans="1:22" s="841" customFormat="1" ht="15" x14ac:dyDescent="0.25">
      <c r="A72" s="841" t="s">
        <v>164</v>
      </c>
      <c r="E72" s="1694" t="s">
        <v>3067</v>
      </c>
      <c r="F72" s="1907"/>
      <c r="G72" s="1907"/>
      <c r="H72" s="1907"/>
      <c r="K72" s="841" t="s">
        <v>3224</v>
      </c>
      <c r="M72" s="1357"/>
      <c r="Q72" s="1357"/>
      <c r="S72" s="1420"/>
      <c r="T72" s="1420"/>
      <c r="V72" s="1357">
        <v>46</v>
      </c>
    </row>
    <row r="73" spans="1:22" s="841" customFormat="1" ht="15" x14ac:dyDescent="0.25">
      <c r="A73" s="841" t="s">
        <v>164</v>
      </c>
      <c r="E73" s="1690" t="s">
        <v>12</v>
      </c>
      <c r="F73" s="1690"/>
      <c r="G73" s="1408" t="s">
        <v>23</v>
      </c>
      <c r="H73" s="391">
        <v>7.24</v>
      </c>
      <c r="K73" s="841" t="s">
        <v>3406</v>
      </c>
      <c r="L73" s="841" t="s">
        <v>442</v>
      </c>
      <c r="M73" s="1357"/>
      <c r="P73" s="841" t="s">
        <v>3408</v>
      </c>
      <c r="Q73" s="1357"/>
      <c r="S73" s="1420"/>
      <c r="T73" s="1420"/>
      <c r="V73" s="1357">
        <v>31</v>
      </c>
    </row>
    <row r="74" spans="1:22" s="841" customFormat="1" ht="15" x14ac:dyDescent="0.25">
      <c r="A74" s="841" t="s">
        <v>164</v>
      </c>
      <c r="E74" s="1690" t="s">
        <v>84</v>
      </c>
      <c r="F74" s="1690"/>
      <c r="G74" s="1408" t="s">
        <v>24</v>
      </c>
      <c r="H74" s="393">
        <v>1.0999999999999999E-2</v>
      </c>
      <c r="K74" s="841" t="s">
        <v>3406</v>
      </c>
      <c r="L74" s="841" t="s">
        <v>442</v>
      </c>
      <c r="M74" s="1357"/>
      <c r="P74" s="841" t="s">
        <v>3409</v>
      </c>
      <c r="Q74" s="1357"/>
      <c r="S74" s="1420"/>
      <c r="T74" s="1420"/>
      <c r="V74" s="1357">
        <v>28</v>
      </c>
    </row>
    <row r="75" spans="1:22" s="841" customFormat="1" ht="15" x14ac:dyDescent="0.25">
      <c r="A75" s="841" t="s">
        <v>164</v>
      </c>
      <c r="E75" s="1690" t="s">
        <v>18</v>
      </c>
      <c r="F75" s="1690"/>
      <c r="G75" s="1408" t="s">
        <v>24</v>
      </c>
      <c r="H75" s="393">
        <v>1E-4</v>
      </c>
      <c r="K75" s="841" t="s">
        <v>3406</v>
      </c>
      <c r="L75" s="841" t="s">
        <v>443</v>
      </c>
      <c r="M75" s="1357"/>
      <c r="P75" s="841" t="s">
        <v>3549</v>
      </c>
      <c r="Q75" s="1357"/>
      <c r="S75" s="1420"/>
      <c r="T75" s="1420"/>
      <c r="V75" s="1357">
        <v>24</v>
      </c>
    </row>
    <row r="76" spans="1:22" s="841" customFormat="1" ht="15" x14ac:dyDescent="0.25">
      <c r="A76" s="841" t="s">
        <v>164</v>
      </c>
      <c r="E76" s="1690" t="s">
        <v>221</v>
      </c>
      <c r="F76" s="1690"/>
      <c r="G76" s="1408" t="s">
        <v>24</v>
      </c>
      <c r="H76" s="393">
        <v>4.4000000000000003E-3</v>
      </c>
      <c r="K76" s="841" t="s">
        <v>3406</v>
      </c>
      <c r="L76" s="841" t="s">
        <v>444</v>
      </c>
      <c r="M76" s="1357"/>
      <c r="P76" s="841" t="s">
        <v>3412</v>
      </c>
      <c r="Q76" s="1357"/>
      <c r="S76" s="1420"/>
      <c r="T76" s="1420"/>
      <c r="V76" s="1357">
        <v>47</v>
      </c>
    </row>
    <row r="77" spans="1:22" s="841" customFormat="1" ht="15" x14ac:dyDescent="0.25">
      <c r="A77" s="841" t="s">
        <v>164</v>
      </c>
      <c r="E77" s="1690" t="s">
        <v>217</v>
      </c>
      <c r="F77" s="1690"/>
      <c r="G77" s="1408" t="s">
        <v>24</v>
      </c>
      <c r="H77" s="393">
        <v>3.5999999999999999E-3</v>
      </c>
      <c r="K77" s="841" t="s">
        <v>3406</v>
      </c>
      <c r="L77" s="841" t="s">
        <v>444</v>
      </c>
      <c r="M77" s="1357"/>
      <c r="P77" s="841" t="s">
        <v>3413</v>
      </c>
      <c r="Q77" s="1357"/>
      <c r="S77" s="1420"/>
      <c r="T77" s="1420"/>
      <c r="V77" s="1357">
        <v>74</v>
      </c>
    </row>
    <row r="78" spans="1:22" s="841" customFormat="1" ht="15" x14ac:dyDescent="0.25">
      <c r="A78" s="841" t="s">
        <v>164</v>
      </c>
      <c r="E78" s="1694" t="s">
        <v>3079</v>
      </c>
      <c r="F78" s="1690"/>
      <c r="G78" s="1408"/>
      <c r="H78" s="1408"/>
      <c r="K78" s="841" t="s">
        <v>3225</v>
      </c>
      <c r="M78" s="1357"/>
      <c r="Q78" s="1357"/>
      <c r="S78" s="1420"/>
      <c r="T78" s="1420"/>
      <c r="V78" s="1357">
        <v>48</v>
      </c>
    </row>
    <row r="79" spans="1:22" s="841" customFormat="1" ht="15" x14ac:dyDescent="0.25">
      <c r="A79" s="841" t="s">
        <v>164</v>
      </c>
      <c r="E79" s="1920" t="s">
        <v>2449</v>
      </c>
      <c r="F79" s="1690"/>
      <c r="G79" s="1408" t="s">
        <v>24</v>
      </c>
      <c r="H79" s="393">
        <v>3.2000000000000002E-3</v>
      </c>
      <c r="K79" s="841" t="s">
        <v>3406</v>
      </c>
      <c r="L79" s="841" t="s">
        <v>3046</v>
      </c>
      <c r="M79" s="1357"/>
      <c r="P79" s="841" t="s">
        <v>3414</v>
      </c>
      <c r="Q79" s="1357"/>
      <c r="S79" s="1420"/>
      <c r="T79" s="1420"/>
      <c r="V79" s="1357">
        <v>55</v>
      </c>
    </row>
    <row r="80" spans="1:22" s="841" customFormat="1" ht="15" x14ac:dyDescent="0.25">
      <c r="A80" s="841" t="s">
        <v>164</v>
      </c>
      <c r="E80" s="1690" t="s">
        <v>2450</v>
      </c>
      <c r="F80" s="1690"/>
      <c r="G80" s="1408" t="s">
        <v>24</v>
      </c>
      <c r="H80" s="393">
        <v>4.0000000000000002E-4</v>
      </c>
      <c r="K80" s="841" t="s">
        <v>3406</v>
      </c>
      <c r="L80" s="841" t="s">
        <v>3046</v>
      </c>
      <c r="M80" s="1357"/>
      <c r="P80" s="841" t="s">
        <v>3414</v>
      </c>
      <c r="Q80" s="1357"/>
      <c r="S80" s="1420"/>
      <c r="T80" s="1420"/>
      <c r="V80" s="1357">
        <v>65</v>
      </c>
    </row>
    <row r="81" spans="1:22" s="841" customFormat="1" ht="15" x14ac:dyDescent="0.25">
      <c r="A81" s="841" t="s">
        <v>164</v>
      </c>
      <c r="E81" s="1690" t="s">
        <v>439</v>
      </c>
      <c r="F81" s="1690"/>
      <c r="G81" s="1408" t="s">
        <v>24</v>
      </c>
      <c r="H81" s="393">
        <v>2.9999999999999997E-4</v>
      </c>
      <c r="K81" s="841" t="s">
        <v>3406</v>
      </c>
      <c r="L81" s="841" t="s">
        <v>3046</v>
      </c>
      <c r="M81" s="1357"/>
      <c r="P81" s="841" t="s">
        <v>3415</v>
      </c>
      <c r="Q81" s="1357"/>
      <c r="S81" s="1420"/>
      <c r="T81" s="1420"/>
      <c r="V81" s="1357">
        <v>57</v>
      </c>
    </row>
    <row r="82" spans="1:22" s="841" customFormat="1" ht="15" x14ac:dyDescent="0.25">
      <c r="A82" s="841" t="s">
        <v>164</v>
      </c>
      <c r="E82" s="1690" t="s">
        <v>32</v>
      </c>
      <c r="F82" s="1690"/>
      <c r="G82" s="1408" t="s">
        <v>23</v>
      </c>
      <c r="H82" s="391">
        <v>0.25</v>
      </c>
      <c r="K82" s="841" t="s">
        <v>3406</v>
      </c>
      <c r="L82" s="841" t="s">
        <v>3046</v>
      </c>
      <c r="M82" s="1357"/>
      <c r="P82" s="841" t="s">
        <v>3416</v>
      </c>
      <c r="Q82" s="1357"/>
      <c r="S82" s="1420"/>
      <c r="T82" s="1420"/>
      <c r="V82" s="1357">
        <v>63</v>
      </c>
    </row>
    <row r="83" spans="1:22" s="841" customFormat="1" x14ac:dyDescent="0.25">
      <c r="A83" s="841" t="s">
        <v>164</v>
      </c>
      <c r="E83" s="1909" t="s">
        <v>629</v>
      </c>
      <c r="F83" s="1915"/>
      <c r="G83" s="1915"/>
      <c r="H83" s="1915"/>
      <c r="K83" s="841" t="s">
        <v>3571</v>
      </c>
      <c r="M83" s="1357"/>
      <c r="Q83" s="1357"/>
      <c r="S83" s="1420"/>
      <c r="T83" s="1420"/>
      <c r="V83" s="1357">
        <v>40</v>
      </c>
    </row>
    <row r="84" spans="1:22" s="841" customFormat="1" ht="15" x14ac:dyDescent="0.25">
      <c r="A84" s="841" t="s">
        <v>164</v>
      </c>
      <c r="E84" s="1689" t="s">
        <v>3716</v>
      </c>
      <c r="F84" s="1689"/>
      <c r="G84" s="1689"/>
      <c r="H84" s="1689"/>
      <c r="K84" s="841" t="s">
        <v>3571</v>
      </c>
      <c r="M84" s="1357"/>
      <c r="Q84" s="1357"/>
      <c r="S84" s="1420"/>
      <c r="T84" s="1420"/>
      <c r="V84" s="1357">
        <v>252</v>
      </c>
    </row>
    <row r="85" spans="1:22" s="841" customFormat="1" ht="15" x14ac:dyDescent="0.25">
      <c r="A85" s="841" t="s">
        <v>164</v>
      </c>
      <c r="E85" s="1916" t="s">
        <v>3061</v>
      </c>
      <c r="F85" s="1697"/>
      <c r="G85" s="1697"/>
      <c r="H85" s="1697"/>
      <c r="K85" s="841" t="s">
        <v>3107</v>
      </c>
      <c r="M85" s="1357"/>
      <c r="Q85" s="1357"/>
      <c r="S85" s="1420"/>
      <c r="T85" s="1420"/>
      <c r="V85" s="1357">
        <v>11</v>
      </c>
    </row>
    <row r="86" spans="1:22" s="841" customFormat="1" ht="15" x14ac:dyDescent="0.25">
      <c r="A86" s="841" t="s">
        <v>164</v>
      </c>
      <c r="E86" s="1689" t="s">
        <v>3063</v>
      </c>
      <c r="F86" s="1689"/>
      <c r="G86" s="1689"/>
      <c r="H86" s="1689"/>
      <c r="K86" s="841" t="s">
        <v>3571</v>
      </c>
      <c r="M86" s="1357"/>
      <c r="Q86" s="1357"/>
      <c r="S86" s="1420"/>
      <c r="T86" s="1420"/>
      <c r="V86" s="1357">
        <v>280</v>
      </c>
    </row>
    <row r="87" spans="1:22" s="841" customFormat="1" ht="15" x14ac:dyDescent="0.25">
      <c r="A87" s="841" t="s">
        <v>164</v>
      </c>
      <c r="E87" s="1689" t="s">
        <v>3064</v>
      </c>
      <c r="F87" s="1689"/>
      <c r="G87" s="1689"/>
      <c r="H87" s="1689"/>
      <c r="K87" s="841" t="s">
        <v>3571</v>
      </c>
      <c r="M87" s="1357"/>
      <c r="Q87" s="1357"/>
      <c r="S87" s="1420"/>
      <c r="T87" s="1420"/>
      <c r="V87" s="1357">
        <v>411</v>
      </c>
    </row>
    <row r="88" spans="1:22" s="841" customFormat="1" ht="15" x14ac:dyDescent="0.25">
      <c r="A88" s="841" t="s">
        <v>164</v>
      </c>
      <c r="E88" s="1689" t="s">
        <v>3199</v>
      </c>
      <c r="F88" s="1689"/>
      <c r="G88" s="1689"/>
      <c r="H88" s="1689"/>
      <c r="K88" s="841" t="s">
        <v>3571</v>
      </c>
      <c r="M88" s="1357"/>
      <c r="Q88" s="1357"/>
      <c r="S88" s="1420"/>
      <c r="T88" s="1420"/>
      <c r="V88" s="1357">
        <v>386</v>
      </c>
    </row>
    <row r="89" spans="1:22" s="841" customFormat="1" ht="15" x14ac:dyDescent="0.25">
      <c r="A89" s="841" t="s">
        <v>164</v>
      </c>
      <c r="E89" s="1689" t="s">
        <v>3200</v>
      </c>
      <c r="F89" s="1689"/>
      <c r="G89" s="1689"/>
      <c r="H89" s="1689"/>
      <c r="K89" s="841" t="s">
        <v>3571</v>
      </c>
      <c r="M89" s="1357"/>
      <c r="Q89" s="1357"/>
      <c r="S89" s="1420"/>
      <c r="T89" s="1420"/>
      <c r="V89" s="1357">
        <v>275</v>
      </c>
    </row>
    <row r="90" spans="1:22" s="841" customFormat="1" ht="15" x14ac:dyDescent="0.25">
      <c r="A90" s="841" t="s">
        <v>164</v>
      </c>
      <c r="E90" s="1694" t="s">
        <v>3067</v>
      </c>
      <c r="F90" s="1907"/>
      <c r="G90" s="1907"/>
      <c r="H90" s="1907"/>
      <c r="K90" s="841" t="s">
        <v>3108</v>
      </c>
      <c r="M90" s="1357"/>
      <c r="Q90" s="1357"/>
      <c r="S90" s="1420"/>
      <c r="T90" s="1420"/>
      <c r="V90" s="1357">
        <v>46</v>
      </c>
    </row>
    <row r="91" spans="1:22" s="841" customFormat="1" ht="15" x14ac:dyDescent="0.25">
      <c r="A91" s="841" t="s">
        <v>164</v>
      </c>
      <c r="E91" s="1690" t="s">
        <v>12</v>
      </c>
      <c r="F91" s="1690"/>
      <c r="G91" s="1408" t="s">
        <v>23</v>
      </c>
      <c r="H91" s="391">
        <v>4.0199999999999996</v>
      </c>
      <c r="K91" s="841" t="s">
        <v>3571</v>
      </c>
      <c r="L91" s="841" t="s">
        <v>442</v>
      </c>
      <c r="M91" s="1357"/>
      <c r="P91" s="841" t="s">
        <v>3573</v>
      </c>
      <c r="Q91" s="1357"/>
      <c r="S91" s="1420"/>
      <c r="T91" s="1420"/>
      <c r="V91" s="1357">
        <v>31</v>
      </c>
    </row>
    <row r="92" spans="1:22" s="841" customFormat="1" ht="15" x14ac:dyDescent="0.25">
      <c r="A92" s="841" t="s">
        <v>164</v>
      </c>
      <c r="E92" s="1690" t="s">
        <v>84</v>
      </c>
      <c r="F92" s="1690"/>
      <c r="G92" s="1408" t="s">
        <v>33</v>
      </c>
      <c r="H92" s="393">
        <v>12.914400000000001</v>
      </c>
      <c r="K92" s="841" t="s">
        <v>3571</v>
      </c>
      <c r="L92" s="841" t="s">
        <v>442</v>
      </c>
      <c r="M92" s="1357"/>
      <c r="P92" s="841" t="s">
        <v>3574</v>
      </c>
      <c r="Q92" s="1357"/>
      <c r="S92" s="1420"/>
      <c r="T92" s="1420"/>
      <c r="V92" s="1357">
        <v>28</v>
      </c>
    </row>
    <row r="93" spans="1:22" s="841" customFormat="1" ht="15" x14ac:dyDescent="0.25">
      <c r="A93" s="841" t="s">
        <v>164</v>
      </c>
      <c r="E93" s="1690" t="s">
        <v>18</v>
      </c>
      <c r="F93" s="1690"/>
      <c r="G93" s="1408" t="s">
        <v>33</v>
      </c>
      <c r="H93" s="393">
        <v>5.45E-2</v>
      </c>
      <c r="K93" s="841" t="s">
        <v>3571</v>
      </c>
      <c r="L93" s="841" t="s">
        <v>443</v>
      </c>
      <c r="M93" s="1357"/>
      <c r="P93" s="841" t="s">
        <v>3575</v>
      </c>
      <c r="Q93" s="1357"/>
      <c r="S93" s="1420"/>
      <c r="T93" s="1420"/>
      <c r="V93" s="1357">
        <v>24</v>
      </c>
    </row>
    <row r="94" spans="1:22" s="841" customFormat="1" ht="15" x14ac:dyDescent="0.25">
      <c r="A94" s="841" t="s">
        <v>164</v>
      </c>
      <c r="E94" s="1690" t="s">
        <v>221</v>
      </c>
      <c r="F94" s="1690"/>
      <c r="G94" s="1408" t="s">
        <v>33</v>
      </c>
      <c r="H94" s="393">
        <v>1.7657</v>
      </c>
      <c r="K94" s="841" t="s">
        <v>3571</v>
      </c>
      <c r="L94" s="841" t="s">
        <v>444</v>
      </c>
      <c r="M94" s="1357"/>
      <c r="P94" s="841" t="s">
        <v>3576</v>
      </c>
      <c r="Q94" s="1357"/>
      <c r="S94" s="1420"/>
      <c r="T94" s="1420"/>
      <c r="V94" s="1357">
        <v>47</v>
      </c>
    </row>
    <row r="95" spans="1:22" s="841" customFormat="1" ht="15" x14ac:dyDescent="0.25">
      <c r="A95" s="841" t="s">
        <v>164</v>
      </c>
      <c r="E95" s="1690" t="s">
        <v>217</v>
      </c>
      <c r="F95" s="1690"/>
      <c r="G95" s="1408" t="s">
        <v>33</v>
      </c>
      <c r="H95" s="393">
        <v>1.4823</v>
      </c>
      <c r="K95" s="841" t="s">
        <v>3571</v>
      </c>
      <c r="L95" s="841" t="s">
        <v>444</v>
      </c>
      <c r="M95" s="1357"/>
      <c r="P95" s="841" t="s">
        <v>3577</v>
      </c>
      <c r="Q95" s="1357"/>
      <c r="S95" s="1420"/>
      <c r="T95" s="1420"/>
      <c r="V95" s="1357">
        <v>74</v>
      </c>
    </row>
    <row r="96" spans="1:22" s="841" customFormat="1" ht="15" x14ac:dyDescent="0.25">
      <c r="A96" s="841" t="s">
        <v>164</v>
      </c>
      <c r="E96" s="1694" t="s">
        <v>3079</v>
      </c>
      <c r="F96" s="1690"/>
      <c r="G96" s="1408"/>
      <c r="H96" s="1408"/>
      <c r="K96" s="841" t="s">
        <v>3111</v>
      </c>
      <c r="M96" s="1357"/>
      <c r="Q96" s="1357"/>
      <c r="S96" s="1420"/>
      <c r="T96" s="1420"/>
      <c r="V96" s="1357">
        <v>48</v>
      </c>
    </row>
    <row r="97" spans="1:22" s="841" customFormat="1" ht="15" x14ac:dyDescent="0.25">
      <c r="A97" s="841" t="s">
        <v>164</v>
      </c>
      <c r="E97" s="1920" t="s">
        <v>2449</v>
      </c>
      <c r="F97" s="1690"/>
      <c r="G97" s="1408" t="s">
        <v>24</v>
      </c>
      <c r="H97" s="393">
        <v>3.2000000000000002E-3</v>
      </c>
      <c r="K97" s="841" t="s">
        <v>3571</v>
      </c>
      <c r="L97" s="841" t="s">
        <v>3046</v>
      </c>
      <c r="M97" s="1357"/>
      <c r="P97" s="841" t="s">
        <v>3578</v>
      </c>
      <c r="Q97" s="1357"/>
      <c r="S97" s="1420"/>
      <c r="T97" s="1420"/>
      <c r="V97" s="1357">
        <v>55</v>
      </c>
    </row>
    <row r="98" spans="1:22" s="841" customFormat="1" ht="15" x14ac:dyDescent="0.25">
      <c r="A98" s="841" t="s">
        <v>164</v>
      </c>
      <c r="E98" s="1690" t="s">
        <v>2450</v>
      </c>
      <c r="F98" s="1690"/>
      <c r="G98" s="1408" t="s">
        <v>24</v>
      </c>
      <c r="H98" s="393">
        <v>4.0000000000000002E-4</v>
      </c>
      <c r="K98" s="841" t="s">
        <v>3571</v>
      </c>
      <c r="L98" s="841" t="s">
        <v>3046</v>
      </c>
      <c r="M98" s="1357"/>
      <c r="P98" s="841" t="s">
        <v>3578</v>
      </c>
      <c r="Q98" s="1357"/>
      <c r="S98" s="1420"/>
      <c r="T98" s="1420"/>
      <c r="V98" s="1357">
        <v>65</v>
      </c>
    </row>
    <row r="99" spans="1:22" s="841" customFormat="1" ht="15" x14ac:dyDescent="0.25">
      <c r="A99" s="841" t="s">
        <v>164</v>
      </c>
      <c r="E99" s="1690" t="s">
        <v>439</v>
      </c>
      <c r="F99" s="1690"/>
      <c r="G99" s="1408" t="s">
        <v>24</v>
      </c>
      <c r="H99" s="393">
        <v>2.9999999999999997E-4</v>
      </c>
      <c r="K99" s="841" t="s">
        <v>3571</v>
      </c>
      <c r="L99" s="841" t="s">
        <v>3046</v>
      </c>
      <c r="M99" s="1357"/>
      <c r="P99" s="841" t="s">
        <v>3579</v>
      </c>
      <c r="Q99" s="1357"/>
      <c r="S99" s="1420"/>
      <c r="T99" s="1420"/>
      <c r="V99" s="1357">
        <v>57</v>
      </c>
    </row>
    <row r="100" spans="1:22" s="841" customFormat="1" ht="15" x14ac:dyDescent="0.25">
      <c r="A100" s="841" t="s">
        <v>164</v>
      </c>
      <c r="E100" s="1690" t="s">
        <v>32</v>
      </c>
      <c r="F100" s="1690"/>
      <c r="G100" s="1408" t="s">
        <v>23</v>
      </c>
      <c r="H100" s="391">
        <v>0.25</v>
      </c>
      <c r="K100" s="841" t="s">
        <v>3571</v>
      </c>
      <c r="L100" s="841" t="s">
        <v>3046</v>
      </c>
      <c r="M100" s="1357"/>
      <c r="P100" s="841" t="s">
        <v>3580</v>
      </c>
      <c r="Q100" s="1357"/>
      <c r="S100" s="1420"/>
      <c r="T100" s="1420"/>
      <c r="V100" s="1357">
        <v>63</v>
      </c>
    </row>
    <row r="101" spans="1:22" s="841" customFormat="1" x14ac:dyDescent="0.25">
      <c r="A101" s="841" t="s">
        <v>164</v>
      </c>
      <c r="E101" s="1909" t="s">
        <v>615</v>
      </c>
      <c r="F101" s="1915"/>
      <c r="G101" s="1915"/>
      <c r="H101" s="1915"/>
      <c r="K101" s="841" t="s">
        <v>3112</v>
      </c>
      <c r="M101" s="1357"/>
      <c r="Q101" s="1357"/>
      <c r="S101" s="1420"/>
      <c r="T101" s="1420"/>
      <c r="V101" s="1357">
        <v>38</v>
      </c>
    </row>
    <row r="102" spans="1:22" s="841" customFormat="1" ht="15" x14ac:dyDescent="0.25">
      <c r="A102" s="841" t="s">
        <v>164</v>
      </c>
      <c r="E102" s="1689" t="s">
        <v>3265</v>
      </c>
      <c r="F102" s="1689"/>
      <c r="G102" s="1689"/>
      <c r="H102" s="1689"/>
      <c r="K102" s="841" t="s">
        <v>3112</v>
      </c>
      <c r="M102" s="1357"/>
      <c r="Q102" s="1357"/>
      <c r="S102" s="1420"/>
      <c r="T102" s="1420"/>
      <c r="V102" s="1357">
        <v>543</v>
      </c>
    </row>
    <row r="103" spans="1:22" s="841" customFormat="1" ht="15" x14ac:dyDescent="0.25">
      <c r="A103" s="841" t="s">
        <v>164</v>
      </c>
      <c r="E103" s="1916" t="s">
        <v>3061</v>
      </c>
      <c r="F103" s="1697"/>
      <c r="G103" s="1697"/>
      <c r="H103" s="1697"/>
      <c r="K103" s="841" t="s">
        <v>3114</v>
      </c>
      <c r="M103" s="1357"/>
      <c r="Q103" s="1357"/>
      <c r="S103" s="1420"/>
      <c r="T103" s="1420"/>
      <c r="V103" s="1357">
        <v>11</v>
      </c>
    </row>
    <row r="104" spans="1:22" s="841" customFormat="1" ht="15" x14ac:dyDescent="0.25">
      <c r="A104" s="841" t="s">
        <v>164</v>
      </c>
      <c r="E104" s="1689" t="s">
        <v>3063</v>
      </c>
      <c r="F104" s="1689"/>
      <c r="G104" s="1689"/>
      <c r="H104" s="1689"/>
      <c r="K104" s="841" t="s">
        <v>3112</v>
      </c>
      <c r="M104" s="1357"/>
      <c r="Q104" s="1357"/>
      <c r="S104" s="1420"/>
      <c r="T104" s="1420"/>
      <c r="V104" s="1357">
        <v>280</v>
      </c>
    </row>
    <row r="105" spans="1:22" s="841" customFormat="1" ht="15" x14ac:dyDescent="0.25">
      <c r="A105" s="841" t="s">
        <v>164</v>
      </c>
      <c r="E105" s="1689" t="s">
        <v>3064</v>
      </c>
      <c r="F105" s="1689"/>
      <c r="G105" s="1689"/>
      <c r="H105" s="1689"/>
      <c r="K105" s="841" t="s">
        <v>3112</v>
      </c>
      <c r="M105" s="1357"/>
      <c r="Q105" s="1357"/>
      <c r="S105" s="1420"/>
      <c r="T105" s="1420"/>
      <c r="V105" s="1357">
        <v>411</v>
      </c>
    </row>
    <row r="106" spans="1:22" s="841" customFormat="1" ht="15" x14ac:dyDescent="0.25">
      <c r="A106" s="841" t="s">
        <v>164</v>
      </c>
      <c r="E106" s="1689" t="s">
        <v>3199</v>
      </c>
      <c r="F106" s="1689"/>
      <c r="G106" s="1689"/>
      <c r="H106" s="1689"/>
      <c r="K106" s="841" t="s">
        <v>3112</v>
      </c>
      <c r="M106" s="1357"/>
      <c r="Q106" s="1357"/>
      <c r="S106" s="1420"/>
      <c r="T106" s="1420"/>
      <c r="V106" s="1357">
        <v>386</v>
      </c>
    </row>
    <row r="107" spans="1:22" s="841" customFormat="1" ht="15" x14ac:dyDescent="0.25">
      <c r="A107" s="841" t="s">
        <v>164</v>
      </c>
      <c r="E107" s="1689" t="s">
        <v>3200</v>
      </c>
      <c r="F107" s="1689"/>
      <c r="G107" s="1689"/>
      <c r="H107" s="1689"/>
      <c r="K107" s="841" t="s">
        <v>3112</v>
      </c>
      <c r="M107" s="1357"/>
      <c r="Q107" s="1357"/>
      <c r="S107" s="1420"/>
      <c r="T107" s="1420"/>
      <c r="V107" s="1357">
        <v>275</v>
      </c>
    </row>
    <row r="108" spans="1:22" s="841" customFormat="1" ht="15" x14ac:dyDescent="0.25">
      <c r="A108" s="841" t="s">
        <v>164</v>
      </c>
      <c r="E108" s="1694" t="s">
        <v>3067</v>
      </c>
      <c r="F108" s="1907"/>
      <c r="G108" s="1907"/>
      <c r="H108" s="1907"/>
      <c r="K108" s="841" t="s">
        <v>3115</v>
      </c>
      <c r="M108" s="1357"/>
      <c r="Q108" s="1357"/>
      <c r="S108" s="1420"/>
      <c r="T108" s="1420"/>
      <c r="V108" s="1357">
        <v>46</v>
      </c>
    </row>
    <row r="109" spans="1:22" s="841" customFormat="1" ht="15" x14ac:dyDescent="0.25">
      <c r="A109" s="841" t="s">
        <v>164</v>
      </c>
      <c r="E109" s="1690" t="s">
        <v>12</v>
      </c>
      <c r="F109" s="1690"/>
      <c r="G109" s="1408" t="s">
        <v>23</v>
      </c>
      <c r="H109" s="391">
        <v>5.51</v>
      </c>
      <c r="K109" s="841" t="s">
        <v>3112</v>
      </c>
      <c r="L109" s="841" t="s">
        <v>442</v>
      </c>
      <c r="M109" s="1357"/>
      <c r="P109" s="841" t="s">
        <v>3116</v>
      </c>
      <c r="Q109" s="1357"/>
      <c r="S109" s="1420"/>
      <c r="T109" s="1420"/>
      <c r="V109" s="1357">
        <v>31</v>
      </c>
    </row>
    <row r="110" spans="1:22" s="841" customFormat="1" ht="15" x14ac:dyDescent="0.25">
      <c r="A110" s="841" t="s">
        <v>164</v>
      </c>
      <c r="E110" s="1690" t="s">
        <v>84</v>
      </c>
      <c r="F110" s="1690"/>
      <c r="G110" s="1408" t="s">
        <v>33</v>
      </c>
      <c r="H110" s="393">
        <v>2.7050999999999998</v>
      </c>
      <c r="K110" s="841" t="s">
        <v>3112</v>
      </c>
      <c r="L110" s="841" t="s">
        <v>442</v>
      </c>
      <c r="M110" s="1357"/>
      <c r="P110" s="841" t="s">
        <v>3117</v>
      </c>
      <c r="Q110" s="1357"/>
      <c r="S110" s="1420"/>
      <c r="T110" s="1420"/>
      <c r="V110" s="1357">
        <v>28</v>
      </c>
    </row>
    <row r="111" spans="1:22" s="841" customFormat="1" ht="15" x14ac:dyDescent="0.25">
      <c r="A111" s="841" t="s">
        <v>164</v>
      </c>
      <c r="E111" s="1690" t="s">
        <v>18</v>
      </c>
      <c r="F111" s="1690"/>
      <c r="G111" s="1408" t="s">
        <v>33</v>
      </c>
      <c r="H111" s="393">
        <v>5.1499999999999997E-2</v>
      </c>
      <c r="K111" s="841" t="s">
        <v>3112</v>
      </c>
      <c r="L111" s="841" t="s">
        <v>443</v>
      </c>
      <c r="M111" s="1357"/>
      <c r="P111" s="841" t="s">
        <v>3497</v>
      </c>
      <c r="Q111" s="1357"/>
      <c r="S111" s="1420"/>
      <c r="T111" s="1420"/>
      <c r="V111" s="1357">
        <v>24</v>
      </c>
    </row>
    <row r="112" spans="1:22" s="841" customFormat="1" ht="15" x14ac:dyDescent="0.25">
      <c r="A112" s="841" t="s">
        <v>164</v>
      </c>
      <c r="E112" s="1690" t="s">
        <v>221</v>
      </c>
      <c r="F112" s="1690"/>
      <c r="G112" s="1408" t="s">
        <v>33</v>
      </c>
      <c r="H112" s="393">
        <v>1.6677999999999999</v>
      </c>
      <c r="K112" s="841" t="s">
        <v>3112</v>
      </c>
      <c r="L112" s="841" t="s">
        <v>444</v>
      </c>
      <c r="M112" s="1357"/>
      <c r="P112" s="841" t="s">
        <v>3120</v>
      </c>
      <c r="Q112" s="1357"/>
      <c r="S112" s="1420"/>
      <c r="T112" s="1420"/>
      <c r="V112" s="1357">
        <v>47</v>
      </c>
    </row>
    <row r="113" spans="1:22" s="841" customFormat="1" ht="15" x14ac:dyDescent="0.25">
      <c r="A113" s="841" t="s">
        <v>164</v>
      </c>
      <c r="E113" s="1690" t="s">
        <v>217</v>
      </c>
      <c r="F113" s="1690"/>
      <c r="G113" s="1408" t="s">
        <v>33</v>
      </c>
      <c r="H113" s="393">
        <v>1.4000999999999999</v>
      </c>
      <c r="K113" s="841" t="s">
        <v>3112</v>
      </c>
      <c r="L113" s="841" t="s">
        <v>444</v>
      </c>
      <c r="M113" s="1357"/>
      <c r="P113" s="841" t="s">
        <v>3121</v>
      </c>
      <c r="Q113" s="1357"/>
      <c r="S113" s="1420"/>
      <c r="T113" s="1420"/>
      <c r="V113" s="1357">
        <v>74</v>
      </c>
    </row>
    <row r="114" spans="1:22" s="841" customFormat="1" ht="15" x14ac:dyDescent="0.25">
      <c r="A114" s="841" t="s">
        <v>164</v>
      </c>
      <c r="E114" s="1694" t="s">
        <v>3079</v>
      </c>
      <c r="F114" s="1690"/>
      <c r="G114" s="1408"/>
      <c r="H114" s="1408"/>
      <c r="K114" s="841" t="s">
        <v>3122</v>
      </c>
      <c r="M114" s="1357"/>
      <c r="Q114" s="1357"/>
      <c r="S114" s="1420"/>
      <c r="T114" s="1420"/>
      <c r="V114" s="1357">
        <v>48</v>
      </c>
    </row>
    <row r="115" spans="1:22" s="841" customFormat="1" ht="15" x14ac:dyDescent="0.25">
      <c r="A115" s="841" t="s">
        <v>164</v>
      </c>
      <c r="E115" s="1920" t="s">
        <v>2449</v>
      </c>
      <c r="F115" s="1690"/>
      <c r="G115" s="1408" t="s">
        <v>24</v>
      </c>
      <c r="H115" s="393">
        <v>3.2000000000000002E-3</v>
      </c>
      <c r="K115" s="841" t="s">
        <v>3112</v>
      </c>
      <c r="L115" s="841" t="s">
        <v>3046</v>
      </c>
      <c r="M115" s="1357"/>
      <c r="P115" s="841" t="s">
        <v>3123</v>
      </c>
      <c r="Q115" s="1357"/>
      <c r="S115" s="1420"/>
      <c r="T115" s="1420"/>
      <c r="V115" s="1357">
        <v>55</v>
      </c>
    </row>
    <row r="116" spans="1:22" s="841" customFormat="1" ht="15" x14ac:dyDescent="0.25">
      <c r="A116" s="841" t="s">
        <v>164</v>
      </c>
      <c r="E116" s="1690" t="s">
        <v>2450</v>
      </c>
      <c r="F116" s="1690"/>
      <c r="G116" s="1408" t="s">
        <v>24</v>
      </c>
      <c r="H116" s="393">
        <v>4.0000000000000002E-4</v>
      </c>
      <c r="K116" s="841" t="s">
        <v>3112</v>
      </c>
      <c r="L116" s="841" t="s">
        <v>3046</v>
      </c>
      <c r="M116" s="1357"/>
      <c r="P116" s="841" t="s">
        <v>3123</v>
      </c>
      <c r="Q116" s="1357"/>
      <c r="S116" s="1420"/>
      <c r="T116" s="1420"/>
      <c r="V116" s="1357">
        <v>65</v>
      </c>
    </row>
    <row r="117" spans="1:22" s="841" customFormat="1" ht="15" x14ac:dyDescent="0.25">
      <c r="A117" s="841" t="s">
        <v>164</v>
      </c>
      <c r="E117" s="1690" t="s">
        <v>439</v>
      </c>
      <c r="F117" s="1690"/>
      <c r="G117" s="1408" t="s">
        <v>24</v>
      </c>
      <c r="H117" s="393">
        <v>2.9999999999999997E-4</v>
      </c>
      <c r="K117" s="841" t="s">
        <v>3112</v>
      </c>
      <c r="L117" s="841" t="s">
        <v>3046</v>
      </c>
      <c r="M117" s="1357"/>
      <c r="P117" s="841" t="s">
        <v>3124</v>
      </c>
      <c r="Q117" s="1357"/>
      <c r="S117" s="1420"/>
      <c r="T117" s="1420"/>
      <c r="V117" s="1357">
        <v>57</v>
      </c>
    </row>
    <row r="118" spans="1:22" s="841" customFormat="1" ht="15" x14ac:dyDescent="0.25">
      <c r="A118" s="841" t="s">
        <v>164</v>
      </c>
      <c r="E118" s="1690" t="s">
        <v>32</v>
      </c>
      <c r="F118" s="1690"/>
      <c r="G118" s="1408" t="s">
        <v>23</v>
      </c>
      <c r="H118" s="391">
        <v>0.25</v>
      </c>
      <c r="K118" s="841" t="s">
        <v>3112</v>
      </c>
      <c r="L118" s="841" t="s">
        <v>3046</v>
      </c>
      <c r="M118" s="1357"/>
      <c r="P118" s="841" t="s">
        <v>3125</v>
      </c>
      <c r="Q118" s="1357"/>
      <c r="S118" s="1420"/>
      <c r="T118" s="1420"/>
      <c r="V118" s="1357">
        <v>63</v>
      </c>
    </row>
    <row r="119" spans="1:22" s="841" customFormat="1" x14ac:dyDescent="0.25">
      <c r="A119" s="841" t="s">
        <v>164</v>
      </c>
      <c r="E119" s="1909" t="s">
        <v>618</v>
      </c>
      <c r="F119" s="1915"/>
      <c r="G119" s="1915"/>
      <c r="H119" s="1915"/>
      <c r="K119" s="841" t="s">
        <v>3126</v>
      </c>
      <c r="M119" s="1357"/>
      <c r="Q119" s="1357"/>
      <c r="S119" s="1420"/>
      <c r="T119" s="1420"/>
      <c r="V119" s="1357">
        <v>31</v>
      </c>
    </row>
    <row r="120" spans="1:22" s="841" customFormat="1" ht="15" x14ac:dyDescent="0.25">
      <c r="A120" s="841" t="s">
        <v>164</v>
      </c>
      <c r="E120" s="1689" t="s">
        <v>3429</v>
      </c>
      <c r="F120" s="1689"/>
      <c r="G120" s="1689"/>
      <c r="H120" s="1689"/>
      <c r="K120" s="841" t="s">
        <v>3126</v>
      </c>
      <c r="M120" s="1357"/>
      <c r="Q120" s="1357"/>
      <c r="S120" s="1420"/>
      <c r="T120" s="1420"/>
      <c r="V120" s="1357">
        <v>285</v>
      </c>
    </row>
    <row r="121" spans="1:22" s="841" customFormat="1" ht="15" x14ac:dyDescent="0.25">
      <c r="A121" s="841" t="s">
        <v>164</v>
      </c>
      <c r="E121" s="1916" t="s">
        <v>3061</v>
      </c>
      <c r="F121" s="1697"/>
      <c r="G121" s="1697"/>
      <c r="H121" s="1697"/>
      <c r="K121" s="841" t="s">
        <v>3128</v>
      </c>
      <c r="M121" s="1357"/>
      <c r="Q121" s="1357"/>
      <c r="S121" s="1420"/>
      <c r="T121" s="1420"/>
      <c r="V121" s="1357">
        <v>11</v>
      </c>
    </row>
    <row r="122" spans="1:22" s="841" customFormat="1" ht="15" x14ac:dyDescent="0.25">
      <c r="A122" s="841" t="s">
        <v>164</v>
      </c>
      <c r="E122" s="1689" t="s">
        <v>3063</v>
      </c>
      <c r="F122" s="1689"/>
      <c r="G122" s="1689"/>
      <c r="H122" s="1689"/>
      <c r="K122" s="841" t="s">
        <v>3126</v>
      </c>
      <c r="M122" s="1357"/>
      <c r="Q122" s="1357"/>
      <c r="S122" s="1420"/>
      <c r="T122" s="1420"/>
      <c r="V122" s="1357">
        <v>280</v>
      </c>
    </row>
    <row r="123" spans="1:22" s="841" customFormat="1" ht="15" x14ac:dyDescent="0.25">
      <c r="A123" s="841" t="s">
        <v>164</v>
      </c>
      <c r="E123" s="1689" t="s">
        <v>3064</v>
      </c>
      <c r="F123" s="1689"/>
      <c r="G123" s="1689"/>
      <c r="H123" s="1689"/>
      <c r="K123" s="841" t="s">
        <v>3126</v>
      </c>
      <c r="M123" s="1357"/>
      <c r="Q123" s="1357"/>
      <c r="S123" s="1420"/>
      <c r="T123" s="1420"/>
      <c r="V123" s="1357">
        <v>411</v>
      </c>
    </row>
    <row r="124" spans="1:22" s="841" customFormat="1" ht="15" x14ac:dyDescent="0.25">
      <c r="A124" s="841" t="s">
        <v>164</v>
      </c>
      <c r="E124" s="1689" t="s">
        <v>3129</v>
      </c>
      <c r="F124" s="1689"/>
      <c r="G124" s="1689"/>
      <c r="H124" s="1689"/>
      <c r="K124" s="841" t="s">
        <v>3126</v>
      </c>
      <c r="M124" s="1357"/>
      <c r="Q124" s="1357"/>
      <c r="S124" s="1420"/>
      <c r="T124" s="1420"/>
      <c r="V124" s="1357">
        <v>211</v>
      </c>
    </row>
    <row r="125" spans="1:22" s="841" customFormat="1" ht="15" x14ac:dyDescent="0.25">
      <c r="A125" s="841" t="s">
        <v>164</v>
      </c>
      <c r="E125" s="1689" t="s">
        <v>3200</v>
      </c>
      <c r="F125" s="1689"/>
      <c r="G125" s="1689"/>
      <c r="H125" s="1689"/>
      <c r="K125" s="841" t="s">
        <v>3126</v>
      </c>
      <c r="M125" s="1357"/>
      <c r="Q125" s="1357"/>
      <c r="S125" s="1420"/>
      <c r="T125" s="1420"/>
      <c r="V125" s="1357">
        <v>275</v>
      </c>
    </row>
    <row r="126" spans="1:22" s="841" customFormat="1" ht="15" x14ac:dyDescent="0.25">
      <c r="A126" s="841" t="s">
        <v>164</v>
      </c>
      <c r="E126" s="1694" t="s">
        <v>3067</v>
      </c>
      <c r="F126" s="1907"/>
      <c r="G126" s="1907"/>
      <c r="H126" s="1907"/>
      <c r="K126" s="841" t="s">
        <v>3130</v>
      </c>
      <c r="M126" s="1357"/>
      <c r="Q126" s="1357"/>
      <c r="S126" s="1420"/>
      <c r="T126" s="1420"/>
      <c r="V126" s="1357">
        <v>46</v>
      </c>
    </row>
    <row r="127" spans="1:22" s="841" customFormat="1" ht="15" x14ac:dyDescent="0.25">
      <c r="A127" s="841" t="s">
        <v>164</v>
      </c>
      <c r="E127" s="1690" t="s">
        <v>11</v>
      </c>
      <c r="F127" s="1690"/>
      <c r="G127" s="1408" t="s">
        <v>23</v>
      </c>
      <c r="H127" s="391">
        <v>5.4</v>
      </c>
      <c r="K127" s="841" t="s">
        <v>3126</v>
      </c>
      <c r="L127" s="841" t="s">
        <v>442</v>
      </c>
      <c r="M127" s="1357"/>
      <c r="P127" s="841" t="s">
        <v>3131</v>
      </c>
      <c r="Q127" s="1357"/>
      <c r="S127" s="1420"/>
      <c r="T127" s="1420"/>
      <c r="V127" s="1357">
        <v>14</v>
      </c>
    </row>
    <row r="128" spans="1:22" s="841" customFormat="1" ht="18.75" x14ac:dyDescent="0.3">
      <c r="A128" s="841" t="s">
        <v>164</v>
      </c>
      <c r="E128" s="1374" t="s">
        <v>85</v>
      </c>
      <c r="F128" s="657"/>
      <c r="G128" s="657"/>
      <c r="H128" s="658"/>
      <c r="K128" s="841" t="s">
        <v>3719</v>
      </c>
      <c r="M128" s="1357"/>
      <c r="Q128" s="1357"/>
      <c r="S128" s="1420"/>
      <c r="T128" s="1420"/>
      <c r="V128" s="1357">
        <v>10</v>
      </c>
    </row>
    <row r="129" spans="1:22" s="841" customFormat="1" ht="15" x14ac:dyDescent="0.25">
      <c r="A129" s="841" t="s">
        <v>164</v>
      </c>
      <c r="E129" s="1690" t="s">
        <v>3133</v>
      </c>
      <c r="F129" s="1690"/>
      <c r="G129" s="1408" t="s">
        <v>33</v>
      </c>
      <c r="H129" s="393">
        <v>-0.6</v>
      </c>
      <c r="M129" s="1357"/>
      <c r="Q129" s="1357"/>
      <c r="S129" s="1420"/>
      <c r="T129" s="1420"/>
      <c r="V129" s="1357">
        <v>68</v>
      </c>
    </row>
    <row r="130" spans="1:22" s="841" customFormat="1" ht="15" x14ac:dyDescent="0.25">
      <c r="A130" s="841" t="s">
        <v>164</v>
      </c>
      <c r="E130" s="1690" t="s">
        <v>3134</v>
      </c>
      <c r="F130" s="1690"/>
      <c r="G130" s="1408" t="s">
        <v>86</v>
      </c>
      <c r="H130" s="391">
        <v>-1</v>
      </c>
      <c r="M130" s="1357"/>
      <c r="Q130" s="1357"/>
      <c r="S130" s="1420"/>
      <c r="T130" s="1420"/>
      <c r="V130" s="1357">
        <v>87</v>
      </c>
    </row>
    <row r="131" spans="1:22" s="841" customFormat="1" ht="36.75" x14ac:dyDescent="0.3">
      <c r="A131" s="841" t="s">
        <v>164</v>
      </c>
      <c r="E131" s="1374" t="s">
        <v>87</v>
      </c>
      <c r="F131" s="657"/>
      <c r="G131" s="657"/>
      <c r="H131" s="658"/>
      <c r="K131" s="841" t="s">
        <v>3720</v>
      </c>
      <c r="M131" s="1357"/>
      <c r="Q131" s="1357"/>
      <c r="S131" s="1420"/>
      <c r="T131" s="1420"/>
      <c r="V131" s="1357">
        <v>24</v>
      </c>
    </row>
    <row r="132" spans="1:22" s="841" customFormat="1" ht="15" x14ac:dyDescent="0.25">
      <c r="A132" s="841" t="s">
        <v>164</v>
      </c>
      <c r="E132" s="1689" t="s">
        <v>3063</v>
      </c>
      <c r="F132" s="1689"/>
      <c r="G132" s="1689"/>
      <c r="H132" s="1689"/>
      <c r="M132" s="1357"/>
      <c r="Q132" s="1357"/>
      <c r="S132" s="1420"/>
      <c r="T132" s="1420"/>
      <c r="V132" s="1357">
        <v>280</v>
      </c>
    </row>
    <row r="133" spans="1:22" s="841" customFormat="1" ht="15" x14ac:dyDescent="0.25">
      <c r="A133" s="841" t="s">
        <v>164</v>
      </c>
      <c r="E133" s="1689" t="s">
        <v>3136</v>
      </c>
      <c r="F133" s="1689"/>
      <c r="G133" s="1689"/>
      <c r="H133" s="1689"/>
      <c r="M133" s="1357"/>
      <c r="Q133" s="1357"/>
      <c r="S133" s="1420"/>
      <c r="T133" s="1420"/>
      <c r="V133" s="1357">
        <v>353</v>
      </c>
    </row>
    <row r="134" spans="1:22" s="841" customFormat="1" ht="15" x14ac:dyDescent="0.25">
      <c r="A134" s="841" t="s">
        <v>164</v>
      </c>
      <c r="E134" s="1689" t="s">
        <v>3200</v>
      </c>
      <c r="F134" s="1689"/>
      <c r="G134" s="1689"/>
      <c r="H134" s="1689"/>
      <c r="M134" s="1357"/>
      <c r="Q134" s="1357"/>
      <c r="S134" s="1420"/>
      <c r="T134" s="1420"/>
      <c r="V134" s="1357">
        <v>275</v>
      </c>
    </row>
    <row r="135" spans="1:22" s="841" customFormat="1" ht="15" x14ac:dyDescent="0.25">
      <c r="A135" s="841" t="s">
        <v>164</v>
      </c>
      <c r="E135" s="1370" t="s">
        <v>3137</v>
      </c>
      <c r="F135" s="3"/>
      <c r="G135" s="3"/>
      <c r="H135" s="398"/>
      <c r="K135" s="841" t="s">
        <v>3721</v>
      </c>
      <c r="M135" s="1357"/>
      <c r="Q135" s="1357"/>
      <c r="S135" s="1420"/>
      <c r="T135" s="1420"/>
      <c r="V135" s="1357">
        <v>23</v>
      </c>
    </row>
    <row r="136" spans="1:22" s="841" customFormat="1" ht="15" x14ac:dyDescent="0.25">
      <c r="A136" s="841" t="s">
        <v>164</v>
      </c>
      <c r="E136" s="1688" t="s">
        <v>3355</v>
      </c>
      <c r="F136" s="1688"/>
      <c r="G136" s="1408" t="s">
        <v>23</v>
      </c>
      <c r="H136" s="391">
        <v>15</v>
      </c>
      <c r="M136" s="1357"/>
      <c r="Q136" s="1357"/>
      <c r="S136" s="1420"/>
      <c r="T136" s="1420"/>
      <c r="V136" s="1357">
        <v>19</v>
      </c>
    </row>
    <row r="137" spans="1:22" s="841" customFormat="1" ht="15" x14ac:dyDescent="0.25">
      <c r="A137" s="841" t="s">
        <v>164</v>
      </c>
      <c r="E137" s="1688" t="s">
        <v>3140</v>
      </c>
      <c r="F137" s="1688"/>
      <c r="G137" s="1408" t="s">
        <v>23</v>
      </c>
      <c r="H137" s="391">
        <v>15</v>
      </c>
      <c r="M137" s="1357"/>
      <c r="Q137" s="1357"/>
      <c r="S137" s="1420"/>
      <c r="T137" s="1420"/>
      <c r="V137" s="1357">
        <v>20</v>
      </c>
    </row>
    <row r="138" spans="1:22" s="841" customFormat="1" ht="15" x14ac:dyDescent="0.25">
      <c r="A138" s="841" t="s">
        <v>164</v>
      </c>
      <c r="E138" s="1688" t="s">
        <v>3149</v>
      </c>
      <c r="F138" s="1688"/>
      <c r="G138" s="1408" t="s">
        <v>23</v>
      </c>
      <c r="H138" s="391">
        <v>15</v>
      </c>
      <c r="M138" s="1357"/>
      <c r="Q138" s="1357"/>
      <c r="S138" s="1420"/>
      <c r="T138" s="1420"/>
      <c r="V138" s="1357">
        <v>35</v>
      </c>
    </row>
    <row r="139" spans="1:22" s="841" customFormat="1" ht="15" x14ac:dyDescent="0.25">
      <c r="A139" s="841" t="s">
        <v>164</v>
      </c>
      <c r="E139" s="1688" t="s">
        <v>88</v>
      </c>
      <c r="F139" s="1688"/>
      <c r="G139" s="1408" t="s">
        <v>23</v>
      </c>
      <c r="H139" s="391">
        <v>30</v>
      </c>
      <c r="M139" s="1357"/>
      <c r="Q139" s="1357"/>
      <c r="S139" s="1420"/>
      <c r="T139" s="1420"/>
      <c r="V139" s="1357">
        <v>89</v>
      </c>
    </row>
    <row r="140" spans="1:22" s="841" customFormat="1" ht="15" x14ac:dyDescent="0.25">
      <c r="A140" s="841" t="s">
        <v>164</v>
      </c>
      <c r="E140" s="1370" t="s">
        <v>3152</v>
      </c>
      <c r="F140" s="3"/>
      <c r="G140" s="3"/>
      <c r="H140" s="398"/>
      <c r="K140" s="841" t="s">
        <v>3722</v>
      </c>
      <c r="M140" s="1357"/>
      <c r="Q140" s="1357"/>
      <c r="S140" s="1420"/>
      <c r="T140" s="1420"/>
      <c r="V140" s="1357">
        <v>22</v>
      </c>
    </row>
    <row r="141" spans="1:22" s="841" customFormat="1" ht="15" x14ac:dyDescent="0.25">
      <c r="A141" s="841" t="s">
        <v>164</v>
      </c>
      <c r="E141" s="1688" t="s">
        <v>3154</v>
      </c>
      <c r="F141" s="1688"/>
      <c r="G141" s="1408" t="s">
        <v>86</v>
      </c>
      <c r="H141" s="391">
        <v>1.5</v>
      </c>
      <c r="M141" s="1357"/>
      <c r="Q141" s="1357"/>
      <c r="S141" s="1420"/>
      <c r="T141" s="1420"/>
      <c r="V141" s="1357">
        <v>24</v>
      </c>
    </row>
    <row r="142" spans="1:22" s="841" customFormat="1" ht="15" x14ac:dyDescent="0.25">
      <c r="A142" s="841" t="s">
        <v>164</v>
      </c>
      <c r="E142" s="1688" t="s">
        <v>3155</v>
      </c>
      <c r="F142" s="1688"/>
      <c r="G142" s="1408" t="s">
        <v>86</v>
      </c>
      <c r="H142" s="391">
        <v>19.559999999999999</v>
      </c>
      <c r="M142" s="1357"/>
      <c r="Q142" s="1357"/>
      <c r="S142" s="1420"/>
      <c r="T142" s="1420"/>
      <c r="V142" s="1357">
        <v>24</v>
      </c>
    </row>
    <row r="143" spans="1:22" s="841" customFormat="1" ht="15" x14ac:dyDescent="0.25">
      <c r="A143" s="841" t="s">
        <v>164</v>
      </c>
      <c r="E143" s="1688" t="s">
        <v>3156</v>
      </c>
      <c r="F143" s="1688"/>
      <c r="G143" s="1408" t="s">
        <v>23</v>
      </c>
      <c r="H143" s="391">
        <v>30</v>
      </c>
      <c r="M143" s="1357"/>
      <c r="Q143" s="1357"/>
      <c r="S143" s="1420"/>
      <c r="T143" s="1420"/>
      <c r="V143" s="1357">
        <v>79</v>
      </c>
    </row>
    <row r="144" spans="1:22" s="841" customFormat="1" ht="15" x14ac:dyDescent="0.25">
      <c r="A144" s="841" t="s">
        <v>164</v>
      </c>
      <c r="E144" s="1688" t="s">
        <v>3157</v>
      </c>
      <c r="F144" s="1688"/>
      <c r="G144" s="1408" t="s">
        <v>23</v>
      </c>
      <c r="H144" s="391">
        <v>165</v>
      </c>
      <c r="M144" s="1357"/>
      <c r="Q144" s="1357"/>
      <c r="S144" s="1420"/>
      <c r="T144" s="1420"/>
      <c r="V144" s="1357">
        <v>69</v>
      </c>
    </row>
    <row r="145" spans="1:22" s="841" customFormat="1" ht="15" x14ac:dyDescent="0.25">
      <c r="A145" s="841" t="s">
        <v>164</v>
      </c>
      <c r="E145" s="1688" t="s">
        <v>4773</v>
      </c>
      <c r="F145" s="1688"/>
      <c r="G145" s="1408" t="s">
        <v>23</v>
      </c>
      <c r="H145" s="391">
        <v>65</v>
      </c>
      <c r="M145" s="1357"/>
      <c r="Q145" s="1357"/>
      <c r="S145" s="1420"/>
      <c r="T145" s="1420"/>
      <c r="V145" s="1357">
        <v>52</v>
      </c>
    </row>
    <row r="146" spans="1:22" s="841" customFormat="1" ht="15" x14ac:dyDescent="0.25">
      <c r="A146" s="841" t="s">
        <v>164</v>
      </c>
      <c r="E146" s="1688" t="s">
        <v>4774</v>
      </c>
      <c r="F146" s="1688"/>
      <c r="G146" s="1408" t="s">
        <v>23</v>
      </c>
      <c r="H146" s="391">
        <v>185</v>
      </c>
      <c r="M146" s="1357"/>
      <c r="Q146" s="1357"/>
      <c r="S146" s="1420"/>
      <c r="T146" s="1420"/>
      <c r="V146" s="1357">
        <v>51</v>
      </c>
    </row>
    <row r="147" spans="1:22" s="841" customFormat="1" ht="15" x14ac:dyDescent="0.25">
      <c r="A147" s="841" t="s">
        <v>164</v>
      </c>
      <c r="E147" s="1688" t="s">
        <v>4775</v>
      </c>
      <c r="F147" s="1688"/>
      <c r="G147" s="1408" t="s">
        <v>23</v>
      </c>
      <c r="H147" s="391">
        <v>185</v>
      </c>
      <c r="M147" s="1357"/>
      <c r="Q147" s="1357"/>
      <c r="S147" s="1420"/>
      <c r="T147" s="1420"/>
      <c r="V147" s="1357">
        <v>51</v>
      </c>
    </row>
    <row r="148" spans="1:22" s="841" customFormat="1" ht="15" x14ac:dyDescent="0.25">
      <c r="A148" s="841" t="s">
        <v>164</v>
      </c>
      <c r="E148" s="1688" t="s">
        <v>4776</v>
      </c>
      <c r="F148" s="1688"/>
      <c r="G148" s="1408" t="s">
        <v>23</v>
      </c>
      <c r="H148" s="391">
        <v>415</v>
      </c>
      <c r="M148" s="1357"/>
      <c r="Q148" s="1357"/>
      <c r="S148" s="1420"/>
      <c r="T148" s="1420"/>
      <c r="V148" s="1357">
        <v>50</v>
      </c>
    </row>
    <row r="149" spans="1:22" s="841" customFormat="1" ht="15" x14ac:dyDescent="0.25">
      <c r="A149" s="841" t="s">
        <v>164</v>
      </c>
      <c r="E149" s="1370" t="s">
        <v>3164</v>
      </c>
      <c r="F149" s="507"/>
      <c r="G149" s="397"/>
      <c r="H149" s="391"/>
      <c r="M149" s="1357"/>
      <c r="Q149" s="1357"/>
      <c r="S149" s="1420"/>
      <c r="T149" s="1420"/>
      <c r="V149" s="1357">
        <v>5</v>
      </c>
    </row>
    <row r="150" spans="1:22" s="841" customFormat="1" ht="15" x14ac:dyDescent="0.25">
      <c r="A150" s="841" t="s">
        <v>164</v>
      </c>
      <c r="E150" s="1688" t="s">
        <v>3491</v>
      </c>
      <c r="F150" s="1688"/>
      <c r="G150" s="1408" t="s">
        <v>23</v>
      </c>
      <c r="H150" s="391">
        <v>22.35</v>
      </c>
      <c r="M150" s="1357"/>
      <c r="Q150" s="1357"/>
      <c r="S150" s="1420"/>
      <c r="T150" s="1420"/>
      <c r="V150" s="1357">
        <v>59</v>
      </c>
    </row>
    <row r="151" spans="1:22" s="841" customFormat="1" ht="15" x14ac:dyDescent="0.25">
      <c r="A151" s="841" t="s">
        <v>164</v>
      </c>
      <c r="E151" s="1688" t="s">
        <v>3166</v>
      </c>
      <c r="F151" s="1688"/>
      <c r="G151" s="1408"/>
      <c r="H151" s="391"/>
      <c r="M151" s="1357"/>
      <c r="Q151" s="1357"/>
      <c r="S151" s="1420"/>
      <c r="T151" s="1420"/>
      <c r="V151" s="1357">
        <v>44</v>
      </c>
    </row>
    <row r="152" spans="1:22" s="841" customFormat="1" x14ac:dyDescent="0.25">
      <c r="A152" s="841" t="s">
        <v>164</v>
      </c>
      <c r="E152" s="1931" t="s">
        <v>77</v>
      </c>
      <c r="F152" s="1931"/>
      <c r="G152" s="1931"/>
      <c r="H152" s="1931"/>
      <c r="K152" s="841" t="s">
        <v>3723</v>
      </c>
      <c r="M152" s="1357"/>
      <c r="Q152" s="1357"/>
      <c r="S152" s="1420"/>
      <c r="T152" s="1420"/>
      <c r="V152" s="1357">
        <v>38</v>
      </c>
    </row>
    <row r="153" spans="1:22" s="841" customFormat="1" ht="15" x14ac:dyDescent="0.25">
      <c r="A153" s="841" t="s">
        <v>164</v>
      </c>
      <c r="E153" s="1689" t="s">
        <v>3063</v>
      </c>
      <c r="F153" s="1689"/>
      <c r="G153" s="1689"/>
      <c r="H153" s="1689"/>
      <c r="M153" s="1357"/>
      <c r="Q153" s="1357"/>
      <c r="S153" s="1420"/>
      <c r="T153" s="1420"/>
      <c r="V153" s="1357">
        <v>280</v>
      </c>
    </row>
    <row r="154" spans="1:22" s="841" customFormat="1" ht="15" x14ac:dyDescent="0.25">
      <c r="A154" s="841" t="s">
        <v>164</v>
      </c>
      <c r="E154" s="1689" t="s">
        <v>3064</v>
      </c>
      <c r="F154" s="1689"/>
      <c r="G154" s="1689"/>
      <c r="H154" s="1689"/>
      <c r="M154" s="1357"/>
      <c r="Q154" s="1357"/>
      <c r="S154" s="1420"/>
      <c r="T154" s="1420"/>
      <c r="V154" s="1357">
        <v>411</v>
      </c>
    </row>
    <row r="155" spans="1:22" s="841" customFormat="1" ht="15" x14ac:dyDescent="0.25">
      <c r="A155" s="841" t="s">
        <v>164</v>
      </c>
      <c r="E155" s="1689" t="s">
        <v>3129</v>
      </c>
      <c r="F155" s="1689"/>
      <c r="G155" s="1689"/>
      <c r="H155" s="1689"/>
      <c r="M155" s="1357"/>
      <c r="Q155" s="1357"/>
      <c r="S155" s="1420"/>
      <c r="T155" s="1420"/>
      <c r="V155" s="1357">
        <v>211</v>
      </c>
    </row>
    <row r="156" spans="1:22" s="841" customFormat="1" ht="15" x14ac:dyDescent="0.25">
      <c r="A156" s="841" t="s">
        <v>164</v>
      </c>
      <c r="E156" s="1689" t="s">
        <v>3200</v>
      </c>
      <c r="F156" s="1689"/>
      <c r="G156" s="1689"/>
      <c r="H156" s="1689"/>
      <c r="M156" s="1357"/>
      <c r="Q156" s="1357"/>
      <c r="S156" s="1420"/>
      <c r="T156" s="1420"/>
      <c r="V156" s="1357">
        <v>275</v>
      </c>
    </row>
    <row r="157" spans="1:22" s="841" customFormat="1" ht="15" x14ac:dyDescent="0.25">
      <c r="A157" s="841" t="s">
        <v>164</v>
      </c>
      <c r="E157" s="1689" t="s">
        <v>3291</v>
      </c>
      <c r="F157" s="1689"/>
      <c r="G157" s="1689"/>
      <c r="H157" s="1689"/>
      <c r="M157" s="1357"/>
      <c r="Q157" s="1357"/>
      <c r="S157" s="1420"/>
      <c r="T157" s="1420"/>
      <c r="V157" s="1357">
        <v>142</v>
      </c>
    </row>
    <row r="158" spans="1:22" s="841" customFormat="1" ht="15" x14ac:dyDescent="0.25">
      <c r="A158" s="841" t="s">
        <v>164</v>
      </c>
      <c r="E158" s="1690" t="s">
        <v>3176</v>
      </c>
      <c r="F158" s="1690"/>
      <c r="G158" s="397" t="s">
        <v>23</v>
      </c>
      <c r="H158" s="391">
        <v>100</v>
      </c>
      <c r="M158" s="1357"/>
      <c r="Q158" s="1357"/>
      <c r="S158" s="1420"/>
      <c r="T158" s="1420"/>
      <c r="V158" s="1357">
        <v>106</v>
      </c>
    </row>
    <row r="159" spans="1:22" s="841" customFormat="1" ht="15" x14ac:dyDescent="0.25">
      <c r="A159" s="841" t="s">
        <v>164</v>
      </c>
      <c r="E159" s="1690" t="s">
        <v>3177</v>
      </c>
      <c r="F159" s="1690"/>
      <c r="G159" s="397" t="s">
        <v>23</v>
      </c>
      <c r="H159" s="391">
        <v>20</v>
      </c>
      <c r="M159" s="1357"/>
      <c r="Q159" s="1357"/>
      <c r="S159" s="1420"/>
      <c r="T159" s="1420"/>
      <c r="V159" s="1357">
        <v>34</v>
      </c>
    </row>
    <row r="160" spans="1:22" s="841" customFormat="1" ht="15" x14ac:dyDescent="0.25">
      <c r="A160" s="841" t="s">
        <v>164</v>
      </c>
      <c r="E160" s="1690" t="s">
        <v>3178</v>
      </c>
      <c r="F160" s="1690"/>
      <c r="G160" s="397" t="s">
        <v>3179</v>
      </c>
      <c r="H160" s="391">
        <v>0.5</v>
      </c>
      <c r="M160" s="1357"/>
      <c r="Q160" s="1357"/>
      <c r="S160" s="1420"/>
      <c r="T160" s="1420"/>
      <c r="V160" s="1357">
        <v>51</v>
      </c>
    </row>
    <row r="161" spans="1:22" s="841" customFormat="1" ht="15" x14ac:dyDescent="0.25">
      <c r="A161" s="841" t="s">
        <v>164</v>
      </c>
      <c r="E161" s="1690" t="s">
        <v>3180</v>
      </c>
      <c r="F161" s="1690"/>
      <c r="G161" s="397" t="s">
        <v>3179</v>
      </c>
      <c r="H161" s="391">
        <v>0.3</v>
      </c>
      <c r="M161" s="1357"/>
      <c r="Q161" s="1357"/>
      <c r="S161" s="1420"/>
      <c r="T161" s="1420"/>
      <c r="V161" s="1357">
        <v>75</v>
      </c>
    </row>
    <row r="162" spans="1:22" s="841" customFormat="1" ht="15" x14ac:dyDescent="0.25">
      <c r="A162" s="841" t="s">
        <v>164</v>
      </c>
      <c r="E162" s="1690" t="s">
        <v>3181</v>
      </c>
      <c r="F162" s="1690"/>
      <c r="G162" s="397" t="s">
        <v>3179</v>
      </c>
      <c r="H162" s="391">
        <v>-0.3</v>
      </c>
      <c r="M162" s="1357"/>
      <c r="Q162" s="1357"/>
      <c r="S162" s="1420"/>
      <c r="T162" s="1420"/>
      <c r="V162" s="1357">
        <v>72</v>
      </c>
    </row>
    <row r="163" spans="1:22" s="841" customFormat="1" ht="15" x14ac:dyDescent="0.25">
      <c r="A163" s="841" t="s">
        <v>164</v>
      </c>
      <c r="E163" s="1690" t="s">
        <v>3292</v>
      </c>
      <c r="F163" s="1690"/>
      <c r="G163" s="397"/>
      <c r="H163" s="392"/>
      <c r="M163" s="1357"/>
      <c r="Q163" s="1357"/>
      <c r="S163" s="1420"/>
      <c r="T163" s="1420"/>
      <c r="V163" s="1357">
        <v>34</v>
      </c>
    </row>
    <row r="164" spans="1:22" s="841" customFormat="1" ht="15" x14ac:dyDescent="0.25">
      <c r="A164" s="841" t="s">
        <v>164</v>
      </c>
      <c r="E164" s="1691" t="s">
        <v>3183</v>
      </c>
      <c r="F164" s="1691"/>
      <c r="G164" s="397" t="s">
        <v>23</v>
      </c>
      <c r="H164" s="391">
        <v>0.25</v>
      </c>
      <c r="M164" s="1357"/>
      <c r="Q164" s="1357"/>
      <c r="S164" s="1420"/>
      <c r="T164" s="1420"/>
      <c r="V164" s="1357">
        <v>57</v>
      </c>
    </row>
    <row r="165" spans="1:22" s="841" customFormat="1" ht="15" x14ac:dyDescent="0.25">
      <c r="A165" s="841" t="s">
        <v>164</v>
      </c>
      <c r="E165" s="1691" t="s">
        <v>3184</v>
      </c>
      <c r="F165" s="1691"/>
      <c r="G165" s="397" t="s">
        <v>23</v>
      </c>
      <c r="H165" s="391">
        <v>0.5</v>
      </c>
      <c r="M165" s="1357"/>
      <c r="Q165" s="1357"/>
      <c r="S165" s="1420"/>
      <c r="T165" s="1420"/>
      <c r="V165" s="1357">
        <v>60</v>
      </c>
    </row>
    <row r="166" spans="1:22" s="841" customFormat="1" ht="15" x14ac:dyDescent="0.25">
      <c r="A166" s="841" t="s">
        <v>164</v>
      </c>
      <c r="E166" s="1690" t="s">
        <v>3185</v>
      </c>
      <c r="F166" s="1690"/>
      <c r="G166" s="397"/>
      <c r="H166" s="392"/>
      <c r="M166" s="1357"/>
      <c r="Q166" s="1357"/>
      <c r="S166" s="1420"/>
      <c r="T166" s="1420"/>
      <c r="V166" s="1357">
        <v>91</v>
      </c>
    </row>
    <row r="167" spans="1:22" s="841" customFormat="1" ht="15" x14ac:dyDescent="0.25">
      <c r="A167" s="841" t="s">
        <v>164</v>
      </c>
      <c r="E167" s="1690" t="s">
        <v>3186</v>
      </c>
      <c r="F167" s="1690"/>
      <c r="G167" s="397"/>
      <c r="H167" s="392"/>
      <c r="M167" s="1357"/>
      <c r="Q167" s="1357"/>
      <c r="S167" s="1420"/>
      <c r="T167" s="1420"/>
      <c r="V167" s="1357">
        <v>96</v>
      </c>
    </row>
    <row r="168" spans="1:22" s="841" customFormat="1" ht="15" x14ac:dyDescent="0.25">
      <c r="A168" s="841" t="s">
        <v>164</v>
      </c>
      <c r="E168" s="1690" t="s">
        <v>3293</v>
      </c>
      <c r="F168" s="1690"/>
      <c r="G168" s="397"/>
      <c r="H168" s="392"/>
      <c r="M168" s="1357"/>
      <c r="Q168" s="1357"/>
      <c r="S168" s="1420"/>
      <c r="T168" s="1420"/>
      <c r="V168" s="1357">
        <v>77</v>
      </c>
    </row>
    <row r="169" spans="1:22" s="841" customFormat="1" ht="15" x14ac:dyDescent="0.25">
      <c r="A169" s="841" t="s">
        <v>164</v>
      </c>
      <c r="E169" s="1691" t="s">
        <v>3188</v>
      </c>
      <c r="F169" s="1691"/>
      <c r="G169" s="397" t="s">
        <v>23</v>
      </c>
      <c r="H169" s="392" t="s">
        <v>3189</v>
      </c>
      <c r="M169" s="1357"/>
      <c r="Q169" s="1357"/>
      <c r="S169" s="1420"/>
      <c r="T169" s="1420"/>
      <c r="V169" s="1357">
        <v>18</v>
      </c>
    </row>
    <row r="170" spans="1:22" s="841" customFormat="1" ht="15" x14ac:dyDescent="0.25">
      <c r="A170" s="841" t="s">
        <v>164</v>
      </c>
      <c r="E170" s="1691" t="s">
        <v>3190</v>
      </c>
      <c r="F170" s="1691"/>
      <c r="G170" s="397" t="s">
        <v>23</v>
      </c>
      <c r="H170" s="391">
        <v>2</v>
      </c>
      <c r="M170" s="1357"/>
      <c r="Q170" s="1357"/>
      <c r="S170" s="1420"/>
      <c r="T170" s="1420"/>
      <c r="V170" s="1357">
        <v>69</v>
      </c>
    </row>
    <row r="171" spans="1:22" s="841" customFormat="1" ht="18.75" x14ac:dyDescent="0.3">
      <c r="A171" s="841" t="s">
        <v>164</v>
      </c>
      <c r="E171" s="1374" t="s">
        <v>147</v>
      </c>
      <c r="F171" s="657"/>
      <c r="G171" s="657"/>
      <c r="H171" s="658"/>
      <c r="K171" s="841" t="s">
        <v>3724</v>
      </c>
      <c r="M171" s="1357"/>
      <c r="Q171" s="1357"/>
      <c r="S171" s="1420"/>
      <c r="T171" s="1420"/>
      <c r="V171" s="1357">
        <v>12</v>
      </c>
    </row>
    <row r="172" spans="1:22" s="841" customFormat="1" ht="15" x14ac:dyDescent="0.25">
      <c r="A172" s="841" t="s">
        <v>164</v>
      </c>
      <c r="E172" s="1704" t="s">
        <v>3192</v>
      </c>
      <c r="F172" s="1704"/>
      <c r="G172" s="1704"/>
      <c r="H172" s="1704"/>
      <c r="M172" s="1357"/>
      <c r="Q172" s="1357"/>
      <c r="S172" s="1420"/>
      <c r="T172" s="1420"/>
      <c r="V172" s="1357">
        <v>203</v>
      </c>
    </row>
    <row r="173" spans="1:22" s="841" customFormat="1" ht="15" x14ac:dyDescent="0.25">
      <c r="A173" s="841" t="s">
        <v>164</v>
      </c>
      <c r="E173" s="1690" t="s">
        <v>3295</v>
      </c>
      <c r="F173" s="1690"/>
      <c r="G173" s="1408"/>
      <c r="H173" s="393">
        <v>1.054</v>
      </c>
      <c r="M173" s="1357"/>
      <c r="Q173" s="1357"/>
      <c r="S173" s="1420"/>
      <c r="T173" s="1420"/>
      <c r="V173" s="1357">
        <v>57</v>
      </c>
    </row>
    <row r="174" spans="1:22" s="841" customFormat="1" ht="15" x14ac:dyDescent="0.25">
      <c r="A174" s="841" t="s">
        <v>164</v>
      </c>
      <c r="E174" s="1690" t="s">
        <v>3297</v>
      </c>
      <c r="F174" s="1690"/>
      <c r="G174" s="1408"/>
      <c r="H174" s="393">
        <v>1.0434000000000001</v>
      </c>
      <c r="J174" s="841" t="s">
        <v>3725</v>
      </c>
      <c r="M174" s="1357"/>
      <c r="Q174" s="1357"/>
      <c r="S174" s="1420"/>
      <c r="T174" s="1420"/>
      <c r="V174" s="1357">
        <v>55</v>
      </c>
    </row>
    <row r="175" spans="1:22" s="841" customFormat="1" ht="23.25" x14ac:dyDescent="0.25">
      <c r="A175" s="841" t="s">
        <v>167</v>
      </c>
      <c r="C175" s="841" t="s">
        <v>3050</v>
      </c>
      <c r="E175" s="1911" t="s">
        <v>167</v>
      </c>
      <c r="F175" s="1911"/>
      <c r="G175" s="1911"/>
      <c r="H175" s="1911"/>
      <c r="I175" s="841" t="s">
        <v>628</v>
      </c>
      <c r="J175" s="841" t="s">
        <v>4016</v>
      </c>
      <c r="K175" s="841" t="s">
        <v>167</v>
      </c>
      <c r="M175" s="1357">
        <v>6</v>
      </c>
      <c r="Q175" s="1357"/>
      <c r="S175" s="1420"/>
      <c r="T175" s="1420"/>
      <c r="V175" s="1357">
        <v>38</v>
      </c>
    </row>
    <row r="176" spans="1:22" s="841" customFormat="1" x14ac:dyDescent="0.25">
      <c r="A176" s="841" t="s">
        <v>167</v>
      </c>
      <c r="C176" s="841" t="s">
        <v>3052</v>
      </c>
      <c r="E176" s="1912" t="s">
        <v>3053</v>
      </c>
      <c r="F176" s="1912"/>
      <c r="G176" s="1912"/>
      <c r="H176" s="1912"/>
      <c r="M176" s="1357"/>
      <c r="Q176" s="1357"/>
      <c r="S176" s="1420"/>
      <c r="T176" s="1420"/>
      <c r="V176" s="1357">
        <v>27</v>
      </c>
    </row>
    <row r="177" spans="1:22" s="841" customFormat="1" ht="15.75" x14ac:dyDescent="0.25">
      <c r="A177" s="841" t="s">
        <v>167</v>
      </c>
      <c r="C177" s="841" t="s">
        <v>3054</v>
      </c>
      <c r="E177" s="1913" t="s">
        <v>5107</v>
      </c>
      <c r="F177" s="1913"/>
      <c r="G177" s="1913"/>
      <c r="H177" s="1913"/>
      <c r="M177" s="1357"/>
      <c r="Q177" s="1357"/>
      <c r="S177" s="1420">
        <v>43221</v>
      </c>
      <c r="T177" s="1420"/>
      <c r="V177" s="1357">
        <v>45</v>
      </c>
    </row>
    <row r="178" spans="1:22" s="841" customFormat="1" ht="15" x14ac:dyDescent="0.25">
      <c r="A178" s="841" t="s">
        <v>167</v>
      </c>
      <c r="C178" s="841" t="s">
        <v>3055</v>
      </c>
      <c r="E178" s="1914" t="s">
        <v>3056</v>
      </c>
      <c r="F178" s="1914"/>
      <c r="G178" s="1914"/>
      <c r="H178" s="1914"/>
      <c r="M178" s="1357"/>
      <c r="Q178" s="1357"/>
      <c r="S178" s="1420"/>
      <c r="T178" s="1420"/>
      <c r="V178" s="1357">
        <v>52</v>
      </c>
    </row>
    <row r="179" spans="1:22" s="841" customFormat="1" ht="15" x14ac:dyDescent="0.25">
      <c r="A179" s="841" t="s">
        <v>167</v>
      </c>
      <c r="E179" s="1914" t="s">
        <v>3057</v>
      </c>
      <c r="F179" s="1914"/>
      <c r="G179" s="1914"/>
      <c r="H179" s="1914"/>
      <c r="M179" s="1357"/>
      <c r="Q179" s="1357"/>
      <c r="S179" s="1420"/>
      <c r="T179" s="1420"/>
      <c r="V179" s="1357">
        <v>53</v>
      </c>
    </row>
    <row r="180" spans="1:22" s="841" customFormat="1" ht="15" x14ac:dyDescent="0.25">
      <c r="A180" s="841" t="s">
        <v>167</v>
      </c>
      <c r="E180" s="1925" t="s">
        <v>5121</v>
      </c>
      <c r="F180" s="1925"/>
      <c r="G180" s="1925"/>
      <c r="H180" s="1925"/>
      <c r="K180" s="841" t="s">
        <v>5121</v>
      </c>
      <c r="M180" s="1357"/>
      <c r="Q180" s="1357"/>
      <c r="S180" s="1420"/>
      <c r="T180" s="1420"/>
      <c r="V180" s="1357">
        <v>12</v>
      </c>
    </row>
    <row r="181" spans="1:22" s="841" customFormat="1" ht="15" x14ac:dyDescent="0.25">
      <c r="A181" s="841" t="s">
        <v>167</v>
      </c>
      <c r="E181" s="1909" t="s">
        <v>438</v>
      </c>
      <c r="F181" s="1926"/>
      <c r="G181" s="1926"/>
      <c r="H181" s="1926"/>
      <c r="K181" s="841" t="s">
        <v>3197</v>
      </c>
      <c r="M181" s="1357"/>
      <c r="Q181" s="1357"/>
      <c r="S181" s="1420"/>
      <c r="T181" s="1420"/>
      <c r="V181" s="1357">
        <v>34</v>
      </c>
    </row>
    <row r="182" spans="1:22" s="841" customFormat="1" ht="15" x14ac:dyDescent="0.25">
      <c r="A182" s="841" t="s">
        <v>167</v>
      </c>
      <c r="E182" s="1689" t="s">
        <v>4017</v>
      </c>
      <c r="F182" s="1689"/>
      <c r="G182" s="1689"/>
      <c r="H182" s="1689"/>
      <c r="K182" s="841" t="s">
        <v>3197</v>
      </c>
      <c r="M182" s="1357"/>
      <c r="Q182" s="1357"/>
      <c r="S182" s="1420"/>
      <c r="T182" s="1420"/>
      <c r="V182" s="1357">
        <v>154</v>
      </c>
    </row>
    <row r="183" spans="1:22" s="841" customFormat="1" ht="15" x14ac:dyDescent="0.25">
      <c r="A183" s="841" t="s">
        <v>167</v>
      </c>
      <c r="E183" s="1689" t="s">
        <v>4018</v>
      </c>
      <c r="F183" s="1689"/>
      <c r="G183" s="1689"/>
      <c r="H183" s="1689"/>
      <c r="K183" s="841" t="s">
        <v>3197</v>
      </c>
      <c r="M183" s="1357"/>
      <c r="Q183" s="1357"/>
      <c r="S183" s="1420"/>
      <c r="T183" s="1420"/>
      <c r="V183" s="1357">
        <v>187</v>
      </c>
    </row>
    <row r="184" spans="1:22" s="841" customFormat="1" ht="15" x14ac:dyDescent="0.25">
      <c r="A184" s="841" t="s">
        <v>167</v>
      </c>
      <c r="E184" s="1689" t="s">
        <v>3680</v>
      </c>
      <c r="F184" s="1689"/>
      <c r="G184" s="1689"/>
      <c r="H184" s="1689"/>
      <c r="K184" s="841" t="s">
        <v>3197</v>
      </c>
      <c r="M184" s="1357"/>
      <c r="Q184" s="1357"/>
      <c r="S184" s="1420"/>
      <c r="T184" s="1420"/>
      <c r="V184" s="1357">
        <v>148</v>
      </c>
    </row>
    <row r="185" spans="1:22" s="841" customFormat="1" ht="15" x14ac:dyDescent="0.25">
      <c r="A185" s="841" t="s">
        <v>167</v>
      </c>
      <c r="E185" s="1916" t="s">
        <v>3061</v>
      </c>
      <c r="F185" s="1926"/>
      <c r="G185" s="1926"/>
      <c r="H185" s="1926"/>
      <c r="K185" s="841" t="s">
        <v>3062</v>
      </c>
      <c r="M185" s="1357"/>
      <c r="Q185" s="1357"/>
      <c r="S185" s="1420"/>
      <c r="T185" s="1420"/>
      <c r="V185" s="1357">
        <v>11</v>
      </c>
    </row>
    <row r="186" spans="1:22" s="841" customFormat="1" ht="15" x14ac:dyDescent="0.25">
      <c r="A186" s="841" t="s">
        <v>167</v>
      </c>
      <c r="E186" s="1689" t="s">
        <v>3063</v>
      </c>
      <c r="F186" s="1689"/>
      <c r="G186" s="1689"/>
      <c r="H186" s="1689"/>
      <c r="K186" s="841" t="s">
        <v>3197</v>
      </c>
      <c r="M186" s="1357"/>
      <c r="Q186" s="1357"/>
      <c r="S186" s="1420"/>
      <c r="T186" s="1420"/>
      <c r="V186" s="1357">
        <v>280</v>
      </c>
    </row>
    <row r="187" spans="1:22" s="841" customFormat="1" ht="15" x14ac:dyDescent="0.25">
      <c r="A187" s="841" t="s">
        <v>167</v>
      </c>
      <c r="E187" s="1689" t="s">
        <v>3064</v>
      </c>
      <c r="F187" s="1689"/>
      <c r="G187" s="1689"/>
      <c r="H187" s="1689"/>
      <c r="K187" s="841" t="s">
        <v>3197</v>
      </c>
      <c r="M187" s="1357"/>
      <c r="Q187" s="1357"/>
      <c r="S187" s="1420"/>
      <c r="T187" s="1420"/>
      <c r="V187" s="1357">
        <v>411</v>
      </c>
    </row>
    <row r="188" spans="1:22" s="841" customFormat="1" ht="15" x14ac:dyDescent="0.25">
      <c r="A188" s="841" t="s">
        <v>167</v>
      </c>
      <c r="E188" s="1689" t="s">
        <v>4019</v>
      </c>
      <c r="F188" s="1689"/>
      <c r="G188" s="1689"/>
      <c r="H188" s="1689"/>
      <c r="K188" s="841" t="s">
        <v>3197</v>
      </c>
      <c r="M188" s="1357"/>
      <c r="Q188" s="1357"/>
      <c r="S188" s="1420"/>
      <c r="T188" s="1420"/>
      <c r="V188" s="1357">
        <v>390</v>
      </c>
    </row>
    <row r="189" spans="1:22" s="841" customFormat="1" ht="15" x14ac:dyDescent="0.25">
      <c r="A189" s="841" t="s">
        <v>167</v>
      </c>
      <c r="E189" s="1689" t="s">
        <v>3200</v>
      </c>
      <c r="F189" s="1689"/>
      <c r="G189" s="1689"/>
      <c r="H189" s="1689"/>
      <c r="K189" s="841" t="s">
        <v>3197</v>
      </c>
      <c r="M189" s="1357"/>
      <c r="Q189" s="1357"/>
      <c r="S189" s="1420"/>
      <c r="T189" s="1420"/>
      <c r="V189" s="1357">
        <v>275</v>
      </c>
    </row>
    <row r="190" spans="1:22" s="841" customFormat="1" ht="15" x14ac:dyDescent="0.25">
      <c r="A190" s="841" t="s">
        <v>167</v>
      </c>
      <c r="E190" s="1694" t="s">
        <v>3067</v>
      </c>
      <c r="F190" s="1922"/>
      <c r="G190" s="1922"/>
      <c r="H190" s="1922"/>
      <c r="K190" s="841" t="s">
        <v>3068</v>
      </c>
      <c r="M190" s="1357"/>
      <c r="Q190" s="1357"/>
      <c r="S190" s="1420"/>
      <c r="T190" s="1420"/>
      <c r="V190" s="1357">
        <v>46</v>
      </c>
    </row>
    <row r="191" spans="1:22" s="841" customFormat="1" ht="15" x14ac:dyDescent="0.25">
      <c r="A191" s="841" t="s">
        <v>167</v>
      </c>
      <c r="E191" s="1690" t="s">
        <v>11</v>
      </c>
      <c r="F191" s="1690"/>
      <c r="G191" s="1408" t="s">
        <v>23</v>
      </c>
      <c r="H191" s="391">
        <v>27.86</v>
      </c>
      <c r="K191" s="841" t="s">
        <v>3197</v>
      </c>
      <c r="L191" s="841" t="s">
        <v>442</v>
      </c>
      <c r="M191" s="1357"/>
      <c r="P191" s="841" t="s">
        <v>3201</v>
      </c>
      <c r="Q191" s="1357"/>
      <c r="S191" s="1420"/>
      <c r="T191" s="1420"/>
      <c r="V191" s="1357">
        <v>14</v>
      </c>
    </row>
    <row r="192" spans="1:22" s="841" customFormat="1" ht="15" x14ac:dyDescent="0.25">
      <c r="A192" s="841" t="s">
        <v>167</v>
      </c>
      <c r="E192" s="1690" t="s">
        <v>5109</v>
      </c>
      <c r="F192" s="1690"/>
      <c r="G192" s="1408" t="s">
        <v>23</v>
      </c>
      <c r="H192" s="391">
        <v>0.56999999999999995</v>
      </c>
      <c r="K192" s="841" t="s">
        <v>3197</v>
      </c>
      <c r="L192" s="841" t="s">
        <v>443</v>
      </c>
      <c r="M192" s="1357"/>
      <c r="P192" s="841" t="s">
        <v>3202</v>
      </c>
      <c r="Q192" s="1357"/>
      <c r="S192" s="1420"/>
      <c r="T192" s="1420">
        <v>44926</v>
      </c>
      <c r="V192" s="1357">
        <v>64</v>
      </c>
    </row>
    <row r="193" spans="1:22" s="841" customFormat="1" ht="15" x14ac:dyDescent="0.25">
      <c r="A193" s="841" t="s">
        <v>167</v>
      </c>
      <c r="E193" s="1690" t="s">
        <v>84</v>
      </c>
      <c r="F193" s="1690"/>
      <c r="G193" s="1408" t="s">
        <v>24</v>
      </c>
      <c r="H193" s="393">
        <v>3.7000000000000002E-3</v>
      </c>
      <c r="K193" s="841" t="s">
        <v>3197</v>
      </c>
      <c r="L193" s="841" t="s">
        <v>442</v>
      </c>
      <c r="M193" s="1357"/>
      <c r="P193" s="841" t="s">
        <v>3203</v>
      </c>
      <c r="Q193" s="1357"/>
      <c r="S193" s="1420"/>
      <c r="T193" s="1420"/>
      <c r="V193" s="1357">
        <v>28</v>
      </c>
    </row>
    <row r="194" spans="1:22" s="841" customFormat="1" ht="15" x14ac:dyDescent="0.25">
      <c r="A194" s="841" t="s">
        <v>167</v>
      </c>
      <c r="E194" s="1690" t="s">
        <v>5122</v>
      </c>
      <c r="F194" s="1908"/>
      <c r="G194" s="1408" t="s">
        <v>24</v>
      </c>
      <c r="H194" s="393">
        <v>2.0999999999999999E-3</v>
      </c>
      <c r="K194" s="841" t="s">
        <v>3197</v>
      </c>
      <c r="L194" s="841" t="s">
        <v>443</v>
      </c>
      <c r="M194" s="1357"/>
      <c r="P194" s="841" t="s">
        <v>3205</v>
      </c>
      <c r="Q194" s="1357"/>
      <c r="S194" s="1420"/>
      <c r="T194" s="1420">
        <v>43585</v>
      </c>
      <c r="V194" s="1357">
        <v>139</v>
      </c>
    </row>
    <row r="195" spans="1:22" s="841" customFormat="1" ht="15" x14ac:dyDescent="0.25">
      <c r="A195" s="841" t="s">
        <v>167</v>
      </c>
      <c r="E195" s="1690" t="s">
        <v>5123</v>
      </c>
      <c r="F195" s="1908"/>
      <c r="G195" s="1408" t="s">
        <v>24</v>
      </c>
      <c r="H195" s="393">
        <v>-4.4000000000000003E-3</v>
      </c>
      <c r="K195" s="841" t="s">
        <v>3197</v>
      </c>
      <c r="L195" s="841" t="s">
        <v>443</v>
      </c>
      <c r="M195" s="1357"/>
      <c r="P195" s="841" t="s">
        <v>3207</v>
      </c>
      <c r="Q195" s="1357"/>
      <c r="S195" s="1420"/>
      <c r="T195" s="1420">
        <v>43585</v>
      </c>
      <c r="V195" s="1357">
        <v>96</v>
      </c>
    </row>
    <row r="196" spans="1:22" s="841" customFormat="1" ht="15" x14ac:dyDescent="0.25">
      <c r="A196" s="841" t="s">
        <v>167</v>
      </c>
      <c r="E196" s="1690" t="s">
        <v>221</v>
      </c>
      <c r="F196" s="1690"/>
      <c r="G196" s="1408" t="s">
        <v>24</v>
      </c>
      <c r="H196" s="393">
        <v>6.4999999999999997E-3</v>
      </c>
      <c r="K196" s="841" t="s">
        <v>3197</v>
      </c>
      <c r="L196" s="841" t="s">
        <v>444</v>
      </c>
      <c r="M196" s="1357"/>
      <c r="P196" s="841" t="s">
        <v>3208</v>
      </c>
      <c r="Q196" s="1357"/>
      <c r="S196" s="1420"/>
      <c r="T196" s="1420"/>
      <c r="V196" s="1357">
        <v>47</v>
      </c>
    </row>
    <row r="197" spans="1:22" s="841" customFormat="1" ht="15" x14ac:dyDescent="0.25">
      <c r="A197" s="841" t="s">
        <v>167</v>
      </c>
      <c r="E197" s="1690" t="s">
        <v>217</v>
      </c>
      <c r="F197" s="1690"/>
      <c r="G197" s="1408" t="s">
        <v>24</v>
      </c>
      <c r="H197" s="393">
        <v>2E-3</v>
      </c>
      <c r="K197" s="841" t="s">
        <v>3197</v>
      </c>
      <c r="L197" s="841" t="s">
        <v>444</v>
      </c>
      <c r="M197" s="1357"/>
      <c r="P197" s="841" t="s">
        <v>3209</v>
      </c>
      <c r="Q197" s="1357"/>
      <c r="S197" s="1420"/>
      <c r="T197" s="1420"/>
      <c r="V197" s="1357">
        <v>74</v>
      </c>
    </row>
    <row r="198" spans="1:22" s="841" customFormat="1" ht="15" x14ac:dyDescent="0.25">
      <c r="A198" s="841" t="s">
        <v>167</v>
      </c>
      <c r="E198" s="1694" t="s">
        <v>3079</v>
      </c>
      <c r="F198" s="1906"/>
      <c r="G198" s="1408"/>
      <c r="H198" s="1408"/>
      <c r="K198" s="841" t="s">
        <v>3080</v>
      </c>
      <c r="M198" s="1357"/>
      <c r="Q198" s="1357"/>
      <c r="S198" s="1420"/>
      <c r="T198" s="1420"/>
      <c r="V198" s="1357">
        <v>48</v>
      </c>
    </row>
    <row r="199" spans="1:22" s="841" customFormat="1" ht="15" x14ac:dyDescent="0.25">
      <c r="A199" s="841" t="s">
        <v>167</v>
      </c>
      <c r="E199" s="1690" t="s">
        <v>2449</v>
      </c>
      <c r="F199" s="1690"/>
      <c r="G199" s="1408" t="s">
        <v>24</v>
      </c>
      <c r="H199" s="393">
        <v>3.2000000000000002E-3</v>
      </c>
      <c r="K199" s="841" t="s">
        <v>3197</v>
      </c>
      <c r="L199" s="841" t="s">
        <v>3046</v>
      </c>
      <c r="M199" s="1357"/>
      <c r="P199" s="841" t="s">
        <v>3210</v>
      </c>
      <c r="Q199" s="1357"/>
      <c r="S199" s="1420"/>
      <c r="T199" s="1420"/>
      <c r="V199" s="1357">
        <v>55</v>
      </c>
    </row>
    <row r="200" spans="1:22" s="841" customFormat="1" ht="15" x14ac:dyDescent="0.25">
      <c r="A200" s="841" t="s">
        <v>167</v>
      </c>
      <c r="E200" s="1690" t="s">
        <v>2450</v>
      </c>
      <c r="F200" s="1690"/>
      <c r="G200" s="1408" t="s">
        <v>24</v>
      </c>
      <c r="H200" s="393">
        <v>4.0000000000000002E-4</v>
      </c>
      <c r="K200" s="841" t="s">
        <v>3197</v>
      </c>
      <c r="L200" s="841" t="s">
        <v>3046</v>
      </c>
      <c r="M200" s="1357"/>
      <c r="P200" s="841" t="s">
        <v>3210</v>
      </c>
      <c r="Q200" s="1357"/>
      <c r="S200" s="1420"/>
      <c r="T200" s="1420"/>
      <c r="V200" s="1357">
        <v>65</v>
      </c>
    </row>
    <row r="201" spans="1:22" s="841" customFormat="1" ht="15" x14ac:dyDescent="0.25">
      <c r="A201" s="841" t="s">
        <v>167</v>
      </c>
      <c r="E201" s="1690" t="s">
        <v>439</v>
      </c>
      <c r="F201" s="1690"/>
      <c r="G201" s="1408" t="s">
        <v>24</v>
      </c>
      <c r="H201" s="393">
        <v>2.9999999999999997E-4</v>
      </c>
      <c r="K201" s="841" t="s">
        <v>3197</v>
      </c>
      <c r="L201" s="841" t="s">
        <v>3046</v>
      </c>
      <c r="M201" s="1357"/>
      <c r="P201" s="841" t="s">
        <v>3212</v>
      </c>
      <c r="Q201" s="1357"/>
      <c r="S201" s="1420"/>
      <c r="T201" s="1420"/>
      <c r="V201" s="1357">
        <v>57</v>
      </c>
    </row>
    <row r="202" spans="1:22" s="841" customFormat="1" ht="15" x14ac:dyDescent="0.25">
      <c r="A202" s="841" t="s">
        <v>167</v>
      </c>
      <c r="E202" s="1690" t="s">
        <v>32</v>
      </c>
      <c r="F202" s="1690"/>
      <c r="G202" s="1408" t="s">
        <v>23</v>
      </c>
      <c r="H202" s="391">
        <v>0.25</v>
      </c>
      <c r="K202" s="841" t="s">
        <v>3197</v>
      </c>
      <c r="L202" s="841" t="s">
        <v>3046</v>
      </c>
      <c r="M202" s="1357"/>
      <c r="P202" s="841" t="s">
        <v>3213</v>
      </c>
      <c r="Q202" s="1357"/>
      <c r="S202" s="1420"/>
      <c r="T202" s="1420"/>
      <c r="V202" s="1357">
        <v>63</v>
      </c>
    </row>
    <row r="203" spans="1:22" s="841" customFormat="1" x14ac:dyDescent="0.25">
      <c r="A203" s="841" t="s">
        <v>167</v>
      </c>
      <c r="E203" s="1909" t="s">
        <v>3214</v>
      </c>
      <c r="F203" s="1909"/>
      <c r="G203" s="1909"/>
      <c r="H203" s="1909"/>
      <c r="K203" s="841" t="s">
        <v>5110</v>
      </c>
      <c r="M203" s="1357"/>
      <c r="Q203" s="1357"/>
      <c r="S203" s="1420"/>
      <c r="T203" s="1420"/>
      <c r="V203" s="1357">
        <v>54</v>
      </c>
    </row>
    <row r="204" spans="1:22" s="841" customFormat="1" ht="15" x14ac:dyDescent="0.25">
      <c r="A204" s="841" t="s">
        <v>167</v>
      </c>
      <c r="E204" s="1689" t="s">
        <v>4020</v>
      </c>
      <c r="F204" s="1689"/>
      <c r="G204" s="1689"/>
      <c r="H204" s="1689"/>
      <c r="K204" s="841" t="s">
        <v>5110</v>
      </c>
      <c r="M204" s="1357"/>
      <c r="Q204" s="1357"/>
      <c r="S204" s="1420"/>
      <c r="T204" s="1420"/>
      <c r="V204" s="1357">
        <v>888</v>
      </c>
    </row>
    <row r="205" spans="1:22" s="841" customFormat="1" ht="15" x14ac:dyDescent="0.25">
      <c r="A205" s="841" t="s">
        <v>167</v>
      </c>
      <c r="E205" s="1916" t="s">
        <v>3061</v>
      </c>
      <c r="F205" s="1926"/>
      <c r="G205" s="1926"/>
      <c r="H205" s="1926"/>
      <c r="K205" s="841" t="s">
        <v>3086</v>
      </c>
      <c r="M205" s="1357"/>
      <c r="Q205" s="1357"/>
      <c r="S205" s="1420"/>
      <c r="T205" s="1420"/>
      <c r="V205" s="1357">
        <v>11</v>
      </c>
    </row>
    <row r="206" spans="1:22" s="841" customFormat="1" ht="15" x14ac:dyDescent="0.25">
      <c r="A206" s="841" t="s">
        <v>167</v>
      </c>
      <c r="E206" s="1689" t="s">
        <v>3063</v>
      </c>
      <c r="F206" s="1689"/>
      <c r="G206" s="1689"/>
      <c r="H206" s="1689"/>
      <c r="K206" s="841" t="s">
        <v>5110</v>
      </c>
      <c r="M206" s="1357"/>
      <c r="Q206" s="1357"/>
      <c r="S206" s="1420"/>
      <c r="T206" s="1420"/>
      <c r="V206" s="1357">
        <v>280</v>
      </c>
    </row>
    <row r="207" spans="1:22" s="841" customFormat="1" ht="15" x14ac:dyDescent="0.25">
      <c r="A207" s="841" t="s">
        <v>167</v>
      </c>
      <c r="E207" s="1689" t="s">
        <v>3064</v>
      </c>
      <c r="F207" s="1689"/>
      <c r="G207" s="1689"/>
      <c r="H207" s="1689"/>
      <c r="K207" s="841" t="s">
        <v>5110</v>
      </c>
      <c r="M207" s="1357"/>
      <c r="Q207" s="1357"/>
      <c r="S207" s="1420"/>
      <c r="T207" s="1420"/>
      <c r="V207" s="1357">
        <v>411</v>
      </c>
    </row>
    <row r="208" spans="1:22" s="841" customFormat="1" ht="15" x14ac:dyDescent="0.25">
      <c r="A208" s="841" t="s">
        <v>167</v>
      </c>
      <c r="E208" s="1689" t="s">
        <v>4019</v>
      </c>
      <c r="F208" s="1689"/>
      <c r="G208" s="1689"/>
      <c r="H208" s="1689"/>
      <c r="K208" s="841" t="s">
        <v>5110</v>
      </c>
      <c r="M208" s="1357"/>
      <c r="Q208" s="1357"/>
      <c r="S208" s="1420"/>
      <c r="T208" s="1420"/>
      <c r="V208" s="1357">
        <v>390</v>
      </c>
    </row>
    <row r="209" spans="1:22" s="841" customFormat="1" ht="15" x14ac:dyDescent="0.25">
      <c r="A209" s="841" t="s">
        <v>167</v>
      </c>
      <c r="E209" s="1689" t="s">
        <v>3200</v>
      </c>
      <c r="F209" s="1689"/>
      <c r="G209" s="1689"/>
      <c r="H209" s="1689"/>
      <c r="K209" s="841" t="s">
        <v>5110</v>
      </c>
      <c r="M209" s="1357"/>
      <c r="Q209" s="1357"/>
      <c r="S209" s="1420"/>
      <c r="T209" s="1420"/>
      <c r="V209" s="1357">
        <v>275</v>
      </c>
    </row>
    <row r="210" spans="1:22" s="841" customFormat="1" ht="15" x14ac:dyDescent="0.25">
      <c r="A210" s="841" t="s">
        <v>167</v>
      </c>
      <c r="E210" s="1694" t="s">
        <v>3067</v>
      </c>
      <c r="F210" s="1922"/>
      <c r="G210" s="1922"/>
      <c r="H210" s="1922"/>
      <c r="K210" s="841" t="s">
        <v>3087</v>
      </c>
      <c r="M210" s="1357"/>
      <c r="Q210" s="1357"/>
      <c r="S210" s="1420"/>
      <c r="T210" s="1420"/>
      <c r="V210" s="1357">
        <v>46</v>
      </c>
    </row>
    <row r="211" spans="1:22" s="841" customFormat="1" ht="15" x14ac:dyDescent="0.25">
      <c r="A211" s="841" t="s">
        <v>167</v>
      </c>
      <c r="E211" s="1690" t="s">
        <v>11</v>
      </c>
      <c r="F211" s="1690"/>
      <c r="G211" s="1408" t="s">
        <v>23</v>
      </c>
      <c r="H211" s="391">
        <v>39.46</v>
      </c>
      <c r="K211" s="841" t="s">
        <v>5110</v>
      </c>
      <c r="L211" s="841" t="s">
        <v>442</v>
      </c>
      <c r="M211" s="1357"/>
      <c r="P211" s="841" t="s">
        <v>5111</v>
      </c>
      <c r="Q211" s="1357"/>
      <c r="S211" s="1420"/>
      <c r="T211" s="1420"/>
      <c r="V211" s="1357">
        <v>14</v>
      </c>
    </row>
    <row r="212" spans="1:22" s="841" customFormat="1" ht="15" x14ac:dyDescent="0.25">
      <c r="A212" s="841" t="s">
        <v>167</v>
      </c>
      <c r="E212" s="1690" t="s">
        <v>5109</v>
      </c>
      <c r="F212" s="1690"/>
      <c r="G212" s="1408" t="s">
        <v>23</v>
      </c>
      <c r="H212" s="391">
        <v>0.56999999999999995</v>
      </c>
      <c r="K212" s="841" t="s">
        <v>5110</v>
      </c>
      <c r="L212" s="841" t="s">
        <v>443</v>
      </c>
      <c r="M212" s="1357"/>
      <c r="P212" s="841" t="s">
        <v>5112</v>
      </c>
      <c r="Q212" s="1357"/>
      <c r="S212" s="1420"/>
      <c r="T212" s="1420">
        <v>44926</v>
      </c>
      <c r="V212" s="1357">
        <v>64</v>
      </c>
    </row>
    <row r="213" spans="1:22" s="841" customFormat="1" ht="15" x14ac:dyDescent="0.25">
      <c r="A213" s="841" t="s">
        <v>167</v>
      </c>
      <c r="E213" s="1690" t="s">
        <v>84</v>
      </c>
      <c r="F213" s="1690"/>
      <c r="G213" s="1408" t="s">
        <v>24</v>
      </c>
      <c r="H213" s="393">
        <v>6.1999999999999998E-3</v>
      </c>
      <c r="K213" s="841" t="s">
        <v>5110</v>
      </c>
      <c r="L213" s="841" t="s">
        <v>442</v>
      </c>
      <c r="M213" s="1357"/>
      <c r="P213" s="841" t="s">
        <v>5113</v>
      </c>
      <c r="Q213" s="1357"/>
      <c r="S213" s="1420"/>
      <c r="T213" s="1420"/>
      <c r="V213" s="1357">
        <v>28</v>
      </c>
    </row>
    <row r="214" spans="1:22" s="841" customFormat="1" ht="15" x14ac:dyDescent="0.25">
      <c r="A214" s="841" t="s">
        <v>167</v>
      </c>
      <c r="E214" s="1690" t="s">
        <v>5122</v>
      </c>
      <c r="F214" s="1908"/>
      <c r="G214" s="1408" t="s">
        <v>24</v>
      </c>
      <c r="H214" s="393">
        <v>2.0999999999999999E-3</v>
      </c>
      <c r="K214" s="841" t="s">
        <v>5110</v>
      </c>
      <c r="L214" s="841" t="s">
        <v>443</v>
      </c>
      <c r="M214" s="1357"/>
      <c r="P214" s="841" t="s">
        <v>4818</v>
      </c>
      <c r="Q214" s="1357"/>
      <c r="S214" s="1420"/>
      <c r="T214" s="1420">
        <v>43585</v>
      </c>
      <c r="V214" s="1357">
        <v>139</v>
      </c>
    </row>
    <row r="215" spans="1:22" s="841" customFormat="1" ht="15" x14ac:dyDescent="0.25">
      <c r="A215" s="841" t="s">
        <v>167</v>
      </c>
      <c r="E215" s="1690" t="s">
        <v>5123</v>
      </c>
      <c r="F215" s="1908"/>
      <c r="G215" s="1408" t="s">
        <v>24</v>
      </c>
      <c r="H215" s="393">
        <v>-4.4999999999999997E-3</v>
      </c>
      <c r="K215" s="841" t="s">
        <v>5110</v>
      </c>
      <c r="L215" s="841" t="s">
        <v>443</v>
      </c>
      <c r="M215" s="1357"/>
      <c r="P215" s="841" t="s">
        <v>5124</v>
      </c>
      <c r="Q215" s="1357"/>
      <c r="S215" s="1420"/>
      <c r="T215" s="1420">
        <v>43585</v>
      </c>
      <c r="V215" s="1357">
        <v>96</v>
      </c>
    </row>
    <row r="216" spans="1:22" s="841" customFormat="1" ht="15" x14ac:dyDescent="0.25">
      <c r="A216" s="841" t="s">
        <v>167</v>
      </c>
      <c r="E216" s="1690" t="s">
        <v>221</v>
      </c>
      <c r="F216" s="1690"/>
      <c r="G216" s="1408" t="s">
        <v>24</v>
      </c>
      <c r="H216" s="393">
        <v>5.7000000000000002E-3</v>
      </c>
      <c r="K216" s="841" t="s">
        <v>5110</v>
      </c>
      <c r="L216" s="841" t="s">
        <v>444</v>
      </c>
      <c r="M216" s="1357"/>
      <c r="P216" s="841" t="s">
        <v>5115</v>
      </c>
      <c r="Q216" s="1357"/>
      <c r="S216" s="1420"/>
      <c r="T216" s="1420"/>
      <c r="V216" s="1357">
        <v>47</v>
      </c>
    </row>
    <row r="217" spans="1:22" s="841" customFormat="1" ht="15" x14ac:dyDescent="0.25">
      <c r="A217" s="841" t="s">
        <v>167</v>
      </c>
      <c r="E217" s="1690" t="s">
        <v>217</v>
      </c>
      <c r="F217" s="1690"/>
      <c r="G217" s="1408" t="s">
        <v>24</v>
      </c>
      <c r="H217" s="393">
        <v>1.6999999999999999E-3</v>
      </c>
      <c r="K217" s="841" t="s">
        <v>5110</v>
      </c>
      <c r="L217" s="841" t="s">
        <v>444</v>
      </c>
      <c r="M217" s="1357"/>
      <c r="P217" s="841" t="s">
        <v>5116</v>
      </c>
      <c r="Q217" s="1357"/>
      <c r="S217" s="1420"/>
      <c r="T217" s="1420"/>
      <c r="V217" s="1357">
        <v>74</v>
      </c>
    </row>
    <row r="218" spans="1:22" s="841" customFormat="1" ht="15" x14ac:dyDescent="0.25">
      <c r="A218" s="841" t="s">
        <v>167</v>
      </c>
      <c r="E218" s="1694" t="s">
        <v>3079</v>
      </c>
      <c r="F218" s="1906"/>
      <c r="G218" s="1408"/>
      <c r="H218" s="1408"/>
      <c r="K218" s="841" t="s">
        <v>3093</v>
      </c>
      <c r="M218" s="1357"/>
      <c r="Q218" s="1357"/>
      <c r="S218" s="1420"/>
      <c r="T218" s="1420"/>
      <c r="V218" s="1357">
        <v>48</v>
      </c>
    </row>
    <row r="219" spans="1:22" s="841" customFormat="1" ht="15" x14ac:dyDescent="0.25">
      <c r="A219" s="841" t="s">
        <v>167</v>
      </c>
      <c r="E219" s="1690" t="s">
        <v>2449</v>
      </c>
      <c r="F219" s="1690"/>
      <c r="G219" s="1408" t="s">
        <v>24</v>
      </c>
      <c r="H219" s="393">
        <v>3.2000000000000002E-3</v>
      </c>
      <c r="K219" s="841" t="s">
        <v>5110</v>
      </c>
      <c r="L219" s="841" t="s">
        <v>3046</v>
      </c>
      <c r="M219" s="1357"/>
      <c r="P219" s="841" t="s">
        <v>5117</v>
      </c>
      <c r="Q219" s="1357"/>
      <c r="S219" s="1420"/>
      <c r="T219" s="1420"/>
      <c r="V219" s="1357">
        <v>55</v>
      </c>
    </row>
    <row r="220" spans="1:22" s="841" customFormat="1" ht="15" x14ac:dyDescent="0.25">
      <c r="A220" s="841" t="s">
        <v>167</v>
      </c>
      <c r="E220" s="1690" t="s">
        <v>2450</v>
      </c>
      <c r="F220" s="1690"/>
      <c r="G220" s="1408" t="s">
        <v>24</v>
      </c>
      <c r="H220" s="393">
        <v>4.0000000000000002E-4</v>
      </c>
      <c r="K220" s="841" t="s">
        <v>5110</v>
      </c>
      <c r="L220" s="841" t="s">
        <v>3046</v>
      </c>
      <c r="M220" s="1357"/>
      <c r="P220" s="841" t="s">
        <v>5117</v>
      </c>
      <c r="Q220" s="1357"/>
      <c r="S220" s="1420"/>
      <c r="T220" s="1420"/>
      <c r="V220" s="1357">
        <v>65</v>
      </c>
    </row>
    <row r="221" spans="1:22" s="841" customFormat="1" ht="15" x14ac:dyDescent="0.25">
      <c r="A221" s="841" t="s">
        <v>167</v>
      </c>
      <c r="E221" s="1690" t="s">
        <v>439</v>
      </c>
      <c r="F221" s="1690"/>
      <c r="G221" s="1408" t="s">
        <v>24</v>
      </c>
      <c r="H221" s="393">
        <v>2.9999999999999997E-4</v>
      </c>
      <c r="K221" s="841" t="s">
        <v>5110</v>
      </c>
      <c r="L221" s="841" t="s">
        <v>3046</v>
      </c>
      <c r="M221" s="1357"/>
      <c r="P221" s="841" t="s">
        <v>5118</v>
      </c>
      <c r="Q221" s="1357"/>
      <c r="S221" s="1420"/>
      <c r="T221" s="1420"/>
      <c r="V221" s="1357">
        <v>57</v>
      </c>
    </row>
    <row r="222" spans="1:22" s="841" customFormat="1" ht="15" x14ac:dyDescent="0.25">
      <c r="A222" s="841" t="s">
        <v>167</v>
      </c>
      <c r="E222" s="1690" t="s">
        <v>32</v>
      </c>
      <c r="F222" s="1690"/>
      <c r="G222" s="1408" t="s">
        <v>23</v>
      </c>
      <c r="H222" s="391">
        <v>0.25</v>
      </c>
      <c r="K222" s="841" t="s">
        <v>5110</v>
      </c>
      <c r="L222" s="841" t="s">
        <v>3046</v>
      </c>
      <c r="M222" s="1357"/>
      <c r="P222" s="841" t="s">
        <v>5119</v>
      </c>
      <c r="Q222" s="1357"/>
      <c r="S222" s="1420"/>
      <c r="T222" s="1420"/>
      <c r="V222" s="1357">
        <v>63</v>
      </c>
    </row>
    <row r="223" spans="1:22" s="841" customFormat="1" x14ac:dyDescent="0.25">
      <c r="A223" s="841" t="s">
        <v>167</v>
      </c>
      <c r="E223" s="1909" t="s">
        <v>616</v>
      </c>
      <c r="F223" s="1909"/>
      <c r="G223" s="1909"/>
      <c r="H223" s="1909"/>
      <c r="K223" s="841" t="s">
        <v>6095</v>
      </c>
      <c r="M223" s="1357"/>
      <c r="Q223" s="1357"/>
      <c r="S223" s="1420"/>
      <c r="T223" s="1420"/>
      <c r="V223" s="1357">
        <v>53</v>
      </c>
    </row>
    <row r="224" spans="1:22" s="841" customFormat="1" ht="15" x14ac:dyDescent="0.25">
      <c r="A224" s="841" t="s">
        <v>167</v>
      </c>
      <c r="E224" s="1689" t="s">
        <v>4021</v>
      </c>
      <c r="F224" s="1689"/>
      <c r="G224" s="1689"/>
      <c r="H224" s="1689"/>
      <c r="K224" s="841" t="s">
        <v>6095</v>
      </c>
      <c r="M224" s="1357"/>
      <c r="Q224" s="1357"/>
      <c r="S224" s="1420"/>
      <c r="T224" s="1420"/>
      <c r="V224" s="1357">
        <v>424</v>
      </c>
    </row>
    <row r="225" spans="1:22" s="841" customFormat="1" ht="15" x14ac:dyDescent="0.25">
      <c r="A225" s="841" t="s">
        <v>167</v>
      </c>
      <c r="E225" s="1689" t="s">
        <v>4022</v>
      </c>
      <c r="F225" s="1689"/>
      <c r="G225" s="1689"/>
      <c r="H225" s="1689"/>
      <c r="K225" s="841" t="s">
        <v>6095</v>
      </c>
      <c r="M225" s="1357"/>
      <c r="Q225" s="1357"/>
      <c r="S225" s="1420"/>
      <c r="T225" s="1420"/>
      <c r="V225" s="1357">
        <v>350</v>
      </c>
    </row>
    <row r="226" spans="1:22" s="841" customFormat="1" ht="15" x14ac:dyDescent="0.25">
      <c r="A226" s="841" t="s">
        <v>167</v>
      </c>
      <c r="E226" s="1689" t="s">
        <v>4023</v>
      </c>
      <c r="F226" s="1689"/>
      <c r="G226" s="1689"/>
      <c r="H226" s="1689"/>
      <c r="K226" s="841" t="s">
        <v>6095</v>
      </c>
      <c r="M226" s="1357"/>
      <c r="Q226" s="1357"/>
      <c r="S226" s="1420"/>
      <c r="T226" s="1420"/>
      <c r="V226" s="1357">
        <v>264</v>
      </c>
    </row>
    <row r="227" spans="1:22" s="841" customFormat="1" ht="15" x14ac:dyDescent="0.25">
      <c r="A227" s="841" t="s">
        <v>167</v>
      </c>
      <c r="E227" s="1916" t="s">
        <v>3061</v>
      </c>
      <c r="F227" s="1926"/>
      <c r="G227" s="1926"/>
      <c r="H227" s="1926"/>
      <c r="K227" s="841" t="s">
        <v>3098</v>
      </c>
      <c r="M227" s="1357"/>
      <c r="Q227" s="1357"/>
      <c r="S227" s="1420"/>
      <c r="T227" s="1420"/>
      <c r="V227" s="1357">
        <v>11</v>
      </c>
    </row>
    <row r="228" spans="1:22" s="841" customFormat="1" ht="15" x14ac:dyDescent="0.25">
      <c r="A228" s="841" t="s">
        <v>167</v>
      </c>
      <c r="E228" s="1689" t="s">
        <v>3063</v>
      </c>
      <c r="F228" s="1689"/>
      <c r="G228" s="1689"/>
      <c r="H228" s="1689"/>
      <c r="K228" s="841" t="s">
        <v>6095</v>
      </c>
      <c r="M228" s="1357"/>
      <c r="Q228" s="1357"/>
      <c r="S228" s="1420"/>
      <c r="T228" s="1420"/>
      <c r="V228" s="1357">
        <v>280</v>
      </c>
    </row>
    <row r="229" spans="1:22" s="841" customFormat="1" ht="15" x14ac:dyDescent="0.25">
      <c r="A229" s="841" t="s">
        <v>167</v>
      </c>
      <c r="E229" s="1689" t="s">
        <v>3064</v>
      </c>
      <c r="F229" s="1689"/>
      <c r="G229" s="1689"/>
      <c r="H229" s="1689"/>
      <c r="K229" s="841" t="s">
        <v>6095</v>
      </c>
      <c r="M229" s="1357"/>
      <c r="Q229" s="1357"/>
      <c r="S229" s="1420"/>
      <c r="T229" s="1420"/>
      <c r="V229" s="1357">
        <v>411</v>
      </c>
    </row>
    <row r="230" spans="1:22" s="841" customFormat="1" ht="15" x14ac:dyDescent="0.25">
      <c r="A230" s="841" t="s">
        <v>167</v>
      </c>
      <c r="E230" s="1689" t="s">
        <v>4019</v>
      </c>
      <c r="F230" s="1689"/>
      <c r="G230" s="1689"/>
      <c r="H230" s="1689"/>
      <c r="K230" s="841" t="s">
        <v>6095</v>
      </c>
      <c r="M230" s="1357"/>
      <c r="Q230" s="1357"/>
      <c r="S230" s="1420"/>
      <c r="T230" s="1420"/>
      <c r="V230" s="1357">
        <v>390</v>
      </c>
    </row>
    <row r="231" spans="1:22" s="841" customFormat="1" ht="15" x14ac:dyDescent="0.25">
      <c r="A231" s="841" t="s">
        <v>167</v>
      </c>
      <c r="E231" s="2024" t="s">
        <v>5125</v>
      </c>
      <c r="F231" s="2024"/>
      <c r="G231" s="2024"/>
      <c r="H231" s="2024"/>
      <c r="K231" s="841" t="s">
        <v>6095</v>
      </c>
      <c r="M231" s="1357"/>
      <c r="Q231" s="1357"/>
      <c r="S231" s="1420"/>
      <c r="T231" s="1420"/>
      <c r="V231" s="1357">
        <v>658</v>
      </c>
    </row>
    <row r="232" spans="1:22" s="841" customFormat="1" ht="15" x14ac:dyDescent="0.25">
      <c r="A232" s="841" t="s">
        <v>167</v>
      </c>
      <c r="E232" s="1921" t="s">
        <v>3200</v>
      </c>
      <c r="F232" s="1921"/>
      <c r="G232" s="1921"/>
      <c r="H232" s="1921"/>
      <c r="K232" s="841" t="s">
        <v>6095</v>
      </c>
      <c r="M232" s="1357"/>
      <c r="Q232" s="1357"/>
      <c r="S232" s="1420"/>
      <c r="T232" s="1420"/>
      <c r="V232" s="1357">
        <v>275</v>
      </c>
    </row>
    <row r="233" spans="1:22" s="841" customFormat="1" ht="15" x14ac:dyDescent="0.25">
      <c r="A233" s="841" t="s">
        <v>167</v>
      </c>
      <c r="E233" s="1694" t="s">
        <v>3067</v>
      </c>
      <c r="F233" s="1922"/>
      <c r="G233" s="1922"/>
      <c r="H233" s="1922"/>
      <c r="K233" s="841" t="s">
        <v>3099</v>
      </c>
      <c r="M233" s="1357"/>
      <c r="Q233" s="1357"/>
      <c r="S233" s="1420"/>
      <c r="T233" s="1420"/>
      <c r="V233" s="1357">
        <v>46</v>
      </c>
    </row>
    <row r="234" spans="1:22" s="841" customFormat="1" ht="15" x14ac:dyDescent="0.25">
      <c r="A234" s="841" t="s">
        <v>167</v>
      </c>
      <c r="E234" s="1690" t="s">
        <v>11</v>
      </c>
      <c r="F234" s="1690"/>
      <c r="G234" s="1408" t="s">
        <v>23</v>
      </c>
      <c r="H234" s="391">
        <v>545.97</v>
      </c>
      <c r="K234" s="841" t="s">
        <v>6095</v>
      </c>
      <c r="L234" s="841" t="s">
        <v>442</v>
      </c>
      <c r="M234" s="1357"/>
      <c r="P234" s="841" t="s">
        <v>6096</v>
      </c>
      <c r="Q234" s="1357"/>
      <c r="S234" s="1420"/>
      <c r="T234" s="1420"/>
      <c r="V234" s="1357">
        <v>14</v>
      </c>
    </row>
    <row r="235" spans="1:22" s="841" customFormat="1" ht="15" x14ac:dyDescent="0.25">
      <c r="A235" s="841" t="s">
        <v>167</v>
      </c>
      <c r="E235" s="1690" t="s">
        <v>84</v>
      </c>
      <c r="F235" s="1690"/>
      <c r="G235" s="1408" t="s">
        <v>33</v>
      </c>
      <c r="H235" s="393">
        <v>1.7396</v>
      </c>
      <c r="K235" s="841" t="s">
        <v>6095</v>
      </c>
      <c r="L235" s="841" t="s">
        <v>442</v>
      </c>
      <c r="M235" s="1357"/>
      <c r="P235" s="841" t="s">
        <v>6097</v>
      </c>
      <c r="Q235" s="1357"/>
      <c r="S235" s="1420"/>
      <c r="T235" s="1420"/>
      <c r="V235" s="1357">
        <v>28</v>
      </c>
    </row>
    <row r="236" spans="1:22" s="841" customFormat="1" ht="15" x14ac:dyDescent="0.25">
      <c r="A236" s="841" t="s">
        <v>167</v>
      </c>
      <c r="E236" s="1690" t="s">
        <v>5122</v>
      </c>
      <c r="F236" s="1908"/>
      <c r="G236" s="1408" t="s">
        <v>24</v>
      </c>
      <c r="H236" s="393">
        <v>2.0999999999999999E-3</v>
      </c>
      <c r="K236" s="841" t="s">
        <v>6095</v>
      </c>
      <c r="L236" s="841" t="s">
        <v>443</v>
      </c>
      <c r="M236" s="1357"/>
      <c r="P236" s="841" t="s">
        <v>6104</v>
      </c>
      <c r="Q236" s="1357"/>
      <c r="S236" s="1420"/>
      <c r="T236" s="1420">
        <v>43585</v>
      </c>
      <c r="V236" s="1357">
        <v>139</v>
      </c>
    </row>
    <row r="237" spans="1:22" s="841" customFormat="1" ht="15" x14ac:dyDescent="0.25">
      <c r="A237" s="841" t="s">
        <v>167</v>
      </c>
      <c r="E237" s="1690" t="s">
        <v>5123</v>
      </c>
      <c r="F237" s="1908"/>
      <c r="G237" s="1408" t="s">
        <v>33</v>
      </c>
      <c r="H237" s="393">
        <v>-1.7816000000000001</v>
      </c>
      <c r="K237" s="841" t="s">
        <v>6095</v>
      </c>
      <c r="L237" s="841" t="s">
        <v>443</v>
      </c>
      <c r="M237" s="1357"/>
      <c r="P237" s="841" t="s">
        <v>6105</v>
      </c>
      <c r="Q237" s="1357"/>
      <c r="S237" s="1420"/>
      <c r="T237" s="1420">
        <v>43585</v>
      </c>
      <c r="V237" s="1357">
        <v>96</v>
      </c>
    </row>
    <row r="238" spans="1:22" s="841" customFormat="1" ht="15" x14ac:dyDescent="0.25">
      <c r="A238" s="841" t="s">
        <v>167</v>
      </c>
      <c r="E238" s="1690" t="s">
        <v>221</v>
      </c>
      <c r="F238" s="1690"/>
      <c r="G238" s="1408" t="s">
        <v>33</v>
      </c>
      <c r="H238" s="393">
        <v>2.3607</v>
      </c>
      <c r="K238" s="841" t="s">
        <v>6095</v>
      </c>
      <c r="L238" s="841" t="s">
        <v>444</v>
      </c>
      <c r="M238" s="1357"/>
      <c r="P238" s="841" t="s">
        <v>6099</v>
      </c>
      <c r="Q238" s="1357"/>
      <c r="S238" s="1420"/>
      <c r="T238" s="1420"/>
      <c r="V238" s="1357">
        <v>47</v>
      </c>
    </row>
    <row r="239" spans="1:22" s="841" customFormat="1" ht="15" x14ac:dyDescent="0.25">
      <c r="A239" s="841" t="s">
        <v>167</v>
      </c>
      <c r="E239" s="1690" t="s">
        <v>5126</v>
      </c>
      <c r="F239" s="1690"/>
      <c r="G239" s="1408" t="s">
        <v>33</v>
      </c>
      <c r="H239" s="393">
        <v>0.62770000000000004</v>
      </c>
      <c r="K239" s="841" t="s">
        <v>6095</v>
      </c>
      <c r="L239" s="841" t="s">
        <v>444</v>
      </c>
      <c r="M239" s="1357"/>
      <c r="P239" s="841" t="s">
        <v>6106</v>
      </c>
      <c r="Q239" s="1357"/>
      <c r="S239" s="1420"/>
      <c r="T239" s="1420"/>
      <c r="V239" s="1357">
        <v>87</v>
      </c>
    </row>
    <row r="240" spans="1:22" s="841" customFormat="1" ht="15" x14ac:dyDescent="0.25">
      <c r="A240" s="841" t="s">
        <v>167</v>
      </c>
      <c r="E240" s="1694" t="s">
        <v>3079</v>
      </c>
      <c r="F240" s="1906"/>
      <c r="G240" s="1408"/>
      <c r="H240" s="1408"/>
      <c r="K240" s="841" t="s">
        <v>3218</v>
      </c>
      <c r="M240" s="1357"/>
      <c r="Q240" s="1357"/>
      <c r="S240" s="1420"/>
      <c r="T240" s="1420"/>
      <c r="V240" s="1357">
        <v>48</v>
      </c>
    </row>
    <row r="241" spans="1:22" s="841" customFormat="1" ht="15" x14ac:dyDescent="0.25">
      <c r="A241" s="841" t="s">
        <v>167</v>
      </c>
      <c r="E241" s="1690" t="s">
        <v>2449</v>
      </c>
      <c r="F241" s="1690"/>
      <c r="G241" s="1408" t="s">
        <v>24</v>
      </c>
      <c r="H241" s="393">
        <v>3.2000000000000002E-3</v>
      </c>
      <c r="K241" s="841" t="s">
        <v>6095</v>
      </c>
      <c r="L241" s="841" t="s">
        <v>3046</v>
      </c>
      <c r="M241" s="1357"/>
      <c r="P241" s="841" t="s">
        <v>6101</v>
      </c>
      <c r="Q241" s="1357"/>
      <c r="S241" s="1420"/>
      <c r="T241" s="1420"/>
      <c r="V241" s="1357">
        <v>55</v>
      </c>
    </row>
    <row r="242" spans="1:22" s="841" customFormat="1" ht="15" x14ac:dyDescent="0.25">
      <c r="A242" s="841" t="s">
        <v>167</v>
      </c>
      <c r="E242" s="1690" t="s">
        <v>2450</v>
      </c>
      <c r="F242" s="1690"/>
      <c r="G242" s="1408" t="s">
        <v>24</v>
      </c>
      <c r="H242" s="393">
        <v>4.0000000000000002E-4</v>
      </c>
      <c r="K242" s="841" t="s">
        <v>6095</v>
      </c>
      <c r="L242" s="841" t="s">
        <v>3046</v>
      </c>
      <c r="M242" s="1357"/>
      <c r="P242" s="841" t="s">
        <v>6101</v>
      </c>
      <c r="Q242" s="1357"/>
      <c r="S242" s="1420"/>
      <c r="T242" s="1420"/>
      <c r="V242" s="1357">
        <v>65</v>
      </c>
    </row>
    <row r="243" spans="1:22" s="841" customFormat="1" ht="15" x14ac:dyDescent="0.25">
      <c r="A243" s="841" t="s">
        <v>167</v>
      </c>
      <c r="E243" s="1690" t="s">
        <v>439</v>
      </c>
      <c r="F243" s="1690"/>
      <c r="G243" s="1408" t="s">
        <v>24</v>
      </c>
      <c r="H243" s="393">
        <v>2.9999999999999997E-4</v>
      </c>
      <c r="K243" s="841" t="s">
        <v>6095</v>
      </c>
      <c r="L243" s="841" t="s">
        <v>3046</v>
      </c>
      <c r="M243" s="1357"/>
      <c r="P243" s="841" t="s">
        <v>6102</v>
      </c>
      <c r="Q243" s="1357"/>
      <c r="S243" s="1420"/>
      <c r="T243" s="1420"/>
      <c r="V243" s="1357">
        <v>57</v>
      </c>
    </row>
    <row r="244" spans="1:22" s="841" customFormat="1" ht="15" x14ac:dyDescent="0.25">
      <c r="A244" s="841" t="s">
        <v>167</v>
      </c>
      <c r="E244" s="1690" t="s">
        <v>32</v>
      </c>
      <c r="F244" s="1690"/>
      <c r="G244" s="1408" t="s">
        <v>23</v>
      </c>
      <c r="H244" s="391">
        <v>0.25</v>
      </c>
      <c r="K244" s="841" t="s">
        <v>6095</v>
      </c>
      <c r="L244" s="841" t="s">
        <v>3046</v>
      </c>
      <c r="M244" s="1357"/>
      <c r="P244" s="841" t="s">
        <v>6103</v>
      </c>
      <c r="Q244" s="1357"/>
      <c r="S244" s="1420"/>
      <c r="T244" s="1420"/>
      <c r="V244" s="1357">
        <v>63</v>
      </c>
    </row>
    <row r="245" spans="1:22" s="841" customFormat="1" x14ac:dyDescent="0.25">
      <c r="A245" s="841" t="s">
        <v>167</v>
      </c>
      <c r="E245" s="1909" t="s">
        <v>617</v>
      </c>
      <c r="F245" s="1909"/>
      <c r="G245" s="1909"/>
      <c r="H245" s="1909"/>
      <c r="K245" s="841" t="s">
        <v>3406</v>
      </c>
      <c r="M245" s="1357"/>
      <c r="Q245" s="1357"/>
      <c r="S245" s="1420"/>
      <c r="T245" s="1420"/>
      <c r="V245" s="1357">
        <v>47</v>
      </c>
    </row>
    <row r="246" spans="1:22" s="841" customFormat="1" ht="15" x14ac:dyDescent="0.25">
      <c r="A246" s="841" t="s">
        <v>167</v>
      </c>
      <c r="E246" s="1689" t="s">
        <v>4024</v>
      </c>
      <c r="F246" s="1689"/>
      <c r="G246" s="1689"/>
      <c r="H246" s="1689"/>
      <c r="K246" s="841" t="s">
        <v>3406</v>
      </c>
      <c r="M246" s="1357"/>
      <c r="Q246" s="1357"/>
      <c r="S246" s="1420"/>
      <c r="T246" s="1420"/>
      <c r="V246" s="1357">
        <v>686</v>
      </c>
    </row>
    <row r="247" spans="1:22" s="841" customFormat="1" ht="15" x14ac:dyDescent="0.25">
      <c r="A247" s="841" t="s">
        <v>167</v>
      </c>
      <c r="E247" s="1916" t="s">
        <v>3061</v>
      </c>
      <c r="F247" s="1926"/>
      <c r="G247" s="1926"/>
      <c r="H247" s="1926"/>
      <c r="K247" s="841" t="s">
        <v>3221</v>
      </c>
      <c r="M247" s="1357"/>
      <c r="Q247" s="1357"/>
      <c r="S247" s="1420"/>
      <c r="T247" s="1420"/>
      <c r="V247" s="1357">
        <v>11</v>
      </c>
    </row>
    <row r="248" spans="1:22" s="841" customFormat="1" ht="15" x14ac:dyDescent="0.25">
      <c r="A248" s="841" t="s">
        <v>167</v>
      </c>
      <c r="E248" s="1689" t="s">
        <v>3063</v>
      </c>
      <c r="F248" s="1689"/>
      <c r="G248" s="1689"/>
      <c r="H248" s="1689"/>
      <c r="K248" s="841" t="s">
        <v>3406</v>
      </c>
      <c r="M248" s="1357"/>
      <c r="Q248" s="1357"/>
      <c r="S248" s="1420"/>
      <c r="T248" s="1420"/>
      <c r="V248" s="1357">
        <v>280</v>
      </c>
    </row>
    <row r="249" spans="1:22" s="841" customFormat="1" ht="15" x14ac:dyDescent="0.25">
      <c r="A249" s="841" t="s">
        <v>167</v>
      </c>
      <c r="E249" s="1689" t="s">
        <v>3064</v>
      </c>
      <c r="F249" s="1689"/>
      <c r="G249" s="1689"/>
      <c r="H249" s="1689"/>
      <c r="K249" s="841" t="s">
        <v>3406</v>
      </c>
      <c r="M249" s="1357"/>
      <c r="Q249" s="1357"/>
      <c r="S249" s="1420"/>
      <c r="T249" s="1420"/>
      <c r="V249" s="1357">
        <v>411</v>
      </c>
    </row>
    <row r="250" spans="1:22" s="841" customFormat="1" ht="15" x14ac:dyDescent="0.25">
      <c r="A250" s="841" t="s">
        <v>167</v>
      </c>
      <c r="E250" s="1689" t="s">
        <v>4019</v>
      </c>
      <c r="F250" s="1689"/>
      <c r="G250" s="1689"/>
      <c r="H250" s="1689"/>
      <c r="K250" s="841" t="s">
        <v>3406</v>
      </c>
      <c r="M250" s="1357"/>
      <c r="Q250" s="1357"/>
      <c r="S250" s="1420"/>
      <c r="T250" s="1420"/>
      <c r="V250" s="1357">
        <v>390</v>
      </c>
    </row>
    <row r="251" spans="1:22" s="841" customFormat="1" ht="15" x14ac:dyDescent="0.25">
      <c r="A251" s="841" t="s">
        <v>167</v>
      </c>
      <c r="E251" s="1689" t="s">
        <v>3200</v>
      </c>
      <c r="F251" s="1689"/>
      <c r="G251" s="1689"/>
      <c r="H251" s="1689"/>
      <c r="K251" s="841" t="s">
        <v>3406</v>
      </c>
      <c r="M251" s="1357"/>
      <c r="Q251" s="1357"/>
      <c r="S251" s="1420"/>
      <c r="T251" s="1420"/>
      <c r="V251" s="1357">
        <v>275</v>
      </c>
    </row>
    <row r="252" spans="1:22" s="841" customFormat="1" ht="15" x14ac:dyDescent="0.25">
      <c r="A252" s="841" t="s">
        <v>167</v>
      </c>
      <c r="E252" s="1694" t="s">
        <v>3067</v>
      </c>
      <c r="F252" s="1922"/>
      <c r="G252" s="1922"/>
      <c r="H252" s="1922"/>
      <c r="K252" s="841" t="s">
        <v>3224</v>
      </c>
      <c r="M252" s="1357"/>
      <c r="Q252" s="1357"/>
      <c r="S252" s="1420"/>
      <c r="T252" s="1420"/>
      <c r="V252" s="1357">
        <v>46</v>
      </c>
    </row>
    <row r="253" spans="1:22" s="841" customFormat="1" ht="15" x14ac:dyDescent="0.25">
      <c r="A253" s="841" t="s">
        <v>167</v>
      </c>
      <c r="E253" s="1690" t="s">
        <v>12</v>
      </c>
      <c r="F253" s="1690"/>
      <c r="G253" s="1408" t="s">
        <v>23</v>
      </c>
      <c r="H253" s="391">
        <v>14.33</v>
      </c>
      <c r="K253" s="841" t="s">
        <v>3406</v>
      </c>
      <c r="L253" s="841" t="s">
        <v>442</v>
      </c>
      <c r="M253" s="1357"/>
      <c r="P253" s="841" t="s">
        <v>3408</v>
      </c>
      <c r="Q253" s="1357"/>
      <c r="S253" s="1420"/>
      <c r="T253" s="1420"/>
      <c r="V253" s="1357">
        <v>31</v>
      </c>
    </row>
    <row r="254" spans="1:22" s="841" customFormat="1" ht="15" x14ac:dyDescent="0.25">
      <c r="A254" s="841" t="s">
        <v>167</v>
      </c>
      <c r="E254" s="1690" t="s">
        <v>84</v>
      </c>
      <c r="F254" s="1690"/>
      <c r="G254" s="1408" t="s">
        <v>24</v>
      </c>
      <c r="H254" s="393">
        <v>4.3E-3</v>
      </c>
      <c r="K254" s="841" t="s">
        <v>3406</v>
      </c>
      <c r="L254" s="841" t="s">
        <v>442</v>
      </c>
      <c r="M254" s="1357"/>
      <c r="P254" s="841" t="s">
        <v>3409</v>
      </c>
      <c r="Q254" s="1357"/>
      <c r="S254" s="1420"/>
      <c r="T254" s="1420"/>
      <c r="V254" s="1357">
        <v>28</v>
      </c>
    </row>
    <row r="255" spans="1:22" s="841" customFormat="1" ht="15" x14ac:dyDescent="0.25">
      <c r="A255" s="841" t="s">
        <v>167</v>
      </c>
      <c r="E255" s="1690" t="s">
        <v>5122</v>
      </c>
      <c r="F255" s="1908"/>
      <c r="G255" s="1408" t="s">
        <v>24</v>
      </c>
      <c r="H255" s="393">
        <v>2.0999999999999999E-3</v>
      </c>
      <c r="K255" s="841" t="s">
        <v>3406</v>
      </c>
      <c r="L255" s="841" t="s">
        <v>443</v>
      </c>
      <c r="M255" s="1357"/>
      <c r="P255" s="841" t="s">
        <v>3550</v>
      </c>
      <c r="Q255" s="1357"/>
      <c r="S255" s="1420"/>
      <c r="T255" s="1420">
        <v>43585</v>
      </c>
      <c r="V255" s="1357">
        <v>139</v>
      </c>
    </row>
    <row r="256" spans="1:22" s="841" customFormat="1" ht="15" x14ac:dyDescent="0.25">
      <c r="A256" s="841" t="s">
        <v>167</v>
      </c>
      <c r="E256" s="1690" t="s">
        <v>5123</v>
      </c>
      <c r="F256" s="1908"/>
      <c r="G256" s="1408" t="s">
        <v>24</v>
      </c>
      <c r="H256" s="393">
        <v>-3.3E-3</v>
      </c>
      <c r="K256" s="841" t="s">
        <v>3406</v>
      </c>
      <c r="L256" s="841" t="s">
        <v>443</v>
      </c>
      <c r="M256" s="1357"/>
      <c r="P256" s="841" t="s">
        <v>3411</v>
      </c>
      <c r="Q256" s="1357"/>
      <c r="S256" s="1420"/>
      <c r="T256" s="1420">
        <v>43585</v>
      </c>
      <c r="V256" s="1357">
        <v>96</v>
      </c>
    </row>
    <row r="257" spans="1:22" s="841" customFormat="1" ht="15" x14ac:dyDescent="0.25">
      <c r="A257" s="841" t="s">
        <v>167</v>
      </c>
      <c r="E257" s="1690" t="s">
        <v>221</v>
      </c>
      <c r="F257" s="1690"/>
      <c r="G257" s="1408" t="s">
        <v>24</v>
      </c>
      <c r="H257" s="393">
        <v>5.7000000000000002E-3</v>
      </c>
      <c r="K257" s="841" t="s">
        <v>3406</v>
      </c>
      <c r="L257" s="841" t="s">
        <v>444</v>
      </c>
      <c r="M257" s="1357"/>
      <c r="P257" s="841" t="s">
        <v>3412</v>
      </c>
      <c r="Q257" s="1357"/>
      <c r="S257" s="1420"/>
      <c r="T257" s="1420"/>
      <c r="V257" s="1357">
        <v>47</v>
      </c>
    </row>
    <row r="258" spans="1:22" s="841" customFormat="1" ht="15" x14ac:dyDescent="0.25">
      <c r="A258" s="841" t="s">
        <v>167</v>
      </c>
      <c r="E258" s="1690" t="s">
        <v>217</v>
      </c>
      <c r="F258" s="1690"/>
      <c r="G258" s="1408" t="s">
        <v>24</v>
      </c>
      <c r="H258" s="393">
        <v>1.6999999999999999E-3</v>
      </c>
      <c r="K258" s="841" t="s">
        <v>3406</v>
      </c>
      <c r="L258" s="841" t="s">
        <v>444</v>
      </c>
      <c r="M258" s="1357"/>
      <c r="P258" s="841" t="s">
        <v>3413</v>
      </c>
      <c r="Q258" s="1357"/>
      <c r="S258" s="1420"/>
      <c r="T258" s="1420"/>
      <c r="V258" s="1357">
        <v>74</v>
      </c>
    </row>
    <row r="259" spans="1:22" s="841" customFormat="1" ht="15" x14ac:dyDescent="0.25">
      <c r="A259" s="841" t="s">
        <v>167</v>
      </c>
      <c r="E259" s="1694" t="s">
        <v>3079</v>
      </c>
      <c r="F259" s="1906"/>
      <c r="G259" s="1408"/>
      <c r="H259" s="1408"/>
      <c r="K259" s="841" t="s">
        <v>3225</v>
      </c>
      <c r="M259" s="1357"/>
      <c r="Q259" s="1357"/>
      <c r="S259" s="1420"/>
      <c r="T259" s="1420"/>
      <c r="V259" s="1357">
        <v>48</v>
      </c>
    </row>
    <row r="260" spans="1:22" s="841" customFormat="1" ht="15" x14ac:dyDescent="0.25">
      <c r="A260" s="841" t="s">
        <v>167</v>
      </c>
      <c r="E260" s="1690" t="s">
        <v>2449</v>
      </c>
      <c r="F260" s="1690"/>
      <c r="G260" s="1408" t="s">
        <v>24</v>
      </c>
      <c r="H260" s="393">
        <v>3.2000000000000002E-3</v>
      </c>
      <c r="K260" s="841" t="s">
        <v>3406</v>
      </c>
      <c r="L260" s="841" t="s">
        <v>3046</v>
      </c>
      <c r="M260" s="1357"/>
      <c r="P260" s="841" t="s">
        <v>3414</v>
      </c>
      <c r="Q260" s="1357"/>
      <c r="S260" s="1420"/>
      <c r="T260" s="1420"/>
      <c r="V260" s="1357">
        <v>55</v>
      </c>
    </row>
    <row r="261" spans="1:22" s="841" customFormat="1" ht="15" x14ac:dyDescent="0.25">
      <c r="A261" s="841" t="s">
        <v>167</v>
      </c>
      <c r="E261" s="1690" t="s">
        <v>2450</v>
      </c>
      <c r="F261" s="1690"/>
      <c r="G261" s="1408" t="s">
        <v>24</v>
      </c>
      <c r="H261" s="393">
        <v>4.0000000000000002E-4</v>
      </c>
      <c r="K261" s="841" t="s">
        <v>3406</v>
      </c>
      <c r="L261" s="841" t="s">
        <v>3046</v>
      </c>
      <c r="M261" s="1357"/>
      <c r="P261" s="841" t="s">
        <v>3414</v>
      </c>
      <c r="Q261" s="1357"/>
      <c r="S261" s="1420"/>
      <c r="T261" s="1420"/>
      <c r="V261" s="1357">
        <v>65</v>
      </c>
    </row>
    <row r="262" spans="1:22" s="841" customFormat="1" ht="15" x14ac:dyDescent="0.25">
      <c r="A262" s="841" t="s">
        <v>167</v>
      </c>
      <c r="E262" s="1690" t="s">
        <v>439</v>
      </c>
      <c r="F262" s="1690"/>
      <c r="G262" s="1408" t="s">
        <v>24</v>
      </c>
      <c r="H262" s="393">
        <v>2.9999999999999997E-4</v>
      </c>
      <c r="K262" s="841" t="s">
        <v>3406</v>
      </c>
      <c r="L262" s="841" t="s">
        <v>3046</v>
      </c>
      <c r="M262" s="1357"/>
      <c r="P262" s="841" t="s">
        <v>3415</v>
      </c>
      <c r="Q262" s="1357"/>
      <c r="S262" s="1420"/>
      <c r="T262" s="1420"/>
      <c r="V262" s="1357">
        <v>57</v>
      </c>
    </row>
    <row r="263" spans="1:22" s="841" customFormat="1" ht="15" x14ac:dyDescent="0.25">
      <c r="A263" s="841" t="s">
        <v>167</v>
      </c>
      <c r="E263" s="1690" t="s">
        <v>32</v>
      </c>
      <c r="F263" s="1690"/>
      <c r="G263" s="1408" t="s">
        <v>23</v>
      </c>
      <c r="H263" s="391">
        <v>0.25</v>
      </c>
      <c r="K263" s="841" t="s">
        <v>3406</v>
      </c>
      <c r="L263" s="841" t="s">
        <v>3046</v>
      </c>
      <c r="M263" s="1357"/>
      <c r="P263" s="841" t="s">
        <v>3416</v>
      </c>
      <c r="Q263" s="1357"/>
      <c r="S263" s="1420"/>
      <c r="T263" s="1420"/>
      <c r="V263" s="1357">
        <v>63</v>
      </c>
    </row>
    <row r="264" spans="1:22" s="841" customFormat="1" x14ac:dyDescent="0.25">
      <c r="A264" s="841" t="s">
        <v>167</v>
      </c>
      <c r="E264" s="1909" t="s">
        <v>615</v>
      </c>
      <c r="F264" s="1909"/>
      <c r="G264" s="1909"/>
      <c r="H264" s="1909"/>
      <c r="K264" s="841" t="s">
        <v>3417</v>
      </c>
      <c r="M264" s="1357"/>
      <c r="Q264" s="1357"/>
      <c r="S264" s="1420"/>
      <c r="T264" s="1420"/>
      <c r="V264" s="1357">
        <v>38</v>
      </c>
    </row>
    <row r="265" spans="1:22" s="841" customFormat="1" ht="15" x14ac:dyDescent="0.25">
      <c r="A265" s="841" t="s">
        <v>167</v>
      </c>
      <c r="E265" s="1689" t="s">
        <v>4025</v>
      </c>
      <c r="F265" s="1689"/>
      <c r="G265" s="1689"/>
      <c r="H265" s="1689"/>
      <c r="K265" s="841" t="s">
        <v>3417</v>
      </c>
      <c r="M265" s="1357"/>
      <c r="Q265" s="1357"/>
      <c r="S265" s="1420"/>
      <c r="T265" s="1420"/>
      <c r="V265" s="1357">
        <v>593</v>
      </c>
    </row>
    <row r="266" spans="1:22" s="841" customFormat="1" ht="15" x14ac:dyDescent="0.25">
      <c r="A266" s="841" t="s">
        <v>167</v>
      </c>
      <c r="E266" s="1916" t="s">
        <v>3061</v>
      </c>
      <c r="F266" s="1926"/>
      <c r="G266" s="1926"/>
      <c r="H266" s="1926"/>
      <c r="K266" s="841" t="s">
        <v>3107</v>
      </c>
      <c r="M266" s="1357"/>
      <c r="Q266" s="1357"/>
      <c r="S266" s="1420"/>
      <c r="T266" s="1420"/>
      <c r="V266" s="1357">
        <v>11</v>
      </c>
    </row>
    <row r="267" spans="1:22" s="841" customFormat="1" ht="15" x14ac:dyDescent="0.25">
      <c r="A267" s="841" t="s">
        <v>167</v>
      </c>
      <c r="E267" s="1689" t="s">
        <v>3063</v>
      </c>
      <c r="F267" s="1689"/>
      <c r="G267" s="1689"/>
      <c r="H267" s="1689"/>
      <c r="K267" s="841" t="s">
        <v>3417</v>
      </c>
      <c r="M267" s="1357"/>
      <c r="Q267" s="1357"/>
      <c r="S267" s="1420"/>
      <c r="T267" s="1420"/>
      <c r="V267" s="1357">
        <v>280</v>
      </c>
    </row>
    <row r="268" spans="1:22" s="841" customFormat="1" ht="15" x14ac:dyDescent="0.25">
      <c r="A268" s="841" t="s">
        <v>167</v>
      </c>
      <c r="E268" s="1689" t="s">
        <v>3064</v>
      </c>
      <c r="F268" s="1689"/>
      <c r="G268" s="1689"/>
      <c r="H268" s="1689"/>
      <c r="K268" s="841" t="s">
        <v>3417</v>
      </c>
      <c r="M268" s="1357"/>
      <c r="Q268" s="1357"/>
      <c r="S268" s="1420"/>
      <c r="T268" s="1420"/>
      <c r="V268" s="1357">
        <v>411</v>
      </c>
    </row>
    <row r="269" spans="1:22" s="841" customFormat="1" ht="15" x14ac:dyDescent="0.25">
      <c r="A269" s="841" t="s">
        <v>167</v>
      </c>
      <c r="E269" s="1689" t="s">
        <v>4019</v>
      </c>
      <c r="F269" s="1689"/>
      <c r="G269" s="1689"/>
      <c r="H269" s="1689"/>
      <c r="K269" s="841" t="s">
        <v>3417</v>
      </c>
      <c r="M269" s="1357"/>
      <c r="Q269" s="1357"/>
      <c r="S269" s="1420"/>
      <c r="T269" s="1420"/>
      <c r="V269" s="1357">
        <v>390</v>
      </c>
    </row>
    <row r="270" spans="1:22" s="841" customFormat="1" ht="15" x14ac:dyDescent="0.25">
      <c r="A270" s="841" t="s">
        <v>167</v>
      </c>
      <c r="E270" s="1689" t="s">
        <v>3200</v>
      </c>
      <c r="F270" s="1689"/>
      <c r="G270" s="1689"/>
      <c r="H270" s="1689"/>
      <c r="K270" s="841" t="s">
        <v>3417</v>
      </c>
      <c r="M270" s="1357"/>
      <c r="Q270" s="1357"/>
      <c r="S270" s="1420"/>
      <c r="T270" s="1420"/>
      <c r="V270" s="1357">
        <v>275</v>
      </c>
    </row>
    <row r="271" spans="1:22" s="841" customFormat="1" ht="15" x14ac:dyDescent="0.25">
      <c r="A271" s="841" t="s">
        <v>167</v>
      </c>
      <c r="E271" s="1694" t="s">
        <v>3067</v>
      </c>
      <c r="F271" s="1922"/>
      <c r="G271" s="1922"/>
      <c r="H271" s="1922"/>
      <c r="K271" s="841" t="s">
        <v>3108</v>
      </c>
      <c r="M271" s="1357"/>
      <c r="Q271" s="1357"/>
      <c r="S271" s="1420"/>
      <c r="T271" s="1420"/>
      <c r="V271" s="1357">
        <v>46</v>
      </c>
    </row>
    <row r="272" spans="1:22" s="841" customFormat="1" ht="15" x14ac:dyDescent="0.25">
      <c r="A272" s="841" t="s">
        <v>167</v>
      </c>
      <c r="E272" s="1690" t="s">
        <v>12</v>
      </c>
      <c r="F272" s="1690"/>
      <c r="G272" s="1408" t="s">
        <v>23</v>
      </c>
      <c r="H272" s="391">
        <v>5.26</v>
      </c>
      <c r="K272" s="841" t="s">
        <v>3417</v>
      </c>
      <c r="L272" s="841" t="s">
        <v>442</v>
      </c>
      <c r="M272" s="1357"/>
      <c r="P272" s="841" t="s">
        <v>3419</v>
      </c>
      <c r="Q272" s="1357"/>
      <c r="S272" s="1420"/>
      <c r="T272" s="1420"/>
      <c r="V272" s="1357">
        <v>31</v>
      </c>
    </row>
    <row r="273" spans="1:22" s="841" customFormat="1" ht="15" x14ac:dyDescent="0.25">
      <c r="A273" s="841" t="s">
        <v>167</v>
      </c>
      <c r="E273" s="1690" t="s">
        <v>84</v>
      </c>
      <c r="F273" s="1690"/>
      <c r="G273" s="1408" t="s">
        <v>33</v>
      </c>
      <c r="H273" s="393">
        <v>3.4628000000000001</v>
      </c>
      <c r="K273" s="841" t="s">
        <v>3417</v>
      </c>
      <c r="L273" s="841" t="s">
        <v>442</v>
      </c>
      <c r="M273" s="1357"/>
      <c r="P273" s="841" t="s">
        <v>3420</v>
      </c>
      <c r="Q273" s="1357"/>
      <c r="S273" s="1420"/>
      <c r="T273" s="1420"/>
      <c r="V273" s="1357">
        <v>28</v>
      </c>
    </row>
    <row r="274" spans="1:22" s="841" customFormat="1" ht="15" x14ac:dyDescent="0.25">
      <c r="A274" s="841" t="s">
        <v>167</v>
      </c>
      <c r="E274" s="1690" t="s">
        <v>5122</v>
      </c>
      <c r="F274" s="1908"/>
      <c r="G274" s="1408" t="s">
        <v>24</v>
      </c>
      <c r="H274" s="393">
        <v>2.0999999999999999E-3</v>
      </c>
      <c r="K274" s="841" t="s">
        <v>3417</v>
      </c>
      <c r="L274" s="841" t="s">
        <v>443</v>
      </c>
      <c r="M274" s="1357"/>
      <c r="P274" s="841" t="s">
        <v>3421</v>
      </c>
      <c r="Q274" s="1357"/>
      <c r="S274" s="1420"/>
      <c r="T274" s="1420">
        <v>43585</v>
      </c>
      <c r="V274" s="1357">
        <v>139</v>
      </c>
    </row>
    <row r="275" spans="1:22" s="841" customFormat="1" ht="15" x14ac:dyDescent="0.25">
      <c r="A275" s="841" t="s">
        <v>167</v>
      </c>
      <c r="E275" s="1690" t="s">
        <v>5123</v>
      </c>
      <c r="F275" s="1908"/>
      <c r="G275" s="1408" t="s">
        <v>33</v>
      </c>
      <c r="H275" s="393">
        <v>-3.0687000000000002</v>
      </c>
      <c r="K275" s="841" t="s">
        <v>3417</v>
      </c>
      <c r="L275" s="841" t="s">
        <v>443</v>
      </c>
      <c r="M275" s="1357"/>
      <c r="P275" s="841" t="s">
        <v>3423</v>
      </c>
      <c r="Q275" s="1357"/>
      <c r="S275" s="1420"/>
      <c r="T275" s="1420">
        <v>43585</v>
      </c>
      <c r="V275" s="1357">
        <v>96</v>
      </c>
    </row>
    <row r="276" spans="1:22" s="841" customFormat="1" ht="15" x14ac:dyDescent="0.25">
      <c r="A276" s="841" t="s">
        <v>167</v>
      </c>
      <c r="E276" s="1690" t="s">
        <v>221</v>
      </c>
      <c r="F276" s="1690"/>
      <c r="G276" s="1408" t="s">
        <v>33</v>
      </c>
      <c r="H276" s="393">
        <v>1.7801</v>
      </c>
      <c r="K276" s="841" t="s">
        <v>3417</v>
      </c>
      <c r="L276" s="841" t="s">
        <v>444</v>
      </c>
      <c r="M276" s="1357"/>
      <c r="P276" s="841" t="s">
        <v>3424</v>
      </c>
      <c r="Q276" s="1357"/>
      <c r="S276" s="1420"/>
      <c r="T276" s="1420"/>
      <c r="V276" s="1357">
        <v>47</v>
      </c>
    </row>
    <row r="277" spans="1:22" s="841" customFormat="1" ht="15" x14ac:dyDescent="0.25">
      <c r="A277" s="841" t="s">
        <v>167</v>
      </c>
      <c r="E277" s="1690" t="s">
        <v>217</v>
      </c>
      <c r="F277" s="1690"/>
      <c r="G277" s="1408" t="s">
        <v>33</v>
      </c>
      <c r="H277" s="393">
        <v>0.48530000000000001</v>
      </c>
      <c r="K277" s="841" t="s">
        <v>3417</v>
      </c>
      <c r="L277" s="841" t="s">
        <v>444</v>
      </c>
      <c r="M277" s="1357"/>
      <c r="P277" s="841" t="s">
        <v>3553</v>
      </c>
      <c r="Q277" s="1357"/>
      <c r="S277" s="1420"/>
      <c r="T277" s="1420"/>
      <c r="V277" s="1357">
        <v>74</v>
      </c>
    </row>
    <row r="278" spans="1:22" s="841" customFormat="1" ht="15" x14ac:dyDescent="0.25">
      <c r="A278" s="841" t="s">
        <v>167</v>
      </c>
      <c r="E278" s="1694" t="s">
        <v>3079</v>
      </c>
      <c r="F278" s="1906"/>
      <c r="G278" s="1408"/>
      <c r="H278" s="1408"/>
      <c r="K278" s="841" t="s">
        <v>3111</v>
      </c>
      <c r="M278" s="1357"/>
      <c r="Q278" s="1357"/>
      <c r="S278" s="1420"/>
      <c r="T278" s="1420"/>
      <c r="V278" s="1357">
        <v>48</v>
      </c>
    </row>
    <row r="279" spans="1:22" s="841" customFormat="1" ht="15" x14ac:dyDescent="0.25">
      <c r="A279" s="841" t="s">
        <v>167</v>
      </c>
      <c r="E279" s="1690" t="s">
        <v>2449</v>
      </c>
      <c r="F279" s="1690"/>
      <c r="G279" s="1408" t="s">
        <v>24</v>
      </c>
      <c r="H279" s="393">
        <v>3.2000000000000002E-3</v>
      </c>
      <c r="K279" s="841" t="s">
        <v>3417</v>
      </c>
      <c r="L279" s="841" t="s">
        <v>3046</v>
      </c>
      <c r="M279" s="1357"/>
      <c r="P279" s="841" t="s">
        <v>3426</v>
      </c>
      <c r="Q279" s="1357"/>
      <c r="S279" s="1420"/>
      <c r="T279" s="1420"/>
      <c r="V279" s="1357">
        <v>55</v>
      </c>
    </row>
    <row r="280" spans="1:22" s="841" customFormat="1" ht="15" x14ac:dyDescent="0.25">
      <c r="A280" s="841" t="s">
        <v>167</v>
      </c>
      <c r="E280" s="1690" t="s">
        <v>2450</v>
      </c>
      <c r="F280" s="1690"/>
      <c r="G280" s="1408" t="s">
        <v>24</v>
      </c>
      <c r="H280" s="393">
        <v>4.0000000000000002E-4</v>
      </c>
      <c r="K280" s="841" t="s">
        <v>3417</v>
      </c>
      <c r="L280" s="841" t="s">
        <v>3046</v>
      </c>
      <c r="M280" s="1357"/>
      <c r="P280" s="841" t="s">
        <v>3426</v>
      </c>
      <c r="Q280" s="1357"/>
      <c r="S280" s="1420"/>
      <c r="T280" s="1420"/>
      <c r="V280" s="1357">
        <v>65</v>
      </c>
    </row>
    <row r="281" spans="1:22" s="841" customFormat="1" ht="15" x14ac:dyDescent="0.25">
      <c r="A281" s="841" t="s">
        <v>167</v>
      </c>
      <c r="E281" s="1690" t="s">
        <v>439</v>
      </c>
      <c r="F281" s="1690"/>
      <c r="G281" s="1408" t="s">
        <v>24</v>
      </c>
      <c r="H281" s="393">
        <v>2.9999999999999997E-4</v>
      </c>
      <c r="K281" s="841" t="s">
        <v>3417</v>
      </c>
      <c r="L281" s="841" t="s">
        <v>3046</v>
      </c>
      <c r="M281" s="1357"/>
      <c r="P281" s="841" t="s">
        <v>3427</v>
      </c>
      <c r="Q281" s="1357"/>
      <c r="S281" s="1420"/>
      <c r="T281" s="1420"/>
      <c r="V281" s="1357">
        <v>57</v>
      </c>
    </row>
    <row r="282" spans="1:22" s="841" customFormat="1" ht="15" x14ac:dyDescent="0.25">
      <c r="A282" s="841" t="s">
        <v>167</v>
      </c>
      <c r="E282" s="1690" t="s">
        <v>32</v>
      </c>
      <c r="F282" s="1690"/>
      <c r="G282" s="1408" t="s">
        <v>23</v>
      </c>
      <c r="H282" s="391">
        <v>0.25</v>
      </c>
      <c r="K282" s="841" t="s">
        <v>3417</v>
      </c>
      <c r="L282" s="841" t="s">
        <v>3046</v>
      </c>
      <c r="M282" s="1357"/>
      <c r="P282" s="841" t="s">
        <v>3428</v>
      </c>
      <c r="Q282" s="1357"/>
      <c r="S282" s="1420"/>
      <c r="T282" s="1420"/>
      <c r="V282" s="1357">
        <v>63</v>
      </c>
    </row>
    <row r="283" spans="1:22" s="841" customFormat="1" x14ac:dyDescent="0.25">
      <c r="A283" s="841" t="s">
        <v>167</v>
      </c>
      <c r="E283" s="1909" t="s">
        <v>618</v>
      </c>
      <c r="F283" s="1909"/>
      <c r="G283" s="1909"/>
      <c r="H283" s="1909"/>
      <c r="K283" s="841" t="s">
        <v>3371</v>
      </c>
      <c r="M283" s="1357"/>
      <c r="Q283" s="1357"/>
      <c r="S283" s="1420"/>
      <c r="T283" s="1420"/>
      <c r="V283" s="1357">
        <v>31</v>
      </c>
    </row>
    <row r="284" spans="1:22" s="841" customFormat="1" ht="15" x14ac:dyDescent="0.25">
      <c r="A284" s="841" t="s">
        <v>167</v>
      </c>
      <c r="E284" s="1689" t="s">
        <v>4026</v>
      </c>
      <c r="F284" s="1689"/>
      <c r="G284" s="1689"/>
      <c r="H284" s="1689"/>
      <c r="K284" s="841" t="s">
        <v>3371</v>
      </c>
      <c r="M284" s="1357"/>
      <c r="Q284" s="1357"/>
      <c r="S284" s="1420"/>
      <c r="T284" s="1420"/>
      <c r="V284" s="1357">
        <v>293</v>
      </c>
    </row>
    <row r="285" spans="1:22" s="841" customFormat="1" ht="15" x14ac:dyDescent="0.25">
      <c r="A285" s="841" t="s">
        <v>167</v>
      </c>
      <c r="E285" s="1916" t="s">
        <v>3061</v>
      </c>
      <c r="F285" s="1926"/>
      <c r="G285" s="1926"/>
      <c r="H285" s="1926"/>
      <c r="K285" s="841" t="s">
        <v>3114</v>
      </c>
      <c r="M285" s="1357"/>
      <c r="Q285" s="1357"/>
      <c r="S285" s="1420"/>
      <c r="T285" s="1420"/>
      <c r="V285" s="1357">
        <v>11</v>
      </c>
    </row>
    <row r="286" spans="1:22" s="841" customFormat="1" ht="15" x14ac:dyDescent="0.25">
      <c r="A286" s="841" t="s">
        <v>167</v>
      </c>
      <c r="E286" s="1689" t="s">
        <v>3063</v>
      </c>
      <c r="F286" s="1689"/>
      <c r="G286" s="1689"/>
      <c r="H286" s="1689"/>
      <c r="K286" s="841" t="s">
        <v>3371</v>
      </c>
      <c r="M286" s="1357"/>
      <c r="Q286" s="1357"/>
      <c r="S286" s="1420"/>
      <c r="T286" s="1420"/>
      <c r="V286" s="1357">
        <v>280</v>
      </c>
    </row>
    <row r="287" spans="1:22" s="841" customFormat="1" ht="15" x14ac:dyDescent="0.25">
      <c r="A287" s="841" t="s">
        <v>167</v>
      </c>
      <c r="E287" s="1689" t="s">
        <v>3064</v>
      </c>
      <c r="F287" s="1689"/>
      <c r="G287" s="1689"/>
      <c r="H287" s="1689"/>
      <c r="K287" s="841" t="s">
        <v>3371</v>
      </c>
      <c r="M287" s="1357"/>
      <c r="Q287" s="1357"/>
      <c r="S287" s="1420"/>
      <c r="T287" s="1420"/>
      <c r="V287" s="1357">
        <v>411</v>
      </c>
    </row>
    <row r="288" spans="1:22" s="841" customFormat="1" ht="15" x14ac:dyDescent="0.25">
      <c r="A288" s="841" t="s">
        <v>167</v>
      </c>
      <c r="E288" s="1689" t="s">
        <v>4027</v>
      </c>
      <c r="F288" s="1689"/>
      <c r="G288" s="1689"/>
      <c r="H288" s="1689"/>
      <c r="K288" s="841" t="s">
        <v>3371</v>
      </c>
      <c r="M288" s="1357"/>
      <c r="Q288" s="1357"/>
      <c r="S288" s="1420"/>
      <c r="T288" s="1420"/>
      <c r="V288" s="1357">
        <v>221</v>
      </c>
    </row>
    <row r="289" spans="1:22" s="841" customFormat="1" ht="15" x14ac:dyDescent="0.25">
      <c r="A289" s="841" t="s">
        <v>167</v>
      </c>
      <c r="E289" s="1689" t="s">
        <v>3200</v>
      </c>
      <c r="F289" s="1689"/>
      <c r="G289" s="1689"/>
      <c r="H289" s="1689"/>
      <c r="K289" s="841" t="s">
        <v>3371</v>
      </c>
      <c r="M289" s="1357"/>
      <c r="Q289" s="1357"/>
      <c r="S289" s="1420"/>
      <c r="T289" s="1420"/>
      <c r="V289" s="1357">
        <v>275</v>
      </c>
    </row>
    <row r="290" spans="1:22" s="841" customFormat="1" ht="15" x14ac:dyDescent="0.25">
      <c r="A290" s="841" t="s">
        <v>167</v>
      </c>
      <c r="E290" s="1694" t="s">
        <v>3067</v>
      </c>
      <c r="F290" s="1922"/>
      <c r="G290" s="1922"/>
      <c r="H290" s="1922"/>
      <c r="K290" s="841" t="s">
        <v>3115</v>
      </c>
      <c r="M290" s="1357"/>
      <c r="Q290" s="1357"/>
      <c r="S290" s="1420"/>
      <c r="T290" s="1420"/>
      <c r="V290" s="1357">
        <v>46</v>
      </c>
    </row>
    <row r="291" spans="1:22" s="841" customFormat="1" ht="15" x14ac:dyDescent="0.25">
      <c r="A291" s="841" t="s">
        <v>167</v>
      </c>
      <c r="E291" s="1690" t="s">
        <v>11</v>
      </c>
      <c r="F291" s="1690"/>
      <c r="G291" s="1408" t="s">
        <v>23</v>
      </c>
      <c r="H291" s="391">
        <v>5.4</v>
      </c>
      <c r="K291" s="841" t="s">
        <v>3371</v>
      </c>
      <c r="L291" s="841" t="s">
        <v>442</v>
      </c>
      <c r="M291" s="1357"/>
      <c r="P291" s="841" t="s">
        <v>3373</v>
      </c>
      <c r="Q291" s="1357"/>
      <c r="S291" s="1420"/>
      <c r="T291" s="1420"/>
      <c r="V291" s="1357">
        <v>14</v>
      </c>
    </row>
    <row r="292" spans="1:22" s="841" customFormat="1" ht="18.75" x14ac:dyDescent="0.3">
      <c r="A292" s="841" t="s">
        <v>167</v>
      </c>
      <c r="E292" s="1374" t="s">
        <v>85</v>
      </c>
      <c r="F292" s="657"/>
      <c r="G292" s="657"/>
      <c r="H292" s="658"/>
      <c r="K292" s="841" t="s">
        <v>4028</v>
      </c>
      <c r="M292" s="1357"/>
      <c r="Q292" s="1357"/>
      <c r="S292" s="1420"/>
      <c r="T292" s="1420"/>
      <c r="V292" s="1357">
        <v>10</v>
      </c>
    </row>
    <row r="293" spans="1:22" s="841" customFormat="1" ht="15" x14ac:dyDescent="0.25">
      <c r="A293" s="841" t="s">
        <v>167</v>
      </c>
      <c r="E293" s="1690" t="s">
        <v>3133</v>
      </c>
      <c r="F293" s="1690"/>
      <c r="G293" s="1408" t="s">
        <v>33</v>
      </c>
      <c r="H293" s="393">
        <v>-0.6</v>
      </c>
      <c r="M293" s="1357"/>
      <c r="Q293" s="1357"/>
      <c r="S293" s="1420"/>
      <c r="T293" s="1420"/>
      <c r="V293" s="1357">
        <v>68</v>
      </c>
    </row>
    <row r="294" spans="1:22" s="841" customFormat="1" ht="15" x14ac:dyDescent="0.25">
      <c r="A294" s="841" t="s">
        <v>167</v>
      </c>
      <c r="E294" s="1690" t="s">
        <v>3134</v>
      </c>
      <c r="F294" s="1690"/>
      <c r="G294" s="1408" t="s">
        <v>86</v>
      </c>
      <c r="H294" s="391">
        <v>-1</v>
      </c>
      <c r="M294" s="1357"/>
      <c r="Q294" s="1357"/>
      <c r="S294" s="1420"/>
      <c r="T294" s="1420"/>
      <c r="V294" s="1357">
        <v>87</v>
      </c>
    </row>
    <row r="295" spans="1:22" s="841" customFormat="1" ht="36.75" x14ac:dyDescent="0.3">
      <c r="A295" s="841" t="s">
        <v>167</v>
      </c>
      <c r="E295" s="1374" t="s">
        <v>87</v>
      </c>
      <c r="F295" s="657"/>
      <c r="G295" s="657"/>
      <c r="H295" s="658"/>
      <c r="K295" s="841" t="s">
        <v>4029</v>
      </c>
      <c r="M295" s="1357"/>
      <c r="Q295" s="1357"/>
      <c r="S295" s="1420"/>
      <c r="T295" s="1420"/>
      <c r="V295" s="1357">
        <v>24</v>
      </c>
    </row>
    <row r="296" spans="1:22" s="841" customFormat="1" ht="15" x14ac:dyDescent="0.25">
      <c r="A296" s="841" t="s">
        <v>167</v>
      </c>
      <c r="E296" s="1689" t="s">
        <v>3063</v>
      </c>
      <c r="F296" s="1689"/>
      <c r="G296" s="1689"/>
      <c r="H296" s="1689"/>
      <c r="M296" s="1357"/>
      <c r="Q296" s="1357"/>
      <c r="S296" s="1420"/>
      <c r="T296" s="1420"/>
      <c r="V296" s="1357">
        <v>280</v>
      </c>
    </row>
    <row r="297" spans="1:22" s="841" customFormat="1" ht="15" x14ac:dyDescent="0.25">
      <c r="A297" s="841" t="s">
        <v>167</v>
      </c>
      <c r="E297" s="1689" t="s">
        <v>3136</v>
      </c>
      <c r="F297" s="1689"/>
      <c r="G297" s="1689"/>
      <c r="H297" s="1689"/>
      <c r="M297" s="1357"/>
      <c r="Q297" s="1357"/>
      <c r="S297" s="1420"/>
      <c r="T297" s="1420"/>
      <c r="V297" s="1357">
        <v>353</v>
      </c>
    </row>
    <row r="298" spans="1:22" s="841" customFormat="1" ht="15" x14ac:dyDescent="0.25">
      <c r="A298" s="841" t="s">
        <v>167</v>
      </c>
      <c r="E298" s="1689" t="s">
        <v>3200</v>
      </c>
      <c r="F298" s="1689"/>
      <c r="G298" s="1689"/>
      <c r="H298" s="1689"/>
      <c r="M298" s="1357"/>
      <c r="Q298" s="1357"/>
      <c r="S298" s="1420"/>
      <c r="T298" s="1420"/>
      <c r="V298" s="1357">
        <v>275</v>
      </c>
    </row>
    <row r="299" spans="1:22" s="841" customFormat="1" ht="15" x14ac:dyDescent="0.25">
      <c r="A299" s="841" t="s">
        <v>167</v>
      </c>
      <c r="E299" s="1370" t="s">
        <v>3137</v>
      </c>
      <c r="F299" s="3"/>
      <c r="G299" s="3"/>
      <c r="H299" s="398"/>
      <c r="K299" s="841" t="s">
        <v>4030</v>
      </c>
      <c r="M299" s="1357"/>
      <c r="Q299" s="1357"/>
      <c r="S299" s="1420"/>
      <c r="T299" s="1420"/>
      <c r="V299" s="1357">
        <v>23</v>
      </c>
    </row>
    <row r="300" spans="1:22" s="841" customFormat="1" ht="15" x14ac:dyDescent="0.25">
      <c r="A300" s="841" t="s">
        <v>167</v>
      </c>
      <c r="E300" s="1688" t="s">
        <v>3355</v>
      </c>
      <c r="F300" s="1688"/>
      <c r="G300" s="1408" t="s">
        <v>23</v>
      </c>
      <c r="H300" s="391">
        <v>15</v>
      </c>
      <c r="M300" s="1357"/>
      <c r="Q300" s="1357"/>
      <c r="S300" s="1420"/>
      <c r="T300" s="1420"/>
      <c r="V300" s="1357">
        <v>19</v>
      </c>
    </row>
    <row r="301" spans="1:22" s="841" customFormat="1" ht="15" x14ac:dyDescent="0.25">
      <c r="A301" s="841" t="s">
        <v>167</v>
      </c>
      <c r="E301" s="1688" t="s">
        <v>3140</v>
      </c>
      <c r="F301" s="1688"/>
      <c r="G301" s="1408" t="s">
        <v>23</v>
      </c>
      <c r="H301" s="391">
        <v>15</v>
      </c>
      <c r="M301" s="1357"/>
      <c r="Q301" s="1357"/>
      <c r="S301" s="1420"/>
      <c r="T301" s="1420"/>
      <c r="V301" s="1357">
        <v>20</v>
      </c>
    </row>
    <row r="302" spans="1:22" s="841" customFormat="1" ht="15" x14ac:dyDescent="0.25">
      <c r="A302" s="841" t="s">
        <v>167</v>
      </c>
      <c r="E302" s="1688" t="s">
        <v>3142</v>
      </c>
      <c r="F302" s="1688"/>
      <c r="G302" s="1408" t="s">
        <v>23</v>
      </c>
      <c r="H302" s="391">
        <v>15</v>
      </c>
      <c r="M302" s="1357"/>
      <c r="Q302" s="1357"/>
      <c r="S302" s="1420"/>
      <c r="T302" s="1420"/>
      <c r="V302" s="1357">
        <v>39</v>
      </c>
    </row>
    <row r="303" spans="1:22" s="841" customFormat="1" ht="15" x14ac:dyDescent="0.25">
      <c r="A303" s="841" t="s">
        <v>167</v>
      </c>
      <c r="E303" s="1688" t="s">
        <v>3143</v>
      </c>
      <c r="F303" s="1688"/>
      <c r="G303" s="1408" t="s">
        <v>23</v>
      </c>
      <c r="H303" s="391">
        <v>15</v>
      </c>
      <c r="M303" s="1357"/>
      <c r="Q303" s="1357"/>
      <c r="S303" s="1420"/>
      <c r="T303" s="1420"/>
      <c r="V303" s="1357">
        <v>37</v>
      </c>
    </row>
    <row r="304" spans="1:22" s="841" customFormat="1" ht="15" x14ac:dyDescent="0.25">
      <c r="A304" s="841" t="s">
        <v>167</v>
      </c>
      <c r="E304" s="1688" t="s">
        <v>3144</v>
      </c>
      <c r="F304" s="1688"/>
      <c r="G304" s="1408" t="s">
        <v>23</v>
      </c>
      <c r="H304" s="391">
        <v>15</v>
      </c>
      <c r="M304" s="1357"/>
      <c r="Q304" s="1357"/>
      <c r="S304" s="1420"/>
      <c r="T304" s="1420"/>
      <c r="V304" s="1357">
        <v>15</v>
      </c>
    </row>
    <row r="305" spans="1:22" s="841" customFormat="1" ht="15" x14ac:dyDescent="0.25">
      <c r="A305" s="841" t="s">
        <v>167</v>
      </c>
      <c r="E305" s="1688" t="s">
        <v>3145</v>
      </c>
      <c r="F305" s="1688"/>
      <c r="G305" s="1408" t="s">
        <v>23</v>
      </c>
      <c r="H305" s="391">
        <v>15</v>
      </c>
      <c r="M305" s="1357"/>
      <c r="Q305" s="1357"/>
      <c r="S305" s="1420"/>
      <c r="T305" s="1420"/>
      <c r="V305" s="1357">
        <v>17</v>
      </c>
    </row>
    <row r="306" spans="1:22" s="841" customFormat="1" ht="15" x14ac:dyDescent="0.25">
      <c r="A306" s="841" t="s">
        <v>167</v>
      </c>
      <c r="E306" s="1688" t="s">
        <v>3147</v>
      </c>
      <c r="F306" s="1688"/>
      <c r="G306" s="1408" t="s">
        <v>23</v>
      </c>
      <c r="H306" s="391">
        <v>15</v>
      </c>
      <c r="M306" s="1357"/>
      <c r="Q306" s="1357"/>
      <c r="S306" s="1420"/>
      <c r="T306" s="1420"/>
      <c r="V306" s="1357">
        <v>15</v>
      </c>
    </row>
    <row r="307" spans="1:22" s="841" customFormat="1" ht="15" x14ac:dyDescent="0.25">
      <c r="A307" s="841" t="s">
        <v>167</v>
      </c>
      <c r="E307" s="1688" t="s">
        <v>3499</v>
      </c>
      <c r="F307" s="1688"/>
      <c r="G307" s="1408" t="s">
        <v>23</v>
      </c>
      <c r="H307" s="391">
        <v>25</v>
      </c>
      <c r="M307" s="1357"/>
      <c r="Q307" s="1357"/>
      <c r="S307" s="1420"/>
      <c r="T307" s="1420"/>
      <c r="V307" s="1357">
        <v>39</v>
      </c>
    </row>
    <row r="308" spans="1:22" s="841" customFormat="1" ht="15" x14ac:dyDescent="0.25">
      <c r="A308" s="841" t="s">
        <v>167</v>
      </c>
      <c r="E308" s="1688" t="s">
        <v>3149</v>
      </c>
      <c r="F308" s="1688"/>
      <c r="G308" s="1408" t="s">
        <v>23</v>
      </c>
      <c r="H308" s="391">
        <v>25</v>
      </c>
      <c r="M308" s="1357"/>
      <c r="Q308" s="1357"/>
      <c r="S308" s="1420"/>
      <c r="T308" s="1420"/>
      <c r="V308" s="1357">
        <v>35</v>
      </c>
    </row>
    <row r="309" spans="1:22" s="841" customFormat="1" ht="15" x14ac:dyDescent="0.25">
      <c r="A309" s="841" t="s">
        <v>167</v>
      </c>
      <c r="E309" s="1688" t="s">
        <v>3151</v>
      </c>
      <c r="F309" s="1688"/>
      <c r="G309" s="1408" t="s">
        <v>23</v>
      </c>
      <c r="H309" s="391">
        <v>15</v>
      </c>
      <c r="M309" s="1357"/>
      <c r="Q309" s="1357"/>
      <c r="S309" s="1420"/>
      <c r="T309" s="1420"/>
      <c r="V309" s="1357">
        <v>19</v>
      </c>
    </row>
    <row r="310" spans="1:22" s="841" customFormat="1" ht="15" x14ac:dyDescent="0.25">
      <c r="A310" s="841" t="s">
        <v>167</v>
      </c>
      <c r="E310" s="1688" t="s">
        <v>88</v>
      </c>
      <c r="F310" s="1688"/>
      <c r="G310" s="1408" t="s">
        <v>23</v>
      </c>
      <c r="H310" s="391">
        <v>30</v>
      </c>
      <c r="M310" s="1357"/>
      <c r="Q310" s="1357"/>
      <c r="S310" s="1420"/>
      <c r="T310" s="1420"/>
      <c r="V310" s="1357">
        <v>89</v>
      </c>
    </row>
    <row r="311" spans="1:22" s="841" customFormat="1" ht="15" x14ac:dyDescent="0.25">
      <c r="A311" s="841" t="s">
        <v>167</v>
      </c>
      <c r="E311" s="1688" t="s">
        <v>94</v>
      </c>
      <c r="F311" s="1688"/>
      <c r="G311" s="1408" t="s">
        <v>23</v>
      </c>
      <c r="H311" s="391">
        <v>30</v>
      </c>
      <c r="M311" s="1357"/>
      <c r="Q311" s="1357"/>
      <c r="S311" s="1420"/>
      <c r="T311" s="1420"/>
      <c r="V311" s="1357">
        <v>19</v>
      </c>
    </row>
    <row r="312" spans="1:22" s="841" customFormat="1" ht="15" x14ac:dyDescent="0.25">
      <c r="A312" s="841" t="s">
        <v>167</v>
      </c>
      <c r="E312" s="1688" t="s">
        <v>92</v>
      </c>
      <c r="F312" s="1688"/>
      <c r="G312" s="1408" t="s">
        <v>23</v>
      </c>
      <c r="H312" s="391">
        <v>30</v>
      </c>
      <c r="M312" s="1357"/>
      <c r="Q312" s="1357"/>
      <c r="S312" s="1420"/>
      <c r="T312" s="1420"/>
      <c r="V312" s="1357">
        <v>74</v>
      </c>
    </row>
    <row r="313" spans="1:22" s="841" customFormat="1" ht="15" x14ac:dyDescent="0.25">
      <c r="A313" s="841" t="s">
        <v>167</v>
      </c>
      <c r="E313" s="1370" t="s">
        <v>3152</v>
      </c>
      <c r="F313" s="3"/>
      <c r="G313" s="3"/>
      <c r="H313" s="398"/>
      <c r="K313" s="841" t="s">
        <v>4031</v>
      </c>
      <c r="M313" s="1357"/>
      <c r="Q313" s="1357"/>
      <c r="S313" s="1420"/>
      <c r="T313" s="1420"/>
      <c r="V313" s="1357">
        <v>22</v>
      </c>
    </row>
    <row r="314" spans="1:22" s="841" customFormat="1" ht="15" x14ac:dyDescent="0.25">
      <c r="A314" s="841" t="s">
        <v>167</v>
      </c>
      <c r="E314" s="1688" t="s">
        <v>3154</v>
      </c>
      <c r="F314" s="1688"/>
      <c r="G314" s="1408" t="s">
        <v>86</v>
      </c>
      <c r="H314" s="391">
        <v>1.5</v>
      </c>
      <c r="M314" s="1357"/>
      <c r="Q314" s="1357"/>
      <c r="S314" s="1420"/>
      <c r="T314" s="1420"/>
      <c r="V314" s="1357">
        <v>24</v>
      </c>
    </row>
    <row r="315" spans="1:22" s="841" customFormat="1" ht="15" x14ac:dyDescent="0.25">
      <c r="A315" s="841" t="s">
        <v>167</v>
      </c>
      <c r="E315" s="1688" t="s">
        <v>3155</v>
      </c>
      <c r="F315" s="1688"/>
      <c r="G315" s="1408" t="s">
        <v>86</v>
      </c>
      <c r="H315" s="391">
        <v>19.559999999999999</v>
      </c>
      <c r="M315" s="1357"/>
      <c r="Q315" s="1357"/>
      <c r="S315" s="1420"/>
      <c r="T315" s="1420"/>
      <c r="V315" s="1357">
        <v>24</v>
      </c>
    </row>
    <row r="316" spans="1:22" s="841" customFormat="1" ht="15" x14ac:dyDescent="0.25">
      <c r="A316" s="841" t="s">
        <v>167</v>
      </c>
      <c r="E316" s="1688" t="s">
        <v>4773</v>
      </c>
      <c r="F316" s="1688"/>
      <c r="G316" s="1408" t="s">
        <v>23</v>
      </c>
      <c r="H316" s="391">
        <v>65</v>
      </c>
      <c r="M316" s="1357"/>
      <c r="Q316" s="1357"/>
      <c r="S316" s="1420"/>
      <c r="T316" s="1420"/>
      <c r="V316" s="1357">
        <v>52</v>
      </c>
    </row>
    <row r="317" spans="1:22" s="841" customFormat="1" ht="15" x14ac:dyDescent="0.25">
      <c r="A317" s="841" t="s">
        <v>167</v>
      </c>
      <c r="E317" s="1688" t="s">
        <v>4774</v>
      </c>
      <c r="F317" s="1688"/>
      <c r="G317" s="1408" t="s">
        <v>23</v>
      </c>
      <c r="H317" s="391">
        <v>185</v>
      </c>
      <c r="M317" s="1357"/>
      <c r="Q317" s="1357"/>
      <c r="S317" s="1420"/>
      <c r="T317" s="1420"/>
      <c r="V317" s="1357">
        <v>51</v>
      </c>
    </row>
    <row r="318" spans="1:22" s="841" customFormat="1" ht="15" x14ac:dyDescent="0.25">
      <c r="A318" s="841" t="s">
        <v>167</v>
      </c>
      <c r="E318" s="1688" t="s">
        <v>4775</v>
      </c>
      <c r="F318" s="1688"/>
      <c r="G318" s="1408" t="s">
        <v>23</v>
      </c>
      <c r="H318" s="391">
        <v>185</v>
      </c>
      <c r="M318" s="1357"/>
      <c r="Q318" s="1357"/>
      <c r="S318" s="1420"/>
      <c r="T318" s="1420"/>
      <c r="V318" s="1357">
        <v>51</v>
      </c>
    </row>
    <row r="319" spans="1:22" s="841" customFormat="1" ht="15" x14ac:dyDescent="0.25">
      <c r="A319" s="841" t="s">
        <v>167</v>
      </c>
      <c r="E319" s="1688" t="s">
        <v>4776</v>
      </c>
      <c r="F319" s="1688"/>
      <c r="G319" s="1408" t="s">
        <v>23</v>
      </c>
      <c r="H319" s="391">
        <v>415</v>
      </c>
      <c r="M319" s="1357"/>
      <c r="Q319" s="1357"/>
      <c r="S319" s="1420"/>
      <c r="T319" s="1420"/>
      <c r="V319" s="1357">
        <v>50</v>
      </c>
    </row>
    <row r="320" spans="1:22" s="841" customFormat="1" ht="15" x14ac:dyDescent="0.25">
      <c r="A320" s="841" t="s">
        <v>167</v>
      </c>
      <c r="E320" s="1688" t="s">
        <v>3162</v>
      </c>
      <c r="F320" s="1688"/>
      <c r="G320" s="1408" t="s">
        <v>23</v>
      </c>
      <c r="H320" s="391">
        <v>65</v>
      </c>
      <c r="M320" s="1357"/>
      <c r="Q320" s="1357"/>
      <c r="S320" s="1420"/>
      <c r="T320" s="1420"/>
      <c r="V320" s="1357">
        <v>57</v>
      </c>
    </row>
    <row r="321" spans="1:22" s="841" customFormat="1" ht="15" x14ac:dyDescent="0.25">
      <c r="A321" s="841" t="s">
        <v>167</v>
      </c>
      <c r="E321" s="1688" t="s">
        <v>3163</v>
      </c>
      <c r="F321" s="1688"/>
      <c r="G321" s="1408" t="s">
        <v>23</v>
      </c>
      <c r="H321" s="391">
        <v>185</v>
      </c>
      <c r="M321" s="1357"/>
      <c r="Q321" s="1357"/>
      <c r="S321" s="1420"/>
      <c r="T321" s="1420"/>
      <c r="V321" s="1357">
        <v>56</v>
      </c>
    </row>
    <row r="322" spans="1:22" s="841" customFormat="1" ht="15" x14ac:dyDescent="0.25">
      <c r="A322" s="841" t="s">
        <v>167</v>
      </c>
      <c r="E322" s="1370" t="s">
        <v>3164</v>
      </c>
      <c r="F322" s="506"/>
      <c r="G322" s="397"/>
      <c r="H322" s="391"/>
      <c r="M322" s="1357"/>
      <c r="Q322" s="1357"/>
      <c r="S322" s="1420"/>
      <c r="T322" s="1420"/>
      <c r="V322" s="1357">
        <v>5</v>
      </c>
    </row>
    <row r="323" spans="1:22" s="841" customFormat="1" ht="15" x14ac:dyDescent="0.25">
      <c r="A323" s="841" t="s">
        <v>167</v>
      </c>
      <c r="E323" s="1688" t="s">
        <v>3167</v>
      </c>
      <c r="F323" s="1688"/>
      <c r="G323" s="1408" t="s">
        <v>23</v>
      </c>
      <c r="H323" s="391">
        <v>65</v>
      </c>
      <c r="M323" s="1357"/>
      <c r="Q323" s="1357"/>
      <c r="S323" s="1420"/>
      <c r="T323" s="1420"/>
      <c r="V323" s="1357">
        <v>39</v>
      </c>
    </row>
    <row r="324" spans="1:22" s="841" customFormat="1" ht="15" x14ac:dyDescent="0.25">
      <c r="A324" s="841" t="s">
        <v>167</v>
      </c>
      <c r="E324" s="1688" t="s">
        <v>3614</v>
      </c>
      <c r="F324" s="1688"/>
      <c r="G324" s="1408" t="s">
        <v>23</v>
      </c>
      <c r="H324" s="391">
        <v>165</v>
      </c>
      <c r="M324" s="1357"/>
      <c r="Q324" s="1357"/>
      <c r="S324" s="1420"/>
      <c r="T324" s="1420"/>
      <c r="V324" s="1357">
        <v>61</v>
      </c>
    </row>
    <row r="325" spans="1:22" s="841" customFormat="1" ht="15" x14ac:dyDescent="0.25">
      <c r="A325" s="841" t="s">
        <v>167</v>
      </c>
      <c r="E325" s="1688" t="s">
        <v>3158</v>
      </c>
      <c r="F325" s="1688"/>
      <c r="G325" s="1408" t="s">
        <v>23</v>
      </c>
      <c r="H325" s="391">
        <v>65</v>
      </c>
      <c r="M325" s="1357"/>
      <c r="Q325" s="1357"/>
      <c r="S325" s="1420"/>
      <c r="T325" s="1420"/>
      <c r="V325" s="1357">
        <v>52</v>
      </c>
    </row>
    <row r="326" spans="1:22" s="841" customFormat="1" ht="15" x14ac:dyDescent="0.25">
      <c r="A326" s="841" t="s">
        <v>167</v>
      </c>
      <c r="E326" s="1688" t="s">
        <v>3491</v>
      </c>
      <c r="F326" s="1688"/>
      <c r="G326" s="1408" t="s">
        <v>23</v>
      </c>
      <c r="H326" s="391">
        <v>22.35</v>
      </c>
      <c r="M326" s="1357"/>
      <c r="Q326" s="1357"/>
      <c r="S326" s="1420"/>
      <c r="T326" s="1420"/>
      <c r="V326" s="1357">
        <v>59</v>
      </c>
    </row>
    <row r="327" spans="1:22" s="841" customFormat="1" ht="15" x14ac:dyDescent="0.25">
      <c r="A327" s="841" t="s">
        <v>167</v>
      </c>
      <c r="E327" s="1688" t="s">
        <v>3588</v>
      </c>
      <c r="F327" s="1688"/>
      <c r="G327" s="1408"/>
      <c r="H327" s="391"/>
      <c r="M327" s="1357"/>
      <c r="Q327" s="1357"/>
      <c r="S327" s="1420"/>
      <c r="T327" s="1420"/>
      <c r="V327" s="1357">
        <v>45</v>
      </c>
    </row>
    <row r="328" spans="1:22" s="841" customFormat="1" x14ac:dyDescent="0.25">
      <c r="A328" s="841" t="s">
        <v>167</v>
      </c>
      <c r="E328" s="1931" t="s">
        <v>77</v>
      </c>
      <c r="F328" s="1931"/>
      <c r="G328" s="1931"/>
      <c r="H328" s="1931"/>
      <c r="K328" s="841" t="s">
        <v>4032</v>
      </c>
      <c r="M328" s="1357"/>
      <c r="Q328" s="1357"/>
      <c r="S328" s="1420"/>
      <c r="T328" s="1420"/>
      <c r="V328" s="1357">
        <v>38</v>
      </c>
    </row>
    <row r="329" spans="1:22" s="841" customFormat="1" ht="15" x14ac:dyDescent="0.25">
      <c r="A329" s="841" t="s">
        <v>167</v>
      </c>
      <c r="E329" s="1689" t="s">
        <v>3063</v>
      </c>
      <c r="F329" s="1689"/>
      <c r="G329" s="1689"/>
      <c r="H329" s="1689"/>
      <c r="M329" s="1357"/>
      <c r="Q329" s="1357"/>
      <c r="S329" s="1420"/>
      <c r="T329" s="1420"/>
      <c r="V329" s="1357">
        <v>280</v>
      </c>
    </row>
    <row r="330" spans="1:22" s="841" customFormat="1" ht="15" x14ac:dyDescent="0.25">
      <c r="A330" s="841" t="s">
        <v>167</v>
      </c>
      <c r="E330" s="1689" t="s">
        <v>3064</v>
      </c>
      <c r="F330" s="1689"/>
      <c r="G330" s="1689"/>
      <c r="H330" s="1689"/>
      <c r="M330" s="1357"/>
      <c r="Q330" s="1357"/>
      <c r="S330" s="1420"/>
      <c r="T330" s="1420"/>
      <c r="V330" s="1357">
        <v>411</v>
      </c>
    </row>
    <row r="331" spans="1:22" s="841" customFormat="1" ht="15" x14ac:dyDescent="0.25">
      <c r="A331" s="841" t="s">
        <v>167</v>
      </c>
      <c r="E331" s="1689" t="s">
        <v>3129</v>
      </c>
      <c r="F331" s="1689"/>
      <c r="G331" s="1689"/>
      <c r="H331" s="1689"/>
      <c r="M331" s="1357"/>
      <c r="Q331" s="1357"/>
      <c r="S331" s="1420"/>
      <c r="T331" s="1420"/>
      <c r="V331" s="1357">
        <v>211</v>
      </c>
    </row>
    <row r="332" spans="1:22" s="841" customFormat="1" ht="15" x14ac:dyDescent="0.25">
      <c r="A332" s="841" t="s">
        <v>167</v>
      </c>
      <c r="E332" s="1689" t="s">
        <v>3200</v>
      </c>
      <c r="F332" s="1689"/>
      <c r="G332" s="1689"/>
      <c r="H332" s="1689"/>
      <c r="M332" s="1357"/>
      <c r="Q332" s="1357"/>
      <c r="S332" s="1420"/>
      <c r="T332" s="1420"/>
      <c r="V332" s="1357">
        <v>275</v>
      </c>
    </row>
    <row r="333" spans="1:22" s="841" customFormat="1" ht="15" x14ac:dyDescent="0.25">
      <c r="A333" s="841" t="s">
        <v>167</v>
      </c>
      <c r="E333" s="1689" t="s">
        <v>3291</v>
      </c>
      <c r="F333" s="1689"/>
      <c r="G333" s="1689"/>
      <c r="H333" s="1689"/>
      <c r="M333" s="1357"/>
      <c r="Q333" s="1357"/>
      <c r="S333" s="1420"/>
      <c r="T333" s="1420"/>
      <c r="V333" s="1357">
        <v>142</v>
      </c>
    </row>
    <row r="334" spans="1:22" s="841" customFormat="1" ht="15" x14ac:dyDescent="0.25">
      <c r="A334" s="841" t="s">
        <v>167</v>
      </c>
      <c r="E334" s="1690" t="s">
        <v>3176</v>
      </c>
      <c r="F334" s="1690"/>
      <c r="G334" s="397" t="s">
        <v>23</v>
      </c>
      <c r="H334" s="391">
        <v>100</v>
      </c>
      <c r="M334" s="1357"/>
      <c r="Q334" s="1357"/>
      <c r="S334" s="1420"/>
      <c r="T334" s="1420"/>
      <c r="V334" s="1357">
        <v>106</v>
      </c>
    </row>
    <row r="335" spans="1:22" s="841" customFormat="1" ht="15" x14ac:dyDescent="0.25">
      <c r="A335" s="841" t="s">
        <v>167</v>
      </c>
      <c r="E335" s="1690" t="s">
        <v>3177</v>
      </c>
      <c r="F335" s="1690"/>
      <c r="G335" s="397" t="s">
        <v>23</v>
      </c>
      <c r="H335" s="391">
        <v>20</v>
      </c>
      <c r="M335" s="1357"/>
      <c r="Q335" s="1357"/>
      <c r="S335" s="1420"/>
      <c r="T335" s="1420"/>
      <c r="V335" s="1357">
        <v>34</v>
      </c>
    </row>
    <row r="336" spans="1:22" s="841" customFormat="1" ht="15" x14ac:dyDescent="0.25">
      <c r="A336" s="841" t="s">
        <v>167</v>
      </c>
      <c r="E336" s="1690" t="s">
        <v>3178</v>
      </c>
      <c r="F336" s="1690"/>
      <c r="G336" s="397" t="s">
        <v>3179</v>
      </c>
      <c r="H336" s="391">
        <v>0.5</v>
      </c>
      <c r="M336" s="1357"/>
      <c r="Q336" s="1357"/>
      <c r="S336" s="1420"/>
      <c r="T336" s="1420"/>
      <c r="V336" s="1357">
        <v>51</v>
      </c>
    </row>
    <row r="337" spans="1:22" s="841" customFormat="1" ht="15" x14ac:dyDescent="0.25">
      <c r="A337" s="841" t="s">
        <v>167</v>
      </c>
      <c r="E337" s="1690" t="s">
        <v>3180</v>
      </c>
      <c r="F337" s="1690"/>
      <c r="G337" s="397" t="s">
        <v>3179</v>
      </c>
      <c r="H337" s="391">
        <v>0.3</v>
      </c>
      <c r="M337" s="1357"/>
      <c r="Q337" s="1357"/>
      <c r="S337" s="1420"/>
      <c r="T337" s="1420"/>
      <c r="V337" s="1357">
        <v>75</v>
      </c>
    </row>
    <row r="338" spans="1:22" s="841" customFormat="1" ht="15" x14ac:dyDescent="0.25">
      <c r="A338" s="841" t="s">
        <v>167</v>
      </c>
      <c r="E338" s="1690" t="s">
        <v>3181</v>
      </c>
      <c r="F338" s="1690"/>
      <c r="G338" s="397" t="s">
        <v>3179</v>
      </c>
      <c r="H338" s="391">
        <v>-0.3</v>
      </c>
      <c r="M338" s="1357"/>
      <c r="Q338" s="1357"/>
      <c r="S338" s="1420"/>
      <c r="T338" s="1420"/>
      <c r="V338" s="1357">
        <v>72</v>
      </c>
    </row>
    <row r="339" spans="1:22" s="841" customFormat="1" ht="15" x14ac:dyDescent="0.25">
      <c r="A339" s="841" t="s">
        <v>167</v>
      </c>
      <c r="E339" s="1690" t="s">
        <v>3292</v>
      </c>
      <c r="F339" s="1690"/>
      <c r="G339" s="397"/>
      <c r="H339" s="392"/>
      <c r="M339" s="1357"/>
      <c r="Q339" s="1357"/>
      <c r="S339" s="1420"/>
      <c r="T339" s="1420"/>
      <c r="V339" s="1357">
        <v>34</v>
      </c>
    </row>
    <row r="340" spans="1:22" s="841" customFormat="1" ht="15" x14ac:dyDescent="0.25">
      <c r="A340" s="841" t="s">
        <v>167</v>
      </c>
      <c r="E340" s="1691" t="s">
        <v>3183</v>
      </c>
      <c r="F340" s="1691"/>
      <c r="G340" s="397" t="s">
        <v>23</v>
      </c>
      <c r="H340" s="391">
        <v>0.25</v>
      </c>
      <c r="M340" s="1357"/>
      <c r="Q340" s="1357"/>
      <c r="S340" s="1420"/>
      <c r="T340" s="1420"/>
      <c r="V340" s="1357">
        <v>57</v>
      </c>
    </row>
    <row r="341" spans="1:22" s="841" customFormat="1" ht="15" x14ac:dyDescent="0.25">
      <c r="A341" s="841" t="s">
        <v>167</v>
      </c>
      <c r="E341" s="1691" t="s">
        <v>3184</v>
      </c>
      <c r="F341" s="1691"/>
      <c r="G341" s="397" t="s">
        <v>23</v>
      </c>
      <c r="H341" s="391">
        <v>0.5</v>
      </c>
      <c r="M341" s="1357"/>
      <c r="Q341" s="1357"/>
      <c r="S341" s="1420"/>
      <c r="T341" s="1420"/>
      <c r="V341" s="1357">
        <v>60</v>
      </c>
    </row>
    <row r="342" spans="1:22" s="841" customFormat="1" ht="15" x14ac:dyDescent="0.25">
      <c r="A342" s="841" t="s">
        <v>167</v>
      </c>
      <c r="E342" s="1690" t="s">
        <v>3185</v>
      </c>
      <c r="F342" s="1690"/>
      <c r="G342" s="397"/>
      <c r="H342" s="392"/>
      <c r="M342" s="1357"/>
      <c r="Q342" s="1357"/>
      <c r="S342" s="1420"/>
      <c r="T342" s="1420"/>
      <c r="V342" s="1357">
        <v>91</v>
      </c>
    </row>
    <row r="343" spans="1:22" s="841" customFormat="1" ht="15" x14ac:dyDescent="0.25">
      <c r="A343" s="841" t="s">
        <v>167</v>
      </c>
      <c r="E343" s="1690" t="s">
        <v>3186</v>
      </c>
      <c r="F343" s="1690"/>
      <c r="G343" s="397"/>
      <c r="H343" s="392"/>
      <c r="M343" s="1357"/>
      <c r="Q343" s="1357"/>
      <c r="S343" s="1420"/>
      <c r="T343" s="1420"/>
      <c r="V343" s="1357">
        <v>96</v>
      </c>
    </row>
    <row r="344" spans="1:22" s="841" customFormat="1" ht="15" x14ac:dyDescent="0.25">
      <c r="A344" s="841" t="s">
        <v>167</v>
      </c>
      <c r="E344" s="1690" t="s">
        <v>3293</v>
      </c>
      <c r="F344" s="1690"/>
      <c r="G344" s="397"/>
      <c r="H344" s="392"/>
      <c r="M344" s="1357"/>
      <c r="Q344" s="1357"/>
      <c r="S344" s="1420"/>
      <c r="T344" s="1420"/>
      <c r="V344" s="1357">
        <v>77</v>
      </c>
    </row>
    <row r="345" spans="1:22" s="841" customFormat="1" ht="15" x14ac:dyDescent="0.25">
      <c r="A345" s="841" t="s">
        <v>167</v>
      </c>
      <c r="E345" s="1691" t="s">
        <v>3188</v>
      </c>
      <c r="F345" s="1691"/>
      <c r="G345" s="397" t="s">
        <v>23</v>
      </c>
      <c r="H345" s="392" t="s">
        <v>3189</v>
      </c>
      <c r="M345" s="1357"/>
      <c r="Q345" s="1357"/>
      <c r="S345" s="1420"/>
      <c r="T345" s="1420"/>
      <c r="V345" s="1357">
        <v>18</v>
      </c>
    </row>
    <row r="346" spans="1:22" s="841" customFormat="1" ht="15" x14ac:dyDescent="0.25">
      <c r="A346" s="841" t="s">
        <v>167</v>
      </c>
      <c r="E346" s="1691" t="s">
        <v>3190</v>
      </c>
      <c r="F346" s="1691"/>
      <c r="G346" s="397" t="s">
        <v>23</v>
      </c>
      <c r="H346" s="391">
        <v>2</v>
      </c>
      <c r="M346" s="1357"/>
      <c r="Q346" s="1357"/>
      <c r="S346" s="1420"/>
      <c r="T346" s="1420"/>
      <c r="V346" s="1357">
        <v>69</v>
      </c>
    </row>
    <row r="347" spans="1:22" s="841" customFormat="1" ht="18.75" x14ac:dyDescent="0.3">
      <c r="A347" s="841" t="s">
        <v>167</v>
      </c>
      <c r="E347" s="1374" t="s">
        <v>147</v>
      </c>
      <c r="F347" s="657"/>
      <c r="G347" s="657"/>
      <c r="H347" s="658"/>
      <c r="K347" s="841" t="s">
        <v>4033</v>
      </c>
      <c r="M347" s="1357"/>
      <c r="Q347" s="1357"/>
      <c r="S347" s="1420"/>
      <c r="T347" s="1420"/>
      <c r="V347" s="1357">
        <v>12</v>
      </c>
    </row>
    <row r="348" spans="1:22" s="841" customFormat="1" ht="15" x14ac:dyDescent="0.25">
      <c r="A348" s="841" t="s">
        <v>167</v>
      </c>
      <c r="E348" s="1704" t="s">
        <v>3192</v>
      </c>
      <c r="F348" s="1704"/>
      <c r="G348" s="1704"/>
      <c r="H348" s="1704"/>
      <c r="M348" s="1357"/>
      <c r="Q348" s="1357"/>
      <c r="S348" s="1420"/>
      <c r="T348" s="1420"/>
      <c r="V348" s="1357">
        <v>203</v>
      </c>
    </row>
    <row r="349" spans="1:22" s="841" customFormat="1" ht="15" x14ac:dyDescent="0.25">
      <c r="A349" s="841" t="s">
        <v>167</v>
      </c>
      <c r="E349" s="1690" t="s">
        <v>3295</v>
      </c>
      <c r="F349" s="1690"/>
      <c r="G349" s="1408"/>
      <c r="H349" s="393">
        <v>1.0429999999999999</v>
      </c>
      <c r="M349" s="1357"/>
      <c r="Q349" s="1357"/>
      <c r="S349" s="1420"/>
      <c r="T349" s="1420"/>
      <c r="V349" s="1357">
        <v>57</v>
      </c>
    </row>
    <row r="350" spans="1:22" s="841" customFormat="1" ht="15" x14ac:dyDescent="0.25">
      <c r="A350" s="841" t="s">
        <v>167</v>
      </c>
      <c r="E350" s="1690" t="s">
        <v>3297</v>
      </c>
      <c r="F350" s="1690"/>
      <c r="G350" s="1408"/>
      <c r="H350" s="393">
        <v>1.0325</v>
      </c>
      <c r="J350" s="841" t="s">
        <v>4034</v>
      </c>
      <c r="M350" s="1357"/>
      <c r="Q350" s="1357"/>
      <c r="S350" s="1420"/>
      <c r="T350" s="1420"/>
      <c r="V350" s="1357">
        <v>55</v>
      </c>
    </row>
    <row r="351" spans="1:22" s="841" customFormat="1" ht="23.25" x14ac:dyDescent="0.25">
      <c r="A351" s="841" t="s">
        <v>199</v>
      </c>
      <c r="C351" s="841" t="s">
        <v>3050</v>
      </c>
      <c r="E351" s="1911" t="s">
        <v>199</v>
      </c>
      <c r="F351" s="1911"/>
      <c r="G351" s="1911"/>
      <c r="H351" s="1911"/>
      <c r="I351" s="841" t="s">
        <v>628</v>
      </c>
      <c r="J351" s="841" t="s">
        <v>4785</v>
      </c>
      <c r="K351" s="841" t="s">
        <v>199</v>
      </c>
      <c r="M351" s="1357">
        <v>5</v>
      </c>
      <c r="Q351" s="1357"/>
      <c r="S351" s="1420"/>
      <c r="T351" s="1420"/>
      <c r="V351" s="1357">
        <v>19</v>
      </c>
    </row>
    <row r="352" spans="1:22" s="841" customFormat="1" x14ac:dyDescent="0.25">
      <c r="A352" s="841" t="s">
        <v>199</v>
      </c>
      <c r="C352" s="841" t="s">
        <v>3052</v>
      </c>
      <c r="E352" s="1912" t="s">
        <v>3053</v>
      </c>
      <c r="F352" s="1912"/>
      <c r="G352" s="1912"/>
      <c r="H352" s="1912"/>
      <c r="M352" s="1357"/>
      <c r="Q352" s="1357"/>
      <c r="S352" s="1420"/>
      <c r="T352" s="1420"/>
      <c r="V352" s="1357">
        <v>27</v>
      </c>
    </row>
    <row r="353" spans="1:22" s="841" customFormat="1" ht="15.75" x14ac:dyDescent="0.25">
      <c r="A353" s="841" t="s">
        <v>199</v>
      </c>
      <c r="C353" s="841" t="s">
        <v>3054</v>
      </c>
      <c r="E353" s="1913" t="s">
        <v>5107</v>
      </c>
      <c r="F353" s="1913"/>
      <c r="G353" s="1913"/>
      <c r="H353" s="1913"/>
      <c r="M353" s="1357"/>
      <c r="Q353" s="1357"/>
      <c r="S353" s="1420">
        <v>43221</v>
      </c>
      <c r="T353" s="1420"/>
      <c r="V353" s="1357">
        <v>45</v>
      </c>
    </row>
    <row r="354" spans="1:22" s="841" customFormat="1" ht="15" x14ac:dyDescent="0.25">
      <c r="A354" s="841" t="s">
        <v>199</v>
      </c>
      <c r="C354" s="841" t="s">
        <v>3055</v>
      </c>
      <c r="E354" s="1914" t="s">
        <v>3056</v>
      </c>
      <c r="F354" s="1914"/>
      <c r="G354" s="1914"/>
      <c r="H354" s="1914"/>
      <c r="M354" s="1357"/>
      <c r="Q354" s="1357"/>
      <c r="S354" s="1420"/>
      <c r="T354" s="1420"/>
      <c r="V354" s="1357">
        <v>52</v>
      </c>
    </row>
    <row r="355" spans="1:22" s="841" customFormat="1" ht="15" x14ac:dyDescent="0.25">
      <c r="A355" s="841" t="s">
        <v>199</v>
      </c>
      <c r="E355" s="1914" t="s">
        <v>3057</v>
      </c>
      <c r="F355" s="1914"/>
      <c r="G355" s="1914"/>
      <c r="H355" s="1914"/>
      <c r="M355" s="1357"/>
      <c r="Q355" s="1357"/>
      <c r="S355" s="1420"/>
      <c r="T355" s="1420"/>
      <c r="V355" s="1357">
        <v>53</v>
      </c>
    </row>
    <row r="356" spans="1:22" s="841" customFormat="1" ht="15" x14ac:dyDescent="0.25">
      <c r="A356" s="841" t="s">
        <v>199</v>
      </c>
      <c r="E356" s="1925" t="s">
        <v>5127</v>
      </c>
      <c r="F356" s="1925"/>
      <c r="G356" s="1925"/>
      <c r="H356" s="1925"/>
      <c r="K356" s="841" t="s">
        <v>5127</v>
      </c>
      <c r="M356" s="1357"/>
      <c r="Q356" s="1357"/>
      <c r="S356" s="1420"/>
      <c r="T356" s="1420"/>
      <c r="V356" s="1357">
        <v>12</v>
      </c>
    </row>
    <row r="357" spans="1:22" s="841" customFormat="1" ht="15" x14ac:dyDescent="0.25">
      <c r="A357" s="841" t="s">
        <v>199</v>
      </c>
      <c r="E357" s="1909" t="s">
        <v>438</v>
      </c>
      <c r="F357" s="1697"/>
      <c r="G357" s="1697"/>
      <c r="H357" s="1697"/>
      <c r="K357" s="841" t="s">
        <v>3197</v>
      </c>
      <c r="M357" s="1357"/>
      <c r="Q357" s="1357"/>
      <c r="S357" s="1420"/>
      <c r="T357" s="1420"/>
      <c r="V357" s="1357">
        <v>34</v>
      </c>
    </row>
    <row r="358" spans="1:22" s="841" customFormat="1" ht="15" x14ac:dyDescent="0.25">
      <c r="A358" s="841" t="s">
        <v>199</v>
      </c>
      <c r="E358" s="1689" t="s">
        <v>5128</v>
      </c>
      <c r="F358" s="1689"/>
      <c r="G358" s="1689"/>
      <c r="H358" s="1689"/>
      <c r="K358" s="841" t="s">
        <v>3197</v>
      </c>
      <c r="M358" s="1357"/>
      <c r="Q358" s="1357"/>
      <c r="S358" s="1420"/>
      <c r="T358" s="1420"/>
      <c r="V358" s="1357">
        <v>585</v>
      </c>
    </row>
    <row r="359" spans="1:22" s="841" customFormat="1" ht="15" x14ac:dyDescent="0.25">
      <c r="A359" s="841" t="s">
        <v>199</v>
      </c>
      <c r="E359" s="1916" t="s">
        <v>3061</v>
      </c>
      <c r="F359" s="1697"/>
      <c r="G359" s="1697"/>
      <c r="H359" s="1697"/>
      <c r="K359" s="841" t="s">
        <v>3062</v>
      </c>
      <c r="M359" s="1357"/>
      <c r="Q359" s="1357"/>
      <c r="S359" s="1420"/>
      <c r="T359" s="1420"/>
      <c r="V359" s="1357">
        <v>11</v>
      </c>
    </row>
    <row r="360" spans="1:22" s="841" customFormat="1" ht="15" x14ac:dyDescent="0.25">
      <c r="A360" s="841" t="s">
        <v>199</v>
      </c>
      <c r="E360" s="1689" t="s">
        <v>3063</v>
      </c>
      <c r="F360" s="1689"/>
      <c r="G360" s="1689"/>
      <c r="H360" s="1689"/>
      <c r="K360" s="841" t="s">
        <v>3197</v>
      </c>
      <c r="M360" s="1357"/>
      <c r="Q360" s="1357"/>
      <c r="S360" s="1420"/>
      <c r="T360" s="1420"/>
      <c r="V360" s="1357">
        <v>280</v>
      </c>
    </row>
    <row r="361" spans="1:22" s="841" customFormat="1" ht="15" x14ac:dyDescent="0.25">
      <c r="A361" s="841" t="s">
        <v>199</v>
      </c>
      <c r="E361" s="1689" t="s">
        <v>3064</v>
      </c>
      <c r="F361" s="1689"/>
      <c r="G361" s="1689"/>
      <c r="H361" s="1689"/>
      <c r="K361" s="841" t="s">
        <v>3197</v>
      </c>
      <c r="M361" s="1357"/>
      <c r="Q361" s="1357"/>
      <c r="S361" s="1420"/>
      <c r="T361" s="1420"/>
      <c r="V361" s="1357">
        <v>411</v>
      </c>
    </row>
    <row r="362" spans="1:22" s="841" customFormat="1" ht="15" x14ac:dyDescent="0.25">
      <c r="A362" s="841" t="s">
        <v>199</v>
      </c>
      <c r="E362" s="1689" t="s">
        <v>3065</v>
      </c>
      <c r="F362" s="1689"/>
      <c r="G362" s="1689"/>
      <c r="H362" s="1689"/>
      <c r="K362" s="841" t="s">
        <v>3197</v>
      </c>
      <c r="M362" s="1357"/>
      <c r="Q362" s="1357"/>
      <c r="S362" s="1420"/>
      <c r="T362" s="1420"/>
      <c r="V362" s="1357">
        <v>387</v>
      </c>
    </row>
    <row r="363" spans="1:22" s="841" customFormat="1" ht="15" x14ac:dyDescent="0.25">
      <c r="A363" s="841" t="s">
        <v>199</v>
      </c>
      <c r="E363" s="1689" t="s">
        <v>3200</v>
      </c>
      <c r="F363" s="1689"/>
      <c r="G363" s="1689"/>
      <c r="H363" s="1689"/>
      <c r="K363" s="841" t="s">
        <v>3197</v>
      </c>
      <c r="M363" s="1357"/>
      <c r="Q363" s="1357"/>
      <c r="S363" s="1420"/>
      <c r="T363" s="1420"/>
      <c r="V363" s="1357">
        <v>275</v>
      </c>
    </row>
    <row r="364" spans="1:22" s="841" customFormat="1" ht="15" x14ac:dyDescent="0.25">
      <c r="A364" s="841" t="s">
        <v>199</v>
      </c>
      <c r="E364" s="1694" t="s">
        <v>3067</v>
      </c>
      <c r="F364" s="1907"/>
      <c r="G364" s="1907"/>
      <c r="H364" s="1907"/>
      <c r="K364" s="841" t="s">
        <v>3068</v>
      </c>
      <c r="M364" s="1357"/>
      <c r="Q364" s="1357"/>
      <c r="S364" s="1420"/>
      <c r="T364" s="1420"/>
      <c r="V364" s="1357">
        <v>46</v>
      </c>
    </row>
    <row r="365" spans="1:22" s="841" customFormat="1" ht="15" x14ac:dyDescent="0.25">
      <c r="A365" s="841" t="s">
        <v>199</v>
      </c>
      <c r="E365" s="1690" t="s">
        <v>11</v>
      </c>
      <c r="F365" s="1690"/>
      <c r="G365" s="695" t="s">
        <v>23</v>
      </c>
      <c r="H365" s="391">
        <v>44.89</v>
      </c>
      <c r="K365" s="841" t="s">
        <v>3197</v>
      </c>
      <c r="L365" s="841" t="s">
        <v>442</v>
      </c>
      <c r="M365" s="1357"/>
      <c r="P365" s="841" t="s">
        <v>3201</v>
      </c>
      <c r="Q365" s="1357"/>
      <c r="S365" s="1420"/>
      <c r="T365" s="1420"/>
      <c r="V365" s="1357">
        <v>14</v>
      </c>
    </row>
    <row r="366" spans="1:22" s="841" customFormat="1" ht="15" x14ac:dyDescent="0.25">
      <c r="A366" s="841" t="s">
        <v>199</v>
      </c>
      <c r="E366" s="1690" t="s">
        <v>5109</v>
      </c>
      <c r="F366" s="1690"/>
      <c r="G366" s="631" t="s">
        <v>23</v>
      </c>
      <c r="H366" s="391">
        <v>0.56999999999999995</v>
      </c>
      <c r="K366" s="841" t="s">
        <v>3197</v>
      </c>
      <c r="L366" s="841" t="s">
        <v>443</v>
      </c>
      <c r="M366" s="1357"/>
      <c r="P366" s="841" t="s">
        <v>3202</v>
      </c>
      <c r="Q366" s="1357"/>
      <c r="S366" s="1420"/>
      <c r="T366" s="1420">
        <v>44926</v>
      </c>
      <c r="V366" s="1357">
        <v>64</v>
      </c>
    </row>
    <row r="367" spans="1:22" s="841" customFormat="1" ht="15" x14ac:dyDescent="0.25">
      <c r="A367" s="841" t="s">
        <v>199</v>
      </c>
      <c r="E367" s="1690" t="s">
        <v>84</v>
      </c>
      <c r="F367" s="1690"/>
      <c r="G367" s="695" t="s">
        <v>24</v>
      </c>
      <c r="H367" s="393">
        <v>3.8E-3</v>
      </c>
      <c r="K367" s="841" t="s">
        <v>3197</v>
      </c>
      <c r="L367" s="841" t="s">
        <v>442</v>
      </c>
      <c r="M367" s="1357"/>
      <c r="P367" s="841" t="s">
        <v>3203</v>
      </c>
      <c r="Q367" s="1357"/>
      <c r="S367" s="1420"/>
      <c r="T367" s="1420"/>
      <c r="V367" s="1357">
        <v>28</v>
      </c>
    </row>
    <row r="368" spans="1:22" s="841" customFormat="1" ht="15" x14ac:dyDescent="0.25">
      <c r="A368" s="841" t="s">
        <v>199</v>
      </c>
      <c r="E368" s="1904" t="s">
        <v>5129</v>
      </c>
      <c r="F368" s="1962"/>
      <c r="G368" s="695" t="s">
        <v>24</v>
      </c>
      <c r="H368" s="393">
        <v>-2.5000000000000001E-3</v>
      </c>
      <c r="K368" s="841" t="s">
        <v>3197</v>
      </c>
      <c r="L368" s="841" t="s">
        <v>443</v>
      </c>
      <c r="M368" s="1357"/>
      <c r="P368" s="841" t="s">
        <v>3205</v>
      </c>
      <c r="Q368" s="1357"/>
      <c r="S368" s="1420"/>
      <c r="T368" s="1420">
        <v>43585</v>
      </c>
      <c r="V368" s="1357">
        <v>139</v>
      </c>
    </row>
    <row r="369" spans="1:22" s="841" customFormat="1" ht="15" x14ac:dyDescent="0.25">
      <c r="A369" s="841" t="s">
        <v>199</v>
      </c>
      <c r="E369" s="1690" t="s">
        <v>5130</v>
      </c>
      <c r="F369" s="1908"/>
      <c r="G369" s="695" t="s">
        <v>24</v>
      </c>
      <c r="H369" s="393">
        <v>-1.5E-3</v>
      </c>
      <c r="K369" s="841" t="s">
        <v>3197</v>
      </c>
      <c r="L369" s="841" t="s">
        <v>443</v>
      </c>
      <c r="M369" s="1357"/>
      <c r="P369" s="841" t="s">
        <v>3207</v>
      </c>
      <c r="Q369" s="1357"/>
      <c r="S369" s="1420"/>
      <c r="T369" s="1420">
        <v>43585</v>
      </c>
      <c r="V369" s="1357">
        <v>96</v>
      </c>
    </row>
    <row r="370" spans="1:22" s="841" customFormat="1" ht="15" x14ac:dyDescent="0.25">
      <c r="A370" s="841" t="s">
        <v>199</v>
      </c>
      <c r="E370" s="1690" t="s">
        <v>221</v>
      </c>
      <c r="F370" s="1690"/>
      <c r="G370" s="631" t="s">
        <v>24</v>
      </c>
      <c r="H370" s="393">
        <v>4.8999999999999998E-3</v>
      </c>
      <c r="K370" s="841" t="s">
        <v>3197</v>
      </c>
      <c r="L370" s="841" t="s">
        <v>444</v>
      </c>
      <c r="M370" s="1357"/>
      <c r="P370" s="841" t="s">
        <v>3208</v>
      </c>
      <c r="Q370" s="1357"/>
      <c r="S370" s="1420"/>
      <c r="T370" s="1420"/>
      <c r="V370" s="1357">
        <v>47</v>
      </c>
    </row>
    <row r="371" spans="1:22" s="841" customFormat="1" ht="15" x14ac:dyDescent="0.25">
      <c r="A371" s="841" t="s">
        <v>199</v>
      </c>
      <c r="E371" s="1690" t="s">
        <v>227</v>
      </c>
      <c r="F371" s="1690"/>
      <c r="G371" s="631" t="s">
        <v>24</v>
      </c>
      <c r="H371" s="393">
        <v>3.5999999999999999E-3</v>
      </c>
      <c r="K371" s="841" t="s">
        <v>3197</v>
      </c>
      <c r="L371" s="841" t="s">
        <v>444</v>
      </c>
      <c r="M371" s="1357"/>
      <c r="P371" s="841" t="s">
        <v>4786</v>
      </c>
      <c r="Q371" s="1357"/>
      <c r="S371" s="1420"/>
      <c r="T371" s="1420"/>
      <c r="V371" s="1357">
        <v>65</v>
      </c>
    </row>
    <row r="372" spans="1:22" s="841" customFormat="1" ht="15" x14ac:dyDescent="0.25">
      <c r="A372" s="841" t="s">
        <v>199</v>
      </c>
      <c r="E372" s="1694" t="s">
        <v>3079</v>
      </c>
      <c r="F372" s="1690"/>
      <c r="G372" s="1408"/>
      <c r="H372" s="1408"/>
      <c r="K372" s="841" t="s">
        <v>3080</v>
      </c>
      <c r="M372" s="1357"/>
      <c r="Q372" s="1357"/>
      <c r="S372" s="1420"/>
      <c r="T372" s="1420"/>
      <c r="V372" s="1357">
        <v>48</v>
      </c>
    </row>
    <row r="373" spans="1:22" s="841" customFormat="1" ht="15" x14ac:dyDescent="0.25">
      <c r="A373" s="841" t="s">
        <v>199</v>
      </c>
      <c r="E373" s="1690" t="s">
        <v>2449</v>
      </c>
      <c r="F373" s="1690"/>
      <c r="G373" s="695" t="s">
        <v>24</v>
      </c>
      <c r="H373" s="393">
        <v>3.2000000000000002E-3</v>
      </c>
      <c r="K373" s="841" t="s">
        <v>3197</v>
      </c>
      <c r="L373" s="841" t="s">
        <v>3046</v>
      </c>
      <c r="M373" s="1357"/>
      <c r="P373" s="841" t="s">
        <v>3210</v>
      </c>
      <c r="Q373" s="1357"/>
      <c r="S373" s="1420"/>
      <c r="T373" s="1420"/>
      <c r="V373" s="1357">
        <v>55</v>
      </c>
    </row>
    <row r="374" spans="1:22" s="841" customFormat="1" ht="15" x14ac:dyDescent="0.25">
      <c r="A374" s="841" t="s">
        <v>199</v>
      </c>
      <c r="E374" s="1690" t="s">
        <v>2450</v>
      </c>
      <c r="F374" s="1690"/>
      <c r="G374" s="695" t="s">
        <v>24</v>
      </c>
      <c r="H374" s="393">
        <v>4.0000000000000002E-4</v>
      </c>
      <c r="K374" s="841" t="s">
        <v>3197</v>
      </c>
      <c r="L374" s="841" t="s">
        <v>3046</v>
      </c>
      <c r="M374" s="1357"/>
      <c r="P374" s="841" t="s">
        <v>3210</v>
      </c>
      <c r="Q374" s="1357"/>
      <c r="S374" s="1420"/>
      <c r="T374" s="1420"/>
      <c r="V374" s="1357">
        <v>65</v>
      </c>
    </row>
    <row r="375" spans="1:22" s="841" customFormat="1" ht="15" x14ac:dyDescent="0.25">
      <c r="A375" s="841" t="s">
        <v>199</v>
      </c>
      <c r="E375" s="1690" t="s">
        <v>439</v>
      </c>
      <c r="F375" s="1690"/>
      <c r="G375" s="1408" t="s">
        <v>24</v>
      </c>
      <c r="H375" s="393">
        <v>2.9999999999999997E-4</v>
      </c>
      <c r="K375" s="841" t="s">
        <v>3197</v>
      </c>
      <c r="L375" s="841" t="s">
        <v>3046</v>
      </c>
      <c r="M375" s="1357"/>
      <c r="P375" s="841" t="s">
        <v>3212</v>
      </c>
      <c r="Q375" s="1357"/>
      <c r="S375" s="1420"/>
      <c r="T375" s="1420"/>
      <c r="V375" s="1357">
        <v>57</v>
      </c>
    </row>
    <row r="376" spans="1:22" s="841" customFormat="1" ht="15" x14ac:dyDescent="0.25">
      <c r="A376" s="841" t="s">
        <v>199</v>
      </c>
      <c r="E376" s="1690" t="s">
        <v>32</v>
      </c>
      <c r="F376" s="1690"/>
      <c r="G376" s="1408" t="s">
        <v>23</v>
      </c>
      <c r="H376" s="391">
        <v>0.25</v>
      </c>
      <c r="K376" s="841" t="s">
        <v>3197</v>
      </c>
      <c r="L376" s="841" t="s">
        <v>3046</v>
      </c>
      <c r="M376" s="1357"/>
      <c r="P376" s="841" t="s">
        <v>3213</v>
      </c>
      <c r="Q376" s="1357"/>
      <c r="S376" s="1420"/>
      <c r="T376" s="1420"/>
      <c r="V376" s="1357">
        <v>63</v>
      </c>
    </row>
    <row r="377" spans="1:22" s="841" customFormat="1" x14ac:dyDescent="0.25">
      <c r="A377" s="841" t="s">
        <v>199</v>
      </c>
      <c r="E377" s="1909" t="s">
        <v>3214</v>
      </c>
      <c r="F377" s="1923"/>
      <c r="G377" s="1923"/>
      <c r="H377" s="1923"/>
      <c r="K377" s="841" t="s">
        <v>5110</v>
      </c>
      <c r="M377" s="1357"/>
      <c r="Q377" s="1357"/>
      <c r="S377" s="1420"/>
      <c r="T377" s="1420"/>
      <c r="V377" s="1357">
        <v>54</v>
      </c>
    </row>
    <row r="378" spans="1:22" s="841" customFormat="1" ht="15" x14ac:dyDescent="0.25">
      <c r="A378" s="841" t="s">
        <v>199</v>
      </c>
      <c r="E378" s="1689" t="s">
        <v>4787</v>
      </c>
      <c r="F378" s="1689"/>
      <c r="G378" s="1689"/>
      <c r="H378" s="1689"/>
      <c r="K378" s="841" t="s">
        <v>5110</v>
      </c>
      <c r="M378" s="1357"/>
      <c r="Q378" s="1357"/>
      <c r="S378" s="1420"/>
      <c r="T378" s="1420"/>
      <c r="V378" s="1357">
        <v>270</v>
      </c>
    </row>
    <row r="379" spans="1:22" s="841" customFormat="1" ht="15" x14ac:dyDescent="0.25">
      <c r="A379" s="841" t="s">
        <v>199</v>
      </c>
      <c r="E379" s="1916" t="s">
        <v>3061</v>
      </c>
      <c r="F379" s="1697"/>
      <c r="G379" s="1697"/>
      <c r="H379" s="1697"/>
      <c r="K379" s="841" t="s">
        <v>3086</v>
      </c>
      <c r="M379" s="1357"/>
      <c r="Q379" s="1357"/>
      <c r="S379" s="1420"/>
      <c r="T379" s="1420"/>
      <c r="V379" s="1357">
        <v>11</v>
      </c>
    </row>
    <row r="380" spans="1:22" s="841" customFormat="1" ht="15" x14ac:dyDescent="0.25">
      <c r="A380" s="841" t="s">
        <v>199</v>
      </c>
      <c r="E380" s="1689" t="s">
        <v>3063</v>
      </c>
      <c r="F380" s="1689"/>
      <c r="G380" s="1689"/>
      <c r="H380" s="1689"/>
      <c r="K380" s="841" t="s">
        <v>5110</v>
      </c>
      <c r="M380" s="1357"/>
      <c r="Q380" s="1357"/>
      <c r="S380" s="1420"/>
      <c r="T380" s="1420"/>
      <c r="V380" s="1357">
        <v>280</v>
      </c>
    </row>
    <row r="381" spans="1:22" s="841" customFormat="1" ht="15" x14ac:dyDescent="0.25">
      <c r="A381" s="841" t="s">
        <v>199</v>
      </c>
      <c r="E381" s="1689" t="s">
        <v>3064</v>
      </c>
      <c r="F381" s="1689"/>
      <c r="G381" s="1689"/>
      <c r="H381" s="1689"/>
      <c r="K381" s="841" t="s">
        <v>5110</v>
      </c>
      <c r="M381" s="1357"/>
      <c r="Q381" s="1357"/>
      <c r="S381" s="1420"/>
      <c r="T381" s="1420"/>
      <c r="V381" s="1357">
        <v>411</v>
      </c>
    </row>
    <row r="382" spans="1:22" s="841" customFormat="1" ht="15" x14ac:dyDescent="0.25">
      <c r="A382" s="841" t="s">
        <v>199</v>
      </c>
      <c r="E382" s="1689" t="s">
        <v>3065</v>
      </c>
      <c r="F382" s="1689"/>
      <c r="G382" s="1689"/>
      <c r="H382" s="1689"/>
      <c r="K382" s="841" t="s">
        <v>5110</v>
      </c>
      <c r="M382" s="1357"/>
      <c r="Q382" s="1357"/>
      <c r="S382" s="1420"/>
      <c r="T382" s="1420"/>
      <c r="V382" s="1357">
        <v>387</v>
      </c>
    </row>
    <row r="383" spans="1:22" s="841" customFormat="1" ht="15" x14ac:dyDescent="0.25">
      <c r="A383" s="841" t="s">
        <v>199</v>
      </c>
      <c r="E383" s="1689" t="s">
        <v>3200</v>
      </c>
      <c r="F383" s="1689"/>
      <c r="G383" s="1689"/>
      <c r="H383" s="1689"/>
      <c r="K383" s="841" t="s">
        <v>5110</v>
      </c>
      <c r="M383" s="1357"/>
      <c r="Q383" s="1357"/>
      <c r="S383" s="1420"/>
      <c r="T383" s="1420"/>
      <c r="V383" s="1357">
        <v>275</v>
      </c>
    </row>
    <row r="384" spans="1:22" s="841" customFormat="1" ht="15" x14ac:dyDescent="0.25">
      <c r="A384" s="841" t="s">
        <v>199</v>
      </c>
      <c r="E384" s="1694" t="s">
        <v>3067</v>
      </c>
      <c r="F384" s="1922"/>
      <c r="G384" s="1907"/>
      <c r="H384" s="1907"/>
      <c r="K384" s="841" t="s">
        <v>3087</v>
      </c>
      <c r="M384" s="1357"/>
      <c r="Q384" s="1357"/>
      <c r="S384" s="1420"/>
      <c r="T384" s="1420"/>
      <c r="V384" s="1357">
        <v>46</v>
      </c>
    </row>
    <row r="385" spans="1:22" s="841" customFormat="1" ht="15" x14ac:dyDescent="0.25">
      <c r="A385" s="841" t="s">
        <v>199</v>
      </c>
      <c r="E385" s="1690" t="s">
        <v>11</v>
      </c>
      <c r="F385" s="1690"/>
      <c r="G385" s="695" t="s">
        <v>23</v>
      </c>
      <c r="H385" s="391">
        <v>76.92</v>
      </c>
      <c r="K385" s="841" t="s">
        <v>5110</v>
      </c>
      <c r="L385" s="841" t="s">
        <v>442</v>
      </c>
      <c r="M385" s="1357"/>
      <c r="P385" s="841" t="s">
        <v>5111</v>
      </c>
      <c r="Q385" s="1357"/>
      <c r="S385" s="1420"/>
      <c r="T385" s="1420"/>
      <c r="V385" s="1357">
        <v>14</v>
      </c>
    </row>
    <row r="386" spans="1:22" s="841" customFormat="1" ht="15" x14ac:dyDescent="0.25">
      <c r="A386" s="841" t="s">
        <v>199</v>
      </c>
      <c r="E386" s="1690" t="s">
        <v>5109</v>
      </c>
      <c r="F386" s="1690"/>
      <c r="G386" s="631" t="s">
        <v>23</v>
      </c>
      <c r="H386" s="391">
        <v>0.56999999999999995</v>
      </c>
      <c r="K386" s="841" t="s">
        <v>5110</v>
      </c>
      <c r="L386" s="841" t="s">
        <v>443</v>
      </c>
      <c r="M386" s="1357"/>
      <c r="P386" s="841" t="s">
        <v>5112</v>
      </c>
      <c r="Q386" s="1357"/>
      <c r="S386" s="1420"/>
      <c r="T386" s="1420">
        <v>44926</v>
      </c>
      <c r="V386" s="1357">
        <v>64</v>
      </c>
    </row>
    <row r="387" spans="1:22" s="841" customFormat="1" ht="15" x14ac:dyDescent="0.25">
      <c r="A387" s="841" t="s">
        <v>199</v>
      </c>
      <c r="E387" s="1690" t="s">
        <v>84</v>
      </c>
      <c r="F387" s="1690"/>
      <c r="G387" s="695" t="s">
        <v>24</v>
      </c>
      <c r="H387" s="393">
        <v>4.7000000000000002E-3</v>
      </c>
      <c r="K387" s="841" t="s">
        <v>5110</v>
      </c>
      <c r="L387" s="841" t="s">
        <v>442</v>
      </c>
      <c r="M387" s="1357"/>
      <c r="P387" s="841" t="s">
        <v>5113</v>
      </c>
      <c r="Q387" s="1357"/>
      <c r="S387" s="1420"/>
      <c r="T387" s="1420"/>
      <c r="V387" s="1357">
        <v>28</v>
      </c>
    </row>
    <row r="388" spans="1:22" s="841" customFormat="1" ht="15" x14ac:dyDescent="0.25">
      <c r="A388" s="841" t="s">
        <v>199</v>
      </c>
      <c r="E388" s="1904" t="s">
        <v>5129</v>
      </c>
      <c r="F388" s="1962"/>
      <c r="G388" s="695" t="s">
        <v>24</v>
      </c>
      <c r="H388" s="393">
        <v>-2.5000000000000001E-3</v>
      </c>
      <c r="K388" s="841" t="s">
        <v>5110</v>
      </c>
      <c r="L388" s="841" t="s">
        <v>443</v>
      </c>
      <c r="M388" s="1357"/>
      <c r="P388" s="841" t="s">
        <v>4818</v>
      </c>
      <c r="Q388" s="1357"/>
      <c r="S388" s="1420"/>
      <c r="T388" s="1420">
        <v>43585</v>
      </c>
      <c r="V388" s="1357">
        <v>139</v>
      </c>
    </row>
    <row r="389" spans="1:22" s="841" customFormat="1" ht="15" x14ac:dyDescent="0.25">
      <c r="A389" s="841" t="s">
        <v>199</v>
      </c>
      <c r="E389" s="1690" t="s">
        <v>5130</v>
      </c>
      <c r="F389" s="1908"/>
      <c r="G389" s="695" t="s">
        <v>24</v>
      </c>
      <c r="H389" s="393">
        <v>-1.5E-3</v>
      </c>
      <c r="K389" s="841" t="s">
        <v>5110</v>
      </c>
      <c r="L389" s="841" t="s">
        <v>443</v>
      </c>
      <c r="M389" s="1357"/>
      <c r="P389" s="841" t="s">
        <v>5124</v>
      </c>
      <c r="Q389" s="1357"/>
      <c r="S389" s="1420"/>
      <c r="T389" s="1420">
        <v>43585</v>
      </c>
      <c r="V389" s="1357">
        <v>96</v>
      </c>
    </row>
    <row r="390" spans="1:22" s="841" customFormat="1" ht="15" x14ac:dyDescent="0.25">
      <c r="A390" s="841" t="s">
        <v>199</v>
      </c>
      <c r="E390" s="1690" t="s">
        <v>221</v>
      </c>
      <c r="F390" s="1690"/>
      <c r="G390" s="631" t="s">
        <v>24</v>
      </c>
      <c r="H390" s="393">
        <v>4.3E-3</v>
      </c>
      <c r="K390" s="841" t="s">
        <v>5110</v>
      </c>
      <c r="L390" s="841" t="s">
        <v>444</v>
      </c>
      <c r="M390" s="1357"/>
      <c r="P390" s="841" t="s">
        <v>5115</v>
      </c>
      <c r="Q390" s="1357"/>
      <c r="S390" s="1420"/>
      <c r="T390" s="1420"/>
      <c r="V390" s="1357">
        <v>47</v>
      </c>
    </row>
    <row r="391" spans="1:22" s="841" customFormat="1" ht="15" x14ac:dyDescent="0.25">
      <c r="A391" s="841" t="s">
        <v>199</v>
      </c>
      <c r="E391" s="1690" t="s">
        <v>227</v>
      </c>
      <c r="F391" s="1690"/>
      <c r="G391" s="631" t="s">
        <v>24</v>
      </c>
      <c r="H391" s="393">
        <v>3.0999999999999999E-3</v>
      </c>
      <c r="K391" s="841" t="s">
        <v>5110</v>
      </c>
      <c r="L391" s="841" t="s">
        <v>444</v>
      </c>
      <c r="M391" s="1357"/>
      <c r="P391" s="841" t="s">
        <v>5131</v>
      </c>
      <c r="Q391" s="1357"/>
      <c r="S391" s="1420"/>
      <c r="T391" s="1420"/>
      <c r="V391" s="1357">
        <v>65</v>
      </c>
    </row>
    <row r="392" spans="1:22" s="841" customFormat="1" ht="15" x14ac:dyDescent="0.25">
      <c r="A392" s="841" t="s">
        <v>199</v>
      </c>
      <c r="E392" s="1694" t="s">
        <v>3079</v>
      </c>
      <c r="F392" s="1906"/>
      <c r="G392" s="1408"/>
      <c r="H392" s="1408"/>
      <c r="K392" s="841" t="s">
        <v>3093</v>
      </c>
      <c r="M392" s="1357"/>
      <c r="Q392" s="1357"/>
      <c r="S392" s="1420"/>
      <c r="T392" s="1420"/>
      <c r="V392" s="1357">
        <v>48</v>
      </c>
    </row>
    <row r="393" spans="1:22" s="841" customFormat="1" ht="15" x14ac:dyDescent="0.25">
      <c r="A393" s="841" t="s">
        <v>199</v>
      </c>
      <c r="E393" s="1690" t="s">
        <v>2449</v>
      </c>
      <c r="F393" s="1690"/>
      <c r="G393" s="695" t="s">
        <v>24</v>
      </c>
      <c r="H393" s="393">
        <v>3.2000000000000002E-3</v>
      </c>
      <c r="K393" s="841" t="s">
        <v>5110</v>
      </c>
      <c r="L393" s="841" t="s">
        <v>3046</v>
      </c>
      <c r="M393" s="1357"/>
      <c r="P393" s="841" t="s">
        <v>5117</v>
      </c>
      <c r="Q393" s="1357"/>
      <c r="S393" s="1420"/>
      <c r="T393" s="1420"/>
      <c r="V393" s="1357">
        <v>55</v>
      </c>
    </row>
    <row r="394" spans="1:22" s="841" customFormat="1" ht="15" x14ac:dyDescent="0.25">
      <c r="A394" s="841" t="s">
        <v>199</v>
      </c>
      <c r="E394" s="1690" t="s">
        <v>2450</v>
      </c>
      <c r="F394" s="1690"/>
      <c r="G394" s="695" t="s">
        <v>24</v>
      </c>
      <c r="H394" s="393">
        <v>4.0000000000000002E-4</v>
      </c>
      <c r="K394" s="841" t="s">
        <v>5110</v>
      </c>
      <c r="L394" s="841" t="s">
        <v>3046</v>
      </c>
      <c r="M394" s="1357"/>
      <c r="P394" s="841" t="s">
        <v>5117</v>
      </c>
      <c r="Q394" s="1357"/>
      <c r="S394" s="1420"/>
      <c r="T394" s="1420"/>
      <c r="V394" s="1357">
        <v>65</v>
      </c>
    </row>
    <row r="395" spans="1:22" s="841" customFormat="1" ht="15" x14ac:dyDescent="0.25">
      <c r="A395" s="841" t="s">
        <v>199</v>
      </c>
      <c r="E395" s="1690" t="s">
        <v>439</v>
      </c>
      <c r="F395" s="1690"/>
      <c r="G395" s="1408" t="s">
        <v>24</v>
      </c>
      <c r="H395" s="393">
        <v>2.9999999999999997E-4</v>
      </c>
      <c r="K395" s="841" t="s">
        <v>5110</v>
      </c>
      <c r="L395" s="841" t="s">
        <v>3046</v>
      </c>
      <c r="M395" s="1357"/>
      <c r="P395" s="841" t="s">
        <v>5118</v>
      </c>
      <c r="Q395" s="1357"/>
      <c r="S395" s="1420"/>
      <c r="T395" s="1420"/>
      <c r="V395" s="1357">
        <v>57</v>
      </c>
    </row>
    <row r="396" spans="1:22" s="841" customFormat="1" ht="15" x14ac:dyDescent="0.25">
      <c r="A396" s="841" t="s">
        <v>199</v>
      </c>
      <c r="E396" s="1690" t="s">
        <v>32</v>
      </c>
      <c r="F396" s="1690"/>
      <c r="G396" s="1408" t="s">
        <v>23</v>
      </c>
      <c r="H396" s="391">
        <v>0.25</v>
      </c>
      <c r="K396" s="841" t="s">
        <v>5110</v>
      </c>
      <c r="L396" s="841" t="s">
        <v>3046</v>
      </c>
      <c r="M396" s="1357"/>
      <c r="P396" s="841" t="s">
        <v>5119</v>
      </c>
      <c r="Q396" s="1357"/>
      <c r="S396" s="1420"/>
      <c r="T396" s="1420"/>
      <c r="V396" s="1357">
        <v>63</v>
      </c>
    </row>
    <row r="397" spans="1:22" s="841" customFormat="1" x14ac:dyDescent="0.25">
      <c r="A397" s="841" t="s">
        <v>199</v>
      </c>
      <c r="E397" s="1909" t="s">
        <v>616</v>
      </c>
      <c r="F397" s="1923"/>
      <c r="G397" s="1923"/>
      <c r="H397" s="1923"/>
      <c r="K397" s="841" t="s">
        <v>6095</v>
      </c>
      <c r="M397" s="1357"/>
      <c r="Q397" s="1357"/>
      <c r="S397" s="1420"/>
      <c r="T397" s="1420"/>
      <c r="V397" s="1357">
        <v>53</v>
      </c>
    </row>
    <row r="398" spans="1:22" s="841" customFormat="1" ht="15" x14ac:dyDescent="0.25">
      <c r="A398" s="841" t="s">
        <v>199</v>
      </c>
      <c r="E398" s="1689" t="s">
        <v>4788</v>
      </c>
      <c r="F398" s="1689"/>
      <c r="G398" s="1689"/>
      <c r="H398" s="1689"/>
      <c r="K398" s="841" t="s">
        <v>6095</v>
      </c>
      <c r="M398" s="1357"/>
      <c r="Q398" s="1357"/>
      <c r="S398" s="1420"/>
      <c r="T398" s="1420"/>
      <c r="V398" s="1357">
        <v>308</v>
      </c>
    </row>
    <row r="399" spans="1:22" s="841" customFormat="1" ht="15" x14ac:dyDescent="0.25">
      <c r="A399" s="841" t="s">
        <v>199</v>
      </c>
      <c r="E399" s="1916" t="s">
        <v>3061</v>
      </c>
      <c r="F399" s="1697"/>
      <c r="G399" s="1697"/>
      <c r="H399" s="1697"/>
      <c r="K399" s="841" t="s">
        <v>3098</v>
      </c>
      <c r="M399" s="1357"/>
      <c r="Q399" s="1357"/>
      <c r="S399" s="1420"/>
      <c r="T399" s="1420"/>
      <c r="V399" s="1357">
        <v>11</v>
      </c>
    </row>
    <row r="400" spans="1:22" s="841" customFormat="1" ht="15" x14ac:dyDescent="0.25">
      <c r="A400" s="841" t="s">
        <v>199</v>
      </c>
      <c r="E400" s="1689" t="s">
        <v>3063</v>
      </c>
      <c r="F400" s="1689"/>
      <c r="G400" s="1689"/>
      <c r="H400" s="1689"/>
      <c r="K400" s="841" t="s">
        <v>6095</v>
      </c>
      <c r="M400" s="1357"/>
      <c r="Q400" s="1357"/>
      <c r="S400" s="1420"/>
      <c r="T400" s="1420"/>
      <c r="V400" s="1357">
        <v>280</v>
      </c>
    </row>
    <row r="401" spans="1:22" s="841" customFormat="1" ht="15" x14ac:dyDescent="0.25">
      <c r="A401" s="841" t="s">
        <v>199</v>
      </c>
      <c r="E401" s="1689" t="s">
        <v>3064</v>
      </c>
      <c r="F401" s="1689"/>
      <c r="G401" s="1689"/>
      <c r="H401" s="1689"/>
      <c r="K401" s="841" t="s">
        <v>6095</v>
      </c>
      <c r="M401" s="1357"/>
      <c r="Q401" s="1357"/>
      <c r="S401" s="1420"/>
      <c r="T401" s="1420"/>
      <c r="V401" s="1357">
        <v>411</v>
      </c>
    </row>
    <row r="402" spans="1:22" s="841" customFormat="1" ht="15" x14ac:dyDescent="0.25">
      <c r="A402" s="841" t="s">
        <v>199</v>
      </c>
      <c r="E402" s="1689" t="s">
        <v>3065</v>
      </c>
      <c r="F402" s="1689"/>
      <c r="G402" s="1689"/>
      <c r="H402" s="1689"/>
      <c r="K402" s="841" t="s">
        <v>6095</v>
      </c>
      <c r="M402" s="1357"/>
      <c r="Q402" s="1357"/>
      <c r="S402" s="1420"/>
      <c r="T402" s="1420"/>
      <c r="V402" s="1357">
        <v>387</v>
      </c>
    </row>
    <row r="403" spans="1:22" s="841" customFormat="1" ht="15" x14ac:dyDescent="0.25">
      <c r="A403" s="841" t="s">
        <v>199</v>
      </c>
      <c r="E403" s="1689" t="s">
        <v>5132</v>
      </c>
      <c r="F403" s="1689"/>
      <c r="G403" s="1689"/>
      <c r="H403" s="1689"/>
      <c r="K403" s="841" t="s">
        <v>6095</v>
      </c>
      <c r="M403" s="1357"/>
      <c r="Q403" s="1357"/>
      <c r="S403" s="1420"/>
      <c r="T403" s="1420"/>
      <c r="V403" s="1357">
        <v>658</v>
      </c>
    </row>
    <row r="404" spans="1:22" s="841" customFormat="1" ht="15" x14ac:dyDescent="0.25">
      <c r="A404" s="841" t="s">
        <v>199</v>
      </c>
      <c r="E404" s="1689" t="s">
        <v>3200</v>
      </c>
      <c r="F404" s="1689"/>
      <c r="G404" s="1689"/>
      <c r="H404" s="1689"/>
      <c r="K404" s="841" t="s">
        <v>6095</v>
      </c>
      <c r="M404" s="1357"/>
      <c r="Q404" s="1357"/>
      <c r="S404" s="1420"/>
      <c r="T404" s="1420"/>
      <c r="V404" s="1357">
        <v>275</v>
      </c>
    </row>
    <row r="405" spans="1:22" s="841" customFormat="1" ht="15" x14ac:dyDescent="0.25">
      <c r="A405" s="841" t="s">
        <v>199</v>
      </c>
      <c r="E405" s="1694" t="s">
        <v>3067</v>
      </c>
      <c r="F405" s="1907"/>
      <c r="G405" s="1907"/>
      <c r="H405" s="1907"/>
      <c r="K405" s="841" t="s">
        <v>3099</v>
      </c>
      <c r="M405" s="1357"/>
      <c r="Q405" s="1357"/>
      <c r="S405" s="1420"/>
      <c r="T405" s="1420"/>
      <c r="V405" s="1357">
        <v>46</v>
      </c>
    </row>
    <row r="406" spans="1:22" s="841" customFormat="1" ht="15" x14ac:dyDescent="0.25">
      <c r="A406" s="841" t="s">
        <v>199</v>
      </c>
      <c r="E406" s="1690" t="s">
        <v>11</v>
      </c>
      <c r="F406" s="1690"/>
      <c r="G406" s="695" t="s">
        <v>23</v>
      </c>
      <c r="H406" s="391">
        <v>568.76</v>
      </c>
      <c r="K406" s="841" t="s">
        <v>6095</v>
      </c>
      <c r="L406" s="841" t="s">
        <v>442</v>
      </c>
      <c r="M406" s="1357"/>
      <c r="P406" s="841" t="s">
        <v>6096</v>
      </c>
      <c r="Q406" s="1357"/>
      <c r="S406" s="1420"/>
      <c r="T406" s="1420"/>
      <c r="V406" s="1357">
        <v>14</v>
      </c>
    </row>
    <row r="407" spans="1:22" s="841" customFormat="1" ht="15" x14ac:dyDescent="0.25">
      <c r="A407" s="841" t="s">
        <v>199</v>
      </c>
      <c r="E407" s="1690" t="s">
        <v>84</v>
      </c>
      <c r="F407" s="1690"/>
      <c r="G407" s="695" t="s">
        <v>33</v>
      </c>
      <c r="H407" s="393">
        <v>3.7805</v>
      </c>
      <c r="K407" s="841" t="s">
        <v>6095</v>
      </c>
      <c r="L407" s="841" t="s">
        <v>442</v>
      </c>
      <c r="M407" s="1357"/>
      <c r="P407" s="841" t="s">
        <v>6097</v>
      </c>
      <c r="Q407" s="1357"/>
      <c r="S407" s="1420"/>
      <c r="T407" s="1420"/>
      <c r="V407" s="1357">
        <v>28</v>
      </c>
    </row>
    <row r="408" spans="1:22" s="841" customFormat="1" ht="15" x14ac:dyDescent="0.25">
      <c r="A408" s="841" t="s">
        <v>199</v>
      </c>
      <c r="E408" s="1904" t="s">
        <v>5129</v>
      </c>
      <c r="F408" s="1962"/>
      <c r="G408" s="695" t="s">
        <v>24</v>
      </c>
      <c r="H408" s="393">
        <v>-2.5000000000000001E-3</v>
      </c>
      <c r="K408" s="841" t="s">
        <v>6095</v>
      </c>
      <c r="L408" s="841" t="s">
        <v>443</v>
      </c>
      <c r="M408" s="1357"/>
      <c r="P408" s="841" t="s">
        <v>6104</v>
      </c>
      <c r="Q408" s="1357"/>
      <c r="S408" s="1420"/>
      <c r="T408" s="1420">
        <v>43585</v>
      </c>
      <c r="V408" s="1357">
        <v>139</v>
      </c>
    </row>
    <row r="409" spans="1:22" s="841" customFormat="1" ht="15" x14ac:dyDescent="0.25">
      <c r="A409" s="841" t="s">
        <v>199</v>
      </c>
      <c r="E409" s="1690" t="s">
        <v>5130</v>
      </c>
      <c r="F409" s="1908"/>
      <c r="G409" s="695" t="s">
        <v>33</v>
      </c>
      <c r="H409" s="393">
        <v>-0.77690000000000003</v>
      </c>
      <c r="K409" s="841" t="s">
        <v>6095</v>
      </c>
      <c r="L409" s="841" t="s">
        <v>443</v>
      </c>
      <c r="M409" s="1357"/>
      <c r="P409" s="841" t="s">
        <v>6105</v>
      </c>
      <c r="Q409" s="1357"/>
      <c r="S409" s="1420"/>
      <c r="T409" s="1420">
        <v>43585</v>
      </c>
      <c r="V409" s="1357">
        <v>96</v>
      </c>
    </row>
    <row r="410" spans="1:22" s="841" customFormat="1" ht="15" x14ac:dyDescent="0.25">
      <c r="A410" s="841" t="s">
        <v>199</v>
      </c>
      <c r="E410" s="1690" t="s">
        <v>221</v>
      </c>
      <c r="F410" s="1690"/>
      <c r="G410" s="631" t="s">
        <v>33</v>
      </c>
      <c r="H410" s="393">
        <v>1.7565</v>
      </c>
      <c r="K410" s="841" t="s">
        <v>6095</v>
      </c>
      <c r="L410" s="841" t="s">
        <v>444</v>
      </c>
      <c r="M410" s="1357"/>
      <c r="P410" s="841" t="s">
        <v>6099</v>
      </c>
      <c r="Q410" s="1357"/>
      <c r="S410" s="1420"/>
      <c r="T410" s="1420"/>
      <c r="V410" s="1357">
        <v>47</v>
      </c>
    </row>
    <row r="411" spans="1:22" s="841" customFormat="1" ht="15" x14ac:dyDescent="0.25">
      <c r="A411" s="841" t="s">
        <v>199</v>
      </c>
      <c r="E411" s="1690" t="s">
        <v>217</v>
      </c>
      <c r="F411" s="1690"/>
      <c r="G411" s="631" t="s">
        <v>33</v>
      </c>
      <c r="H411" s="393">
        <v>1.2421</v>
      </c>
      <c r="K411" s="841" t="s">
        <v>6095</v>
      </c>
      <c r="L411" s="841" t="s">
        <v>444</v>
      </c>
      <c r="M411" s="1357"/>
      <c r="P411" s="841" t="s">
        <v>6100</v>
      </c>
      <c r="Q411" s="1357"/>
      <c r="S411" s="1420"/>
      <c r="T411" s="1420"/>
      <c r="V411" s="1357">
        <v>74</v>
      </c>
    </row>
    <row r="412" spans="1:22" s="841" customFormat="1" ht="15" x14ac:dyDescent="0.25">
      <c r="A412" s="841" t="s">
        <v>199</v>
      </c>
      <c r="E412" s="1690" t="s">
        <v>223</v>
      </c>
      <c r="F412" s="1690"/>
      <c r="G412" s="631" t="s">
        <v>33</v>
      </c>
      <c r="H412" s="393">
        <v>1.8634999999999999</v>
      </c>
      <c r="K412" s="841" t="s">
        <v>6095</v>
      </c>
      <c r="L412" s="841" t="s">
        <v>444</v>
      </c>
      <c r="M412" s="1357"/>
      <c r="P412" s="841" t="s">
        <v>6107</v>
      </c>
      <c r="Q412" s="1357"/>
      <c r="S412" s="1420"/>
      <c r="T412" s="1420"/>
      <c r="V412" s="1357">
        <v>66</v>
      </c>
    </row>
    <row r="413" spans="1:22" s="841" customFormat="1" ht="15" x14ac:dyDescent="0.25">
      <c r="A413" s="841" t="s">
        <v>199</v>
      </c>
      <c r="E413" s="1690" t="s">
        <v>219</v>
      </c>
      <c r="F413" s="1690"/>
      <c r="G413" s="631" t="s">
        <v>33</v>
      </c>
      <c r="H413" s="393">
        <v>1.3729</v>
      </c>
      <c r="K413" s="841" t="s">
        <v>6095</v>
      </c>
      <c r="L413" s="841" t="s">
        <v>444</v>
      </c>
      <c r="M413" s="1357"/>
      <c r="P413" s="841" t="s">
        <v>6108</v>
      </c>
      <c r="Q413" s="1357"/>
      <c r="S413" s="1420"/>
      <c r="T413" s="1420"/>
      <c r="V413" s="1357">
        <v>93</v>
      </c>
    </row>
    <row r="414" spans="1:22" s="841" customFormat="1" ht="15" x14ac:dyDescent="0.25">
      <c r="A414" s="841" t="s">
        <v>199</v>
      </c>
      <c r="E414" s="1694" t="s">
        <v>3079</v>
      </c>
      <c r="F414" s="1690"/>
      <c r="G414" s="1408"/>
      <c r="H414" s="1408"/>
      <c r="K414" s="841" t="s">
        <v>3218</v>
      </c>
      <c r="M414" s="1357"/>
      <c r="Q414" s="1357"/>
      <c r="S414" s="1420"/>
      <c r="T414" s="1420"/>
      <c r="V414" s="1357">
        <v>48</v>
      </c>
    </row>
    <row r="415" spans="1:22" s="841" customFormat="1" ht="15" x14ac:dyDescent="0.25">
      <c r="A415" s="841" t="s">
        <v>199</v>
      </c>
      <c r="E415" s="1690" t="s">
        <v>2449</v>
      </c>
      <c r="F415" s="1690"/>
      <c r="G415" s="695" t="s">
        <v>24</v>
      </c>
      <c r="H415" s="393">
        <v>3.2000000000000002E-3</v>
      </c>
      <c r="K415" s="841" t="s">
        <v>6095</v>
      </c>
      <c r="L415" s="841" t="s">
        <v>3046</v>
      </c>
      <c r="M415" s="1357"/>
      <c r="P415" s="841" t="s">
        <v>6101</v>
      </c>
      <c r="Q415" s="1357"/>
      <c r="S415" s="1420"/>
      <c r="T415" s="1420"/>
      <c r="V415" s="1357">
        <v>55</v>
      </c>
    </row>
    <row r="416" spans="1:22" s="841" customFormat="1" ht="15" x14ac:dyDescent="0.25">
      <c r="A416" s="841" t="s">
        <v>199</v>
      </c>
      <c r="E416" s="1690" t="s">
        <v>2450</v>
      </c>
      <c r="F416" s="1690"/>
      <c r="G416" s="695" t="s">
        <v>24</v>
      </c>
      <c r="H416" s="393">
        <v>4.0000000000000002E-4</v>
      </c>
      <c r="K416" s="841" t="s">
        <v>6095</v>
      </c>
      <c r="L416" s="841" t="s">
        <v>3046</v>
      </c>
      <c r="M416" s="1357"/>
      <c r="P416" s="841" t="s">
        <v>6101</v>
      </c>
      <c r="Q416" s="1357"/>
      <c r="S416" s="1420"/>
      <c r="T416" s="1420"/>
      <c r="V416" s="1357">
        <v>65</v>
      </c>
    </row>
    <row r="417" spans="1:22" s="841" customFormat="1" ht="15" x14ac:dyDescent="0.25">
      <c r="A417" s="841" t="s">
        <v>199</v>
      </c>
      <c r="E417" s="1690" t="s">
        <v>439</v>
      </c>
      <c r="F417" s="1690"/>
      <c r="G417" s="1408" t="s">
        <v>24</v>
      </c>
      <c r="H417" s="393">
        <v>2.9999999999999997E-4</v>
      </c>
      <c r="K417" s="841" t="s">
        <v>6095</v>
      </c>
      <c r="L417" s="841" t="s">
        <v>3046</v>
      </c>
      <c r="M417" s="1357"/>
      <c r="P417" s="841" t="s">
        <v>6102</v>
      </c>
      <c r="Q417" s="1357"/>
      <c r="S417" s="1420"/>
      <c r="T417" s="1420"/>
      <c r="V417" s="1357">
        <v>57</v>
      </c>
    </row>
    <row r="418" spans="1:22" s="841" customFormat="1" ht="15" x14ac:dyDescent="0.25">
      <c r="A418" s="841" t="s">
        <v>199</v>
      </c>
      <c r="E418" s="1690" t="s">
        <v>32</v>
      </c>
      <c r="F418" s="1690"/>
      <c r="G418" s="1408" t="s">
        <v>23</v>
      </c>
      <c r="H418" s="391">
        <v>0.25</v>
      </c>
      <c r="K418" s="841" t="s">
        <v>6095</v>
      </c>
      <c r="L418" s="841" t="s">
        <v>3046</v>
      </c>
      <c r="M418" s="1357"/>
      <c r="P418" s="841" t="s">
        <v>6103</v>
      </c>
      <c r="Q418" s="1357"/>
      <c r="S418" s="1420"/>
      <c r="T418" s="1420"/>
      <c r="V418" s="1357">
        <v>63</v>
      </c>
    </row>
    <row r="419" spans="1:22" s="841" customFormat="1" x14ac:dyDescent="0.25">
      <c r="A419" s="841" t="s">
        <v>199</v>
      </c>
      <c r="E419" s="1909" t="s">
        <v>615</v>
      </c>
      <c r="F419" s="1915"/>
      <c r="G419" s="1915"/>
      <c r="H419" s="1915"/>
      <c r="K419" s="841" t="s">
        <v>4516</v>
      </c>
      <c r="M419" s="1357"/>
      <c r="Q419" s="1357"/>
      <c r="S419" s="1420"/>
      <c r="T419" s="1420"/>
      <c r="V419" s="1357">
        <v>38</v>
      </c>
    </row>
    <row r="420" spans="1:22" s="841" customFormat="1" ht="15" x14ac:dyDescent="0.25">
      <c r="A420" s="841" t="s">
        <v>199</v>
      </c>
      <c r="E420" s="1689" t="s">
        <v>4789</v>
      </c>
      <c r="F420" s="1689"/>
      <c r="G420" s="1689"/>
      <c r="H420" s="1689"/>
      <c r="K420" s="841" t="s">
        <v>4516</v>
      </c>
      <c r="M420" s="1357"/>
      <c r="Q420" s="1357"/>
      <c r="S420" s="1420"/>
      <c r="T420" s="1420"/>
      <c r="V420" s="1357">
        <v>479</v>
      </c>
    </row>
    <row r="421" spans="1:22" s="841" customFormat="1" ht="15" x14ac:dyDescent="0.25">
      <c r="A421" s="841" t="s">
        <v>199</v>
      </c>
      <c r="E421" s="1916" t="s">
        <v>3061</v>
      </c>
      <c r="F421" s="1697"/>
      <c r="G421" s="1697"/>
      <c r="H421" s="1697"/>
      <c r="K421" s="841" t="s">
        <v>3221</v>
      </c>
      <c r="M421" s="1357"/>
      <c r="Q421" s="1357"/>
      <c r="S421" s="1420"/>
      <c r="T421" s="1420"/>
      <c r="V421" s="1357">
        <v>11</v>
      </c>
    </row>
    <row r="422" spans="1:22" s="841" customFormat="1" ht="15" x14ac:dyDescent="0.25">
      <c r="A422" s="841" t="s">
        <v>199</v>
      </c>
      <c r="E422" s="1689" t="s">
        <v>3063</v>
      </c>
      <c r="F422" s="1689"/>
      <c r="G422" s="1689"/>
      <c r="H422" s="1689"/>
      <c r="K422" s="841" t="s">
        <v>4516</v>
      </c>
      <c r="M422" s="1357"/>
      <c r="Q422" s="1357"/>
      <c r="S422" s="1420"/>
      <c r="T422" s="1420"/>
      <c r="V422" s="1357">
        <v>280</v>
      </c>
    </row>
    <row r="423" spans="1:22" s="841" customFormat="1" ht="15" x14ac:dyDescent="0.25">
      <c r="A423" s="841" t="s">
        <v>199</v>
      </c>
      <c r="E423" s="1689" t="s">
        <v>3064</v>
      </c>
      <c r="F423" s="1689"/>
      <c r="G423" s="1689"/>
      <c r="H423" s="1689"/>
      <c r="K423" s="841" t="s">
        <v>4516</v>
      </c>
      <c r="M423" s="1357"/>
      <c r="Q423" s="1357"/>
      <c r="S423" s="1420"/>
      <c r="T423" s="1420"/>
      <c r="V423" s="1357">
        <v>411</v>
      </c>
    </row>
    <row r="424" spans="1:22" s="841" customFormat="1" ht="15" x14ac:dyDescent="0.25">
      <c r="A424" s="841" t="s">
        <v>199</v>
      </c>
      <c r="E424" s="1689" t="s">
        <v>3065</v>
      </c>
      <c r="F424" s="1689"/>
      <c r="G424" s="1689"/>
      <c r="H424" s="1689"/>
      <c r="K424" s="841" t="s">
        <v>4516</v>
      </c>
      <c r="M424" s="1357"/>
      <c r="Q424" s="1357"/>
      <c r="S424" s="1420"/>
      <c r="T424" s="1420"/>
      <c r="V424" s="1357">
        <v>387</v>
      </c>
    </row>
    <row r="425" spans="1:22" s="841" customFormat="1" ht="15" x14ac:dyDescent="0.25">
      <c r="A425" s="841" t="s">
        <v>199</v>
      </c>
      <c r="E425" s="1689" t="s">
        <v>3200</v>
      </c>
      <c r="F425" s="1689"/>
      <c r="G425" s="1689"/>
      <c r="H425" s="1689"/>
      <c r="K425" s="841" t="s">
        <v>4516</v>
      </c>
      <c r="M425" s="1357"/>
      <c r="Q425" s="1357"/>
      <c r="S425" s="1420"/>
      <c r="T425" s="1420"/>
      <c r="V425" s="1357">
        <v>275</v>
      </c>
    </row>
    <row r="426" spans="1:22" s="841" customFormat="1" ht="15" x14ac:dyDescent="0.25">
      <c r="A426" s="841" t="s">
        <v>199</v>
      </c>
      <c r="E426" s="1694" t="s">
        <v>3067</v>
      </c>
      <c r="F426" s="1907"/>
      <c r="G426" s="1907"/>
      <c r="H426" s="1907"/>
      <c r="K426" s="841" t="s">
        <v>3224</v>
      </c>
      <c r="M426" s="1357"/>
      <c r="Q426" s="1357"/>
      <c r="S426" s="1420"/>
      <c r="T426" s="1420"/>
      <c r="V426" s="1357">
        <v>46</v>
      </c>
    </row>
    <row r="427" spans="1:22" s="841" customFormat="1" ht="15" x14ac:dyDescent="0.25">
      <c r="A427" s="841" t="s">
        <v>199</v>
      </c>
      <c r="E427" s="1690" t="s">
        <v>12</v>
      </c>
      <c r="F427" s="1690"/>
      <c r="G427" s="695" t="s">
        <v>23</v>
      </c>
      <c r="H427" s="391">
        <v>14.57</v>
      </c>
      <c r="K427" s="841" t="s">
        <v>4516</v>
      </c>
      <c r="L427" s="841" t="s">
        <v>442</v>
      </c>
      <c r="M427" s="1357"/>
      <c r="P427" s="841" t="s">
        <v>4517</v>
      </c>
      <c r="Q427" s="1357"/>
      <c r="S427" s="1420"/>
      <c r="T427" s="1420"/>
      <c r="V427" s="1357">
        <v>31</v>
      </c>
    </row>
    <row r="428" spans="1:22" s="841" customFormat="1" ht="15" x14ac:dyDescent="0.25">
      <c r="A428" s="841" t="s">
        <v>199</v>
      </c>
      <c r="E428" s="1690" t="s">
        <v>84</v>
      </c>
      <c r="F428" s="1690"/>
      <c r="G428" s="695" t="s">
        <v>33</v>
      </c>
      <c r="H428" s="393">
        <v>10.3087</v>
      </c>
      <c r="K428" s="841" t="s">
        <v>4516</v>
      </c>
      <c r="L428" s="841" t="s">
        <v>442</v>
      </c>
      <c r="M428" s="1357"/>
      <c r="P428" s="841" t="s">
        <v>4518</v>
      </c>
      <c r="Q428" s="1357"/>
      <c r="S428" s="1420"/>
      <c r="T428" s="1420"/>
      <c r="V428" s="1357">
        <v>28</v>
      </c>
    </row>
    <row r="429" spans="1:22" s="841" customFormat="1" ht="15" x14ac:dyDescent="0.25">
      <c r="A429" s="841" t="s">
        <v>199</v>
      </c>
      <c r="E429" s="1904" t="s">
        <v>5129</v>
      </c>
      <c r="F429" s="1962"/>
      <c r="G429" s="695" t="s">
        <v>24</v>
      </c>
      <c r="H429" s="393">
        <v>-2.5000000000000001E-3</v>
      </c>
      <c r="K429" s="841" t="s">
        <v>4516</v>
      </c>
      <c r="L429" s="841" t="s">
        <v>443</v>
      </c>
      <c r="M429" s="1357"/>
      <c r="P429" s="841" t="s">
        <v>5133</v>
      </c>
      <c r="Q429" s="1357"/>
      <c r="S429" s="1420"/>
      <c r="T429" s="1420">
        <v>43585</v>
      </c>
      <c r="V429" s="1357">
        <v>139</v>
      </c>
    </row>
    <row r="430" spans="1:22" s="841" customFormat="1" ht="15" x14ac:dyDescent="0.25">
      <c r="A430" s="841" t="s">
        <v>199</v>
      </c>
      <c r="E430" s="1690" t="s">
        <v>5130</v>
      </c>
      <c r="F430" s="1908"/>
      <c r="G430" s="695" t="s">
        <v>33</v>
      </c>
      <c r="H430" s="393">
        <v>-0.54420000000000002</v>
      </c>
      <c r="K430" s="841" t="s">
        <v>4516</v>
      </c>
      <c r="L430" s="841" t="s">
        <v>443</v>
      </c>
      <c r="M430" s="1357"/>
      <c r="P430" s="841" t="s">
        <v>5134</v>
      </c>
      <c r="Q430" s="1357"/>
      <c r="S430" s="1420"/>
      <c r="T430" s="1420">
        <v>43585</v>
      </c>
      <c r="V430" s="1357">
        <v>96</v>
      </c>
    </row>
    <row r="431" spans="1:22" s="841" customFormat="1" ht="15" x14ac:dyDescent="0.25">
      <c r="A431" s="841" t="s">
        <v>199</v>
      </c>
      <c r="E431" s="1690" t="s">
        <v>221</v>
      </c>
      <c r="F431" s="1690"/>
      <c r="G431" s="631" t="s">
        <v>33</v>
      </c>
      <c r="H431" s="393">
        <v>1.3248</v>
      </c>
      <c r="K431" s="841" t="s">
        <v>4516</v>
      </c>
      <c r="L431" s="841" t="s">
        <v>444</v>
      </c>
      <c r="M431" s="1357"/>
      <c r="P431" s="841" t="s">
        <v>4519</v>
      </c>
      <c r="Q431" s="1357"/>
      <c r="S431" s="1420"/>
      <c r="T431" s="1420"/>
      <c r="V431" s="1357">
        <v>47</v>
      </c>
    </row>
    <row r="432" spans="1:22" s="841" customFormat="1" ht="15" x14ac:dyDescent="0.25">
      <c r="A432" s="841" t="s">
        <v>199</v>
      </c>
      <c r="E432" s="1690" t="s">
        <v>217</v>
      </c>
      <c r="F432" s="1690"/>
      <c r="G432" s="631" t="s">
        <v>33</v>
      </c>
      <c r="H432" s="393">
        <v>0.96009999999999995</v>
      </c>
      <c r="K432" s="841" t="s">
        <v>4516</v>
      </c>
      <c r="L432" s="841" t="s">
        <v>444</v>
      </c>
      <c r="M432" s="1357"/>
      <c r="P432" s="841" t="s">
        <v>4520</v>
      </c>
      <c r="Q432" s="1357"/>
      <c r="S432" s="1420"/>
      <c r="T432" s="1420"/>
      <c r="V432" s="1357">
        <v>74</v>
      </c>
    </row>
    <row r="433" spans="1:22" s="841" customFormat="1" ht="15" x14ac:dyDescent="0.25">
      <c r="A433" s="841" t="s">
        <v>199</v>
      </c>
      <c r="E433" s="1694" t="s">
        <v>3079</v>
      </c>
      <c r="F433" s="1690"/>
      <c r="G433" s="1408"/>
      <c r="H433" s="1408"/>
      <c r="K433" s="841" t="s">
        <v>3225</v>
      </c>
      <c r="M433" s="1357"/>
      <c r="Q433" s="1357"/>
      <c r="S433" s="1420"/>
      <c r="T433" s="1420"/>
      <c r="V433" s="1357">
        <v>48</v>
      </c>
    </row>
    <row r="434" spans="1:22" s="841" customFormat="1" ht="15" x14ac:dyDescent="0.25">
      <c r="A434" s="841" t="s">
        <v>199</v>
      </c>
      <c r="E434" s="1690" t="s">
        <v>2449</v>
      </c>
      <c r="F434" s="1690"/>
      <c r="G434" s="695" t="s">
        <v>24</v>
      </c>
      <c r="H434" s="393">
        <v>3.2000000000000002E-3</v>
      </c>
      <c r="K434" s="841" t="s">
        <v>4516</v>
      </c>
      <c r="L434" s="841" t="s">
        <v>3046</v>
      </c>
      <c r="M434" s="1357"/>
      <c r="P434" s="841" t="s">
        <v>4521</v>
      </c>
      <c r="Q434" s="1357"/>
      <c r="S434" s="1420"/>
      <c r="T434" s="1420"/>
      <c r="V434" s="1357">
        <v>55</v>
      </c>
    </row>
    <row r="435" spans="1:22" s="841" customFormat="1" ht="15" x14ac:dyDescent="0.25">
      <c r="A435" s="841" t="s">
        <v>199</v>
      </c>
      <c r="E435" s="1690" t="s">
        <v>2450</v>
      </c>
      <c r="F435" s="1690"/>
      <c r="G435" s="695" t="s">
        <v>24</v>
      </c>
      <c r="H435" s="393">
        <v>4.0000000000000002E-4</v>
      </c>
      <c r="K435" s="841" t="s">
        <v>4516</v>
      </c>
      <c r="L435" s="841" t="s">
        <v>3046</v>
      </c>
      <c r="M435" s="1357"/>
      <c r="P435" s="841" t="s">
        <v>4521</v>
      </c>
      <c r="Q435" s="1357"/>
      <c r="S435" s="1420"/>
      <c r="T435" s="1420"/>
      <c r="V435" s="1357">
        <v>65</v>
      </c>
    </row>
    <row r="436" spans="1:22" s="841" customFormat="1" ht="15" x14ac:dyDescent="0.25">
      <c r="A436" s="841" t="s">
        <v>199</v>
      </c>
      <c r="E436" s="1690" t="s">
        <v>439</v>
      </c>
      <c r="F436" s="1690"/>
      <c r="G436" s="1408" t="s">
        <v>24</v>
      </c>
      <c r="H436" s="393">
        <v>2.9999999999999997E-4</v>
      </c>
      <c r="K436" s="841" t="s">
        <v>4516</v>
      </c>
      <c r="L436" s="841" t="s">
        <v>3046</v>
      </c>
      <c r="M436" s="1357"/>
      <c r="P436" s="841" t="s">
        <v>4522</v>
      </c>
      <c r="Q436" s="1357"/>
      <c r="S436" s="1420"/>
      <c r="T436" s="1420"/>
      <c r="V436" s="1357">
        <v>57</v>
      </c>
    </row>
    <row r="437" spans="1:22" s="841" customFormat="1" ht="15" x14ac:dyDescent="0.25">
      <c r="A437" s="841" t="s">
        <v>199</v>
      </c>
      <c r="E437" s="1690" t="s">
        <v>32</v>
      </c>
      <c r="F437" s="1690"/>
      <c r="G437" s="1408" t="s">
        <v>23</v>
      </c>
      <c r="H437" s="391">
        <v>0.25</v>
      </c>
      <c r="K437" s="841" t="s">
        <v>4516</v>
      </c>
      <c r="L437" s="841" t="s">
        <v>3046</v>
      </c>
      <c r="M437" s="1357"/>
      <c r="P437" s="841" t="s">
        <v>4523</v>
      </c>
      <c r="Q437" s="1357"/>
      <c r="S437" s="1420"/>
      <c r="T437" s="1420"/>
      <c r="V437" s="1357">
        <v>63</v>
      </c>
    </row>
    <row r="438" spans="1:22" s="841" customFormat="1" x14ac:dyDescent="0.25">
      <c r="A438" s="841" t="s">
        <v>199</v>
      </c>
      <c r="E438" s="1909" t="s">
        <v>618</v>
      </c>
      <c r="F438" s="1915"/>
      <c r="G438" s="1915"/>
      <c r="H438" s="2032"/>
      <c r="K438" s="841" t="s">
        <v>5135</v>
      </c>
      <c r="M438" s="1357"/>
      <c r="Q438" s="1357"/>
      <c r="S438" s="1420"/>
      <c r="T438" s="1420"/>
      <c r="V438" s="1357">
        <v>31</v>
      </c>
    </row>
    <row r="439" spans="1:22" s="841" customFormat="1" ht="15" x14ac:dyDescent="0.25">
      <c r="A439" s="841" t="s">
        <v>199</v>
      </c>
      <c r="E439" s="1689" t="s">
        <v>3781</v>
      </c>
      <c r="F439" s="1689"/>
      <c r="G439" s="1689"/>
      <c r="H439" s="1689"/>
      <c r="K439" s="841" t="s">
        <v>5135</v>
      </c>
      <c r="M439" s="1357"/>
      <c r="Q439" s="1357"/>
      <c r="S439" s="1420"/>
      <c r="T439" s="1420"/>
      <c r="V439" s="1357">
        <v>286</v>
      </c>
    </row>
    <row r="440" spans="1:22" s="841" customFormat="1" ht="15" x14ac:dyDescent="0.25">
      <c r="A440" s="841" t="s">
        <v>199</v>
      </c>
      <c r="E440" s="1916" t="s">
        <v>3061</v>
      </c>
      <c r="F440" s="1697"/>
      <c r="G440" s="1697"/>
      <c r="H440" s="1697"/>
      <c r="K440" s="841" t="s">
        <v>3107</v>
      </c>
      <c r="M440" s="1357"/>
      <c r="Q440" s="1357"/>
      <c r="S440" s="1420"/>
      <c r="T440" s="1420"/>
      <c r="V440" s="1357">
        <v>11</v>
      </c>
    </row>
    <row r="441" spans="1:22" s="841" customFormat="1" ht="15" x14ac:dyDescent="0.25">
      <c r="A441" s="841" t="s">
        <v>199</v>
      </c>
      <c r="E441" s="1689" t="s">
        <v>3063</v>
      </c>
      <c r="F441" s="1689"/>
      <c r="G441" s="1689"/>
      <c r="H441" s="1689"/>
      <c r="K441" s="841" t="s">
        <v>5135</v>
      </c>
      <c r="M441" s="1357"/>
      <c r="Q441" s="1357"/>
      <c r="S441" s="1420"/>
      <c r="T441" s="1420"/>
      <c r="V441" s="1357">
        <v>280</v>
      </c>
    </row>
    <row r="442" spans="1:22" s="841" customFormat="1" ht="15" x14ac:dyDescent="0.25">
      <c r="A442" s="841" t="s">
        <v>199</v>
      </c>
      <c r="E442" s="1689" t="s">
        <v>3064</v>
      </c>
      <c r="F442" s="1689"/>
      <c r="G442" s="1689"/>
      <c r="H442" s="1689"/>
      <c r="K442" s="841" t="s">
        <v>5135</v>
      </c>
      <c r="M442" s="1357"/>
      <c r="Q442" s="1357"/>
      <c r="S442" s="1420"/>
      <c r="T442" s="1420"/>
      <c r="V442" s="1357">
        <v>411</v>
      </c>
    </row>
    <row r="443" spans="1:22" s="841" customFormat="1" ht="15" x14ac:dyDescent="0.25">
      <c r="A443" s="841" t="s">
        <v>199</v>
      </c>
      <c r="E443" s="1689" t="s">
        <v>3129</v>
      </c>
      <c r="F443" s="1689"/>
      <c r="G443" s="1689"/>
      <c r="H443" s="1689"/>
      <c r="K443" s="841" t="s">
        <v>5135</v>
      </c>
      <c r="M443" s="1357"/>
      <c r="Q443" s="1357"/>
      <c r="S443" s="1420"/>
      <c r="T443" s="1420"/>
      <c r="V443" s="1357">
        <v>211</v>
      </c>
    </row>
    <row r="444" spans="1:22" s="841" customFormat="1" ht="15" x14ac:dyDescent="0.25">
      <c r="A444" s="841" t="s">
        <v>199</v>
      </c>
      <c r="E444" s="1689" t="s">
        <v>3200</v>
      </c>
      <c r="F444" s="1689"/>
      <c r="G444" s="1689"/>
      <c r="H444" s="1689"/>
      <c r="K444" s="841" t="s">
        <v>5135</v>
      </c>
      <c r="M444" s="1357"/>
      <c r="Q444" s="1357"/>
      <c r="S444" s="1420"/>
      <c r="T444" s="1420"/>
      <c r="V444" s="1357">
        <v>275</v>
      </c>
    </row>
    <row r="445" spans="1:22" s="841" customFormat="1" ht="15" x14ac:dyDescent="0.25">
      <c r="A445" s="841" t="s">
        <v>199</v>
      </c>
      <c r="E445" s="1694" t="s">
        <v>3067</v>
      </c>
      <c r="F445" s="1907"/>
      <c r="G445" s="1907"/>
      <c r="H445" s="1907"/>
      <c r="K445" s="841" t="s">
        <v>3108</v>
      </c>
      <c r="M445" s="1357"/>
      <c r="Q445" s="1357"/>
      <c r="S445" s="1420"/>
      <c r="T445" s="1420"/>
      <c r="V445" s="1357">
        <v>46</v>
      </c>
    </row>
    <row r="446" spans="1:22" s="841" customFormat="1" ht="15" x14ac:dyDescent="0.25">
      <c r="A446" s="841" t="s">
        <v>199</v>
      </c>
      <c r="E446" s="1690" t="s">
        <v>11</v>
      </c>
      <c r="F446" s="1690"/>
      <c r="G446" s="695" t="s">
        <v>23</v>
      </c>
      <c r="H446" s="391">
        <v>5.4</v>
      </c>
      <c r="K446" s="841" t="s">
        <v>5135</v>
      </c>
      <c r="L446" s="841" t="s">
        <v>442</v>
      </c>
      <c r="M446" s="1357"/>
      <c r="P446" s="841" t="s">
        <v>5136</v>
      </c>
      <c r="Q446" s="1357"/>
      <c r="S446" s="1420"/>
      <c r="T446" s="1420"/>
      <c r="V446" s="1357">
        <v>14</v>
      </c>
    </row>
    <row r="447" spans="1:22" s="841" customFormat="1" ht="18.75" x14ac:dyDescent="0.3">
      <c r="A447" s="841" t="s">
        <v>199</v>
      </c>
      <c r="E447" s="1374" t="s">
        <v>85</v>
      </c>
      <c r="F447" s="657"/>
      <c r="G447" s="657"/>
      <c r="H447" s="658"/>
      <c r="K447" s="841" t="s">
        <v>4790</v>
      </c>
      <c r="M447" s="1357"/>
      <c r="Q447" s="1357"/>
      <c r="S447" s="1420"/>
      <c r="T447" s="1420"/>
      <c r="V447" s="1357">
        <v>10</v>
      </c>
    </row>
    <row r="448" spans="1:22" s="841" customFormat="1" ht="15" x14ac:dyDescent="0.25">
      <c r="A448" s="841" t="s">
        <v>199</v>
      </c>
      <c r="E448" s="1690" t="s">
        <v>3133</v>
      </c>
      <c r="F448" s="1690"/>
      <c r="G448" s="1408" t="s">
        <v>33</v>
      </c>
      <c r="H448" s="393">
        <v>-0.28999999999999998</v>
      </c>
      <c r="M448" s="1357"/>
      <c r="Q448" s="1357"/>
      <c r="S448" s="1420"/>
      <c r="T448" s="1420"/>
      <c r="V448" s="1357">
        <v>68</v>
      </c>
    </row>
    <row r="449" spans="1:22" s="841" customFormat="1" ht="15" x14ac:dyDescent="0.25">
      <c r="A449" s="841" t="s">
        <v>199</v>
      </c>
      <c r="E449" s="1690" t="s">
        <v>3134</v>
      </c>
      <c r="F449" s="1690"/>
      <c r="G449" s="1408" t="s">
        <v>86</v>
      </c>
      <c r="H449" s="391">
        <v>-1</v>
      </c>
      <c r="M449" s="1357"/>
      <c r="Q449" s="1357"/>
      <c r="S449" s="1420"/>
      <c r="T449" s="1420"/>
      <c r="V449" s="1357">
        <v>87</v>
      </c>
    </row>
    <row r="450" spans="1:22" s="841" customFormat="1" ht="18.75" x14ac:dyDescent="0.3">
      <c r="A450" s="841" t="s">
        <v>199</v>
      </c>
      <c r="E450" s="1931" t="s">
        <v>87</v>
      </c>
      <c r="F450" s="1964"/>
      <c r="G450" s="1964"/>
      <c r="H450" s="1964"/>
      <c r="K450" s="841" t="s">
        <v>4791</v>
      </c>
      <c r="M450" s="1357"/>
      <c r="Q450" s="1357"/>
      <c r="S450" s="1420"/>
      <c r="T450" s="1420"/>
      <c r="V450" s="1357">
        <v>24</v>
      </c>
    </row>
    <row r="451" spans="1:22" s="841" customFormat="1" ht="15" x14ac:dyDescent="0.25">
      <c r="A451" s="841" t="s">
        <v>199</v>
      </c>
      <c r="E451" s="1689" t="s">
        <v>3063</v>
      </c>
      <c r="F451" s="1689"/>
      <c r="G451" s="1689"/>
      <c r="H451" s="1689"/>
      <c r="M451" s="1357"/>
      <c r="Q451" s="1357"/>
      <c r="S451" s="1420"/>
      <c r="T451" s="1420"/>
      <c r="V451" s="1357">
        <v>280</v>
      </c>
    </row>
    <row r="452" spans="1:22" s="841" customFormat="1" ht="15" x14ac:dyDescent="0.25">
      <c r="A452" s="841" t="s">
        <v>199</v>
      </c>
      <c r="E452" s="1689" t="s">
        <v>3136</v>
      </c>
      <c r="F452" s="1689"/>
      <c r="G452" s="1689"/>
      <c r="H452" s="1689"/>
      <c r="M452" s="1357"/>
      <c r="Q452" s="1357"/>
      <c r="S452" s="1420"/>
      <c r="T452" s="1420"/>
      <c r="V452" s="1357">
        <v>353</v>
      </c>
    </row>
    <row r="453" spans="1:22" s="841" customFormat="1" ht="15" x14ac:dyDescent="0.25">
      <c r="A453" s="841" t="s">
        <v>199</v>
      </c>
      <c r="E453" s="1689" t="s">
        <v>3200</v>
      </c>
      <c r="F453" s="1689"/>
      <c r="G453" s="1689"/>
      <c r="H453" s="1689"/>
      <c r="M453" s="1357"/>
      <c r="Q453" s="1357"/>
      <c r="S453" s="1420"/>
      <c r="T453" s="1420"/>
      <c r="V453" s="1357">
        <v>275</v>
      </c>
    </row>
    <row r="454" spans="1:22" s="841" customFormat="1" ht="15" x14ac:dyDescent="0.25">
      <c r="A454" s="841" t="s">
        <v>199</v>
      </c>
      <c r="E454" s="1370" t="s">
        <v>3137</v>
      </c>
      <c r="F454" s="3"/>
      <c r="G454" s="3"/>
      <c r="H454" s="398"/>
      <c r="K454" s="841" t="s">
        <v>4792</v>
      </c>
      <c r="M454" s="1357"/>
      <c r="Q454" s="1357"/>
      <c r="S454" s="1420"/>
      <c r="T454" s="1420"/>
      <c r="V454" s="1357">
        <v>23</v>
      </c>
    </row>
    <row r="455" spans="1:22" s="841" customFormat="1" ht="15" x14ac:dyDescent="0.25">
      <c r="A455" s="841" t="s">
        <v>199</v>
      </c>
      <c r="E455" s="1688" t="s">
        <v>123</v>
      </c>
      <c r="F455" s="1688"/>
      <c r="G455" s="1408" t="s">
        <v>23</v>
      </c>
      <c r="H455" s="391">
        <v>25</v>
      </c>
      <c r="M455" s="1357"/>
      <c r="Q455" s="1357"/>
      <c r="S455" s="1420"/>
      <c r="T455" s="1420"/>
      <c r="V455" s="1357">
        <v>35</v>
      </c>
    </row>
    <row r="456" spans="1:22" s="841" customFormat="1" ht="15" x14ac:dyDescent="0.25">
      <c r="A456" s="841" t="s">
        <v>199</v>
      </c>
      <c r="E456" s="1688" t="s">
        <v>88</v>
      </c>
      <c r="F456" s="1688"/>
      <c r="G456" s="1408" t="s">
        <v>23</v>
      </c>
      <c r="H456" s="391">
        <v>25</v>
      </c>
      <c r="M456" s="1357"/>
      <c r="Q456" s="1357"/>
      <c r="S456" s="1420"/>
      <c r="T456" s="1420"/>
      <c r="V456" s="1357">
        <v>89</v>
      </c>
    </row>
    <row r="457" spans="1:22" s="841" customFormat="1" ht="15" x14ac:dyDescent="0.25">
      <c r="A457" s="841" t="s">
        <v>199</v>
      </c>
      <c r="E457" s="1688" t="s">
        <v>94</v>
      </c>
      <c r="F457" s="1688"/>
      <c r="G457" s="1408" t="s">
        <v>23</v>
      </c>
      <c r="H457" s="391">
        <v>25</v>
      </c>
      <c r="M457" s="1357"/>
      <c r="Q457" s="1357"/>
      <c r="S457" s="1420"/>
      <c r="T457" s="1420"/>
      <c r="V457" s="1357">
        <v>19</v>
      </c>
    </row>
    <row r="458" spans="1:22" s="841" customFormat="1" ht="15" x14ac:dyDescent="0.25">
      <c r="A458" s="841" t="s">
        <v>199</v>
      </c>
      <c r="E458" s="1370" t="s">
        <v>3152</v>
      </c>
      <c r="F458" s="3"/>
      <c r="G458" s="3"/>
      <c r="H458" s="398"/>
      <c r="K458" s="841" t="s">
        <v>4793</v>
      </c>
      <c r="M458" s="1357"/>
      <c r="Q458" s="1357"/>
      <c r="S458" s="1420"/>
      <c r="T458" s="1420"/>
      <c r="V458" s="1357">
        <v>22</v>
      </c>
    </row>
    <row r="459" spans="1:22" s="841" customFormat="1" ht="15" x14ac:dyDescent="0.25">
      <c r="A459" s="841" t="s">
        <v>199</v>
      </c>
      <c r="E459" s="1688" t="s">
        <v>5137</v>
      </c>
      <c r="F459" s="1688"/>
      <c r="G459" s="1408" t="s">
        <v>86</v>
      </c>
      <c r="H459" s="391">
        <v>1.5</v>
      </c>
      <c r="M459" s="1357"/>
      <c r="Q459" s="1357"/>
      <c r="S459" s="1420"/>
      <c r="T459" s="1420"/>
      <c r="V459" s="1357">
        <v>24</v>
      </c>
    </row>
    <row r="460" spans="1:22" s="841" customFormat="1" ht="15" x14ac:dyDescent="0.25">
      <c r="A460" s="841" t="s">
        <v>199</v>
      </c>
      <c r="E460" s="1688" t="s">
        <v>4772</v>
      </c>
      <c r="F460" s="1688"/>
      <c r="G460" s="1408" t="s">
        <v>86</v>
      </c>
      <c r="H460" s="391">
        <v>19.559999999999999</v>
      </c>
      <c r="M460" s="1357"/>
      <c r="Q460" s="1357"/>
      <c r="S460" s="1420"/>
      <c r="T460" s="1420"/>
      <c r="V460" s="1357">
        <v>24</v>
      </c>
    </row>
    <row r="461" spans="1:22" s="841" customFormat="1" ht="15" x14ac:dyDescent="0.25">
      <c r="A461" s="841" t="s">
        <v>199</v>
      </c>
      <c r="E461" s="1688" t="s">
        <v>3288</v>
      </c>
      <c r="F461" s="1688"/>
      <c r="G461" s="1408" t="s">
        <v>23</v>
      </c>
      <c r="H461" s="391">
        <v>25</v>
      </c>
      <c r="M461" s="1357"/>
      <c r="Q461" s="1357"/>
      <c r="S461" s="1420"/>
      <c r="T461" s="1420"/>
      <c r="V461" s="1357">
        <v>47</v>
      </c>
    </row>
    <row r="462" spans="1:22" s="841" customFormat="1" ht="15" x14ac:dyDescent="0.25">
      <c r="A462" s="841" t="s">
        <v>199</v>
      </c>
      <c r="E462" s="1688" t="s">
        <v>4773</v>
      </c>
      <c r="F462" s="1688"/>
      <c r="G462" s="1408" t="s">
        <v>23</v>
      </c>
      <c r="H462" s="391">
        <v>28</v>
      </c>
      <c r="M462" s="1357"/>
      <c r="Q462" s="1357"/>
      <c r="S462" s="1420"/>
      <c r="T462" s="1420"/>
      <c r="V462" s="1357">
        <v>52</v>
      </c>
    </row>
    <row r="463" spans="1:22" s="841" customFormat="1" ht="15" x14ac:dyDescent="0.25">
      <c r="A463" s="841" t="s">
        <v>199</v>
      </c>
      <c r="E463" s="1688" t="s">
        <v>4774</v>
      </c>
      <c r="F463" s="1688"/>
      <c r="G463" s="1408" t="s">
        <v>23</v>
      </c>
      <c r="H463" s="391">
        <v>315</v>
      </c>
      <c r="M463" s="1357"/>
      <c r="Q463" s="1357"/>
      <c r="S463" s="1420"/>
      <c r="T463" s="1420"/>
      <c r="V463" s="1357">
        <v>51</v>
      </c>
    </row>
    <row r="464" spans="1:22" s="841" customFormat="1" ht="15" x14ac:dyDescent="0.25">
      <c r="A464" s="841" t="s">
        <v>199</v>
      </c>
      <c r="E464" s="1688" t="s">
        <v>4775</v>
      </c>
      <c r="F464" s="1688"/>
      <c r="G464" s="1408" t="s">
        <v>23</v>
      </c>
      <c r="H464" s="391">
        <v>28</v>
      </c>
      <c r="M464" s="1357"/>
      <c r="Q464" s="1357"/>
      <c r="S464" s="1420"/>
      <c r="T464" s="1420"/>
      <c r="V464" s="1357">
        <v>51</v>
      </c>
    </row>
    <row r="465" spans="1:22" s="841" customFormat="1" ht="15" x14ac:dyDescent="0.25">
      <c r="A465" s="841" t="s">
        <v>199</v>
      </c>
      <c r="E465" s="1688" t="s">
        <v>4776</v>
      </c>
      <c r="F465" s="1688"/>
      <c r="G465" s="1408" t="s">
        <v>23</v>
      </c>
      <c r="H465" s="391">
        <v>315</v>
      </c>
      <c r="M465" s="1357"/>
      <c r="Q465" s="1357"/>
      <c r="S465" s="1420"/>
      <c r="T465" s="1420"/>
      <c r="V465" s="1357">
        <v>50</v>
      </c>
    </row>
    <row r="466" spans="1:22" s="841" customFormat="1" ht="15" x14ac:dyDescent="0.25">
      <c r="A466" s="841" t="s">
        <v>199</v>
      </c>
      <c r="E466" s="1370" t="s">
        <v>3164</v>
      </c>
      <c r="F466" s="507"/>
      <c r="G466" s="397"/>
      <c r="H466" s="391"/>
      <c r="M466" s="1357"/>
      <c r="Q466" s="1357"/>
      <c r="S466" s="1420"/>
      <c r="T466" s="1420"/>
      <c r="V466" s="1357">
        <v>5</v>
      </c>
    </row>
    <row r="467" spans="1:22" s="841" customFormat="1" ht="15" x14ac:dyDescent="0.25">
      <c r="A467" s="841" t="s">
        <v>199</v>
      </c>
      <c r="E467" s="1688" t="s">
        <v>5138</v>
      </c>
      <c r="F467" s="1688"/>
      <c r="G467" s="1408" t="s">
        <v>23</v>
      </c>
      <c r="H467" s="391">
        <v>22.35</v>
      </c>
      <c r="M467" s="1357"/>
      <c r="Q467" s="1357"/>
      <c r="S467" s="1420"/>
      <c r="T467" s="1420"/>
      <c r="V467" s="1357">
        <v>60</v>
      </c>
    </row>
    <row r="468" spans="1:22" s="841" customFormat="1" ht="15" x14ac:dyDescent="0.25">
      <c r="A468" s="841" t="s">
        <v>199</v>
      </c>
      <c r="E468" s="1688" t="s">
        <v>5139</v>
      </c>
      <c r="F468" s="1688"/>
      <c r="G468" s="1408"/>
      <c r="H468" s="391"/>
      <c r="M468" s="1357"/>
      <c r="Q468" s="1357"/>
      <c r="S468" s="1420"/>
      <c r="T468" s="1420"/>
      <c r="V468" s="1357">
        <v>45</v>
      </c>
    </row>
    <row r="469" spans="1:22" s="841" customFormat="1" ht="18.75" x14ac:dyDescent="0.3">
      <c r="A469" s="841" t="s">
        <v>199</v>
      </c>
      <c r="E469" s="1931" t="s">
        <v>77</v>
      </c>
      <c r="F469" s="1964"/>
      <c r="G469" s="1964"/>
      <c r="H469" s="1964"/>
      <c r="K469" s="841" t="s">
        <v>4794</v>
      </c>
      <c r="M469" s="1357"/>
      <c r="Q469" s="1357"/>
      <c r="S469" s="1420"/>
      <c r="T469" s="1420"/>
      <c r="V469" s="1357">
        <v>38</v>
      </c>
    </row>
    <row r="470" spans="1:22" s="841" customFormat="1" ht="15" x14ac:dyDescent="0.25">
      <c r="A470" s="841" t="s">
        <v>199</v>
      </c>
      <c r="E470" s="1689" t="s">
        <v>3063</v>
      </c>
      <c r="F470" s="1689"/>
      <c r="G470" s="1689"/>
      <c r="H470" s="1689"/>
      <c r="M470" s="1357"/>
      <c r="Q470" s="1357"/>
      <c r="S470" s="1420"/>
      <c r="T470" s="1420"/>
      <c r="V470" s="1357">
        <v>280</v>
      </c>
    </row>
    <row r="471" spans="1:22" s="841" customFormat="1" ht="15" x14ac:dyDescent="0.25">
      <c r="A471" s="841" t="s">
        <v>199</v>
      </c>
      <c r="E471" s="1689" t="s">
        <v>3064</v>
      </c>
      <c r="F471" s="1689"/>
      <c r="G471" s="1689"/>
      <c r="H471" s="1689"/>
      <c r="M471" s="1357"/>
      <c r="Q471" s="1357"/>
      <c r="S471" s="1420"/>
      <c r="T471" s="1420"/>
      <c r="V471" s="1357">
        <v>411</v>
      </c>
    </row>
    <row r="472" spans="1:22" s="841" customFormat="1" ht="15" x14ac:dyDescent="0.25">
      <c r="A472" s="841" t="s">
        <v>199</v>
      </c>
      <c r="E472" s="1689" t="s">
        <v>3129</v>
      </c>
      <c r="F472" s="1689"/>
      <c r="G472" s="1689"/>
      <c r="H472" s="1689"/>
      <c r="M472" s="1357"/>
      <c r="Q472" s="1357"/>
      <c r="S472" s="1420"/>
      <c r="T472" s="1420"/>
      <c r="V472" s="1357">
        <v>211</v>
      </c>
    </row>
    <row r="473" spans="1:22" s="841" customFormat="1" ht="15" x14ac:dyDescent="0.25">
      <c r="A473" s="841" t="s">
        <v>199</v>
      </c>
      <c r="E473" s="1689" t="s">
        <v>3200</v>
      </c>
      <c r="F473" s="1689"/>
      <c r="G473" s="1689"/>
      <c r="H473" s="1689"/>
      <c r="M473" s="1357"/>
      <c r="Q473" s="1357"/>
      <c r="S473" s="1420"/>
      <c r="T473" s="1420"/>
      <c r="V473" s="1357">
        <v>275</v>
      </c>
    </row>
    <row r="474" spans="1:22" s="841" customFormat="1" ht="15" x14ac:dyDescent="0.25">
      <c r="A474" s="841" t="s">
        <v>199</v>
      </c>
      <c r="E474" s="1689" t="s">
        <v>3291</v>
      </c>
      <c r="F474" s="1689"/>
      <c r="G474" s="1689"/>
      <c r="H474" s="1689"/>
      <c r="M474" s="1357"/>
      <c r="Q474" s="1357"/>
      <c r="S474" s="1420"/>
      <c r="T474" s="1420"/>
      <c r="V474" s="1357">
        <v>142</v>
      </c>
    </row>
    <row r="475" spans="1:22" s="841" customFormat="1" ht="15" x14ac:dyDescent="0.25">
      <c r="A475" s="841" t="s">
        <v>199</v>
      </c>
      <c r="E475" s="1690" t="s">
        <v>3176</v>
      </c>
      <c r="F475" s="1690"/>
      <c r="G475" s="397" t="s">
        <v>23</v>
      </c>
      <c r="H475" s="391">
        <v>100</v>
      </c>
      <c r="M475" s="1357"/>
      <c r="Q475" s="1357"/>
      <c r="S475" s="1420"/>
      <c r="T475" s="1420"/>
      <c r="V475" s="1357">
        <v>106</v>
      </c>
    </row>
    <row r="476" spans="1:22" s="841" customFormat="1" ht="15" x14ac:dyDescent="0.25">
      <c r="A476" s="841" t="s">
        <v>199</v>
      </c>
      <c r="E476" s="1690" t="s">
        <v>5140</v>
      </c>
      <c r="F476" s="1690"/>
      <c r="G476" s="397" t="s">
        <v>23</v>
      </c>
      <c r="H476" s="391">
        <v>20</v>
      </c>
      <c r="M476" s="1357"/>
      <c r="Q476" s="1357"/>
      <c r="S476" s="1420"/>
      <c r="T476" s="1420"/>
      <c r="V476" s="1357">
        <v>34</v>
      </c>
    </row>
    <row r="477" spans="1:22" s="841" customFormat="1" ht="15" x14ac:dyDescent="0.25">
      <c r="A477" s="841" t="s">
        <v>199</v>
      </c>
      <c r="E477" s="1690" t="s">
        <v>5141</v>
      </c>
      <c r="F477" s="1690"/>
      <c r="G477" s="397" t="s">
        <v>3179</v>
      </c>
      <c r="H477" s="391">
        <v>0.5</v>
      </c>
      <c r="M477" s="1357"/>
      <c r="Q477" s="1357"/>
      <c r="S477" s="1420"/>
      <c r="T477" s="1420"/>
      <c r="V477" s="1357">
        <v>51</v>
      </c>
    </row>
    <row r="478" spans="1:22" s="841" customFormat="1" ht="15" x14ac:dyDescent="0.25">
      <c r="A478" s="841" t="s">
        <v>199</v>
      </c>
      <c r="E478" s="1690" t="s">
        <v>3180</v>
      </c>
      <c r="F478" s="1690"/>
      <c r="G478" s="397" t="s">
        <v>3179</v>
      </c>
      <c r="H478" s="391">
        <v>0.3</v>
      </c>
      <c r="M478" s="1357"/>
      <c r="Q478" s="1357"/>
      <c r="S478" s="1420"/>
      <c r="T478" s="1420"/>
      <c r="V478" s="1357">
        <v>75</v>
      </c>
    </row>
    <row r="479" spans="1:22" s="841" customFormat="1" ht="15" x14ac:dyDescent="0.25">
      <c r="A479" s="841" t="s">
        <v>199</v>
      </c>
      <c r="E479" s="1690" t="s">
        <v>3181</v>
      </c>
      <c r="F479" s="1690"/>
      <c r="G479" s="397" t="s">
        <v>3179</v>
      </c>
      <c r="H479" s="391">
        <v>-0.3</v>
      </c>
      <c r="M479" s="1357"/>
      <c r="Q479" s="1357"/>
      <c r="S479" s="1420"/>
      <c r="T479" s="1420"/>
      <c r="V479" s="1357">
        <v>72</v>
      </c>
    </row>
    <row r="480" spans="1:22" s="841" customFormat="1" ht="15" x14ac:dyDescent="0.25">
      <c r="A480" s="841" t="s">
        <v>199</v>
      </c>
      <c r="E480" s="1690" t="s">
        <v>3292</v>
      </c>
      <c r="F480" s="1690"/>
      <c r="G480" s="397"/>
      <c r="H480" s="392"/>
      <c r="M480" s="1357"/>
      <c r="Q480" s="1357"/>
      <c r="S480" s="1420"/>
      <c r="T480" s="1420"/>
      <c r="V480" s="1357">
        <v>34</v>
      </c>
    </row>
    <row r="481" spans="1:22" s="841" customFormat="1" ht="15" x14ac:dyDescent="0.25">
      <c r="A481" s="841" t="s">
        <v>199</v>
      </c>
      <c r="E481" s="1691" t="s">
        <v>3183</v>
      </c>
      <c r="F481" s="1691"/>
      <c r="G481" s="397" t="s">
        <v>23</v>
      </c>
      <c r="H481" s="391">
        <v>0.25</v>
      </c>
      <c r="M481" s="1357"/>
      <c r="Q481" s="1357"/>
      <c r="S481" s="1420"/>
      <c r="T481" s="1420"/>
      <c r="V481" s="1357">
        <v>57</v>
      </c>
    </row>
    <row r="482" spans="1:22" s="841" customFormat="1" ht="15" x14ac:dyDescent="0.25">
      <c r="A482" s="841" t="s">
        <v>199</v>
      </c>
      <c r="E482" s="1691" t="s">
        <v>3184</v>
      </c>
      <c r="F482" s="1691"/>
      <c r="G482" s="397" t="s">
        <v>23</v>
      </c>
      <c r="H482" s="391">
        <v>0.5</v>
      </c>
      <c r="M482" s="1357"/>
      <c r="Q482" s="1357"/>
      <c r="S482" s="1420"/>
      <c r="T482" s="1420"/>
      <c r="V482" s="1357">
        <v>60</v>
      </c>
    </row>
    <row r="483" spans="1:22" s="841" customFormat="1" ht="15" x14ac:dyDescent="0.25">
      <c r="A483" s="841" t="s">
        <v>199</v>
      </c>
      <c r="E483" s="1690" t="s">
        <v>3185</v>
      </c>
      <c r="F483" s="1690"/>
      <c r="G483" s="397"/>
      <c r="H483" s="392"/>
      <c r="M483" s="1357"/>
      <c r="Q483" s="1357"/>
      <c r="S483" s="1420"/>
      <c r="T483" s="1420"/>
      <c r="V483" s="1357">
        <v>91</v>
      </c>
    </row>
    <row r="484" spans="1:22" s="841" customFormat="1" ht="15" x14ac:dyDescent="0.25">
      <c r="A484" s="841" t="s">
        <v>199</v>
      </c>
      <c r="E484" s="1690" t="s">
        <v>3186</v>
      </c>
      <c r="F484" s="1690"/>
      <c r="G484" s="397"/>
      <c r="H484" s="392"/>
      <c r="M484" s="1357"/>
      <c r="Q484" s="1357"/>
      <c r="S484" s="1420"/>
      <c r="T484" s="1420"/>
      <c r="V484" s="1357">
        <v>96</v>
      </c>
    </row>
    <row r="485" spans="1:22" s="841" customFormat="1" ht="15" x14ac:dyDescent="0.25">
      <c r="A485" s="841" t="s">
        <v>199</v>
      </c>
      <c r="E485" s="1690" t="s">
        <v>3293</v>
      </c>
      <c r="F485" s="1690"/>
      <c r="G485" s="397"/>
      <c r="H485" s="392"/>
      <c r="M485" s="1357"/>
      <c r="Q485" s="1357"/>
      <c r="S485" s="1420"/>
      <c r="T485" s="1420"/>
      <c r="V485" s="1357">
        <v>77</v>
      </c>
    </row>
    <row r="486" spans="1:22" s="841" customFormat="1" ht="15" x14ac:dyDescent="0.25">
      <c r="A486" s="841" t="s">
        <v>199</v>
      </c>
      <c r="E486" s="1691" t="s">
        <v>3188</v>
      </c>
      <c r="F486" s="1691"/>
      <c r="G486" s="397" t="s">
        <v>23</v>
      </c>
      <c r="H486" s="392" t="s">
        <v>3189</v>
      </c>
      <c r="M486" s="1357"/>
      <c r="Q486" s="1357"/>
      <c r="S486" s="1420"/>
      <c r="T486" s="1420"/>
      <c r="V486" s="1357">
        <v>18</v>
      </c>
    </row>
    <row r="487" spans="1:22" s="841" customFormat="1" ht="15" x14ac:dyDescent="0.25">
      <c r="A487" s="841" t="s">
        <v>199</v>
      </c>
      <c r="E487" s="1691" t="s">
        <v>3190</v>
      </c>
      <c r="F487" s="1691"/>
      <c r="G487" s="397" t="s">
        <v>23</v>
      </c>
      <c r="H487" s="391">
        <v>2</v>
      </c>
      <c r="M487" s="1357"/>
      <c r="Q487" s="1357"/>
      <c r="S487" s="1420"/>
      <c r="T487" s="1420"/>
      <c r="V487" s="1357">
        <v>69</v>
      </c>
    </row>
    <row r="488" spans="1:22" s="841" customFormat="1" ht="15" x14ac:dyDescent="0.25">
      <c r="A488" s="841" t="s">
        <v>199</v>
      </c>
      <c r="E488" s="1965" t="s">
        <v>147</v>
      </c>
      <c r="F488" s="2038"/>
      <c r="G488" s="2038"/>
      <c r="H488" s="2038"/>
      <c r="K488" s="841" t="s">
        <v>4795</v>
      </c>
      <c r="M488" s="1357"/>
      <c r="Q488" s="1357"/>
      <c r="S488" s="1420"/>
      <c r="T488" s="1420"/>
      <c r="V488" s="1357">
        <v>12</v>
      </c>
    </row>
    <row r="489" spans="1:22" s="841" customFormat="1" ht="15" x14ac:dyDescent="0.25">
      <c r="A489" s="841" t="s">
        <v>199</v>
      </c>
      <c r="E489" s="1704" t="s">
        <v>3192</v>
      </c>
      <c r="F489" s="1704"/>
      <c r="G489" s="1704"/>
      <c r="H489" s="1704"/>
      <c r="M489" s="1357"/>
      <c r="Q489" s="1357"/>
      <c r="S489" s="1420"/>
      <c r="T489" s="1420"/>
      <c r="V489" s="1357">
        <v>203</v>
      </c>
    </row>
    <row r="490" spans="1:22" s="841" customFormat="1" ht="15" x14ac:dyDescent="0.25">
      <c r="A490" s="841" t="s">
        <v>199</v>
      </c>
      <c r="E490" s="1690" t="s">
        <v>3295</v>
      </c>
      <c r="F490" s="1690"/>
      <c r="G490" s="1408"/>
      <c r="H490" s="393">
        <v>1.0945</v>
      </c>
      <c r="M490" s="1357"/>
      <c r="Q490" s="1357"/>
      <c r="S490" s="1420"/>
      <c r="T490" s="1420"/>
      <c r="V490" s="1357">
        <v>57</v>
      </c>
    </row>
    <row r="491" spans="1:22" s="841" customFormat="1" ht="15" x14ac:dyDescent="0.25">
      <c r="A491" s="841" t="s">
        <v>199</v>
      </c>
      <c r="E491" s="1690" t="s">
        <v>3297</v>
      </c>
      <c r="F491" s="1690"/>
      <c r="G491" s="1408"/>
      <c r="H491" s="393">
        <v>1.0835999999999999</v>
      </c>
      <c r="J491" s="841" t="s">
        <v>4796</v>
      </c>
      <c r="M491" s="1357"/>
      <c r="Q491" s="1357"/>
      <c r="S491" s="1420"/>
      <c r="T491" s="1420"/>
      <c r="V491" s="1357">
        <v>55</v>
      </c>
    </row>
    <row r="492" spans="1:22" s="841" customFormat="1" ht="23.25" x14ac:dyDescent="0.25">
      <c r="A492" s="841" t="s">
        <v>162</v>
      </c>
      <c r="C492" s="841" t="s">
        <v>3050</v>
      </c>
      <c r="E492" s="2039" t="s">
        <v>162</v>
      </c>
      <c r="F492" s="2039"/>
      <c r="G492" s="2039"/>
      <c r="H492" s="2039"/>
      <c r="I492" s="841" t="s">
        <v>628</v>
      </c>
      <c r="J492" s="841" t="s">
        <v>3051</v>
      </c>
      <c r="K492" s="841" t="s">
        <v>162</v>
      </c>
      <c r="M492" s="1357">
        <v>5</v>
      </c>
      <c r="Q492" s="1357"/>
      <c r="S492" s="1420"/>
      <c r="T492" s="1420"/>
      <c r="V492" s="1357">
        <v>17</v>
      </c>
    </row>
    <row r="493" spans="1:22" s="841" customFormat="1" x14ac:dyDescent="0.25">
      <c r="A493" s="841" t="s">
        <v>162</v>
      </c>
      <c r="C493" s="841" t="s">
        <v>3052</v>
      </c>
      <c r="E493" s="2034" t="s">
        <v>3053</v>
      </c>
      <c r="F493" s="2034"/>
      <c r="G493" s="2034"/>
      <c r="H493" s="2034"/>
      <c r="M493" s="1357"/>
      <c r="Q493" s="1357"/>
      <c r="S493" s="1420"/>
      <c r="T493" s="1420"/>
      <c r="V493" s="1357">
        <v>27</v>
      </c>
    </row>
    <row r="494" spans="1:22" s="841" customFormat="1" ht="15.75" x14ac:dyDescent="0.25">
      <c r="A494" s="841" t="s">
        <v>162</v>
      </c>
      <c r="C494" s="841" t="s">
        <v>3054</v>
      </c>
      <c r="E494" s="2035" t="s">
        <v>5101</v>
      </c>
      <c r="F494" s="2035"/>
      <c r="G494" s="2035"/>
      <c r="H494" s="2035"/>
      <c r="M494" s="1357"/>
      <c r="Q494" s="1357"/>
      <c r="S494" s="1420">
        <v>43101</v>
      </c>
      <c r="T494" s="1420"/>
      <c r="V494" s="1357">
        <v>49</v>
      </c>
    </row>
    <row r="495" spans="1:22" s="841" customFormat="1" ht="15" x14ac:dyDescent="0.25">
      <c r="A495" s="841" t="s">
        <v>162</v>
      </c>
      <c r="C495" s="841" t="s">
        <v>3055</v>
      </c>
      <c r="E495" s="2033" t="s">
        <v>3056</v>
      </c>
      <c r="F495" s="2033"/>
      <c r="G495" s="2033"/>
      <c r="H495" s="2033"/>
      <c r="M495" s="1357"/>
      <c r="Q495" s="1357"/>
      <c r="S495" s="1420"/>
      <c r="T495" s="1420"/>
      <c r="V495" s="1357">
        <v>52</v>
      </c>
    </row>
    <row r="496" spans="1:22" s="841" customFormat="1" ht="15" x14ac:dyDescent="0.25">
      <c r="A496" s="841" t="s">
        <v>162</v>
      </c>
      <c r="E496" s="2033" t="s">
        <v>3057</v>
      </c>
      <c r="F496" s="2033"/>
      <c r="G496" s="2033"/>
      <c r="H496" s="2033"/>
      <c r="M496" s="1357"/>
      <c r="Q496" s="1357"/>
      <c r="S496" s="1420"/>
      <c r="T496" s="1420"/>
      <c r="V496" s="1357">
        <v>53</v>
      </c>
    </row>
    <row r="497" spans="1:22" s="841" customFormat="1" ht="15" x14ac:dyDescent="0.25">
      <c r="A497" s="841" t="s">
        <v>162</v>
      </c>
      <c r="E497" s="2040" t="s">
        <v>5142</v>
      </c>
      <c r="F497" s="2040"/>
      <c r="G497" s="2040"/>
      <c r="H497" s="2040"/>
      <c r="K497" s="841" t="s">
        <v>5142</v>
      </c>
      <c r="M497" s="1357"/>
      <c r="Q497" s="1357"/>
      <c r="S497" s="1420"/>
      <c r="T497" s="1420"/>
      <c r="V497" s="1357">
        <v>12</v>
      </c>
    </row>
    <row r="498" spans="1:22" s="841" customFormat="1" ht="15" x14ac:dyDescent="0.25">
      <c r="A498" s="841" t="s">
        <v>162</v>
      </c>
      <c r="E498" s="1967" t="s">
        <v>2931</v>
      </c>
      <c r="F498" s="1977"/>
      <c r="G498" s="1977"/>
      <c r="H498" s="1977"/>
      <c r="K498" s="841" t="s">
        <v>3058</v>
      </c>
      <c r="M498" s="1357"/>
      <c r="Q498" s="1357"/>
      <c r="S498" s="1420"/>
      <c r="T498" s="1420"/>
      <c r="V498" s="1357">
        <v>37</v>
      </c>
    </row>
    <row r="499" spans="1:22" s="841" customFormat="1" ht="15" x14ac:dyDescent="0.25">
      <c r="A499" s="841" t="s">
        <v>162</v>
      </c>
      <c r="E499" s="1939" t="s">
        <v>3059</v>
      </c>
      <c r="F499" s="1939"/>
      <c r="G499" s="1939"/>
      <c r="H499" s="1939"/>
      <c r="K499" s="841" t="s">
        <v>3058</v>
      </c>
      <c r="M499" s="1357"/>
      <c r="Q499" s="1357"/>
      <c r="S499" s="1420"/>
      <c r="T499" s="1420"/>
      <c r="V499" s="1357">
        <v>592</v>
      </c>
    </row>
    <row r="500" spans="1:22" s="841" customFormat="1" ht="15" x14ac:dyDescent="0.25">
      <c r="A500" s="841" t="s">
        <v>162</v>
      </c>
      <c r="E500" s="1939" t="s">
        <v>3060</v>
      </c>
      <c r="F500" s="1689"/>
      <c r="G500" s="1689"/>
      <c r="H500" s="1689"/>
      <c r="K500" s="841" t="s">
        <v>3058</v>
      </c>
      <c r="M500" s="1357"/>
      <c r="Q500" s="1357"/>
      <c r="S500" s="1420"/>
      <c r="T500" s="1420"/>
      <c r="V500" s="1357">
        <v>310</v>
      </c>
    </row>
    <row r="501" spans="1:22" s="841" customFormat="1" ht="15" x14ac:dyDescent="0.25">
      <c r="A501" s="841" t="s">
        <v>162</v>
      </c>
      <c r="E501" s="1935" t="s">
        <v>3061</v>
      </c>
      <c r="F501" s="1697"/>
      <c r="G501" s="1697"/>
      <c r="H501" s="1697"/>
      <c r="K501" s="841" t="s">
        <v>3062</v>
      </c>
      <c r="M501" s="1357"/>
      <c r="Q501" s="1357"/>
      <c r="S501" s="1420"/>
      <c r="T501" s="1420"/>
      <c r="V501" s="1357">
        <v>11</v>
      </c>
    </row>
    <row r="502" spans="1:22" s="841" customFormat="1" ht="15" x14ac:dyDescent="0.25">
      <c r="A502" s="841" t="s">
        <v>162</v>
      </c>
      <c r="E502" s="1939" t="s">
        <v>3063</v>
      </c>
      <c r="F502" s="1939"/>
      <c r="G502" s="1939"/>
      <c r="H502" s="1939"/>
      <c r="K502" s="841" t="s">
        <v>3058</v>
      </c>
      <c r="M502" s="1357"/>
      <c r="Q502" s="1357"/>
      <c r="S502" s="1420"/>
      <c r="T502" s="1420"/>
      <c r="V502" s="1357">
        <v>280</v>
      </c>
    </row>
    <row r="503" spans="1:22" s="841" customFormat="1" ht="15" x14ac:dyDescent="0.25">
      <c r="A503" s="841" t="s">
        <v>162</v>
      </c>
      <c r="E503" s="2004" t="s">
        <v>3064</v>
      </c>
      <c r="F503" s="2004"/>
      <c r="G503" s="2004"/>
      <c r="H503" s="2004"/>
      <c r="K503" s="841" t="s">
        <v>3058</v>
      </c>
      <c r="M503" s="1357"/>
      <c r="Q503" s="1357"/>
      <c r="S503" s="1420"/>
      <c r="T503" s="1420"/>
      <c r="V503" s="1357">
        <v>411</v>
      </c>
    </row>
    <row r="504" spans="1:22" s="841" customFormat="1" ht="15" x14ac:dyDescent="0.25">
      <c r="A504" s="841" t="s">
        <v>162</v>
      </c>
      <c r="E504" s="1939" t="s">
        <v>3065</v>
      </c>
      <c r="F504" s="1939"/>
      <c r="G504" s="1939"/>
      <c r="H504" s="1939"/>
      <c r="K504" s="841" t="s">
        <v>3058</v>
      </c>
      <c r="M504" s="1357"/>
      <c r="Q504" s="1357"/>
      <c r="S504" s="1420"/>
      <c r="T504" s="1420"/>
      <c r="V504" s="1357">
        <v>387</v>
      </c>
    </row>
    <row r="505" spans="1:22" s="841" customFormat="1" ht="15" x14ac:dyDescent="0.25">
      <c r="A505" s="841" t="s">
        <v>162</v>
      </c>
      <c r="E505" s="1939" t="s">
        <v>3066</v>
      </c>
      <c r="F505" s="1939"/>
      <c r="G505" s="1939"/>
      <c r="H505" s="1939"/>
      <c r="K505" s="841" t="s">
        <v>3058</v>
      </c>
      <c r="M505" s="1357"/>
      <c r="Q505" s="1357"/>
      <c r="S505" s="1420"/>
      <c r="T505" s="1420"/>
      <c r="V505" s="1357">
        <v>275</v>
      </c>
    </row>
    <row r="506" spans="1:22" s="841" customFormat="1" ht="15" x14ac:dyDescent="0.25">
      <c r="A506" s="841" t="s">
        <v>162</v>
      </c>
      <c r="E506" s="1930" t="s">
        <v>3067</v>
      </c>
      <c r="F506" s="1693"/>
      <c r="G506" s="1693"/>
      <c r="H506" s="1693"/>
      <c r="K506" s="841" t="s">
        <v>3068</v>
      </c>
      <c r="M506" s="1357"/>
      <c r="Q506" s="1357"/>
      <c r="S506" s="1420"/>
      <c r="T506" s="1420"/>
      <c r="V506" s="1357">
        <v>46</v>
      </c>
    </row>
    <row r="507" spans="1:22" s="841" customFormat="1" ht="15" x14ac:dyDescent="0.25">
      <c r="A507" s="841" t="s">
        <v>162</v>
      </c>
      <c r="E507" s="1934" t="s">
        <v>3069</v>
      </c>
      <c r="F507" s="1934"/>
      <c r="G507" s="1066" t="s">
        <v>23</v>
      </c>
      <c r="H507" s="1006">
        <v>37.4</v>
      </c>
      <c r="K507" s="841" t="s">
        <v>3058</v>
      </c>
      <c r="L507" s="841" t="s">
        <v>442</v>
      </c>
      <c r="M507" s="1357"/>
      <c r="P507" s="841" t="s">
        <v>3070</v>
      </c>
      <c r="Q507" s="1357"/>
      <c r="S507" s="1420"/>
      <c r="T507" s="1420"/>
      <c r="V507" s="1357">
        <v>74</v>
      </c>
    </row>
    <row r="508" spans="1:22" s="841" customFormat="1" ht="15" x14ac:dyDescent="0.25">
      <c r="A508" s="841" t="s">
        <v>162</v>
      </c>
      <c r="E508" s="1934" t="s">
        <v>3071</v>
      </c>
      <c r="F508" s="1934"/>
      <c r="G508" s="1066" t="s">
        <v>23</v>
      </c>
      <c r="H508" s="1006">
        <v>25.08</v>
      </c>
      <c r="K508" s="841" t="s">
        <v>3058</v>
      </c>
      <c r="L508" s="841" t="s">
        <v>442</v>
      </c>
      <c r="M508" s="1357"/>
      <c r="P508" s="841" t="s">
        <v>3070</v>
      </c>
      <c r="Q508" s="1357"/>
      <c r="S508" s="1420"/>
      <c r="T508" s="1420"/>
      <c r="V508" s="1357">
        <v>75</v>
      </c>
    </row>
    <row r="509" spans="1:22" s="841" customFormat="1" ht="15" x14ac:dyDescent="0.25">
      <c r="A509" s="841" t="s">
        <v>162</v>
      </c>
      <c r="E509" s="1934" t="s">
        <v>423</v>
      </c>
      <c r="F509" s="1934"/>
      <c r="G509" s="1066" t="s">
        <v>23</v>
      </c>
      <c r="H509" s="600">
        <v>0.79</v>
      </c>
      <c r="K509" s="841" t="s">
        <v>3058</v>
      </c>
      <c r="L509" s="841" t="s">
        <v>443</v>
      </c>
      <c r="M509" s="1357"/>
      <c r="P509" s="841" t="s">
        <v>3072</v>
      </c>
      <c r="Q509" s="1357"/>
      <c r="S509" s="1420"/>
      <c r="T509" s="1420">
        <v>43404</v>
      </c>
      <c r="V509" s="1357">
        <v>78</v>
      </c>
    </row>
    <row r="510" spans="1:22" s="841" customFormat="1" ht="15" x14ac:dyDescent="0.25">
      <c r="A510" s="841" t="s">
        <v>162</v>
      </c>
      <c r="E510" s="1934" t="s">
        <v>3073</v>
      </c>
      <c r="F510" s="1934"/>
      <c r="G510" s="1066" t="s">
        <v>24</v>
      </c>
      <c r="H510" s="1092">
        <v>2.12E-2</v>
      </c>
      <c r="K510" s="841" t="s">
        <v>3058</v>
      </c>
      <c r="L510" s="841" t="s">
        <v>442</v>
      </c>
      <c r="M510" s="1357"/>
      <c r="P510" s="841" t="s">
        <v>3074</v>
      </c>
      <c r="Q510" s="1357"/>
      <c r="S510" s="1420"/>
      <c r="T510" s="1420"/>
      <c r="V510" s="1357">
        <v>88</v>
      </c>
    </row>
    <row r="511" spans="1:22" s="841" customFormat="1" ht="15" x14ac:dyDescent="0.25">
      <c r="A511" s="841" t="s">
        <v>162</v>
      </c>
      <c r="E511" s="1934" t="s">
        <v>3075</v>
      </c>
      <c r="F511" s="1934"/>
      <c r="G511" s="508" t="s">
        <v>24</v>
      </c>
      <c r="H511" s="393">
        <v>3.5299999999999998E-2</v>
      </c>
      <c r="K511" s="841" t="s">
        <v>3058</v>
      </c>
      <c r="L511" s="841" t="s">
        <v>442</v>
      </c>
      <c r="M511" s="1357"/>
      <c r="P511" s="841" t="s">
        <v>3074</v>
      </c>
      <c r="Q511" s="1357"/>
      <c r="S511" s="1420"/>
      <c r="T511" s="1420"/>
      <c r="V511" s="1357">
        <v>89</v>
      </c>
    </row>
    <row r="512" spans="1:22" s="841" customFormat="1" ht="15" x14ac:dyDescent="0.25">
      <c r="A512" s="841" t="s">
        <v>162</v>
      </c>
      <c r="E512" s="1918" t="s">
        <v>5143</v>
      </c>
      <c r="F512" s="1908"/>
      <c r="G512" s="508" t="s">
        <v>24</v>
      </c>
      <c r="H512" s="620">
        <v>-3.0499999999999999E-2</v>
      </c>
      <c r="K512" s="841" t="s">
        <v>3058</v>
      </c>
      <c r="L512" s="841" t="s">
        <v>443</v>
      </c>
      <c r="M512" s="1357"/>
      <c r="P512" s="841" t="s">
        <v>3077</v>
      </c>
      <c r="Q512" s="1357"/>
      <c r="S512" s="1420"/>
      <c r="T512" s="1420">
        <v>43465</v>
      </c>
      <c r="V512" s="1357">
        <v>142</v>
      </c>
    </row>
    <row r="513" spans="1:22" s="841" customFormat="1" ht="15" x14ac:dyDescent="0.25">
      <c r="A513" s="841" t="s">
        <v>162</v>
      </c>
      <c r="E513" s="1918" t="s">
        <v>5144</v>
      </c>
      <c r="F513" s="1908"/>
      <c r="G513" s="508" t="s">
        <v>24</v>
      </c>
      <c r="H513" s="620">
        <v>3.3E-3</v>
      </c>
      <c r="K513" s="841" t="s">
        <v>3058</v>
      </c>
      <c r="L513" s="841" t="s">
        <v>443</v>
      </c>
      <c r="M513" s="1357"/>
      <c r="P513" s="841" t="s">
        <v>3076</v>
      </c>
      <c r="Q513" s="1357"/>
      <c r="S513" s="1420"/>
      <c r="T513" s="1420">
        <v>43465</v>
      </c>
      <c r="V513" s="1357">
        <v>99</v>
      </c>
    </row>
    <row r="514" spans="1:22" s="841" customFormat="1" ht="15" x14ac:dyDescent="0.25">
      <c r="A514" s="841" t="s">
        <v>162</v>
      </c>
      <c r="E514" s="1918" t="s">
        <v>5145</v>
      </c>
      <c r="F514" s="1908"/>
      <c r="G514" s="508" t="s">
        <v>24</v>
      </c>
      <c r="H514" s="620">
        <v>-1E-4</v>
      </c>
      <c r="K514" s="841" t="s">
        <v>3058</v>
      </c>
      <c r="L514" s="841" t="s">
        <v>443</v>
      </c>
      <c r="M514" s="1357"/>
      <c r="P514" s="841" t="s">
        <v>5146</v>
      </c>
      <c r="Q514" s="1357"/>
      <c r="S514" s="1420"/>
      <c r="T514" s="1420">
        <v>43465</v>
      </c>
      <c r="V514" s="1357">
        <v>148</v>
      </c>
    </row>
    <row r="515" spans="1:22" s="841" customFormat="1" ht="15" x14ac:dyDescent="0.25">
      <c r="A515" s="841" t="s">
        <v>162</v>
      </c>
      <c r="E515" s="1064" t="s">
        <v>3078</v>
      </c>
      <c r="F515" s="1064"/>
      <c r="G515" s="1066" t="s">
        <v>24</v>
      </c>
      <c r="H515" s="675">
        <v>-1.9E-3</v>
      </c>
      <c r="K515" s="841" t="s">
        <v>3058</v>
      </c>
      <c r="L515" s="841" t="s">
        <v>442</v>
      </c>
      <c r="M515" s="1357"/>
      <c r="P515" s="841" t="s">
        <v>5147</v>
      </c>
      <c r="Q515" s="1357"/>
      <c r="S515" s="1420"/>
      <c r="T515" s="1420">
        <v>43830</v>
      </c>
      <c r="V515" s="1357">
        <v>87</v>
      </c>
    </row>
    <row r="516" spans="1:22" s="841" customFormat="1" ht="15" x14ac:dyDescent="0.25">
      <c r="A516" s="841" t="s">
        <v>162</v>
      </c>
      <c r="E516" s="1934" t="s">
        <v>221</v>
      </c>
      <c r="F516" s="1934"/>
      <c r="G516" s="1066" t="s">
        <v>24</v>
      </c>
      <c r="H516" s="606">
        <v>6.3E-3</v>
      </c>
      <c r="K516" s="841" t="s">
        <v>3058</v>
      </c>
      <c r="L516" s="841" t="s">
        <v>444</v>
      </c>
      <c r="M516" s="1357"/>
      <c r="P516" s="841" t="s">
        <v>5148</v>
      </c>
      <c r="Q516" s="1357"/>
      <c r="S516" s="1420"/>
      <c r="T516" s="1420"/>
      <c r="V516" s="1357">
        <v>47</v>
      </c>
    </row>
    <row r="517" spans="1:22" s="841" customFormat="1" ht="15" x14ac:dyDescent="0.25">
      <c r="A517" s="841" t="s">
        <v>162</v>
      </c>
      <c r="E517" s="1934" t="s">
        <v>217</v>
      </c>
      <c r="F517" s="1934"/>
      <c r="G517" s="1066" t="s">
        <v>24</v>
      </c>
      <c r="H517" s="606">
        <v>5.3E-3</v>
      </c>
      <c r="K517" s="841" t="s">
        <v>3058</v>
      </c>
      <c r="L517" s="841" t="s">
        <v>444</v>
      </c>
      <c r="M517" s="1357"/>
      <c r="P517" s="841" t="s">
        <v>5149</v>
      </c>
      <c r="Q517" s="1357"/>
      <c r="S517" s="1420"/>
      <c r="T517" s="1420"/>
      <c r="V517" s="1357">
        <v>74</v>
      </c>
    </row>
    <row r="518" spans="1:22" s="841" customFormat="1" ht="15" x14ac:dyDescent="0.25">
      <c r="A518" s="841" t="s">
        <v>162</v>
      </c>
      <c r="E518" s="1919" t="s">
        <v>3079</v>
      </c>
      <c r="F518" s="1690"/>
      <c r="G518" s="679"/>
      <c r="H518" s="1093"/>
      <c r="K518" s="841" t="s">
        <v>3080</v>
      </c>
      <c r="M518" s="1357"/>
      <c r="Q518" s="1357"/>
      <c r="S518" s="1420"/>
      <c r="T518" s="1420"/>
      <c r="V518" s="1357">
        <v>48</v>
      </c>
    </row>
    <row r="519" spans="1:22" s="841" customFormat="1" ht="15" x14ac:dyDescent="0.25">
      <c r="A519" s="841" t="s">
        <v>162</v>
      </c>
      <c r="E519" s="1918" t="s">
        <v>2449</v>
      </c>
      <c r="F519" s="1918"/>
      <c r="G519" s="700" t="s">
        <v>24</v>
      </c>
      <c r="H519" s="681">
        <v>3.2000000000000002E-3</v>
      </c>
      <c r="K519" s="841" t="s">
        <v>3058</v>
      </c>
      <c r="L519" s="841" t="s">
        <v>3046</v>
      </c>
      <c r="M519" s="1357"/>
      <c r="P519" s="841" t="s">
        <v>3081</v>
      </c>
      <c r="Q519" s="1357"/>
      <c r="S519" s="1420"/>
      <c r="T519" s="1420"/>
      <c r="V519" s="1357">
        <v>55</v>
      </c>
    </row>
    <row r="520" spans="1:22" s="841" customFormat="1" ht="15" x14ac:dyDescent="0.25">
      <c r="A520" s="841" t="s">
        <v>162</v>
      </c>
      <c r="E520" s="1918" t="s">
        <v>2450</v>
      </c>
      <c r="F520" s="1918"/>
      <c r="G520" s="700" t="s">
        <v>24</v>
      </c>
      <c r="H520" s="681">
        <v>4.0000000000000002E-4</v>
      </c>
      <c r="K520" s="841" t="s">
        <v>3058</v>
      </c>
      <c r="L520" s="841" t="s">
        <v>3046</v>
      </c>
      <c r="M520" s="1357"/>
      <c r="P520" s="841" t="s">
        <v>3081</v>
      </c>
      <c r="Q520" s="1357"/>
      <c r="S520" s="1420"/>
      <c r="T520" s="1420"/>
      <c r="V520" s="1357">
        <v>65</v>
      </c>
    </row>
    <row r="521" spans="1:22" s="841" customFormat="1" ht="15" x14ac:dyDescent="0.25">
      <c r="A521" s="841" t="s">
        <v>162</v>
      </c>
      <c r="E521" s="1918" t="s">
        <v>439</v>
      </c>
      <c r="F521" s="1918"/>
      <c r="G521" s="700" t="s">
        <v>24</v>
      </c>
      <c r="H521" s="681">
        <v>2.9999999999999997E-4</v>
      </c>
      <c r="K521" s="841" t="s">
        <v>3058</v>
      </c>
      <c r="L521" s="841" t="s">
        <v>3046</v>
      </c>
      <c r="M521" s="1357"/>
      <c r="P521" s="841" t="s">
        <v>3082</v>
      </c>
      <c r="Q521" s="1357"/>
      <c r="S521" s="1420"/>
      <c r="T521" s="1420"/>
      <c r="V521" s="1357">
        <v>57</v>
      </c>
    </row>
    <row r="522" spans="1:22" s="841" customFormat="1" ht="15" x14ac:dyDescent="0.25">
      <c r="A522" s="841" t="s">
        <v>162</v>
      </c>
      <c r="E522" s="1934" t="s">
        <v>32</v>
      </c>
      <c r="F522" s="1934"/>
      <c r="G522" s="895" t="s">
        <v>23</v>
      </c>
      <c r="H522" s="674">
        <v>0.25</v>
      </c>
      <c r="K522" s="841" t="s">
        <v>3058</v>
      </c>
      <c r="L522" s="841" t="s">
        <v>3046</v>
      </c>
      <c r="M522" s="1357"/>
      <c r="P522" s="841" t="s">
        <v>3083</v>
      </c>
      <c r="Q522" s="1357"/>
      <c r="S522" s="1420"/>
      <c r="T522" s="1420"/>
      <c r="V522" s="1357">
        <v>63</v>
      </c>
    </row>
    <row r="523" spans="1:22" s="841" customFormat="1" x14ac:dyDescent="0.25">
      <c r="A523" s="841" t="s">
        <v>162</v>
      </c>
      <c r="E523" s="1967" t="s">
        <v>2932</v>
      </c>
      <c r="F523" s="1967"/>
      <c r="G523" s="1967"/>
      <c r="H523" s="1967"/>
      <c r="K523" s="841" t="s">
        <v>3084</v>
      </c>
      <c r="M523" s="1357"/>
      <c r="Q523" s="1357"/>
      <c r="S523" s="1420"/>
      <c r="T523" s="1420"/>
      <c r="V523" s="1357">
        <v>37</v>
      </c>
    </row>
    <row r="524" spans="1:22" s="841" customFormat="1" ht="15" x14ac:dyDescent="0.25">
      <c r="A524" s="841" t="s">
        <v>162</v>
      </c>
      <c r="E524" s="2004" t="s">
        <v>3085</v>
      </c>
      <c r="F524" s="2004"/>
      <c r="G524" s="2004"/>
      <c r="H524" s="2005"/>
      <c r="K524" s="841" t="s">
        <v>3084</v>
      </c>
      <c r="M524" s="1357"/>
      <c r="Q524" s="1357"/>
      <c r="S524" s="1420"/>
      <c r="T524" s="1420"/>
      <c r="V524" s="1357">
        <v>353</v>
      </c>
    </row>
    <row r="525" spans="1:22" s="841" customFormat="1" ht="15" x14ac:dyDescent="0.25">
      <c r="A525" s="841" t="s">
        <v>162</v>
      </c>
      <c r="E525" s="1935" t="s">
        <v>3061</v>
      </c>
      <c r="F525" s="1697"/>
      <c r="G525" s="1697"/>
      <c r="H525" s="1697"/>
      <c r="K525" s="841" t="s">
        <v>3086</v>
      </c>
      <c r="M525" s="1357"/>
      <c r="Q525" s="1357"/>
      <c r="S525" s="1420"/>
      <c r="T525" s="1420"/>
      <c r="V525" s="1357">
        <v>11</v>
      </c>
    </row>
    <row r="526" spans="1:22" s="841" customFormat="1" ht="15" x14ac:dyDescent="0.25">
      <c r="A526" s="841" t="s">
        <v>162</v>
      </c>
      <c r="E526" s="2004" t="s">
        <v>3063</v>
      </c>
      <c r="F526" s="2004"/>
      <c r="G526" s="2004"/>
      <c r="H526" s="2004"/>
      <c r="K526" s="841" t="s">
        <v>3084</v>
      </c>
      <c r="M526" s="1357"/>
      <c r="Q526" s="1357"/>
      <c r="S526" s="1420"/>
      <c r="T526" s="1420"/>
      <c r="V526" s="1357">
        <v>280</v>
      </c>
    </row>
    <row r="527" spans="1:22" s="841" customFormat="1" ht="15" x14ac:dyDescent="0.25">
      <c r="A527" s="841" t="s">
        <v>162</v>
      </c>
      <c r="E527" s="2004" t="s">
        <v>3064</v>
      </c>
      <c r="F527" s="2004"/>
      <c r="G527" s="2004"/>
      <c r="H527" s="2004"/>
      <c r="K527" s="841" t="s">
        <v>3084</v>
      </c>
      <c r="M527" s="1357"/>
      <c r="Q527" s="1357"/>
      <c r="S527" s="1420"/>
      <c r="T527" s="1420"/>
      <c r="V527" s="1357">
        <v>411</v>
      </c>
    </row>
    <row r="528" spans="1:22" s="841" customFormat="1" ht="15" x14ac:dyDescent="0.25">
      <c r="A528" s="841" t="s">
        <v>162</v>
      </c>
      <c r="E528" s="2004" t="s">
        <v>3065</v>
      </c>
      <c r="F528" s="2004"/>
      <c r="G528" s="2004"/>
      <c r="H528" s="2004"/>
      <c r="K528" s="841" t="s">
        <v>3084</v>
      </c>
      <c r="M528" s="1357"/>
      <c r="Q528" s="1357"/>
      <c r="S528" s="1420"/>
      <c r="T528" s="1420"/>
      <c r="V528" s="1357">
        <v>387</v>
      </c>
    </row>
    <row r="529" spans="1:22" s="841" customFormat="1" ht="15" x14ac:dyDescent="0.25">
      <c r="A529" s="841" t="s">
        <v>162</v>
      </c>
      <c r="E529" s="2004" t="s">
        <v>5150</v>
      </c>
      <c r="F529" s="2004"/>
      <c r="G529" s="2004"/>
      <c r="H529" s="2004"/>
      <c r="K529" s="841" t="s">
        <v>3084</v>
      </c>
      <c r="M529" s="1357"/>
      <c r="Q529" s="1357"/>
      <c r="S529" s="1420"/>
      <c r="T529" s="1420"/>
      <c r="V529" s="1357">
        <v>610</v>
      </c>
    </row>
    <row r="530" spans="1:22" s="841" customFormat="1" ht="15" x14ac:dyDescent="0.25">
      <c r="A530" s="841" t="s">
        <v>162</v>
      </c>
      <c r="E530" s="2004" t="s">
        <v>3569</v>
      </c>
      <c r="F530" s="2004"/>
      <c r="G530" s="2004"/>
      <c r="H530" s="2004"/>
      <c r="K530" s="841" t="s">
        <v>3084</v>
      </c>
      <c r="M530" s="1357"/>
      <c r="Q530" s="1357"/>
      <c r="S530" s="1420"/>
      <c r="T530" s="1420"/>
      <c r="V530" s="1357">
        <v>626</v>
      </c>
    </row>
    <row r="531" spans="1:22" s="841" customFormat="1" ht="15" x14ac:dyDescent="0.25">
      <c r="A531" s="841" t="s">
        <v>162</v>
      </c>
      <c r="E531" s="2004" t="s">
        <v>3066</v>
      </c>
      <c r="F531" s="2004"/>
      <c r="G531" s="2004"/>
      <c r="H531" s="2004"/>
      <c r="K531" s="841" t="s">
        <v>3084</v>
      </c>
      <c r="M531" s="1357"/>
      <c r="Q531" s="1357"/>
      <c r="S531" s="1420"/>
      <c r="T531" s="1420"/>
      <c r="V531" s="1357">
        <v>275</v>
      </c>
    </row>
    <row r="532" spans="1:22" s="841" customFormat="1" ht="15" x14ac:dyDescent="0.25">
      <c r="A532" s="841" t="s">
        <v>162</v>
      </c>
      <c r="E532" s="1930" t="s">
        <v>3067</v>
      </c>
      <c r="F532" s="1693"/>
      <c r="G532" s="1693"/>
      <c r="H532" s="1693"/>
      <c r="K532" s="841" t="s">
        <v>3087</v>
      </c>
      <c r="M532" s="1357"/>
      <c r="Q532" s="1357"/>
      <c r="S532" s="1420"/>
      <c r="T532" s="1420"/>
      <c r="V532" s="1357">
        <v>46</v>
      </c>
    </row>
    <row r="533" spans="1:22" s="841" customFormat="1" ht="15" x14ac:dyDescent="0.25">
      <c r="A533" s="841" t="s">
        <v>162</v>
      </c>
      <c r="E533" s="1904" t="s">
        <v>11</v>
      </c>
      <c r="F533" s="1904"/>
      <c r="G533" s="1094" t="s">
        <v>23</v>
      </c>
      <c r="H533" s="600">
        <v>645.61</v>
      </c>
      <c r="K533" s="841" t="s">
        <v>3084</v>
      </c>
      <c r="L533" s="841" t="s">
        <v>442</v>
      </c>
      <c r="M533" s="1357"/>
      <c r="P533" s="841" t="s">
        <v>3088</v>
      </c>
      <c r="Q533" s="1357"/>
      <c r="S533" s="1420"/>
      <c r="T533" s="1420"/>
      <c r="V533" s="1357">
        <v>14</v>
      </c>
    </row>
    <row r="534" spans="1:22" s="841" customFormat="1" ht="15" x14ac:dyDescent="0.25">
      <c r="A534" s="841" t="s">
        <v>162</v>
      </c>
      <c r="E534" s="1904" t="s">
        <v>84</v>
      </c>
      <c r="F534" s="1904"/>
      <c r="G534" s="1094" t="s">
        <v>33</v>
      </c>
      <c r="H534" s="606">
        <v>3.3451</v>
      </c>
      <c r="K534" s="841" t="s">
        <v>3084</v>
      </c>
      <c r="L534" s="841" t="s">
        <v>442</v>
      </c>
      <c r="M534" s="1357"/>
      <c r="P534" s="841" t="s">
        <v>3089</v>
      </c>
      <c r="Q534" s="1357"/>
      <c r="S534" s="1420"/>
      <c r="T534" s="1420"/>
      <c r="V534" s="1357">
        <v>28</v>
      </c>
    </row>
    <row r="535" spans="1:22" s="841" customFormat="1" ht="15" x14ac:dyDescent="0.25">
      <c r="A535" s="841" t="s">
        <v>162</v>
      </c>
      <c r="E535" s="1904" t="s">
        <v>5143</v>
      </c>
      <c r="F535" s="1962"/>
      <c r="G535" s="1095" t="s">
        <v>24</v>
      </c>
      <c r="H535" s="393">
        <v>-3.0499999999999999E-2</v>
      </c>
      <c r="K535" s="841" t="s">
        <v>3084</v>
      </c>
      <c r="L535" s="841" t="s">
        <v>443</v>
      </c>
      <c r="M535" s="1357"/>
      <c r="P535" s="841" t="s">
        <v>3091</v>
      </c>
      <c r="Q535" s="1357"/>
      <c r="S535" s="1420"/>
      <c r="T535" s="1420">
        <v>43465</v>
      </c>
      <c r="V535" s="1357">
        <v>142</v>
      </c>
    </row>
    <row r="536" spans="1:22" s="841" customFormat="1" ht="15" x14ac:dyDescent="0.25">
      <c r="A536" s="841" t="s">
        <v>162</v>
      </c>
      <c r="E536" s="1904" t="s">
        <v>5144</v>
      </c>
      <c r="F536" s="1962"/>
      <c r="G536" s="1094" t="s">
        <v>33</v>
      </c>
      <c r="H536" s="606">
        <v>1.3979999999999999</v>
      </c>
      <c r="K536" s="841" t="s">
        <v>3084</v>
      </c>
      <c r="L536" s="841" t="s">
        <v>443</v>
      </c>
      <c r="M536" s="1357"/>
      <c r="P536" s="841" t="s">
        <v>3090</v>
      </c>
      <c r="Q536" s="1357"/>
      <c r="S536" s="1420"/>
      <c r="T536" s="1420">
        <v>43465</v>
      </c>
      <c r="V536" s="1357">
        <v>99</v>
      </c>
    </row>
    <row r="537" spans="1:22" s="841" customFormat="1" ht="15" x14ac:dyDescent="0.25">
      <c r="A537" s="841" t="s">
        <v>162</v>
      </c>
      <c r="E537" s="1904" t="s">
        <v>5145</v>
      </c>
      <c r="F537" s="1962"/>
      <c r="G537" s="1095" t="s">
        <v>33</v>
      </c>
      <c r="H537" s="393">
        <v>-2.1600000000000001E-2</v>
      </c>
      <c r="K537" s="841" t="s">
        <v>3084</v>
      </c>
      <c r="L537" s="841" t="s">
        <v>443</v>
      </c>
      <c r="M537" s="1357"/>
      <c r="P537" s="841" t="s">
        <v>5151</v>
      </c>
      <c r="Q537" s="1357"/>
      <c r="S537" s="1420"/>
      <c r="T537" s="1420">
        <v>43465</v>
      </c>
      <c r="V537" s="1357">
        <v>148</v>
      </c>
    </row>
    <row r="538" spans="1:22" s="841" customFormat="1" ht="15" x14ac:dyDescent="0.25">
      <c r="A538" s="841" t="s">
        <v>162</v>
      </c>
      <c r="E538" s="1904" t="s">
        <v>3092</v>
      </c>
      <c r="F538" s="1904"/>
      <c r="G538" s="1094" t="s">
        <v>33</v>
      </c>
      <c r="H538" s="393">
        <v>-0.80100000000000005</v>
      </c>
      <c r="K538" s="841" t="s">
        <v>3084</v>
      </c>
      <c r="L538" s="841" t="s">
        <v>442</v>
      </c>
      <c r="M538" s="1357"/>
      <c r="P538" s="841" t="s">
        <v>5152</v>
      </c>
      <c r="Q538" s="1357"/>
      <c r="S538" s="1420"/>
      <c r="T538" s="1420">
        <v>43830</v>
      </c>
      <c r="V538" s="1357">
        <v>86</v>
      </c>
    </row>
    <row r="539" spans="1:22" s="841" customFormat="1" ht="15" x14ac:dyDescent="0.25">
      <c r="A539" s="841" t="s">
        <v>162</v>
      </c>
      <c r="E539" s="1904" t="s">
        <v>221</v>
      </c>
      <c r="F539" s="1904"/>
      <c r="G539" s="1094" t="s">
        <v>33</v>
      </c>
      <c r="H539" s="606">
        <v>2.4047999999999998</v>
      </c>
      <c r="K539" s="841" t="s">
        <v>3084</v>
      </c>
      <c r="L539" s="841" t="s">
        <v>444</v>
      </c>
      <c r="M539" s="1357"/>
      <c r="P539" s="841" t="s">
        <v>5153</v>
      </c>
      <c r="Q539" s="1357"/>
      <c r="S539" s="1420"/>
      <c r="T539" s="1420"/>
      <c r="V539" s="1357">
        <v>47</v>
      </c>
    </row>
    <row r="540" spans="1:22" s="841" customFormat="1" ht="15" x14ac:dyDescent="0.25">
      <c r="A540" s="841" t="s">
        <v>162</v>
      </c>
      <c r="E540" s="1904" t="s">
        <v>217</v>
      </c>
      <c r="F540" s="1904"/>
      <c r="G540" s="1094" t="s">
        <v>33</v>
      </c>
      <c r="H540" s="606">
        <v>2.0074000000000001</v>
      </c>
      <c r="K540" s="841" t="s">
        <v>3084</v>
      </c>
      <c r="L540" s="841" t="s">
        <v>444</v>
      </c>
      <c r="M540" s="1357"/>
      <c r="P540" s="841" t="s">
        <v>5154</v>
      </c>
      <c r="Q540" s="1357"/>
      <c r="S540" s="1420"/>
      <c r="T540" s="1420"/>
      <c r="V540" s="1357">
        <v>74</v>
      </c>
    </row>
    <row r="541" spans="1:22" s="841" customFormat="1" ht="15" x14ac:dyDescent="0.25">
      <c r="A541" s="841" t="s">
        <v>162</v>
      </c>
      <c r="E541" s="1919" t="s">
        <v>3079</v>
      </c>
      <c r="F541" s="1690"/>
      <c r="G541" s="679"/>
      <c r="H541" s="1093"/>
      <c r="K541" s="841" t="s">
        <v>3093</v>
      </c>
      <c r="M541" s="1357"/>
      <c r="Q541" s="1357"/>
      <c r="S541" s="1420"/>
      <c r="T541" s="1420"/>
      <c r="V541" s="1357">
        <v>48</v>
      </c>
    </row>
    <row r="542" spans="1:22" s="841" customFormat="1" ht="15" x14ac:dyDescent="0.25">
      <c r="A542" s="841" t="s">
        <v>162</v>
      </c>
      <c r="E542" s="1918" t="s">
        <v>2449</v>
      </c>
      <c r="F542" s="1918"/>
      <c r="G542" s="700" t="s">
        <v>24</v>
      </c>
      <c r="H542" s="681">
        <v>3.2000000000000002E-3</v>
      </c>
      <c r="K542" s="841" t="s">
        <v>3084</v>
      </c>
      <c r="L542" s="841" t="s">
        <v>3046</v>
      </c>
      <c r="M542" s="1357"/>
      <c r="P542" s="841" t="s">
        <v>3094</v>
      </c>
      <c r="Q542" s="1357"/>
      <c r="S542" s="1420"/>
      <c r="T542" s="1420"/>
      <c r="V542" s="1357">
        <v>55</v>
      </c>
    </row>
    <row r="543" spans="1:22" s="841" customFormat="1" ht="15" x14ac:dyDescent="0.25">
      <c r="A543" s="841" t="s">
        <v>162</v>
      </c>
      <c r="E543" s="1918" t="s">
        <v>2450</v>
      </c>
      <c r="F543" s="1918"/>
      <c r="G543" s="700" t="s">
        <v>24</v>
      </c>
      <c r="H543" s="681">
        <v>4.0000000000000002E-4</v>
      </c>
      <c r="K543" s="841" t="s">
        <v>3084</v>
      </c>
      <c r="L543" s="841" t="s">
        <v>3046</v>
      </c>
      <c r="M543" s="1357"/>
      <c r="P543" s="841" t="s">
        <v>3094</v>
      </c>
      <c r="Q543" s="1357"/>
      <c r="S543" s="1420"/>
      <c r="T543" s="1420"/>
      <c r="V543" s="1357">
        <v>65</v>
      </c>
    </row>
    <row r="544" spans="1:22" s="841" customFormat="1" ht="15" x14ac:dyDescent="0.25">
      <c r="A544" s="841" t="s">
        <v>162</v>
      </c>
      <c r="E544" s="1918" t="s">
        <v>439</v>
      </c>
      <c r="F544" s="1918"/>
      <c r="G544" s="700" t="s">
        <v>24</v>
      </c>
      <c r="H544" s="681">
        <v>2.9999999999999997E-4</v>
      </c>
      <c r="K544" s="841" t="s">
        <v>3084</v>
      </c>
      <c r="L544" s="841" t="s">
        <v>3046</v>
      </c>
      <c r="M544" s="1357"/>
      <c r="P544" s="841" t="s">
        <v>3095</v>
      </c>
      <c r="Q544" s="1357"/>
      <c r="S544" s="1420"/>
      <c r="T544" s="1420"/>
      <c r="V544" s="1357">
        <v>57</v>
      </c>
    </row>
    <row r="545" spans="1:22" s="841" customFormat="1" ht="15" x14ac:dyDescent="0.25">
      <c r="A545" s="841" t="s">
        <v>162</v>
      </c>
      <c r="E545" s="1934" t="s">
        <v>32</v>
      </c>
      <c r="F545" s="1934"/>
      <c r="G545" s="895" t="s">
        <v>23</v>
      </c>
      <c r="H545" s="674">
        <v>0.25</v>
      </c>
      <c r="K545" s="841" t="s">
        <v>3084</v>
      </c>
      <c r="L545" s="841" t="s">
        <v>3046</v>
      </c>
      <c r="M545" s="1357"/>
      <c r="P545" s="841" t="s">
        <v>3096</v>
      </c>
      <c r="Q545" s="1357"/>
      <c r="S545" s="1420"/>
      <c r="T545" s="1420"/>
      <c r="V545" s="1357">
        <v>63</v>
      </c>
    </row>
    <row r="546" spans="1:22" s="841" customFormat="1" x14ac:dyDescent="0.25">
      <c r="A546" s="841" t="s">
        <v>162</v>
      </c>
      <c r="E546" s="1967" t="s">
        <v>2358</v>
      </c>
      <c r="F546" s="1967"/>
      <c r="G546" s="1967"/>
      <c r="H546" s="1968"/>
      <c r="K546" s="841" t="s">
        <v>5155</v>
      </c>
      <c r="M546" s="1357"/>
      <c r="Q546" s="1357"/>
      <c r="S546" s="1420"/>
      <c r="T546" s="1420"/>
      <c r="V546" s="1357">
        <v>41</v>
      </c>
    </row>
    <row r="547" spans="1:22" s="841" customFormat="1" ht="15" x14ac:dyDescent="0.25">
      <c r="A547" s="841" t="s">
        <v>162</v>
      </c>
      <c r="E547" s="2004" t="s">
        <v>3106</v>
      </c>
      <c r="F547" s="2004"/>
      <c r="G547" s="2004"/>
      <c r="H547" s="2005"/>
      <c r="K547" s="841" t="s">
        <v>5155</v>
      </c>
      <c r="M547" s="1357"/>
      <c r="Q547" s="1357"/>
      <c r="S547" s="1420"/>
      <c r="T547" s="1420"/>
      <c r="V547" s="1357">
        <v>409</v>
      </c>
    </row>
    <row r="548" spans="1:22" s="841" customFormat="1" ht="15" x14ac:dyDescent="0.25">
      <c r="A548" s="841" t="s">
        <v>162</v>
      </c>
      <c r="E548" s="1935" t="s">
        <v>3061</v>
      </c>
      <c r="F548" s="1697"/>
      <c r="G548" s="1697"/>
      <c r="H548" s="1697"/>
      <c r="K548" s="841" t="s">
        <v>3098</v>
      </c>
      <c r="M548" s="1357"/>
      <c r="Q548" s="1357"/>
      <c r="S548" s="1420"/>
      <c r="T548" s="1420"/>
      <c r="V548" s="1357">
        <v>11</v>
      </c>
    </row>
    <row r="549" spans="1:22" s="841" customFormat="1" ht="15" x14ac:dyDescent="0.25">
      <c r="A549" s="841" t="s">
        <v>162</v>
      </c>
      <c r="E549" s="1939" t="s">
        <v>3063</v>
      </c>
      <c r="F549" s="1939"/>
      <c r="G549" s="1939"/>
      <c r="H549" s="1939"/>
      <c r="K549" s="841" t="s">
        <v>5155</v>
      </c>
      <c r="M549" s="1357"/>
      <c r="Q549" s="1357"/>
      <c r="S549" s="1420"/>
      <c r="T549" s="1420"/>
      <c r="V549" s="1357">
        <v>280</v>
      </c>
    </row>
    <row r="550" spans="1:22" s="841" customFormat="1" ht="15" x14ac:dyDescent="0.25">
      <c r="A550" s="841" t="s">
        <v>162</v>
      </c>
      <c r="E550" s="1939" t="s">
        <v>3064</v>
      </c>
      <c r="F550" s="1939"/>
      <c r="G550" s="1939"/>
      <c r="H550" s="1939"/>
      <c r="K550" s="841" t="s">
        <v>5155</v>
      </c>
      <c r="M550" s="1357"/>
      <c r="Q550" s="1357"/>
      <c r="S550" s="1420"/>
      <c r="T550" s="1420"/>
      <c r="V550" s="1357">
        <v>411</v>
      </c>
    </row>
    <row r="551" spans="1:22" s="841" customFormat="1" ht="15" x14ac:dyDescent="0.25">
      <c r="A551" s="841" t="s">
        <v>162</v>
      </c>
      <c r="E551" s="1939" t="s">
        <v>3065</v>
      </c>
      <c r="F551" s="1939"/>
      <c r="G551" s="1939"/>
      <c r="H551" s="1939"/>
      <c r="K551" s="841" t="s">
        <v>5155</v>
      </c>
      <c r="M551" s="1357"/>
      <c r="Q551" s="1357"/>
      <c r="S551" s="1420"/>
      <c r="T551" s="1420"/>
      <c r="V551" s="1357">
        <v>387</v>
      </c>
    </row>
    <row r="552" spans="1:22" s="841" customFormat="1" ht="15" x14ac:dyDescent="0.25">
      <c r="A552" s="841" t="s">
        <v>162</v>
      </c>
      <c r="E552" s="1939" t="s">
        <v>3066</v>
      </c>
      <c r="F552" s="1939"/>
      <c r="G552" s="1939"/>
      <c r="H552" s="1939"/>
      <c r="K552" s="841" t="s">
        <v>5155</v>
      </c>
      <c r="M552" s="1357"/>
      <c r="Q552" s="1357"/>
      <c r="S552" s="1420"/>
      <c r="T552" s="1420"/>
      <c r="V552" s="1357">
        <v>275</v>
      </c>
    </row>
    <row r="553" spans="1:22" s="841" customFormat="1" ht="15" x14ac:dyDescent="0.25">
      <c r="A553" s="841" t="s">
        <v>162</v>
      </c>
      <c r="E553" s="1930" t="s">
        <v>3067</v>
      </c>
      <c r="F553" s="1693"/>
      <c r="G553" s="1693"/>
      <c r="H553" s="1693"/>
      <c r="K553" s="841" t="s">
        <v>3099</v>
      </c>
      <c r="M553" s="1357"/>
      <c r="Q553" s="1357"/>
      <c r="S553" s="1420"/>
      <c r="T553" s="1420"/>
      <c r="V553" s="1357">
        <v>46</v>
      </c>
    </row>
    <row r="554" spans="1:22" s="841" customFormat="1" ht="15" x14ac:dyDescent="0.25">
      <c r="A554" s="841" t="s">
        <v>162</v>
      </c>
      <c r="E554" s="1934" t="s">
        <v>11</v>
      </c>
      <c r="F554" s="1934"/>
      <c r="G554" s="895" t="s">
        <v>23</v>
      </c>
      <c r="H554" s="600">
        <v>50.05</v>
      </c>
      <c r="K554" s="841" t="s">
        <v>5155</v>
      </c>
      <c r="L554" s="841" t="s">
        <v>442</v>
      </c>
      <c r="M554" s="1357"/>
      <c r="P554" s="841" t="s">
        <v>5156</v>
      </c>
      <c r="Q554" s="1357"/>
      <c r="S554" s="1420"/>
      <c r="T554" s="1420"/>
      <c r="V554" s="1357">
        <v>14</v>
      </c>
    </row>
    <row r="555" spans="1:22" s="841" customFormat="1" ht="15" x14ac:dyDescent="0.25">
      <c r="A555" s="841" t="s">
        <v>162</v>
      </c>
      <c r="E555" s="1934" t="s">
        <v>423</v>
      </c>
      <c r="F555" s="1934"/>
      <c r="G555" s="895" t="s">
        <v>23</v>
      </c>
      <c r="H555" s="600">
        <v>0.79</v>
      </c>
      <c r="K555" s="841" t="s">
        <v>5155</v>
      </c>
      <c r="L555" s="841" t="s">
        <v>443</v>
      </c>
      <c r="M555" s="1357"/>
      <c r="P555" s="841" t="s">
        <v>5157</v>
      </c>
      <c r="Q555" s="1357"/>
      <c r="S555" s="1420"/>
      <c r="T555" s="1420">
        <v>43404</v>
      </c>
      <c r="V555" s="1357">
        <v>78</v>
      </c>
    </row>
    <row r="556" spans="1:22" s="841" customFormat="1" ht="15" x14ac:dyDescent="0.25">
      <c r="A556" s="841" t="s">
        <v>162</v>
      </c>
      <c r="E556" s="1934" t="s">
        <v>3109</v>
      </c>
      <c r="F556" s="1934"/>
      <c r="G556" s="895" t="s">
        <v>24</v>
      </c>
      <c r="H556" s="606">
        <v>0.1338</v>
      </c>
      <c r="K556" s="841" t="s">
        <v>5155</v>
      </c>
      <c r="L556" s="841" t="s">
        <v>442</v>
      </c>
      <c r="M556" s="1357"/>
      <c r="P556" s="841" t="s">
        <v>5158</v>
      </c>
      <c r="Q556" s="1357"/>
      <c r="S556" s="1420"/>
      <c r="T556" s="1420"/>
      <c r="V556" s="1357">
        <v>29</v>
      </c>
    </row>
    <row r="557" spans="1:22" s="841" customFormat="1" ht="15" x14ac:dyDescent="0.25">
      <c r="A557" s="841" t="s">
        <v>162</v>
      </c>
      <c r="E557" s="1918" t="s">
        <v>5143</v>
      </c>
      <c r="F557" s="1908"/>
      <c r="G557" s="700" t="s">
        <v>24</v>
      </c>
      <c r="H557" s="393">
        <v>-3.0499999999999999E-2</v>
      </c>
      <c r="K557" s="841" t="s">
        <v>5155</v>
      </c>
      <c r="L557" s="841" t="s">
        <v>443</v>
      </c>
      <c r="M557" s="1357"/>
      <c r="P557" s="841" t="s">
        <v>5159</v>
      </c>
      <c r="Q557" s="1357"/>
      <c r="S557" s="1420"/>
      <c r="T557" s="1420">
        <v>43465</v>
      </c>
      <c r="V557" s="1357">
        <v>142</v>
      </c>
    </row>
    <row r="558" spans="1:22" s="841" customFormat="1" ht="15" x14ac:dyDescent="0.25">
      <c r="A558" s="841" t="s">
        <v>162</v>
      </c>
      <c r="E558" s="1918" t="s">
        <v>5144</v>
      </c>
      <c r="F558" s="1908"/>
      <c r="G558" s="700" t="s">
        <v>24</v>
      </c>
      <c r="H558" s="393">
        <v>3.2000000000000002E-3</v>
      </c>
      <c r="K558" s="841" t="s">
        <v>5155</v>
      </c>
      <c r="L558" s="841" t="s">
        <v>443</v>
      </c>
      <c r="M558" s="1357"/>
      <c r="P558" s="841" t="s">
        <v>5160</v>
      </c>
      <c r="Q558" s="1357"/>
      <c r="S558" s="1420"/>
      <c r="T558" s="1420">
        <v>43465</v>
      </c>
      <c r="V558" s="1357">
        <v>99</v>
      </c>
    </row>
    <row r="559" spans="1:22" s="841" customFormat="1" ht="15" x14ac:dyDescent="0.25">
      <c r="A559" s="841" t="s">
        <v>162</v>
      </c>
      <c r="E559" s="1918" t="s">
        <v>5145</v>
      </c>
      <c r="F559" s="1908"/>
      <c r="G559" s="700" t="s">
        <v>24</v>
      </c>
      <c r="H559" s="393">
        <v>-1E-4</v>
      </c>
      <c r="K559" s="841" t="s">
        <v>5155</v>
      </c>
      <c r="L559" s="841" t="s">
        <v>443</v>
      </c>
      <c r="M559" s="1357"/>
      <c r="P559" s="841" t="s">
        <v>5161</v>
      </c>
      <c r="Q559" s="1357"/>
      <c r="S559" s="1420"/>
      <c r="T559" s="1420">
        <v>43465</v>
      </c>
      <c r="V559" s="1357">
        <v>148</v>
      </c>
    </row>
    <row r="560" spans="1:22" s="841" customFormat="1" ht="15" x14ac:dyDescent="0.25">
      <c r="A560" s="841" t="s">
        <v>162</v>
      </c>
      <c r="E560" s="1934" t="s">
        <v>3110</v>
      </c>
      <c r="F560" s="1934"/>
      <c r="G560" s="895" t="s">
        <v>24</v>
      </c>
      <c r="H560" s="606">
        <v>3.0700000000000002E-2</v>
      </c>
      <c r="K560" s="841" t="s">
        <v>5155</v>
      </c>
      <c r="L560" s="841" t="s">
        <v>442</v>
      </c>
      <c r="M560" s="1357"/>
      <c r="P560" s="841" t="s">
        <v>5162</v>
      </c>
      <c r="Q560" s="1357"/>
      <c r="S560" s="1420"/>
      <c r="T560" s="1420">
        <v>43646</v>
      </c>
      <c r="V560" s="1357">
        <v>74</v>
      </c>
    </row>
    <row r="561" spans="1:22" s="841" customFormat="1" ht="15" x14ac:dyDescent="0.25">
      <c r="A561" s="841" t="s">
        <v>162</v>
      </c>
      <c r="E561" s="1934" t="s">
        <v>3092</v>
      </c>
      <c r="F561" s="1934"/>
      <c r="G561" s="895" t="s">
        <v>24</v>
      </c>
      <c r="H561" s="606">
        <v>-1.9E-3</v>
      </c>
      <c r="K561" s="841" t="s">
        <v>5155</v>
      </c>
      <c r="L561" s="841" t="s">
        <v>442</v>
      </c>
      <c r="M561" s="1357"/>
      <c r="P561" s="841" t="s">
        <v>5163</v>
      </c>
      <c r="Q561" s="1357"/>
      <c r="S561" s="1420"/>
      <c r="T561" s="1420">
        <v>43830</v>
      </c>
      <c r="V561" s="1357">
        <v>86</v>
      </c>
    </row>
    <row r="562" spans="1:22" s="841" customFormat="1" ht="15" x14ac:dyDescent="0.25">
      <c r="A562" s="841" t="s">
        <v>162</v>
      </c>
      <c r="E562" s="1934" t="s">
        <v>221</v>
      </c>
      <c r="F562" s="1934"/>
      <c r="G562" s="895" t="s">
        <v>24</v>
      </c>
      <c r="H562" s="606">
        <v>6.3E-3</v>
      </c>
      <c r="K562" s="841" t="s">
        <v>5155</v>
      </c>
      <c r="L562" s="841" t="s">
        <v>444</v>
      </c>
      <c r="M562" s="1357"/>
      <c r="P562" s="841" t="s">
        <v>5164</v>
      </c>
      <c r="Q562" s="1357"/>
      <c r="S562" s="1420"/>
      <c r="T562" s="1420"/>
      <c r="V562" s="1357">
        <v>47</v>
      </c>
    </row>
    <row r="563" spans="1:22" s="841" customFormat="1" ht="15" x14ac:dyDescent="0.25">
      <c r="A563" s="841" t="s">
        <v>162</v>
      </c>
      <c r="E563" s="1934" t="s">
        <v>217</v>
      </c>
      <c r="F563" s="1934"/>
      <c r="G563" s="895" t="s">
        <v>24</v>
      </c>
      <c r="H563" s="606">
        <v>5.3E-3</v>
      </c>
      <c r="K563" s="841" t="s">
        <v>5155</v>
      </c>
      <c r="L563" s="841" t="s">
        <v>444</v>
      </c>
      <c r="M563" s="1357"/>
      <c r="P563" s="841" t="s">
        <v>5165</v>
      </c>
      <c r="Q563" s="1357"/>
      <c r="S563" s="1420"/>
      <c r="T563" s="1420"/>
      <c r="V563" s="1357">
        <v>74</v>
      </c>
    </row>
    <row r="564" spans="1:22" s="841" customFormat="1" ht="15" x14ac:dyDescent="0.25">
      <c r="A564" s="841" t="s">
        <v>162</v>
      </c>
      <c r="E564" s="1919" t="s">
        <v>3079</v>
      </c>
      <c r="F564" s="1690"/>
      <c r="G564" s="679"/>
      <c r="H564" s="1093"/>
      <c r="K564" s="841" t="s">
        <v>3218</v>
      </c>
      <c r="M564" s="1357"/>
      <c r="Q564" s="1357"/>
      <c r="S564" s="1420"/>
      <c r="T564" s="1420"/>
      <c r="V564" s="1357">
        <v>48</v>
      </c>
    </row>
    <row r="565" spans="1:22" s="841" customFormat="1" ht="15" x14ac:dyDescent="0.25">
      <c r="A565" s="841" t="s">
        <v>162</v>
      </c>
      <c r="E565" s="1934" t="s">
        <v>2449</v>
      </c>
      <c r="F565" s="1934"/>
      <c r="G565" s="895" t="s">
        <v>24</v>
      </c>
      <c r="H565" s="678">
        <v>3.2000000000000002E-3</v>
      </c>
      <c r="K565" s="841" t="s">
        <v>5155</v>
      </c>
      <c r="L565" s="841" t="s">
        <v>3046</v>
      </c>
      <c r="M565" s="1357"/>
      <c r="P565" s="841" t="s">
        <v>5166</v>
      </c>
      <c r="Q565" s="1357"/>
      <c r="S565" s="1420"/>
      <c r="T565" s="1420"/>
      <c r="V565" s="1357">
        <v>55</v>
      </c>
    </row>
    <row r="566" spans="1:22" s="841" customFormat="1" ht="15" x14ac:dyDescent="0.25">
      <c r="A566" s="841" t="s">
        <v>162</v>
      </c>
      <c r="E566" s="1934" t="s">
        <v>2450</v>
      </c>
      <c r="F566" s="1934"/>
      <c r="G566" s="895" t="s">
        <v>24</v>
      </c>
      <c r="H566" s="678">
        <v>4.0000000000000002E-4</v>
      </c>
      <c r="K566" s="841" t="s">
        <v>5155</v>
      </c>
      <c r="L566" s="841" t="s">
        <v>3046</v>
      </c>
      <c r="M566" s="1357"/>
      <c r="P566" s="841" t="s">
        <v>5166</v>
      </c>
      <c r="Q566" s="1357"/>
      <c r="S566" s="1420"/>
      <c r="T566" s="1420"/>
      <c r="V566" s="1357">
        <v>65</v>
      </c>
    </row>
    <row r="567" spans="1:22" s="841" customFormat="1" ht="15" x14ac:dyDescent="0.25">
      <c r="A567" s="841" t="s">
        <v>162</v>
      </c>
      <c r="E567" s="1934" t="s">
        <v>439</v>
      </c>
      <c r="F567" s="1934"/>
      <c r="G567" s="895" t="s">
        <v>24</v>
      </c>
      <c r="H567" s="678">
        <v>2.9999999999999997E-4</v>
      </c>
      <c r="K567" s="841" t="s">
        <v>5155</v>
      </c>
      <c r="L567" s="841" t="s">
        <v>3046</v>
      </c>
      <c r="M567" s="1357"/>
      <c r="P567" s="841" t="s">
        <v>5167</v>
      </c>
      <c r="Q567" s="1357"/>
      <c r="S567" s="1420"/>
      <c r="T567" s="1420"/>
      <c r="V567" s="1357">
        <v>57</v>
      </c>
    </row>
    <row r="568" spans="1:22" s="841" customFormat="1" ht="15" x14ac:dyDescent="0.25">
      <c r="A568" s="841" t="s">
        <v>162</v>
      </c>
      <c r="E568" s="1934" t="s">
        <v>32</v>
      </c>
      <c r="F568" s="1934"/>
      <c r="G568" s="895" t="s">
        <v>23</v>
      </c>
      <c r="H568" s="674">
        <v>0.25</v>
      </c>
      <c r="K568" s="841" t="s">
        <v>5155</v>
      </c>
      <c r="L568" s="841" t="s">
        <v>3046</v>
      </c>
      <c r="M568" s="1357"/>
      <c r="P568" s="841" t="s">
        <v>5168</v>
      </c>
      <c r="Q568" s="1357"/>
      <c r="S568" s="1420"/>
      <c r="T568" s="1420"/>
      <c r="V568" s="1357">
        <v>63</v>
      </c>
    </row>
    <row r="569" spans="1:22" s="841" customFormat="1" x14ac:dyDescent="0.25">
      <c r="A569" s="841" t="s">
        <v>162</v>
      </c>
      <c r="E569" s="1967" t="s">
        <v>615</v>
      </c>
      <c r="F569" s="1967"/>
      <c r="G569" s="1967"/>
      <c r="H569" s="1968"/>
      <c r="K569" s="841" t="s">
        <v>4516</v>
      </c>
      <c r="M569" s="1357"/>
      <c r="Q569" s="1357"/>
      <c r="S569" s="1420"/>
      <c r="T569" s="1420"/>
      <c r="V569" s="1357">
        <v>38</v>
      </c>
    </row>
    <row r="570" spans="1:22" s="841" customFormat="1" ht="15" x14ac:dyDescent="0.25">
      <c r="A570" s="841" t="s">
        <v>162</v>
      </c>
      <c r="E570" s="1939" t="s">
        <v>3113</v>
      </c>
      <c r="F570" s="1939"/>
      <c r="G570" s="1939"/>
      <c r="H570" s="1940"/>
      <c r="K570" s="841" t="s">
        <v>4516</v>
      </c>
      <c r="M570" s="1357"/>
      <c r="Q570" s="1357"/>
      <c r="S570" s="1420"/>
      <c r="T570" s="1420"/>
      <c r="V570" s="1357">
        <v>424</v>
      </c>
    </row>
    <row r="571" spans="1:22" s="841" customFormat="1" ht="15" x14ac:dyDescent="0.25">
      <c r="A571" s="841" t="s">
        <v>162</v>
      </c>
      <c r="E571" s="1935" t="s">
        <v>3061</v>
      </c>
      <c r="F571" s="1697"/>
      <c r="G571" s="1697"/>
      <c r="H571" s="1697"/>
      <c r="K571" s="841" t="s">
        <v>3221</v>
      </c>
      <c r="M571" s="1357"/>
      <c r="Q571" s="1357"/>
      <c r="S571" s="1420"/>
      <c r="T571" s="1420"/>
      <c r="V571" s="1357">
        <v>11</v>
      </c>
    </row>
    <row r="572" spans="1:22" s="841" customFormat="1" ht="15" x14ac:dyDescent="0.25">
      <c r="A572" s="841" t="s">
        <v>162</v>
      </c>
      <c r="E572" s="1939" t="s">
        <v>3063</v>
      </c>
      <c r="F572" s="1939"/>
      <c r="G572" s="1939"/>
      <c r="H572" s="1939"/>
      <c r="K572" s="841" t="s">
        <v>4516</v>
      </c>
      <c r="M572" s="1357"/>
      <c r="Q572" s="1357"/>
      <c r="S572" s="1420"/>
      <c r="T572" s="1420"/>
      <c r="V572" s="1357">
        <v>280</v>
      </c>
    </row>
    <row r="573" spans="1:22" s="841" customFormat="1" ht="15" x14ac:dyDescent="0.25">
      <c r="A573" s="841" t="s">
        <v>162</v>
      </c>
      <c r="E573" s="1939" t="s">
        <v>3064</v>
      </c>
      <c r="F573" s="1939"/>
      <c r="G573" s="1939"/>
      <c r="H573" s="1939"/>
      <c r="K573" s="841" t="s">
        <v>4516</v>
      </c>
      <c r="M573" s="1357"/>
      <c r="Q573" s="1357"/>
      <c r="S573" s="1420"/>
      <c r="T573" s="1420"/>
      <c r="V573" s="1357">
        <v>411</v>
      </c>
    </row>
    <row r="574" spans="1:22" s="841" customFormat="1" ht="15" x14ac:dyDescent="0.25">
      <c r="A574" s="841" t="s">
        <v>162</v>
      </c>
      <c r="E574" s="1939" t="s">
        <v>3065</v>
      </c>
      <c r="F574" s="1939"/>
      <c r="G574" s="1939"/>
      <c r="H574" s="1939"/>
      <c r="K574" s="841" t="s">
        <v>4516</v>
      </c>
      <c r="M574" s="1357"/>
      <c r="Q574" s="1357"/>
      <c r="S574" s="1420"/>
      <c r="T574" s="1420"/>
      <c r="V574" s="1357">
        <v>387</v>
      </c>
    </row>
    <row r="575" spans="1:22" s="841" customFormat="1" ht="15" x14ac:dyDescent="0.25">
      <c r="A575" s="841" t="s">
        <v>162</v>
      </c>
      <c r="E575" s="1939" t="s">
        <v>3066</v>
      </c>
      <c r="F575" s="1939"/>
      <c r="G575" s="1939"/>
      <c r="H575" s="1939"/>
      <c r="K575" s="841" t="s">
        <v>4516</v>
      </c>
      <c r="M575" s="1357"/>
      <c r="Q575" s="1357"/>
      <c r="S575" s="1420"/>
      <c r="T575" s="1420"/>
      <c r="V575" s="1357">
        <v>275</v>
      </c>
    </row>
    <row r="576" spans="1:22" s="841" customFormat="1" ht="15" x14ac:dyDescent="0.25">
      <c r="A576" s="841" t="s">
        <v>162</v>
      </c>
      <c r="E576" s="1930" t="s">
        <v>3067</v>
      </c>
      <c r="F576" s="1693"/>
      <c r="G576" s="1693"/>
      <c r="H576" s="1693"/>
      <c r="K576" s="841" t="s">
        <v>3224</v>
      </c>
      <c r="M576" s="1357"/>
      <c r="Q576" s="1357"/>
      <c r="S576" s="1420"/>
      <c r="T576" s="1420"/>
      <c r="V576" s="1357">
        <v>46</v>
      </c>
    </row>
    <row r="577" spans="1:22" s="841" customFormat="1" ht="15" x14ac:dyDescent="0.25">
      <c r="A577" s="841" t="s">
        <v>162</v>
      </c>
      <c r="E577" s="1934" t="s">
        <v>12</v>
      </c>
      <c r="F577" s="1934"/>
      <c r="G577" s="1066" t="s">
        <v>23</v>
      </c>
      <c r="H577" s="600">
        <v>1.91</v>
      </c>
      <c r="K577" s="841" t="s">
        <v>4516</v>
      </c>
      <c r="L577" s="841" t="s">
        <v>442</v>
      </c>
      <c r="M577" s="1357"/>
      <c r="P577" s="841" t="s">
        <v>4517</v>
      </c>
      <c r="Q577" s="1357"/>
      <c r="S577" s="1420"/>
      <c r="T577" s="1420"/>
      <c r="V577" s="1357">
        <v>31</v>
      </c>
    </row>
    <row r="578" spans="1:22" s="841" customFormat="1" ht="15" x14ac:dyDescent="0.25">
      <c r="A578" s="841" t="s">
        <v>162</v>
      </c>
      <c r="E578" s="1934" t="s">
        <v>84</v>
      </c>
      <c r="F578" s="1934"/>
      <c r="G578" s="1066" t="s">
        <v>24</v>
      </c>
      <c r="H578" s="606">
        <v>0.30840000000000001</v>
      </c>
      <c r="K578" s="841" t="s">
        <v>4516</v>
      </c>
      <c r="L578" s="841" t="s">
        <v>442</v>
      </c>
      <c r="M578" s="1357"/>
      <c r="P578" s="841" t="s">
        <v>4518</v>
      </c>
      <c r="Q578" s="1357"/>
      <c r="S578" s="1420"/>
      <c r="T578" s="1420"/>
      <c r="V578" s="1357">
        <v>28</v>
      </c>
    </row>
    <row r="579" spans="1:22" s="841" customFormat="1" ht="15" x14ac:dyDescent="0.25">
      <c r="A579" s="841" t="s">
        <v>162</v>
      </c>
      <c r="E579" s="1918" t="s">
        <v>5143</v>
      </c>
      <c r="F579" s="1908"/>
      <c r="G579" s="700" t="s">
        <v>24</v>
      </c>
      <c r="H579" s="393">
        <v>-3.0499999999999999E-2</v>
      </c>
      <c r="K579" s="841" t="s">
        <v>4516</v>
      </c>
      <c r="L579" s="841" t="s">
        <v>443</v>
      </c>
      <c r="M579" s="1357"/>
      <c r="P579" s="841" t="s">
        <v>5133</v>
      </c>
      <c r="Q579" s="1357"/>
      <c r="S579" s="1420"/>
      <c r="T579" s="1420">
        <v>43465</v>
      </c>
      <c r="V579" s="1357">
        <v>142</v>
      </c>
    </row>
    <row r="580" spans="1:22" s="841" customFormat="1" ht="15" x14ac:dyDescent="0.25">
      <c r="A580" s="841" t="s">
        <v>162</v>
      </c>
      <c r="E580" s="1918" t="s">
        <v>5144</v>
      </c>
      <c r="F580" s="1908"/>
      <c r="G580" s="700" t="s">
        <v>24</v>
      </c>
      <c r="H580" s="393">
        <v>3.3999999999999998E-3</v>
      </c>
      <c r="K580" s="841" t="s">
        <v>4516</v>
      </c>
      <c r="L580" s="841" t="s">
        <v>443</v>
      </c>
      <c r="M580" s="1357"/>
      <c r="P580" s="841" t="s">
        <v>5134</v>
      </c>
      <c r="Q580" s="1357"/>
      <c r="S580" s="1420"/>
      <c r="T580" s="1420">
        <v>43465</v>
      </c>
      <c r="V580" s="1357">
        <v>99</v>
      </c>
    </row>
    <row r="581" spans="1:22" s="841" customFormat="1" ht="15" x14ac:dyDescent="0.25">
      <c r="A581" s="841" t="s">
        <v>162</v>
      </c>
      <c r="E581" s="1918" t="s">
        <v>5145</v>
      </c>
      <c r="F581" s="1908"/>
      <c r="G581" s="700" t="s">
        <v>24</v>
      </c>
      <c r="H581" s="393">
        <v>-1E-4</v>
      </c>
      <c r="K581" s="841" t="s">
        <v>4516</v>
      </c>
      <c r="L581" s="841" t="s">
        <v>443</v>
      </c>
      <c r="M581" s="1357"/>
      <c r="P581" s="841" t="s">
        <v>5169</v>
      </c>
      <c r="Q581" s="1357"/>
      <c r="S581" s="1420"/>
      <c r="T581" s="1420">
        <v>43465</v>
      </c>
      <c r="V581" s="1357">
        <v>148</v>
      </c>
    </row>
    <row r="582" spans="1:22" s="841" customFormat="1" ht="15" x14ac:dyDescent="0.25">
      <c r="A582" s="841" t="s">
        <v>162</v>
      </c>
      <c r="E582" s="1934" t="s">
        <v>3092</v>
      </c>
      <c r="F582" s="1934"/>
      <c r="G582" s="1066" t="s">
        <v>24</v>
      </c>
      <c r="H582" s="393">
        <v>-1.9E-3</v>
      </c>
      <c r="K582" s="841" t="s">
        <v>4516</v>
      </c>
      <c r="L582" s="841" t="s">
        <v>442</v>
      </c>
      <c r="M582" s="1357"/>
      <c r="P582" s="841" t="s">
        <v>5170</v>
      </c>
      <c r="Q582" s="1357"/>
      <c r="S582" s="1420"/>
      <c r="T582" s="1420">
        <v>43830</v>
      </c>
      <c r="V582" s="1357">
        <v>86</v>
      </c>
    </row>
    <row r="583" spans="1:22" s="841" customFormat="1" ht="15" x14ac:dyDescent="0.25">
      <c r="A583" s="841" t="s">
        <v>162</v>
      </c>
      <c r="E583" s="1934" t="s">
        <v>221</v>
      </c>
      <c r="F583" s="1934"/>
      <c r="G583" s="1066" t="s">
        <v>33</v>
      </c>
      <c r="H583" s="606">
        <v>1.7413000000000001</v>
      </c>
      <c r="K583" s="841" t="s">
        <v>4516</v>
      </c>
      <c r="L583" s="841" t="s">
        <v>444</v>
      </c>
      <c r="M583" s="1357"/>
      <c r="P583" s="841" t="s">
        <v>4519</v>
      </c>
      <c r="Q583" s="1357"/>
      <c r="S583" s="1420"/>
      <c r="T583" s="1420"/>
      <c r="V583" s="1357">
        <v>47</v>
      </c>
    </row>
    <row r="584" spans="1:22" s="841" customFormat="1" ht="15" x14ac:dyDescent="0.25">
      <c r="A584" s="841" t="s">
        <v>162</v>
      </c>
      <c r="E584" s="1934" t="s">
        <v>217</v>
      </c>
      <c r="F584" s="1934"/>
      <c r="G584" s="1066" t="s">
        <v>33</v>
      </c>
      <c r="H584" s="606">
        <v>1.4480999999999999</v>
      </c>
      <c r="K584" s="841" t="s">
        <v>4516</v>
      </c>
      <c r="L584" s="841" t="s">
        <v>444</v>
      </c>
      <c r="M584" s="1357"/>
      <c r="P584" s="841" t="s">
        <v>4520</v>
      </c>
      <c r="Q584" s="1357"/>
      <c r="S584" s="1420"/>
      <c r="T584" s="1420"/>
      <c r="V584" s="1357">
        <v>74</v>
      </c>
    </row>
    <row r="585" spans="1:22" s="841" customFormat="1" ht="15" x14ac:dyDescent="0.25">
      <c r="A585" s="841" t="s">
        <v>162</v>
      </c>
      <c r="E585" s="1919" t="s">
        <v>3079</v>
      </c>
      <c r="F585" s="1690"/>
      <c r="G585" s="679"/>
      <c r="H585" s="1093"/>
      <c r="K585" s="841" t="s">
        <v>3225</v>
      </c>
      <c r="M585" s="1357"/>
      <c r="Q585" s="1357"/>
      <c r="S585" s="1420"/>
      <c r="T585" s="1420"/>
      <c r="V585" s="1357">
        <v>48</v>
      </c>
    </row>
    <row r="586" spans="1:22" s="841" customFormat="1" ht="15" x14ac:dyDescent="0.25">
      <c r="A586" s="841" t="s">
        <v>162</v>
      </c>
      <c r="E586" s="1918" t="s">
        <v>2449</v>
      </c>
      <c r="F586" s="1918"/>
      <c r="G586" s="700" t="s">
        <v>24</v>
      </c>
      <c r="H586" s="681">
        <v>3.2000000000000002E-3</v>
      </c>
      <c r="K586" s="841" t="s">
        <v>4516</v>
      </c>
      <c r="L586" s="841" t="s">
        <v>3046</v>
      </c>
      <c r="M586" s="1357"/>
      <c r="P586" s="841" t="s">
        <v>4521</v>
      </c>
      <c r="Q586" s="1357"/>
      <c r="S586" s="1420"/>
      <c r="T586" s="1420"/>
      <c r="V586" s="1357">
        <v>55</v>
      </c>
    </row>
    <row r="587" spans="1:22" s="841" customFormat="1" ht="15" x14ac:dyDescent="0.25">
      <c r="A587" s="841" t="s">
        <v>162</v>
      </c>
      <c r="E587" s="1918" t="s">
        <v>2450</v>
      </c>
      <c r="F587" s="1918"/>
      <c r="G587" s="700" t="s">
        <v>24</v>
      </c>
      <c r="H587" s="681">
        <v>4.0000000000000002E-4</v>
      </c>
      <c r="K587" s="841" t="s">
        <v>4516</v>
      </c>
      <c r="L587" s="841" t="s">
        <v>3046</v>
      </c>
      <c r="M587" s="1357"/>
      <c r="P587" s="841" t="s">
        <v>4521</v>
      </c>
      <c r="Q587" s="1357"/>
      <c r="S587" s="1420"/>
      <c r="T587" s="1420"/>
      <c r="V587" s="1357">
        <v>65</v>
      </c>
    </row>
    <row r="588" spans="1:22" s="841" customFormat="1" ht="15" x14ac:dyDescent="0.25">
      <c r="A588" s="841" t="s">
        <v>162</v>
      </c>
      <c r="E588" s="1918" t="s">
        <v>439</v>
      </c>
      <c r="F588" s="1690"/>
      <c r="G588" s="700" t="s">
        <v>24</v>
      </c>
      <c r="H588" s="681">
        <v>2.9999999999999997E-4</v>
      </c>
      <c r="K588" s="841" t="s">
        <v>4516</v>
      </c>
      <c r="L588" s="841" t="s">
        <v>3046</v>
      </c>
      <c r="M588" s="1357"/>
      <c r="P588" s="841" t="s">
        <v>4522</v>
      </c>
      <c r="Q588" s="1357"/>
      <c r="S588" s="1420"/>
      <c r="T588" s="1420"/>
      <c r="V588" s="1357">
        <v>57</v>
      </c>
    </row>
    <row r="589" spans="1:22" s="841" customFormat="1" ht="15" x14ac:dyDescent="0.25">
      <c r="A589" s="841" t="s">
        <v>162</v>
      </c>
      <c r="E589" s="1918" t="s">
        <v>32</v>
      </c>
      <c r="F589" s="1918"/>
      <c r="G589" s="700" t="s">
        <v>23</v>
      </c>
      <c r="H589" s="701">
        <v>0.25</v>
      </c>
      <c r="K589" s="841" t="s">
        <v>4516</v>
      </c>
      <c r="L589" s="841" t="s">
        <v>3046</v>
      </c>
      <c r="M589" s="1357"/>
      <c r="P589" s="841" t="s">
        <v>4523</v>
      </c>
      <c r="Q589" s="1357"/>
      <c r="S589" s="1420"/>
      <c r="T589" s="1420"/>
      <c r="V589" s="1357">
        <v>63</v>
      </c>
    </row>
    <row r="590" spans="1:22" s="841" customFormat="1" x14ac:dyDescent="0.25">
      <c r="A590" s="841" t="s">
        <v>162</v>
      </c>
      <c r="E590" s="1967" t="s">
        <v>618</v>
      </c>
      <c r="F590" s="1967"/>
      <c r="G590" s="1967"/>
      <c r="H590" s="1968"/>
      <c r="K590" s="841" t="s">
        <v>5135</v>
      </c>
      <c r="M590" s="1357"/>
      <c r="Q590" s="1357"/>
      <c r="S590" s="1420"/>
      <c r="T590" s="1420"/>
      <c r="V590" s="1357">
        <v>31</v>
      </c>
    </row>
    <row r="591" spans="1:22" s="841" customFormat="1" ht="15" x14ac:dyDescent="0.25">
      <c r="A591" s="841" t="s">
        <v>162</v>
      </c>
      <c r="E591" s="1939" t="s">
        <v>3127</v>
      </c>
      <c r="F591" s="1939"/>
      <c r="G591" s="1939"/>
      <c r="H591" s="1940"/>
      <c r="K591" s="841" t="s">
        <v>5135</v>
      </c>
      <c r="M591" s="1357"/>
      <c r="Q591" s="1357"/>
      <c r="S591" s="1420"/>
      <c r="T591" s="1420"/>
      <c r="V591" s="1357">
        <v>286</v>
      </c>
    </row>
    <row r="592" spans="1:22" s="841" customFormat="1" ht="15" x14ac:dyDescent="0.25">
      <c r="A592" s="841" t="s">
        <v>162</v>
      </c>
      <c r="E592" s="1935" t="s">
        <v>3061</v>
      </c>
      <c r="F592" s="1697"/>
      <c r="G592" s="1697"/>
      <c r="H592" s="1697"/>
      <c r="K592" s="841" t="s">
        <v>3107</v>
      </c>
      <c r="M592" s="1357"/>
      <c r="Q592" s="1357"/>
      <c r="S592" s="1420"/>
      <c r="T592" s="1420"/>
      <c r="V592" s="1357">
        <v>11</v>
      </c>
    </row>
    <row r="593" spans="1:22" s="841" customFormat="1" ht="15" x14ac:dyDescent="0.25">
      <c r="A593" s="841" t="s">
        <v>162</v>
      </c>
      <c r="E593" s="1939" t="s">
        <v>3063</v>
      </c>
      <c r="F593" s="1939"/>
      <c r="G593" s="1939"/>
      <c r="H593" s="1939"/>
      <c r="K593" s="841" t="s">
        <v>5135</v>
      </c>
      <c r="M593" s="1357"/>
      <c r="Q593" s="1357"/>
      <c r="S593" s="1420"/>
      <c r="T593" s="1420"/>
      <c r="V593" s="1357">
        <v>280</v>
      </c>
    </row>
    <row r="594" spans="1:22" s="841" customFormat="1" ht="15" x14ac:dyDescent="0.25">
      <c r="A594" s="841" t="s">
        <v>162</v>
      </c>
      <c r="E594" s="1939" t="s">
        <v>3064</v>
      </c>
      <c r="F594" s="1939"/>
      <c r="G594" s="1939"/>
      <c r="H594" s="1939"/>
      <c r="K594" s="841" t="s">
        <v>5135</v>
      </c>
      <c r="M594" s="1357"/>
      <c r="Q594" s="1357"/>
      <c r="S594" s="1420"/>
      <c r="T594" s="1420"/>
      <c r="V594" s="1357">
        <v>411</v>
      </c>
    </row>
    <row r="595" spans="1:22" s="841" customFormat="1" ht="15" x14ac:dyDescent="0.25">
      <c r="A595" s="841" t="s">
        <v>162</v>
      </c>
      <c r="E595" s="1939" t="s">
        <v>3129</v>
      </c>
      <c r="F595" s="1939"/>
      <c r="G595" s="1939"/>
      <c r="H595" s="1939"/>
      <c r="K595" s="841" t="s">
        <v>5135</v>
      </c>
      <c r="M595" s="1357"/>
      <c r="Q595" s="1357"/>
      <c r="S595" s="1420"/>
      <c r="T595" s="1420"/>
      <c r="V595" s="1357">
        <v>211</v>
      </c>
    </row>
    <row r="596" spans="1:22" s="841" customFormat="1" ht="15" x14ac:dyDescent="0.25">
      <c r="A596" s="841" t="s">
        <v>162</v>
      </c>
      <c r="E596" s="1939" t="s">
        <v>3066</v>
      </c>
      <c r="F596" s="1939"/>
      <c r="G596" s="1939"/>
      <c r="H596" s="1939"/>
      <c r="K596" s="841" t="s">
        <v>5135</v>
      </c>
      <c r="M596" s="1357"/>
      <c r="Q596" s="1357"/>
      <c r="S596" s="1420"/>
      <c r="T596" s="1420"/>
      <c r="V596" s="1357">
        <v>275</v>
      </c>
    </row>
    <row r="597" spans="1:22" s="841" customFormat="1" ht="15" x14ac:dyDescent="0.25">
      <c r="A597" s="841" t="s">
        <v>162</v>
      </c>
      <c r="E597" s="1930" t="s">
        <v>3067</v>
      </c>
      <c r="F597" s="1693"/>
      <c r="G597" s="1693"/>
      <c r="H597" s="1693"/>
      <c r="K597" s="841" t="s">
        <v>3108</v>
      </c>
      <c r="M597" s="1357"/>
      <c r="Q597" s="1357"/>
      <c r="S597" s="1420"/>
      <c r="T597" s="1420"/>
      <c r="V597" s="1357">
        <v>46</v>
      </c>
    </row>
    <row r="598" spans="1:22" s="841" customFormat="1" ht="15" x14ac:dyDescent="0.25">
      <c r="A598" s="841" t="s">
        <v>162</v>
      </c>
      <c r="E598" s="1934" t="s">
        <v>11</v>
      </c>
      <c r="F598" s="1934"/>
      <c r="G598" s="1066" t="s">
        <v>23</v>
      </c>
      <c r="H598" s="600">
        <v>5.4</v>
      </c>
      <c r="K598" s="841" t="s">
        <v>5135</v>
      </c>
      <c r="L598" s="841" t="s">
        <v>442</v>
      </c>
      <c r="M598" s="1357"/>
      <c r="P598" s="841" t="s">
        <v>5136</v>
      </c>
      <c r="Q598" s="1357"/>
      <c r="S598" s="1420"/>
      <c r="T598" s="1420"/>
      <c r="V598" s="1357">
        <v>14</v>
      </c>
    </row>
    <row r="599" spans="1:22" s="841" customFormat="1" ht="18.75" x14ac:dyDescent="0.25">
      <c r="A599" s="841" t="s">
        <v>162</v>
      </c>
      <c r="E599" s="1096" t="s">
        <v>85</v>
      </c>
      <c r="F599" s="1097"/>
      <c r="G599" s="1097"/>
      <c r="H599" s="1098"/>
      <c r="K599" s="841" t="s">
        <v>3132</v>
      </c>
      <c r="M599" s="1357"/>
      <c r="Q599" s="1357"/>
      <c r="S599" s="1420"/>
      <c r="T599" s="1420"/>
      <c r="V599" s="1357">
        <v>10</v>
      </c>
    </row>
    <row r="600" spans="1:22" s="841" customFormat="1" ht="15" x14ac:dyDescent="0.25">
      <c r="A600" s="841" t="s">
        <v>162</v>
      </c>
      <c r="E600" s="1934" t="s">
        <v>3133</v>
      </c>
      <c r="F600" s="1934"/>
      <c r="G600" s="1066" t="s">
        <v>33</v>
      </c>
      <c r="H600" s="393">
        <v>-0.6</v>
      </c>
      <c r="M600" s="1357"/>
      <c r="Q600" s="1357"/>
      <c r="S600" s="1420"/>
      <c r="T600" s="1420"/>
      <c r="V600" s="1357">
        <v>68</v>
      </c>
    </row>
    <row r="601" spans="1:22" s="841" customFormat="1" ht="15" x14ac:dyDescent="0.25">
      <c r="A601" s="841" t="s">
        <v>162</v>
      </c>
      <c r="E601" s="1934" t="s">
        <v>3134</v>
      </c>
      <c r="F601" s="1934"/>
      <c r="G601" s="1066" t="s">
        <v>86</v>
      </c>
      <c r="H601" s="391">
        <v>-1</v>
      </c>
      <c r="M601" s="1357"/>
      <c r="Q601" s="1357"/>
      <c r="S601" s="1420"/>
      <c r="T601" s="1420"/>
      <c r="V601" s="1357">
        <v>87</v>
      </c>
    </row>
    <row r="602" spans="1:22" s="841" customFormat="1" x14ac:dyDescent="0.25">
      <c r="A602" s="841" t="s">
        <v>162</v>
      </c>
      <c r="E602" s="1087" t="s">
        <v>87</v>
      </c>
      <c r="F602" s="1099"/>
      <c r="G602" s="1099"/>
      <c r="H602" s="1100"/>
      <c r="K602" s="841" t="s">
        <v>3135</v>
      </c>
      <c r="M602" s="1357"/>
      <c r="Q602" s="1357"/>
      <c r="S602" s="1420"/>
      <c r="T602" s="1420"/>
      <c r="V602" s="1357">
        <v>24</v>
      </c>
    </row>
    <row r="603" spans="1:22" s="841" customFormat="1" ht="15" x14ac:dyDescent="0.25">
      <c r="A603" s="841" t="s">
        <v>162</v>
      </c>
      <c r="E603" s="2036" t="s">
        <v>3063</v>
      </c>
      <c r="F603" s="2036"/>
      <c r="G603" s="2036"/>
      <c r="H603" s="2037"/>
      <c r="M603" s="1357"/>
      <c r="Q603" s="1357"/>
      <c r="S603" s="1420"/>
      <c r="T603" s="1420"/>
      <c r="V603" s="1357">
        <v>280</v>
      </c>
    </row>
    <row r="604" spans="1:22" s="841" customFormat="1" ht="15" x14ac:dyDescent="0.25">
      <c r="A604" s="841" t="s">
        <v>162</v>
      </c>
      <c r="E604" s="2036" t="s">
        <v>3136</v>
      </c>
      <c r="F604" s="2036"/>
      <c r="G604" s="2036"/>
      <c r="H604" s="2037"/>
      <c r="M604" s="1357"/>
      <c r="Q604" s="1357"/>
      <c r="S604" s="1420"/>
      <c r="T604" s="1420"/>
      <c r="V604" s="1357">
        <v>353</v>
      </c>
    </row>
    <row r="605" spans="1:22" s="841" customFormat="1" ht="15" x14ac:dyDescent="0.25">
      <c r="A605" s="841" t="s">
        <v>162</v>
      </c>
      <c r="E605" s="2036" t="s">
        <v>3066</v>
      </c>
      <c r="F605" s="2036"/>
      <c r="G605" s="2036"/>
      <c r="H605" s="2037"/>
      <c r="M605" s="1357"/>
      <c r="Q605" s="1357"/>
      <c r="S605" s="1420"/>
      <c r="T605" s="1420"/>
      <c r="V605" s="1357">
        <v>275</v>
      </c>
    </row>
    <row r="606" spans="1:22" s="841" customFormat="1" ht="15" x14ac:dyDescent="0.25">
      <c r="A606" s="841" t="s">
        <v>162</v>
      </c>
      <c r="E606" s="1101" t="s">
        <v>3137</v>
      </c>
      <c r="F606" s="683"/>
      <c r="G606" s="683"/>
      <c r="H606" s="684"/>
      <c r="K606" s="841" t="s">
        <v>3138</v>
      </c>
      <c r="M606" s="1357"/>
      <c r="Q606" s="1357"/>
      <c r="S606" s="1420"/>
      <c r="T606" s="1420"/>
      <c r="V606" s="1357">
        <v>23</v>
      </c>
    </row>
    <row r="607" spans="1:22" s="841" customFormat="1" ht="15" x14ac:dyDescent="0.25">
      <c r="A607" s="841" t="s">
        <v>162</v>
      </c>
      <c r="E607" s="1924" t="s">
        <v>3139</v>
      </c>
      <c r="F607" s="1924"/>
      <c r="G607" s="508" t="s">
        <v>23</v>
      </c>
      <c r="H607" s="682">
        <v>15</v>
      </c>
      <c r="M607" s="1357"/>
      <c r="Q607" s="1357"/>
      <c r="S607" s="1420"/>
      <c r="T607" s="1420"/>
      <c r="V607" s="1357">
        <v>39</v>
      </c>
    </row>
    <row r="608" spans="1:22" s="841" customFormat="1" ht="15" x14ac:dyDescent="0.25">
      <c r="A608" s="841" t="s">
        <v>162</v>
      </c>
      <c r="E608" s="1924" t="s">
        <v>3140</v>
      </c>
      <c r="F608" s="1924"/>
      <c r="G608" s="508" t="s">
        <v>23</v>
      </c>
      <c r="H608" s="682">
        <v>15</v>
      </c>
      <c r="M608" s="1357"/>
      <c r="Q608" s="1357"/>
      <c r="S608" s="1420"/>
      <c r="T608" s="1420"/>
      <c r="V608" s="1357">
        <v>20</v>
      </c>
    </row>
    <row r="609" spans="1:22" s="841" customFormat="1" ht="15" x14ac:dyDescent="0.25">
      <c r="A609" s="841" t="s">
        <v>162</v>
      </c>
      <c r="E609" s="1924" t="s">
        <v>3141</v>
      </c>
      <c r="F609" s="1924"/>
      <c r="G609" s="508" t="s">
        <v>23</v>
      </c>
      <c r="H609" s="682">
        <v>15</v>
      </c>
      <c r="M609" s="1357"/>
      <c r="Q609" s="1357"/>
      <c r="S609" s="1420"/>
      <c r="T609" s="1420"/>
      <c r="V609" s="1357">
        <v>26</v>
      </c>
    </row>
    <row r="610" spans="1:22" s="841" customFormat="1" ht="15" x14ac:dyDescent="0.25">
      <c r="A610" s="841" t="s">
        <v>162</v>
      </c>
      <c r="E610" s="1924" t="s">
        <v>3142</v>
      </c>
      <c r="F610" s="1924"/>
      <c r="G610" s="508" t="s">
        <v>23</v>
      </c>
      <c r="H610" s="682">
        <v>15</v>
      </c>
      <c r="M610" s="1357"/>
      <c r="Q610" s="1357"/>
      <c r="S610" s="1420"/>
      <c r="T610" s="1420"/>
      <c r="V610" s="1357">
        <v>39</v>
      </c>
    </row>
    <row r="611" spans="1:22" s="841" customFormat="1" ht="15" x14ac:dyDescent="0.25">
      <c r="A611" s="841" t="s">
        <v>162</v>
      </c>
      <c r="E611" s="1924" t="s">
        <v>3143</v>
      </c>
      <c r="F611" s="1924"/>
      <c r="G611" s="508" t="s">
        <v>23</v>
      </c>
      <c r="H611" s="682">
        <v>15</v>
      </c>
      <c r="M611" s="1357"/>
      <c r="Q611" s="1357"/>
      <c r="S611" s="1420"/>
      <c r="T611" s="1420"/>
      <c r="V611" s="1357">
        <v>37</v>
      </c>
    </row>
    <row r="612" spans="1:22" s="841" customFormat="1" ht="15" x14ac:dyDescent="0.25">
      <c r="A612" s="841" t="s">
        <v>162</v>
      </c>
      <c r="E612" s="1924" t="s">
        <v>4770</v>
      </c>
      <c r="F612" s="1924"/>
      <c r="G612" s="508" t="s">
        <v>23</v>
      </c>
      <c r="H612" s="682">
        <v>15</v>
      </c>
      <c r="M612" s="1357"/>
      <c r="Q612" s="1357"/>
      <c r="S612" s="1420"/>
      <c r="T612" s="1420"/>
      <c r="V612" s="1357">
        <v>15</v>
      </c>
    </row>
    <row r="613" spans="1:22" s="841" customFormat="1" ht="15" x14ac:dyDescent="0.25">
      <c r="A613" s="841" t="s">
        <v>162</v>
      </c>
      <c r="E613" s="1924" t="s">
        <v>3145</v>
      </c>
      <c r="F613" s="1924"/>
      <c r="G613" s="508" t="s">
        <v>23</v>
      </c>
      <c r="H613" s="682">
        <v>15</v>
      </c>
      <c r="M613" s="1357"/>
      <c r="Q613" s="1357"/>
      <c r="S613" s="1420"/>
      <c r="T613" s="1420"/>
      <c r="V613" s="1357">
        <v>17</v>
      </c>
    </row>
    <row r="614" spans="1:22" s="841" customFormat="1" ht="15" x14ac:dyDescent="0.25">
      <c r="A614" s="841" t="s">
        <v>162</v>
      </c>
      <c r="E614" s="1924" t="s">
        <v>3146</v>
      </c>
      <c r="F614" s="1924"/>
      <c r="G614" s="508" t="s">
        <v>23</v>
      </c>
      <c r="H614" s="682">
        <v>15</v>
      </c>
      <c r="M614" s="1357"/>
      <c r="Q614" s="1357"/>
      <c r="S614" s="1420"/>
      <c r="T614" s="1420"/>
      <c r="V614" s="1357">
        <v>19</v>
      </c>
    </row>
    <row r="615" spans="1:22" s="841" customFormat="1" ht="15" x14ac:dyDescent="0.25">
      <c r="A615" s="841" t="s">
        <v>162</v>
      </c>
      <c r="E615" s="1924" t="s">
        <v>3147</v>
      </c>
      <c r="F615" s="1924"/>
      <c r="G615" s="508" t="s">
        <v>23</v>
      </c>
      <c r="H615" s="682">
        <v>15</v>
      </c>
      <c r="M615" s="1357"/>
      <c r="Q615" s="1357"/>
      <c r="S615" s="1420"/>
      <c r="T615" s="1420"/>
      <c r="V615" s="1357">
        <v>15</v>
      </c>
    </row>
    <row r="616" spans="1:22" s="841" customFormat="1" ht="15" x14ac:dyDescent="0.25">
      <c r="A616" s="841" t="s">
        <v>162</v>
      </c>
      <c r="E616" s="1924" t="s">
        <v>3148</v>
      </c>
      <c r="F616" s="1924"/>
      <c r="G616" s="508" t="s">
        <v>23</v>
      </c>
      <c r="H616" s="682">
        <v>15</v>
      </c>
      <c r="M616" s="1357"/>
      <c r="Q616" s="1357"/>
      <c r="S616" s="1420"/>
      <c r="T616" s="1420"/>
      <c r="V616" s="1357">
        <v>56</v>
      </c>
    </row>
    <row r="617" spans="1:22" s="841" customFormat="1" ht="15" x14ac:dyDescent="0.25">
      <c r="A617" s="841" t="s">
        <v>162</v>
      </c>
      <c r="E617" s="1924" t="s">
        <v>88</v>
      </c>
      <c r="F617" s="1924"/>
      <c r="G617" s="508" t="s">
        <v>23</v>
      </c>
      <c r="H617" s="682">
        <v>30</v>
      </c>
      <c r="M617" s="1357"/>
      <c r="Q617" s="1357"/>
      <c r="S617" s="1420"/>
      <c r="T617" s="1420"/>
      <c r="V617" s="1357">
        <v>89</v>
      </c>
    </row>
    <row r="618" spans="1:22" s="841" customFormat="1" ht="15" x14ac:dyDescent="0.25">
      <c r="A618" s="841" t="s">
        <v>162</v>
      </c>
      <c r="E618" s="1924" t="s">
        <v>123</v>
      </c>
      <c r="F618" s="1924"/>
      <c r="G618" s="508" t="s">
        <v>23</v>
      </c>
      <c r="H618" s="682">
        <v>15</v>
      </c>
      <c r="M618" s="1357"/>
      <c r="Q618" s="1357"/>
      <c r="S618" s="1420"/>
      <c r="T618" s="1420"/>
      <c r="V618" s="1357">
        <v>35</v>
      </c>
    </row>
    <row r="619" spans="1:22" s="841" customFormat="1" ht="15" x14ac:dyDescent="0.25">
      <c r="A619" s="841" t="s">
        <v>162</v>
      </c>
      <c r="E619" s="1924" t="s">
        <v>3150</v>
      </c>
      <c r="F619" s="1924"/>
      <c r="G619" s="508" t="s">
        <v>23</v>
      </c>
      <c r="H619" s="682">
        <v>15</v>
      </c>
      <c r="M619" s="1357"/>
      <c r="Q619" s="1357"/>
      <c r="S619" s="1420"/>
      <c r="T619" s="1420"/>
      <c r="V619" s="1357">
        <v>24</v>
      </c>
    </row>
    <row r="620" spans="1:22" s="841" customFormat="1" ht="15" x14ac:dyDescent="0.25">
      <c r="A620" s="841" t="s">
        <v>162</v>
      </c>
      <c r="E620" s="1924" t="s">
        <v>3151</v>
      </c>
      <c r="F620" s="1924"/>
      <c r="G620" s="508" t="s">
        <v>23</v>
      </c>
      <c r="H620" s="682">
        <v>15</v>
      </c>
      <c r="M620" s="1357"/>
      <c r="Q620" s="1357"/>
      <c r="S620" s="1420"/>
      <c r="T620" s="1420"/>
      <c r="V620" s="1357">
        <v>19</v>
      </c>
    </row>
    <row r="621" spans="1:22" s="841" customFormat="1" ht="15" x14ac:dyDescent="0.25">
      <c r="A621" s="841" t="s">
        <v>162</v>
      </c>
      <c r="E621" s="1924" t="s">
        <v>94</v>
      </c>
      <c r="F621" s="1688"/>
      <c r="G621" s="508" t="s">
        <v>23</v>
      </c>
      <c r="H621" s="682">
        <v>30</v>
      </c>
      <c r="M621" s="1357"/>
      <c r="Q621" s="1357"/>
      <c r="S621" s="1420"/>
      <c r="T621" s="1420"/>
      <c r="V621" s="1357">
        <v>19</v>
      </c>
    </row>
    <row r="622" spans="1:22" s="841" customFormat="1" ht="15" x14ac:dyDescent="0.25">
      <c r="A622" s="841" t="s">
        <v>162</v>
      </c>
      <c r="E622" s="1924" t="s">
        <v>92</v>
      </c>
      <c r="F622" s="1924"/>
      <c r="G622" s="508" t="s">
        <v>23</v>
      </c>
      <c r="H622" s="682">
        <v>30</v>
      </c>
      <c r="M622" s="1357"/>
      <c r="Q622" s="1357"/>
      <c r="S622" s="1420"/>
      <c r="T622" s="1420"/>
      <c r="V622" s="1357">
        <v>74</v>
      </c>
    </row>
    <row r="623" spans="1:22" s="841" customFormat="1" ht="15" x14ac:dyDescent="0.25">
      <c r="A623" s="841" t="s">
        <v>162</v>
      </c>
      <c r="E623" s="1102" t="s">
        <v>3152</v>
      </c>
      <c r="F623" s="685"/>
      <c r="G623" s="685"/>
      <c r="H623" s="686"/>
      <c r="K623" s="841" t="s">
        <v>3153</v>
      </c>
      <c r="M623" s="1357"/>
      <c r="Q623" s="1357"/>
      <c r="S623" s="1420"/>
      <c r="T623" s="1420"/>
      <c r="V623" s="1357">
        <v>22</v>
      </c>
    </row>
    <row r="624" spans="1:22" s="841" customFormat="1" ht="15" x14ac:dyDescent="0.25">
      <c r="A624" s="841" t="s">
        <v>162</v>
      </c>
      <c r="E624" s="2025" t="s">
        <v>5171</v>
      </c>
      <c r="F624" s="2025"/>
      <c r="G624" s="1066" t="s">
        <v>86</v>
      </c>
      <c r="H624" s="1103">
        <v>1.5</v>
      </c>
      <c r="M624" s="1357"/>
      <c r="Q624" s="1357"/>
      <c r="S624" s="1420"/>
      <c r="T624" s="1420"/>
      <c r="V624" s="1357">
        <v>30</v>
      </c>
    </row>
    <row r="625" spans="1:22" s="841" customFormat="1" ht="15" x14ac:dyDescent="0.25">
      <c r="A625" s="841" t="s">
        <v>162</v>
      </c>
      <c r="E625" s="2025" t="s">
        <v>4286</v>
      </c>
      <c r="F625" s="2025"/>
      <c r="G625" s="1066" t="s">
        <v>86</v>
      </c>
      <c r="H625" s="1103">
        <v>19.559999999999999</v>
      </c>
      <c r="M625" s="1357"/>
      <c r="Q625" s="1357"/>
      <c r="S625" s="1420"/>
      <c r="T625" s="1420"/>
      <c r="V625" s="1357">
        <v>30</v>
      </c>
    </row>
    <row r="626" spans="1:22" s="841" customFormat="1" ht="15" x14ac:dyDescent="0.25">
      <c r="A626" s="841" t="s">
        <v>162</v>
      </c>
      <c r="E626" s="2025" t="s">
        <v>5172</v>
      </c>
      <c r="F626" s="2025"/>
      <c r="G626" s="1066" t="s">
        <v>23</v>
      </c>
      <c r="H626" s="1103">
        <v>30</v>
      </c>
      <c r="M626" s="1357"/>
      <c r="Q626" s="1357"/>
      <c r="S626" s="1420"/>
      <c r="T626" s="1420"/>
      <c r="V626" s="1357">
        <v>85</v>
      </c>
    </row>
    <row r="627" spans="1:22" s="841" customFormat="1" ht="15" x14ac:dyDescent="0.25">
      <c r="A627" s="841" t="s">
        <v>162</v>
      </c>
      <c r="E627" s="2025" t="s">
        <v>5173</v>
      </c>
      <c r="F627" s="2025"/>
      <c r="G627" s="1066" t="s">
        <v>23</v>
      </c>
      <c r="H627" s="1103">
        <v>165</v>
      </c>
      <c r="M627" s="1357"/>
      <c r="Q627" s="1357"/>
      <c r="S627" s="1420"/>
      <c r="T627" s="1420"/>
      <c r="V627" s="1357">
        <v>75</v>
      </c>
    </row>
    <row r="628" spans="1:22" s="841" customFormat="1" ht="15" x14ac:dyDescent="0.25">
      <c r="A628" s="841" t="s">
        <v>162</v>
      </c>
      <c r="E628" s="2025" t="s">
        <v>4288</v>
      </c>
      <c r="F628" s="2025"/>
      <c r="G628" s="1066" t="s">
        <v>23</v>
      </c>
      <c r="H628" s="1103">
        <v>65</v>
      </c>
      <c r="M628" s="1357"/>
      <c r="Q628" s="1357"/>
      <c r="S628" s="1420"/>
      <c r="T628" s="1420"/>
      <c r="V628" s="1357">
        <v>58</v>
      </c>
    </row>
    <row r="629" spans="1:22" s="841" customFormat="1" ht="15" x14ac:dyDescent="0.25">
      <c r="A629" s="841" t="s">
        <v>162</v>
      </c>
      <c r="E629" s="2025" t="s">
        <v>5174</v>
      </c>
      <c r="F629" s="2025"/>
      <c r="G629" s="1066" t="s">
        <v>23</v>
      </c>
      <c r="H629" s="1103">
        <v>185</v>
      </c>
      <c r="M629" s="1357"/>
      <c r="Q629" s="1357"/>
      <c r="S629" s="1420"/>
      <c r="T629" s="1420"/>
      <c r="V629" s="1357">
        <v>57</v>
      </c>
    </row>
    <row r="630" spans="1:22" s="841" customFormat="1" ht="15" x14ac:dyDescent="0.25">
      <c r="A630" s="841" t="s">
        <v>162</v>
      </c>
      <c r="E630" s="2025" t="s">
        <v>5175</v>
      </c>
      <c r="F630" s="2025"/>
      <c r="G630" s="1066" t="s">
        <v>23</v>
      </c>
      <c r="H630" s="1103">
        <v>185</v>
      </c>
      <c r="M630" s="1357"/>
      <c r="Q630" s="1357"/>
      <c r="S630" s="1420"/>
      <c r="T630" s="1420"/>
      <c r="V630" s="1357">
        <v>57</v>
      </c>
    </row>
    <row r="631" spans="1:22" s="841" customFormat="1" ht="15" x14ac:dyDescent="0.25">
      <c r="A631" s="841" t="s">
        <v>162</v>
      </c>
      <c r="E631" s="2025" t="s">
        <v>5176</v>
      </c>
      <c r="F631" s="2025"/>
      <c r="G631" s="1066" t="s">
        <v>23</v>
      </c>
      <c r="H631" s="1103">
        <v>415</v>
      </c>
      <c r="M631" s="1357"/>
      <c r="Q631" s="1357"/>
      <c r="S631" s="1420"/>
      <c r="T631" s="1420"/>
      <c r="V631" s="1357">
        <v>56</v>
      </c>
    </row>
    <row r="632" spans="1:22" s="841" customFormat="1" ht="15" x14ac:dyDescent="0.25">
      <c r="A632" s="841" t="s">
        <v>162</v>
      </c>
      <c r="E632" s="2025" t="s">
        <v>5177</v>
      </c>
      <c r="F632" s="2025"/>
      <c r="G632" s="1066" t="s">
        <v>23</v>
      </c>
      <c r="H632" s="1103">
        <v>65</v>
      </c>
      <c r="M632" s="1357"/>
      <c r="Q632" s="1357"/>
      <c r="S632" s="1420"/>
      <c r="T632" s="1420"/>
      <c r="V632" s="1357">
        <v>63</v>
      </c>
    </row>
    <row r="633" spans="1:22" s="841" customFormat="1" ht="15" x14ac:dyDescent="0.25">
      <c r="A633" s="841" t="s">
        <v>162</v>
      </c>
      <c r="E633" s="2025" t="s">
        <v>5178</v>
      </c>
      <c r="F633" s="2025"/>
      <c r="G633" s="1066" t="s">
        <v>23</v>
      </c>
      <c r="H633" s="1103">
        <v>185</v>
      </c>
      <c r="M633" s="1357"/>
      <c r="Q633" s="1357"/>
      <c r="S633" s="1420"/>
      <c r="T633" s="1420"/>
      <c r="V633" s="1357">
        <v>62</v>
      </c>
    </row>
    <row r="634" spans="1:22" s="841" customFormat="1" ht="15" x14ac:dyDescent="0.25">
      <c r="A634" s="841" t="s">
        <v>162</v>
      </c>
      <c r="E634" s="1101" t="s">
        <v>3164</v>
      </c>
      <c r="F634" s="1104"/>
      <c r="G634" s="1105"/>
      <c r="H634" s="1106"/>
      <c r="M634" s="1357"/>
      <c r="Q634" s="1357"/>
      <c r="S634" s="1420"/>
      <c r="T634" s="1420"/>
      <c r="V634" s="1357">
        <v>5</v>
      </c>
    </row>
    <row r="635" spans="1:22" s="841" customFormat="1" ht="15" x14ac:dyDescent="0.25">
      <c r="A635" s="841" t="s">
        <v>162</v>
      </c>
      <c r="E635" s="1924" t="s">
        <v>3165</v>
      </c>
      <c r="F635" s="1924"/>
      <c r="G635" s="508"/>
      <c r="H635" s="1107"/>
      <c r="M635" s="1357"/>
      <c r="Q635" s="1357"/>
      <c r="S635" s="1420"/>
      <c r="T635" s="1420"/>
      <c r="V635" s="1357">
        <v>62</v>
      </c>
    </row>
    <row r="636" spans="1:22" s="841" customFormat="1" ht="15" x14ac:dyDescent="0.25">
      <c r="A636" s="841" t="s">
        <v>162</v>
      </c>
      <c r="E636" s="1924" t="s">
        <v>3166</v>
      </c>
      <c r="F636" s="1688"/>
      <c r="G636" s="508" t="s">
        <v>23</v>
      </c>
      <c r="H636" s="682">
        <v>22.35</v>
      </c>
      <c r="M636" s="1357"/>
      <c r="Q636" s="1357"/>
      <c r="S636" s="1420"/>
      <c r="T636" s="1420"/>
      <c r="V636" s="1357">
        <v>44</v>
      </c>
    </row>
    <row r="637" spans="1:22" s="841" customFormat="1" ht="15" x14ac:dyDescent="0.25">
      <c r="A637" s="841" t="s">
        <v>162</v>
      </c>
      <c r="E637" s="1924" t="s">
        <v>3167</v>
      </c>
      <c r="F637" s="1924"/>
      <c r="G637" s="508" t="s">
        <v>23</v>
      </c>
      <c r="H637" s="682">
        <v>30</v>
      </c>
      <c r="M637" s="1357"/>
      <c r="Q637" s="1357"/>
      <c r="S637" s="1420"/>
      <c r="T637" s="1420"/>
      <c r="V637" s="1357">
        <v>39</v>
      </c>
    </row>
    <row r="638" spans="1:22" s="841" customFormat="1" ht="15" x14ac:dyDescent="0.25">
      <c r="A638" s="841" t="s">
        <v>162</v>
      </c>
      <c r="E638" s="1924" t="s">
        <v>3168</v>
      </c>
      <c r="F638" s="1924"/>
      <c r="G638" s="508" t="s">
        <v>23</v>
      </c>
      <c r="H638" s="682">
        <v>165</v>
      </c>
      <c r="M638" s="1357"/>
      <c r="Q638" s="1357"/>
      <c r="S638" s="1420"/>
      <c r="T638" s="1420"/>
      <c r="V638" s="1357">
        <v>34</v>
      </c>
    </row>
    <row r="639" spans="1:22" s="841" customFormat="1" ht="15" x14ac:dyDescent="0.25">
      <c r="A639" s="841" t="s">
        <v>162</v>
      </c>
      <c r="E639" s="1924" t="s">
        <v>3169</v>
      </c>
      <c r="F639" s="1924"/>
      <c r="G639" s="508" t="s">
        <v>23</v>
      </c>
      <c r="H639" s="682">
        <v>500</v>
      </c>
      <c r="M639" s="1357"/>
      <c r="Q639" s="1357"/>
      <c r="S639" s="1420"/>
      <c r="T639" s="1420"/>
      <c r="V639" s="1357">
        <v>63</v>
      </c>
    </row>
    <row r="640" spans="1:22" s="841" customFormat="1" ht="15" x14ac:dyDescent="0.25">
      <c r="A640" s="841" t="s">
        <v>162</v>
      </c>
      <c r="E640" s="1924" t="s">
        <v>3170</v>
      </c>
      <c r="F640" s="1924"/>
      <c r="G640" s="508" t="s">
        <v>23</v>
      </c>
      <c r="H640" s="682">
        <v>300</v>
      </c>
      <c r="M640" s="1357"/>
      <c r="Q640" s="1357"/>
      <c r="S640" s="1420"/>
      <c r="T640" s="1420"/>
      <c r="V640" s="1357">
        <v>65</v>
      </c>
    </row>
    <row r="641" spans="1:22" s="841" customFormat="1" ht="15" x14ac:dyDescent="0.25">
      <c r="A641" s="841" t="s">
        <v>162</v>
      </c>
      <c r="E641" s="1924" t="s">
        <v>3171</v>
      </c>
      <c r="F641" s="1924"/>
      <c r="G641" s="508" t="s">
        <v>23</v>
      </c>
      <c r="H641" s="682">
        <v>1000</v>
      </c>
      <c r="M641" s="1357"/>
      <c r="Q641" s="1357"/>
      <c r="S641" s="1420"/>
      <c r="T641" s="1420"/>
      <c r="V641" s="1357">
        <v>64</v>
      </c>
    </row>
    <row r="642" spans="1:22" s="841" customFormat="1" x14ac:dyDescent="0.25">
      <c r="A642" s="841" t="s">
        <v>162</v>
      </c>
      <c r="E642" s="1108" t="s">
        <v>77</v>
      </c>
      <c r="F642" s="1109"/>
      <c r="G642" s="1109"/>
      <c r="H642" s="1110"/>
      <c r="K642" s="841" t="s">
        <v>3172</v>
      </c>
      <c r="M642" s="1357"/>
      <c r="Q642" s="1357"/>
      <c r="S642" s="1420"/>
      <c r="T642" s="1420"/>
      <c r="V642" s="1357">
        <v>38</v>
      </c>
    </row>
    <row r="643" spans="1:22" s="841" customFormat="1" ht="15" x14ac:dyDescent="0.25">
      <c r="A643" s="841" t="s">
        <v>162</v>
      </c>
      <c r="E643" s="2026" t="s">
        <v>3063</v>
      </c>
      <c r="F643" s="2026"/>
      <c r="G643" s="2026"/>
      <c r="H643" s="2027"/>
      <c r="M643" s="1357"/>
      <c r="Q643" s="1357"/>
      <c r="S643" s="1420"/>
      <c r="T643" s="1420"/>
      <c r="V643" s="1357">
        <v>280</v>
      </c>
    </row>
    <row r="644" spans="1:22" s="841" customFormat="1" ht="15" x14ac:dyDescent="0.25">
      <c r="A644" s="841" t="s">
        <v>162</v>
      </c>
      <c r="E644" s="2026" t="s">
        <v>3173</v>
      </c>
      <c r="F644" s="2026"/>
      <c r="G644" s="2026"/>
      <c r="H644" s="2027"/>
      <c r="M644" s="1357"/>
      <c r="Q644" s="1357"/>
      <c r="S644" s="1420"/>
      <c r="T644" s="1420"/>
      <c r="V644" s="1357">
        <v>413</v>
      </c>
    </row>
    <row r="645" spans="1:22" s="841" customFormat="1" ht="15" x14ac:dyDescent="0.25">
      <c r="A645" s="841" t="s">
        <v>162</v>
      </c>
      <c r="E645" s="2026" t="s">
        <v>3129</v>
      </c>
      <c r="F645" s="2026"/>
      <c r="G645" s="2026"/>
      <c r="H645" s="2027"/>
      <c r="M645" s="1357"/>
      <c r="Q645" s="1357"/>
      <c r="S645" s="1420"/>
      <c r="T645" s="1420"/>
      <c r="V645" s="1357">
        <v>211</v>
      </c>
    </row>
    <row r="646" spans="1:22" s="841" customFormat="1" ht="15" x14ac:dyDescent="0.25">
      <c r="A646" s="841" t="s">
        <v>162</v>
      </c>
      <c r="E646" s="2026" t="s">
        <v>3174</v>
      </c>
      <c r="F646" s="2026"/>
      <c r="G646" s="2026"/>
      <c r="H646" s="2027"/>
      <c r="M646" s="1357"/>
      <c r="Q646" s="1357"/>
      <c r="S646" s="1420"/>
      <c r="T646" s="1420"/>
      <c r="V646" s="1357">
        <v>277</v>
      </c>
    </row>
    <row r="647" spans="1:22" s="841" customFormat="1" ht="15" x14ac:dyDescent="0.25">
      <c r="A647" s="841" t="s">
        <v>162</v>
      </c>
      <c r="E647" s="2026" t="s">
        <v>3175</v>
      </c>
      <c r="F647" s="2026"/>
      <c r="G647" s="2026"/>
      <c r="H647" s="2027"/>
      <c r="M647" s="1357"/>
      <c r="Q647" s="1357"/>
      <c r="S647" s="1420"/>
      <c r="T647" s="1420"/>
      <c r="V647" s="1357">
        <v>213</v>
      </c>
    </row>
    <row r="648" spans="1:22" s="841" customFormat="1" ht="15" x14ac:dyDescent="0.25">
      <c r="A648" s="841" t="s">
        <v>162</v>
      </c>
      <c r="E648" s="1918" t="s">
        <v>3176</v>
      </c>
      <c r="F648" s="1918"/>
      <c r="G648" s="688" t="s">
        <v>23</v>
      </c>
      <c r="H648" s="689">
        <v>100</v>
      </c>
      <c r="M648" s="1357"/>
      <c r="Q648" s="1357"/>
      <c r="S648" s="1420"/>
      <c r="T648" s="1420"/>
      <c r="V648" s="1357">
        <v>106</v>
      </c>
    </row>
    <row r="649" spans="1:22" s="841" customFormat="1" ht="15" x14ac:dyDescent="0.25">
      <c r="A649" s="841" t="s">
        <v>162</v>
      </c>
      <c r="E649" s="1918" t="s">
        <v>5140</v>
      </c>
      <c r="F649" s="1918"/>
      <c r="G649" s="688" t="s">
        <v>23</v>
      </c>
      <c r="H649" s="689">
        <v>20</v>
      </c>
      <c r="M649" s="1357"/>
      <c r="Q649" s="1357"/>
      <c r="S649" s="1420"/>
      <c r="T649" s="1420"/>
      <c r="V649" s="1357">
        <v>34</v>
      </c>
    </row>
    <row r="650" spans="1:22" s="841" customFormat="1" ht="15" x14ac:dyDescent="0.25">
      <c r="A650" s="841" t="s">
        <v>162</v>
      </c>
      <c r="E650" s="1918" t="s">
        <v>5141</v>
      </c>
      <c r="F650" s="1918"/>
      <c r="G650" s="688" t="s">
        <v>3179</v>
      </c>
      <c r="H650" s="689">
        <v>0.5</v>
      </c>
      <c r="M650" s="1357"/>
      <c r="Q650" s="1357"/>
      <c r="S650" s="1420"/>
      <c r="T650" s="1420"/>
      <c r="V650" s="1357">
        <v>51</v>
      </c>
    </row>
    <row r="651" spans="1:22" s="841" customFormat="1" ht="15" x14ac:dyDescent="0.25">
      <c r="A651" s="841" t="s">
        <v>162</v>
      </c>
      <c r="E651" s="1918" t="s">
        <v>3180</v>
      </c>
      <c r="F651" s="1918"/>
      <c r="G651" s="688" t="s">
        <v>3179</v>
      </c>
      <c r="H651" s="689">
        <v>0.3</v>
      </c>
      <c r="M651" s="1357"/>
      <c r="Q651" s="1357"/>
      <c r="S651" s="1420"/>
      <c r="T651" s="1420"/>
      <c r="V651" s="1357">
        <v>75</v>
      </c>
    </row>
    <row r="652" spans="1:22" s="841" customFormat="1" ht="15" x14ac:dyDescent="0.25">
      <c r="A652" s="841" t="s">
        <v>162</v>
      </c>
      <c r="E652" s="1918" t="s">
        <v>3181</v>
      </c>
      <c r="F652" s="1918"/>
      <c r="G652" s="688" t="s">
        <v>3179</v>
      </c>
      <c r="H652" s="689">
        <v>-0.3</v>
      </c>
      <c r="M652" s="1357"/>
      <c r="Q652" s="1357"/>
      <c r="S652" s="1420"/>
      <c r="T652" s="1420"/>
      <c r="V652" s="1357">
        <v>72</v>
      </c>
    </row>
    <row r="653" spans="1:22" s="841" customFormat="1" ht="15" x14ac:dyDescent="0.25">
      <c r="A653" s="841" t="s">
        <v>162</v>
      </c>
      <c r="E653" s="1918" t="s">
        <v>3182</v>
      </c>
      <c r="F653" s="1918"/>
      <c r="G653" s="690"/>
      <c r="H653" s="691"/>
      <c r="M653" s="1357"/>
      <c r="Q653" s="1357"/>
      <c r="S653" s="1420"/>
      <c r="T653" s="1420"/>
      <c r="V653" s="1357">
        <v>35</v>
      </c>
    </row>
    <row r="654" spans="1:22" s="841" customFormat="1" ht="15" x14ac:dyDescent="0.25">
      <c r="A654" s="841" t="s">
        <v>162</v>
      </c>
      <c r="E654" s="2028" t="s">
        <v>3183</v>
      </c>
      <c r="F654" s="2028"/>
      <c r="G654" s="688" t="s">
        <v>23</v>
      </c>
      <c r="H654" s="689">
        <v>0.25</v>
      </c>
      <c r="M654" s="1357"/>
      <c r="Q654" s="1357"/>
      <c r="S654" s="1420"/>
      <c r="T654" s="1420"/>
      <c r="V654" s="1357">
        <v>57</v>
      </c>
    </row>
    <row r="655" spans="1:22" s="841" customFormat="1" ht="15" x14ac:dyDescent="0.25">
      <c r="A655" s="841" t="s">
        <v>162</v>
      </c>
      <c r="E655" s="2028" t="s">
        <v>3184</v>
      </c>
      <c r="F655" s="2028"/>
      <c r="G655" s="688" t="s">
        <v>23</v>
      </c>
      <c r="H655" s="689">
        <v>0.5</v>
      </c>
      <c r="M655" s="1357"/>
      <c r="Q655" s="1357"/>
      <c r="S655" s="1420"/>
      <c r="T655" s="1420"/>
      <c r="V655" s="1357">
        <v>60</v>
      </c>
    </row>
    <row r="656" spans="1:22" s="841" customFormat="1" ht="15" x14ac:dyDescent="0.25">
      <c r="A656" s="841" t="s">
        <v>162</v>
      </c>
      <c r="E656" s="1918" t="s">
        <v>3185</v>
      </c>
      <c r="F656" s="1918"/>
      <c r="G656" s="690"/>
      <c r="H656" s="691"/>
      <c r="M656" s="1357"/>
      <c r="Q656" s="1357"/>
      <c r="S656" s="1420"/>
      <c r="T656" s="1420"/>
      <c r="V656" s="1357">
        <v>91</v>
      </c>
    </row>
    <row r="657" spans="1:22" s="841" customFormat="1" ht="15" x14ac:dyDescent="0.25">
      <c r="A657" s="841" t="s">
        <v>162</v>
      </c>
      <c r="E657" s="1918" t="s">
        <v>3186</v>
      </c>
      <c r="F657" s="1918"/>
      <c r="G657" s="690"/>
      <c r="H657" s="691"/>
      <c r="M657" s="1357"/>
      <c r="Q657" s="1357"/>
      <c r="S657" s="1420"/>
      <c r="T657" s="1420"/>
      <c r="V657" s="1357">
        <v>96</v>
      </c>
    </row>
    <row r="658" spans="1:22" s="841" customFormat="1" ht="15" x14ac:dyDescent="0.25">
      <c r="A658" s="841" t="s">
        <v>162</v>
      </c>
      <c r="E658" s="1918" t="s">
        <v>3187</v>
      </c>
      <c r="F658" s="1918"/>
      <c r="G658" s="690"/>
      <c r="H658" s="691"/>
      <c r="M658" s="1357"/>
      <c r="Q658" s="1357"/>
      <c r="S658" s="1420"/>
      <c r="T658" s="1420"/>
      <c r="V658" s="1357">
        <v>78</v>
      </c>
    </row>
    <row r="659" spans="1:22" s="841" customFormat="1" ht="15" x14ac:dyDescent="0.25">
      <c r="A659" s="841" t="s">
        <v>162</v>
      </c>
      <c r="E659" s="2028" t="s">
        <v>3188</v>
      </c>
      <c r="F659" s="2028"/>
      <c r="G659" s="688" t="s">
        <v>23</v>
      </c>
      <c r="H659" s="689" t="s">
        <v>3189</v>
      </c>
      <c r="M659" s="1357"/>
      <c r="Q659" s="1357"/>
      <c r="S659" s="1420"/>
      <c r="T659" s="1420"/>
      <c r="V659" s="1357">
        <v>18</v>
      </c>
    </row>
    <row r="660" spans="1:22" s="841" customFormat="1" ht="15" x14ac:dyDescent="0.25">
      <c r="A660" s="841" t="s">
        <v>162</v>
      </c>
      <c r="E660" s="2028" t="s">
        <v>3190</v>
      </c>
      <c r="F660" s="2028"/>
      <c r="G660" s="688" t="s">
        <v>23</v>
      </c>
      <c r="H660" s="689">
        <v>2</v>
      </c>
      <c r="M660" s="1357"/>
      <c r="Q660" s="1357"/>
      <c r="S660" s="1420"/>
      <c r="T660" s="1420"/>
      <c r="V660" s="1357">
        <v>69</v>
      </c>
    </row>
    <row r="661" spans="1:22" s="841" customFormat="1" x14ac:dyDescent="0.25">
      <c r="A661" s="841" t="s">
        <v>162</v>
      </c>
      <c r="E661" s="1108" t="s">
        <v>147</v>
      </c>
      <c r="F661" s="1109"/>
      <c r="G661" s="1109"/>
      <c r="H661" s="1110"/>
      <c r="K661" s="841" t="s">
        <v>3191</v>
      </c>
      <c r="M661" s="1357"/>
      <c r="Q661" s="1357"/>
      <c r="S661" s="1420"/>
      <c r="T661" s="1420"/>
      <c r="V661" s="1357">
        <v>12</v>
      </c>
    </row>
    <row r="662" spans="1:22" s="841" customFormat="1" ht="15" x14ac:dyDescent="0.25">
      <c r="A662" s="841" t="s">
        <v>162</v>
      </c>
      <c r="E662" s="2029" t="s">
        <v>3192</v>
      </c>
      <c r="F662" s="2029"/>
      <c r="G662" s="2029"/>
      <c r="H662" s="2030"/>
      <c r="M662" s="1357"/>
      <c r="Q662" s="1357"/>
      <c r="S662" s="1420"/>
      <c r="T662" s="1420"/>
      <c r="V662" s="1357">
        <v>203</v>
      </c>
    </row>
    <row r="663" spans="1:22" s="841" customFormat="1" ht="15" x14ac:dyDescent="0.25">
      <c r="A663" s="841" t="s">
        <v>162</v>
      </c>
      <c r="E663" s="1918" t="s">
        <v>3193</v>
      </c>
      <c r="F663" s="1918"/>
      <c r="G663" s="692"/>
      <c r="H663" s="1412">
        <v>1.0916999999999999</v>
      </c>
      <c r="M663" s="1357"/>
      <c r="Q663" s="1357"/>
      <c r="S663" s="1420"/>
      <c r="T663" s="1420"/>
      <c r="V663" s="1357">
        <v>46</v>
      </c>
    </row>
    <row r="664" spans="1:22" s="841" customFormat="1" ht="15" x14ac:dyDescent="0.25">
      <c r="A664" s="841" t="s">
        <v>162</v>
      </c>
      <c r="E664" s="1918" t="s">
        <v>3194</v>
      </c>
      <c r="F664" s="1918"/>
      <c r="G664" s="692"/>
      <c r="H664" s="1412">
        <v>1.0808</v>
      </c>
      <c r="J664" s="841" t="s">
        <v>3195</v>
      </c>
      <c r="M664" s="1357"/>
      <c r="Q664" s="1357"/>
      <c r="S664" s="1420"/>
      <c r="T664" s="1420"/>
      <c r="V664" s="1357">
        <v>45</v>
      </c>
    </row>
    <row r="665" spans="1:22" s="841" customFormat="1" ht="23.25" x14ac:dyDescent="0.25">
      <c r="A665" s="841" t="s">
        <v>236</v>
      </c>
      <c r="C665" s="841" t="s">
        <v>3050</v>
      </c>
      <c r="E665" s="1911" t="s">
        <v>236</v>
      </c>
      <c r="F665" s="1911"/>
      <c r="G665" s="1911"/>
      <c r="H665" s="1911"/>
      <c r="I665" s="841" t="s">
        <v>628</v>
      </c>
      <c r="J665" s="841" t="s">
        <v>3196</v>
      </c>
      <c r="K665" s="841" t="s">
        <v>236</v>
      </c>
      <c r="M665" s="1357">
        <v>9</v>
      </c>
      <c r="Q665" s="1357"/>
      <c r="S665" s="1420"/>
      <c r="T665" s="1420"/>
      <c r="V665" s="1357">
        <v>40</v>
      </c>
    </row>
    <row r="666" spans="1:22" s="841" customFormat="1" x14ac:dyDescent="0.25">
      <c r="A666" s="841" t="s">
        <v>236</v>
      </c>
      <c r="C666" s="841" t="s">
        <v>3052</v>
      </c>
      <c r="E666" s="1912" t="s">
        <v>3053</v>
      </c>
      <c r="F666" s="1912"/>
      <c r="G666" s="1912"/>
      <c r="H666" s="1912"/>
      <c r="M666" s="1357"/>
      <c r="Q666" s="1357"/>
      <c r="S666" s="1420"/>
      <c r="T666" s="1420"/>
      <c r="V666" s="1357">
        <v>27</v>
      </c>
    </row>
    <row r="667" spans="1:22" s="841" customFormat="1" ht="15.75" x14ac:dyDescent="0.25">
      <c r="A667" s="841" t="s">
        <v>236</v>
      </c>
      <c r="C667" s="841" t="s">
        <v>3054</v>
      </c>
      <c r="E667" s="1913" t="s">
        <v>5107</v>
      </c>
      <c r="F667" s="1913"/>
      <c r="G667" s="1913"/>
      <c r="H667" s="1913"/>
      <c r="M667" s="1357"/>
      <c r="Q667" s="1357"/>
      <c r="S667" s="1420">
        <v>43221</v>
      </c>
      <c r="T667" s="1420"/>
      <c r="V667" s="1357">
        <v>45</v>
      </c>
    </row>
    <row r="668" spans="1:22" s="841" customFormat="1" ht="15" x14ac:dyDescent="0.25">
      <c r="A668" s="841" t="s">
        <v>236</v>
      </c>
      <c r="C668" s="841" t="s">
        <v>3055</v>
      </c>
      <c r="E668" s="1914" t="s">
        <v>3056</v>
      </c>
      <c r="F668" s="1914"/>
      <c r="G668" s="1914"/>
      <c r="H668" s="1914"/>
      <c r="M668" s="1357"/>
      <c r="Q668" s="1357"/>
      <c r="S668" s="1420"/>
      <c r="T668" s="1420"/>
      <c r="V668" s="1357">
        <v>52</v>
      </c>
    </row>
    <row r="669" spans="1:22" s="841" customFormat="1" ht="15" x14ac:dyDescent="0.25">
      <c r="A669" s="841" t="s">
        <v>236</v>
      </c>
      <c r="E669" s="1914" t="s">
        <v>3057</v>
      </c>
      <c r="F669" s="1914"/>
      <c r="G669" s="1914"/>
      <c r="H669" s="1914"/>
      <c r="M669" s="1357"/>
      <c r="Q669" s="1357"/>
      <c r="S669" s="1420"/>
      <c r="T669" s="1420"/>
      <c r="V669" s="1357">
        <v>53</v>
      </c>
    </row>
    <row r="670" spans="1:22" s="841" customFormat="1" ht="15" x14ac:dyDescent="0.25">
      <c r="A670" s="841" t="s">
        <v>236</v>
      </c>
      <c r="E670" s="1925" t="s">
        <v>5179</v>
      </c>
      <c r="F670" s="1925"/>
      <c r="G670" s="1925"/>
      <c r="H670" s="1925"/>
      <c r="K670" s="841" t="s">
        <v>5179</v>
      </c>
      <c r="M670" s="1357"/>
      <c r="Q670" s="1357"/>
      <c r="S670" s="1420"/>
      <c r="T670" s="1420"/>
      <c r="V670" s="1357">
        <v>12</v>
      </c>
    </row>
    <row r="671" spans="1:22" s="841" customFormat="1" ht="15" x14ac:dyDescent="0.25">
      <c r="A671" s="841" t="s">
        <v>236</v>
      </c>
      <c r="E671" s="1909" t="s">
        <v>438</v>
      </c>
      <c r="F671" s="1697"/>
      <c r="G671" s="1697"/>
      <c r="H671" s="1697"/>
      <c r="K671" s="841" t="s">
        <v>3197</v>
      </c>
      <c r="M671" s="1357"/>
      <c r="Q671" s="1357"/>
      <c r="S671" s="1420"/>
      <c r="T671" s="1420"/>
      <c r="V671" s="1357">
        <v>34</v>
      </c>
    </row>
    <row r="672" spans="1:22" s="841" customFormat="1" ht="15" x14ac:dyDescent="0.25">
      <c r="A672" s="841" t="s">
        <v>236</v>
      </c>
      <c r="E672" s="1689" t="s">
        <v>3198</v>
      </c>
      <c r="F672" s="1689"/>
      <c r="G672" s="1689"/>
      <c r="H672" s="1689"/>
      <c r="K672" s="841" t="s">
        <v>3197</v>
      </c>
      <c r="M672" s="1357"/>
      <c r="Q672" s="1357"/>
      <c r="S672" s="1420"/>
      <c r="T672" s="1420"/>
      <c r="V672" s="1357">
        <v>930</v>
      </c>
    </row>
    <row r="673" spans="1:22" s="841" customFormat="1" ht="15" x14ac:dyDescent="0.25">
      <c r="A673" s="841" t="s">
        <v>236</v>
      </c>
      <c r="E673" s="1916" t="s">
        <v>3061</v>
      </c>
      <c r="F673" s="1697"/>
      <c r="G673" s="1697"/>
      <c r="H673" s="1697"/>
      <c r="K673" s="841" t="s">
        <v>3062</v>
      </c>
      <c r="M673" s="1357"/>
      <c r="Q673" s="1357"/>
      <c r="S673" s="1420"/>
      <c r="T673" s="1420"/>
      <c r="V673" s="1357">
        <v>11</v>
      </c>
    </row>
    <row r="674" spans="1:22" s="841" customFormat="1" ht="15" x14ac:dyDescent="0.25">
      <c r="A674" s="841" t="s">
        <v>236</v>
      </c>
      <c r="E674" s="1689" t="s">
        <v>3063</v>
      </c>
      <c r="F674" s="1689"/>
      <c r="G674" s="1689"/>
      <c r="H674" s="1689"/>
      <c r="K674" s="841" t="s">
        <v>3197</v>
      </c>
      <c r="M674" s="1357"/>
      <c r="Q674" s="1357"/>
      <c r="S674" s="1420"/>
      <c r="T674" s="1420"/>
      <c r="V674" s="1357">
        <v>280</v>
      </c>
    </row>
    <row r="675" spans="1:22" s="841" customFormat="1" ht="15" x14ac:dyDescent="0.25">
      <c r="A675" s="841" t="s">
        <v>236</v>
      </c>
      <c r="E675" s="1689" t="s">
        <v>3064</v>
      </c>
      <c r="F675" s="1689"/>
      <c r="G675" s="1689"/>
      <c r="H675" s="1689"/>
      <c r="K675" s="841" t="s">
        <v>3197</v>
      </c>
      <c r="M675" s="1357"/>
      <c r="Q675" s="1357"/>
      <c r="S675" s="1420"/>
      <c r="T675" s="1420"/>
      <c r="V675" s="1357">
        <v>411</v>
      </c>
    </row>
    <row r="676" spans="1:22" s="841" customFormat="1" ht="15" x14ac:dyDescent="0.25">
      <c r="A676" s="841" t="s">
        <v>236</v>
      </c>
      <c r="E676" s="1689" t="s">
        <v>3199</v>
      </c>
      <c r="F676" s="1689"/>
      <c r="G676" s="1689"/>
      <c r="H676" s="1689"/>
      <c r="K676" s="841" t="s">
        <v>3197</v>
      </c>
      <c r="M676" s="1357"/>
      <c r="Q676" s="1357"/>
      <c r="S676" s="1420"/>
      <c r="T676" s="1420"/>
      <c r="V676" s="1357">
        <v>386</v>
      </c>
    </row>
    <row r="677" spans="1:22" s="841" customFormat="1" ht="15" x14ac:dyDescent="0.25">
      <c r="A677" s="841" t="s">
        <v>236</v>
      </c>
      <c r="E677" s="1689" t="s">
        <v>3200</v>
      </c>
      <c r="F677" s="1689"/>
      <c r="G677" s="1689"/>
      <c r="H677" s="1689"/>
      <c r="K677" s="841" t="s">
        <v>3197</v>
      </c>
      <c r="M677" s="1357"/>
      <c r="Q677" s="1357"/>
      <c r="S677" s="1420"/>
      <c r="T677" s="1420"/>
      <c r="V677" s="1357">
        <v>275</v>
      </c>
    </row>
    <row r="678" spans="1:22" s="841" customFormat="1" ht="15" x14ac:dyDescent="0.25">
      <c r="A678" s="841" t="s">
        <v>236</v>
      </c>
      <c r="E678" s="1694" t="s">
        <v>3067</v>
      </c>
      <c r="F678" s="1907"/>
      <c r="G678" s="1907"/>
      <c r="H678" s="1907"/>
      <c r="K678" s="841" t="s">
        <v>3068</v>
      </c>
      <c r="M678" s="1357"/>
      <c r="Q678" s="1357"/>
      <c r="S678" s="1420"/>
      <c r="T678" s="1420"/>
      <c r="V678" s="1357">
        <v>46</v>
      </c>
    </row>
    <row r="679" spans="1:22" s="841" customFormat="1" ht="15" x14ac:dyDescent="0.25">
      <c r="A679" s="841" t="s">
        <v>236</v>
      </c>
      <c r="E679" s="1690" t="s">
        <v>11</v>
      </c>
      <c r="F679" s="1690"/>
      <c r="G679" s="1408" t="s">
        <v>23</v>
      </c>
      <c r="H679" s="391">
        <v>27.96</v>
      </c>
      <c r="K679" s="841" t="s">
        <v>3197</v>
      </c>
      <c r="L679" s="841" t="s">
        <v>442</v>
      </c>
      <c r="M679" s="1357"/>
      <c r="P679" s="841" t="s">
        <v>3201</v>
      </c>
      <c r="Q679" s="1357"/>
      <c r="S679" s="1420"/>
      <c r="T679" s="1420"/>
      <c r="V679" s="1357">
        <v>14</v>
      </c>
    </row>
    <row r="680" spans="1:22" s="841" customFormat="1" ht="15" x14ac:dyDescent="0.25">
      <c r="A680" s="841" t="s">
        <v>236</v>
      </c>
      <c r="E680" s="1690" t="s">
        <v>5109</v>
      </c>
      <c r="F680" s="1690"/>
      <c r="G680" s="1408" t="s">
        <v>23</v>
      </c>
      <c r="H680" s="391">
        <v>0.56999999999999995</v>
      </c>
      <c r="K680" s="841" t="s">
        <v>3197</v>
      </c>
      <c r="L680" s="841" t="s">
        <v>443</v>
      </c>
      <c r="M680" s="1357"/>
      <c r="P680" s="841" t="s">
        <v>3202</v>
      </c>
      <c r="Q680" s="1357"/>
      <c r="S680" s="1420"/>
      <c r="T680" s="1420">
        <v>44926</v>
      </c>
      <c r="V680" s="1357">
        <v>64</v>
      </c>
    </row>
    <row r="681" spans="1:22" s="841" customFormat="1" ht="15" x14ac:dyDescent="0.25">
      <c r="A681" s="841" t="s">
        <v>236</v>
      </c>
      <c r="E681" s="1690" t="s">
        <v>84</v>
      </c>
      <c r="F681" s="1690"/>
      <c r="G681" s="1408" t="s">
        <v>24</v>
      </c>
      <c r="H681" s="393">
        <v>5.7999999999999996E-3</v>
      </c>
      <c r="K681" s="841" t="s">
        <v>3197</v>
      </c>
      <c r="L681" s="841" t="s">
        <v>442</v>
      </c>
      <c r="M681" s="1357"/>
      <c r="P681" s="841" t="s">
        <v>3203</v>
      </c>
      <c r="Q681" s="1357"/>
      <c r="S681" s="1420"/>
      <c r="T681" s="1420"/>
      <c r="V681" s="1357">
        <v>28</v>
      </c>
    </row>
    <row r="682" spans="1:22" s="841" customFormat="1" ht="15" x14ac:dyDescent="0.25">
      <c r="A682" s="841" t="s">
        <v>236</v>
      </c>
      <c r="E682" s="1690" t="s">
        <v>18</v>
      </c>
      <c r="F682" s="1690"/>
      <c r="G682" s="1408" t="s">
        <v>24</v>
      </c>
      <c r="H682" s="393">
        <v>2.0000000000000001E-4</v>
      </c>
      <c r="K682" s="841" t="s">
        <v>3197</v>
      </c>
      <c r="L682" s="841" t="s">
        <v>443</v>
      </c>
      <c r="M682" s="1357"/>
      <c r="P682" s="841" t="s">
        <v>3204</v>
      </c>
      <c r="Q682" s="1357"/>
      <c r="S682" s="1420"/>
      <c r="T682" s="1420"/>
      <c r="V682" s="1357">
        <v>24</v>
      </c>
    </row>
    <row r="683" spans="1:22" s="841" customFormat="1" ht="15" x14ac:dyDescent="0.25">
      <c r="A683" s="841" t="s">
        <v>236</v>
      </c>
      <c r="E683" s="1690" t="s">
        <v>221</v>
      </c>
      <c r="F683" s="1690"/>
      <c r="G683" s="1408" t="s">
        <v>24</v>
      </c>
      <c r="H683" s="393">
        <v>6.7000000000000002E-3</v>
      </c>
      <c r="K683" s="841" t="s">
        <v>3197</v>
      </c>
      <c r="L683" s="841" t="s">
        <v>444</v>
      </c>
      <c r="M683" s="1357"/>
      <c r="P683" s="841" t="s">
        <v>3208</v>
      </c>
      <c r="Q683" s="1357"/>
      <c r="S683" s="1420"/>
      <c r="T683" s="1420"/>
      <c r="V683" s="1357">
        <v>47</v>
      </c>
    </row>
    <row r="684" spans="1:22" s="841" customFormat="1" ht="15" x14ac:dyDescent="0.25">
      <c r="A684" s="841" t="s">
        <v>236</v>
      </c>
      <c r="E684" s="1690" t="s">
        <v>217</v>
      </c>
      <c r="F684" s="1690"/>
      <c r="G684" s="1408" t="s">
        <v>24</v>
      </c>
      <c r="H684" s="393">
        <v>6.8999999999999999E-3</v>
      </c>
      <c r="K684" s="841" t="s">
        <v>3197</v>
      </c>
      <c r="L684" s="841" t="s">
        <v>444</v>
      </c>
      <c r="M684" s="1357"/>
      <c r="P684" s="841" t="s">
        <v>3209</v>
      </c>
      <c r="Q684" s="1357"/>
      <c r="S684" s="1420"/>
      <c r="T684" s="1420"/>
      <c r="V684" s="1357">
        <v>74</v>
      </c>
    </row>
    <row r="685" spans="1:22" s="841" customFormat="1" ht="15" x14ac:dyDescent="0.25">
      <c r="A685" s="841" t="s">
        <v>236</v>
      </c>
      <c r="E685" s="1694" t="s">
        <v>3079</v>
      </c>
      <c r="F685" s="1690"/>
      <c r="G685" s="1408"/>
      <c r="H685" s="1408"/>
      <c r="K685" s="841" t="s">
        <v>3080</v>
      </c>
      <c r="M685" s="1357"/>
      <c r="Q685" s="1357"/>
      <c r="S685" s="1420"/>
      <c r="T685" s="1420"/>
      <c r="V685" s="1357">
        <v>48</v>
      </c>
    </row>
    <row r="686" spans="1:22" s="841" customFormat="1" ht="15" x14ac:dyDescent="0.25">
      <c r="A686" s="841" t="s">
        <v>236</v>
      </c>
      <c r="E686" s="1690" t="s">
        <v>2449</v>
      </c>
      <c r="F686" s="1690"/>
      <c r="G686" s="1408" t="s">
        <v>24</v>
      </c>
      <c r="H686" s="393">
        <v>3.2000000000000002E-3</v>
      </c>
      <c r="K686" s="841" t="s">
        <v>3197</v>
      </c>
      <c r="L686" s="841" t="s">
        <v>3046</v>
      </c>
      <c r="M686" s="1357"/>
      <c r="P686" s="841" t="s">
        <v>3210</v>
      </c>
      <c r="Q686" s="1357"/>
      <c r="S686" s="1420"/>
      <c r="T686" s="1420"/>
      <c r="V686" s="1357">
        <v>55</v>
      </c>
    </row>
    <row r="687" spans="1:22" s="841" customFormat="1" ht="15" x14ac:dyDescent="0.25">
      <c r="A687" s="841" t="s">
        <v>236</v>
      </c>
      <c r="E687" s="1690" t="s">
        <v>2450</v>
      </c>
      <c r="F687" s="1690"/>
      <c r="G687" s="1408" t="s">
        <v>24</v>
      </c>
      <c r="H687" s="393">
        <v>4.0000000000000002E-4</v>
      </c>
      <c r="K687" s="841" t="s">
        <v>3197</v>
      </c>
      <c r="L687" s="841" t="s">
        <v>3046</v>
      </c>
      <c r="M687" s="1357"/>
      <c r="P687" s="841" t="s">
        <v>3210</v>
      </c>
      <c r="Q687" s="1357"/>
      <c r="S687" s="1420"/>
      <c r="T687" s="1420"/>
      <c r="V687" s="1357">
        <v>65</v>
      </c>
    </row>
    <row r="688" spans="1:22" s="841" customFormat="1" ht="15" x14ac:dyDescent="0.25">
      <c r="A688" s="841" t="s">
        <v>236</v>
      </c>
      <c r="E688" s="1690" t="s">
        <v>439</v>
      </c>
      <c r="F688" s="1690"/>
      <c r="G688" s="1408" t="s">
        <v>24</v>
      </c>
      <c r="H688" s="393">
        <v>2.9999999999999997E-4</v>
      </c>
      <c r="K688" s="841" t="s">
        <v>3197</v>
      </c>
      <c r="L688" s="841" t="s">
        <v>3046</v>
      </c>
      <c r="M688" s="1357"/>
      <c r="P688" s="841" t="s">
        <v>3212</v>
      </c>
      <c r="Q688" s="1357"/>
      <c r="S688" s="1420"/>
      <c r="T688" s="1420"/>
      <c r="V688" s="1357">
        <v>57</v>
      </c>
    </row>
    <row r="689" spans="1:22" s="841" customFormat="1" ht="15" x14ac:dyDescent="0.25">
      <c r="A689" s="841" t="s">
        <v>236</v>
      </c>
      <c r="E689" s="1690" t="s">
        <v>32</v>
      </c>
      <c r="F689" s="1690"/>
      <c r="G689" s="1408" t="s">
        <v>23</v>
      </c>
      <c r="H689" s="391">
        <v>0.25</v>
      </c>
      <c r="K689" s="841" t="s">
        <v>3197</v>
      </c>
      <c r="L689" s="841" t="s">
        <v>3046</v>
      </c>
      <c r="M689" s="1357"/>
      <c r="P689" s="841" t="s">
        <v>3213</v>
      </c>
      <c r="Q689" s="1357"/>
      <c r="S689" s="1420"/>
      <c r="T689" s="1420"/>
      <c r="V689" s="1357">
        <v>63</v>
      </c>
    </row>
    <row r="690" spans="1:22" s="841" customFormat="1" x14ac:dyDescent="0.25">
      <c r="A690" s="841" t="s">
        <v>236</v>
      </c>
      <c r="E690" s="1909" t="s">
        <v>3214</v>
      </c>
      <c r="F690" s="1915"/>
      <c r="G690" s="1915"/>
      <c r="H690" s="1915"/>
      <c r="K690" s="841" t="s">
        <v>5110</v>
      </c>
      <c r="M690" s="1357"/>
      <c r="Q690" s="1357"/>
      <c r="S690" s="1420"/>
      <c r="T690" s="1420"/>
      <c r="V690" s="1357">
        <v>54</v>
      </c>
    </row>
    <row r="691" spans="1:22" s="841" customFormat="1" ht="15" x14ac:dyDescent="0.25">
      <c r="A691" s="841" t="s">
        <v>236</v>
      </c>
      <c r="E691" s="1689" t="s">
        <v>3215</v>
      </c>
      <c r="F691" s="1689"/>
      <c r="G691" s="1689"/>
      <c r="H691" s="1689"/>
      <c r="K691" s="841" t="s">
        <v>5110</v>
      </c>
      <c r="M691" s="1357"/>
      <c r="Q691" s="1357"/>
      <c r="S691" s="1420"/>
      <c r="T691" s="1420"/>
      <c r="V691" s="1357">
        <v>544</v>
      </c>
    </row>
    <row r="692" spans="1:22" s="841" customFormat="1" ht="15" x14ac:dyDescent="0.25">
      <c r="A692" s="841" t="s">
        <v>236</v>
      </c>
      <c r="E692" s="1916" t="s">
        <v>3061</v>
      </c>
      <c r="F692" s="1697"/>
      <c r="G692" s="1697"/>
      <c r="H692" s="1697"/>
      <c r="K692" s="841" t="s">
        <v>3086</v>
      </c>
      <c r="M692" s="1357"/>
      <c r="Q692" s="1357"/>
      <c r="S692" s="1420"/>
      <c r="T692" s="1420"/>
      <c r="V692" s="1357">
        <v>11</v>
      </c>
    </row>
    <row r="693" spans="1:22" s="841" customFormat="1" ht="15" x14ac:dyDescent="0.25">
      <c r="A693" s="841" t="s">
        <v>236</v>
      </c>
      <c r="E693" s="1689" t="s">
        <v>3063</v>
      </c>
      <c r="F693" s="1689"/>
      <c r="G693" s="1689"/>
      <c r="H693" s="1689"/>
      <c r="K693" s="841" t="s">
        <v>5110</v>
      </c>
      <c r="M693" s="1357"/>
      <c r="Q693" s="1357"/>
      <c r="S693" s="1420"/>
      <c r="T693" s="1420"/>
      <c r="V693" s="1357">
        <v>280</v>
      </c>
    </row>
    <row r="694" spans="1:22" s="841" customFormat="1" ht="15" x14ac:dyDescent="0.25">
      <c r="A694" s="841" t="s">
        <v>236</v>
      </c>
      <c r="E694" s="1689" t="s">
        <v>3064</v>
      </c>
      <c r="F694" s="1689"/>
      <c r="G694" s="1689"/>
      <c r="H694" s="1689"/>
      <c r="K694" s="841" t="s">
        <v>5110</v>
      </c>
      <c r="M694" s="1357"/>
      <c r="Q694" s="1357"/>
      <c r="S694" s="1420"/>
      <c r="T694" s="1420"/>
      <c r="V694" s="1357">
        <v>411</v>
      </c>
    </row>
    <row r="695" spans="1:22" s="841" customFormat="1" ht="15" x14ac:dyDescent="0.25">
      <c r="A695" s="841" t="s">
        <v>236</v>
      </c>
      <c r="E695" s="1689" t="s">
        <v>3199</v>
      </c>
      <c r="F695" s="1689"/>
      <c r="G695" s="1689"/>
      <c r="H695" s="1689"/>
      <c r="K695" s="841" t="s">
        <v>5110</v>
      </c>
      <c r="M695" s="1357"/>
      <c r="Q695" s="1357"/>
      <c r="S695" s="1420"/>
      <c r="T695" s="1420"/>
      <c r="V695" s="1357">
        <v>386</v>
      </c>
    </row>
    <row r="696" spans="1:22" s="841" customFormat="1" ht="15" x14ac:dyDescent="0.25">
      <c r="A696" s="841" t="s">
        <v>236</v>
      </c>
      <c r="E696" s="1689" t="s">
        <v>3200</v>
      </c>
      <c r="F696" s="1689"/>
      <c r="G696" s="1689"/>
      <c r="H696" s="1689"/>
      <c r="K696" s="841" t="s">
        <v>5110</v>
      </c>
      <c r="M696" s="1357"/>
      <c r="Q696" s="1357"/>
      <c r="S696" s="1420"/>
      <c r="T696" s="1420"/>
      <c r="V696" s="1357">
        <v>275</v>
      </c>
    </row>
    <row r="697" spans="1:22" s="841" customFormat="1" ht="15" x14ac:dyDescent="0.25">
      <c r="A697" s="841" t="s">
        <v>236</v>
      </c>
      <c r="E697" s="1694" t="s">
        <v>3067</v>
      </c>
      <c r="F697" s="1907"/>
      <c r="G697" s="1907"/>
      <c r="H697" s="1907"/>
      <c r="K697" s="841" t="s">
        <v>3087</v>
      </c>
      <c r="M697" s="1357"/>
      <c r="Q697" s="1357"/>
      <c r="S697" s="1420"/>
      <c r="T697" s="1420"/>
      <c r="V697" s="1357">
        <v>46</v>
      </c>
    </row>
    <row r="698" spans="1:22" s="841" customFormat="1" ht="15" x14ac:dyDescent="0.25">
      <c r="A698" s="841" t="s">
        <v>236</v>
      </c>
      <c r="E698" s="1690" t="s">
        <v>11</v>
      </c>
      <c r="F698" s="1690"/>
      <c r="G698" s="1408" t="s">
        <v>23</v>
      </c>
      <c r="H698" s="391">
        <v>28.5</v>
      </c>
      <c r="K698" s="841" t="s">
        <v>5110</v>
      </c>
      <c r="L698" s="841" t="s">
        <v>442</v>
      </c>
      <c r="M698" s="1357"/>
      <c r="P698" s="841" t="s">
        <v>5111</v>
      </c>
      <c r="Q698" s="1357"/>
      <c r="S698" s="1420"/>
      <c r="T698" s="1420"/>
      <c r="V698" s="1357">
        <v>14</v>
      </c>
    </row>
    <row r="699" spans="1:22" s="841" customFormat="1" ht="15" x14ac:dyDescent="0.25">
      <c r="A699" s="841" t="s">
        <v>236</v>
      </c>
      <c r="E699" s="1690" t="s">
        <v>5109</v>
      </c>
      <c r="F699" s="1690"/>
      <c r="G699" s="1408" t="s">
        <v>23</v>
      </c>
      <c r="H699" s="391">
        <v>0.56999999999999995</v>
      </c>
      <c r="K699" s="841" t="s">
        <v>5110</v>
      </c>
      <c r="L699" s="841" t="s">
        <v>443</v>
      </c>
      <c r="M699" s="1357"/>
      <c r="P699" s="841" t="s">
        <v>5112</v>
      </c>
      <c r="Q699" s="1357"/>
      <c r="S699" s="1420"/>
      <c r="T699" s="1420">
        <v>44926</v>
      </c>
      <c r="V699" s="1357">
        <v>64</v>
      </c>
    </row>
    <row r="700" spans="1:22" s="841" customFormat="1" ht="15" x14ac:dyDescent="0.25">
      <c r="A700" s="841" t="s">
        <v>236</v>
      </c>
      <c r="E700" s="1690" t="s">
        <v>84</v>
      </c>
      <c r="F700" s="1690"/>
      <c r="G700" s="1408" t="s">
        <v>24</v>
      </c>
      <c r="H700" s="393">
        <v>1.9900000000000001E-2</v>
      </c>
      <c r="K700" s="841" t="s">
        <v>5110</v>
      </c>
      <c r="L700" s="841" t="s">
        <v>442</v>
      </c>
      <c r="M700" s="1357"/>
      <c r="P700" s="841" t="s">
        <v>5113</v>
      </c>
      <c r="Q700" s="1357"/>
      <c r="S700" s="1420"/>
      <c r="T700" s="1420"/>
      <c r="V700" s="1357">
        <v>28</v>
      </c>
    </row>
    <row r="701" spans="1:22" s="841" customFormat="1" ht="15" x14ac:dyDescent="0.25">
      <c r="A701" s="841" t="s">
        <v>236</v>
      </c>
      <c r="E701" s="1690" t="s">
        <v>18</v>
      </c>
      <c r="F701" s="1690"/>
      <c r="G701" s="1408" t="s">
        <v>24</v>
      </c>
      <c r="H701" s="393">
        <v>2.0000000000000001E-4</v>
      </c>
      <c r="K701" s="841" t="s">
        <v>5110</v>
      </c>
      <c r="L701" s="841" t="s">
        <v>443</v>
      </c>
      <c r="M701" s="1357"/>
      <c r="P701" s="841" t="s">
        <v>5114</v>
      </c>
      <c r="Q701" s="1357"/>
      <c r="S701" s="1420"/>
      <c r="T701" s="1420"/>
      <c r="V701" s="1357">
        <v>24</v>
      </c>
    </row>
    <row r="702" spans="1:22" s="841" customFormat="1" ht="15" x14ac:dyDescent="0.25">
      <c r="A702" s="841" t="s">
        <v>236</v>
      </c>
      <c r="E702" s="1690" t="s">
        <v>221</v>
      </c>
      <c r="F702" s="1690"/>
      <c r="G702" s="1408" t="s">
        <v>24</v>
      </c>
      <c r="H702" s="393">
        <v>6.3E-3</v>
      </c>
      <c r="K702" s="841" t="s">
        <v>5110</v>
      </c>
      <c r="L702" s="841" t="s">
        <v>444</v>
      </c>
      <c r="M702" s="1357"/>
      <c r="P702" s="841" t="s">
        <v>5115</v>
      </c>
      <c r="Q702" s="1357"/>
      <c r="S702" s="1420"/>
      <c r="T702" s="1420"/>
      <c r="V702" s="1357">
        <v>47</v>
      </c>
    </row>
    <row r="703" spans="1:22" s="841" customFormat="1" ht="15" x14ac:dyDescent="0.25">
      <c r="A703" s="841" t="s">
        <v>236</v>
      </c>
      <c r="E703" s="1690" t="s">
        <v>217</v>
      </c>
      <c r="F703" s="1690"/>
      <c r="G703" s="1408" t="s">
        <v>24</v>
      </c>
      <c r="H703" s="393">
        <v>6.1000000000000004E-3</v>
      </c>
      <c r="K703" s="841" t="s">
        <v>5110</v>
      </c>
      <c r="L703" s="841" t="s">
        <v>444</v>
      </c>
      <c r="M703" s="1357"/>
      <c r="P703" s="841" t="s">
        <v>5116</v>
      </c>
      <c r="Q703" s="1357"/>
      <c r="S703" s="1420"/>
      <c r="T703" s="1420"/>
      <c r="V703" s="1357">
        <v>74</v>
      </c>
    </row>
    <row r="704" spans="1:22" s="841" customFormat="1" ht="15" x14ac:dyDescent="0.25">
      <c r="A704" s="841" t="s">
        <v>236</v>
      </c>
      <c r="E704" s="1694" t="s">
        <v>3079</v>
      </c>
      <c r="F704" s="1690"/>
      <c r="G704" s="1408"/>
      <c r="H704" s="1408"/>
      <c r="K704" s="841" t="s">
        <v>3093</v>
      </c>
      <c r="M704" s="1357"/>
      <c r="Q704" s="1357"/>
      <c r="S704" s="1420"/>
      <c r="T704" s="1420"/>
      <c r="V704" s="1357">
        <v>48</v>
      </c>
    </row>
    <row r="705" spans="1:22" s="841" customFormat="1" ht="15" x14ac:dyDescent="0.25">
      <c r="A705" s="841" t="s">
        <v>236</v>
      </c>
      <c r="E705" s="1690" t="s">
        <v>2449</v>
      </c>
      <c r="F705" s="1690"/>
      <c r="G705" s="1408" t="s">
        <v>24</v>
      </c>
      <c r="H705" s="393">
        <v>3.2000000000000002E-3</v>
      </c>
      <c r="K705" s="841" t="s">
        <v>5110</v>
      </c>
      <c r="L705" s="841" t="s">
        <v>3046</v>
      </c>
      <c r="M705" s="1357"/>
      <c r="P705" s="841" t="s">
        <v>5117</v>
      </c>
      <c r="Q705" s="1357"/>
      <c r="S705" s="1420"/>
      <c r="T705" s="1420"/>
      <c r="V705" s="1357">
        <v>55</v>
      </c>
    </row>
    <row r="706" spans="1:22" s="841" customFormat="1" ht="15" x14ac:dyDescent="0.25">
      <c r="A706" s="841" t="s">
        <v>236</v>
      </c>
      <c r="E706" s="1690" t="s">
        <v>2450</v>
      </c>
      <c r="F706" s="1690"/>
      <c r="G706" s="1408" t="s">
        <v>24</v>
      </c>
      <c r="H706" s="393">
        <v>4.0000000000000002E-4</v>
      </c>
      <c r="K706" s="841" t="s">
        <v>5110</v>
      </c>
      <c r="L706" s="841" t="s">
        <v>3046</v>
      </c>
      <c r="M706" s="1357"/>
      <c r="P706" s="841" t="s">
        <v>5117</v>
      </c>
      <c r="Q706" s="1357"/>
      <c r="S706" s="1420"/>
      <c r="T706" s="1420"/>
      <c r="V706" s="1357">
        <v>65</v>
      </c>
    </row>
    <row r="707" spans="1:22" s="841" customFormat="1" ht="15" x14ac:dyDescent="0.25">
      <c r="A707" s="841" t="s">
        <v>236</v>
      </c>
      <c r="E707" s="1690" t="s">
        <v>439</v>
      </c>
      <c r="F707" s="1690"/>
      <c r="G707" s="1408" t="s">
        <v>24</v>
      </c>
      <c r="H707" s="393">
        <v>2.9999999999999997E-4</v>
      </c>
      <c r="K707" s="841" t="s">
        <v>5110</v>
      </c>
      <c r="L707" s="841" t="s">
        <v>3046</v>
      </c>
      <c r="M707" s="1357"/>
      <c r="P707" s="841" t="s">
        <v>5118</v>
      </c>
      <c r="Q707" s="1357"/>
      <c r="S707" s="1420"/>
      <c r="T707" s="1420"/>
      <c r="V707" s="1357">
        <v>57</v>
      </c>
    </row>
    <row r="708" spans="1:22" s="841" customFormat="1" ht="15" x14ac:dyDescent="0.25">
      <c r="A708" s="841" t="s">
        <v>236</v>
      </c>
      <c r="E708" s="1690" t="s">
        <v>32</v>
      </c>
      <c r="F708" s="1690"/>
      <c r="G708" s="1408" t="s">
        <v>23</v>
      </c>
      <c r="H708" s="391">
        <v>0.25</v>
      </c>
      <c r="K708" s="841" t="s">
        <v>5110</v>
      </c>
      <c r="L708" s="841" t="s">
        <v>3046</v>
      </c>
      <c r="M708" s="1357"/>
      <c r="P708" s="841" t="s">
        <v>5119</v>
      </c>
      <c r="Q708" s="1357"/>
      <c r="S708" s="1420"/>
      <c r="T708" s="1420"/>
      <c r="V708" s="1357">
        <v>63</v>
      </c>
    </row>
    <row r="709" spans="1:22" s="841" customFormat="1" x14ac:dyDescent="0.25">
      <c r="A709" s="841" t="s">
        <v>236</v>
      </c>
      <c r="E709" s="1909" t="s">
        <v>3216</v>
      </c>
      <c r="F709" s="1915"/>
      <c r="G709" s="1915"/>
      <c r="H709" s="1915"/>
      <c r="K709" s="841" t="s">
        <v>5180</v>
      </c>
      <c r="M709" s="1357"/>
      <c r="Q709" s="1357"/>
      <c r="S709" s="1420"/>
      <c r="T709" s="1420"/>
      <c r="V709" s="1357">
        <v>51</v>
      </c>
    </row>
    <row r="710" spans="1:22" s="841" customFormat="1" ht="15" x14ac:dyDescent="0.25">
      <c r="A710" s="841" t="s">
        <v>236</v>
      </c>
      <c r="E710" s="1689" t="s">
        <v>3217</v>
      </c>
      <c r="F710" s="1689"/>
      <c r="G710" s="1689"/>
      <c r="H710" s="1689"/>
      <c r="K710" s="841" t="s">
        <v>5180</v>
      </c>
      <c r="M710" s="1357"/>
      <c r="Q710" s="1357"/>
      <c r="S710" s="1420"/>
      <c r="T710" s="1420"/>
      <c r="V710" s="1357">
        <v>509</v>
      </c>
    </row>
    <row r="711" spans="1:22" s="841" customFormat="1" ht="15" x14ac:dyDescent="0.25">
      <c r="A711" s="841" t="s">
        <v>236</v>
      </c>
      <c r="E711" s="1916" t="s">
        <v>3061</v>
      </c>
      <c r="F711" s="1697"/>
      <c r="G711" s="1697"/>
      <c r="H711" s="1697"/>
      <c r="K711" s="841" t="s">
        <v>3098</v>
      </c>
      <c r="M711" s="1357"/>
      <c r="Q711" s="1357"/>
      <c r="S711" s="1420"/>
      <c r="T711" s="1420"/>
      <c r="V711" s="1357">
        <v>11</v>
      </c>
    </row>
    <row r="712" spans="1:22" s="841" customFormat="1" ht="15" x14ac:dyDescent="0.25">
      <c r="A712" s="841" t="s">
        <v>236</v>
      </c>
      <c r="E712" s="1689" t="s">
        <v>3063</v>
      </c>
      <c r="F712" s="1689"/>
      <c r="G712" s="1689"/>
      <c r="H712" s="1689"/>
      <c r="K712" s="841" t="s">
        <v>5180</v>
      </c>
      <c r="M712" s="1357"/>
      <c r="Q712" s="1357"/>
      <c r="S712" s="1420"/>
      <c r="T712" s="1420"/>
      <c r="V712" s="1357">
        <v>280</v>
      </c>
    </row>
    <row r="713" spans="1:22" s="841" customFormat="1" ht="15" x14ac:dyDescent="0.25">
      <c r="A713" s="841" t="s">
        <v>236</v>
      </c>
      <c r="E713" s="1689" t="s">
        <v>3064</v>
      </c>
      <c r="F713" s="1689"/>
      <c r="G713" s="1689"/>
      <c r="H713" s="1689"/>
      <c r="K713" s="841" t="s">
        <v>5180</v>
      </c>
      <c r="M713" s="1357"/>
      <c r="Q713" s="1357"/>
      <c r="S713" s="1420"/>
      <c r="T713" s="1420"/>
      <c r="V713" s="1357">
        <v>411</v>
      </c>
    </row>
    <row r="714" spans="1:22" s="841" customFormat="1" ht="15" x14ac:dyDescent="0.25">
      <c r="A714" s="841" t="s">
        <v>236</v>
      </c>
      <c r="E714" s="1689" t="s">
        <v>3065</v>
      </c>
      <c r="F714" s="1689"/>
      <c r="G714" s="1689"/>
      <c r="H714" s="1689"/>
      <c r="K714" s="841" t="s">
        <v>5180</v>
      </c>
      <c r="M714" s="1357"/>
      <c r="Q714" s="1357"/>
      <c r="S714" s="1420"/>
      <c r="T714" s="1420"/>
      <c r="V714" s="1357">
        <v>387</v>
      </c>
    </row>
    <row r="715" spans="1:22" s="841" customFormat="1" ht="15" x14ac:dyDescent="0.25">
      <c r="A715" s="841" t="s">
        <v>236</v>
      </c>
      <c r="E715" s="1689" t="s">
        <v>3200</v>
      </c>
      <c r="F715" s="1689"/>
      <c r="G715" s="1689"/>
      <c r="H715" s="1689"/>
      <c r="K715" s="841" t="s">
        <v>5180</v>
      </c>
      <c r="M715" s="1357"/>
      <c r="Q715" s="1357"/>
      <c r="S715" s="1420"/>
      <c r="T715" s="1420"/>
      <c r="V715" s="1357">
        <v>275</v>
      </c>
    </row>
    <row r="716" spans="1:22" s="841" customFormat="1" ht="15" x14ac:dyDescent="0.25">
      <c r="A716" s="841" t="s">
        <v>236</v>
      </c>
      <c r="E716" s="1694" t="s">
        <v>3067</v>
      </c>
      <c r="F716" s="1907"/>
      <c r="G716" s="1907"/>
      <c r="H716" s="1907"/>
      <c r="K716" s="841" t="s">
        <v>3099</v>
      </c>
      <c r="M716" s="1357"/>
      <c r="Q716" s="1357"/>
      <c r="S716" s="1420"/>
      <c r="T716" s="1420"/>
      <c r="V716" s="1357">
        <v>46</v>
      </c>
    </row>
    <row r="717" spans="1:22" s="841" customFormat="1" ht="15" x14ac:dyDescent="0.25">
      <c r="A717" s="841" t="s">
        <v>236</v>
      </c>
      <c r="E717" s="1690" t="s">
        <v>11</v>
      </c>
      <c r="F717" s="1690"/>
      <c r="G717" s="1408" t="s">
        <v>23</v>
      </c>
      <c r="H717" s="391">
        <v>152.22999999999999</v>
      </c>
      <c r="K717" s="841" t="s">
        <v>5180</v>
      </c>
      <c r="L717" s="841" t="s">
        <v>442</v>
      </c>
      <c r="M717" s="1357"/>
      <c r="P717" s="841" t="s">
        <v>5181</v>
      </c>
      <c r="Q717" s="1357"/>
      <c r="S717" s="1420"/>
      <c r="T717" s="1420"/>
      <c r="V717" s="1357">
        <v>14</v>
      </c>
    </row>
    <row r="718" spans="1:22" s="841" customFormat="1" ht="15" x14ac:dyDescent="0.25">
      <c r="A718" s="841" t="s">
        <v>236</v>
      </c>
      <c r="E718" s="1690" t="s">
        <v>84</v>
      </c>
      <c r="F718" s="1690"/>
      <c r="G718" s="1408" t="s">
        <v>33</v>
      </c>
      <c r="H718" s="393">
        <v>4.4238999999999997</v>
      </c>
      <c r="K718" s="841" t="s">
        <v>5180</v>
      </c>
      <c r="L718" s="841" t="s">
        <v>442</v>
      </c>
      <c r="M718" s="1357"/>
      <c r="P718" s="841" t="s">
        <v>5182</v>
      </c>
      <c r="Q718" s="1357"/>
      <c r="S718" s="1420"/>
      <c r="T718" s="1420"/>
      <c r="V718" s="1357">
        <v>28</v>
      </c>
    </row>
    <row r="719" spans="1:22" s="841" customFormat="1" ht="15" x14ac:dyDescent="0.25">
      <c r="A719" s="841" t="s">
        <v>236</v>
      </c>
      <c r="E719" s="1690" t="s">
        <v>18</v>
      </c>
      <c r="F719" s="1690"/>
      <c r="G719" s="1408" t="s">
        <v>33</v>
      </c>
      <c r="H719" s="393">
        <v>7.4800000000000005E-2</v>
      </c>
      <c r="K719" s="841" t="s">
        <v>5180</v>
      </c>
      <c r="L719" s="841" t="s">
        <v>443</v>
      </c>
      <c r="M719" s="1357"/>
      <c r="P719" s="841" t="s">
        <v>5183</v>
      </c>
      <c r="Q719" s="1357"/>
      <c r="S719" s="1420"/>
      <c r="T719" s="1420"/>
      <c r="V719" s="1357">
        <v>24</v>
      </c>
    </row>
    <row r="720" spans="1:22" s="841" customFormat="1" ht="15" x14ac:dyDescent="0.25">
      <c r="A720" s="841" t="s">
        <v>236</v>
      </c>
      <c r="E720" s="1690" t="s">
        <v>221</v>
      </c>
      <c r="F720" s="1690"/>
      <c r="G720" s="1408" t="s">
        <v>33</v>
      </c>
      <c r="H720" s="393">
        <v>2.5173000000000001</v>
      </c>
      <c r="K720" s="841" t="s">
        <v>5180</v>
      </c>
      <c r="L720" s="841" t="s">
        <v>444</v>
      </c>
      <c r="M720" s="1357"/>
      <c r="P720" s="841" t="s">
        <v>5184</v>
      </c>
      <c r="Q720" s="1357"/>
      <c r="S720" s="1420"/>
      <c r="T720" s="1420"/>
      <c r="V720" s="1357">
        <v>47</v>
      </c>
    </row>
    <row r="721" spans="1:22" s="841" customFormat="1" ht="15" x14ac:dyDescent="0.25">
      <c r="A721" s="841" t="s">
        <v>236</v>
      </c>
      <c r="E721" s="1690" t="s">
        <v>217</v>
      </c>
      <c r="F721" s="1690"/>
      <c r="G721" s="1408" t="s">
        <v>33</v>
      </c>
      <c r="H721" s="393">
        <v>2.4384999999999999</v>
      </c>
      <c r="K721" s="841" t="s">
        <v>5180</v>
      </c>
      <c r="L721" s="841" t="s">
        <v>444</v>
      </c>
      <c r="M721" s="1357"/>
      <c r="P721" s="841" t="s">
        <v>5185</v>
      </c>
      <c r="Q721" s="1357"/>
      <c r="S721" s="1420"/>
      <c r="T721" s="1420"/>
      <c r="V721" s="1357">
        <v>74</v>
      </c>
    </row>
    <row r="722" spans="1:22" s="841" customFormat="1" ht="15" x14ac:dyDescent="0.25">
      <c r="A722" s="841" t="s">
        <v>236</v>
      </c>
      <c r="E722" s="1694" t="s">
        <v>3079</v>
      </c>
      <c r="F722" s="1690"/>
      <c r="G722" s="1408"/>
      <c r="H722" s="1408"/>
      <c r="K722" s="841" t="s">
        <v>3218</v>
      </c>
      <c r="M722" s="1357"/>
      <c r="Q722" s="1357"/>
      <c r="S722" s="1420"/>
      <c r="T722" s="1420"/>
      <c r="V722" s="1357">
        <v>48</v>
      </c>
    </row>
    <row r="723" spans="1:22" s="841" customFormat="1" ht="15" x14ac:dyDescent="0.25">
      <c r="A723" s="841" t="s">
        <v>236</v>
      </c>
      <c r="E723" s="1690" t="s">
        <v>2449</v>
      </c>
      <c r="F723" s="1690"/>
      <c r="G723" s="1408" t="s">
        <v>24</v>
      </c>
      <c r="H723" s="393">
        <v>3.2000000000000002E-3</v>
      </c>
      <c r="K723" s="841" t="s">
        <v>5180</v>
      </c>
      <c r="L723" s="841" t="s">
        <v>3046</v>
      </c>
      <c r="M723" s="1357"/>
      <c r="P723" s="841" t="s">
        <v>5186</v>
      </c>
      <c r="Q723" s="1357"/>
      <c r="S723" s="1420"/>
      <c r="T723" s="1420"/>
      <c r="V723" s="1357">
        <v>55</v>
      </c>
    </row>
    <row r="724" spans="1:22" s="841" customFormat="1" ht="15" x14ac:dyDescent="0.25">
      <c r="A724" s="841" t="s">
        <v>236</v>
      </c>
      <c r="E724" s="1690" t="s">
        <v>2450</v>
      </c>
      <c r="F724" s="1690"/>
      <c r="G724" s="1408" t="s">
        <v>24</v>
      </c>
      <c r="H724" s="393">
        <v>4.0000000000000002E-4</v>
      </c>
      <c r="K724" s="841" t="s">
        <v>5180</v>
      </c>
      <c r="L724" s="841" t="s">
        <v>3046</v>
      </c>
      <c r="M724" s="1357"/>
      <c r="P724" s="841" t="s">
        <v>5186</v>
      </c>
      <c r="Q724" s="1357"/>
      <c r="S724" s="1420"/>
      <c r="T724" s="1420"/>
      <c r="V724" s="1357">
        <v>65</v>
      </c>
    </row>
    <row r="725" spans="1:22" s="841" customFormat="1" ht="15" x14ac:dyDescent="0.25">
      <c r="A725" s="841" t="s">
        <v>236</v>
      </c>
      <c r="E725" s="1690" t="s">
        <v>439</v>
      </c>
      <c r="F725" s="1690"/>
      <c r="G725" s="1408" t="s">
        <v>24</v>
      </c>
      <c r="H725" s="393">
        <v>2.9999999999999997E-4</v>
      </c>
      <c r="K725" s="841" t="s">
        <v>5180</v>
      </c>
      <c r="L725" s="841" t="s">
        <v>3046</v>
      </c>
      <c r="M725" s="1357"/>
      <c r="P725" s="841" t="s">
        <v>5187</v>
      </c>
      <c r="Q725" s="1357"/>
      <c r="S725" s="1420"/>
      <c r="T725" s="1420"/>
      <c r="V725" s="1357">
        <v>57</v>
      </c>
    </row>
    <row r="726" spans="1:22" s="841" customFormat="1" ht="15" x14ac:dyDescent="0.25">
      <c r="A726" s="841" t="s">
        <v>236</v>
      </c>
      <c r="E726" s="1690" t="s">
        <v>32</v>
      </c>
      <c r="F726" s="1690"/>
      <c r="G726" s="1408" t="s">
        <v>23</v>
      </c>
      <c r="H726" s="391">
        <v>0.25</v>
      </c>
      <c r="K726" s="841" t="s">
        <v>5180</v>
      </c>
      <c r="L726" s="841" t="s">
        <v>3046</v>
      </c>
      <c r="M726" s="1357"/>
      <c r="P726" s="841" t="s">
        <v>5188</v>
      </c>
      <c r="Q726" s="1357"/>
      <c r="S726" s="1420"/>
      <c r="T726" s="1420"/>
      <c r="V726" s="1357">
        <v>63</v>
      </c>
    </row>
    <row r="727" spans="1:22" s="841" customFormat="1" x14ac:dyDescent="0.25">
      <c r="A727" s="841" t="s">
        <v>236</v>
      </c>
      <c r="E727" s="1909" t="s">
        <v>3219</v>
      </c>
      <c r="F727" s="1915"/>
      <c r="G727" s="1915"/>
      <c r="H727" s="1915"/>
      <c r="K727" s="841" t="s">
        <v>5189</v>
      </c>
      <c r="M727" s="1357"/>
      <c r="Q727" s="1357"/>
      <c r="S727" s="1420"/>
      <c r="T727" s="1420"/>
      <c r="V727" s="1357">
        <v>56</v>
      </c>
    </row>
    <row r="728" spans="1:22" s="841" customFormat="1" ht="15" x14ac:dyDescent="0.25">
      <c r="A728" s="841" t="s">
        <v>236</v>
      </c>
      <c r="E728" s="1689" t="s">
        <v>3220</v>
      </c>
      <c r="F728" s="1689"/>
      <c r="G728" s="1689"/>
      <c r="H728" s="1689"/>
      <c r="K728" s="841" t="s">
        <v>5189</v>
      </c>
      <c r="M728" s="1357"/>
      <c r="Q728" s="1357"/>
      <c r="S728" s="1420"/>
      <c r="T728" s="1420"/>
      <c r="V728" s="1357">
        <v>522</v>
      </c>
    </row>
    <row r="729" spans="1:22" s="841" customFormat="1" ht="15" x14ac:dyDescent="0.25">
      <c r="A729" s="841" t="s">
        <v>236</v>
      </c>
      <c r="E729" s="1916" t="s">
        <v>3061</v>
      </c>
      <c r="F729" s="1697"/>
      <c r="G729" s="1697"/>
      <c r="H729" s="1697"/>
      <c r="K729" s="841" t="s">
        <v>3221</v>
      </c>
      <c r="M729" s="1357"/>
      <c r="Q729" s="1357"/>
      <c r="S729" s="1420"/>
      <c r="T729" s="1420"/>
      <c r="V729" s="1357">
        <v>11</v>
      </c>
    </row>
    <row r="730" spans="1:22" s="841" customFormat="1" ht="15" x14ac:dyDescent="0.25">
      <c r="A730" s="841" t="s">
        <v>236</v>
      </c>
      <c r="E730" s="1689" t="s">
        <v>3063</v>
      </c>
      <c r="F730" s="1689"/>
      <c r="G730" s="1689"/>
      <c r="H730" s="1689"/>
      <c r="K730" s="841" t="s">
        <v>5189</v>
      </c>
      <c r="M730" s="1357"/>
      <c r="Q730" s="1357"/>
      <c r="S730" s="1420"/>
      <c r="T730" s="1420"/>
      <c r="V730" s="1357">
        <v>280</v>
      </c>
    </row>
    <row r="731" spans="1:22" s="841" customFormat="1" ht="15" x14ac:dyDescent="0.25">
      <c r="A731" s="841" t="s">
        <v>236</v>
      </c>
      <c r="E731" s="1689" t="s">
        <v>3064</v>
      </c>
      <c r="F731" s="1689"/>
      <c r="G731" s="1689"/>
      <c r="H731" s="1689"/>
      <c r="K731" s="841" t="s">
        <v>5189</v>
      </c>
      <c r="M731" s="1357"/>
      <c r="Q731" s="1357"/>
      <c r="S731" s="1420"/>
      <c r="T731" s="1420"/>
      <c r="V731" s="1357">
        <v>411</v>
      </c>
    </row>
    <row r="732" spans="1:22" s="841" customFormat="1" ht="15" x14ac:dyDescent="0.25">
      <c r="A732" s="841" t="s">
        <v>236</v>
      </c>
      <c r="E732" s="1689" t="s">
        <v>3065</v>
      </c>
      <c r="F732" s="1689"/>
      <c r="G732" s="1689"/>
      <c r="H732" s="1689"/>
      <c r="K732" s="841" t="s">
        <v>5189</v>
      </c>
      <c r="M732" s="1357"/>
      <c r="Q732" s="1357"/>
      <c r="S732" s="1420"/>
      <c r="T732" s="1420"/>
      <c r="V732" s="1357">
        <v>387</v>
      </c>
    </row>
    <row r="733" spans="1:22" s="841" customFormat="1" ht="15" x14ac:dyDescent="0.25">
      <c r="A733" s="841" t="s">
        <v>236</v>
      </c>
      <c r="E733" s="1689" t="s">
        <v>3200</v>
      </c>
      <c r="F733" s="1689"/>
      <c r="G733" s="1689"/>
      <c r="H733" s="1689"/>
      <c r="K733" s="841" t="s">
        <v>5189</v>
      </c>
      <c r="M733" s="1357"/>
      <c r="Q733" s="1357"/>
      <c r="S733" s="1420"/>
      <c r="T733" s="1420"/>
      <c r="V733" s="1357">
        <v>275</v>
      </c>
    </row>
    <row r="734" spans="1:22" s="841" customFormat="1" ht="15" x14ac:dyDescent="0.25">
      <c r="A734" s="841" t="s">
        <v>236</v>
      </c>
      <c r="E734" s="1694" t="s">
        <v>3067</v>
      </c>
      <c r="F734" s="1907"/>
      <c r="G734" s="1907"/>
      <c r="H734" s="1907"/>
      <c r="K734" s="841" t="s">
        <v>3224</v>
      </c>
      <c r="M734" s="1357"/>
      <c r="Q734" s="1357"/>
      <c r="S734" s="1420"/>
      <c r="T734" s="1420"/>
      <c r="V734" s="1357">
        <v>46</v>
      </c>
    </row>
    <row r="735" spans="1:22" s="841" customFormat="1" ht="15" x14ac:dyDescent="0.25">
      <c r="A735" s="841" t="s">
        <v>236</v>
      </c>
      <c r="E735" s="1690" t="s">
        <v>11</v>
      </c>
      <c r="F735" s="1690"/>
      <c r="G735" s="1408" t="s">
        <v>23</v>
      </c>
      <c r="H735" s="391">
        <v>3346.28</v>
      </c>
      <c r="K735" s="841" t="s">
        <v>5189</v>
      </c>
      <c r="L735" s="841" t="s">
        <v>442</v>
      </c>
      <c r="M735" s="1357"/>
      <c r="P735" s="841" t="s">
        <v>5190</v>
      </c>
      <c r="Q735" s="1357"/>
      <c r="S735" s="1420"/>
      <c r="T735" s="1420"/>
      <c r="V735" s="1357">
        <v>14</v>
      </c>
    </row>
    <row r="736" spans="1:22" s="841" customFormat="1" ht="15" x14ac:dyDescent="0.25">
      <c r="A736" s="841" t="s">
        <v>236</v>
      </c>
      <c r="E736" s="1690" t="s">
        <v>84</v>
      </c>
      <c r="F736" s="1690"/>
      <c r="G736" s="1408" t="s">
        <v>33</v>
      </c>
      <c r="H736" s="393">
        <v>1.8047</v>
      </c>
      <c r="K736" s="841" t="s">
        <v>5189</v>
      </c>
      <c r="L736" s="841" t="s">
        <v>442</v>
      </c>
      <c r="M736" s="1357"/>
      <c r="P736" s="841" t="s">
        <v>5191</v>
      </c>
      <c r="Q736" s="1357"/>
      <c r="S736" s="1420"/>
      <c r="T736" s="1420"/>
      <c r="V736" s="1357">
        <v>28</v>
      </c>
    </row>
    <row r="737" spans="1:22" s="841" customFormat="1" ht="15" x14ac:dyDescent="0.25">
      <c r="A737" s="841" t="s">
        <v>236</v>
      </c>
      <c r="E737" s="1690" t="s">
        <v>18</v>
      </c>
      <c r="F737" s="1690"/>
      <c r="G737" s="1408" t="s">
        <v>33</v>
      </c>
      <c r="H737" s="393">
        <v>8.2000000000000003E-2</v>
      </c>
      <c r="K737" s="841" t="s">
        <v>5189</v>
      </c>
      <c r="L737" s="841" t="s">
        <v>443</v>
      </c>
      <c r="M737" s="1357"/>
      <c r="P737" s="841" t="s">
        <v>5192</v>
      </c>
      <c r="Q737" s="1357"/>
      <c r="S737" s="1420"/>
      <c r="T737" s="1420"/>
      <c r="V737" s="1357">
        <v>24</v>
      </c>
    </row>
    <row r="738" spans="1:22" s="841" customFormat="1" ht="15" x14ac:dyDescent="0.25">
      <c r="A738" s="841" t="s">
        <v>236</v>
      </c>
      <c r="E738" s="1690" t="s">
        <v>221</v>
      </c>
      <c r="F738" s="1690"/>
      <c r="G738" s="1408" t="s">
        <v>33</v>
      </c>
      <c r="H738" s="393">
        <v>2.6736</v>
      </c>
      <c r="K738" s="841" t="s">
        <v>5189</v>
      </c>
      <c r="L738" s="841" t="s">
        <v>444</v>
      </c>
      <c r="M738" s="1357"/>
      <c r="P738" s="841" t="s">
        <v>5193</v>
      </c>
      <c r="Q738" s="1357"/>
      <c r="S738" s="1420"/>
      <c r="T738" s="1420"/>
      <c r="V738" s="1357">
        <v>47</v>
      </c>
    </row>
    <row r="739" spans="1:22" s="841" customFormat="1" ht="15" x14ac:dyDescent="0.25">
      <c r="A739" s="841" t="s">
        <v>236</v>
      </c>
      <c r="E739" s="1690" t="s">
        <v>217</v>
      </c>
      <c r="F739" s="1690"/>
      <c r="G739" s="1408" t="s">
        <v>33</v>
      </c>
      <c r="H739" s="393">
        <v>2.6732</v>
      </c>
      <c r="K739" s="841" t="s">
        <v>5189</v>
      </c>
      <c r="L739" s="841" t="s">
        <v>444</v>
      </c>
      <c r="M739" s="1357"/>
      <c r="P739" s="841" t="s">
        <v>5194</v>
      </c>
      <c r="Q739" s="1357"/>
      <c r="S739" s="1420"/>
      <c r="T739" s="1420"/>
      <c r="V739" s="1357">
        <v>74</v>
      </c>
    </row>
    <row r="740" spans="1:22" s="841" customFormat="1" ht="15" x14ac:dyDescent="0.25">
      <c r="A740" s="841" t="s">
        <v>236</v>
      </c>
      <c r="E740" s="1694" t="s">
        <v>3079</v>
      </c>
      <c r="F740" s="1690"/>
      <c r="G740" s="1408"/>
      <c r="H740" s="1408"/>
      <c r="K740" s="841" t="s">
        <v>3225</v>
      </c>
      <c r="M740" s="1357"/>
      <c r="Q740" s="1357"/>
      <c r="S740" s="1420"/>
      <c r="T740" s="1420"/>
      <c r="V740" s="1357">
        <v>48</v>
      </c>
    </row>
    <row r="741" spans="1:22" s="841" customFormat="1" ht="15" x14ac:dyDescent="0.25">
      <c r="A741" s="841" t="s">
        <v>236</v>
      </c>
      <c r="E741" s="1690" t="s">
        <v>2449</v>
      </c>
      <c r="F741" s="1690"/>
      <c r="G741" s="1408" t="s">
        <v>24</v>
      </c>
      <c r="H741" s="393">
        <v>3.2000000000000002E-3</v>
      </c>
      <c r="K741" s="841" t="s">
        <v>5189</v>
      </c>
      <c r="L741" s="841" t="s">
        <v>3046</v>
      </c>
      <c r="M741" s="1357"/>
      <c r="P741" s="841" t="s">
        <v>5195</v>
      </c>
      <c r="Q741" s="1357"/>
      <c r="S741" s="1420"/>
      <c r="T741" s="1420"/>
      <c r="V741" s="1357">
        <v>55</v>
      </c>
    </row>
    <row r="742" spans="1:22" s="841" customFormat="1" ht="15" x14ac:dyDescent="0.25">
      <c r="A742" s="841" t="s">
        <v>236</v>
      </c>
      <c r="E742" s="1690" t="s">
        <v>2450</v>
      </c>
      <c r="F742" s="1690"/>
      <c r="G742" s="1408" t="s">
        <v>24</v>
      </c>
      <c r="H742" s="393">
        <v>4.0000000000000002E-4</v>
      </c>
      <c r="K742" s="841" t="s">
        <v>5189</v>
      </c>
      <c r="L742" s="841" t="s">
        <v>3046</v>
      </c>
      <c r="M742" s="1357"/>
      <c r="P742" s="841" t="s">
        <v>5195</v>
      </c>
      <c r="Q742" s="1357"/>
      <c r="S742" s="1420"/>
      <c r="T742" s="1420"/>
      <c r="V742" s="1357">
        <v>65</v>
      </c>
    </row>
    <row r="743" spans="1:22" s="841" customFormat="1" ht="15" x14ac:dyDescent="0.25">
      <c r="A743" s="841" t="s">
        <v>236</v>
      </c>
      <c r="E743" s="1690" t="s">
        <v>439</v>
      </c>
      <c r="F743" s="1690"/>
      <c r="G743" s="1408" t="s">
        <v>24</v>
      </c>
      <c r="H743" s="393">
        <v>2.9999999999999997E-4</v>
      </c>
      <c r="K743" s="841" t="s">
        <v>5189</v>
      </c>
      <c r="L743" s="841" t="s">
        <v>3046</v>
      </c>
      <c r="M743" s="1357"/>
      <c r="P743" s="841" t="s">
        <v>5196</v>
      </c>
      <c r="Q743" s="1357"/>
      <c r="S743" s="1420"/>
      <c r="T743" s="1420"/>
      <c r="V743" s="1357">
        <v>57</v>
      </c>
    </row>
    <row r="744" spans="1:22" s="841" customFormat="1" ht="15" x14ac:dyDescent="0.25">
      <c r="A744" s="841" t="s">
        <v>236</v>
      </c>
      <c r="E744" s="1690" t="s">
        <v>32</v>
      </c>
      <c r="F744" s="1690"/>
      <c r="G744" s="1408" t="s">
        <v>23</v>
      </c>
      <c r="H744" s="391">
        <v>0.25</v>
      </c>
      <c r="K744" s="841" t="s">
        <v>5189</v>
      </c>
      <c r="L744" s="841" t="s">
        <v>3046</v>
      </c>
      <c r="M744" s="1357"/>
      <c r="P744" s="841" t="s">
        <v>5197</v>
      </c>
      <c r="Q744" s="1357"/>
      <c r="S744" s="1420"/>
      <c r="T744" s="1420"/>
      <c r="V744" s="1357">
        <v>63</v>
      </c>
    </row>
    <row r="745" spans="1:22" s="841" customFormat="1" x14ac:dyDescent="0.25">
      <c r="A745" s="841" t="s">
        <v>236</v>
      </c>
      <c r="E745" s="1909" t="s">
        <v>621</v>
      </c>
      <c r="F745" s="1915"/>
      <c r="G745" s="1915"/>
      <c r="H745" s="1915"/>
      <c r="K745" s="841" t="s">
        <v>3226</v>
      </c>
      <c r="M745" s="1357"/>
      <c r="Q745" s="1357"/>
      <c r="S745" s="1420"/>
      <c r="T745" s="1420"/>
      <c r="V745" s="1357">
        <v>32</v>
      </c>
    </row>
    <row r="746" spans="1:22" s="841" customFormat="1" ht="15" x14ac:dyDescent="0.25">
      <c r="A746" s="841" t="s">
        <v>236</v>
      </c>
      <c r="E746" s="1689" t="s">
        <v>3227</v>
      </c>
      <c r="F746" s="1689"/>
      <c r="G746" s="1689"/>
      <c r="H746" s="1689"/>
      <c r="K746" s="841" t="s">
        <v>3226</v>
      </c>
      <c r="M746" s="1357"/>
      <c r="Q746" s="1357"/>
      <c r="S746" s="1420"/>
      <c r="T746" s="1420"/>
      <c r="V746" s="1357">
        <v>510</v>
      </c>
    </row>
    <row r="747" spans="1:22" s="841" customFormat="1" ht="15" x14ac:dyDescent="0.25">
      <c r="A747" s="841" t="s">
        <v>236</v>
      </c>
      <c r="E747" s="1916" t="s">
        <v>3061</v>
      </c>
      <c r="F747" s="1697"/>
      <c r="G747" s="1697"/>
      <c r="H747" s="1697"/>
      <c r="K747" s="841" t="s">
        <v>3107</v>
      </c>
      <c r="M747" s="1357"/>
      <c r="Q747" s="1357"/>
      <c r="S747" s="1420"/>
      <c r="T747" s="1420"/>
      <c r="V747" s="1357">
        <v>11</v>
      </c>
    </row>
    <row r="748" spans="1:22" s="841" customFormat="1" ht="15" x14ac:dyDescent="0.25">
      <c r="A748" s="841" t="s">
        <v>236</v>
      </c>
      <c r="E748" s="1689" t="s">
        <v>3063</v>
      </c>
      <c r="F748" s="1689"/>
      <c r="G748" s="1689"/>
      <c r="H748" s="1689"/>
      <c r="K748" s="841" t="s">
        <v>3226</v>
      </c>
      <c r="M748" s="1357"/>
      <c r="Q748" s="1357"/>
      <c r="S748" s="1420"/>
      <c r="T748" s="1420"/>
      <c r="V748" s="1357">
        <v>280</v>
      </c>
    </row>
    <row r="749" spans="1:22" s="841" customFormat="1" ht="15" x14ac:dyDescent="0.25">
      <c r="A749" s="841" t="s">
        <v>236</v>
      </c>
      <c r="E749" s="1689" t="s">
        <v>3064</v>
      </c>
      <c r="F749" s="1689"/>
      <c r="G749" s="1689"/>
      <c r="H749" s="1689"/>
      <c r="K749" s="841" t="s">
        <v>3226</v>
      </c>
      <c r="M749" s="1357"/>
      <c r="Q749" s="1357"/>
      <c r="S749" s="1420"/>
      <c r="T749" s="1420"/>
      <c r="V749" s="1357">
        <v>411</v>
      </c>
    </row>
    <row r="750" spans="1:22" s="841" customFormat="1" ht="15" x14ac:dyDescent="0.25">
      <c r="A750" s="841" t="s">
        <v>236</v>
      </c>
      <c r="E750" s="1689" t="s">
        <v>3065</v>
      </c>
      <c r="F750" s="1689"/>
      <c r="G750" s="1689"/>
      <c r="H750" s="1689"/>
      <c r="K750" s="841" t="s">
        <v>3226</v>
      </c>
      <c r="M750" s="1357"/>
      <c r="Q750" s="1357"/>
      <c r="S750" s="1420"/>
      <c r="T750" s="1420"/>
      <c r="V750" s="1357">
        <v>387</v>
      </c>
    </row>
    <row r="751" spans="1:22" s="841" customFormat="1" ht="15" x14ac:dyDescent="0.25">
      <c r="A751" s="841" t="s">
        <v>236</v>
      </c>
      <c r="E751" s="1689" t="s">
        <v>3200</v>
      </c>
      <c r="F751" s="1689"/>
      <c r="G751" s="1689"/>
      <c r="H751" s="1689"/>
      <c r="K751" s="841" t="s">
        <v>3226</v>
      </c>
      <c r="M751" s="1357"/>
      <c r="Q751" s="1357"/>
      <c r="S751" s="1420"/>
      <c r="T751" s="1420"/>
      <c r="V751" s="1357">
        <v>275</v>
      </c>
    </row>
    <row r="752" spans="1:22" s="841" customFormat="1" ht="15" x14ac:dyDescent="0.25">
      <c r="A752" s="841" t="s">
        <v>236</v>
      </c>
      <c r="E752" s="1694" t="s">
        <v>3067</v>
      </c>
      <c r="F752" s="1907"/>
      <c r="G752" s="1907"/>
      <c r="H752" s="1907"/>
      <c r="K752" s="841" t="s">
        <v>3108</v>
      </c>
      <c r="M752" s="1357"/>
      <c r="Q752" s="1357"/>
      <c r="S752" s="1420"/>
      <c r="T752" s="1420"/>
      <c r="V752" s="1357">
        <v>46</v>
      </c>
    </row>
    <row r="753" spans="1:22" s="841" customFormat="1" ht="15" x14ac:dyDescent="0.25">
      <c r="A753" s="841" t="s">
        <v>236</v>
      </c>
      <c r="E753" s="1690" t="s">
        <v>11</v>
      </c>
      <c r="F753" s="1690"/>
      <c r="G753" s="1408" t="s">
        <v>23</v>
      </c>
      <c r="H753" s="391">
        <v>26185.5</v>
      </c>
      <c r="K753" s="841" t="s">
        <v>3226</v>
      </c>
      <c r="L753" s="841" t="s">
        <v>442</v>
      </c>
      <c r="M753" s="1357"/>
      <c r="P753" s="841" t="s">
        <v>3228</v>
      </c>
      <c r="Q753" s="1357"/>
      <c r="S753" s="1420"/>
      <c r="T753" s="1420"/>
      <c r="V753" s="1357">
        <v>14</v>
      </c>
    </row>
    <row r="754" spans="1:22" s="841" customFormat="1" ht="15" x14ac:dyDescent="0.25">
      <c r="A754" s="841" t="s">
        <v>236</v>
      </c>
      <c r="E754" s="1690" t="s">
        <v>84</v>
      </c>
      <c r="F754" s="1690"/>
      <c r="G754" s="1408" t="s">
        <v>33</v>
      </c>
      <c r="H754" s="393">
        <v>1.9664999999999999</v>
      </c>
      <c r="K754" s="841" t="s">
        <v>3226</v>
      </c>
      <c r="L754" s="841" t="s">
        <v>442</v>
      </c>
      <c r="M754" s="1357"/>
      <c r="P754" s="841" t="s">
        <v>3229</v>
      </c>
      <c r="Q754" s="1357"/>
      <c r="S754" s="1420"/>
      <c r="T754" s="1420"/>
      <c r="V754" s="1357">
        <v>28</v>
      </c>
    </row>
    <row r="755" spans="1:22" s="841" customFormat="1" ht="15" x14ac:dyDescent="0.25">
      <c r="A755" s="841" t="s">
        <v>236</v>
      </c>
      <c r="E755" s="1690" t="s">
        <v>18</v>
      </c>
      <c r="F755" s="1690"/>
      <c r="G755" s="1408" t="s">
        <v>33</v>
      </c>
      <c r="H755" s="393">
        <v>9.3799999999999994E-2</v>
      </c>
      <c r="K755" s="841" t="s">
        <v>3226</v>
      </c>
      <c r="L755" s="841" t="s">
        <v>443</v>
      </c>
      <c r="M755" s="1357"/>
      <c r="P755" s="841" t="s">
        <v>3230</v>
      </c>
      <c r="Q755" s="1357"/>
      <c r="S755" s="1420"/>
      <c r="T755" s="1420"/>
      <c r="V755" s="1357">
        <v>24</v>
      </c>
    </row>
    <row r="756" spans="1:22" s="841" customFormat="1" ht="15" x14ac:dyDescent="0.25">
      <c r="A756" s="841" t="s">
        <v>236</v>
      </c>
      <c r="E756" s="1690" t="s">
        <v>223</v>
      </c>
      <c r="F756" s="1690"/>
      <c r="G756" s="1408" t="s">
        <v>33</v>
      </c>
      <c r="H756" s="393">
        <v>2.9603999999999999</v>
      </c>
      <c r="K756" s="841" t="s">
        <v>3226</v>
      </c>
      <c r="L756" s="841" t="s">
        <v>444</v>
      </c>
      <c r="M756" s="1357"/>
      <c r="P756" s="841" t="s">
        <v>3233</v>
      </c>
      <c r="Q756" s="1357"/>
      <c r="S756" s="1420"/>
      <c r="T756" s="1420"/>
      <c r="V756" s="1357">
        <v>66</v>
      </c>
    </row>
    <row r="757" spans="1:22" s="841" customFormat="1" ht="15" x14ac:dyDescent="0.25">
      <c r="A757" s="841" t="s">
        <v>236</v>
      </c>
      <c r="E757" s="1690" t="s">
        <v>219</v>
      </c>
      <c r="F757" s="1690"/>
      <c r="G757" s="1408" t="s">
        <v>33</v>
      </c>
      <c r="H757" s="393">
        <v>3.0569000000000002</v>
      </c>
      <c r="K757" s="841" t="s">
        <v>3226</v>
      </c>
      <c r="L757" s="841" t="s">
        <v>444</v>
      </c>
      <c r="M757" s="1357"/>
      <c r="P757" s="841" t="s">
        <v>3234</v>
      </c>
      <c r="Q757" s="1357"/>
      <c r="S757" s="1420"/>
      <c r="T757" s="1420"/>
      <c r="V757" s="1357">
        <v>93</v>
      </c>
    </row>
    <row r="758" spans="1:22" s="841" customFormat="1" ht="15" x14ac:dyDescent="0.25">
      <c r="A758" s="841" t="s">
        <v>236</v>
      </c>
      <c r="E758" s="1694" t="s">
        <v>3079</v>
      </c>
      <c r="F758" s="1690"/>
      <c r="G758" s="1408"/>
      <c r="H758" s="1408"/>
      <c r="K758" s="841" t="s">
        <v>3111</v>
      </c>
      <c r="M758" s="1357"/>
      <c r="Q758" s="1357"/>
      <c r="S758" s="1420"/>
      <c r="T758" s="1420"/>
      <c r="V758" s="1357">
        <v>48</v>
      </c>
    </row>
    <row r="759" spans="1:22" s="841" customFormat="1" ht="15" x14ac:dyDescent="0.25">
      <c r="A759" s="841" t="s">
        <v>236</v>
      </c>
      <c r="E759" s="1690" t="s">
        <v>2449</v>
      </c>
      <c r="F759" s="1690"/>
      <c r="G759" s="1408" t="s">
        <v>24</v>
      </c>
      <c r="H759" s="393">
        <v>3.2000000000000002E-3</v>
      </c>
      <c r="K759" s="841" t="s">
        <v>3226</v>
      </c>
      <c r="L759" s="841" t="s">
        <v>3046</v>
      </c>
      <c r="M759" s="1357"/>
      <c r="P759" s="841" t="s">
        <v>3235</v>
      </c>
      <c r="Q759" s="1357"/>
      <c r="S759" s="1420"/>
      <c r="T759" s="1420"/>
      <c r="V759" s="1357">
        <v>55</v>
      </c>
    </row>
    <row r="760" spans="1:22" s="841" customFormat="1" ht="15" x14ac:dyDescent="0.25">
      <c r="A760" s="841" t="s">
        <v>236</v>
      </c>
      <c r="E760" s="1690" t="s">
        <v>2450</v>
      </c>
      <c r="F760" s="1690"/>
      <c r="G760" s="1408" t="s">
        <v>24</v>
      </c>
      <c r="H760" s="393">
        <v>4.0000000000000002E-4</v>
      </c>
      <c r="K760" s="841" t="s">
        <v>3226</v>
      </c>
      <c r="L760" s="841" t="s">
        <v>3046</v>
      </c>
      <c r="M760" s="1357"/>
      <c r="P760" s="841" t="s">
        <v>3235</v>
      </c>
      <c r="Q760" s="1357"/>
      <c r="S760" s="1420"/>
      <c r="T760" s="1420"/>
      <c r="V760" s="1357">
        <v>65</v>
      </c>
    </row>
    <row r="761" spans="1:22" s="841" customFormat="1" ht="15" x14ac:dyDescent="0.25">
      <c r="A761" s="841" t="s">
        <v>236</v>
      </c>
      <c r="E761" s="1690" t="s">
        <v>439</v>
      </c>
      <c r="F761" s="1690"/>
      <c r="G761" s="1408" t="s">
        <v>24</v>
      </c>
      <c r="H761" s="393">
        <v>2.9999999999999997E-4</v>
      </c>
      <c r="K761" s="841" t="s">
        <v>3226</v>
      </c>
      <c r="L761" s="841" t="s">
        <v>3046</v>
      </c>
      <c r="M761" s="1357"/>
      <c r="P761" s="841" t="s">
        <v>3236</v>
      </c>
      <c r="Q761" s="1357"/>
      <c r="S761" s="1420"/>
      <c r="T761" s="1420"/>
      <c r="V761" s="1357">
        <v>57</v>
      </c>
    </row>
    <row r="762" spans="1:22" s="841" customFormat="1" ht="15" x14ac:dyDescent="0.25">
      <c r="A762" s="841" t="s">
        <v>236</v>
      </c>
      <c r="E762" s="1690" t="s">
        <v>32</v>
      </c>
      <c r="F762" s="1690"/>
      <c r="G762" s="1408" t="s">
        <v>23</v>
      </c>
      <c r="H762" s="391">
        <v>0.25</v>
      </c>
      <c r="K762" s="841" t="s">
        <v>3226</v>
      </c>
      <c r="L762" s="841" t="s">
        <v>3046</v>
      </c>
      <c r="M762" s="1357"/>
      <c r="P762" s="841" t="s">
        <v>3237</v>
      </c>
      <c r="Q762" s="1357"/>
      <c r="S762" s="1420"/>
      <c r="T762" s="1420"/>
      <c r="V762" s="1357">
        <v>63</v>
      </c>
    </row>
    <row r="763" spans="1:22" s="841" customFormat="1" x14ac:dyDescent="0.25">
      <c r="A763" s="841" t="s">
        <v>236</v>
      </c>
      <c r="E763" s="1909" t="s">
        <v>617</v>
      </c>
      <c r="F763" s="1915"/>
      <c r="G763" s="1915"/>
      <c r="H763" s="1915"/>
      <c r="K763" s="841" t="s">
        <v>3238</v>
      </c>
      <c r="M763" s="1357"/>
      <c r="Q763" s="1357"/>
      <c r="S763" s="1420"/>
      <c r="T763" s="1420"/>
      <c r="V763" s="1357">
        <v>47</v>
      </c>
    </row>
    <row r="764" spans="1:22" s="841" customFormat="1" ht="15" x14ac:dyDescent="0.25">
      <c r="A764" s="841" t="s">
        <v>236</v>
      </c>
      <c r="E764" s="1689" t="s">
        <v>3239</v>
      </c>
      <c r="F764" s="1689"/>
      <c r="G764" s="1689"/>
      <c r="H764" s="1689"/>
      <c r="K764" s="841" t="s">
        <v>3238</v>
      </c>
      <c r="M764" s="1357"/>
      <c r="Q764" s="1357"/>
      <c r="S764" s="1420"/>
      <c r="T764" s="1420"/>
      <c r="V764" s="1357">
        <v>691</v>
      </c>
    </row>
    <row r="765" spans="1:22" s="841" customFormat="1" ht="15" x14ac:dyDescent="0.25">
      <c r="A765" s="841" t="s">
        <v>236</v>
      </c>
      <c r="E765" s="1916" t="s">
        <v>3061</v>
      </c>
      <c r="F765" s="1697"/>
      <c r="G765" s="1697"/>
      <c r="H765" s="1697"/>
      <c r="K765" s="841" t="s">
        <v>3114</v>
      </c>
      <c r="M765" s="1357"/>
      <c r="Q765" s="1357"/>
      <c r="S765" s="1420"/>
      <c r="T765" s="1420"/>
      <c r="V765" s="1357">
        <v>11</v>
      </c>
    </row>
    <row r="766" spans="1:22" s="841" customFormat="1" ht="15" x14ac:dyDescent="0.25">
      <c r="A766" s="841" t="s">
        <v>236</v>
      </c>
      <c r="E766" s="1689" t="s">
        <v>3063</v>
      </c>
      <c r="F766" s="1689"/>
      <c r="G766" s="1689"/>
      <c r="H766" s="1689"/>
      <c r="K766" s="841" t="s">
        <v>3238</v>
      </c>
      <c r="M766" s="1357"/>
      <c r="Q766" s="1357"/>
      <c r="S766" s="1420"/>
      <c r="T766" s="1420"/>
      <c r="V766" s="1357">
        <v>280</v>
      </c>
    </row>
    <row r="767" spans="1:22" s="841" customFormat="1" ht="15" x14ac:dyDescent="0.25">
      <c r="A767" s="841" t="s">
        <v>236</v>
      </c>
      <c r="E767" s="1689" t="s">
        <v>3064</v>
      </c>
      <c r="F767" s="1689"/>
      <c r="G767" s="1689"/>
      <c r="H767" s="1689"/>
      <c r="K767" s="841" t="s">
        <v>3238</v>
      </c>
      <c r="M767" s="1357"/>
      <c r="Q767" s="1357"/>
      <c r="S767" s="1420"/>
      <c r="T767" s="1420"/>
      <c r="V767" s="1357">
        <v>411</v>
      </c>
    </row>
    <row r="768" spans="1:22" s="841" customFormat="1" ht="15" x14ac:dyDescent="0.25">
      <c r="A768" s="841" t="s">
        <v>236</v>
      </c>
      <c r="E768" s="1689" t="s">
        <v>3065</v>
      </c>
      <c r="F768" s="1689"/>
      <c r="G768" s="1689"/>
      <c r="H768" s="1689"/>
      <c r="K768" s="841" t="s">
        <v>3238</v>
      </c>
      <c r="M768" s="1357"/>
      <c r="Q768" s="1357"/>
      <c r="S768" s="1420"/>
      <c r="T768" s="1420"/>
      <c r="V768" s="1357">
        <v>387</v>
      </c>
    </row>
    <row r="769" spans="1:22" s="841" customFormat="1" ht="15" x14ac:dyDescent="0.25">
      <c r="A769" s="841" t="s">
        <v>236</v>
      </c>
      <c r="E769" s="1689" t="s">
        <v>3200</v>
      </c>
      <c r="F769" s="1689"/>
      <c r="G769" s="1689"/>
      <c r="H769" s="1689"/>
      <c r="K769" s="841" t="s">
        <v>3238</v>
      </c>
      <c r="M769" s="1357"/>
      <c r="Q769" s="1357"/>
      <c r="S769" s="1420"/>
      <c r="T769" s="1420"/>
      <c r="V769" s="1357">
        <v>275</v>
      </c>
    </row>
    <row r="770" spans="1:22" s="841" customFormat="1" ht="15" x14ac:dyDescent="0.25">
      <c r="A770" s="841" t="s">
        <v>236</v>
      </c>
      <c r="E770" s="1694" t="s">
        <v>3067</v>
      </c>
      <c r="F770" s="1907"/>
      <c r="G770" s="1907"/>
      <c r="H770" s="1907"/>
      <c r="K770" s="841" t="s">
        <v>3115</v>
      </c>
      <c r="M770" s="1357"/>
      <c r="Q770" s="1357"/>
      <c r="S770" s="1420"/>
      <c r="T770" s="1420"/>
      <c r="V770" s="1357">
        <v>46</v>
      </c>
    </row>
    <row r="771" spans="1:22" s="841" customFormat="1" ht="15" x14ac:dyDescent="0.25">
      <c r="A771" s="841" t="s">
        <v>236</v>
      </c>
      <c r="E771" s="1690" t="s">
        <v>12</v>
      </c>
      <c r="F771" s="1690"/>
      <c r="G771" s="1408" t="s">
        <v>23</v>
      </c>
      <c r="H771" s="391">
        <v>12.81</v>
      </c>
      <c r="K771" s="841" t="s">
        <v>3238</v>
      </c>
      <c r="L771" s="841" t="s">
        <v>442</v>
      </c>
      <c r="M771" s="1357"/>
      <c r="P771" s="841" t="s">
        <v>3240</v>
      </c>
      <c r="Q771" s="1357"/>
      <c r="S771" s="1420"/>
      <c r="T771" s="1420"/>
      <c r="V771" s="1357">
        <v>31</v>
      </c>
    </row>
    <row r="772" spans="1:22" s="841" customFormat="1" ht="15" x14ac:dyDescent="0.25">
      <c r="A772" s="841" t="s">
        <v>236</v>
      </c>
      <c r="E772" s="1690" t="s">
        <v>84</v>
      </c>
      <c r="F772" s="1690"/>
      <c r="G772" s="1408" t="s">
        <v>24</v>
      </c>
      <c r="H772" s="393">
        <v>3.4799999999999998E-2</v>
      </c>
      <c r="K772" s="841" t="s">
        <v>3238</v>
      </c>
      <c r="L772" s="841" t="s">
        <v>442</v>
      </c>
      <c r="M772" s="1357"/>
      <c r="P772" s="841" t="s">
        <v>3241</v>
      </c>
      <c r="Q772" s="1357"/>
      <c r="S772" s="1420"/>
      <c r="T772" s="1420"/>
      <c r="V772" s="1357">
        <v>28</v>
      </c>
    </row>
    <row r="773" spans="1:22" s="841" customFormat="1" ht="15" x14ac:dyDescent="0.25">
      <c r="A773" s="841" t="s">
        <v>236</v>
      </c>
      <c r="E773" s="1690" t="s">
        <v>18</v>
      </c>
      <c r="F773" s="1690"/>
      <c r="G773" s="1408" t="s">
        <v>24</v>
      </c>
      <c r="H773" s="393">
        <v>2.0000000000000001E-4</v>
      </c>
      <c r="K773" s="841" t="s">
        <v>3238</v>
      </c>
      <c r="L773" s="841" t="s">
        <v>443</v>
      </c>
      <c r="M773" s="1357"/>
      <c r="P773" s="841" t="s">
        <v>3242</v>
      </c>
      <c r="Q773" s="1357"/>
      <c r="S773" s="1420"/>
      <c r="T773" s="1420"/>
      <c r="V773" s="1357">
        <v>24</v>
      </c>
    </row>
    <row r="774" spans="1:22" s="841" customFormat="1" ht="15" x14ac:dyDescent="0.25">
      <c r="A774" s="841" t="s">
        <v>236</v>
      </c>
      <c r="E774" s="1690" t="s">
        <v>221</v>
      </c>
      <c r="F774" s="1690"/>
      <c r="G774" s="1408" t="s">
        <v>24</v>
      </c>
      <c r="H774" s="393">
        <v>6.3E-3</v>
      </c>
      <c r="K774" s="841" t="s">
        <v>3238</v>
      </c>
      <c r="L774" s="841" t="s">
        <v>444</v>
      </c>
      <c r="M774" s="1357"/>
      <c r="P774" s="841" t="s">
        <v>3245</v>
      </c>
      <c r="Q774" s="1357"/>
      <c r="S774" s="1420"/>
      <c r="T774" s="1420"/>
      <c r="V774" s="1357">
        <v>47</v>
      </c>
    </row>
    <row r="775" spans="1:22" s="841" customFormat="1" ht="15" x14ac:dyDescent="0.25">
      <c r="A775" s="841" t="s">
        <v>236</v>
      </c>
      <c r="E775" s="1690" t="s">
        <v>217</v>
      </c>
      <c r="F775" s="1690"/>
      <c r="G775" s="1408" t="s">
        <v>24</v>
      </c>
      <c r="H775" s="393">
        <v>6.1000000000000004E-3</v>
      </c>
      <c r="K775" s="841" t="s">
        <v>3238</v>
      </c>
      <c r="L775" s="841" t="s">
        <v>444</v>
      </c>
      <c r="M775" s="1357"/>
      <c r="P775" s="841" t="s">
        <v>3246</v>
      </c>
      <c r="Q775" s="1357"/>
      <c r="S775" s="1420"/>
      <c r="T775" s="1420"/>
      <c r="V775" s="1357">
        <v>74</v>
      </c>
    </row>
    <row r="776" spans="1:22" s="841" customFormat="1" ht="15" x14ac:dyDescent="0.25">
      <c r="A776" s="841" t="s">
        <v>236</v>
      </c>
      <c r="E776" s="1694" t="s">
        <v>3079</v>
      </c>
      <c r="F776" s="1690"/>
      <c r="G776" s="1408"/>
      <c r="H776" s="1408"/>
      <c r="K776" s="841" t="s">
        <v>3122</v>
      </c>
      <c r="M776" s="1357"/>
      <c r="Q776" s="1357"/>
      <c r="S776" s="1420"/>
      <c r="T776" s="1420"/>
      <c r="V776" s="1357">
        <v>48</v>
      </c>
    </row>
    <row r="777" spans="1:22" s="841" customFormat="1" ht="15" x14ac:dyDescent="0.25">
      <c r="A777" s="841" t="s">
        <v>236</v>
      </c>
      <c r="E777" s="1690" t="s">
        <v>2449</v>
      </c>
      <c r="F777" s="1690"/>
      <c r="G777" s="1408" t="s">
        <v>24</v>
      </c>
      <c r="H777" s="393">
        <v>3.2000000000000002E-3</v>
      </c>
      <c r="K777" s="841" t="s">
        <v>3238</v>
      </c>
      <c r="L777" s="841" t="s">
        <v>3046</v>
      </c>
      <c r="M777" s="1357"/>
      <c r="P777" s="841" t="s">
        <v>3247</v>
      </c>
      <c r="Q777" s="1357"/>
      <c r="S777" s="1420"/>
      <c r="T777" s="1420"/>
      <c r="V777" s="1357">
        <v>55</v>
      </c>
    </row>
    <row r="778" spans="1:22" s="841" customFormat="1" ht="15" x14ac:dyDescent="0.25">
      <c r="A778" s="841" t="s">
        <v>236</v>
      </c>
      <c r="E778" s="1690" t="s">
        <v>2450</v>
      </c>
      <c r="F778" s="1690"/>
      <c r="G778" s="1408" t="s">
        <v>24</v>
      </c>
      <c r="H778" s="393">
        <v>4.0000000000000002E-4</v>
      </c>
      <c r="K778" s="841" t="s">
        <v>3238</v>
      </c>
      <c r="L778" s="841" t="s">
        <v>3046</v>
      </c>
      <c r="M778" s="1357"/>
      <c r="P778" s="841" t="s">
        <v>3247</v>
      </c>
      <c r="Q778" s="1357"/>
      <c r="S778" s="1420"/>
      <c r="T778" s="1420"/>
      <c r="V778" s="1357">
        <v>65</v>
      </c>
    </row>
    <row r="779" spans="1:22" s="841" customFormat="1" ht="15" x14ac:dyDescent="0.25">
      <c r="A779" s="841" t="s">
        <v>236</v>
      </c>
      <c r="E779" s="1690" t="s">
        <v>439</v>
      </c>
      <c r="F779" s="1690"/>
      <c r="G779" s="1408" t="s">
        <v>24</v>
      </c>
      <c r="H779" s="393">
        <v>2.9999999999999997E-4</v>
      </c>
      <c r="K779" s="841" t="s">
        <v>3238</v>
      </c>
      <c r="L779" s="841" t="s">
        <v>3046</v>
      </c>
      <c r="M779" s="1357"/>
      <c r="P779" s="841" t="s">
        <v>3248</v>
      </c>
      <c r="Q779" s="1357"/>
      <c r="S779" s="1420"/>
      <c r="T779" s="1420"/>
      <c r="V779" s="1357">
        <v>57</v>
      </c>
    </row>
    <row r="780" spans="1:22" s="841" customFormat="1" ht="15" x14ac:dyDescent="0.25">
      <c r="A780" s="841" t="s">
        <v>236</v>
      </c>
      <c r="E780" s="1690" t="s">
        <v>32</v>
      </c>
      <c r="F780" s="1690"/>
      <c r="G780" s="1408" t="s">
        <v>23</v>
      </c>
      <c r="H780" s="391">
        <v>0.25</v>
      </c>
      <c r="K780" s="841" t="s">
        <v>3238</v>
      </c>
      <c r="L780" s="841" t="s">
        <v>3046</v>
      </c>
      <c r="M780" s="1357"/>
      <c r="P780" s="841" t="s">
        <v>3249</v>
      </c>
      <c r="Q780" s="1357"/>
      <c r="S780" s="1420"/>
      <c r="T780" s="1420"/>
      <c r="V780" s="1357">
        <v>63</v>
      </c>
    </row>
    <row r="781" spans="1:22" s="841" customFormat="1" x14ac:dyDescent="0.25">
      <c r="A781" s="841" t="s">
        <v>236</v>
      </c>
      <c r="E781" s="1909" t="s">
        <v>629</v>
      </c>
      <c r="F781" s="1915"/>
      <c r="G781" s="1915"/>
      <c r="H781" s="1915"/>
      <c r="K781" s="841" t="s">
        <v>3250</v>
      </c>
      <c r="M781" s="1357"/>
      <c r="Q781" s="1357"/>
      <c r="S781" s="1420"/>
      <c r="T781" s="1420"/>
      <c r="V781" s="1357">
        <v>40</v>
      </c>
    </row>
    <row r="782" spans="1:22" s="841" customFormat="1" ht="15" x14ac:dyDescent="0.25">
      <c r="A782" s="841" t="s">
        <v>236</v>
      </c>
      <c r="E782" s="1689" t="s">
        <v>3251</v>
      </c>
      <c r="F782" s="1689"/>
      <c r="G782" s="1689"/>
      <c r="H782" s="1689"/>
      <c r="K782" s="841" t="s">
        <v>3250</v>
      </c>
      <c r="M782" s="1357"/>
      <c r="Q782" s="1357"/>
      <c r="S782" s="1420"/>
      <c r="T782" s="1420"/>
      <c r="V782" s="1357">
        <v>253</v>
      </c>
    </row>
    <row r="783" spans="1:22" s="841" customFormat="1" ht="15" x14ac:dyDescent="0.25">
      <c r="A783" s="841" t="s">
        <v>236</v>
      </c>
      <c r="E783" s="1916" t="s">
        <v>3061</v>
      </c>
      <c r="F783" s="1697"/>
      <c r="G783" s="1697"/>
      <c r="H783" s="1697"/>
      <c r="K783" s="841" t="s">
        <v>3128</v>
      </c>
      <c r="M783" s="1357"/>
      <c r="Q783" s="1357"/>
      <c r="S783" s="1420"/>
      <c r="T783" s="1420"/>
      <c r="V783" s="1357">
        <v>11</v>
      </c>
    </row>
    <row r="784" spans="1:22" s="841" customFormat="1" ht="15" x14ac:dyDescent="0.25">
      <c r="A784" s="841" t="s">
        <v>236</v>
      </c>
      <c r="E784" s="1689" t="s">
        <v>3063</v>
      </c>
      <c r="F784" s="1689"/>
      <c r="G784" s="1689"/>
      <c r="H784" s="1689"/>
      <c r="K784" s="841" t="s">
        <v>3250</v>
      </c>
      <c r="M784" s="1357"/>
      <c r="Q784" s="1357"/>
      <c r="S784" s="1420"/>
      <c r="T784" s="1420"/>
      <c r="V784" s="1357">
        <v>280</v>
      </c>
    </row>
    <row r="785" spans="1:22" s="841" customFormat="1" ht="15" x14ac:dyDescent="0.25">
      <c r="A785" s="841" t="s">
        <v>236</v>
      </c>
      <c r="E785" s="1689" t="s">
        <v>3064</v>
      </c>
      <c r="F785" s="1689"/>
      <c r="G785" s="1689"/>
      <c r="H785" s="1689"/>
      <c r="K785" s="841" t="s">
        <v>3250</v>
      </c>
      <c r="M785" s="1357"/>
      <c r="Q785" s="1357"/>
      <c r="S785" s="1420"/>
      <c r="T785" s="1420"/>
      <c r="V785" s="1357">
        <v>411</v>
      </c>
    </row>
    <row r="786" spans="1:22" s="841" customFormat="1" ht="15" x14ac:dyDescent="0.25">
      <c r="A786" s="841" t="s">
        <v>236</v>
      </c>
      <c r="E786" s="1689" t="s">
        <v>3065</v>
      </c>
      <c r="F786" s="1689"/>
      <c r="G786" s="1689"/>
      <c r="H786" s="1689"/>
      <c r="K786" s="841" t="s">
        <v>3250</v>
      </c>
      <c r="M786" s="1357"/>
      <c r="Q786" s="1357"/>
      <c r="S786" s="1420"/>
      <c r="T786" s="1420"/>
      <c r="V786" s="1357">
        <v>387</v>
      </c>
    </row>
    <row r="787" spans="1:22" s="841" customFormat="1" ht="15" x14ac:dyDescent="0.25">
      <c r="A787" s="841" t="s">
        <v>236</v>
      </c>
      <c r="E787" s="1689" t="s">
        <v>3200</v>
      </c>
      <c r="F787" s="1689"/>
      <c r="G787" s="1689"/>
      <c r="H787" s="1689"/>
      <c r="K787" s="841" t="s">
        <v>3250</v>
      </c>
      <c r="M787" s="1357"/>
      <c r="Q787" s="1357"/>
      <c r="S787" s="1420"/>
      <c r="T787" s="1420"/>
      <c r="V787" s="1357">
        <v>275</v>
      </c>
    </row>
    <row r="788" spans="1:22" s="841" customFormat="1" ht="15" x14ac:dyDescent="0.25">
      <c r="A788" s="841" t="s">
        <v>236</v>
      </c>
      <c r="E788" s="1694" t="s">
        <v>3067</v>
      </c>
      <c r="F788" s="1907"/>
      <c r="G788" s="1907"/>
      <c r="H788" s="1907"/>
      <c r="K788" s="841" t="s">
        <v>3130</v>
      </c>
      <c r="M788" s="1357"/>
      <c r="Q788" s="1357"/>
      <c r="S788" s="1420"/>
      <c r="T788" s="1420"/>
      <c r="V788" s="1357">
        <v>46</v>
      </c>
    </row>
    <row r="789" spans="1:22" s="841" customFormat="1" ht="15" x14ac:dyDescent="0.25">
      <c r="A789" s="841" t="s">
        <v>236</v>
      </c>
      <c r="E789" s="1690" t="s">
        <v>12</v>
      </c>
      <c r="F789" s="1690"/>
      <c r="G789" s="1408" t="s">
        <v>23</v>
      </c>
      <c r="H789" s="391">
        <v>4.12</v>
      </c>
      <c r="K789" s="841" t="s">
        <v>3250</v>
      </c>
      <c r="L789" s="841" t="s">
        <v>442</v>
      </c>
      <c r="M789" s="1357"/>
      <c r="P789" s="841" t="s">
        <v>3252</v>
      </c>
      <c r="Q789" s="1357"/>
      <c r="S789" s="1420"/>
      <c r="T789" s="1420"/>
      <c r="V789" s="1357">
        <v>31</v>
      </c>
    </row>
    <row r="790" spans="1:22" s="841" customFormat="1" ht="15" x14ac:dyDescent="0.25">
      <c r="A790" s="841" t="s">
        <v>236</v>
      </c>
      <c r="E790" s="1690" t="s">
        <v>84</v>
      </c>
      <c r="F790" s="1690"/>
      <c r="G790" s="1408" t="s">
        <v>33</v>
      </c>
      <c r="H790" s="393">
        <v>27.211200000000002</v>
      </c>
      <c r="K790" s="841" t="s">
        <v>3250</v>
      </c>
      <c r="L790" s="841" t="s">
        <v>442</v>
      </c>
      <c r="M790" s="1357"/>
      <c r="P790" s="841" t="s">
        <v>3253</v>
      </c>
      <c r="Q790" s="1357"/>
      <c r="S790" s="1420"/>
      <c r="T790" s="1420"/>
      <c r="V790" s="1357">
        <v>28</v>
      </c>
    </row>
    <row r="791" spans="1:22" s="841" customFormat="1" ht="15" x14ac:dyDescent="0.25">
      <c r="A791" s="841" t="s">
        <v>236</v>
      </c>
      <c r="E791" s="1690" t="s">
        <v>18</v>
      </c>
      <c r="F791" s="1690"/>
      <c r="G791" s="1408" t="s">
        <v>33</v>
      </c>
      <c r="H791" s="393">
        <v>5.8999999999999997E-2</v>
      </c>
      <c r="K791" s="841" t="s">
        <v>3250</v>
      </c>
      <c r="L791" s="841" t="s">
        <v>443</v>
      </c>
      <c r="M791" s="1357"/>
      <c r="P791" s="841" t="s">
        <v>3254</v>
      </c>
      <c r="Q791" s="1357"/>
      <c r="S791" s="1420"/>
      <c r="T791" s="1420"/>
      <c r="V791" s="1357">
        <v>24</v>
      </c>
    </row>
    <row r="792" spans="1:22" s="841" customFormat="1" ht="15" x14ac:dyDescent="0.25">
      <c r="A792" s="841" t="s">
        <v>236</v>
      </c>
      <c r="E792" s="1690" t="s">
        <v>221</v>
      </c>
      <c r="F792" s="1690"/>
      <c r="G792" s="1408" t="s">
        <v>33</v>
      </c>
      <c r="H792" s="393">
        <v>1.9080999999999999</v>
      </c>
      <c r="K792" s="841" t="s">
        <v>3250</v>
      </c>
      <c r="L792" s="841" t="s">
        <v>444</v>
      </c>
      <c r="M792" s="1357"/>
      <c r="P792" s="841" t="s">
        <v>3258</v>
      </c>
      <c r="Q792" s="1357"/>
      <c r="S792" s="1420"/>
      <c r="T792" s="1420"/>
      <c r="V792" s="1357">
        <v>47</v>
      </c>
    </row>
    <row r="793" spans="1:22" s="841" customFormat="1" ht="15" x14ac:dyDescent="0.25">
      <c r="A793" s="841" t="s">
        <v>236</v>
      </c>
      <c r="E793" s="1690" t="s">
        <v>217</v>
      </c>
      <c r="F793" s="1690"/>
      <c r="G793" s="1408" t="s">
        <v>33</v>
      </c>
      <c r="H793" s="393">
        <v>1.9246000000000001</v>
      </c>
      <c r="K793" s="841" t="s">
        <v>3250</v>
      </c>
      <c r="L793" s="841" t="s">
        <v>444</v>
      </c>
      <c r="M793" s="1357"/>
      <c r="P793" s="841" t="s">
        <v>3259</v>
      </c>
      <c r="Q793" s="1357"/>
      <c r="S793" s="1420"/>
      <c r="T793" s="1420"/>
      <c r="V793" s="1357">
        <v>74</v>
      </c>
    </row>
    <row r="794" spans="1:22" s="841" customFormat="1" ht="15" x14ac:dyDescent="0.25">
      <c r="A794" s="841" t="s">
        <v>236</v>
      </c>
      <c r="E794" s="1694" t="s">
        <v>3079</v>
      </c>
      <c r="F794" s="1690"/>
      <c r="G794" s="1408"/>
      <c r="H794" s="1408"/>
      <c r="K794" s="841" t="s">
        <v>3260</v>
      </c>
      <c r="M794" s="1357"/>
      <c r="Q794" s="1357"/>
      <c r="S794" s="1420"/>
      <c r="T794" s="1420"/>
      <c r="V794" s="1357">
        <v>48</v>
      </c>
    </row>
    <row r="795" spans="1:22" s="841" customFormat="1" ht="15" x14ac:dyDescent="0.25">
      <c r="A795" s="841" t="s">
        <v>236</v>
      </c>
      <c r="E795" s="1690" t="s">
        <v>2449</v>
      </c>
      <c r="F795" s="1690"/>
      <c r="G795" s="1408" t="s">
        <v>24</v>
      </c>
      <c r="H795" s="393">
        <v>3.2000000000000002E-3</v>
      </c>
      <c r="K795" s="841" t="s">
        <v>3250</v>
      </c>
      <c r="L795" s="841" t="s">
        <v>3046</v>
      </c>
      <c r="M795" s="1357"/>
      <c r="P795" s="841" t="s">
        <v>3261</v>
      </c>
      <c r="Q795" s="1357"/>
      <c r="S795" s="1420"/>
      <c r="T795" s="1420"/>
      <c r="V795" s="1357">
        <v>55</v>
      </c>
    </row>
    <row r="796" spans="1:22" s="841" customFormat="1" ht="15" x14ac:dyDescent="0.25">
      <c r="A796" s="841" t="s">
        <v>236</v>
      </c>
      <c r="E796" s="1690" t="s">
        <v>2450</v>
      </c>
      <c r="F796" s="1690"/>
      <c r="G796" s="1408" t="s">
        <v>24</v>
      </c>
      <c r="H796" s="393">
        <v>4.0000000000000002E-4</v>
      </c>
      <c r="K796" s="841" t="s">
        <v>3250</v>
      </c>
      <c r="L796" s="841" t="s">
        <v>3046</v>
      </c>
      <c r="M796" s="1357"/>
      <c r="P796" s="841" t="s">
        <v>3261</v>
      </c>
      <c r="Q796" s="1357"/>
      <c r="S796" s="1420"/>
      <c r="T796" s="1420"/>
      <c r="V796" s="1357">
        <v>65</v>
      </c>
    </row>
    <row r="797" spans="1:22" s="841" customFormat="1" ht="15" x14ac:dyDescent="0.25">
      <c r="A797" s="841" t="s">
        <v>236</v>
      </c>
      <c r="E797" s="1690" t="s">
        <v>439</v>
      </c>
      <c r="F797" s="1690"/>
      <c r="G797" s="1408" t="s">
        <v>24</v>
      </c>
      <c r="H797" s="393">
        <v>2.9999999999999997E-4</v>
      </c>
      <c r="K797" s="841" t="s">
        <v>3250</v>
      </c>
      <c r="L797" s="841" t="s">
        <v>3046</v>
      </c>
      <c r="M797" s="1357"/>
      <c r="P797" s="841" t="s">
        <v>3262</v>
      </c>
      <c r="Q797" s="1357"/>
      <c r="S797" s="1420"/>
      <c r="T797" s="1420"/>
      <c r="V797" s="1357">
        <v>57</v>
      </c>
    </row>
    <row r="798" spans="1:22" s="841" customFormat="1" ht="15" x14ac:dyDescent="0.25">
      <c r="A798" s="841" t="s">
        <v>236</v>
      </c>
      <c r="E798" s="1690" t="s">
        <v>32</v>
      </c>
      <c r="F798" s="1690"/>
      <c r="G798" s="1408" t="s">
        <v>23</v>
      </c>
      <c r="H798" s="391">
        <v>0.25</v>
      </c>
      <c r="K798" s="841" t="s">
        <v>3250</v>
      </c>
      <c r="L798" s="841" t="s">
        <v>3046</v>
      </c>
      <c r="M798" s="1357"/>
      <c r="P798" s="841" t="s">
        <v>3263</v>
      </c>
      <c r="Q798" s="1357"/>
      <c r="S798" s="1420"/>
      <c r="T798" s="1420"/>
      <c r="V798" s="1357">
        <v>63</v>
      </c>
    </row>
    <row r="799" spans="1:22" s="841" customFormat="1" x14ac:dyDescent="0.25">
      <c r="A799" s="841" t="s">
        <v>236</v>
      </c>
      <c r="E799" s="1909" t="s">
        <v>615</v>
      </c>
      <c r="F799" s="1915"/>
      <c r="G799" s="1915"/>
      <c r="H799" s="1915"/>
      <c r="K799" s="841" t="s">
        <v>3264</v>
      </c>
      <c r="M799" s="1357"/>
      <c r="Q799" s="1357"/>
      <c r="S799" s="1420"/>
      <c r="T799" s="1420"/>
      <c r="V799" s="1357">
        <v>38</v>
      </c>
    </row>
    <row r="800" spans="1:22" s="841" customFormat="1" ht="15" x14ac:dyDescent="0.25">
      <c r="A800" s="841" t="s">
        <v>236</v>
      </c>
      <c r="E800" s="1689" t="s">
        <v>3265</v>
      </c>
      <c r="F800" s="1689"/>
      <c r="G800" s="1689"/>
      <c r="H800" s="1689"/>
      <c r="K800" s="841" t="s">
        <v>3264</v>
      </c>
      <c r="M800" s="1357"/>
      <c r="Q800" s="1357"/>
      <c r="S800" s="1420"/>
      <c r="T800" s="1420"/>
      <c r="V800" s="1357">
        <v>543</v>
      </c>
    </row>
    <row r="801" spans="1:22" s="841" customFormat="1" ht="15" x14ac:dyDescent="0.25">
      <c r="A801" s="841" t="s">
        <v>236</v>
      </c>
      <c r="E801" s="1916" t="s">
        <v>3061</v>
      </c>
      <c r="F801" s="1697"/>
      <c r="G801" s="1697"/>
      <c r="H801" s="1697"/>
      <c r="K801" s="841" t="s">
        <v>3266</v>
      </c>
      <c r="M801" s="1357"/>
      <c r="Q801" s="1357"/>
      <c r="S801" s="1420"/>
      <c r="T801" s="1420"/>
      <c r="V801" s="1357">
        <v>11</v>
      </c>
    </row>
    <row r="802" spans="1:22" s="841" customFormat="1" ht="15" x14ac:dyDescent="0.25">
      <c r="A802" s="841" t="s">
        <v>236</v>
      </c>
      <c r="E802" s="1689" t="s">
        <v>3063</v>
      </c>
      <c r="F802" s="1689"/>
      <c r="G802" s="1689"/>
      <c r="H802" s="1689"/>
      <c r="K802" s="841" t="s">
        <v>3264</v>
      </c>
      <c r="M802" s="1357"/>
      <c r="Q802" s="1357"/>
      <c r="S802" s="1420"/>
      <c r="T802" s="1420"/>
      <c r="V802" s="1357">
        <v>280</v>
      </c>
    </row>
    <row r="803" spans="1:22" s="841" customFormat="1" ht="15" x14ac:dyDescent="0.25">
      <c r="A803" s="841" t="s">
        <v>236</v>
      </c>
      <c r="E803" s="1689" t="s">
        <v>3064</v>
      </c>
      <c r="F803" s="1689"/>
      <c r="G803" s="1689"/>
      <c r="H803" s="1689"/>
      <c r="K803" s="841" t="s">
        <v>3264</v>
      </c>
      <c r="M803" s="1357"/>
      <c r="Q803" s="1357"/>
      <c r="S803" s="1420"/>
      <c r="T803" s="1420"/>
      <c r="V803" s="1357">
        <v>411</v>
      </c>
    </row>
    <row r="804" spans="1:22" s="841" customFormat="1" ht="15" x14ac:dyDescent="0.25">
      <c r="A804" s="841" t="s">
        <v>236</v>
      </c>
      <c r="E804" s="1689" t="s">
        <v>3065</v>
      </c>
      <c r="F804" s="1689"/>
      <c r="G804" s="1689"/>
      <c r="H804" s="1689"/>
      <c r="K804" s="841" t="s">
        <v>3264</v>
      </c>
      <c r="M804" s="1357"/>
      <c r="Q804" s="1357"/>
      <c r="S804" s="1420"/>
      <c r="T804" s="1420"/>
      <c r="V804" s="1357">
        <v>387</v>
      </c>
    </row>
    <row r="805" spans="1:22" s="841" customFormat="1" ht="15" x14ac:dyDescent="0.25">
      <c r="A805" s="841" t="s">
        <v>236</v>
      </c>
      <c r="E805" s="1689" t="s">
        <v>3200</v>
      </c>
      <c r="F805" s="1689"/>
      <c r="G805" s="1689"/>
      <c r="H805" s="1689"/>
      <c r="K805" s="841" t="s">
        <v>3264</v>
      </c>
      <c r="M805" s="1357"/>
      <c r="Q805" s="1357"/>
      <c r="S805" s="1420"/>
      <c r="T805" s="1420"/>
      <c r="V805" s="1357">
        <v>275</v>
      </c>
    </row>
    <row r="806" spans="1:22" s="841" customFormat="1" ht="15" x14ac:dyDescent="0.25">
      <c r="A806" s="841" t="s">
        <v>236</v>
      </c>
      <c r="E806" s="1694" t="s">
        <v>3067</v>
      </c>
      <c r="F806" s="1907"/>
      <c r="G806" s="1907"/>
      <c r="H806" s="1907"/>
      <c r="K806" s="841" t="s">
        <v>3267</v>
      </c>
      <c r="M806" s="1357"/>
      <c r="Q806" s="1357"/>
      <c r="S806" s="1420"/>
      <c r="T806" s="1420"/>
      <c r="V806" s="1357">
        <v>46</v>
      </c>
    </row>
    <row r="807" spans="1:22" s="841" customFormat="1" ht="15" x14ac:dyDescent="0.25">
      <c r="A807" s="841" t="s">
        <v>236</v>
      </c>
      <c r="E807" s="1690" t="s">
        <v>12</v>
      </c>
      <c r="F807" s="1690"/>
      <c r="G807" s="1408" t="s">
        <v>23</v>
      </c>
      <c r="H807" s="391">
        <v>2.56</v>
      </c>
      <c r="K807" s="841" t="s">
        <v>3264</v>
      </c>
      <c r="L807" s="841" t="s">
        <v>442</v>
      </c>
      <c r="M807" s="1357"/>
      <c r="P807" s="841" t="s">
        <v>3268</v>
      </c>
      <c r="Q807" s="1357"/>
      <c r="S807" s="1420"/>
      <c r="T807" s="1420"/>
      <c r="V807" s="1357">
        <v>31</v>
      </c>
    </row>
    <row r="808" spans="1:22" s="841" customFormat="1" ht="15" x14ac:dyDescent="0.25">
      <c r="A808" s="841" t="s">
        <v>236</v>
      </c>
      <c r="E808" s="1690" t="s">
        <v>84</v>
      </c>
      <c r="F808" s="1690"/>
      <c r="G808" s="1408" t="s">
        <v>33</v>
      </c>
      <c r="H808" s="393">
        <v>19.901900000000001</v>
      </c>
      <c r="K808" s="841" t="s">
        <v>3264</v>
      </c>
      <c r="L808" s="841" t="s">
        <v>442</v>
      </c>
      <c r="M808" s="1357"/>
      <c r="P808" s="841" t="s">
        <v>3269</v>
      </c>
      <c r="Q808" s="1357"/>
      <c r="S808" s="1420"/>
      <c r="T808" s="1420"/>
      <c r="V808" s="1357">
        <v>28</v>
      </c>
    </row>
    <row r="809" spans="1:22" s="841" customFormat="1" ht="15" x14ac:dyDescent="0.25">
      <c r="A809" s="841" t="s">
        <v>236</v>
      </c>
      <c r="E809" s="1690" t="s">
        <v>18</v>
      </c>
      <c r="F809" s="1690"/>
      <c r="G809" s="1408" t="s">
        <v>33</v>
      </c>
      <c r="H809" s="393">
        <v>5.7799999999999997E-2</v>
      </c>
      <c r="K809" s="841" t="s">
        <v>3264</v>
      </c>
      <c r="L809" s="841" t="s">
        <v>443</v>
      </c>
      <c r="M809" s="1357"/>
      <c r="P809" s="841" t="s">
        <v>3270</v>
      </c>
      <c r="Q809" s="1357"/>
      <c r="S809" s="1420"/>
      <c r="T809" s="1420"/>
      <c r="V809" s="1357">
        <v>24</v>
      </c>
    </row>
    <row r="810" spans="1:22" s="841" customFormat="1" ht="15" x14ac:dyDescent="0.25">
      <c r="A810" s="841" t="s">
        <v>236</v>
      </c>
      <c r="E810" s="1690" t="s">
        <v>221</v>
      </c>
      <c r="F810" s="1690"/>
      <c r="G810" s="1408" t="s">
        <v>33</v>
      </c>
      <c r="H810" s="393">
        <v>1.8984000000000001</v>
      </c>
      <c r="K810" s="841" t="s">
        <v>3264</v>
      </c>
      <c r="L810" s="841" t="s">
        <v>444</v>
      </c>
      <c r="M810" s="1357"/>
      <c r="P810" s="841" t="s">
        <v>3274</v>
      </c>
      <c r="Q810" s="1357"/>
      <c r="S810" s="1420"/>
      <c r="T810" s="1420"/>
      <c r="V810" s="1357">
        <v>47</v>
      </c>
    </row>
    <row r="811" spans="1:22" s="841" customFormat="1" ht="15" x14ac:dyDescent="0.25">
      <c r="A811" s="841" t="s">
        <v>236</v>
      </c>
      <c r="E811" s="1690" t="s">
        <v>217</v>
      </c>
      <c r="F811" s="1690"/>
      <c r="G811" s="1408" t="s">
        <v>33</v>
      </c>
      <c r="H811" s="393">
        <v>1.8853</v>
      </c>
      <c r="K811" s="841" t="s">
        <v>3264</v>
      </c>
      <c r="L811" s="841" t="s">
        <v>444</v>
      </c>
      <c r="M811" s="1357"/>
      <c r="P811" s="841" t="s">
        <v>3275</v>
      </c>
      <c r="Q811" s="1357"/>
      <c r="S811" s="1420"/>
      <c r="T811" s="1420"/>
      <c r="V811" s="1357">
        <v>74</v>
      </c>
    </row>
    <row r="812" spans="1:22" s="841" customFormat="1" ht="15" x14ac:dyDescent="0.25">
      <c r="A812" s="841" t="s">
        <v>236</v>
      </c>
      <c r="E812" s="1694" t="s">
        <v>3079</v>
      </c>
      <c r="F812" s="1690"/>
      <c r="G812" s="1408"/>
      <c r="H812" s="1408"/>
      <c r="K812" s="841" t="s">
        <v>3276</v>
      </c>
      <c r="M812" s="1357"/>
      <c r="Q812" s="1357"/>
      <c r="S812" s="1420"/>
      <c r="T812" s="1420"/>
      <c r="V812" s="1357">
        <v>48</v>
      </c>
    </row>
    <row r="813" spans="1:22" s="841" customFormat="1" ht="15" x14ac:dyDescent="0.25">
      <c r="A813" s="841" t="s">
        <v>236</v>
      </c>
      <c r="E813" s="1690" t="s">
        <v>2449</v>
      </c>
      <c r="F813" s="1690"/>
      <c r="G813" s="1408" t="s">
        <v>24</v>
      </c>
      <c r="H813" s="393">
        <v>3.2000000000000002E-3</v>
      </c>
      <c r="K813" s="841" t="s">
        <v>3264</v>
      </c>
      <c r="L813" s="841" t="s">
        <v>3046</v>
      </c>
      <c r="M813" s="1357"/>
      <c r="P813" s="841" t="s">
        <v>3277</v>
      </c>
      <c r="Q813" s="1357"/>
      <c r="S813" s="1420"/>
      <c r="T813" s="1420"/>
      <c r="V813" s="1357">
        <v>55</v>
      </c>
    </row>
    <row r="814" spans="1:22" s="841" customFormat="1" ht="15" x14ac:dyDescent="0.25">
      <c r="A814" s="841" t="s">
        <v>236</v>
      </c>
      <c r="E814" s="1690" t="s">
        <v>2450</v>
      </c>
      <c r="F814" s="1690"/>
      <c r="G814" s="1408" t="s">
        <v>24</v>
      </c>
      <c r="H814" s="393">
        <v>4.0000000000000002E-4</v>
      </c>
      <c r="K814" s="841" t="s">
        <v>3264</v>
      </c>
      <c r="L814" s="841" t="s">
        <v>3046</v>
      </c>
      <c r="M814" s="1357"/>
      <c r="P814" s="841" t="s">
        <v>3277</v>
      </c>
      <c r="Q814" s="1357"/>
      <c r="S814" s="1420"/>
      <c r="T814" s="1420"/>
      <c r="V814" s="1357">
        <v>65</v>
      </c>
    </row>
    <row r="815" spans="1:22" s="841" customFormat="1" ht="15" x14ac:dyDescent="0.25">
      <c r="A815" s="841" t="s">
        <v>236</v>
      </c>
      <c r="E815" s="1690" t="s">
        <v>439</v>
      </c>
      <c r="F815" s="1690"/>
      <c r="G815" s="1408" t="s">
        <v>24</v>
      </c>
      <c r="H815" s="393">
        <v>2.9999999999999997E-4</v>
      </c>
      <c r="K815" s="841" t="s">
        <v>3264</v>
      </c>
      <c r="L815" s="841" t="s">
        <v>3046</v>
      </c>
      <c r="M815" s="1357"/>
      <c r="P815" s="841" t="s">
        <v>3278</v>
      </c>
      <c r="Q815" s="1357"/>
      <c r="S815" s="1420"/>
      <c r="T815" s="1420"/>
      <c r="V815" s="1357">
        <v>57</v>
      </c>
    </row>
    <row r="816" spans="1:22" s="841" customFormat="1" ht="15" x14ac:dyDescent="0.25">
      <c r="A816" s="841" t="s">
        <v>236</v>
      </c>
      <c r="E816" s="1690" t="s">
        <v>32</v>
      </c>
      <c r="F816" s="1690"/>
      <c r="G816" s="1408" t="s">
        <v>23</v>
      </c>
      <c r="H816" s="391">
        <v>0.25</v>
      </c>
      <c r="K816" s="841" t="s">
        <v>3264</v>
      </c>
      <c r="L816" s="841" t="s">
        <v>3046</v>
      </c>
      <c r="M816" s="1357"/>
      <c r="P816" s="841" t="s">
        <v>3279</v>
      </c>
      <c r="Q816" s="1357"/>
      <c r="S816" s="1420"/>
      <c r="T816" s="1420"/>
      <c r="V816" s="1357">
        <v>63</v>
      </c>
    </row>
    <row r="817" spans="1:22" s="841" customFormat="1" x14ac:dyDescent="0.25">
      <c r="A817" s="841" t="s">
        <v>236</v>
      </c>
      <c r="E817" s="1909" t="s">
        <v>618</v>
      </c>
      <c r="F817" s="1915"/>
      <c r="G817" s="1915"/>
      <c r="H817" s="1915"/>
      <c r="K817" s="841" t="s">
        <v>3280</v>
      </c>
      <c r="M817" s="1357"/>
      <c r="Q817" s="1357"/>
      <c r="S817" s="1420"/>
      <c r="T817" s="1420"/>
      <c r="V817" s="1357">
        <v>31</v>
      </c>
    </row>
    <row r="818" spans="1:22" s="841" customFormat="1" ht="15" x14ac:dyDescent="0.25">
      <c r="A818" s="841" t="s">
        <v>236</v>
      </c>
      <c r="E818" s="1689" t="s">
        <v>3127</v>
      </c>
      <c r="F818" s="1689"/>
      <c r="G818" s="1689"/>
      <c r="H818" s="1689"/>
      <c r="K818" s="841" t="s">
        <v>3280</v>
      </c>
      <c r="M818" s="1357"/>
      <c r="Q818" s="1357"/>
      <c r="S818" s="1420"/>
      <c r="T818" s="1420"/>
      <c r="V818" s="1357">
        <v>286</v>
      </c>
    </row>
    <row r="819" spans="1:22" s="841" customFormat="1" ht="15" x14ac:dyDescent="0.25">
      <c r="A819" s="841" t="s">
        <v>236</v>
      </c>
      <c r="E819" s="1916" t="s">
        <v>3061</v>
      </c>
      <c r="F819" s="1697"/>
      <c r="G819" s="1697"/>
      <c r="H819" s="1697"/>
      <c r="K819" s="841" t="s">
        <v>3281</v>
      </c>
      <c r="M819" s="1357"/>
      <c r="Q819" s="1357"/>
      <c r="S819" s="1420"/>
      <c r="T819" s="1420"/>
      <c r="V819" s="1357">
        <v>11</v>
      </c>
    </row>
    <row r="820" spans="1:22" s="841" customFormat="1" ht="15" x14ac:dyDescent="0.25">
      <c r="A820" s="841" t="s">
        <v>236</v>
      </c>
      <c r="E820" s="1689" t="s">
        <v>3063</v>
      </c>
      <c r="F820" s="1689"/>
      <c r="G820" s="1689"/>
      <c r="H820" s="1689"/>
      <c r="K820" s="841" t="s">
        <v>3280</v>
      </c>
      <c r="M820" s="1357"/>
      <c r="Q820" s="1357"/>
      <c r="S820" s="1420"/>
      <c r="T820" s="1420"/>
      <c r="V820" s="1357">
        <v>280</v>
      </c>
    </row>
    <row r="821" spans="1:22" s="841" customFormat="1" ht="15" x14ac:dyDescent="0.25">
      <c r="A821" s="841" t="s">
        <v>236</v>
      </c>
      <c r="E821" s="1689" t="s">
        <v>3064</v>
      </c>
      <c r="F821" s="1689"/>
      <c r="G821" s="1689"/>
      <c r="H821" s="1689"/>
      <c r="K821" s="841" t="s">
        <v>3280</v>
      </c>
      <c r="M821" s="1357"/>
      <c r="Q821" s="1357"/>
      <c r="S821" s="1420"/>
      <c r="T821" s="1420"/>
      <c r="V821" s="1357">
        <v>411</v>
      </c>
    </row>
    <row r="822" spans="1:22" s="841" customFormat="1" ht="15" x14ac:dyDescent="0.25">
      <c r="A822" s="841" t="s">
        <v>236</v>
      </c>
      <c r="E822" s="1689" t="s">
        <v>3129</v>
      </c>
      <c r="F822" s="1689"/>
      <c r="G822" s="1689"/>
      <c r="H822" s="1689"/>
      <c r="K822" s="841" t="s">
        <v>3280</v>
      </c>
      <c r="M822" s="1357"/>
      <c r="Q822" s="1357"/>
      <c r="S822" s="1420"/>
      <c r="T822" s="1420"/>
      <c r="V822" s="1357">
        <v>211</v>
      </c>
    </row>
    <row r="823" spans="1:22" s="841" customFormat="1" ht="15" x14ac:dyDescent="0.25">
      <c r="A823" s="841" t="s">
        <v>236</v>
      </c>
      <c r="E823" s="1689" t="s">
        <v>3200</v>
      </c>
      <c r="F823" s="1689"/>
      <c r="G823" s="1689"/>
      <c r="H823" s="1689"/>
      <c r="K823" s="841" t="s">
        <v>3280</v>
      </c>
      <c r="M823" s="1357"/>
      <c r="Q823" s="1357"/>
      <c r="S823" s="1420"/>
      <c r="T823" s="1420"/>
      <c r="V823" s="1357">
        <v>275</v>
      </c>
    </row>
    <row r="824" spans="1:22" s="841" customFormat="1" ht="15" x14ac:dyDescent="0.25">
      <c r="A824" s="841" t="s">
        <v>236</v>
      </c>
      <c r="E824" s="1694" t="s">
        <v>3067</v>
      </c>
      <c r="F824" s="1907"/>
      <c r="G824" s="1907"/>
      <c r="H824" s="1907"/>
      <c r="K824" s="841" t="s">
        <v>3282</v>
      </c>
      <c r="M824" s="1357"/>
      <c r="Q824" s="1357"/>
      <c r="S824" s="1420"/>
      <c r="T824" s="1420"/>
      <c r="V824" s="1357">
        <v>46</v>
      </c>
    </row>
    <row r="825" spans="1:22" s="841" customFormat="1" ht="15" x14ac:dyDescent="0.25">
      <c r="A825" s="841" t="s">
        <v>236</v>
      </c>
      <c r="E825" s="1690" t="s">
        <v>11</v>
      </c>
      <c r="F825" s="1690"/>
      <c r="G825" s="1408" t="s">
        <v>23</v>
      </c>
      <c r="H825" s="391">
        <v>5.4</v>
      </c>
      <c r="K825" s="841" t="s">
        <v>3280</v>
      </c>
      <c r="L825" s="841" t="s">
        <v>442</v>
      </c>
      <c r="M825" s="1357"/>
      <c r="P825" s="841" t="s">
        <v>3283</v>
      </c>
      <c r="Q825" s="1357"/>
      <c r="S825" s="1420"/>
      <c r="T825" s="1420"/>
      <c r="V825" s="1357">
        <v>14</v>
      </c>
    </row>
    <row r="826" spans="1:22" s="841" customFormat="1" ht="18.75" x14ac:dyDescent="0.25">
      <c r="A826" s="841" t="s">
        <v>236</v>
      </c>
      <c r="E826" s="1374" t="s">
        <v>85</v>
      </c>
      <c r="F826" s="661"/>
      <c r="G826" s="661"/>
      <c r="H826" s="662"/>
      <c r="K826" s="841" t="s">
        <v>3284</v>
      </c>
      <c r="M826" s="1357"/>
      <c r="Q826" s="1357"/>
      <c r="S826" s="1420"/>
      <c r="T826" s="1420"/>
      <c r="V826" s="1357">
        <v>10</v>
      </c>
    </row>
    <row r="827" spans="1:22" s="841" customFormat="1" ht="15" x14ac:dyDescent="0.25">
      <c r="A827" s="841" t="s">
        <v>236</v>
      </c>
      <c r="E827" s="1690" t="s">
        <v>3133</v>
      </c>
      <c r="F827" s="1690"/>
      <c r="G827" s="1408" t="s">
        <v>33</v>
      </c>
      <c r="H827" s="681">
        <v>-0.6</v>
      </c>
      <c r="M827" s="1357"/>
      <c r="Q827" s="1357"/>
      <c r="S827" s="1420"/>
      <c r="T827" s="1420"/>
      <c r="V827" s="1357">
        <v>68</v>
      </c>
    </row>
    <row r="828" spans="1:22" s="841" customFormat="1" ht="15" x14ac:dyDescent="0.25">
      <c r="A828" s="841" t="s">
        <v>236</v>
      </c>
      <c r="E828" s="1690" t="s">
        <v>3134</v>
      </c>
      <c r="F828" s="1690"/>
      <c r="G828" s="1408" t="s">
        <v>86</v>
      </c>
      <c r="H828" s="391">
        <v>-1</v>
      </c>
      <c r="M828" s="1357"/>
      <c r="Q828" s="1357"/>
      <c r="S828" s="1420"/>
      <c r="T828" s="1420"/>
      <c r="V828" s="1357">
        <v>87</v>
      </c>
    </row>
    <row r="829" spans="1:22" s="841" customFormat="1" ht="36" x14ac:dyDescent="0.25">
      <c r="A829" s="841" t="s">
        <v>236</v>
      </c>
      <c r="E829" s="1374" t="s">
        <v>87</v>
      </c>
      <c r="F829" s="661"/>
      <c r="G829" s="661"/>
      <c r="H829" s="662"/>
      <c r="K829" s="841" t="s">
        <v>3285</v>
      </c>
      <c r="M829" s="1357"/>
      <c r="Q829" s="1357"/>
      <c r="S829" s="1420"/>
      <c r="T829" s="1420"/>
      <c r="V829" s="1357">
        <v>24</v>
      </c>
    </row>
    <row r="830" spans="1:22" s="841" customFormat="1" ht="15" x14ac:dyDescent="0.25">
      <c r="A830" s="841" t="s">
        <v>236</v>
      </c>
      <c r="E830" s="1689" t="s">
        <v>3063</v>
      </c>
      <c r="F830" s="1689"/>
      <c r="G830" s="1689"/>
      <c r="H830" s="1689"/>
      <c r="M830" s="1357"/>
      <c r="Q830" s="1357"/>
      <c r="S830" s="1420"/>
      <c r="T830" s="1420"/>
      <c r="V830" s="1357">
        <v>280</v>
      </c>
    </row>
    <row r="831" spans="1:22" s="841" customFormat="1" ht="15" x14ac:dyDescent="0.25">
      <c r="A831" s="841" t="s">
        <v>236</v>
      </c>
      <c r="E831" s="1689" t="s">
        <v>3136</v>
      </c>
      <c r="F831" s="1689"/>
      <c r="G831" s="1689"/>
      <c r="H831" s="1689"/>
      <c r="M831" s="1357"/>
      <c r="Q831" s="1357"/>
      <c r="S831" s="1420"/>
      <c r="T831" s="1420"/>
      <c r="V831" s="1357">
        <v>353</v>
      </c>
    </row>
    <row r="832" spans="1:22" s="841" customFormat="1" ht="15" x14ac:dyDescent="0.25">
      <c r="A832" s="841" t="s">
        <v>236</v>
      </c>
      <c r="E832" s="1689" t="s">
        <v>3200</v>
      </c>
      <c r="F832" s="1689"/>
      <c r="G832" s="1689"/>
      <c r="H832" s="1689"/>
      <c r="M832" s="1357"/>
      <c r="Q832" s="1357"/>
      <c r="S832" s="1420"/>
      <c r="T832" s="1420"/>
      <c r="V832" s="1357">
        <v>275</v>
      </c>
    </row>
    <row r="833" spans="1:22" s="841" customFormat="1" ht="15" x14ac:dyDescent="0.25">
      <c r="A833" s="841" t="s">
        <v>236</v>
      </c>
      <c r="E833" s="1370" t="s">
        <v>3137</v>
      </c>
      <c r="F833" s="500"/>
      <c r="G833" s="500"/>
      <c r="H833" s="501"/>
      <c r="K833" s="841" t="s">
        <v>3286</v>
      </c>
      <c r="M833" s="1357"/>
      <c r="Q833" s="1357"/>
      <c r="S833" s="1420"/>
      <c r="T833" s="1420"/>
      <c r="V833" s="1357">
        <v>23</v>
      </c>
    </row>
    <row r="834" spans="1:22" s="841" customFormat="1" ht="15" x14ac:dyDescent="0.25">
      <c r="A834" s="841" t="s">
        <v>236</v>
      </c>
      <c r="E834" s="1688" t="s">
        <v>3142</v>
      </c>
      <c r="F834" s="1688"/>
      <c r="G834" s="1408" t="s">
        <v>23</v>
      </c>
      <c r="H834" s="391">
        <v>15</v>
      </c>
      <c r="M834" s="1357"/>
      <c r="Q834" s="1357"/>
      <c r="S834" s="1420"/>
      <c r="T834" s="1420"/>
      <c r="V834" s="1357">
        <v>39</v>
      </c>
    </row>
    <row r="835" spans="1:22" s="841" customFormat="1" ht="15" x14ac:dyDescent="0.25">
      <c r="A835" s="841" t="s">
        <v>236</v>
      </c>
      <c r="E835" s="1688" t="s">
        <v>3145</v>
      </c>
      <c r="F835" s="1688"/>
      <c r="G835" s="1408" t="s">
        <v>23</v>
      </c>
      <c r="H835" s="391">
        <v>15</v>
      </c>
      <c r="M835" s="1357"/>
      <c r="Q835" s="1357"/>
      <c r="S835" s="1420"/>
      <c r="T835" s="1420"/>
      <c r="V835" s="1357">
        <v>17</v>
      </c>
    </row>
    <row r="836" spans="1:22" s="841" customFormat="1" ht="15" x14ac:dyDescent="0.25">
      <c r="A836" s="841" t="s">
        <v>236</v>
      </c>
      <c r="E836" s="1688" t="s">
        <v>3151</v>
      </c>
      <c r="F836" s="1688"/>
      <c r="G836" s="1408" t="s">
        <v>23</v>
      </c>
      <c r="H836" s="391">
        <v>15</v>
      </c>
      <c r="M836" s="1357"/>
      <c r="Q836" s="1357"/>
      <c r="S836" s="1420"/>
      <c r="T836" s="1420"/>
      <c r="V836" s="1357">
        <v>19</v>
      </c>
    </row>
    <row r="837" spans="1:22" s="841" customFormat="1" ht="15" x14ac:dyDescent="0.25">
      <c r="A837" s="841" t="s">
        <v>236</v>
      </c>
      <c r="E837" s="1688" t="s">
        <v>88</v>
      </c>
      <c r="F837" s="1688"/>
      <c r="G837" s="1408" t="s">
        <v>23</v>
      </c>
      <c r="H837" s="391">
        <v>10</v>
      </c>
      <c r="M837" s="1357"/>
      <c r="Q837" s="1357"/>
      <c r="S837" s="1420"/>
      <c r="T837" s="1420"/>
      <c r="V837" s="1357">
        <v>89</v>
      </c>
    </row>
    <row r="838" spans="1:22" s="841" customFormat="1" ht="15" x14ac:dyDescent="0.25">
      <c r="A838" s="841" t="s">
        <v>236</v>
      </c>
      <c r="E838" s="1688" t="s">
        <v>123</v>
      </c>
      <c r="F838" s="1688"/>
      <c r="G838" s="1408" t="s">
        <v>23</v>
      </c>
      <c r="H838" s="391">
        <v>15</v>
      </c>
      <c r="M838" s="1357"/>
      <c r="Q838" s="1357"/>
      <c r="S838" s="1420"/>
      <c r="T838" s="1420"/>
      <c r="V838" s="1357">
        <v>35</v>
      </c>
    </row>
    <row r="839" spans="1:22" s="841" customFormat="1" ht="15" x14ac:dyDescent="0.25">
      <c r="A839" s="841" t="s">
        <v>236</v>
      </c>
      <c r="E839" s="1688" t="s">
        <v>94</v>
      </c>
      <c r="F839" s="1688"/>
      <c r="G839" s="1408" t="s">
        <v>23</v>
      </c>
      <c r="H839" s="391">
        <v>30</v>
      </c>
      <c r="M839" s="1357"/>
      <c r="Q839" s="1357"/>
      <c r="S839" s="1420"/>
      <c r="T839" s="1420"/>
      <c r="V839" s="1357">
        <v>19</v>
      </c>
    </row>
    <row r="840" spans="1:22" s="841" customFormat="1" ht="15" x14ac:dyDescent="0.25">
      <c r="A840" s="841" t="s">
        <v>236</v>
      </c>
      <c r="E840" s="1688" t="s">
        <v>3147</v>
      </c>
      <c r="F840" s="1688"/>
      <c r="G840" s="1408" t="s">
        <v>23</v>
      </c>
      <c r="H840" s="391">
        <v>15</v>
      </c>
      <c r="M840" s="1357"/>
      <c r="Q840" s="1357"/>
      <c r="S840" s="1420"/>
      <c r="T840" s="1420"/>
      <c r="V840" s="1357">
        <v>15</v>
      </c>
    </row>
    <row r="841" spans="1:22" s="841" customFormat="1" ht="15" x14ac:dyDescent="0.25">
      <c r="A841" s="841" t="s">
        <v>236</v>
      </c>
      <c r="E841" s="1688" t="s">
        <v>92</v>
      </c>
      <c r="F841" s="1688"/>
      <c r="G841" s="1408" t="s">
        <v>23</v>
      </c>
      <c r="H841" s="391">
        <v>30</v>
      </c>
      <c r="M841" s="1357"/>
      <c r="Q841" s="1357"/>
      <c r="S841" s="1420"/>
      <c r="T841" s="1420"/>
      <c r="V841" s="1357">
        <v>74</v>
      </c>
    </row>
    <row r="842" spans="1:22" s="841" customFormat="1" ht="15" x14ac:dyDescent="0.25">
      <c r="A842" s="841" t="s">
        <v>236</v>
      </c>
      <c r="E842" s="1370" t="s">
        <v>3152</v>
      </c>
      <c r="F842" s="500"/>
      <c r="G842" s="500"/>
      <c r="H842" s="501"/>
      <c r="K842" s="841" t="s">
        <v>3287</v>
      </c>
      <c r="M842" s="1357"/>
      <c r="Q842" s="1357"/>
      <c r="S842" s="1420"/>
      <c r="T842" s="1420"/>
      <c r="V842" s="1357">
        <v>22</v>
      </c>
    </row>
    <row r="843" spans="1:22" s="841" customFormat="1" ht="15" x14ac:dyDescent="0.25">
      <c r="A843" s="841" t="s">
        <v>236</v>
      </c>
      <c r="E843" s="1688" t="s">
        <v>5137</v>
      </c>
      <c r="F843" s="1688"/>
      <c r="G843" s="1408" t="s">
        <v>86</v>
      </c>
      <c r="H843" s="391">
        <v>1.5</v>
      </c>
      <c r="M843" s="1357"/>
      <c r="Q843" s="1357"/>
      <c r="S843" s="1420"/>
      <c r="T843" s="1420"/>
      <c r="V843" s="1357">
        <v>24</v>
      </c>
    </row>
    <row r="844" spans="1:22" s="841" customFormat="1" ht="15" x14ac:dyDescent="0.25">
      <c r="A844" s="841" t="s">
        <v>236</v>
      </c>
      <c r="E844" s="1688" t="s">
        <v>4772</v>
      </c>
      <c r="F844" s="1688"/>
      <c r="G844" s="1408" t="s">
        <v>86</v>
      </c>
      <c r="H844" s="391">
        <v>19.559999999999999</v>
      </c>
      <c r="M844" s="1357"/>
      <c r="Q844" s="1357"/>
      <c r="S844" s="1420"/>
      <c r="T844" s="1420"/>
      <c r="V844" s="1357">
        <v>24</v>
      </c>
    </row>
    <row r="845" spans="1:22" s="841" customFormat="1" ht="15" x14ac:dyDescent="0.25">
      <c r="A845" s="841" t="s">
        <v>236</v>
      </c>
      <c r="E845" s="1688" t="s">
        <v>3288</v>
      </c>
      <c r="F845" s="1688"/>
      <c r="G845" s="1408" t="s">
        <v>23</v>
      </c>
      <c r="H845" s="391">
        <v>30</v>
      </c>
      <c r="M845" s="1357"/>
      <c r="Q845" s="1357"/>
      <c r="S845" s="1420"/>
      <c r="T845" s="1420"/>
      <c r="V845" s="1357">
        <v>47</v>
      </c>
    </row>
    <row r="846" spans="1:22" s="841" customFormat="1" ht="15" x14ac:dyDescent="0.25">
      <c r="A846" s="841" t="s">
        <v>236</v>
      </c>
      <c r="E846" s="1688" t="s">
        <v>4773</v>
      </c>
      <c r="F846" s="1688"/>
      <c r="G846" s="1408" t="s">
        <v>23</v>
      </c>
      <c r="H846" s="391">
        <v>65</v>
      </c>
      <c r="M846" s="1357"/>
      <c r="Q846" s="1357"/>
      <c r="S846" s="1420"/>
      <c r="T846" s="1420"/>
      <c r="V846" s="1357">
        <v>52</v>
      </c>
    </row>
    <row r="847" spans="1:22" s="841" customFormat="1" ht="15" x14ac:dyDescent="0.25">
      <c r="A847" s="841" t="s">
        <v>236</v>
      </c>
      <c r="E847" s="1688" t="s">
        <v>4774</v>
      </c>
      <c r="F847" s="1688"/>
      <c r="G847" s="1408" t="s">
        <v>23</v>
      </c>
      <c r="H847" s="391">
        <v>185</v>
      </c>
      <c r="M847" s="1357"/>
      <c r="Q847" s="1357"/>
      <c r="S847" s="1420"/>
      <c r="T847" s="1420"/>
      <c r="V847" s="1357">
        <v>51</v>
      </c>
    </row>
    <row r="848" spans="1:22" s="841" customFormat="1" ht="15" x14ac:dyDescent="0.25">
      <c r="A848" s="841" t="s">
        <v>236</v>
      </c>
      <c r="E848" s="1370" t="s">
        <v>3164</v>
      </c>
      <c r="F848" s="1403"/>
      <c r="G848" s="502"/>
      <c r="H848" s="395"/>
      <c r="M848" s="1357"/>
      <c r="Q848" s="1357"/>
      <c r="S848" s="1420"/>
      <c r="T848" s="1420"/>
      <c r="V848" s="1357">
        <v>5</v>
      </c>
    </row>
    <row r="849" spans="1:22" s="841" customFormat="1" ht="15" x14ac:dyDescent="0.25">
      <c r="A849" s="841" t="s">
        <v>236</v>
      </c>
      <c r="E849" s="1688" t="s">
        <v>3289</v>
      </c>
      <c r="F849" s="1688"/>
      <c r="G849" s="1408" t="s">
        <v>23</v>
      </c>
      <c r="H849" s="391">
        <v>22.35</v>
      </c>
      <c r="M849" s="1357"/>
      <c r="Q849" s="1357"/>
      <c r="S849" s="1420"/>
      <c r="T849" s="1420"/>
      <c r="V849" s="1357">
        <v>528</v>
      </c>
    </row>
    <row r="850" spans="1:22" s="841" customFormat="1" ht="36" x14ac:dyDescent="0.25">
      <c r="A850" s="841" t="s">
        <v>236</v>
      </c>
      <c r="E850" s="1374" t="s">
        <v>77</v>
      </c>
      <c r="F850" s="661"/>
      <c r="G850" s="661"/>
      <c r="H850" s="662"/>
      <c r="K850" s="841" t="s">
        <v>3290</v>
      </c>
      <c r="M850" s="1357"/>
      <c r="Q850" s="1357"/>
      <c r="S850" s="1420"/>
      <c r="T850" s="1420"/>
      <c r="V850" s="1357">
        <v>38</v>
      </c>
    </row>
    <row r="851" spans="1:22" s="841" customFormat="1" ht="15" x14ac:dyDescent="0.25">
      <c r="A851" s="841" t="s">
        <v>236</v>
      </c>
      <c r="E851" s="1689" t="s">
        <v>3063</v>
      </c>
      <c r="F851" s="1689"/>
      <c r="G851" s="1689"/>
      <c r="H851" s="1689"/>
      <c r="M851" s="1357"/>
      <c r="Q851" s="1357"/>
      <c r="S851" s="1420"/>
      <c r="T851" s="1420"/>
      <c r="V851" s="1357">
        <v>280</v>
      </c>
    </row>
    <row r="852" spans="1:22" s="841" customFormat="1" ht="15" x14ac:dyDescent="0.25">
      <c r="A852" s="841" t="s">
        <v>236</v>
      </c>
      <c r="E852" s="1689" t="s">
        <v>3064</v>
      </c>
      <c r="F852" s="1689"/>
      <c r="G852" s="1689"/>
      <c r="H852" s="1689"/>
      <c r="M852" s="1357"/>
      <c r="Q852" s="1357"/>
      <c r="S852" s="1420"/>
      <c r="T852" s="1420"/>
      <c r="V852" s="1357">
        <v>411</v>
      </c>
    </row>
    <row r="853" spans="1:22" s="841" customFormat="1" ht="15" x14ac:dyDescent="0.25">
      <c r="A853" s="841" t="s">
        <v>236</v>
      </c>
      <c r="E853" s="1689" t="s">
        <v>3129</v>
      </c>
      <c r="F853" s="1689"/>
      <c r="G853" s="1689"/>
      <c r="H853" s="1689"/>
      <c r="M853" s="1357"/>
      <c r="Q853" s="1357"/>
      <c r="S853" s="1420"/>
      <c r="T853" s="1420"/>
      <c r="V853" s="1357">
        <v>211</v>
      </c>
    </row>
    <row r="854" spans="1:22" s="841" customFormat="1" ht="15" x14ac:dyDescent="0.25">
      <c r="A854" s="841" t="s">
        <v>236</v>
      </c>
      <c r="E854" s="1689" t="s">
        <v>3200</v>
      </c>
      <c r="F854" s="1689"/>
      <c r="G854" s="1689"/>
      <c r="H854" s="1689"/>
      <c r="M854" s="1357"/>
      <c r="Q854" s="1357"/>
      <c r="S854" s="1420"/>
      <c r="T854" s="1420"/>
      <c r="V854" s="1357">
        <v>275</v>
      </c>
    </row>
    <row r="855" spans="1:22" s="841" customFormat="1" ht="15" x14ac:dyDescent="0.25">
      <c r="A855" s="841" t="s">
        <v>236</v>
      </c>
      <c r="E855" s="1689" t="s">
        <v>3291</v>
      </c>
      <c r="F855" s="1689"/>
      <c r="G855" s="1689"/>
      <c r="H855" s="1689"/>
      <c r="M855" s="1357"/>
      <c r="Q855" s="1357"/>
      <c r="S855" s="1420"/>
      <c r="T855" s="1420"/>
      <c r="V855" s="1357">
        <v>142</v>
      </c>
    </row>
    <row r="856" spans="1:22" s="841" customFormat="1" ht="15" x14ac:dyDescent="0.25">
      <c r="A856" s="841" t="s">
        <v>236</v>
      </c>
      <c r="E856" s="1690" t="s">
        <v>3176</v>
      </c>
      <c r="F856" s="1690"/>
      <c r="G856" s="502" t="s">
        <v>23</v>
      </c>
      <c r="H856" s="395">
        <v>100</v>
      </c>
      <c r="M856" s="1357"/>
      <c r="Q856" s="1357"/>
      <c r="S856" s="1420"/>
      <c r="T856" s="1420"/>
      <c r="V856" s="1357">
        <v>106</v>
      </c>
    </row>
    <row r="857" spans="1:22" s="841" customFormat="1" ht="15" x14ac:dyDescent="0.25">
      <c r="A857" s="841" t="s">
        <v>236</v>
      </c>
      <c r="E857" s="1690" t="s">
        <v>3177</v>
      </c>
      <c r="F857" s="1690"/>
      <c r="G857" s="502" t="s">
        <v>23</v>
      </c>
      <c r="H857" s="395">
        <v>20</v>
      </c>
      <c r="M857" s="1357"/>
      <c r="Q857" s="1357"/>
      <c r="S857" s="1420"/>
      <c r="T857" s="1420"/>
      <c r="V857" s="1357">
        <v>34</v>
      </c>
    </row>
    <row r="858" spans="1:22" s="841" customFormat="1" ht="15" x14ac:dyDescent="0.25">
      <c r="A858" s="841" t="s">
        <v>236</v>
      </c>
      <c r="E858" s="1690" t="s">
        <v>3178</v>
      </c>
      <c r="F858" s="1690"/>
      <c r="G858" s="502" t="s">
        <v>3179</v>
      </c>
      <c r="H858" s="395">
        <v>0.5</v>
      </c>
      <c r="M858" s="1357"/>
      <c r="Q858" s="1357"/>
      <c r="S858" s="1420"/>
      <c r="T858" s="1420"/>
      <c r="V858" s="1357">
        <v>51</v>
      </c>
    </row>
    <row r="859" spans="1:22" s="841" customFormat="1" ht="15" x14ac:dyDescent="0.25">
      <c r="A859" s="841" t="s">
        <v>236</v>
      </c>
      <c r="E859" s="1690" t="s">
        <v>3180</v>
      </c>
      <c r="F859" s="1690"/>
      <c r="G859" s="502" t="s">
        <v>3179</v>
      </c>
      <c r="H859" s="395">
        <v>0.3</v>
      </c>
      <c r="M859" s="1357"/>
      <c r="Q859" s="1357"/>
      <c r="S859" s="1420"/>
      <c r="T859" s="1420"/>
      <c r="V859" s="1357">
        <v>75</v>
      </c>
    </row>
    <row r="860" spans="1:22" s="841" customFormat="1" ht="15" x14ac:dyDescent="0.25">
      <c r="A860" s="841" t="s">
        <v>236</v>
      </c>
      <c r="E860" s="1690" t="s">
        <v>3181</v>
      </c>
      <c r="F860" s="1690"/>
      <c r="G860" s="502" t="s">
        <v>3179</v>
      </c>
      <c r="H860" s="395">
        <v>-0.3</v>
      </c>
      <c r="M860" s="1357"/>
      <c r="Q860" s="1357"/>
      <c r="S860" s="1420"/>
      <c r="T860" s="1420"/>
      <c r="V860" s="1357">
        <v>72</v>
      </c>
    </row>
    <row r="861" spans="1:22" s="841" customFormat="1" ht="15" x14ac:dyDescent="0.25">
      <c r="A861" s="841" t="s">
        <v>236</v>
      </c>
      <c r="E861" s="1690" t="s">
        <v>3292</v>
      </c>
      <c r="F861" s="1690"/>
      <c r="G861" s="502"/>
      <c r="H861" s="503"/>
      <c r="M861" s="1357"/>
      <c r="Q861" s="1357"/>
      <c r="S861" s="1420"/>
      <c r="T861" s="1420"/>
      <c r="V861" s="1357">
        <v>34</v>
      </c>
    </row>
    <row r="862" spans="1:22" s="841" customFormat="1" ht="15" x14ac:dyDescent="0.25">
      <c r="A862" s="841" t="s">
        <v>236</v>
      </c>
      <c r="E862" s="1691" t="s">
        <v>3183</v>
      </c>
      <c r="F862" s="1691"/>
      <c r="G862" s="502" t="s">
        <v>23</v>
      </c>
      <c r="H862" s="395">
        <v>0.25</v>
      </c>
      <c r="M862" s="1357"/>
      <c r="Q862" s="1357"/>
      <c r="S862" s="1420"/>
      <c r="T862" s="1420"/>
      <c r="V862" s="1357">
        <v>57</v>
      </c>
    </row>
    <row r="863" spans="1:22" s="841" customFormat="1" ht="15" x14ac:dyDescent="0.25">
      <c r="A863" s="841" t="s">
        <v>236</v>
      </c>
      <c r="E863" s="1691" t="s">
        <v>3184</v>
      </c>
      <c r="F863" s="1691"/>
      <c r="G863" s="502" t="s">
        <v>23</v>
      </c>
      <c r="H863" s="395">
        <v>0.5</v>
      </c>
      <c r="M863" s="1357"/>
      <c r="Q863" s="1357"/>
      <c r="S863" s="1420"/>
      <c r="T863" s="1420"/>
      <c r="V863" s="1357">
        <v>60</v>
      </c>
    </row>
    <row r="864" spans="1:22" s="841" customFormat="1" ht="15" x14ac:dyDescent="0.25">
      <c r="A864" s="841" t="s">
        <v>236</v>
      </c>
      <c r="E864" s="1690" t="s">
        <v>3185</v>
      </c>
      <c r="F864" s="1690"/>
      <c r="G864" s="502"/>
      <c r="H864" s="503"/>
      <c r="M864" s="1357"/>
      <c r="Q864" s="1357"/>
      <c r="S864" s="1420"/>
      <c r="T864" s="1420"/>
      <c r="V864" s="1357">
        <v>91</v>
      </c>
    </row>
    <row r="865" spans="1:22" s="841" customFormat="1" ht="15" x14ac:dyDescent="0.25">
      <c r="A865" s="841" t="s">
        <v>236</v>
      </c>
      <c r="E865" s="1690" t="s">
        <v>3186</v>
      </c>
      <c r="F865" s="1690"/>
      <c r="G865" s="502"/>
      <c r="H865" s="503"/>
      <c r="M865" s="1357"/>
      <c r="Q865" s="1357"/>
      <c r="S865" s="1420"/>
      <c r="T865" s="1420"/>
      <c r="V865" s="1357">
        <v>96</v>
      </c>
    </row>
    <row r="866" spans="1:22" s="841" customFormat="1" ht="15" x14ac:dyDescent="0.25">
      <c r="A866" s="841" t="s">
        <v>236</v>
      </c>
      <c r="E866" s="1690" t="s">
        <v>3293</v>
      </c>
      <c r="F866" s="1690"/>
      <c r="G866" s="502"/>
      <c r="H866" s="503"/>
      <c r="M866" s="1357"/>
      <c r="Q866" s="1357"/>
      <c r="S866" s="1420"/>
      <c r="T866" s="1420"/>
      <c r="V866" s="1357">
        <v>77</v>
      </c>
    </row>
    <row r="867" spans="1:22" s="841" customFormat="1" ht="15" x14ac:dyDescent="0.25">
      <c r="A867" s="841" t="s">
        <v>236</v>
      </c>
      <c r="E867" s="1691" t="s">
        <v>3188</v>
      </c>
      <c r="F867" s="1691"/>
      <c r="G867" s="502" t="s">
        <v>23</v>
      </c>
      <c r="H867" s="503" t="s">
        <v>3189</v>
      </c>
      <c r="M867" s="1357"/>
      <c r="Q867" s="1357"/>
      <c r="S867" s="1420"/>
      <c r="T867" s="1420"/>
      <c r="V867" s="1357">
        <v>18</v>
      </c>
    </row>
    <row r="868" spans="1:22" s="841" customFormat="1" ht="15" x14ac:dyDescent="0.25">
      <c r="A868" s="841" t="s">
        <v>236</v>
      </c>
      <c r="E868" s="1691" t="s">
        <v>3190</v>
      </c>
      <c r="F868" s="1691"/>
      <c r="G868" s="502" t="s">
        <v>23</v>
      </c>
      <c r="H868" s="395">
        <v>2</v>
      </c>
      <c r="M868" s="1357"/>
      <c r="Q868" s="1357"/>
      <c r="S868" s="1420"/>
      <c r="T868" s="1420"/>
      <c r="V868" s="1357">
        <v>69</v>
      </c>
    </row>
    <row r="869" spans="1:22" s="841" customFormat="1" ht="18.75" x14ac:dyDescent="0.25">
      <c r="A869" s="841" t="s">
        <v>236</v>
      </c>
      <c r="E869" s="1386" t="s">
        <v>147</v>
      </c>
      <c r="F869" s="661"/>
      <c r="G869" s="661"/>
      <c r="H869" s="662"/>
      <c r="K869" s="841" t="s">
        <v>3294</v>
      </c>
      <c r="M869" s="1357"/>
      <c r="Q869" s="1357"/>
      <c r="S869" s="1420"/>
      <c r="T869" s="1420"/>
      <c r="V869" s="1357">
        <v>12</v>
      </c>
    </row>
    <row r="870" spans="1:22" s="841" customFormat="1" ht="15" x14ac:dyDescent="0.25">
      <c r="A870" s="841" t="s">
        <v>236</v>
      </c>
      <c r="E870" s="1704" t="s">
        <v>3192</v>
      </c>
      <c r="F870" s="1704"/>
      <c r="G870" s="1704"/>
      <c r="H870" s="1704"/>
      <c r="M870" s="1357"/>
      <c r="Q870" s="1357"/>
      <c r="S870" s="1420"/>
      <c r="T870" s="1420"/>
      <c r="V870" s="1357">
        <v>203</v>
      </c>
    </row>
    <row r="871" spans="1:22" s="841" customFormat="1" ht="15" x14ac:dyDescent="0.25">
      <c r="A871" s="841" t="s">
        <v>236</v>
      </c>
      <c r="E871" s="1690" t="s">
        <v>3295</v>
      </c>
      <c r="F871" s="1690"/>
      <c r="G871" s="1408"/>
      <c r="H871" s="393">
        <v>1.0421</v>
      </c>
      <c r="M871" s="1357"/>
      <c r="Q871" s="1357"/>
      <c r="S871" s="1420"/>
      <c r="T871" s="1420"/>
      <c r="V871" s="1357">
        <v>57</v>
      </c>
    </row>
    <row r="872" spans="1:22" s="841" customFormat="1" ht="15" x14ac:dyDescent="0.25">
      <c r="A872" s="841" t="s">
        <v>236</v>
      </c>
      <c r="E872" s="1690" t="s">
        <v>3296</v>
      </c>
      <c r="F872" s="1690"/>
      <c r="G872" s="1408"/>
      <c r="H872" s="393">
        <v>1.0169999999999999</v>
      </c>
      <c r="M872" s="1357"/>
      <c r="Q872" s="1357"/>
      <c r="S872" s="1420"/>
      <c r="T872" s="1420"/>
      <c r="V872" s="1357">
        <v>57</v>
      </c>
    </row>
    <row r="873" spans="1:22" s="841" customFormat="1" ht="15" x14ac:dyDescent="0.25">
      <c r="A873" s="841" t="s">
        <v>236</v>
      </c>
      <c r="E873" s="1690" t="s">
        <v>3297</v>
      </c>
      <c r="F873" s="1690"/>
      <c r="G873" s="1408"/>
      <c r="H873" s="393">
        <v>1.0316000000000001</v>
      </c>
      <c r="M873" s="1357"/>
      <c r="Q873" s="1357"/>
      <c r="S873" s="1420"/>
      <c r="T873" s="1420"/>
      <c r="V873" s="1357">
        <v>55</v>
      </c>
    </row>
    <row r="874" spans="1:22" s="841" customFormat="1" ht="15" x14ac:dyDescent="0.25">
      <c r="A874" s="841" t="s">
        <v>236</v>
      </c>
      <c r="E874" s="1690" t="s">
        <v>3298</v>
      </c>
      <c r="F874" s="1690"/>
      <c r="G874" s="1408"/>
      <c r="H874" s="393">
        <v>1.0068999999999999</v>
      </c>
      <c r="J874" s="841" t="s">
        <v>3299</v>
      </c>
      <c r="M874" s="1357"/>
      <c r="Q874" s="1357"/>
      <c r="S874" s="1420"/>
      <c r="T874" s="1420"/>
      <c r="V874" s="1357">
        <v>55</v>
      </c>
    </row>
    <row r="875" spans="1:22" s="841" customFormat="1" ht="23.25" x14ac:dyDescent="0.25">
      <c r="A875" s="841" t="s">
        <v>4874</v>
      </c>
      <c r="B875" s="841" t="s">
        <v>5198</v>
      </c>
      <c r="C875" s="841" t="s">
        <v>3050</v>
      </c>
      <c r="E875" s="2041" t="s">
        <v>4874</v>
      </c>
      <c r="F875" s="2041"/>
      <c r="G875" s="2042"/>
      <c r="H875" s="2042"/>
      <c r="I875" s="841" t="s">
        <v>628</v>
      </c>
      <c r="J875" s="841" t="s">
        <v>5199</v>
      </c>
      <c r="K875" s="841" t="s">
        <v>4874</v>
      </c>
      <c r="M875" s="1357">
        <v>12</v>
      </c>
      <c r="Q875" s="1357"/>
      <c r="S875" s="1420"/>
      <c r="T875" s="1420"/>
      <c r="V875" s="1357">
        <v>29</v>
      </c>
    </row>
    <row r="876" spans="1:22" s="841" customFormat="1" ht="23.25" x14ac:dyDescent="0.25">
      <c r="A876" s="841" t="s">
        <v>4874</v>
      </c>
      <c r="B876" s="841" t="s">
        <v>5198</v>
      </c>
      <c r="C876" s="841" t="s">
        <v>3052</v>
      </c>
      <c r="E876" s="2041" t="s">
        <v>5097</v>
      </c>
      <c r="F876" s="2041"/>
      <c r="G876" s="2042"/>
      <c r="H876" s="2042"/>
      <c r="M876" s="1357"/>
      <c r="Q876" s="1357"/>
      <c r="S876" s="1420"/>
      <c r="T876" s="1420"/>
      <c r="V876" s="1357">
        <v>18</v>
      </c>
    </row>
    <row r="877" spans="1:22" s="841" customFormat="1" ht="23.25" x14ac:dyDescent="0.25">
      <c r="A877" s="841" t="s">
        <v>4874</v>
      </c>
      <c r="B877" s="841" t="s">
        <v>5198</v>
      </c>
      <c r="C877" s="841" t="s">
        <v>3054</v>
      </c>
      <c r="E877" s="2043" t="s">
        <v>3053</v>
      </c>
      <c r="F877" s="2043"/>
      <c r="G877" s="2044"/>
      <c r="H877" s="2044"/>
      <c r="M877" s="1357"/>
      <c r="Q877" s="1357"/>
      <c r="S877" s="1420"/>
      <c r="T877" s="1420"/>
      <c r="V877" s="1357">
        <v>27</v>
      </c>
    </row>
    <row r="878" spans="1:22" s="841" customFormat="1" ht="23.25" x14ac:dyDescent="0.25">
      <c r="A878" s="841" t="s">
        <v>4874</v>
      </c>
      <c r="B878" s="841" t="s">
        <v>5198</v>
      </c>
      <c r="C878" s="841" t="s">
        <v>3055</v>
      </c>
      <c r="E878" s="2045" t="s">
        <v>5200</v>
      </c>
      <c r="F878" s="2045"/>
      <c r="G878" s="2044"/>
      <c r="H878" s="2044"/>
      <c r="M878" s="1357"/>
      <c r="Q878" s="1357"/>
      <c r="R878" s="841">
        <v>43101</v>
      </c>
      <c r="S878" s="1420"/>
      <c r="T878" s="1420"/>
      <c r="V878" s="1357">
        <v>30</v>
      </c>
    </row>
    <row r="879" spans="1:22" s="841" customFormat="1" ht="23.25" x14ac:dyDescent="0.25">
      <c r="A879" s="841" t="s">
        <v>4874</v>
      </c>
      <c r="B879" s="841" t="s">
        <v>5198</v>
      </c>
      <c r="E879" s="2045" t="s">
        <v>5201</v>
      </c>
      <c r="F879" s="2045"/>
      <c r="G879" s="2044"/>
      <c r="H879" s="2044"/>
      <c r="M879" s="1357"/>
      <c r="Q879" s="1357"/>
      <c r="S879" s="1420">
        <v>43221</v>
      </c>
      <c r="T879" s="1420"/>
      <c r="V879" s="1357">
        <v>31</v>
      </c>
    </row>
    <row r="880" spans="1:22" s="841" customFormat="1" ht="23.25" x14ac:dyDescent="0.25">
      <c r="A880" s="841" t="s">
        <v>4874</v>
      </c>
      <c r="B880" s="841" t="s">
        <v>5198</v>
      </c>
      <c r="E880" s="2045" t="s">
        <v>3616</v>
      </c>
      <c r="F880" s="2045"/>
      <c r="G880" s="2044"/>
      <c r="H880" s="2044"/>
      <c r="M880" s="1357"/>
      <c r="Q880" s="1357"/>
      <c r="S880" s="1420"/>
      <c r="T880" s="1420"/>
      <c r="V880" s="1357">
        <v>53</v>
      </c>
    </row>
    <row r="881" spans="1:22" s="841" customFormat="1" ht="23.25" x14ac:dyDescent="0.25">
      <c r="A881" s="841" t="s">
        <v>4874</v>
      </c>
      <c r="B881" s="841" t="s">
        <v>5198</v>
      </c>
      <c r="E881" s="2045" t="s">
        <v>3057</v>
      </c>
      <c r="F881" s="2045"/>
      <c r="G881" s="2044"/>
      <c r="H881" s="2044"/>
      <c r="M881" s="1357"/>
      <c r="Q881" s="1357"/>
      <c r="S881" s="1420"/>
      <c r="T881" s="1420"/>
      <c r="V881" s="1357">
        <v>53</v>
      </c>
    </row>
    <row r="882" spans="1:22" s="841" customFormat="1" ht="15" x14ac:dyDescent="0.25">
      <c r="A882" s="841" t="s">
        <v>4874</v>
      </c>
      <c r="B882" s="841" t="s">
        <v>5198</v>
      </c>
      <c r="E882" s="2021" t="s">
        <v>5202</v>
      </c>
      <c r="F882" s="2021"/>
      <c r="G882" s="2022"/>
      <c r="H882" s="2022"/>
      <c r="K882" s="841" t="s">
        <v>5202</v>
      </c>
      <c r="M882" s="1357"/>
      <c r="Q882" s="1357"/>
      <c r="S882" s="1420"/>
      <c r="T882" s="1420"/>
      <c r="V882" s="1357">
        <v>12</v>
      </c>
    </row>
    <row r="883" spans="1:22" s="841" customFormat="1" x14ac:dyDescent="0.25">
      <c r="A883" s="841" t="s">
        <v>4874</v>
      </c>
      <c r="B883" s="841" t="s">
        <v>5198</v>
      </c>
      <c r="E883" s="1974" t="s">
        <v>438</v>
      </c>
      <c r="F883" s="1974"/>
      <c r="G883" s="1970"/>
      <c r="H883" s="1970"/>
      <c r="K883" s="841" t="s">
        <v>3197</v>
      </c>
      <c r="M883" s="1357"/>
      <c r="Q883" s="1357"/>
      <c r="S883" s="1420"/>
      <c r="T883" s="1420"/>
      <c r="V883" s="1357">
        <v>34</v>
      </c>
    </row>
    <row r="884" spans="1:22" s="841" customFormat="1" ht="15" x14ac:dyDescent="0.25">
      <c r="A884" s="841" t="s">
        <v>4874</v>
      </c>
      <c r="B884" s="841" t="s">
        <v>5198</v>
      </c>
      <c r="E884" s="1969" t="s">
        <v>3300</v>
      </c>
      <c r="F884" s="1969"/>
      <c r="G884" s="1970"/>
      <c r="H884" s="1970"/>
      <c r="K884" s="841" t="s">
        <v>3197</v>
      </c>
      <c r="M884" s="1357"/>
      <c r="Q884" s="1357"/>
      <c r="S884" s="1420"/>
      <c r="T884" s="1420"/>
      <c r="V884" s="1357">
        <v>579</v>
      </c>
    </row>
    <row r="885" spans="1:22" s="841" customFormat="1" ht="15" x14ac:dyDescent="0.25">
      <c r="A885" s="841" t="s">
        <v>4874</v>
      </c>
      <c r="B885" s="841" t="s">
        <v>5198</v>
      </c>
      <c r="E885" s="2017" t="s">
        <v>3061</v>
      </c>
      <c r="F885" s="2017"/>
      <c r="G885" s="2018"/>
      <c r="H885" s="2018"/>
      <c r="K885" s="841" t="s">
        <v>3062</v>
      </c>
      <c r="M885" s="1357"/>
      <c r="Q885" s="1357"/>
      <c r="S885" s="1420"/>
      <c r="T885" s="1420"/>
      <c r="V885" s="1357">
        <v>11</v>
      </c>
    </row>
    <row r="886" spans="1:22" s="841" customFormat="1" ht="15" x14ac:dyDescent="0.25">
      <c r="A886" s="841" t="s">
        <v>4874</v>
      </c>
      <c r="B886" s="841" t="s">
        <v>5198</v>
      </c>
      <c r="E886" s="1969" t="s">
        <v>3063</v>
      </c>
      <c r="F886" s="1969"/>
      <c r="G886" s="1970"/>
      <c r="H886" s="1970"/>
      <c r="K886" s="841" t="s">
        <v>3197</v>
      </c>
      <c r="M886" s="1357"/>
      <c r="Q886" s="1357"/>
      <c r="S886" s="1420"/>
      <c r="T886" s="1420"/>
      <c r="V886" s="1357">
        <v>280</v>
      </c>
    </row>
    <row r="887" spans="1:22" s="841" customFormat="1" ht="15" x14ac:dyDescent="0.25">
      <c r="A887" s="841" t="s">
        <v>4874</v>
      </c>
      <c r="B887" s="841" t="s">
        <v>5198</v>
      </c>
      <c r="E887" s="1969" t="s">
        <v>3301</v>
      </c>
      <c r="F887" s="1969"/>
      <c r="G887" s="1970"/>
      <c r="H887" s="1970"/>
      <c r="K887" s="841" t="s">
        <v>3197</v>
      </c>
      <c r="M887" s="1357"/>
      <c r="Q887" s="1357"/>
      <c r="S887" s="1420"/>
      <c r="T887" s="1420"/>
      <c r="V887" s="1357">
        <v>426</v>
      </c>
    </row>
    <row r="888" spans="1:22" s="841" customFormat="1" ht="15" x14ac:dyDescent="0.25">
      <c r="A888" s="841" t="s">
        <v>4874</v>
      </c>
      <c r="B888" s="841" t="s">
        <v>5198</v>
      </c>
      <c r="E888" s="1969" t="s">
        <v>3199</v>
      </c>
      <c r="F888" s="1969"/>
      <c r="G888" s="1970"/>
      <c r="H888" s="1970"/>
      <c r="K888" s="841" t="s">
        <v>3197</v>
      </c>
      <c r="M888" s="1357"/>
      <c r="Q888" s="1357"/>
      <c r="S888" s="1420"/>
      <c r="T888" s="1420"/>
      <c r="V888" s="1357">
        <v>386</v>
      </c>
    </row>
    <row r="889" spans="1:22" s="841" customFormat="1" ht="15" x14ac:dyDescent="0.25">
      <c r="A889" s="841" t="s">
        <v>4874</v>
      </c>
      <c r="B889" s="841" t="s">
        <v>5198</v>
      </c>
      <c r="E889" s="1969" t="s">
        <v>3200</v>
      </c>
      <c r="F889" s="1969"/>
      <c r="G889" s="1970"/>
      <c r="H889" s="1970"/>
      <c r="K889" s="841" t="s">
        <v>3197</v>
      </c>
      <c r="M889" s="1357"/>
      <c r="Q889" s="1357"/>
      <c r="S889" s="1420"/>
      <c r="T889" s="1420"/>
      <c r="V889" s="1357">
        <v>275</v>
      </c>
    </row>
    <row r="890" spans="1:22" s="841" customFormat="1" ht="15" x14ac:dyDescent="0.25">
      <c r="A890" s="841" t="s">
        <v>4874</v>
      </c>
      <c r="B890" s="841" t="s">
        <v>5198</v>
      </c>
      <c r="E890" s="1972" t="s">
        <v>3067</v>
      </c>
      <c r="F890" s="1972"/>
      <c r="G890" s="1973"/>
      <c r="H890" s="1973"/>
      <c r="K890" s="841" t="s">
        <v>3068</v>
      </c>
      <c r="M890" s="1357"/>
      <c r="Q890" s="1357"/>
      <c r="S890" s="1420"/>
      <c r="T890" s="1420"/>
      <c r="V890" s="1357">
        <v>46</v>
      </c>
    </row>
    <row r="891" spans="1:22" s="841" customFormat="1" ht="15" x14ac:dyDescent="0.25">
      <c r="A891" s="841" t="s">
        <v>4874</v>
      </c>
      <c r="B891" s="841" t="s">
        <v>5198</v>
      </c>
      <c r="E891" s="1382" t="s">
        <v>11</v>
      </c>
      <c r="F891" s="1382"/>
      <c r="G891" s="1111" t="s">
        <v>23</v>
      </c>
      <c r="H891" s="1112">
        <v>20.92</v>
      </c>
      <c r="K891" s="841" t="s">
        <v>3197</v>
      </c>
      <c r="L891" s="841" t="s">
        <v>442</v>
      </c>
      <c r="M891" s="1357"/>
      <c r="P891" s="841" t="s">
        <v>3201</v>
      </c>
      <c r="Q891" s="1357"/>
      <c r="S891" s="1420"/>
      <c r="T891" s="1420"/>
      <c r="V891" s="1357">
        <v>14</v>
      </c>
    </row>
    <row r="892" spans="1:22" s="841" customFormat="1" ht="15" x14ac:dyDescent="0.25">
      <c r="A892" s="841" t="s">
        <v>4874</v>
      </c>
      <c r="B892" s="841" t="s">
        <v>5198</v>
      </c>
      <c r="E892" s="621" t="s">
        <v>5109</v>
      </c>
      <c r="F892" s="621"/>
      <c r="G892" s="1113" t="s">
        <v>23</v>
      </c>
      <c r="H892" s="1114">
        <v>0.56999999999999995</v>
      </c>
      <c r="K892" s="841" t="s">
        <v>3197</v>
      </c>
      <c r="L892" s="841" t="s">
        <v>443</v>
      </c>
      <c r="M892" s="1357"/>
      <c r="P892" s="841" t="s">
        <v>3202</v>
      </c>
      <c r="Q892" s="1357"/>
      <c r="S892" s="1420"/>
      <c r="T892" s="1420">
        <v>44926</v>
      </c>
      <c r="V892" s="1357">
        <v>64</v>
      </c>
    </row>
    <row r="893" spans="1:22" s="841" customFormat="1" ht="15" x14ac:dyDescent="0.25">
      <c r="A893" s="841" t="s">
        <v>4874</v>
      </c>
      <c r="B893" s="841" t="s">
        <v>5198</v>
      </c>
      <c r="E893" s="621" t="s">
        <v>5203</v>
      </c>
      <c r="F893" s="621"/>
      <c r="G893" s="1111" t="s">
        <v>23</v>
      </c>
      <c r="H893" s="723">
        <v>0.23</v>
      </c>
      <c r="K893" s="841" t="s">
        <v>3197</v>
      </c>
      <c r="L893" s="841" t="s">
        <v>442</v>
      </c>
      <c r="M893" s="1357"/>
      <c r="P893" s="841" t="s">
        <v>4799</v>
      </c>
      <c r="Q893" s="1357"/>
      <c r="S893" s="1420"/>
      <c r="T893" s="1420"/>
      <c r="V893" s="1357">
        <v>152</v>
      </c>
    </row>
    <row r="894" spans="1:22" s="841" customFormat="1" ht="15" x14ac:dyDescent="0.25">
      <c r="A894" s="841" t="s">
        <v>4874</v>
      </c>
      <c r="B894" s="841" t="s">
        <v>5198</v>
      </c>
      <c r="E894" s="625" t="s">
        <v>5204</v>
      </c>
      <c r="F894" s="625"/>
      <c r="G894" s="1111" t="s">
        <v>23</v>
      </c>
      <c r="H894" s="723">
        <v>0.27</v>
      </c>
      <c r="K894" s="841" t="s">
        <v>3197</v>
      </c>
      <c r="L894" s="841" t="s">
        <v>442</v>
      </c>
      <c r="M894" s="1357"/>
      <c r="P894" s="841" t="s">
        <v>5205</v>
      </c>
      <c r="Q894" s="1357"/>
      <c r="S894" s="1420"/>
      <c r="T894" s="1420">
        <v>43465</v>
      </c>
      <c r="V894" s="1357">
        <v>96</v>
      </c>
    </row>
    <row r="895" spans="1:22" s="841" customFormat="1" ht="15" x14ac:dyDescent="0.25">
      <c r="A895" s="841" t="s">
        <v>4874</v>
      </c>
      <c r="B895" s="841" t="s">
        <v>5198</v>
      </c>
      <c r="E895" s="1382" t="s">
        <v>84</v>
      </c>
      <c r="F895" s="1382"/>
      <c r="G895" s="1111" t="s">
        <v>24</v>
      </c>
      <c r="H895" s="1115">
        <v>4.0000000000000001E-3</v>
      </c>
      <c r="K895" s="841" t="s">
        <v>3197</v>
      </c>
      <c r="L895" s="841" t="s">
        <v>442</v>
      </c>
      <c r="M895" s="1357"/>
      <c r="P895" s="841" t="s">
        <v>3203</v>
      </c>
      <c r="Q895" s="1357"/>
      <c r="S895" s="1420"/>
      <c r="T895" s="1420"/>
      <c r="V895" s="1357">
        <v>28</v>
      </c>
    </row>
    <row r="896" spans="1:22" s="841" customFormat="1" ht="45.75" customHeight="1" x14ac:dyDescent="0.25">
      <c r="A896" s="841" t="s">
        <v>4874</v>
      </c>
      <c r="B896" s="841" t="s">
        <v>5198</v>
      </c>
      <c r="E896" s="1976" t="s">
        <v>5206</v>
      </c>
      <c r="F896" s="1976"/>
      <c r="G896" s="1111" t="s">
        <v>24</v>
      </c>
      <c r="H896" s="724">
        <v>-8.9999999999999998E-4</v>
      </c>
      <c r="K896" s="841" t="s">
        <v>3197</v>
      </c>
      <c r="L896" s="841" t="s">
        <v>443</v>
      </c>
      <c r="M896" s="1357"/>
      <c r="P896" s="841" t="s">
        <v>3205</v>
      </c>
      <c r="Q896" s="1357"/>
      <c r="S896" s="1420"/>
      <c r="T896" s="1420">
        <v>43585</v>
      </c>
      <c r="V896" s="1357">
        <v>153</v>
      </c>
    </row>
    <row r="897" spans="1:22" s="841" customFormat="1" ht="15" x14ac:dyDescent="0.25">
      <c r="A897" s="841" t="s">
        <v>4874</v>
      </c>
      <c r="B897" s="841" t="s">
        <v>5198</v>
      </c>
      <c r="E897" s="621" t="s">
        <v>5207</v>
      </c>
      <c r="F897" s="621"/>
      <c r="G897" s="1111" t="s">
        <v>24</v>
      </c>
      <c r="H897" s="724">
        <v>-1E-3</v>
      </c>
      <c r="K897" s="841" t="s">
        <v>3197</v>
      </c>
      <c r="L897" s="841" t="s">
        <v>443</v>
      </c>
      <c r="M897" s="1357"/>
      <c r="P897" s="841" t="s">
        <v>3207</v>
      </c>
      <c r="Q897" s="1357"/>
      <c r="S897" s="1420"/>
      <c r="T897" s="1420">
        <v>43585</v>
      </c>
      <c r="V897" s="1357">
        <v>109</v>
      </c>
    </row>
    <row r="898" spans="1:22" s="841" customFormat="1" ht="15" x14ac:dyDescent="0.25">
      <c r="A898" s="841" t="s">
        <v>4874</v>
      </c>
      <c r="B898" s="841" t="s">
        <v>5198</v>
      </c>
      <c r="E898" s="1382" t="s">
        <v>221</v>
      </c>
      <c r="F898" s="1382"/>
      <c r="G898" s="1111" t="s">
        <v>24</v>
      </c>
      <c r="H898" s="724">
        <v>7.4000000000000003E-3</v>
      </c>
      <c r="K898" s="841" t="s">
        <v>3197</v>
      </c>
      <c r="L898" s="841" t="s">
        <v>444</v>
      </c>
      <c r="M898" s="1357"/>
      <c r="P898" s="841" t="s">
        <v>3208</v>
      </c>
      <c r="Q898" s="1357"/>
      <c r="S898" s="1420"/>
      <c r="T898" s="1420"/>
      <c r="V898" s="1357">
        <v>47</v>
      </c>
    </row>
    <row r="899" spans="1:22" s="841" customFormat="1" ht="23.25" x14ac:dyDescent="0.25">
      <c r="A899" s="841" t="s">
        <v>4874</v>
      </c>
      <c r="B899" s="841" t="s">
        <v>5198</v>
      </c>
      <c r="E899" s="1382" t="s">
        <v>217</v>
      </c>
      <c r="F899" s="1382"/>
      <c r="G899" s="1111" t="s">
        <v>24</v>
      </c>
      <c r="H899" s="1115">
        <v>6.4999999999999997E-3</v>
      </c>
      <c r="K899" s="841" t="s">
        <v>3197</v>
      </c>
      <c r="L899" s="841" t="s">
        <v>444</v>
      </c>
      <c r="M899" s="1357"/>
      <c r="P899" s="841" t="s">
        <v>3209</v>
      </c>
      <c r="Q899" s="1357"/>
      <c r="S899" s="1420"/>
      <c r="T899" s="1420"/>
      <c r="V899" s="1357">
        <v>74</v>
      </c>
    </row>
    <row r="900" spans="1:22" s="841" customFormat="1" ht="26.25" x14ac:dyDescent="0.25">
      <c r="A900" s="841" t="s">
        <v>4874</v>
      </c>
      <c r="B900" s="841" t="s">
        <v>5198</v>
      </c>
      <c r="E900" s="1389" t="s">
        <v>3079</v>
      </c>
      <c r="F900" s="1389"/>
      <c r="G900" s="1111"/>
      <c r="H900" s="1085"/>
      <c r="K900" s="841" t="s">
        <v>3080</v>
      </c>
      <c r="M900" s="1357"/>
      <c r="Q900" s="1357"/>
      <c r="S900" s="1420"/>
      <c r="T900" s="1420"/>
      <c r="V900" s="1357">
        <v>48</v>
      </c>
    </row>
    <row r="901" spans="1:22" s="841" customFormat="1" ht="15" x14ac:dyDescent="0.25">
      <c r="A901" s="841" t="s">
        <v>4874</v>
      </c>
      <c r="B901" s="841" t="s">
        <v>5198</v>
      </c>
      <c r="E901" s="621" t="s">
        <v>2449</v>
      </c>
      <c r="F901" s="621"/>
      <c r="G901" s="1111" t="s">
        <v>24</v>
      </c>
      <c r="H901" s="1117">
        <v>3.2000000000000002E-3</v>
      </c>
      <c r="K901" s="841" t="s">
        <v>3197</v>
      </c>
      <c r="L901" s="841" t="s">
        <v>3046</v>
      </c>
      <c r="M901" s="1357"/>
      <c r="P901" s="841" t="s">
        <v>3210</v>
      </c>
      <c r="Q901" s="1357"/>
      <c r="S901" s="1420"/>
      <c r="T901" s="1420"/>
      <c r="V901" s="1357">
        <v>55</v>
      </c>
    </row>
    <row r="902" spans="1:22" s="841" customFormat="1" ht="15" x14ac:dyDescent="0.25">
      <c r="A902" s="841" t="s">
        <v>4874</v>
      </c>
      <c r="B902" s="841" t="s">
        <v>5198</v>
      </c>
      <c r="E902" s="621" t="s">
        <v>2450</v>
      </c>
      <c r="F902" s="621"/>
      <c r="G902" s="1111" t="s">
        <v>24</v>
      </c>
      <c r="H902" s="1117">
        <v>4.0000000000000002E-4</v>
      </c>
      <c r="K902" s="841" t="s">
        <v>3197</v>
      </c>
      <c r="L902" s="841" t="s">
        <v>3046</v>
      </c>
      <c r="M902" s="1357"/>
      <c r="P902" s="841" t="s">
        <v>3210</v>
      </c>
      <c r="Q902" s="1357"/>
      <c r="S902" s="1420"/>
      <c r="T902" s="1420"/>
      <c r="V902" s="1357">
        <v>65</v>
      </c>
    </row>
    <row r="903" spans="1:22" s="841" customFormat="1" ht="23.25" x14ac:dyDescent="0.25">
      <c r="A903" s="841" t="s">
        <v>4874</v>
      </c>
      <c r="B903" s="841" t="s">
        <v>5198</v>
      </c>
      <c r="E903" s="1382" t="s">
        <v>439</v>
      </c>
      <c r="F903" s="1382"/>
      <c r="G903" s="1111" t="s">
        <v>24</v>
      </c>
      <c r="H903" s="724">
        <v>2.9999999999999997E-4</v>
      </c>
      <c r="K903" s="841" t="s">
        <v>3197</v>
      </c>
      <c r="L903" s="841" t="s">
        <v>3046</v>
      </c>
      <c r="M903" s="1357"/>
      <c r="P903" s="841" t="s">
        <v>3212</v>
      </c>
      <c r="Q903" s="1357"/>
      <c r="S903" s="1420"/>
      <c r="T903" s="1420"/>
      <c r="V903" s="1357">
        <v>57</v>
      </c>
    </row>
    <row r="904" spans="1:22" s="841" customFormat="1" ht="23.25" x14ac:dyDescent="0.25">
      <c r="A904" s="841" t="s">
        <v>4874</v>
      </c>
      <c r="B904" s="841" t="s">
        <v>5198</v>
      </c>
      <c r="E904" s="1382" t="s">
        <v>32</v>
      </c>
      <c r="F904" s="1382"/>
      <c r="G904" s="1111" t="s">
        <v>23</v>
      </c>
      <c r="H904" s="723">
        <v>0.25</v>
      </c>
      <c r="K904" s="841" t="s">
        <v>3197</v>
      </c>
      <c r="L904" s="841" t="s">
        <v>3046</v>
      </c>
      <c r="M904" s="1357"/>
      <c r="P904" s="841" t="s">
        <v>3213</v>
      </c>
      <c r="Q904" s="1357"/>
      <c r="S904" s="1420"/>
      <c r="T904" s="1420"/>
      <c r="V904" s="1357">
        <v>63</v>
      </c>
    </row>
    <row r="905" spans="1:22" s="841" customFormat="1" x14ac:dyDescent="0.25">
      <c r="A905" s="841" t="s">
        <v>4874</v>
      </c>
      <c r="B905" s="841" t="s">
        <v>5198</v>
      </c>
      <c r="E905" s="2019" t="s">
        <v>3214</v>
      </c>
      <c r="F905" s="2019"/>
      <c r="G905" s="2020"/>
      <c r="H905" s="2020"/>
      <c r="K905" s="841" t="s">
        <v>5110</v>
      </c>
      <c r="M905" s="1357"/>
      <c r="Q905" s="1357"/>
      <c r="S905" s="1420"/>
      <c r="T905" s="1420"/>
      <c r="V905" s="1357">
        <v>54</v>
      </c>
    </row>
    <row r="906" spans="1:22" s="841" customFormat="1" ht="15" x14ac:dyDescent="0.25">
      <c r="A906" s="841" t="s">
        <v>4874</v>
      </c>
      <c r="B906" s="841" t="s">
        <v>5198</v>
      </c>
      <c r="E906" s="1969" t="s">
        <v>3320</v>
      </c>
      <c r="F906" s="1969"/>
      <c r="G906" s="1970"/>
      <c r="H906" s="1970"/>
      <c r="K906" s="841" t="s">
        <v>5110</v>
      </c>
      <c r="M906" s="1357"/>
      <c r="Q906" s="1357"/>
      <c r="S906" s="1420"/>
      <c r="T906" s="1420"/>
      <c r="V906" s="1357">
        <v>704</v>
      </c>
    </row>
    <row r="907" spans="1:22" s="841" customFormat="1" ht="15" x14ac:dyDescent="0.25">
      <c r="A907" s="841" t="s">
        <v>4874</v>
      </c>
      <c r="B907" s="841" t="s">
        <v>5198</v>
      </c>
      <c r="E907" s="2017" t="s">
        <v>3061</v>
      </c>
      <c r="F907" s="2017"/>
      <c r="G907" s="2018"/>
      <c r="H907" s="2018"/>
      <c r="K907" s="841" t="s">
        <v>3086</v>
      </c>
      <c r="M907" s="1357"/>
      <c r="Q907" s="1357"/>
      <c r="S907" s="1420"/>
      <c r="T907" s="1420"/>
      <c r="V907" s="1357">
        <v>11</v>
      </c>
    </row>
    <row r="908" spans="1:22" s="841" customFormat="1" ht="15" x14ac:dyDescent="0.25">
      <c r="A908" s="841" t="s">
        <v>4874</v>
      </c>
      <c r="B908" s="841" t="s">
        <v>5198</v>
      </c>
      <c r="E908" s="1969" t="s">
        <v>3063</v>
      </c>
      <c r="F908" s="1969"/>
      <c r="G908" s="1970"/>
      <c r="H908" s="1970"/>
      <c r="K908" s="841" t="s">
        <v>5110</v>
      </c>
      <c r="M908" s="1357"/>
      <c r="Q908" s="1357"/>
      <c r="S908" s="1420"/>
      <c r="T908" s="1420"/>
      <c r="V908" s="1357">
        <v>280</v>
      </c>
    </row>
    <row r="909" spans="1:22" s="841" customFormat="1" ht="15" x14ac:dyDescent="0.25">
      <c r="A909" s="841" t="s">
        <v>4874</v>
      </c>
      <c r="B909" s="841" t="s">
        <v>5198</v>
      </c>
      <c r="E909" s="1969" t="s">
        <v>3064</v>
      </c>
      <c r="F909" s="1969"/>
      <c r="G909" s="1970"/>
      <c r="H909" s="1970"/>
      <c r="K909" s="841" t="s">
        <v>5110</v>
      </c>
      <c r="M909" s="1357"/>
      <c r="Q909" s="1357"/>
      <c r="S909" s="1420"/>
      <c r="T909" s="1420"/>
      <c r="V909" s="1357">
        <v>411</v>
      </c>
    </row>
    <row r="910" spans="1:22" s="841" customFormat="1" ht="15" x14ac:dyDescent="0.25">
      <c r="A910" s="841" t="s">
        <v>4874</v>
      </c>
      <c r="B910" s="841" t="s">
        <v>5198</v>
      </c>
      <c r="E910" s="1969" t="s">
        <v>3199</v>
      </c>
      <c r="F910" s="1969"/>
      <c r="G910" s="1970"/>
      <c r="H910" s="1970"/>
      <c r="K910" s="841" t="s">
        <v>5110</v>
      </c>
      <c r="M910" s="1357"/>
      <c r="Q910" s="1357"/>
      <c r="S910" s="1420"/>
      <c r="T910" s="1420"/>
      <c r="V910" s="1357">
        <v>386</v>
      </c>
    </row>
    <row r="911" spans="1:22" s="841" customFormat="1" ht="15" x14ac:dyDescent="0.25">
      <c r="A911" s="841" t="s">
        <v>4874</v>
      </c>
      <c r="B911" s="841" t="s">
        <v>5198</v>
      </c>
      <c r="E911" s="1969" t="s">
        <v>3200</v>
      </c>
      <c r="F911" s="1969"/>
      <c r="G911" s="1970"/>
      <c r="H911" s="1970"/>
      <c r="K911" s="841" t="s">
        <v>5110</v>
      </c>
      <c r="M911" s="1357"/>
      <c r="Q911" s="1357"/>
      <c r="S911" s="1420"/>
      <c r="T911" s="1420"/>
      <c r="V911" s="1357">
        <v>275</v>
      </c>
    </row>
    <row r="912" spans="1:22" s="841" customFormat="1" ht="15" x14ac:dyDescent="0.25">
      <c r="A912" s="841" t="s">
        <v>4874</v>
      </c>
      <c r="B912" s="841" t="s">
        <v>5198</v>
      </c>
      <c r="E912" s="1972" t="s">
        <v>3067</v>
      </c>
      <c r="F912" s="1972"/>
      <c r="G912" s="1973"/>
      <c r="H912" s="1973"/>
      <c r="K912" s="841" t="s">
        <v>3087</v>
      </c>
      <c r="M912" s="1357"/>
      <c r="Q912" s="1357"/>
      <c r="S912" s="1420"/>
      <c r="T912" s="1420"/>
      <c r="V912" s="1357">
        <v>46</v>
      </c>
    </row>
    <row r="913" spans="1:22" s="841" customFormat="1" ht="15" x14ac:dyDescent="0.25">
      <c r="A913" s="841" t="s">
        <v>4874</v>
      </c>
      <c r="B913" s="841" t="s">
        <v>5198</v>
      </c>
      <c r="E913" s="1382" t="s">
        <v>11</v>
      </c>
      <c r="F913" s="1382"/>
      <c r="G913" s="1111" t="s">
        <v>23</v>
      </c>
      <c r="H913" s="723">
        <v>25.35</v>
      </c>
      <c r="K913" s="841" t="s">
        <v>5110</v>
      </c>
      <c r="L913" s="841" t="s">
        <v>442</v>
      </c>
      <c r="M913" s="1357"/>
      <c r="P913" s="841" t="s">
        <v>5111</v>
      </c>
      <c r="Q913" s="1357"/>
      <c r="S913" s="1420"/>
      <c r="T913" s="1420"/>
      <c r="V913" s="1357">
        <v>14</v>
      </c>
    </row>
    <row r="914" spans="1:22" s="841" customFormat="1" ht="23.25" x14ac:dyDescent="0.25">
      <c r="A914" s="841" t="s">
        <v>4874</v>
      </c>
      <c r="B914" s="841" t="s">
        <v>5198</v>
      </c>
      <c r="E914" s="1382" t="s">
        <v>5109</v>
      </c>
      <c r="F914" s="1382"/>
      <c r="G914" s="1111" t="s">
        <v>23</v>
      </c>
      <c r="H914" s="723">
        <v>0.56999999999999995</v>
      </c>
      <c r="K914" s="841" t="s">
        <v>5110</v>
      </c>
      <c r="L914" s="841" t="s">
        <v>443</v>
      </c>
      <c r="M914" s="1357"/>
      <c r="P914" s="841" t="s">
        <v>5112</v>
      </c>
      <c r="Q914" s="1357"/>
      <c r="S914" s="1420"/>
      <c r="T914" s="1420">
        <v>44926</v>
      </c>
      <c r="V914" s="1357">
        <v>64</v>
      </c>
    </row>
    <row r="915" spans="1:22" s="841" customFormat="1" ht="15" x14ac:dyDescent="0.25">
      <c r="A915" s="841" t="s">
        <v>4874</v>
      </c>
      <c r="B915" s="841" t="s">
        <v>5198</v>
      </c>
      <c r="E915" s="621" t="s">
        <v>5203</v>
      </c>
      <c r="F915" s="621"/>
      <c r="G915" s="1111" t="s">
        <v>23</v>
      </c>
      <c r="H915" s="723">
        <v>0.24</v>
      </c>
      <c r="K915" s="841" t="s">
        <v>5110</v>
      </c>
      <c r="L915" s="841" t="s">
        <v>442</v>
      </c>
      <c r="M915" s="1357"/>
      <c r="P915" s="841" t="s">
        <v>5208</v>
      </c>
      <c r="Q915" s="1357"/>
      <c r="S915" s="1420"/>
      <c r="T915" s="1420"/>
      <c r="V915" s="1357">
        <v>152</v>
      </c>
    </row>
    <row r="916" spans="1:22" s="841" customFormat="1" ht="15" x14ac:dyDescent="0.25">
      <c r="A916" s="841" t="s">
        <v>4874</v>
      </c>
      <c r="B916" s="841" t="s">
        <v>5198</v>
      </c>
      <c r="E916" s="625" t="s">
        <v>5204</v>
      </c>
      <c r="F916" s="625"/>
      <c r="G916" s="1111" t="s">
        <v>23</v>
      </c>
      <c r="H916" s="723">
        <v>0.4</v>
      </c>
      <c r="K916" s="841" t="s">
        <v>5110</v>
      </c>
      <c r="L916" s="841" t="s">
        <v>442</v>
      </c>
      <c r="M916" s="1357"/>
      <c r="P916" s="841" t="s">
        <v>5209</v>
      </c>
      <c r="Q916" s="1357"/>
      <c r="S916" s="1420"/>
      <c r="T916" s="1420">
        <v>43465</v>
      </c>
      <c r="V916" s="1357">
        <v>96</v>
      </c>
    </row>
    <row r="917" spans="1:22" s="841" customFormat="1" ht="15" x14ac:dyDescent="0.25">
      <c r="A917" s="841" t="s">
        <v>4874</v>
      </c>
      <c r="B917" s="841" t="s">
        <v>5198</v>
      </c>
      <c r="E917" s="1382" t="s">
        <v>84</v>
      </c>
      <c r="F917" s="1382"/>
      <c r="G917" s="1111" t="s">
        <v>24</v>
      </c>
      <c r="H917" s="724">
        <v>1.6899999999999998E-2</v>
      </c>
      <c r="K917" s="841" t="s">
        <v>5110</v>
      </c>
      <c r="L917" s="841" t="s">
        <v>442</v>
      </c>
      <c r="M917" s="1357"/>
      <c r="P917" s="841" t="s">
        <v>5113</v>
      </c>
      <c r="Q917" s="1357"/>
      <c r="S917" s="1420"/>
      <c r="T917" s="1420"/>
      <c r="V917" s="1357">
        <v>28</v>
      </c>
    </row>
    <row r="918" spans="1:22" s="841" customFormat="1" ht="45" customHeight="1" x14ac:dyDescent="0.25">
      <c r="A918" s="841" t="s">
        <v>4874</v>
      </c>
      <c r="B918" s="841" t="s">
        <v>5198</v>
      </c>
      <c r="E918" s="2023" t="s">
        <v>5206</v>
      </c>
      <c r="F918" s="2023"/>
      <c r="G918" s="1111" t="s">
        <v>24</v>
      </c>
      <c r="H918" s="724">
        <v>-8.9999999999999998E-4</v>
      </c>
      <c r="K918" s="841" t="s">
        <v>5110</v>
      </c>
      <c r="L918" s="841" t="s">
        <v>443</v>
      </c>
      <c r="M918" s="1357"/>
      <c r="P918" s="841" t="s">
        <v>4818</v>
      </c>
      <c r="Q918" s="1357"/>
      <c r="S918" s="1420"/>
      <c r="T918" s="1420">
        <v>43585</v>
      </c>
      <c r="V918" s="1357">
        <v>153</v>
      </c>
    </row>
    <row r="919" spans="1:22" s="841" customFormat="1" ht="15" x14ac:dyDescent="0.25">
      <c r="A919" s="841" t="s">
        <v>4874</v>
      </c>
      <c r="B919" s="841" t="s">
        <v>5198</v>
      </c>
      <c r="E919" s="621" t="s">
        <v>5210</v>
      </c>
      <c r="F919" s="621"/>
      <c r="G919" s="1111" t="s">
        <v>24</v>
      </c>
      <c r="H919" s="724">
        <v>-1E-3</v>
      </c>
      <c r="K919" s="841" t="s">
        <v>5110</v>
      </c>
      <c r="L919" s="841" t="s">
        <v>443</v>
      </c>
      <c r="M919" s="1357"/>
      <c r="P919" s="841" t="s">
        <v>5124</v>
      </c>
      <c r="Q919" s="1357"/>
      <c r="S919" s="1420"/>
      <c r="T919" s="1420">
        <v>43585</v>
      </c>
      <c r="V919" s="1357">
        <v>108</v>
      </c>
    </row>
    <row r="920" spans="1:22" s="841" customFormat="1" ht="15" x14ac:dyDescent="0.25">
      <c r="A920" s="841" t="s">
        <v>4874</v>
      </c>
      <c r="B920" s="841" t="s">
        <v>5198</v>
      </c>
      <c r="E920" s="621" t="s">
        <v>5203</v>
      </c>
      <c r="F920" s="621"/>
      <c r="G920" s="1111" t="s">
        <v>24</v>
      </c>
      <c r="H920" s="724">
        <v>2.0000000000000001E-4</v>
      </c>
      <c r="K920" s="841" t="s">
        <v>5110</v>
      </c>
      <c r="L920" s="841" t="s">
        <v>442</v>
      </c>
      <c r="M920" s="1357"/>
      <c r="P920" s="841" t="s">
        <v>5211</v>
      </c>
      <c r="Q920" s="1357"/>
      <c r="S920" s="1420"/>
      <c r="T920" s="1420"/>
      <c r="V920" s="1357">
        <v>152</v>
      </c>
    </row>
    <row r="921" spans="1:22" s="841" customFormat="1" ht="15" x14ac:dyDescent="0.25">
      <c r="A921" s="841" t="s">
        <v>4874</v>
      </c>
      <c r="B921" s="841" t="s">
        <v>5198</v>
      </c>
      <c r="E921" s="1382" t="s">
        <v>221</v>
      </c>
      <c r="F921" s="1382"/>
      <c r="G921" s="1111" t="s">
        <v>24</v>
      </c>
      <c r="H921" s="724">
        <v>6.6E-3</v>
      </c>
      <c r="K921" s="841" t="s">
        <v>5110</v>
      </c>
      <c r="L921" s="841" t="s">
        <v>444</v>
      </c>
      <c r="M921" s="1357"/>
      <c r="P921" s="841" t="s">
        <v>5115</v>
      </c>
      <c r="Q921" s="1357"/>
      <c r="S921" s="1420"/>
      <c r="T921" s="1420"/>
      <c r="V921" s="1357">
        <v>47</v>
      </c>
    </row>
    <row r="922" spans="1:22" s="841" customFormat="1" ht="23.25" x14ac:dyDescent="0.25">
      <c r="A922" s="841" t="s">
        <v>4874</v>
      </c>
      <c r="B922" s="841" t="s">
        <v>5198</v>
      </c>
      <c r="E922" s="1382" t="s">
        <v>217</v>
      </c>
      <c r="F922" s="1382"/>
      <c r="G922" s="1111" t="s">
        <v>24</v>
      </c>
      <c r="H922" s="724">
        <v>5.4999999999999997E-3</v>
      </c>
      <c r="K922" s="841" t="s">
        <v>5110</v>
      </c>
      <c r="L922" s="841" t="s">
        <v>444</v>
      </c>
      <c r="M922" s="1357"/>
      <c r="P922" s="841" t="s">
        <v>5116</v>
      </c>
      <c r="Q922" s="1357"/>
      <c r="S922" s="1420"/>
      <c r="T922" s="1420"/>
      <c r="V922" s="1357">
        <v>74</v>
      </c>
    </row>
    <row r="923" spans="1:22" s="841" customFormat="1" ht="26.25" x14ac:dyDescent="0.25">
      <c r="A923" s="841" t="s">
        <v>4874</v>
      </c>
      <c r="B923" s="841" t="s">
        <v>5198</v>
      </c>
      <c r="E923" s="1389" t="s">
        <v>3079</v>
      </c>
      <c r="F923" s="1389"/>
      <c r="G923" s="1111"/>
      <c r="H923" s="1085"/>
      <c r="K923" s="841" t="s">
        <v>3093</v>
      </c>
      <c r="M923" s="1357"/>
      <c r="Q923" s="1357"/>
      <c r="S923" s="1420"/>
      <c r="T923" s="1420"/>
      <c r="V923" s="1357">
        <v>48</v>
      </c>
    </row>
    <row r="924" spans="1:22" s="841" customFormat="1" ht="15" x14ac:dyDescent="0.25">
      <c r="A924" s="841" t="s">
        <v>4874</v>
      </c>
      <c r="B924" s="841" t="s">
        <v>5198</v>
      </c>
      <c r="E924" s="621" t="s">
        <v>2449</v>
      </c>
      <c r="F924" s="621"/>
      <c r="G924" s="1111" t="s">
        <v>24</v>
      </c>
      <c r="H924" s="1117">
        <v>3.2000000000000002E-3</v>
      </c>
      <c r="K924" s="841" t="s">
        <v>5110</v>
      </c>
      <c r="L924" s="841" t="s">
        <v>3046</v>
      </c>
      <c r="M924" s="1357"/>
      <c r="P924" s="841" t="s">
        <v>5117</v>
      </c>
      <c r="Q924" s="1357"/>
      <c r="S924" s="1420"/>
      <c r="T924" s="1420"/>
      <c r="V924" s="1357">
        <v>55</v>
      </c>
    </row>
    <row r="925" spans="1:22" s="841" customFormat="1" ht="15" x14ac:dyDescent="0.25">
      <c r="A925" s="841" t="s">
        <v>4874</v>
      </c>
      <c r="B925" s="841" t="s">
        <v>5198</v>
      </c>
      <c r="E925" s="621" t="s">
        <v>2450</v>
      </c>
      <c r="F925" s="621"/>
      <c r="G925" s="1111" t="s">
        <v>24</v>
      </c>
      <c r="H925" s="1117">
        <v>4.0000000000000002E-4</v>
      </c>
      <c r="K925" s="841" t="s">
        <v>5110</v>
      </c>
      <c r="L925" s="841" t="s">
        <v>3046</v>
      </c>
      <c r="M925" s="1357"/>
      <c r="P925" s="841" t="s">
        <v>5117</v>
      </c>
      <c r="Q925" s="1357"/>
      <c r="S925" s="1420"/>
      <c r="T925" s="1420"/>
      <c r="V925" s="1357">
        <v>65</v>
      </c>
    </row>
    <row r="926" spans="1:22" s="841" customFormat="1" ht="23.25" x14ac:dyDescent="0.25">
      <c r="A926" s="841" t="s">
        <v>4874</v>
      </c>
      <c r="B926" s="841" t="s">
        <v>5198</v>
      </c>
      <c r="E926" s="1382" t="s">
        <v>439</v>
      </c>
      <c r="F926" s="1382"/>
      <c r="G926" s="1111" t="s">
        <v>24</v>
      </c>
      <c r="H926" s="724">
        <v>2.9999999999999997E-4</v>
      </c>
      <c r="K926" s="841" t="s">
        <v>5110</v>
      </c>
      <c r="L926" s="841" t="s">
        <v>3046</v>
      </c>
      <c r="M926" s="1357"/>
      <c r="P926" s="841" t="s">
        <v>5118</v>
      </c>
      <c r="Q926" s="1357"/>
      <c r="S926" s="1420"/>
      <c r="T926" s="1420"/>
      <c r="V926" s="1357">
        <v>57</v>
      </c>
    </row>
    <row r="927" spans="1:22" s="841" customFormat="1" ht="23.25" x14ac:dyDescent="0.25">
      <c r="A927" s="841" t="s">
        <v>4874</v>
      </c>
      <c r="B927" s="841" t="s">
        <v>5198</v>
      </c>
      <c r="E927" s="1382" t="s">
        <v>32</v>
      </c>
      <c r="F927" s="1382"/>
      <c r="G927" s="1111" t="s">
        <v>23</v>
      </c>
      <c r="H927" s="723">
        <v>0.25</v>
      </c>
      <c r="K927" s="841" t="s">
        <v>5110</v>
      </c>
      <c r="L927" s="841" t="s">
        <v>3046</v>
      </c>
      <c r="M927" s="1357"/>
      <c r="P927" s="841" t="s">
        <v>5119</v>
      </c>
      <c r="Q927" s="1357"/>
      <c r="S927" s="1420"/>
      <c r="T927" s="1420"/>
      <c r="V927" s="1357">
        <v>63</v>
      </c>
    </row>
    <row r="928" spans="1:22" s="841" customFormat="1" x14ac:dyDescent="0.25">
      <c r="A928" s="841" t="s">
        <v>4874</v>
      </c>
      <c r="B928" s="841" t="s">
        <v>5198</v>
      </c>
      <c r="E928" s="2019" t="s">
        <v>1711</v>
      </c>
      <c r="F928" s="2019"/>
      <c r="G928" s="2020"/>
      <c r="H928" s="2020"/>
      <c r="K928" s="841" t="s">
        <v>5212</v>
      </c>
      <c r="M928" s="1357"/>
      <c r="Q928" s="1357"/>
      <c r="S928" s="1420"/>
      <c r="T928" s="1420"/>
      <c r="V928" s="1357">
        <v>51</v>
      </c>
    </row>
    <row r="929" spans="1:22" s="841" customFormat="1" ht="15" x14ac:dyDescent="0.25">
      <c r="A929" s="841" t="s">
        <v>4874</v>
      </c>
      <c r="B929" s="841" t="s">
        <v>5198</v>
      </c>
      <c r="E929" s="1969" t="s">
        <v>5213</v>
      </c>
      <c r="F929" s="1969"/>
      <c r="G929" s="1970"/>
      <c r="H929" s="1970"/>
      <c r="K929" s="841" t="s">
        <v>5212</v>
      </c>
      <c r="M929" s="1357"/>
      <c r="Q929" s="1357"/>
      <c r="S929" s="1420"/>
      <c r="T929" s="1420"/>
      <c r="V929" s="1357">
        <v>373</v>
      </c>
    </row>
    <row r="930" spans="1:22" s="841" customFormat="1" ht="15" x14ac:dyDescent="0.25">
      <c r="A930" s="841" t="s">
        <v>4874</v>
      </c>
      <c r="B930" s="841" t="s">
        <v>5198</v>
      </c>
      <c r="E930" s="2017" t="s">
        <v>3061</v>
      </c>
      <c r="F930" s="2017"/>
      <c r="G930" s="2018"/>
      <c r="H930" s="2018"/>
      <c r="K930" s="841" t="s">
        <v>3098</v>
      </c>
      <c r="M930" s="1357"/>
      <c r="Q930" s="1357"/>
      <c r="S930" s="1420"/>
      <c r="T930" s="1420"/>
      <c r="V930" s="1357">
        <v>11</v>
      </c>
    </row>
    <row r="931" spans="1:22" s="841" customFormat="1" ht="15" x14ac:dyDescent="0.25">
      <c r="A931" s="841" t="s">
        <v>4874</v>
      </c>
      <c r="B931" s="841" t="s">
        <v>5198</v>
      </c>
      <c r="E931" s="1969" t="s">
        <v>3063</v>
      </c>
      <c r="F931" s="1969"/>
      <c r="G931" s="1970"/>
      <c r="H931" s="1970"/>
      <c r="K931" s="841" t="s">
        <v>5212</v>
      </c>
      <c r="M931" s="1357"/>
      <c r="Q931" s="1357"/>
      <c r="S931" s="1420"/>
      <c r="T931" s="1420"/>
      <c r="V931" s="1357">
        <v>280</v>
      </c>
    </row>
    <row r="932" spans="1:22" s="841" customFormat="1" ht="15" x14ac:dyDescent="0.25">
      <c r="A932" s="841" t="s">
        <v>4874</v>
      </c>
      <c r="B932" s="841" t="s">
        <v>5198</v>
      </c>
      <c r="E932" s="1969" t="s">
        <v>3064</v>
      </c>
      <c r="F932" s="1969"/>
      <c r="G932" s="1970"/>
      <c r="H932" s="1970"/>
      <c r="K932" s="841" t="s">
        <v>5212</v>
      </c>
      <c r="M932" s="1357"/>
      <c r="Q932" s="1357"/>
      <c r="S932" s="1420"/>
      <c r="T932" s="1420"/>
      <c r="V932" s="1357">
        <v>411</v>
      </c>
    </row>
    <row r="933" spans="1:22" s="841" customFormat="1" ht="15" x14ac:dyDescent="0.25">
      <c r="A933" s="841" t="s">
        <v>4874</v>
      </c>
      <c r="B933" s="841" t="s">
        <v>5198</v>
      </c>
      <c r="E933" s="1969" t="s">
        <v>3199</v>
      </c>
      <c r="F933" s="1969"/>
      <c r="G933" s="1970"/>
      <c r="H933" s="1970"/>
      <c r="K933" s="841" t="s">
        <v>5212</v>
      </c>
      <c r="M933" s="1357"/>
      <c r="Q933" s="1357"/>
      <c r="S933" s="1420"/>
      <c r="T933" s="1420"/>
      <c r="V933" s="1357">
        <v>386</v>
      </c>
    </row>
    <row r="934" spans="1:22" s="841" customFormat="1" ht="15" x14ac:dyDescent="0.25">
      <c r="A934" s="841" t="s">
        <v>4874</v>
      </c>
      <c r="B934" s="841" t="s">
        <v>5198</v>
      </c>
      <c r="E934" s="1969" t="s">
        <v>3200</v>
      </c>
      <c r="F934" s="1969"/>
      <c r="G934" s="1970"/>
      <c r="H934" s="1970"/>
      <c r="K934" s="841" t="s">
        <v>5212</v>
      </c>
      <c r="M934" s="1357"/>
      <c r="Q934" s="1357"/>
      <c r="S934" s="1420"/>
      <c r="T934" s="1420"/>
      <c r="V934" s="1357">
        <v>275</v>
      </c>
    </row>
    <row r="935" spans="1:22" s="841" customFormat="1" ht="15" x14ac:dyDescent="0.25">
      <c r="A935" s="841" t="s">
        <v>4874</v>
      </c>
      <c r="B935" s="841" t="s">
        <v>5198</v>
      </c>
      <c r="E935" s="1972" t="s">
        <v>3067</v>
      </c>
      <c r="F935" s="1972"/>
      <c r="G935" s="1973"/>
      <c r="H935" s="1973"/>
      <c r="K935" s="841" t="s">
        <v>3099</v>
      </c>
      <c r="M935" s="1357"/>
      <c r="Q935" s="1357"/>
      <c r="S935" s="1420"/>
      <c r="T935" s="1420"/>
      <c r="V935" s="1357">
        <v>46</v>
      </c>
    </row>
    <row r="936" spans="1:22" s="841" customFormat="1" ht="15" x14ac:dyDescent="0.25">
      <c r="A936" s="841" t="s">
        <v>4874</v>
      </c>
      <c r="B936" s="841" t="s">
        <v>5198</v>
      </c>
      <c r="E936" s="1382" t="s">
        <v>11</v>
      </c>
      <c r="F936" s="1382"/>
      <c r="G936" s="1111" t="s">
        <v>23</v>
      </c>
      <c r="H936" s="723">
        <v>126.46</v>
      </c>
      <c r="K936" s="841" t="s">
        <v>5212</v>
      </c>
      <c r="L936" s="841" t="s">
        <v>442</v>
      </c>
      <c r="M936" s="1357"/>
      <c r="P936" s="841" t="s">
        <v>5214</v>
      </c>
      <c r="Q936" s="1357"/>
      <c r="S936" s="1420"/>
      <c r="T936" s="1420"/>
      <c r="V936" s="1357">
        <v>14</v>
      </c>
    </row>
    <row r="937" spans="1:22" s="841" customFormat="1" ht="15" x14ac:dyDescent="0.25">
      <c r="A937" s="841" t="s">
        <v>4874</v>
      </c>
      <c r="B937" s="841" t="s">
        <v>5198</v>
      </c>
      <c r="E937" s="621" t="s">
        <v>5203</v>
      </c>
      <c r="F937" s="621"/>
      <c r="G937" s="1118" t="s">
        <v>23</v>
      </c>
      <c r="H937" s="723">
        <v>1.21</v>
      </c>
      <c r="K937" s="841" t="s">
        <v>5212</v>
      </c>
      <c r="L937" s="841" t="s">
        <v>442</v>
      </c>
      <c r="M937" s="1357"/>
      <c r="P937" s="841" t="s">
        <v>5215</v>
      </c>
      <c r="Q937" s="1357"/>
      <c r="S937" s="1420"/>
      <c r="T937" s="1420"/>
      <c r="V937" s="1357">
        <v>152</v>
      </c>
    </row>
    <row r="938" spans="1:22" s="841" customFormat="1" ht="15" x14ac:dyDescent="0.25">
      <c r="A938" s="841" t="s">
        <v>4874</v>
      </c>
      <c r="B938" s="841" t="s">
        <v>5198</v>
      </c>
      <c r="E938" s="625" t="s">
        <v>5204</v>
      </c>
      <c r="F938" s="625"/>
      <c r="G938" s="1118" t="s">
        <v>23</v>
      </c>
      <c r="H938" s="723">
        <v>2.62</v>
      </c>
      <c r="K938" s="841" t="s">
        <v>5212</v>
      </c>
      <c r="L938" s="841" t="s">
        <v>442</v>
      </c>
      <c r="M938" s="1357"/>
      <c r="P938" s="841" t="s">
        <v>5216</v>
      </c>
      <c r="Q938" s="1357"/>
      <c r="S938" s="1420"/>
      <c r="T938" s="1420">
        <v>43465</v>
      </c>
      <c r="V938" s="1357">
        <v>96</v>
      </c>
    </row>
    <row r="939" spans="1:22" s="841" customFormat="1" ht="15" x14ac:dyDescent="0.25">
      <c r="A939" s="841" t="s">
        <v>4874</v>
      </c>
      <c r="B939" s="841" t="s">
        <v>5198</v>
      </c>
      <c r="E939" s="1382" t="s">
        <v>84</v>
      </c>
      <c r="F939" s="1382"/>
      <c r="G939" s="1111" t="s">
        <v>33</v>
      </c>
      <c r="H939" s="724">
        <v>2.8641999999999999</v>
      </c>
      <c r="K939" s="841" t="s">
        <v>5212</v>
      </c>
      <c r="L939" s="841" t="s">
        <v>442</v>
      </c>
      <c r="M939" s="1357"/>
      <c r="P939" s="841" t="s">
        <v>5217</v>
      </c>
      <c r="Q939" s="1357"/>
      <c r="S939" s="1420"/>
      <c r="T939" s="1420"/>
      <c r="V939" s="1357">
        <v>28</v>
      </c>
    </row>
    <row r="940" spans="1:22" s="841" customFormat="1" ht="45.75" customHeight="1" x14ac:dyDescent="0.25">
      <c r="A940" s="841" t="s">
        <v>4874</v>
      </c>
      <c r="B940" s="841" t="s">
        <v>5198</v>
      </c>
      <c r="E940" s="1976" t="s">
        <v>5206</v>
      </c>
      <c r="F940" s="1976"/>
      <c r="G940" s="1118" t="s">
        <v>24</v>
      </c>
      <c r="H940" s="724">
        <v>-8.9999999999999998E-4</v>
      </c>
      <c r="K940" s="841" t="s">
        <v>5212</v>
      </c>
      <c r="L940" s="841" t="s">
        <v>443</v>
      </c>
      <c r="M940" s="1357"/>
      <c r="P940" s="841" t="s">
        <v>5218</v>
      </c>
      <c r="Q940" s="1357"/>
      <c r="S940" s="1420"/>
      <c r="T940" s="1420">
        <v>43585</v>
      </c>
      <c r="V940" s="1357">
        <v>153</v>
      </c>
    </row>
    <row r="941" spans="1:22" s="841" customFormat="1" ht="15" x14ac:dyDescent="0.25">
      <c r="A941" s="841" t="s">
        <v>4874</v>
      </c>
      <c r="B941" s="841" t="s">
        <v>5198</v>
      </c>
      <c r="E941" s="621" t="s">
        <v>5210</v>
      </c>
      <c r="F941" s="621"/>
      <c r="G941" s="1118" t="s">
        <v>33</v>
      </c>
      <c r="H941" s="724">
        <v>5.4999999999999997E-3</v>
      </c>
      <c r="K941" s="841" t="s">
        <v>5212</v>
      </c>
      <c r="L941" s="841" t="s">
        <v>443</v>
      </c>
      <c r="M941" s="1357"/>
      <c r="P941" s="841" t="s">
        <v>5219</v>
      </c>
      <c r="Q941" s="1357"/>
      <c r="S941" s="1420"/>
      <c r="T941" s="1420">
        <v>43585</v>
      </c>
      <c r="V941" s="1357">
        <v>108</v>
      </c>
    </row>
    <row r="942" spans="1:22" s="841" customFormat="1" ht="57" customHeight="1" x14ac:dyDescent="0.25">
      <c r="A942" s="841" t="s">
        <v>4874</v>
      </c>
      <c r="B942" s="841" t="s">
        <v>5198</v>
      </c>
      <c r="E942" s="1976" t="s">
        <v>5220</v>
      </c>
      <c r="F942" s="1976"/>
      <c r="G942" s="1118" t="s">
        <v>33</v>
      </c>
      <c r="H942" s="724">
        <v>-0.36259999999999998</v>
      </c>
      <c r="K942" s="841" t="s">
        <v>5212</v>
      </c>
      <c r="L942" s="841" t="s">
        <v>443</v>
      </c>
      <c r="M942" s="1357"/>
      <c r="P942" s="841" t="s">
        <v>5219</v>
      </c>
      <c r="Q942" s="1357"/>
      <c r="S942" s="1420"/>
      <c r="T942" s="1420">
        <v>43585</v>
      </c>
      <c r="V942" s="1357">
        <v>171</v>
      </c>
    </row>
    <row r="943" spans="1:22" s="841" customFormat="1" ht="15" x14ac:dyDescent="0.25">
      <c r="A943" s="841" t="s">
        <v>4874</v>
      </c>
      <c r="B943" s="841" t="s">
        <v>5198</v>
      </c>
      <c r="E943" s="621" t="s">
        <v>5203</v>
      </c>
      <c r="F943" s="621"/>
      <c r="G943" s="1118" t="s">
        <v>33</v>
      </c>
      <c r="H943" s="724">
        <v>2.7300000000000001E-2</v>
      </c>
      <c r="K943" s="841" t="s">
        <v>5212</v>
      </c>
      <c r="L943" s="841" t="s">
        <v>442</v>
      </c>
      <c r="M943" s="1357"/>
      <c r="P943" s="841" t="s">
        <v>5221</v>
      </c>
      <c r="Q943" s="1357"/>
      <c r="S943" s="1420"/>
      <c r="T943" s="1420"/>
      <c r="V943" s="1357">
        <v>152</v>
      </c>
    </row>
    <row r="944" spans="1:22" s="841" customFormat="1" ht="15" x14ac:dyDescent="0.25">
      <c r="A944" s="841" t="s">
        <v>4874</v>
      </c>
      <c r="B944" s="841" t="s">
        <v>5198</v>
      </c>
      <c r="E944" s="1382" t="s">
        <v>221</v>
      </c>
      <c r="F944" s="1382"/>
      <c r="G944" s="1118" t="s">
        <v>33</v>
      </c>
      <c r="H944" s="724">
        <v>2.5630000000000002</v>
      </c>
      <c r="K944" s="841" t="s">
        <v>5212</v>
      </c>
      <c r="L944" s="841" t="s">
        <v>444</v>
      </c>
      <c r="M944" s="1357"/>
      <c r="P944" s="841" t="s">
        <v>5222</v>
      </c>
      <c r="Q944" s="1357"/>
      <c r="S944" s="1420"/>
      <c r="T944" s="1420"/>
      <c r="V944" s="1357">
        <v>47</v>
      </c>
    </row>
    <row r="945" spans="1:22" s="841" customFormat="1" ht="23.25" x14ac:dyDescent="0.25">
      <c r="A945" s="841" t="s">
        <v>4874</v>
      </c>
      <c r="B945" s="841" t="s">
        <v>5198</v>
      </c>
      <c r="E945" s="1382" t="s">
        <v>217</v>
      </c>
      <c r="F945" s="1382"/>
      <c r="G945" s="1118" t="s">
        <v>33</v>
      </c>
      <c r="H945" s="724">
        <v>2.1878000000000002</v>
      </c>
      <c r="K945" s="841" t="s">
        <v>5212</v>
      </c>
      <c r="L945" s="841" t="s">
        <v>444</v>
      </c>
      <c r="M945" s="1357"/>
      <c r="P945" s="841" t="s">
        <v>5223</v>
      </c>
      <c r="Q945" s="1357"/>
      <c r="S945" s="1420"/>
      <c r="T945" s="1420"/>
      <c r="V945" s="1357">
        <v>74</v>
      </c>
    </row>
    <row r="946" spans="1:22" s="841" customFormat="1" ht="26.25" x14ac:dyDescent="0.25">
      <c r="A946" s="841" t="s">
        <v>4874</v>
      </c>
      <c r="B946" s="841" t="s">
        <v>5198</v>
      </c>
      <c r="E946" s="1389" t="s">
        <v>3079</v>
      </c>
      <c r="F946" s="1389"/>
      <c r="G946" s="1111"/>
      <c r="H946" s="1085"/>
      <c r="K946" s="841" t="s">
        <v>3218</v>
      </c>
      <c r="M946" s="1357"/>
      <c r="Q946" s="1357"/>
      <c r="S946" s="1420"/>
      <c r="T946" s="1420"/>
      <c r="V946" s="1357">
        <v>48</v>
      </c>
    </row>
    <row r="947" spans="1:22" s="841" customFormat="1" ht="15" x14ac:dyDescent="0.25">
      <c r="A947" s="841" t="s">
        <v>4874</v>
      </c>
      <c r="B947" s="841" t="s">
        <v>5198</v>
      </c>
      <c r="E947" s="621" t="s">
        <v>2449</v>
      </c>
      <c r="F947" s="621"/>
      <c r="G947" s="1111" t="s">
        <v>24</v>
      </c>
      <c r="H947" s="1117">
        <v>3.2000000000000002E-3</v>
      </c>
      <c r="K947" s="841" t="s">
        <v>5212</v>
      </c>
      <c r="L947" s="841" t="s">
        <v>3046</v>
      </c>
      <c r="M947" s="1357"/>
      <c r="P947" s="841" t="s">
        <v>5224</v>
      </c>
      <c r="Q947" s="1357"/>
      <c r="S947" s="1420"/>
      <c r="T947" s="1420"/>
      <c r="V947" s="1357">
        <v>55</v>
      </c>
    </row>
    <row r="948" spans="1:22" s="841" customFormat="1" ht="15" x14ac:dyDescent="0.25">
      <c r="A948" s="841" t="s">
        <v>4874</v>
      </c>
      <c r="B948" s="841" t="s">
        <v>5198</v>
      </c>
      <c r="E948" s="621" t="s">
        <v>2450</v>
      </c>
      <c r="F948" s="621"/>
      <c r="G948" s="1111" t="s">
        <v>24</v>
      </c>
      <c r="H948" s="1117">
        <v>4.0000000000000002E-4</v>
      </c>
      <c r="K948" s="841" t="s">
        <v>5212</v>
      </c>
      <c r="L948" s="841" t="s">
        <v>3046</v>
      </c>
      <c r="M948" s="1357"/>
      <c r="P948" s="841" t="s">
        <v>5224</v>
      </c>
      <c r="Q948" s="1357"/>
      <c r="S948" s="1420"/>
      <c r="T948" s="1420"/>
      <c r="V948" s="1357">
        <v>65</v>
      </c>
    </row>
    <row r="949" spans="1:22" s="841" customFormat="1" ht="23.25" x14ac:dyDescent="0.25">
      <c r="A949" s="841" t="s">
        <v>4874</v>
      </c>
      <c r="B949" s="841" t="s">
        <v>5198</v>
      </c>
      <c r="E949" s="1382" t="s">
        <v>439</v>
      </c>
      <c r="F949" s="1382"/>
      <c r="G949" s="1111" t="s">
        <v>24</v>
      </c>
      <c r="H949" s="724">
        <v>2.9999999999999997E-4</v>
      </c>
      <c r="K949" s="841" t="s">
        <v>5212</v>
      </c>
      <c r="L949" s="841" t="s">
        <v>3046</v>
      </c>
      <c r="M949" s="1357"/>
      <c r="P949" s="841" t="s">
        <v>5225</v>
      </c>
      <c r="Q949" s="1357"/>
      <c r="S949" s="1420"/>
      <c r="T949" s="1420"/>
      <c r="V949" s="1357">
        <v>57</v>
      </c>
    </row>
    <row r="950" spans="1:22" s="841" customFormat="1" ht="23.25" x14ac:dyDescent="0.25">
      <c r="A950" s="841" t="s">
        <v>4874</v>
      </c>
      <c r="B950" s="841" t="s">
        <v>5198</v>
      </c>
      <c r="E950" s="1382" t="s">
        <v>32</v>
      </c>
      <c r="F950" s="1382"/>
      <c r="G950" s="1111" t="s">
        <v>23</v>
      </c>
      <c r="H950" s="723">
        <v>0.25</v>
      </c>
      <c r="K950" s="841" t="s">
        <v>5212</v>
      </c>
      <c r="L950" s="841" t="s">
        <v>3046</v>
      </c>
      <c r="M950" s="1357"/>
      <c r="P950" s="841" t="s">
        <v>5226</v>
      </c>
      <c r="Q950" s="1357"/>
      <c r="S950" s="1420"/>
      <c r="T950" s="1420"/>
      <c r="V950" s="1357">
        <v>63</v>
      </c>
    </row>
    <row r="951" spans="1:22" s="841" customFormat="1" x14ac:dyDescent="0.25">
      <c r="A951" s="841" t="s">
        <v>4874</v>
      </c>
      <c r="B951" s="841" t="s">
        <v>5198</v>
      </c>
      <c r="E951" s="2019" t="s">
        <v>1712</v>
      </c>
      <c r="F951" s="2019"/>
      <c r="G951" s="2020"/>
      <c r="H951" s="2020"/>
      <c r="K951" s="841" t="s">
        <v>5227</v>
      </c>
      <c r="M951" s="1357"/>
      <c r="Q951" s="1357"/>
      <c r="S951" s="1420"/>
      <c r="T951" s="1420"/>
      <c r="V951" s="1357">
        <v>54</v>
      </c>
    </row>
    <row r="952" spans="1:22" s="841" customFormat="1" ht="15" x14ac:dyDescent="0.25">
      <c r="A952" s="841" t="s">
        <v>4874</v>
      </c>
      <c r="B952" s="841" t="s">
        <v>5198</v>
      </c>
      <c r="E952" s="1969" t="s">
        <v>5228</v>
      </c>
      <c r="F952" s="1969"/>
      <c r="G952" s="1970"/>
      <c r="H952" s="1970"/>
      <c r="K952" s="841" t="s">
        <v>5227</v>
      </c>
      <c r="M952" s="1357"/>
      <c r="Q952" s="1357"/>
      <c r="S952" s="1420"/>
      <c r="T952" s="1420"/>
      <c r="V952" s="1357">
        <v>388</v>
      </c>
    </row>
    <row r="953" spans="1:22" s="841" customFormat="1" ht="15" x14ac:dyDescent="0.25">
      <c r="A953" s="841" t="s">
        <v>4874</v>
      </c>
      <c r="B953" s="841" t="s">
        <v>5198</v>
      </c>
      <c r="E953" s="2017" t="s">
        <v>3061</v>
      </c>
      <c r="F953" s="2017"/>
      <c r="G953" s="2018"/>
      <c r="H953" s="2018"/>
      <c r="K953" s="841" t="s">
        <v>3221</v>
      </c>
      <c r="M953" s="1357"/>
      <c r="Q953" s="1357"/>
      <c r="S953" s="1420"/>
      <c r="T953" s="1420"/>
      <c r="V953" s="1357">
        <v>11</v>
      </c>
    </row>
    <row r="954" spans="1:22" s="841" customFormat="1" ht="15" x14ac:dyDescent="0.25">
      <c r="A954" s="841" t="s">
        <v>4874</v>
      </c>
      <c r="B954" s="841" t="s">
        <v>5198</v>
      </c>
      <c r="E954" s="1969" t="s">
        <v>3063</v>
      </c>
      <c r="F954" s="1969"/>
      <c r="G954" s="1970"/>
      <c r="H954" s="1970"/>
      <c r="K954" s="841" t="s">
        <v>5227</v>
      </c>
      <c r="M954" s="1357"/>
      <c r="Q954" s="1357"/>
      <c r="S954" s="1420"/>
      <c r="T954" s="1420"/>
      <c r="V954" s="1357">
        <v>280</v>
      </c>
    </row>
    <row r="955" spans="1:22" s="841" customFormat="1" ht="15" x14ac:dyDescent="0.25">
      <c r="A955" s="841" t="s">
        <v>4874</v>
      </c>
      <c r="B955" s="841" t="s">
        <v>5198</v>
      </c>
      <c r="E955" s="1969" t="s">
        <v>3064</v>
      </c>
      <c r="F955" s="1969"/>
      <c r="G955" s="1970"/>
      <c r="H955" s="1970"/>
      <c r="K955" s="841" t="s">
        <v>5227</v>
      </c>
      <c r="M955" s="1357"/>
      <c r="Q955" s="1357"/>
      <c r="S955" s="1420"/>
      <c r="T955" s="1420"/>
      <c r="V955" s="1357">
        <v>411</v>
      </c>
    </row>
    <row r="956" spans="1:22" s="841" customFormat="1" ht="15" x14ac:dyDescent="0.25">
      <c r="A956" s="841" t="s">
        <v>4874</v>
      </c>
      <c r="B956" s="841" t="s">
        <v>5198</v>
      </c>
      <c r="E956" s="1969" t="s">
        <v>3199</v>
      </c>
      <c r="F956" s="1969"/>
      <c r="G956" s="1970"/>
      <c r="H956" s="1970"/>
      <c r="K956" s="841" t="s">
        <v>5227</v>
      </c>
      <c r="M956" s="1357"/>
      <c r="Q956" s="1357"/>
      <c r="S956" s="1420"/>
      <c r="T956" s="1420"/>
      <c r="V956" s="1357">
        <v>386</v>
      </c>
    </row>
    <row r="957" spans="1:22" s="841" customFormat="1" ht="15" x14ac:dyDescent="0.25">
      <c r="A957" s="841" t="s">
        <v>4874</v>
      </c>
      <c r="B957" s="841" t="s">
        <v>5198</v>
      </c>
      <c r="E957" s="1969" t="s">
        <v>3200</v>
      </c>
      <c r="F957" s="1969"/>
      <c r="G957" s="1970"/>
      <c r="H957" s="1970"/>
      <c r="K957" s="841" t="s">
        <v>5227</v>
      </c>
      <c r="M957" s="1357"/>
      <c r="Q957" s="1357"/>
      <c r="S957" s="1420"/>
      <c r="T957" s="1420"/>
      <c r="V957" s="1357">
        <v>275</v>
      </c>
    </row>
    <row r="958" spans="1:22" s="841" customFormat="1" ht="15" x14ac:dyDescent="0.25">
      <c r="A958" s="841" t="s">
        <v>4874</v>
      </c>
      <c r="B958" s="841" t="s">
        <v>5198</v>
      </c>
      <c r="E958" s="1972" t="s">
        <v>3067</v>
      </c>
      <c r="F958" s="1972"/>
      <c r="G958" s="1973"/>
      <c r="H958" s="1973"/>
      <c r="K958" s="841" t="s">
        <v>3224</v>
      </c>
      <c r="M958" s="1357"/>
      <c r="Q958" s="1357"/>
      <c r="S958" s="1420"/>
      <c r="T958" s="1420"/>
      <c r="V958" s="1357">
        <v>46</v>
      </c>
    </row>
    <row r="959" spans="1:22" s="841" customFormat="1" ht="15" x14ac:dyDescent="0.25">
      <c r="A959" s="841" t="s">
        <v>4874</v>
      </c>
      <c r="B959" s="841" t="s">
        <v>5198</v>
      </c>
      <c r="E959" s="1382" t="s">
        <v>11</v>
      </c>
      <c r="F959" s="1382"/>
      <c r="G959" s="1119" t="s">
        <v>23</v>
      </c>
      <c r="H959" s="1112">
        <v>1141.02</v>
      </c>
      <c r="K959" s="841" t="s">
        <v>5227</v>
      </c>
      <c r="L959" s="841" t="s">
        <v>442</v>
      </c>
      <c r="M959" s="1357"/>
      <c r="P959" s="841" t="s">
        <v>5229</v>
      </c>
      <c r="Q959" s="1357"/>
      <c r="S959" s="1420"/>
      <c r="T959" s="1420"/>
      <c r="V959" s="1357">
        <v>14</v>
      </c>
    </row>
    <row r="960" spans="1:22" s="841" customFormat="1" ht="15" x14ac:dyDescent="0.25">
      <c r="A960" s="841" t="s">
        <v>4874</v>
      </c>
      <c r="B960" s="841" t="s">
        <v>5198</v>
      </c>
      <c r="E960" s="621" t="s">
        <v>5203</v>
      </c>
      <c r="F960" s="621"/>
      <c r="G960" s="1119" t="s">
        <v>23</v>
      </c>
      <c r="H960" s="723">
        <v>10.89</v>
      </c>
      <c r="K960" s="841" t="s">
        <v>5227</v>
      </c>
      <c r="L960" s="841" t="s">
        <v>442</v>
      </c>
      <c r="M960" s="1357"/>
      <c r="P960" s="841" t="s">
        <v>5230</v>
      </c>
      <c r="Q960" s="1357"/>
      <c r="S960" s="1420"/>
      <c r="T960" s="1420"/>
      <c r="V960" s="1357">
        <v>152</v>
      </c>
    </row>
    <row r="961" spans="1:22" s="841" customFormat="1" ht="15" x14ac:dyDescent="0.25">
      <c r="A961" s="841" t="s">
        <v>4874</v>
      </c>
      <c r="B961" s="841" t="s">
        <v>5198</v>
      </c>
      <c r="E961" s="625" t="s">
        <v>5204</v>
      </c>
      <c r="F961" s="625"/>
      <c r="G961" s="1119" t="s">
        <v>23</v>
      </c>
      <c r="H961" s="723">
        <v>28.18</v>
      </c>
      <c r="K961" s="841" t="s">
        <v>5227</v>
      </c>
      <c r="L961" s="841" t="s">
        <v>442</v>
      </c>
      <c r="M961" s="1357"/>
      <c r="P961" s="841" t="s">
        <v>5231</v>
      </c>
      <c r="Q961" s="1357"/>
      <c r="S961" s="1420"/>
      <c r="T961" s="1420">
        <v>43465</v>
      </c>
      <c r="V961" s="1357">
        <v>96</v>
      </c>
    </row>
    <row r="962" spans="1:22" s="841" customFormat="1" ht="15" x14ac:dyDescent="0.25">
      <c r="A962" s="841" t="s">
        <v>4874</v>
      </c>
      <c r="B962" s="841" t="s">
        <v>5198</v>
      </c>
      <c r="E962" s="1382" t="s">
        <v>84</v>
      </c>
      <c r="F962" s="1382"/>
      <c r="G962" s="1111" t="s">
        <v>33</v>
      </c>
      <c r="H962" s="1115">
        <v>3.3250000000000002</v>
      </c>
      <c r="K962" s="841" t="s">
        <v>5227</v>
      </c>
      <c r="L962" s="841" t="s">
        <v>442</v>
      </c>
      <c r="M962" s="1357"/>
      <c r="P962" s="841" t="s">
        <v>5232</v>
      </c>
      <c r="Q962" s="1357"/>
      <c r="S962" s="1420"/>
      <c r="T962" s="1420"/>
      <c r="V962" s="1357">
        <v>28</v>
      </c>
    </row>
    <row r="963" spans="1:22" s="841" customFormat="1" ht="45.75" customHeight="1" x14ac:dyDescent="0.25">
      <c r="A963" s="841" t="s">
        <v>4874</v>
      </c>
      <c r="B963" s="841" t="s">
        <v>5198</v>
      </c>
      <c r="E963" s="1976" t="s">
        <v>5206</v>
      </c>
      <c r="F963" s="1976"/>
      <c r="G963" s="1119" t="s">
        <v>24</v>
      </c>
      <c r="H963" s="724">
        <v>-8.9999999999999998E-4</v>
      </c>
      <c r="K963" s="841" t="s">
        <v>5227</v>
      </c>
      <c r="L963" s="841" t="s">
        <v>443</v>
      </c>
      <c r="M963" s="1357"/>
      <c r="P963" s="841" t="s">
        <v>5233</v>
      </c>
      <c r="Q963" s="1357"/>
      <c r="S963" s="1420"/>
      <c r="T963" s="1420">
        <v>43585</v>
      </c>
      <c r="V963" s="1357">
        <v>153</v>
      </c>
    </row>
    <row r="964" spans="1:22" s="841" customFormat="1" ht="15" x14ac:dyDescent="0.25">
      <c r="A964" s="841" t="s">
        <v>4874</v>
      </c>
      <c r="B964" s="841" t="s">
        <v>5198</v>
      </c>
      <c r="E964" s="621" t="s">
        <v>5210</v>
      </c>
      <c r="F964" s="621"/>
      <c r="G964" s="1119" t="s">
        <v>33</v>
      </c>
      <c r="H964" s="724">
        <v>6.7000000000000002E-3</v>
      </c>
      <c r="K964" s="841" t="s">
        <v>5227</v>
      </c>
      <c r="L964" s="841" t="s">
        <v>443</v>
      </c>
      <c r="M964" s="1357"/>
      <c r="P964" s="841" t="s">
        <v>5234</v>
      </c>
      <c r="Q964" s="1357"/>
      <c r="S964" s="1420"/>
      <c r="T964" s="1420">
        <v>43585</v>
      </c>
      <c r="V964" s="1357">
        <v>108</v>
      </c>
    </row>
    <row r="965" spans="1:22" s="841" customFormat="1" ht="57" customHeight="1" x14ac:dyDescent="0.25">
      <c r="A965" s="841" t="s">
        <v>4874</v>
      </c>
      <c r="B965" s="841" t="s">
        <v>5198</v>
      </c>
      <c r="E965" s="1976" t="s">
        <v>5220</v>
      </c>
      <c r="F965" s="1976"/>
      <c r="G965" s="1119" t="s">
        <v>33</v>
      </c>
      <c r="H965" s="724">
        <v>-0.42249999999999999</v>
      </c>
      <c r="K965" s="841" t="s">
        <v>5227</v>
      </c>
      <c r="L965" s="841" t="s">
        <v>443</v>
      </c>
      <c r="M965" s="1357"/>
      <c r="P965" s="841" t="s">
        <v>5234</v>
      </c>
      <c r="Q965" s="1357"/>
      <c r="S965" s="1420"/>
      <c r="T965" s="1420">
        <v>43585</v>
      </c>
      <c r="V965" s="1357">
        <v>171</v>
      </c>
    </row>
    <row r="966" spans="1:22" s="841" customFormat="1" ht="15" x14ac:dyDescent="0.25">
      <c r="A966" s="841" t="s">
        <v>4874</v>
      </c>
      <c r="B966" s="841" t="s">
        <v>5198</v>
      </c>
      <c r="E966" s="621" t="s">
        <v>5203</v>
      </c>
      <c r="F966" s="621"/>
      <c r="G966" s="1119" t="s">
        <v>33</v>
      </c>
      <c r="H966" s="724">
        <v>3.1699999999999999E-2</v>
      </c>
      <c r="K966" s="841" t="s">
        <v>5227</v>
      </c>
      <c r="L966" s="841" t="s">
        <v>442</v>
      </c>
      <c r="M966" s="1357"/>
      <c r="P966" s="841" t="s">
        <v>5235</v>
      </c>
      <c r="Q966" s="1357"/>
      <c r="S966" s="1420"/>
      <c r="T966" s="1420"/>
      <c r="V966" s="1357">
        <v>152</v>
      </c>
    </row>
    <row r="967" spans="1:22" s="841" customFormat="1" ht="15" x14ac:dyDescent="0.25">
      <c r="A967" s="841" t="s">
        <v>4874</v>
      </c>
      <c r="B967" s="841" t="s">
        <v>5198</v>
      </c>
      <c r="E967" s="1382" t="s">
        <v>221</v>
      </c>
      <c r="F967" s="1382"/>
      <c r="G967" s="1119" t="s">
        <v>33</v>
      </c>
      <c r="H967" s="724">
        <v>2.8742999999999999</v>
      </c>
      <c r="K967" s="841" t="s">
        <v>5227</v>
      </c>
      <c r="L967" s="841" t="s">
        <v>444</v>
      </c>
      <c r="M967" s="1357"/>
      <c r="P967" s="841" t="s">
        <v>5236</v>
      </c>
      <c r="Q967" s="1357"/>
      <c r="S967" s="1420"/>
      <c r="T967" s="1420"/>
      <c r="V967" s="1357">
        <v>47</v>
      </c>
    </row>
    <row r="968" spans="1:22" s="841" customFormat="1" ht="23.25" x14ac:dyDescent="0.25">
      <c r="A968" s="841" t="s">
        <v>4874</v>
      </c>
      <c r="B968" s="841" t="s">
        <v>5198</v>
      </c>
      <c r="E968" s="1382" t="s">
        <v>217</v>
      </c>
      <c r="F968" s="1382"/>
      <c r="G968" s="1119" t="s">
        <v>33</v>
      </c>
      <c r="H968" s="724">
        <v>2.3517000000000001</v>
      </c>
      <c r="K968" s="841" t="s">
        <v>5227</v>
      </c>
      <c r="L968" s="841" t="s">
        <v>444</v>
      </c>
      <c r="M968" s="1357"/>
      <c r="P968" s="841" t="s">
        <v>5237</v>
      </c>
      <c r="Q968" s="1357"/>
      <c r="S968" s="1420"/>
      <c r="T968" s="1420"/>
      <c r="V968" s="1357">
        <v>74</v>
      </c>
    </row>
    <row r="969" spans="1:22" s="841" customFormat="1" ht="26.25" x14ac:dyDescent="0.25">
      <c r="A969" s="841" t="s">
        <v>4874</v>
      </c>
      <c r="B969" s="841" t="s">
        <v>5198</v>
      </c>
      <c r="E969" s="1389" t="s">
        <v>3079</v>
      </c>
      <c r="F969" s="1389"/>
      <c r="G969" s="1111"/>
      <c r="H969" s="1085"/>
      <c r="K969" s="841" t="s">
        <v>3225</v>
      </c>
      <c r="M969" s="1357"/>
      <c r="Q969" s="1357"/>
      <c r="S969" s="1420"/>
      <c r="T969" s="1420"/>
      <c r="V969" s="1357">
        <v>48</v>
      </c>
    </row>
    <row r="970" spans="1:22" s="841" customFormat="1" ht="15" x14ac:dyDescent="0.25">
      <c r="A970" s="841" t="s">
        <v>4874</v>
      </c>
      <c r="B970" s="841" t="s">
        <v>5198</v>
      </c>
      <c r="E970" s="621" t="s">
        <v>2449</v>
      </c>
      <c r="F970" s="621"/>
      <c r="G970" s="1111" t="s">
        <v>24</v>
      </c>
      <c r="H970" s="1117">
        <v>3.2000000000000002E-3</v>
      </c>
      <c r="K970" s="841" t="s">
        <v>5227</v>
      </c>
      <c r="L970" s="841" t="s">
        <v>3046</v>
      </c>
      <c r="M970" s="1357"/>
      <c r="P970" s="841" t="s">
        <v>5238</v>
      </c>
      <c r="Q970" s="1357"/>
      <c r="S970" s="1420"/>
      <c r="T970" s="1420"/>
      <c r="V970" s="1357">
        <v>55</v>
      </c>
    </row>
    <row r="971" spans="1:22" s="841" customFormat="1" ht="15" x14ac:dyDescent="0.25">
      <c r="A971" s="841" t="s">
        <v>4874</v>
      </c>
      <c r="B971" s="841" t="s">
        <v>5198</v>
      </c>
      <c r="E971" s="621" t="s">
        <v>2450</v>
      </c>
      <c r="F971" s="621"/>
      <c r="G971" s="1111" t="s">
        <v>24</v>
      </c>
      <c r="H971" s="1117">
        <v>4.0000000000000002E-4</v>
      </c>
      <c r="K971" s="841" t="s">
        <v>5227</v>
      </c>
      <c r="L971" s="841" t="s">
        <v>3046</v>
      </c>
      <c r="M971" s="1357"/>
      <c r="P971" s="841" t="s">
        <v>5238</v>
      </c>
      <c r="Q971" s="1357"/>
      <c r="S971" s="1420"/>
      <c r="T971" s="1420"/>
      <c r="V971" s="1357">
        <v>65</v>
      </c>
    </row>
    <row r="972" spans="1:22" s="841" customFormat="1" ht="23.25" x14ac:dyDescent="0.25">
      <c r="A972" s="841" t="s">
        <v>4874</v>
      </c>
      <c r="B972" s="841" t="s">
        <v>5198</v>
      </c>
      <c r="E972" s="1382" t="s">
        <v>439</v>
      </c>
      <c r="F972" s="1382"/>
      <c r="G972" s="1111" t="s">
        <v>24</v>
      </c>
      <c r="H972" s="724">
        <v>2.9999999999999997E-4</v>
      </c>
      <c r="K972" s="841" t="s">
        <v>5227</v>
      </c>
      <c r="L972" s="841" t="s">
        <v>3046</v>
      </c>
      <c r="M972" s="1357"/>
      <c r="P972" s="841" t="s">
        <v>5239</v>
      </c>
      <c r="Q972" s="1357"/>
      <c r="S972" s="1420"/>
      <c r="T972" s="1420"/>
      <c r="V972" s="1357">
        <v>57</v>
      </c>
    </row>
    <row r="973" spans="1:22" s="841" customFormat="1" ht="23.25" x14ac:dyDescent="0.25">
      <c r="A973" s="841" t="s">
        <v>4874</v>
      </c>
      <c r="B973" s="841" t="s">
        <v>5198</v>
      </c>
      <c r="E973" s="1382" t="s">
        <v>32</v>
      </c>
      <c r="F973" s="1382"/>
      <c r="G973" s="1111" t="s">
        <v>23</v>
      </c>
      <c r="H973" s="723">
        <v>0.25</v>
      </c>
      <c r="K973" s="841" t="s">
        <v>5227</v>
      </c>
      <c r="L973" s="841" t="s">
        <v>3046</v>
      </c>
      <c r="M973" s="1357"/>
      <c r="P973" s="841" t="s">
        <v>5240</v>
      </c>
      <c r="Q973" s="1357"/>
      <c r="S973" s="1420"/>
      <c r="T973" s="1420"/>
      <c r="V973" s="1357">
        <v>63</v>
      </c>
    </row>
    <row r="974" spans="1:22" s="841" customFormat="1" x14ac:dyDescent="0.25">
      <c r="A974" s="841" t="s">
        <v>4874</v>
      </c>
      <c r="B974" s="841" t="s">
        <v>5198</v>
      </c>
      <c r="E974" s="2019" t="s">
        <v>621</v>
      </c>
      <c r="F974" s="2019"/>
      <c r="G974" s="2020"/>
      <c r="H974" s="2020"/>
      <c r="K974" s="841" t="s">
        <v>3226</v>
      </c>
      <c r="M974" s="1357"/>
      <c r="Q974" s="1357"/>
      <c r="S974" s="1420"/>
      <c r="T974" s="1420"/>
      <c r="V974" s="1357">
        <v>32</v>
      </c>
    </row>
    <row r="975" spans="1:22" s="841" customFormat="1" ht="15" x14ac:dyDescent="0.25">
      <c r="A975" s="841" t="s">
        <v>4874</v>
      </c>
      <c r="B975" s="841" t="s">
        <v>5198</v>
      </c>
      <c r="E975" s="1969" t="s">
        <v>5241</v>
      </c>
      <c r="F975" s="1969"/>
      <c r="G975" s="1970"/>
      <c r="H975" s="1970"/>
      <c r="K975" s="841" t="s">
        <v>3226</v>
      </c>
      <c r="M975" s="1357"/>
      <c r="Q975" s="1357"/>
      <c r="S975" s="1420"/>
      <c r="T975" s="1420"/>
      <c r="V975" s="1357">
        <v>387</v>
      </c>
    </row>
    <row r="976" spans="1:22" s="841" customFormat="1" ht="15" x14ac:dyDescent="0.25">
      <c r="A976" s="841" t="s">
        <v>4874</v>
      </c>
      <c r="B976" s="841" t="s">
        <v>5198</v>
      </c>
      <c r="E976" s="2017" t="s">
        <v>3061</v>
      </c>
      <c r="F976" s="2017"/>
      <c r="G976" s="2018"/>
      <c r="H976" s="2018"/>
      <c r="K976" s="841" t="s">
        <v>3107</v>
      </c>
      <c r="M976" s="1357"/>
      <c r="Q976" s="1357"/>
      <c r="S976" s="1420"/>
      <c r="T976" s="1420"/>
      <c r="V976" s="1357">
        <v>11</v>
      </c>
    </row>
    <row r="977" spans="1:22" s="841" customFormat="1" ht="15" x14ac:dyDescent="0.25">
      <c r="A977" s="841" t="s">
        <v>4874</v>
      </c>
      <c r="B977" s="841" t="s">
        <v>5198</v>
      </c>
      <c r="E977" s="1969" t="s">
        <v>3063</v>
      </c>
      <c r="F977" s="1969"/>
      <c r="G977" s="1970"/>
      <c r="H977" s="1970"/>
      <c r="K977" s="841" t="s">
        <v>3226</v>
      </c>
      <c r="M977" s="1357"/>
      <c r="Q977" s="1357"/>
      <c r="S977" s="1420"/>
      <c r="T977" s="1420"/>
      <c r="V977" s="1357">
        <v>280</v>
      </c>
    </row>
    <row r="978" spans="1:22" s="841" customFormat="1" ht="15" x14ac:dyDescent="0.25">
      <c r="A978" s="841" t="s">
        <v>4874</v>
      </c>
      <c r="B978" s="841" t="s">
        <v>5198</v>
      </c>
      <c r="E978" s="1969" t="s">
        <v>3064</v>
      </c>
      <c r="F978" s="1969"/>
      <c r="G978" s="1970"/>
      <c r="H978" s="1970"/>
      <c r="K978" s="841" t="s">
        <v>3226</v>
      </c>
      <c r="M978" s="1357"/>
      <c r="Q978" s="1357"/>
      <c r="S978" s="1420"/>
      <c r="T978" s="1420"/>
      <c r="V978" s="1357">
        <v>411</v>
      </c>
    </row>
    <row r="979" spans="1:22" s="841" customFormat="1" ht="15" x14ac:dyDescent="0.25">
      <c r="A979" s="841" t="s">
        <v>4874</v>
      </c>
      <c r="B979" s="841" t="s">
        <v>5198</v>
      </c>
      <c r="E979" s="1969" t="s">
        <v>3199</v>
      </c>
      <c r="F979" s="1969"/>
      <c r="G979" s="1970"/>
      <c r="H979" s="1970"/>
      <c r="K979" s="841" t="s">
        <v>3226</v>
      </c>
      <c r="M979" s="1357"/>
      <c r="Q979" s="1357"/>
      <c r="S979" s="1420"/>
      <c r="T979" s="1420"/>
      <c r="V979" s="1357">
        <v>386</v>
      </c>
    </row>
    <row r="980" spans="1:22" s="841" customFormat="1" ht="15" x14ac:dyDescent="0.25">
      <c r="A980" s="841" t="s">
        <v>4874</v>
      </c>
      <c r="B980" s="841" t="s">
        <v>5198</v>
      </c>
      <c r="E980" s="1969" t="s">
        <v>3200</v>
      </c>
      <c r="F980" s="1969"/>
      <c r="G980" s="1970"/>
      <c r="H980" s="1970"/>
      <c r="K980" s="841" t="s">
        <v>3226</v>
      </c>
      <c r="M980" s="1357"/>
      <c r="Q980" s="1357"/>
      <c r="S980" s="1420"/>
      <c r="T980" s="1420"/>
      <c r="V980" s="1357">
        <v>275</v>
      </c>
    </row>
    <row r="981" spans="1:22" s="841" customFormat="1" ht="15" x14ac:dyDescent="0.25">
      <c r="A981" s="841" t="s">
        <v>4874</v>
      </c>
      <c r="B981" s="841" t="s">
        <v>5198</v>
      </c>
      <c r="E981" s="1972" t="s">
        <v>3067</v>
      </c>
      <c r="F981" s="1972"/>
      <c r="G981" s="1973"/>
      <c r="H981" s="1973"/>
      <c r="K981" s="841" t="s">
        <v>3108</v>
      </c>
      <c r="M981" s="1357"/>
      <c r="Q981" s="1357"/>
      <c r="S981" s="1420"/>
      <c r="T981" s="1420"/>
      <c r="V981" s="1357">
        <v>46</v>
      </c>
    </row>
    <row r="982" spans="1:22" s="841" customFormat="1" ht="15" x14ac:dyDescent="0.25">
      <c r="A982" s="841" t="s">
        <v>4874</v>
      </c>
      <c r="B982" s="841" t="s">
        <v>5198</v>
      </c>
      <c r="E982" s="1382" t="s">
        <v>11</v>
      </c>
      <c r="F982" s="1382"/>
      <c r="G982" s="1111" t="s">
        <v>23</v>
      </c>
      <c r="H982" s="1120">
        <v>4748.01</v>
      </c>
      <c r="K982" s="841" t="s">
        <v>3226</v>
      </c>
      <c r="L982" s="841" t="s">
        <v>442</v>
      </c>
      <c r="M982" s="1357"/>
      <c r="P982" s="841" t="s">
        <v>3228</v>
      </c>
      <c r="Q982" s="1357"/>
      <c r="S982" s="1420"/>
      <c r="T982" s="1420"/>
      <c r="V982" s="1357">
        <v>14</v>
      </c>
    </row>
    <row r="983" spans="1:22" s="841" customFormat="1" ht="15" x14ac:dyDescent="0.25">
      <c r="A983" s="841" t="s">
        <v>4874</v>
      </c>
      <c r="B983" s="841" t="s">
        <v>5198</v>
      </c>
      <c r="E983" s="621" t="s">
        <v>5203</v>
      </c>
      <c r="F983" s="621"/>
      <c r="G983" s="1111" t="s">
        <v>23</v>
      </c>
      <c r="H983" s="723">
        <v>45.33</v>
      </c>
      <c r="K983" s="841" t="s">
        <v>3226</v>
      </c>
      <c r="L983" s="841" t="s">
        <v>442</v>
      </c>
      <c r="M983" s="1357"/>
      <c r="P983" s="841" t="s">
        <v>5242</v>
      </c>
      <c r="Q983" s="1357"/>
      <c r="S983" s="1420"/>
      <c r="T983" s="1420"/>
      <c r="V983" s="1357">
        <v>152</v>
      </c>
    </row>
    <row r="984" spans="1:22" s="841" customFormat="1" ht="15" x14ac:dyDescent="0.25">
      <c r="A984" s="841" t="s">
        <v>4874</v>
      </c>
      <c r="B984" s="841" t="s">
        <v>5198</v>
      </c>
      <c r="E984" s="625" t="s">
        <v>5204</v>
      </c>
      <c r="F984" s="625"/>
      <c r="G984" s="1111" t="s">
        <v>23</v>
      </c>
      <c r="H984" s="723">
        <v>119.38</v>
      </c>
      <c r="K984" s="841" t="s">
        <v>3226</v>
      </c>
      <c r="L984" s="841" t="s">
        <v>442</v>
      </c>
      <c r="M984" s="1357"/>
      <c r="P984" s="841" t="s">
        <v>5243</v>
      </c>
      <c r="Q984" s="1357"/>
      <c r="S984" s="1420"/>
      <c r="T984" s="1420">
        <v>43465</v>
      </c>
      <c r="V984" s="1357">
        <v>96</v>
      </c>
    </row>
    <row r="985" spans="1:22" s="841" customFormat="1" ht="15" x14ac:dyDescent="0.25">
      <c r="A985" s="841" t="s">
        <v>4874</v>
      </c>
      <c r="B985" s="841" t="s">
        <v>5198</v>
      </c>
      <c r="E985" s="1382" t="s">
        <v>84</v>
      </c>
      <c r="F985" s="1382"/>
      <c r="G985" s="1111" t="s">
        <v>33</v>
      </c>
      <c r="H985" s="724">
        <v>2.5173999999999999</v>
      </c>
      <c r="K985" s="841" t="s">
        <v>3226</v>
      </c>
      <c r="L985" s="841" t="s">
        <v>442</v>
      </c>
      <c r="M985" s="1357"/>
      <c r="P985" s="841" t="s">
        <v>3229</v>
      </c>
      <c r="Q985" s="1357"/>
      <c r="S985" s="1420"/>
      <c r="T985" s="1420"/>
      <c r="V985" s="1357">
        <v>28</v>
      </c>
    </row>
    <row r="986" spans="1:22" s="841" customFormat="1" ht="45.75" customHeight="1" x14ac:dyDescent="0.25">
      <c r="A986" s="841" t="s">
        <v>4874</v>
      </c>
      <c r="B986" s="841" t="s">
        <v>5198</v>
      </c>
      <c r="E986" s="1976" t="s">
        <v>5206</v>
      </c>
      <c r="F986" s="1976"/>
      <c r="G986" s="1111" t="s">
        <v>24</v>
      </c>
      <c r="H986" s="724">
        <v>-8.9999999999999998E-4</v>
      </c>
      <c r="K986" s="841" t="s">
        <v>3226</v>
      </c>
      <c r="L986" s="841" t="s">
        <v>443</v>
      </c>
      <c r="M986" s="1357"/>
      <c r="P986" s="841" t="s">
        <v>4357</v>
      </c>
      <c r="Q986" s="1357"/>
      <c r="S986" s="1420"/>
      <c r="T986" s="1420">
        <v>43585</v>
      </c>
      <c r="V986" s="1357">
        <v>153</v>
      </c>
    </row>
    <row r="987" spans="1:22" s="841" customFormat="1" ht="15" x14ac:dyDescent="0.25">
      <c r="A987" s="841" t="s">
        <v>4874</v>
      </c>
      <c r="B987" s="841" t="s">
        <v>5198</v>
      </c>
      <c r="E987" s="621" t="s">
        <v>5210</v>
      </c>
      <c r="F987" s="621"/>
      <c r="G987" s="1111" t="s">
        <v>33</v>
      </c>
      <c r="H987" s="724">
        <v>-0.55200000000000005</v>
      </c>
      <c r="K987" s="841" t="s">
        <v>3226</v>
      </c>
      <c r="L987" s="841" t="s">
        <v>443</v>
      </c>
      <c r="M987" s="1357"/>
      <c r="P987" s="841" t="s">
        <v>3232</v>
      </c>
      <c r="Q987" s="1357"/>
      <c r="S987" s="1420"/>
      <c r="T987" s="1420">
        <v>43585</v>
      </c>
      <c r="V987" s="1357">
        <v>108</v>
      </c>
    </row>
    <row r="988" spans="1:22" s="841" customFormat="1" ht="15" x14ac:dyDescent="0.25">
      <c r="A988" s="841" t="s">
        <v>4874</v>
      </c>
      <c r="B988" s="841" t="s">
        <v>5198</v>
      </c>
      <c r="E988" s="621" t="s">
        <v>5203</v>
      </c>
      <c r="F988" s="621"/>
      <c r="G988" s="1111" t="s">
        <v>33</v>
      </c>
      <c r="H988" s="724">
        <v>2.4E-2</v>
      </c>
      <c r="K988" s="841" t="s">
        <v>3226</v>
      </c>
      <c r="L988" s="841" t="s">
        <v>442</v>
      </c>
      <c r="M988" s="1357"/>
      <c r="P988" s="841" t="s">
        <v>5244</v>
      </c>
      <c r="Q988" s="1357"/>
      <c r="S988" s="1420"/>
      <c r="T988" s="1420"/>
      <c r="V988" s="1357">
        <v>152</v>
      </c>
    </row>
    <row r="989" spans="1:22" s="841" customFormat="1" ht="15" x14ac:dyDescent="0.25">
      <c r="A989" s="841" t="s">
        <v>4874</v>
      </c>
      <c r="B989" s="841" t="s">
        <v>5198</v>
      </c>
      <c r="E989" s="1382" t="s">
        <v>221</v>
      </c>
      <c r="F989" s="1382"/>
      <c r="G989" s="1111" t="s">
        <v>33</v>
      </c>
      <c r="H989" s="1115">
        <v>3.2532000000000001</v>
      </c>
      <c r="K989" s="841" t="s">
        <v>3226</v>
      </c>
      <c r="L989" s="841" t="s">
        <v>444</v>
      </c>
      <c r="M989" s="1357"/>
      <c r="P989" s="841" t="s">
        <v>3600</v>
      </c>
      <c r="Q989" s="1357"/>
      <c r="S989" s="1420"/>
      <c r="T989" s="1420"/>
      <c r="V989" s="1357">
        <v>47</v>
      </c>
    </row>
    <row r="990" spans="1:22" s="841" customFormat="1" ht="23.25" x14ac:dyDescent="0.25">
      <c r="A990" s="841" t="s">
        <v>4874</v>
      </c>
      <c r="B990" s="841" t="s">
        <v>5198</v>
      </c>
      <c r="E990" s="1382" t="s">
        <v>217</v>
      </c>
      <c r="F990" s="1382"/>
      <c r="G990" s="1111" t="s">
        <v>33</v>
      </c>
      <c r="H990" s="1115">
        <v>2.7181000000000002</v>
      </c>
      <c r="K990" s="841" t="s">
        <v>3226</v>
      </c>
      <c r="L990" s="841" t="s">
        <v>444</v>
      </c>
      <c r="M990" s="1357"/>
      <c r="P990" s="841" t="s">
        <v>3601</v>
      </c>
      <c r="Q990" s="1357"/>
      <c r="S990" s="1420"/>
      <c r="T990" s="1420"/>
      <c r="V990" s="1357">
        <v>74</v>
      </c>
    </row>
    <row r="991" spans="1:22" s="841" customFormat="1" ht="26.25" x14ac:dyDescent="0.25">
      <c r="A991" s="841" t="s">
        <v>4874</v>
      </c>
      <c r="B991" s="841" t="s">
        <v>5198</v>
      </c>
      <c r="E991" s="1389" t="s">
        <v>3079</v>
      </c>
      <c r="F991" s="1389"/>
      <c r="G991" s="1111"/>
      <c r="H991" s="1085"/>
      <c r="K991" s="841" t="s">
        <v>3111</v>
      </c>
      <c r="M991" s="1357"/>
      <c r="Q991" s="1357"/>
      <c r="S991" s="1420"/>
      <c r="T991" s="1420"/>
      <c r="V991" s="1357">
        <v>48</v>
      </c>
    </row>
    <row r="992" spans="1:22" s="841" customFormat="1" ht="15" x14ac:dyDescent="0.25">
      <c r="A992" s="841" t="s">
        <v>4874</v>
      </c>
      <c r="B992" s="841" t="s">
        <v>5198</v>
      </c>
      <c r="E992" s="621" t="s">
        <v>2449</v>
      </c>
      <c r="F992" s="621"/>
      <c r="G992" s="1111" t="s">
        <v>24</v>
      </c>
      <c r="H992" s="1117">
        <v>3.2000000000000002E-3</v>
      </c>
      <c r="K992" s="841" t="s">
        <v>3226</v>
      </c>
      <c r="L992" s="841" t="s">
        <v>3046</v>
      </c>
      <c r="M992" s="1357"/>
      <c r="P992" s="841" t="s">
        <v>3235</v>
      </c>
      <c r="Q992" s="1357"/>
      <c r="S992" s="1420"/>
      <c r="T992" s="1420"/>
      <c r="V992" s="1357">
        <v>55</v>
      </c>
    </row>
    <row r="993" spans="1:22" s="841" customFormat="1" ht="15" x14ac:dyDescent="0.25">
      <c r="A993" s="841" t="s">
        <v>4874</v>
      </c>
      <c r="B993" s="841" t="s">
        <v>5198</v>
      </c>
      <c r="E993" s="621" t="s">
        <v>2450</v>
      </c>
      <c r="F993" s="621"/>
      <c r="G993" s="1111" t="s">
        <v>24</v>
      </c>
      <c r="H993" s="1117">
        <v>4.0000000000000002E-4</v>
      </c>
      <c r="K993" s="841" t="s">
        <v>3226</v>
      </c>
      <c r="L993" s="841" t="s">
        <v>3046</v>
      </c>
      <c r="M993" s="1357"/>
      <c r="P993" s="841" t="s">
        <v>3235</v>
      </c>
      <c r="Q993" s="1357"/>
      <c r="S993" s="1420"/>
      <c r="T993" s="1420"/>
      <c r="V993" s="1357">
        <v>65</v>
      </c>
    </row>
    <row r="994" spans="1:22" s="841" customFormat="1" ht="23.25" x14ac:dyDescent="0.25">
      <c r="A994" s="841" t="s">
        <v>4874</v>
      </c>
      <c r="B994" s="841" t="s">
        <v>5198</v>
      </c>
      <c r="E994" s="1382" t="s">
        <v>439</v>
      </c>
      <c r="F994" s="1382"/>
      <c r="G994" s="1111" t="s">
        <v>24</v>
      </c>
      <c r="H994" s="724">
        <v>2.9999999999999997E-4</v>
      </c>
      <c r="K994" s="841" t="s">
        <v>3226</v>
      </c>
      <c r="L994" s="841" t="s">
        <v>3046</v>
      </c>
      <c r="M994" s="1357"/>
      <c r="P994" s="841" t="s">
        <v>3236</v>
      </c>
      <c r="Q994" s="1357"/>
      <c r="S994" s="1420"/>
      <c r="T994" s="1420"/>
      <c r="V994" s="1357">
        <v>57</v>
      </c>
    </row>
    <row r="995" spans="1:22" s="841" customFormat="1" ht="23.25" x14ac:dyDescent="0.25">
      <c r="A995" s="841" t="s">
        <v>4874</v>
      </c>
      <c r="B995" s="841" t="s">
        <v>5198</v>
      </c>
      <c r="E995" s="1382" t="s">
        <v>32</v>
      </c>
      <c r="F995" s="1382"/>
      <c r="G995" s="1111" t="s">
        <v>23</v>
      </c>
      <c r="H995" s="723">
        <v>0.25</v>
      </c>
      <c r="K995" s="841" t="s">
        <v>3226</v>
      </c>
      <c r="L995" s="841" t="s">
        <v>3046</v>
      </c>
      <c r="M995" s="1357"/>
      <c r="P995" s="841" t="s">
        <v>3237</v>
      </c>
      <c r="Q995" s="1357"/>
      <c r="S995" s="1420"/>
      <c r="T995" s="1420"/>
      <c r="V995" s="1357">
        <v>63</v>
      </c>
    </row>
    <row r="996" spans="1:22" s="841" customFormat="1" x14ac:dyDescent="0.25">
      <c r="A996" s="841" t="s">
        <v>4874</v>
      </c>
      <c r="B996" s="841" t="s">
        <v>5198</v>
      </c>
      <c r="E996" s="2019" t="s">
        <v>617</v>
      </c>
      <c r="F996" s="2019"/>
      <c r="G996" s="2020"/>
      <c r="H996" s="2020"/>
      <c r="K996" s="841" t="s">
        <v>3238</v>
      </c>
      <c r="M996" s="1357"/>
      <c r="Q996" s="1357"/>
      <c r="S996" s="1420"/>
      <c r="T996" s="1420"/>
      <c r="V996" s="1357">
        <v>47</v>
      </c>
    </row>
    <row r="997" spans="1:22" s="841" customFormat="1" ht="15" x14ac:dyDescent="0.25">
      <c r="A997" s="841" t="s">
        <v>4874</v>
      </c>
      <c r="B997" s="841" t="s">
        <v>5198</v>
      </c>
      <c r="E997" s="1969" t="s">
        <v>5245</v>
      </c>
      <c r="F997" s="1969"/>
      <c r="G997" s="1970"/>
      <c r="H997" s="1970"/>
      <c r="K997" s="841" t="s">
        <v>3238</v>
      </c>
      <c r="M997" s="1357"/>
      <c r="Q997" s="1357"/>
      <c r="S997" s="1420"/>
      <c r="T997" s="1420"/>
      <c r="V997" s="1357">
        <v>681</v>
      </c>
    </row>
    <row r="998" spans="1:22" s="841" customFormat="1" ht="15" x14ac:dyDescent="0.25">
      <c r="A998" s="841" t="s">
        <v>4874</v>
      </c>
      <c r="B998" s="841" t="s">
        <v>5198</v>
      </c>
      <c r="E998" s="2017" t="s">
        <v>3061</v>
      </c>
      <c r="F998" s="2017"/>
      <c r="G998" s="2018"/>
      <c r="H998" s="2018"/>
      <c r="K998" s="841" t="s">
        <v>3114</v>
      </c>
      <c r="M998" s="1357"/>
      <c r="Q998" s="1357"/>
      <c r="S998" s="1420"/>
      <c r="T998" s="1420"/>
      <c r="V998" s="1357">
        <v>11</v>
      </c>
    </row>
    <row r="999" spans="1:22" s="841" customFormat="1" ht="15" x14ac:dyDescent="0.25">
      <c r="A999" s="841" t="s">
        <v>4874</v>
      </c>
      <c r="B999" s="841" t="s">
        <v>5198</v>
      </c>
      <c r="E999" s="1969" t="s">
        <v>3063</v>
      </c>
      <c r="F999" s="1969"/>
      <c r="G999" s="1970"/>
      <c r="H999" s="1970"/>
      <c r="K999" s="841" t="s">
        <v>3238</v>
      </c>
      <c r="M999" s="1357"/>
      <c r="Q999" s="1357"/>
      <c r="S999" s="1420"/>
      <c r="T999" s="1420"/>
      <c r="V999" s="1357">
        <v>280</v>
      </c>
    </row>
    <row r="1000" spans="1:22" s="841" customFormat="1" ht="15" x14ac:dyDescent="0.25">
      <c r="A1000" s="841" t="s">
        <v>4874</v>
      </c>
      <c r="B1000" s="841" t="s">
        <v>5198</v>
      </c>
      <c r="E1000" s="1969" t="s">
        <v>3064</v>
      </c>
      <c r="F1000" s="1969"/>
      <c r="G1000" s="1970"/>
      <c r="H1000" s="1970"/>
      <c r="K1000" s="841" t="s">
        <v>3238</v>
      </c>
      <c r="M1000" s="1357"/>
      <c r="Q1000" s="1357"/>
      <c r="S1000" s="1420"/>
      <c r="T1000" s="1420"/>
      <c r="V1000" s="1357">
        <v>411</v>
      </c>
    </row>
    <row r="1001" spans="1:22" s="841" customFormat="1" ht="15" x14ac:dyDescent="0.25">
      <c r="A1001" s="841" t="s">
        <v>4874</v>
      </c>
      <c r="B1001" s="841" t="s">
        <v>5198</v>
      </c>
      <c r="E1001" s="1969" t="s">
        <v>3199</v>
      </c>
      <c r="F1001" s="1969"/>
      <c r="G1001" s="1970"/>
      <c r="H1001" s="1970"/>
      <c r="K1001" s="841" t="s">
        <v>3238</v>
      </c>
      <c r="M1001" s="1357"/>
      <c r="Q1001" s="1357"/>
      <c r="S1001" s="1420"/>
      <c r="T1001" s="1420"/>
      <c r="V1001" s="1357">
        <v>386</v>
      </c>
    </row>
    <row r="1002" spans="1:22" s="841" customFormat="1" ht="15" x14ac:dyDescent="0.25">
      <c r="A1002" s="841" t="s">
        <v>4874</v>
      </c>
      <c r="B1002" s="841" t="s">
        <v>5198</v>
      </c>
      <c r="E1002" s="1969" t="s">
        <v>3200</v>
      </c>
      <c r="F1002" s="1969"/>
      <c r="G1002" s="1970"/>
      <c r="H1002" s="1970"/>
      <c r="K1002" s="841" t="s">
        <v>3238</v>
      </c>
      <c r="M1002" s="1357"/>
      <c r="Q1002" s="1357"/>
      <c r="S1002" s="1420"/>
      <c r="T1002" s="1420"/>
      <c r="V1002" s="1357">
        <v>275</v>
      </c>
    </row>
    <row r="1003" spans="1:22" s="841" customFormat="1" ht="15" x14ac:dyDescent="0.25">
      <c r="A1003" s="841" t="s">
        <v>4874</v>
      </c>
      <c r="B1003" s="841" t="s">
        <v>5198</v>
      </c>
      <c r="E1003" s="1972" t="s">
        <v>3067</v>
      </c>
      <c r="F1003" s="1972"/>
      <c r="G1003" s="1973"/>
      <c r="H1003" s="1973"/>
      <c r="K1003" s="841" t="s">
        <v>3115</v>
      </c>
      <c r="M1003" s="1357"/>
      <c r="Q1003" s="1357"/>
      <c r="S1003" s="1420"/>
      <c r="T1003" s="1420"/>
      <c r="V1003" s="1357">
        <v>46</v>
      </c>
    </row>
    <row r="1004" spans="1:22" s="841" customFormat="1" ht="15" x14ac:dyDescent="0.25">
      <c r="A1004" s="841" t="s">
        <v>4874</v>
      </c>
      <c r="B1004" s="841" t="s">
        <v>5198</v>
      </c>
      <c r="E1004" s="1382" t="s">
        <v>11</v>
      </c>
      <c r="F1004" s="1382"/>
      <c r="G1004" s="1111" t="s">
        <v>23</v>
      </c>
      <c r="H1004" s="1112">
        <v>1.1000000000000001</v>
      </c>
      <c r="K1004" s="841" t="s">
        <v>3238</v>
      </c>
      <c r="L1004" s="841" t="s">
        <v>442</v>
      </c>
      <c r="M1004" s="1357"/>
      <c r="P1004" s="841" t="s">
        <v>3240</v>
      </c>
      <c r="Q1004" s="1357"/>
      <c r="S1004" s="1420"/>
      <c r="T1004" s="1420"/>
      <c r="V1004" s="1357">
        <v>14</v>
      </c>
    </row>
    <row r="1005" spans="1:22" s="841" customFormat="1" ht="15" x14ac:dyDescent="0.25">
      <c r="A1005" s="841" t="s">
        <v>4874</v>
      </c>
      <c r="B1005" s="841" t="s">
        <v>5198</v>
      </c>
      <c r="E1005" s="621" t="s">
        <v>5203</v>
      </c>
      <c r="F1005" s="621"/>
      <c r="G1005" s="1111" t="s">
        <v>23</v>
      </c>
      <c r="H1005" s="723">
        <v>0.01</v>
      </c>
      <c r="K1005" s="841" t="s">
        <v>3238</v>
      </c>
      <c r="L1005" s="841" t="s">
        <v>442</v>
      </c>
      <c r="M1005" s="1357"/>
      <c r="P1005" s="841" t="s">
        <v>5246</v>
      </c>
      <c r="Q1005" s="1357"/>
      <c r="S1005" s="1420"/>
      <c r="T1005" s="1420"/>
      <c r="V1005" s="1357">
        <v>152</v>
      </c>
    </row>
    <row r="1006" spans="1:22" s="841" customFormat="1" ht="15" x14ac:dyDescent="0.25">
      <c r="A1006" s="841" t="s">
        <v>4874</v>
      </c>
      <c r="B1006" s="841" t="s">
        <v>5198</v>
      </c>
      <c r="E1006" s="625" t="s">
        <v>5204</v>
      </c>
      <c r="F1006" s="625"/>
      <c r="G1006" s="1111" t="s">
        <v>23</v>
      </c>
      <c r="H1006" s="723">
        <v>0.04</v>
      </c>
      <c r="K1006" s="841" t="s">
        <v>3238</v>
      </c>
      <c r="L1006" s="841" t="s">
        <v>442</v>
      </c>
      <c r="M1006" s="1357"/>
      <c r="P1006" s="841" t="s">
        <v>5247</v>
      </c>
      <c r="Q1006" s="1357"/>
      <c r="S1006" s="1420"/>
      <c r="T1006" s="1420">
        <v>43465</v>
      </c>
      <c r="V1006" s="1357">
        <v>96</v>
      </c>
    </row>
    <row r="1007" spans="1:22" s="841" customFormat="1" ht="15" x14ac:dyDescent="0.25">
      <c r="A1007" s="841" t="s">
        <v>4874</v>
      </c>
      <c r="B1007" s="841" t="s">
        <v>5198</v>
      </c>
      <c r="E1007" s="1382" t="s">
        <v>84</v>
      </c>
      <c r="F1007" s="1382"/>
      <c r="G1007" s="1111" t="s">
        <v>24</v>
      </c>
      <c r="H1007" s="724">
        <v>0.02</v>
      </c>
      <c r="K1007" s="841" t="s">
        <v>3238</v>
      </c>
      <c r="L1007" s="841" t="s">
        <v>442</v>
      </c>
      <c r="M1007" s="1357"/>
      <c r="P1007" s="841" t="s">
        <v>3241</v>
      </c>
      <c r="Q1007" s="1357"/>
      <c r="S1007" s="1420"/>
      <c r="T1007" s="1420"/>
      <c r="V1007" s="1357">
        <v>28</v>
      </c>
    </row>
    <row r="1008" spans="1:22" s="841" customFormat="1" ht="45.75" customHeight="1" x14ac:dyDescent="0.25">
      <c r="A1008" s="841" t="s">
        <v>4874</v>
      </c>
      <c r="B1008" s="841" t="s">
        <v>5198</v>
      </c>
      <c r="E1008" s="1976" t="s">
        <v>5206</v>
      </c>
      <c r="F1008" s="1976"/>
      <c r="G1008" s="1111" t="s">
        <v>24</v>
      </c>
      <c r="H1008" s="724">
        <v>-8.9999999999999998E-4</v>
      </c>
      <c r="K1008" s="841" t="s">
        <v>3238</v>
      </c>
      <c r="L1008" s="841" t="s">
        <v>443</v>
      </c>
      <c r="M1008" s="1357"/>
      <c r="P1008" s="841" t="s">
        <v>3663</v>
      </c>
      <c r="Q1008" s="1357"/>
      <c r="S1008" s="1420"/>
      <c r="T1008" s="1420">
        <v>43585</v>
      </c>
      <c r="V1008" s="1357">
        <v>153</v>
      </c>
    </row>
    <row r="1009" spans="1:22" s="841" customFormat="1" ht="15" x14ac:dyDescent="0.25">
      <c r="A1009" s="841" t="s">
        <v>4874</v>
      </c>
      <c r="B1009" s="841" t="s">
        <v>5198</v>
      </c>
      <c r="E1009" s="621" t="s">
        <v>5210</v>
      </c>
      <c r="F1009" s="621"/>
      <c r="G1009" s="1111" t="s">
        <v>24</v>
      </c>
      <c r="H1009" s="724">
        <v>-1E-3</v>
      </c>
      <c r="K1009" s="841" t="s">
        <v>3238</v>
      </c>
      <c r="L1009" s="841" t="s">
        <v>443</v>
      </c>
      <c r="M1009" s="1357"/>
      <c r="P1009" s="841" t="s">
        <v>3244</v>
      </c>
      <c r="Q1009" s="1357"/>
      <c r="S1009" s="1420"/>
      <c r="T1009" s="1420">
        <v>43585</v>
      </c>
      <c r="V1009" s="1357">
        <v>108</v>
      </c>
    </row>
    <row r="1010" spans="1:22" s="841" customFormat="1" ht="15" x14ac:dyDescent="0.25">
      <c r="A1010" s="841" t="s">
        <v>4874</v>
      </c>
      <c r="B1010" s="841" t="s">
        <v>5198</v>
      </c>
      <c r="E1010" s="621" t="s">
        <v>5203</v>
      </c>
      <c r="F1010" s="621"/>
      <c r="G1010" s="1111" t="s">
        <v>24</v>
      </c>
      <c r="H1010" s="724">
        <v>2.0000000000000001E-4</v>
      </c>
      <c r="K1010" s="841" t="s">
        <v>3238</v>
      </c>
      <c r="L1010" s="841" t="s">
        <v>442</v>
      </c>
      <c r="M1010" s="1357"/>
      <c r="P1010" s="841" t="s">
        <v>5248</v>
      </c>
      <c r="Q1010" s="1357"/>
      <c r="S1010" s="1420"/>
      <c r="T1010" s="1420"/>
      <c r="V1010" s="1357">
        <v>152</v>
      </c>
    </row>
    <row r="1011" spans="1:22" s="841" customFormat="1" ht="15" x14ac:dyDescent="0.25">
      <c r="A1011" s="841" t="s">
        <v>4874</v>
      </c>
      <c r="B1011" s="841" t="s">
        <v>5198</v>
      </c>
      <c r="E1011" s="1382" t="s">
        <v>221</v>
      </c>
      <c r="F1011" s="1382"/>
      <c r="G1011" s="1111" t="s">
        <v>24</v>
      </c>
      <c r="H1011" s="724">
        <v>6.6E-3</v>
      </c>
      <c r="K1011" s="841" t="s">
        <v>3238</v>
      </c>
      <c r="L1011" s="841" t="s">
        <v>444</v>
      </c>
      <c r="M1011" s="1357"/>
      <c r="P1011" s="841" t="s">
        <v>3245</v>
      </c>
      <c r="Q1011" s="1357"/>
      <c r="S1011" s="1420"/>
      <c r="T1011" s="1420"/>
      <c r="V1011" s="1357">
        <v>47</v>
      </c>
    </row>
    <row r="1012" spans="1:22" s="841" customFormat="1" ht="23.25" x14ac:dyDescent="0.25">
      <c r="A1012" s="841" t="s">
        <v>4874</v>
      </c>
      <c r="B1012" s="841" t="s">
        <v>5198</v>
      </c>
      <c r="E1012" s="1382" t="s">
        <v>217</v>
      </c>
      <c r="F1012" s="1382"/>
      <c r="G1012" s="1111" t="s">
        <v>24</v>
      </c>
      <c r="H1012" s="724">
        <v>5.4999999999999997E-3</v>
      </c>
      <c r="K1012" s="841" t="s">
        <v>3238</v>
      </c>
      <c r="L1012" s="841" t="s">
        <v>444</v>
      </c>
      <c r="M1012" s="1357"/>
      <c r="P1012" s="841" t="s">
        <v>3246</v>
      </c>
      <c r="Q1012" s="1357"/>
      <c r="S1012" s="1420"/>
      <c r="T1012" s="1420"/>
      <c r="V1012" s="1357">
        <v>74</v>
      </c>
    </row>
    <row r="1013" spans="1:22" s="841" customFormat="1" ht="26.25" x14ac:dyDescent="0.25">
      <c r="A1013" s="841" t="s">
        <v>4874</v>
      </c>
      <c r="B1013" s="841" t="s">
        <v>5198</v>
      </c>
      <c r="E1013" s="1389" t="s">
        <v>3079</v>
      </c>
      <c r="F1013" s="1389"/>
      <c r="G1013" s="1111"/>
      <c r="H1013" s="1085"/>
      <c r="K1013" s="841" t="s">
        <v>3122</v>
      </c>
      <c r="M1013" s="1357"/>
      <c r="Q1013" s="1357"/>
      <c r="S1013" s="1420"/>
      <c r="T1013" s="1420"/>
      <c r="V1013" s="1357">
        <v>48</v>
      </c>
    </row>
    <row r="1014" spans="1:22" s="841" customFormat="1" ht="15" x14ac:dyDescent="0.25">
      <c r="A1014" s="841" t="s">
        <v>4874</v>
      </c>
      <c r="B1014" s="841" t="s">
        <v>5198</v>
      </c>
      <c r="E1014" s="621" t="s">
        <v>2449</v>
      </c>
      <c r="F1014" s="621"/>
      <c r="G1014" s="1111" t="s">
        <v>24</v>
      </c>
      <c r="H1014" s="1117">
        <v>3.2000000000000002E-3</v>
      </c>
      <c r="K1014" s="841" t="s">
        <v>3238</v>
      </c>
      <c r="L1014" s="841" t="s">
        <v>3046</v>
      </c>
      <c r="M1014" s="1357"/>
      <c r="P1014" s="841" t="s">
        <v>3247</v>
      </c>
      <c r="Q1014" s="1357"/>
      <c r="S1014" s="1420"/>
      <c r="T1014" s="1420"/>
      <c r="V1014" s="1357">
        <v>55</v>
      </c>
    </row>
    <row r="1015" spans="1:22" s="841" customFormat="1" ht="15" x14ac:dyDescent="0.25">
      <c r="A1015" s="841" t="s">
        <v>4874</v>
      </c>
      <c r="B1015" s="841" t="s">
        <v>5198</v>
      </c>
      <c r="E1015" s="621" t="s">
        <v>2450</v>
      </c>
      <c r="F1015" s="621"/>
      <c r="G1015" s="1111" t="s">
        <v>24</v>
      </c>
      <c r="H1015" s="1117">
        <v>4.0000000000000002E-4</v>
      </c>
      <c r="K1015" s="841" t="s">
        <v>3238</v>
      </c>
      <c r="L1015" s="841" t="s">
        <v>3046</v>
      </c>
      <c r="M1015" s="1357"/>
      <c r="P1015" s="841" t="s">
        <v>3247</v>
      </c>
      <c r="Q1015" s="1357"/>
      <c r="S1015" s="1420"/>
      <c r="T1015" s="1420"/>
      <c r="V1015" s="1357">
        <v>65</v>
      </c>
    </row>
    <row r="1016" spans="1:22" s="841" customFormat="1" ht="23.25" x14ac:dyDescent="0.25">
      <c r="A1016" s="841" t="s">
        <v>4874</v>
      </c>
      <c r="B1016" s="841" t="s">
        <v>5198</v>
      </c>
      <c r="E1016" s="1382" t="s">
        <v>439</v>
      </c>
      <c r="F1016" s="1382"/>
      <c r="G1016" s="1111" t="s">
        <v>24</v>
      </c>
      <c r="H1016" s="724">
        <v>2.9999999999999997E-4</v>
      </c>
      <c r="K1016" s="841" t="s">
        <v>3238</v>
      </c>
      <c r="L1016" s="841" t="s">
        <v>3046</v>
      </c>
      <c r="M1016" s="1357"/>
      <c r="P1016" s="841" t="s">
        <v>3248</v>
      </c>
      <c r="Q1016" s="1357"/>
      <c r="S1016" s="1420"/>
      <c r="T1016" s="1420"/>
      <c r="V1016" s="1357">
        <v>57</v>
      </c>
    </row>
    <row r="1017" spans="1:22" s="841" customFormat="1" ht="23.25" x14ac:dyDescent="0.25">
      <c r="A1017" s="841" t="s">
        <v>4874</v>
      </c>
      <c r="B1017" s="841" t="s">
        <v>5198</v>
      </c>
      <c r="E1017" s="1382" t="s">
        <v>32</v>
      </c>
      <c r="F1017" s="1382"/>
      <c r="G1017" s="1111" t="s">
        <v>23</v>
      </c>
      <c r="H1017" s="723">
        <v>0.25</v>
      </c>
      <c r="K1017" s="841" t="s">
        <v>3238</v>
      </c>
      <c r="L1017" s="841" t="s">
        <v>3046</v>
      </c>
      <c r="M1017" s="1357"/>
      <c r="P1017" s="841" t="s">
        <v>3249</v>
      </c>
      <c r="Q1017" s="1357"/>
      <c r="S1017" s="1420"/>
      <c r="T1017" s="1420"/>
      <c r="V1017" s="1357">
        <v>63</v>
      </c>
    </row>
    <row r="1018" spans="1:22" s="841" customFormat="1" x14ac:dyDescent="0.25">
      <c r="A1018" s="841" t="s">
        <v>4874</v>
      </c>
      <c r="B1018" s="841" t="s">
        <v>5198</v>
      </c>
      <c r="E1018" s="2019" t="s">
        <v>615</v>
      </c>
      <c r="F1018" s="2019"/>
      <c r="G1018" s="2020"/>
      <c r="H1018" s="2020"/>
      <c r="K1018" s="841" t="s">
        <v>3477</v>
      </c>
      <c r="M1018" s="1357"/>
      <c r="Q1018" s="1357"/>
      <c r="S1018" s="1420"/>
      <c r="T1018" s="1420"/>
      <c r="V1018" s="1357">
        <v>38</v>
      </c>
    </row>
    <row r="1019" spans="1:22" s="841" customFormat="1" ht="15" x14ac:dyDescent="0.25">
      <c r="A1019" s="841" t="s">
        <v>4874</v>
      </c>
      <c r="B1019" s="841" t="s">
        <v>5198</v>
      </c>
      <c r="E1019" s="2048" t="s">
        <v>5249</v>
      </c>
      <c r="F1019" s="2048"/>
      <c r="G1019" s="2018"/>
      <c r="H1019" s="2018"/>
      <c r="K1019" s="841" t="s">
        <v>3477</v>
      </c>
      <c r="M1019" s="1357"/>
      <c r="Q1019" s="1357"/>
      <c r="S1019" s="1420"/>
      <c r="T1019" s="1420"/>
      <c r="V1019" s="1357">
        <v>542</v>
      </c>
    </row>
    <row r="1020" spans="1:22" s="841" customFormat="1" ht="15" x14ac:dyDescent="0.25">
      <c r="A1020" s="841" t="s">
        <v>4874</v>
      </c>
      <c r="B1020" s="841" t="s">
        <v>5198</v>
      </c>
      <c r="E1020" s="2017" t="s">
        <v>3061</v>
      </c>
      <c r="F1020" s="2017"/>
      <c r="G1020" s="2018"/>
      <c r="H1020" s="2018"/>
      <c r="K1020" s="841" t="s">
        <v>3128</v>
      </c>
      <c r="M1020" s="1357"/>
      <c r="Q1020" s="1357"/>
      <c r="S1020" s="1420"/>
      <c r="T1020" s="1420"/>
      <c r="V1020" s="1357">
        <v>11</v>
      </c>
    </row>
    <row r="1021" spans="1:22" s="841" customFormat="1" ht="15" x14ac:dyDescent="0.25">
      <c r="A1021" s="841" t="s">
        <v>4874</v>
      </c>
      <c r="B1021" s="841" t="s">
        <v>5198</v>
      </c>
      <c r="E1021" s="1969" t="s">
        <v>3063</v>
      </c>
      <c r="F1021" s="1969"/>
      <c r="G1021" s="1970"/>
      <c r="H1021" s="1970"/>
      <c r="K1021" s="841" t="s">
        <v>3477</v>
      </c>
      <c r="M1021" s="1357"/>
      <c r="Q1021" s="1357"/>
      <c r="S1021" s="1420"/>
      <c r="T1021" s="1420"/>
      <c r="V1021" s="1357">
        <v>280</v>
      </c>
    </row>
    <row r="1022" spans="1:22" s="841" customFormat="1" ht="15" x14ac:dyDescent="0.25">
      <c r="A1022" s="841" t="s">
        <v>4874</v>
      </c>
      <c r="B1022" s="841" t="s">
        <v>5198</v>
      </c>
      <c r="E1022" s="1969" t="s">
        <v>3064</v>
      </c>
      <c r="F1022" s="1969"/>
      <c r="G1022" s="1970"/>
      <c r="H1022" s="1970"/>
      <c r="K1022" s="841" t="s">
        <v>3477</v>
      </c>
      <c r="M1022" s="1357"/>
      <c r="Q1022" s="1357"/>
      <c r="S1022" s="1420"/>
      <c r="T1022" s="1420"/>
      <c r="V1022" s="1357">
        <v>411</v>
      </c>
    </row>
    <row r="1023" spans="1:22" s="841" customFormat="1" ht="15" x14ac:dyDescent="0.25">
      <c r="A1023" s="841" t="s">
        <v>4874</v>
      </c>
      <c r="B1023" s="841" t="s">
        <v>5198</v>
      </c>
      <c r="E1023" s="1969" t="s">
        <v>3199</v>
      </c>
      <c r="F1023" s="1969"/>
      <c r="G1023" s="1970"/>
      <c r="H1023" s="1970"/>
      <c r="K1023" s="841" t="s">
        <v>3477</v>
      </c>
      <c r="M1023" s="1357"/>
      <c r="Q1023" s="1357"/>
      <c r="S1023" s="1420"/>
      <c r="T1023" s="1420"/>
      <c r="V1023" s="1357">
        <v>386</v>
      </c>
    </row>
    <row r="1024" spans="1:22" s="841" customFormat="1" ht="15" x14ac:dyDescent="0.25">
      <c r="A1024" s="841" t="s">
        <v>4874</v>
      </c>
      <c r="B1024" s="841" t="s">
        <v>5198</v>
      </c>
      <c r="E1024" s="1969" t="s">
        <v>3200</v>
      </c>
      <c r="F1024" s="1969"/>
      <c r="G1024" s="1970"/>
      <c r="H1024" s="1970"/>
      <c r="K1024" s="841" t="s">
        <v>3477</v>
      </c>
      <c r="M1024" s="1357"/>
      <c r="Q1024" s="1357"/>
      <c r="S1024" s="1420"/>
      <c r="T1024" s="1420"/>
      <c r="V1024" s="1357">
        <v>275</v>
      </c>
    </row>
    <row r="1025" spans="1:22" s="841" customFormat="1" ht="15" x14ac:dyDescent="0.25">
      <c r="A1025" s="841" t="s">
        <v>4874</v>
      </c>
      <c r="B1025" s="841" t="s">
        <v>5198</v>
      </c>
      <c r="E1025" s="1972" t="s">
        <v>3067</v>
      </c>
      <c r="F1025" s="1972"/>
      <c r="G1025" s="1973"/>
      <c r="H1025" s="1973"/>
      <c r="K1025" s="841" t="s">
        <v>3130</v>
      </c>
      <c r="M1025" s="1357"/>
      <c r="Q1025" s="1357"/>
      <c r="S1025" s="1420"/>
      <c r="T1025" s="1420"/>
      <c r="V1025" s="1357">
        <v>46</v>
      </c>
    </row>
    <row r="1026" spans="1:22" s="841" customFormat="1" ht="15" x14ac:dyDescent="0.25">
      <c r="A1026" s="841" t="s">
        <v>4874</v>
      </c>
      <c r="B1026" s="841" t="s">
        <v>5198</v>
      </c>
      <c r="E1026" s="1121" t="s">
        <v>12</v>
      </c>
      <c r="F1026" s="1121"/>
      <c r="G1026" s="1111" t="s">
        <v>23</v>
      </c>
      <c r="H1026" s="1112">
        <v>2.3199999999999998</v>
      </c>
      <c r="K1026" s="841" t="s">
        <v>3477</v>
      </c>
      <c r="L1026" s="841" t="s">
        <v>442</v>
      </c>
      <c r="M1026" s="1357"/>
      <c r="P1026" s="841" t="s">
        <v>3478</v>
      </c>
      <c r="Q1026" s="1357"/>
      <c r="S1026" s="1420"/>
      <c r="T1026" s="1420"/>
      <c r="V1026" s="1357">
        <v>31</v>
      </c>
    </row>
    <row r="1027" spans="1:22" s="841" customFormat="1" ht="15" x14ac:dyDescent="0.25">
      <c r="A1027" s="841" t="s">
        <v>4874</v>
      </c>
      <c r="B1027" s="841" t="s">
        <v>5198</v>
      </c>
      <c r="E1027" s="621" t="s">
        <v>5203</v>
      </c>
      <c r="F1027" s="621"/>
      <c r="G1027" s="1111" t="s">
        <v>23</v>
      </c>
      <c r="H1027" s="723">
        <v>0.02</v>
      </c>
      <c r="K1027" s="841" t="s">
        <v>3477</v>
      </c>
      <c r="L1027" s="841" t="s">
        <v>442</v>
      </c>
      <c r="M1027" s="1357"/>
      <c r="P1027" s="841" t="s">
        <v>5250</v>
      </c>
      <c r="Q1027" s="1357"/>
      <c r="S1027" s="1420"/>
      <c r="T1027" s="1420"/>
      <c r="V1027" s="1357">
        <v>152</v>
      </c>
    </row>
    <row r="1028" spans="1:22" s="841" customFormat="1" ht="15" x14ac:dyDescent="0.25">
      <c r="A1028" s="841" t="s">
        <v>4874</v>
      </c>
      <c r="B1028" s="841" t="s">
        <v>5198</v>
      </c>
      <c r="E1028" s="625" t="s">
        <v>5204</v>
      </c>
      <c r="F1028" s="625"/>
      <c r="G1028" s="1111" t="s">
        <v>23</v>
      </c>
      <c r="H1028" s="723">
        <v>0.03</v>
      </c>
      <c r="K1028" s="841" t="s">
        <v>3477</v>
      </c>
      <c r="L1028" s="841" t="s">
        <v>442</v>
      </c>
      <c r="M1028" s="1357"/>
      <c r="P1028" s="841" t="s">
        <v>5251</v>
      </c>
      <c r="Q1028" s="1357"/>
      <c r="S1028" s="1420"/>
      <c r="T1028" s="1420">
        <v>43465</v>
      </c>
      <c r="V1028" s="1357">
        <v>96</v>
      </c>
    </row>
    <row r="1029" spans="1:22" s="841" customFormat="1" ht="15" x14ac:dyDescent="0.25">
      <c r="A1029" s="841" t="s">
        <v>4874</v>
      </c>
      <c r="B1029" s="841" t="s">
        <v>5198</v>
      </c>
      <c r="E1029" s="1121" t="s">
        <v>84</v>
      </c>
      <c r="F1029" s="1121"/>
      <c r="G1029" s="1111" t="s">
        <v>33</v>
      </c>
      <c r="H1029" s="1115">
        <v>11.6426</v>
      </c>
      <c r="K1029" s="841" t="s">
        <v>3477</v>
      </c>
      <c r="L1029" s="841" t="s">
        <v>442</v>
      </c>
      <c r="M1029" s="1357"/>
      <c r="P1029" s="841" t="s">
        <v>3479</v>
      </c>
      <c r="Q1029" s="1357"/>
      <c r="S1029" s="1420"/>
      <c r="T1029" s="1420"/>
      <c r="V1029" s="1357">
        <v>28</v>
      </c>
    </row>
    <row r="1030" spans="1:22" s="841" customFormat="1" ht="45.75" customHeight="1" x14ac:dyDescent="0.25">
      <c r="A1030" s="841" t="s">
        <v>4874</v>
      </c>
      <c r="B1030" s="841" t="s">
        <v>5198</v>
      </c>
      <c r="E1030" s="1976" t="s">
        <v>5206</v>
      </c>
      <c r="F1030" s="1976"/>
      <c r="G1030" s="1111" t="s">
        <v>24</v>
      </c>
      <c r="H1030" s="724">
        <v>-8.9999999999999998E-4</v>
      </c>
      <c r="K1030" s="841" t="s">
        <v>3477</v>
      </c>
      <c r="L1030" s="841" t="s">
        <v>443</v>
      </c>
      <c r="M1030" s="1357"/>
      <c r="P1030" s="841" t="s">
        <v>4196</v>
      </c>
      <c r="Q1030" s="1357"/>
      <c r="S1030" s="1420"/>
      <c r="T1030" s="1420">
        <v>43585</v>
      </c>
      <c r="V1030" s="1357">
        <v>153</v>
      </c>
    </row>
    <row r="1031" spans="1:22" s="841" customFormat="1" ht="15" x14ac:dyDescent="0.25">
      <c r="A1031" s="841" t="s">
        <v>4874</v>
      </c>
      <c r="B1031" s="841" t="s">
        <v>5198</v>
      </c>
      <c r="E1031" s="621" t="s">
        <v>5210</v>
      </c>
      <c r="F1031" s="621"/>
      <c r="G1031" s="1111" t="s">
        <v>33</v>
      </c>
      <c r="H1031" s="724">
        <v>-0.32190000000000002</v>
      </c>
      <c r="K1031" s="841" t="s">
        <v>3477</v>
      </c>
      <c r="L1031" s="841" t="s">
        <v>443</v>
      </c>
      <c r="M1031" s="1357"/>
      <c r="P1031" s="841" t="s">
        <v>3882</v>
      </c>
      <c r="Q1031" s="1357"/>
      <c r="S1031" s="1420"/>
      <c r="T1031" s="1420">
        <v>43585</v>
      </c>
      <c r="V1031" s="1357">
        <v>108</v>
      </c>
    </row>
    <row r="1032" spans="1:22" s="841" customFormat="1" ht="15" x14ac:dyDescent="0.25">
      <c r="A1032" s="841" t="s">
        <v>4874</v>
      </c>
      <c r="B1032" s="841" t="s">
        <v>5198</v>
      </c>
      <c r="E1032" s="621" t="s">
        <v>5203</v>
      </c>
      <c r="F1032" s="621"/>
      <c r="G1032" s="1111" t="s">
        <v>33</v>
      </c>
      <c r="H1032" s="724">
        <v>0.11119999999999999</v>
      </c>
      <c r="K1032" s="841" t="s">
        <v>3477</v>
      </c>
      <c r="L1032" s="841" t="s">
        <v>442</v>
      </c>
      <c r="M1032" s="1357"/>
      <c r="P1032" s="841" t="s">
        <v>5252</v>
      </c>
      <c r="Q1032" s="1357"/>
      <c r="S1032" s="1420"/>
      <c r="T1032" s="1420"/>
      <c r="V1032" s="1357">
        <v>152</v>
      </c>
    </row>
    <row r="1033" spans="1:22" s="841" customFormat="1" ht="15" x14ac:dyDescent="0.25">
      <c r="A1033" s="841" t="s">
        <v>4874</v>
      </c>
      <c r="B1033" s="841" t="s">
        <v>5198</v>
      </c>
      <c r="E1033" s="1382" t="s">
        <v>221</v>
      </c>
      <c r="F1033" s="1382"/>
      <c r="G1033" s="1111" t="s">
        <v>33</v>
      </c>
      <c r="H1033" s="1115">
        <v>2.1341000000000001</v>
      </c>
      <c r="K1033" s="841" t="s">
        <v>3477</v>
      </c>
      <c r="L1033" s="841" t="s">
        <v>444</v>
      </c>
      <c r="M1033" s="1357"/>
      <c r="P1033" s="841" t="s">
        <v>3482</v>
      </c>
      <c r="Q1033" s="1357"/>
      <c r="S1033" s="1420"/>
      <c r="T1033" s="1420"/>
      <c r="V1033" s="1357">
        <v>47</v>
      </c>
    </row>
    <row r="1034" spans="1:22" s="841" customFormat="1" ht="23.25" x14ac:dyDescent="0.25">
      <c r="A1034" s="841" t="s">
        <v>4874</v>
      </c>
      <c r="B1034" s="841" t="s">
        <v>5198</v>
      </c>
      <c r="E1034" s="1382" t="s">
        <v>217</v>
      </c>
      <c r="F1034" s="1382"/>
      <c r="G1034" s="1111" t="s">
        <v>33</v>
      </c>
      <c r="H1034" s="1115">
        <v>1.8214999999999999</v>
      </c>
      <c r="K1034" s="841" t="s">
        <v>3477</v>
      </c>
      <c r="L1034" s="841" t="s">
        <v>444</v>
      </c>
      <c r="M1034" s="1357"/>
      <c r="P1034" s="841" t="s">
        <v>3483</v>
      </c>
      <c r="Q1034" s="1357"/>
      <c r="S1034" s="1420"/>
      <c r="T1034" s="1420"/>
      <c r="V1034" s="1357">
        <v>74</v>
      </c>
    </row>
    <row r="1035" spans="1:22" s="841" customFormat="1" ht="26.25" x14ac:dyDescent="0.25">
      <c r="A1035" s="841" t="s">
        <v>4874</v>
      </c>
      <c r="B1035" s="841" t="s">
        <v>5198</v>
      </c>
      <c r="E1035" s="1389" t="s">
        <v>3079</v>
      </c>
      <c r="F1035" s="1389"/>
      <c r="G1035" s="1111"/>
      <c r="H1035" s="1085"/>
      <c r="K1035" s="841" t="s">
        <v>3260</v>
      </c>
      <c r="M1035" s="1357"/>
      <c r="Q1035" s="1357"/>
      <c r="S1035" s="1420"/>
      <c r="T1035" s="1420"/>
      <c r="V1035" s="1357">
        <v>48</v>
      </c>
    </row>
    <row r="1036" spans="1:22" s="841" customFormat="1" ht="15" x14ac:dyDescent="0.25">
      <c r="A1036" s="841" t="s">
        <v>4874</v>
      </c>
      <c r="B1036" s="841" t="s">
        <v>5198</v>
      </c>
      <c r="E1036" s="621" t="s">
        <v>2449</v>
      </c>
      <c r="F1036" s="621"/>
      <c r="G1036" s="1111" t="s">
        <v>24</v>
      </c>
      <c r="H1036" s="1117">
        <v>3.2000000000000002E-3</v>
      </c>
      <c r="K1036" s="841" t="s">
        <v>3477</v>
      </c>
      <c r="L1036" s="841" t="s">
        <v>3046</v>
      </c>
      <c r="M1036" s="1357"/>
      <c r="P1036" s="841" t="s">
        <v>3484</v>
      </c>
      <c r="Q1036" s="1357"/>
      <c r="S1036" s="1420"/>
      <c r="T1036" s="1420"/>
      <c r="V1036" s="1357">
        <v>55</v>
      </c>
    </row>
    <row r="1037" spans="1:22" s="841" customFormat="1" ht="15" x14ac:dyDescent="0.25">
      <c r="A1037" s="841" t="s">
        <v>4874</v>
      </c>
      <c r="B1037" s="841" t="s">
        <v>5198</v>
      </c>
      <c r="E1037" s="621" t="s">
        <v>2450</v>
      </c>
      <c r="F1037" s="621"/>
      <c r="G1037" s="1111" t="s">
        <v>24</v>
      </c>
      <c r="H1037" s="1117">
        <v>4.0000000000000002E-4</v>
      </c>
      <c r="K1037" s="841" t="s">
        <v>3477</v>
      </c>
      <c r="L1037" s="841" t="s">
        <v>3046</v>
      </c>
      <c r="M1037" s="1357"/>
      <c r="P1037" s="841" t="s">
        <v>3484</v>
      </c>
      <c r="Q1037" s="1357"/>
      <c r="S1037" s="1420"/>
      <c r="T1037" s="1420"/>
      <c r="V1037" s="1357">
        <v>65</v>
      </c>
    </row>
    <row r="1038" spans="1:22" s="841" customFormat="1" ht="23.25" x14ac:dyDescent="0.25">
      <c r="A1038" s="841" t="s">
        <v>4874</v>
      </c>
      <c r="B1038" s="841" t="s">
        <v>5198</v>
      </c>
      <c r="E1038" s="1382" t="s">
        <v>439</v>
      </c>
      <c r="F1038" s="1382"/>
      <c r="G1038" s="1111" t="s">
        <v>24</v>
      </c>
      <c r="H1038" s="724">
        <v>2.9999999999999997E-4</v>
      </c>
      <c r="K1038" s="841" t="s">
        <v>3477</v>
      </c>
      <c r="L1038" s="841" t="s">
        <v>3046</v>
      </c>
      <c r="M1038" s="1357"/>
      <c r="P1038" s="841" t="s">
        <v>3485</v>
      </c>
      <c r="Q1038" s="1357"/>
      <c r="S1038" s="1420"/>
      <c r="T1038" s="1420"/>
      <c r="V1038" s="1357">
        <v>57</v>
      </c>
    </row>
    <row r="1039" spans="1:22" s="841" customFormat="1" ht="23.25" x14ac:dyDescent="0.25">
      <c r="A1039" s="841" t="s">
        <v>4874</v>
      </c>
      <c r="B1039" s="841" t="s">
        <v>5198</v>
      </c>
      <c r="E1039" s="1382" t="s">
        <v>32</v>
      </c>
      <c r="F1039" s="1382"/>
      <c r="G1039" s="1111" t="s">
        <v>23</v>
      </c>
      <c r="H1039" s="723">
        <v>0.25</v>
      </c>
      <c r="K1039" s="841" t="s">
        <v>3477</v>
      </c>
      <c r="L1039" s="841" t="s">
        <v>3046</v>
      </c>
      <c r="M1039" s="1357"/>
      <c r="P1039" s="841" t="s">
        <v>3486</v>
      </c>
      <c r="Q1039" s="1357"/>
      <c r="S1039" s="1420"/>
      <c r="T1039" s="1420"/>
      <c r="V1039" s="1357">
        <v>63</v>
      </c>
    </row>
    <row r="1040" spans="1:22" s="841" customFormat="1" x14ac:dyDescent="0.25">
      <c r="A1040" s="841" t="s">
        <v>4874</v>
      </c>
      <c r="B1040" s="841" t="s">
        <v>5198</v>
      </c>
      <c r="E1040" s="2019" t="s">
        <v>631</v>
      </c>
      <c r="F1040" s="2019"/>
      <c r="G1040" s="2020"/>
      <c r="H1040" s="2020"/>
      <c r="K1040" s="841" t="s">
        <v>3987</v>
      </c>
      <c r="M1040" s="1357"/>
      <c r="Q1040" s="1357"/>
      <c r="S1040" s="1420"/>
      <c r="T1040" s="1420"/>
      <c r="V1040" s="1357">
        <v>36</v>
      </c>
    </row>
    <row r="1041" spans="1:22" s="841" customFormat="1" ht="15" x14ac:dyDescent="0.25">
      <c r="A1041" s="841" t="s">
        <v>4874</v>
      </c>
      <c r="B1041" s="841" t="s">
        <v>5198</v>
      </c>
      <c r="E1041" s="1969" t="s">
        <v>3343</v>
      </c>
      <c r="F1041" s="1969"/>
      <c r="G1041" s="1970"/>
      <c r="H1041" s="1970"/>
      <c r="K1041" s="841" t="s">
        <v>3987</v>
      </c>
      <c r="M1041" s="1357"/>
      <c r="Q1041" s="1357"/>
      <c r="S1041" s="1420"/>
      <c r="T1041" s="1420"/>
      <c r="V1041" s="1357">
        <v>219</v>
      </c>
    </row>
    <row r="1042" spans="1:22" s="841" customFormat="1" ht="15" x14ac:dyDescent="0.25">
      <c r="A1042" s="841" t="s">
        <v>4874</v>
      </c>
      <c r="B1042" s="841" t="s">
        <v>5198</v>
      </c>
      <c r="E1042" s="2017" t="s">
        <v>3061</v>
      </c>
      <c r="F1042" s="2017"/>
      <c r="G1042" s="2018"/>
      <c r="H1042" s="2018"/>
      <c r="K1042" s="841" t="s">
        <v>3266</v>
      </c>
      <c r="M1042" s="1357"/>
      <c r="Q1042" s="1357"/>
      <c r="S1042" s="1420"/>
      <c r="T1042" s="1420"/>
      <c r="V1042" s="1357">
        <v>11</v>
      </c>
    </row>
    <row r="1043" spans="1:22" s="841" customFormat="1" ht="15" x14ac:dyDescent="0.25">
      <c r="A1043" s="841" t="s">
        <v>4874</v>
      </c>
      <c r="B1043" s="841" t="s">
        <v>5198</v>
      </c>
      <c r="E1043" s="1969" t="s">
        <v>3063</v>
      </c>
      <c r="F1043" s="1969"/>
      <c r="G1043" s="1970"/>
      <c r="H1043" s="1970"/>
      <c r="K1043" s="841" t="s">
        <v>3987</v>
      </c>
      <c r="M1043" s="1357"/>
      <c r="Q1043" s="1357"/>
      <c r="S1043" s="1420"/>
      <c r="T1043" s="1420"/>
      <c r="V1043" s="1357">
        <v>280</v>
      </c>
    </row>
    <row r="1044" spans="1:22" s="841" customFormat="1" ht="15" x14ac:dyDescent="0.25">
      <c r="A1044" s="841" t="s">
        <v>4874</v>
      </c>
      <c r="B1044" s="841" t="s">
        <v>5198</v>
      </c>
      <c r="E1044" s="1969" t="s">
        <v>3064</v>
      </c>
      <c r="F1044" s="1969"/>
      <c r="G1044" s="1970"/>
      <c r="H1044" s="1970"/>
      <c r="K1044" s="841" t="s">
        <v>3987</v>
      </c>
      <c r="M1044" s="1357"/>
      <c r="Q1044" s="1357"/>
      <c r="S1044" s="1420"/>
      <c r="T1044" s="1420"/>
      <c r="V1044" s="1357">
        <v>411</v>
      </c>
    </row>
    <row r="1045" spans="1:22" s="841" customFormat="1" ht="15" x14ac:dyDescent="0.25">
      <c r="A1045" s="841" t="s">
        <v>4874</v>
      </c>
      <c r="B1045" s="841" t="s">
        <v>5198</v>
      </c>
      <c r="E1045" s="1969" t="s">
        <v>3199</v>
      </c>
      <c r="F1045" s="1969"/>
      <c r="G1045" s="1970"/>
      <c r="H1045" s="1970"/>
      <c r="K1045" s="841" t="s">
        <v>3987</v>
      </c>
      <c r="M1045" s="1357"/>
      <c r="Q1045" s="1357"/>
      <c r="S1045" s="1420"/>
      <c r="T1045" s="1420"/>
      <c r="V1045" s="1357">
        <v>386</v>
      </c>
    </row>
    <row r="1046" spans="1:22" s="841" customFormat="1" ht="15" x14ac:dyDescent="0.25">
      <c r="A1046" s="841" t="s">
        <v>4874</v>
      </c>
      <c r="B1046" s="841" t="s">
        <v>5198</v>
      </c>
      <c r="E1046" s="1969" t="s">
        <v>3200</v>
      </c>
      <c r="F1046" s="1969"/>
      <c r="G1046" s="1970"/>
      <c r="H1046" s="1970"/>
      <c r="K1046" s="841" t="s">
        <v>3987</v>
      </c>
      <c r="M1046" s="1357"/>
      <c r="Q1046" s="1357"/>
      <c r="S1046" s="1420"/>
      <c r="T1046" s="1420"/>
      <c r="V1046" s="1357">
        <v>275</v>
      </c>
    </row>
    <row r="1047" spans="1:22" s="841" customFormat="1" ht="15" x14ac:dyDescent="0.25">
      <c r="A1047" s="841" t="s">
        <v>4874</v>
      </c>
      <c r="B1047" s="841" t="s">
        <v>5198</v>
      </c>
      <c r="E1047" s="1972" t="s">
        <v>3344</v>
      </c>
      <c r="F1047" s="1972"/>
      <c r="G1047" s="1973"/>
      <c r="H1047" s="1973"/>
      <c r="K1047" s="841" t="s">
        <v>3267</v>
      </c>
      <c r="M1047" s="1357"/>
      <c r="Q1047" s="1357"/>
      <c r="S1047" s="1420"/>
      <c r="T1047" s="1420"/>
      <c r="V1047" s="1357">
        <v>77</v>
      </c>
    </row>
    <row r="1048" spans="1:22" s="841" customFormat="1" ht="15" x14ac:dyDescent="0.25">
      <c r="A1048" s="841" t="s">
        <v>4874</v>
      </c>
      <c r="B1048" s="841" t="s">
        <v>5198</v>
      </c>
      <c r="E1048" s="1382" t="s">
        <v>84</v>
      </c>
      <c r="F1048" s="1382"/>
      <c r="G1048" s="1111" t="s">
        <v>33</v>
      </c>
      <c r="H1048" s="1115">
        <v>1.6931</v>
      </c>
      <c r="K1048" s="841" t="s">
        <v>3987</v>
      </c>
      <c r="L1048" s="841" t="s">
        <v>442</v>
      </c>
      <c r="M1048" s="1357"/>
      <c r="P1048" s="841" t="s">
        <v>3991</v>
      </c>
      <c r="Q1048" s="1357"/>
      <c r="S1048" s="1420"/>
      <c r="T1048" s="1420"/>
      <c r="V1048" s="1357">
        <v>28</v>
      </c>
    </row>
    <row r="1049" spans="1:22" s="841" customFormat="1" x14ac:dyDescent="0.25">
      <c r="A1049" s="841" t="s">
        <v>4874</v>
      </c>
      <c r="B1049" s="841" t="s">
        <v>5198</v>
      </c>
      <c r="E1049" s="2019" t="s">
        <v>622</v>
      </c>
      <c r="F1049" s="2019"/>
      <c r="G1049" s="2020"/>
      <c r="H1049" s="2020"/>
      <c r="K1049" s="841" t="s">
        <v>3665</v>
      </c>
      <c r="M1049" s="1357"/>
      <c r="Q1049" s="1357"/>
      <c r="S1049" s="1420"/>
      <c r="T1049" s="1420"/>
      <c r="V1049" s="1357">
        <v>43</v>
      </c>
    </row>
    <row r="1050" spans="1:22" s="841" customFormat="1" ht="15" x14ac:dyDescent="0.25">
      <c r="A1050" s="841" t="s">
        <v>4874</v>
      </c>
      <c r="B1050" s="841" t="s">
        <v>5198</v>
      </c>
      <c r="E1050" s="1969" t="s">
        <v>5253</v>
      </c>
      <c r="F1050" s="1969"/>
      <c r="G1050" s="1970"/>
      <c r="H1050" s="1970"/>
      <c r="K1050" s="841" t="s">
        <v>3665</v>
      </c>
      <c r="M1050" s="1357"/>
      <c r="Q1050" s="1357"/>
      <c r="S1050" s="1420"/>
      <c r="T1050" s="1420"/>
      <c r="V1050" s="1357">
        <v>317</v>
      </c>
    </row>
    <row r="1051" spans="1:22" s="841" customFormat="1" ht="15" x14ac:dyDescent="0.25">
      <c r="A1051" s="841" t="s">
        <v>4874</v>
      </c>
      <c r="B1051" s="841" t="s">
        <v>5198</v>
      </c>
      <c r="E1051" s="2017" t="s">
        <v>3061</v>
      </c>
      <c r="F1051" s="2017"/>
      <c r="G1051" s="2018"/>
      <c r="H1051" s="2018"/>
      <c r="K1051" s="841" t="s">
        <v>3281</v>
      </c>
      <c r="M1051" s="1357"/>
      <c r="Q1051" s="1357"/>
      <c r="S1051" s="1420"/>
      <c r="T1051" s="1420"/>
      <c r="V1051" s="1357">
        <v>11</v>
      </c>
    </row>
    <row r="1052" spans="1:22" s="841" customFormat="1" ht="15" x14ac:dyDescent="0.25">
      <c r="A1052" s="841" t="s">
        <v>4874</v>
      </c>
      <c r="B1052" s="841" t="s">
        <v>5198</v>
      </c>
      <c r="E1052" s="1969" t="s">
        <v>3063</v>
      </c>
      <c r="F1052" s="1969"/>
      <c r="G1052" s="1970"/>
      <c r="H1052" s="1970"/>
      <c r="K1052" s="841" t="s">
        <v>3665</v>
      </c>
      <c r="M1052" s="1357"/>
      <c r="Q1052" s="1357"/>
      <c r="S1052" s="1420"/>
      <c r="T1052" s="1420"/>
      <c r="V1052" s="1357">
        <v>280</v>
      </c>
    </row>
    <row r="1053" spans="1:22" s="841" customFormat="1" ht="15" x14ac:dyDescent="0.25">
      <c r="A1053" s="841" t="s">
        <v>4874</v>
      </c>
      <c r="B1053" s="841" t="s">
        <v>5198</v>
      </c>
      <c r="E1053" s="1969" t="s">
        <v>3064</v>
      </c>
      <c r="F1053" s="1969"/>
      <c r="G1053" s="1970"/>
      <c r="H1053" s="1970"/>
      <c r="K1053" s="841" t="s">
        <v>3665</v>
      </c>
      <c r="M1053" s="1357"/>
      <c r="Q1053" s="1357"/>
      <c r="S1053" s="1420"/>
      <c r="T1053" s="1420"/>
      <c r="V1053" s="1357">
        <v>411</v>
      </c>
    </row>
    <row r="1054" spans="1:22" s="841" customFormat="1" ht="15" x14ac:dyDescent="0.25">
      <c r="A1054" s="841" t="s">
        <v>4874</v>
      </c>
      <c r="B1054" s="841" t="s">
        <v>5198</v>
      </c>
      <c r="E1054" s="1969" t="s">
        <v>3199</v>
      </c>
      <c r="F1054" s="1969"/>
      <c r="G1054" s="1970"/>
      <c r="H1054" s="1970"/>
      <c r="K1054" s="841" t="s">
        <v>3665</v>
      </c>
      <c r="M1054" s="1357"/>
      <c r="Q1054" s="1357"/>
      <c r="S1054" s="1420"/>
      <c r="T1054" s="1420"/>
      <c r="V1054" s="1357">
        <v>386</v>
      </c>
    </row>
    <row r="1055" spans="1:22" s="841" customFormat="1" ht="15" x14ac:dyDescent="0.25">
      <c r="A1055" s="841" t="s">
        <v>4874</v>
      </c>
      <c r="B1055" s="841" t="s">
        <v>5198</v>
      </c>
      <c r="E1055" s="1969" t="s">
        <v>3200</v>
      </c>
      <c r="F1055" s="1969"/>
      <c r="G1055" s="1970"/>
      <c r="H1055" s="1970"/>
      <c r="K1055" s="841" t="s">
        <v>3665</v>
      </c>
      <c r="M1055" s="1357"/>
      <c r="Q1055" s="1357"/>
      <c r="S1055" s="1420"/>
      <c r="T1055" s="1420"/>
      <c r="V1055" s="1357">
        <v>275</v>
      </c>
    </row>
    <row r="1056" spans="1:22" s="841" customFormat="1" ht="15" x14ac:dyDescent="0.25">
      <c r="A1056" s="841" t="s">
        <v>4874</v>
      </c>
      <c r="B1056" s="841" t="s">
        <v>5198</v>
      </c>
      <c r="E1056" s="1972" t="s">
        <v>3067</v>
      </c>
      <c r="F1056" s="1972"/>
      <c r="G1056" s="1973"/>
      <c r="H1056" s="1973"/>
      <c r="K1056" s="841" t="s">
        <v>3282</v>
      </c>
      <c r="M1056" s="1357"/>
      <c r="Q1056" s="1357"/>
      <c r="S1056" s="1420"/>
      <c r="T1056" s="1420"/>
      <c r="V1056" s="1357">
        <v>46</v>
      </c>
    </row>
    <row r="1057" spans="1:22" s="841" customFormat="1" ht="15" x14ac:dyDescent="0.25">
      <c r="A1057" s="841" t="s">
        <v>4874</v>
      </c>
      <c r="B1057" s="841" t="s">
        <v>5198</v>
      </c>
      <c r="E1057" s="1382" t="s">
        <v>11</v>
      </c>
      <c r="F1057" s="1382"/>
      <c r="G1057" s="1111" t="s">
        <v>23</v>
      </c>
      <c r="H1057" s="1112">
        <v>4197.26</v>
      </c>
      <c r="K1057" s="841" t="s">
        <v>3665</v>
      </c>
      <c r="L1057" s="841" t="s">
        <v>442</v>
      </c>
      <c r="M1057" s="1357"/>
      <c r="P1057" s="841" t="s">
        <v>3666</v>
      </c>
      <c r="Q1057" s="1357"/>
      <c r="S1057" s="1420"/>
      <c r="T1057" s="1420"/>
      <c r="V1057" s="1357">
        <v>14</v>
      </c>
    </row>
    <row r="1058" spans="1:22" s="841" customFormat="1" ht="15" x14ac:dyDescent="0.25">
      <c r="A1058" s="841" t="s">
        <v>4874</v>
      </c>
      <c r="B1058" s="841" t="s">
        <v>5198</v>
      </c>
      <c r="E1058" s="621" t="s">
        <v>5203</v>
      </c>
      <c r="F1058" s="621"/>
      <c r="G1058" s="1111" t="s">
        <v>23</v>
      </c>
      <c r="H1058" s="723">
        <v>40.07</v>
      </c>
      <c r="K1058" s="841" t="s">
        <v>3665</v>
      </c>
      <c r="L1058" s="841" t="s">
        <v>442</v>
      </c>
      <c r="M1058" s="1357"/>
      <c r="P1058" s="841" t="s">
        <v>5254</v>
      </c>
      <c r="Q1058" s="1357"/>
      <c r="S1058" s="1420"/>
      <c r="T1058" s="1420"/>
      <c r="V1058" s="1357">
        <v>152</v>
      </c>
    </row>
    <row r="1059" spans="1:22" s="841" customFormat="1" ht="15" x14ac:dyDescent="0.25">
      <c r="A1059" s="841" t="s">
        <v>4874</v>
      </c>
      <c r="B1059" s="841" t="s">
        <v>5198</v>
      </c>
      <c r="E1059" s="625" t="s">
        <v>5204</v>
      </c>
      <c r="F1059" s="625"/>
      <c r="G1059" s="1111" t="s">
        <v>23</v>
      </c>
      <c r="H1059" s="723">
        <v>18.72</v>
      </c>
      <c r="K1059" s="841" t="s">
        <v>3665</v>
      </c>
      <c r="L1059" s="841" t="s">
        <v>442</v>
      </c>
      <c r="M1059" s="1357"/>
      <c r="P1059" s="841" t="s">
        <v>5255</v>
      </c>
      <c r="Q1059" s="1357"/>
      <c r="S1059" s="1420"/>
      <c r="T1059" s="1420">
        <v>43465</v>
      </c>
      <c r="V1059" s="1357">
        <v>96</v>
      </c>
    </row>
    <row r="1060" spans="1:22" s="841" customFormat="1" ht="45.75" customHeight="1" x14ac:dyDescent="0.25">
      <c r="A1060" s="841" t="s">
        <v>4874</v>
      </c>
      <c r="B1060" s="841" t="s">
        <v>5198</v>
      </c>
      <c r="E1060" s="1976" t="s">
        <v>5206</v>
      </c>
      <c r="F1060" s="1976"/>
      <c r="G1060" s="1111" t="s">
        <v>24</v>
      </c>
      <c r="H1060" s="724">
        <v>-8.9999999999999998E-4</v>
      </c>
      <c r="K1060" s="841" t="s">
        <v>3665</v>
      </c>
      <c r="L1060" s="841" t="s">
        <v>443</v>
      </c>
      <c r="M1060" s="1357"/>
      <c r="P1060" s="841" t="s">
        <v>4548</v>
      </c>
      <c r="Q1060" s="1357"/>
      <c r="S1060" s="1420"/>
      <c r="T1060" s="1420">
        <v>43585</v>
      </c>
      <c r="V1060" s="1357">
        <v>153</v>
      </c>
    </row>
    <row r="1061" spans="1:22" s="841" customFormat="1" ht="15" x14ac:dyDescent="0.25">
      <c r="A1061" s="841" t="s">
        <v>4874</v>
      </c>
      <c r="B1061" s="841" t="s">
        <v>5198</v>
      </c>
      <c r="E1061" s="621" t="s">
        <v>5210</v>
      </c>
      <c r="F1061" s="621"/>
      <c r="G1061" s="1111" t="s">
        <v>24</v>
      </c>
      <c r="H1061" s="724">
        <v>-8.9999999999999998E-4</v>
      </c>
      <c r="K1061" s="841" t="s">
        <v>3665</v>
      </c>
      <c r="L1061" s="841" t="s">
        <v>443</v>
      </c>
      <c r="M1061" s="1357"/>
      <c r="P1061" s="841" t="s">
        <v>4549</v>
      </c>
      <c r="Q1061" s="1357"/>
      <c r="S1061" s="1420"/>
      <c r="T1061" s="1420">
        <v>43585</v>
      </c>
      <c r="V1061" s="1357">
        <v>108</v>
      </c>
    </row>
    <row r="1062" spans="1:22" s="841" customFormat="1" ht="15" x14ac:dyDescent="0.25">
      <c r="A1062" s="841" t="s">
        <v>4874</v>
      </c>
      <c r="B1062" s="841" t="s">
        <v>5198</v>
      </c>
      <c r="E1062" s="1382" t="s">
        <v>221</v>
      </c>
      <c r="F1062" s="1382"/>
      <c r="G1062" s="1111" t="s">
        <v>33</v>
      </c>
      <c r="H1062" s="1115">
        <v>2.8742999999999999</v>
      </c>
      <c r="K1062" s="841" t="s">
        <v>3665</v>
      </c>
      <c r="L1062" s="841" t="s">
        <v>444</v>
      </c>
      <c r="M1062" s="1357"/>
      <c r="P1062" s="841" t="s">
        <v>3667</v>
      </c>
      <c r="Q1062" s="1357"/>
      <c r="S1062" s="1420"/>
      <c r="T1062" s="1420"/>
      <c r="V1062" s="1357">
        <v>47</v>
      </c>
    </row>
    <row r="1063" spans="1:22" s="841" customFormat="1" ht="23.25" x14ac:dyDescent="0.25">
      <c r="A1063" s="841" t="s">
        <v>4874</v>
      </c>
      <c r="B1063" s="841" t="s">
        <v>5198</v>
      </c>
      <c r="E1063" s="1382" t="s">
        <v>217</v>
      </c>
      <c r="F1063" s="1382"/>
      <c r="G1063" s="1111" t="s">
        <v>33</v>
      </c>
      <c r="H1063" s="1115">
        <v>2.3517000000000001</v>
      </c>
      <c r="K1063" s="841" t="s">
        <v>3665</v>
      </c>
      <c r="L1063" s="841" t="s">
        <v>444</v>
      </c>
      <c r="M1063" s="1357"/>
      <c r="P1063" s="841" t="s">
        <v>3668</v>
      </c>
      <c r="Q1063" s="1357"/>
      <c r="S1063" s="1420"/>
      <c r="T1063" s="1420"/>
      <c r="V1063" s="1357">
        <v>74</v>
      </c>
    </row>
    <row r="1064" spans="1:22" s="841" customFormat="1" ht="26.25" x14ac:dyDescent="0.25">
      <c r="A1064" s="841" t="s">
        <v>4874</v>
      </c>
      <c r="B1064" s="841" t="s">
        <v>5198</v>
      </c>
      <c r="E1064" s="1122" t="s">
        <v>3079</v>
      </c>
      <c r="F1064" s="1122"/>
      <c r="G1064" s="1123"/>
      <c r="H1064" s="1124"/>
      <c r="K1064" s="841" t="s">
        <v>3383</v>
      </c>
      <c r="M1064" s="1357"/>
      <c r="Q1064" s="1357"/>
      <c r="S1064" s="1420"/>
      <c r="T1064" s="1420"/>
      <c r="V1064" s="1357">
        <v>48</v>
      </c>
    </row>
    <row r="1065" spans="1:22" s="841" customFormat="1" ht="15" x14ac:dyDescent="0.25">
      <c r="A1065" s="841" t="s">
        <v>4874</v>
      </c>
      <c r="B1065" s="841" t="s">
        <v>5198</v>
      </c>
      <c r="E1065" s="621" t="s">
        <v>2449</v>
      </c>
      <c r="F1065" s="621"/>
      <c r="G1065" s="1111" t="s">
        <v>24</v>
      </c>
      <c r="H1065" s="1117">
        <v>3.2000000000000002E-3</v>
      </c>
      <c r="K1065" s="841" t="s">
        <v>3665</v>
      </c>
      <c r="L1065" s="841" t="s">
        <v>3046</v>
      </c>
      <c r="M1065" s="1357"/>
      <c r="P1065" s="841" t="s">
        <v>3669</v>
      </c>
      <c r="Q1065" s="1357"/>
      <c r="S1065" s="1420"/>
      <c r="T1065" s="1420"/>
      <c r="V1065" s="1357">
        <v>55</v>
      </c>
    </row>
    <row r="1066" spans="1:22" s="841" customFormat="1" ht="15" x14ac:dyDescent="0.25">
      <c r="A1066" s="841" t="s">
        <v>4874</v>
      </c>
      <c r="B1066" s="841" t="s">
        <v>5198</v>
      </c>
      <c r="E1066" s="621" t="s">
        <v>2450</v>
      </c>
      <c r="F1066" s="621"/>
      <c r="G1066" s="1111" t="s">
        <v>24</v>
      </c>
      <c r="H1066" s="1117">
        <v>4.0000000000000002E-4</v>
      </c>
      <c r="K1066" s="841" t="s">
        <v>3665</v>
      </c>
      <c r="L1066" s="841" t="s">
        <v>3046</v>
      </c>
      <c r="M1066" s="1357"/>
      <c r="P1066" s="841" t="s">
        <v>3669</v>
      </c>
      <c r="Q1066" s="1357"/>
      <c r="S1066" s="1420"/>
      <c r="T1066" s="1420"/>
      <c r="V1066" s="1357">
        <v>65</v>
      </c>
    </row>
    <row r="1067" spans="1:22" s="841" customFormat="1" ht="23.25" x14ac:dyDescent="0.25">
      <c r="A1067" s="841" t="s">
        <v>4874</v>
      </c>
      <c r="B1067" s="841" t="s">
        <v>5198</v>
      </c>
      <c r="E1067" s="1121" t="s">
        <v>439</v>
      </c>
      <c r="F1067" s="1121"/>
      <c r="G1067" s="1123" t="s">
        <v>24</v>
      </c>
      <c r="H1067" s="1125">
        <v>2.9999999999999997E-4</v>
      </c>
      <c r="K1067" s="841" t="s">
        <v>3665</v>
      </c>
      <c r="L1067" s="841" t="s">
        <v>3046</v>
      </c>
      <c r="M1067" s="1357"/>
      <c r="P1067" s="841" t="s">
        <v>3670</v>
      </c>
      <c r="Q1067" s="1357"/>
      <c r="S1067" s="1420"/>
      <c r="T1067" s="1420"/>
      <c r="V1067" s="1357">
        <v>57</v>
      </c>
    </row>
    <row r="1068" spans="1:22" s="841" customFormat="1" ht="23.25" x14ac:dyDescent="0.25">
      <c r="A1068" s="841" t="s">
        <v>4874</v>
      </c>
      <c r="B1068" s="841" t="s">
        <v>5198</v>
      </c>
      <c r="E1068" s="1121" t="s">
        <v>32</v>
      </c>
      <c r="F1068" s="1121"/>
      <c r="G1068" s="1123" t="s">
        <v>23</v>
      </c>
      <c r="H1068" s="1126">
        <v>0.25</v>
      </c>
      <c r="K1068" s="841" t="s">
        <v>3665</v>
      </c>
      <c r="L1068" s="841" t="s">
        <v>3046</v>
      </c>
      <c r="M1068" s="1357"/>
      <c r="P1068" s="841" t="s">
        <v>3671</v>
      </c>
      <c r="Q1068" s="1357"/>
      <c r="S1068" s="1420"/>
      <c r="T1068" s="1420"/>
      <c r="V1068" s="1357">
        <v>63</v>
      </c>
    </row>
    <row r="1069" spans="1:22" s="841" customFormat="1" x14ac:dyDescent="0.25">
      <c r="A1069" s="841" t="s">
        <v>4874</v>
      </c>
      <c r="B1069" s="841" t="s">
        <v>5198</v>
      </c>
      <c r="E1069" s="2019" t="s">
        <v>1708</v>
      </c>
      <c r="F1069" s="2019"/>
      <c r="G1069" s="2020"/>
      <c r="H1069" s="2020"/>
      <c r="K1069" s="841" t="s">
        <v>5256</v>
      </c>
      <c r="M1069" s="1357"/>
      <c r="Q1069" s="1357"/>
      <c r="S1069" s="1420"/>
      <c r="T1069" s="1420"/>
      <c r="V1069" s="1357">
        <v>52</v>
      </c>
    </row>
    <row r="1070" spans="1:22" s="841" customFormat="1" ht="15" x14ac:dyDescent="0.25">
      <c r="A1070" s="841" t="s">
        <v>4874</v>
      </c>
      <c r="B1070" s="841" t="s">
        <v>5198</v>
      </c>
      <c r="E1070" s="1969" t="s">
        <v>5257</v>
      </c>
      <c r="F1070" s="1969"/>
      <c r="G1070" s="1970"/>
      <c r="H1070" s="1970"/>
      <c r="K1070" s="841" t="s">
        <v>5256</v>
      </c>
      <c r="M1070" s="1357"/>
      <c r="Q1070" s="1357"/>
      <c r="S1070" s="1420"/>
      <c r="T1070" s="1420"/>
      <c r="V1070" s="1357">
        <v>317</v>
      </c>
    </row>
    <row r="1071" spans="1:22" s="841" customFormat="1" ht="15" x14ac:dyDescent="0.25">
      <c r="A1071" s="841" t="s">
        <v>4874</v>
      </c>
      <c r="B1071" s="841" t="s">
        <v>5198</v>
      </c>
      <c r="E1071" s="2017" t="s">
        <v>3061</v>
      </c>
      <c r="F1071" s="2017"/>
      <c r="G1071" s="2018"/>
      <c r="H1071" s="2018"/>
      <c r="K1071" s="841" t="s">
        <v>3345</v>
      </c>
      <c r="M1071" s="1357"/>
      <c r="Q1071" s="1357"/>
      <c r="S1071" s="1420"/>
      <c r="T1071" s="1420"/>
      <c r="V1071" s="1357">
        <v>11</v>
      </c>
    </row>
    <row r="1072" spans="1:22" s="841" customFormat="1" ht="15" x14ac:dyDescent="0.25">
      <c r="A1072" s="841" t="s">
        <v>4874</v>
      </c>
      <c r="B1072" s="841" t="s">
        <v>5198</v>
      </c>
      <c r="E1072" s="1969" t="s">
        <v>3063</v>
      </c>
      <c r="F1072" s="1969"/>
      <c r="G1072" s="1970"/>
      <c r="H1072" s="1970"/>
      <c r="K1072" s="841" t="s">
        <v>5256</v>
      </c>
      <c r="M1072" s="1357"/>
      <c r="Q1072" s="1357"/>
      <c r="S1072" s="1420"/>
      <c r="T1072" s="1420"/>
      <c r="V1072" s="1357">
        <v>280</v>
      </c>
    </row>
    <row r="1073" spans="1:22" s="841" customFormat="1" ht="15" x14ac:dyDescent="0.25">
      <c r="A1073" s="841" t="s">
        <v>4874</v>
      </c>
      <c r="B1073" s="841" t="s">
        <v>5198</v>
      </c>
      <c r="E1073" s="1969" t="s">
        <v>3064</v>
      </c>
      <c r="F1073" s="1969"/>
      <c r="G1073" s="1970"/>
      <c r="H1073" s="1970"/>
      <c r="K1073" s="841" t="s">
        <v>5256</v>
      </c>
      <c r="M1073" s="1357"/>
      <c r="Q1073" s="1357"/>
      <c r="S1073" s="1420"/>
      <c r="T1073" s="1420"/>
      <c r="V1073" s="1357">
        <v>411</v>
      </c>
    </row>
    <row r="1074" spans="1:22" s="841" customFormat="1" ht="15" x14ac:dyDescent="0.25">
      <c r="A1074" s="841" t="s">
        <v>4874</v>
      </c>
      <c r="B1074" s="841" t="s">
        <v>5198</v>
      </c>
      <c r="E1074" s="1969" t="s">
        <v>3199</v>
      </c>
      <c r="F1074" s="1969"/>
      <c r="G1074" s="1970"/>
      <c r="H1074" s="1970"/>
      <c r="K1074" s="841" t="s">
        <v>5256</v>
      </c>
      <c r="M1074" s="1357"/>
      <c r="Q1074" s="1357"/>
      <c r="S1074" s="1420"/>
      <c r="T1074" s="1420"/>
      <c r="V1074" s="1357">
        <v>386</v>
      </c>
    </row>
    <row r="1075" spans="1:22" s="841" customFormat="1" ht="15" x14ac:dyDescent="0.25">
      <c r="A1075" s="841" t="s">
        <v>4874</v>
      </c>
      <c r="B1075" s="841" t="s">
        <v>5198</v>
      </c>
      <c r="E1075" s="1969" t="s">
        <v>3200</v>
      </c>
      <c r="F1075" s="1969"/>
      <c r="G1075" s="1970"/>
      <c r="H1075" s="1970"/>
      <c r="K1075" s="841" t="s">
        <v>5256</v>
      </c>
      <c r="M1075" s="1357"/>
      <c r="Q1075" s="1357"/>
      <c r="S1075" s="1420"/>
      <c r="T1075" s="1420"/>
      <c r="V1075" s="1357">
        <v>275</v>
      </c>
    </row>
    <row r="1076" spans="1:22" s="841" customFormat="1" ht="15" x14ac:dyDescent="0.25">
      <c r="A1076" s="841" t="s">
        <v>4874</v>
      </c>
      <c r="B1076" s="841" t="s">
        <v>5198</v>
      </c>
      <c r="E1076" s="1972" t="s">
        <v>3067</v>
      </c>
      <c r="F1076" s="1972"/>
      <c r="G1076" s="1973"/>
      <c r="H1076" s="1973"/>
      <c r="K1076" s="841" t="s">
        <v>3346</v>
      </c>
      <c r="M1076" s="1357"/>
      <c r="Q1076" s="1357"/>
      <c r="S1076" s="1420"/>
      <c r="T1076" s="1420"/>
      <c r="V1076" s="1357">
        <v>46</v>
      </c>
    </row>
    <row r="1077" spans="1:22" s="841" customFormat="1" ht="15" x14ac:dyDescent="0.25">
      <c r="A1077" s="841" t="s">
        <v>4874</v>
      </c>
      <c r="B1077" s="841" t="s">
        <v>5198</v>
      </c>
      <c r="E1077" s="1382" t="s">
        <v>11</v>
      </c>
      <c r="F1077" s="1382"/>
      <c r="G1077" s="1111" t="s">
        <v>23</v>
      </c>
      <c r="H1077" s="1127">
        <v>104.91</v>
      </c>
      <c r="K1077" s="841" t="s">
        <v>5256</v>
      </c>
      <c r="L1077" s="841" t="s">
        <v>442</v>
      </c>
      <c r="M1077" s="1357"/>
      <c r="P1077" s="841" t="s">
        <v>5258</v>
      </c>
      <c r="Q1077" s="1357"/>
      <c r="S1077" s="1420"/>
      <c r="T1077" s="1420"/>
      <c r="V1077" s="1357">
        <v>14</v>
      </c>
    </row>
    <row r="1078" spans="1:22" s="841" customFormat="1" ht="15" x14ac:dyDescent="0.25">
      <c r="A1078" s="841" t="s">
        <v>4874</v>
      </c>
      <c r="B1078" s="841" t="s">
        <v>5198</v>
      </c>
      <c r="E1078" s="621" t="s">
        <v>5203</v>
      </c>
      <c r="F1078" s="621"/>
      <c r="G1078" s="1111" t="s">
        <v>23</v>
      </c>
      <c r="H1078" s="723">
        <v>1</v>
      </c>
      <c r="K1078" s="841" t="s">
        <v>5256</v>
      </c>
      <c r="L1078" s="841" t="s">
        <v>442</v>
      </c>
      <c r="M1078" s="1357"/>
      <c r="P1078" s="841" t="s">
        <v>5259</v>
      </c>
      <c r="Q1078" s="1357"/>
      <c r="S1078" s="1420"/>
      <c r="T1078" s="1420"/>
      <c r="V1078" s="1357">
        <v>152</v>
      </c>
    </row>
    <row r="1079" spans="1:22" s="841" customFormat="1" ht="15" x14ac:dyDescent="0.25">
      <c r="A1079" s="841" t="s">
        <v>4874</v>
      </c>
      <c r="B1079" s="841" t="s">
        <v>5198</v>
      </c>
      <c r="E1079" s="625" t="s">
        <v>5204</v>
      </c>
      <c r="F1079" s="625"/>
      <c r="G1079" s="1111" t="s">
        <v>23</v>
      </c>
      <c r="H1079" s="723">
        <v>0.47</v>
      </c>
      <c r="K1079" s="841" t="s">
        <v>5256</v>
      </c>
      <c r="L1079" s="841" t="s">
        <v>442</v>
      </c>
      <c r="M1079" s="1357"/>
      <c r="P1079" s="841" t="s">
        <v>5260</v>
      </c>
      <c r="Q1079" s="1357"/>
      <c r="S1079" s="1420"/>
      <c r="T1079" s="1420">
        <v>43465</v>
      </c>
      <c r="V1079" s="1357">
        <v>96</v>
      </c>
    </row>
    <row r="1080" spans="1:22" s="841" customFormat="1" ht="15" x14ac:dyDescent="0.25">
      <c r="A1080" s="841" t="s">
        <v>4874</v>
      </c>
      <c r="B1080" s="841" t="s">
        <v>5198</v>
      </c>
      <c r="E1080" s="1976" t="s">
        <v>5206</v>
      </c>
      <c r="F1080" s="1976"/>
      <c r="G1080" s="1111" t="s">
        <v>24</v>
      </c>
      <c r="H1080" s="724">
        <v>-8.9999999999999998E-4</v>
      </c>
      <c r="K1080" s="841" t="s">
        <v>5256</v>
      </c>
      <c r="L1080" s="841" t="s">
        <v>443</v>
      </c>
      <c r="M1080" s="1357"/>
      <c r="P1080" s="841" t="s">
        <v>5261</v>
      </c>
      <c r="Q1080" s="1357"/>
      <c r="S1080" s="1420"/>
      <c r="T1080" s="1420">
        <v>43585</v>
      </c>
      <c r="V1080" s="1357">
        <v>153</v>
      </c>
    </row>
    <row r="1081" spans="1:22" s="841" customFormat="1" ht="15" x14ac:dyDescent="0.25">
      <c r="A1081" s="841" t="s">
        <v>4874</v>
      </c>
      <c r="B1081" s="841" t="s">
        <v>5198</v>
      </c>
      <c r="E1081" s="621" t="s">
        <v>5210</v>
      </c>
      <c r="F1081" s="621"/>
      <c r="G1081" s="1111" t="s">
        <v>24</v>
      </c>
      <c r="H1081" s="724">
        <v>-8.9999999999999998E-4</v>
      </c>
      <c r="K1081" s="841" t="s">
        <v>5256</v>
      </c>
      <c r="L1081" s="841" t="s">
        <v>443</v>
      </c>
      <c r="M1081" s="1357"/>
      <c r="P1081" s="841" t="s">
        <v>5262</v>
      </c>
      <c r="Q1081" s="1357"/>
      <c r="S1081" s="1420"/>
      <c r="T1081" s="1420">
        <v>43585</v>
      </c>
      <c r="V1081" s="1357">
        <v>108</v>
      </c>
    </row>
    <row r="1082" spans="1:22" s="841" customFormat="1" ht="15" x14ac:dyDescent="0.25">
      <c r="A1082" s="841" t="s">
        <v>4874</v>
      </c>
      <c r="B1082" s="841" t="s">
        <v>5198</v>
      </c>
      <c r="E1082" s="1382" t="s">
        <v>221</v>
      </c>
      <c r="F1082" s="1382"/>
      <c r="G1082" s="1111" t="s">
        <v>24</v>
      </c>
      <c r="H1082" s="1115">
        <v>6.6E-3</v>
      </c>
      <c r="K1082" s="841" t="s">
        <v>5256</v>
      </c>
      <c r="L1082" s="841" t="s">
        <v>444</v>
      </c>
      <c r="M1082" s="1357"/>
      <c r="P1082" s="841" t="s">
        <v>5263</v>
      </c>
      <c r="Q1082" s="1357"/>
      <c r="S1082" s="1420"/>
      <c r="T1082" s="1420"/>
      <c r="V1082" s="1357">
        <v>47</v>
      </c>
    </row>
    <row r="1083" spans="1:22" s="841" customFormat="1" ht="23.25" x14ac:dyDescent="0.25">
      <c r="A1083" s="841" t="s">
        <v>4874</v>
      </c>
      <c r="B1083" s="841" t="s">
        <v>5198</v>
      </c>
      <c r="E1083" s="1382" t="s">
        <v>217</v>
      </c>
      <c r="F1083" s="1382"/>
      <c r="G1083" s="1111" t="s">
        <v>24</v>
      </c>
      <c r="H1083" s="1115">
        <v>5.4999999999999997E-3</v>
      </c>
      <c r="K1083" s="841" t="s">
        <v>5256</v>
      </c>
      <c r="L1083" s="841" t="s">
        <v>444</v>
      </c>
      <c r="M1083" s="1357"/>
      <c r="P1083" s="841" t="s">
        <v>5264</v>
      </c>
      <c r="Q1083" s="1357"/>
      <c r="S1083" s="1420"/>
      <c r="T1083" s="1420"/>
      <c r="V1083" s="1357">
        <v>74</v>
      </c>
    </row>
    <row r="1084" spans="1:22" s="841" customFormat="1" ht="26.25" x14ac:dyDescent="0.25">
      <c r="A1084" s="841" t="s">
        <v>4874</v>
      </c>
      <c r="B1084" s="841" t="s">
        <v>5198</v>
      </c>
      <c r="E1084" s="1389" t="s">
        <v>3079</v>
      </c>
      <c r="F1084" s="1389"/>
      <c r="G1084" s="1111"/>
      <c r="H1084" s="1085"/>
      <c r="K1084" s="841" t="s">
        <v>3347</v>
      </c>
      <c r="M1084" s="1357"/>
      <c r="Q1084" s="1357"/>
      <c r="S1084" s="1420"/>
      <c r="T1084" s="1420"/>
      <c r="V1084" s="1357">
        <v>48</v>
      </c>
    </row>
    <row r="1085" spans="1:22" s="841" customFormat="1" ht="15" x14ac:dyDescent="0.25">
      <c r="A1085" s="841" t="s">
        <v>4874</v>
      </c>
      <c r="B1085" s="841" t="s">
        <v>5198</v>
      </c>
      <c r="E1085" s="621" t="s">
        <v>2449</v>
      </c>
      <c r="F1085" s="621"/>
      <c r="G1085" s="1111" t="s">
        <v>24</v>
      </c>
      <c r="H1085" s="1117">
        <v>3.2000000000000002E-3</v>
      </c>
      <c r="K1085" s="841" t="s">
        <v>5256</v>
      </c>
      <c r="L1085" s="841" t="s">
        <v>3046</v>
      </c>
      <c r="M1085" s="1357"/>
      <c r="P1085" s="841" t="s">
        <v>5265</v>
      </c>
      <c r="Q1085" s="1357"/>
      <c r="S1085" s="1420"/>
      <c r="T1085" s="1420"/>
      <c r="V1085" s="1357">
        <v>55</v>
      </c>
    </row>
    <row r="1086" spans="1:22" s="841" customFormat="1" ht="15" x14ac:dyDescent="0.25">
      <c r="A1086" s="841" t="s">
        <v>4874</v>
      </c>
      <c r="B1086" s="841" t="s">
        <v>5198</v>
      </c>
      <c r="E1086" s="621" t="s">
        <v>2450</v>
      </c>
      <c r="F1086" s="621"/>
      <c r="G1086" s="1111" t="s">
        <v>24</v>
      </c>
      <c r="H1086" s="1117">
        <v>4.0000000000000002E-4</v>
      </c>
      <c r="K1086" s="841" t="s">
        <v>5256</v>
      </c>
      <c r="L1086" s="841" t="s">
        <v>3046</v>
      </c>
      <c r="M1086" s="1357"/>
      <c r="P1086" s="841" t="s">
        <v>5265</v>
      </c>
      <c r="Q1086" s="1357"/>
      <c r="S1086" s="1420"/>
      <c r="T1086" s="1420"/>
      <c r="V1086" s="1357">
        <v>65</v>
      </c>
    </row>
    <row r="1087" spans="1:22" s="841" customFormat="1" ht="23.25" x14ac:dyDescent="0.25">
      <c r="A1087" s="841" t="s">
        <v>4874</v>
      </c>
      <c r="B1087" s="841" t="s">
        <v>5198</v>
      </c>
      <c r="E1087" s="1382" t="s">
        <v>439</v>
      </c>
      <c r="F1087" s="1382"/>
      <c r="G1087" s="1111" t="s">
        <v>24</v>
      </c>
      <c r="H1087" s="724">
        <v>2.9999999999999997E-4</v>
      </c>
      <c r="K1087" s="841" t="s">
        <v>5256</v>
      </c>
      <c r="L1087" s="841" t="s">
        <v>3046</v>
      </c>
      <c r="M1087" s="1357"/>
      <c r="P1087" s="841" t="s">
        <v>5266</v>
      </c>
      <c r="Q1087" s="1357"/>
      <c r="S1087" s="1420"/>
      <c r="T1087" s="1420"/>
      <c r="V1087" s="1357">
        <v>57</v>
      </c>
    </row>
    <row r="1088" spans="1:22" s="841" customFormat="1" ht="23.25" x14ac:dyDescent="0.25">
      <c r="A1088" s="841" t="s">
        <v>4874</v>
      </c>
      <c r="B1088" s="841" t="s">
        <v>5198</v>
      </c>
      <c r="E1088" s="1382" t="s">
        <v>32</v>
      </c>
      <c r="F1088" s="1382"/>
      <c r="G1088" s="1111" t="s">
        <v>23</v>
      </c>
      <c r="H1088" s="723">
        <v>0.25</v>
      </c>
      <c r="K1088" s="841" t="s">
        <v>5256</v>
      </c>
      <c r="L1088" s="841" t="s">
        <v>3046</v>
      </c>
      <c r="M1088" s="1357"/>
      <c r="P1088" s="841" t="s">
        <v>5267</v>
      </c>
      <c r="Q1088" s="1357"/>
      <c r="S1088" s="1420"/>
      <c r="T1088" s="1420"/>
      <c r="V1088" s="1357">
        <v>63</v>
      </c>
    </row>
    <row r="1089" spans="1:22" s="841" customFormat="1" x14ac:dyDescent="0.25">
      <c r="A1089" s="841" t="s">
        <v>4874</v>
      </c>
      <c r="B1089" s="841" t="s">
        <v>5198</v>
      </c>
      <c r="E1089" s="2019" t="s">
        <v>646</v>
      </c>
      <c r="F1089" s="2019"/>
      <c r="G1089" s="2020"/>
      <c r="H1089" s="2020"/>
      <c r="K1089" s="841" t="s">
        <v>5268</v>
      </c>
      <c r="M1089" s="1357"/>
      <c r="Q1089" s="1357"/>
      <c r="S1089" s="1420"/>
      <c r="T1089" s="1420"/>
      <c r="V1089" s="1357">
        <v>40</v>
      </c>
    </row>
    <row r="1090" spans="1:22" s="841" customFormat="1" ht="15" x14ac:dyDescent="0.25">
      <c r="A1090" s="841" t="s">
        <v>4874</v>
      </c>
      <c r="B1090" s="841" t="s">
        <v>5198</v>
      </c>
      <c r="E1090" s="1969" t="s">
        <v>3350</v>
      </c>
      <c r="F1090" s="1969"/>
      <c r="G1090" s="1970"/>
      <c r="H1090" s="1970"/>
      <c r="K1090" s="841" t="s">
        <v>5268</v>
      </c>
      <c r="M1090" s="1357"/>
      <c r="Q1090" s="1357"/>
      <c r="S1090" s="1420"/>
      <c r="T1090" s="1420"/>
      <c r="V1090" s="1357">
        <v>327</v>
      </c>
    </row>
    <row r="1091" spans="1:22" s="841" customFormat="1" ht="15" x14ac:dyDescent="0.25">
      <c r="A1091" s="841" t="s">
        <v>4874</v>
      </c>
      <c r="B1091" s="841" t="s">
        <v>5198</v>
      </c>
      <c r="E1091" s="2017" t="s">
        <v>3061</v>
      </c>
      <c r="F1091" s="2017"/>
      <c r="G1091" s="2018"/>
      <c r="H1091" s="2018"/>
      <c r="K1091" s="841" t="s">
        <v>3348</v>
      </c>
      <c r="M1091" s="1357"/>
      <c r="Q1091" s="1357"/>
      <c r="S1091" s="1420"/>
      <c r="T1091" s="1420"/>
      <c r="V1091" s="1357">
        <v>11</v>
      </c>
    </row>
    <row r="1092" spans="1:22" s="841" customFormat="1" ht="15" x14ac:dyDescent="0.25">
      <c r="A1092" s="841" t="s">
        <v>4874</v>
      </c>
      <c r="B1092" s="841" t="s">
        <v>5198</v>
      </c>
      <c r="E1092" s="1969" t="s">
        <v>3063</v>
      </c>
      <c r="F1092" s="1969"/>
      <c r="G1092" s="1970"/>
      <c r="H1092" s="1970"/>
      <c r="K1092" s="841" t="s">
        <v>5268</v>
      </c>
      <c r="M1092" s="1357"/>
      <c r="Q1092" s="1357"/>
      <c r="S1092" s="1420"/>
      <c r="T1092" s="1420"/>
      <c r="V1092" s="1357">
        <v>280</v>
      </c>
    </row>
    <row r="1093" spans="1:22" s="841" customFormat="1" ht="15" x14ac:dyDescent="0.25">
      <c r="A1093" s="841" t="s">
        <v>4874</v>
      </c>
      <c r="B1093" s="841" t="s">
        <v>5198</v>
      </c>
      <c r="E1093" s="1969" t="s">
        <v>3064</v>
      </c>
      <c r="F1093" s="1969"/>
      <c r="G1093" s="1970"/>
      <c r="H1093" s="1970"/>
      <c r="K1093" s="841" t="s">
        <v>5268</v>
      </c>
      <c r="M1093" s="1357"/>
      <c r="Q1093" s="1357"/>
      <c r="S1093" s="1420"/>
      <c r="T1093" s="1420"/>
      <c r="V1093" s="1357">
        <v>411</v>
      </c>
    </row>
    <row r="1094" spans="1:22" s="841" customFormat="1" ht="15" x14ac:dyDescent="0.25">
      <c r="A1094" s="841" t="s">
        <v>4874</v>
      </c>
      <c r="B1094" s="841" t="s">
        <v>5198</v>
      </c>
      <c r="E1094" s="1969" t="s">
        <v>3199</v>
      </c>
      <c r="F1094" s="1969"/>
      <c r="G1094" s="1970"/>
      <c r="H1094" s="1970"/>
      <c r="K1094" s="841" t="s">
        <v>5268</v>
      </c>
      <c r="M1094" s="1357"/>
      <c r="Q1094" s="1357"/>
      <c r="S1094" s="1420"/>
      <c r="T1094" s="1420"/>
      <c r="V1094" s="1357">
        <v>386</v>
      </c>
    </row>
    <row r="1095" spans="1:22" s="841" customFormat="1" ht="15" x14ac:dyDescent="0.25">
      <c r="A1095" s="841" t="s">
        <v>4874</v>
      </c>
      <c r="B1095" s="841" t="s">
        <v>5198</v>
      </c>
      <c r="E1095" s="1969" t="s">
        <v>3200</v>
      </c>
      <c r="F1095" s="1969"/>
      <c r="G1095" s="1970"/>
      <c r="H1095" s="1970"/>
      <c r="K1095" s="841" t="s">
        <v>5268</v>
      </c>
      <c r="M1095" s="1357"/>
      <c r="Q1095" s="1357"/>
      <c r="S1095" s="1420"/>
      <c r="T1095" s="1420"/>
      <c r="V1095" s="1357">
        <v>275</v>
      </c>
    </row>
    <row r="1096" spans="1:22" s="841" customFormat="1" ht="15" x14ac:dyDescent="0.25">
      <c r="A1096" s="841" t="s">
        <v>4874</v>
      </c>
      <c r="B1096" s="841" t="s">
        <v>5198</v>
      </c>
      <c r="E1096" s="1972" t="s">
        <v>3067</v>
      </c>
      <c r="F1096" s="1972"/>
      <c r="G1096" s="1973"/>
      <c r="H1096" s="1973"/>
      <c r="K1096" s="841" t="s">
        <v>3349</v>
      </c>
      <c r="M1096" s="1357"/>
      <c r="Q1096" s="1357"/>
      <c r="S1096" s="1420"/>
      <c r="T1096" s="1420"/>
      <c r="V1096" s="1357">
        <v>46</v>
      </c>
    </row>
    <row r="1097" spans="1:22" s="841" customFormat="1" ht="15" x14ac:dyDescent="0.25">
      <c r="A1097" s="841" t="s">
        <v>4874</v>
      </c>
      <c r="B1097" s="841" t="s">
        <v>5198</v>
      </c>
      <c r="E1097" s="1382" t="s">
        <v>11</v>
      </c>
      <c r="F1097" s="1382"/>
      <c r="G1097" s="1111" t="s">
        <v>23</v>
      </c>
      <c r="H1097" s="1112">
        <v>63.66</v>
      </c>
      <c r="K1097" s="841" t="s">
        <v>5268</v>
      </c>
      <c r="L1097" s="841" t="s">
        <v>442</v>
      </c>
      <c r="M1097" s="1357"/>
      <c r="P1097" s="841" t="s">
        <v>5269</v>
      </c>
      <c r="Q1097" s="1357"/>
      <c r="S1097" s="1420"/>
      <c r="T1097" s="1420"/>
      <c r="V1097" s="1357">
        <v>14</v>
      </c>
    </row>
    <row r="1098" spans="1:22" s="841" customFormat="1" x14ac:dyDescent="0.25">
      <c r="A1098" s="841" t="s">
        <v>4874</v>
      </c>
      <c r="B1098" s="841" t="s">
        <v>5198</v>
      </c>
      <c r="E1098" s="2019" t="s">
        <v>618</v>
      </c>
      <c r="F1098" s="2019"/>
      <c r="G1098" s="2020"/>
      <c r="H1098" s="2020"/>
      <c r="K1098" s="841" t="s">
        <v>4099</v>
      </c>
      <c r="M1098" s="1357"/>
      <c r="Q1098" s="1357"/>
      <c r="S1098" s="1420"/>
      <c r="T1098" s="1420"/>
      <c r="V1098" s="1357">
        <v>31</v>
      </c>
    </row>
    <row r="1099" spans="1:22" s="841" customFormat="1" ht="15" x14ac:dyDescent="0.25">
      <c r="A1099" s="841" t="s">
        <v>4874</v>
      </c>
      <c r="B1099" s="841" t="s">
        <v>5198</v>
      </c>
      <c r="E1099" s="1969" t="s">
        <v>3353</v>
      </c>
      <c r="F1099" s="1969"/>
      <c r="G1099" s="1970"/>
      <c r="H1099" s="1970"/>
      <c r="K1099" s="841" t="s">
        <v>4099</v>
      </c>
      <c r="M1099" s="1357"/>
      <c r="Q1099" s="1357"/>
      <c r="S1099" s="1420"/>
      <c r="T1099" s="1420"/>
      <c r="V1099" s="1357">
        <v>285</v>
      </c>
    </row>
    <row r="1100" spans="1:22" s="841" customFormat="1" ht="15" x14ac:dyDescent="0.25">
      <c r="A1100" s="841" t="s">
        <v>4874</v>
      </c>
      <c r="B1100" s="841" t="s">
        <v>5198</v>
      </c>
      <c r="E1100" s="2017" t="s">
        <v>3061</v>
      </c>
      <c r="F1100" s="2017"/>
      <c r="G1100" s="2018"/>
      <c r="H1100" s="2018"/>
      <c r="K1100" s="841" t="s">
        <v>3351</v>
      </c>
      <c r="M1100" s="1357"/>
      <c r="Q1100" s="1357"/>
      <c r="S1100" s="1420"/>
      <c r="T1100" s="1420"/>
      <c r="V1100" s="1357">
        <v>11</v>
      </c>
    </row>
    <row r="1101" spans="1:22" s="841" customFormat="1" ht="15" x14ac:dyDescent="0.25">
      <c r="A1101" s="841" t="s">
        <v>4874</v>
      </c>
      <c r="B1101" s="841" t="s">
        <v>5198</v>
      </c>
      <c r="E1101" s="1969" t="s">
        <v>3063</v>
      </c>
      <c r="F1101" s="1969"/>
      <c r="G1101" s="1970"/>
      <c r="H1101" s="1970"/>
      <c r="K1101" s="841" t="s">
        <v>4099</v>
      </c>
      <c r="M1101" s="1357"/>
      <c r="Q1101" s="1357"/>
      <c r="S1101" s="1420"/>
      <c r="T1101" s="1420"/>
      <c r="V1101" s="1357">
        <v>280</v>
      </c>
    </row>
    <row r="1102" spans="1:22" s="841" customFormat="1" ht="15" x14ac:dyDescent="0.25">
      <c r="A1102" s="841" t="s">
        <v>4874</v>
      </c>
      <c r="B1102" s="841" t="s">
        <v>5198</v>
      </c>
      <c r="E1102" s="1969" t="s">
        <v>3064</v>
      </c>
      <c r="F1102" s="1969"/>
      <c r="G1102" s="1970"/>
      <c r="H1102" s="1970"/>
      <c r="K1102" s="841" t="s">
        <v>4099</v>
      </c>
      <c r="M1102" s="1357"/>
      <c r="Q1102" s="1357"/>
      <c r="S1102" s="1420"/>
      <c r="T1102" s="1420"/>
      <c r="V1102" s="1357">
        <v>411</v>
      </c>
    </row>
    <row r="1103" spans="1:22" s="841" customFormat="1" ht="15" x14ac:dyDescent="0.25">
      <c r="A1103" s="841" t="s">
        <v>4874</v>
      </c>
      <c r="B1103" s="841" t="s">
        <v>5198</v>
      </c>
      <c r="E1103" s="1969" t="s">
        <v>3199</v>
      </c>
      <c r="F1103" s="1969"/>
      <c r="G1103" s="1970"/>
      <c r="H1103" s="1970"/>
      <c r="K1103" s="841" t="s">
        <v>4099</v>
      </c>
      <c r="M1103" s="1357"/>
      <c r="Q1103" s="1357"/>
      <c r="S1103" s="1420"/>
      <c r="T1103" s="1420"/>
      <c r="V1103" s="1357">
        <v>386</v>
      </c>
    </row>
    <row r="1104" spans="1:22" s="841" customFormat="1" ht="15" x14ac:dyDescent="0.25">
      <c r="A1104" s="841" t="s">
        <v>4874</v>
      </c>
      <c r="B1104" s="841" t="s">
        <v>5198</v>
      </c>
      <c r="E1104" s="1969" t="s">
        <v>3200</v>
      </c>
      <c r="F1104" s="1969"/>
      <c r="G1104" s="1970"/>
      <c r="H1104" s="1970"/>
      <c r="K1104" s="841" t="s">
        <v>4099</v>
      </c>
      <c r="M1104" s="1357"/>
      <c r="Q1104" s="1357"/>
      <c r="S1104" s="1420"/>
      <c r="T1104" s="1420"/>
      <c r="V1104" s="1357">
        <v>275</v>
      </c>
    </row>
    <row r="1105" spans="1:22" s="841" customFormat="1" ht="15" x14ac:dyDescent="0.25">
      <c r="A1105" s="841" t="s">
        <v>4874</v>
      </c>
      <c r="B1105" s="841" t="s">
        <v>5198</v>
      </c>
      <c r="E1105" s="1972" t="s">
        <v>3067</v>
      </c>
      <c r="F1105" s="1972"/>
      <c r="G1105" s="1973"/>
      <c r="H1105" s="1973"/>
      <c r="K1105" s="841" t="s">
        <v>3352</v>
      </c>
      <c r="M1105" s="1357"/>
      <c r="Q1105" s="1357"/>
      <c r="S1105" s="1420"/>
      <c r="T1105" s="1420"/>
      <c r="V1105" s="1357">
        <v>46</v>
      </c>
    </row>
    <row r="1106" spans="1:22" s="841" customFormat="1" ht="15" x14ac:dyDescent="0.25">
      <c r="A1106" s="841" t="s">
        <v>4874</v>
      </c>
      <c r="B1106" s="841" t="s">
        <v>5198</v>
      </c>
      <c r="E1106" s="1382" t="s">
        <v>11</v>
      </c>
      <c r="F1106" s="1382"/>
      <c r="G1106" s="1111" t="s">
        <v>23</v>
      </c>
      <c r="H1106" s="1112">
        <v>5.4</v>
      </c>
      <c r="K1106" s="841" t="s">
        <v>4099</v>
      </c>
      <c r="L1106" s="841" t="s">
        <v>442</v>
      </c>
      <c r="M1106" s="1357"/>
      <c r="P1106" s="841" t="s">
        <v>4102</v>
      </c>
      <c r="Q1106" s="1357"/>
      <c r="S1106" s="1420"/>
      <c r="T1106" s="1420"/>
      <c r="V1106" s="1357">
        <v>14</v>
      </c>
    </row>
    <row r="1107" spans="1:22" s="841" customFormat="1" ht="18.75" x14ac:dyDescent="0.25">
      <c r="A1107" s="841" t="s">
        <v>4874</v>
      </c>
      <c r="B1107" s="841" t="s">
        <v>5198</v>
      </c>
      <c r="E1107" s="1128" t="s">
        <v>85</v>
      </c>
      <c r="F1107" s="1128"/>
      <c r="G1107" s="1129"/>
      <c r="H1107" s="1130"/>
      <c r="K1107" s="841" t="s">
        <v>5270</v>
      </c>
      <c r="M1107" s="1357"/>
      <c r="Q1107" s="1357"/>
      <c r="S1107" s="1420"/>
      <c r="T1107" s="1420"/>
      <c r="V1107" s="1357">
        <v>10</v>
      </c>
    </row>
    <row r="1108" spans="1:22" s="841" customFormat="1" ht="23.25" x14ac:dyDescent="0.25">
      <c r="A1108" s="841" t="s">
        <v>4874</v>
      </c>
      <c r="B1108" s="841" t="s">
        <v>5198</v>
      </c>
      <c r="E1108" s="1131" t="s">
        <v>3133</v>
      </c>
      <c r="F1108" s="1131"/>
      <c r="G1108" s="1111"/>
      <c r="H1108" s="1085"/>
      <c r="M1108" s="1357"/>
      <c r="Q1108" s="1357"/>
      <c r="S1108" s="1420"/>
      <c r="T1108" s="1420"/>
      <c r="V1108" s="1357">
        <v>68</v>
      </c>
    </row>
    <row r="1109" spans="1:22" s="841" customFormat="1" ht="15" x14ac:dyDescent="0.25">
      <c r="A1109" s="841" t="s">
        <v>4874</v>
      </c>
      <c r="B1109" s="841" t="s">
        <v>5198</v>
      </c>
      <c r="E1109" s="1131" t="s">
        <v>3354</v>
      </c>
      <c r="F1109" s="1131"/>
      <c r="G1109" s="1132" t="s">
        <v>24</v>
      </c>
      <c r="H1109" s="1133">
        <v>-3.2000000000000002E-3</v>
      </c>
      <c r="M1109" s="1357"/>
      <c r="Q1109" s="1357"/>
      <c r="S1109" s="1420"/>
      <c r="T1109" s="1420"/>
      <c r="V1109" s="1357">
        <v>49</v>
      </c>
    </row>
    <row r="1110" spans="1:22" s="841" customFormat="1" ht="15" x14ac:dyDescent="0.25">
      <c r="A1110" s="841" t="s">
        <v>4874</v>
      </c>
      <c r="B1110" s="841" t="s">
        <v>5198</v>
      </c>
      <c r="E1110" s="1131" t="s">
        <v>5271</v>
      </c>
      <c r="F1110" s="1131"/>
      <c r="G1110" s="1132" t="s">
        <v>33</v>
      </c>
      <c r="H1110" s="724">
        <v>-0.68400000000000005</v>
      </c>
      <c r="M1110" s="1357"/>
      <c r="Q1110" s="1357"/>
      <c r="S1110" s="1420"/>
      <c r="T1110" s="1420"/>
      <c r="V1110" s="1357">
        <v>46</v>
      </c>
    </row>
    <row r="1111" spans="1:22" s="841" customFormat="1" ht="15" x14ac:dyDescent="0.25">
      <c r="A1111" s="841" t="s">
        <v>4874</v>
      </c>
      <c r="B1111" s="841" t="s">
        <v>5198</v>
      </c>
      <c r="E1111" s="1131" t="s">
        <v>5272</v>
      </c>
      <c r="F1111" s="1131"/>
      <c r="G1111" s="1132" t="s">
        <v>33</v>
      </c>
      <c r="H1111" s="724">
        <v>-0.85150000000000003</v>
      </c>
      <c r="M1111" s="1357"/>
      <c r="Q1111" s="1357"/>
      <c r="S1111" s="1420"/>
      <c r="T1111" s="1420"/>
      <c r="V1111" s="1357">
        <v>49</v>
      </c>
    </row>
    <row r="1112" spans="1:22" s="841" customFormat="1" ht="23.25" x14ac:dyDescent="0.25">
      <c r="A1112" s="841" t="s">
        <v>4874</v>
      </c>
      <c r="B1112" s="841" t="s">
        <v>5198</v>
      </c>
      <c r="E1112" s="1131" t="s">
        <v>5273</v>
      </c>
      <c r="F1112" s="1131"/>
      <c r="G1112" s="1132" t="s">
        <v>86</v>
      </c>
      <c r="H1112" s="1134">
        <v>-1</v>
      </c>
      <c r="M1112" s="1357"/>
      <c r="Q1112" s="1357"/>
      <c r="S1112" s="1420"/>
      <c r="T1112" s="1420"/>
      <c r="V1112" s="1357">
        <v>89</v>
      </c>
    </row>
    <row r="1113" spans="1:22" s="841" customFormat="1" ht="36" x14ac:dyDescent="0.25">
      <c r="A1113" s="841" t="s">
        <v>4874</v>
      </c>
      <c r="B1113" s="841" t="s">
        <v>5198</v>
      </c>
      <c r="E1113" s="1128" t="s">
        <v>87</v>
      </c>
      <c r="F1113" s="1128"/>
      <c r="G1113" s="1129"/>
      <c r="H1113" s="1130"/>
      <c r="K1113" s="841" t="s">
        <v>5274</v>
      </c>
      <c r="M1113" s="1357"/>
      <c r="Q1113" s="1357"/>
      <c r="S1113" s="1420"/>
      <c r="T1113" s="1420"/>
      <c r="V1113" s="1357">
        <v>24</v>
      </c>
    </row>
    <row r="1114" spans="1:22" s="841" customFormat="1" ht="15" x14ac:dyDescent="0.25">
      <c r="A1114" s="841" t="s">
        <v>4874</v>
      </c>
      <c r="B1114" s="841" t="s">
        <v>5198</v>
      </c>
      <c r="E1114" s="2050" t="s">
        <v>3061</v>
      </c>
      <c r="F1114" s="2050"/>
      <c r="G1114" s="2048"/>
      <c r="H1114" s="2048"/>
      <c r="M1114" s="1357"/>
      <c r="Q1114" s="1357"/>
      <c r="S1114" s="1420"/>
      <c r="T1114" s="1420"/>
      <c r="V1114" s="1357">
        <v>11</v>
      </c>
    </row>
    <row r="1115" spans="1:22" s="841" customFormat="1" ht="15" x14ac:dyDescent="0.25">
      <c r="A1115" s="841" t="s">
        <v>4874</v>
      </c>
      <c r="B1115" s="841" t="s">
        <v>5198</v>
      </c>
      <c r="E1115" s="1969" t="s">
        <v>3063</v>
      </c>
      <c r="F1115" s="1969"/>
      <c r="G1115" s="1969"/>
      <c r="H1115" s="1969"/>
      <c r="M1115" s="1357"/>
      <c r="Q1115" s="1357"/>
      <c r="S1115" s="1420"/>
      <c r="T1115" s="1420"/>
      <c r="V1115" s="1357">
        <v>280</v>
      </c>
    </row>
    <row r="1116" spans="1:22" s="841" customFormat="1" ht="15" x14ac:dyDescent="0.25">
      <c r="A1116" s="841" t="s">
        <v>4874</v>
      </c>
      <c r="B1116" s="841" t="s">
        <v>5198</v>
      </c>
      <c r="E1116" s="1969" t="s">
        <v>3136</v>
      </c>
      <c r="F1116" s="1969"/>
      <c r="G1116" s="1969"/>
      <c r="H1116" s="1969"/>
      <c r="M1116" s="1357"/>
      <c r="Q1116" s="1357"/>
      <c r="S1116" s="1420"/>
      <c r="T1116" s="1420"/>
      <c r="V1116" s="1357">
        <v>353</v>
      </c>
    </row>
    <row r="1117" spans="1:22" s="841" customFormat="1" ht="15" x14ac:dyDescent="0.25">
      <c r="A1117" s="841" t="s">
        <v>4874</v>
      </c>
      <c r="B1117" s="841" t="s">
        <v>5198</v>
      </c>
      <c r="E1117" s="2049" t="s">
        <v>3200</v>
      </c>
      <c r="F1117" s="2049"/>
      <c r="G1117" s="2049"/>
      <c r="H1117" s="2049"/>
      <c r="M1117" s="1357"/>
      <c r="Q1117" s="1357"/>
      <c r="S1117" s="1420"/>
      <c r="T1117" s="1420"/>
      <c r="V1117" s="1357">
        <v>275</v>
      </c>
    </row>
    <row r="1118" spans="1:22" s="841" customFormat="1" ht="15" x14ac:dyDescent="0.25">
      <c r="A1118" s="841" t="s">
        <v>4874</v>
      </c>
      <c r="B1118" s="841" t="s">
        <v>5198</v>
      </c>
      <c r="E1118" s="1135" t="s">
        <v>3137</v>
      </c>
      <c r="F1118" s="1135"/>
      <c r="G1118" s="1136"/>
      <c r="H1118" s="1137"/>
      <c r="K1118" s="841" t="s">
        <v>5275</v>
      </c>
      <c r="M1118" s="1357"/>
      <c r="Q1118" s="1357"/>
      <c r="S1118" s="1420"/>
      <c r="T1118" s="1420"/>
      <c r="V1118" s="1357">
        <v>23</v>
      </c>
    </row>
    <row r="1119" spans="1:22" s="841" customFormat="1" ht="15" x14ac:dyDescent="0.25">
      <c r="A1119" s="841" t="s">
        <v>4874</v>
      </c>
      <c r="B1119" s="841" t="s">
        <v>5198</v>
      </c>
      <c r="E1119" s="1138" t="s">
        <v>3355</v>
      </c>
      <c r="F1119" s="1138"/>
      <c r="G1119" s="1139" t="s">
        <v>23</v>
      </c>
      <c r="H1119" s="1140">
        <v>15</v>
      </c>
      <c r="M1119" s="1357"/>
      <c r="Q1119" s="1357"/>
      <c r="S1119" s="1420"/>
      <c r="T1119" s="1420"/>
      <c r="V1119" s="1357">
        <v>19</v>
      </c>
    </row>
    <row r="1120" spans="1:22" s="841" customFormat="1" ht="15" x14ac:dyDescent="0.25">
      <c r="A1120" s="841" t="s">
        <v>4874</v>
      </c>
      <c r="B1120" s="841" t="s">
        <v>5198</v>
      </c>
      <c r="E1120" s="1141" t="s">
        <v>3141</v>
      </c>
      <c r="F1120" s="1141"/>
      <c r="G1120" s="1111" t="s">
        <v>23</v>
      </c>
      <c r="H1120" s="723">
        <v>15</v>
      </c>
      <c r="M1120" s="1357"/>
      <c r="Q1120" s="1357"/>
      <c r="S1120" s="1420"/>
      <c r="T1120" s="1420"/>
      <c r="V1120" s="1357">
        <v>26</v>
      </c>
    </row>
    <row r="1121" spans="1:22" s="841" customFormat="1" ht="15" x14ac:dyDescent="0.25">
      <c r="A1121" s="841" t="s">
        <v>4874</v>
      </c>
      <c r="B1121" s="841" t="s">
        <v>5198</v>
      </c>
      <c r="E1121" s="1142" t="s">
        <v>3142</v>
      </c>
      <c r="F1121" s="1142"/>
      <c r="G1121" s="1139" t="s">
        <v>23</v>
      </c>
      <c r="H1121" s="1140">
        <v>15</v>
      </c>
      <c r="M1121" s="1357"/>
      <c r="Q1121" s="1357"/>
      <c r="S1121" s="1420"/>
      <c r="T1121" s="1420"/>
      <c r="V1121" s="1357">
        <v>39</v>
      </c>
    </row>
    <row r="1122" spans="1:22" s="841" customFormat="1" ht="15" x14ac:dyDescent="0.25">
      <c r="A1122" s="841" t="s">
        <v>4874</v>
      </c>
      <c r="B1122" s="841" t="s">
        <v>5198</v>
      </c>
      <c r="E1122" s="1142" t="s">
        <v>3143</v>
      </c>
      <c r="F1122" s="1142"/>
      <c r="G1122" s="1139" t="s">
        <v>23</v>
      </c>
      <c r="H1122" s="1140">
        <v>15</v>
      </c>
      <c r="M1122" s="1357"/>
      <c r="Q1122" s="1357"/>
      <c r="S1122" s="1420"/>
      <c r="T1122" s="1420"/>
      <c r="V1122" s="1357">
        <v>37</v>
      </c>
    </row>
    <row r="1123" spans="1:22" s="841" customFormat="1" ht="15" x14ac:dyDescent="0.25">
      <c r="A1123" s="841" t="s">
        <v>4874</v>
      </c>
      <c r="B1123" s="841" t="s">
        <v>5198</v>
      </c>
      <c r="E1123" s="1142" t="s">
        <v>4770</v>
      </c>
      <c r="F1123" s="1142"/>
      <c r="G1123" s="1139" t="s">
        <v>23</v>
      </c>
      <c r="H1123" s="1140">
        <v>15</v>
      </c>
      <c r="M1123" s="1357"/>
      <c r="Q1123" s="1357"/>
      <c r="S1123" s="1420"/>
      <c r="T1123" s="1420"/>
      <c r="V1123" s="1357">
        <v>15</v>
      </c>
    </row>
    <row r="1124" spans="1:22" s="841" customFormat="1" ht="15" x14ac:dyDescent="0.25">
      <c r="A1124" s="841" t="s">
        <v>4874</v>
      </c>
      <c r="B1124" s="841" t="s">
        <v>5198</v>
      </c>
      <c r="E1124" s="1142" t="s">
        <v>3145</v>
      </c>
      <c r="F1124" s="1142"/>
      <c r="G1124" s="1139" t="s">
        <v>23</v>
      </c>
      <c r="H1124" s="1140">
        <v>15</v>
      </c>
      <c r="M1124" s="1357"/>
      <c r="Q1124" s="1357"/>
      <c r="S1124" s="1420"/>
      <c r="T1124" s="1420"/>
      <c r="V1124" s="1357">
        <v>17</v>
      </c>
    </row>
    <row r="1125" spans="1:22" s="841" customFormat="1" ht="15" x14ac:dyDescent="0.25">
      <c r="A1125" s="841" t="s">
        <v>4874</v>
      </c>
      <c r="B1125" s="841" t="s">
        <v>5198</v>
      </c>
      <c r="E1125" s="1142" t="s">
        <v>3147</v>
      </c>
      <c r="F1125" s="1142"/>
      <c r="G1125" s="1139" t="s">
        <v>23</v>
      </c>
      <c r="H1125" s="1140">
        <v>15</v>
      </c>
      <c r="M1125" s="1357"/>
      <c r="Q1125" s="1357"/>
      <c r="S1125" s="1420"/>
      <c r="T1125" s="1420"/>
      <c r="V1125" s="1357">
        <v>15</v>
      </c>
    </row>
    <row r="1126" spans="1:22" s="841" customFormat="1" ht="23.25" x14ac:dyDescent="0.25">
      <c r="A1126" s="841" t="s">
        <v>4874</v>
      </c>
      <c r="B1126" s="841" t="s">
        <v>5198</v>
      </c>
      <c r="E1126" s="1142" t="s">
        <v>3148</v>
      </c>
      <c r="F1126" s="1142"/>
      <c r="G1126" s="1139" t="s">
        <v>23</v>
      </c>
      <c r="H1126" s="1140">
        <v>15</v>
      </c>
      <c r="M1126" s="1357"/>
      <c r="Q1126" s="1357"/>
      <c r="S1126" s="1420"/>
      <c r="T1126" s="1420"/>
      <c r="V1126" s="1357">
        <v>56</v>
      </c>
    </row>
    <row r="1127" spans="1:22" s="841" customFormat="1" ht="15" x14ac:dyDescent="0.25">
      <c r="A1127" s="841" t="s">
        <v>4874</v>
      </c>
      <c r="B1127" s="841" t="s">
        <v>5198</v>
      </c>
      <c r="E1127" s="1142" t="s">
        <v>123</v>
      </c>
      <c r="F1127" s="1142"/>
      <c r="G1127" s="1139" t="s">
        <v>23</v>
      </c>
      <c r="H1127" s="1140">
        <v>15</v>
      </c>
      <c r="M1127" s="1357"/>
      <c r="Q1127" s="1357"/>
      <c r="S1127" s="1420"/>
      <c r="T1127" s="1420"/>
      <c r="V1127" s="1357">
        <v>35</v>
      </c>
    </row>
    <row r="1128" spans="1:22" s="841" customFormat="1" ht="15" x14ac:dyDescent="0.25">
      <c r="A1128" s="841" t="s">
        <v>4874</v>
      </c>
      <c r="B1128" s="841" t="s">
        <v>5198</v>
      </c>
      <c r="E1128" s="1142" t="s">
        <v>3151</v>
      </c>
      <c r="F1128" s="1142"/>
      <c r="G1128" s="1139" t="s">
        <v>23</v>
      </c>
      <c r="H1128" s="723">
        <v>15</v>
      </c>
      <c r="M1128" s="1357"/>
      <c r="Q1128" s="1357"/>
      <c r="S1128" s="1420"/>
      <c r="T1128" s="1420"/>
      <c r="V1128" s="1357">
        <v>19</v>
      </c>
    </row>
    <row r="1129" spans="1:22" s="841" customFormat="1" ht="23.25" x14ac:dyDescent="0.25">
      <c r="A1129" s="841" t="s">
        <v>4874</v>
      </c>
      <c r="B1129" s="841" t="s">
        <v>5198</v>
      </c>
      <c r="E1129" s="1142" t="s">
        <v>88</v>
      </c>
      <c r="F1129" s="1142"/>
      <c r="G1129" s="1139" t="s">
        <v>23</v>
      </c>
      <c r="H1129" s="1140">
        <v>30</v>
      </c>
      <c r="M1129" s="1357"/>
      <c r="Q1129" s="1357"/>
      <c r="S1129" s="1420"/>
      <c r="T1129" s="1420"/>
      <c r="V1129" s="1357">
        <v>89</v>
      </c>
    </row>
    <row r="1130" spans="1:22" s="841" customFormat="1" ht="15" x14ac:dyDescent="0.25">
      <c r="A1130" s="841" t="s">
        <v>4874</v>
      </c>
      <c r="B1130" s="841" t="s">
        <v>5198</v>
      </c>
      <c r="E1130" s="1142" t="s">
        <v>94</v>
      </c>
      <c r="F1130" s="1142"/>
      <c r="G1130" s="1139" t="s">
        <v>23</v>
      </c>
      <c r="H1130" s="1140">
        <v>30</v>
      </c>
      <c r="M1130" s="1357"/>
      <c r="Q1130" s="1357"/>
      <c r="S1130" s="1420"/>
      <c r="T1130" s="1420"/>
      <c r="V1130" s="1357">
        <v>19</v>
      </c>
    </row>
    <row r="1131" spans="1:22" s="841" customFormat="1" ht="15" x14ac:dyDescent="0.25">
      <c r="A1131" s="841" t="s">
        <v>4874</v>
      </c>
      <c r="B1131" s="841" t="s">
        <v>5198</v>
      </c>
      <c r="E1131" s="1142" t="s">
        <v>3356</v>
      </c>
      <c r="F1131" s="1142"/>
      <c r="G1131" s="1139" t="s">
        <v>23</v>
      </c>
      <c r="H1131" s="1140">
        <v>125</v>
      </c>
      <c r="M1131" s="1357"/>
      <c r="Q1131" s="1357"/>
      <c r="S1131" s="1420"/>
      <c r="T1131" s="1420"/>
      <c r="V1131" s="1357">
        <v>37</v>
      </c>
    </row>
    <row r="1132" spans="1:22" s="841" customFormat="1" ht="23.25" x14ac:dyDescent="0.25">
      <c r="A1132" s="841" t="s">
        <v>4874</v>
      </c>
      <c r="B1132" s="841" t="s">
        <v>5198</v>
      </c>
      <c r="E1132" s="1142" t="s">
        <v>3357</v>
      </c>
      <c r="F1132" s="1142"/>
      <c r="G1132" s="1139" t="s">
        <v>23</v>
      </c>
      <c r="H1132" s="1140">
        <v>25</v>
      </c>
      <c r="M1132" s="1357"/>
      <c r="Q1132" s="1357"/>
      <c r="S1132" s="1420"/>
      <c r="T1132" s="1420"/>
      <c r="V1132" s="1357">
        <v>55</v>
      </c>
    </row>
    <row r="1133" spans="1:22" s="841" customFormat="1" ht="15" x14ac:dyDescent="0.25">
      <c r="A1133" s="841" t="s">
        <v>4874</v>
      </c>
      <c r="B1133" s="841" t="s">
        <v>5198</v>
      </c>
      <c r="E1133" s="1135" t="s">
        <v>3152</v>
      </c>
      <c r="F1133" s="1135"/>
      <c r="G1133" s="1136"/>
      <c r="H1133" s="1137"/>
      <c r="K1133" s="841" t="s">
        <v>5276</v>
      </c>
      <c r="M1133" s="1357"/>
      <c r="Q1133" s="1357"/>
      <c r="S1133" s="1420"/>
      <c r="T1133" s="1420"/>
      <c r="V1133" s="1357">
        <v>22</v>
      </c>
    </row>
    <row r="1134" spans="1:22" s="841" customFormat="1" ht="15" x14ac:dyDescent="0.25">
      <c r="A1134" s="841" t="s">
        <v>4874</v>
      </c>
      <c r="B1134" s="841" t="s">
        <v>5198</v>
      </c>
      <c r="E1134" s="1142" t="s">
        <v>5137</v>
      </c>
      <c r="F1134" s="1142"/>
      <c r="G1134" s="1139" t="s">
        <v>86</v>
      </c>
      <c r="H1134" s="1140">
        <v>1.5</v>
      </c>
      <c r="M1134" s="1357"/>
      <c r="Q1134" s="1357"/>
      <c r="S1134" s="1420"/>
      <c r="T1134" s="1420"/>
      <c r="V1134" s="1357">
        <v>24</v>
      </c>
    </row>
    <row r="1135" spans="1:22" s="841" customFormat="1" ht="15" x14ac:dyDescent="0.25">
      <c r="A1135" s="841" t="s">
        <v>4874</v>
      </c>
      <c r="B1135" s="841" t="s">
        <v>5198</v>
      </c>
      <c r="E1135" s="1142" t="s">
        <v>4772</v>
      </c>
      <c r="F1135" s="1142"/>
      <c r="G1135" s="1139" t="s">
        <v>86</v>
      </c>
      <c r="H1135" s="1140">
        <v>19.559999999999999</v>
      </c>
      <c r="M1135" s="1357"/>
      <c r="Q1135" s="1357"/>
      <c r="S1135" s="1420"/>
      <c r="T1135" s="1420"/>
      <c r="V1135" s="1357">
        <v>24</v>
      </c>
    </row>
    <row r="1136" spans="1:22" s="841" customFormat="1" ht="15" x14ac:dyDescent="0.25">
      <c r="A1136" s="841" t="s">
        <v>4874</v>
      </c>
      <c r="B1136" s="841" t="s">
        <v>5198</v>
      </c>
      <c r="E1136" s="1142" t="s">
        <v>3288</v>
      </c>
      <c r="F1136" s="1142"/>
      <c r="G1136" s="1139" t="s">
        <v>23</v>
      </c>
      <c r="H1136" s="1140">
        <v>30</v>
      </c>
      <c r="M1136" s="1357"/>
      <c r="Q1136" s="1357"/>
      <c r="S1136" s="1420"/>
      <c r="T1136" s="1420"/>
      <c r="V1136" s="1357">
        <v>47</v>
      </c>
    </row>
    <row r="1137" spans="1:22" s="841" customFormat="1" ht="23.25" x14ac:dyDescent="0.25">
      <c r="A1137" s="841" t="s">
        <v>4874</v>
      </c>
      <c r="B1137" s="841" t="s">
        <v>5198</v>
      </c>
      <c r="E1137" s="1142" t="s">
        <v>4773</v>
      </c>
      <c r="F1137" s="1142"/>
      <c r="G1137" s="1139" t="s">
        <v>23</v>
      </c>
      <c r="H1137" s="1140">
        <v>65</v>
      </c>
      <c r="M1137" s="1357"/>
      <c r="Q1137" s="1357"/>
      <c r="S1137" s="1420"/>
      <c r="T1137" s="1420"/>
      <c r="V1137" s="1357">
        <v>52</v>
      </c>
    </row>
    <row r="1138" spans="1:22" s="841" customFormat="1" ht="23.25" x14ac:dyDescent="0.25">
      <c r="A1138" s="841" t="s">
        <v>4874</v>
      </c>
      <c r="B1138" s="841" t="s">
        <v>5198</v>
      </c>
      <c r="E1138" s="1142" t="s">
        <v>4774</v>
      </c>
      <c r="F1138" s="1142"/>
      <c r="G1138" s="1139" t="s">
        <v>23</v>
      </c>
      <c r="H1138" s="1140">
        <v>185</v>
      </c>
      <c r="M1138" s="1357"/>
      <c r="Q1138" s="1357"/>
      <c r="S1138" s="1420"/>
      <c r="T1138" s="1420"/>
      <c r="V1138" s="1357">
        <v>51</v>
      </c>
    </row>
    <row r="1139" spans="1:22" s="841" customFormat="1" ht="23.25" x14ac:dyDescent="0.25">
      <c r="A1139" s="841" t="s">
        <v>4874</v>
      </c>
      <c r="B1139" s="841" t="s">
        <v>5198</v>
      </c>
      <c r="E1139" s="1142" t="s">
        <v>4775</v>
      </c>
      <c r="F1139" s="1142"/>
      <c r="G1139" s="1139" t="s">
        <v>23</v>
      </c>
      <c r="H1139" s="1140">
        <v>185</v>
      </c>
      <c r="M1139" s="1357"/>
      <c r="Q1139" s="1357"/>
      <c r="S1139" s="1420"/>
      <c r="T1139" s="1420"/>
      <c r="V1139" s="1357">
        <v>51</v>
      </c>
    </row>
    <row r="1140" spans="1:22" s="841" customFormat="1" ht="23.25" x14ac:dyDescent="0.25">
      <c r="A1140" s="841" t="s">
        <v>4874</v>
      </c>
      <c r="B1140" s="841" t="s">
        <v>5198</v>
      </c>
      <c r="E1140" s="1142" t="s">
        <v>4776</v>
      </c>
      <c r="F1140" s="1142"/>
      <c r="G1140" s="1139" t="s">
        <v>23</v>
      </c>
      <c r="H1140" s="1140">
        <v>415</v>
      </c>
      <c r="M1140" s="1357"/>
      <c r="Q1140" s="1357"/>
      <c r="S1140" s="1420"/>
      <c r="T1140" s="1420"/>
      <c r="V1140" s="1357">
        <v>50</v>
      </c>
    </row>
    <row r="1141" spans="1:22" s="841" customFormat="1" ht="23.25" x14ac:dyDescent="0.25">
      <c r="A1141" s="841" t="s">
        <v>4874</v>
      </c>
      <c r="B1141" s="841" t="s">
        <v>5198</v>
      </c>
      <c r="E1141" s="1142" t="s">
        <v>3358</v>
      </c>
      <c r="F1141" s="1142"/>
      <c r="G1141" s="1139" t="s">
        <v>23</v>
      </c>
      <c r="H1141" s="1140">
        <v>60</v>
      </c>
      <c r="M1141" s="1357"/>
      <c r="Q1141" s="1357"/>
      <c r="S1141" s="1420"/>
      <c r="T1141" s="1420"/>
      <c r="V1141" s="1357">
        <v>61</v>
      </c>
    </row>
    <row r="1142" spans="1:22" s="841" customFormat="1" ht="23.25" x14ac:dyDescent="0.25">
      <c r="A1142" s="841" t="s">
        <v>4874</v>
      </c>
      <c r="B1142" s="841" t="s">
        <v>5198</v>
      </c>
      <c r="E1142" s="1142" t="s">
        <v>3359</v>
      </c>
      <c r="F1142" s="1142"/>
      <c r="G1142" s="1139" t="s">
        <v>23</v>
      </c>
      <c r="H1142" s="1140">
        <v>155</v>
      </c>
      <c r="M1142" s="1357"/>
      <c r="Q1142" s="1357"/>
      <c r="S1142" s="1420"/>
      <c r="T1142" s="1420"/>
      <c r="V1142" s="1357">
        <v>60</v>
      </c>
    </row>
    <row r="1143" spans="1:22" s="841" customFormat="1" ht="15" x14ac:dyDescent="0.25">
      <c r="A1143" s="841" t="s">
        <v>4874</v>
      </c>
      <c r="B1143" s="841" t="s">
        <v>5198</v>
      </c>
      <c r="E1143" s="1135" t="s">
        <v>3164</v>
      </c>
      <c r="F1143" s="1135"/>
      <c r="G1143" s="1136"/>
      <c r="H1143" s="1137"/>
      <c r="M1143" s="1357"/>
      <c r="Q1143" s="1357"/>
      <c r="S1143" s="1420"/>
      <c r="T1143" s="1420"/>
      <c r="V1143" s="1357">
        <v>5</v>
      </c>
    </row>
    <row r="1144" spans="1:22" s="841" customFormat="1" ht="23.25" x14ac:dyDescent="0.25">
      <c r="A1144" s="841" t="s">
        <v>4874</v>
      </c>
      <c r="B1144" s="841" t="s">
        <v>5198</v>
      </c>
      <c r="E1144" s="1143" t="s">
        <v>3360</v>
      </c>
      <c r="F1144" s="1143"/>
      <c r="G1144" s="1139" t="s">
        <v>23</v>
      </c>
      <c r="H1144" s="1140">
        <v>120</v>
      </c>
      <c r="M1144" s="1357"/>
      <c r="Q1144" s="1357"/>
      <c r="S1144" s="1420"/>
      <c r="T1144" s="1420"/>
      <c r="V1144" s="1357">
        <v>65</v>
      </c>
    </row>
    <row r="1145" spans="1:22" s="841" customFormat="1" ht="23.25" x14ac:dyDescent="0.25">
      <c r="A1145" s="841" t="s">
        <v>4874</v>
      </c>
      <c r="B1145" s="841" t="s">
        <v>5198</v>
      </c>
      <c r="E1145" s="1143" t="s">
        <v>3361</v>
      </c>
      <c r="F1145" s="1143"/>
      <c r="G1145" s="1139" t="s">
        <v>23</v>
      </c>
      <c r="H1145" s="1140">
        <v>155</v>
      </c>
      <c r="M1145" s="1357"/>
      <c r="Q1145" s="1357"/>
      <c r="S1145" s="1420"/>
      <c r="T1145" s="1420"/>
      <c r="V1145" s="1357">
        <v>64</v>
      </c>
    </row>
    <row r="1146" spans="1:22" s="841" customFormat="1" ht="45" x14ac:dyDescent="0.25">
      <c r="A1146" s="841" t="s">
        <v>4874</v>
      </c>
      <c r="B1146" s="841" t="s">
        <v>5198</v>
      </c>
      <c r="E1146" s="1144" t="s">
        <v>5277</v>
      </c>
      <c r="F1146" s="1144"/>
      <c r="G1146" s="1145" t="s">
        <v>23</v>
      </c>
      <c r="H1146" s="1146">
        <v>22.35</v>
      </c>
      <c r="M1146" s="1357"/>
      <c r="Q1146" s="1357"/>
      <c r="S1146" s="1420"/>
      <c r="T1146" s="1420">
        <v>43343</v>
      </c>
      <c r="V1146" s="1357">
        <v>139</v>
      </c>
    </row>
    <row r="1147" spans="1:22" s="841" customFormat="1" ht="15" x14ac:dyDescent="0.25">
      <c r="A1147" s="841" t="s">
        <v>4874</v>
      </c>
      <c r="B1147" s="841" t="s">
        <v>5198</v>
      </c>
      <c r="E1147" s="1976" t="s">
        <v>5278</v>
      </c>
      <c r="F1147" s="1976"/>
      <c r="G1147" s="1147" t="s">
        <v>23</v>
      </c>
      <c r="H1147" s="1148">
        <v>28.09</v>
      </c>
      <c r="M1147" s="1357"/>
      <c r="Q1147" s="1357"/>
      <c r="S1147" s="1420"/>
      <c r="T1147" s="1420">
        <v>43465</v>
      </c>
      <c r="V1147" s="1357">
        <v>164</v>
      </c>
    </row>
    <row r="1148" spans="1:22" s="841" customFormat="1" ht="45" x14ac:dyDescent="0.25">
      <c r="A1148" s="841" t="s">
        <v>4874</v>
      </c>
      <c r="B1148" s="841" t="s">
        <v>5198</v>
      </c>
      <c r="E1148" s="1144" t="s">
        <v>5279</v>
      </c>
      <c r="F1148" s="1144"/>
      <c r="G1148" s="1147" t="s">
        <v>23</v>
      </c>
      <c r="H1148" s="1148">
        <v>43.63</v>
      </c>
      <c r="M1148" s="1357"/>
      <c r="Q1148" s="1357"/>
      <c r="S1148" s="1420"/>
      <c r="T1148" s="1420"/>
      <c r="V1148" s="1357">
        <v>138</v>
      </c>
    </row>
    <row r="1149" spans="1:22" s="841" customFormat="1" ht="36" x14ac:dyDescent="0.25">
      <c r="A1149" s="841" t="s">
        <v>4874</v>
      </c>
      <c r="B1149" s="841" t="s">
        <v>5198</v>
      </c>
      <c r="E1149" s="1128" t="s">
        <v>77</v>
      </c>
      <c r="F1149" s="1128"/>
      <c r="G1149" s="1129"/>
      <c r="H1149" s="1130"/>
      <c r="K1149" s="841" t="s">
        <v>5280</v>
      </c>
      <c r="M1149" s="1357"/>
      <c r="Q1149" s="1357"/>
      <c r="S1149" s="1420"/>
      <c r="T1149" s="1420"/>
      <c r="V1149" s="1357">
        <v>38</v>
      </c>
    </row>
    <row r="1150" spans="1:22" s="841" customFormat="1" ht="15" x14ac:dyDescent="0.25">
      <c r="A1150" s="841" t="s">
        <v>4874</v>
      </c>
      <c r="B1150" s="841" t="s">
        <v>5198</v>
      </c>
      <c r="E1150" s="1969" t="s">
        <v>3063</v>
      </c>
      <c r="F1150" s="1969"/>
      <c r="G1150" s="1969"/>
      <c r="H1150" s="1969"/>
      <c r="M1150" s="1357"/>
      <c r="Q1150" s="1357"/>
      <c r="S1150" s="1420"/>
      <c r="T1150" s="1420"/>
      <c r="V1150" s="1357">
        <v>280</v>
      </c>
    </row>
    <row r="1151" spans="1:22" s="841" customFormat="1" ht="15" x14ac:dyDescent="0.25">
      <c r="A1151" s="841" t="s">
        <v>4874</v>
      </c>
      <c r="B1151" s="841" t="s">
        <v>5198</v>
      </c>
      <c r="E1151" s="1969" t="s">
        <v>3064</v>
      </c>
      <c r="F1151" s="1969"/>
      <c r="G1151" s="1969"/>
      <c r="H1151" s="1969"/>
      <c r="M1151" s="1357"/>
      <c r="Q1151" s="1357"/>
      <c r="S1151" s="1420"/>
      <c r="T1151" s="1420"/>
      <c r="V1151" s="1357">
        <v>411</v>
      </c>
    </row>
    <row r="1152" spans="1:22" s="841" customFormat="1" ht="15" x14ac:dyDescent="0.25">
      <c r="A1152" s="841" t="s">
        <v>4874</v>
      </c>
      <c r="B1152" s="841" t="s">
        <v>5198</v>
      </c>
      <c r="E1152" s="1969" t="s">
        <v>3129</v>
      </c>
      <c r="F1152" s="1969"/>
      <c r="G1152" s="1969"/>
      <c r="H1152" s="1969"/>
      <c r="M1152" s="1357"/>
      <c r="Q1152" s="1357"/>
      <c r="S1152" s="1420"/>
      <c r="T1152" s="1420"/>
      <c r="V1152" s="1357">
        <v>211</v>
      </c>
    </row>
    <row r="1153" spans="1:22" s="841" customFormat="1" ht="15" x14ac:dyDescent="0.25">
      <c r="A1153" s="841" t="s">
        <v>4874</v>
      </c>
      <c r="B1153" s="841" t="s">
        <v>5198</v>
      </c>
      <c r="E1153" s="1969" t="s">
        <v>3200</v>
      </c>
      <c r="F1153" s="1969"/>
      <c r="G1153" s="1969"/>
      <c r="H1153" s="1969"/>
      <c r="M1153" s="1357"/>
      <c r="Q1153" s="1357"/>
      <c r="S1153" s="1420"/>
      <c r="T1153" s="1420"/>
      <c r="V1153" s="1357">
        <v>275</v>
      </c>
    </row>
    <row r="1154" spans="1:22" s="841" customFormat="1" ht="15" x14ac:dyDescent="0.25">
      <c r="A1154" s="841" t="s">
        <v>4874</v>
      </c>
      <c r="B1154" s="841" t="s">
        <v>5198</v>
      </c>
      <c r="E1154" s="2048" t="s">
        <v>3291</v>
      </c>
      <c r="F1154" s="2048"/>
      <c r="G1154" s="2048"/>
      <c r="H1154" s="2048"/>
      <c r="M1154" s="1357"/>
      <c r="Q1154" s="1357"/>
      <c r="S1154" s="1420"/>
      <c r="T1154" s="1420"/>
      <c r="V1154" s="1357">
        <v>142</v>
      </c>
    </row>
    <row r="1155" spans="1:22" s="841" customFormat="1" ht="23.25" x14ac:dyDescent="0.25">
      <c r="A1155" s="841" t="s">
        <v>4874</v>
      </c>
      <c r="B1155" s="841" t="s">
        <v>5198</v>
      </c>
      <c r="E1155" s="1382" t="s">
        <v>3176</v>
      </c>
      <c r="F1155" s="1382"/>
      <c r="G1155" s="1139" t="s">
        <v>23</v>
      </c>
      <c r="H1155" s="1140">
        <v>100</v>
      </c>
      <c r="M1155" s="1357"/>
      <c r="Q1155" s="1357"/>
      <c r="S1155" s="1420"/>
      <c r="T1155" s="1420"/>
      <c r="V1155" s="1357">
        <v>106</v>
      </c>
    </row>
    <row r="1156" spans="1:22" s="841" customFormat="1" ht="15" x14ac:dyDescent="0.25">
      <c r="A1156" s="841" t="s">
        <v>4874</v>
      </c>
      <c r="B1156" s="841" t="s">
        <v>5198</v>
      </c>
      <c r="E1156" s="1131" t="s">
        <v>5140</v>
      </c>
      <c r="F1156" s="1131"/>
      <c r="G1156" s="1139" t="s">
        <v>23</v>
      </c>
      <c r="H1156" s="1140">
        <v>20</v>
      </c>
      <c r="M1156" s="1357"/>
      <c r="Q1156" s="1357"/>
      <c r="S1156" s="1420"/>
      <c r="T1156" s="1420"/>
      <c r="V1156" s="1357">
        <v>34</v>
      </c>
    </row>
    <row r="1157" spans="1:22" s="841" customFormat="1" ht="15" x14ac:dyDescent="0.25">
      <c r="A1157" s="841" t="s">
        <v>4874</v>
      </c>
      <c r="B1157" s="841" t="s">
        <v>5198</v>
      </c>
      <c r="E1157" s="1131" t="s">
        <v>5141</v>
      </c>
      <c r="F1157" s="1131"/>
      <c r="G1157" s="1139" t="s">
        <v>3179</v>
      </c>
      <c r="H1157" s="1140">
        <v>0.5</v>
      </c>
      <c r="M1157" s="1357"/>
      <c r="Q1157" s="1357"/>
      <c r="S1157" s="1420"/>
      <c r="T1157" s="1420"/>
      <c r="V1157" s="1357">
        <v>51</v>
      </c>
    </row>
    <row r="1158" spans="1:22" s="841" customFormat="1" ht="23.25" x14ac:dyDescent="0.25">
      <c r="A1158" s="841" t="s">
        <v>4874</v>
      </c>
      <c r="B1158" s="841" t="s">
        <v>5198</v>
      </c>
      <c r="E1158" s="1131" t="s">
        <v>3180</v>
      </c>
      <c r="F1158" s="1131"/>
      <c r="G1158" s="1139" t="s">
        <v>3179</v>
      </c>
      <c r="H1158" s="1140">
        <v>0.3</v>
      </c>
      <c r="M1158" s="1357"/>
      <c r="Q1158" s="1357"/>
      <c r="S1158" s="1420"/>
      <c r="T1158" s="1420"/>
      <c r="V1158" s="1357">
        <v>75</v>
      </c>
    </row>
    <row r="1159" spans="1:22" s="841" customFormat="1" ht="23.25" x14ac:dyDescent="0.25">
      <c r="A1159" s="841" t="s">
        <v>4874</v>
      </c>
      <c r="B1159" s="841" t="s">
        <v>5198</v>
      </c>
      <c r="E1159" s="1131" t="s">
        <v>3181</v>
      </c>
      <c r="F1159" s="1131"/>
      <c r="G1159" s="1139" t="s">
        <v>3179</v>
      </c>
      <c r="H1159" s="1149">
        <v>-0.3</v>
      </c>
      <c r="M1159" s="1357"/>
      <c r="Q1159" s="1357"/>
      <c r="S1159" s="1420"/>
      <c r="T1159" s="1420"/>
      <c r="V1159" s="1357">
        <v>72</v>
      </c>
    </row>
    <row r="1160" spans="1:22" s="841" customFormat="1" ht="15" x14ac:dyDescent="0.25">
      <c r="A1160" s="841" t="s">
        <v>4874</v>
      </c>
      <c r="B1160" s="841" t="s">
        <v>5198</v>
      </c>
      <c r="E1160" s="1131" t="s">
        <v>3292</v>
      </c>
      <c r="F1160" s="1131"/>
      <c r="G1160" s="1150"/>
      <c r="H1160" s="1151"/>
      <c r="M1160" s="1357"/>
      <c r="Q1160" s="1357"/>
      <c r="S1160" s="1420"/>
      <c r="T1160" s="1420"/>
      <c r="V1160" s="1357">
        <v>34</v>
      </c>
    </row>
    <row r="1161" spans="1:22" s="841" customFormat="1" ht="23.25" x14ac:dyDescent="0.25">
      <c r="A1161" s="841" t="s">
        <v>4874</v>
      </c>
      <c r="B1161" s="841" t="s">
        <v>5198</v>
      </c>
      <c r="E1161" s="1152" t="s">
        <v>3183</v>
      </c>
      <c r="F1161" s="1152"/>
      <c r="G1161" s="1139" t="s">
        <v>23</v>
      </c>
      <c r="H1161" s="1140">
        <v>0.25</v>
      </c>
      <c r="M1161" s="1357"/>
      <c r="Q1161" s="1357"/>
      <c r="S1161" s="1420"/>
      <c r="T1161" s="1420"/>
      <c r="V1161" s="1357">
        <v>57</v>
      </c>
    </row>
    <row r="1162" spans="1:22" s="841" customFormat="1" ht="23.25" x14ac:dyDescent="0.25">
      <c r="A1162" s="841" t="s">
        <v>4874</v>
      </c>
      <c r="B1162" s="841" t="s">
        <v>5198</v>
      </c>
      <c r="E1162" s="1152" t="s">
        <v>3184</v>
      </c>
      <c r="F1162" s="1152"/>
      <c r="G1162" s="1139" t="s">
        <v>23</v>
      </c>
      <c r="H1162" s="1140">
        <v>0.5</v>
      </c>
      <c r="M1162" s="1357"/>
      <c r="Q1162" s="1357"/>
      <c r="S1162" s="1420"/>
      <c r="T1162" s="1420"/>
      <c r="V1162" s="1357">
        <v>60</v>
      </c>
    </row>
    <row r="1163" spans="1:22" s="841" customFormat="1" ht="23.25" x14ac:dyDescent="0.25">
      <c r="A1163" s="841" t="s">
        <v>4874</v>
      </c>
      <c r="B1163" s="841" t="s">
        <v>5198</v>
      </c>
      <c r="E1163" s="1131" t="s">
        <v>3185</v>
      </c>
      <c r="F1163" s="1131"/>
      <c r="G1163" s="1150"/>
      <c r="H1163" s="1151"/>
      <c r="M1163" s="1357"/>
      <c r="Q1163" s="1357"/>
      <c r="S1163" s="1420"/>
      <c r="T1163" s="1420"/>
      <c r="V1163" s="1357">
        <v>91</v>
      </c>
    </row>
    <row r="1164" spans="1:22" s="841" customFormat="1" ht="23.25" x14ac:dyDescent="0.25">
      <c r="A1164" s="841" t="s">
        <v>4874</v>
      </c>
      <c r="B1164" s="841" t="s">
        <v>5198</v>
      </c>
      <c r="E1164" s="1131" t="s">
        <v>3186</v>
      </c>
      <c r="F1164" s="1131"/>
      <c r="G1164" s="1150"/>
      <c r="H1164" s="1151"/>
      <c r="M1164" s="1357"/>
      <c r="Q1164" s="1357"/>
      <c r="S1164" s="1420"/>
      <c r="T1164" s="1420"/>
      <c r="V1164" s="1357">
        <v>96</v>
      </c>
    </row>
    <row r="1165" spans="1:22" s="841" customFormat="1" ht="23.25" x14ac:dyDescent="0.25">
      <c r="A1165" s="841" t="s">
        <v>4874</v>
      </c>
      <c r="B1165" s="841" t="s">
        <v>5198</v>
      </c>
      <c r="E1165" s="1131" t="s">
        <v>3293</v>
      </c>
      <c r="F1165" s="1131"/>
      <c r="G1165" s="1150"/>
      <c r="H1165" s="1151"/>
      <c r="M1165" s="1357"/>
      <c r="Q1165" s="1357"/>
      <c r="S1165" s="1420"/>
      <c r="T1165" s="1420"/>
      <c r="V1165" s="1357">
        <v>77</v>
      </c>
    </row>
    <row r="1166" spans="1:22" s="841" customFormat="1" ht="15" x14ac:dyDescent="0.25">
      <c r="A1166" s="841" t="s">
        <v>4874</v>
      </c>
      <c r="B1166" s="841" t="s">
        <v>5198</v>
      </c>
      <c r="E1166" s="1152" t="s">
        <v>3188</v>
      </c>
      <c r="F1166" s="1152"/>
      <c r="G1166" s="1139" t="s">
        <v>23</v>
      </c>
      <c r="H1166" s="1153" t="s">
        <v>3189</v>
      </c>
      <c r="M1166" s="1357"/>
      <c r="Q1166" s="1357"/>
      <c r="S1166" s="1420"/>
      <c r="T1166" s="1420"/>
      <c r="V1166" s="1357">
        <v>18</v>
      </c>
    </row>
    <row r="1167" spans="1:22" s="841" customFormat="1" ht="23.25" x14ac:dyDescent="0.25">
      <c r="A1167" s="841" t="s">
        <v>4874</v>
      </c>
      <c r="B1167" s="841" t="s">
        <v>5198</v>
      </c>
      <c r="E1167" s="1152" t="s">
        <v>3190</v>
      </c>
      <c r="F1167" s="1152"/>
      <c r="G1167" s="1139" t="s">
        <v>23</v>
      </c>
      <c r="H1167" s="1140">
        <v>2</v>
      </c>
      <c r="M1167" s="1357"/>
      <c r="Q1167" s="1357"/>
      <c r="S1167" s="1420"/>
      <c r="T1167" s="1420"/>
      <c r="V1167" s="1357">
        <v>69</v>
      </c>
    </row>
    <row r="1168" spans="1:22" s="841" customFormat="1" ht="20.25" x14ac:dyDescent="0.3">
      <c r="A1168" s="841" t="s">
        <v>4874</v>
      </c>
      <c r="B1168" s="841" t="s">
        <v>5198</v>
      </c>
      <c r="E1168" s="1154" t="s">
        <v>147</v>
      </c>
      <c r="F1168" s="1154"/>
      <c r="G1168" s="1129"/>
      <c r="H1168" s="1130"/>
      <c r="K1168" s="841" t="s">
        <v>5281</v>
      </c>
      <c r="M1168" s="1357"/>
      <c r="Q1168" s="1357"/>
      <c r="S1168" s="1420"/>
      <c r="T1168" s="1420"/>
      <c r="V1168" s="1357">
        <v>12</v>
      </c>
    </row>
    <row r="1169" spans="1:22" s="841" customFormat="1" ht="15" x14ac:dyDescent="0.25">
      <c r="A1169" s="841" t="s">
        <v>4874</v>
      </c>
      <c r="B1169" s="841" t="s">
        <v>5198</v>
      </c>
      <c r="E1169" s="2000" t="s">
        <v>3192</v>
      </c>
      <c r="F1169" s="2000"/>
      <c r="G1169" s="2051"/>
      <c r="H1169" s="2051"/>
      <c r="M1169" s="1357"/>
      <c r="Q1169" s="1357"/>
      <c r="S1169" s="1420"/>
      <c r="T1169" s="1420"/>
      <c r="V1169" s="1357">
        <v>203</v>
      </c>
    </row>
    <row r="1170" spans="1:22" s="841" customFormat="1" ht="23.25" x14ac:dyDescent="0.25">
      <c r="A1170" s="841" t="s">
        <v>4874</v>
      </c>
      <c r="B1170" s="841" t="s">
        <v>5198</v>
      </c>
      <c r="E1170" s="1155" t="s">
        <v>3295</v>
      </c>
      <c r="F1170" s="1155"/>
      <c r="G1170" s="1156"/>
      <c r="H1170" s="514">
        <v>1.0341</v>
      </c>
      <c r="M1170" s="1357"/>
      <c r="Q1170" s="1357"/>
      <c r="S1170" s="1420"/>
      <c r="T1170" s="1420"/>
      <c r="V1170" s="1357">
        <v>57</v>
      </c>
    </row>
    <row r="1171" spans="1:22" s="841" customFormat="1" ht="23.25" x14ac:dyDescent="0.25">
      <c r="A1171" s="841" t="s">
        <v>4874</v>
      </c>
      <c r="B1171" s="841" t="s">
        <v>5198</v>
      </c>
      <c r="E1171" s="1155" t="s">
        <v>3296</v>
      </c>
      <c r="F1171" s="1155"/>
      <c r="G1171" s="1156"/>
      <c r="H1171" s="514">
        <v>1.0145</v>
      </c>
      <c r="M1171" s="1357"/>
      <c r="Q1171" s="1357"/>
      <c r="S1171" s="1420"/>
      <c r="T1171" s="1420"/>
      <c r="V1171" s="1357">
        <v>57</v>
      </c>
    </row>
    <row r="1172" spans="1:22" s="841" customFormat="1" ht="23.25" x14ac:dyDescent="0.25">
      <c r="A1172" s="841" t="s">
        <v>4874</v>
      </c>
      <c r="B1172" s="841" t="s">
        <v>5198</v>
      </c>
      <c r="E1172" s="1155" t="s">
        <v>3297</v>
      </c>
      <c r="F1172" s="1155"/>
      <c r="G1172" s="1156"/>
      <c r="H1172" s="514">
        <v>1.0239</v>
      </c>
      <c r="M1172" s="1357"/>
      <c r="Q1172" s="1357"/>
      <c r="S1172" s="1420"/>
      <c r="T1172" s="1420"/>
      <c r="V1172" s="1357">
        <v>55</v>
      </c>
    </row>
    <row r="1173" spans="1:22" s="841" customFormat="1" ht="23.25" x14ac:dyDescent="0.25">
      <c r="A1173" s="841" t="s">
        <v>4874</v>
      </c>
      <c r="B1173" s="841" t="s">
        <v>5198</v>
      </c>
      <c r="E1173" s="1155" t="s">
        <v>3298</v>
      </c>
      <c r="F1173" s="1155"/>
      <c r="G1173" s="1156"/>
      <c r="H1173" s="514">
        <v>1.0044999999999999</v>
      </c>
      <c r="J1173" s="841" t="s">
        <v>5282</v>
      </c>
      <c r="M1173" s="1357"/>
      <c r="Q1173" s="1357"/>
      <c r="S1173" s="1420"/>
      <c r="T1173" s="1420"/>
      <c r="V1173" s="1357">
        <v>55</v>
      </c>
    </row>
    <row r="1174" spans="1:22" s="841" customFormat="1" ht="23.25" x14ac:dyDescent="0.25">
      <c r="A1174" s="841" t="s">
        <v>424</v>
      </c>
      <c r="C1174" s="841" t="s">
        <v>3050</v>
      </c>
      <c r="E1174" s="2039" t="s">
        <v>424</v>
      </c>
      <c r="F1174" s="2039"/>
      <c r="G1174" s="2039"/>
      <c r="H1174" s="2039"/>
      <c r="I1174" s="841" t="s">
        <v>628</v>
      </c>
      <c r="J1174" s="841" t="s">
        <v>3503</v>
      </c>
      <c r="K1174" s="841" t="s">
        <v>424</v>
      </c>
      <c r="M1174" s="1357">
        <v>9</v>
      </c>
      <c r="Q1174" s="1357"/>
      <c r="S1174" s="1420"/>
      <c r="T1174" s="1420"/>
      <c r="V1174" s="1357">
        <v>27</v>
      </c>
    </row>
    <row r="1175" spans="1:22" s="841" customFormat="1" x14ac:dyDescent="0.25">
      <c r="A1175" s="841" t="s">
        <v>424</v>
      </c>
      <c r="C1175" s="841" t="s">
        <v>3052</v>
      </c>
      <c r="E1175" s="2034" t="s">
        <v>3053</v>
      </c>
      <c r="F1175" s="2034"/>
      <c r="G1175" s="2034"/>
      <c r="H1175" s="2034"/>
      <c r="M1175" s="1357"/>
      <c r="Q1175" s="1357"/>
      <c r="S1175" s="1420"/>
      <c r="T1175" s="1420"/>
      <c r="V1175" s="1357">
        <v>27</v>
      </c>
    </row>
    <row r="1176" spans="1:22" s="841" customFormat="1" ht="15.75" x14ac:dyDescent="0.25">
      <c r="A1176" s="841" t="s">
        <v>424</v>
      </c>
      <c r="C1176" s="841" t="s">
        <v>3054</v>
      </c>
      <c r="E1176" s="2035" t="s">
        <v>5101</v>
      </c>
      <c r="F1176" s="2035"/>
      <c r="G1176" s="2035"/>
      <c r="H1176" s="2035"/>
      <c r="M1176" s="1357"/>
      <c r="Q1176" s="1357"/>
      <c r="S1176" s="1420">
        <v>43101</v>
      </c>
      <c r="T1176" s="1420"/>
      <c r="V1176" s="1357">
        <v>49</v>
      </c>
    </row>
    <row r="1177" spans="1:22" s="841" customFormat="1" ht="15" x14ac:dyDescent="0.25">
      <c r="A1177" s="841" t="s">
        <v>424</v>
      </c>
      <c r="C1177" s="841" t="s">
        <v>3055</v>
      </c>
      <c r="E1177" s="2033" t="s">
        <v>3056</v>
      </c>
      <c r="F1177" s="2033"/>
      <c r="G1177" s="2033"/>
      <c r="H1177" s="2033"/>
      <c r="M1177" s="1357"/>
      <c r="Q1177" s="1357"/>
      <c r="S1177" s="1420"/>
      <c r="T1177" s="1420"/>
      <c r="V1177" s="1357">
        <v>52</v>
      </c>
    </row>
    <row r="1178" spans="1:22" s="841" customFormat="1" ht="15" x14ac:dyDescent="0.25">
      <c r="A1178" s="841" t="s">
        <v>424</v>
      </c>
      <c r="E1178" s="2033" t="s">
        <v>3057</v>
      </c>
      <c r="F1178" s="2033"/>
      <c r="G1178" s="2033"/>
      <c r="H1178" s="2033"/>
      <c r="M1178" s="1357"/>
      <c r="Q1178" s="1357"/>
      <c r="S1178" s="1420"/>
      <c r="T1178" s="1420"/>
      <c r="V1178" s="1357">
        <v>53</v>
      </c>
    </row>
    <row r="1179" spans="1:22" s="841" customFormat="1" ht="15" x14ac:dyDescent="0.25">
      <c r="A1179" s="841" t="s">
        <v>424</v>
      </c>
      <c r="E1179" s="2055" t="s">
        <v>5283</v>
      </c>
      <c r="F1179" s="2055"/>
      <c r="G1179" s="2055"/>
      <c r="H1179" s="2055"/>
      <c r="K1179" s="841" t="s">
        <v>5283</v>
      </c>
      <c r="M1179" s="1357"/>
      <c r="Q1179" s="1357"/>
      <c r="S1179" s="1420"/>
      <c r="T1179" s="1420"/>
      <c r="V1179" s="1357">
        <v>12</v>
      </c>
    </row>
    <row r="1180" spans="1:22" s="841" customFormat="1" ht="15" x14ac:dyDescent="0.25">
      <c r="A1180" s="841" t="s">
        <v>424</v>
      </c>
      <c r="E1180" s="1967" t="s">
        <v>438</v>
      </c>
      <c r="F1180" s="1977"/>
      <c r="G1180" s="2056"/>
      <c r="H1180" s="2056"/>
      <c r="K1180" s="841" t="s">
        <v>3197</v>
      </c>
      <c r="M1180" s="1357"/>
      <c r="Q1180" s="1357"/>
      <c r="S1180" s="1420"/>
      <c r="T1180" s="1420"/>
      <c r="V1180" s="1357">
        <v>34</v>
      </c>
    </row>
    <row r="1181" spans="1:22" s="841" customFormat="1" ht="15" x14ac:dyDescent="0.25">
      <c r="A1181" s="841" t="s">
        <v>424</v>
      </c>
      <c r="E1181" s="1939" t="s">
        <v>3504</v>
      </c>
      <c r="F1181" s="1939"/>
      <c r="G1181" s="2004"/>
      <c r="H1181" s="2004"/>
      <c r="K1181" s="841" t="s">
        <v>3197</v>
      </c>
      <c r="M1181" s="1357"/>
      <c r="Q1181" s="1357"/>
      <c r="S1181" s="1420"/>
      <c r="T1181" s="1420"/>
      <c r="V1181" s="1357">
        <v>729</v>
      </c>
    </row>
    <row r="1182" spans="1:22" s="841" customFormat="1" ht="15" x14ac:dyDescent="0.25">
      <c r="A1182" s="841" t="s">
        <v>424</v>
      </c>
      <c r="E1182" s="2013" t="s">
        <v>3061</v>
      </c>
      <c r="F1182" s="2010"/>
      <c r="G1182" s="2010"/>
      <c r="H1182" s="2010"/>
      <c r="K1182" s="841" t="s">
        <v>3062</v>
      </c>
      <c r="M1182" s="1357"/>
      <c r="Q1182" s="1357"/>
      <c r="S1182" s="1420"/>
      <c r="T1182" s="1420"/>
      <c r="V1182" s="1357">
        <v>11</v>
      </c>
    </row>
    <row r="1183" spans="1:22" s="841" customFormat="1" ht="15" x14ac:dyDescent="0.25">
      <c r="A1183" s="841" t="s">
        <v>424</v>
      </c>
      <c r="E1183" s="1689" t="s">
        <v>3063</v>
      </c>
      <c r="F1183" s="1689"/>
      <c r="G1183" s="1921"/>
      <c r="H1183" s="1921"/>
      <c r="K1183" s="841" t="s">
        <v>3197</v>
      </c>
      <c r="M1183" s="1357"/>
      <c r="Q1183" s="1357"/>
      <c r="S1183" s="1420"/>
      <c r="T1183" s="1420"/>
      <c r="V1183" s="1357">
        <v>280</v>
      </c>
    </row>
    <row r="1184" spans="1:22" s="841" customFormat="1" ht="15" x14ac:dyDescent="0.25">
      <c r="A1184" s="841" t="s">
        <v>424</v>
      </c>
      <c r="E1184" s="1689" t="s">
        <v>3064</v>
      </c>
      <c r="F1184" s="1689"/>
      <c r="G1184" s="1921"/>
      <c r="H1184" s="1921"/>
      <c r="K1184" s="841" t="s">
        <v>3197</v>
      </c>
      <c r="M1184" s="1357"/>
      <c r="Q1184" s="1357"/>
      <c r="S1184" s="1420"/>
      <c r="T1184" s="1420"/>
      <c r="V1184" s="1357">
        <v>411</v>
      </c>
    </row>
    <row r="1185" spans="1:22" s="841" customFormat="1" ht="15" x14ac:dyDescent="0.25">
      <c r="A1185" s="841" t="s">
        <v>424</v>
      </c>
      <c r="E1185" s="1689" t="s">
        <v>3065</v>
      </c>
      <c r="F1185" s="1689"/>
      <c r="G1185" s="1921"/>
      <c r="H1185" s="1921"/>
      <c r="K1185" s="841" t="s">
        <v>3197</v>
      </c>
      <c r="M1185" s="1357"/>
      <c r="Q1185" s="1357"/>
      <c r="S1185" s="1420"/>
      <c r="T1185" s="1420"/>
      <c r="V1185" s="1357">
        <v>387</v>
      </c>
    </row>
    <row r="1186" spans="1:22" s="841" customFormat="1" ht="15" x14ac:dyDescent="0.25">
      <c r="A1186" s="841" t="s">
        <v>424</v>
      </c>
      <c r="E1186" s="1689" t="s">
        <v>3066</v>
      </c>
      <c r="F1186" s="1689"/>
      <c r="G1186" s="1921"/>
      <c r="H1186" s="1921"/>
      <c r="K1186" s="841" t="s">
        <v>3197</v>
      </c>
      <c r="M1186" s="1357"/>
      <c r="Q1186" s="1357"/>
      <c r="S1186" s="1420"/>
      <c r="T1186" s="1420"/>
      <c r="V1186" s="1357">
        <v>275</v>
      </c>
    </row>
    <row r="1187" spans="1:22" s="841" customFormat="1" ht="15" x14ac:dyDescent="0.25">
      <c r="A1187" s="841" t="s">
        <v>424</v>
      </c>
      <c r="E1187" s="2014" t="s">
        <v>3067</v>
      </c>
      <c r="F1187" s="2010"/>
      <c r="G1187" s="2010"/>
      <c r="H1187" s="2010"/>
      <c r="K1187" s="841" t="s">
        <v>3068</v>
      </c>
      <c r="M1187" s="1357"/>
      <c r="Q1187" s="1357"/>
      <c r="S1187" s="1420"/>
      <c r="T1187" s="1420"/>
      <c r="V1187" s="1357">
        <v>46</v>
      </c>
    </row>
    <row r="1188" spans="1:22" s="841" customFormat="1" ht="15" x14ac:dyDescent="0.25">
      <c r="A1188" s="841" t="s">
        <v>424</v>
      </c>
      <c r="E1188" s="1934" t="s">
        <v>11</v>
      </c>
      <c r="F1188" s="1934"/>
      <c r="G1188" s="1064" t="s">
        <v>23</v>
      </c>
      <c r="H1188" s="600">
        <v>30.57</v>
      </c>
      <c r="K1188" s="841" t="s">
        <v>3197</v>
      </c>
      <c r="L1188" s="841" t="s">
        <v>442</v>
      </c>
      <c r="M1188" s="1357"/>
      <c r="P1188" s="841" t="s">
        <v>3201</v>
      </c>
      <c r="Q1188" s="1357"/>
      <c r="S1188" s="1420"/>
      <c r="T1188" s="1420"/>
      <c r="V1188" s="1357">
        <v>14</v>
      </c>
    </row>
    <row r="1189" spans="1:22" s="841" customFormat="1" ht="15.75" thickBot="1" x14ac:dyDescent="0.3">
      <c r="A1189" s="841" t="s">
        <v>424</v>
      </c>
      <c r="E1189" s="2052" t="s">
        <v>423</v>
      </c>
      <c r="F1189" s="2054"/>
      <c r="G1189" s="1064" t="s">
        <v>23</v>
      </c>
      <c r="H1189" s="673">
        <v>0.79</v>
      </c>
      <c r="K1189" s="841" t="s">
        <v>3197</v>
      </c>
      <c r="L1189" s="841" t="s">
        <v>443</v>
      </c>
      <c r="M1189" s="1357"/>
      <c r="P1189" s="841" t="s">
        <v>3202</v>
      </c>
      <c r="Q1189" s="1357"/>
      <c r="S1189" s="1420"/>
      <c r="T1189" s="1420">
        <v>43404</v>
      </c>
      <c r="V1189" s="1357">
        <v>78</v>
      </c>
    </row>
    <row r="1190" spans="1:22" s="841" customFormat="1" ht="16.5" thickTop="1" thickBot="1" x14ac:dyDescent="0.3">
      <c r="A1190" s="841" t="s">
        <v>424</v>
      </c>
      <c r="E1190" s="2052" t="s">
        <v>3505</v>
      </c>
      <c r="F1190" s="2054"/>
      <c r="G1190" s="1064" t="s">
        <v>23</v>
      </c>
      <c r="H1190" s="673">
        <v>-0.09</v>
      </c>
      <c r="K1190" s="841" t="s">
        <v>3197</v>
      </c>
      <c r="L1190" s="841" t="s">
        <v>442</v>
      </c>
      <c r="M1190" s="1357"/>
      <c r="P1190" s="841" t="s">
        <v>3207</v>
      </c>
      <c r="Q1190" s="1357"/>
      <c r="S1190" s="1420"/>
      <c r="T1190" s="1420">
        <v>43465</v>
      </c>
      <c r="V1190" s="1357">
        <v>107</v>
      </c>
    </row>
    <row r="1191" spans="1:22" s="841" customFormat="1" ht="16.5" thickTop="1" thickBot="1" x14ac:dyDescent="0.3">
      <c r="A1191" s="841" t="s">
        <v>424</v>
      </c>
      <c r="E1191" s="2008" t="s">
        <v>84</v>
      </c>
      <c r="F1191" s="2008"/>
      <c r="G1191" s="1004" t="s">
        <v>24</v>
      </c>
      <c r="H1191" s="606">
        <v>8.2000000000000007E-3</v>
      </c>
      <c r="K1191" s="841" t="s">
        <v>3197</v>
      </c>
      <c r="L1191" s="841" t="s">
        <v>442</v>
      </c>
      <c r="M1191" s="1357"/>
      <c r="P1191" s="841" t="s">
        <v>3203</v>
      </c>
      <c r="Q1191" s="1357"/>
      <c r="S1191" s="1420"/>
      <c r="T1191" s="1420"/>
      <c r="V1191" s="1357">
        <v>28</v>
      </c>
    </row>
    <row r="1192" spans="1:22" s="841" customFormat="1" ht="16.5" thickTop="1" thickBot="1" x14ac:dyDescent="0.3">
      <c r="A1192" s="841" t="s">
        <v>424</v>
      </c>
      <c r="E1192" s="2008" t="s">
        <v>18</v>
      </c>
      <c r="F1192" s="2008"/>
      <c r="G1192" s="1004" t="s">
        <v>24</v>
      </c>
      <c r="H1192" s="606">
        <v>2.9999999999999997E-4</v>
      </c>
      <c r="K1192" s="841" t="s">
        <v>3197</v>
      </c>
      <c r="L1192" s="841" t="s">
        <v>443</v>
      </c>
      <c r="M1192" s="1357"/>
      <c r="P1192" s="841" t="s">
        <v>3204</v>
      </c>
      <c r="Q1192" s="1357"/>
      <c r="S1192" s="1420"/>
      <c r="T1192" s="1420"/>
      <c r="V1192" s="1357">
        <v>24</v>
      </c>
    </row>
    <row r="1193" spans="1:22" s="841" customFormat="1" ht="16.5" thickTop="1" thickBot="1" x14ac:dyDescent="0.3">
      <c r="A1193" s="841" t="s">
        <v>424</v>
      </c>
      <c r="E1193" s="2006" t="s">
        <v>5284</v>
      </c>
      <c r="F1193" s="2006"/>
      <c r="G1193" s="1004" t="s">
        <v>24</v>
      </c>
      <c r="H1193" s="675">
        <v>4.0000000000000001E-3</v>
      </c>
      <c r="K1193" s="841" t="s">
        <v>3197</v>
      </c>
      <c r="L1193" s="841" t="s">
        <v>443</v>
      </c>
      <c r="M1193" s="1357"/>
      <c r="P1193" s="841" t="s">
        <v>3205</v>
      </c>
      <c r="Q1193" s="1357"/>
      <c r="S1193" s="1420"/>
      <c r="T1193" s="1420">
        <v>43465</v>
      </c>
      <c r="V1193" s="1357">
        <v>144</v>
      </c>
    </row>
    <row r="1194" spans="1:22" s="841" customFormat="1" ht="16.5" thickTop="1" thickBot="1" x14ac:dyDescent="0.3">
      <c r="A1194" s="841" t="s">
        <v>424</v>
      </c>
      <c r="E1194" s="2052" t="s">
        <v>3506</v>
      </c>
      <c r="F1194" s="2054"/>
      <c r="G1194" s="1064" t="s">
        <v>24</v>
      </c>
      <c r="H1194" s="675">
        <v>-2E-3</v>
      </c>
      <c r="K1194" s="841" t="s">
        <v>3197</v>
      </c>
      <c r="L1194" s="841" t="s">
        <v>443</v>
      </c>
      <c r="M1194" s="1357"/>
      <c r="P1194" s="841" t="s">
        <v>3207</v>
      </c>
      <c r="Q1194" s="1357"/>
      <c r="S1194" s="1420"/>
      <c r="T1194" s="1420">
        <v>43465</v>
      </c>
      <c r="V1194" s="1357">
        <v>99</v>
      </c>
    </row>
    <row r="1195" spans="1:22" s="841" customFormat="1" ht="16.5" thickTop="1" thickBot="1" x14ac:dyDescent="0.3">
      <c r="A1195" s="841" t="s">
        <v>424</v>
      </c>
      <c r="E1195" s="2052" t="s">
        <v>3507</v>
      </c>
      <c r="F1195" s="2054"/>
      <c r="G1195" s="1064" t="s">
        <v>24</v>
      </c>
      <c r="H1195" s="675">
        <v>4.0000000000000002E-4</v>
      </c>
      <c r="K1195" s="841" t="s">
        <v>3197</v>
      </c>
      <c r="L1195" s="841" t="s">
        <v>442</v>
      </c>
      <c r="M1195" s="1357"/>
      <c r="P1195" s="841" t="s">
        <v>3206</v>
      </c>
      <c r="Q1195" s="1357"/>
      <c r="S1195" s="1420"/>
      <c r="T1195" s="1420">
        <v>43465</v>
      </c>
      <c r="V1195" s="1357">
        <v>102</v>
      </c>
    </row>
    <row r="1196" spans="1:22" s="841" customFormat="1" ht="16.5" thickTop="1" thickBot="1" x14ac:dyDescent="0.3">
      <c r="A1196" s="841" t="s">
        <v>424</v>
      </c>
      <c r="E1196" s="2052" t="s">
        <v>5143</v>
      </c>
      <c r="F1196" s="2053"/>
      <c r="G1196" s="1004" t="s">
        <v>24</v>
      </c>
      <c r="H1196" s="675">
        <v>-1.18E-2</v>
      </c>
      <c r="K1196" s="841" t="s">
        <v>3197</v>
      </c>
      <c r="L1196" s="841" t="s">
        <v>443</v>
      </c>
      <c r="M1196" s="1357"/>
      <c r="P1196" s="841" t="s">
        <v>3205</v>
      </c>
      <c r="Q1196" s="1357"/>
      <c r="S1196" s="1420"/>
      <c r="T1196" s="1420">
        <v>43465</v>
      </c>
      <c r="V1196" s="1357">
        <v>142</v>
      </c>
    </row>
    <row r="1197" spans="1:22" s="841" customFormat="1" ht="16.5" thickTop="1" thickBot="1" x14ac:dyDescent="0.3">
      <c r="A1197" s="841" t="s">
        <v>424</v>
      </c>
      <c r="E1197" s="2046" t="s">
        <v>5144</v>
      </c>
      <c r="F1197" s="2047"/>
      <c r="G1197" s="1004" t="s">
        <v>24</v>
      </c>
      <c r="H1197" s="675">
        <v>3.7000000000000002E-3</v>
      </c>
      <c r="K1197" s="841" t="s">
        <v>3197</v>
      </c>
      <c r="L1197" s="841" t="s">
        <v>443</v>
      </c>
      <c r="M1197" s="1357"/>
      <c r="P1197" s="841" t="s">
        <v>3207</v>
      </c>
      <c r="Q1197" s="1357"/>
      <c r="S1197" s="1420"/>
      <c r="T1197" s="1420">
        <v>43465</v>
      </c>
      <c r="V1197" s="1357">
        <v>99</v>
      </c>
    </row>
    <row r="1198" spans="1:22" s="841" customFormat="1" ht="16.5" thickTop="1" thickBot="1" x14ac:dyDescent="0.3">
      <c r="A1198" s="841" t="s">
        <v>424</v>
      </c>
      <c r="E1198" s="2006" t="s">
        <v>5145</v>
      </c>
      <c r="F1198" s="2007"/>
      <c r="G1198" s="1004" t="s">
        <v>24</v>
      </c>
      <c r="H1198" s="675">
        <v>2.0000000000000001E-4</v>
      </c>
      <c r="K1198" s="841" t="s">
        <v>3197</v>
      </c>
      <c r="L1198" s="841" t="s">
        <v>443</v>
      </c>
      <c r="M1198" s="1357"/>
      <c r="P1198" s="841" t="s">
        <v>5103</v>
      </c>
      <c r="Q1198" s="1357"/>
      <c r="S1198" s="1420"/>
      <c r="T1198" s="1420">
        <v>43465</v>
      </c>
      <c r="V1198" s="1357">
        <v>148</v>
      </c>
    </row>
    <row r="1199" spans="1:22" s="841" customFormat="1" ht="15.75" thickTop="1" x14ac:dyDescent="0.25">
      <c r="A1199" s="841" t="s">
        <v>424</v>
      </c>
      <c r="E1199" s="2008" t="s">
        <v>221</v>
      </c>
      <c r="F1199" s="2008"/>
      <c r="G1199" s="1004" t="s">
        <v>24</v>
      </c>
      <c r="H1199" s="606">
        <v>6.4999999999999997E-3</v>
      </c>
      <c r="K1199" s="841" t="s">
        <v>3197</v>
      </c>
      <c r="L1199" s="841" t="s">
        <v>444</v>
      </c>
      <c r="M1199" s="1357"/>
      <c r="P1199" s="841" t="s">
        <v>3208</v>
      </c>
      <c r="Q1199" s="1357"/>
      <c r="S1199" s="1420"/>
      <c r="T1199" s="1420"/>
      <c r="V1199" s="1357">
        <v>47</v>
      </c>
    </row>
    <row r="1200" spans="1:22" s="841" customFormat="1" ht="15" x14ac:dyDescent="0.25">
      <c r="A1200" s="841" t="s">
        <v>424</v>
      </c>
      <c r="E1200" s="1934" t="s">
        <v>217</v>
      </c>
      <c r="F1200" s="1934"/>
      <c r="G1200" s="1004" t="s">
        <v>24</v>
      </c>
      <c r="H1200" s="606">
        <v>5.7999999999999996E-3</v>
      </c>
      <c r="K1200" s="841" t="s">
        <v>3197</v>
      </c>
      <c r="L1200" s="841" t="s">
        <v>444</v>
      </c>
      <c r="M1200" s="1357"/>
      <c r="P1200" s="841" t="s">
        <v>3209</v>
      </c>
      <c r="Q1200" s="1357"/>
      <c r="S1200" s="1420"/>
      <c r="T1200" s="1420"/>
      <c r="V1200" s="1357">
        <v>74</v>
      </c>
    </row>
    <row r="1201" spans="1:22" s="841" customFormat="1" ht="15" x14ac:dyDescent="0.25">
      <c r="A1201" s="841" t="s">
        <v>424</v>
      </c>
      <c r="E1201" s="2003" t="s">
        <v>3079</v>
      </c>
      <c r="F1201" s="1904"/>
      <c r="G1201" s="1064"/>
      <c r="H1201" s="1157"/>
      <c r="K1201" s="841" t="s">
        <v>3080</v>
      </c>
      <c r="M1201" s="1357"/>
      <c r="Q1201" s="1357"/>
      <c r="S1201" s="1420"/>
      <c r="T1201" s="1420"/>
      <c r="V1201" s="1357">
        <v>48</v>
      </c>
    </row>
    <row r="1202" spans="1:22" s="841" customFormat="1" ht="15" x14ac:dyDescent="0.25">
      <c r="A1202" s="841" t="s">
        <v>424</v>
      </c>
      <c r="E1202" s="1934" t="s">
        <v>2449</v>
      </c>
      <c r="F1202" s="1934"/>
      <c r="G1202" s="895" t="s">
        <v>24</v>
      </c>
      <c r="H1202" s="678">
        <v>3.2000000000000002E-3</v>
      </c>
      <c r="K1202" s="841" t="s">
        <v>3197</v>
      </c>
      <c r="L1202" s="841" t="s">
        <v>3046</v>
      </c>
      <c r="M1202" s="1357"/>
      <c r="P1202" s="841" t="s">
        <v>3210</v>
      </c>
      <c r="Q1202" s="1357"/>
      <c r="S1202" s="1420"/>
      <c r="T1202" s="1420"/>
      <c r="V1202" s="1357">
        <v>55</v>
      </c>
    </row>
    <row r="1203" spans="1:22" s="841" customFormat="1" ht="15" x14ac:dyDescent="0.25">
      <c r="A1203" s="841" t="s">
        <v>424</v>
      </c>
      <c r="E1203" s="1934" t="s">
        <v>2450</v>
      </c>
      <c r="F1203" s="1934"/>
      <c r="G1203" s="895" t="s">
        <v>24</v>
      </c>
      <c r="H1203" s="678">
        <v>4.0000000000000002E-4</v>
      </c>
      <c r="K1203" s="841" t="s">
        <v>3197</v>
      </c>
      <c r="L1203" s="841" t="s">
        <v>3046</v>
      </c>
      <c r="M1203" s="1357"/>
      <c r="P1203" s="841" t="s">
        <v>3210</v>
      </c>
      <c r="Q1203" s="1357"/>
      <c r="S1203" s="1420"/>
      <c r="T1203" s="1420"/>
      <c r="V1203" s="1357">
        <v>65</v>
      </c>
    </row>
    <row r="1204" spans="1:22" s="841" customFormat="1" ht="15" x14ac:dyDescent="0.25">
      <c r="A1204" s="841" t="s">
        <v>424</v>
      </c>
      <c r="E1204" s="1934" t="s">
        <v>439</v>
      </c>
      <c r="F1204" s="1934"/>
      <c r="G1204" s="895" t="s">
        <v>24</v>
      </c>
      <c r="H1204" s="678">
        <v>2.9999999999999997E-4</v>
      </c>
      <c r="K1204" s="841" t="s">
        <v>3197</v>
      </c>
      <c r="L1204" s="841" t="s">
        <v>3046</v>
      </c>
      <c r="M1204" s="1357"/>
      <c r="P1204" s="841" t="s">
        <v>3212</v>
      </c>
      <c r="Q1204" s="1357"/>
      <c r="S1204" s="1420"/>
      <c r="T1204" s="1420"/>
      <c r="V1204" s="1357">
        <v>57</v>
      </c>
    </row>
    <row r="1205" spans="1:22" s="841" customFormat="1" ht="15" x14ac:dyDescent="0.25">
      <c r="A1205" s="841" t="s">
        <v>424</v>
      </c>
      <c r="E1205" s="1934" t="s">
        <v>32</v>
      </c>
      <c r="F1205" s="1934"/>
      <c r="G1205" s="895" t="s">
        <v>23</v>
      </c>
      <c r="H1205" s="674">
        <v>0.25</v>
      </c>
      <c r="K1205" s="841" t="s">
        <v>3197</v>
      </c>
      <c r="L1205" s="841" t="s">
        <v>3046</v>
      </c>
      <c r="M1205" s="1357"/>
      <c r="P1205" s="841" t="s">
        <v>3213</v>
      </c>
      <c r="Q1205" s="1357"/>
      <c r="S1205" s="1420"/>
      <c r="T1205" s="1420"/>
      <c r="V1205" s="1357">
        <v>63</v>
      </c>
    </row>
    <row r="1206" spans="1:22" s="841" customFormat="1" x14ac:dyDescent="0.25">
      <c r="A1206" s="841" t="s">
        <v>424</v>
      </c>
      <c r="E1206" s="1967" t="s">
        <v>3214</v>
      </c>
      <c r="F1206" s="1967"/>
      <c r="G1206" s="2015"/>
      <c r="H1206" s="2016"/>
      <c r="K1206" s="841" t="s">
        <v>5110</v>
      </c>
      <c r="M1206" s="1357"/>
      <c r="Q1206" s="1357"/>
      <c r="S1206" s="1420"/>
      <c r="T1206" s="1420"/>
      <c r="V1206" s="1357">
        <v>54</v>
      </c>
    </row>
    <row r="1207" spans="1:22" s="841" customFormat="1" ht="15" x14ac:dyDescent="0.25">
      <c r="A1207" s="841" t="s">
        <v>424</v>
      </c>
      <c r="E1207" s="2004" t="s">
        <v>3508</v>
      </c>
      <c r="F1207" s="2004"/>
      <c r="G1207" s="2004"/>
      <c r="H1207" s="2005"/>
      <c r="K1207" s="841" t="s">
        <v>5110</v>
      </c>
      <c r="M1207" s="1357"/>
      <c r="Q1207" s="1357"/>
      <c r="S1207" s="1420"/>
      <c r="T1207" s="1420"/>
      <c r="V1207" s="1357">
        <v>780</v>
      </c>
    </row>
    <row r="1208" spans="1:22" s="841" customFormat="1" ht="15" x14ac:dyDescent="0.25">
      <c r="A1208" s="841" t="s">
        <v>424</v>
      </c>
      <c r="E1208" s="2013" t="s">
        <v>3061</v>
      </c>
      <c r="F1208" s="2010"/>
      <c r="G1208" s="2010"/>
      <c r="H1208" s="2010"/>
      <c r="K1208" s="841" t="s">
        <v>3086</v>
      </c>
      <c r="M1208" s="1357"/>
      <c r="Q1208" s="1357"/>
      <c r="S1208" s="1420"/>
      <c r="T1208" s="1420"/>
      <c r="V1208" s="1357">
        <v>11</v>
      </c>
    </row>
    <row r="1209" spans="1:22" s="841" customFormat="1" ht="15" x14ac:dyDescent="0.25">
      <c r="A1209" s="841" t="s">
        <v>424</v>
      </c>
      <c r="E1209" s="1689" t="s">
        <v>3063</v>
      </c>
      <c r="F1209" s="1689"/>
      <c r="G1209" s="1921"/>
      <c r="H1209" s="1921"/>
      <c r="K1209" s="841" t="s">
        <v>5110</v>
      </c>
      <c r="M1209" s="1357"/>
      <c r="Q1209" s="1357"/>
      <c r="S1209" s="1420"/>
      <c r="T1209" s="1420"/>
      <c r="V1209" s="1357">
        <v>280</v>
      </c>
    </row>
    <row r="1210" spans="1:22" s="841" customFormat="1" ht="15" x14ac:dyDescent="0.25">
      <c r="A1210" s="841" t="s">
        <v>424</v>
      </c>
      <c r="E1210" s="1689" t="s">
        <v>3064</v>
      </c>
      <c r="F1210" s="1689"/>
      <c r="G1210" s="1921"/>
      <c r="H1210" s="1921"/>
      <c r="K1210" s="841" t="s">
        <v>5110</v>
      </c>
      <c r="M1210" s="1357"/>
      <c r="Q1210" s="1357"/>
      <c r="S1210" s="1420"/>
      <c r="T1210" s="1420"/>
      <c r="V1210" s="1357">
        <v>411</v>
      </c>
    </row>
    <row r="1211" spans="1:22" s="841" customFormat="1" ht="15" x14ac:dyDescent="0.25">
      <c r="A1211" s="841" t="s">
        <v>424</v>
      </c>
      <c r="E1211" s="1689" t="s">
        <v>3065</v>
      </c>
      <c r="F1211" s="1689"/>
      <c r="G1211" s="1921"/>
      <c r="H1211" s="1921"/>
      <c r="K1211" s="841" t="s">
        <v>5110</v>
      </c>
      <c r="M1211" s="1357"/>
      <c r="Q1211" s="1357"/>
      <c r="S1211" s="1420"/>
      <c r="T1211" s="1420"/>
      <c r="V1211" s="1357">
        <v>387</v>
      </c>
    </row>
    <row r="1212" spans="1:22" s="841" customFormat="1" ht="15" x14ac:dyDescent="0.25">
      <c r="A1212" s="841" t="s">
        <v>424</v>
      </c>
      <c r="E1212" s="1689" t="s">
        <v>3066</v>
      </c>
      <c r="F1212" s="1689"/>
      <c r="G1212" s="1921"/>
      <c r="H1212" s="1921"/>
      <c r="K1212" s="841" t="s">
        <v>5110</v>
      </c>
      <c r="M1212" s="1357"/>
      <c r="Q1212" s="1357"/>
      <c r="S1212" s="1420"/>
      <c r="T1212" s="1420"/>
      <c r="V1212" s="1357">
        <v>275</v>
      </c>
    </row>
    <row r="1213" spans="1:22" s="841" customFormat="1" ht="15" x14ac:dyDescent="0.25">
      <c r="A1213" s="841" t="s">
        <v>424</v>
      </c>
      <c r="E1213" s="2014" t="s">
        <v>3067</v>
      </c>
      <c r="F1213" s="2010"/>
      <c r="G1213" s="2010"/>
      <c r="H1213" s="2010"/>
      <c r="K1213" s="841" t="s">
        <v>3087</v>
      </c>
      <c r="M1213" s="1357"/>
      <c r="Q1213" s="1357"/>
      <c r="S1213" s="1420"/>
      <c r="T1213" s="1420"/>
      <c r="V1213" s="1357">
        <v>46</v>
      </c>
    </row>
    <row r="1214" spans="1:22" s="841" customFormat="1" ht="15" x14ac:dyDescent="0.25">
      <c r="A1214" s="841" t="s">
        <v>424</v>
      </c>
      <c r="E1214" s="1934" t="s">
        <v>11</v>
      </c>
      <c r="F1214" s="1934"/>
      <c r="G1214" s="1064" t="s">
        <v>23</v>
      </c>
      <c r="H1214" s="600">
        <v>30.25</v>
      </c>
      <c r="K1214" s="841" t="s">
        <v>5110</v>
      </c>
      <c r="L1214" s="841" t="s">
        <v>442</v>
      </c>
      <c r="M1214" s="1357"/>
      <c r="P1214" s="841" t="s">
        <v>5111</v>
      </c>
      <c r="Q1214" s="1357"/>
      <c r="S1214" s="1420"/>
      <c r="T1214" s="1420"/>
      <c r="V1214" s="1357">
        <v>14</v>
      </c>
    </row>
    <row r="1215" spans="1:22" s="841" customFormat="1" ht="15" x14ac:dyDescent="0.25">
      <c r="A1215" s="841" t="s">
        <v>424</v>
      </c>
      <c r="E1215" s="1934" t="s">
        <v>423</v>
      </c>
      <c r="F1215" s="1904"/>
      <c r="G1215" s="1064" t="s">
        <v>23</v>
      </c>
      <c r="H1215" s="673">
        <v>0.79</v>
      </c>
      <c r="K1215" s="841" t="s">
        <v>5110</v>
      </c>
      <c r="L1215" s="841" t="s">
        <v>443</v>
      </c>
      <c r="M1215" s="1357"/>
      <c r="P1215" s="841" t="s">
        <v>5112</v>
      </c>
      <c r="Q1215" s="1357"/>
      <c r="S1215" s="1420"/>
      <c r="T1215" s="1420">
        <v>43404</v>
      </c>
      <c r="V1215" s="1357">
        <v>78</v>
      </c>
    </row>
    <row r="1216" spans="1:22" s="841" customFormat="1" ht="15" x14ac:dyDescent="0.25">
      <c r="A1216" s="841" t="s">
        <v>424</v>
      </c>
      <c r="E1216" s="1934" t="s">
        <v>3109</v>
      </c>
      <c r="F1216" s="1934"/>
      <c r="G1216" s="1004" t="s">
        <v>24</v>
      </c>
      <c r="H1216" s="606">
        <v>2.46E-2</v>
      </c>
      <c r="K1216" s="841" t="s">
        <v>5110</v>
      </c>
      <c r="L1216" s="841" t="s">
        <v>442</v>
      </c>
      <c r="M1216" s="1357"/>
      <c r="P1216" s="841" t="s">
        <v>5113</v>
      </c>
      <c r="Q1216" s="1357"/>
      <c r="S1216" s="1420"/>
      <c r="T1216" s="1420"/>
      <c r="V1216" s="1357">
        <v>29</v>
      </c>
    </row>
    <row r="1217" spans="1:22" s="841" customFormat="1" ht="15.75" thickBot="1" x14ac:dyDescent="0.3">
      <c r="A1217" s="841" t="s">
        <v>424</v>
      </c>
      <c r="E1217" s="1934" t="s">
        <v>18</v>
      </c>
      <c r="F1217" s="1934"/>
      <c r="G1217" s="1004" t="s">
        <v>24</v>
      </c>
      <c r="H1217" s="675">
        <v>2.0000000000000001E-4</v>
      </c>
      <c r="K1217" s="841" t="s">
        <v>5110</v>
      </c>
      <c r="L1217" s="841" t="s">
        <v>443</v>
      </c>
      <c r="M1217" s="1357"/>
      <c r="P1217" s="841" t="s">
        <v>5114</v>
      </c>
      <c r="Q1217" s="1357"/>
      <c r="S1217" s="1420"/>
      <c r="T1217" s="1420"/>
      <c r="V1217" s="1357">
        <v>24</v>
      </c>
    </row>
    <row r="1218" spans="1:22" s="841" customFormat="1" ht="16.5" thickTop="1" thickBot="1" x14ac:dyDescent="0.3">
      <c r="A1218" s="841" t="s">
        <v>424</v>
      </c>
      <c r="E1218" s="2006" t="s">
        <v>5284</v>
      </c>
      <c r="F1218" s="2006"/>
      <c r="G1218" s="1004" t="s">
        <v>24</v>
      </c>
      <c r="H1218" s="675">
        <v>4.0000000000000001E-3</v>
      </c>
      <c r="K1218" s="841" t="s">
        <v>5110</v>
      </c>
      <c r="L1218" s="841" t="s">
        <v>443</v>
      </c>
      <c r="M1218" s="1357"/>
      <c r="P1218" s="841" t="s">
        <v>4818</v>
      </c>
      <c r="Q1218" s="1357"/>
      <c r="S1218" s="1420"/>
      <c r="T1218" s="1420">
        <v>43465</v>
      </c>
      <c r="V1218" s="1357">
        <v>144</v>
      </c>
    </row>
    <row r="1219" spans="1:22" s="841" customFormat="1" ht="15.75" thickTop="1" x14ac:dyDescent="0.25">
      <c r="A1219" s="841" t="s">
        <v>424</v>
      </c>
      <c r="E1219" s="1934" t="s">
        <v>3506</v>
      </c>
      <c r="F1219" s="1934"/>
      <c r="G1219" s="1064" t="s">
        <v>24</v>
      </c>
      <c r="H1219" s="675">
        <v>-2.0999999999999999E-3</v>
      </c>
      <c r="K1219" s="841" t="s">
        <v>5110</v>
      </c>
      <c r="L1219" s="841" t="s">
        <v>443</v>
      </c>
      <c r="M1219" s="1357"/>
      <c r="P1219" s="841" t="s">
        <v>5124</v>
      </c>
      <c r="Q1219" s="1357"/>
      <c r="S1219" s="1420"/>
      <c r="T1219" s="1420">
        <v>43465</v>
      </c>
      <c r="V1219" s="1357">
        <v>99</v>
      </c>
    </row>
    <row r="1220" spans="1:22" s="841" customFormat="1" ht="15" x14ac:dyDescent="0.25">
      <c r="A1220" s="841" t="s">
        <v>424</v>
      </c>
      <c r="E1220" s="1934" t="s">
        <v>3507</v>
      </c>
      <c r="F1220" s="1934"/>
      <c r="G1220" s="1064" t="s">
        <v>24</v>
      </c>
      <c r="H1220" s="606">
        <v>1.4E-3</v>
      </c>
      <c r="K1220" s="841" t="s">
        <v>5110</v>
      </c>
      <c r="L1220" s="841" t="s">
        <v>442</v>
      </c>
      <c r="M1220" s="1357"/>
      <c r="P1220" s="841" t="s">
        <v>5285</v>
      </c>
      <c r="Q1220" s="1357"/>
      <c r="S1220" s="1420"/>
      <c r="T1220" s="1420">
        <v>43465</v>
      </c>
      <c r="V1220" s="1357">
        <v>102</v>
      </c>
    </row>
    <row r="1221" spans="1:22" s="841" customFormat="1" ht="15.75" thickBot="1" x14ac:dyDescent="0.3">
      <c r="A1221" s="841" t="s">
        <v>424</v>
      </c>
      <c r="E1221" s="2052" t="s">
        <v>5143</v>
      </c>
      <c r="F1221" s="2053"/>
      <c r="G1221" s="1004" t="s">
        <v>24</v>
      </c>
      <c r="H1221" s="675">
        <v>-1.18E-2</v>
      </c>
      <c r="K1221" s="841" t="s">
        <v>5110</v>
      </c>
      <c r="L1221" s="841" t="s">
        <v>443</v>
      </c>
      <c r="M1221" s="1357"/>
      <c r="P1221" s="841" t="s">
        <v>4818</v>
      </c>
      <c r="Q1221" s="1357"/>
      <c r="S1221" s="1420"/>
      <c r="T1221" s="1420">
        <v>43465</v>
      </c>
      <c r="V1221" s="1357">
        <v>142</v>
      </c>
    </row>
    <row r="1222" spans="1:22" s="841" customFormat="1" ht="16.5" thickTop="1" thickBot="1" x14ac:dyDescent="0.3">
      <c r="A1222" s="841" t="s">
        <v>424</v>
      </c>
      <c r="E1222" s="1934" t="s">
        <v>5144</v>
      </c>
      <c r="F1222" s="1934"/>
      <c r="G1222" s="1004" t="s">
        <v>24</v>
      </c>
      <c r="H1222" s="606">
        <v>3.8E-3</v>
      </c>
      <c r="K1222" s="841" t="s">
        <v>5110</v>
      </c>
      <c r="L1222" s="841" t="s">
        <v>443</v>
      </c>
      <c r="M1222" s="1357"/>
      <c r="P1222" s="841" t="s">
        <v>5124</v>
      </c>
      <c r="Q1222" s="1357"/>
      <c r="S1222" s="1420"/>
      <c r="T1222" s="1420">
        <v>43465</v>
      </c>
      <c r="V1222" s="1357">
        <v>99</v>
      </c>
    </row>
    <row r="1223" spans="1:22" s="841" customFormat="1" ht="16.5" thickTop="1" thickBot="1" x14ac:dyDescent="0.3">
      <c r="A1223" s="841" t="s">
        <v>424</v>
      </c>
      <c r="E1223" s="2006" t="s">
        <v>5286</v>
      </c>
      <c r="F1223" s="2007"/>
      <c r="G1223" s="1004" t="s">
        <v>24</v>
      </c>
      <c r="H1223" s="675">
        <v>2.0000000000000001E-4</v>
      </c>
      <c r="K1223" s="841" t="s">
        <v>5110</v>
      </c>
      <c r="L1223" s="841" t="s">
        <v>443</v>
      </c>
      <c r="M1223" s="1357"/>
      <c r="P1223" s="841" t="s">
        <v>5287</v>
      </c>
      <c r="Q1223" s="1357"/>
      <c r="S1223" s="1420"/>
      <c r="T1223" s="1420">
        <v>43465</v>
      </c>
      <c r="V1223" s="1357">
        <v>147</v>
      </c>
    </row>
    <row r="1224" spans="1:22" s="841" customFormat="1" ht="15.75" thickTop="1" x14ac:dyDescent="0.25">
      <c r="A1224" s="841" t="s">
        <v>424</v>
      </c>
      <c r="E1224" s="2008" t="s">
        <v>221</v>
      </c>
      <c r="F1224" s="2008"/>
      <c r="G1224" s="1004" t="s">
        <v>24</v>
      </c>
      <c r="H1224" s="606">
        <v>5.5999999999999999E-3</v>
      </c>
      <c r="K1224" s="841" t="s">
        <v>5110</v>
      </c>
      <c r="L1224" s="841" t="s">
        <v>444</v>
      </c>
      <c r="M1224" s="1357"/>
      <c r="P1224" s="841" t="s">
        <v>5115</v>
      </c>
      <c r="Q1224" s="1357"/>
      <c r="S1224" s="1420"/>
      <c r="T1224" s="1420"/>
      <c r="V1224" s="1357">
        <v>47</v>
      </c>
    </row>
    <row r="1225" spans="1:22" s="841" customFormat="1" ht="15" x14ac:dyDescent="0.25">
      <c r="A1225" s="841" t="s">
        <v>424</v>
      </c>
      <c r="E1225" s="1934" t="s">
        <v>217</v>
      </c>
      <c r="F1225" s="1934"/>
      <c r="G1225" s="1004" t="s">
        <v>24</v>
      </c>
      <c r="H1225" s="606">
        <v>5.0000000000000001E-3</v>
      </c>
      <c r="K1225" s="841" t="s">
        <v>5110</v>
      </c>
      <c r="L1225" s="841" t="s">
        <v>444</v>
      </c>
      <c r="M1225" s="1357"/>
      <c r="P1225" s="841" t="s">
        <v>5116</v>
      </c>
      <c r="Q1225" s="1357"/>
      <c r="S1225" s="1420"/>
      <c r="T1225" s="1420"/>
      <c r="V1225" s="1357">
        <v>74</v>
      </c>
    </row>
    <row r="1226" spans="1:22" s="841" customFormat="1" ht="15" x14ac:dyDescent="0.25">
      <c r="A1226" s="841" t="s">
        <v>424</v>
      </c>
      <c r="E1226" s="2003" t="s">
        <v>3079</v>
      </c>
      <c r="F1226" s="1904"/>
      <c r="G1226" s="1064"/>
      <c r="H1226" s="1157"/>
      <c r="K1226" s="841" t="s">
        <v>3093</v>
      </c>
      <c r="M1226" s="1357"/>
      <c r="Q1226" s="1357"/>
      <c r="S1226" s="1420"/>
      <c r="T1226" s="1420"/>
      <c r="V1226" s="1357">
        <v>48</v>
      </c>
    </row>
    <row r="1227" spans="1:22" s="841" customFormat="1" ht="15" x14ac:dyDescent="0.25">
      <c r="A1227" s="841" t="s">
        <v>424</v>
      </c>
      <c r="E1227" s="1934" t="s">
        <v>2449</v>
      </c>
      <c r="F1227" s="1934"/>
      <c r="G1227" s="895" t="s">
        <v>24</v>
      </c>
      <c r="H1227" s="678">
        <v>3.2000000000000002E-3</v>
      </c>
      <c r="K1227" s="841" t="s">
        <v>5110</v>
      </c>
      <c r="L1227" s="841" t="s">
        <v>3046</v>
      </c>
      <c r="M1227" s="1357"/>
      <c r="P1227" s="841" t="s">
        <v>5117</v>
      </c>
      <c r="Q1227" s="1357"/>
      <c r="S1227" s="1420"/>
      <c r="T1227" s="1420"/>
      <c r="V1227" s="1357">
        <v>55</v>
      </c>
    </row>
    <row r="1228" spans="1:22" s="841" customFormat="1" ht="15" x14ac:dyDescent="0.25">
      <c r="A1228" s="841" t="s">
        <v>424</v>
      </c>
      <c r="E1228" s="1934" t="s">
        <v>2450</v>
      </c>
      <c r="F1228" s="1934"/>
      <c r="G1228" s="895" t="s">
        <v>24</v>
      </c>
      <c r="H1228" s="678">
        <v>4.0000000000000002E-4</v>
      </c>
      <c r="K1228" s="841" t="s">
        <v>5110</v>
      </c>
      <c r="L1228" s="841" t="s">
        <v>3046</v>
      </c>
      <c r="M1228" s="1357"/>
      <c r="P1228" s="841" t="s">
        <v>5117</v>
      </c>
      <c r="Q1228" s="1357"/>
      <c r="S1228" s="1420"/>
      <c r="T1228" s="1420"/>
      <c r="V1228" s="1357">
        <v>65</v>
      </c>
    </row>
    <row r="1229" spans="1:22" s="841" customFormat="1" ht="15" x14ac:dyDescent="0.25">
      <c r="A1229" s="841" t="s">
        <v>424</v>
      </c>
      <c r="E1229" s="1934" t="s">
        <v>439</v>
      </c>
      <c r="F1229" s="1934"/>
      <c r="G1229" s="895" t="s">
        <v>24</v>
      </c>
      <c r="H1229" s="678">
        <v>2.9999999999999997E-4</v>
      </c>
      <c r="K1229" s="841" t="s">
        <v>5110</v>
      </c>
      <c r="L1229" s="841" t="s">
        <v>3046</v>
      </c>
      <c r="M1229" s="1357"/>
      <c r="P1229" s="841" t="s">
        <v>5118</v>
      </c>
      <c r="Q1229" s="1357"/>
      <c r="S1229" s="1420"/>
      <c r="T1229" s="1420"/>
      <c r="V1229" s="1357">
        <v>57</v>
      </c>
    </row>
    <row r="1230" spans="1:22" s="841" customFormat="1" ht="15" x14ac:dyDescent="0.25">
      <c r="A1230" s="841" t="s">
        <v>424</v>
      </c>
      <c r="E1230" s="1934" t="s">
        <v>32</v>
      </c>
      <c r="F1230" s="1934"/>
      <c r="G1230" s="895" t="s">
        <v>23</v>
      </c>
      <c r="H1230" s="674">
        <v>0.25</v>
      </c>
      <c r="K1230" s="841" t="s">
        <v>5110</v>
      </c>
      <c r="L1230" s="841" t="s">
        <v>3046</v>
      </c>
      <c r="M1230" s="1357"/>
      <c r="P1230" s="841" t="s">
        <v>5119</v>
      </c>
      <c r="Q1230" s="1357"/>
      <c r="S1230" s="1420"/>
      <c r="T1230" s="1420"/>
      <c r="V1230" s="1357">
        <v>63</v>
      </c>
    </row>
    <row r="1231" spans="1:22" s="841" customFormat="1" x14ac:dyDescent="0.25">
      <c r="A1231" s="841" t="s">
        <v>424</v>
      </c>
      <c r="E1231" s="1967" t="s">
        <v>616</v>
      </c>
      <c r="F1231" s="1967"/>
      <c r="G1231" s="2015"/>
      <c r="H1231" s="2016"/>
      <c r="K1231" s="841" t="s">
        <v>6095</v>
      </c>
      <c r="M1231" s="1357"/>
      <c r="Q1231" s="1357"/>
      <c r="S1231" s="1420"/>
      <c r="T1231" s="1420"/>
      <c r="V1231" s="1357">
        <v>53</v>
      </c>
    </row>
    <row r="1232" spans="1:22" s="841" customFormat="1" ht="15" x14ac:dyDescent="0.25">
      <c r="A1232" s="841" t="s">
        <v>424</v>
      </c>
      <c r="E1232" s="1939" t="s">
        <v>3509</v>
      </c>
      <c r="F1232" s="1939"/>
      <c r="G1232" s="2004"/>
      <c r="H1232" s="2005"/>
      <c r="K1232" s="841" t="s">
        <v>6095</v>
      </c>
      <c r="M1232" s="1357"/>
      <c r="Q1232" s="1357"/>
      <c r="S1232" s="1420"/>
      <c r="T1232" s="1420"/>
      <c r="V1232" s="1357">
        <v>520</v>
      </c>
    </row>
    <row r="1233" spans="1:22" s="841" customFormat="1" ht="15" x14ac:dyDescent="0.25">
      <c r="A1233" s="841" t="s">
        <v>424</v>
      </c>
      <c r="E1233" s="2013" t="s">
        <v>3061</v>
      </c>
      <c r="F1233" s="2010"/>
      <c r="G1233" s="2010"/>
      <c r="H1233" s="2010"/>
      <c r="K1233" s="841" t="s">
        <v>3098</v>
      </c>
      <c r="M1233" s="1357"/>
      <c r="Q1233" s="1357"/>
      <c r="S1233" s="1420"/>
      <c r="T1233" s="1420"/>
      <c r="V1233" s="1357">
        <v>11</v>
      </c>
    </row>
    <row r="1234" spans="1:22" s="841" customFormat="1" ht="15" x14ac:dyDescent="0.25">
      <c r="A1234" s="841" t="s">
        <v>424</v>
      </c>
      <c r="E1234" s="1689" t="s">
        <v>3063</v>
      </c>
      <c r="F1234" s="1689"/>
      <c r="G1234" s="1921"/>
      <c r="H1234" s="1921"/>
      <c r="K1234" s="841" t="s">
        <v>6095</v>
      </c>
      <c r="M1234" s="1357"/>
      <c r="Q1234" s="1357"/>
      <c r="S1234" s="1420"/>
      <c r="T1234" s="1420"/>
      <c r="V1234" s="1357">
        <v>280</v>
      </c>
    </row>
    <row r="1235" spans="1:22" s="841" customFormat="1" ht="15" x14ac:dyDescent="0.25">
      <c r="A1235" s="841" t="s">
        <v>424</v>
      </c>
      <c r="E1235" s="1689" t="s">
        <v>3064</v>
      </c>
      <c r="F1235" s="1689"/>
      <c r="G1235" s="1921"/>
      <c r="H1235" s="1921"/>
      <c r="K1235" s="841" t="s">
        <v>6095</v>
      </c>
      <c r="M1235" s="1357"/>
      <c r="Q1235" s="1357"/>
      <c r="S1235" s="1420"/>
      <c r="T1235" s="1420"/>
      <c r="V1235" s="1357">
        <v>411</v>
      </c>
    </row>
    <row r="1236" spans="1:22" s="841" customFormat="1" ht="15" x14ac:dyDescent="0.25">
      <c r="A1236" s="841" t="s">
        <v>424</v>
      </c>
      <c r="E1236" s="1689" t="s">
        <v>3065</v>
      </c>
      <c r="F1236" s="1689"/>
      <c r="G1236" s="1921"/>
      <c r="H1236" s="1921"/>
      <c r="K1236" s="841" t="s">
        <v>6095</v>
      </c>
      <c r="M1236" s="1357"/>
      <c r="Q1236" s="1357"/>
      <c r="S1236" s="1420"/>
      <c r="T1236" s="1420"/>
      <c r="V1236" s="1357">
        <v>387</v>
      </c>
    </row>
    <row r="1237" spans="1:22" s="841" customFormat="1" ht="15" x14ac:dyDescent="0.25">
      <c r="A1237" s="841" t="s">
        <v>424</v>
      </c>
      <c r="E1237" s="1689" t="s">
        <v>5288</v>
      </c>
      <c r="F1237" s="1689"/>
      <c r="G1237" s="1689"/>
      <c r="H1237" s="1689"/>
      <c r="K1237" s="841" t="s">
        <v>6095</v>
      </c>
      <c r="M1237" s="1357"/>
      <c r="Q1237" s="1357"/>
      <c r="S1237" s="1420"/>
      <c r="T1237" s="1420"/>
      <c r="V1237" s="1357">
        <v>610</v>
      </c>
    </row>
    <row r="1238" spans="1:22" s="841" customFormat="1" ht="15" x14ac:dyDescent="0.25">
      <c r="A1238" s="841" t="s">
        <v>424</v>
      </c>
      <c r="E1238" s="1689" t="s">
        <v>3223</v>
      </c>
      <c r="F1238" s="1689"/>
      <c r="G1238" s="1689"/>
      <c r="H1238" s="1689"/>
      <c r="K1238" s="841" t="s">
        <v>6095</v>
      </c>
      <c r="M1238" s="1357"/>
      <c r="Q1238" s="1357"/>
      <c r="S1238" s="1420"/>
      <c r="T1238" s="1420"/>
      <c r="V1238" s="1357">
        <v>626</v>
      </c>
    </row>
    <row r="1239" spans="1:22" s="841" customFormat="1" ht="15" x14ac:dyDescent="0.25">
      <c r="A1239" s="841" t="s">
        <v>424</v>
      </c>
      <c r="E1239" s="1689" t="s">
        <v>3066</v>
      </c>
      <c r="F1239" s="1689"/>
      <c r="G1239" s="1921"/>
      <c r="H1239" s="1921"/>
      <c r="K1239" s="841" t="s">
        <v>6095</v>
      </c>
      <c r="M1239" s="1357"/>
      <c r="Q1239" s="1357"/>
      <c r="S1239" s="1420"/>
      <c r="T1239" s="1420"/>
      <c r="V1239" s="1357">
        <v>275</v>
      </c>
    </row>
    <row r="1240" spans="1:22" s="841" customFormat="1" ht="15" x14ac:dyDescent="0.25">
      <c r="A1240" s="841" t="s">
        <v>424</v>
      </c>
      <c r="E1240" s="2014" t="s">
        <v>3067</v>
      </c>
      <c r="F1240" s="2010"/>
      <c r="G1240" s="2010"/>
      <c r="H1240" s="2010"/>
      <c r="K1240" s="841" t="s">
        <v>3099</v>
      </c>
      <c r="M1240" s="1357"/>
      <c r="Q1240" s="1357"/>
      <c r="S1240" s="1420"/>
      <c r="T1240" s="1420"/>
      <c r="V1240" s="1357">
        <v>46</v>
      </c>
    </row>
    <row r="1241" spans="1:22" s="841" customFormat="1" ht="15.75" thickBot="1" x14ac:dyDescent="0.3">
      <c r="A1241" s="841" t="s">
        <v>424</v>
      </c>
      <c r="E1241" s="2052" t="s">
        <v>11</v>
      </c>
      <c r="F1241" s="2052"/>
      <c r="G1241" s="1064" t="s">
        <v>23</v>
      </c>
      <c r="H1241" s="600">
        <v>162.52000000000001</v>
      </c>
      <c r="K1241" s="841" t="s">
        <v>6095</v>
      </c>
      <c r="L1241" s="841" t="s">
        <v>442</v>
      </c>
      <c r="M1241" s="1357"/>
      <c r="P1241" s="841" t="s">
        <v>6096</v>
      </c>
      <c r="Q1241" s="1357"/>
      <c r="S1241" s="1420"/>
      <c r="T1241" s="1420"/>
      <c r="V1241" s="1357">
        <v>14</v>
      </c>
    </row>
    <row r="1242" spans="1:22" s="841" customFormat="1" ht="16.5" thickTop="1" thickBot="1" x14ac:dyDescent="0.3">
      <c r="A1242" s="841" t="s">
        <v>424</v>
      </c>
      <c r="E1242" s="2052" t="s">
        <v>3510</v>
      </c>
      <c r="F1242" s="2052"/>
      <c r="G1242" s="1064" t="s">
        <v>23</v>
      </c>
      <c r="H1242" s="600">
        <v>7.55</v>
      </c>
      <c r="K1242" s="841" t="s">
        <v>6095</v>
      </c>
      <c r="L1242" s="841" t="s">
        <v>442</v>
      </c>
      <c r="M1242" s="1357"/>
      <c r="P1242" s="841" t="s">
        <v>6109</v>
      </c>
      <c r="Q1242" s="1357"/>
      <c r="S1242" s="1420"/>
      <c r="T1242" s="1420">
        <v>44561</v>
      </c>
      <c r="V1242" s="1357">
        <v>84</v>
      </c>
    </row>
    <row r="1243" spans="1:22" s="841" customFormat="1" ht="16.5" thickTop="1" thickBot="1" x14ac:dyDescent="0.3">
      <c r="A1243" s="841" t="s">
        <v>424</v>
      </c>
      <c r="E1243" s="2052" t="s">
        <v>3511</v>
      </c>
      <c r="F1243" s="2052"/>
      <c r="G1243" s="1064" t="s">
        <v>23</v>
      </c>
      <c r="H1243" s="600">
        <v>3.86</v>
      </c>
      <c r="K1243" s="841" t="s">
        <v>6095</v>
      </c>
      <c r="L1243" s="841" t="s">
        <v>442</v>
      </c>
      <c r="M1243" s="1357"/>
      <c r="P1243" s="841" t="s">
        <v>6110</v>
      </c>
      <c r="Q1243" s="1357"/>
      <c r="S1243" s="1420"/>
      <c r="T1243" s="1420">
        <v>44561</v>
      </c>
      <c r="V1243" s="1357">
        <v>88</v>
      </c>
    </row>
    <row r="1244" spans="1:22" s="841" customFormat="1" ht="15.75" thickTop="1" x14ac:dyDescent="0.25">
      <c r="A1244" s="841" t="s">
        <v>424</v>
      </c>
      <c r="E1244" s="2008" t="s">
        <v>3512</v>
      </c>
      <c r="F1244" s="2008"/>
      <c r="G1244" s="1004" t="s">
        <v>33</v>
      </c>
      <c r="H1244" s="606">
        <v>7.1384999999999996</v>
      </c>
      <c r="K1244" s="841" t="s">
        <v>6095</v>
      </c>
      <c r="L1244" s="841" t="s">
        <v>442</v>
      </c>
      <c r="M1244" s="1357"/>
      <c r="P1244" s="841" t="s">
        <v>6097</v>
      </c>
      <c r="Q1244" s="1357"/>
      <c r="S1244" s="1420"/>
      <c r="T1244" s="1420"/>
      <c r="V1244" s="1357">
        <v>30</v>
      </c>
    </row>
    <row r="1245" spans="1:22" s="841" customFormat="1" ht="15.75" thickBot="1" x14ac:dyDescent="0.3">
      <c r="A1245" s="841" t="s">
        <v>424</v>
      </c>
      <c r="E1245" s="1934" t="s">
        <v>18</v>
      </c>
      <c r="F1245" s="1934"/>
      <c r="G1245" s="1004" t="s">
        <v>33</v>
      </c>
      <c r="H1245" s="675">
        <v>0.1011</v>
      </c>
      <c r="K1245" s="841" t="s">
        <v>6095</v>
      </c>
      <c r="L1245" s="841" t="s">
        <v>443</v>
      </c>
      <c r="M1245" s="1357"/>
      <c r="P1245" s="841" t="s">
        <v>6098</v>
      </c>
      <c r="Q1245" s="1357"/>
      <c r="S1245" s="1420"/>
      <c r="T1245" s="1420"/>
      <c r="V1245" s="1357">
        <v>24</v>
      </c>
    </row>
    <row r="1246" spans="1:22" s="841" customFormat="1" ht="16.5" thickTop="1" thickBot="1" x14ac:dyDescent="0.3">
      <c r="A1246" s="841" t="s">
        <v>424</v>
      </c>
      <c r="E1246" s="2006" t="s">
        <v>5289</v>
      </c>
      <c r="F1246" s="2006"/>
      <c r="G1246" s="1004" t="s">
        <v>24</v>
      </c>
      <c r="H1246" s="675">
        <v>4.0000000000000001E-3</v>
      </c>
      <c r="K1246" s="841" t="s">
        <v>6095</v>
      </c>
      <c r="L1246" s="841" t="s">
        <v>443</v>
      </c>
      <c r="M1246" s="1357"/>
      <c r="P1246" s="841" t="s">
        <v>6104</v>
      </c>
      <c r="Q1246" s="1357"/>
      <c r="S1246" s="1420"/>
      <c r="T1246" s="1420">
        <v>43465</v>
      </c>
      <c r="V1246" s="1357">
        <v>151</v>
      </c>
    </row>
    <row r="1247" spans="1:22" s="841" customFormat="1" ht="16.5" thickTop="1" thickBot="1" x14ac:dyDescent="0.3">
      <c r="A1247" s="841" t="s">
        <v>424</v>
      </c>
      <c r="E1247" s="2006" t="s">
        <v>5290</v>
      </c>
      <c r="F1247" s="2006"/>
      <c r="G1247" s="1004" t="s">
        <v>24</v>
      </c>
      <c r="H1247" s="675">
        <v>1.4E-3</v>
      </c>
      <c r="K1247" s="841" t="s">
        <v>6095</v>
      </c>
      <c r="L1247" s="841" t="s">
        <v>443</v>
      </c>
      <c r="M1247" s="1357"/>
      <c r="P1247" s="841" t="s">
        <v>6104</v>
      </c>
      <c r="Q1247" s="1357"/>
      <c r="S1247" s="1420"/>
      <c r="T1247" s="1420">
        <v>43465</v>
      </c>
      <c r="V1247" s="1357">
        <v>193</v>
      </c>
    </row>
    <row r="1248" spans="1:22" s="841" customFormat="1" ht="15.75" thickTop="1" x14ac:dyDescent="0.25">
      <c r="A1248" s="841" t="s">
        <v>424</v>
      </c>
      <c r="E1248" s="1934" t="s">
        <v>3507</v>
      </c>
      <c r="F1248" s="1934"/>
      <c r="G1248" s="1004" t="s">
        <v>33</v>
      </c>
      <c r="H1248" s="675">
        <v>0.1012</v>
      </c>
      <c r="K1248" s="841" t="s">
        <v>6095</v>
      </c>
      <c r="L1248" s="841" t="s">
        <v>442</v>
      </c>
      <c r="M1248" s="1357"/>
      <c r="P1248" s="841" t="s">
        <v>6111</v>
      </c>
      <c r="Q1248" s="1357"/>
      <c r="S1248" s="1420"/>
      <c r="T1248" s="1420">
        <v>43465</v>
      </c>
      <c r="V1248" s="1357">
        <v>102</v>
      </c>
    </row>
    <row r="1249" spans="1:22" s="841" customFormat="1" ht="15" x14ac:dyDescent="0.25">
      <c r="A1249" s="841" t="s">
        <v>424</v>
      </c>
      <c r="E1249" s="1934" t="s">
        <v>3506</v>
      </c>
      <c r="F1249" s="1934"/>
      <c r="G1249" s="1004" t="s">
        <v>33</v>
      </c>
      <c r="H1249" s="675">
        <v>-0.66720000000000002</v>
      </c>
      <c r="K1249" s="841" t="s">
        <v>6095</v>
      </c>
      <c r="L1249" s="841" t="s">
        <v>443</v>
      </c>
      <c r="M1249" s="1357"/>
      <c r="P1249" s="841" t="s">
        <v>6105</v>
      </c>
      <c r="Q1249" s="1357"/>
      <c r="S1249" s="1420"/>
      <c r="T1249" s="1420">
        <v>43465</v>
      </c>
      <c r="V1249" s="1357">
        <v>99</v>
      </c>
    </row>
    <row r="1250" spans="1:22" s="841" customFormat="1" ht="15.75" thickBot="1" x14ac:dyDescent="0.3">
      <c r="A1250" s="841" t="s">
        <v>424</v>
      </c>
      <c r="E1250" s="2052" t="s">
        <v>5143</v>
      </c>
      <c r="F1250" s="2053"/>
      <c r="G1250" s="1004" t="s">
        <v>24</v>
      </c>
      <c r="H1250" s="675">
        <v>-1.18E-2</v>
      </c>
      <c r="K1250" s="841" t="s">
        <v>6095</v>
      </c>
      <c r="L1250" s="841" t="s">
        <v>443</v>
      </c>
      <c r="M1250" s="1357"/>
      <c r="P1250" s="841" t="s">
        <v>6104</v>
      </c>
      <c r="Q1250" s="1357"/>
      <c r="S1250" s="1420"/>
      <c r="T1250" s="1420">
        <v>43465</v>
      </c>
      <c r="V1250" s="1357">
        <v>142</v>
      </c>
    </row>
    <row r="1251" spans="1:22" s="841" customFormat="1" ht="16.5" thickTop="1" thickBot="1" x14ac:dyDescent="0.3">
      <c r="A1251" s="841" t="s">
        <v>424</v>
      </c>
      <c r="E1251" s="1934" t="s">
        <v>5144</v>
      </c>
      <c r="F1251" s="1934"/>
      <c r="G1251" s="1004" t="s">
        <v>33</v>
      </c>
      <c r="H1251" s="675">
        <v>1.2082999999999999</v>
      </c>
      <c r="K1251" s="841" t="s">
        <v>6095</v>
      </c>
      <c r="L1251" s="841" t="s">
        <v>443</v>
      </c>
      <c r="M1251" s="1357"/>
      <c r="P1251" s="841" t="s">
        <v>6105</v>
      </c>
      <c r="Q1251" s="1357"/>
      <c r="S1251" s="1420"/>
      <c r="T1251" s="1420">
        <v>43465</v>
      </c>
      <c r="V1251" s="1357">
        <v>99</v>
      </c>
    </row>
    <row r="1252" spans="1:22" s="841" customFormat="1" ht="16.5" thickTop="1" thickBot="1" x14ac:dyDescent="0.3">
      <c r="A1252" s="841" t="s">
        <v>424</v>
      </c>
      <c r="E1252" s="2006" t="s">
        <v>5286</v>
      </c>
      <c r="F1252" s="2007"/>
      <c r="G1252" s="1004" t="s">
        <v>33</v>
      </c>
      <c r="H1252" s="675">
        <v>5.1499999999999997E-2</v>
      </c>
      <c r="K1252" s="841" t="s">
        <v>6095</v>
      </c>
      <c r="L1252" s="841" t="s">
        <v>443</v>
      </c>
      <c r="M1252" s="1357"/>
      <c r="P1252" s="841" t="s">
        <v>6112</v>
      </c>
      <c r="Q1252" s="1357"/>
      <c r="S1252" s="1420"/>
      <c r="T1252" s="1420">
        <v>43465</v>
      </c>
      <c r="V1252" s="1357">
        <v>147</v>
      </c>
    </row>
    <row r="1253" spans="1:22" s="841" customFormat="1" ht="15.75" thickTop="1" x14ac:dyDescent="0.25">
      <c r="A1253" s="841" t="s">
        <v>424</v>
      </c>
      <c r="E1253" s="2008" t="s">
        <v>221</v>
      </c>
      <c r="F1253" s="2008"/>
      <c r="G1253" s="1004" t="s">
        <v>33</v>
      </c>
      <c r="H1253" s="606">
        <v>2.3595000000000002</v>
      </c>
      <c r="K1253" s="841" t="s">
        <v>6095</v>
      </c>
      <c r="L1253" s="841" t="s">
        <v>444</v>
      </c>
      <c r="M1253" s="1357"/>
      <c r="P1253" s="841" t="s">
        <v>6099</v>
      </c>
      <c r="Q1253" s="1357"/>
      <c r="S1253" s="1420"/>
      <c r="T1253" s="1420"/>
      <c r="V1253" s="1357">
        <v>47</v>
      </c>
    </row>
    <row r="1254" spans="1:22" s="841" customFormat="1" ht="15" x14ac:dyDescent="0.25">
      <c r="A1254" s="841" t="s">
        <v>424</v>
      </c>
      <c r="E1254" s="1934" t="s">
        <v>217</v>
      </c>
      <c r="F1254" s="1934"/>
      <c r="G1254" s="1004" t="s">
        <v>33</v>
      </c>
      <c r="H1254" s="606">
        <v>2.0813000000000001</v>
      </c>
      <c r="K1254" s="841" t="s">
        <v>6095</v>
      </c>
      <c r="L1254" s="841" t="s">
        <v>444</v>
      </c>
      <c r="M1254" s="1357"/>
      <c r="P1254" s="841" t="s">
        <v>6100</v>
      </c>
      <c r="Q1254" s="1357"/>
      <c r="S1254" s="1420"/>
      <c r="T1254" s="1420"/>
      <c r="V1254" s="1357">
        <v>74</v>
      </c>
    </row>
    <row r="1255" spans="1:22" s="841" customFormat="1" ht="15" x14ac:dyDescent="0.25">
      <c r="A1255" s="841" t="s">
        <v>424</v>
      </c>
      <c r="E1255" s="2003" t="s">
        <v>3079</v>
      </c>
      <c r="F1255" s="1904"/>
      <c r="G1255" s="1064"/>
      <c r="H1255" s="1157"/>
      <c r="K1255" s="841" t="s">
        <v>3218</v>
      </c>
      <c r="M1255" s="1357"/>
      <c r="Q1255" s="1357"/>
      <c r="S1255" s="1420"/>
      <c r="T1255" s="1420"/>
      <c r="V1255" s="1357">
        <v>48</v>
      </c>
    </row>
    <row r="1256" spans="1:22" s="841" customFormat="1" ht="15" x14ac:dyDescent="0.25">
      <c r="A1256" s="841" t="s">
        <v>424</v>
      </c>
      <c r="E1256" s="1934" t="s">
        <v>2449</v>
      </c>
      <c r="F1256" s="1934"/>
      <c r="G1256" s="895" t="s">
        <v>24</v>
      </c>
      <c r="H1256" s="678">
        <v>3.2000000000000002E-3</v>
      </c>
      <c r="K1256" s="841" t="s">
        <v>6095</v>
      </c>
      <c r="L1256" s="841" t="s">
        <v>3046</v>
      </c>
      <c r="M1256" s="1357"/>
      <c r="P1256" s="841" t="s">
        <v>6101</v>
      </c>
      <c r="Q1256" s="1357"/>
      <c r="S1256" s="1420"/>
      <c r="T1256" s="1420"/>
      <c r="V1256" s="1357">
        <v>55</v>
      </c>
    </row>
    <row r="1257" spans="1:22" s="841" customFormat="1" ht="15" x14ac:dyDescent="0.25">
      <c r="A1257" s="841" t="s">
        <v>424</v>
      </c>
      <c r="E1257" s="1934" t="s">
        <v>2450</v>
      </c>
      <c r="F1257" s="1934"/>
      <c r="G1257" s="895" t="s">
        <v>24</v>
      </c>
      <c r="H1257" s="678">
        <v>4.0000000000000002E-4</v>
      </c>
      <c r="K1257" s="841" t="s">
        <v>6095</v>
      </c>
      <c r="L1257" s="841" t="s">
        <v>3046</v>
      </c>
      <c r="M1257" s="1357"/>
      <c r="P1257" s="841" t="s">
        <v>6101</v>
      </c>
      <c r="Q1257" s="1357"/>
      <c r="S1257" s="1420"/>
      <c r="T1257" s="1420"/>
      <c r="V1257" s="1357">
        <v>65</v>
      </c>
    </row>
    <row r="1258" spans="1:22" s="841" customFormat="1" ht="15" x14ac:dyDescent="0.25">
      <c r="A1258" s="841" t="s">
        <v>424</v>
      </c>
      <c r="E1258" s="1934" t="s">
        <v>439</v>
      </c>
      <c r="F1258" s="1934"/>
      <c r="G1258" s="895" t="s">
        <v>24</v>
      </c>
      <c r="H1258" s="678">
        <v>2.9999999999999997E-4</v>
      </c>
      <c r="K1258" s="841" t="s">
        <v>6095</v>
      </c>
      <c r="L1258" s="841" t="s">
        <v>3046</v>
      </c>
      <c r="M1258" s="1357"/>
      <c r="P1258" s="841" t="s">
        <v>6102</v>
      </c>
      <c r="Q1258" s="1357"/>
      <c r="S1258" s="1420"/>
      <c r="T1258" s="1420"/>
      <c r="V1258" s="1357">
        <v>57</v>
      </c>
    </row>
    <row r="1259" spans="1:22" s="841" customFormat="1" ht="15" x14ac:dyDescent="0.25">
      <c r="A1259" s="841" t="s">
        <v>424</v>
      </c>
      <c r="E1259" s="1934" t="s">
        <v>32</v>
      </c>
      <c r="F1259" s="1934"/>
      <c r="G1259" s="895" t="s">
        <v>23</v>
      </c>
      <c r="H1259" s="674">
        <v>0.25</v>
      </c>
      <c r="K1259" s="841" t="s">
        <v>6095</v>
      </c>
      <c r="L1259" s="841" t="s">
        <v>3046</v>
      </c>
      <c r="M1259" s="1357"/>
      <c r="P1259" s="841" t="s">
        <v>6103</v>
      </c>
      <c r="Q1259" s="1357"/>
      <c r="S1259" s="1420"/>
      <c r="T1259" s="1420"/>
      <c r="V1259" s="1357">
        <v>63</v>
      </c>
    </row>
    <row r="1260" spans="1:22" s="841" customFormat="1" x14ac:dyDescent="0.25">
      <c r="A1260" s="841" t="s">
        <v>424</v>
      </c>
      <c r="E1260" s="2059" t="s">
        <v>622</v>
      </c>
      <c r="F1260" s="2059"/>
      <c r="G1260" s="2060"/>
      <c r="H1260" s="2060"/>
      <c r="K1260" s="841" t="s">
        <v>3513</v>
      </c>
      <c r="M1260" s="1357"/>
      <c r="Q1260" s="1357"/>
      <c r="S1260" s="1420"/>
      <c r="T1260" s="1420"/>
      <c r="V1260" s="1357">
        <v>43</v>
      </c>
    </row>
    <row r="1261" spans="1:22" s="841" customFormat="1" ht="15" x14ac:dyDescent="0.25">
      <c r="A1261" s="841" t="s">
        <v>424</v>
      </c>
      <c r="E1261" s="1939" t="s">
        <v>3514</v>
      </c>
      <c r="F1261" s="1939"/>
      <c r="G1261" s="2004"/>
      <c r="H1261" s="2005"/>
      <c r="K1261" s="841" t="s">
        <v>3513</v>
      </c>
      <c r="M1261" s="1357"/>
      <c r="Q1261" s="1357"/>
      <c r="S1261" s="1420"/>
      <c r="T1261" s="1420"/>
      <c r="V1261" s="1357">
        <v>237</v>
      </c>
    </row>
    <row r="1262" spans="1:22" s="841" customFormat="1" ht="15" x14ac:dyDescent="0.25">
      <c r="A1262" s="841" t="s">
        <v>424</v>
      </c>
      <c r="E1262" s="2009" t="s">
        <v>3061</v>
      </c>
      <c r="F1262" s="2062"/>
      <c r="G1262" s="2062"/>
      <c r="H1262" s="2062"/>
      <c r="K1262" s="841" t="s">
        <v>3221</v>
      </c>
      <c r="M1262" s="1357"/>
      <c r="Q1262" s="1357"/>
      <c r="S1262" s="1420"/>
      <c r="T1262" s="1420"/>
      <c r="V1262" s="1357">
        <v>11</v>
      </c>
    </row>
    <row r="1263" spans="1:22" s="841" customFormat="1" ht="15" x14ac:dyDescent="0.25">
      <c r="A1263" s="841" t="s">
        <v>424</v>
      </c>
      <c r="E1263" s="1939" t="s">
        <v>3063</v>
      </c>
      <c r="F1263" s="1939"/>
      <c r="G1263" s="2004"/>
      <c r="H1263" s="2005"/>
      <c r="K1263" s="841" t="s">
        <v>3513</v>
      </c>
      <c r="M1263" s="1357"/>
      <c r="Q1263" s="1357"/>
      <c r="S1263" s="1420"/>
      <c r="T1263" s="1420"/>
      <c r="V1263" s="1357">
        <v>280</v>
      </c>
    </row>
    <row r="1264" spans="1:22" s="841" customFormat="1" ht="15" x14ac:dyDescent="0.25">
      <c r="A1264" s="841" t="s">
        <v>424</v>
      </c>
      <c r="E1264" s="1939" t="s">
        <v>3064</v>
      </c>
      <c r="F1264" s="1939"/>
      <c r="G1264" s="2004"/>
      <c r="H1264" s="2005"/>
      <c r="K1264" s="841" t="s">
        <v>3513</v>
      </c>
      <c r="M1264" s="1357"/>
      <c r="Q1264" s="1357"/>
      <c r="S1264" s="1420"/>
      <c r="T1264" s="1420"/>
      <c r="V1264" s="1357">
        <v>411</v>
      </c>
    </row>
    <row r="1265" spans="1:22" s="841" customFormat="1" ht="15" x14ac:dyDescent="0.25">
      <c r="A1265" s="841" t="s">
        <v>424</v>
      </c>
      <c r="E1265" s="1939" t="s">
        <v>3065</v>
      </c>
      <c r="F1265" s="1939"/>
      <c r="G1265" s="2004"/>
      <c r="H1265" s="2005"/>
      <c r="K1265" s="841" t="s">
        <v>3513</v>
      </c>
      <c r="M1265" s="1357"/>
      <c r="Q1265" s="1357"/>
      <c r="S1265" s="1420"/>
      <c r="T1265" s="1420"/>
      <c r="V1265" s="1357">
        <v>387</v>
      </c>
    </row>
    <row r="1266" spans="1:22" s="841" customFormat="1" ht="15" x14ac:dyDescent="0.25">
      <c r="A1266" s="841" t="s">
        <v>424</v>
      </c>
      <c r="E1266" s="1939" t="s">
        <v>3066</v>
      </c>
      <c r="F1266" s="1939"/>
      <c r="G1266" s="2004"/>
      <c r="H1266" s="2005"/>
      <c r="K1266" s="841" t="s">
        <v>3513</v>
      </c>
      <c r="M1266" s="1357"/>
      <c r="Q1266" s="1357"/>
      <c r="S1266" s="1420"/>
      <c r="T1266" s="1420"/>
      <c r="V1266" s="1357">
        <v>275</v>
      </c>
    </row>
    <row r="1267" spans="1:22" s="841" customFormat="1" ht="15.75" thickBot="1" x14ac:dyDescent="0.3">
      <c r="A1267" s="841" t="s">
        <v>424</v>
      </c>
      <c r="E1267" s="2009" t="s">
        <v>3067</v>
      </c>
      <c r="F1267" s="2010"/>
      <c r="G1267" s="2010"/>
      <c r="H1267" s="2010"/>
      <c r="K1267" s="841" t="s">
        <v>3224</v>
      </c>
      <c r="M1267" s="1357"/>
      <c r="Q1267" s="1357"/>
      <c r="S1267" s="1420"/>
      <c r="T1267" s="1420"/>
      <c r="V1267" s="1357">
        <v>46</v>
      </c>
    </row>
    <row r="1268" spans="1:22" s="841" customFormat="1" ht="16.5" thickTop="1" thickBot="1" x14ac:dyDescent="0.3">
      <c r="A1268" s="841" t="s">
        <v>424</v>
      </c>
      <c r="E1268" s="2006" t="s">
        <v>11</v>
      </c>
      <c r="F1268" s="2006"/>
      <c r="G1268" s="1065" t="s">
        <v>23</v>
      </c>
      <c r="H1268" s="600">
        <v>584.83000000000004</v>
      </c>
      <c r="K1268" s="841" t="s">
        <v>3513</v>
      </c>
      <c r="L1268" s="841" t="s">
        <v>442</v>
      </c>
      <c r="M1268" s="1357"/>
      <c r="P1268" s="841" t="s">
        <v>3515</v>
      </c>
      <c r="Q1268" s="1357"/>
      <c r="S1268" s="1420"/>
      <c r="T1268" s="1420"/>
      <c r="V1268" s="1357">
        <v>14</v>
      </c>
    </row>
    <row r="1269" spans="1:22" s="841" customFormat="1" ht="16.5" thickTop="1" thickBot="1" x14ac:dyDescent="0.3">
      <c r="A1269" s="841" t="s">
        <v>424</v>
      </c>
      <c r="E1269" s="2006" t="s">
        <v>3512</v>
      </c>
      <c r="F1269" s="2006"/>
      <c r="G1269" s="1065" t="s">
        <v>33</v>
      </c>
      <c r="H1269" s="606">
        <v>8.2119999999999997</v>
      </c>
      <c r="K1269" s="841" t="s">
        <v>3513</v>
      </c>
      <c r="L1269" s="841" t="s">
        <v>442</v>
      </c>
      <c r="M1269" s="1357"/>
      <c r="P1269" s="841" t="s">
        <v>3516</v>
      </c>
      <c r="Q1269" s="1357"/>
      <c r="S1269" s="1420"/>
      <c r="T1269" s="1420"/>
      <c r="V1269" s="1357">
        <v>30</v>
      </c>
    </row>
    <row r="1270" spans="1:22" s="841" customFormat="1" ht="16.5" thickTop="1" thickBot="1" x14ac:dyDescent="0.3">
      <c r="A1270" s="841" t="s">
        <v>424</v>
      </c>
      <c r="E1270" s="1934" t="s">
        <v>18</v>
      </c>
      <c r="F1270" s="1934"/>
      <c r="G1270" s="1004" t="s">
        <v>33</v>
      </c>
      <c r="H1270" s="675">
        <v>0.1011</v>
      </c>
      <c r="K1270" s="841" t="s">
        <v>3513</v>
      </c>
      <c r="L1270" s="841" t="s">
        <v>443</v>
      </c>
      <c r="M1270" s="1357"/>
      <c r="P1270" s="841" t="s">
        <v>3517</v>
      </c>
      <c r="Q1270" s="1357"/>
      <c r="S1270" s="1420"/>
      <c r="T1270" s="1420"/>
      <c r="V1270" s="1357">
        <v>24</v>
      </c>
    </row>
    <row r="1271" spans="1:22" s="841" customFormat="1" ht="16.5" thickTop="1" thickBot="1" x14ac:dyDescent="0.3">
      <c r="A1271" s="841" t="s">
        <v>424</v>
      </c>
      <c r="E1271" s="2006" t="s">
        <v>5284</v>
      </c>
      <c r="F1271" s="2006"/>
      <c r="G1271" s="1065" t="s">
        <v>24</v>
      </c>
      <c r="H1271" s="680">
        <v>4.0000000000000001E-3</v>
      </c>
      <c r="K1271" s="841" t="s">
        <v>3513</v>
      </c>
      <c r="L1271" s="841" t="s">
        <v>443</v>
      </c>
      <c r="M1271" s="1357"/>
      <c r="P1271" s="841" t="s">
        <v>3518</v>
      </c>
      <c r="Q1271" s="1357"/>
      <c r="S1271" s="1420"/>
      <c r="T1271" s="1420">
        <v>43465</v>
      </c>
      <c r="V1271" s="1357">
        <v>144</v>
      </c>
    </row>
    <row r="1272" spans="1:22" s="841" customFormat="1" ht="16.5" thickTop="1" thickBot="1" x14ac:dyDescent="0.3">
      <c r="A1272" s="841" t="s">
        <v>424</v>
      </c>
      <c r="E1272" s="2006" t="s">
        <v>3506</v>
      </c>
      <c r="F1272" s="2006"/>
      <c r="G1272" s="1065" t="s">
        <v>33</v>
      </c>
      <c r="H1272" s="680">
        <v>-0.80330000000000001</v>
      </c>
      <c r="K1272" s="841" t="s">
        <v>3513</v>
      </c>
      <c r="L1272" s="841" t="s">
        <v>443</v>
      </c>
      <c r="M1272" s="1357"/>
      <c r="P1272" s="841" t="s">
        <v>3519</v>
      </c>
      <c r="Q1272" s="1357"/>
      <c r="S1272" s="1420"/>
      <c r="T1272" s="1420">
        <v>43465</v>
      </c>
      <c r="V1272" s="1357">
        <v>99</v>
      </c>
    </row>
    <row r="1273" spans="1:22" s="841" customFormat="1" ht="16.5" thickTop="1" thickBot="1" x14ac:dyDescent="0.3">
      <c r="A1273" s="841" t="s">
        <v>424</v>
      </c>
      <c r="E1273" s="2006" t="s">
        <v>5143</v>
      </c>
      <c r="F1273" s="2061"/>
      <c r="G1273" s="1065" t="s">
        <v>24</v>
      </c>
      <c r="H1273" s="680">
        <v>-1.18E-2</v>
      </c>
      <c r="K1273" s="841" t="s">
        <v>3513</v>
      </c>
      <c r="L1273" s="841" t="s">
        <v>443</v>
      </c>
      <c r="M1273" s="1357"/>
      <c r="P1273" s="841" t="s">
        <v>3518</v>
      </c>
      <c r="Q1273" s="1357"/>
      <c r="S1273" s="1420"/>
      <c r="T1273" s="1420">
        <v>43465</v>
      </c>
      <c r="V1273" s="1357">
        <v>142</v>
      </c>
    </row>
    <row r="1274" spans="1:22" s="841" customFormat="1" ht="16.5" thickTop="1" thickBot="1" x14ac:dyDescent="0.3">
      <c r="A1274" s="841" t="s">
        <v>424</v>
      </c>
      <c r="E1274" s="2006" t="s">
        <v>5144</v>
      </c>
      <c r="F1274" s="2006"/>
      <c r="G1274" s="1065" t="s">
        <v>33</v>
      </c>
      <c r="H1274" s="606">
        <v>1.2689999999999999</v>
      </c>
      <c r="K1274" s="841" t="s">
        <v>3513</v>
      </c>
      <c r="L1274" s="841" t="s">
        <v>443</v>
      </c>
      <c r="M1274" s="1357"/>
      <c r="P1274" s="841" t="s">
        <v>3519</v>
      </c>
      <c r="Q1274" s="1357"/>
      <c r="S1274" s="1420"/>
      <c r="T1274" s="1420">
        <v>43465</v>
      </c>
      <c r="V1274" s="1357">
        <v>99</v>
      </c>
    </row>
    <row r="1275" spans="1:22" s="841" customFormat="1" ht="16.5" thickTop="1" thickBot="1" x14ac:dyDescent="0.3">
      <c r="A1275" s="841" t="s">
        <v>424</v>
      </c>
      <c r="E1275" s="2006" t="s">
        <v>5145</v>
      </c>
      <c r="F1275" s="2061"/>
      <c r="G1275" s="1065" t="s">
        <v>33</v>
      </c>
      <c r="H1275" s="680">
        <v>5.6599999999999998E-2</v>
      </c>
      <c r="K1275" s="841" t="s">
        <v>3513</v>
      </c>
      <c r="L1275" s="841" t="s">
        <v>443</v>
      </c>
      <c r="M1275" s="1357"/>
      <c r="P1275" s="841" t="s">
        <v>5291</v>
      </c>
      <c r="Q1275" s="1357"/>
      <c r="S1275" s="1420"/>
      <c r="T1275" s="1420">
        <v>43465</v>
      </c>
      <c r="V1275" s="1357">
        <v>148</v>
      </c>
    </row>
    <row r="1276" spans="1:22" s="841" customFormat="1" ht="16.5" thickTop="1" thickBot="1" x14ac:dyDescent="0.3">
      <c r="A1276" s="841" t="s">
        <v>424</v>
      </c>
      <c r="E1276" s="2006" t="s">
        <v>221</v>
      </c>
      <c r="F1276" s="2006"/>
      <c r="G1276" s="1065" t="s">
        <v>33</v>
      </c>
      <c r="H1276" s="606">
        <v>2.3595000000000002</v>
      </c>
      <c r="K1276" s="841" t="s">
        <v>3513</v>
      </c>
      <c r="L1276" s="841" t="s">
        <v>444</v>
      </c>
      <c r="M1276" s="1357"/>
      <c r="P1276" s="841" t="s">
        <v>3520</v>
      </c>
      <c r="Q1276" s="1357"/>
      <c r="S1276" s="1420"/>
      <c r="T1276" s="1420"/>
      <c r="V1276" s="1357">
        <v>47</v>
      </c>
    </row>
    <row r="1277" spans="1:22" s="841" customFormat="1" ht="16.5" thickTop="1" thickBot="1" x14ac:dyDescent="0.3">
      <c r="A1277" s="841" t="s">
        <v>424</v>
      </c>
      <c r="E1277" s="2006" t="s">
        <v>217</v>
      </c>
      <c r="F1277" s="2006"/>
      <c r="G1277" s="1065" t="s">
        <v>33</v>
      </c>
      <c r="H1277" s="606">
        <v>2.0813000000000001</v>
      </c>
      <c r="K1277" s="841" t="s">
        <v>3513</v>
      </c>
      <c r="L1277" s="841" t="s">
        <v>444</v>
      </c>
      <c r="M1277" s="1357"/>
      <c r="P1277" s="841" t="s">
        <v>3521</v>
      </c>
      <c r="Q1277" s="1357"/>
      <c r="S1277" s="1420"/>
      <c r="T1277" s="1420"/>
      <c r="V1277" s="1357">
        <v>74</v>
      </c>
    </row>
    <row r="1278" spans="1:22" s="841" customFormat="1" ht="15.75" thickTop="1" x14ac:dyDescent="0.25">
      <c r="A1278" s="841" t="s">
        <v>424</v>
      </c>
      <c r="E1278" s="2011" t="s">
        <v>3079</v>
      </c>
      <c r="F1278" s="2012"/>
      <c r="G1278" s="1158"/>
      <c r="H1278" s="1158"/>
      <c r="K1278" s="841" t="s">
        <v>3225</v>
      </c>
      <c r="M1278" s="1357"/>
      <c r="Q1278" s="1357"/>
      <c r="S1278" s="1420"/>
      <c r="T1278" s="1420"/>
      <c r="V1278" s="1357">
        <v>48</v>
      </c>
    </row>
    <row r="1279" spans="1:22" s="841" customFormat="1" ht="15" x14ac:dyDescent="0.25">
      <c r="A1279" s="841" t="s">
        <v>424</v>
      </c>
      <c r="E1279" s="1934" t="s">
        <v>2449</v>
      </c>
      <c r="F1279" s="1934"/>
      <c r="G1279" s="895" t="s">
        <v>24</v>
      </c>
      <c r="H1279" s="678">
        <v>3.2000000000000002E-3</v>
      </c>
      <c r="K1279" s="841" t="s">
        <v>3513</v>
      </c>
      <c r="L1279" s="841" t="s">
        <v>3046</v>
      </c>
      <c r="M1279" s="1357"/>
      <c r="P1279" s="841" t="s">
        <v>3522</v>
      </c>
      <c r="Q1279" s="1357"/>
      <c r="S1279" s="1420"/>
      <c r="T1279" s="1420"/>
      <c r="V1279" s="1357">
        <v>55</v>
      </c>
    </row>
    <row r="1280" spans="1:22" s="841" customFormat="1" ht="15" x14ac:dyDescent="0.25">
      <c r="A1280" s="841" t="s">
        <v>424</v>
      </c>
      <c r="E1280" s="1934" t="s">
        <v>2450</v>
      </c>
      <c r="F1280" s="1934"/>
      <c r="G1280" s="895" t="s">
        <v>24</v>
      </c>
      <c r="H1280" s="678">
        <v>4.0000000000000002E-4</v>
      </c>
      <c r="K1280" s="841" t="s">
        <v>3513</v>
      </c>
      <c r="L1280" s="841" t="s">
        <v>3046</v>
      </c>
      <c r="M1280" s="1357"/>
      <c r="P1280" s="841" t="s">
        <v>3522</v>
      </c>
      <c r="Q1280" s="1357"/>
      <c r="S1280" s="1420"/>
      <c r="T1280" s="1420"/>
      <c r="V1280" s="1357">
        <v>65</v>
      </c>
    </row>
    <row r="1281" spans="1:22" s="841" customFormat="1" ht="15" x14ac:dyDescent="0.25">
      <c r="A1281" s="841" t="s">
        <v>424</v>
      </c>
      <c r="E1281" s="1934" t="s">
        <v>439</v>
      </c>
      <c r="F1281" s="1934"/>
      <c r="G1281" s="895" t="s">
        <v>24</v>
      </c>
      <c r="H1281" s="678">
        <v>2.9999999999999997E-4</v>
      </c>
      <c r="K1281" s="841" t="s">
        <v>3513</v>
      </c>
      <c r="L1281" s="841" t="s">
        <v>3046</v>
      </c>
      <c r="M1281" s="1357"/>
      <c r="P1281" s="841" t="s">
        <v>3523</v>
      </c>
      <c r="Q1281" s="1357"/>
      <c r="S1281" s="1420"/>
      <c r="T1281" s="1420"/>
      <c r="V1281" s="1357">
        <v>57</v>
      </c>
    </row>
    <row r="1282" spans="1:22" s="841" customFormat="1" ht="15" x14ac:dyDescent="0.25">
      <c r="A1282" s="841" t="s">
        <v>424</v>
      </c>
      <c r="E1282" s="1934" t="s">
        <v>32</v>
      </c>
      <c r="F1282" s="1934"/>
      <c r="G1282" s="895" t="s">
        <v>23</v>
      </c>
      <c r="H1282" s="674">
        <v>0.25</v>
      </c>
      <c r="K1282" s="841" t="s">
        <v>3513</v>
      </c>
      <c r="L1282" s="841" t="s">
        <v>3046</v>
      </c>
      <c r="M1282" s="1357"/>
      <c r="P1282" s="841" t="s">
        <v>3524</v>
      </c>
      <c r="Q1282" s="1357"/>
      <c r="S1282" s="1420"/>
      <c r="T1282" s="1420"/>
      <c r="V1282" s="1357">
        <v>63</v>
      </c>
    </row>
    <row r="1283" spans="1:22" s="841" customFormat="1" x14ac:dyDescent="0.25">
      <c r="A1283" s="841" t="s">
        <v>424</v>
      </c>
      <c r="E1283" s="1967" t="s">
        <v>617</v>
      </c>
      <c r="F1283" s="1967"/>
      <c r="G1283" s="2015"/>
      <c r="H1283" s="2016"/>
      <c r="K1283" s="841" t="s">
        <v>3457</v>
      </c>
      <c r="M1283" s="1357"/>
      <c r="Q1283" s="1357"/>
      <c r="S1283" s="1420"/>
      <c r="T1283" s="1420"/>
      <c r="V1283" s="1357">
        <v>47</v>
      </c>
    </row>
    <row r="1284" spans="1:22" s="841" customFormat="1" ht="15" x14ac:dyDescent="0.25">
      <c r="A1284" s="841" t="s">
        <v>424</v>
      </c>
      <c r="E1284" s="1939" t="s">
        <v>3525</v>
      </c>
      <c r="F1284" s="1939"/>
      <c r="G1284" s="2004"/>
      <c r="H1284" s="2005"/>
      <c r="K1284" s="841" t="s">
        <v>3457</v>
      </c>
      <c r="M1284" s="1357"/>
      <c r="Q1284" s="1357"/>
      <c r="S1284" s="1420"/>
      <c r="T1284" s="1420"/>
      <c r="V1284" s="1357">
        <v>479</v>
      </c>
    </row>
    <row r="1285" spans="1:22" s="841" customFormat="1" ht="15" x14ac:dyDescent="0.25">
      <c r="A1285" s="841" t="s">
        <v>424</v>
      </c>
      <c r="E1285" s="2013" t="s">
        <v>3061</v>
      </c>
      <c r="F1285" s="2010"/>
      <c r="G1285" s="2010"/>
      <c r="H1285" s="2010"/>
      <c r="K1285" s="841" t="s">
        <v>3107</v>
      </c>
      <c r="M1285" s="1357"/>
      <c r="Q1285" s="1357"/>
      <c r="S1285" s="1420"/>
      <c r="T1285" s="1420"/>
      <c r="V1285" s="1357">
        <v>11</v>
      </c>
    </row>
    <row r="1286" spans="1:22" s="841" customFormat="1" ht="15" x14ac:dyDescent="0.25">
      <c r="A1286" s="841" t="s">
        <v>424</v>
      </c>
      <c r="E1286" s="1689" t="s">
        <v>3063</v>
      </c>
      <c r="F1286" s="1689"/>
      <c r="G1286" s="1921"/>
      <c r="H1286" s="1921"/>
      <c r="K1286" s="841" t="s">
        <v>3457</v>
      </c>
      <c r="M1286" s="1357"/>
      <c r="Q1286" s="1357"/>
      <c r="S1286" s="1420"/>
      <c r="T1286" s="1420"/>
      <c r="V1286" s="1357">
        <v>280</v>
      </c>
    </row>
    <row r="1287" spans="1:22" s="841" customFormat="1" ht="15" x14ac:dyDescent="0.25">
      <c r="A1287" s="841" t="s">
        <v>424</v>
      </c>
      <c r="E1287" s="1689" t="s">
        <v>3064</v>
      </c>
      <c r="F1287" s="1689"/>
      <c r="G1287" s="1921"/>
      <c r="H1287" s="1921"/>
      <c r="K1287" s="841" t="s">
        <v>3457</v>
      </c>
      <c r="M1287" s="1357"/>
      <c r="Q1287" s="1357"/>
      <c r="S1287" s="1420"/>
      <c r="T1287" s="1420"/>
      <c r="V1287" s="1357">
        <v>411</v>
      </c>
    </row>
    <row r="1288" spans="1:22" s="841" customFormat="1" ht="15" x14ac:dyDescent="0.25">
      <c r="A1288" s="841" t="s">
        <v>424</v>
      </c>
      <c r="E1288" s="1689" t="s">
        <v>3065</v>
      </c>
      <c r="F1288" s="1689"/>
      <c r="G1288" s="1921"/>
      <c r="H1288" s="1921"/>
      <c r="K1288" s="841" t="s">
        <v>3457</v>
      </c>
      <c r="M1288" s="1357"/>
      <c r="Q1288" s="1357"/>
      <c r="S1288" s="1420"/>
      <c r="T1288" s="1420"/>
      <c r="V1288" s="1357">
        <v>387</v>
      </c>
    </row>
    <row r="1289" spans="1:22" s="841" customFormat="1" ht="15" x14ac:dyDescent="0.25">
      <c r="A1289" s="841" t="s">
        <v>424</v>
      </c>
      <c r="E1289" s="1689" t="s">
        <v>3174</v>
      </c>
      <c r="F1289" s="1689"/>
      <c r="G1289" s="1921"/>
      <c r="H1289" s="1921"/>
      <c r="K1289" s="841" t="s">
        <v>3457</v>
      </c>
      <c r="M1289" s="1357"/>
      <c r="Q1289" s="1357"/>
      <c r="S1289" s="1420"/>
      <c r="T1289" s="1420"/>
      <c r="V1289" s="1357">
        <v>277</v>
      </c>
    </row>
    <row r="1290" spans="1:22" s="841" customFormat="1" ht="15" x14ac:dyDescent="0.25">
      <c r="A1290" s="841" t="s">
        <v>424</v>
      </c>
      <c r="E1290" s="2014" t="s">
        <v>3067</v>
      </c>
      <c r="F1290" s="2010"/>
      <c r="G1290" s="2010"/>
      <c r="H1290" s="2010"/>
      <c r="K1290" s="841" t="s">
        <v>3108</v>
      </c>
      <c r="M1290" s="1357"/>
      <c r="Q1290" s="1357"/>
      <c r="S1290" s="1420"/>
      <c r="T1290" s="1420"/>
      <c r="V1290" s="1357">
        <v>46</v>
      </c>
    </row>
    <row r="1291" spans="1:22" s="841" customFormat="1" ht="15" x14ac:dyDescent="0.25">
      <c r="A1291" s="841" t="s">
        <v>424</v>
      </c>
      <c r="E1291" s="1934" t="s">
        <v>13</v>
      </c>
      <c r="F1291" s="1934"/>
      <c r="G1291" s="895" t="s">
        <v>23</v>
      </c>
      <c r="H1291" s="600">
        <v>47.68</v>
      </c>
      <c r="K1291" s="841" t="s">
        <v>3457</v>
      </c>
      <c r="L1291" s="841" t="s">
        <v>442</v>
      </c>
      <c r="M1291" s="1357"/>
      <c r="P1291" s="841" t="s">
        <v>3458</v>
      </c>
      <c r="Q1291" s="1357"/>
      <c r="S1291" s="1420"/>
      <c r="T1291" s="1420"/>
      <c r="V1291" s="1357">
        <v>29</v>
      </c>
    </row>
    <row r="1292" spans="1:22" s="841" customFormat="1" ht="15" x14ac:dyDescent="0.25">
      <c r="A1292" s="841" t="s">
        <v>424</v>
      </c>
      <c r="E1292" s="1934" t="s">
        <v>84</v>
      </c>
      <c r="F1292" s="1934"/>
      <c r="G1292" s="895" t="s">
        <v>24</v>
      </c>
      <c r="H1292" s="606">
        <v>2.5899999999999999E-2</v>
      </c>
      <c r="K1292" s="841" t="s">
        <v>3457</v>
      </c>
      <c r="L1292" s="841" t="s">
        <v>442</v>
      </c>
      <c r="M1292" s="1357"/>
      <c r="P1292" s="841" t="s">
        <v>3459</v>
      </c>
      <c r="Q1292" s="1357"/>
      <c r="S1292" s="1420"/>
      <c r="T1292" s="1420"/>
      <c r="V1292" s="1357">
        <v>28</v>
      </c>
    </row>
    <row r="1293" spans="1:22" s="841" customFormat="1" ht="15.75" thickBot="1" x14ac:dyDescent="0.3">
      <c r="A1293" s="841" t="s">
        <v>424</v>
      </c>
      <c r="E1293" s="1934" t="s">
        <v>18</v>
      </c>
      <c r="F1293" s="1934"/>
      <c r="G1293" s="895" t="s">
        <v>24</v>
      </c>
      <c r="H1293" s="678">
        <v>2.0000000000000001E-4</v>
      </c>
      <c r="K1293" s="841" t="s">
        <v>3457</v>
      </c>
      <c r="L1293" s="841" t="s">
        <v>443</v>
      </c>
      <c r="M1293" s="1357"/>
      <c r="P1293" s="841" t="s">
        <v>3460</v>
      </c>
      <c r="Q1293" s="1357"/>
      <c r="S1293" s="1420"/>
      <c r="T1293" s="1420"/>
      <c r="V1293" s="1357">
        <v>24</v>
      </c>
    </row>
    <row r="1294" spans="1:22" s="841" customFormat="1" ht="16.5" thickTop="1" thickBot="1" x14ac:dyDescent="0.3">
      <c r="A1294" s="841" t="s">
        <v>424</v>
      </c>
      <c r="E1294" s="2006" t="s">
        <v>5284</v>
      </c>
      <c r="F1294" s="2006"/>
      <c r="G1294" s="895" t="s">
        <v>24</v>
      </c>
      <c r="H1294" s="678">
        <v>4.0000000000000001E-3</v>
      </c>
      <c r="K1294" s="841" t="s">
        <v>3457</v>
      </c>
      <c r="L1294" s="841" t="s">
        <v>443</v>
      </c>
      <c r="M1294" s="1357"/>
      <c r="P1294" s="841" t="s">
        <v>3526</v>
      </c>
      <c r="Q1294" s="1357"/>
      <c r="S1294" s="1420"/>
      <c r="T1294" s="1420">
        <v>43465</v>
      </c>
      <c r="V1294" s="1357">
        <v>144</v>
      </c>
    </row>
    <row r="1295" spans="1:22" s="841" customFormat="1" ht="15.75" thickTop="1" x14ac:dyDescent="0.25">
      <c r="A1295" s="841" t="s">
        <v>424</v>
      </c>
      <c r="E1295" s="1934" t="s">
        <v>3506</v>
      </c>
      <c r="F1295" s="1934"/>
      <c r="G1295" s="895" t="s">
        <v>24</v>
      </c>
      <c r="H1295" s="678">
        <v>-2.2000000000000001E-3</v>
      </c>
      <c r="K1295" s="841" t="s">
        <v>3457</v>
      </c>
      <c r="L1295" s="841" t="s">
        <v>443</v>
      </c>
      <c r="M1295" s="1357"/>
      <c r="P1295" s="841" t="s">
        <v>3527</v>
      </c>
      <c r="Q1295" s="1357"/>
      <c r="S1295" s="1420"/>
      <c r="T1295" s="1420">
        <v>43465</v>
      </c>
      <c r="V1295" s="1357">
        <v>99</v>
      </c>
    </row>
    <row r="1296" spans="1:22" s="841" customFormat="1" ht="15.75" thickBot="1" x14ac:dyDescent="0.3">
      <c r="A1296" s="841" t="s">
        <v>424</v>
      </c>
      <c r="E1296" s="2052" t="s">
        <v>5143</v>
      </c>
      <c r="F1296" s="2053"/>
      <c r="G1296" s="895" t="s">
        <v>24</v>
      </c>
      <c r="H1296" s="678">
        <v>-1.18E-2</v>
      </c>
      <c r="K1296" s="841" t="s">
        <v>3457</v>
      </c>
      <c r="L1296" s="841" t="s">
        <v>443</v>
      </c>
      <c r="M1296" s="1357"/>
      <c r="P1296" s="841" t="s">
        <v>3526</v>
      </c>
      <c r="Q1296" s="1357"/>
      <c r="S1296" s="1420"/>
      <c r="T1296" s="1420">
        <v>43465</v>
      </c>
      <c r="V1296" s="1357">
        <v>142</v>
      </c>
    </row>
    <row r="1297" spans="1:22" s="841" customFormat="1" ht="16.5" thickTop="1" thickBot="1" x14ac:dyDescent="0.3">
      <c r="A1297" s="841" t="s">
        <v>424</v>
      </c>
      <c r="E1297" s="1934" t="s">
        <v>5144</v>
      </c>
      <c r="F1297" s="1934"/>
      <c r="G1297" s="895" t="s">
        <v>24</v>
      </c>
      <c r="H1297" s="606">
        <v>3.8E-3</v>
      </c>
      <c r="K1297" s="841" t="s">
        <v>3457</v>
      </c>
      <c r="L1297" s="841" t="s">
        <v>443</v>
      </c>
      <c r="M1297" s="1357"/>
      <c r="P1297" s="841" t="s">
        <v>3527</v>
      </c>
      <c r="Q1297" s="1357"/>
      <c r="S1297" s="1420"/>
      <c r="T1297" s="1420">
        <v>43465</v>
      </c>
      <c r="V1297" s="1357">
        <v>99</v>
      </c>
    </row>
    <row r="1298" spans="1:22" s="841" customFormat="1" ht="16.5" thickTop="1" thickBot="1" x14ac:dyDescent="0.3">
      <c r="A1298" s="841" t="s">
        <v>424</v>
      </c>
      <c r="E1298" s="2006" t="s">
        <v>5145</v>
      </c>
      <c r="F1298" s="2007"/>
      <c r="G1298" s="895" t="s">
        <v>24</v>
      </c>
      <c r="H1298" s="678">
        <v>2.0000000000000001E-4</v>
      </c>
      <c r="K1298" s="841" t="s">
        <v>3457</v>
      </c>
      <c r="L1298" s="841" t="s">
        <v>443</v>
      </c>
      <c r="M1298" s="1357"/>
      <c r="P1298" s="841" t="s">
        <v>5292</v>
      </c>
      <c r="Q1298" s="1357"/>
      <c r="S1298" s="1420"/>
      <c r="T1298" s="1420">
        <v>43465</v>
      </c>
      <c r="V1298" s="1357">
        <v>148</v>
      </c>
    </row>
    <row r="1299" spans="1:22" s="841" customFormat="1" ht="15.75" thickTop="1" x14ac:dyDescent="0.25">
      <c r="A1299" s="841" t="s">
        <v>424</v>
      </c>
      <c r="E1299" s="2008" t="s">
        <v>221</v>
      </c>
      <c r="F1299" s="2012"/>
      <c r="G1299" s="895" t="s">
        <v>24</v>
      </c>
      <c r="H1299" s="606">
        <v>5.7999999999999996E-3</v>
      </c>
      <c r="K1299" s="841" t="s">
        <v>3457</v>
      </c>
      <c r="L1299" s="841" t="s">
        <v>444</v>
      </c>
      <c r="M1299" s="1357"/>
      <c r="P1299" s="841" t="s">
        <v>3462</v>
      </c>
      <c r="Q1299" s="1357"/>
      <c r="S1299" s="1420"/>
      <c r="T1299" s="1420"/>
      <c r="V1299" s="1357">
        <v>47</v>
      </c>
    </row>
    <row r="1300" spans="1:22" s="841" customFormat="1" ht="15" x14ac:dyDescent="0.25">
      <c r="A1300" s="841" t="s">
        <v>424</v>
      </c>
      <c r="E1300" s="1934" t="s">
        <v>217</v>
      </c>
      <c r="F1300" s="1904"/>
      <c r="G1300" s="895" t="s">
        <v>24</v>
      </c>
      <c r="H1300" s="606">
        <v>5.1000000000000004E-3</v>
      </c>
      <c r="K1300" s="841" t="s">
        <v>3457</v>
      </c>
      <c r="L1300" s="841" t="s">
        <v>444</v>
      </c>
      <c r="M1300" s="1357"/>
      <c r="P1300" s="841" t="s">
        <v>3463</v>
      </c>
      <c r="Q1300" s="1357"/>
      <c r="S1300" s="1420"/>
      <c r="T1300" s="1420"/>
      <c r="V1300" s="1357">
        <v>74</v>
      </c>
    </row>
    <row r="1301" spans="1:22" s="841" customFormat="1" ht="15" x14ac:dyDescent="0.25">
      <c r="A1301" s="841" t="s">
        <v>424</v>
      </c>
      <c r="E1301" s="2003" t="s">
        <v>3079</v>
      </c>
      <c r="F1301" s="1904"/>
      <c r="G1301" s="1064"/>
      <c r="H1301" s="1157"/>
      <c r="K1301" s="841" t="s">
        <v>3111</v>
      </c>
      <c r="M1301" s="1357"/>
      <c r="Q1301" s="1357"/>
      <c r="S1301" s="1420"/>
      <c r="T1301" s="1420"/>
      <c r="V1301" s="1357">
        <v>48</v>
      </c>
    </row>
    <row r="1302" spans="1:22" s="841" customFormat="1" ht="15" x14ac:dyDescent="0.25">
      <c r="A1302" s="841" t="s">
        <v>424</v>
      </c>
      <c r="E1302" s="1934" t="s">
        <v>2449</v>
      </c>
      <c r="F1302" s="1934"/>
      <c r="G1302" s="895" t="s">
        <v>24</v>
      </c>
      <c r="H1302" s="678">
        <v>3.2000000000000002E-3</v>
      </c>
      <c r="K1302" s="841" t="s">
        <v>3457</v>
      </c>
      <c r="L1302" s="841" t="s">
        <v>3046</v>
      </c>
      <c r="M1302" s="1357"/>
      <c r="P1302" s="841" t="s">
        <v>3464</v>
      </c>
      <c r="Q1302" s="1357"/>
      <c r="S1302" s="1420"/>
      <c r="T1302" s="1420"/>
      <c r="V1302" s="1357">
        <v>55</v>
      </c>
    </row>
    <row r="1303" spans="1:22" s="841" customFormat="1" ht="15" x14ac:dyDescent="0.25">
      <c r="A1303" s="841" t="s">
        <v>424</v>
      </c>
      <c r="E1303" s="1934" t="s">
        <v>2450</v>
      </c>
      <c r="F1303" s="1934"/>
      <c r="G1303" s="895" t="s">
        <v>24</v>
      </c>
      <c r="H1303" s="678">
        <v>4.0000000000000002E-4</v>
      </c>
      <c r="K1303" s="841" t="s">
        <v>3457</v>
      </c>
      <c r="L1303" s="841" t="s">
        <v>3046</v>
      </c>
      <c r="M1303" s="1357"/>
      <c r="P1303" s="841" t="s">
        <v>3464</v>
      </c>
      <c r="Q1303" s="1357"/>
      <c r="S1303" s="1420"/>
      <c r="T1303" s="1420"/>
      <c r="V1303" s="1357">
        <v>65</v>
      </c>
    </row>
    <row r="1304" spans="1:22" s="841" customFormat="1" ht="15" x14ac:dyDescent="0.25">
      <c r="A1304" s="841" t="s">
        <v>424</v>
      </c>
      <c r="E1304" s="1934" t="s">
        <v>439</v>
      </c>
      <c r="F1304" s="1934"/>
      <c r="G1304" s="895" t="s">
        <v>24</v>
      </c>
      <c r="H1304" s="678">
        <v>2.9999999999999997E-4</v>
      </c>
      <c r="K1304" s="841" t="s">
        <v>3457</v>
      </c>
      <c r="L1304" s="841" t="s">
        <v>3046</v>
      </c>
      <c r="M1304" s="1357"/>
      <c r="P1304" s="841" t="s">
        <v>3465</v>
      </c>
      <c r="Q1304" s="1357"/>
      <c r="S1304" s="1420"/>
      <c r="T1304" s="1420"/>
      <c r="V1304" s="1357">
        <v>57</v>
      </c>
    </row>
    <row r="1305" spans="1:22" s="841" customFormat="1" ht="15" x14ac:dyDescent="0.25">
      <c r="A1305" s="841" t="s">
        <v>424</v>
      </c>
      <c r="E1305" s="1934" t="s">
        <v>32</v>
      </c>
      <c r="F1305" s="1934"/>
      <c r="G1305" s="895" t="s">
        <v>23</v>
      </c>
      <c r="H1305" s="674">
        <v>0.25</v>
      </c>
      <c r="K1305" s="841" t="s">
        <v>3457</v>
      </c>
      <c r="L1305" s="841" t="s">
        <v>3046</v>
      </c>
      <c r="M1305" s="1357"/>
      <c r="P1305" s="841" t="s">
        <v>3466</v>
      </c>
      <c r="Q1305" s="1357"/>
      <c r="S1305" s="1420"/>
      <c r="T1305" s="1420"/>
      <c r="V1305" s="1357">
        <v>63</v>
      </c>
    </row>
    <row r="1306" spans="1:22" s="841" customFormat="1" x14ac:dyDescent="0.25">
      <c r="A1306" s="841" t="s">
        <v>424</v>
      </c>
      <c r="E1306" s="1967" t="s">
        <v>631</v>
      </c>
      <c r="F1306" s="1967"/>
      <c r="G1306" s="2015"/>
      <c r="H1306" s="2016"/>
      <c r="K1306" s="841" t="s">
        <v>3528</v>
      </c>
      <c r="M1306" s="1357"/>
      <c r="Q1306" s="1357"/>
      <c r="S1306" s="1420"/>
      <c r="T1306" s="1420"/>
      <c r="V1306" s="1357">
        <v>36</v>
      </c>
    </row>
    <row r="1307" spans="1:22" s="841" customFormat="1" ht="15" x14ac:dyDescent="0.25">
      <c r="A1307" s="841" t="s">
        <v>424</v>
      </c>
      <c r="E1307" s="1939" t="s">
        <v>3529</v>
      </c>
      <c r="F1307" s="1939"/>
      <c r="G1307" s="2004"/>
      <c r="H1307" s="2005"/>
      <c r="K1307" s="841" t="s">
        <v>3528</v>
      </c>
      <c r="M1307" s="1357"/>
      <c r="Q1307" s="1357"/>
      <c r="S1307" s="1420"/>
      <c r="T1307" s="1420"/>
      <c r="V1307" s="1357">
        <v>504</v>
      </c>
    </row>
    <row r="1308" spans="1:22" s="841" customFormat="1" ht="15" x14ac:dyDescent="0.25">
      <c r="A1308" s="841" t="s">
        <v>424</v>
      </c>
      <c r="E1308" s="2013" t="s">
        <v>3061</v>
      </c>
      <c r="F1308" s="2010"/>
      <c r="G1308" s="2010"/>
      <c r="H1308" s="2010"/>
      <c r="K1308" s="841" t="s">
        <v>3114</v>
      </c>
      <c r="M1308" s="1357"/>
      <c r="Q1308" s="1357"/>
      <c r="S1308" s="1420"/>
      <c r="T1308" s="1420"/>
      <c r="V1308" s="1357">
        <v>11</v>
      </c>
    </row>
    <row r="1309" spans="1:22" s="841" customFormat="1" ht="15" x14ac:dyDescent="0.25">
      <c r="A1309" s="841" t="s">
        <v>424</v>
      </c>
      <c r="E1309" s="1689" t="s">
        <v>3063</v>
      </c>
      <c r="F1309" s="1689"/>
      <c r="G1309" s="1921"/>
      <c r="H1309" s="1921"/>
      <c r="K1309" s="841" t="s">
        <v>3528</v>
      </c>
      <c r="M1309" s="1357"/>
      <c r="Q1309" s="1357"/>
      <c r="S1309" s="1420"/>
      <c r="T1309" s="1420"/>
      <c r="V1309" s="1357">
        <v>280</v>
      </c>
    </row>
    <row r="1310" spans="1:22" s="841" customFormat="1" ht="15" x14ac:dyDescent="0.25">
      <c r="A1310" s="841" t="s">
        <v>424</v>
      </c>
      <c r="E1310" s="1689" t="s">
        <v>3173</v>
      </c>
      <c r="F1310" s="1689"/>
      <c r="G1310" s="1921"/>
      <c r="H1310" s="1921"/>
      <c r="K1310" s="841" t="s">
        <v>3528</v>
      </c>
      <c r="M1310" s="1357"/>
      <c r="Q1310" s="1357"/>
      <c r="S1310" s="1420"/>
      <c r="T1310" s="1420"/>
      <c r="V1310" s="1357">
        <v>413</v>
      </c>
    </row>
    <row r="1311" spans="1:22" s="841" customFormat="1" ht="15" x14ac:dyDescent="0.25">
      <c r="A1311" s="841" t="s">
        <v>424</v>
      </c>
      <c r="E1311" s="1689" t="s">
        <v>3530</v>
      </c>
      <c r="F1311" s="1689"/>
      <c r="G1311" s="1921"/>
      <c r="H1311" s="1921"/>
      <c r="K1311" s="841" t="s">
        <v>3528</v>
      </c>
      <c r="M1311" s="1357"/>
      <c r="Q1311" s="1357"/>
      <c r="S1311" s="1420"/>
      <c r="T1311" s="1420"/>
      <c r="V1311" s="1357">
        <v>213</v>
      </c>
    </row>
    <row r="1312" spans="1:22" s="841" customFormat="1" ht="15" x14ac:dyDescent="0.25">
      <c r="A1312" s="841" t="s">
        <v>424</v>
      </c>
      <c r="E1312" s="1689" t="s">
        <v>3066</v>
      </c>
      <c r="F1312" s="1689"/>
      <c r="G1312" s="1921"/>
      <c r="H1312" s="1921"/>
      <c r="K1312" s="841" t="s">
        <v>3528</v>
      </c>
      <c r="M1312" s="1357"/>
      <c r="Q1312" s="1357"/>
      <c r="S1312" s="1420"/>
      <c r="T1312" s="1420"/>
      <c r="V1312" s="1357">
        <v>275</v>
      </c>
    </row>
    <row r="1313" spans="1:22" s="841" customFormat="1" ht="15" x14ac:dyDescent="0.25">
      <c r="A1313" s="841" t="s">
        <v>424</v>
      </c>
      <c r="E1313" s="2014" t="s">
        <v>3531</v>
      </c>
      <c r="F1313" s="2010"/>
      <c r="G1313" s="2010"/>
      <c r="H1313" s="2010"/>
      <c r="K1313" s="841" t="s">
        <v>3115</v>
      </c>
      <c r="M1313" s="1357"/>
      <c r="Q1313" s="1357"/>
      <c r="S1313" s="1420"/>
      <c r="T1313" s="1420"/>
      <c r="V1313" s="1357">
        <v>56</v>
      </c>
    </row>
    <row r="1314" spans="1:22" s="841" customFormat="1" ht="15" x14ac:dyDescent="0.25">
      <c r="A1314" s="841" t="s">
        <v>424</v>
      </c>
      <c r="E1314" s="1934" t="s">
        <v>5293</v>
      </c>
      <c r="F1314" s="1934"/>
      <c r="G1314" s="895" t="s">
        <v>33</v>
      </c>
      <c r="H1314" s="1159">
        <v>1.1763999999999999</v>
      </c>
      <c r="K1314" s="841" t="s">
        <v>3528</v>
      </c>
      <c r="L1314" s="841" t="s">
        <v>442</v>
      </c>
      <c r="M1314" s="1357"/>
      <c r="P1314" s="841" t="s">
        <v>6113</v>
      </c>
      <c r="Q1314" s="1357"/>
      <c r="S1314" s="1420"/>
      <c r="T1314" s="1420"/>
      <c r="V1314" s="1357">
        <v>161</v>
      </c>
    </row>
    <row r="1315" spans="1:22" s="841" customFormat="1" x14ac:dyDescent="0.25">
      <c r="A1315" s="841" t="s">
        <v>424</v>
      </c>
      <c r="E1315" s="1967" t="s">
        <v>629</v>
      </c>
      <c r="F1315" s="1967"/>
      <c r="G1315" s="2015"/>
      <c r="H1315" s="2016"/>
      <c r="K1315" s="841" t="s">
        <v>3250</v>
      </c>
      <c r="M1315" s="1357"/>
      <c r="Q1315" s="1357"/>
      <c r="S1315" s="1420"/>
      <c r="T1315" s="1420"/>
      <c r="V1315" s="1357">
        <v>40</v>
      </c>
    </row>
    <row r="1316" spans="1:22" s="841" customFormat="1" ht="15" x14ac:dyDescent="0.25">
      <c r="A1316" s="841" t="s">
        <v>424</v>
      </c>
      <c r="E1316" s="1939" t="s">
        <v>3532</v>
      </c>
      <c r="F1316" s="1939"/>
      <c r="G1316" s="2004"/>
      <c r="H1316" s="2005"/>
      <c r="K1316" s="841" t="s">
        <v>3250</v>
      </c>
      <c r="M1316" s="1357"/>
      <c r="Q1316" s="1357"/>
      <c r="S1316" s="1420"/>
      <c r="T1316" s="1420"/>
      <c r="V1316" s="1357">
        <v>175</v>
      </c>
    </row>
    <row r="1317" spans="1:22" s="841" customFormat="1" ht="15" x14ac:dyDescent="0.25">
      <c r="A1317" s="841" t="s">
        <v>424</v>
      </c>
      <c r="E1317" s="2013" t="s">
        <v>3061</v>
      </c>
      <c r="F1317" s="2010"/>
      <c r="G1317" s="2010"/>
      <c r="H1317" s="2010"/>
      <c r="K1317" s="841" t="s">
        <v>3128</v>
      </c>
      <c r="M1317" s="1357"/>
      <c r="Q1317" s="1357"/>
      <c r="S1317" s="1420"/>
      <c r="T1317" s="1420"/>
      <c r="V1317" s="1357">
        <v>11</v>
      </c>
    </row>
    <row r="1318" spans="1:22" s="841" customFormat="1" ht="15" x14ac:dyDescent="0.25">
      <c r="A1318" s="841" t="s">
        <v>424</v>
      </c>
      <c r="E1318" s="1689" t="s">
        <v>3063</v>
      </c>
      <c r="F1318" s="1689"/>
      <c r="G1318" s="1921"/>
      <c r="H1318" s="1921"/>
      <c r="K1318" s="841" t="s">
        <v>3250</v>
      </c>
      <c r="M1318" s="1357"/>
      <c r="Q1318" s="1357"/>
      <c r="S1318" s="1420"/>
      <c r="T1318" s="1420"/>
      <c r="V1318" s="1357">
        <v>280</v>
      </c>
    </row>
    <row r="1319" spans="1:22" s="841" customFormat="1" ht="15" x14ac:dyDescent="0.25">
      <c r="A1319" s="841" t="s">
        <v>424</v>
      </c>
      <c r="E1319" s="1689" t="s">
        <v>3064</v>
      </c>
      <c r="F1319" s="1689"/>
      <c r="G1319" s="1921"/>
      <c r="H1319" s="1921"/>
      <c r="K1319" s="841" t="s">
        <v>3250</v>
      </c>
      <c r="M1319" s="1357"/>
      <c r="Q1319" s="1357"/>
      <c r="S1319" s="1420"/>
      <c r="T1319" s="1420"/>
      <c r="V1319" s="1357">
        <v>411</v>
      </c>
    </row>
    <row r="1320" spans="1:22" s="841" customFormat="1" ht="15" x14ac:dyDescent="0.25">
      <c r="A1320" s="841" t="s">
        <v>424</v>
      </c>
      <c r="E1320" s="1689" t="s">
        <v>3065</v>
      </c>
      <c r="F1320" s="1689"/>
      <c r="G1320" s="1921"/>
      <c r="H1320" s="1921"/>
      <c r="K1320" s="841" t="s">
        <v>3250</v>
      </c>
      <c r="M1320" s="1357"/>
      <c r="Q1320" s="1357"/>
      <c r="S1320" s="1420"/>
      <c r="T1320" s="1420"/>
      <c r="V1320" s="1357">
        <v>387</v>
      </c>
    </row>
    <row r="1321" spans="1:22" s="841" customFormat="1" ht="15" x14ac:dyDescent="0.25">
      <c r="A1321" s="841" t="s">
        <v>424</v>
      </c>
      <c r="E1321" s="1689" t="s">
        <v>3066</v>
      </c>
      <c r="F1321" s="1689"/>
      <c r="G1321" s="1921"/>
      <c r="H1321" s="1921"/>
      <c r="K1321" s="841" t="s">
        <v>3250</v>
      </c>
      <c r="M1321" s="1357"/>
      <c r="Q1321" s="1357"/>
      <c r="S1321" s="1420"/>
      <c r="T1321" s="1420"/>
      <c r="V1321" s="1357">
        <v>275</v>
      </c>
    </row>
    <row r="1322" spans="1:22" s="841" customFormat="1" ht="15" x14ac:dyDescent="0.25">
      <c r="A1322" s="841" t="s">
        <v>424</v>
      </c>
      <c r="E1322" s="2014" t="s">
        <v>3067</v>
      </c>
      <c r="F1322" s="2010"/>
      <c r="G1322" s="2010"/>
      <c r="H1322" s="2010"/>
      <c r="K1322" s="841" t="s">
        <v>3130</v>
      </c>
      <c r="M1322" s="1357"/>
      <c r="Q1322" s="1357"/>
      <c r="S1322" s="1420"/>
      <c r="T1322" s="1420"/>
      <c r="V1322" s="1357">
        <v>46</v>
      </c>
    </row>
    <row r="1323" spans="1:22" s="841" customFormat="1" ht="15" x14ac:dyDescent="0.25">
      <c r="A1323" s="841" t="s">
        <v>424</v>
      </c>
      <c r="E1323" s="1934" t="s">
        <v>12</v>
      </c>
      <c r="F1323" s="1934"/>
      <c r="G1323" s="895" t="s">
        <v>23</v>
      </c>
      <c r="H1323" s="600">
        <v>5.45</v>
      </c>
      <c r="K1323" s="841" t="s">
        <v>3250</v>
      </c>
      <c r="L1323" s="841" t="s">
        <v>442</v>
      </c>
      <c r="M1323" s="1357"/>
      <c r="P1323" s="841" t="s">
        <v>3252</v>
      </c>
      <c r="Q1323" s="1357"/>
      <c r="S1323" s="1420"/>
      <c r="T1323" s="1420"/>
      <c r="V1323" s="1357">
        <v>31</v>
      </c>
    </row>
    <row r="1324" spans="1:22" s="841" customFormat="1" ht="15" x14ac:dyDescent="0.25">
      <c r="A1324" s="841" t="s">
        <v>424</v>
      </c>
      <c r="E1324" s="1934" t="s">
        <v>84</v>
      </c>
      <c r="F1324" s="1934"/>
      <c r="G1324" s="1004" t="s">
        <v>33</v>
      </c>
      <c r="H1324" s="606">
        <v>6.3164999999999996</v>
      </c>
      <c r="K1324" s="841" t="s">
        <v>3250</v>
      </c>
      <c r="L1324" s="841" t="s">
        <v>442</v>
      </c>
      <c r="M1324" s="1357"/>
      <c r="P1324" s="841" t="s">
        <v>3253</v>
      </c>
      <c r="Q1324" s="1357"/>
      <c r="S1324" s="1420"/>
      <c r="T1324" s="1420"/>
      <c r="V1324" s="1357">
        <v>28</v>
      </c>
    </row>
    <row r="1325" spans="1:22" s="841" customFormat="1" ht="15" x14ac:dyDescent="0.25">
      <c r="A1325" s="841" t="s">
        <v>424</v>
      </c>
      <c r="E1325" s="1934" t="s">
        <v>18</v>
      </c>
      <c r="F1325" s="1934"/>
      <c r="G1325" s="1004" t="s">
        <v>33</v>
      </c>
      <c r="H1325" s="678">
        <v>8.2500000000000004E-2</v>
      </c>
      <c r="K1325" s="841" t="s">
        <v>3250</v>
      </c>
      <c r="L1325" s="841" t="s">
        <v>443</v>
      </c>
      <c r="M1325" s="1357"/>
      <c r="P1325" s="841" t="s">
        <v>3254</v>
      </c>
      <c r="Q1325" s="1357"/>
      <c r="S1325" s="1420"/>
      <c r="T1325" s="1420"/>
      <c r="V1325" s="1357">
        <v>24</v>
      </c>
    </row>
    <row r="1326" spans="1:22" s="841" customFormat="1" ht="15" x14ac:dyDescent="0.25">
      <c r="A1326" s="841" t="s">
        <v>424</v>
      </c>
      <c r="E1326" s="1934" t="s">
        <v>3506</v>
      </c>
      <c r="F1326" s="1934"/>
      <c r="G1326" s="1004" t="s">
        <v>33</v>
      </c>
      <c r="H1326" s="678">
        <v>-0.70520000000000005</v>
      </c>
      <c r="K1326" s="841" t="s">
        <v>3250</v>
      </c>
      <c r="L1326" s="841" t="s">
        <v>443</v>
      </c>
      <c r="M1326" s="1357"/>
      <c r="P1326" s="841" t="s">
        <v>3257</v>
      </c>
      <c r="Q1326" s="1357"/>
      <c r="S1326" s="1420"/>
      <c r="T1326" s="1420">
        <v>43465</v>
      </c>
      <c r="V1326" s="1357">
        <v>99</v>
      </c>
    </row>
    <row r="1327" spans="1:22" s="841" customFormat="1" ht="15.75" thickBot="1" x14ac:dyDescent="0.3">
      <c r="A1327" s="841" t="s">
        <v>424</v>
      </c>
      <c r="E1327" s="2052" t="s">
        <v>5143</v>
      </c>
      <c r="F1327" s="2053"/>
      <c r="G1327" s="1004" t="s">
        <v>24</v>
      </c>
      <c r="H1327" s="678">
        <v>-1.18E-2</v>
      </c>
      <c r="K1327" s="841" t="s">
        <v>3250</v>
      </c>
      <c r="L1327" s="841" t="s">
        <v>443</v>
      </c>
      <c r="M1327" s="1357"/>
      <c r="P1327" s="841" t="s">
        <v>3255</v>
      </c>
      <c r="Q1327" s="1357"/>
      <c r="S1327" s="1420"/>
      <c r="T1327" s="1420">
        <v>43465</v>
      </c>
      <c r="V1327" s="1357">
        <v>142</v>
      </c>
    </row>
    <row r="1328" spans="1:22" s="841" customFormat="1" ht="16.5" thickTop="1" thickBot="1" x14ac:dyDescent="0.3">
      <c r="A1328" s="841" t="s">
        <v>424</v>
      </c>
      <c r="E1328" s="1934" t="s">
        <v>5144</v>
      </c>
      <c r="F1328" s="1934"/>
      <c r="G1328" s="1004" t="s">
        <v>33</v>
      </c>
      <c r="H1328" s="606">
        <v>1.1572</v>
      </c>
      <c r="K1328" s="841" t="s">
        <v>3250</v>
      </c>
      <c r="L1328" s="841" t="s">
        <v>443</v>
      </c>
      <c r="M1328" s="1357"/>
      <c r="P1328" s="841" t="s">
        <v>3257</v>
      </c>
      <c r="Q1328" s="1357"/>
      <c r="S1328" s="1420"/>
      <c r="T1328" s="1420">
        <v>43465</v>
      </c>
      <c r="V1328" s="1357">
        <v>99</v>
      </c>
    </row>
    <row r="1329" spans="1:22" s="841" customFormat="1" ht="16.5" thickTop="1" thickBot="1" x14ac:dyDescent="0.3">
      <c r="A1329" s="841" t="s">
        <v>424</v>
      </c>
      <c r="E1329" s="2006" t="s">
        <v>5145</v>
      </c>
      <c r="F1329" s="2007"/>
      <c r="G1329" s="1004" t="s">
        <v>33</v>
      </c>
      <c r="H1329" s="678">
        <v>5.1700000000000003E-2</v>
      </c>
      <c r="K1329" s="841" t="s">
        <v>3250</v>
      </c>
      <c r="L1329" s="841" t="s">
        <v>443</v>
      </c>
      <c r="M1329" s="1357"/>
      <c r="P1329" s="841" t="s">
        <v>5294</v>
      </c>
      <c r="Q1329" s="1357"/>
      <c r="S1329" s="1420"/>
      <c r="T1329" s="1420">
        <v>43465</v>
      </c>
      <c r="V1329" s="1357">
        <v>148</v>
      </c>
    </row>
    <row r="1330" spans="1:22" s="841" customFormat="1" ht="15.75" thickTop="1" x14ac:dyDescent="0.25">
      <c r="A1330" s="841" t="s">
        <v>424</v>
      </c>
      <c r="E1330" s="2008" t="s">
        <v>221</v>
      </c>
      <c r="F1330" s="2012"/>
      <c r="G1330" s="1004" t="s">
        <v>33</v>
      </c>
      <c r="H1330" s="606">
        <v>2.0108000000000001</v>
      </c>
      <c r="K1330" s="841" t="s">
        <v>3250</v>
      </c>
      <c r="L1330" s="841" t="s">
        <v>444</v>
      </c>
      <c r="M1330" s="1357"/>
      <c r="P1330" s="841" t="s">
        <v>3258</v>
      </c>
      <c r="Q1330" s="1357"/>
      <c r="S1330" s="1420"/>
      <c r="T1330" s="1420"/>
      <c r="V1330" s="1357">
        <v>47</v>
      </c>
    </row>
    <row r="1331" spans="1:22" s="841" customFormat="1" ht="15" x14ac:dyDescent="0.25">
      <c r="A1331" s="841" t="s">
        <v>424</v>
      </c>
      <c r="E1331" s="1934" t="s">
        <v>217</v>
      </c>
      <c r="F1331" s="1904"/>
      <c r="G1331" s="1004" t="s">
        <v>33</v>
      </c>
      <c r="H1331" s="606">
        <v>1.6984999999999999</v>
      </c>
      <c r="K1331" s="841" t="s">
        <v>3250</v>
      </c>
      <c r="L1331" s="841" t="s">
        <v>444</v>
      </c>
      <c r="M1331" s="1357"/>
      <c r="P1331" s="841" t="s">
        <v>3259</v>
      </c>
      <c r="Q1331" s="1357"/>
      <c r="S1331" s="1420"/>
      <c r="T1331" s="1420"/>
      <c r="V1331" s="1357">
        <v>74</v>
      </c>
    </row>
    <row r="1332" spans="1:22" s="841" customFormat="1" ht="15" x14ac:dyDescent="0.25">
      <c r="A1332" s="841" t="s">
        <v>424</v>
      </c>
      <c r="E1332" s="2003" t="s">
        <v>3079</v>
      </c>
      <c r="F1332" s="1904"/>
      <c r="G1332" s="1064"/>
      <c r="H1332" s="1157"/>
      <c r="K1332" s="841" t="s">
        <v>3260</v>
      </c>
      <c r="M1332" s="1357"/>
      <c r="Q1332" s="1357"/>
      <c r="S1332" s="1420"/>
      <c r="T1332" s="1420"/>
      <c r="V1332" s="1357">
        <v>48</v>
      </c>
    </row>
    <row r="1333" spans="1:22" s="841" customFormat="1" ht="15" x14ac:dyDescent="0.25">
      <c r="A1333" s="841" t="s">
        <v>424</v>
      </c>
      <c r="E1333" s="1934" t="s">
        <v>2449</v>
      </c>
      <c r="F1333" s="1934"/>
      <c r="G1333" s="895" t="s">
        <v>24</v>
      </c>
      <c r="H1333" s="678">
        <v>3.2000000000000002E-3</v>
      </c>
      <c r="K1333" s="841" t="s">
        <v>3250</v>
      </c>
      <c r="L1333" s="841" t="s">
        <v>3046</v>
      </c>
      <c r="M1333" s="1357"/>
      <c r="P1333" s="841" t="s">
        <v>3261</v>
      </c>
      <c r="Q1333" s="1357"/>
      <c r="S1333" s="1420"/>
      <c r="T1333" s="1420"/>
      <c r="V1333" s="1357">
        <v>55</v>
      </c>
    </row>
    <row r="1334" spans="1:22" s="841" customFormat="1" ht="15" x14ac:dyDescent="0.25">
      <c r="A1334" s="841" t="s">
        <v>424</v>
      </c>
      <c r="E1334" s="1934" t="s">
        <v>2450</v>
      </c>
      <c r="F1334" s="1934"/>
      <c r="G1334" s="895" t="s">
        <v>24</v>
      </c>
      <c r="H1334" s="678">
        <v>4.0000000000000002E-4</v>
      </c>
      <c r="K1334" s="841" t="s">
        <v>3250</v>
      </c>
      <c r="L1334" s="841" t="s">
        <v>3046</v>
      </c>
      <c r="M1334" s="1357"/>
      <c r="P1334" s="841" t="s">
        <v>3261</v>
      </c>
      <c r="Q1334" s="1357"/>
      <c r="S1334" s="1420"/>
      <c r="T1334" s="1420"/>
      <c r="V1334" s="1357">
        <v>65</v>
      </c>
    </row>
    <row r="1335" spans="1:22" s="841" customFormat="1" ht="15" x14ac:dyDescent="0.25">
      <c r="A1335" s="841" t="s">
        <v>424</v>
      </c>
      <c r="E1335" s="1934" t="s">
        <v>439</v>
      </c>
      <c r="F1335" s="1934"/>
      <c r="G1335" s="895" t="s">
        <v>24</v>
      </c>
      <c r="H1335" s="678">
        <v>2.9999999999999997E-4</v>
      </c>
      <c r="K1335" s="841" t="s">
        <v>3250</v>
      </c>
      <c r="L1335" s="841" t="s">
        <v>3046</v>
      </c>
      <c r="M1335" s="1357"/>
      <c r="P1335" s="841" t="s">
        <v>3262</v>
      </c>
      <c r="Q1335" s="1357"/>
      <c r="S1335" s="1420"/>
      <c r="T1335" s="1420"/>
      <c r="V1335" s="1357">
        <v>57</v>
      </c>
    </row>
    <row r="1336" spans="1:22" s="841" customFormat="1" ht="15" x14ac:dyDescent="0.25">
      <c r="A1336" s="841" t="s">
        <v>424</v>
      </c>
      <c r="E1336" s="1934" t="s">
        <v>32</v>
      </c>
      <c r="F1336" s="1934"/>
      <c r="G1336" s="895" t="s">
        <v>23</v>
      </c>
      <c r="H1336" s="674">
        <v>0.25</v>
      </c>
      <c r="K1336" s="841" t="s">
        <v>3250</v>
      </c>
      <c r="L1336" s="841" t="s">
        <v>3046</v>
      </c>
      <c r="M1336" s="1357"/>
      <c r="P1336" s="841" t="s">
        <v>3263</v>
      </c>
      <c r="Q1336" s="1357"/>
      <c r="S1336" s="1420"/>
      <c r="T1336" s="1420"/>
      <c r="V1336" s="1357">
        <v>63</v>
      </c>
    </row>
    <row r="1337" spans="1:22" s="841" customFormat="1" x14ac:dyDescent="0.25">
      <c r="A1337" s="841" t="s">
        <v>424</v>
      </c>
      <c r="E1337" s="1967" t="s">
        <v>615</v>
      </c>
      <c r="F1337" s="1967"/>
      <c r="G1337" s="2015"/>
      <c r="H1337" s="2016"/>
      <c r="K1337" s="841" t="s">
        <v>3264</v>
      </c>
      <c r="M1337" s="1357"/>
      <c r="Q1337" s="1357"/>
      <c r="S1337" s="1420"/>
      <c r="T1337" s="1420"/>
      <c r="V1337" s="1357">
        <v>38</v>
      </c>
    </row>
    <row r="1338" spans="1:22" s="841" customFormat="1" ht="15" x14ac:dyDescent="0.25">
      <c r="A1338" s="841" t="s">
        <v>424</v>
      </c>
      <c r="E1338" s="1939" t="s">
        <v>3533</v>
      </c>
      <c r="F1338" s="1939"/>
      <c r="G1338" s="2004"/>
      <c r="H1338" s="2005"/>
      <c r="K1338" s="841" t="s">
        <v>3264</v>
      </c>
      <c r="M1338" s="1357"/>
      <c r="Q1338" s="1357"/>
      <c r="S1338" s="1420"/>
      <c r="T1338" s="1420"/>
      <c r="V1338" s="1357">
        <v>329</v>
      </c>
    </row>
    <row r="1339" spans="1:22" s="841" customFormat="1" ht="15" x14ac:dyDescent="0.25">
      <c r="A1339" s="841" t="s">
        <v>424</v>
      </c>
      <c r="E1339" s="2013" t="s">
        <v>3061</v>
      </c>
      <c r="F1339" s="2010"/>
      <c r="G1339" s="2010"/>
      <c r="H1339" s="2010"/>
      <c r="K1339" s="841" t="s">
        <v>3266</v>
      </c>
      <c r="M1339" s="1357"/>
      <c r="Q1339" s="1357"/>
      <c r="S1339" s="1420"/>
      <c r="T1339" s="1420"/>
      <c r="V1339" s="1357">
        <v>11</v>
      </c>
    </row>
    <row r="1340" spans="1:22" s="841" customFormat="1" ht="15" x14ac:dyDescent="0.25">
      <c r="A1340" s="841" t="s">
        <v>424</v>
      </c>
      <c r="E1340" s="1689" t="s">
        <v>3063</v>
      </c>
      <c r="F1340" s="1689"/>
      <c r="G1340" s="1921"/>
      <c r="H1340" s="1921"/>
      <c r="K1340" s="841" t="s">
        <v>3264</v>
      </c>
      <c r="M1340" s="1357"/>
      <c r="Q1340" s="1357"/>
      <c r="S1340" s="1420"/>
      <c r="T1340" s="1420"/>
      <c r="V1340" s="1357">
        <v>280</v>
      </c>
    </row>
    <row r="1341" spans="1:22" s="841" customFormat="1" ht="15" x14ac:dyDescent="0.25">
      <c r="A1341" s="841" t="s">
        <v>424</v>
      </c>
      <c r="E1341" s="1689" t="s">
        <v>3064</v>
      </c>
      <c r="F1341" s="1689"/>
      <c r="G1341" s="1921"/>
      <c r="H1341" s="1921"/>
      <c r="K1341" s="841" t="s">
        <v>3264</v>
      </c>
      <c r="M1341" s="1357"/>
      <c r="Q1341" s="1357"/>
      <c r="S1341" s="1420"/>
      <c r="T1341" s="1420"/>
      <c r="V1341" s="1357">
        <v>411</v>
      </c>
    </row>
    <row r="1342" spans="1:22" s="841" customFormat="1" ht="15" x14ac:dyDescent="0.25">
      <c r="A1342" s="841" t="s">
        <v>424</v>
      </c>
      <c r="E1342" s="1689" t="s">
        <v>3065</v>
      </c>
      <c r="F1342" s="1689"/>
      <c r="G1342" s="1921"/>
      <c r="H1342" s="1921"/>
      <c r="K1342" s="841" t="s">
        <v>3264</v>
      </c>
      <c r="M1342" s="1357"/>
      <c r="Q1342" s="1357"/>
      <c r="S1342" s="1420"/>
      <c r="T1342" s="1420"/>
      <c r="V1342" s="1357">
        <v>387</v>
      </c>
    </row>
    <row r="1343" spans="1:22" s="841" customFormat="1" ht="15" x14ac:dyDescent="0.25">
      <c r="A1343" s="841" t="s">
        <v>424</v>
      </c>
      <c r="E1343" s="1689" t="s">
        <v>3066</v>
      </c>
      <c r="F1343" s="1689"/>
      <c r="G1343" s="1921"/>
      <c r="H1343" s="1921"/>
      <c r="K1343" s="841" t="s">
        <v>3264</v>
      </c>
      <c r="M1343" s="1357"/>
      <c r="Q1343" s="1357"/>
      <c r="S1343" s="1420"/>
      <c r="T1343" s="1420"/>
      <c r="V1343" s="1357">
        <v>275</v>
      </c>
    </row>
    <row r="1344" spans="1:22" s="841" customFormat="1" ht="15" x14ac:dyDescent="0.25">
      <c r="A1344" s="841" t="s">
        <v>424</v>
      </c>
      <c r="E1344" s="2014" t="s">
        <v>3067</v>
      </c>
      <c r="F1344" s="2010"/>
      <c r="G1344" s="2010"/>
      <c r="H1344" s="2010"/>
      <c r="K1344" s="841" t="s">
        <v>3267</v>
      </c>
      <c r="M1344" s="1357"/>
      <c r="Q1344" s="1357"/>
      <c r="S1344" s="1420"/>
      <c r="T1344" s="1420"/>
      <c r="V1344" s="1357">
        <v>46</v>
      </c>
    </row>
    <row r="1345" spans="1:22" s="841" customFormat="1" ht="15" x14ac:dyDescent="0.25">
      <c r="A1345" s="841" t="s">
        <v>424</v>
      </c>
      <c r="E1345" s="1934" t="s">
        <v>12</v>
      </c>
      <c r="F1345" s="1934"/>
      <c r="G1345" s="895" t="s">
        <v>23</v>
      </c>
      <c r="H1345" s="600">
        <v>3.92</v>
      </c>
      <c r="K1345" s="841" t="s">
        <v>3264</v>
      </c>
      <c r="L1345" s="841" t="s">
        <v>442</v>
      </c>
      <c r="M1345" s="1357"/>
      <c r="P1345" s="841" t="s">
        <v>3268</v>
      </c>
      <c r="Q1345" s="1357"/>
      <c r="S1345" s="1420"/>
      <c r="T1345" s="1420"/>
      <c r="V1345" s="1357">
        <v>31</v>
      </c>
    </row>
    <row r="1346" spans="1:22" s="841" customFormat="1" ht="15" x14ac:dyDescent="0.25">
      <c r="A1346" s="841" t="s">
        <v>424</v>
      </c>
      <c r="E1346" s="1934" t="s">
        <v>84</v>
      </c>
      <c r="F1346" s="1934"/>
      <c r="G1346" s="1004" t="s">
        <v>33</v>
      </c>
      <c r="H1346" s="606">
        <v>8.5221999999999998</v>
      </c>
      <c r="K1346" s="841" t="s">
        <v>3264</v>
      </c>
      <c r="L1346" s="841" t="s">
        <v>442</v>
      </c>
      <c r="M1346" s="1357"/>
      <c r="P1346" s="841" t="s">
        <v>3269</v>
      </c>
      <c r="Q1346" s="1357"/>
      <c r="S1346" s="1420"/>
      <c r="T1346" s="1420"/>
      <c r="V1346" s="1357">
        <v>28</v>
      </c>
    </row>
    <row r="1347" spans="1:22" s="841" customFormat="1" ht="15.75" thickBot="1" x14ac:dyDescent="0.3">
      <c r="A1347" s="841" t="s">
        <v>424</v>
      </c>
      <c r="E1347" s="1934" t="s">
        <v>18</v>
      </c>
      <c r="F1347" s="1934"/>
      <c r="G1347" s="1004" t="s">
        <v>33</v>
      </c>
      <c r="H1347" s="675">
        <v>7.7100000000000002E-2</v>
      </c>
      <c r="K1347" s="841" t="s">
        <v>3264</v>
      </c>
      <c r="L1347" s="841" t="s">
        <v>443</v>
      </c>
      <c r="M1347" s="1357"/>
      <c r="P1347" s="841" t="s">
        <v>3270</v>
      </c>
      <c r="Q1347" s="1357"/>
      <c r="S1347" s="1420"/>
      <c r="T1347" s="1420"/>
      <c r="V1347" s="1357">
        <v>24</v>
      </c>
    </row>
    <row r="1348" spans="1:22" s="841" customFormat="1" ht="16.5" thickTop="1" thickBot="1" x14ac:dyDescent="0.3">
      <c r="A1348" s="841" t="s">
        <v>424</v>
      </c>
      <c r="E1348" s="2006" t="s">
        <v>5284</v>
      </c>
      <c r="F1348" s="2006"/>
      <c r="G1348" s="1004" t="s">
        <v>24</v>
      </c>
      <c r="H1348" s="675">
        <v>4.0000000000000001E-3</v>
      </c>
      <c r="K1348" s="841" t="s">
        <v>3264</v>
      </c>
      <c r="L1348" s="841" t="s">
        <v>443</v>
      </c>
      <c r="M1348" s="1357"/>
      <c r="P1348" s="841" t="s">
        <v>3271</v>
      </c>
      <c r="Q1348" s="1357"/>
      <c r="S1348" s="1420"/>
      <c r="T1348" s="1420">
        <v>43465</v>
      </c>
      <c r="V1348" s="1357">
        <v>144</v>
      </c>
    </row>
    <row r="1349" spans="1:22" s="841" customFormat="1" ht="15.75" thickTop="1" x14ac:dyDescent="0.25">
      <c r="A1349" s="841" t="s">
        <v>424</v>
      </c>
      <c r="E1349" s="1934" t="s">
        <v>3506</v>
      </c>
      <c r="F1349" s="1934"/>
      <c r="G1349" s="1004" t="s">
        <v>33</v>
      </c>
      <c r="H1349" s="675">
        <v>-0.69550000000000001</v>
      </c>
      <c r="K1349" s="841" t="s">
        <v>3264</v>
      </c>
      <c r="L1349" s="841" t="s">
        <v>443</v>
      </c>
      <c r="M1349" s="1357"/>
      <c r="P1349" s="841" t="s">
        <v>3273</v>
      </c>
      <c r="Q1349" s="1357"/>
      <c r="S1349" s="1420"/>
      <c r="T1349" s="1420">
        <v>43465</v>
      </c>
      <c r="V1349" s="1357">
        <v>99</v>
      </c>
    </row>
    <row r="1350" spans="1:22" s="841" customFormat="1" ht="15.75" thickBot="1" x14ac:dyDescent="0.3">
      <c r="A1350" s="841" t="s">
        <v>424</v>
      </c>
      <c r="E1350" s="2052" t="s">
        <v>5143</v>
      </c>
      <c r="F1350" s="2053"/>
      <c r="G1350" s="1004" t="s">
        <v>24</v>
      </c>
      <c r="H1350" s="675">
        <v>-1.18E-2</v>
      </c>
      <c r="K1350" s="841" t="s">
        <v>3264</v>
      </c>
      <c r="L1350" s="841" t="s">
        <v>443</v>
      </c>
      <c r="M1350" s="1357"/>
      <c r="P1350" s="841" t="s">
        <v>3271</v>
      </c>
      <c r="Q1350" s="1357"/>
      <c r="S1350" s="1420"/>
      <c r="T1350" s="1420">
        <v>43465</v>
      </c>
      <c r="V1350" s="1357">
        <v>142</v>
      </c>
    </row>
    <row r="1351" spans="1:22" s="841" customFormat="1" ht="16.5" thickTop="1" thickBot="1" x14ac:dyDescent="0.3">
      <c r="A1351" s="841" t="s">
        <v>424</v>
      </c>
      <c r="E1351" s="1934" t="s">
        <v>5144</v>
      </c>
      <c r="F1351" s="1934"/>
      <c r="G1351" s="1004" t="s">
        <v>33</v>
      </c>
      <c r="H1351" s="675">
        <v>1.2688999999999999</v>
      </c>
      <c r="K1351" s="841" t="s">
        <v>3264</v>
      </c>
      <c r="L1351" s="841" t="s">
        <v>443</v>
      </c>
      <c r="M1351" s="1357"/>
      <c r="P1351" s="841" t="s">
        <v>3273</v>
      </c>
      <c r="Q1351" s="1357"/>
      <c r="S1351" s="1420"/>
      <c r="T1351" s="1420">
        <v>43465</v>
      </c>
      <c r="V1351" s="1357">
        <v>99</v>
      </c>
    </row>
    <row r="1352" spans="1:22" s="841" customFormat="1" ht="16.5" thickTop="1" thickBot="1" x14ac:dyDescent="0.3">
      <c r="A1352" s="841" t="s">
        <v>424</v>
      </c>
      <c r="E1352" s="2006" t="s">
        <v>5145</v>
      </c>
      <c r="F1352" s="2007"/>
      <c r="G1352" s="1004" t="s">
        <v>33</v>
      </c>
      <c r="H1352" s="675">
        <v>5.6599999999999998E-2</v>
      </c>
      <c r="K1352" s="841" t="s">
        <v>3264</v>
      </c>
      <c r="L1352" s="841" t="s">
        <v>443</v>
      </c>
      <c r="M1352" s="1357"/>
      <c r="P1352" s="841" t="s">
        <v>5295</v>
      </c>
      <c r="Q1352" s="1357"/>
      <c r="S1352" s="1420"/>
      <c r="T1352" s="1420">
        <v>43465</v>
      </c>
      <c r="V1352" s="1357">
        <v>148</v>
      </c>
    </row>
    <row r="1353" spans="1:22" s="841" customFormat="1" ht="15.75" thickTop="1" x14ac:dyDescent="0.25">
      <c r="A1353" s="841" t="s">
        <v>424</v>
      </c>
      <c r="E1353" s="2008" t="s">
        <v>221</v>
      </c>
      <c r="F1353" s="2012"/>
      <c r="G1353" s="1004" t="s">
        <v>33</v>
      </c>
      <c r="H1353" s="606">
        <v>1.7464</v>
      </c>
      <c r="K1353" s="841" t="s">
        <v>3264</v>
      </c>
      <c r="L1353" s="841" t="s">
        <v>444</v>
      </c>
      <c r="M1353" s="1357"/>
      <c r="P1353" s="841" t="s">
        <v>3274</v>
      </c>
      <c r="Q1353" s="1357"/>
      <c r="S1353" s="1420"/>
      <c r="T1353" s="1420"/>
      <c r="V1353" s="1357">
        <v>47</v>
      </c>
    </row>
    <row r="1354" spans="1:22" s="841" customFormat="1" ht="15" x14ac:dyDescent="0.25">
      <c r="A1354" s="841" t="s">
        <v>424</v>
      </c>
      <c r="E1354" s="1934" t="s">
        <v>217</v>
      </c>
      <c r="F1354" s="1904"/>
      <c r="G1354" s="1004" t="s">
        <v>33</v>
      </c>
      <c r="H1354" s="606">
        <v>1.5880000000000001</v>
      </c>
      <c r="K1354" s="841" t="s">
        <v>3264</v>
      </c>
      <c r="L1354" s="841" t="s">
        <v>444</v>
      </c>
      <c r="M1354" s="1357"/>
      <c r="P1354" s="841" t="s">
        <v>3275</v>
      </c>
      <c r="Q1354" s="1357"/>
      <c r="S1354" s="1420"/>
      <c r="T1354" s="1420"/>
      <c r="V1354" s="1357">
        <v>74</v>
      </c>
    </row>
    <row r="1355" spans="1:22" s="841" customFormat="1" ht="15" x14ac:dyDescent="0.25">
      <c r="A1355" s="841" t="s">
        <v>424</v>
      </c>
      <c r="E1355" s="2003" t="s">
        <v>3079</v>
      </c>
      <c r="F1355" s="1904"/>
      <c r="G1355" s="1064"/>
      <c r="H1355" s="1157"/>
      <c r="K1355" s="841" t="s">
        <v>3276</v>
      </c>
      <c r="M1355" s="1357"/>
      <c r="Q1355" s="1357"/>
      <c r="S1355" s="1420"/>
      <c r="T1355" s="1420"/>
      <c r="V1355" s="1357">
        <v>48</v>
      </c>
    </row>
    <row r="1356" spans="1:22" s="841" customFormat="1" ht="15" x14ac:dyDescent="0.25">
      <c r="A1356" s="841" t="s">
        <v>424</v>
      </c>
      <c r="E1356" s="1934" t="s">
        <v>2449</v>
      </c>
      <c r="F1356" s="1934"/>
      <c r="G1356" s="895" t="s">
        <v>24</v>
      </c>
      <c r="H1356" s="678">
        <v>3.2000000000000002E-3</v>
      </c>
      <c r="K1356" s="841" t="s">
        <v>3264</v>
      </c>
      <c r="L1356" s="841" t="s">
        <v>3046</v>
      </c>
      <c r="M1356" s="1357"/>
      <c r="P1356" s="841" t="s">
        <v>3277</v>
      </c>
      <c r="Q1356" s="1357"/>
      <c r="S1356" s="1420"/>
      <c r="T1356" s="1420"/>
      <c r="V1356" s="1357">
        <v>55</v>
      </c>
    </row>
    <row r="1357" spans="1:22" s="841" customFormat="1" ht="15" x14ac:dyDescent="0.25">
      <c r="A1357" s="841" t="s">
        <v>424</v>
      </c>
      <c r="E1357" s="1934" t="s">
        <v>2450</v>
      </c>
      <c r="F1357" s="1934"/>
      <c r="G1357" s="895" t="s">
        <v>24</v>
      </c>
      <c r="H1357" s="678">
        <v>4.0000000000000002E-4</v>
      </c>
      <c r="K1357" s="841" t="s">
        <v>3264</v>
      </c>
      <c r="L1357" s="841" t="s">
        <v>3046</v>
      </c>
      <c r="M1357" s="1357"/>
      <c r="P1357" s="841" t="s">
        <v>3277</v>
      </c>
      <c r="Q1357" s="1357"/>
      <c r="S1357" s="1420"/>
      <c r="T1357" s="1420"/>
      <c r="V1357" s="1357">
        <v>65</v>
      </c>
    </row>
    <row r="1358" spans="1:22" s="841" customFormat="1" ht="15" x14ac:dyDescent="0.25">
      <c r="A1358" s="841" t="s">
        <v>424</v>
      </c>
      <c r="E1358" s="1934" t="s">
        <v>439</v>
      </c>
      <c r="F1358" s="1934"/>
      <c r="G1358" s="895" t="s">
        <v>24</v>
      </c>
      <c r="H1358" s="678">
        <v>2.9999999999999997E-4</v>
      </c>
      <c r="K1358" s="841" t="s">
        <v>3264</v>
      </c>
      <c r="L1358" s="841" t="s">
        <v>3046</v>
      </c>
      <c r="M1358" s="1357"/>
      <c r="P1358" s="841" t="s">
        <v>3278</v>
      </c>
      <c r="Q1358" s="1357"/>
      <c r="S1358" s="1420"/>
      <c r="T1358" s="1420"/>
      <c r="V1358" s="1357">
        <v>57</v>
      </c>
    </row>
    <row r="1359" spans="1:22" s="841" customFormat="1" ht="15" x14ac:dyDescent="0.25">
      <c r="A1359" s="841" t="s">
        <v>424</v>
      </c>
      <c r="E1359" s="1934" t="s">
        <v>32</v>
      </c>
      <c r="F1359" s="1934"/>
      <c r="G1359" s="895" t="s">
        <v>23</v>
      </c>
      <c r="H1359" s="674">
        <v>0.25</v>
      </c>
      <c r="K1359" s="841" t="s">
        <v>3264</v>
      </c>
      <c r="L1359" s="841" t="s">
        <v>3046</v>
      </c>
      <c r="M1359" s="1357"/>
      <c r="P1359" s="841" t="s">
        <v>3279</v>
      </c>
      <c r="Q1359" s="1357"/>
      <c r="S1359" s="1420"/>
      <c r="T1359" s="1420"/>
      <c r="V1359" s="1357">
        <v>63</v>
      </c>
    </row>
    <row r="1360" spans="1:22" s="841" customFormat="1" x14ac:dyDescent="0.25">
      <c r="A1360" s="841" t="s">
        <v>424</v>
      </c>
      <c r="E1360" s="1695" t="s">
        <v>618</v>
      </c>
      <c r="F1360" s="1915"/>
      <c r="G1360" s="2057"/>
      <c r="H1360" s="2057"/>
      <c r="K1360" s="841" t="s">
        <v>3280</v>
      </c>
      <c r="M1360" s="1357"/>
      <c r="Q1360" s="1357"/>
      <c r="S1360" s="1420"/>
      <c r="T1360" s="1420"/>
      <c r="V1360" s="1357">
        <v>31</v>
      </c>
    </row>
    <row r="1361" spans="1:22" s="841" customFormat="1" ht="15" x14ac:dyDescent="0.25">
      <c r="A1361" s="841" t="s">
        <v>424</v>
      </c>
      <c r="E1361" s="1689" t="s">
        <v>3372</v>
      </c>
      <c r="F1361" s="1689"/>
      <c r="G1361" s="1921"/>
      <c r="H1361" s="1921"/>
      <c r="K1361" s="841" t="s">
        <v>3280</v>
      </c>
      <c r="M1361" s="1357"/>
      <c r="Q1361" s="1357"/>
      <c r="S1361" s="1420"/>
      <c r="T1361" s="1420"/>
      <c r="V1361" s="1357">
        <v>285</v>
      </c>
    </row>
    <row r="1362" spans="1:22" s="841" customFormat="1" ht="15" x14ac:dyDescent="0.25">
      <c r="A1362" s="841" t="s">
        <v>424</v>
      </c>
      <c r="E1362" s="2013" t="s">
        <v>3061</v>
      </c>
      <c r="F1362" s="2010"/>
      <c r="G1362" s="2010"/>
      <c r="H1362" s="2010"/>
      <c r="K1362" s="841" t="s">
        <v>3281</v>
      </c>
      <c r="M1362" s="1357"/>
      <c r="Q1362" s="1357"/>
      <c r="S1362" s="1420"/>
      <c r="T1362" s="1420"/>
      <c r="V1362" s="1357">
        <v>11</v>
      </c>
    </row>
    <row r="1363" spans="1:22" s="841" customFormat="1" ht="15" x14ac:dyDescent="0.25">
      <c r="A1363" s="841" t="s">
        <v>424</v>
      </c>
      <c r="E1363" s="1689" t="s">
        <v>3063</v>
      </c>
      <c r="F1363" s="1689"/>
      <c r="G1363" s="1921"/>
      <c r="H1363" s="1921"/>
      <c r="K1363" s="841" t="s">
        <v>3280</v>
      </c>
      <c r="M1363" s="1357"/>
      <c r="Q1363" s="1357"/>
      <c r="S1363" s="1420"/>
      <c r="T1363" s="1420"/>
      <c r="V1363" s="1357">
        <v>280</v>
      </c>
    </row>
    <row r="1364" spans="1:22" s="841" customFormat="1" ht="15" x14ac:dyDescent="0.25">
      <c r="A1364" s="841" t="s">
        <v>424</v>
      </c>
      <c r="E1364" s="1689" t="s">
        <v>3064</v>
      </c>
      <c r="F1364" s="1689"/>
      <c r="G1364" s="1921"/>
      <c r="H1364" s="1921"/>
      <c r="K1364" s="841" t="s">
        <v>3280</v>
      </c>
      <c r="M1364" s="1357"/>
      <c r="Q1364" s="1357"/>
      <c r="S1364" s="1420"/>
      <c r="T1364" s="1420"/>
      <c r="V1364" s="1357">
        <v>411</v>
      </c>
    </row>
    <row r="1365" spans="1:22" s="841" customFormat="1" ht="15" x14ac:dyDescent="0.25">
      <c r="A1365" s="841" t="s">
        <v>424</v>
      </c>
      <c r="E1365" s="1689" t="s">
        <v>3129</v>
      </c>
      <c r="F1365" s="1689"/>
      <c r="G1365" s="1921"/>
      <c r="H1365" s="1921"/>
      <c r="K1365" s="841" t="s">
        <v>3280</v>
      </c>
      <c r="M1365" s="1357"/>
      <c r="Q1365" s="1357"/>
      <c r="S1365" s="1420"/>
      <c r="T1365" s="1420"/>
      <c r="V1365" s="1357">
        <v>211</v>
      </c>
    </row>
    <row r="1366" spans="1:22" s="841" customFormat="1" ht="15" x14ac:dyDescent="0.25">
      <c r="A1366" s="841" t="s">
        <v>424</v>
      </c>
      <c r="E1366" s="1689" t="s">
        <v>3066</v>
      </c>
      <c r="F1366" s="1689"/>
      <c r="G1366" s="1921"/>
      <c r="H1366" s="1921"/>
      <c r="K1366" s="841" t="s">
        <v>3280</v>
      </c>
      <c r="M1366" s="1357"/>
      <c r="Q1366" s="1357"/>
      <c r="S1366" s="1420"/>
      <c r="T1366" s="1420"/>
      <c r="V1366" s="1357">
        <v>275</v>
      </c>
    </row>
    <row r="1367" spans="1:22" s="841" customFormat="1" ht="15" x14ac:dyDescent="0.25">
      <c r="A1367" s="841" t="s">
        <v>424</v>
      </c>
      <c r="E1367" s="2013" t="s">
        <v>3067</v>
      </c>
      <c r="F1367" s="2010"/>
      <c r="G1367" s="2010"/>
      <c r="H1367" s="2010"/>
      <c r="K1367" s="841" t="s">
        <v>3282</v>
      </c>
      <c r="M1367" s="1357"/>
      <c r="Q1367" s="1357"/>
      <c r="S1367" s="1420"/>
      <c r="T1367" s="1420"/>
      <c r="V1367" s="1357">
        <v>46</v>
      </c>
    </row>
    <row r="1368" spans="1:22" s="841" customFormat="1" ht="15" x14ac:dyDescent="0.25">
      <c r="A1368" s="841" t="s">
        <v>424</v>
      </c>
      <c r="E1368" s="1904" t="s">
        <v>11</v>
      </c>
      <c r="F1368" s="1904"/>
      <c r="G1368" s="1008" t="s">
        <v>23</v>
      </c>
      <c r="H1368" s="600">
        <v>5.4</v>
      </c>
      <c r="K1368" s="841" t="s">
        <v>3280</v>
      </c>
      <c r="L1368" s="841" t="s">
        <v>442</v>
      </c>
      <c r="M1368" s="1357"/>
      <c r="P1368" s="841" t="s">
        <v>3283</v>
      </c>
      <c r="Q1368" s="1357"/>
      <c r="S1368" s="1420"/>
      <c r="T1368" s="1420"/>
      <c r="V1368" s="1357">
        <v>14</v>
      </c>
    </row>
    <row r="1369" spans="1:22" s="841" customFormat="1" x14ac:dyDescent="0.25">
      <c r="A1369" s="841" t="s">
        <v>424</v>
      </c>
      <c r="E1369" s="1160" t="s">
        <v>85</v>
      </c>
      <c r="F1369" s="1161"/>
      <c r="G1369" s="1162"/>
      <c r="H1369" s="1162"/>
      <c r="K1369" s="841" t="s">
        <v>3534</v>
      </c>
      <c r="M1369" s="1357"/>
      <c r="Q1369" s="1357"/>
      <c r="S1369" s="1420"/>
      <c r="T1369" s="1420"/>
      <c r="V1369" s="1357">
        <v>10</v>
      </c>
    </row>
    <row r="1370" spans="1:22" s="841" customFormat="1" ht="15" x14ac:dyDescent="0.25">
      <c r="A1370" s="841" t="s">
        <v>424</v>
      </c>
      <c r="E1370" s="2058" t="s">
        <v>3133</v>
      </c>
      <c r="F1370" s="1904"/>
      <c r="G1370" s="1066" t="s">
        <v>33</v>
      </c>
      <c r="H1370" s="678">
        <v>-0.6</v>
      </c>
      <c r="M1370" s="1357"/>
      <c r="Q1370" s="1357"/>
      <c r="S1370" s="1420"/>
      <c r="T1370" s="1420"/>
      <c r="V1370" s="1357">
        <v>68</v>
      </c>
    </row>
    <row r="1371" spans="1:22" s="841" customFormat="1" ht="15" x14ac:dyDescent="0.25">
      <c r="A1371" s="841" t="s">
        <v>424</v>
      </c>
      <c r="E1371" s="2058" t="s">
        <v>3134</v>
      </c>
      <c r="F1371" s="1904"/>
      <c r="G1371" s="1066" t="s">
        <v>86</v>
      </c>
      <c r="H1371" s="1103">
        <v>-1</v>
      </c>
      <c r="M1371" s="1357"/>
      <c r="Q1371" s="1357"/>
      <c r="S1371" s="1420"/>
      <c r="T1371" s="1420"/>
      <c r="V1371" s="1357">
        <v>87</v>
      </c>
    </row>
    <row r="1372" spans="1:22" s="841" customFormat="1" x14ac:dyDescent="0.25">
      <c r="A1372" s="841" t="s">
        <v>424</v>
      </c>
      <c r="E1372" s="1108" t="s">
        <v>87</v>
      </c>
      <c r="F1372" s="1099"/>
      <c r="G1372" s="1099"/>
      <c r="H1372" s="1100"/>
      <c r="K1372" s="841" t="s">
        <v>3535</v>
      </c>
      <c r="M1372" s="1357"/>
      <c r="Q1372" s="1357"/>
      <c r="S1372" s="1420"/>
      <c r="T1372" s="1420"/>
      <c r="V1372" s="1357">
        <v>24</v>
      </c>
    </row>
    <row r="1373" spans="1:22" s="841" customFormat="1" ht="15" x14ac:dyDescent="0.25">
      <c r="A1373" s="841" t="s">
        <v>424</v>
      </c>
      <c r="E1373" s="2026" t="s">
        <v>3063</v>
      </c>
      <c r="F1373" s="2026"/>
      <c r="G1373" s="2036"/>
      <c r="H1373" s="2037"/>
      <c r="M1373" s="1357"/>
      <c r="Q1373" s="1357"/>
      <c r="S1373" s="1420"/>
      <c r="T1373" s="1420"/>
      <c r="V1373" s="1357">
        <v>280</v>
      </c>
    </row>
    <row r="1374" spans="1:22" s="841" customFormat="1" ht="15" x14ac:dyDescent="0.25">
      <c r="A1374" s="841" t="s">
        <v>424</v>
      </c>
      <c r="E1374" s="2026" t="s">
        <v>3136</v>
      </c>
      <c r="F1374" s="2026"/>
      <c r="G1374" s="2036"/>
      <c r="H1374" s="2037"/>
      <c r="M1374" s="1357"/>
      <c r="Q1374" s="1357"/>
      <c r="S1374" s="1420"/>
      <c r="T1374" s="1420"/>
      <c r="V1374" s="1357">
        <v>353</v>
      </c>
    </row>
    <row r="1375" spans="1:22" s="841" customFormat="1" ht="15" x14ac:dyDescent="0.25">
      <c r="A1375" s="841" t="s">
        <v>424</v>
      </c>
      <c r="E1375" s="2036" t="s">
        <v>3066</v>
      </c>
      <c r="F1375" s="2036"/>
      <c r="G1375" s="2036"/>
      <c r="H1375" s="2037"/>
      <c r="M1375" s="1357"/>
      <c r="Q1375" s="1357"/>
      <c r="S1375" s="1420"/>
      <c r="T1375" s="1420"/>
      <c r="V1375" s="1357">
        <v>275</v>
      </c>
    </row>
    <row r="1376" spans="1:22" s="841" customFormat="1" ht="15" x14ac:dyDescent="0.25">
      <c r="A1376" s="841" t="s">
        <v>424</v>
      </c>
      <c r="E1376" s="1102" t="s">
        <v>3137</v>
      </c>
      <c r="F1376" s="685"/>
      <c r="G1376" s="683"/>
      <c r="H1376" s="684"/>
      <c r="K1376" s="841" t="s">
        <v>3536</v>
      </c>
      <c r="M1376" s="1357"/>
      <c r="Q1376" s="1357"/>
      <c r="S1376" s="1420"/>
      <c r="T1376" s="1420"/>
      <c r="V1376" s="1357">
        <v>23</v>
      </c>
    </row>
    <row r="1377" spans="1:22" s="841" customFormat="1" ht="15" x14ac:dyDescent="0.25">
      <c r="A1377" s="841" t="s">
        <v>424</v>
      </c>
      <c r="E1377" s="1988" t="s">
        <v>3139</v>
      </c>
      <c r="F1377" s="1988"/>
      <c r="G1377" s="1066" t="s">
        <v>23</v>
      </c>
      <c r="H1377" s="1103">
        <v>15</v>
      </c>
      <c r="M1377" s="1357"/>
      <c r="Q1377" s="1357"/>
      <c r="S1377" s="1420"/>
      <c r="T1377" s="1420"/>
      <c r="V1377" s="1357">
        <v>39</v>
      </c>
    </row>
    <row r="1378" spans="1:22" s="841" customFormat="1" ht="15" x14ac:dyDescent="0.25">
      <c r="A1378" s="841" t="s">
        <v>424</v>
      </c>
      <c r="E1378" s="1988" t="s">
        <v>3140</v>
      </c>
      <c r="F1378" s="1988"/>
      <c r="G1378" s="1066" t="s">
        <v>23</v>
      </c>
      <c r="H1378" s="1103">
        <v>15</v>
      </c>
      <c r="M1378" s="1357"/>
      <c r="Q1378" s="1357"/>
      <c r="S1378" s="1420"/>
      <c r="T1378" s="1420"/>
      <c r="V1378" s="1357">
        <v>20</v>
      </c>
    </row>
    <row r="1379" spans="1:22" s="841" customFormat="1" ht="15" x14ac:dyDescent="0.25">
      <c r="A1379" s="841" t="s">
        <v>424</v>
      </c>
      <c r="E1379" s="1988" t="s">
        <v>3141</v>
      </c>
      <c r="F1379" s="1988"/>
      <c r="G1379" s="1066" t="s">
        <v>23</v>
      </c>
      <c r="H1379" s="1103">
        <v>15</v>
      </c>
      <c r="M1379" s="1357"/>
      <c r="Q1379" s="1357"/>
      <c r="S1379" s="1420"/>
      <c r="T1379" s="1420"/>
      <c r="V1379" s="1357">
        <v>26</v>
      </c>
    </row>
    <row r="1380" spans="1:22" s="841" customFormat="1" ht="15" x14ac:dyDescent="0.25">
      <c r="A1380" s="841" t="s">
        <v>424</v>
      </c>
      <c r="E1380" s="1988" t="s">
        <v>3142</v>
      </c>
      <c r="F1380" s="1988"/>
      <c r="G1380" s="1066" t="s">
        <v>23</v>
      </c>
      <c r="H1380" s="1103">
        <v>15</v>
      </c>
      <c r="M1380" s="1357"/>
      <c r="Q1380" s="1357"/>
      <c r="S1380" s="1420"/>
      <c r="T1380" s="1420"/>
      <c r="V1380" s="1357">
        <v>39</v>
      </c>
    </row>
    <row r="1381" spans="1:22" s="841" customFormat="1" ht="15" x14ac:dyDescent="0.25">
      <c r="A1381" s="841" t="s">
        <v>424</v>
      </c>
      <c r="E1381" s="1988" t="s">
        <v>3143</v>
      </c>
      <c r="F1381" s="1988"/>
      <c r="G1381" s="1066" t="s">
        <v>23</v>
      </c>
      <c r="H1381" s="1103">
        <v>15</v>
      </c>
      <c r="M1381" s="1357"/>
      <c r="Q1381" s="1357"/>
      <c r="S1381" s="1420"/>
      <c r="T1381" s="1420"/>
      <c r="V1381" s="1357">
        <v>37</v>
      </c>
    </row>
    <row r="1382" spans="1:22" s="841" customFormat="1" ht="15" x14ac:dyDescent="0.25">
      <c r="A1382" s="841" t="s">
        <v>424</v>
      </c>
      <c r="E1382" s="1988" t="s">
        <v>4770</v>
      </c>
      <c r="F1382" s="1988"/>
      <c r="G1382" s="1066" t="s">
        <v>23</v>
      </c>
      <c r="H1382" s="1103">
        <v>15</v>
      </c>
      <c r="M1382" s="1357"/>
      <c r="Q1382" s="1357"/>
      <c r="S1382" s="1420"/>
      <c r="T1382" s="1420"/>
      <c r="V1382" s="1357">
        <v>15</v>
      </c>
    </row>
    <row r="1383" spans="1:22" s="841" customFormat="1" ht="15" x14ac:dyDescent="0.25">
      <c r="A1383" s="841" t="s">
        <v>424</v>
      </c>
      <c r="E1383" s="1988" t="s">
        <v>3145</v>
      </c>
      <c r="F1383" s="1988"/>
      <c r="G1383" s="1066" t="s">
        <v>23</v>
      </c>
      <c r="H1383" s="1103">
        <v>15</v>
      </c>
      <c r="M1383" s="1357"/>
      <c r="Q1383" s="1357"/>
      <c r="S1383" s="1420"/>
      <c r="T1383" s="1420"/>
      <c r="V1383" s="1357">
        <v>17</v>
      </c>
    </row>
    <row r="1384" spans="1:22" s="841" customFormat="1" ht="15" x14ac:dyDescent="0.25">
      <c r="A1384" s="841" t="s">
        <v>424</v>
      </c>
      <c r="E1384" s="1988" t="s">
        <v>3146</v>
      </c>
      <c r="F1384" s="1988"/>
      <c r="G1384" s="1066" t="s">
        <v>23</v>
      </c>
      <c r="H1384" s="1103">
        <v>15</v>
      </c>
      <c r="M1384" s="1357"/>
      <c r="Q1384" s="1357"/>
      <c r="S1384" s="1420"/>
      <c r="T1384" s="1420"/>
      <c r="V1384" s="1357">
        <v>19</v>
      </c>
    </row>
    <row r="1385" spans="1:22" s="841" customFormat="1" ht="15" x14ac:dyDescent="0.25">
      <c r="A1385" s="841" t="s">
        <v>424</v>
      </c>
      <c r="E1385" s="1988" t="s">
        <v>3147</v>
      </c>
      <c r="F1385" s="1988"/>
      <c r="G1385" s="1066" t="s">
        <v>23</v>
      </c>
      <c r="H1385" s="1103">
        <v>15</v>
      </c>
      <c r="M1385" s="1357"/>
      <c r="Q1385" s="1357"/>
      <c r="S1385" s="1420"/>
      <c r="T1385" s="1420"/>
      <c r="V1385" s="1357">
        <v>15</v>
      </c>
    </row>
    <row r="1386" spans="1:22" s="841" customFormat="1" ht="15" x14ac:dyDescent="0.25">
      <c r="A1386" s="841" t="s">
        <v>424</v>
      </c>
      <c r="E1386" s="1988" t="s">
        <v>3148</v>
      </c>
      <c r="F1386" s="1988"/>
      <c r="G1386" s="1066" t="s">
        <v>23</v>
      </c>
      <c r="H1386" s="1103">
        <v>15</v>
      </c>
      <c r="M1386" s="1357"/>
      <c r="Q1386" s="1357"/>
      <c r="S1386" s="1420"/>
      <c r="T1386" s="1420"/>
      <c r="V1386" s="1357">
        <v>56</v>
      </c>
    </row>
    <row r="1387" spans="1:22" s="841" customFormat="1" ht="15" x14ac:dyDescent="0.25">
      <c r="A1387" s="841" t="s">
        <v>424</v>
      </c>
      <c r="E1387" s="1988" t="s">
        <v>88</v>
      </c>
      <c r="F1387" s="1988"/>
      <c r="G1387" s="1066" t="s">
        <v>23</v>
      </c>
      <c r="H1387" s="1103">
        <v>30</v>
      </c>
      <c r="M1387" s="1357"/>
      <c r="Q1387" s="1357"/>
      <c r="S1387" s="1420"/>
      <c r="T1387" s="1420"/>
      <c r="V1387" s="1357">
        <v>89</v>
      </c>
    </row>
    <row r="1388" spans="1:22" s="841" customFormat="1" ht="15" x14ac:dyDescent="0.25">
      <c r="A1388" s="841" t="s">
        <v>424</v>
      </c>
      <c r="E1388" s="1988" t="s">
        <v>123</v>
      </c>
      <c r="F1388" s="1988"/>
      <c r="G1388" s="1066" t="s">
        <v>23</v>
      </c>
      <c r="H1388" s="1103">
        <v>15</v>
      </c>
      <c r="M1388" s="1357"/>
      <c r="Q1388" s="1357"/>
      <c r="S1388" s="1420"/>
      <c r="T1388" s="1420"/>
      <c r="V1388" s="1357">
        <v>35</v>
      </c>
    </row>
    <row r="1389" spans="1:22" s="841" customFormat="1" ht="15" x14ac:dyDescent="0.25">
      <c r="A1389" s="841" t="s">
        <v>424</v>
      </c>
      <c r="E1389" s="1988" t="s">
        <v>3150</v>
      </c>
      <c r="F1389" s="1988"/>
      <c r="G1389" s="1066" t="s">
        <v>23</v>
      </c>
      <c r="H1389" s="1103">
        <v>15</v>
      </c>
      <c r="M1389" s="1357"/>
      <c r="Q1389" s="1357"/>
      <c r="S1389" s="1420"/>
      <c r="T1389" s="1420"/>
      <c r="V1389" s="1357">
        <v>24</v>
      </c>
    </row>
    <row r="1390" spans="1:22" s="841" customFormat="1" ht="15" x14ac:dyDescent="0.25">
      <c r="A1390" s="841" t="s">
        <v>424</v>
      </c>
      <c r="E1390" s="1988" t="s">
        <v>3151</v>
      </c>
      <c r="F1390" s="1988"/>
      <c r="G1390" s="1066" t="s">
        <v>23</v>
      </c>
      <c r="H1390" s="1103">
        <v>15</v>
      </c>
      <c r="M1390" s="1357"/>
      <c r="Q1390" s="1357"/>
      <c r="S1390" s="1420"/>
      <c r="T1390" s="1420"/>
      <c r="V1390" s="1357">
        <v>19</v>
      </c>
    </row>
    <row r="1391" spans="1:22" s="841" customFormat="1" ht="15" x14ac:dyDescent="0.25">
      <c r="A1391" s="841" t="s">
        <v>424</v>
      </c>
      <c r="E1391" s="1988" t="s">
        <v>92</v>
      </c>
      <c r="F1391" s="1988"/>
      <c r="G1391" s="1066" t="s">
        <v>23</v>
      </c>
      <c r="H1391" s="1103">
        <v>30</v>
      </c>
      <c r="M1391" s="1357"/>
      <c r="Q1391" s="1357"/>
      <c r="S1391" s="1420"/>
      <c r="T1391" s="1420"/>
      <c r="V1391" s="1357">
        <v>74</v>
      </c>
    </row>
    <row r="1392" spans="1:22" s="841" customFormat="1" ht="15" x14ac:dyDescent="0.25">
      <c r="A1392" s="841" t="s">
        <v>424</v>
      </c>
      <c r="E1392" s="1102" t="s">
        <v>3152</v>
      </c>
      <c r="F1392" s="685"/>
      <c r="G1392" s="683"/>
      <c r="H1392" s="684"/>
      <c r="K1392" s="841" t="s">
        <v>3537</v>
      </c>
      <c r="M1392" s="1357"/>
      <c r="Q1392" s="1357"/>
      <c r="S1392" s="1420"/>
      <c r="T1392" s="1420"/>
      <c r="V1392" s="1357">
        <v>22</v>
      </c>
    </row>
    <row r="1393" spans="1:22" s="841" customFormat="1" ht="15" x14ac:dyDescent="0.25">
      <c r="A1393" s="841" t="s">
        <v>424</v>
      </c>
      <c r="E1393" s="1988" t="s">
        <v>5137</v>
      </c>
      <c r="F1393" s="1988"/>
      <c r="G1393" s="1005" t="s">
        <v>86</v>
      </c>
      <c r="H1393" s="1103">
        <v>1.5</v>
      </c>
      <c r="M1393" s="1357"/>
      <c r="Q1393" s="1357"/>
      <c r="S1393" s="1420"/>
      <c r="T1393" s="1420"/>
      <c r="V1393" s="1357">
        <v>24</v>
      </c>
    </row>
    <row r="1394" spans="1:22" s="841" customFormat="1" ht="15" x14ac:dyDescent="0.25">
      <c r="A1394" s="841" t="s">
        <v>424</v>
      </c>
      <c r="E1394" s="1988" t="s">
        <v>4772</v>
      </c>
      <c r="F1394" s="1988"/>
      <c r="G1394" s="1066" t="s">
        <v>86</v>
      </c>
      <c r="H1394" s="1103">
        <v>19.559999999999999</v>
      </c>
      <c r="M1394" s="1357"/>
      <c r="Q1394" s="1357"/>
      <c r="S1394" s="1420"/>
      <c r="T1394" s="1420"/>
      <c r="V1394" s="1357">
        <v>24</v>
      </c>
    </row>
    <row r="1395" spans="1:22" s="841" customFormat="1" ht="15" x14ac:dyDescent="0.25">
      <c r="A1395" s="841" t="s">
        <v>424</v>
      </c>
      <c r="E1395" s="1988" t="s">
        <v>3156</v>
      </c>
      <c r="F1395" s="1988"/>
      <c r="G1395" s="1066" t="s">
        <v>23</v>
      </c>
      <c r="H1395" s="1103">
        <v>30</v>
      </c>
      <c r="M1395" s="1357"/>
      <c r="Q1395" s="1357"/>
      <c r="S1395" s="1420"/>
      <c r="T1395" s="1420"/>
      <c r="V1395" s="1357">
        <v>79</v>
      </c>
    </row>
    <row r="1396" spans="1:22" s="841" customFormat="1" ht="15" x14ac:dyDescent="0.25">
      <c r="A1396" s="841" t="s">
        <v>424</v>
      </c>
      <c r="E1396" s="1988" t="s">
        <v>3157</v>
      </c>
      <c r="F1396" s="1988"/>
      <c r="G1396" s="1066" t="s">
        <v>23</v>
      </c>
      <c r="H1396" s="1103">
        <v>165</v>
      </c>
      <c r="M1396" s="1357"/>
      <c r="Q1396" s="1357"/>
      <c r="S1396" s="1420"/>
      <c r="T1396" s="1420"/>
      <c r="V1396" s="1357">
        <v>69</v>
      </c>
    </row>
    <row r="1397" spans="1:22" s="841" customFormat="1" ht="15" x14ac:dyDescent="0.25">
      <c r="A1397" s="841" t="s">
        <v>424</v>
      </c>
      <c r="E1397" s="1988" t="s">
        <v>4773</v>
      </c>
      <c r="F1397" s="1988"/>
      <c r="G1397" s="1066" t="s">
        <v>23</v>
      </c>
      <c r="H1397" s="1103">
        <v>65</v>
      </c>
      <c r="M1397" s="1357"/>
      <c r="Q1397" s="1357"/>
      <c r="S1397" s="1420"/>
      <c r="T1397" s="1420"/>
      <c r="V1397" s="1357">
        <v>52</v>
      </c>
    </row>
    <row r="1398" spans="1:22" s="841" customFormat="1" ht="15" x14ac:dyDescent="0.25">
      <c r="A1398" s="841" t="s">
        <v>424</v>
      </c>
      <c r="E1398" s="1988" t="s">
        <v>4774</v>
      </c>
      <c r="F1398" s="1988"/>
      <c r="G1398" s="1066" t="s">
        <v>23</v>
      </c>
      <c r="H1398" s="1103">
        <v>185</v>
      </c>
      <c r="M1398" s="1357"/>
      <c r="Q1398" s="1357"/>
      <c r="S1398" s="1420"/>
      <c r="T1398" s="1420"/>
      <c r="V1398" s="1357">
        <v>51</v>
      </c>
    </row>
    <row r="1399" spans="1:22" s="841" customFormat="1" ht="15" x14ac:dyDescent="0.25">
      <c r="A1399" s="841" t="s">
        <v>424</v>
      </c>
      <c r="E1399" s="1988" t="s">
        <v>4775</v>
      </c>
      <c r="F1399" s="1988"/>
      <c r="G1399" s="1066" t="s">
        <v>23</v>
      </c>
      <c r="H1399" s="1103">
        <v>185</v>
      </c>
      <c r="M1399" s="1357"/>
      <c r="Q1399" s="1357"/>
      <c r="S1399" s="1420"/>
      <c r="T1399" s="1420"/>
      <c r="V1399" s="1357">
        <v>51</v>
      </c>
    </row>
    <row r="1400" spans="1:22" s="841" customFormat="1" ht="15" x14ac:dyDescent="0.25">
      <c r="A1400" s="841" t="s">
        <v>424</v>
      </c>
      <c r="E1400" s="1988" t="s">
        <v>4776</v>
      </c>
      <c r="F1400" s="1988"/>
      <c r="G1400" s="1066" t="s">
        <v>23</v>
      </c>
      <c r="H1400" s="1103">
        <v>415</v>
      </c>
      <c r="M1400" s="1357"/>
      <c r="Q1400" s="1357"/>
      <c r="S1400" s="1420"/>
      <c r="T1400" s="1420"/>
      <c r="V1400" s="1357">
        <v>50</v>
      </c>
    </row>
    <row r="1401" spans="1:22" s="841" customFormat="1" ht="15" x14ac:dyDescent="0.25">
      <c r="A1401" s="841" t="s">
        <v>424</v>
      </c>
      <c r="E1401" s="1988" t="s">
        <v>4777</v>
      </c>
      <c r="F1401" s="1988"/>
      <c r="G1401" s="1066" t="s">
        <v>23</v>
      </c>
      <c r="H1401" s="1103">
        <v>65</v>
      </c>
      <c r="M1401" s="1357"/>
      <c r="Q1401" s="1357"/>
      <c r="S1401" s="1420"/>
      <c r="T1401" s="1420"/>
      <c r="V1401" s="1357">
        <v>57</v>
      </c>
    </row>
    <row r="1402" spans="1:22" s="841" customFormat="1" ht="15" x14ac:dyDescent="0.25">
      <c r="A1402" s="841" t="s">
        <v>424</v>
      </c>
      <c r="E1402" s="1988" t="s">
        <v>4778</v>
      </c>
      <c r="F1402" s="1988"/>
      <c r="G1402" s="1066" t="s">
        <v>23</v>
      </c>
      <c r="H1402" s="1103">
        <v>185</v>
      </c>
      <c r="M1402" s="1357"/>
      <c r="Q1402" s="1357"/>
      <c r="S1402" s="1420"/>
      <c r="T1402" s="1420"/>
      <c r="V1402" s="1357">
        <v>56</v>
      </c>
    </row>
    <row r="1403" spans="1:22" s="841" customFormat="1" ht="15" x14ac:dyDescent="0.25">
      <c r="A1403" s="841" t="s">
        <v>424</v>
      </c>
      <c r="E1403" s="1102" t="s">
        <v>3164</v>
      </c>
      <c r="F1403" s="687"/>
      <c r="G1403" s="1105"/>
      <c r="H1403" s="1106"/>
      <c r="M1403" s="1357"/>
      <c r="Q1403" s="1357"/>
      <c r="S1403" s="1420"/>
      <c r="T1403" s="1420"/>
      <c r="V1403" s="1357">
        <v>5</v>
      </c>
    </row>
    <row r="1404" spans="1:22" s="841" customFormat="1" ht="15" x14ac:dyDescent="0.25">
      <c r="A1404" s="841" t="s">
        <v>424</v>
      </c>
      <c r="E1404" s="1988" t="s">
        <v>94</v>
      </c>
      <c r="F1404" s="1988"/>
      <c r="G1404" s="1066" t="s">
        <v>23</v>
      </c>
      <c r="H1404" s="1103">
        <v>30</v>
      </c>
      <c r="M1404" s="1357"/>
      <c r="Q1404" s="1357"/>
      <c r="S1404" s="1420"/>
      <c r="T1404" s="1420"/>
      <c r="V1404" s="1357">
        <v>19</v>
      </c>
    </row>
    <row r="1405" spans="1:22" s="841" customFormat="1" ht="15" x14ac:dyDescent="0.25">
      <c r="A1405" s="841" t="s">
        <v>424</v>
      </c>
      <c r="E1405" s="1988" t="s">
        <v>3167</v>
      </c>
      <c r="F1405" s="1988"/>
      <c r="G1405" s="1066" t="s">
        <v>23</v>
      </c>
      <c r="H1405" s="1103">
        <v>30</v>
      </c>
      <c r="M1405" s="1357"/>
      <c r="Q1405" s="1357"/>
      <c r="S1405" s="1420"/>
      <c r="T1405" s="1420"/>
      <c r="V1405" s="1357">
        <v>39</v>
      </c>
    </row>
    <row r="1406" spans="1:22" s="841" customFormat="1" ht="15" x14ac:dyDescent="0.25">
      <c r="A1406" s="841" t="s">
        <v>424</v>
      </c>
      <c r="E1406" s="1988" t="s">
        <v>3168</v>
      </c>
      <c r="F1406" s="1988"/>
      <c r="G1406" s="1066" t="s">
        <v>23</v>
      </c>
      <c r="H1406" s="1103">
        <v>165</v>
      </c>
      <c r="M1406" s="1357"/>
      <c r="Q1406" s="1357"/>
      <c r="S1406" s="1420"/>
      <c r="T1406" s="1420"/>
      <c r="V1406" s="1357">
        <v>34</v>
      </c>
    </row>
    <row r="1407" spans="1:22" s="841" customFormat="1" ht="15" x14ac:dyDescent="0.25">
      <c r="A1407" s="841" t="s">
        <v>424</v>
      </c>
      <c r="E1407" s="1988" t="s">
        <v>3169</v>
      </c>
      <c r="F1407" s="1988"/>
      <c r="G1407" s="1066" t="s">
        <v>23</v>
      </c>
      <c r="H1407" s="1103">
        <v>500</v>
      </c>
      <c r="M1407" s="1357"/>
      <c r="Q1407" s="1357"/>
      <c r="S1407" s="1420"/>
      <c r="T1407" s="1420"/>
      <c r="V1407" s="1357">
        <v>63</v>
      </c>
    </row>
    <row r="1408" spans="1:22" s="841" customFormat="1" ht="15" x14ac:dyDescent="0.25">
      <c r="A1408" s="841" t="s">
        <v>424</v>
      </c>
      <c r="E1408" s="1988" t="s">
        <v>3170</v>
      </c>
      <c r="F1408" s="1988"/>
      <c r="G1408" s="1066" t="s">
        <v>23</v>
      </c>
      <c r="H1408" s="1103">
        <v>300</v>
      </c>
      <c r="M1408" s="1357"/>
      <c r="Q1408" s="1357"/>
      <c r="S1408" s="1420"/>
      <c r="T1408" s="1420"/>
      <c r="V1408" s="1357">
        <v>65</v>
      </c>
    </row>
    <row r="1409" spans="1:22" s="841" customFormat="1" ht="15" x14ac:dyDescent="0.25">
      <c r="A1409" s="841" t="s">
        <v>424</v>
      </c>
      <c r="E1409" s="1988" t="s">
        <v>3171</v>
      </c>
      <c r="F1409" s="1988"/>
      <c r="G1409" s="1066" t="s">
        <v>23</v>
      </c>
      <c r="H1409" s="1103">
        <v>1000</v>
      </c>
      <c r="M1409" s="1357"/>
      <c r="Q1409" s="1357"/>
      <c r="S1409" s="1420"/>
      <c r="T1409" s="1420"/>
      <c r="V1409" s="1357">
        <v>64</v>
      </c>
    </row>
    <row r="1410" spans="1:22" s="841" customFormat="1" ht="15" x14ac:dyDescent="0.25">
      <c r="A1410" s="841" t="s">
        <v>424</v>
      </c>
      <c r="E1410" s="1924" t="s">
        <v>3538</v>
      </c>
      <c r="F1410" s="1924"/>
      <c r="G1410" s="1066" t="s">
        <v>23</v>
      </c>
      <c r="H1410" s="1103">
        <v>22.35</v>
      </c>
      <c r="M1410" s="1357"/>
      <c r="Q1410" s="1357"/>
      <c r="S1410" s="1420"/>
      <c r="T1410" s="1420"/>
      <c r="V1410" s="1357">
        <v>454</v>
      </c>
    </row>
    <row r="1411" spans="1:22" s="841" customFormat="1" x14ac:dyDescent="0.25">
      <c r="A1411" s="841" t="s">
        <v>424</v>
      </c>
      <c r="E1411" s="1108" t="s">
        <v>77</v>
      </c>
      <c r="F1411" s="1109"/>
      <c r="G1411" s="1099"/>
      <c r="H1411" s="1100"/>
      <c r="K1411" s="841" t="s">
        <v>3539</v>
      </c>
      <c r="M1411" s="1357"/>
      <c r="Q1411" s="1357"/>
      <c r="S1411" s="1420"/>
      <c r="T1411" s="1420"/>
      <c r="V1411" s="1357">
        <v>38</v>
      </c>
    </row>
    <row r="1412" spans="1:22" s="841" customFormat="1" ht="15" x14ac:dyDescent="0.25">
      <c r="A1412" s="841" t="s">
        <v>424</v>
      </c>
      <c r="E1412" s="2026" t="s">
        <v>3063</v>
      </c>
      <c r="F1412" s="2026"/>
      <c r="G1412" s="2036"/>
      <c r="H1412" s="2037"/>
      <c r="M1412" s="1357"/>
      <c r="Q1412" s="1357"/>
      <c r="S1412" s="1420"/>
      <c r="T1412" s="1420"/>
      <c r="V1412" s="1357">
        <v>280</v>
      </c>
    </row>
    <row r="1413" spans="1:22" s="841" customFormat="1" ht="15" x14ac:dyDescent="0.25">
      <c r="A1413" s="841" t="s">
        <v>424</v>
      </c>
      <c r="E1413" s="2026" t="s">
        <v>3064</v>
      </c>
      <c r="F1413" s="2026"/>
      <c r="G1413" s="2036"/>
      <c r="H1413" s="2037"/>
      <c r="M1413" s="1357"/>
      <c r="Q1413" s="1357"/>
      <c r="S1413" s="1420"/>
      <c r="T1413" s="1420"/>
      <c r="V1413" s="1357">
        <v>411</v>
      </c>
    </row>
    <row r="1414" spans="1:22" s="841" customFormat="1" ht="15" x14ac:dyDescent="0.25">
      <c r="A1414" s="841" t="s">
        <v>424</v>
      </c>
      <c r="E1414" s="2026" t="s">
        <v>3129</v>
      </c>
      <c r="F1414" s="2026"/>
      <c r="G1414" s="2036"/>
      <c r="H1414" s="2037"/>
      <c r="M1414" s="1357"/>
      <c r="Q1414" s="1357"/>
      <c r="S1414" s="1420"/>
      <c r="T1414" s="1420"/>
      <c r="V1414" s="1357">
        <v>211</v>
      </c>
    </row>
    <row r="1415" spans="1:22" s="841" customFormat="1" ht="15" x14ac:dyDescent="0.25">
      <c r="A1415" s="841" t="s">
        <v>424</v>
      </c>
      <c r="E1415" s="2026" t="s">
        <v>3066</v>
      </c>
      <c r="F1415" s="2026"/>
      <c r="G1415" s="2036"/>
      <c r="H1415" s="2037"/>
      <c r="M1415" s="1357"/>
      <c r="Q1415" s="1357"/>
      <c r="S1415" s="1420"/>
      <c r="T1415" s="1420"/>
      <c r="V1415" s="1357">
        <v>275</v>
      </c>
    </row>
    <row r="1416" spans="1:22" s="841" customFormat="1" ht="15" x14ac:dyDescent="0.25">
      <c r="A1416" s="841" t="s">
        <v>424</v>
      </c>
      <c r="E1416" s="2026" t="s">
        <v>3291</v>
      </c>
      <c r="F1416" s="2026"/>
      <c r="G1416" s="2036"/>
      <c r="H1416" s="2037"/>
      <c r="M1416" s="1357"/>
      <c r="Q1416" s="1357"/>
      <c r="S1416" s="1420"/>
      <c r="T1416" s="1420"/>
      <c r="V1416" s="1357">
        <v>142</v>
      </c>
    </row>
    <row r="1417" spans="1:22" s="841" customFormat="1" ht="15" x14ac:dyDescent="0.25">
      <c r="A1417" s="841" t="s">
        <v>424</v>
      </c>
      <c r="E1417" s="1934" t="s">
        <v>3176</v>
      </c>
      <c r="F1417" s="1934"/>
      <c r="G1417" s="714" t="s">
        <v>23</v>
      </c>
      <c r="H1417" s="715">
        <v>100</v>
      </c>
      <c r="M1417" s="1357"/>
      <c r="Q1417" s="1357"/>
      <c r="S1417" s="1420"/>
      <c r="T1417" s="1420"/>
      <c r="V1417" s="1357">
        <v>106</v>
      </c>
    </row>
    <row r="1418" spans="1:22" s="841" customFormat="1" ht="15" x14ac:dyDescent="0.25">
      <c r="A1418" s="841" t="s">
        <v>424</v>
      </c>
      <c r="E1418" s="1934" t="s">
        <v>5140</v>
      </c>
      <c r="F1418" s="1934"/>
      <c r="G1418" s="714" t="s">
        <v>23</v>
      </c>
      <c r="H1418" s="715">
        <v>20</v>
      </c>
      <c r="M1418" s="1357"/>
      <c r="Q1418" s="1357"/>
      <c r="S1418" s="1420"/>
      <c r="T1418" s="1420"/>
      <c r="V1418" s="1357">
        <v>34</v>
      </c>
    </row>
    <row r="1419" spans="1:22" s="841" customFormat="1" ht="15" x14ac:dyDescent="0.25">
      <c r="A1419" s="841" t="s">
        <v>424</v>
      </c>
      <c r="E1419" s="1934" t="s">
        <v>5141</v>
      </c>
      <c r="F1419" s="1934"/>
      <c r="G1419" s="714" t="s">
        <v>3179</v>
      </c>
      <c r="H1419" s="715">
        <v>0.5</v>
      </c>
      <c r="M1419" s="1357"/>
      <c r="Q1419" s="1357"/>
      <c r="S1419" s="1420"/>
      <c r="T1419" s="1420"/>
      <c r="V1419" s="1357">
        <v>51</v>
      </c>
    </row>
    <row r="1420" spans="1:22" s="841" customFormat="1" ht="15" x14ac:dyDescent="0.25">
      <c r="A1420" s="841" t="s">
        <v>424</v>
      </c>
      <c r="E1420" s="1934" t="s">
        <v>3180</v>
      </c>
      <c r="F1420" s="1934"/>
      <c r="G1420" s="714" t="s">
        <v>3179</v>
      </c>
      <c r="H1420" s="715">
        <v>0.3</v>
      </c>
      <c r="M1420" s="1357"/>
      <c r="Q1420" s="1357"/>
      <c r="S1420" s="1420"/>
      <c r="T1420" s="1420"/>
      <c r="V1420" s="1357">
        <v>75</v>
      </c>
    </row>
    <row r="1421" spans="1:22" s="841" customFormat="1" ht="15" x14ac:dyDescent="0.25">
      <c r="A1421" s="841" t="s">
        <v>424</v>
      </c>
      <c r="E1421" s="1934" t="s">
        <v>3181</v>
      </c>
      <c r="F1421" s="1934"/>
      <c r="G1421" s="714" t="s">
        <v>3179</v>
      </c>
      <c r="H1421" s="715">
        <v>-0.3</v>
      </c>
      <c r="M1421" s="1357"/>
      <c r="Q1421" s="1357"/>
      <c r="S1421" s="1420"/>
      <c r="T1421" s="1420"/>
      <c r="V1421" s="1357">
        <v>72</v>
      </c>
    </row>
    <row r="1422" spans="1:22" s="841" customFormat="1" ht="15" x14ac:dyDescent="0.25">
      <c r="A1422" s="841" t="s">
        <v>424</v>
      </c>
      <c r="E1422" s="1934" t="s">
        <v>3182</v>
      </c>
      <c r="F1422" s="1934"/>
      <c r="G1422" s="1163"/>
      <c r="H1422" s="717"/>
      <c r="M1422" s="1357"/>
      <c r="Q1422" s="1357"/>
      <c r="S1422" s="1420"/>
      <c r="T1422" s="1420"/>
      <c r="V1422" s="1357">
        <v>35</v>
      </c>
    </row>
    <row r="1423" spans="1:22" s="841" customFormat="1" ht="15" x14ac:dyDescent="0.25">
      <c r="A1423" s="841" t="s">
        <v>424</v>
      </c>
      <c r="E1423" s="1996" t="s">
        <v>3183</v>
      </c>
      <c r="F1423" s="1996"/>
      <c r="G1423" s="714" t="s">
        <v>23</v>
      </c>
      <c r="H1423" s="715">
        <v>0.25</v>
      </c>
      <c r="M1423" s="1357"/>
      <c r="Q1423" s="1357"/>
      <c r="S1423" s="1420"/>
      <c r="T1423" s="1420"/>
      <c r="V1423" s="1357">
        <v>57</v>
      </c>
    </row>
    <row r="1424" spans="1:22" s="841" customFormat="1" ht="15" x14ac:dyDescent="0.25">
      <c r="A1424" s="841" t="s">
        <v>424</v>
      </c>
      <c r="E1424" s="1996" t="s">
        <v>3184</v>
      </c>
      <c r="F1424" s="1996"/>
      <c r="G1424" s="714" t="s">
        <v>23</v>
      </c>
      <c r="H1424" s="715">
        <v>0.5</v>
      </c>
      <c r="M1424" s="1357"/>
      <c r="Q1424" s="1357"/>
      <c r="S1424" s="1420"/>
      <c r="T1424" s="1420"/>
      <c r="V1424" s="1357">
        <v>60</v>
      </c>
    </row>
    <row r="1425" spans="1:22" s="841" customFormat="1" ht="15" x14ac:dyDescent="0.25">
      <c r="A1425" s="841" t="s">
        <v>424</v>
      </c>
      <c r="E1425" s="1934" t="s">
        <v>3185</v>
      </c>
      <c r="F1425" s="1934"/>
      <c r="G1425" s="1163"/>
      <c r="H1425" s="717"/>
      <c r="M1425" s="1357"/>
      <c r="Q1425" s="1357"/>
      <c r="S1425" s="1420"/>
      <c r="T1425" s="1420"/>
      <c r="V1425" s="1357">
        <v>91</v>
      </c>
    </row>
    <row r="1426" spans="1:22" s="841" customFormat="1" ht="15" x14ac:dyDescent="0.25">
      <c r="A1426" s="841" t="s">
        <v>424</v>
      </c>
      <c r="E1426" s="1934" t="s">
        <v>3186</v>
      </c>
      <c r="F1426" s="1934"/>
      <c r="G1426" s="1163"/>
      <c r="H1426" s="717"/>
      <c r="M1426" s="1357"/>
      <c r="Q1426" s="1357"/>
      <c r="S1426" s="1420"/>
      <c r="T1426" s="1420"/>
      <c r="V1426" s="1357">
        <v>96</v>
      </c>
    </row>
    <row r="1427" spans="1:22" s="841" customFormat="1" ht="15" x14ac:dyDescent="0.25">
      <c r="A1427" s="841" t="s">
        <v>424</v>
      </c>
      <c r="E1427" s="1934" t="s">
        <v>3187</v>
      </c>
      <c r="F1427" s="1934"/>
      <c r="G1427" s="1163"/>
      <c r="H1427" s="717"/>
      <c r="M1427" s="1357"/>
      <c r="Q1427" s="1357"/>
      <c r="S1427" s="1420"/>
      <c r="T1427" s="1420"/>
      <c r="V1427" s="1357">
        <v>78</v>
      </c>
    </row>
    <row r="1428" spans="1:22" s="841" customFormat="1" ht="15" x14ac:dyDescent="0.25">
      <c r="A1428" s="841" t="s">
        <v>424</v>
      </c>
      <c r="E1428" s="1996" t="s">
        <v>3188</v>
      </c>
      <c r="F1428" s="1996"/>
      <c r="G1428" s="714" t="s">
        <v>23</v>
      </c>
      <c r="H1428" s="715" t="s">
        <v>3189</v>
      </c>
      <c r="M1428" s="1357"/>
      <c r="Q1428" s="1357"/>
      <c r="S1428" s="1420"/>
      <c r="T1428" s="1420"/>
      <c r="V1428" s="1357">
        <v>18</v>
      </c>
    </row>
    <row r="1429" spans="1:22" s="841" customFormat="1" ht="15" x14ac:dyDescent="0.25">
      <c r="A1429" s="841" t="s">
        <v>424</v>
      </c>
      <c r="E1429" s="1996" t="s">
        <v>3190</v>
      </c>
      <c r="F1429" s="1996"/>
      <c r="G1429" s="714" t="s">
        <v>23</v>
      </c>
      <c r="H1429" s="715">
        <v>2</v>
      </c>
      <c r="M1429" s="1357"/>
      <c r="Q1429" s="1357"/>
      <c r="S1429" s="1420"/>
      <c r="T1429" s="1420"/>
      <c r="V1429" s="1357">
        <v>69</v>
      </c>
    </row>
    <row r="1430" spans="1:22" s="841" customFormat="1" x14ac:dyDescent="0.25">
      <c r="A1430" s="841" t="s">
        <v>424</v>
      </c>
      <c r="E1430" s="1108" t="s">
        <v>147</v>
      </c>
      <c r="F1430" s="1109"/>
      <c r="G1430" s="1099"/>
      <c r="H1430" s="1100"/>
      <c r="K1430" s="841" t="s">
        <v>3540</v>
      </c>
      <c r="M1430" s="1357"/>
      <c r="Q1430" s="1357"/>
      <c r="S1430" s="1420"/>
      <c r="T1430" s="1420"/>
      <c r="V1430" s="1357">
        <v>12</v>
      </c>
    </row>
    <row r="1431" spans="1:22" s="841" customFormat="1" ht="15" x14ac:dyDescent="0.25">
      <c r="A1431" s="841" t="s">
        <v>424</v>
      </c>
      <c r="E1431" s="2029" t="s">
        <v>3192</v>
      </c>
      <c r="F1431" s="2029"/>
      <c r="G1431" s="2058"/>
      <c r="H1431" s="2065"/>
      <c r="M1431" s="1357"/>
      <c r="Q1431" s="1357"/>
      <c r="S1431" s="1420"/>
      <c r="T1431" s="1420"/>
      <c r="V1431" s="1357">
        <v>203</v>
      </c>
    </row>
    <row r="1432" spans="1:22" s="841" customFormat="1" ht="15" x14ac:dyDescent="0.25">
      <c r="A1432" s="841" t="s">
        <v>424</v>
      </c>
      <c r="E1432" s="1934" t="s">
        <v>3295</v>
      </c>
      <c r="F1432" s="1934"/>
      <c r="G1432" s="1164"/>
      <c r="H1432" s="1165">
        <v>1.0529999999999999</v>
      </c>
      <c r="M1432" s="1357"/>
      <c r="Q1432" s="1357"/>
      <c r="S1432" s="1420"/>
      <c r="T1432" s="1420"/>
      <c r="V1432" s="1357">
        <v>57</v>
      </c>
    </row>
    <row r="1433" spans="1:22" s="841" customFormat="1" ht="15" x14ac:dyDescent="0.25">
      <c r="A1433" s="841" t="s">
        <v>424</v>
      </c>
      <c r="E1433" s="1934" t="s">
        <v>3297</v>
      </c>
      <c r="F1433" s="1934"/>
      <c r="G1433" s="1164"/>
      <c r="H1433" s="1166">
        <v>1.0425</v>
      </c>
      <c r="J1433" s="841" t="s">
        <v>3541</v>
      </c>
      <c r="M1433" s="1357"/>
      <c r="Q1433" s="1357"/>
      <c r="S1433" s="1420"/>
      <c r="T1433" s="1420"/>
      <c r="V1433" s="1357">
        <v>55</v>
      </c>
    </row>
    <row r="1434" spans="1:22" s="841" customFormat="1" ht="23.25" x14ac:dyDescent="0.25">
      <c r="A1434" s="841" t="s">
        <v>175</v>
      </c>
      <c r="C1434" s="841" t="s">
        <v>3050</v>
      </c>
      <c r="E1434" s="1911" t="s">
        <v>175</v>
      </c>
      <c r="F1434" s="1911"/>
      <c r="G1434" s="1911"/>
      <c r="H1434" s="1911"/>
      <c r="I1434" s="841" t="s">
        <v>628</v>
      </c>
      <c r="J1434" s="841" t="s">
        <v>6114</v>
      </c>
      <c r="K1434" s="841" t="s">
        <v>175</v>
      </c>
      <c r="M1434" s="1357">
        <v>8</v>
      </c>
      <c r="Q1434" s="1357"/>
      <c r="S1434" s="1420"/>
      <c r="T1434" s="1420"/>
      <c r="V1434" s="1357">
        <v>28</v>
      </c>
    </row>
    <row r="1435" spans="1:22" s="841" customFormat="1" x14ac:dyDescent="0.25">
      <c r="A1435" s="841" t="s">
        <v>175</v>
      </c>
      <c r="C1435" s="841" t="s">
        <v>3052</v>
      </c>
      <c r="E1435" s="1912" t="s">
        <v>3053</v>
      </c>
      <c r="F1435" s="1912"/>
      <c r="G1435" s="1912"/>
      <c r="H1435" s="1912"/>
      <c r="M1435" s="1357"/>
      <c r="Q1435" s="1357"/>
      <c r="S1435" s="1420"/>
      <c r="T1435" s="1420"/>
      <c r="V1435" s="1357">
        <v>27</v>
      </c>
    </row>
    <row r="1436" spans="1:22" s="841" customFormat="1" ht="15.75" x14ac:dyDescent="0.25">
      <c r="A1436" s="841" t="s">
        <v>175</v>
      </c>
      <c r="C1436" s="841" t="s">
        <v>3054</v>
      </c>
      <c r="E1436" s="1913" t="s">
        <v>6115</v>
      </c>
      <c r="F1436" s="1913"/>
      <c r="G1436" s="1913"/>
      <c r="H1436" s="1913"/>
      <c r="M1436" s="1357"/>
      <c r="Q1436" s="1357"/>
      <c r="S1436" s="1420">
        <v>43101</v>
      </c>
      <c r="T1436" s="1420"/>
      <c r="V1436" s="1357">
        <v>49</v>
      </c>
    </row>
    <row r="1437" spans="1:22" s="841" customFormat="1" ht="15" x14ac:dyDescent="0.25">
      <c r="A1437" s="841" t="s">
        <v>175</v>
      </c>
      <c r="C1437" s="841" t="s">
        <v>3055</v>
      </c>
      <c r="E1437" s="1914" t="s">
        <v>3056</v>
      </c>
      <c r="F1437" s="1914"/>
      <c r="G1437" s="1914"/>
      <c r="H1437" s="1914"/>
      <c r="M1437" s="1357"/>
      <c r="Q1437" s="1357"/>
      <c r="S1437" s="1420"/>
      <c r="T1437" s="1420"/>
      <c r="V1437" s="1357">
        <v>52</v>
      </c>
    </row>
    <row r="1438" spans="1:22" s="841" customFormat="1" ht="15" x14ac:dyDescent="0.25">
      <c r="A1438" s="841" t="s">
        <v>175</v>
      </c>
      <c r="E1438" s="1914" t="s">
        <v>3057</v>
      </c>
      <c r="F1438" s="1914"/>
      <c r="G1438" s="1914"/>
      <c r="H1438" s="1914"/>
      <c r="M1438" s="1357"/>
      <c r="Q1438" s="1357"/>
      <c r="S1438" s="1420"/>
      <c r="T1438" s="1420"/>
      <c r="V1438" s="1357">
        <v>53</v>
      </c>
    </row>
    <row r="1439" spans="1:22" s="841" customFormat="1" ht="15" x14ac:dyDescent="0.25">
      <c r="A1439" s="841" t="s">
        <v>175</v>
      </c>
      <c r="E1439" s="1925" t="s">
        <v>6116</v>
      </c>
      <c r="F1439" s="1925"/>
      <c r="G1439" s="1925"/>
      <c r="H1439" s="1925"/>
      <c r="K1439" s="841" t="s">
        <v>6116</v>
      </c>
      <c r="M1439" s="1357"/>
      <c r="Q1439" s="1357"/>
      <c r="S1439" s="1420"/>
      <c r="T1439" s="1420"/>
      <c r="V1439" s="1357">
        <v>12</v>
      </c>
    </row>
    <row r="1440" spans="1:22" s="841" customFormat="1" ht="15" x14ac:dyDescent="0.25">
      <c r="A1440" s="841" t="s">
        <v>175</v>
      </c>
      <c r="E1440" s="1909" t="s">
        <v>438</v>
      </c>
      <c r="F1440" s="1697"/>
      <c r="G1440" s="1697"/>
      <c r="H1440" s="1697"/>
      <c r="K1440" s="841" t="s">
        <v>3197</v>
      </c>
      <c r="M1440" s="1357"/>
      <c r="Q1440" s="1357"/>
      <c r="S1440" s="1420"/>
      <c r="T1440" s="1420"/>
      <c r="V1440" s="1357">
        <v>34</v>
      </c>
    </row>
    <row r="1441" spans="1:22" s="841" customFormat="1" ht="15" x14ac:dyDescent="0.25">
      <c r="A1441" s="841" t="s">
        <v>175</v>
      </c>
      <c r="E1441" s="1689" t="s">
        <v>6117</v>
      </c>
      <c r="F1441" s="1689"/>
      <c r="G1441" s="1689"/>
      <c r="H1441" s="1689"/>
      <c r="K1441" s="841" t="s">
        <v>3197</v>
      </c>
      <c r="M1441" s="1357"/>
      <c r="Q1441" s="1357"/>
      <c r="S1441" s="1420"/>
      <c r="T1441" s="1420"/>
      <c r="V1441" s="1357">
        <v>260</v>
      </c>
    </row>
    <row r="1442" spans="1:22" s="841" customFormat="1" ht="15" x14ac:dyDescent="0.25">
      <c r="A1442" s="841" t="s">
        <v>175</v>
      </c>
      <c r="E1442" s="1916" t="s">
        <v>3061</v>
      </c>
      <c r="F1442" s="2031"/>
      <c r="G1442" s="2031"/>
      <c r="H1442" s="2031"/>
      <c r="K1442" s="841" t="s">
        <v>3062</v>
      </c>
      <c r="M1442" s="1357"/>
      <c r="Q1442" s="1357"/>
      <c r="S1442" s="1420"/>
      <c r="T1442" s="1420"/>
      <c r="V1442" s="1357">
        <v>11</v>
      </c>
    </row>
    <row r="1443" spans="1:22" s="841" customFormat="1" ht="15" x14ac:dyDescent="0.25">
      <c r="A1443" s="841" t="s">
        <v>175</v>
      </c>
      <c r="E1443" s="1921" t="s">
        <v>3063</v>
      </c>
      <c r="F1443" s="1921"/>
      <c r="G1443" s="1921"/>
      <c r="H1443" s="1921"/>
      <c r="K1443" s="841" t="s">
        <v>3197</v>
      </c>
      <c r="M1443" s="1357"/>
      <c r="Q1443" s="1357"/>
      <c r="S1443" s="1420"/>
      <c r="T1443" s="1420"/>
      <c r="V1443" s="1357">
        <v>280</v>
      </c>
    </row>
    <row r="1444" spans="1:22" s="841" customFormat="1" ht="15" x14ac:dyDescent="0.25">
      <c r="A1444" s="841" t="s">
        <v>175</v>
      </c>
      <c r="E1444" s="1921" t="s">
        <v>3064</v>
      </c>
      <c r="F1444" s="1921"/>
      <c r="G1444" s="1921"/>
      <c r="H1444" s="1921"/>
      <c r="K1444" s="841" t="s">
        <v>3197</v>
      </c>
      <c r="M1444" s="1357"/>
      <c r="Q1444" s="1357"/>
      <c r="S1444" s="1420"/>
      <c r="T1444" s="1420"/>
      <c r="V1444" s="1357">
        <v>411</v>
      </c>
    </row>
    <row r="1445" spans="1:22" s="841" customFormat="1" ht="15" x14ac:dyDescent="0.25">
      <c r="A1445" s="841" t="s">
        <v>175</v>
      </c>
      <c r="E1445" s="1921" t="s">
        <v>3199</v>
      </c>
      <c r="F1445" s="1921"/>
      <c r="G1445" s="1921"/>
      <c r="H1445" s="1921"/>
      <c r="K1445" s="841" t="s">
        <v>3197</v>
      </c>
      <c r="M1445" s="1357"/>
      <c r="Q1445" s="1357"/>
      <c r="S1445" s="1420"/>
      <c r="T1445" s="1420"/>
      <c r="V1445" s="1357">
        <v>386</v>
      </c>
    </row>
    <row r="1446" spans="1:22" s="841" customFormat="1" ht="15" x14ac:dyDescent="0.25">
      <c r="A1446" s="841" t="s">
        <v>175</v>
      </c>
      <c r="E1446" s="1921" t="s">
        <v>3200</v>
      </c>
      <c r="F1446" s="1921"/>
      <c r="G1446" s="1921"/>
      <c r="H1446" s="1921"/>
      <c r="K1446" s="841" t="s">
        <v>3197</v>
      </c>
      <c r="M1446" s="1357"/>
      <c r="Q1446" s="1357"/>
      <c r="S1446" s="1420"/>
      <c r="T1446" s="1420"/>
      <c r="V1446" s="1357">
        <v>275</v>
      </c>
    </row>
    <row r="1447" spans="1:22" s="841" customFormat="1" ht="15" x14ac:dyDescent="0.25">
      <c r="A1447" s="841" t="s">
        <v>175</v>
      </c>
      <c r="E1447" s="1961" t="s">
        <v>3067</v>
      </c>
      <c r="F1447" s="2063"/>
      <c r="G1447" s="2063"/>
      <c r="H1447" s="2063"/>
      <c r="K1447" s="841" t="s">
        <v>3068</v>
      </c>
      <c r="M1447" s="1357"/>
      <c r="Q1447" s="1357"/>
      <c r="S1447" s="1420"/>
      <c r="T1447" s="1420"/>
      <c r="V1447" s="1357">
        <v>46</v>
      </c>
    </row>
    <row r="1448" spans="1:22" s="841" customFormat="1" ht="15" x14ac:dyDescent="0.25">
      <c r="A1448" s="841" t="s">
        <v>175</v>
      </c>
      <c r="E1448" s="1904" t="s">
        <v>11</v>
      </c>
      <c r="F1448" s="1904"/>
      <c r="G1448" s="1358" t="s">
        <v>23</v>
      </c>
      <c r="H1448" s="600">
        <v>26.33</v>
      </c>
      <c r="K1448" s="841" t="s">
        <v>3197</v>
      </c>
      <c r="L1448" s="841" t="s">
        <v>442</v>
      </c>
      <c r="M1448" s="1357"/>
      <c r="P1448" s="841" t="s">
        <v>3201</v>
      </c>
      <c r="Q1448" s="1357"/>
      <c r="S1448" s="1420"/>
      <c r="T1448" s="1420"/>
      <c r="V1448" s="1357">
        <v>14</v>
      </c>
    </row>
    <row r="1449" spans="1:22" s="841" customFormat="1" ht="15" x14ac:dyDescent="0.25">
      <c r="A1449" s="841" t="s">
        <v>175</v>
      </c>
      <c r="E1449" s="1904" t="s">
        <v>423</v>
      </c>
      <c r="F1449" s="1904"/>
      <c r="G1449" s="1358" t="s">
        <v>23</v>
      </c>
      <c r="H1449" s="391">
        <v>0.79</v>
      </c>
      <c r="K1449" s="841" t="s">
        <v>3197</v>
      </c>
      <c r="L1449" s="841" t="s">
        <v>443</v>
      </c>
      <c r="M1449" s="1357"/>
      <c r="P1449" s="841" t="s">
        <v>3202</v>
      </c>
      <c r="Q1449" s="1357"/>
      <c r="S1449" s="1420"/>
      <c r="T1449" s="1420">
        <v>43404</v>
      </c>
      <c r="V1449" s="1357">
        <v>78</v>
      </c>
    </row>
    <row r="1450" spans="1:22" s="841" customFormat="1" ht="15" x14ac:dyDescent="0.25">
      <c r="A1450" s="841" t="s">
        <v>175</v>
      </c>
      <c r="E1450" s="1904" t="s">
        <v>6118</v>
      </c>
      <c r="F1450" s="1962"/>
      <c r="G1450" s="1358" t="s">
        <v>23</v>
      </c>
      <c r="H1450" s="628">
        <v>0.65</v>
      </c>
      <c r="K1450" s="841" t="s">
        <v>3197</v>
      </c>
      <c r="L1450" s="841" t="s">
        <v>442</v>
      </c>
      <c r="M1450" s="1357"/>
      <c r="P1450" s="841" t="s">
        <v>3207</v>
      </c>
      <c r="Q1450" s="1357"/>
      <c r="S1450" s="1420"/>
      <c r="T1450" s="1420">
        <v>43465</v>
      </c>
      <c r="V1450" s="1357">
        <v>107</v>
      </c>
    </row>
    <row r="1451" spans="1:22" s="841" customFormat="1" ht="15" x14ac:dyDescent="0.25">
      <c r="A1451" s="841" t="s">
        <v>175</v>
      </c>
      <c r="E1451" s="1904" t="s">
        <v>6119</v>
      </c>
      <c r="F1451" s="1962"/>
      <c r="G1451" s="1358" t="s">
        <v>23</v>
      </c>
      <c r="H1451" s="391">
        <v>-0.16</v>
      </c>
      <c r="K1451" s="841" t="s">
        <v>3197</v>
      </c>
      <c r="L1451" s="841" t="s">
        <v>442</v>
      </c>
      <c r="M1451" s="1357"/>
      <c r="P1451" s="841" t="s">
        <v>6120</v>
      </c>
      <c r="Q1451" s="1357"/>
      <c r="S1451" s="1420"/>
      <c r="T1451" s="1420">
        <v>43830</v>
      </c>
      <c r="V1451" s="1357">
        <v>111</v>
      </c>
    </row>
    <row r="1452" spans="1:22" s="841" customFormat="1" ht="15" x14ac:dyDescent="0.25">
      <c r="A1452" s="841" t="s">
        <v>175</v>
      </c>
      <c r="E1452" s="1904" t="s">
        <v>6121</v>
      </c>
      <c r="F1452" s="1962"/>
      <c r="G1452" s="1358" t="s">
        <v>23</v>
      </c>
      <c r="H1452" s="391">
        <v>-0.48</v>
      </c>
      <c r="K1452" s="841" t="s">
        <v>3197</v>
      </c>
      <c r="L1452" s="841" t="s">
        <v>442</v>
      </c>
      <c r="M1452" s="1357"/>
      <c r="P1452" s="841" t="s">
        <v>6122</v>
      </c>
      <c r="Q1452" s="1357"/>
      <c r="S1452" s="1420"/>
      <c r="T1452" s="1420">
        <v>44196</v>
      </c>
      <c r="V1452" s="1357">
        <v>111</v>
      </c>
    </row>
    <row r="1453" spans="1:22" s="841" customFormat="1" ht="15" x14ac:dyDescent="0.25">
      <c r="A1453" s="841" t="s">
        <v>175</v>
      </c>
      <c r="E1453" s="1904" t="s">
        <v>6123</v>
      </c>
      <c r="F1453" s="1962"/>
      <c r="G1453" s="1358" t="s">
        <v>23</v>
      </c>
      <c r="H1453" s="391">
        <v>-0.64</v>
      </c>
      <c r="K1453" s="841" t="s">
        <v>3197</v>
      </c>
      <c r="L1453" s="841" t="s">
        <v>442</v>
      </c>
      <c r="M1453" s="1357"/>
      <c r="P1453" s="841" t="s">
        <v>5323</v>
      </c>
      <c r="Q1453" s="1357"/>
      <c r="S1453" s="1420"/>
      <c r="T1453" s="1420">
        <v>44561</v>
      </c>
      <c r="V1453" s="1357">
        <v>111</v>
      </c>
    </row>
    <row r="1454" spans="1:22" s="841" customFormat="1" ht="15" x14ac:dyDescent="0.25">
      <c r="A1454" s="841" t="s">
        <v>175</v>
      </c>
      <c r="E1454" s="1904" t="s">
        <v>6124</v>
      </c>
      <c r="F1454" s="1962"/>
      <c r="G1454" s="1359" t="s">
        <v>23</v>
      </c>
      <c r="H1454" s="391">
        <v>-0.33</v>
      </c>
      <c r="K1454" s="841" t="s">
        <v>3197</v>
      </c>
      <c r="L1454" s="841" t="s">
        <v>442</v>
      </c>
      <c r="M1454" s="1357"/>
      <c r="P1454" s="841" t="s">
        <v>5324</v>
      </c>
      <c r="Q1454" s="1357"/>
      <c r="S1454" s="1420"/>
      <c r="T1454" s="1420"/>
      <c r="V1454" s="1357">
        <v>160</v>
      </c>
    </row>
    <row r="1455" spans="1:22" s="841" customFormat="1" ht="15" x14ac:dyDescent="0.25">
      <c r="A1455" s="841" t="s">
        <v>175</v>
      </c>
      <c r="E1455" s="1904" t="s">
        <v>84</v>
      </c>
      <c r="F1455" s="1904"/>
      <c r="G1455" s="1358" t="s">
        <v>24</v>
      </c>
      <c r="H1455" s="393">
        <v>4.1999999999999997E-3</v>
      </c>
      <c r="K1455" s="841" t="s">
        <v>3197</v>
      </c>
      <c r="L1455" s="841" t="s">
        <v>442</v>
      </c>
      <c r="M1455" s="1357"/>
      <c r="P1455" s="841" t="s">
        <v>3203</v>
      </c>
      <c r="Q1455" s="1357"/>
      <c r="S1455" s="1420"/>
      <c r="T1455" s="1420"/>
      <c r="V1455" s="1357">
        <v>28</v>
      </c>
    </row>
    <row r="1456" spans="1:22" s="841" customFormat="1" ht="15" x14ac:dyDescent="0.25">
      <c r="A1456" s="841" t="s">
        <v>175</v>
      </c>
      <c r="E1456" s="1904" t="s">
        <v>18</v>
      </c>
      <c r="F1456" s="1904"/>
      <c r="G1456" s="1358" t="s">
        <v>24</v>
      </c>
      <c r="H1456" s="393">
        <v>3.0000000000000001E-3</v>
      </c>
      <c r="K1456" s="841" t="s">
        <v>3197</v>
      </c>
      <c r="L1456" s="841" t="s">
        <v>443</v>
      </c>
      <c r="M1456" s="1357"/>
      <c r="P1456" s="841" t="s">
        <v>3204</v>
      </c>
      <c r="Q1456" s="1357"/>
      <c r="S1456" s="1420"/>
      <c r="T1456" s="1420"/>
      <c r="V1456" s="1357">
        <v>24</v>
      </c>
    </row>
    <row r="1457" spans="1:22" s="841" customFormat="1" ht="15" x14ac:dyDescent="0.25">
      <c r="A1457" s="841" t="s">
        <v>175</v>
      </c>
      <c r="E1457" s="1904" t="s">
        <v>5586</v>
      </c>
      <c r="F1457" s="1962"/>
      <c r="G1457" s="1359" t="s">
        <v>24</v>
      </c>
      <c r="H1457" s="627">
        <v>4.1999999999999997E-3</v>
      </c>
      <c r="K1457" s="841" t="s">
        <v>3197</v>
      </c>
      <c r="L1457" s="841" t="s">
        <v>443</v>
      </c>
      <c r="M1457" s="1357"/>
      <c r="P1457" s="841" t="s">
        <v>3205</v>
      </c>
      <c r="Q1457" s="1357"/>
      <c r="S1457" s="1420"/>
      <c r="T1457" s="1420">
        <v>43465</v>
      </c>
      <c r="V1457" s="1357">
        <v>138</v>
      </c>
    </row>
    <row r="1458" spans="1:22" s="841" customFormat="1" ht="15" x14ac:dyDescent="0.25">
      <c r="A1458" s="841" t="s">
        <v>175</v>
      </c>
      <c r="E1458" s="1904" t="s">
        <v>5144</v>
      </c>
      <c r="F1458" s="1962"/>
      <c r="G1458" s="1358" t="s">
        <v>24</v>
      </c>
      <c r="H1458" s="627">
        <v>2E-3</v>
      </c>
      <c r="K1458" s="841" t="s">
        <v>3197</v>
      </c>
      <c r="L1458" s="841" t="s">
        <v>443</v>
      </c>
      <c r="M1458" s="1357"/>
      <c r="P1458" s="841" t="s">
        <v>3207</v>
      </c>
      <c r="Q1458" s="1357"/>
      <c r="S1458" s="1420"/>
      <c r="T1458" s="1420">
        <v>43465</v>
      </c>
      <c r="V1458" s="1357">
        <v>99</v>
      </c>
    </row>
    <row r="1459" spans="1:22" s="841" customFormat="1" ht="15" x14ac:dyDescent="0.25">
      <c r="A1459" s="841" t="s">
        <v>175</v>
      </c>
      <c r="E1459" s="1904" t="s">
        <v>6125</v>
      </c>
      <c r="F1459" s="1962"/>
      <c r="G1459" s="1359" t="s">
        <v>24</v>
      </c>
      <c r="H1459" s="393">
        <v>-2.7000000000000001E-3</v>
      </c>
      <c r="K1459" s="841" t="s">
        <v>3197</v>
      </c>
      <c r="L1459" s="841" t="s">
        <v>443</v>
      </c>
      <c r="M1459" s="1357"/>
      <c r="P1459" s="841" t="s">
        <v>3207</v>
      </c>
      <c r="Q1459" s="1357"/>
      <c r="S1459" s="1420"/>
      <c r="T1459" s="1420">
        <v>43465</v>
      </c>
      <c r="V1459" s="1357">
        <v>155</v>
      </c>
    </row>
    <row r="1460" spans="1:22" s="841" customFormat="1" ht="15" x14ac:dyDescent="0.25">
      <c r="A1460" s="841" t="s">
        <v>175</v>
      </c>
      <c r="E1460" s="1904" t="s">
        <v>6126</v>
      </c>
      <c r="F1460" s="1904"/>
      <c r="G1460" s="1359" t="s">
        <v>24</v>
      </c>
      <c r="H1460" s="393">
        <v>1E-4</v>
      </c>
      <c r="K1460" s="841" t="s">
        <v>3197</v>
      </c>
      <c r="L1460" s="841" t="s">
        <v>442</v>
      </c>
      <c r="M1460" s="1357"/>
      <c r="P1460" s="841" t="s">
        <v>3206</v>
      </c>
      <c r="Q1460" s="1357"/>
      <c r="S1460" s="1420"/>
      <c r="T1460" s="1420">
        <v>44561</v>
      </c>
      <c r="V1460" s="1357">
        <v>132</v>
      </c>
    </row>
    <row r="1461" spans="1:22" s="841" customFormat="1" ht="15" x14ac:dyDescent="0.25">
      <c r="A1461" s="841" t="s">
        <v>175</v>
      </c>
      <c r="E1461" s="1904" t="s">
        <v>221</v>
      </c>
      <c r="F1461" s="1904"/>
      <c r="G1461" s="1358" t="s">
        <v>24</v>
      </c>
      <c r="H1461" s="606">
        <v>6.4999999999999997E-3</v>
      </c>
      <c r="K1461" s="841" t="s">
        <v>3197</v>
      </c>
      <c r="L1461" s="841" t="s">
        <v>444</v>
      </c>
      <c r="M1461" s="1357"/>
      <c r="P1461" s="841" t="s">
        <v>3208</v>
      </c>
      <c r="Q1461" s="1357"/>
      <c r="S1461" s="1420"/>
      <c r="T1461" s="1420"/>
      <c r="V1461" s="1357">
        <v>47</v>
      </c>
    </row>
    <row r="1462" spans="1:22" s="841" customFormat="1" ht="15" x14ac:dyDescent="0.25">
      <c r="A1462" s="841" t="s">
        <v>175</v>
      </c>
      <c r="E1462" s="1904" t="s">
        <v>217</v>
      </c>
      <c r="F1462" s="1904"/>
      <c r="G1462" s="1358" t="s">
        <v>24</v>
      </c>
      <c r="H1462" s="606">
        <v>5.1999999999999998E-3</v>
      </c>
      <c r="K1462" s="841" t="s">
        <v>3197</v>
      </c>
      <c r="L1462" s="841" t="s">
        <v>444</v>
      </c>
      <c r="M1462" s="1357"/>
      <c r="P1462" s="841" t="s">
        <v>3209</v>
      </c>
      <c r="Q1462" s="1357"/>
      <c r="S1462" s="1420"/>
      <c r="T1462" s="1420"/>
      <c r="V1462" s="1357">
        <v>74</v>
      </c>
    </row>
    <row r="1463" spans="1:22" s="841" customFormat="1" ht="15" x14ac:dyDescent="0.25">
      <c r="A1463" s="841" t="s">
        <v>175</v>
      </c>
      <c r="E1463" s="1694" t="s">
        <v>3079</v>
      </c>
      <c r="F1463" s="1971"/>
      <c r="G1463" s="1408"/>
      <c r="H1463" s="394"/>
      <c r="K1463" s="841" t="s">
        <v>3080</v>
      </c>
      <c r="M1463" s="1357"/>
      <c r="Q1463" s="1357"/>
      <c r="S1463" s="1420"/>
      <c r="T1463" s="1420"/>
      <c r="V1463" s="1357">
        <v>48</v>
      </c>
    </row>
    <row r="1464" spans="1:22" s="841" customFormat="1" ht="15" x14ac:dyDescent="0.25">
      <c r="A1464" s="841" t="s">
        <v>175</v>
      </c>
      <c r="E1464" s="1690" t="s">
        <v>2449</v>
      </c>
      <c r="F1464" s="1690"/>
      <c r="G1464" s="1358" t="s">
        <v>24</v>
      </c>
      <c r="H1464" s="393">
        <v>3.2000000000000002E-3</v>
      </c>
      <c r="K1464" s="841" t="s">
        <v>3197</v>
      </c>
      <c r="L1464" s="841" t="s">
        <v>3046</v>
      </c>
      <c r="M1464" s="1357"/>
      <c r="P1464" s="841" t="s">
        <v>3210</v>
      </c>
      <c r="Q1464" s="1357"/>
      <c r="S1464" s="1420"/>
      <c r="T1464" s="1420"/>
      <c r="V1464" s="1357">
        <v>55</v>
      </c>
    </row>
    <row r="1465" spans="1:22" s="841" customFormat="1" ht="15" x14ac:dyDescent="0.25">
      <c r="A1465" s="841" t="s">
        <v>175</v>
      </c>
      <c r="E1465" s="1690" t="s">
        <v>2450</v>
      </c>
      <c r="F1465" s="1690"/>
      <c r="G1465" s="1358" t="s">
        <v>24</v>
      </c>
      <c r="H1465" s="393">
        <v>4.0000000000000002E-4</v>
      </c>
      <c r="K1465" s="841" t="s">
        <v>3197</v>
      </c>
      <c r="L1465" s="841" t="s">
        <v>3046</v>
      </c>
      <c r="M1465" s="1357"/>
      <c r="P1465" s="841" t="s">
        <v>3210</v>
      </c>
      <c r="Q1465" s="1357"/>
      <c r="S1465" s="1420"/>
      <c r="T1465" s="1420"/>
      <c r="V1465" s="1357">
        <v>65</v>
      </c>
    </row>
    <row r="1466" spans="1:22" s="841" customFormat="1" ht="15" x14ac:dyDescent="0.25">
      <c r="A1466" s="841" t="s">
        <v>175</v>
      </c>
      <c r="E1466" s="1690" t="s">
        <v>439</v>
      </c>
      <c r="F1466" s="1690"/>
      <c r="G1466" s="1358" t="s">
        <v>24</v>
      </c>
      <c r="H1466" s="393">
        <v>2.9999999999999997E-4</v>
      </c>
      <c r="K1466" s="841" t="s">
        <v>3197</v>
      </c>
      <c r="L1466" s="841" t="s">
        <v>3046</v>
      </c>
      <c r="M1466" s="1357"/>
      <c r="P1466" s="841" t="s">
        <v>3212</v>
      </c>
      <c r="Q1466" s="1357"/>
      <c r="S1466" s="1420"/>
      <c r="T1466" s="1420"/>
      <c r="V1466" s="1357">
        <v>57</v>
      </c>
    </row>
    <row r="1467" spans="1:22" s="841" customFormat="1" ht="15" x14ac:dyDescent="0.25">
      <c r="A1467" s="841" t="s">
        <v>175</v>
      </c>
      <c r="E1467" s="1690" t="s">
        <v>32</v>
      </c>
      <c r="F1467" s="1690"/>
      <c r="G1467" s="1358" t="s">
        <v>23</v>
      </c>
      <c r="H1467" s="391">
        <v>0.25</v>
      </c>
      <c r="K1467" s="841" t="s">
        <v>3197</v>
      </c>
      <c r="L1467" s="841" t="s">
        <v>3046</v>
      </c>
      <c r="M1467" s="1357"/>
      <c r="P1467" s="841" t="s">
        <v>3213</v>
      </c>
      <c r="Q1467" s="1357"/>
      <c r="S1467" s="1420"/>
      <c r="T1467" s="1420"/>
      <c r="V1467" s="1357">
        <v>63</v>
      </c>
    </row>
    <row r="1468" spans="1:22" s="841" customFormat="1" ht="15" x14ac:dyDescent="0.25">
      <c r="A1468" s="841" t="s">
        <v>175</v>
      </c>
      <c r="E1468" s="1909" t="s">
        <v>3214</v>
      </c>
      <c r="F1468" s="1697"/>
      <c r="G1468" s="1697"/>
      <c r="H1468" s="1697"/>
      <c r="K1468" s="841" t="s">
        <v>5110</v>
      </c>
      <c r="M1468" s="1357"/>
      <c r="Q1468" s="1357"/>
      <c r="S1468" s="1420"/>
      <c r="T1468" s="1420"/>
      <c r="V1468" s="1357">
        <v>54</v>
      </c>
    </row>
    <row r="1469" spans="1:22" s="841" customFormat="1" ht="15" x14ac:dyDescent="0.25">
      <c r="A1469" s="841" t="s">
        <v>175</v>
      </c>
      <c r="E1469" s="1921" t="s">
        <v>6127</v>
      </c>
      <c r="F1469" s="1921"/>
      <c r="G1469" s="1921"/>
      <c r="H1469" s="1921"/>
      <c r="K1469" s="841" t="s">
        <v>5110</v>
      </c>
      <c r="M1469" s="1357"/>
      <c r="Q1469" s="1357"/>
      <c r="S1469" s="1420"/>
      <c r="T1469" s="1420"/>
      <c r="V1469" s="1357">
        <v>336</v>
      </c>
    </row>
    <row r="1470" spans="1:22" s="841" customFormat="1" ht="15" x14ac:dyDescent="0.25">
      <c r="A1470" s="841" t="s">
        <v>175</v>
      </c>
      <c r="E1470" s="1961" t="s">
        <v>3061</v>
      </c>
      <c r="F1470" s="2064"/>
      <c r="G1470" s="2064"/>
      <c r="H1470" s="2064"/>
      <c r="K1470" s="841" t="s">
        <v>3086</v>
      </c>
      <c r="M1470" s="1357"/>
      <c r="Q1470" s="1357"/>
      <c r="S1470" s="1420"/>
      <c r="T1470" s="1420"/>
      <c r="V1470" s="1357">
        <v>11</v>
      </c>
    </row>
    <row r="1471" spans="1:22" s="841" customFormat="1" ht="15" x14ac:dyDescent="0.25">
      <c r="A1471" s="841" t="s">
        <v>175</v>
      </c>
      <c r="E1471" s="1921" t="s">
        <v>3063</v>
      </c>
      <c r="F1471" s="1921"/>
      <c r="G1471" s="1921"/>
      <c r="H1471" s="1921"/>
      <c r="K1471" s="841" t="s">
        <v>5110</v>
      </c>
      <c r="M1471" s="1357"/>
      <c r="Q1471" s="1357"/>
      <c r="S1471" s="1420"/>
      <c r="T1471" s="1420"/>
      <c r="V1471" s="1357">
        <v>280</v>
      </c>
    </row>
    <row r="1472" spans="1:22" s="841" customFormat="1" ht="15" x14ac:dyDescent="0.25">
      <c r="A1472" s="841" t="s">
        <v>175</v>
      </c>
      <c r="E1472" s="1921" t="s">
        <v>3064</v>
      </c>
      <c r="F1472" s="1921"/>
      <c r="G1472" s="1921"/>
      <c r="H1472" s="1921"/>
      <c r="K1472" s="841" t="s">
        <v>5110</v>
      </c>
      <c r="M1472" s="1357"/>
      <c r="Q1472" s="1357"/>
      <c r="S1472" s="1420"/>
      <c r="T1472" s="1420"/>
      <c r="V1472" s="1357">
        <v>411</v>
      </c>
    </row>
    <row r="1473" spans="1:22" s="841" customFormat="1" ht="15" x14ac:dyDescent="0.25">
      <c r="A1473" s="841" t="s">
        <v>175</v>
      </c>
      <c r="E1473" s="1921" t="s">
        <v>3199</v>
      </c>
      <c r="F1473" s="1921"/>
      <c r="G1473" s="1921"/>
      <c r="H1473" s="1921"/>
      <c r="K1473" s="841" t="s">
        <v>5110</v>
      </c>
      <c r="M1473" s="1357"/>
      <c r="Q1473" s="1357"/>
      <c r="S1473" s="1420"/>
      <c r="T1473" s="1420"/>
      <c r="V1473" s="1357">
        <v>386</v>
      </c>
    </row>
    <row r="1474" spans="1:22" s="841" customFormat="1" ht="15" x14ac:dyDescent="0.25">
      <c r="A1474" s="841" t="s">
        <v>175</v>
      </c>
      <c r="E1474" s="1921" t="s">
        <v>3200</v>
      </c>
      <c r="F1474" s="1921"/>
      <c r="G1474" s="1921"/>
      <c r="H1474" s="1921"/>
      <c r="K1474" s="841" t="s">
        <v>5110</v>
      </c>
      <c r="M1474" s="1357"/>
      <c r="Q1474" s="1357"/>
      <c r="S1474" s="1420"/>
      <c r="T1474" s="1420"/>
      <c r="V1474" s="1357">
        <v>275</v>
      </c>
    </row>
    <row r="1475" spans="1:22" s="841" customFormat="1" ht="15" x14ac:dyDescent="0.25">
      <c r="A1475" s="841" t="s">
        <v>175</v>
      </c>
      <c r="E1475" s="1694" t="s">
        <v>3067</v>
      </c>
      <c r="F1475" s="1971"/>
      <c r="G1475" s="1971"/>
      <c r="H1475" s="1971"/>
      <c r="K1475" s="841" t="s">
        <v>3087</v>
      </c>
      <c r="M1475" s="1357"/>
      <c r="Q1475" s="1357"/>
      <c r="S1475" s="1420"/>
      <c r="T1475" s="1420"/>
      <c r="V1475" s="1357">
        <v>46</v>
      </c>
    </row>
    <row r="1476" spans="1:22" s="841" customFormat="1" ht="15" x14ac:dyDescent="0.25">
      <c r="A1476" s="841" t="s">
        <v>175</v>
      </c>
      <c r="E1476" s="1904" t="s">
        <v>11</v>
      </c>
      <c r="F1476" s="1904"/>
      <c r="G1476" s="1358" t="s">
        <v>23</v>
      </c>
      <c r="H1476" s="600">
        <v>20.85</v>
      </c>
      <c r="K1476" s="841" t="s">
        <v>5110</v>
      </c>
      <c r="L1476" s="841" t="s">
        <v>442</v>
      </c>
      <c r="M1476" s="1357"/>
      <c r="P1476" s="841" t="s">
        <v>5111</v>
      </c>
      <c r="Q1476" s="1357"/>
      <c r="S1476" s="1420"/>
      <c r="T1476" s="1420"/>
      <c r="V1476" s="1357">
        <v>14</v>
      </c>
    </row>
    <row r="1477" spans="1:22" s="841" customFormat="1" ht="15" x14ac:dyDescent="0.25">
      <c r="A1477" s="841" t="s">
        <v>175</v>
      </c>
      <c r="E1477" s="1904" t="s">
        <v>423</v>
      </c>
      <c r="F1477" s="1904"/>
      <c r="G1477" s="1358" t="s">
        <v>23</v>
      </c>
      <c r="H1477" s="600">
        <v>0.79</v>
      </c>
      <c r="K1477" s="841" t="s">
        <v>5110</v>
      </c>
      <c r="L1477" s="841" t="s">
        <v>443</v>
      </c>
      <c r="M1477" s="1357"/>
      <c r="P1477" s="841" t="s">
        <v>5112</v>
      </c>
      <c r="Q1477" s="1357"/>
      <c r="S1477" s="1420"/>
      <c r="T1477" s="1420">
        <v>43404</v>
      </c>
      <c r="V1477" s="1357">
        <v>78</v>
      </c>
    </row>
    <row r="1478" spans="1:22" s="841" customFormat="1" ht="15" x14ac:dyDescent="0.25">
      <c r="A1478" s="841" t="s">
        <v>175</v>
      </c>
      <c r="E1478" s="1904" t="s">
        <v>84</v>
      </c>
      <c r="F1478" s="1904"/>
      <c r="G1478" s="1358" t="s">
        <v>24</v>
      </c>
      <c r="H1478" s="606">
        <v>2.1700000000000001E-2</v>
      </c>
      <c r="K1478" s="841" t="s">
        <v>5110</v>
      </c>
      <c r="L1478" s="841" t="s">
        <v>442</v>
      </c>
      <c r="M1478" s="1357"/>
      <c r="P1478" s="841" t="s">
        <v>5113</v>
      </c>
      <c r="Q1478" s="1357"/>
      <c r="S1478" s="1420"/>
      <c r="T1478" s="1420"/>
      <c r="V1478" s="1357">
        <v>28</v>
      </c>
    </row>
    <row r="1479" spans="1:22" s="841" customFormat="1" ht="15" x14ac:dyDescent="0.25">
      <c r="A1479" s="841" t="s">
        <v>175</v>
      </c>
      <c r="E1479" s="1904" t="s">
        <v>18</v>
      </c>
      <c r="F1479" s="1904"/>
      <c r="G1479" s="1358" t="s">
        <v>24</v>
      </c>
      <c r="H1479" s="606">
        <v>2.7000000000000001E-3</v>
      </c>
      <c r="K1479" s="841" t="s">
        <v>5110</v>
      </c>
      <c r="L1479" s="841" t="s">
        <v>443</v>
      </c>
      <c r="M1479" s="1357"/>
      <c r="P1479" s="841" t="s">
        <v>5114</v>
      </c>
      <c r="Q1479" s="1357"/>
      <c r="S1479" s="1420"/>
      <c r="T1479" s="1420"/>
      <c r="V1479" s="1357">
        <v>24</v>
      </c>
    </row>
    <row r="1480" spans="1:22" s="841" customFormat="1" ht="15" x14ac:dyDescent="0.25">
      <c r="A1480" s="841" t="s">
        <v>175</v>
      </c>
      <c r="E1480" s="1904" t="s">
        <v>5586</v>
      </c>
      <c r="F1480" s="1962"/>
      <c r="G1480" s="1359" t="s">
        <v>24</v>
      </c>
      <c r="H1480" s="627">
        <v>4.1999999999999997E-3</v>
      </c>
      <c r="K1480" s="841" t="s">
        <v>5110</v>
      </c>
      <c r="L1480" s="841" t="s">
        <v>443</v>
      </c>
      <c r="M1480" s="1357"/>
      <c r="P1480" s="841" t="s">
        <v>4818</v>
      </c>
      <c r="Q1480" s="1357"/>
      <c r="S1480" s="1420"/>
      <c r="T1480" s="1420">
        <v>43465</v>
      </c>
      <c r="V1480" s="1357">
        <v>138</v>
      </c>
    </row>
    <row r="1481" spans="1:22" s="841" customFormat="1" ht="15" x14ac:dyDescent="0.25">
      <c r="A1481" s="841" t="s">
        <v>175</v>
      </c>
      <c r="E1481" s="1904" t="s">
        <v>5144</v>
      </c>
      <c r="F1481" s="1962"/>
      <c r="G1481" s="1358" t="s">
        <v>24</v>
      </c>
      <c r="H1481" s="627">
        <v>2E-3</v>
      </c>
      <c r="K1481" s="841" t="s">
        <v>5110</v>
      </c>
      <c r="L1481" s="841" t="s">
        <v>443</v>
      </c>
      <c r="M1481" s="1357"/>
      <c r="P1481" s="841" t="s">
        <v>5124</v>
      </c>
      <c r="Q1481" s="1357"/>
      <c r="S1481" s="1420"/>
      <c r="T1481" s="1420">
        <v>43465</v>
      </c>
      <c r="V1481" s="1357">
        <v>99</v>
      </c>
    </row>
    <row r="1482" spans="1:22" s="841" customFormat="1" ht="15" x14ac:dyDescent="0.25">
      <c r="A1482" s="841" t="s">
        <v>175</v>
      </c>
      <c r="E1482" s="1904" t="s">
        <v>6125</v>
      </c>
      <c r="F1482" s="1962"/>
      <c r="G1482" s="1359" t="s">
        <v>24</v>
      </c>
      <c r="H1482" s="393">
        <v>-2.7000000000000001E-3</v>
      </c>
      <c r="K1482" s="841" t="s">
        <v>5110</v>
      </c>
      <c r="L1482" s="841" t="s">
        <v>443</v>
      </c>
      <c r="M1482" s="1357"/>
      <c r="P1482" s="841" t="s">
        <v>5124</v>
      </c>
      <c r="Q1482" s="1357"/>
      <c r="S1482" s="1420"/>
      <c r="T1482" s="1420">
        <v>43465</v>
      </c>
      <c r="V1482" s="1357">
        <v>155</v>
      </c>
    </row>
    <row r="1483" spans="1:22" s="841" customFormat="1" ht="15" x14ac:dyDescent="0.25">
      <c r="A1483" s="841" t="s">
        <v>175</v>
      </c>
      <c r="E1483" s="1904" t="s">
        <v>6118</v>
      </c>
      <c r="F1483" s="1962"/>
      <c r="G1483" s="1358" t="s">
        <v>24</v>
      </c>
      <c r="H1483" s="627">
        <v>1.1000000000000001E-3</v>
      </c>
      <c r="K1483" s="841" t="s">
        <v>5110</v>
      </c>
      <c r="L1483" s="841" t="s">
        <v>442</v>
      </c>
      <c r="M1483" s="1357"/>
      <c r="P1483" s="841" t="s">
        <v>5124</v>
      </c>
      <c r="Q1483" s="1357"/>
      <c r="S1483" s="1420"/>
      <c r="T1483" s="1420">
        <v>43465</v>
      </c>
      <c r="V1483" s="1357">
        <v>107</v>
      </c>
    </row>
    <row r="1484" spans="1:22" s="841" customFormat="1" ht="15" x14ac:dyDescent="0.25">
      <c r="A1484" s="841" t="s">
        <v>175</v>
      </c>
      <c r="E1484" s="1904" t="s">
        <v>6128</v>
      </c>
      <c r="F1484" s="1904"/>
      <c r="G1484" s="1359" t="s">
        <v>24</v>
      </c>
      <c r="H1484" s="393">
        <v>4.0000000000000001E-3</v>
      </c>
      <c r="K1484" s="841" t="s">
        <v>5110</v>
      </c>
      <c r="L1484" s="841" t="s">
        <v>442</v>
      </c>
      <c r="M1484" s="1357"/>
      <c r="P1484" s="841" t="s">
        <v>5285</v>
      </c>
      <c r="Q1484" s="1357"/>
      <c r="S1484" s="1420"/>
      <c r="T1484" s="1420">
        <v>43220</v>
      </c>
      <c r="V1484" s="1357">
        <v>129</v>
      </c>
    </row>
    <row r="1485" spans="1:22" s="841" customFormat="1" ht="15" x14ac:dyDescent="0.25">
      <c r="A1485" s="841" t="s">
        <v>175</v>
      </c>
      <c r="E1485" s="1904" t="s">
        <v>6126</v>
      </c>
      <c r="F1485" s="1904"/>
      <c r="G1485" s="1359" t="s">
        <v>24</v>
      </c>
      <c r="H1485" s="393">
        <v>1E-3</v>
      </c>
      <c r="K1485" s="841" t="s">
        <v>5110</v>
      </c>
      <c r="L1485" s="841" t="s">
        <v>442</v>
      </c>
      <c r="M1485" s="1357"/>
      <c r="P1485" s="841" t="s">
        <v>5285</v>
      </c>
      <c r="Q1485" s="1357"/>
      <c r="S1485" s="1420"/>
      <c r="T1485" s="1420">
        <v>44561</v>
      </c>
      <c r="V1485" s="1357">
        <v>132</v>
      </c>
    </row>
    <row r="1486" spans="1:22" s="841" customFormat="1" ht="15" x14ac:dyDescent="0.25">
      <c r="A1486" s="841" t="s">
        <v>175</v>
      </c>
      <c r="E1486" s="1904" t="s">
        <v>6119</v>
      </c>
      <c r="F1486" s="1962"/>
      <c r="G1486" s="1358" t="s">
        <v>24</v>
      </c>
      <c r="H1486" s="393">
        <v>-2.0000000000000001E-4</v>
      </c>
      <c r="K1486" s="841" t="s">
        <v>5110</v>
      </c>
      <c r="L1486" s="841" t="s">
        <v>442</v>
      </c>
      <c r="M1486" s="1357"/>
      <c r="P1486" s="841" t="s">
        <v>6129</v>
      </c>
      <c r="Q1486" s="1357"/>
      <c r="S1486" s="1420"/>
      <c r="T1486" s="1420">
        <v>43830</v>
      </c>
      <c r="V1486" s="1357">
        <v>111</v>
      </c>
    </row>
    <row r="1487" spans="1:22" s="841" customFormat="1" ht="15" x14ac:dyDescent="0.25">
      <c r="A1487" s="841" t="s">
        <v>175</v>
      </c>
      <c r="E1487" s="1904" t="s">
        <v>6121</v>
      </c>
      <c r="F1487" s="1962"/>
      <c r="G1487" s="1358" t="s">
        <v>24</v>
      </c>
      <c r="H1487" s="393">
        <v>-5.0000000000000001E-4</v>
      </c>
      <c r="K1487" s="841" t="s">
        <v>5110</v>
      </c>
      <c r="L1487" s="841" t="s">
        <v>442</v>
      </c>
      <c r="M1487" s="1357"/>
      <c r="P1487" s="841" t="s">
        <v>6130</v>
      </c>
      <c r="Q1487" s="1357"/>
      <c r="S1487" s="1420"/>
      <c r="T1487" s="1420">
        <v>44196</v>
      </c>
      <c r="V1487" s="1357">
        <v>111</v>
      </c>
    </row>
    <row r="1488" spans="1:22" s="841" customFormat="1" ht="15" x14ac:dyDescent="0.25">
      <c r="A1488" s="841" t="s">
        <v>175</v>
      </c>
      <c r="E1488" s="1904" t="s">
        <v>6123</v>
      </c>
      <c r="F1488" s="1962"/>
      <c r="G1488" s="1358" t="s">
        <v>24</v>
      </c>
      <c r="H1488" s="393">
        <v>-6.9999999999999999E-4</v>
      </c>
      <c r="K1488" s="841" t="s">
        <v>5110</v>
      </c>
      <c r="L1488" s="841" t="s">
        <v>442</v>
      </c>
      <c r="M1488" s="1357"/>
      <c r="P1488" s="841" t="s">
        <v>6131</v>
      </c>
      <c r="Q1488" s="1357"/>
      <c r="S1488" s="1420"/>
      <c r="T1488" s="1420">
        <v>44561</v>
      </c>
      <c r="V1488" s="1357">
        <v>111</v>
      </c>
    </row>
    <row r="1489" spans="1:22" s="841" customFormat="1" ht="15" x14ac:dyDescent="0.25">
      <c r="A1489" s="841" t="s">
        <v>175</v>
      </c>
      <c r="E1489" s="1904" t="s">
        <v>6124</v>
      </c>
      <c r="F1489" s="1962"/>
      <c r="G1489" s="1359" t="s">
        <v>24</v>
      </c>
      <c r="H1489" s="393">
        <v>-4.0000000000000002E-4</v>
      </c>
      <c r="K1489" s="841" t="s">
        <v>5110</v>
      </c>
      <c r="L1489" s="841" t="s">
        <v>442</v>
      </c>
      <c r="M1489" s="1357"/>
      <c r="P1489" s="841" t="s">
        <v>6132</v>
      </c>
      <c r="Q1489" s="1357"/>
      <c r="S1489" s="1420"/>
      <c r="T1489" s="1420"/>
      <c r="V1489" s="1357">
        <v>160</v>
      </c>
    </row>
    <row r="1490" spans="1:22" s="841" customFormat="1" ht="15" x14ac:dyDescent="0.25">
      <c r="A1490" s="841" t="s">
        <v>175</v>
      </c>
      <c r="E1490" s="1690" t="s">
        <v>221</v>
      </c>
      <c r="F1490" s="1690"/>
      <c r="G1490" s="1358" t="s">
        <v>24</v>
      </c>
      <c r="H1490" s="393">
        <v>6.0000000000000001E-3</v>
      </c>
      <c r="K1490" s="841" t="s">
        <v>5110</v>
      </c>
      <c r="L1490" s="841" t="s">
        <v>444</v>
      </c>
      <c r="M1490" s="1357"/>
      <c r="P1490" s="841" t="s">
        <v>5115</v>
      </c>
      <c r="Q1490" s="1357"/>
      <c r="S1490" s="1420"/>
      <c r="T1490" s="1420"/>
      <c r="V1490" s="1357">
        <v>47</v>
      </c>
    </row>
    <row r="1491" spans="1:22" s="841" customFormat="1" ht="15" x14ac:dyDescent="0.25">
      <c r="A1491" s="841" t="s">
        <v>175</v>
      </c>
      <c r="E1491" s="1690" t="s">
        <v>217</v>
      </c>
      <c r="F1491" s="1690"/>
      <c r="G1491" s="1358" t="s">
        <v>24</v>
      </c>
      <c r="H1491" s="393">
        <v>4.7000000000000002E-3</v>
      </c>
      <c r="K1491" s="841" t="s">
        <v>5110</v>
      </c>
      <c r="L1491" s="841" t="s">
        <v>444</v>
      </c>
      <c r="M1491" s="1357"/>
      <c r="P1491" s="841" t="s">
        <v>5116</v>
      </c>
      <c r="Q1491" s="1357"/>
      <c r="S1491" s="1420"/>
      <c r="T1491" s="1420"/>
      <c r="V1491" s="1357">
        <v>74</v>
      </c>
    </row>
    <row r="1492" spans="1:22" s="841" customFormat="1" ht="15" x14ac:dyDescent="0.25">
      <c r="A1492" s="841" t="s">
        <v>175</v>
      </c>
      <c r="E1492" s="1694" t="s">
        <v>3079</v>
      </c>
      <c r="F1492" s="1971"/>
      <c r="G1492" s="1408"/>
      <c r="H1492" s="394"/>
      <c r="K1492" s="841" t="s">
        <v>3093</v>
      </c>
      <c r="M1492" s="1357"/>
      <c r="Q1492" s="1357"/>
      <c r="S1492" s="1420"/>
      <c r="T1492" s="1420"/>
      <c r="V1492" s="1357">
        <v>48</v>
      </c>
    </row>
    <row r="1493" spans="1:22" s="841" customFormat="1" ht="15" x14ac:dyDescent="0.25">
      <c r="A1493" s="841" t="s">
        <v>175</v>
      </c>
      <c r="E1493" s="1690" t="s">
        <v>2449</v>
      </c>
      <c r="F1493" s="1690"/>
      <c r="G1493" s="1358" t="s">
        <v>24</v>
      </c>
      <c r="H1493" s="393">
        <v>3.2000000000000002E-3</v>
      </c>
      <c r="K1493" s="841" t="s">
        <v>5110</v>
      </c>
      <c r="L1493" s="841" t="s">
        <v>3046</v>
      </c>
      <c r="M1493" s="1357"/>
      <c r="P1493" s="841" t="s">
        <v>5117</v>
      </c>
      <c r="Q1493" s="1357"/>
      <c r="S1493" s="1420"/>
      <c r="T1493" s="1420"/>
      <c r="V1493" s="1357">
        <v>55</v>
      </c>
    </row>
    <row r="1494" spans="1:22" s="841" customFormat="1" ht="15" x14ac:dyDescent="0.25">
      <c r="A1494" s="841" t="s">
        <v>175</v>
      </c>
      <c r="E1494" s="1690" t="s">
        <v>2450</v>
      </c>
      <c r="F1494" s="1690"/>
      <c r="G1494" s="1358" t="s">
        <v>24</v>
      </c>
      <c r="H1494" s="393">
        <v>4.0000000000000002E-4</v>
      </c>
      <c r="K1494" s="841" t="s">
        <v>5110</v>
      </c>
      <c r="L1494" s="841" t="s">
        <v>3046</v>
      </c>
      <c r="M1494" s="1357"/>
      <c r="P1494" s="841" t="s">
        <v>5117</v>
      </c>
      <c r="Q1494" s="1357"/>
      <c r="S1494" s="1420"/>
      <c r="T1494" s="1420"/>
      <c r="V1494" s="1357">
        <v>65</v>
      </c>
    </row>
    <row r="1495" spans="1:22" s="841" customFormat="1" ht="15" x14ac:dyDescent="0.25">
      <c r="A1495" s="841" t="s">
        <v>175</v>
      </c>
      <c r="E1495" s="1690" t="s">
        <v>439</v>
      </c>
      <c r="F1495" s="1690"/>
      <c r="G1495" s="1358" t="s">
        <v>24</v>
      </c>
      <c r="H1495" s="393">
        <v>2.9999999999999997E-4</v>
      </c>
      <c r="K1495" s="841" t="s">
        <v>5110</v>
      </c>
      <c r="L1495" s="841" t="s">
        <v>3046</v>
      </c>
      <c r="M1495" s="1357"/>
      <c r="P1495" s="841" t="s">
        <v>5118</v>
      </c>
      <c r="Q1495" s="1357"/>
      <c r="S1495" s="1420"/>
      <c r="T1495" s="1420"/>
      <c r="V1495" s="1357">
        <v>57</v>
      </c>
    </row>
    <row r="1496" spans="1:22" s="841" customFormat="1" ht="15" x14ac:dyDescent="0.25">
      <c r="A1496" s="841" t="s">
        <v>175</v>
      </c>
      <c r="E1496" s="1690" t="s">
        <v>32</v>
      </c>
      <c r="F1496" s="1690"/>
      <c r="G1496" s="1358" t="s">
        <v>23</v>
      </c>
      <c r="H1496" s="391">
        <v>0.25</v>
      </c>
      <c r="K1496" s="841" t="s">
        <v>5110</v>
      </c>
      <c r="L1496" s="841" t="s">
        <v>3046</v>
      </c>
      <c r="M1496" s="1357"/>
      <c r="P1496" s="841" t="s">
        <v>5119</v>
      </c>
      <c r="Q1496" s="1357"/>
      <c r="S1496" s="1420"/>
      <c r="T1496" s="1420"/>
      <c r="V1496" s="1357">
        <v>63</v>
      </c>
    </row>
    <row r="1497" spans="1:22" s="841" customFormat="1" ht="15" x14ac:dyDescent="0.25">
      <c r="A1497" s="841" t="s">
        <v>175</v>
      </c>
      <c r="E1497" s="1909" t="s">
        <v>637</v>
      </c>
      <c r="F1497" s="1697"/>
      <c r="G1497" s="1697"/>
      <c r="H1497" s="1697"/>
      <c r="K1497" s="841" t="s">
        <v>3439</v>
      </c>
      <c r="M1497" s="1357"/>
      <c r="Q1497" s="1357"/>
      <c r="S1497" s="1420"/>
      <c r="T1497" s="1420"/>
      <c r="V1497" s="1357">
        <v>53</v>
      </c>
    </row>
    <row r="1498" spans="1:22" s="841" customFormat="1" ht="15" x14ac:dyDescent="0.25">
      <c r="A1498" s="841" t="s">
        <v>175</v>
      </c>
      <c r="E1498" s="1921" t="s">
        <v>6133</v>
      </c>
      <c r="F1498" s="1921"/>
      <c r="G1498" s="1921"/>
      <c r="H1498" s="1921"/>
      <c r="K1498" s="841" t="s">
        <v>3439</v>
      </c>
      <c r="M1498" s="1357"/>
      <c r="Q1498" s="1357"/>
      <c r="S1498" s="1420"/>
      <c r="T1498" s="1420"/>
      <c r="V1498" s="1357">
        <v>388</v>
      </c>
    </row>
    <row r="1499" spans="1:22" s="841" customFormat="1" ht="15" x14ac:dyDescent="0.25">
      <c r="A1499" s="841" t="s">
        <v>175</v>
      </c>
      <c r="E1499" s="1916" t="s">
        <v>3061</v>
      </c>
      <c r="F1499" s="2031"/>
      <c r="G1499" s="2031"/>
      <c r="H1499" s="2031"/>
      <c r="K1499" s="841" t="s">
        <v>3098</v>
      </c>
      <c r="M1499" s="1357"/>
      <c r="Q1499" s="1357"/>
      <c r="S1499" s="1420"/>
      <c r="T1499" s="1420"/>
      <c r="V1499" s="1357">
        <v>11</v>
      </c>
    </row>
    <row r="1500" spans="1:22" s="841" customFormat="1" ht="15" x14ac:dyDescent="0.25">
      <c r="A1500" s="841" t="s">
        <v>175</v>
      </c>
      <c r="E1500" s="1921" t="s">
        <v>3063</v>
      </c>
      <c r="F1500" s="1921"/>
      <c r="G1500" s="1921"/>
      <c r="H1500" s="1921"/>
      <c r="K1500" s="841" t="s">
        <v>3439</v>
      </c>
      <c r="M1500" s="1357"/>
      <c r="Q1500" s="1357"/>
      <c r="S1500" s="1420"/>
      <c r="T1500" s="1420"/>
      <c r="V1500" s="1357">
        <v>280</v>
      </c>
    </row>
    <row r="1501" spans="1:22" s="841" customFormat="1" ht="15" x14ac:dyDescent="0.25">
      <c r="A1501" s="841" t="s">
        <v>175</v>
      </c>
      <c r="E1501" s="1921" t="s">
        <v>3064</v>
      </c>
      <c r="F1501" s="1921"/>
      <c r="G1501" s="1921"/>
      <c r="H1501" s="1921"/>
      <c r="K1501" s="841" t="s">
        <v>3439</v>
      </c>
      <c r="M1501" s="1357"/>
      <c r="Q1501" s="1357"/>
      <c r="S1501" s="1420"/>
      <c r="T1501" s="1420"/>
      <c r="V1501" s="1357">
        <v>411</v>
      </c>
    </row>
    <row r="1502" spans="1:22" s="841" customFormat="1" ht="15" x14ac:dyDescent="0.25">
      <c r="A1502" s="841" t="s">
        <v>175</v>
      </c>
      <c r="E1502" s="1921" t="s">
        <v>3199</v>
      </c>
      <c r="F1502" s="1921"/>
      <c r="G1502" s="1921"/>
      <c r="H1502" s="1921"/>
      <c r="K1502" s="841" t="s">
        <v>3439</v>
      </c>
      <c r="M1502" s="1357"/>
      <c r="Q1502" s="1357"/>
      <c r="S1502" s="1420"/>
      <c r="T1502" s="1420"/>
      <c r="V1502" s="1357">
        <v>386</v>
      </c>
    </row>
    <row r="1503" spans="1:22" s="841" customFormat="1" ht="15" x14ac:dyDescent="0.25">
      <c r="A1503" s="841" t="s">
        <v>175</v>
      </c>
      <c r="E1503" s="2066" t="s">
        <v>3223</v>
      </c>
      <c r="F1503" s="2066"/>
      <c r="G1503" s="2066"/>
      <c r="H1503" s="2066"/>
      <c r="K1503" s="841" t="s">
        <v>3439</v>
      </c>
      <c r="M1503" s="1357"/>
      <c r="Q1503" s="1357"/>
      <c r="S1503" s="1420"/>
      <c r="T1503" s="1420"/>
      <c r="V1503" s="1357">
        <v>626</v>
      </c>
    </row>
    <row r="1504" spans="1:22" s="841" customFormat="1" ht="15" x14ac:dyDescent="0.25">
      <c r="A1504" s="841" t="s">
        <v>175</v>
      </c>
      <c r="E1504" s="1921" t="s">
        <v>3200</v>
      </c>
      <c r="F1504" s="1921"/>
      <c r="G1504" s="1921"/>
      <c r="H1504" s="1921"/>
      <c r="K1504" s="841" t="s">
        <v>3439</v>
      </c>
      <c r="M1504" s="1357"/>
      <c r="Q1504" s="1357"/>
      <c r="S1504" s="1420"/>
      <c r="T1504" s="1420"/>
      <c r="V1504" s="1357">
        <v>275</v>
      </c>
    </row>
    <row r="1505" spans="1:22" s="841" customFormat="1" ht="15" x14ac:dyDescent="0.25">
      <c r="A1505" s="841" t="s">
        <v>175</v>
      </c>
      <c r="E1505" s="1694" t="s">
        <v>3067</v>
      </c>
      <c r="F1505" s="1971"/>
      <c r="G1505" s="1971"/>
      <c r="H1505" s="1971"/>
      <c r="K1505" s="841" t="s">
        <v>3099</v>
      </c>
      <c r="M1505" s="1357"/>
      <c r="Q1505" s="1357"/>
      <c r="S1505" s="1420"/>
      <c r="T1505" s="1420"/>
      <c r="V1505" s="1357">
        <v>46</v>
      </c>
    </row>
    <row r="1506" spans="1:22" s="841" customFormat="1" ht="15" x14ac:dyDescent="0.25">
      <c r="A1506" s="841" t="s">
        <v>175</v>
      </c>
      <c r="E1506" s="1904" t="s">
        <v>11</v>
      </c>
      <c r="F1506" s="1904"/>
      <c r="G1506" s="1358" t="s">
        <v>23</v>
      </c>
      <c r="H1506" s="600">
        <v>170.19</v>
      </c>
      <c r="K1506" s="841" t="s">
        <v>3439</v>
      </c>
      <c r="L1506" s="841" t="s">
        <v>442</v>
      </c>
      <c r="M1506" s="1357"/>
      <c r="P1506" s="841" t="s">
        <v>3440</v>
      </c>
      <c r="Q1506" s="1357"/>
      <c r="S1506" s="1420"/>
      <c r="T1506" s="1420"/>
      <c r="V1506" s="1357">
        <v>14</v>
      </c>
    </row>
    <row r="1507" spans="1:22" s="841" customFormat="1" ht="15" x14ac:dyDescent="0.25">
      <c r="A1507" s="841" t="s">
        <v>175</v>
      </c>
      <c r="E1507" s="1904" t="s">
        <v>84</v>
      </c>
      <c r="F1507" s="1904"/>
      <c r="G1507" s="1358" t="s">
        <v>33</v>
      </c>
      <c r="H1507" s="606">
        <v>4.1917</v>
      </c>
      <c r="K1507" s="841" t="s">
        <v>3439</v>
      </c>
      <c r="L1507" s="841" t="s">
        <v>442</v>
      </c>
      <c r="M1507" s="1357"/>
      <c r="P1507" s="841" t="s">
        <v>3441</v>
      </c>
      <c r="Q1507" s="1357"/>
      <c r="S1507" s="1420"/>
      <c r="T1507" s="1420"/>
      <c r="V1507" s="1357">
        <v>28</v>
      </c>
    </row>
    <row r="1508" spans="1:22" s="841" customFormat="1" ht="15" x14ac:dyDescent="0.25">
      <c r="A1508" s="841" t="s">
        <v>175</v>
      </c>
      <c r="E1508" s="1904" t="s">
        <v>18</v>
      </c>
      <c r="F1508" s="1904"/>
      <c r="G1508" s="1358" t="s">
        <v>33</v>
      </c>
      <c r="H1508" s="606">
        <v>0.99870000000000003</v>
      </c>
      <c r="K1508" s="841" t="s">
        <v>3439</v>
      </c>
      <c r="L1508" s="841" t="s">
        <v>443</v>
      </c>
      <c r="M1508" s="1357"/>
      <c r="P1508" s="841" t="s">
        <v>3442</v>
      </c>
      <c r="Q1508" s="1357"/>
      <c r="S1508" s="1420"/>
      <c r="T1508" s="1420"/>
      <c r="V1508" s="1357">
        <v>24</v>
      </c>
    </row>
    <row r="1509" spans="1:22" s="841" customFormat="1" ht="15" x14ac:dyDescent="0.25">
      <c r="A1509" s="841" t="s">
        <v>175</v>
      </c>
      <c r="E1509" s="1904" t="s">
        <v>5586</v>
      </c>
      <c r="F1509" s="1962"/>
      <c r="G1509" s="1359" t="s">
        <v>24</v>
      </c>
      <c r="H1509" s="627">
        <v>4.1999999999999997E-3</v>
      </c>
      <c r="K1509" s="841" t="s">
        <v>3439</v>
      </c>
      <c r="L1509" s="841" t="s">
        <v>443</v>
      </c>
      <c r="M1509" s="1357"/>
      <c r="P1509" s="841" t="s">
        <v>4187</v>
      </c>
      <c r="Q1509" s="1357"/>
      <c r="S1509" s="1420"/>
      <c r="T1509" s="1420">
        <v>43465</v>
      </c>
      <c r="V1509" s="1357">
        <v>138</v>
      </c>
    </row>
    <row r="1510" spans="1:22" s="841" customFormat="1" ht="15" x14ac:dyDescent="0.25">
      <c r="A1510" s="841" t="s">
        <v>175</v>
      </c>
      <c r="E1510" s="1904" t="s">
        <v>5144</v>
      </c>
      <c r="F1510" s="1962"/>
      <c r="G1510" s="1358" t="s">
        <v>33</v>
      </c>
      <c r="H1510" s="1360">
        <v>0.78939999999999999</v>
      </c>
      <c r="K1510" s="841" t="s">
        <v>3439</v>
      </c>
      <c r="L1510" s="841" t="s">
        <v>443</v>
      </c>
      <c r="M1510" s="1357"/>
      <c r="P1510" s="841" t="s">
        <v>4188</v>
      </c>
      <c r="Q1510" s="1357"/>
      <c r="S1510" s="1420"/>
      <c r="T1510" s="1420">
        <v>43465</v>
      </c>
      <c r="V1510" s="1357">
        <v>99</v>
      </c>
    </row>
    <row r="1511" spans="1:22" s="841" customFormat="1" ht="15" x14ac:dyDescent="0.25">
      <c r="A1511" s="841" t="s">
        <v>175</v>
      </c>
      <c r="E1511" s="1904" t="s">
        <v>6125</v>
      </c>
      <c r="F1511" s="1962"/>
      <c r="G1511" s="1359" t="s">
        <v>33</v>
      </c>
      <c r="H1511" s="393">
        <v>-1.0406</v>
      </c>
      <c r="K1511" s="841" t="s">
        <v>3439</v>
      </c>
      <c r="L1511" s="841" t="s">
        <v>443</v>
      </c>
      <c r="M1511" s="1357"/>
      <c r="P1511" s="841" t="s">
        <v>4188</v>
      </c>
      <c r="Q1511" s="1357"/>
      <c r="S1511" s="1420"/>
      <c r="T1511" s="1420">
        <v>43465</v>
      </c>
      <c r="V1511" s="1357">
        <v>155</v>
      </c>
    </row>
    <row r="1512" spans="1:22" s="841" customFormat="1" ht="15" x14ac:dyDescent="0.25">
      <c r="A1512" s="841" t="s">
        <v>175</v>
      </c>
      <c r="E1512" s="1904" t="s">
        <v>6118</v>
      </c>
      <c r="F1512" s="1962"/>
      <c r="G1512" s="1358" t="s">
        <v>33</v>
      </c>
      <c r="H1512" s="1360">
        <v>0.40899999999999997</v>
      </c>
      <c r="K1512" s="841" t="s">
        <v>3439</v>
      </c>
      <c r="L1512" s="841" t="s">
        <v>442</v>
      </c>
      <c r="M1512" s="1357"/>
      <c r="P1512" s="841" t="s">
        <v>4188</v>
      </c>
      <c r="Q1512" s="1357"/>
      <c r="S1512" s="1420"/>
      <c r="T1512" s="1420">
        <v>43465</v>
      </c>
      <c r="V1512" s="1357">
        <v>107</v>
      </c>
    </row>
    <row r="1513" spans="1:22" s="841" customFormat="1" ht="15" x14ac:dyDescent="0.25">
      <c r="A1513" s="841" t="s">
        <v>175</v>
      </c>
      <c r="E1513" s="1904" t="s">
        <v>6128</v>
      </c>
      <c r="F1513" s="1904"/>
      <c r="G1513" s="1359" t="s">
        <v>33</v>
      </c>
      <c r="H1513" s="393">
        <v>-5.4800000000000001E-2</v>
      </c>
      <c r="K1513" s="841" t="s">
        <v>3439</v>
      </c>
      <c r="L1513" s="841" t="s">
        <v>442</v>
      </c>
      <c r="M1513" s="1357"/>
      <c r="P1513" s="841" t="s">
        <v>6134</v>
      </c>
      <c r="Q1513" s="1357"/>
      <c r="S1513" s="1420"/>
      <c r="T1513" s="1420">
        <v>43220</v>
      </c>
      <c r="V1513" s="1357">
        <v>129</v>
      </c>
    </row>
    <row r="1514" spans="1:22" s="841" customFormat="1" ht="15" x14ac:dyDescent="0.25">
      <c r="A1514" s="841" t="s">
        <v>175</v>
      </c>
      <c r="E1514" s="1904" t="s">
        <v>6126</v>
      </c>
      <c r="F1514" s="1904"/>
      <c r="G1514" s="1359" t="s">
        <v>33</v>
      </c>
      <c r="H1514" s="393">
        <v>1.12E-2</v>
      </c>
      <c r="K1514" s="841" t="s">
        <v>3439</v>
      </c>
      <c r="L1514" s="841" t="s">
        <v>442</v>
      </c>
      <c r="M1514" s="1357"/>
      <c r="P1514" s="841" t="s">
        <v>6134</v>
      </c>
      <c r="Q1514" s="1357"/>
      <c r="S1514" s="1420"/>
      <c r="T1514" s="1420">
        <v>44561</v>
      </c>
      <c r="V1514" s="1357">
        <v>132</v>
      </c>
    </row>
    <row r="1515" spans="1:22" s="841" customFormat="1" ht="15" x14ac:dyDescent="0.25">
      <c r="A1515" s="841" t="s">
        <v>175</v>
      </c>
      <c r="E1515" s="1904" t="s">
        <v>6119</v>
      </c>
      <c r="F1515" s="1962"/>
      <c r="G1515" s="1358" t="s">
        <v>33</v>
      </c>
      <c r="H1515" s="393">
        <v>-2.5000000000000001E-2</v>
      </c>
      <c r="K1515" s="841" t="s">
        <v>3439</v>
      </c>
      <c r="L1515" s="841" t="s">
        <v>442</v>
      </c>
      <c r="M1515" s="1357"/>
      <c r="P1515" s="841" t="s">
        <v>6135</v>
      </c>
      <c r="Q1515" s="1357"/>
      <c r="S1515" s="1420"/>
      <c r="T1515" s="1420">
        <v>43830</v>
      </c>
      <c r="V1515" s="1357">
        <v>111</v>
      </c>
    </row>
    <row r="1516" spans="1:22" s="841" customFormat="1" ht="15" x14ac:dyDescent="0.25">
      <c r="A1516" s="841" t="s">
        <v>175</v>
      </c>
      <c r="E1516" s="1904" t="s">
        <v>6121</v>
      </c>
      <c r="F1516" s="1962"/>
      <c r="G1516" s="1358" t="s">
        <v>33</v>
      </c>
      <c r="H1516" s="393">
        <v>-7.4999999999999997E-2</v>
      </c>
      <c r="K1516" s="841" t="s">
        <v>3439</v>
      </c>
      <c r="L1516" s="841" t="s">
        <v>442</v>
      </c>
      <c r="M1516" s="1357"/>
      <c r="P1516" s="841" t="s">
        <v>6136</v>
      </c>
      <c r="Q1516" s="1357"/>
      <c r="S1516" s="1420"/>
      <c r="T1516" s="1420">
        <v>44196</v>
      </c>
      <c r="V1516" s="1357">
        <v>111</v>
      </c>
    </row>
    <row r="1517" spans="1:22" s="841" customFormat="1" ht="15" x14ac:dyDescent="0.25">
      <c r="A1517" s="841" t="s">
        <v>175</v>
      </c>
      <c r="E1517" s="1904" t="s">
        <v>6123</v>
      </c>
      <c r="F1517" s="1962"/>
      <c r="G1517" s="1358" t="s">
        <v>33</v>
      </c>
      <c r="H1517" s="393">
        <v>-9.9900000000000003E-2</v>
      </c>
      <c r="K1517" s="841" t="s">
        <v>3439</v>
      </c>
      <c r="L1517" s="841" t="s">
        <v>442</v>
      </c>
      <c r="M1517" s="1357"/>
      <c r="P1517" s="841" t="s">
        <v>6137</v>
      </c>
      <c r="Q1517" s="1357"/>
      <c r="S1517" s="1420"/>
      <c r="T1517" s="1420">
        <v>44561</v>
      </c>
      <c r="V1517" s="1357">
        <v>111</v>
      </c>
    </row>
    <row r="1518" spans="1:22" s="841" customFormat="1" ht="15" x14ac:dyDescent="0.25">
      <c r="A1518" s="841" t="s">
        <v>175</v>
      </c>
      <c r="E1518" s="1904" t="s">
        <v>6124</v>
      </c>
      <c r="F1518" s="1962"/>
      <c r="G1518" s="1359" t="s">
        <v>33</v>
      </c>
      <c r="H1518" s="393">
        <v>-5.1900000000000002E-2</v>
      </c>
      <c r="K1518" s="841" t="s">
        <v>3439</v>
      </c>
      <c r="L1518" s="841" t="s">
        <v>442</v>
      </c>
      <c r="M1518" s="1357"/>
      <c r="P1518" s="841" t="s">
        <v>6138</v>
      </c>
      <c r="Q1518" s="1357"/>
      <c r="S1518" s="1420"/>
      <c r="T1518" s="1420"/>
      <c r="V1518" s="1357">
        <v>160</v>
      </c>
    </row>
    <row r="1519" spans="1:22" s="841" customFormat="1" ht="15" x14ac:dyDescent="0.25">
      <c r="A1519" s="841" t="s">
        <v>175</v>
      </c>
      <c r="E1519" s="1690" t="s">
        <v>221</v>
      </c>
      <c r="F1519" s="1690"/>
      <c r="G1519" s="1358" t="s">
        <v>33</v>
      </c>
      <c r="H1519" s="393">
        <v>2.4194</v>
      </c>
      <c r="K1519" s="841" t="s">
        <v>3439</v>
      </c>
      <c r="L1519" s="841" t="s">
        <v>444</v>
      </c>
      <c r="M1519" s="1357"/>
      <c r="P1519" s="841" t="s">
        <v>3443</v>
      </c>
      <c r="Q1519" s="1357"/>
      <c r="S1519" s="1420"/>
      <c r="T1519" s="1420"/>
      <c r="V1519" s="1357">
        <v>47</v>
      </c>
    </row>
    <row r="1520" spans="1:22" s="841" customFormat="1" ht="15" x14ac:dyDescent="0.25">
      <c r="A1520" s="841" t="s">
        <v>175</v>
      </c>
      <c r="E1520" s="1690" t="s">
        <v>217</v>
      </c>
      <c r="F1520" s="1690"/>
      <c r="G1520" s="1358" t="s">
        <v>33</v>
      </c>
      <c r="H1520" s="393">
        <v>1.847</v>
      </c>
      <c r="K1520" s="841" t="s">
        <v>3439</v>
      </c>
      <c r="L1520" s="841" t="s">
        <v>444</v>
      </c>
      <c r="M1520" s="1357"/>
      <c r="P1520" s="841" t="s">
        <v>3444</v>
      </c>
      <c r="Q1520" s="1357"/>
      <c r="S1520" s="1420"/>
      <c r="T1520" s="1420"/>
      <c r="V1520" s="1357">
        <v>74</v>
      </c>
    </row>
    <row r="1521" spans="1:22" s="841" customFormat="1" ht="15" x14ac:dyDescent="0.25">
      <c r="A1521" s="841" t="s">
        <v>175</v>
      </c>
      <c r="E1521" s="1694" t="s">
        <v>3079</v>
      </c>
      <c r="F1521" s="1971"/>
      <c r="G1521" s="1408"/>
      <c r="H1521" s="394"/>
      <c r="K1521" s="841" t="s">
        <v>3218</v>
      </c>
      <c r="M1521" s="1357"/>
      <c r="Q1521" s="1357"/>
      <c r="S1521" s="1420"/>
      <c r="T1521" s="1420"/>
      <c r="V1521" s="1357">
        <v>48</v>
      </c>
    </row>
    <row r="1522" spans="1:22" s="841" customFormat="1" ht="15" x14ac:dyDescent="0.25">
      <c r="A1522" s="841" t="s">
        <v>175</v>
      </c>
      <c r="E1522" s="1690" t="s">
        <v>2449</v>
      </c>
      <c r="F1522" s="1690"/>
      <c r="G1522" s="1358" t="s">
        <v>24</v>
      </c>
      <c r="H1522" s="393">
        <v>3.2000000000000002E-3</v>
      </c>
      <c r="K1522" s="841" t="s">
        <v>3439</v>
      </c>
      <c r="L1522" s="841" t="s">
        <v>3046</v>
      </c>
      <c r="M1522" s="1357"/>
      <c r="P1522" s="841" t="s">
        <v>3445</v>
      </c>
      <c r="Q1522" s="1357"/>
      <c r="S1522" s="1420"/>
      <c r="T1522" s="1420"/>
      <c r="V1522" s="1357">
        <v>55</v>
      </c>
    </row>
    <row r="1523" spans="1:22" s="841" customFormat="1" ht="15" x14ac:dyDescent="0.25">
      <c r="A1523" s="841" t="s">
        <v>175</v>
      </c>
      <c r="E1523" s="1690" t="s">
        <v>2450</v>
      </c>
      <c r="F1523" s="1690"/>
      <c r="G1523" s="1358" t="s">
        <v>24</v>
      </c>
      <c r="H1523" s="393">
        <v>4.0000000000000002E-4</v>
      </c>
      <c r="K1523" s="841" t="s">
        <v>3439</v>
      </c>
      <c r="L1523" s="841" t="s">
        <v>3046</v>
      </c>
      <c r="M1523" s="1357"/>
      <c r="P1523" s="841" t="s">
        <v>3445</v>
      </c>
      <c r="Q1523" s="1357"/>
      <c r="S1523" s="1420"/>
      <c r="T1523" s="1420"/>
      <c r="V1523" s="1357">
        <v>65</v>
      </c>
    </row>
    <row r="1524" spans="1:22" s="841" customFormat="1" ht="15" x14ac:dyDescent="0.25">
      <c r="A1524" s="841" t="s">
        <v>175</v>
      </c>
      <c r="E1524" s="1690" t="s">
        <v>439</v>
      </c>
      <c r="F1524" s="1690"/>
      <c r="G1524" s="1358" t="s">
        <v>24</v>
      </c>
      <c r="H1524" s="393">
        <v>2.9999999999999997E-4</v>
      </c>
      <c r="K1524" s="841" t="s">
        <v>3439</v>
      </c>
      <c r="L1524" s="841" t="s">
        <v>3046</v>
      </c>
      <c r="M1524" s="1357"/>
      <c r="P1524" s="841" t="s">
        <v>3446</v>
      </c>
      <c r="Q1524" s="1357"/>
      <c r="S1524" s="1420"/>
      <c r="T1524" s="1420"/>
      <c r="V1524" s="1357">
        <v>57</v>
      </c>
    </row>
    <row r="1525" spans="1:22" s="841" customFormat="1" ht="15" x14ac:dyDescent="0.25">
      <c r="A1525" s="841" t="s">
        <v>175</v>
      </c>
      <c r="E1525" s="1690" t="s">
        <v>32</v>
      </c>
      <c r="F1525" s="1690"/>
      <c r="G1525" s="1358" t="s">
        <v>23</v>
      </c>
      <c r="H1525" s="391">
        <v>0.25</v>
      </c>
      <c r="K1525" s="841" t="s">
        <v>3439</v>
      </c>
      <c r="L1525" s="841" t="s">
        <v>3046</v>
      </c>
      <c r="M1525" s="1357"/>
      <c r="P1525" s="841" t="s">
        <v>3447</v>
      </c>
      <c r="Q1525" s="1357"/>
      <c r="S1525" s="1420"/>
      <c r="T1525" s="1420"/>
      <c r="V1525" s="1357">
        <v>63</v>
      </c>
    </row>
    <row r="1526" spans="1:22" s="841" customFormat="1" ht="15" x14ac:dyDescent="0.25">
      <c r="A1526" s="841" t="s">
        <v>175</v>
      </c>
      <c r="E1526" s="1909" t="s">
        <v>638</v>
      </c>
      <c r="F1526" s="1697"/>
      <c r="G1526" s="1697"/>
      <c r="H1526" s="1697"/>
      <c r="K1526" s="841" t="s">
        <v>3448</v>
      </c>
      <c r="M1526" s="1357"/>
      <c r="Q1526" s="1357"/>
      <c r="S1526" s="1420"/>
      <c r="T1526" s="1420"/>
      <c r="V1526" s="1357">
        <v>56</v>
      </c>
    </row>
    <row r="1527" spans="1:22" s="841" customFormat="1" ht="15" x14ac:dyDescent="0.25">
      <c r="A1527" s="841" t="s">
        <v>175</v>
      </c>
      <c r="E1527" s="1921" t="s">
        <v>6139</v>
      </c>
      <c r="F1527" s="1921"/>
      <c r="G1527" s="1921"/>
      <c r="H1527" s="1921"/>
      <c r="K1527" s="841" t="s">
        <v>3448</v>
      </c>
      <c r="M1527" s="1357"/>
      <c r="Q1527" s="1357"/>
      <c r="S1527" s="1420"/>
      <c r="T1527" s="1420"/>
      <c r="V1527" s="1357">
        <v>382</v>
      </c>
    </row>
    <row r="1528" spans="1:22" s="841" customFormat="1" ht="15" x14ac:dyDescent="0.25">
      <c r="A1528" s="841" t="s">
        <v>175</v>
      </c>
      <c r="E1528" s="1916" t="s">
        <v>3061</v>
      </c>
      <c r="F1528" s="2031"/>
      <c r="G1528" s="2031"/>
      <c r="H1528" s="2031"/>
      <c r="K1528" s="841" t="s">
        <v>3221</v>
      </c>
      <c r="M1528" s="1357"/>
      <c r="Q1528" s="1357"/>
      <c r="S1528" s="1420"/>
      <c r="T1528" s="1420"/>
      <c r="V1528" s="1357">
        <v>11</v>
      </c>
    </row>
    <row r="1529" spans="1:22" s="841" customFormat="1" ht="15" x14ac:dyDescent="0.25">
      <c r="A1529" s="841" t="s">
        <v>175</v>
      </c>
      <c r="E1529" s="1921" t="s">
        <v>3063</v>
      </c>
      <c r="F1529" s="1921"/>
      <c r="G1529" s="1921"/>
      <c r="H1529" s="1921"/>
      <c r="K1529" s="841" t="s">
        <v>3448</v>
      </c>
      <c r="M1529" s="1357"/>
      <c r="Q1529" s="1357"/>
      <c r="S1529" s="1420"/>
      <c r="T1529" s="1420"/>
      <c r="V1529" s="1357">
        <v>280</v>
      </c>
    </row>
    <row r="1530" spans="1:22" s="841" customFormat="1" ht="15" x14ac:dyDescent="0.25">
      <c r="A1530" s="841" t="s">
        <v>175</v>
      </c>
      <c r="E1530" s="1921" t="s">
        <v>3064</v>
      </c>
      <c r="F1530" s="1921"/>
      <c r="G1530" s="1921"/>
      <c r="H1530" s="1921"/>
      <c r="K1530" s="841" t="s">
        <v>3448</v>
      </c>
      <c r="M1530" s="1357"/>
      <c r="Q1530" s="1357"/>
      <c r="S1530" s="1420"/>
      <c r="T1530" s="1420"/>
      <c r="V1530" s="1357">
        <v>411</v>
      </c>
    </row>
    <row r="1531" spans="1:22" s="841" customFormat="1" ht="15" x14ac:dyDescent="0.25">
      <c r="A1531" s="841" t="s">
        <v>175</v>
      </c>
      <c r="E1531" s="1921" t="s">
        <v>6140</v>
      </c>
      <c r="F1531" s="1921"/>
      <c r="G1531" s="1921"/>
      <c r="H1531" s="1921"/>
      <c r="K1531" s="841" t="s">
        <v>3448</v>
      </c>
      <c r="M1531" s="1357"/>
      <c r="Q1531" s="1357"/>
      <c r="S1531" s="1420"/>
      <c r="T1531" s="1420"/>
      <c r="V1531" s="1357">
        <v>386</v>
      </c>
    </row>
    <row r="1532" spans="1:22" s="841" customFormat="1" ht="15" x14ac:dyDescent="0.25">
      <c r="A1532" s="841" t="s">
        <v>175</v>
      </c>
      <c r="E1532" s="2066" t="s">
        <v>3223</v>
      </c>
      <c r="F1532" s="2066"/>
      <c r="G1532" s="2066"/>
      <c r="H1532" s="2066"/>
      <c r="K1532" s="841" t="s">
        <v>3448</v>
      </c>
      <c r="M1532" s="1357"/>
      <c r="Q1532" s="1357"/>
      <c r="S1532" s="1420"/>
      <c r="T1532" s="1420"/>
      <c r="V1532" s="1357">
        <v>626</v>
      </c>
    </row>
    <row r="1533" spans="1:22" s="841" customFormat="1" ht="15" x14ac:dyDescent="0.25">
      <c r="A1533" s="841" t="s">
        <v>175</v>
      </c>
      <c r="E1533" s="1921" t="s">
        <v>3200</v>
      </c>
      <c r="F1533" s="1921"/>
      <c r="G1533" s="1921"/>
      <c r="H1533" s="1921"/>
      <c r="K1533" s="841" t="s">
        <v>3448</v>
      </c>
      <c r="M1533" s="1357"/>
      <c r="Q1533" s="1357"/>
      <c r="S1533" s="1420"/>
      <c r="T1533" s="1420"/>
      <c r="V1533" s="1357">
        <v>275</v>
      </c>
    </row>
    <row r="1534" spans="1:22" s="841" customFormat="1" ht="15" x14ac:dyDescent="0.25">
      <c r="A1534" s="841" t="s">
        <v>175</v>
      </c>
      <c r="E1534" s="1694" t="s">
        <v>3067</v>
      </c>
      <c r="F1534" s="1971"/>
      <c r="G1534" s="1971"/>
      <c r="H1534" s="1971"/>
      <c r="K1534" s="841" t="s">
        <v>3224</v>
      </c>
      <c r="M1534" s="1357"/>
      <c r="Q1534" s="1357"/>
      <c r="S1534" s="1420"/>
      <c r="T1534" s="1420"/>
      <c r="V1534" s="1357">
        <v>46</v>
      </c>
    </row>
    <row r="1535" spans="1:22" s="841" customFormat="1" ht="15" x14ac:dyDescent="0.25">
      <c r="A1535" s="841" t="s">
        <v>175</v>
      </c>
      <c r="E1535" s="1904" t="s">
        <v>11</v>
      </c>
      <c r="F1535" s="1904"/>
      <c r="G1535" s="1358" t="s">
        <v>23</v>
      </c>
      <c r="H1535" s="600">
        <v>685.86</v>
      </c>
      <c r="K1535" s="841" t="s">
        <v>3448</v>
      </c>
      <c r="L1535" s="841" t="s">
        <v>442</v>
      </c>
      <c r="M1535" s="1357"/>
      <c r="P1535" s="841" t="s">
        <v>3449</v>
      </c>
      <c r="Q1535" s="1357"/>
      <c r="S1535" s="1420"/>
      <c r="T1535" s="1420"/>
      <c r="V1535" s="1357">
        <v>14</v>
      </c>
    </row>
    <row r="1536" spans="1:22" s="841" customFormat="1" ht="15" x14ac:dyDescent="0.25">
      <c r="A1536" s="841" t="s">
        <v>175</v>
      </c>
      <c r="E1536" s="1904" t="s">
        <v>84</v>
      </c>
      <c r="F1536" s="1904"/>
      <c r="G1536" s="1358" t="s">
        <v>33</v>
      </c>
      <c r="H1536" s="393">
        <v>3.1776</v>
      </c>
      <c r="K1536" s="841" t="s">
        <v>3448</v>
      </c>
      <c r="L1536" s="841" t="s">
        <v>442</v>
      </c>
      <c r="M1536" s="1357"/>
      <c r="P1536" s="841" t="s">
        <v>3450</v>
      </c>
      <c r="Q1536" s="1357"/>
      <c r="S1536" s="1420"/>
      <c r="T1536" s="1420"/>
      <c r="V1536" s="1357">
        <v>28</v>
      </c>
    </row>
    <row r="1537" spans="1:22" s="841" customFormat="1" ht="15" x14ac:dyDescent="0.25">
      <c r="A1537" s="841" t="s">
        <v>175</v>
      </c>
      <c r="E1537" s="1904" t="s">
        <v>18</v>
      </c>
      <c r="F1537" s="1904"/>
      <c r="G1537" s="1358" t="s">
        <v>33</v>
      </c>
      <c r="H1537" s="393">
        <v>1.1778</v>
      </c>
      <c r="K1537" s="841" t="s">
        <v>3448</v>
      </c>
      <c r="L1537" s="841" t="s">
        <v>443</v>
      </c>
      <c r="M1537" s="1357"/>
      <c r="P1537" s="841" t="s">
        <v>3451</v>
      </c>
      <c r="Q1537" s="1357"/>
      <c r="S1537" s="1420"/>
      <c r="T1537" s="1420"/>
      <c r="V1537" s="1357">
        <v>24</v>
      </c>
    </row>
    <row r="1538" spans="1:22" s="841" customFormat="1" ht="15" x14ac:dyDescent="0.25">
      <c r="A1538" s="841" t="s">
        <v>175</v>
      </c>
      <c r="E1538" s="1904" t="s">
        <v>5586</v>
      </c>
      <c r="F1538" s="1962"/>
      <c r="G1538" s="1359" t="s">
        <v>24</v>
      </c>
      <c r="H1538" s="627">
        <v>4.1999999999999997E-3</v>
      </c>
      <c r="K1538" s="841" t="s">
        <v>3448</v>
      </c>
      <c r="L1538" s="841" t="s">
        <v>443</v>
      </c>
      <c r="M1538" s="1357"/>
      <c r="P1538" s="841" t="s">
        <v>6141</v>
      </c>
      <c r="Q1538" s="1357"/>
      <c r="S1538" s="1420"/>
      <c r="T1538" s="1420">
        <v>43465</v>
      </c>
      <c r="V1538" s="1357">
        <v>138</v>
      </c>
    </row>
    <row r="1539" spans="1:22" s="841" customFormat="1" ht="15" x14ac:dyDescent="0.25">
      <c r="A1539" s="841" t="s">
        <v>175</v>
      </c>
      <c r="E1539" s="1904" t="s">
        <v>5144</v>
      </c>
      <c r="F1539" s="1962"/>
      <c r="G1539" s="1358" t="s">
        <v>33</v>
      </c>
      <c r="H1539" s="1360">
        <v>0.76349999999999996</v>
      </c>
      <c r="K1539" s="841" t="s">
        <v>3448</v>
      </c>
      <c r="L1539" s="841" t="s">
        <v>443</v>
      </c>
      <c r="M1539" s="1357"/>
      <c r="P1539" s="841" t="s">
        <v>4190</v>
      </c>
      <c r="Q1539" s="1357"/>
      <c r="S1539" s="1420"/>
      <c r="T1539" s="1420">
        <v>43465</v>
      </c>
      <c r="V1539" s="1357">
        <v>99</v>
      </c>
    </row>
    <row r="1540" spans="1:22" s="841" customFormat="1" ht="15" x14ac:dyDescent="0.25">
      <c r="A1540" s="841" t="s">
        <v>175</v>
      </c>
      <c r="E1540" s="1904" t="s">
        <v>6125</v>
      </c>
      <c r="F1540" s="1962"/>
      <c r="G1540" s="1359" t="s">
        <v>33</v>
      </c>
      <c r="H1540" s="393">
        <v>-1.0185999999999999</v>
      </c>
      <c r="K1540" s="841" t="s">
        <v>3448</v>
      </c>
      <c r="L1540" s="841" t="s">
        <v>443</v>
      </c>
      <c r="M1540" s="1357"/>
      <c r="P1540" s="841" t="s">
        <v>4190</v>
      </c>
      <c r="Q1540" s="1357"/>
      <c r="S1540" s="1420"/>
      <c r="T1540" s="1420">
        <v>43465</v>
      </c>
      <c r="V1540" s="1357">
        <v>155</v>
      </c>
    </row>
    <row r="1541" spans="1:22" s="841" customFormat="1" ht="15" x14ac:dyDescent="0.25">
      <c r="A1541" s="841" t="s">
        <v>175</v>
      </c>
      <c r="E1541" s="1904" t="s">
        <v>6118</v>
      </c>
      <c r="F1541" s="1962"/>
      <c r="G1541" s="1358" t="s">
        <v>33</v>
      </c>
      <c r="H1541" s="627">
        <v>0.3962</v>
      </c>
      <c r="K1541" s="841" t="s">
        <v>3448</v>
      </c>
      <c r="L1541" s="841" t="s">
        <v>442</v>
      </c>
      <c r="M1541" s="1357"/>
      <c r="P1541" s="841" t="s">
        <v>4190</v>
      </c>
      <c r="Q1541" s="1357"/>
      <c r="S1541" s="1420"/>
      <c r="T1541" s="1420">
        <v>43465</v>
      </c>
      <c r="V1541" s="1357">
        <v>107</v>
      </c>
    </row>
    <row r="1542" spans="1:22" s="841" customFormat="1" ht="15" x14ac:dyDescent="0.25">
      <c r="A1542" s="841" t="s">
        <v>175</v>
      </c>
      <c r="E1542" s="1904" t="s">
        <v>6128</v>
      </c>
      <c r="F1542" s="1904"/>
      <c r="G1542" s="1359" t="s">
        <v>33</v>
      </c>
      <c r="H1542" s="393">
        <v>-7.7399999999999997E-2</v>
      </c>
      <c r="K1542" s="841" t="s">
        <v>3448</v>
      </c>
      <c r="L1542" s="841" t="s">
        <v>442</v>
      </c>
      <c r="M1542" s="1357"/>
      <c r="P1542" s="841" t="s">
        <v>6142</v>
      </c>
      <c r="Q1542" s="1357"/>
      <c r="S1542" s="1420"/>
      <c r="T1542" s="1420">
        <v>43220</v>
      </c>
      <c r="V1542" s="1357">
        <v>129</v>
      </c>
    </row>
    <row r="1543" spans="1:22" s="841" customFormat="1" ht="15" x14ac:dyDescent="0.25">
      <c r="A1543" s="841" t="s">
        <v>175</v>
      </c>
      <c r="E1543" s="1904" t="s">
        <v>6126</v>
      </c>
      <c r="F1543" s="1904"/>
      <c r="G1543" s="1359" t="s">
        <v>33</v>
      </c>
      <c r="H1543" s="393">
        <v>-1.95E-2</v>
      </c>
      <c r="K1543" s="841" t="s">
        <v>3448</v>
      </c>
      <c r="L1543" s="841" t="s">
        <v>442</v>
      </c>
      <c r="M1543" s="1357"/>
      <c r="P1543" s="841" t="s">
        <v>6142</v>
      </c>
      <c r="Q1543" s="1357"/>
      <c r="S1543" s="1420"/>
      <c r="T1543" s="1420">
        <v>44561</v>
      </c>
      <c r="V1543" s="1357">
        <v>132</v>
      </c>
    </row>
    <row r="1544" spans="1:22" s="841" customFormat="1" ht="15" x14ac:dyDescent="0.25">
      <c r="A1544" s="841" t="s">
        <v>175</v>
      </c>
      <c r="E1544" s="1904" t="s">
        <v>6119</v>
      </c>
      <c r="F1544" s="1962"/>
      <c r="G1544" s="1358" t="s">
        <v>33</v>
      </c>
      <c r="H1544" s="393">
        <v>-1.5900000000000001E-2</v>
      </c>
      <c r="K1544" s="841" t="s">
        <v>3448</v>
      </c>
      <c r="L1544" s="841" t="s">
        <v>442</v>
      </c>
      <c r="M1544" s="1357"/>
      <c r="P1544" s="841" t="s">
        <v>6143</v>
      </c>
      <c r="Q1544" s="1357"/>
      <c r="S1544" s="1420"/>
      <c r="T1544" s="1420">
        <v>43830</v>
      </c>
      <c r="V1544" s="1357">
        <v>111</v>
      </c>
    </row>
    <row r="1545" spans="1:22" s="841" customFormat="1" ht="15" x14ac:dyDescent="0.25">
      <c r="A1545" s="841" t="s">
        <v>175</v>
      </c>
      <c r="E1545" s="1904" t="s">
        <v>6121</v>
      </c>
      <c r="F1545" s="1962"/>
      <c r="G1545" s="1358" t="s">
        <v>33</v>
      </c>
      <c r="H1545" s="393">
        <v>-4.7699999999999999E-2</v>
      </c>
      <c r="K1545" s="841" t="s">
        <v>3448</v>
      </c>
      <c r="L1545" s="841" t="s">
        <v>442</v>
      </c>
      <c r="M1545" s="1357"/>
      <c r="P1545" s="841" t="s">
        <v>6144</v>
      </c>
      <c r="Q1545" s="1357"/>
      <c r="S1545" s="1420"/>
      <c r="T1545" s="1420">
        <v>44196</v>
      </c>
      <c r="V1545" s="1357">
        <v>111</v>
      </c>
    </row>
    <row r="1546" spans="1:22" s="841" customFormat="1" ht="15" x14ac:dyDescent="0.25">
      <c r="A1546" s="841" t="s">
        <v>175</v>
      </c>
      <c r="E1546" s="1904" t="s">
        <v>6123</v>
      </c>
      <c r="F1546" s="1962"/>
      <c r="G1546" s="1358" t="s">
        <v>33</v>
      </c>
      <c r="H1546" s="393">
        <v>-6.3600000000000004E-2</v>
      </c>
      <c r="K1546" s="841" t="s">
        <v>3448</v>
      </c>
      <c r="L1546" s="841" t="s">
        <v>442</v>
      </c>
      <c r="M1546" s="1357"/>
      <c r="P1546" s="841" t="s">
        <v>6145</v>
      </c>
      <c r="Q1546" s="1357"/>
      <c r="S1546" s="1420"/>
      <c r="T1546" s="1420">
        <v>44561</v>
      </c>
      <c r="V1546" s="1357">
        <v>111</v>
      </c>
    </row>
    <row r="1547" spans="1:22" s="841" customFormat="1" ht="15" x14ac:dyDescent="0.25">
      <c r="A1547" s="841" t="s">
        <v>175</v>
      </c>
      <c r="E1547" s="1904" t="s">
        <v>6124</v>
      </c>
      <c r="F1547" s="1962"/>
      <c r="G1547" s="1359" t="s">
        <v>33</v>
      </c>
      <c r="H1547" s="393">
        <v>-3.3000000000000002E-2</v>
      </c>
      <c r="K1547" s="841" t="s">
        <v>3448</v>
      </c>
      <c r="L1547" s="841" t="s">
        <v>442</v>
      </c>
      <c r="M1547" s="1357"/>
      <c r="P1547" s="841" t="s">
        <v>6146</v>
      </c>
      <c r="Q1547" s="1357"/>
      <c r="S1547" s="1420"/>
      <c r="T1547" s="1420"/>
      <c r="V1547" s="1357">
        <v>160</v>
      </c>
    </row>
    <row r="1548" spans="1:22" s="841" customFormat="1" ht="15" x14ac:dyDescent="0.25">
      <c r="A1548" s="841" t="s">
        <v>175</v>
      </c>
      <c r="E1548" s="1904" t="s">
        <v>221</v>
      </c>
      <c r="F1548" s="1904"/>
      <c r="G1548" s="1358" t="s">
        <v>33</v>
      </c>
      <c r="H1548" s="606">
        <v>2.7057000000000002</v>
      </c>
      <c r="K1548" s="841" t="s">
        <v>3448</v>
      </c>
      <c r="L1548" s="841" t="s">
        <v>444</v>
      </c>
      <c r="M1548" s="1357"/>
      <c r="P1548" s="841" t="s">
        <v>3452</v>
      </c>
      <c r="Q1548" s="1357"/>
      <c r="S1548" s="1420"/>
      <c r="T1548" s="1420"/>
      <c r="V1548" s="1357">
        <v>47</v>
      </c>
    </row>
    <row r="1549" spans="1:22" s="841" customFormat="1" ht="15" x14ac:dyDescent="0.25">
      <c r="A1549" s="841" t="s">
        <v>175</v>
      </c>
      <c r="E1549" s="1690" t="s">
        <v>217</v>
      </c>
      <c r="F1549" s="1690"/>
      <c r="G1549" s="1358" t="s">
        <v>33</v>
      </c>
      <c r="H1549" s="393">
        <v>2.1783000000000001</v>
      </c>
      <c r="K1549" s="841" t="s">
        <v>3448</v>
      </c>
      <c r="L1549" s="841" t="s">
        <v>444</v>
      </c>
      <c r="M1549" s="1357"/>
      <c r="P1549" s="841" t="s">
        <v>3453</v>
      </c>
      <c r="Q1549" s="1357"/>
      <c r="S1549" s="1420"/>
      <c r="T1549" s="1420"/>
      <c r="V1549" s="1357">
        <v>74</v>
      </c>
    </row>
    <row r="1550" spans="1:22" s="841" customFormat="1" ht="15" x14ac:dyDescent="0.25">
      <c r="A1550" s="841" t="s">
        <v>175</v>
      </c>
      <c r="E1550" s="1694" t="s">
        <v>3079</v>
      </c>
      <c r="F1550" s="1971"/>
      <c r="G1550" s="1408"/>
      <c r="H1550" s="394"/>
      <c r="K1550" s="841" t="s">
        <v>3225</v>
      </c>
      <c r="M1550" s="1357"/>
      <c r="Q1550" s="1357"/>
      <c r="S1550" s="1420"/>
      <c r="T1550" s="1420"/>
      <c r="V1550" s="1357">
        <v>48</v>
      </c>
    </row>
    <row r="1551" spans="1:22" s="841" customFormat="1" ht="15" x14ac:dyDescent="0.25">
      <c r="A1551" s="841" t="s">
        <v>175</v>
      </c>
      <c r="E1551" s="1690" t="s">
        <v>2449</v>
      </c>
      <c r="F1551" s="1690"/>
      <c r="G1551" s="1358" t="s">
        <v>24</v>
      </c>
      <c r="H1551" s="393">
        <v>3.2000000000000002E-3</v>
      </c>
      <c r="K1551" s="841" t="s">
        <v>3448</v>
      </c>
      <c r="L1551" s="841" t="s">
        <v>3046</v>
      </c>
      <c r="M1551" s="1357"/>
      <c r="P1551" s="841" t="s">
        <v>3454</v>
      </c>
      <c r="Q1551" s="1357"/>
      <c r="S1551" s="1420"/>
      <c r="T1551" s="1420"/>
      <c r="V1551" s="1357">
        <v>55</v>
      </c>
    </row>
    <row r="1552" spans="1:22" s="841" customFormat="1" ht="15" x14ac:dyDescent="0.25">
      <c r="A1552" s="841" t="s">
        <v>175</v>
      </c>
      <c r="E1552" s="1690" t="s">
        <v>2450</v>
      </c>
      <c r="F1552" s="1690"/>
      <c r="G1552" s="1358" t="s">
        <v>24</v>
      </c>
      <c r="H1552" s="393">
        <v>4.0000000000000002E-4</v>
      </c>
      <c r="K1552" s="841" t="s">
        <v>3448</v>
      </c>
      <c r="L1552" s="841" t="s">
        <v>3046</v>
      </c>
      <c r="M1552" s="1357"/>
      <c r="P1552" s="841" t="s">
        <v>3454</v>
      </c>
      <c r="Q1552" s="1357"/>
      <c r="S1552" s="1420"/>
      <c r="T1552" s="1420"/>
      <c r="V1552" s="1357">
        <v>65</v>
      </c>
    </row>
    <row r="1553" spans="1:22" s="841" customFormat="1" ht="15" x14ac:dyDescent="0.25">
      <c r="A1553" s="841" t="s">
        <v>175</v>
      </c>
      <c r="E1553" s="1690" t="s">
        <v>439</v>
      </c>
      <c r="F1553" s="1690"/>
      <c r="G1553" s="1358" t="s">
        <v>24</v>
      </c>
      <c r="H1553" s="393">
        <v>2.9999999999999997E-4</v>
      </c>
      <c r="K1553" s="841" t="s">
        <v>3448</v>
      </c>
      <c r="L1553" s="841" t="s">
        <v>3046</v>
      </c>
      <c r="M1553" s="1357"/>
      <c r="P1553" s="841" t="s">
        <v>3455</v>
      </c>
      <c r="Q1553" s="1357"/>
      <c r="S1553" s="1420"/>
      <c r="T1553" s="1420"/>
      <c r="V1553" s="1357">
        <v>57</v>
      </c>
    </row>
    <row r="1554" spans="1:22" s="841" customFormat="1" ht="15" x14ac:dyDescent="0.25">
      <c r="A1554" s="841" t="s">
        <v>175</v>
      </c>
      <c r="E1554" s="1690" t="s">
        <v>32</v>
      </c>
      <c r="F1554" s="1690"/>
      <c r="G1554" s="1358" t="s">
        <v>23</v>
      </c>
      <c r="H1554" s="391">
        <v>0.25</v>
      </c>
      <c r="K1554" s="841" t="s">
        <v>3448</v>
      </c>
      <c r="L1554" s="841" t="s">
        <v>3046</v>
      </c>
      <c r="M1554" s="1357"/>
      <c r="P1554" s="841" t="s">
        <v>3456</v>
      </c>
      <c r="Q1554" s="1357"/>
      <c r="S1554" s="1420"/>
      <c r="T1554" s="1420"/>
      <c r="V1554" s="1357">
        <v>63</v>
      </c>
    </row>
    <row r="1555" spans="1:22" s="841" customFormat="1" ht="15" x14ac:dyDescent="0.25">
      <c r="A1555" s="841" t="s">
        <v>175</v>
      </c>
      <c r="E1555" s="1909" t="s">
        <v>617</v>
      </c>
      <c r="F1555" s="1697"/>
      <c r="G1555" s="1697"/>
      <c r="H1555" s="1697"/>
      <c r="K1555" s="841" t="s">
        <v>3457</v>
      </c>
      <c r="M1555" s="1357"/>
      <c r="Q1555" s="1357"/>
      <c r="S1555" s="1420"/>
      <c r="T1555" s="1420"/>
      <c r="V1555" s="1357">
        <v>47</v>
      </c>
    </row>
    <row r="1556" spans="1:22" s="841" customFormat="1" ht="15" x14ac:dyDescent="0.25">
      <c r="A1556" s="841" t="s">
        <v>175</v>
      </c>
      <c r="E1556" s="1921" t="s">
        <v>6147</v>
      </c>
      <c r="F1556" s="1921"/>
      <c r="G1556" s="1921"/>
      <c r="H1556" s="1921"/>
      <c r="K1556" s="841" t="s">
        <v>3457</v>
      </c>
      <c r="M1556" s="1357"/>
      <c r="Q1556" s="1357"/>
      <c r="S1556" s="1420"/>
      <c r="T1556" s="1420"/>
      <c r="V1556" s="1357">
        <v>736</v>
      </c>
    </row>
    <row r="1557" spans="1:22" s="841" customFormat="1" ht="15" x14ac:dyDescent="0.25">
      <c r="A1557" s="841" t="s">
        <v>175</v>
      </c>
      <c r="E1557" s="1916" t="s">
        <v>3061</v>
      </c>
      <c r="F1557" s="2031"/>
      <c r="G1557" s="2031"/>
      <c r="H1557" s="2031"/>
      <c r="K1557" s="841" t="s">
        <v>3107</v>
      </c>
      <c r="M1557" s="1357"/>
      <c r="Q1557" s="1357"/>
      <c r="S1557" s="1420"/>
      <c r="T1557" s="1420"/>
      <c r="V1557" s="1357">
        <v>11</v>
      </c>
    </row>
    <row r="1558" spans="1:22" s="841" customFormat="1" ht="15" x14ac:dyDescent="0.25">
      <c r="A1558" s="841" t="s">
        <v>175</v>
      </c>
      <c r="E1558" s="1921" t="s">
        <v>3063</v>
      </c>
      <c r="F1558" s="1921"/>
      <c r="G1558" s="1921"/>
      <c r="H1558" s="1921"/>
      <c r="K1558" s="841" t="s">
        <v>3457</v>
      </c>
      <c r="M1558" s="1357"/>
      <c r="Q1558" s="1357"/>
      <c r="S1558" s="1420"/>
      <c r="T1558" s="1420"/>
      <c r="V1558" s="1357">
        <v>280</v>
      </c>
    </row>
    <row r="1559" spans="1:22" s="841" customFormat="1" ht="15" x14ac:dyDescent="0.25">
      <c r="A1559" s="841" t="s">
        <v>175</v>
      </c>
      <c r="E1559" s="1921" t="s">
        <v>3064</v>
      </c>
      <c r="F1559" s="1921"/>
      <c r="G1559" s="1921"/>
      <c r="H1559" s="1921"/>
      <c r="K1559" s="841" t="s">
        <v>3457</v>
      </c>
      <c r="M1559" s="1357"/>
      <c r="Q1559" s="1357"/>
      <c r="S1559" s="1420"/>
      <c r="T1559" s="1420"/>
      <c r="V1559" s="1357">
        <v>411</v>
      </c>
    </row>
    <row r="1560" spans="1:22" s="841" customFormat="1" ht="15" x14ac:dyDescent="0.25">
      <c r="A1560" s="841" t="s">
        <v>175</v>
      </c>
      <c r="E1560" s="1921" t="s">
        <v>3199</v>
      </c>
      <c r="F1560" s="1921"/>
      <c r="G1560" s="1921"/>
      <c r="H1560" s="1921"/>
      <c r="K1560" s="841" t="s">
        <v>3457</v>
      </c>
      <c r="M1560" s="1357"/>
      <c r="Q1560" s="1357"/>
      <c r="S1560" s="1420"/>
      <c r="T1560" s="1420"/>
      <c r="V1560" s="1357">
        <v>386</v>
      </c>
    </row>
    <row r="1561" spans="1:22" s="841" customFormat="1" ht="15" x14ac:dyDescent="0.25">
      <c r="A1561" s="841" t="s">
        <v>175</v>
      </c>
      <c r="E1561" s="1921" t="s">
        <v>3200</v>
      </c>
      <c r="F1561" s="1921"/>
      <c r="G1561" s="1921"/>
      <c r="H1561" s="1921"/>
      <c r="K1561" s="841" t="s">
        <v>3457</v>
      </c>
      <c r="M1561" s="1357"/>
      <c r="Q1561" s="1357"/>
      <c r="S1561" s="1420"/>
      <c r="T1561" s="1420"/>
      <c r="V1561" s="1357">
        <v>275</v>
      </c>
    </row>
    <row r="1562" spans="1:22" s="841" customFormat="1" ht="15" x14ac:dyDescent="0.25">
      <c r="A1562" s="841" t="s">
        <v>175</v>
      </c>
      <c r="E1562" s="1694" t="s">
        <v>3067</v>
      </c>
      <c r="F1562" s="1971"/>
      <c r="G1562" s="1971"/>
      <c r="H1562" s="1971"/>
      <c r="K1562" s="841" t="s">
        <v>3108</v>
      </c>
      <c r="M1562" s="1357"/>
      <c r="Q1562" s="1357"/>
      <c r="S1562" s="1420"/>
      <c r="T1562" s="1420"/>
      <c r="V1562" s="1357">
        <v>46</v>
      </c>
    </row>
    <row r="1563" spans="1:22" s="841" customFormat="1" ht="15" x14ac:dyDescent="0.25">
      <c r="A1563" s="841" t="s">
        <v>175</v>
      </c>
      <c r="E1563" s="1904" t="s">
        <v>13</v>
      </c>
      <c r="F1563" s="1904"/>
      <c r="G1563" s="1358" t="s">
        <v>23</v>
      </c>
      <c r="H1563" s="391">
        <v>7.83</v>
      </c>
      <c r="K1563" s="841" t="s">
        <v>3457</v>
      </c>
      <c r="L1563" s="841" t="s">
        <v>442</v>
      </c>
      <c r="M1563" s="1357"/>
      <c r="P1563" s="841" t="s">
        <v>3458</v>
      </c>
      <c r="Q1563" s="1357"/>
      <c r="S1563" s="1420"/>
      <c r="T1563" s="1420"/>
      <c r="V1563" s="1357">
        <v>29</v>
      </c>
    </row>
    <row r="1564" spans="1:22" s="841" customFormat="1" ht="15" x14ac:dyDescent="0.25">
      <c r="A1564" s="841" t="s">
        <v>175</v>
      </c>
      <c r="E1564" s="1904" t="s">
        <v>84</v>
      </c>
      <c r="F1564" s="1904"/>
      <c r="G1564" s="1358" t="s">
        <v>24</v>
      </c>
      <c r="H1564" s="393">
        <v>1.23E-2</v>
      </c>
      <c r="K1564" s="841" t="s">
        <v>3457</v>
      </c>
      <c r="L1564" s="841" t="s">
        <v>442</v>
      </c>
      <c r="M1564" s="1357"/>
      <c r="P1564" s="841" t="s">
        <v>3459</v>
      </c>
      <c r="Q1564" s="1357"/>
      <c r="S1564" s="1420"/>
      <c r="T1564" s="1420"/>
      <c r="V1564" s="1357">
        <v>28</v>
      </c>
    </row>
    <row r="1565" spans="1:22" s="841" customFormat="1" ht="15" x14ac:dyDescent="0.25">
      <c r="A1565" s="841" t="s">
        <v>175</v>
      </c>
      <c r="E1565" s="1904" t="s">
        <v>18</v>
      </c>
      <c r="F1565" s="1904"/>
      <c r="G1565" s="1358" t="s">
        <v>24</v>
      </c>
      <c r="H1565" s="393">
        <v>2.7000000000000001E-3</v>
      </c>
      <c r="K1565" s="841" t="s">
        <v>3457</v>
      </c>
      <c r="L1565" s="841" t="s">
        <v>443</v>
      </c>
      <c r="M1565" s="1357"/>
      <c r="P1565" s="841" t="s">
        <v>3460</v>
      </c>
      <c r="Q1565" s="1357"/>
      <c r="S1565" s="1420"/>
      <c r="T1565" s="1420"/>
      <c r="V1565" s="1357">
        <v>24</v>
      </c>
    </row>
    <row r="1566" spans="1:22" s="841" customFormat="1" ht="15" x14ac:dyDescent="0.25">
      <c r="A1566" s="841" t="s">
        <v>175</v>
      </c>
      <c r="E1566" s="1904" t="s">
        <v>5586</v>
      </c>
      <c r="F1566" s="1962"/>
      <c r="G1566" s="1359" t="s">
        <v>24</v>
      </c>
      <c r="H1566" s="627">
        <v>4.1999999999999997E-3</v>
      </c>
      <c r="K1566" s="841" t="s">
        <v>3457</v>
      </c>
      <c r="L1566" s="841" t="s">
        <v>443</v>
      </c>
      <c r="M1566" s="1357"/>
      <c r="P1566" s="841" t="s">
        <v>3526</v>
      </c>
      <c r="Q1566" s="1357"/>
      <c r="S1566" s="1420"/>
      <c r="T1566" s="1420">
        <v>43465</v>
      </c>
      <c r="V1566" s="1357">
        <v>138</v>
      </c>
    </row>
    <row r="1567" spans="1:22" s="841" customFormat="1" ht="15" x14ac:dyDescent="0.25">
      <c r="A1567" s="841" t="s">
        <v>175</v>
      </c>
      <c r="E1567" s="1904" t="s">
        <v>6118</v>
      </c>
      <c r="F1567" s="1962"/>
      <c r="G1567" s="1358" t="s">
        <v>24</v>
      </c>
      <c r="H1567" s="393">
        <v>1.1000000000000001E-3</v>
      </c>
      <c r="K1567" s="841" t="s">
        <v>3457</v>
      </c>
      <c r="L1567" s="841" t="s">
        <v>442</v>
      </c>
      <c r="M1567" s="1357"/>
      <c r="P1567" s="841" t="s">
        <v>3527</v>
      </c>
      <c r="Q1567" s="1357"/>
      <c r="S1567" s="1420"/>
      <c r="T1567" s="1420">
        <v>43465</v>
      </c>
      <c r="V1567" s="1357">
        <v>107</v>
      </c>
    </row>
    <row r="1568" spans="1:22" s="841" customFormat="1" ht="15" x14ac:dyDescent="0.25">
      <c r="A1568" s="841" t="s">
        <v>175</v>
      </c>
      <c r="E1568" s="1904" t="s">
        <v>6128</v>
      </c>
      <c r="F1568" s="1904"/>
      <c r="G1568" s="1359" t="s">
        <v>24</v>
      </c>
      <c r="H1568" s="393">
        <v>-5.0000000000000001E-4</v>
      </c>
      <c r="K1568" s="841" t="s">
        <v>3457</v>
      </c>
      <c r="L1568" s="841" t="s">
        <v>442</v>
      </c>
      <c r="M1568" s="1357"/>
      <c r="P1568" s="841" t="s">
        <v>3461</v>
      </c>
      <c r="Q1568" s="1357"/>
      <c r="S1568" s="1420"/>
      <c r="T1568" s="1420">
        <v>43220</v>
      </c>
      <c r="V1568" s="1357">
        <v>129</v>
      </c>
    </row>
    <row r="1569" spans="1:22" s="841" customFormat="1" ht="15" x14ac:dyDescent="0.25">
      <c r="A1569" s="841" t="s">
        <v>175</v>
      </c>
      <c r="E1569" s="1904" t="s">
        <v>6126</v>
      </c>
      <c r="F1569" s="1904"/>
      <c r="G1569" s="1359" t="s">
        <v>24</v>
      </c>
      <c r="H1569" s="393">
        <v>-1E-4</v>
      </c>
      <c r="K1569" s="841" t="s">
        <v>3457</v>
      </c>
      <c r="L1569" s="841" t="s">
        <v>442</v>
      </c>
      <c r="M1569" s="1357"/>
      <c r="P1569" s="841" t="s">
        <v>3461</v>
      </c>
      <c r="Q1569" s="1357"/>
      <c r="S1569" s="1420"/>
      <c r="T1569" s="1420">
        <v>44561</v>
      </c>
      <c r="V1569" s="1357">
        <v>132</v>
      </c>
    </row>
    <row r="1570" spans="1:22" s="841" customFormat="1" ht="15" x14ac:dyDescent="0.25">
      <c r="A1570" s="841" t="s">
        <v>175</v>
      </c>
      <c r="E1570" s="1904" t="s">
        <v>6119</v>
      </c>
      <c r="F1570" s="1962"/>
      <c r="G1570" s="1358" t="s">
        <v>24</v>
      </c>
      <c r="H1570" s="393">
        <v>-1E-4</v>
      </c>
      <c r="K1570" s="841" t="s">
        <v>3457</v>
      </c>
      <c r="L1570" s="841" t="s">
        <v>442</v>
      </c>
      <c r="M1570" s="1357"/>
      <c r="P1570" s="841" t="s">
        <v>6148</v>
      </c>
      <c r="Q1570" s="1357"/>
      <c r="S1570" s="1420"/>
      <c r="T1570" s="1420">
        <v>43830</v>
      </c>
      <c r="V1570" s="1357">
        <v>111</v>
      </c>
    </row>
    <row r="1571" spans="1:22" s="841" customFormat="1" ht="15" x14ac:dyDescent="0.25">
      <c r="A1571" s="841" t="s">
        <v>175</v>
      </c>
      <c r="E1571" s="1904" t="s">
        <v>6121</v>
      </c>
      <c r="F1571" s="1962"/>
      <c r="G1571" s="1358" t="s">
        <v>24</v>
      </c>
      <c r="H1571" s="393">
        <v>-2.0000000000000001E-4</v>
      </c>
      <c r="K1571" s="841" t="s">
        <v>3457</v>
      </c>
      <c r="L1571" s="841" t="s">
        <v>442</v>
      </c>
      <c r="M1571" s="1357"/>
      <c r="P1571" s="841" t="s">
        <v>6149</v>
      </c>
      <c r="Q1571" s="1357"/>
      <c r="S1571" s="1420"/>
      <c r="T1571" s="1420">
        <v>44196</v>
      </c>
      <c r="V1571" s="1357">
        <v>111</v>
      </c>
    </row>
    <row r="1572" spans="1:22" s="841" customFormat="1" ht="15" x14ac:dyDescent="0.25">
      <c r="A1572" s="841" t="s">
        <v>175</v>
      </c>
      <c r="E1572" s="1904" t="s">
        <v>6123</v>
      </c>
      <c r="F1572" s="1962"/>
      <c r="G1572" s="1358" t="s">
        <v>24</v>
      </c>
      <c r="H1572" s="393">
        <v>-2.9999999999999997E-4</v>
      </c>
      <c r="K1572" s="841" t="s">
        <v>3457</v>
      </c>
      <c r="L1572" s="841" t="s">
        <v>442</v>
      </c>
      <c r="M1572" s="1357"/>
      <c r="P1572" s="841" t="s">
        <v>6150</v>
      </c>
      <c r="Q1572" s="1357"/>
      <c r="S1572" s="1420"/>
      <c r="T1572" s="1420">
        <v>44561</v>
      </c>
      <c r="V1572" s="1357">
        <v>111</v>
      </c>
    </row>
    <row r="1573" spans="1:22" s="841" customFormat="1" ht="15" x14ac:dyDescent="0.25">
      <c r="A1573" s="841" t="s">
        <v>175</v>
      </c>
      <c r="E1573" s="1904" t="s">
        <v>6124</v>
      </c>
      <c r="F1573" s="1962"/>
      <c r="G1573" s="1359" t="s">
        <v>24</v>
      </c>
      <c r="H1573" s="393">
        <v>-2.0000000000000001E-4</v>
      </c>
      <c r="K1573" s="841" t="s">
        <v>3457</v>
      </c>
      <c r="L1573" s="841" t="s">
        <v>442</v>
      </c>
      <c r="M1573" s="1357"/>
      <c r="P1573" s="841" t="s">
        <v>6151</v>
      </c>
      <c r="Q1573" s="1357"/>
      <c r="S1573" s="1420"/>
      <c r="T1573" s="1420"/>
      <c r="V1573" s="1357">
        <v>160</v>
      </c>
    </row>
    <row r="1574" spans="1:22" s="841" customFormat="1" ht="15" x14ac:dyDescent="0.25">
      <c r="A1574" s="841" t="s">
        <v>175</v>
      </c>
      <c r="E1574" s="1904" t="s">
        <v>221</v>
      </c>
      <c r="F1574" s="1904"/>
      <c r="G1574" s="1358" t="s">
        <v>24</v>
      </c>
      <c r="H1574" s="606">
        <v>6.0000000000000001E-3</v>
      </c>
      <c r="K1574" s="841" t="s">
        <v>3457</v>
      </c>
      <c r="L1574" s="841" t="s">
        <v>444</v>
      </c>
      <c r="M1574" s="1357"/>
      <c r="P1574" s="841" t="s">
        <v>3462</v>
      </c>
      <c r="Q1574" s="1357"/>
      <c r="S1574" s="1420"/>
      <c r="T1574" s="1420"/>
      <c r="V1574" s="1357">
        <v>47</v>
      </c>
    </row>
    <row r="1575" spans="1:22" s="841" customFormat="1" ht="15" x14ac:dyDescent="0.25">
      <c r="A1575" s="841" t="s">
        <v>175</v>
      </c>
      <c r="E1575" s="1904" t="s">
        <v>217</v>
      </c>
      <c r="F1575" s="1904"/>
      <c r="G1575" s="1358" t="s">
        <v>24</v>
      </c>
      <c r="H1575" s="606">
        <v>4.7000000000000002E-3</v>
      </c>
      <c r="K1575" s="841" t="s">
        <v>3457</v>
      </c>
      <c r="L1575" s="841" t="s">
        <v>444</v>
      </c>
      <c r="M1575" s="1357"/>
      <c r="P1575" s="841" t="s">
        <v>3463</v>
      </c>
      <c r="Q1575" s="1357"/>
      <c r="S1575" s="1420"/>
      <c r="T1575" s="1420"/>
      <c r="V1575" s="1357">
        <v>74</v>
      </c>
    </row>
    <row r="1576" spans="1:22" s="841" customFormat="1" ht="15" x14ac:dyDescent="0.25">
      <c r="A1576" s="841" t="s">
        <v>175</v>
      </c>
      <c r="E1576" s="1694" t="s">
        <v>3079</v>
      </c>
      <c r="F1576" s="1971"/>
      <c r="G1576" s="1408"/>
      <c r="H1576" s="394"/>
      <c r="K1576" s="841" t="s">
        <v>3111</v>
      </c>
      <c r="M1576" s="1357"/>
      <c r="Q1576" s="1357"/>
      <c r="S1576" s="1420"/>
      <c r="T1576" s="1420"/>
      <c r="V1576" s="1357">
        <v>48</v>
      </c>
    </row>
    <row r="1577" spans="1:22" s="841" customFormat="1" ht="15" x14ac:dyDescent="0.25">
      <c r="A1577" s="841" t="s">
        <v>175</v>
      </c>
      <c r="E1577" s="1690" t="s">
        <v>2449</v>
      </c>
      <c r="F1577" s="1690"/>
      <c r="G1577" s="1358" t="s">
        <v>24</v>
      </c>
      <c r="H1577" s="393">
        <v>3.2000000000000002E-3</v>
      </c>
      <c r="K1577" s="841" t="s">
        <v>3457</v>
      </c>
      <c r="L1577" s="841" t="s">
        <v>3046</v>
      </c>
      <c r="M1577" s="1357"/>
      <c r="P1577" s="841" t="s">
        <v>3464</v>
      </c>
      <c r="Q1577" s="1357"/>
      <c r="S1577" s="1420"/>
      <c r="T1577" s="1420"/>
      <c r="V1577" s="1357">
        <v>55</v>
      </c>
    </row>
    <row r="1578" spans="1:22" s="841" customFormat="1" ht="15" x14ac:dyDescent="0.25">
      <c r="A1578" s="841" t="s">
        <v>175</v>
      </c>
      <c r="E1578" s="1690" t="s">
        <v>2450</v>
      </c>
      <c r="F1578" s="1690"/>
      <c r="G1578" s="1358" t="s">
        <v>24</v>
      </c>
      <c r="H1578" s="393">
        <v>4.0000000000000002E-4</v>
      </c>
      <c r="K1578" s="841" t="s">
        <v>3457</v>
      </c>
      <c r="L1578" s="841" t="s">
        <v>3046</v>
      </c>
      <c r="M1578" s="1357"/>
      <c r="P1578" s="841" t="s">
        <v>3464</v>
      </c>
      <c r="Q1578" s="1357"/>
      <c r="S1578" s="1420"/>
      <c r="T1578" s="1420"/>
      <c r="V1578" s="1357">
        <v>65</v>
      </c>
    </row>
    <row r="1579" spans="1:22" s="841" customFormat="1" ht="15" x14ac:dyDescent="0.25">
      <c r="A1579" s="841" t="s">
        <v>175</v>
      </c>
      <c r="E1579" s="1690" t="s">
        <v>439</v>
      </c>
      <c r="F1579" s="1690"/>
      <c r="G1579" s="1358" t="s">
        <v>24</v>
      </c>
      <c r="H1579" s="393">
        <v>2.9999999999999997E-4</v>
      </c>
      <c r="K1579" s="841" t="s">
        <v>3457</v>
      </c>
      <c r="L1579" s="841" t="s">
        <v>3046</v>
      </c>
      <c r="M1579" s="1357"/>
      <c r="P1579" s="841" t="s">
        <v>3465</v>
      </c>
      <c r="Q1579" s="1357"/>
      <c r="S1579" s="1420"/>
      <c r="T1579" s="1420"/>
      <c r="V1579" s="1357">
        <v>57</v>
      </c>
    </row>
    <row r="1580" spans="1:22" s="841" customFormat="1" ht="15" x14ac:dyDescent="0.25">
      <c r="A1580" s="841" t="s">
        <v>175</v>
      </c>
      <c r="E1580" s="1690" t="s">
        <v>32</v>
      </c>
      <c r="F1580" s="1690"/>
      <c r="G1580" s="1358" t="s">
        <v>23</v>
      </c>
      <c r="H1580" s="391">
        <v>0.25</v>
      </c>
      <c r="K1580" s="841" t="s">
        <v>3457</v>
      </c>
      <c r="L1580" s="841" t="s">
        <v>3046</v>
      </c>
      <c r="M1580" s="1357"/>
      <c r="P1580" s="841" t="s">
        <v>3466</v>
      </c>
      <c r="Q1580" s="1357"/>
      <c r="S1580" s="1420"/>
      <c r="T1580" s="1420"/>
      <c r="V1580" s="1357">
        <v>63</v>
      </c>
    </row>
    <row r="1581" spans="1:22" s="841" customFormat="1" ht="15" x14ac:dyDescent="0.25">
      <c r="A1581" s="841" t="s">
        <v>175</v>
      </c>
      <c r="E1581" s="1909" t="s">
        <v>629</v>
      </c>
      <c r="F1581" s="1697"/>
      <c r="G1581" s="1697"/>
      <c r="H1581" s="1697"/>
      <c r="K1581" s="841" t="s">
        <v>3467</v>
      </c>
      <c r="M1581" s="1357"/>
      <c r="Q1581" s="1357"/>
      <c r="S1581" s="1420"/>
      <c r="T1581" s="1420"/>
      <c r="V1581" s="1357">
        <v>40</v>
      </c>
    </row>
    <row r="1582" spans="1:22" s="841" customFormat="1" ht="15" x14ac:dyDescent="0.25">
      <c r="A1582" s="841" t="s">
        <v>175</v>
      </c>
      <c r="E1582" s="1921" t="s">
        <v>6152</v>
      </c>
      <c r="F1582" s="1921"/>
      <c r="G1582" s="1921"/>
      <c r="H1582" s="1921"/>
      <c r="K1582" s="841" t="s">
        <v>3467</v>
      </c>
      <c r="M1582" s="1357"/>
      <c r="Q1582" s="1357"/>
      <c r="S1582" s="1420"/>
      <c r="T1582" s="1420"/>
      <c r="V1582" s="1357">
        <v>298</v>
      </c>
    </row>
    <row r="1583" spans="1:22" s="841" customFormat="1" ht="15" x14ac:dyDescent="0.25">
      <c r="A1583" s="841" t="s">
        <v>175</v>
      </c>
      <c r="E1583" s="1916" t="s">
        <v>3061</v>
      </c>
      <c r="F1583" s="2031"/>
      <c r="G1583" s="2031"/>
      <c r="H1583" s="2031"/>
      <c r="K1583" s="841" t="s">
        <v>3114</v>
      </c>
      <c r="M1583" s="1357"/>
      <c r="Q1583" s="1357"/>
      <c r="S1583" s="1420"/>
      <c r="T1583" s="1420"/>
      <c r="V1583" s="1357">
        <v>11</v>
      </c>
    </row>
    <row r="1584" spans="1:22" s="841" customFormat="1" ht="15" x14ac:dyDescent="0.25">
      <c r="A1584" s="841" t="s">
        <v>175</v>
      </c>
      <c r="E1584" s="1921" t="s">
        <v>3063</v>
      </c>
      <c r="F1584" s="1921"/>
      <c r="G1584" s="1921"/>
      <c r="H1584" s="1921"/>
      <c r="K1584" s="841" t="s">
        <v>3467</v>
      </c>
      <c r="M1584" s="1357"/>
      <c r="Q1584" s="1357"/>
      <c r="S1584" s="1420"/>
      <c r="T1584" s="1420"/>
      <c r="V1584" s="1357">
        <v>280</v>
      </c>
    </row>
    <row r="1585" spans="1:22" s="841" customFormat="1" ht="15" x14ac:dyDescent="0.25">
      <c r="A1585" s="841" t="s">
        <v>175</v>
      </c>
      <c r="E1585" s="1921" t="s">
        <v>3064</v>
      </c>
      <c r="F1585" s="1921"/>
      <c r="G1585" s="1921"/>
      <c r="H1585" s="1921"/>
      <c r="K1585" s="841" t="s">
        <v>3467</v>
      </c>
      <c r="M1585" s="1357"/>
      <c r="Q1585" s="1357"/>
      <c r="S1585" s="1420"/>
      <c r="T1585" s="1420"/>
      <c r="V1585" s="1357">
        <v>411</v>
      </c>
    </row>
    <row r="1586" spans="1:22" s="841" customFormat="1" ht="15" x14ac:dyDescent="0.25">
      <c r="A1586" s="841" t="s">
        <v>175</v>
      </c>
      <c r="E1586" s="1921" t="s">
        <v>3199</v>
      </c>
      <c r="F1586" s="1921"/>
      <c r="G1586" s="1921"/>
      <c r="H1586" s="1921"/>
      <c r="K1586" s="841" t="s">
        <v>3467</v>
      </c>
      <c r="M1586" s="1357"/>
      <c r="Q1586" s="1357"/>
      <c r="S1586" s="1420"/>
      <c r="T1586" s="1420"/>
      <c r="V1586" s="1357">
        <v>386</v>
      </c>
    </row>
    <row r="1587" spans="1:22" s="841" customFormat="1" ht="15" x14ac:dyDescent="0.25">
      <c r="A1587" s="841" t="s">
        <v>175</v>
      </c>
      <c r="E1587" s="1921" t="s">
        <v>3200</v>
      </c>
      <c r="F1587" s="1921"/>
      <c r="G1587" s="1921"/>
      <c r="H1587" s="1921"/>
      <c r="K1587" s="841" t="s">
        <v>3467</v>
      </c>
      <c r="M1587" s="1357"/>
      <c r="Q1587" s="1357"/>
      <c r="S1587" s="1420"/>
      <c r="T1587" s="1420"/>
      <c r="V1587" s="1357">
        <v>275</v>
      </c>
    </row>
    <row r="1588" spans="1:22" s="841" customFormat="1" ht="15" x14ac:dyDescent="0.25">
      <c r="A1588" s="841" t="s">
        <v>175</v>
      </c>
      <c r="E1588" s="1694" t="s">
        <v>3067</v>
      </c>
      <c r="F1588" s="1971"/>
      <c r="G1588" s="1971"/>
      <c r="H1588" s="1971"/>
      <c r="K1588" s="841" t="s">
        <v>3115</v>
      </c>
      <c r="M1588" s="1357"/>
      <c r="Q1588" s="1357"/>
      <c r="S1588" s="1420"/>
      <c r="T1588" s="1420"/>
      <c r="V1588" s="1357">
        <v>46</v>
      </c>
    </row>
    <row r="1589" spans="1:22" s="841" customFormat="1" ht="15" x14ac:dyDescent="0.25">
      <c r="A1589" s="841" t="s">
        <v>175</v>
      </c>
      <c r="E1589" s="1904" t="s">
        <v>12</v>
      </c>
      <c r="F1589" s="1904"/>
      <c r="G1589" s="1358" t="s">
        <v>23</v>
      </c>
      <c r="H1589" s="391">
        <v>5.78</v>
      </c>
      <c r="K1589" s="841" t="s">
        <v>3467</v>
      </c>
      <c r="L1589" s="841" t="s">
        <v>442</v>
      </c>
      <c r="M1589" s="1357"/>
      <c r="P1589" s="841" t="s">
        <v>3468</v>
      </c>
      <c r="Q1589" s="1357"/>
      <c r="S1589" s="1420"/>
      <c r="T1589" s="1420"/>
      <c r="V1589" s="1357">
        <v>31</v>
      </c>
    </row>
    <row r="1590" spans="1:22" s="841" customFormat="1" ht="15" x14ac:dyDescent="0.25">
      <c r="A1590" s="841" t="s">
        <v>175</v>
      </c>
      <c r="E1590" s="1904" t="s">
        <v>84</v>
      </c>
      <c r="F1590" s="1904"/>
      <c r="G1590" s="1358" t="s">
        <v>33</v>
      </c>
      <c r="H1590" s="393">
        <v>15.290800000000001</v>
      </c>
      <c r="K1590" s="841" t="s">
        <v>3467</v>
      </c>
      <c r="L1590" s="841" t="s">
        <v>442</v>
      </c>
      <c r="M1590" s="1357"/>
      <c r="P1590" s="841" t="s">
        <v>3469</v>
      </c>
      <c r="Q1590" s="1357"/>
      <c r="S1590" s="1420"/>
      <c r="T1590" s="1420"/>
      <c r="V1590" s="1357">
        <v>28</v>
      </c>
    </row>
    <row r="1591" spans="1:22" s="841" customFormat="1" ht="15" x14ac:dyDescent="0.25">
      <c r="A1591" s="841" t="s">
        <v>175</v>
      </c>
      <c r="E1591" s="1904" t="s">
        <v>18</v>
      </c>
      <c r="F1591" s="1904"/>
      <c r="G1591" s="1358" t="s">
        <v>33</v>
      </c>
      <c r="H1591" s="393">
        <v>0.78820000000000001</v>
      </c>
      <c r="K1591" s="841" t="s">
        <v>3467</v>
      </c>
      <c r="L1591" s="841" t="s">
        <v>443</v>
      </c>
      <c r="M1591" s="1357"/>
      <c r="P1591" s="841" t="s">
        <v>3470</v>
      </c>
      <c r="Q1591" s="1357"/>
      <c r="S1591" s="1420"/>
      <c r="T1591" s="1420"/>
      <c r="V1591" s="1357">
        <v>24</v>
      </c>
    </row>
    <row r="1592" spans="1:22" s="841" customFormat="1" ht="15" x14ac:dyDescent="0.25">
      <c r="A1592" s="841" t="s">
        <v>175</v>
      </c>
      <c r="E1592" s="1904" t="s">
        <v>5586</v>
      </c>
      <c r="F1592" s="1962"/>
      <c r="G1592" s="1359" t="s">
        <v>24</v>
      </c>
      <c r="H1592" s="627">
        <v>4.1999999999999997E-3</v>
      </c>
      <c r="K1592" s="841" t="s">
        <v>3467</v>
      </c>
      <c r="L1592" s="841" t="s">
        <v>443</v>
      </c>
      <c r="M1592" s="1357"/>
      <c r="P1592" s="841" t="s">
        <v>4194</v>
      </c>
      <c r="Q1592" s="1357"/>
      <c r="S1592" s="1420"/>
      <c r="T1592" s="1420">
        <v>43465</v>
      </c>
      <c r="V1592" s="1357">
        <v>138</v>
      </c>
    </row>
    <row r="1593" spans="1:22" s="841" customFormat="1" ht="15" x14ac:dyDescent="0.25">
      <c r="A1593" s="841" t="s">
        <v>175</v>
      </c>
      <c r="E1593" s="1904" t="s">
        <v>5144</v>
      </c>
      <c r="F1593" s="1962"/>
      <c r="G1593" s="1358" t="s">
        <v>24</v>
      </c>
      <c r="H1593" s="1360">
        <v>2E-3</v>
      </c>
      <c r="K1593" s="841" t="s">
        <v>3467</v>
      </c>
      <c r="L1593" s="841" t="s">
        <v>443</v>
      </c>
      <c r="M1593" s="1357"/>
      <c r="P1593" s="841" t="s">
        <v>3880</v>
      </c>
      <c r="Q1593" s="1357"/>
      <c r="S1593" s="1420"/>
      <c r="T1593" s="1420">
        <v>43465</v>
      </c>
      <c r="V1593" s="1357">
        <v>99</v>
      </c>
    </row>
    <row r="1594" spans="1:22" s="841" customFormat="1" ht="15" x14ac:dyDescent="0.25">
      <c r="A1594" s="841" t="s">
        <v>175</v>
      </c>
      <c r="E1594" s="1904" t="s">
        <v>6125</v>
      </c>
      <c r="F1594" s="1962"/>
      <c r="G1594" s="1359" t="s">
        <v>24</v>
      </c>
      <c r="H1594" s="393">
        <v>-2.7000000000000001E-3</v>
      </c>
      <c r="K1594" s="841" t="s">
        <v>3467</v>
      </c>
      <c r="L1594" s="841" t="s">
        <v>443</v>
      </c>
      <c r="M1594" s="1357"/>
      <c r="P1594" s="841" t="s">
        <v>3880</v>
      </c>
      <c r="Q1594" s="1357"/>
      <c r="S1594" s="1420"/>
      <c r="T1594" s="1420">
        <v>43465</v>
      </c>
      <c r="V1594" s="1357">
        <v>155</v>
      </c>
    </row>
    <row r="1595" spans="1:22" s="841" customFormat="1" ht="15" x14ac:dyDescent="0.25">
      <c r="A1595" s="841" t="s">
        <v>175</v>
      </c>
      <c r="E1595" s="1904" t="s">
        <v>6118</v>
      </c>
      <c r="F1595" s="1962"/>
      <c r="G1595" s="1358" t="s">
        <v>33</v>
      </c>
      <c r="H1595" s="1360">
        <v>0.39140000000000003</v>
      </c>
      <c r="K1595" s="841" t="s">
        <v>3467</v>
      </c>
      <c r="L1595" s="841" t="s">
        <v>442</v>
      </c>
      <c r="M1595" s="1357"/>
      <c r="P1595" s="841" t="s">
        <v>3880</v>
      </c>
      <c r="Q1595" s="1357"/>
      <c r="S1595" s="1420"/>
      <c r="T1595" s="1420">
        <v>43465</v>
      </c>
      <c r="V1595" s="1357">
        <v>107</v>
      </c>
    </row>
    <row r="1596" spans="1:22" s="841" customFormat="1" ht="15" x14ac:dyDescent="0.25">
      <c r="A1596" s="841" t="s">
        <v>175</v>
      </c>
      <c r="E1596" s="1904" t="s">
        <v>6128</v>
      </c>
      <c r="F1596" s="1904"/>
      <c r="G1596" s="1359" t="s">
        <v>33</v>
      </c>
      <c r="H1596" s="393">
        <v>-0.36230000000000001</v>
      </c>
      <c r="K1596" s="841" t="s">
        <v>3467</v>
      </c>
      <c r="L1596" s="841" t="s">
        <v>442</v>
      </c>
      <c r="M1596" s="1357"/>
      <c r="P1596" s="841" t="s">
        <v>3471</v>
      </c>
      <c r="Q1596" s="1357"/>
      <c r="S1596" s="1420"/>
      <c r="T1596" s="1420">
        <v>43220</v>
      </c>
      <c r="V1596" s="1357">
        <v>129</v>
      </c>
    </row>
    <row r="1597" spans="1:22" s="841" customFormat="1" ht="15" x14ac:dyDescent="0.25">
      <c r="A1597" s="841" t="s">
        <v>175</v>
      </c>
      <c r="E1597" s="1904" t="s">
        <v>6126</v>
      </c>
      <c r="F1597" s="1904"/>
      <c r="G1597" s="1359" t="s">
        <v>33</v>
      </c>
      <c r="H1597" s="393">
        <v>-9.5100000000000004E-2</v>
      </c>
      <c r="K1597" s="841" t="s">
        <v>3467</v>
      </c>
      <c r="L1597" s="841" t="s">
        <v>442</v>
      </c>
      <c r="M1597" s="1357"/>
      <c r="P1597" s="841" t="s">
        <v>3471</v>
      </c>
      <c r="Q1597" s="1357"/>
      <c r="S1597" s="1420"/>
      <c r="T1597" s="1420">
        <v>44561</v>
      </c>
      <c r="V1597" s="1357">
        <v>132</v>
      </c>
    </row>
    <row r="1598" spans="1:22" s="841" customFormat="1" ht="15" x14ac:dyDescent="0.25">
      <c r="A1598" s="841" t="s">
        <v>175</v>
      </c>
      <c r="E1598" s="1904" t="s">
        <v>6119</v>
      </c>
      <c r="F1598" s="1962"/>
      <c r="G1598" s="1358" t="s">
        <v>33</v>
      </c>
      <c r="H1598" s="393">
        <v>-0.1903</v>
      </c>
      <c r="K1598" s="841" t="s">
        <v>3467</v>
      </c>
      <c r="L1598" s="841" t="s">
        <v>442</v>
      </c>
      <c r="M1598" s="1357"/>
      <c r="P1598" s="841" t="s">
        <v>6153</v>
      </c>
      <c r="Q1598" s="1357"/>
      <c r="S1598" s="1420"/>
      <c r="T1598" s="1420">
        <v>43830</v>
      </c>
      <c r="V1598" s="1357">
        <v>111</v>
      </c>
    </row>
    <row r="1599" spans="1:22" s="841" customFormat="1" ht="15" x14ac:dyDescent="0.25">
      <c r="A1599" s="841" t="s">
        <v>175</v>
      </c>
      <c r="E1599" s="1904" t="s">
        <v>6121</v>
      </c>
      <c r="F1599" s="1962"/>
      <c r="G1599" s="1358" t="s">
        <v>33</v>
      </c>
      <c r="H1599" s="393">
        <v>-0.57079999999999997</v>
      </c>
      <c r="K1599" s="841" t="s">
        <v>3467</v>
      </c>
      <c r="L1599" s="841" t="s">
        <v>442</v>
      </c>
      <c r="M1599" s="1357"/>
      <c r="P1599" s="841" t="s">
        <v>6154</v>
      </c>
      <c r="Q1599" s="1357"/>
      <c r="S1599" s="1420"/>
      <c r="T1599" s="1420">
        <v>44196</v>
      </c>
      <c r="V1599" s="1357">
        <v>111</v>
      </c>
    </row>
    <row r="1600" spans="1:22" s="841" customFormat="1" ht="15" x14ac:dyDescent="0.25">
      <c r="A1600" s="841" t="s">
        <v>175</v>
      </c>
      <c r="E1600" s="1904" t="s">
        <v>6123</v>
      </c>
      <c r="F1600" s="1962"/>
      <c r="G1600" s="1358" t="s">
        <v>33</v>
      </c>
      <c r="H1600" s="393">
        <v>-0.76100000000000001</v>
      </c>
      <c r="K1600" s="841" t="s">
        <v>3467</v>
      </c>
      <c r="L1600" s="841" t="s">
        <v>442</v>
      </c>
      <c r="M1600" s="1357"/>
      <c r="P1600" s="841" t="s">
        <v>6155</v>
      </c>
      <c r="Q1600" s="1357"/>
      <c r="S1600" s="1420"/>
      <c r="T1600" s="1420">
        <v>44561</v>
      </c>
      <c r="V1600" s="1357">
        <v>111</v>
      </c>
    </row>
    <row r="1601" spans="1:22" s="841" customFormat="1" ht="15" x14ac:dyDescent="0.25">
      <c r="A1601" s="841" t="s">
        <v>175</v>
      </c>
      <c r="E1601" s="1904" t="s">
        <v>6124</v>
      </c>
      <c r="F1601" s="1962"/>
      <c r="G1601" s="1359" t="s">
        <v>33</v>
      </c>
      <c r="H1601" s="393">
        <v>-0.39489999999999997</v>
      </c>
      <c r="K1601" s="841" t="s">
        <v>3467</v>
      </c>
      <c r="L1601" s="841" t="s">
        <v>442</v>
      </c>
      <c r="M1601" s="1357"/>
      <c r="P1601" s="841" t="s">
        <v>6156</v>
      </c>
      <c r="Q1601" s="1357"/>
      <c r="S1601" s="1420"/>
      <c r="T1601" s="1420"/>
      <c r="V1601" s="1357">
        <v>160</v>
      </c>
    </row>
    <row r="1602" spans="1:22" s="841" customFormat="1" ht="15" x14ac:dyDescent="0.25">
      <c r="A1602" s="841" t="s">
        <v>175</v>
      </c>
      <c r="E1602" s="1690" t="s">
        <v>221</v>
      </c>
      <c r="F1602" s="1690"/>
      <c r="G1602" s="1358" t="s">
        <v>33</v>
      </c>
      <c r="H1602" s="393">
        <v>1.8338000000000001</v>
      </c>
      <c r="K1602" s="841" t="s">
        <v>3467</v>
      </c>
      <c r="L1602" s="841" t="s">
        <v>444</v>
      </c>
      <c r="M1602" s="1357"/>
      <c r="P1602" s="841" t="s">
        <v>3472</v>
      </c>
      <c r="Q1602" s="1357"/>
      <c r="S1602" s="1420"/>
      <c r="T1602" s="1420"/>
      <c r="V1602" s="1357">
        <v>47</v>
      </c>
    </row>
    <row r="1603" spans="1:22" s="841" customFormat="1" ht="15" x14ac:dyDescent="0.25">
      <c r="A1603" s="841" t="s">
        <v>175</v>
      </c>
      <c r="E1603" s="1690" t="s">
        <v>217</v>
      </c>
      <c r="F1603" s="1690"/>
      <c r="G1603" s="1358" t="s">
        <v>33</v>
      </c>
      <c r="H1603" s="393">
        <v>1.4577</v>
      </c>
      <c r="K1603" s="841" t="s">
        <v>3467</v>
      </c>
      <c r="L1603" s="841" t="s">
        <v>444</v>
      </c>
      <c r="M1603" s="1357"/>
      <c r="P1603" s="841" t="s">
        <v>3473</v>
      </c>
      <c r="Q1603" s="1357"/>
      <c r="S1603" s="1420"/>
      <c r="T1603" s="1420"/>
      <c r="V1603" s="1357">
        <v>74</v>
      </c>
    </row>
    <row r="1604" spans="1:22" s="841" customFormat="1" ht="15" x14ac:dyDescent="0.25">
      <c r="A1604" s="841" t="s">
        <v>175</v>
      </c>
      <c r="E1604" s="1694" t="s">
        <v>3079</v>
      </c>
      <c r="F1604" s="1971"/>
      <c r="G1604" s="1408"/>
      <c r="H1604" s="394"/>
      <c r="K1604" s="841" t="s">
        <v>3122</v>
      </c>
      <c r="M1604" s="1357"/>
      <c r="Q1604" s="1357"/>
      <c r="S1604" s="1420"/>
      <c r="T1604" s="1420"/>
      <c r="V1604" s="1357">
        <v>48</v>
      </c>
    </row>
    <row r="1605" spans="1:22" s="841" customFormat="1" ht="15" x14ac:dyDescent="0.25">
      <c r="A1605" s="841" t="s">
        <v>175</v>
      </c>
      <c r="E1605" s="1690" t="s">
        <v>2449</v>
      </c>
      <c r="F1605" s="1690"/>
      <c r="G1605" s="1358" t="s">
        <v>24</v>
      </c>
      <c r="H1605" s="393">
        <v>3.2000000000000002E-3</v>
      </c>
      <c r="K1605" s="841" t="s">
        <v>3467</v>
      </c>
      <c r="L1605" s="841" t="s">
        <v>3046</v>
      </c>
      <c r="M1605" s="1357"/>
      <c r="P1605" s="841" t="s">
        <v>3474</v>
      </c>
      <c r="Q1605" s="1357"/>
      <c r="S1605" s="1420"/>
      <c r="T1605" s="1420"/>
      <c r="V1605" s="1357">
        <v>55</v>
      </c>
    </row>
    <row r="1606" spans="1:22" s="841" customFormat="1" ht="15" x14ac:dyDescent="0.25">
      <c r="A1606" s="841" t="s">
        <v>175</v>
      </c>
      <c r="E1606" s="1690" t="s">
        <v>2450</v>
      </c>
      <c r="F1606" s="1690"/>
      <c r="G1606" s="1358" t="s">
        <v>24</v>
      </c>
      <c r="H1606" s="393">
        <v>4.0000000000000002E-4</v>
      </c>
      <c r="K1606" s="841" t="s">
        <v>3467</v>
      </c>
      <c r="L1606" s="841" t="s">
        <v>3046</v>
      </c>
      <c r="M1606" s="1357"/>
      <c r="P1606" s="841" t="s">
        <v>3474</v>
      </c>
      <c r="Q1606" s="1357"/>
      <c r="S1606" s="1420"/>
      <c r="T1606" s="1420"/>
      <c r="V1606" s="1357">
        <v>65</v>
      </c>
    </row>
    <row r="1607" spans="1:22" s="841" customFormat="1" ht="15" x14ac:dyDescent="0.25">
      <c r="A1607" s="841" t="s">
        <v>175</v>
      </c>
      <c r="E1607" s="1690" t="s">
        <v>439</v>
      </c>
      <c r="F1607" s="1690"/>
      <c r="G1607" s="1358" t="s">
        <v>24</v>
      </c>
      <c r="H1607" s="393">
        <v>2.9999999999999997E-4</v>
      </c>
      <c r="K1607" s="841" t="s">
        <v>3467</v>
      </c>
      <c r="L1607" s="841" t="s">
        <v>3046</v>
      </c>
      <c r="M1607" s="1357"/>
      <c r="P1607" s="841" t="s">
        <v>3475</v>
      </c>
      <c r="Q1607" s="1357"/>
      <c r="S1607" s="1420"/>
      <c r="T1607" s="1420"/>
      <c r="V1607" s="1357">
        <v>57</v>
      </c>
    </row>
    <row r="1608" spans="1:22" s="841" customFormat="1" ht="15" x14ac:dyDescent="0.25">
      <c r="A1608" s="841" t="s">
        <v>175</v>
      </c>
      <c r="E1608" s="1690" t="s">
        <v>32</v>
      </c>
      <c r="F1608" s="1690"/>
      <c r="G1608" s="1358" t="s">
        <v>23</v>
      </c>
      <c r="H1608" s="391">
        <v>0.25</v>
      </c>
      <c r="K1608" s="841" t="s">
        <v>3467</v>
      </c>
      <c r="L1608" s="841" t="s">
        <v>3046</v>
      </c>
      <c r="M1608" s="1357"/>
      <c r="P1608" s="841" t="s">
        <v>3476</v>
      </c>
      <c r="Q1608" s="1357"/>
      <c r="S1608" s="1420"/>
      <c r="T1608" s="1420"/>
      <c r="V1608" s="1357">
        <v>63</v>
      </c>
    </row>
    <row r="1609" spans="1:22" s="841" customFormat="1" ht="15" x14ac:dyDescent="0.25">
      <c r="A1609" s="841" t="s">
        <v>175</v>
      </c>
      <c r="E1609" s="1909" t="s">
        <v>615</v>
      </c>
      <c r="F1609" s="1697"/>
      <c r="G1609" s="1697"/>
      <c r="H1609" s="1697"/>
      <c r="K1609" s="841" t="s">
        <v>3477</v>
      </c>
      <c r="M1609" s="1357"/>
      <c r="Q1609" s="1357"/>
      <c r="S1609" s="1420"/>
      <c r="T1609" s="1420"/>
      <c r="V1609" s="1357">
        <v>38</v>
      </c>
    </row>
    <row r="1610" spans="1:22" s="841" customFormat="1" ht="15" x14ac:dyDescent="0.25">
      <c r="A1610" s="841" t="s">
        <v>175</v>
      </c>
      <c r="E1610" s="1921" t="s">
        <v>6157</v>
      </c>
      <c r="F1610" s="1921"/>
      <c r="G1610" s="1921"/>
      <c r="H1610" s="1921"/>
      <c r="K1610" s="841" t="s">
        <v>3477</v>
      </c>
      <c r="M1610" s="1357"/>
      <c r="Q1610" s="1357"/>
      <c r="S1610" s="1420"/>
      <c r="T1610" s="1420"/>
      <c r="V1610" s="1357">
        <v>542</v>
      </c>
    </row>
    <row r="1611" spans="1:22" s="841" customFormat="1" ht="15" x14ac:dyDescent="0.25">
      <c r="A1611" s="841" t="s">
        <v>175</v>
      </c>
      <c r="E1611" s="1916" t="s">
        <v>3061</v>
      </c>
      <c r="F1611" s="2031"/>
      <c r="G1611" s="2031"/>
      <c r="H1611" s="2031"/>
      <c r="K1611" s="841" t="s">
        <v>3128</v>
      </c>
      <c r="M1611" s="1357"/>
      <c r="Q1611" s="1357"/>
      <c r="S1611" s="1420"/>
      <c r="T1611" s="1420"/>
      <c r="V1611" s="1357">
        <v>11</v>
      </c>
    </row>
    <row r="1612" spans="1:22" s="841" customFormat="1" ht="15" x14ac:dyDescent="0.25">
      <c r="A1612" s="841" t="s">
        <v>175</v>
      </c>
      <c r="E1612" s="1921" t="s">
        <v>3063</v>
      </c>
      <c r="F1612" s="1921"/>
      <c r="G1612" s="1921"/>
      <c r="H1612" s="1921"/>
      <c r="K1612" s="841" t="s">
        <v>3477</v>
      </c>
      <c r="M1612" s="1357"/>
      <c r="Q1612" s="1357"/>
      <c r="S1612" s="1420"/>
      <c r="T1612" s="1420"/>
      <c r="V1612" s="1357">
        <v>280</v>
      </c>
    </row>
    <row r="1613" spans="1:22" s="841" customFormat="1" ht="15" x14ac:dyDescent="0.25">
      <c r="A1613" s="841" t="s">
        <v>175</v>
      </c>
      <c r="E1613" s="1921" t="s">
        <v>3064</v>
      </c>
      <c r="F1613" s="1921"/>
      <c r="G1613" s="1921"/>
      <c r="H1613" s="1921"/>
      <c r="K1613" s="841" t="s">
        <v>3477</v>
      </c>
      <c r="M1613" s="1357"/>
      <c r="Q1613" s="1357"/>
      <c r="S1613" s="1420"/>
      <c r="T1613" s="1420"/>
      <c r="V1613" s="1357">
        <v>411</v>
      </c>
    </row>
    <row r="1614" spans="1:22" s="841" customFormat="1" ht="15" x14ac:dyDescent="0.25">
      <c r="A1614" s="841" t="s">
        <v>175</v>
      </c>
      <c r="E1614" s="1921" t="s">
        <v>3199</v>
      </c>
      <c r="F1614" s="1921"/>
      <c r="G1614" s="1921"/>
      <c r="H1614" s="1921"/>
      <c r="K1614" s="841" t="s">
        <v>3477</v>
      </c>
      <c r="M1614" s="1357"/>
      <c r="Q1614" s="1357"/>
      <c r="S1614" s="1420"/>
      <c r="T1614" s="1420"/>
      <c r="V1614" s="1357">
        <v>386</v>
      </c>
    </row>
    <row r="1615" spans="1:22" s="841" customFormat="1" ht="15" x14ac:dyDescent="0.25">
      <c r="A1615" s="841" t="s">
        <v>175</v>
      </c>
      <c r="E1615" s="1921" t="s">
        <v>3200</v>
      </c>
      <c r="F1615" s="1921"/>
      <c r="G1615" s="1921"/>
      <c r="H1615" s="1921"/>
      <c r="K1615" s="841" t="s">
        <v>3477</v>
      </c>
      <c r="M1615" s="1357"/>
      <c r="Q1615" s="1357"/>
      <c r="S1615" s="1420"/>
      <c r="T1615" s="1420"/>
      <c r="V1615" s="1357">
        <v>275</v>
      </c>
    </row>
    <row r="1616" spans="1:22" s="841" customFormat="1" ht="15" x14ac:dyDescent="0.25">
      <c r="A1616" s="841" t="s">
        <v>175</v>
      </c>
      <c r="E1616" s="1694" t="s">
        <v>3067</v>
      </c>
      <c r="F1616" s="1971"/>
      <c r="G1616" s="1971"/>
      <c r="H1616" s="1971"/>
      <c r="K1616" s="841" t="s">
        <v>3130</v>
      </c>
      <c r="M1616" s="1357"/>
      <c r="Q1616" s="1357"/>
      <c r="S1616" s="1420"/>
      <c r="T1616" s="1420"/>
      <c r="V1616" s="1357">
        <v>46</v>
      </c>
    </row>
    <row r="1617" spans="1:22" s="841" customFormat="1" ht="15" x14ac:dyDescent="0.25">
      <c r="A1617" s="841" t="s">
        <v>175</v>
      </c>
      <c r="E1617" s="1690" t="s">
        <v>12</v>
      </c>
      <c r="F1617" s="1690"/>
      <c r="G1617" s="1358" t="s">
        <v>23</v>
      </c>
      <c r="H1617" s="391">
        <v>2.1800000000000002</v>
      </c>
      <c r="K1617" s="841" t="s">
        <v>3477</v>
      </c>
      <c r="L1617" s="841" t="s">
        <v>442</v>
      </c>
      <c r="M1617" s="1357"/>
      <c r="P1617" s="841" t="s">
        <v>3478</v>
      </c>
      <c r="Q1617" s="1357"/>
      <c r="S1617" s="1420"/>
      <c r="T1617" s="1420"/>
      <c r="V1617" s="1357">
        <v>31</v>
      </c>
    </row>
    <row r="1618" spans="1:22" s="841" customFormat="1" ht="15" x14ac:dyDescent="0.25">
      <c r="A1618" s="841" t="s">
        <v>175</v>
      </c>
      <c r="E1618" s="1690" t="s">
        <v>84</v>
      </c>
      <c r="F1618" s="1690"/>
      <c r="G1618" s="1358" t="s">
        <v>33</v>
      </c>
      <c r="H1618" s="393">
        <v>10.5671</v>
      </c>
      <c r="K1618" s="841" t="s">
        <v>3477</v>
      </c>
      <c r="L1618" s="841" t="s">
        <v>442</v>
      </c>
      <c r="M1618" s="1357"/>
      <c r="P1618" s="841" t="s">
        <v>3479</v>
      </c>
      <c r="Q1618" s="1357"/>
      <c r="S1618" s="1420"/>
      <c r="T1618" s="1420"/>
      <c r="V1618" s="1357">
        <v>28</v>
      </c>
    </row>
    <row r="1619" spans="1:22" s="841" customFormat="1" ht="15" x14ac:dyDescent="0.25">
      <c r="A1619" s="841" t="s">
        <v>175</v>
      </c>
      <c r="E1619" s="1690" t="s">
        <v>18</v>
      </c>
      <c r="F1619" s="1690"/>
      <c r="G1619" s="1358" t="s">
        <v>33</v>
      </c>
      <c r="H1619" s="393">
        <v>0.77200000000000002</v>
      </c>
      <c r="K1619" s="841" t="s">
        <v>3477</v>
      </c>
      <c r="L1619" s="841" t="s">
        <v>443</v>
      </c>
      <c r="M1619" s="1357"/>
      <c r="P1619" s="841" t="s">
        <v>3480</v>
      </c>
      <c r="Q1619" s="1357"/>
      <c r="S1619" s="1420"/>
      <c r="T1619" s="1420"/>
      <c r="V1619" s="1357">
        <v>24</v>
      </c>
    </row>
    <row r="1620" spans="1:22" s="841" customFormat="1" ht="15" x14ac:dyDescent="0.25">
      <c r="A1620" s="841" t="s">
        <v>175</v>
      </c>
      <c r="E1620" s="1904" t="s">
        <v>5586</v>
      </c>
      <c r="F1620" s="1962"/>
      <c r="G1620" s="1359" t="s">
        <v>24</v>
      </c>
      <c r="H1620" s="627">
        <v>4.1999999999999997E-3</v>
      </c>
      <c r="K1620" s="841" t="s">
        <v>3477</v>
      </c>
      <c r="L1620" s="841" t="s">
        <v>443</v>
      </c>
      <c r="M1620" s="1357"/>
      <c r="P1620" s="841" t="s">
        <v>4196</v>
      </c>
      <c r="Q1620" s="1357"/>
      <c r="S1620" s="1420"/>
      <c r="T1620" s="1420">
        <v>43465</v>
      </c>
      <c r="V1620" s="1357">
        <v>138</v>
      </c>
    </row>
    <row r="1621" spans="1:22" s="841" customFormat="1" ht="15" x14ac:dyDescent="0.25">
      <c r="A1621" s="841" t="s">
        <v>175</v>
      </c>
      <c r="E1621" s="1904" t="s">
        <v>5144</v>
      </c>
      <c r="F1621" s="1962"/>
      <c r="G1621" s="1358" t="s">
        <v>33</v>
      </c>
      <c r="H1621" s="1360">
        <v>0.74139999999999995</v>
      </c>
      <c r="K1621" s="841" t="s">
        <v>3477</v>
      </c>
      <c r="L1621" s="841" t="s">
        <v>443</v>
      </c>
      <c r="M1621" s="1357"/>
      <c r="P1621" s="841" t="s">
        <v>3882</v>
      </c>
      <c r="Q1621" s="1357"/>
      <c r="S1621" s="1420"/>
      <c r="T1621" s="1420">
        <v>43465</v>
      </c>
      <c r="V1621" s="1357">
        <v>99</v>
      </c>
    </row>
    <row r="1622" spans="1:22" s="841" customFormat="1" ht="15" x14ac:dyDescent="0.25">
      <c r="A1622" s="841" t="s">
        <v>175</v>
      </c>
      <c r="E1622" s="1904" t="s">
        <v>6125</v>
      </c>
      <c r="F1622" s="1962"/>
      <c r="G1622" s="1359" t="s">
        <v>33</v>
      </c>
      <c r="H1622" s="393">
        <v>-1.0174000000000001</v>
      </c>
      <c r="K1622" s="841" t="s">
        <v>3477</v>
      </c>
      <c r="L1622" s="841" t="s">
        <v>443</v>
      </c>
      <c r="M1622" s="1357"/>
      <c r="P1622" s="841" t="s">
        <v>3882</v>
      </c>
      <c r="Q1622" s="1357"/>
      <c r="S1622" s="1420"/>
      <c r="T1622" s="1420">
        <v>43465</v>
      </c>
      <c r="V1622" s="1357">
        <v>155</v>
      </c>
    </row>
    <row r="1623" spans="1:22" s="841" customFormat="1" ht="15" x14ac:dyDescent="0.25">
      <c r="A1623" s="841" t="s">
        <v>175</v>
      </c>
      <c r="E1623" s="1690" t="s">
        <v>6118</v>
      </c>
      <c r="F1623" s="1908"/>
      <c r="G1623" s="1358" t="s">
        <v>33</v>
      </c>
      <c r="H1623" s="627">
        <v>0.3957</v>
      </c>
      <c r="K1623" s="841" t="s">
        <v>3477</v>
      </c>
      <c r="L1623" s="841" t="s">
        <v>442</v>
      </c>
      <c r="M1623" s="1357"/>
      <c r="P1623" s="841" t="s">
        <v>3882</v>
      </c>
      <c r="Q1623" s="1357"/>
      <c r="S1623" s="1420"/>
      <c r="T1623" s="1420">
        <v>43465</v>
      </c>
      <c r="V1623" s="1357">
        <v>107</v>
      </c>
    </row>
    <row r="1624" spans="1:22" s="841" customFormat="1" ht="15" x14ac:dyDescent="0.25">
      <c r="A1624" s="841" t="s">
        <v>175</v>
      </c>
      <c r="E1624" s="1904" t="s">
        <v>6128</v>
      </c>
      <c r="F1624" s="1904"/>
      <c r="G1624" s="1359" t="s">
        <v>33</v>
      </c>
      <c r="H1624" s="393">
        <v>-0.44619999999999999</v>
      </c>
      <c r="K1624" s="841" t="s">
        <v>3477</v>
      </c>
      <c r="L1624" s="841" t="s">
        <v>442</v>
      </c>
      <c r="M1624" s="1357"/>
      <c r="P1624" s="841" t="s">
        <v>3481</v>
      </c>
      <c r="Q1624" s="1357"/>
      <c r="S1624" s="1420"/>
      <c r="T1624" s="1420">
        <v>43220</v>
      </c>
      <c r="V1624" s="1357">
        <v>129</v>
      </c>
    </row>
    <row r="1625" spans="1:22" s="841" customFormat="1" ht="15" x14ac:dyDescent="0.25">
      <c r="A1625" s="841" t="s">
        <v>175</v>
      </c>
      <c r="E1625" s="1904" t="s">
        <v>6126</v>
      </c>
      <c r="F1625" s="1904"/>
      <c r="G1625" s="1359" t="s">
        <v>33</v>
      </c>
      <c r="H1625" s="393">
        <v>3.0914999999999999</v>
      </c>
      <c r="K1625" s="841" t="s">
        <v>3477</v>
      </c>
      <c r="L1625" s="841" t="s">
        <v>442</v>
      </c>
      <c r="M1625" s="1357"/>
      <c r="P1625" s="841" t="s">
        <v>3481</v>
      </c>
      <c r="Q1625" s="1357"/>
      <c r="S1625" s="1420"/>
      <c r="T1625" s="1420">
        <v>44561</v>
      </c>
      <c r="V1625" s="1357">
        <v>132</v>
      </c>
    </row>
    <row r="1626" spans="1:22" s="841" customFormat="1" ht="15" x14ac:dyDescent="0.25">
      <c r="A1626" s="841" t="s">
        <v>175</v>
      </c>
      <c r="E1626" s="1904" t="s">
        <v>6119</v>
      </c>
      <c r="F1626" s="1962"/>
      <c r="G1626" s="1358" t="s">
        <v>33</v>
      </c>
      <c r="H1626" s="393">
        <v>-0.2238</v>
      </c>
      <c r="K1626" s="841" t="s">
        <v>3477</v>
      </c>
      <c r="L1626" s="841" t="s">
        <v>442</v>
      </c>
      <c r="M1626" s="1357"/>
      <c r="P1626" s="841" t="s">
        <v>6158</v>
      </c>
      <c r="Q1626" s="1357"/>
      <c r="S1626" s="1420"/>
      <c r="T1626" s="1420">
        <v>43830</v>
      </c>
      <c r="V1626" s="1357">
        <v>111</v>
      </c>
    </row>
    <row r="1627" spans="1:22" s="841" customFormat="1" ht="15" x14ac:dyDescent="0.25">
      <c r="A1627" s="841" t="s">
        <v>175</v>
      </c>
      <c r="E1627" s="1904" t="s">
        <v>6121</v>
      </c>
      <c r="F1627" s="1962"/>
      <c r="G1627" s="1358" t="s">
        <v>33</v>
      </c>
      <c r="H1627" s="393">
        <v>-0.67130000000000001</v>
      </c>
      <c r="K1627" s="841" t="s">
        <v>3477</v>
      </c>
      <c r="L1627" s="841" t="s">
        <v>442</v>
      </c>
      <c r="M1627" s="1357"/>
      <c r="P1627" s="841" t="s">
        <v>6159</v>
      </c>
      <c r="Q1627" s="1357"/>
      <c r="S1627" s="1420"/>
      <c r="T1627" s="1420">
        <v>44196</v>
      </c>
      <c r="V1627" s="1357">
        <v>111</v>
      </c>
    </row>
    <row r="1628" spans="1:22" s="841" customFormat="1" ht="15" x14ac:dyDescent="0.25">
      <c r="A1628" s="841" t="s">
        <v>175</v>
      </c>
      <c r="E1628" s="1904" t="s">
        <v>6123</v>
      </c>
      <c r="F1628" s="1962"/>
      <c r="G1628" s="1358" t="s">
        <v>33</v>
      </c>
      <c r="H1628" s="393">
        <v>-0.89510000000000001</v>
      </c>
      <c r="K1628" s="841" t="s">
        <v>3477</v>
      </c>
      <c r="L1628" s="841" t="s">
        <v>442</v>
      </c>
      <c r="M1628" s="1357"/>
      <c r="P1628" s="841" t="s">
        <v>6160</v>
      </c>
      <c r="Q1628" s="1357"/>
      <c r="S1628" s="1420"/>
      <c r="T1628" s="1420">
        <v>44561</v>
      </c>
      <c r="V1628" s="1357">
        <v>111</v>
      </c>
    </row>
    <row r="1629" spans="1:22" s="841" customFormat="1" ht="15" x14ac:dyDescent="0.25">
      <c r="A1629" s="841" t="s">
        <v>175</v>
      </c>
      <c r="E1629" s="1904" t="s">
        <v>6124</v>
      </c>
      <c r="F1629" s="1962"/>
      <c r="G1629" s="1359" t="s">
        <v>33</v>
      </c>
      <c r="H1629" s="393">
        <v>-0.46450000000000002</v>
      </c>
      <c r="K1629" s="841" t="s">
        <v>3477</v>
      </c>
      <c r="L1629" s="841" t="s">
        <v>442</v>
      </c>
      <c r="M1629" s="1357"/>
      <c r="P1629" s="841" t="s">
        <v>6161</v>
      </c>
      <c r="Q1629" s="1357"/>
      <c r="S1629" s="1420"/>
      <c r="T1629" s="1420"/>
      <c r="V1629" s="1357">
        <v>160</v>
      </c>
    </row>
    <row r="1630" spans="1:22" s="841" customFormat="1" ht="15" x14ac:dyDescent="0.25">
      <c r="A1630" s="841" t="s">
        <v>175</v>
      </c>
      <c r="E1630" s="1690" t="s">
        <v>221</v>
      </c>
      <c r="F1630" s="1690"/>
      <c r="G1630" s="1358" t="s">
        <v>33</v>
      </c>
      <c r="H1630" s="393">
        <v>1.8245</v>
      </c>
      <c r="K1630" s="841" t="s">
        <v>3477</v>
      </c>
      <c r="L1630" s="841" t="s">
        <v>444</v>
      </c>
      <c r="M1630" s="1357"/>
      <c r="P1630" s="841" t="s">
        <v>3482</v>
      </c>
      <c r="Q1630" s="1357"/>
      <c r="S1630" s="1420"/>
      <c r="T1630" s="1420"/>
      <c r="V1630" s="1357">
        <v>47</v>
      </c>
    </row>
    <row r="1631" spans="1:22" s="841" customFormat="1" ht="15" x14ac:dyDescent="0.25">
      <c r="A1631" s="841" t="s">
        <v>175</v>
      </c>
      <c r="E1631" s="1690" t="s">
        <v>217</v>
      </c>
      <c r="F1631" s="1690"/>
      <c r="G1631" s="1358" t="s">
        <v>33</v>
      </c>
      <c r="H1631" s="393">
        <v>1.4278999999999999</v>
      </c>
      <c r="K1631" s="841" t="s">
        <v>3477</v>
      </c>
      <c r="L1631" s="841" t="s">
        <v>444</v>
      </c>
      <c r="M1631" s="1357"/>
      <c r="P1631" s="841" t="s">
        <v>3483</v>
      </c>
      <c r="Q1631" s="1357"/>
      <c r="S1631" s="1420"/>
      <c r="T1631" s="1420"/>
      <c r="V1631" s="1357">
        <v>74</v>
      </c>
    </row>
    <row r="1632" spans="1:22" s="841" customFormat="1" ht="15" x14ac:dyDescent="0.25">
      <c r="A1632" s="841" t="s">
        <v>175</v>
      </c>
      <c r="E1632" s="1694" t="s">
        <v>3079</v>
      </c>
      <c r="F1632" s="1971"/>
      <c r="G1632" s="1408"/>
      <c r="H1632" s="394"/>
      <c r="K1632" s="841" t="s">
        <v>3260</v>
      </c>
      <c r="M1632" s="1357"/>
      <c r="Q1632" s="1357"/>
      <c r="S1632" s="1420"/>
      <c r="T1632" s="1420"/>
      <c r="V1632" s="1357">
        <v>48</v>
      </c>
    </row>
    <row r="1633" spans="1:22" s="841" customFormat="1" ht="15" x14ac:dyDescent="0.25">
      <c r="A1633" s="841" t="s">
        <v>175</v>
      </c>
      <c r="E1633" s="1690" t="s">
        <v>2449</v>
      </c>
      <c r="F1633" s="1690"/>
      <c r="G1633" s="1358" t="s">
        <v>24</v>
      </c>
      <c r="H1633" s="393">
        <v>3.2000000000000002E-3</v>
      </c>
      <c r="K1633" s="841" t="s">
        <v>3477</v>
      </c>
      <c r="L1633" s="841" t="s">
        <v>3046</v>
      </c>
      <c r="M1633" s="1357"/>
      <c r="P1633" s="841" t="s">
        <v>3484</v>
      </c>
      <c r="Q1633" s="1357"/>
      <c r="S1633" s="1420"/>
      <c r="T1633" s="1420"/>
      <c r="V1633" s="1357">
        <v>55</v>
      </c>
    </row>
    <row r="1634" spans="1:22" s="841" customFormat="1" ht="15" x14ac:dyDescent="0.25">
      <c r="A1634" s="841" t="s">
        <v>175</v>
      </c>
      <c r="E1634" s="1690" t="s">
        <v>2450</v>
      </c>
      <c r="F1634" s="1690"/>
      <c r="G1634" s="1358" t="s">
        <v>24</v>
      </c>
      <c r="H1634" s="393">
        <v>4.0000000000000002E-4</v>
      </c>
      <c r="K1634" s="841" t="s">
        <v>3477</v>
      </c>
      <c r="L1634" s="841" t="s">
        <v>3046</v>
      </c>
      <c r="M1634" s="1357"/>
      <c r="P1634" s="841" t="s">
        <v>3484</v>
      </c>
      <c r="Q1634" s="1357"/>
      <c r="S1634" s="1420"/>
      <c r="T1634" s="1420"/>
      <c r="V1634" s="1357">
        <v>65</v>
      </c>
    </row>
    <row r="1635" spans="1:22" s="841" customFormat="1" ht="15" x14ac:dyDescent="0.25">
      <c r="A1635" s="841" t="s">
        <v>175</v>
      </c>
      <c r="E1635" s="1690" t="s">
        <v>439</v>
      </c>
      <c r="F1635" s="1690"/>
      <c r="G1635" s="1358" t="s">
        <v>24</v>
      </c>
      <c r="H1635" s="393">
        <v>2.9999999999999997E-4</v>
      </c>
      <c r="K1635" s="841" t="s">
        <v>3477</v>
      </c>
      <c r="L1635" s="841" t="s">
        <v>3046</v>
      </c>
      <c r="M1635" s="1357"/>
      <c r="P1635" s="841" t="s">
        <v>3485</v>
      </c>
      <c r="Q1635" s="1357"/>
      <c r="S1635" s="1420"/>
      <c r="T1635" s="1420"/>
      <c r="V1635" s="1357">
        <v>57</v>
      </c>
    </row>
    <row r="1636" spans="1:22" s="841" customFormat="1" ht="15" x14ac:dyDescent="0.25">
      <c r="A1636" s="841" t="s">
        <v>175</v>
      </c>
      <c r="E1636" s="1690" t="s">
        <v>32</v>
      </c>
      <c r="F1636" s="1690"/>
      <c r="G1636" s="1358" t="s">
        <v>23</v>
      </c>
      <c r="H1636" s="391">
        <v>0.25</v>
      </c>
      <c r="K1636" s="841" t="s">
        <v>3477</v>
      </c>
      <c r="L1636" s="841" t="s">
        <v>3046</v>
      </c>
      <c r="M1636" s="1357"/>
      <c r="P1636" s="841" t="s">
        <v>3486</v>
      </c>
      <c r="Q1636" s="1357"/>
      <c r="S1636" s="1420"/>
      <c r="T1636" s="1420"/>
      <c r="V1636" s="1357">
        <v>63</v>
      </c>
    </row>
    <row r="1637" spans="1:22" s="841" customFormat="1" ht="15" x14ac:dyDescent="0.25">
      <c r="A1637" s="841" t="s">
        <v>175</v>
      </c>
      <c r="E1637" s="1909" t="s">
        <v>618</v>
      </c>
      <c r="F1637" s="1697"/>
      <c r="G1637" s="1697"/>
      <c r="H1637" s="1697"/>
      <c r="K1637" s="841" t="s">
        <v>3487</v>
      </c>
      <c r="M1637" s="1357"/>
      <c r="Q1637" s="1357"/>
      <c r="S1637" s="1420"/>
      <c r="T1637" s="1420"/>
      <c r="V1637" s="1357">
        <v>31</v>
      </c>
    </row>
    <row r="1638" spans="1:22" s="841" customFormat="1" ht="15" x14ac:dyDescent="0.25">
      <c r="A1638" s="841" t="s">
        <v>175</v>
      </c>
      <c r="E1638" s="1921" t="s">
        <v>6162</v>
      </c>
      <c r="F1638" s="1921"/>
      <c r="G1638" s="1921"/>
      <c r="H1638" s="1921"/>
      <c r="K1638" s="841" t="s">
        <v>3487</v>
      </c>
      <c r="M1638" s="1357"/>
      <c r="Q1638" s="1357"/>
      <c r="S1638" s="1420"/>
      <c r="T1638" s="1420"/>
      <c r="V1638" s="1357">
        <v>285</v>
      </c>
    </row>
    <row r="1639" spans="1:22" s="841" customFormat="1" ht="15" x14ac:dyDescent="0.25">
      <c r="A1639" s="841" t="s">
        <v>175</v>
      </c>
      <c r="E1639" s="1910" t="s">
        <v>3061</v>
      </c>
      <c r="F1639" s="1697"/>
      <c r="G1639" s="1697"/>
      <c r="H1639" s="1697"/>
      <c r="K1639" s="841" t="s">
        <v>3266</v>
      </c>
      <c r="M1639" s="1357"/>
      <c r="Q1639" s="1357"/>
      <c r="S1639" s="1420"/>
      <c r="T1639" s="1420"/>
      <c r="V1639" s="1357">
        <v>11</v>
      </c>
    </row>
    <row r="1640" spans="1:22" s="841" customFormat="1" ht="15" x14ac:dyDescent="0.25">
      <c r="A1640" s="841" t="s">
        <v>175</v>
      </c>
      <c r="E1640" s="1921" t="s">
        <v>3063</v>
      </c>
      <c r="F1640" s="1921"/>
      <c r="G1640" s="1921"/>
      <c r="H1640" s="1921"/>
      <c r="K1640" s="841" t="s">
        <v>3487</v>
      </c>
      <c r="M1640" s="1357"/>
      <c r="Q1640" s="1357"/>
      <c r="S1640" s="1420"/>
      <c r="T1640" s="1420"/>
      <c r="V1640" s="1357">
        <v>280</v>
      </c>
    </row>
    <row r="1641" spans="1:22" s="841" customFormat="1" ht="15" x14ac:dyDescent="0.25">
      <c r="A1641" s="841" t="s">
        <v>175</v>
      </c>
      <c r="E1641" s="1921" t="s">
        <v>3064</v>
      </c>
      <c r="F1641" s="1921"/>
      <c r="G1641" s="1921"/>
      <c r="H1641" s="1921"/>
      <c r="K1641" s="841" t="s">
        <v>3487</v>
      </c>
      <c r="M1641" s="1357"/>
      <c r="Q1641" s="1357"/>
      <c r="S1641" s="1420"/>
      <c r="T1641" s="1420"/>
      <c r="V1641" s="1357">
        <v>411</v>
      </c>
    </row>
    <row r="1642" spans="1:22" s="841" customFormat="1" ht="15" x14ac:dyDescent="0.25">
      <c r="A1642" s="841" t="s">
        <v>175</v>
      </c>
      <c r="E1642" s="1921" t="s">
        <v>3129</v>
      </c>
      <c r="F1642" s="1921"/>
      <c r="G1642" s="1921"/>
      <c r="H1642" s="1921"/>
      <c r="K1642" s="841" t="s">
        <v>3487</v>
      </c>
      <c r="M1642" s="1357"/>
      <c r="Q1642" s="1357"/>
      <c r="S1642" s="1420"/>
      <c r="T1642" s="1420"/>
      <c r="V1642" s="1357">
        <v>211</v>
      </c>
    </row>
    <row r="1643" spans="1:22" s="841" customFormat="1" ht="15" x14ac:dyDescent="0.25">
      <c r="A1643" s="841" t="s">
        <v>175</v>
      </c>
      <c r="E1643" s="1921" t="s">
        <v>3200</v>
      </c>
      <c r="F1643" s="1921"/>
      <c r="G1643" s="1921"/>
      <c r="H1643" s="1921"/>
      <c r="K1643" s="841" t="s">
        <v>3487</v>
      </c>
      <c r="M1643" s="1357"/>
      <c r="Q1643" s="1357"/>
      <c r="S1643" s="1420"/>
      <c r="T1643" s="1420"/>
      <c r="V1643" s="1357">
        <v>275</v>
      </c>
    </row>
    <row r="1644" spans="1:22" s="841" customFormat="1" ht="15" x14ac:dyDescent="0.25">
      <c r="A1644" s="841" t="s">
        <v>175</v>
      </c>
      <c r="E1644" s="1694" t="s">
        <v>3067</v>
      </c>
      <c r="F1644" s="1971"/>
      <c r="G1644" s="1971"/>
      <c r="H1644" s="1971"/>
      <c r="K1644" s="841" t="s">
        <v>3267</v>
      </c>
      <c r="M1644" s="1357"/>
      <c r="Q1644" s="1357"/>
      <c r="S1644" s="1420"/>
      <c r="T1644" s="1420"/>
      <c r="V1644" s="1357">
        <v>46</v>
      </c>
    </row>
    <row r="1645" spans="1:22" s="841" customFormat="1" ht="15" x14ac:dyDescent="0.25">
      <c r="A1645" s="841" t="s">
        <v>175</v>
      </c>
      <c r="E1645" s="1690" t="s">
        <v>11</v>
      </c>
      <c r="F1645" s="1690"/>
      <c r="G1645" s="1358" t="s">
        <v>23</v>
      </c>
      <c r="H1645" s="391">
        <v>10</v>
      </c>
      <c r="K1645" s="841" t="s">
        <v>3487</v>
      </c>
      <c r="L1645" s="841" t="s">
        <v>442</v>
      </c>
      <c r="M1645" s="1357"/>
      <c r="P1645" s="841" t="s">
        <v>3488</v>
      </c>
      <c r="Q1645" s="1357"/>
      <c r="S1645" s="1420"/>
      <c r="T1645" s="1420"/>
      <c r="V1645" s="1357">
        <v>14</v>
      </c>
    </row>
    <row r="1646" spans="1:22" s="841" customFormat="1" ht="18.75" x14ac:dyDescent="0.3">
      <c r="A1646" s="841" t="s">
        <v>175</v>
      </c>
      <c r="E1646" s="1374" t="s">
        <v>85</v>
      </c>
      <c r="F1646" s="657"/>
      <c r="G1646" s="657"/>
      <c r="H1646" s="658"/>
      <c r="K1646" s="841" t="s">
        <v>6163</v>
      </c>
      <c r="M1646" s="1357"/>
      <c r="Q1646" s="1357"/>
      <c r="S1646" s="1420"/>
      <c r="T1646" s="1420"/>
      <c r="V1646" s="1357">
        <v>10</v>
      </c>
    </row>
    <row r="1647" spans="1:22" s="841" customFormat="1" ht="15" x14ac:dyDescent="0.25">
      <c r="A1647" s="841" t="s">
        <v>175</v>
      </c>
      <c r="E1647" s="1690" t="s">
        <v>3133</v>
      </c>
      <c r="F1647" s="1690"/>
      <c r="G1647" s="1408" t="s">
        <v>33</v>
      </c>
      <c r="H1647" s="681">
        <v>-0.6</v>
      </c>
      <c r="M1647" s="1357"/>
      <c r="Q1647" s="1357"/>
      <c r="S1647" s="1420"/>
      <c r="T1647" s="1420"/>
      <c r="V1647" s="1357">
        <v>68</v>
      </c>
    </row>
    <row r="1648" spans="1:22" s="841" customFormat="1" ht="15" x14ac:dyDescent="0.25">
      <c r="A1648" s="841" t="s">
        <v>175</v>
      </c>
      <c r="E1648" s="1690" t="s">
        <v>3134</v>
      </c>
      <c r="F1648" s="1690"/>
      <c r="G1648" s="1408" t="s">
        <v>86</v>
      </c>
      <c r="H1648" s="391">
        <v>-1</v>
      </c>
      <c r="M1648" s="1357"/>
      <c r="Q1648" s="1357"/>
      <c r="S1648" s="1420"/>
      <c r="T1648" s="1420"/>
      <c r="V1648" s="1357">
        <v>87</v>
      </c>
    </row>
    <row r="1649" spans="1:22" s="841" customFormat="1" ht="36.75" x14ac:dyDescent="0.3">
      <c r="A1649" s="841" t="s">
        <v>175</v>
      </c>
      <c r="E1649" s="1374" t="s">
        <v>87</v>
      </c>
      <c r="F1649" s="657"/>
      <c r="G1649" s="657"/>
      <c r="H1649" s="658"/>
      <c r="K1649" s="841" t="s">
        <v>6164</v>
      </c>
      <c r="M1649" s="1357"/>
      <c r="Q1649" s="1357"/>
      <c r="S1649" s="1420"/>
      <c r="T1649" s="1420"/>
      <c r="V1649" s="1357">
        <v>24</v>
      </c>
    </row>
    <row r="1650" spans="1:22" s="841" customFormat="1" ht="15" x14ac:dyDescent="0.25">
      <c r="A1650" s="841" t="s">
        <v>175</v>
      </c>
      <c r="E1650" s="1921" t="s">
        <v>3063</v>
      </c>
      <c r="F1650" s="1921"/>
      <c r="G1650" s="1921"/>
      <c r="H1650" s="1921"/>
      <c r="M1650" s="1357"/>
      <c r="Q1650" s="1357"/>
      <c r="S1650" s="1420"/>
      <c r="T1650" s="1420"/>
      <c r="V1650" s="1357">
        <v>280</v>
      </c>
    </row>
    <row r="1651" spans="1:22" s="841" customFormat="1" ht="15" x14ac:dyDescent="0.25">
      <c r="A1651" s="841" t="s">
        <v>175</v>
      </c>
      <c r="E1651" s="1921" t="s">
        <v>3136</v>
      </c>
      <c r="F1651" s="1921"/>
      <c r="G1651" s="1921"/>
      <c r="H1651" s="1921"/>
      <c r="M1651" s="1357"/>
      <c r="Q1651" s="1357"/>
      <c r="S1651" s="1420"/>
      <c r="T1651" s="1420"/>
      <c r="V1651" s="1357">
        <v>353</v>
      </c>
    </row>
    <row r="1652" spans="1:22" s="841" customFormat="1" ht="15" x14ac:dyDescent="0.25">
      <c r="A1652" s="841" t="s">
        <v>175</v>
      </c>
      <c r="E1652" s="1689" t="s">
        <v>3200</v>
      </c>
      <c r="F1652" s="1689"/>
      <c r="G1652" s="1689"/>
      <c r="H1652" s="1689"/>
      <c r="M1652" s="1357"/>
      <c r="Q1652" s="1357"/>
      <c r="S1652" s="1420"/>
      <c r="T1652" s="1420"/>
      <c r="V1652" s="1357">
        <v>275</v>
      </c>
    </row>
    <row r="1653" spans="1:22" s="841" customFormat="1" ht="15" x14ac:dyDescent="0.25">
      <c r="A1653" s="841" t="s">
        <v>175</v>
      </c>
      <c r="E1653" s="1370" t="s">
        <v>3137</v>
      </c>
      <c r="F1653" s="3"/>
      <c r="G1653" s="3"/>
      <c r="H1653" s="398"/>
      <c r="K1653" s="841" t="s">
        <v>6165</v>
      </c>
      <c r="M1653" s="1357"/>
      <c r="Q1653" s="1357"/>
      <c r="S1653" s="1420"/>
      <c r="T1653" s="1420"/>
      <c r="V1653" s="1357">
        <v>23</v>
      </c>
    </row>
    <row r="1654" spans="1:22" s="841" customFormat="1" ht="15" x14ac:dyDescent="0.25">
      <c r="A1654" s="841" t="s">
        <v>175</v>
      </c>
      <c r="E1654" s="1905" t="s">
        <v>3355</v>
      </c>
      <c r="F1654" s="1905"/>
      <c r="G1654" s="1361" t="s">
        <v>23</v>
      </c>
      <c r="H1654" s="391">
        <v>15</v>
      </c>
      <c r="M1654" s="1357"/>
      <c r="Q1654" s="1357"/>
      <c r="S1654" s="1420"/>
      <c r="T1654" s="1420"/>
      <c r="V1654" s="1357">
        <v>19</v>
      </c>
    </row>
    <row r="1655" spans="1:22" s="841" customFormat="1" ht="15" x14ac:dyDescent="0.25">
      <c r="A1655" s="841" t="s">
        <v>175</v>
      </c>
      <c r="E1655" s="1905" t="s">
        <v>3140</v>
      </c>
      <c r="F1655" s="1905"/>
      <c r="G1655" s="1361" t="s">
        <v>23</v>
      </c>
      <c r="H1655" s="391">
        <v>15</v>
      </c>
      <c r="M1655" s="1357"/>
      <c r="Q1655" s="1357"/>
      <c r="S1655" s="1420"/>
      <c r="T1655" s="1420"/>
      <c r="V1655" s="1357">
        <v>20</v>
      </c>
    </row>
    <row r="1656" spans="1:22" s="841" customFormat="1" ht="15" x14ac:dyDescent="0.25">
      <c r="A1656" s="841" t="s">
        <v>175</v>
      </c>
      <c r="E1656" s="1905" t="s">
        <v>3141</v>
      </c>
      <c r="F1656" s="1905"/>
      <c r="G1656" s="1361" t="s">
        <v>23</v>
      </c>
      <c r="H1656" s="391">
        <v>15</v>
      </c>
      <c r="M1656" s="1357"/>
      <c r="Q1656" s="1357"/>
      <c r="S1656" s="1420"/>
      <c r="T1656" s="1420"/>
      <c r="V1656" s="1357">
        <v>26</v>
      </c>
    </row>
    <row r="1657" spans="1:22" s="841" customFormat="1" ht="15" x14ac:dyDescent="0.25">
      <c r="A1657" s="841" t="s">
        <v>175</v>
      </c>
      <c r="E1657" s="1905" t="s">
        <v>3142</v>
      </c>
      <c r="F1657" s="1905"/>
      <c r="G1657" s="1361" t="s">
        <v>23</v>
      </c>
      <c r="H1657" s="391">
        <v>15</v>
      </c>
      <c r="M1657" s="1357"/>
      <c r="Q1657" s="1357"/>
      <c r="S1657" s="1420"/>
      <c r="T1657" s="1420"/>
      <c r="V1657" s="1357">
        <v>39</v>
      </c>
    </row>
    <row r="1658" spans="1:22" s="841" customFormat="1" ht="15" x14ac:dyDescent="0.25">
      <c r="A1658" s="841" t="s">
        <v>175</v>
      </c>
      <c r="E1658" s="1905" t="s">
        <v>3143</v>
      </c>
      <c r="F1658" s="1905"/>
      <c r="G1658" s="1361" t="s">
        <v>23</v>
      </c>
      <c r="H1658" s="391">
        <v>15</v>
      </c>
      <c r="M1658" s="1357"/>
      <c r="Q1658" s="1357"/>
      <c r="S1658" s="1420"/>
      <c r="T1658" s="1420"/>
      <c r="V1658" s="1357">
        <v>37</v>
      </c>
    </row>
    <row r="1659" spans="1:22" s="841" customFormat="1" ht="15" x14ac:dyDescent="0.25">
      <c r="A1659" s="841" t="s">
        <v>175</v>
      </c>
      <c r="E1659" s="1905" t="s">
        <v>3144</v>
      </c>
      <c r="F1659" s="1905"/>
      <c r="G1659" s="1361" t="s">
        <v>23</v>
      </c>
      <c r="H1659" s="391">
        <v>15</v>
      </c>
      <c r="M1659" s="1357"/>
      <c r="Q1659" s="1357"/>
      <c r="S1659" s="1420"/>
      <c r="T1659" s="1420"/>
      <c r="V1659" s="1357">
        <v>15</v>
      </c>
    </row>
    <row r="1660" spans="1:22" s="841" customFormat="1" ht="15" x14ac:dyDescent="0.25">
      <c r="A1660" s="841" t="s">
        <v>175</v>
      </c>
      <c r="E1660" s="1905" t="s">
        <v>3145</v>
      </c>
      <c r="F1660" s="1905"/>
      <c r="G1660" s="1361" t="s">
        <v>23</v>
      </c>
      <c r="H1660" s="391">
        <v>15</v>
      </c>
      <c r="M1660" s="1357"/>
      <c r="Q1660" s="1357"/>
      <c r="S1660" s="1420"/>
      <c r="T1660" s="1420"/>
      <c r="V1660" s="1357">
        <v>17</v>
      </c>
    </row>
    <row r="1661" spans="1:22" s="841" customFormat="1" ht="15" x14ac:dyDescent="0.25">
      <c r="A1661" s="841" t="s">
        <v>175</v>
      </c>
      <c r="E1661" s="1905" t="s">
        <v>3146</v>
      </c>
      <c r="F1661" s="1905"/>
      <c r="G1661" s="1361" t="s">
        <v>23</v>
      </c>
      <c r="H1661" s="391">
        <v>15</v>
      </c>
      <c r="M1661" s="1357"/>
      <c r="Q1661" s="1357"/>
      <c r="S1661" s="1420"/>
      <c r="T1661" s="1420"/>
      <c r="V1661" s="1357">
        <v>19</v>
      </c>
    </row>
    <row r="1662" spans="1:22" s="841" customFormat="1" ht="15" x14ac:dyDescent="0.25">
      <c r="A1662" s="841" t="s">
        <v>175</v>
      </c>
      <c r="E1662" s="1905" t="s">
        <v>3147</v>
      </c>
      <c r="F1662" s="1905"/>
      <c r="G1662" s="1361" t="s">
        <v>23</v>
      </c>
      <c r="H1662" s="391">
        <v>15</v>
      </c>
      <c r="M1662" s="1357"/>
      <c r="Q1662" s="1357"/>
      <c r="S1662" s="1420"/>
      <c r="T1662" s="1420"/>
      <c r="V1662" s="1357">
        <v>15</v>
      </c>
    </row>
    <row r="1663" spans="1:22" s="841" customFormat="1" ht="15" x14ac:dyDescent="0.25">
      <c r="A1663" s="841" t="s">
        <v>175</v>
      </c>
      <c r="E1663" s="1905" t="s">
        <v>3148</v>
      </c>
      <c r="F1663" s="1905"/>
      <c r="G1663" s="1361" t="s">
        <v>23</v>
      </c>
      <c r="H1663" s="391">
        <v>15</v>
      </c>
      <c r="M1663" s="1357"/>
      <c r="Q1663" s="1357"/>
      <c r="S1663" s="1420"/>
      <c r="T1663" s="1420"/>
      <c r="V1663" s="1357">
        <v>56</v>
      </c>
    </row>
    <row r="1664" spans="1:22" s="841" customFormat="1" ht="15" x14ac:dyDescent="0.25">
      <c r="A1664" s="841" t="s">
        <v>175</v>
      </c>
      <c r="E1664" s="1905" t="s">
        <v>3149</v>
      </c>
      <c r="F1664" s="1905"/>
      <c r="G1664" s="1361" t="s">
        <v>23</v>
      </c>
      <c r="H1664" s="391">
        <v>15</v>
      </c>
      <c r="M1664" s="1357"/>
      <c r="Q1664" s="1357"/>
      <c r="S1664" s="1420"/>
      <c r="T1664" s="1420"/>
      <c r="V1664" s="1357">
        <v>35</v>
      </c>
    </row>
    <row r="1665" spans="1:22" s="841" customFormat="1" ht="15" x14ac:dyDescent="0.25">
      <c r="A1665" s="841" t="s">
        <v>175</v>
      </c>
      <c r="E1665" s="1905" t="s">
        <v>3150</v>
      </c>
      <c r="F1665" s="1905"/>
      <c r="G1665" s="1361" t="s">
        <v>23</v>
      </c>
      <c r="H1665" s="391">
        <v>15</v>
      </c>
      <c r="M1665" s="1357"/>
      <c r="Q1665" s="1357"/>
      <c r="S1665" s="1420"/>
      <c r="T1665" s="1420"/>
      <c r="V1665" s="1357">
        <v>24</v>
      </c>
    </row>
    <row r="1666" spans="1:22" s="841" customFormat="1" ht="15" x14ac:dyDescent="0.25">
      <c r="A1666" s="841" t="s">
        <v>175</v>
      </c>
      <c r="E1666" s="1905" t="s">
        <v>3151</v>
      </c>
      <c r="F1666" s="1905"/>
      <c r="G1666" s="1361" t="s">
        <v>23</v>
      </c>
      <c r="H1666" s="391">
        <v>15</v>
      </c>
      <c r="M1666" s="1357"/>
      <c r="Q1666" s="1357"/>
      <c r="S1666" s="1420"/>
      <c r="T1666" s="1420"/>
      <c r="V1666" s="1357">
        <v>19</v>
      </c>
    </row>
    <row r="1667" spans="1:22" s="841" customFormat="1" ht="15" x14ac:dyDescent="0.25">
      <c r="A1667" s="841" t="s">
        <v>175</v>
      </c>
      <c r="E1667" s="1905" t="s">
        <v>88</v>
      </c>
      <c r="F1667" s="1905"/>
      <c r="G1667" s="1361" t="s">
        <v>23</v>
      </c>
      <c r="H1667" s="391">
        <v>30</v>
      </c>
      <c r="M1667" s="1357"/>
      <c r="Q1667" s="1357"/>
      <c r="S1667" s="1420"/>
      <c r="T1667" s="1420"/>
      <c r="V1667" s="1357">
        <v>89</v>
      </c>
    </row>
    <row r="1668" spans="1:22" s="841" customFormat="1" ht="15" x14ac:dyDescent="0.25">
      <c r="A1668" s="841" t="s">
        <v>175</v>
      </c>
      <c r="E1668" s="1905" t="s">
        <v>94</v>
      </c>
      <c r="F1668" s="1905"/>
      <c r="G1668" s="1361" t="s">
        <v>23</v>
      </c>
      <c r="H1668" s="391">
        <v>30</v>
      </c>
      <c r="M1668" s="1357"/>
      <c r="Q1668" s="1357"/>
      <c r="S1668" s="1420"/>
      <c r="T1668" s="1420"/>
      <c r="V1668" s="1357">
        <v>19</v>
      </c>
    </row>
    <row r="1669" spans="1:22" s="841" customFormat="1" ht="15" x14ac:dyDescent="0.25">
      <c r="A1669" s="841" t="s">
        <v>175</v>
      </c>
      <c r="E1669" s="1905" t="s">
        <v>92</v>
      </c>
      <c r="F1669" s="1905"/>
      <c r="G1669" s="1361" t="s">
        <v>23</v>
      </c>
      <c r="H1669" s="391">
        <v>30</v>
      </c>
      <c r="M1669" s="1357"/>
      <c r="Q1669" s="1357"/>
      <c r="S1669" s="1420"/>
      <c r="T1669" s="1420"/>
      <c r="V1669" s="1357">
        <v>74</v>
      </c>
    </row>
    <row r="1670" spans="1:22" s="841" customFormat="1" ht="15" x14ac:dyDescent="0.25">
      <c r="A1670" s="841" t="s">
        <v>175</v>
      </c>
      <c r="E1670" s="1370" t="s">
        <v>3152</v>
      </c>
      <c r="F1670" s="3"/>
      <c r="G1670" s="3"/>
      <c r="H1670" s="398"/>
      <c r="K1670" s="841" t="s">
        <v>6166</v>
      </c>
      <c r="M1670" s="1357"/>
      <c r="Q1670" s="1357"/>
      <c r="S1670" s="1420"/>
      <c r="T1670" s="1420"/>
      <c r="V1670" s="1357">
        <v>22</v>
      </c>
    </row>
    <row r="1671" spans="1:22" s="841" customFormat="1" ht="15" x14ac:dyDescent="0.25">
      <c r="A1671" s="841" t="s">
        <v>175</v>
      </c>
      <c r="E1671" s="1905" t="s">
        <v>3154</v>
      </c>
      <c r="F1671" s="1905"/>
      <c r="G1671" s="1361" t="s">
        <v>86</v>
      </c>
      <c r="H1671" s="391">
        <v>1.5</v>
      </c>
      <c r="M1671" s="1357"/>
      <c r="Q1671" s="1357"/>
      <c r="S1671" s="1420"/>
      <c r="T1671" s="1420"/>
      <c r="V1671" s="1357">
        <v>24</v>
      </c>
    </row>
    <row r="1672" spans="1:22" s="841" customFormat="1" ht="15" x14ac:dyDescent="0.25">
      <c r="A1672" s="841" t="s">
        <v>175</v>
      </c>
      <c r="E1672" s="1905" t="s">
        <v>3155</v>
      </c>
      <c r="F1672" s="1905"/>
      <c r="G1672" s="1361" t="s">
        <v>86</v>
      </c>
      <c r="H1672" s="391">
        <v>19.559999999999999</v>
      </c>
      <c r="M1672" s="1357"/>
      <c r="Q1672" s="1357"/>
      <c r="S1672" s="1420"/>
      <c r="T1672" s="1420"/>
      <c r="V1672" s="1357">
        <v>24</v>
      </c>
    </row>
    <row r="1673" spans="1:22" s="841" customFormat="1" ht="15" x14ac:dyDescent="0.25">
      <c r="A1673" s="841" t="s">
        <v>175</v>
      </c>
      <c r="E1673" s="1905" t="s">
        <v>3288</v>
      </c>
      <c r="F1673" s="1905"/>
      <c r="G1673" s="1361" t="s">
        <v>23</v>
      </c>
      <c r="H1673" s="391">
        <v>30</v>
      </c>
      <c r="M1673" s="1357"/>
      <c r="Q1673" s="1357"/>
      <c r="S1673" s="1420"/>
      <c r="T1673" s="1420"/>
      <c r="V1673" s="1357">
        <v>47</v>
      </c>
    </row>
    <row r="1674" spans="1:22" s="841" customFormat="1" ht="15" x14ac:dyDescent="0.25">
      <c r="A1674" s="841" t="s">
        <v>175</v>
      </c>
      <c r="E1674" s="1905" t="s">
        <v>3157</v>
      </c>
      <c r="F1674" s="1905"/>
      <c r="G1674" s="1361" t="s">
        <v>23</v>
      </c>
      <c r="H1674" s="391">
        <v>165</v>
      </c>
      <c r="M1674" s="1357"/>
      <c r="Q1674" s="1357"/>
      <c r="S1674" s="1420"/>
      <c r="T1674" s="1420"/>
      <c r="V1674" s="1357">
        <v>69</v>
      </c>
    </row>
    <row r="1675" spans="1:22" s="841" customFormat="1" ht="15" x14ac:dyDescent="0.25">
      <c r="A1675" s="841" t="s">
        <v>175</v>
      </c>
      <c r="E1675" s="1905" t="s">
        <v>3158</v>
      </c>
      <c r="F1675" s="1905"/>
      <c r="G1675" s="1361" t="s">
        <v>23</v>
      </c>
      <c r="H1675" s="391">
        <v>65</v>
      </c>
      <c r="M1675" s="1357"/>
      <c r="Q1675" s="1357"/>
      <c r="S1675" s="1420"/>
      <c r="T1675" s="1420"/>
      <c r="V1675" s="1357">
        <v>52</v>
      </c>
    </row>
    <row r="1676" spans="1:22" s="841" customFormat="1" ht="15" x14ac:dyDescent="0.25">
      <c r="A1676" s="841" t="s">
        <v>175</v>
      </c>
      <c r="E1676" s="1905" t="s">
        <v>3159</v>
      </c>
      <c r="F1676" s="1905"/>
      <c r="G1676" s="1361" t="s">
        <v>23</v>
      </c>
      <c r="H1676" s="391">
        <v>185</v>
      </c>
      <c r="M1676" s="1357"/>
      <c r="Q1676" s="1357"/>
      <c r="S1676" s="1420"/>
      <c r="T1676" s="1420"/>
      <c r="V1676" s="1357">
        <v>51</v>
      </c>
    </row>
    <row r="1677" spans="1:22" s="841" customFormat="1" ht="15" x14ac:dyDescent="0.25">
      <c r="A1677" s="841" t="s">
        <v>175</v>
      </c>
      <c r="E1677" s="1905" t="s">
        <v>3160</v>
      </c>
      <c r="F1677" s="1905"/>
      <c r="G1677" s="1361" t="s">
        <v>23</v>
      </c>
      <c r="H1677" s="391">
        <v>185</v>
      </c>
      <c r="M1677" s="1357"/>
      <c r="Q1677" s="1357"/>
      <c r="S1677" s="1420"/>
      <c r="T1677" s="1420"/>
      <c r="V1677" s="1357">
        <v>51</v>
      </c>
    </row>
    <row r="1678" spans="1:22" s="841" customFormat="1" ht="15" x14ac:dyDescent="0.25">
      <c r="A1678" s="841" t="s">
        <v>175</v>
      </c>
      <c r="E1678" s="1905" t="s">
        <v>3161</v>
      </c>
      <c r="F1678" s="1905"/>
      <c r="G1678" s="1361" t="s">
        <v>23</v>
      </c>
      <c r="H1678" s="391">
        <v>415</v>
      </c>
      <c r="M1678" s="1357"/>
      <c r="Q1678" s="1357"/>
      <c r="S1678" s="1420"/>
      <c r="T1678" s="1420"/>
      <c r="V1678" s="1357">
        <v>50</v>
      </c>
    </row>
    <row r="1679" spans="1:22" s="841" customFormat="1" ht="15" x14ac:dyDescent="0.25">
      <c r="A1679" s="841" t="s">
        <v>175</v>
      </c>
      <c r="E1679" s="1905" t="s">
        <v>3162</v>
      </c>
      <c r="F1679" s="1905"/>
      <c r="G1679" s="1361" t="s">
        <v>23</v>
      </c>
      <c r="H1679" s="391">
        <v>65</v>
      </c>
      <c r="M1679" s="1357"/>
      <c r="Q1679" s="1357"/>
      <c r="S1679" s="1420"/>
      <c r="T1679" s="1420"/>
      <c r="V1679" s="1357">
        <v>57</v>
      </c>
    </row>
    <row r="1680" spans="1:22" s="841" customFormat="1" ht="15" x14ac:dyDescent="0.25">
      <c r="A1680" s="841" t="s">
        <v>175</v>
      </c>
      <c r="E1680" s="1905" t="s">
        <v>3163</v>
      </c>
      <c r="F1680" s="1905"/>
      <c r="G1680" s="1361" t="s">
        <v>23</v>
      </c>
      <c r="H1680" s="391">
        <v>185</v>
      </c>
      <c r="M1680" s="1357"/>
      <c r="Q1680" s="1357"/>
      <c r="S1680" s="1420"/>
      <c r="T1680" s="1420"/>
      <c r="V1680" s="1357">
        <v>56</v>
      </c>
    </row>
    <row r="1681" spans="1:22" s="841" customFormat="1" ht="15" x14ac:dyDescent="0.25">
      <c r="A1681" s="841" t="s">
        <v>175</v>
      </c>
      <c r="E1681" s="1370" t="s">
        <v>3164</v>
      </c>
      <c r="F1681" s="507"/>
      <c r="G1681" s="397"/>
      <c r="H1681" s="391"/>
      <c r="M1681" s="1357"/>
      <c r="Q1681" s="1357"/>
      <c r="S1681" s="1420"/>
      <c r="T1681" s="1420"/>
      <c r="V1681" s="1357">
        <v>5</v>
      </c>
    </row>
    <row r="1682" spans="1:22" s="841" customFormat="1" ht="15" x14ac:dyDescent="0.25">
      <c r="A1682" s="841" t="s">
        <v>175</v>
      </c>
      <c r="E1682" s="1905" t="s">
        <v>3167</v>
      </c>
      <c r="F1682" s="1905"/>
      <c r="G1682" s="1361" t="s">
        <v>23</v>
      </c>
      <c r="H1682" s="391">
        <v>30</v>
      </c>
      <c r="M1682" s="1357"/>
      <c r="Q1682" s="1357"/>
      <c r="S1682" s="1420"/>
      <c r="T1682" s="1420"/>
      <c r="V1682" s="1357">
        <v>39</v>
      </c>
    </row>
    <row r="1683" spans="1:22" s="841" customFormat="1" ht="15" x14ac:dyDescent="0.25">
      <c r="A1683" s="841" t="s">
        <v>175</v>
      </c>
      <c r="E1683" s="1905" t="s">
        <v>3168</v>
      </c>
      <c r="F1683" s="1905"/>
      <c r="G1683" s="1361" t="s">
        <v>23</v>
      </c>
      <c r="H1683" s="391">
        <v>160</v>
      </c>
      <c r="M1683" s="1357"/>
      <c r="Q1683" s="1357"/>
      <c r="S1683" s="1420"/>
      <c r="T1683" s="1420"/>
      <c r="V1683" s="1357">
        <v>34</v>
      </c>
    </row>
    <row r="1684" spans="1:22" s="841" customFormat="1" ht="15" x14ac:dyDescent="0.25">
      <c r="A1684" s="841" t="s">
        <v>175</v>
      </c>
      <c r="E1684" s="1905" t="s">
        <v>3434</v>
      </c>
      <c r="F1684" s="1905"/>
      <c r="G1684" s="1361" t="s">
        <v>23</v>
      </c>
      <c r="H1684" s="391">
        <v>500</v>
      </c>
      <c r="M1684" s="1357"/>
      <c r="Q1684" s="1357"/>
      <c r="S1684" s="1420"/>
      <c r="T1684" s="1420"/>
      <c r="V1684" s="1357">
        <v>64</v>
      </c>
    </row>
    <row r="1685" spans="1:22" s="841" customFormat="1" ht="15" x14ac:dyDescent="0.25">
      <c r="A1685" s="841" t="s">
        <v>175</v>
      </c>
      <c r="E1685" s="1905" t="s">
        <v>3489</v>
      </c>
      <c r="F1685" s="1905"/>
      <c r="G1685" s="1361" t="s">
        <v>23</v>
      </c>
      <c r="H1685" s="391">
        <v>300</v>
      </c>
      <c r="M1685" s="1357"/>
      <c r="Q1685" s="1357"/>
      <c r="S1685" s="1420"/>
      <c r="T1685" s="1420"/>
      <c r="V1685" s="1357">
        <v>67</v>
      </c>
    </row>
    <row r="1686" spans="1:22" s="841" customFormat="1" ht="15" x14ac:dyDescent="0.25">
      <c r="A1686" s="841" t="s">
        <v>175</v>
      </c>
      <c r="E1686" s="1905" t="s">
        <v>3490</v>
      </c>
      <c r="F1686" s="1905"/>
      <c r="G1686" s="1361" t="s">
        <v>23</v>
      </c>
      <c r="H1686" s="391">
        <v>1000</v>
      </c>
      <c r="M1686" s="1357"/>
      <c r="Q1686" s="1357"/>
      <c r="S1686" s="1420"/>
      <c r="T1686" s="1420"/>
      <c r="V1686" s="1357">
        <v>66</v>
      </c>
    </row>
    <row r="1687" spans="1:22" s="841" customFormat="1" ht="15" x14ac:dyDescent="0.25">
      <c r="A1687" s="841" t="s">
        <v>175</v>
      </c>
      <c r="E1687" s="1905" t="s">
        <v>3491</v>
      </c>
      <c r="F1687" s="1905"/>
      <c r="G1687" s="1361" t="s">
        <v>23</v>
      </c>
      <c r="H1687" s="391">
        <v>22.35</v>
      </c>
      <c r="M1687" s="1357"/>
      <c r="Q1687" s="1357"/>
      <c r="S1687" s="1420"/>
      <c r="T1687" s="1420"/>
      <c r="V1687" s="1357">
        <v>59</v>
      </c>
    </row>
    <row r="1688" spans="1:22" s="841" customFormat="1" ht="15" x14ac:dyDescent="0.25">
      <c r="A1688" s="841" t="s">
        <v>175</v>
      </c>
      <c r="E1688" s="1688" t="s">
        <v>3492</v>
      </c>
      <c r="F1688" s="1688"/>
      <c r="G1688" s="1408"/>
      <c r="H1688" s="391"/>
      <c r="M1688" s="1357"/>
      <c r="Q1688" s="1357"/>
      <c r="S1688" s="1420"/>
      <c r="T1688" s="1420"/>
      <c r="V1688" s="1357">
        <v>46</v>
      </c>
    </row>
    <row r="1689" spans="1:22" s="841" customFormat="1" ht="36.75" x14ac:dyDescent="0.3">
      <c r="A1689" s="841" t="s">
        <v>175</v>
      </c>
      <c r="E1689" s="1374" t="s">
        <v>77</v>
      </c>
      <c r="F1689" s="657"/>
      <c r="G1689" s="657"/>
      <c r="H1689" s="658"/>
      <c r="K1689" s="841" t="s">
        <v>6167</v>
      </c>
      <c r="M1689" s="1357"/>
      <c r="Q1689" s="1357"/>
      <c r="S1689" s="1420"/>
      <c r="T1689" s="1420"/>
      <c r="V1689" s="1357">
        <v>38</v>
      </c>
    </row>
    <row r="1690" spans="1:22" s="841" customFormat="1" ht="15" x14ac:dyDescent="0.25">
      <c r="A1690" s="841" t="s">
        <v>175</v>
      </c>
      <c r="E1690" s="1921" t="s">
        <v>3063</v>
      </c>
      <c r="F1690" s="1921"/>
      <c r="G1690" s="1921"/>
      <c r="H1690" s="1921"/>
      <c r="M1690" s="1357"/>
      <c r="Q1690" s="1357"/>
      <c r="S1690" s="1420"/>
      <c r="T1690" s="1420"/>
      <c r="V1690" s="1357">
        <v>280</v>
      </c>
    </row>
    <row r="1691" spans="1:22" s="841" customFormat="1" ht="15" x14ac:dyDescent="0.25">
      <c r="A1691" s="841" t="s">
        <v>175</v>
      </c>
      <c r="E1691" s="1921" t="s">
        <v>3064</v>
      </c>
      <c r="F1691" s="1921"/>
      <c r="G1691" s="1921"/>
      <c r="H1691" s="1921"/>
      <c r="M1691" s="1357"/>
      <c r="Q1691" s="1357"/>
      <c r="S1691" s="1420"/>
      <c r="T1691" s="1420"/>
      <c r="V1691" s="1357">
        <v>411</v>
      </c>
    </row>
    <row r="1692" spans="1:22" s="841" customFormat="1" ht="15" x14ac:dyDescent="0.25">
      <c r="A1692" s="841" t="s">
        <v>175</v>
      </c>
      <c r="E1692" s="1921" t="s">
        <v>3129</v>
      </c>
      <c r="F1692" s="1921"/>
      <c r="G1692" s="1921"/>
      <c r="H1692" s="1921"/>
      <c r="M1692" s="1357"/>
      <c r="Q1692" s="1357"/>
      <c r="S1692" s="1420"/>
      <c r="T1692" s="1420"/>
      <c r="V1692" s="1357">
        <v>211</v>
      </c>
    </row>
    <row r="1693" spans="1:22" s="841" customFormat="1" ht="15" x14ac:dyDescent="0.25">
      <c r="A1693" s="841" t="s">
        <v>175</v>
      </c>
      <c r="E1693" s="1921" t="s">
        <v>3200</v>
      </c>
      <c r="F1693" s="1921"/>
      <c r="G1693" s="1921"/>
      <c r="H1693" s="1921"/>
      <c r="M1693" s="1357"/>
      <c r="Q1693" s="1357"/>
      <c r="S1693" s="1420"/>
      <c r="T1693" s="1420"/>
      <c r="V1693" s="1357">
        <v>275</v>
      </c>
    </row>
    <row r="1694" spans="1:22" s="841" customFormat="1" ht="15" x14ac:dyDescent="0.25">
      <c r="A1694" s="841" t="s">
        <v>175</v>
      </c>
      <c r="E1694" s="1921" t="s">
        <v>3291</v>
      </c>
      <c r="F1694" s="1921"/>
      <c r="G1694" s="1921"/>
      <c r="H1694" s="1921"/>
      <c r="M1694" s="1357"/>
      <c r="Q1694" s="1357"/>
      <c r="S1694" s="1420"/>
      <c r="T1694" s="1420"/>
      <c r="V1694" s="1357">
        <v>142</v>
      </c>
    </row>
    <row r="1695" spans="1:22" s="841" customFormat="1" ht="15" x14ac:dyDescent="0.25">
      <c r="A1695" s="841" t="s">
        <v>175</v>
      </c>
      <c r="E1695" s="1690" t="s">
        <v>3176</v>
      </c>
      <c r="F1695" s="1690"/>
      <c r="G1695" s="397" t="s">
        <v>23</v>
      </c>
      <c r="H1695" s="391">
        <v>100</v>
      </c>
      <c r="M1695" s="1357"/>
      <c r="Q1695" s="1357"/>
      <c r="S1695" s="1420"/>
      <c r="T1695" s="1420"/>
      <c r="V1695" s="1357">
        <v>106</v>
      </c>
    </row>
    <row r="1696" spans="1:22" s="841" customFormat="1" ht="15" x14ac:dyDescent="0.25">
      <c r="A1696" s="841" t="s">
        <v>175</v>
      </c>
      <c r="E1696" s="1690" t="s">
        <v>3177</v>
      </c>
      <c r="F1696" s="1690"/>
      <c r="G1696" s="397" t="s">
        <v>23</v>
      </c>
      <c r="H1696" s="391">
        <v>20</v>
      </c>
      <c r="M1696" s="1357"/>
      <c r="Q1696" s="1357"/>
      <c r="S1696" s="1420"/>
      <c r="T1696" s="1420"/>
      <c r="V1696" s="1357">
        <v>34</v>
      </c>
    </row>
    <row r="1697" spans="1:22" s="841" customFormat="1" ht="15" x14ac:dyDescent="0.25">
      <c r="A1697" s="841" t="s">
        <v>175</v>
      </c>
      <c r="E1697" s="1690" t="s">
        <v>3178</v>
      </c>
      <c r="F1697" s="1690"/>
      <c r="G1697" s="397" t="s">
        <v>3179</v>
      </c>
      <c r="H1697" s="391">
        <v>0.5</v>
      </c>
      <c r="M1697" s="1357"/>
      <c r="Q1697" s="1357"/>
      <c r="S1697" s="1420"/>
      <c r="T1697" s="1420"/>
      <c r="V1697" s="1357">
        <v>51</v>
      </c>
    </row>
    <row r="1698" spans="1:22" s="841" customFormat="1" ht="15" x14ac:dyDescent="0.25">
      <c r="A1698" s="841" t="s">
        <v>175</v>
      </c>
      <c r="E1698" s="1690" t="s">
        <v>3180</v>
      </c>
      <c r="F1698" s="1690"/>
      <c r="G1698" s="397" t="s">
        <v>3179</v>
      </c>
      <c r="H1698" s="391">
        <v>0.3</v>
      </c>
      <c r="M1698" s="1357"/>
      <c r="Q1698" s="1357"/>
      <c r="S1698" s="1420"/>
      <c r="T1698" s="1420"/>
      <c r="V1698" s="1357">
        <v>75</v>
      </c>
    </row>
    <row r="1699" spans="1:22" s="841" customFormat="1" ht="15" x14ac:dyDescent="0.25">
      <c r="A1699" s="841" t="s">
        <v>175</v>
      </c>
      <c r="E1699" s="1690" t="s">
        <v>3181</v>
      </c>
      <c r="F1699" s="1690"/>
      <c r="G1699" s="397" t="s">
        <v>3179</v>
      </c>
      <c r="H1699" s="391">
        <v>-0.3</v>
      </c>
      <c r="M1699" s="1357"/>
      <c r="Q1699" s="1357"/>
      <c r="S1699" s="1420"/>
      <c r="T1699" s="1420"/>
      <c r="V1699" s="1357">
        <v>72</v>
      </c>
    </row>
    <row r="1700" spans="1:22" s="841" customFormat="1" ht="15" x14ac:dyDescent="0.25">
      <c r="A1700" s="841" t="s">
        <v>175</v>
      </c>
      <c r="E1700" s="1690" t="s">
        <v>3292</v>
      </c>
      <c r="F1700" s="1690"/>
      <c r="G1700" s="397"/>
      <c r="H1700" s="392"/>
      <c r="M1700" s="1357"/>
      <c r="Q1700" s="1357"/>
      <c r="S1700" s="1420"/>
      <c r="T1700" s="1420"/>
      <c r="V1700" s="1357">
        <v>34</v>
      </c>
    </row>
    <row r="1701" spans="1:22" s="841" customFormat="1" ht="15" x14ac:dyDescent="0.25">
      <c r="A1701" s="841" t="s">
        <v>175</v>
      </c>
      <c r="E1701" s="1691" t="s">
        <v>3183</v>
      </c>
      <c r="F1701" s="1691"/>
      <c r="G1701" s="397" t="s">
        <v>23</v>
      </c>
      <c r="H1701" s="391">
        <v>0.25</v>
      </c>
      <c r="M1701" s="1357"/>
      <c r="Q1701" s="1357"/>
      <c r="S1701" s="1420"/>
      <c r="T1701" s="1420"/>
      <c r="V1701" s="1357">
        <v>57</v>
      </c>
    </row>
    <row r="1702" spans="1:22" s="841" customFormat="1" ht="15" x14ac:dyDescent="0.25">
      <c r="A1702" s="841" t="s">
        <v>175</v>
      </c>
      <c r="E1702" s="1691" t="s">
        <v>3184</v>
      </c>
      <c r="F1702" s="1691"/>
      <c r="G1702" s="397" t="s">
        <v>23</v>
      </c>
      <c r="H1702" s="391">
        <v>0.5</v>
      </c>
      <c r="M1702" s="1357"/>
      <c r="Q1702" s="1357"/>
      <c r="S1702" s="1420"/>
      <c r="T1702" s="1420"/>
      <c r="V1702" s="1357">
        <v>60</v>
      </c>
    </row>
    <row r="1703" spans="1:22" s="841" customFormat="1" ht="15" x14ac:dyDescent="0.25">
      <c r="A1703" s="841" t="s">
        <v>175</v>
      </c>
      <c r="E1703" s="1690" t="s">
        <v>3185</v>
      </c>
      <c r="F1703" s="1690"/>
      <c r="G1703" s="397"/>
      <c r="H1703" s="392"/>
      <c r="M1703" s="1357"/>
      <c r="Q1703" s="1357"/>
      <c r="S1703" s="1420"/>
      <c r="T1703" s="1420"/>
      <c r="V1703" s="1357">
        <v>91</v>
      </c>
    </row>
    <row r="1704" spans="1:22" s="841" customFormat="1" ht="15" x14ac:dyDescent="0.25">
      <c r="A1704" s="841" t="s">
        <v>175</v>
      </c>
      <c r="E1704" s="1690" t="s">
        <v>3186</v>
      </c>
      <c r="F1704" s="1690"/>
      <c r="G1704" s="397"/>
      <c r="H1704" s="392"/>
      <c r="M1704" s="1357"/>
      <c r="Q1704" s="1357"/>
      <c r="S1704" s="1420"/>
      <c r="T1704" s="1420"/>
      <c r="V1704" s="1357">
        <v>96</v>
      </c>
    </row>
    <row r="1705" spans="1:22" s="841" customFormat="1" ht="15" x14ac:dyDescent="0.25">
      <c r="A1705" s="841" t="s">
        <v>175</v>
      </c>
      <c r="E1705" s="1690" t="s">
        <v>3293</v>
      </c>
      <c r="F1705" s="1690"/>
      <c r="G1705" s="397"/>
      <c r="H1705" s="392"/>
      <c r="M1705" s="1357"/>
      <c r="Q1705" s="1357"/>
      <c r="S1705" s="1420"/>
      <c r="T1705" s="1420"/>
      <c r="V1705" s="1357">
        <v>77</v>
      </c>
    </row>
    <row r="1706" spans="1:22" s="841" customFormat="1" ht="15" x14ac:dyDescent="0.25">
      <c r="A1706" s="841" t="s">
        <v>175</v>
      </c>
      <c r="E1706" s="1691" t="s">
        <v>3188</v>
      </c>
      <c r="F1706" s="1691"/>
      <c r="G1706" s="397" t="s">
        <v>23</v>
      </c>
      <c r="H1706" s="392" t="s">
        <v>3189</v>
      </c>
      <c r="M1706" s="1357"/>
      <c r="Q1706" s="1357"/>
      <c r="S1706" s="1420"/>
      <c r="T1706" s="1420"/>
      <c r="V1706" s="1357">
        <v>18</v>
      </c>
    </row>
    <row r="1707" spans="1:22" s="841" customFormat="1" ht="15" x14ac:dyDescent="0.25">
      <c r="A1707" s="841" t="s">
        <v>175</v>
      </c>
      <c r="E1707" s="1691" t="s">
        <v>3190</v>
      </c>
      <c r="F1707" s="1691"/>
      <c r="G1707" s="397" t="s">
        <v>23</v>
      </c>
      <c r="H1707" s="391">
        <v>2</v>
      </c>
      <c r="M1707" s="1357"/>
      <c r="Q1707" s="1357"/>
      <c r="S1707" s="1420"/>
      <c r="T1707" s="1420"/>
      <c r="V1707" s="1357">
        <v>69</v>
      </c>
    </row>
    <row r="1708" spans="1:22" s="841" customFormat="1" ht="18.75" x14ac:dyDescent="0.3">
      <c r="A1708" s="841" t="s">
        <v>175</v>
      </c>
      <c r="E1708" s="1362" t="s">
        <v>147</v>
      </c>
      <c r="F1708" s="657"/>
      <c r="G1708" s="657"/>
      <c r="H1708" s="658"/>
      <c r="K1708" s="841" t="s">
        <v>6168</v>
      </c>
      <c r="M1708" s="1357"/>
      <c r="Q1708" s="1357"/>
      <c r="S1708" s="1420"/>
      <c r="T1708" s="1420"/>
      <c r="V1708" s="1357">
        <v>12</v>
      </c>
    </row>
    <row r="1709" spans="1:22" s="841" customFormat="1" ht="15" x14ac:dyDescent="0.25">
      <c r="A1709" s="841" t="s">
        <v>175</v>
      </c>
      <c r="E1709" s="1704" t="s">
        <v>3192</v>
      </c>
      <c r="F1709" s="1704"/>
      <c r="G1709" s="1704"/>
      <c r="H1709" s="1704"/>
      <c r="M1709" s="1357"/>
      <c r="Q1709" s="1357"/>
      <c r="S1709" s="1420"/>
      <c r="T1709" s="1420"/>
      <c r="V1709" s="1357">
        <v>203</v>
      </c>
    </row>
    <row r="1710" spans="1:22" s="841" customFormat="1" ht="15" x14ac:dyDescent="0.25">
      <c r="A1710" s="841" t="s">
        <v>175</v>
      </c>
      <c r="E1710" s="1904" t="s">
        <v>3295</v>
      </c>
      <c r="F1710" s="1904"/>
      <c r="G1710" s="1408"/>
      <c r="H1710" s="393">
        <v>1.0452999999999999</v>
      </c>
      <c r="M1710" s="1357"/>
      <c r="Q1710" s="1357"/>
      <c r="S1710" s="1420"/>
      <c r="T1710" s="1420"/>
      <c r="V1710" s="1357">
        <v>57</v>
      </c>
    </row>
    <row r="1711" spans="1:22" s="841" customFormat="1" ht="15" x14ac:dyDescent="0.25">
      <c r="A1711" s="841" t="s">
        <v>175</v>
      </c>
      <c r="E1711" s="1904" t="s">
        <v>3297</v>
      </c>
      <c r="F1711" s="1904"/>
      <c r="G1711" s="1408"/>
      <c r="H1711" s="393">
        <v>1.0348999999999999</v>
      </c>
      <c r="J1711" s="841" t="s">
        <v>6169</v>
      </c>
      <c r="M1711" s="1357"/>
      <c r="Q1711" s="1357"/>
      <c r="S1711" s="1420"/>
      <c r="T1711" s="1420"/>
      <c r="V1711" s="1357">
        <v>55</v>
      </c>
    </row>
    <row r="1712" spans="1:22" s="841" customFormat="1" ht="23.25" x14ac:dyDescent="0.25">
      <c r="A1712" s="841" t="s">
        <v>189</v>
      </c>
      <c r="C1712" s="841" t="s">
        <v>3050</v>
      </c>
      <c r="E1712" s="1911" t="s">
        <v>189</v>
      </c>
      <c r="F1712" s="1699"/>
      <c r="G1712" s="1699"/>
      <c r="H1712" s="1699"/>
      <c r="I1712" s="841" t="s">
        <v>628</v>
      </c>
      <c r="J1712" s="841" t="s">
        <v>4184</v>
      </c>
      <c r="K1712" s="841" t="s">
        <v>189</v>
      </c>
      <c r="M1712" s="1357">
        <v>8</v>
      </c>
      <c r="Q1712" s="1357"/>
      <c r="S1712" s="1420"/>
      <c r="T1712" s="1420"/>
      <c r="V1712" s="1357">
        <v>36</v>
      </c>
    </row>
    <row r="1713" spans="1:22" s="841" customFormat="1" x14ac:dyDescent="0.25">
      <c r="A1713" s="841" t="s">
        <v>189</v>
      </c>
      <c r="C1713" s="841" t="s">
        <v>3052</v>
      </c>
      <c r="E1713" s="1912" t="s">
        <v>3053</v>
      </c>
      <c r="F1713" s="1700"/>
      <c r="G1713" s="1700"/>
      <c r="H1713" s="1700"/>
      <c r="M1713" s="1357"/>
      <c r="Q1713" s="1357"/>
      <c r="S1713" s="1420"/>
      <c r="T1713" s="1420"/>
      <c r="V1713" s="1357">
        <v>27</v>
      </c>
    </row>
    <row r="1714" spans="1:22" s="841" customFormat="1" ht="15.75" x14ac:dyDescent="0.25">
      <c r="A1714" s="841" t="s">
        <v>189</v>
      </c>
      <c r="C1714" s="841" t="s">
        <v>3054</v>
      </c>
      <c r="E1714" s="1913" t="s">
        <v>5107</v>
      </c>
      <c r="F1714" s="1701"/>
      <c r="G1714" s="1701"/>
      <c r="H1714" s="1701"/>
      <c r="M1714" s="1357"/>
      <c r="Q1714" s="1357"/>
      <c r="S1714" s="1420">
        <v>43221</v>
      </c>
      <c r="T1714" s="1420"/>
      <c r="V1714" s="1357">
        <v>45</v>
      </c>
    </row>
    <row r="1715" spans="1:22" s="841" customFormat="1" ht="15" x14ac:dyDescent="0.25">
      <c r="A1715" s="841" t="s">
        <v>189</v>
      </c>
      <c r="C1715" s="841" t="s">
        <v>3055</v>
      </c>
      <c r="E1715" s="1914" t="s">
        <v>3056</v>
      </c>
      <c r="F1715" s="1702"/>
      <c r="G1715" s="1702"/>
      <c r="H1715" s="1702"/>
      <c r="M1715" s="1357"/>
      <c r="Q1715" s="1357"/>
      <c r="S1715" s="1420"/>
      <c r="T1715" s="1420"/>
      <c r="V1715" s="1357">
        <v>52</v>
      </c>
    </row>
    <row r="1716" spans="1:22" s="841" customFormat="1" ht="15" x14ac:dyDescent="0.25">
      <c r="A1716" s="841" t="s">
        <v>189</v>
      </c>
      <c r="E1716" s="1914" t="s">
        <v>3057</v>
      </c>
      <c r="F1716" s="1702"/>
      <c r="G1716" s="1702"/>
      <c r="H1716" s="1702"/>
      <c r="M1716" s="1357"/>
      <c r="Q1716" s="1357"/>
      <c r="S1716" s="1420"/>
      <c r="T1716" s="1420"/>
      <c r="V1716" s="1357">
        <v>53</v>
      </c>
    </row>
    <row r="1717" spans="1:22" s="841" customFormat="1" ht="15" x14ac:dyDescent="0.25">
      <c r="A1717" s="841" t="s">
        <v>189</v>
      </c>
      <c r="E1717" s="1925" t="s">
        <v>5296</v>
      </c>
      <c r="F1717" s="1703"/>
      <c r="G1717" s="1703"/>
      <c r="H1717" s="1703"/>
      <c r="K1717" s="841" t="s">
        <v>5296</v>
      </c>
      <c r="M1717" s="1357"/>
      <c r="Q1717" s="1357"/>
      <c r="S1717" s="1420"/>
      <c r="T1717" s="1420"/>
      <c r="V1717" s="1357">
        <v>12</v>
      </c>
    </row>
    <row r="1718" spans="1:22" s="841" customFormat="1" ht="15" x14ac:dyDescent="0.25">
      <c r="A1718" s="841" t="s">
        <v>189</v>
      </c>
      <c r="E1718" s="1909" t="s">
        <v>438</v>
      </c>
      <c r="F1718" s="1689"/>
      <c r="G1718" s="1689"/>
      <c r="H1718" s="1689"/>
      <c r="K1718" s="841" t="s">
        <v>3197</v>
      </c>
      <c r="M1718" s="1357"/>
      <c r="Q1718" s="1357"/>
      <c r="S1718" s="1420"/>
      <c r="T1718" s="1420"/>
      <c r="V1718" s="1357">
        <v>34</v>
      </c>
    </row>
    <row r="1719" spans="1:22" s="841" customFormat="1" ht="15" x14ac:dyDescent="0.25">
      <c r="A1719" s="841" t="s">
        <v>189</v>
      </c>
      <c r="E1719" s="1689" t="s">
        <v>3564</v>
      </c>
      <c r="F1719" s="1689"/>
      <c r="G1719" s="1689"/>
      <c r="H1719" s="1689"/>
      <c r="K1719" s="841" t="s">
        <v>3197</v>
      </c>
      <c r="M1719" s="1357"/>
      <c r="Q1719" s="1357"/>
      <c r="S1719" s="1420"/>
      <c r="T1719" s="1420"/>
      <c r="V1719" s="1357">
        <v>648</v>
      </c>
    </row>
    <row r="1720" spans="1:22" s="841" customFormat="1" ht="15" x14ac:dyDescent="0.25">
      <c r="A1720" s="841" t="s">
        <v>189</v>
      </c>
      <c r="E1720" s="1916" t="s">
        <v>3061</v>
      </c>
      <c r="F1720" s="1689"/>
      <c r="G1720" s="1689"/>
      <c r="H1720" s="1689"/>
      <c r="K1720" s="841" t="s">
        <v>3062</v>
      </c>
      <c r="M1720" s="1357"/>
      <c r="Q1720" s="1357"/>
      <c r="S1720" s="1420"/>
      <c r="T1720" s="1420"/>
      <c r="V1720" s="1357">
        <v>11</v>
      </c>
    </row>
    <row r="1721" spans="1:22" s="841" customFormat="1" ht="15" x14ac:dyDescent="0.25">
      <c r="A1721" s="841" t="s">
        <v>189</v>
      </c>
      <c r="E1721" s="1689" t="s">
        <v>3063</v>
      </c>
      <c r="F1721" s="1689"/>
      <c r="G1721" s="1689"/>
      <c r="H1721" s="1689"/>
      <c r="K1721" s="841" t="s">
        <v>3197</v>
      </c>
      <c r="M1721" s="1357"/>
      <c r="Q1721" s="1357"/>
      <c r="S1721" s="1420"/>
      <c r="T1721" s="1420"/>
      <c r="V1721" s="1357">
        <v>280</v>
      </c>
    </row>
    <row r="1722" spans="1:22" s="841" customFormat="1" ht="15" x14ac:dyDescent="0.25">
      <c r="A1722" s="841" t="s">
        <v>189</v>
      </c>
      <c r="E1722" s="1689" t="s">
        <v>3064</v>
      </c>
      <c r="F1722" s="1689"/>
      <c r="G1722" s="1689"/>
      <c r="H1722" s="1689"/>
      <c r="K1722" s="841" t="s">
        <v>3197</v>
      </c>
      <c r="M1722" s="1357"/>
      <c r="Q1722" s="1357"/>
      <c r="S1722" s="1420"/>
      <c r="T1722" s="1420"/>
      <c r="V1722" s="1357">
        <v>411</v>
      </c>
    </row>
    <row r="1723" spans="1:22" s="841" customFormat="1" ht="15" x14ac:dyDescent="0.25">
      <c r="A1723" s="841" t="s">
        <v>189</v>
      </c>
      <c r="E1723" s="1689" t="s">
        <v>3199</v>
      </c>
      <c r="F1723" s="1689"/>
      <c r="G1723" s="1689"/>
      <c r="H1723" s="1689"/>
      <c r="K1723" s="841" t="s">
        <v>3197</v>
      </c>
      <c r="M1723" s="1357"/>
      <c r="Q1723" s="1357"/>
      <c r="S1723" s="1420"/>
      <c r="T1723" s="1420"/>
      <c r="V1723" s="1357">
        <v>386</v>
      </c>
    </row>
    <row r="1724" spans="1:22" s="841" customFormat="1" ht="15" x14ac:dyDescent="0.25">
      <c r="A1724" s="841" t="s">
        <v>189</v>
      </c>
      <c r="E1724" s="1689" t="s">
        <v>3390</v>
      </c>
      <c r="F1724" s="1689"/>
      <c r="G1724" s="1689"/>
      <c r="H1724" s="1689"/>
      <c r="K1724" s="841" t="s">
        <v>3197</v>
      </c>
      <c r="M1724" s="1357"/>
      <c r="Q1724" s="1357"/>
      <c r="S1724" s="1420"/>
      <c r="T1724" s="1420"/>
      <c r="V1724" s="1357">
        <v>274</v>
      </c>
    </row>
    <row r="1725" spans="1:22" s="841" customFormat="1" ht="15" x14ac:dyDescent="0.25">
      <c r="A1725" s="841" t="s">
        <v>189</v>
      </c>
      <c r="E1725" s="1694" t="s">
        <v>3067</v>
      </c>
      <c r="F1725" s="1907"/>
      <c r="G1725" s="1907"/>
      <c r="H1725" s="1907"/>
      <c r="K1725" s="841" t="s">
        <v>3068</v>
      </c>
      <c r="M1725" s="1357"/>
      <c r="Q1725" s="1357"/>
      <c r="S1725" s="1420"/>
      <c r="T1725" s="1420"/>
      <c r="V1725" s="1357">
        <v>46</v>
      </c>
    </row>
    <row r="1726" spans="1:22" s="841" customFormat="1" ht="15" x14ac:dyDescent="0.25">
      <c r="A1726" s="841" t="s">
        <v>189</v>
      </c>
      <c r="E1726" s="1690" t="s">
        <v>11</v>
      </c>
      <c r="F1726" s="1690"/>
      <c r="G1726" s="1408" t="s">
        <v>23</v>
      </c>
      <c r="H1726" s="391">
        <v>25.36</v>
      </c>
      <c r="K1726" s="841" t="s">
        <v>3197</v>
      </c>
      <c r="L1726" s="841" t="s">
        <v>442</v>
      </c>
      <c r="M1726" s="1357"/>
      <c r="P1726" s="841" t="s">
        <v>3201</v>
      </c>
      <c r="Q1726" s="1357"/>
      <c r="S1726" s="1420"/>
      <c r="T1726" s="1420"/>
      <c r="V1726" s="1357">
        <v>14</v>
      </c>
    </row>
    <row r="1727" spans="1:22" s="841" customFormat="1" ht="15" x14ac:dyDescent="0.25">
      <c r="A1727" s="841" t="s">
        <v>189</v>
      </c>
      <c r="E1727" s="1690" t="s">
        <v>5109</v>
      </c>
      <c r="F1727" s="1690"/>
      <c r="G1727" s="1408" t="s">
        <v>23</v>
      </c>
      <c r="H1727" s="391">
        <v>0.56999999999999995</v>
      </c>
      <c r="K1727" s="841" t="s">
        <v>3197</v>
      </c>
      <c r="L1727" s="841" t="s">
        <v>443</v>
      </c>
      <c r="M1727" s="1357"/>
      <c r="P1727" s="841" t="s">
        <v>3202</v>
      </c>
      <c r="Q1727" s="1357"/>
      <c r="S1727" s="1420"/>
      <c r="T1727" s="1420">
        <v>44926</v>
      </c>
      <c r="V1727" s="1357">
        <v>64</v>
      </c>
    </row>
    <row r="1728" spans="1:22" s="841" customFormat="1" ht="15" x14ac:dyDescent="0.25">
      <c r="A1728" s="841" t="s">
        <v>189</v>
      </c>
      <c r="E1728" s="1690" t="s">
        <v>84</v>
      </c>
      <c r="F1728" s="1690"/>
      <c r="G1728" s="1408" t="s">
        <v>24</v>
      </c>
      <c r="H1728" s="393">
        <v>3.7000000000000002E-3</v>
      </c>
      <c r="K1728" s="841" t="s">
        <v>3197</v>
      </c>
      <c r="L1728" s="841" t="s">
        <v>442</v>
      </c>
      <c r="M1728" s="1357"/>
      <c r="P1728" s="841" t="s">
        <v>3203</v>
      </c>
      <c r="Q1728" s="1357"/>
      <c r="S1728" s="1420"/>
      <c r="T1728" s="1420"/>
      <c r="V1728" s="1357">
        <v>28</v>
      </c>
    </row>
    <row r="1729" spans="1:22" s="841" customFormat="1" ht="15" x14ac:dyDescent="0.25">
      <c r="A1729" s="841" t="s">
        <v>189</v>
      </c>
      <c r="E1729" s="1690" t="s">
        <v>18</v>
      </c>
      <c r="F1729" s="1690"/>
      <c r="G1729" s="1408" t="s">
        <v>24</v>
      </c>
      <c r="H1729" s="393">
        <v>1E-4</v>
      </c>
      <c r="K1729" s="841" t="s">
        <v>3197</v>
      </c>
      <c r="L1729" s="841" t="s">
        <v>443</v>
      </c>
      <c r="M1729" s="1357"/>
      <c r="P1729" s="841" t="s">
        <v>3204</v>
      </c>
      <c r="Q1729" s="1357"/>
      <c r="S1729" s="1420"/>
      <c r="T1729" s="1420"/>
      <c r="V1729" s="1357">
        <v>24</v>
      </c>
    </row>
    <row r="1730" spans="1:22" s="841" customFormat="1" ht="15" x14ac:dyDescent="0.25">
      <c r="A1730" s="841" t="s">
        <v>189</v>
      </c>
      <c r="E1730" s="1690" t="s">
        <v>5129</v>
      </c>
      <c r="F1730" s="1908"/>
      <c r="G1730" s="1408" t="s">
        <v>24</v>
      </c>
      <c r="H1730" s="393">
        <v>-4.1999999999999997E-3</v>
      </c>
      <c r="K1730" s="841" t="s">
        <v>3197</v>
      </c>
      <c r="L1730" s="841" t="s">
        <v>443</v>
      </c>
      <c r="M1730" s="1357"/>
      <c r="P1730" s="841" t="s">
        <v>3205</v>
      </c>
      <c r="Q1730" s="1357"/>
      <c r="S1730" s="1420"/>
      <c r="T1730" s="1420">
        <v>43585</v>
      </c>
      <c r="V1730" s="1357">
        <v>139</v>
      </c>
    </row>
    <row r="1731" spans="1:22" s="841" customFormat="1" ht="15" x14ac:dyDescent="0.25">
      <c r="A1731" s="841" t="s">
        <v>189</v>
      </c>
      <c r="E1731" s="1690" t="s">
        <v>5130</v>
      </c>
      <c r="F1731" s="1908"/>
      <c r="G1731" s="1408" t="s">
        <v>24</v>
      </c>
      <c r="H1731" s="393">
        <v>-8.9999999999999998E-4</v>
      </c>
      <c r="K1731" s="841" t="s">
        <v>3197</v>
      </c>
      <c r="L1731" s="841" t="s">
        <v>443</v>
      </c>
      <c r="M1731" s="1357"/>
      <c r="P1731" s="841" t="s">
        <v>3207</v>
      </c>
      <c r="Q1731" s="1357"/>
      <c r="S1731" s="1420"/>
      <c r="T1731" s="1420">
        <v>43585</v>
      </c>
      <c r="V1731" s="1357">
        <v>96</v>
      </c>
    </row>
    <row r="1732" spans="1:22" s="841" customFormat="1" ht="15" x14ac:dyDescent="0.25">
      <c r="A1732" s="841" t="s">
        <v>189</v>
      </c>
      <c r="E1732" s="1690" t="s">
        <v>221</v>
      </c>
      <c r="F1732" s="1690"/>
      <c r="G1732" s="1408" t="s">
        <v>24</v>
      </c>
      <c r="H1732" s="393">
        <v>6.7999999999999996E-3</v>
      </c>
      <c r="K1732" s="841" t="s">
        <v>3197</v>
      </c>
      <c r="L1732" s="841" t="s">
        <v>444</v>
      </c>
      <c r="M1732" s="1357"/>
      <c r="P1732" s="841" t="s">
        <v>3208</v>
      </c>
      <c r="Q1732" s="1357"/>
      <c r="S1732" s="1420"/>
      <c r="T1732" s="1420"/>
      <c r="V1732" s="1357">
        <v>47</v>
      </c>
    </row>
    <row r="1733" spans="1:22" s="841" customFormat="1" ht="15" x14ac:dyDescent="0.25">
      <c r="A1733" s="841" t="s">
        <v>189</v>
      </c>
      <c r="E1733" s="1690" t="s">
        <v>217</v>
      </c>
      <c r="F1733" s="1690"/>
      <c r="G1733" s="1408" t="s">
        <v>24</v>
      </c>
      <c r="H1733" s="393">
        <v>6.7999999999999996E-3</v>
      </c>
      <c r="K1733" s="841" t="s">
        <v>3197</v>
      </c>
      <c r="L1733" s="841" t="s">
        <v>444</v>
      </c>
      <c r="M1733" s="1357"/>
      <c r="P1733" s="841" t="s">
        <v>3209</v>
      </c>
      <c r="Q1733" s="1357"/>
      <c r="S1733" s="1420"/>
      <c r="T1733" s="1420"/>
      <c r="V1733" s="1357">
        <v>74</v>
      </c>
    </row>
    <row r="1734" spans="1:22" s="841" customFormat="1" ht="15" x14ac:dyDescent="0.25">
      <c r="A1734" s="841" t="s">
        <v>189</v>
      </c>
      <c r="E1734" s="1694" t="s">
        <v>3079</v>
      </c>
      <c r="F1734" s="1690"/>
      <c r="G1734" s="1690"/>
      <c r="H1734" s="1690"/>
      <c r="K1734" s="841" t="s">
        <v>3080</v>
      </c>
      <c r="M1734" s="1357"/>
      <c r="Q1734" s="1357"/>
      <c r="S1734" s="1420"/>
      <c r="T1734" s="1420"/>
      <c r="V1734" s="1357">
        <v>48</v>
      </c>
    </row>
    <row r="1735" spans="1:22" s="841" customFormat="1" ht="15" x14ac:dyDescent="0.25">
      <c r="A1735" s="841" t="s">
        <v>189</v>
      </c>
      <c r="E1735" s="1690" t="s">
        <v>2449</v>
      </c>
      <c r="F1735" s="1690"/>
      <c r="G1735" s="1408" t="s">
        <v>24</v>
      </c>
      <c r="H1735" s="393">
        <v>3.2000000000000002E-3</v>
      </c>
      <c r="K1735" s="841" t="s">
        <v>3197</v>
      </c>
      <c r="L1735" s="841" t="s">
        <v>3046</v>
      </c>
      <c r="M1735" s="1357"/>
      <c r="P1735" s="841" t="s">
        <v>3210</v>
      </c>
      <c r="Q1735" s="1357"/>
      <c r="S1735" s="1420"/>
      <c r="T1735" s="1420"/>
      <c r="V1735" s="1357">
        <v>55</v>
      </c>
    </row>
    <row r="1736" spans="1:22" s="841" customFormat="1" ht="15" x14ac:dyDescent="0.25">
      <c r="A1736" s="841" t="s">
        <v>189</v>
      </c>
      <c r="E1736" s="1690" t="s">
        <v>2450</v>
      </c>
      <c r="F1736" s="1690"/>
      <c r="G1736" s="1408" t="s">
        <v>24</v>
      </c>
      <c r="H1736" s="393">
        <v>4.0000000000000002E-4</v>
      </c>
      <c r="K1736" s="841" t="s">
        <v>3197</v>
      </c>
      <c r="L1736" s="841" t="s">
        <v>3046</v>
      </c>
      <c r="M1736" s="1357"/>
      <c r="P1736" s="841" t="s">
        <v>3210</v>
      </c>
      <c r="Q1736" s="1357"/>
      <c r="S1736" s="1420"/>
      <c r="T1736" s="1420"/>
      <c r="V1736" s="1357">
        <v>65</v>
      </c>
    </row>
    <row r="1737" spans="1:22" s="841" customFormat="1" ht="15" x14ac:dyDescent="0.25">
      <c r="A1737" s="841" t="s">
        <v>189</v>
      </c>
      <c r="E1737" s="1690" t="s">
        <v>439</v>
      </c>
      <c r="F1737" s="1690"/>
      <c r="G1737" s="1408" t="s">
        <v>24</v>
      </c>
      <c r="H1737" s="393">
        <v>2.9999999999999997E-4</v>
      </c>
      <c r="K1737" s="841" t="s">
        <v>3197</v>
      </c>
      <c r="L1737" s="841" t="s">
        <v>3046</v>
      </c>
      <c r="M1737" s="1357"/>
      <c r="P1737" s="841" t="s">
        <v>3212</v>
      </c>
      <c r="Q1737" s="1357"/>
      <c r="S1737" s="1420"/>
      <c r="T1737" s="1420"/>
      <c r="V1737" s="1357">
        <v>57</v>
      </c>
    </row>
    <row r="1738" spans="1:22" s="841" customFormat="1" ht="15" x14ac:dyDescent="0.25">
      <c r="A1738" s="841" t="s">
        <v>189</v>
      </c>
      <c r="E1738" s="1690" t="s">
        <v>32</v>
      </c>
      <c r="F1738" s="1690"/>
      <c r="G1738" s="1408" t="s">
        <v>23</v>
      </c>
      <c r="H1738" s="391">
        <v>0.25</v>
      </c>
      <c r="K1738" s="841" t="s">
        <v>3197</v>
      </c>
      <c r="L1738" s="841" t="s">
        <v>3046</v>
      </c>
      <c r="M1738" s="1357"/>
      <c r="P1738" s="841" t="s">
        <v>3213</v>
      </c>
      <c r="Q1738" s="1357"/>
      <c r="S1738" s="1420"/>
      <c r="T1738" s="1420"/>
      <c r="V1738" s="1357">
        <v>63</v>
      </c>
    </row>
    <row r="1739" spans="1:22" s="841" customFormat="1" x14ac:dyDescent="0.25">
      <c r="A1739" s="841" t="s">
        <v>189</v>
      </c>
      <c r="E1739" s="1909" t="s">
        <v>3214</v>
      </c>
      <c r="F1739" s="1923"/>
      <c r="G1739" s="1923"/>
      <c r="H1739" s="1923"/>
      <c r="K1739" s="841" t="s">
        <v>5110</v>
      </c>
      <c r="M1739" s="1357"/>
      <c r="Q1739" s="1357"/>
      <c r="S1739" s="1420"/>
      <c r="T1739" s="1420"/>
      <c r="V1739" s="1357">
        <v>54</v>
      </c>
    </row>
    <row r="1740" spans="1:22" s="841" customFormat="1" ht="15" x14ac:dyDescent="0.25">
      <c r="A1740" s="841" t="s">
        <v>189</v>
      </c>
      <c r="E1740" s="1689" t="s">
        <v>4185</v>
      </c>
      <c r="F1740" s="1689"/>
      <c r="G1740" s="1689"/>
      <c r="H1740" s="1689"/>
      <c r="K1740" s="841" t="s">
        <v>5110</v>
      </c>
      <c r="M1740" s="1357"/>
      <c r="Q1740" s="1357"/>
      <c r="S1740" s="1420"/>
      <c r="T1740" s="1420"/>
      <c r="V1740" s="1357">
        <v>329</v>
      </c>
    </row>
    <row r="1741" spans="1:22" s="841" customFormat="1" ht="15" x14ac:dyDescent="0.25">
      <c r="A1741" s="841" t="s">
        <v>189</v>
      </c>
      <c r="E1741" s="1916" t="s">
        <v>3061</v>
      </c>
      <c r="F1741" s="1689"/>
      <c r="G1741" s="1689"/>
      <c r="H1741" s="1689"/>
      <c r="K1741" s="841" t="s">
        <v>3086</v>
      </c>
      <c r="M1741" s="1357"/>
      <c r="Q1741" s="1357"/>
      <c r="S1741" s="1420"/>
      <c r="T1741" s="1420"/>
      <c r="V1741" s="1357">
        <v>11</v>
      </c>
    </row>
    <row r="1742" spans="1:22" s="841" customFormat="1" ht="15" x14ac:dyDescent="0.25">
      <c r="A1742" s="841" t="s">
        <v>189</v>
      </c>
      <c r="E1742" s="1689" t="s">
        <v>3063</v>
      </c>
      <c r="F1742" s="1689"/>
      <c r="G1742" s="1689"/>
      <c r="H1742" s="1689"/>
      <c r="K1742" s="841" t="s">
        <v>5110</v>
      </c>
      <c r="M1742" s="1357"/>
      <c r="Q1742" s="1357"/>
      <c r="S1742" s="1420"/>
      <c r="T1742" s="1420"/>
      <c r="V1742" s="1357">
        <v>280</v>
      </c>
    </row>
    <row r="1743" spans="1:22" s="841" customFormat="1" ht="15" x14ac:dyDescent="0.25">
      <c r="A1743" s="841" t="s">
        <v>189</v>
      </c>
      <c r="E1743" s="1689" t="s">
        <v>3064</v>
      </c>
      <c r="F1743" s="1689"/>
      <c r="G1743" s="1689"/>
      <c r="H1743" s="1689"/>
      <c r="K1743" s="841" t="s">
        <v>5110</v>
      </c>
      <c r="M1743" s="1357"/>
      <c r="Q1743" s="1357"/>
      <c r="S1743" s="1420"/>
      <c r="T1743" s="1420"/>
      <c r="V1743" s="1357">
        <v>411</v>
      </c>
    </row>
    <row r="1744" spans="1:22" s="841" customFormat="1" ht="15" x14ac:dyDescent="0.25">
      <c r="A1744" s="841" t="s">
        <v>189</v>
      </c>
      <c r="E1744" s="1689" t="s">
        <v>3199</v>
      </c>
      <c r="F1744" s="1689"/>
      <c r="G1744" s="1689"/>
      <c r="H1744" s="1689"/>
      <c r="K1744" s="841" t="s">
        <v>5110</v>
      </c>
      <c r="M1744" s="1357"/>
      <c r="Q1744" s="1357"/>
      <c r="S1744" s="1420"/>
      <c r="T1744" s="1420"/>
      <c r="V1744" s="1357">
        <v>386</v>
      </c>
    </row>
    <row r="1745" spans="1:22" s="841" customFormat="1" ht="15" x14ac:dyDescent="0.25">
      <c r="A1745" s="841" t="s">
        <v>189</v>
      </c>
      <c r="E1745" s="1689" t="s">
        <v>3390</v>
      </c>
      <c r="F1745" s="1689"/>
      <c r="G1745" s="1689"/>
      <c r="H1745" s="1689"/>
      <c r="K1745" s="841" t="s">
        <v>5110</v>
      </c>
      <c r="M1745" s="1357"/>
      <c r="Q1745" s="1357"/>
      <c r="S1745" s="1420"/>
      <c r="T1745" s="1420"/>
      <c r="V1745" s="1357">
        <v>274</v>
      </c>
    </row>
    <row r="1746" spans="1:22" s="841" customFormat="1" ht="15" x14ac:dyDescent="0.25">
      <c r="A1746" s="841" t="s">
        <v>189</v>
      </c>
      <c r="E1746" s="1694" t="s">
        <v>3067</v>
      </c>
      <c r="F1746" s="1907"/>
      <c r="G1746" s="1907"/>
      <c r="H1746" s="1907"/>
      <c r="K1746" s="841" t="s">
        <v>3087</v>
      </c>
      <c r="M1746" s="1357"/>
      <c r="Q1746" s="1357"/>
      <c r="S1746" s="1420"/>
      <c r="T1746" s="1420"/>
      <c r="V1746" s="1357">
        <v>46</v>
      </c>
    </row>
    <row r="1747" spans="1:22" s="841" customFormat="1" ht="15" x14ac:dyDescent="0.25">
      <c r="A1747" s="841" t="s">
        <v>189</v>
      </c>
      <c r="E1747" s="1690" t="s">
        <v>11</v>
      </c>
      <c r="F1747" s="1690"/>
      <c r="G1747" s="1408" t="s">
        <v>23</v>
      </c>
      <c r="H1747" s="391">
        <v>24.29</v>
      </c>
      <c r="K1747" s="841" t="s">
        <v>5110</v>
      </c>
      <c r="L1747" s="841" t="s">
        <v>442</v>
      </c>
      <c r="M1747" s="1357"/>
      <c r="P1747" s="841" t="s">
        <v>5111</v>
      </c>
      <c r="Q1747" s="1357"/>
      <c r="S1747" s="1420"/>
      <c r="T1747" s="1420"/>
      <c r="V1747" s="1357">
        <v>14</v>
      </c>
    </row>
    <row r="1748" spans="1:22" s="841" customFormat="1" ht="15" x14ac:dyDescent="0.25">
      <c r="A1748" s="841" t="s">
        <v>189</v>
      </c>
      <c r="E1748" s="1690" t="s">
        <v>5109</v>
      </c>
      <c r="F1748" s="1690"/>
      <c r="G1748" s="1408" t="s">
        <v>23</v>
      </c>
      <c r="H1748" s="391">
        <v>0.56999999999999995</v>
      </c>
      <c r="K1748" s="841" t="s">
        <v>5110</v>
      </c>
      <c r="L1748" s="841" t="s">
        <v>443</v>
      </c>
      <c r="M1748" s="1357"/>
      <c r="P1748" s="841" t="s">
        <v>5112</v>
      </c>
      <c r="Q1748" s="1357"/>
      <c r="S1748" s="1420"/>
      <c r="T1748" s="1420">
        <v>44926</v>
      </c>
      <c r="V1748" s="1357">
        <v>64</v>
      </c>
    </row>
    <row r="1749" spans="1:22" s="841" customFormat="1" ht="15" x14ac:dyDescent="0.25">
      <c r="A1749" s="841" t="s">
        <v>189</v>
      </c>
      <c r="E1749" s="1690" t="s">
        <v>84</v>
      </c>
      <c r="F1749" s="1690"/>
      <c r="G1749" s="1408" t="s">
        <v>24</v>
      </c>
      <c r="H1749" s="393">
        <v>1.8700000000000001E-2</v>
      </c>
      <c r="K1749" s="841" t="s">
        <v>5110</v>
      </c>
      <c r="L1749" s="841" t="s">
        <v>442</v>
      </c>
      <c r="M1749" s="1357"/>
      <c r="P1749" s="841" t="s">
        <v>5113</v>
      </c>
      <c r="Q1749" s="1357"/>
      <c r="S1749" s="1420"/>
      <c r="T1749" s="1420"/>
      <c r="V1749" s="1357">
        <v>28</v>
      </c>
    </row>
    <row r="1750" spans="1:22" s="841" customFormat="1" ht="15" x14ac:dyDescent="0.25">
      <c r="A1750" s="841" t="s">
        <v>189</v>
      </c>
      <c r="E1750" s="1690" t="s">
        <v>18</v>
      </c>
      <c r="F1750" s="1690"/>
      <c r="G1750" s="1408" t="s">
        <v>24</v>
      </c>
      <c r="H1750" s="393">
        <v>1E-4</v>
      </c>
      <c r="K1750" s="841" t="s">
        <v>5110</v>
      </c>
      <c r="L1750" s="841" t="s">
        <v>443</v>
      </c>
      <c r="M1750" s="1357"/>
      <c r="P1750" s="841" t="s">
        <v>5114</v>
      </c>
      <c r="Q1750" s="1357"/>
      <c r="S1750" s="1420"/>
      <c r="T1750" s="1420"/>
      <c r="V1750" s="1357">
        <v>24</v>
      </c>
    </row>
    <row r="1751" spans="1:22" s="841" customFormat="1" ht="15" x14ac:dyDescent="0.25">
      <c r="A1751" s="841" t="s">
        <v>189</v>
      </c>
      <c r="E1751" s="1690" t="s">
        <v>5129</v>
      </c>
      <c r="F1751" s="1908"/>
      <c r="G1751" s="1408" t="s">
        <v>24</v>
      </c>
      <c r="H1751" s="393">
        <v>-4.1999999999999997E-3</v>
      </c>
      <c r="K1751" s="841" t="s">
        <v>5110</v>
      </c>
      <c r="L1751" s="841" t="s">
        <v>443</v>
      </c>
      <c r="M1751" s="1357"/>
      <c r="P1751" s="841" t="s">
        <v>4818</v>
      </c>
      <c r="Q1751" s="1357"/>
      <c r="S1751" s="1420"/>
      <c r="T1751" s="1420">
        <v>43585</v>
      </c>
      <c r="V1751" s="1357">
        <v>139</v>
      </c>
    </row>
    <row r="1752" spans="1:22" s="841" customFormat="1" ht="15" x14ac:dyDescent="0.25">
      <c r="A1752" s="841" t="s">
        <v>189</v>
      </c>
      <c r="E1752" s="1690" t="s">
        <v>5130</v>
      </c>
      <c r="F1752" s="1908"/>
      <c r="G1752" s="1408" t="s">
        <v>24</v>
      </c>
      <c r="H1752" s="393">
        <v>-8.9999999999999998E-4</v>
      </c>
      <c r="K1752" s="841" t="s">
        <v>5110</v>
      </c>
      <c r="L1752" s="841" t="s">
        <v>443</v>
      </c>
      <c r="M1752" s="1357"/>
      <c r="P1752" s="841" t="s">
        <v>5124</v>
      </c>
      <c r="Q1752" s="1357"/>
      <c r="S1752" s="1420"/>
      <c r="T1752" s="1420">
        <v>43585</v>
      </c>
      <c r="V1752" s="1357">
        <v>96</v>
      </c>
    </row>
    <row r="1753" spans="1:22" s="841" customFormat="1" ht="15" x14ac:dyDescent="0.25">
      <c r="A1753" s="841" t="s">
        <v>189</v>
      </c>
      <c r="E1753" s="1690" t="s">
        <v>221</v>
      </c>
      <c r="F1753" s="1690"/>
      <c r="G1753" s="1408" t="s">
        <v>24</v>
      </c>
      <c r="H1753" s="393">
        <v>6.4999999999999997E-3</v>
      </c>
      <c r="K1753" s="841" t="s">
        <v>5110</v>
      </c>
      <c r="L1753" s="841" t="s">
        <v>444</v>
      </c>
      <c r="M1753" s="1357"/>
      <c r="P1753" s="841" t="s">
        <v>5115</v>
      </c>
      <c r="Q1753" s="1357"/>
      <c r="S1753" s="1420"/>
      <c r="T1753" s="1420"/>
      <c r="V1753" s="1357">
        <v>47</v>
      </c>
    </row>
    <row r="1754" spans="1:22" s="841" customFormat="1" ht="15" x14ac:dyDescent="0.25">
      <c r="A1754" s="841" t="s">
        <v>189</v>
      </c>
      <c r="E1754" s="1690" t="s">
        <v>217</v>
      </c>
      <c r="F1754" s="1690"/>
      <c r="G1754" s="1408" t="s">
        <v>24</v>
      </c>
      <c r="H1754" s="393">
        <v>6.1000000000000004E-3</v>
      </c>
      <c r="K1754" s="841" t="s">
        <v>5110</v>
      </c>
      <c r="L1754" s="841" t="s">
        <v>444</v>
      </c>
      <c r="M1754" s="1357"/>
      <c r="P1754" s="841" t="s">
        <v>5116</v>
      </c>
      <c r="Q1754" s="1357"/>
      <c r="S1754" s="1420"/>
      <c r="T1754" s="1420"/>
      <c r="V1754" s="1357">
        <v>74</v>
      </c>
    </row>
    <row r="1755" spans="1:22" s="841" customFormat="1" ht="15" x14ac:dyDescent="0.25">
      <c r="A1755" s="841" t="s">
        <v>189</v>
      </c>
      <c r="E1755" s="1694" t="s">
        <v>3079</v>
      </c>
      <c r="F1755" s="1690"/>
      <c r="G1755" s="1690"/>
      <c r="H1755" s="1690"/>
      <c r="K1755" s="841" t="s">
        <v>3093</v>
      </c>
      <c r="M1755" s="1357"/>
      <c r="Q1755" s="1357"/>
      <c r="S1755" s="1420"/>
      <c r="T1755" s="1420"/>
      <c r="V1755" s="1357">
        <v>48</v>
      </c>
    </row>
    <row r="1756" spans="1:22" s="841" customFormat="1" ht="15" x14ac:dyDescent="0.25">
      <c r="A1756" s="841" t="s">
        <v>189</v>
      </c>
      <c r="E1756" s="1690" t="s">
        <v>2449</v>
      </c>
      <c r="F1756" s="1690"/>
      <c r="G1756" s="1408" t="s">
        <v>24</v>
      </c>
      <c r="H1756" s="393">
        <v>3.2000000000000002E-3</v>
      </c>
      <c r="K1756" s="841" t="s">
        <v>5110</v>
      </c>
      <c r="L1756" s="841" t="s">
        <v>3046</v>
      </c>
      <c r="M1756" s="1357"/>
      <c r="P1756" s="841" t="s">
        <v>5117</v>
      </c>
      <c r="Q1756" s="1357"/>
      <c r="S1756" s="1420"/>
      <c r="T1756" s="1420"/>
      <c r="V1756" s="1357">
        <v>55</v>
      </c>
    </row>
    <row r="1757" spans="1:22" s="841" customFormat="1" ht="15" x14ac:dyDescent="0.25">
      <c r="A1757" s="841" t="s">
        <v>189</v>
      </c>
      <c r="E1757" s="1690" t="s">
        <v>2450</v>
      </c>
      <c r="F1757" s="1690"/>
      <c r="G1757" s="1408" t="s">
        <v>24</v>
      </c>
      <c r="H1757" s="393">
        <v>4.0000000000000002E-4</v>
      </c>
      <c r="K1757" s="841" t="s">
        <v>5110</v>
      </c>
      <c r="L1757" s="841" t="s">
        <v>3046</v>
      </c>
      <c r="M1757" s="1357"/>
      <c r="P1757" s="841" t="s">
        <v>5117</v>
      </c>
      <c r="Q1757" s="1357"/>
      <c r="S1757" s="1420"/>
      <c r="T1757" s="1420"/>
      <c r="V1757" s="1357">
        <v>65</v>
      </c>
    </row>
    <row r="1758" spans="1:22" s="841" customFormat="1" ht="15" x14ac:dyDescent="0.25">
      <c r="A1758" s="841" t="s">
        <v>189</v>
      </c>
      <c r="E1758" s="1690" t="s">
        <v>439</v>
      </c>
      <c r="F1758" s="1690"/>
      <c r="G1758" s="1408" t="s">
        <v>24</v>
      </c>
      <c r="H1758" s="393">
        <v>2.9999999999999997E-4</v>
      </c>
      <c r="K1758" s="841" t="s">
        <v>5110</v>
      </c>
      <c r="L1758" s="841" t="s">
        <v>3046</v>
      </c>
      <c r="M1758" s="1357"/>
      <c r="P1758" s="841" t="s">
        <v>5118</v>
      </c>
      <c r="Q1758" s="1357"/>
      <c r="S1758" s="1420"/>
      <c r="T1758" s="1420"/>
      <c r="V1758" s="1357">
        <v>57</v>
      </c>
    </row>
    <row r="1759" spans="1:22" s="841" customFormat="1" ht="15" x14ac:dyDescent="0.25">
      <c r="A1759" s="841" t="s">
        <v>189</v>
      </c>
      <c r="E1759" s="1690" t="s">
        <v>32</v>
      </c>
      <c r="F1759" s="1690"/>
      <c r="G1759" s="1408" t="s">
        <v>23</v>
      </c>
      <c r="H1759" s="391">
        <v>0.25</v>
      </c>
      <c r="K1759" s="841" t="s">
        <v>5110</v>
      </c>
      <c r="L1759" s="841" t="s">
        <v>3046</v>
      </c>
      <c r="M1759" s="1357"/>
      <c r="P1759" s="841" t="s">
        <v>5119</v>
      </c>
      <c r="Q1759" s="1357"/>
      <c r="S1759" s="1420"/>
      <c r="T1759" s="1420"/>
      <c r="V1759" s="1357">
        <v>63</v>
      </c>
    </row>
    <row r="1760" spans="1:22" s="841" customFormat="1" x14ac:dyDescent="0.25">
      <c r="A1760" s="841" t="s">
        <v>189</v>
      </c>
      <c r="E1760" s="1909" t="s">
        <v>637</v>
      </c>
      <c r="F1760" s="1923"/>
      <c r="G1760" s="1923"/>
      <c r="H1760" s="1923"/>
      <c r="K1760" s="841" t="s">
        <v>3439</v>
      </c>
      <c r="M1760" s="1357"/>
      <c r="Q1760" s="1357"/>
      <c r="S1760" s="1420"/>
      <c r="T1760" s="1420"/>
      <c r="V1760" s="1357">
        <v>53</v>
      </c>
    </row>
    <row r="1761" spans="1:22" s="841" customFormat="1" ht="15" x14ac:dyDescent="0.25">
      <c r="A1761" s="841" t="s">
        <v>189</v>
      </c>
      <c r="E1761" s="1689" t="s">
        <v>4186</v>
      </c>
      <c r="F1761" s="1689"/>
      <c r="G1761" s="1689"/>
      <c r="H1761" s="1689"/>
      <c r="K1761" s="841" t="s">
        <v>3439</v>
      </c>
      <c r="M1761" s="1357"/>
      <c r="Q1761" s="1357"/>
      <c r="S1761" s="1420"/>
      <c r="T1761" s="1420"/>
      <c r="V1761" s="1357">
        <v>354</v>
      </c>
    </row>
    <row r="1762" spans="1:22" s="841" customFormat="1" ht="15" x14ac:dyDescent="0.25">
      <c r="A1762" s="841" t="s">
        <v>189</v>
      </c>
      <c r="E1762" s="1916" t="s">
        <v>3061</v>
      </c>
      <c r="F1762" s="1689"/>
      <c r="G1762" s="1689"/>
      <c r="H1762" s="1689"/>
      <c r="K1762" s="841" t="s">
        <v>3098</v>
      </c>
      <c r="M1762" s="1357"/>
      <c r="Q1762" s="1357"/>
      <c r="S1762" s="1420"/>
      <c r="T1762" s="1420"/>
      <c r="V1762" s="1357">
        <v>11</v>
      </c>
    </row>
    <row r="1763" spans="1:22" s="841" customFormat="1" ht="15" x14ac:dyDescent="0.25">
      <c r="A1763" s="841" t="s">
        <v>189</v>
      </c>
      <c r="E1763" s="1689" t="s">
        <v>3063</v>
      </c>
      <c r="F1763" s="1689"/>
      <c r="G1763" s="1689"/>
      <c r="H1763" s="1689"/>
      <c r="K1763" s="841" t="s">
        <v>3439</v>
      </c>
      <c r="M1763" s="1357"/>
      <c r="Q1763" s="1357"/>
      <c r="S1763" s="1420"/>
      <c r="T1763" s="1420"/>
      <c r="V1763" s="1357">
        <v>280</v>
      </c>
    </row>
    <row r="1764" spans="1:22" s="841" customFormat="1" ht="15" x14ac:dyDescent="0.25">
      <c r="A1764" s="841" t="s">
        <v>189</v>
      </c>
      <c r="E1764" s="1689" t="s">
        <v>3064</v>
      </c>
      <c r="F1764" s="1689"/>
      <c r="G1764" s="1689"/>
      <c r="H1764" s="1689"/>
      <c r="K1764" s="841" t="s">
        <v>3439</v>
      </c>
      <c r="M1764" s="1357"/>
      <c r="Q1764" s="1357"/>
      <c r="S1764" s="1420"/>
      <c r="T1764" s="1420"/>
      <c r="V1764" s="1357">
        <v>411</v>
      </c>
    </row>
    <row r="1765" spans="1:22" s="841" customFormat="1" ht="15" x14ac:dyDescent="0.25">
      <c r="A1765" s="841" t="s">
        <v>189</v>
      </c>
      <c r="E1765" s="1689" t="s">
        <v>3199</v>
      </c>
      <c r="F1765" s="1689"/>
      <c r="G1765" s="1689"/>
      <c r="H1765" s="1689"/>
      <c r="K1765" s="841" t="s">
        <v>3439</v>
      </c>
      <c r="M1765" s="1357"/>
      <c r="Q1765" s="1357"/>
      <c r="S1765" s="1420"/>
      <c r="T1765" s="1420"/>
      <c r="V1765" s="1357">
        <v>386</v>
      </c>
    </row>
    <row r="1766" spans="1:22" s="841" customFormat="1" ht="15" x14ac:dyDescent="0.25">
      <c r="A1766" s="841" t="s">
        <v>189</v>
      </c>
      <c r="E1766" s="1689" t="s">
        <v>5297</v>
      </c>
      <c r="F1766" s="1689"/>
      <c r="G1766" s="1689"/>
      <c r="H1766" s="1689"/>
      <c r="K1766" s="841" t="s">
        <v>3439</v>
      </c>
      <c r="M1766" s="1357"/>
      <c r="Q1766" s="1357"/>
      <c r="S1766" s="1420"/>
      <c r="T1766" s="1420"/>
      <c r="V1766" s="1357">
        <v>657</v>
      </c>
    </row>
    <row r="1767" spans="1:22" s="841" customFormat="1" ht="15" x14ac:dyDescent="0.25">
      <c r="A1767" s="841" t="s">
        <v>189</v>
      </c>
      <c r="E1767" s="1689" t="s">
        <v>3390</v>
      </c>
      <c r="F1767" s="1689"/>
      <c r="G1767" s="1689"/>
      <c r="H1767" s="1689"/>
      <c r="K1767" s="841" t="s">
        <v>3439</v>
      </c>
      <c r="M1767" s="1357"/>
      <c r="Q1767" s="1357"/>
      <c r="S1767" s="1420"/>
      <c r="T1767" s="1420"/>
      <c r="V1767" s="1357">
        <v>274</v>
      </c>
    </row>
    <row r="1768" spans="1:22" s="841" customFormat="1" ht="15" x14ac:dyDescent="0.25">
      <c r="A1768" s="841" t="s">
        <v>189</v>
      </c>
      <c r="E1768" s="1694" t="s">
        <v>3067</v>
      </c>
      <c r="F1768" s="1907"/>
      <c r="G1768" s="1907"/>
      <c r="H1768" s="1907"/>
      <c r="K1768" s="841" t="s">
        <v>3099</v>
      </c>
      <c r="M1768" s="1357"/>
      <c r="Q1768" s="1357"/>
      <c r="S1768" s="1420"/>
      <c r="T1768" s="1420"/>
      <c r="V1768" s="1357">
        <v>46</v>
      </c>
    </row>
    <row r="1769" spans="1:22" s="841" customFormat="1" ht="15" x14ac:dyDescent="0.25">
      <c r="A1769" s="841" t="s">
        <v>189</v>
      </c>
      <c r="E1769" s="1690" t="s">
        <v>11</v>
      </c>
      <c r="F1769" s="1690"/>
      <c r="G1769" s="1408" t="s">
        <v>23</v>
      </c>
      <c r="H1769" s="391">
        <v>306.79000000000002</v>
      </c>
      <c r="K1769" s="841" t="s">
        <v>3439</v>
      </c>
      <c r="L1769" s="841" t="s">
        <v>442</v>
      </c>
      <c r="M1769" s="1357"/>
      <c r="P1769" s="841" t="s">
        <v>3440</v>
      </c>
      <c r="Q1769" s="1357"/>
      <c r="S1769" s="1420"/>
      <c r="T1769" s="1420"/>
      <c r="V1769" s="1357">
        <v>14</v>
      </c>
    </row>
    <row r="1770" spans="1:22" s="841" customFormat="1" ht="15" x14ac:dyDescent="0.25">
      <c r="A1770" s="841" t="s">
        <v>189</v>
      </c>
      <c r="E1770" s="1690" t="s">
        <v>84</v>
      </c>
      <c r="F1770" s="1690"/>
      <c r="G1770" s="1408" t="s">
        <v>33</v>
      </c>
      <c r="H1770" s="393">
        <v>2.5611000000000002</v>
      </c>
      <c r="K1770" s="841" t="s">
        <v>3439</v>
      </c>
      <c r="L1770" s="841" t="s">
        <v>442</v>
      </c>
      <c r="M1770" s="1357"/>
      <c r="P1770" s="841" t="s">
        <v>3441</v>
      </c>
      <c r="Q1770" s="1357"/>
      <c r="S1770" s="1420"/>
      <c r="T1770" s="1420"/>
      <c r="V1770" s="1357">
        <v>28</v>
      </c>
    </row>
    <row r="1771" spans="1:22" s="841" customFormat="1" ht="15" x14ac:dyDescent="0.25">
      <c r="A1771" s="841" t="s">
        <v>189</v>
      </c>
      <c r="E1771" s="1690" t="s">
        <v>18</v>
      </c>
      <c r="F1771" s="1690"/>
      <c r="G1771" s="1408" t="s">
        <v>33</v>
      </c>
      <c r="H1771" s="393">
        <v>2.5499999999999998E-2</v>
      </c>
      <c r="K1771" s="841" t="s">
        <v>3439</v>
      </c>
      <c r="L1771" s="841" t="s">
        <v>443</v>
      </c>
      <c r="M1771" s="1357"/>
      <c r="P1771" s="841" t="s">
        <v>3442</v>
      </c>
      <c r="Q1771" s="1357"/>
      <c r="S1771" s="1420"/>
      <c r="T1771" s="1420"/>
      <c r="V1771" s="1357">
        <v>24</v>
      </c>
    </row>
    <row r="1772" spans="1:22" s="841" customFormat="1" ht="15" x14ac:dyDescent="0.25">
      <c r="A1772" s="841" t="s">
        <v>189</v>
      </c>
      <c r="E1772" s="1690" t="s">
        <v>5129</v>
      </c>
      <c r="F1772" s="1908"/>
      <c r="G1772" s="1408" t="s">
        <v>24</v>
      </c>
      <c r="H1772" s="393">
        <v>-4.1999999999999997E-3</v>
      </c>
      <c r="K1772" s="841" t="s">
        <v>3439</v>
      </c>
      <c r="L1772" s="841" t="s">
        <v>443</v>
      </c>
      <c r="M1772" s="1357"/>
      <c r="P1772" s="841" t="s">
        <v>4187</v>
      </c>
      <c r="Q1772" s="1357"/>
      <c r="S1772" s="1420"/>
      <c r="T1772" s="1420">
        <v>43585</v>
      </c>
      <c r="V1772" s="1357">
        <v>139</v>
      </c>
    </row>
    <row r="1773" spans="1:22" s="841" customFormat="1" ht="15" x14ac:dyDescent="0.25">
      <c r="A1773" s="841" t="s">
        <v>189</v>
      </c>
      <c r="E1773" s="1690" t="s">
        <v>5130</v>
      </c>
      <c r="F1773" s="1908"/>
      <c r="G1773" s="1408" t="s">
        <v>33</v>
      </c>
      <c r="H1773" s="393">
        <v>-0.31690000000000002</v>
      </c>
      <c r="K1773" s="841" t="s">
        <v>3439</v>
      </c>
      <c r="L1773" s="841" t="s">
        <v>443</v>
      </c>
      <c r="M1773" s="1357"/>
      <c r="P1773" s="841" t="s">
        <v>4188</v>
      </c>
      <c r="Q1773" s="1357"/>
      <c r="S1773" s="1420"/>
      <c r="T1773" s="1420">
        <v>43585</v>
      </c>
      <c r="V1773" s="1357">
        <v>96</v>
      </c>
    </row>
    <row r="1774" spans="1:22" s="841" customFormat="1" ht="15" x14ac:dyDescent="0.25">
      <c r="A1774" s="841" t="s">
        <v>189</v>
      </c>
      <c r="E1774" s="1690" t="s">
        <v>221</v>
      </c>
      <c r="F1774" s="1690"/>
      <c r="G1774" s="1408" t="s">
        <v>33</v>
      </c>
      <c r="H1774" s="393">
        <v>2.5794000000000001</v>
      </c>
      <c r="K1774" s="841" t="s">
        <v>3439</v>
      </c>
      <c r="L1774" s="841" t="s">
        <v>444</v>
      </c>
      <c r="M1774" s="1357"/>
      <c r="P1774" s="841" t="s">
        <v>3443</v>
      </c>
      <c r="Q1774" s="1357"/>
      <c r="S1774" s="1420"/>
      <c r="T1774" s="1420"/>
      <c r="V1774" s="1357">
        <v>47</v>
      </c>
    </row>
    <row r="1775" spans="1:22" s="841" customFormat="1" ht="15" x14ac:dyDescent="0.25">
      <c r="A1775" s="841" t="s">
        <v>189</v>
      </c>
      <c r="E1775" s="1690" t="s">
        <v>217</v>
      </c>
      <c r="F1775" s="1690"/>
      <c r="G1775" s="1408" t="s">
        <v>33</v>
      </c>
      <c r="H1775" s="393">
        <v>2.3860000000000001</v>
      </c>
      <c r="K1775" s="841" t="s">
        <v>3439</v>
      </c>
      <c r="L1775" s="841" t="s">
        <v>444</v>
      </c>
      <c r="M1775" s="1357"/>
      <c r="P1775" s="841" t="s">
        <v>3444</v>
      </c>
      <c r="Q1775" s="1357"/>
      <c r="S1775" s="1420"/>
      <c r="T1775" s="1420"/>
      <c r="V1775" s="1357">
        <v>74</v>
      </c>
    </row>
    <row r="1776" spans="1:22" s="841" customFormat="1" ht="15" x14ac:dyDescent="0.25">
      <c r="A1776" s="841" t="s">
        <v>189</v>
      </c>
      <c r="E1776" s="1694" t="s">
        <v>3079</v>
      </c>
      <c r="F1776" s="1690"/>
      <c r="G1776" s="1690"/>
      <c r="H1776" s="1690"/>
      <c r="K1776" s="841" t="s">
        <v>3218</v>
      </c>
      <c r="M1776" s="1357"/>
      <c r="Q1776" s="1357"/>
      <c r="S1776" s="1420"/>
      <c r="T1776" s="1420"/>
      <c r="V1776" s="1357">
        <v>48</v>
      </c>
    </row>
    <row r="1777" spans="1:22" s="841" customFormat="1" ht="15" x14ac:dyDescent="0.25">
      <c r="A1777" s="841" t="s">
        <v>189</v>
      </c>
      <c r="E1777" s="1690" t="s">
        <v>2449</v>
      </c>
      <c r="F1777" s="1690"/>
      <c r="G1777" s="1408" t="s">
        <v>24</v>
      </c>
      <c r="H1777" s="393">
        <v>3.2000000000000002E-3</v>
      </c>
      <c r="K1777" s="841" t="s">
        <v>3439</v>
      </c>
      <c r="L1777" s="841" t="s">
        <v>3046</v>
      </c>
      <c r="M1777" s="1357"/>
      <c r="P1777" s="841" t="s">
        <v>3445</v>
      </c>
      <c r="Q1777" s="1357"/>
      <c r="S1777" s="1420"/>
      <c r="T1777" s="1420"/>
      <c r="V1777" s="1357">
        <v>55</v>
      </c>
    </row>
    <row r="1778" spans="1:22" s="841" customFormat="1" ht="15" x14ac:dyDescent="0.25">
      <c r="A1778" s="841" t="s">
        <v>189</v>
      </c>
      <c r="E1778" s="1690" t="s">
        <v>2450</v>
      </c>
      <c r="F1778" s="1690"/>
      <c r="G1778" s="1408" t="s">
        <v>24</v>
      </c>
      <c r="H1778" s="393">
        <v>4.0000000000000002E-4</v>
      </c>
      <c r="K1778" s="841" t="s">
        <v>3439</v>
      </c>
      <c r="L1778" s="841" t="s">
        <v>3046</v>
      </c>
      <c r="M1778" s="1357"/>
      <c r="P1778" s="841" t="s">
        <v>3445</v>
      </c>
      <c r="Q1778" s="1357"/>
      <c r="S1778" s="1420"/>
      <c r="T1778" s="1420"/>
      <c r="V1778" s="1357">
        <v>65</v>
      </c>
    </row>
    <row r="1779" spans="1:22" s="841" customFormat="1" ht="15" x14ac:dyDescent="0.25">
      <c r="A1779" s="841" t="s">
        <v>189</v>
      </c>
      <c r="E1779" s="1690" t="s">
        <v>439</v>
      </c>
      <c r="F1779" s="1690"/>
      <c r="G1779" s="1408" t="s">
        <v>24</v>
      </c>
      <c r="H1779" s="393">
        <v>2.9999999999999997E-4</v>
      </c>
      <c r="K1779" s="841" t="s">
        <v>3439</v>
      </c>
      <c r="L1779" s="841" t="s">
        <v>3046</v>
      </c>
      <c r="M1779" s="1357"/>
      <c r="P1779" s="841" t="s">
        <v>3446</v>
      </c>
      <c r="Q1779" s="1357"/>
      <c r="S1779" s="1420"/>
      <c r="T1779" s="1420"/>
      <c r="V1779" s="1357">
        <v>57</v>
      </c>
    </row>
    <row r="1780" spans="1:22" s="841" customFormat="1" ht="15" x14ac:dyDescent="0.25">
      <c r="A1780" s="841" t="s">
        <v>189</v>
      </c>
      <c r="E1780" s="1690" t="s">
        <v>32</v>
      </c>
      <c r="F1780" s="1690"/>
      <c r="G1780" s="1408" t="s">
        <v>23</v>
      </c>
      <c r="H1780" s="391">
        <v>0.25</v>
      </c>
      <c r="K1780" s="841" t="s">
        <v>3439</v>
      </c>
      <c r="L1780" s="841" t="s">
        <v>3046</v>
      </c>
      <c r="M1780" s="1357"/>
      <c r="P1780" s="841" t="s">
        <v>3447</v>
      </c>
      <c r="Q1780" s="1357"/>
      <c r="S1780" s="1420"/>
      <c r="T1780" s="1420"/>
      <c r="V1780" s="1357">
        <v>63</v>
      </c>
    </row>
    <row r="1781" spans="1:22" s="841" customFormat="1" x14ac:dyDescent="0.25">
      <c r="A1781" s="841" t="s">
        <v>189</v>
      </c>
      <c r="E1781" s="1909" t="s">
        <v>638</v>
      </c>
      <c r="F1781" s="1923"/>
      <c r="G1781" s="1923"/>
      <c r="H1781" s="1923"/>
      <c r="K1781" s="841" t="s">
        <v>3448</v>
      </c>
      <c r="M1781" s="1357"/>
      <c r="Q1781" s="1357"/>
      <c r="S1781" s="1420"/>
      <c r="T1781" s="1420"/>
      <c r="V1781" s="1357">
        <v>56</v>
      </c>
    </row>
    <row r="1782" spans="1:22" s="841" customFormat="1" ht="15" x14ac:dyDescent="0.25">
      <c r="A1782" s="841" t="s">
        <v>189</v>
      </c>
      <c r="E1782" s="1689" t="s">
        <v>4189</v>
      </c>
      <c r="F1782" s="1689"/>
      <c r="G1782" s="1689"/>
      <c r="H1782" s="1689"/>
      <c r="K1782" s="841" t="s">
        <v>3448</v>
      </c>
      <c r="M1782" s="1357"/>
      <c r="Q1782" s="1357"/>
      <c r="S1782" s="1420"/>
      <c r="T1782" s="1420"/>
      <c r="V1782" s="1357">
        <v>356</v>
      </c>
    </row>
    <row r="1783" spans="1:22" s="841" customFormat="1" ht="15" x14ac:dyDescent="0.25">
      <c r="A1783" s="841" t="s">
        <v>189</v>
      </c>
      <c r="E1783" s="1916" t="s">
        <v>3061</v>
      </c>
      <c r="F1783" s="1689"/>
      <c r="G1783" s="1689"/>
      <c r="H1783" s="1689"/>
      <c r="K1783" s="841" t="s">
        <v>3221</v>
      </c>
      <c r="M1783" s="1357"/>
      <c r="Q1783" s="1357"/>
      <c r="S1783" s="1420"/>
      <c r="T1783" s="1420"/>
      <c r="V1783" s="1357">
        <v>11</v>
      </c>
    </row>
    <row r="1784" spans="1:22" s="841" customFormat="1" ht="15" x14ac:dyDescent="0.25">
      <c r="A1784" s="841" t="s">
        <v>189</v>
      </c>
      <c r="E1784" s="1689" t="s">
        <v>3063</v>
      </c>
      <c r="F1784" s="1689"/>
      <c r="G1784" s="1689"/>
      <c r="H1784" s="1689"/>
      <c r="K1784" s="841" t="s">
        <v>3448</v>
      </c>
      <c r="M1784" s="1357"/>
      <c r="Q1784" s="1357"/>
      <c r="S1784" s="1420"/>
      <c r="T1784" s="1420"/>
      <c r="V1784" s="1357">
        <v>280</v>
      </c>
    </row>
    <row r="1785" spans="1:22" s="841" customFormat="1" ht="15" x14ac:dyDescent="0.25">
      <c r="A1785" s="841" t="s">
        <v>189</v>
      </c>
      <c r="E1785" s="1689" t="s">
        <v>3064</v>
      </c>
      <c r="F1785" s="1689"/>
      <c r="G1785" s="1689"/>
      <c r="H1785" s="1689"/>
      <c r="K1785" s="841" t="s">
        <v>3448</v>
      </c>
      <c r="M1785" s="1357"/>
      <c r="Q1785" s="1357"/>
      <c r="S1785" s="1420"/>
      <c r="T1785" s="1420"/>
      <c r="V1785" s="1357">
        <v>411</v>
      </c>
    </row>
    <row r="1786" spans="1:22" s="841" customFormat="1" ht="15" x14ac:dyDescent="0.25">
      <c r="A1786" s="841" t="s">
        <v>189</v>
      </c>
      <c r="E1786" s="1689" t="s">
        <v>3199</v>
      </c>
      <c r="F1786" s="1689"/>
      <c r="G1786" s="1689"/>
      <c r="H1786" s="1689"/>
      <c r="K1786" s="841" t="s">
        <v>3448</v>
      </c>
      <c r="M1786" s="1357"/>
      <c r="Q1786" s="1357"/>
      <c r="S1786" s="1420"/>
      <c r="T1786" s="1420"/>
      <c r="V1786" s="1357">
        <v>386</v>
      </c>
    </row>
    <row r="1787" spans="1:22" s="841" customFormat="1" ht="15" x14ac:dyDescent="0.25">
      <c r="A1787" s="841" t="s">
        <v>189</v>
      </c>
      <c r="E1787" s="1689" t="s">
        <v>5297</v>
      </c>
      <c r="F1787" s="1689"/>
      <c r="G1787" s="1689"/>
      <c r="H1787" s="1689"/>
      <c r="K1787" s="841" t="s">
        <v>3448</v>
      </c>
      <c r="M1787" s="1357"/>
      <c r="Q1787" s="1357"/>
      <c r="S1787" s="1420"/>
      <c r="T1787" s="1420"/>
      <c r="V1787" s="1357">
        <v>657</v>
      </c>
    </row>
    <row r="1788" spans="1:22" s="841" customFormat="1" ht="15" x14ac:dyDescent="0.25">
      <c r="A1788" s="841" t="s">
        <v>189</v>
      </c>
      <c r="E1788" s="1689" t="s">
        <v>3390</v>
      </c>
      <c r="F1788" s="1689"/>
      <c r="G1788" s="1689"/>
      <c r="H1788" s="1689"/>
      <c r="K1788" s="841" t="s">
        <v>3448</v>
      </c>
      <c r="M1788" s="1357"/>
      <c r="Q1788" s="1357"/>
      <c r="S1788" s="1420"/>
      <c r="T1788" s="1420"/>
      <c r="V1788" s="1357">
        <v>274</v>
      </c>
    </row>
    <row r="1789" spans="1:22" s="841" customFormat="1" ht="15" x14ac:dyDescent="0.25">
      <c r="A1789" s="841" t="s">
        <v>189</v>
      </c>
      <c r="E1789" s="1694" t="s">
        <v>3067</v>
      </c>
      <c r="F1789" s="1907"/>
      <c r="G1789" s="1907"/>
      <c r="H1789" s="1907"/>
      <c r="K1789" s="841" t="s">
        <v>3224</v>
      </c>
      <c r="M1789" s="1357"/>
      <c r="Q1789" s="1357"/>
      <c r="S1789" s="1420"/>
      <c r="T1789" s="1420"/>
      <c r="V1789" s="1357">
        <v>46</v>
      </c>
    </row>
    <row r="1790" spans="1:22" s="841" customFormat="1" ht="15" x14ac:dyDescent="0.25">
      <c r="A1790" s="841" t="s">
        <v>189</v>
      </c>
      <c r="E1790" s="1690" t="s">
        <v>11</v>
      </c>
      <c r="F1790" s="1690"/>
      <c r="G1790" s="1408" t="s">
        <v>23</v>
      </c>
      <c r="H1790" s="391">
        <v>6543.09</v>
      </c>
      <c r="K1790" s="841" t="s">
        <v>3448</v>
      </c>
      <c r="L1790" s="841" t="s">
        <v>442</v>
      </c>
      <c r="M1790" s="1357"/>
      <c r="P1790" s="841" t="s">
        <v>3449</v>
      </c>
      <c r="Q1790" s="1357"/>
      <c r="S1790" s="1420"/>
      <c r="T1790" s="1420"/>
      <c r="V1790" s="1357">
        <v>14</v>
      </c>
    </row>
    <row r="1791" spans="1:22" s="841" customFormat="1" ht="15" x14ac:dyDescent="0.25">
      <c r="A1791" s="841" t="s">
        <v>189</v>
      </c>
      <c r="E1791" s="1690" t="s">
        <v>84</v>
      </c>
      <c r="F1791" s="1690"/>
      <c r="G1791" s="1408" t="s">
        <v>33</v>
      </c>
      <c r="H1791" s="393">
        <v>1.2027000000000001</v>
      </c>
      <c r="K1791" s="841" t="s">
        <v>3448</v>
      </c>
      <c r="L1791" s="841" t="s">
        <v>442</v>
      </c>
      <c r="M1791" s="1357"/>
      <c r="P1791" s="841" t="s">
        <v>3450</v>
      </c>
      <c r="Q1791" s="1357"/>
      <c r="S1791" s="1420"/>
      <c r="T1791" s="1420"/>
      <c r="V1791" s="1357">
        <v>28</v>
      </c>
    </row>
    <row r="1792" spans="1:22" s="841" customFormat="1" ht="15" x14ac:dyDescent="0.25">
      <c r="A1792" s="841" t="s">
        <v>189</v>
      </c>
      <c r="E1792" s="1690" t="s">
        <v>18</v>
      </c>
      <c r="F1792" s="1690"/>
      <c r="G1792" s="1408" t="s">
        <v>33</v>
      </c>
      <c r="H1792" s="393">
        <v>2.8199999999999999E-2</v>
      </c>
      <c r="K1792" s="841" t="s">
        <v>3448</v>
      </c>
      <c r="L1792" s="841" t="s">
        <v>443</v>
      </c>
      <c r="M1792" s="1357"/>
      <c r="P1792" s="841" t="s">
        <v>3451</v>
      </c>
      <c r="Q1792" s="1357"/>
      <c r="S1792" s="1420"/>
      <c r="T1792" s="1420"/>
      <c r="V1792" s="1357">
        <v>24</v>
      </c>
    </row>
    <row r="1793" spans="1:22" s="841" customFormat="1" ht="15" x14ac:dyDescent="0.25">
      <c r="A1793" s="841" t="s">
        <v>189</v>
      </c>
      <c r="E1793" s="1690" t="s">
        <v>5130</v>
      </c>
      <c r="F1793" s="1908"/>
      <c r="G1793" s="1408" t="s">
        <v>33</v>
      </c>
      <c r="H1793" s="393">
        <v>-0.36809999999999998</v>
      </c>
      <c r="K1793" s="841" t="s">
        <v>3448</v>
      </c>
      <c r="L1793" s="841" t="s">
        <v>443</v>
      </c>
      <c r="M1793" s="1357"/>
      <c r="P1793" s="841" t="s">
        <v>4190</v>
      </c>
      <c r="Q1793" s="1357"/>
      <c r="S1793" s="1420"/>
      <c r="T1793" s="1420">
        <v>43585</v>
      </c>
      <c r="V1793" s="1357">
        <v>96</v>
      </c>
    </row>
    <row r="1794" spans="1:22" s="841" customFormat="1" ht="15" x14ac:dyDescent="0.25">
      <c r="A1794" s="841" t="s">
        <v>189</v>
      </c>
      <c r="E1794" s="1690" t="s">
        <v>223</v>
      </c>
      <c r="F1794" s="1690"/>
      <c r="G1794" s="1408" t="s">
        <v>33</v>
      </c>
      <c r="H1794" s="393">
        <v>2.7361</v>
      </c>
      <c r="K1794" s="841" t="s">
        <v>3448</v>
      </c>
      <c r="L1794" s="841" t="s">
        <v>444</v>
      </c>
      <c r="M1794" s="1357"/>
      <c r="P1794" s="841" t="s">
        <v>4191</v>
      </c>
      <c r="Q1794" s="1357"/>
      <c r="S1794" s="1420"/>
      <c r="T1794" s="1420"/>
      <c r="V1794" s="1357">
        <v>66</v>
      </c>
    </row>
    <row r="1795" spans="1:22" s="841" customFormat="1" ht="15" x14ac:dyDescent="0.25">
      <c r="A1795" s="841" t="s">
        <v>189</v>
      </c>
      <c r="E1795" s="1690" t="s">
        <v>219</v>
      </c>
      <c r="F1795" s="1690"/>
      <c r="G1795" s="1408" t="s">
        <v>33</v>
      </c>
      <c r="H1795" s="393">
        <v>2.6368</v>
      </c>
      <c r="K1795" s="841" t="s">
        <v>3448</v>
      </c>
      <c r="L1795" s="841" t="s">
        <v>444</v>
      </c>
      <c r="M1795" s="1357"/>
      <c r="P1795" s="841" t="s">
        <v>4192</v>
      </c>
      <c r="Q1795" s="1357"/>
      <c r="S1795" s="1420"/>
      <c r="T1795" s="1420"/>
      <c r="V1795" s="1357">
        <v>93</v>
      </c>
    </row>
    <row r="1796" spans="1:22" s="841" customFormat="1" ht="15" x14ac:dyDescent="0.25">
      <c r="A1796" s="841" t="s">
        <v>189</v>
      </c>
      <c r="E1796" s="1694" t="s">
        <v>3079</v>
      </c>
      <c r="F1796" s="1690"/>
      <c r="G1796" s="1690"/>
      <c r="H1796" s="1690"/>
      <c r="K1796" s="841" t="s">
        <v>3225</v>
      </c>
      <c r="M1796" s="1357"/>
      <c r="Q1796" s="1357"/>
      <c r="S1796" s="1420"/>
      <c r="T1796" s="1420"/>
      <c r="V1796" s="1357">
        <v>48</v>
      </c>
    </row>
    <row r="1797" spans="1:22" s="841" customFormat="1" ht="15" x14ac:dyDescent="0.25">
      <c r="A1797" s="841" t="s">
        <v>189</v>
      </c>
      <c r="E1797" s="1690" t="s">
        <v>2449</v>
      </c>
      <c r="F1797" s="1690"/>
      <c r="G1797" s="1408" t="s">
        <v>24</v>
      </c>
      <c r="H1797" s="393">
        <v>3.2000000000000002E-3</v>
      </c>
      <c r="K1797" s="841" t="s">
        <v>3448</v>
      </c>
      <c r="L1797" s="841" t="s">
        <v>3046</v>
      </c>
      <c r="M1797" s="1357"/>
      <c r="P1797" s="841" t="s">
        <v>3454</v>
      </c>
      <c r="Q1797" s="1357"/>
      <c r="S1797" s="1420"/>
      <c r="T1797" s="1420"/>
      <c r="V1797" s="1357">
        <v>55</v>
      </c>
    </row>
    <row r="1798" spans="1:22" s="841" customFormat="1" ht="15" x14ac:dyDescent="0.25">
      <c r="A1798" s="841" t="s">
        <v>189</v>
      </c>
      <c r="E1798" s="1690" t="s">
        <v>2450</v>
      </c>
      <c r="F1798" s="1690"/>
      <c r="G1798" s="1408" t="s">
        <v>24</v>
      </c>
      <c r="H1798" s="393">
        <v>4.0000000000000002E-4</v>
      </c>
      <c r="K1798" s="841" t="s">
        <v>3448</v>
      </c>
      <c r="L1798" s="841" t="s">
        <v>3046</v>
      </c>
      <c r="M1798" s="1357"/>
      <c r="P1798" s="841" t="s">
        <v>3454</v>
      </c>
      <c r="Q1798" s="1357"/>
      <c r="S1798" s="1420"/>
      <c r="T1798" s="1420"/>
      <c r="V1798" s="1357">
        <v>65</v>
      </c>
    </row>
    <row r="1799" spans="1:22" s="841" customFormat="1" ht="15" x14ac:dyDescent="0.25">
      <c r="A1799" s="841" t="s">
        <v>189</v>
      </c>
      <c r="E1799" s="1690" t="s">
        <v>439</v>
      </c>
      <c r="F1799" s="1690"/>
      <c r="G1799" s="1408" t="s">
        <v>24</v>
      </c>
      <c r="H1799" s="393">
        <v>2.9999999999999997E-4</v>
      </c>
      <c r="K1799" s="841" t="s">
        <v>3448</v>
      </c>
      <c r="L1799" s="841" t="s">
        <v>3046</v>
      </c>
      <c r="M1799" s="1357"/>
      <c r="P1799" s="841" t="s">
        <v>3455</v>
      </c>
      <c r="Q1799" s="1357"/>
      <c r="S1799" s="1420"/>
      <c r="T1799" s="1420"/>
      <c r="V1799" s="1357">
        <v>57</v>
      </c>
    </row>
    <row r="1800" spans="1:22" s="841" customFormat="1" ht="15" x14ac:dyDescent="0.25">
      <c r="A1800" s="841" t="s">
        <v>189</v>
      </c>
      <c r="E1800" s="1690" t="s">
        <v>32</v>
      </c>
      <c r="F1800" s="1690"/>
      <c r="G1800" s="1408" t="s">
        <v>23</v>
      </c>
      <c r="H1800" s="391">
        <v>0.25</v>
      </c>
      <c r="K1800" s="841" t="s">
        <v>3448</v>
      </c>
      <c r="L1800" s="841" t="s">
        <v>3046</v>
      </c>
      <c r="M1800" s="1357"/>
      <c r="P1800" s="841" t="s">
        <v>3456</v>
      </c>
      <c r="Q1800" s="1357"/>
      <c r="S1800" s="1420"/>
      <c r="T1800" s="1420"/>
      <c r="V1800" s="1357">
        <v>63</v>
      </c>
    </row>
    <row r="1801" spans="1:22" s="841" customFormat="1" x14ac:dyDescent="0.25">
      <c r="A1801" s="841" t="s">
        <v>189</v>
      </c>
      <c r="E1801" s="1909" t="s">
        <v>617</v>
      </c>
      <c r="F1801" s="1923"/>
      <c r="G1801" s="1923"/>
      <c r="H1801" s="1923"/>
      <c r="K1801" s="841" t="s">
        <v>3457</v>
      </c>
      <c r="M1801" s="1357"/>
      <c r="Q1801" s="1357"/>
      <c r="S1801" s="1420"/>
      <c r="T1801" s="1420"/>
      <c r="V1801" s="1357">
        <v>47</v>
      </c>
    </row>
    <row r="1802" spans="1:22" s="841" customFormat="1" ht="15" x14ac:dyDescent="0.25">
      <c r="A1802" s="841" t="s">
        <v>189</v>
      </c>
      <c r="E1802" s="1689" t="s">
        <v>4193</v>
      </c>
      <c r="F1802" s="1689"/>
      <c r="G1802" s="1689"/>
      <c r="H1802" s="1689"/>
      <c r="K1802" s="841" t="s">
        <v>3457</v>
      </c>
      <c r="M1802" s="1357"/>
      <c r="Q1802" s="1357"/>
      <c r="S1802" s="1420"/>
      <c r="T1802" s="1420"/>
      <c r="V1802" s="1357">
        <v>617</v>
      </c>
    </row>
    <row r="1803" spans="1:22" s="841" customFormat="1" ht="15" x14ac:dyDescent="0.25">
      <c r="A1803" s="841" t="s">
        <v>189</v>
      </c>
      <c r="E1803" s="1916" t="s">
        <v>3061</v>
      </c>
      <c r="F1803" s="1689"/>
      <c r="G1803" s="1689"/>
      <c r="H1803" s="1689"/>
      <c r="K1803" s="841" t="s">
        <v>3107</v>
      </c>
      <c r="M1803" s="1357"/>
      <c r="Q1803" s="1357"/>
      <c r="S1803" s="1420"/>
      <c r="T1803" s="1420"/>
      <c r="V1803" s="1357">
        <v>11</v>
      </c>
    </row>
    <row r="1804" spans="1:22" s="841" customFormat="1" ht="15" x14ac:dyDescent="0.25">
      <c r="A1804" s="841" t="s">
        <v>189</v>
      </c>
      <c r="E1804" s="1689" t="s">
        <v>3063</v>
      </c>
      <c r="F1804" s="1689"/>
      <c r="G1804" s="1689"/>
      <c r="H1804" s="1689"/>
      <c r="K1804" s="841" t="s">
        <v>3457</v>
      </c>
      <c r="M1804" s="1357"/>
      <c r="Q1804" s="1357"/>
      <c r="S1804" s="1420"/>
      <c r="T1804" s="1420"/>
      <c r="V1804" s="1357">
        <v>280</v>
      </c>
    </row>
    <row r="1805" spans="1:22" s="841" customFormat="1" ht="15" x14ac:dyDescent="0.25">
      <c r="A1805" s="841" t="s">
        <v>189</v>
      </c>
      <c r="E1805" s="1689" t="s">
        <v>3064</v>
      </c>
      <c r="F1805" s="1689"/>
      <c r="G1805" s="1689"/>
      <c r="H1805" s="1689"/>
      <c r="K1805" s="841" t="s">
        <v>3457</v>
      </c>
      <c r="M1805" s="1357"/>
      <c r="Q1805" s="1357"/>
      <c r="S1805" s="1420"/>
      <c r="T1805" s="1420"/>
      <c r="V1805" s="1357">
        <v>411</v>
      </c>
    </row>
    <row r="1806" spans="1:22" s="841" customFormat="1" ht="15" x14ac:dyDescent="0.25">
      <c r="A1806" s="841" t="s">
        <v>189</v>
      </c>
      <c r="E1806" s="1689" t="s">
        <v>3199</v>
      </c>
      <c r="F1806" s="1689"/>
      <c r="G1806" s="1689"/>
      <c r="H1806" s="1689"/>
      <c r="K1806" s="841" t="s">
        <v>3457</v>
      </c>
      <c r="M1806" s="1357"/>
      <c r="Q1806" s="1357"/>
      <c r="S1806" s="1420"/>
      <c r="T1806" s="1420"/>
      <c r="V1806" s="1357">
        <v>386</v>
      </c>
    </row>
    <row r="1807" spans="1:22" s="841" customFormat="1" ht="15" x14ac:dyDescent="0.25">
      <c r="A1807" s="841" t="s">
        <v>189</v>
      </c>
      <c r="E1807" s="1689" t="s">
        <v>3390</v>
      </c>
      <c r="F1807" s="1689"/>
      <c r="G1807" s="1689"/>
      <c r="H1807" s="1689"/>
      <c r="K1807" s="841" t="s">
        <v>3457</v>
      </c>
      <c r="M1807" s="1357"/>
      <c r="Q1807" s="1357"/>
      <c r="S1807" s="1420"/>
      <c r="T1807" s="1420"/>
      <c r="V1807" s="1357">
        <v>274</v>
      </c>
    </row>
    <row r="1808" spans="1:22" s="841" customFormat="1" ht="15" x14ac:dyDescent="0.25">
      <c r="A1808" s="841" t="s">
        <v>189</v>
      </c>
      <c r="E1808" s="1694" t="s">
        <v>3067</v>
      </c>
      <c r="F1808" s="1907"/>
      <c r="G1808" s="1907"/>
      <c r="H1808" s="1907"/>
      <c r="K1808" s="841" t="s">
        <v>3108</v>
      </c>
      <c r="M1808" s="1357"/>
      <c r="Q1808" s="1357"/>
      <c r="S1808" s="1420"/>
      <c r="T1808" s="1420"/>
      <c r="V1808" s="1357">
        <v>46</v>
      </c>
    </row>
    <row r="1809" spans="1:22" s="841" customFormat="1" ht="15" x14ac:dyDescent="0.25">
      <c r="A1809" s="841" t="s">
        <v>189</v>
      </c>
      <c r="E1809" s="1690" t="s">
        <v>12</v>
      </c>
      <c r="F1809" s="1690"/>
      <c r="G1809" s="1408" t="s">
        <v>23</v>
      </c>
      <c r="H1809" s="391">
        <v>5.38</v>
      </c>
      <c r="K1809" s="841" t="s">
        <v>3457</v>
      </c>
      <c r="L1809" s="841" t="s">
        <v>442</v>
      </c>
      <c r="M1809" s="1357"/>
      <c r="P1809" s="841" t="s">
        <v>3458</v>
      </c>
      <c r="Q1809" s="1357"/>
      <c r="S1809" s="1420"/>
      <c r="T1809" s="1420"/>
      <c r="V1809" s="1357">
        <v>31</v>
      </c>
    </row>
    <row r="1810" spans="1:22" s="841" customFormat="1" ht="15" x14ac:dyDescent="0.25">
      <c r="A1810" s="841" t="s">
        <v>189</v>
      </c>
      <c r="E1810" s="1690" t="s">
        <v>84</v>
      </c>
      <c r="F1810" s="1690"/>
      <c r="G1810" s="1408" t="s">
        <v>24</v>
      </c>
      <c r="H1810" s="393">
        <v>1.24E-2</v>
      </c>
      <c r="K1810" s="841" t="s">
        <v>3457</v>
      </c>
      <c r="L1810" s="841" t="s">
        <v>442</v>
      </c>
      <c r="M1810" s="1357"/>
      <c r="P1810" s="841" t="s">
        <v>3459</v>
      </c>
      <c r="Q1810" s="1357"/>
      <c r="S1810" s="1420"/>
      <c r="T1810" s="1420"/>
      <c r="V1810" s="1357">
        <v>28</v>
      </c>
    </row>
    <row r="1811" spans="1:22" s="841" customFormat="1" ht="15" x14ac:dyDescent="0.25">
      <c r="A1811" s="841" t="s">
        <v>189</v>
      </c>
      <c r="E1811" s="1690" t="s">
        <v>18</v>
      </c>
      <c r="F1811" s="1690"/>
      <c r="G1811" s="1408" t="s">
        <v>24</v>
      </c>
      <c r="H1811" s="393">
        <v>1E-4</v>
      </c>
      <c r="K1811" s="841" t="s">
        <v>3457</v>
      </c>
      <c r="L1811" s="841" t="s">
        <v>443</v>
      </c>
      <c r="M1811" s="1357"/>
      <c r="P1811" s="841" t="s">
        <v>3460</v>
      </c>
      <c r="Q1811" s="1357"/>
      <c r="S1811" s="1420"/>
      <c r="T1811" s="1420"/>
      <c r="V1811" s="1357">
        <v>24</v>
      </c>
    </row>
    <row r="1812" spans="1:22" s="841" customFormat="1" ht="15" x14ac:dyDescent="0.25">
      <c r="A1812" s="841" t="s">
        <v>189</v>
      </c>
      <c r="E1812" s="1690" t="s">
        <v>5130</v>
      </c>
      <c r="F1812" s="1908"/>
      <c r="G1812" s="1408" t="s">
        <v>24</v>
      </c>
      <c r="H1812" s="393">
        <v>-8.9999999999999998E-4</v>
      </c>
      <c r="K1812" s="841" t="s">
        <v>3457</v>
      </c>
      <c r="L1812" s="841" t="s">
        <v>443</v>
      </c>
      <c r="M1812" s="1357"/>
      <c r="P1812" s="841" t="s">
        <v>3527</v>
      </c>
      <c r="Q1812" s="1357"/>
      <c r="S1812" s="1420"/>
      <c r="T1812" s="1420">
        <v>43585</v>
      </c>
      <c r="V1812" s="1357">
        <v>96</v>
      </c>
    </row>
    <row r="1813" spans="1:22" s="841" customFormat="1" ht="15" x14ac:dyDescent="0.25">
      <c r="A1813" s="841" t="s">
        <v>189</v>
      </c>
      <c r="E1813" s="1690" t="s">
        <v>221</v>
      </c>
      <c r="F1813" s="1690"/>
      <c r="G1813" s="1408" t="s">
        <v>24</v>
      </c>
      <c r="H1813" s="393">
        <v>6.4999999999999997E-3</v>
      </c>
      <c r="K1813" s="841" t="s">
        <v>3457</v>
      </c>
      <c r="L1813" s="841" t="s">
        <v>444</v>
      </c>
      <c r="M1813" s="1357"/>
      <c r="P1813" s="841" t="s">
        <v>3462</v>
      </c>
      <c r="Q1813" s="1357"/>
      <c r="S1813" s="1420"/>
      <c r="T1813" s="1420"/>
      <c r="V1813" s="1357">
        <v>47</v>
      </c>
    </row>
    <row r="1814" spans="1:22" s="841" customFormat="1" ht="15" x14ac:dyDescent="0.25">
      <c r="A1814" s="841" t="s">
        <v>189</v>
      </c>
      <c r="E1814" s="1690" t="s">
        <v>217</v>
      </c>
      <c r="F1814" s="1690"/>
      <c r="G1814" s="1408" t="s">
        <v>24</v>
      </c>
      <c r="H1814" s="393">
        <v>6.1000000000000004E-3</v>
      </c>
      <c r="K1814" s="841" t="s">
        <v>3457</v>
      </c>
      <c r="L1814" s="841" t="s">
        <v>444</v>
      </c>
      <c r="M1814" s="1357"/>
      <c r="P1814" s="841" t="s">
        <v>3463</v>
      </c>
      <c r="Q1814" s="1357"/>
      <c r="S1814" s="1420"/>
      <c r="T1814" s="1420"/>
      <c r="V1814" s="1357">
        <v>74</v>
      </c>
    </row>
    <row r="1815" spans="1:22" s="841" customFormat="1" ht="15" x14ac:dyDescent="0.25">
      <c r="A1815" s="841" t="s">
        <v>189</v>
      </c>
      <c r="E1815" s="1694" t="s">
        <v>3079</v>
      </c>
      <c r="F1815" s="1690"/>
      <c r="G1815" s="1690"/>
      <c r="H1815" s="1690"/>
      <c r="K1815" s="841" t="s">
        <v>3111</v>
      </c>
      <c r="M1815" s="1357"/>
      <c r="Q1815" s="1357"/>
      <c r="S1815" s="1420"/>
      <c r="T1815" s="1420"/>
      <c r="V1815" s="1357">
        <v>48</v>
      </c>
    </row>
    <row r="1816" spans="1:22" s="841" customFormat="1" ht="15" x14ac:dyDescent="0.25">
      <c r="A1816" s="841" t="s">
        <v>189</v>
      </c>
      <c r="E1816" s="1690" t="s">
        <v>2449</v>
      </c>
      <c r="F1816" s="1690"/>
      <c r="G1816" s="1408" t="s">
        <v>24</v>
      </c>
      <c r="H1816" s="393">
        <v>3.2000000000000002E-3</v>
      </c>
      <c r="K1816" s="841" t="s">
        <v>3457</v>
      </c>
      <c r="L1816" s="841" t="s">
        <v>3046</v>
      </c>
      <c r="M1816" s="1357"/>
      <c r="P1816" s="841" t="s">
        <v>3464</v>
      </c>
      <c r="Q1816" s="1357"/>
      <c r="S1816" s="1420"/>
      <c r="T1816" s="1420"/>
      <c r="V1816" s="1357">
        <v>55</v>
      </c>
    </row>
    <row r="1817" spans="1:22" s="841" customFormat="1" ht="15" x14ac:dyDescent="0.25">
      <c r="A1817" s="841" t="s">
        <v>189</v>
      </c>
      <c r="E1817" s="1690" t="s">
        <v>2450</v>
      </c>
      <c r="F1817" s="1690"/>
      <c r="G1817" s="1408" t="s">
        <v>24</v>
      </c>
      <c r="H1817" s="393">
        <v>4.0000000000000002E-4</v>
      </c>
      <c r="K1817" s="841" t="s">
        <v>3457</v>
      </c>
      <c r="L1817" s="841" t="s">
        <v>3046</v>
      </c>
      <c r="M1817" s="1357"/>
      <c r="P1817" s="841" t="s">
        <v>3464</v>
      </c>
      <c r="Q1817" s="1357"/>
      <c r="S1817" s="1420"/>
      <c r="T1817" s="1420"/>
      <c r="V1817" s="1357">
        <v>65</v>
      </c>
    </row>
    <row r="1818" spans="1:22" s="841" customFormat="1" ht="15" x14ac:dyDescent="0.25">
      <c r="A1818" s="841" t="s">
        <v>189</v>
      </c>
      <c r="E1818" s="1690" t="s">
        <v>439</v>
      </c>
      <c r="F1818" s="1690"/>
      <c r="G1818" s="1408" t="s">
        <v>24</v>
      </c>
      <c r="H1818" s="393">
        <v>2.9999999999999997E-4</v>
      </c>
      <c r="K1818" s="841" t="s">
        <v>3457</v>
      </c>
      <c r="L1818" s="841" t="s">
        <v>3046</v>
      </c>
      <c r="M1818" s="1357"/>
      <c r="P1818" s="841" t="s">
        <v>3465</v>
      </c>
      <c r="Q1818" s="1357"/>
      <c r="S1818" s="1420"/>
      <c r="T1818" s="1420"/>
      <c r="V1818" s="1357">
        <v>57</v>
      </c>
    </row>
    <row r="1819" spans="1:22" s="841" customFormat="1" ht="15" x14ac:dyDescent="0.25">
      <c r="A1819" s="841" t="s">
        <v>189</v>
      </c>
      <c r="E1819" s="1690" t="s">
        <v>32</v>
      </c>
      <c r="F1819" s="1690"/>
      <c r="G1819" s="1408" t="s">
        <v>23</v>
      </c>
      <c r="H1819" s="391">
        <v>0.25</v>
      </c>
      <c r="K1819" s="841" t="s">
        <v>3457</v>
      </c>
      <c r="L1819" s="841" t="s">
        <v>3046</v>
      </c>
      <c r="M1819" s="1357"/>
      <c r="P1819" s="841" t="s">
        <v>3466</v>
      </c>
      <c r="Q1819" s="1357"/>
      <c r="S1819" s="1420"/>
      <c r="T1819" s="1420"/>
      <c r="V1819" s="1357">
        <v>63</v>
      </c>
    </row>
    <row r="1820" spans="1:22" s="841" customFormat="1" x14ac:dyDescent="0.25">
      <c r="A1820" s="841" t="s">
        <v>189</v>
      </c>
      <c r="E1820" s="1909" t="s">
        <v>629</v>
      </c>
      <c r="F1820" s="1923"/>
      <c r="G1820" s="1923"/>
      <c r="H1820" s="1923"/>
      <c r="K1820" s="841" t="s">
        <v>3467</v>
      </c>
      <c r="M1820" s="1357"/>
      <c r="Q1820" s="1357"/>
      <c r="S1820" s="1420"/>
      <c r="T1820" s="1420"/>
      <c r="V1820" s="1357">
        <v>40</v>
      </c>
    </row>
    <row r="1821" spans="1:22" s="841" customFormat="1" ht="15" x14ac:dyDescent="0.25">
      <c r="A1821" s="841" t="s">
        <v>189</v>
      </c>
      <c r="E1821" s="1689" t="s">
        <v>3251</v>
      </c>
      <c r="F1821" s="1689"/>
      <c r="G1821" s="1689"/>
      <c r="H1821" s="1689"/>
      <c r="K1821" s="841" t="s">
        <v>3467</v>
      </c>
      <c r="M1821" s="1357"/>
      <c r="Q1821" s="1357"/>
      <c r="S1821" s="1420"/>
      <c r="T1821" s="1420"/>
      <c r="V1821" s="1357">
        <v>253</v>
      </c>
    </row>
    <row r="1822" spans="1:22" s="841" customFormat="1" ht="15" x14ac:dyDescent="0.25">
      <c r="A1822" s="841" t="s">
        <v>189</v>
      </c>
      <c r="E1822" s="1916" t="s">
        <v>3061</v>
      </c>
      <c r="F1822" s="1689"/>
      <c r="G1822" s="1689"/>
      <c r="H1822" s="1689"/>
      <c r="K1822" s="841" t="s">
        <v>3114</v>
      </c>
      <c r="M1822" s="1357"/>
      <c r="Q1822" s="1357"/>
      <c r="S1822" s="1420"/>
      <c r="T1822" s="1420"/>
      <c r="V1822" s="1357">
        <v>11</v>
      </c>
    </row>
    <row r="1823" spans="1:22" s="841" customFormat="1" ht="15" x14ac:dyDescent="0.25">
      <c r="A1823" s="841" t="s">
        <v>189</v>
      </c>
      <c r="E1823" s="1689" t="s">
        <v>3063</v>
      </c>
      <c r="F1823" s="1689"/>
      <c r="G1823" s="1689"/>
      <c r="H1823" s="1689"/>
      <c r="K1823" s="841" t="s">
        <v>3467</v>
      </c>
      <c r="M1823" s="1357"/>
      <c r="Q1823" s="1357"/>
      <c r="S1823" s="1420"/>
      <c r="T1823" s="1420"/>
      <c r="V1823" s="1357">
        <v>280</v>
      </c>
    </row>
    <row r="1824" spans="1:22" s="841" customFormat="1" ht="15" x14ac:dyDescent="0.25">
      <c r="A1824" s="841" t="s">
        <v>189</v>
      </c>
      <c r="E1824" s="1689" t="s">
        <v>3064</v>
      </c>
      <c r="F1824" s="1689"/>
      <c r="G1824" s="1689"/>
      <c r="H1824" s="1689"/>
      <c r="K1824" s="841" t="s">
        <v>3467</v>
      </c>
      <c r="M1824" s="1357"/>
      <c r="Q1824" s="1357"/>
      <c r="S1824" s="1420"/>
      <c r="T1824" s="1420"/>
      <c r="V1824" s="1357">
        <v>411</v>
      </c>
    </row>
    <row r="1825" spans="1:22" s="841" customFormat="1" ht="15" x14ac:dyDescent="0.25">
      <c r="A1825" s="841" t="s">
        <v>189</v>
      </c>
      <c r="E1825" s="1689" t="s">
        <v>3199</v>
      </c>
      <c r="F1825" s="1689"/>
      <c r="G1825" s="1689"/>
      <c r="H1825" s="1689"/>
      <c r="K1825" s="841" t="s">
        <v>3467</v>
      </c>
      <c r="M1825" s="1357"/>
      <c r="Q1825" s="1357"/>
      <c r="S1825" s="1420"/>
      <c r="T1825" s="1420"/>
      <c r="V1825" s="1357">
        <v>386</v>
      </c>
    </row>
    <row r="1826" spans="1:22" s="841" customFormat="1" ht="15" x14ac:dyDescent="0.25">
      <c r="A1826" s="841" t="s">
        <v>189</v>
      </c>
      <c r="E1826" s="1689" t="s">
        <v>3390</v>
      </c>
      <c r="F1826" s="1689"/>
      <c r="G1826" s="1689"/>
      <c r="H1826" s="1689"/>
      <c r="K1826" s="841" t="s">
        <v>3467</v>
      </c>
      <c r="M1826" s="1357"/>
      <c r="Q1826" s="1357"/>
      <c r="S1826" s="1420"/>
      <c r="T1826" s="1420"/>
      <c r="V1826" s="1357">
        <v>274</v>
      </c>
    </row>
    <row r="1827" spans="1:22" s="841" customFormat="1" ht="15" x14ac:dyDescent="0.25">
      <c r="A1827" s="841" t="s">
        <v>189</v>
      </c>
      <c r="E1827" s="1694" t="s">
        <v>3067</v>
      </c>
      <c r="F1827" s="1907"/>
      <c r="G1827" s="1907"/>
      <c r="H1827" s="1907"/>
      <c r="K1827" s="841" t="s">
        <v>3115</v>
      </c>
      <c r="M1827" s="1357"/>
      <c r="Q1827" s="1357"/>
      <c r="S1827" s="1420"/>
      <c r="T1827" s="1420"/>
      <c r="V1827" s="1357">
        <v>46</v>
      </c>
    </row>
    <row r="1828" spans="1:22" s="841" customFormat="1" ht="15" x14ac:dyDescent="0.25">
      <c r="A1828" s="841" t="s">
        <v>189</v>
      </c>
      <c r="E1828" s="1690" t="s">
        <v>12</v>
      </c>
      <c r="F1828" s="1690"/>
      <c r="G1828" s="1408" t="s">
        <v>23</v>
      </c>
      <c r="H1828" s="391">
        <v>4.95</v>
      </c>
      <c r="K1828" s="841" t="s">
        <v>3467</v>
      </c>
      <c r="L1828" s="841" t="s">
        <v>442</v>
      </c>
      <c r="M1828" s="1357"/>
      <c r="P1828" s="841" t="s">
        <v>3468</v>
      </c>
      <c r="Q1828" s="1357"/>
      <c r="S1828" s="1420"/>
      <c r="T1828" s="1420"/>
      <c r="V1828" s="1357">
        <v>31</v>
      </c>
    </row>
    <row r="1829" spans="1:22" s="841" customFormat="1" ht="15" x14ac:dyDescent="0.25">
      <c r="A1829" s="841" t="s">
        <v>189</v>
      </c>
      <c r="E1829" s="1690" t="s">
        <v>84</v>
      </c>
      <c r="F1829" s="1690"/>
      <c r="G1829" s="1408" t="s">
        <v>33</v>
      </c>
      <c r="H1829" s="393">
        <v>17.2834</v>
      </c>
      <c r="K1829" s="841" t="s">
        <v>3467</v>
      </c>
      <c r="L1829" s="841" t="s">
        <v>442</v>
      </c>
      <c r="M1829" s="1357"/>
      <c r="P1829" s="841" t="s">
        <v>3469</v>
      </c>
      <c r="Q1829" s="1357"/>
      <c r="S1829" s="1420"/>
      <c r="T1829" s="1420"/>
      <c r="V1829" s="1357">
        <v>28</v>
      </c>
    </row>
    <row r="1830" spans="1:22" s="841" customFormat="1" ht="15" x14ac:dyDescent="0.25">
      <c r="A1830" s="841" t="s">
        <v>189</v>
      </c>
      <c r="E1830" s="1690" t="s">
        <v>18</v>
      </c>
      <c r="F1830" s="1690"/>
      <c r="G1830" s="1408" t="s">
        <v>33</v>
      </c>
      <c r="H1830" s="393">
        <v>2.01E-2</v>
      </c>
      <c r="K1830" s="841" t="s">
        <v>3467</v>
      </c>
      <c r="L1830" s="841" t="s">
        <v>443</v>
      </c>
      <c r="M1830" s="1357"/>
      <c r="P1830" s="841" t="s">
        <v>3470</v>
      </c>
      <c r="Q1830" s="1357"/>
      <c r="S1830" s="1420"/>
      <c r="T1830" s="1420"/>
      <c r="V1830" s="1357">
        <v>24</v>
      </c>
    </row>
    <row r="1831" spans="1:22" s="841" customFormat="1" ht="15" x14ac:dyDescent="0.25">
      <c r="A1831" s="841" t="s">
        <v>189</v>
      </c>
      <c r="E1831" s="1690" t="s">
        <v>5129</v>
      </c>
      <c r="F1831" s="1908"/>
      <c r="G1831" s="1408" t="s">
        <v>24</v>
      </c>
      <c r="H1831" s="393">
        <v>-4.1999999999999997E-3</v>
      </c>
      <c r="K1831" s="841" t="s">
        <v>3467</v>
      </c>
      <c r="L1831" s="841" t="s">
        <v>443</v>
      </c>
      <c r="M1831" s="1357"/>
      <c r="P1831" s="841" t="s">
        <v>4194</v>
      </c>
      <c r="Q1831" s="1357"/>
      <c r="S1831" s="1420"/>
      <c r="T1831" s="1420">
        <v>43585</v>
      </c>
      <c r="V1831" s="1357">
        <v>139</v>
      </c>
    </row>
    <row r="1832" spans="1:22" s="841" customFormat="1" ht="15" x14ac:dyDescent="0.25">
      <c r="A1832" s="841" t="s">
        <v>189</v>
      </c>
      <c r="E1832" s="1690" t="s">
        <v>5130</v>
      </c>
      <c r="F1832" s="1908"/>
      <c r="G1832" s="1408" t="s">
        <v>33</v>
      </c>
      <c r="H1832" s="393">
        <v>-0.32069999999999999</v>
      </c>
      <c r="K1832" s="841" t="s">
        <v>3467</v>
      </c>
      <c r="L1832" s="841" t="s">
        <v>443</v>
      </c>
      <c r="M1832" s="1357"/>
      <c r="P1832" s="841" t="s">
        <v>3880</v>
      </c>
      <c r="Q1832" s="1357"/>
      <c r="S1832" s="1420"/>
      <c r="T1832" s="1420">
        <v>43585</v>
      </c>
      <c r="V1832" s="1357">
        <v>96</v>
      </c>
    </row>
    <row r="1833" spans="1:22" s="841" customFormat="1" ht="15" x14ac:dyDescent="0.25">
      <c r="A1833" s="841" t="s">
        <v>189</v>
      </c>
      <c r="E1833" s="1690" t="s">
        <v>221</v>
      </c>
      <c r="F1833" s="1690"/>
      <c r="G1833" s="1408" t="s">
        <v>33</v>
      </c>
      <c r="H1833" s="393">
        <v>1.9550000000000001</v>
      </c>
      <c r="K1833" s="841" t="s">
        <v>3467</v>
      </c>
      <c r="L1833" s="841" t="s">
        <v>444</v>
      </c>
      <c r="M1833" s="1357"/>
      <c r="P1833" s="841" t="s">
        <v>3472</v>
      </c>
      <c r="Q1833" s="1357"/>
      <c r="S1833" s="1420"/>
      <c r="T1833" s="1420"/>
      <c r="V1833" s="1357">
        <v>47</v>
      </c>
    </row>
    <row r="1834" spans="1:22" s="841" customFormat="1" ht="15" x14ac:dyDescent="0.25">
      <c r="A1834" s="841" t="s">
        <v>189</v>
      </c>
      <c r="E1834" s="1690" t="s">
        <v>217</v>
      </c>
      <c r="F1834" s="1690"/>
      <c r="G1834" s="1408" t="s">
        <v>33</v>
      </c>
      <c r="H1834" s="393">
        <v>1.8829</v>
      </c>
      <c r="K1834" s="841" t="s">
        <v>3467</v>
      </c>
      <c r="L1834" s="841" t="s">
        <v>444</v>
      </c>
      <c r="M1834" s="1357"/>
      <c r="P1834" s="841" t="s">
        <v>3473</v>
      </c>
      <c r="Q1834" s="1357"/>
      <c r="S1834" s="1420"/>
      <c r="T1834" s="1420"/>
      <c r="V1834" s="1357">
        <v>74</v>
      </c>
    </row>
    <row r="1835" spans="1:22" s="841" customFormat="1" ht="15" x14ac:dyDescent="0.25">
      <c r="A1835" s="841" t="s">
        <v>189</v>
      </c>
      <c r="E1835" s="1694" t="s">
        <v>3079</v>
      </c>
      <c r="F1835" s="1690"/>
      <c r="G1835" s="1690"/>
      <c r="H1835" s="1690"/>
      <c r="K1835" s="841" t="s">
        <v>3122</v>
      </c>
      <c r="M1835" s="1357"/>
      <c r="Q1835" s="1357"/>
      <c r="S1835" s="1420"/>
      <c r="T1835" s="1420"/>
      <c r="V1835" s="1357">
        <v>48</v>
      </c>
    </row>
    <row r="1836" spans="1:22" s="841" customFormat="1" ht="15" x14ac:dyDescent="0.25">
      <c r="A1836" s="841" t="s">
        <v>189</v>
      </c>
      <c r="E1836" s="1690" t="s">
        <v>2449</v>
      </c>
      <c r="F1836" s="1690"/>
      <c r="G1836" s="1408" t="s">
        <v>24</v>
      </c>
      <c r="H1836" s="393">
        <v>3.2000000000000002E-3</v>
      </c>
      <c r="K1836" s="841" t="s">
        <v>3467</v>
      </c>
      <c r="L1836" s="841" t="s">
        <v>3046</v>
      </c>
      <c r="M1836" s="1357"/>
      <c r="P1836" s="841" t="s">
        <v>3474</v>
      </c>
      <c r="Q1836" s="1357"/>
      <c r="S1836" s="1420"/>
      <c r="T1836" s="1420"/>
      <c r="V1836" s="1357">
        <v>55</v>
      </c>
    </row>
    <row r="1837" spans="1:22" s="841" customFormat="1" ht="15" x14ac:dyDescent="0.25">
      <c r="A1837" s="841" t="s">
        <v>189</v>
      </c>
      <c r="E1837" s="1690" t="s">
        <v>2450</v>
      </c>
      <c r="F1837" s="1690"/>
      <c r="G1837" s="1408" t="s">
        <v>24</v>
      </c>
      <c r="H1837" s="393">
        <v>4.0000000000000002E-4</v>
      </c>
      <c r="K1837" s="841" t="s">
        <v>3467</v>
      </c>
      <c r="L1837" s="841" t="s">
        <v>3046</v>
      </c>
      <c r="M1837" s="1357"/>
      <c r="P1837" s="841" t="s">
        <v>3474</v>
      </c>
      <c r="Q1837" s="1357"/>
      <c r="S1837" s="1420"/>
      <c r="T1837" s="1420"/>
      <c r="V1837" s="1357">
        <v>65</v>
      </c>
    </row>
    <row r="1838" spans="1:22" s="841" customFormat="1" ht="15" x14ac:dyDescent="0.25">
      <c r="A1838" s="841" t="s">
        <v>189</v>
      </c>
      <c r="E1838" s="1690" t="s">
        <v>439</v>
      </c>
      <c r="F1838" s="1690"/>
      <c r="G1838" s="1408" t="s">
        <v>24</v>
      </c>
      <c r="H1838" s="393">
        <v>2.9999999999999997E-4</v>
      </c>
      <c r="K1838" s="841" t="s">
        <v>3467</v>
      </c>
      <c r="L1838" s="841" t="s">
        <v>3046</v>
      </c>
      <c r="M1838" s="1357"/>
      <c r="P1838" s="841" t="s">
        <v>3475</v>
      </c>
      <c r="Q1838" s="1357"/>
      <c r="S1838" s="1420"/>
      <c r="T1838" s="1420"/>
      <c r="V1838" s="1357">
        <v>57</v>
      </c>
    </row>
    <row r="1839" spans="1:22" s="841" customFormat="1" ht="15" x14ac:dyDescent="0.25">
      <c r="A1839" s="841" t="s">
        <v>189</v>
      </c>
      <c r="E1839" s="1690" t="s">
        <v>32</v>
      </c>
      <c r="F1839" s="1690"/>
      <c r="G1839" s="1408" t="s">
        <v>23</v>
      </c>
      <c r="H1839" s="391">
        <v>0.25</v>
      </c>
      <c r="K1839" s="841" t="s">
        <v>3467</v>
      </c>
      <c r="L1839" s="841" t="s">
        <v>3046</v>
      </c>
      <c r="M1839" s="1357"/>
      <c r="P1839" s="841" t="s">
        <v>3476</v>
      </c>
      <c r="Q1839" s="1357"/>
      <c r="S1839" s="1420"/>
      <c r="T1839" s="1420"/>
      <c r="V1839" s="1357">
        <v>63</v>
      </c>
    </row>
    <row r="1840" spans="1:22" s="841" customFormat="1" x14ac:dyDescent="0.25">
      <c r="A1840" s="841" t="s">
        <v>189</v>
      </c>
      <c r="E1840" s="1909" t="s">
        <v>615</v>
      </c>
      <c r="F1840" s="1923"/>
      <c r="G1840" s="1923"/>
      <c r="H1840" s="1923"/>
      <c r="K1840" s="841" t="s">
        <v>3477</v>
      </c>
      <c r="M1840" s="1357"/>
      <c r="Q1840" s="1357"/>
      <c r="S1840" s="1420"/>
      <c r="T1840" s="1420"/>
      <c r="V1840" s="1357">
        <v>38</v>
      </c>
    </row>
    <row r="1841" spans="1:22" s="841" customFormat="1" ht="15" x14ac:dyDescent="0.25">
      <c r="A1841" s="841" t="s">
        <v>189</v>
      </c>
      <c r="E1841" s="1689" t="s">
        <v>4195</v>
      </c>
      <c r="F1841" s="1689"/>
      <c r="G1841" s="1689"/>
      <c r="H1841" s="1689"/>
      <c r="K1841" s="841" t="s">
        <v>3477</v>
      </c>
      <c r="M1841" s="1357"/>
      <c r="Q1841" s="1357"/>
      <c r="S1841" s="1420"/>
      <c r="T1841" s="1420"/>
      <c r="V1841" s="1357">
        <v>411</v>
      </c>
    </row>
    <row r="1842" spans="1:22" s="841" customFormat="1" ht="15" x14ac:dyDescent="0.25">
      <c r="A1842" s="841" t="s">
        <v>189</v>
      </c>
      <c r="E1842" s="1916" t="s">
        <v>3061</v>
      </c>
      <c r="F1842" s="1689"/>
      <c r="G1842" s="1689"/>
      <c r="H1842" s="1689"/>
      <c r="K1842" s="841" t="s">
        <v>3128</v>
      </c>
      <c r="M1842" s="1357"/>
      <c r="Q1842" s="1357"/>
      <c r="S1842" s="1420"/>
      <c r="T1842" s="1420"/>
      <c r="V1842" s="1357">
        <v>11</v>
      </c>
    </row>
    <row r="1843" spans="1:22" s="841" customFormat="1" ht="15" x14ac:dyDescent="0.25">
      <c r="A1843" s="841" t="s">
        <v>189</v>
      </c>
      <c r="E1843" s="1689" t="s">
        <v>3063</v>
      </c>
      <c r="F1843" s="1689"/>
      <c r="G1843" s="1689"/>
      <c r="H1843" s="1689"/>
      <c r="K1843" s="841" t="s">
        <v>3477</v>
      </c>
      <c r="M1843" s="1357"/>
      <c r="Q1843" s="1357"/>
      <c r="S1843" s="1420"/>
      <c r="T1843" s="1420"/>
      <c r="V1843" s="1357">
        <v>280</v>
      </c>
    </row>
    <row r="1844" spans="1:22" s="841" customFormat="1" ht="15" x14ac:dyDescent="0.25">
      <c r="A1844" s="841" t="s">
        <v>189</v>
      </c>
      <c r="E1844" s="1689" t="s">
        <v>3064</v>
      </c>
      <c r="F1844" s="1689"/>
      <c r="G1844" s="1689"/>
      <c r="H1844" s="1689"/>
      <c r="K1844" s="841" t="s">
        <v>3477</v>
      </c>
      <c r="M1844" s="1357"/>
      <c r="Q1844" s="1357"/>
      <c r="S1844" s="1420"/>
      <c r="T1844" s="1420"/>
      <c r="V1844" s="1357">
        <v>411</v>
      </c>
    </row>
    <row r="1845" spans="1:22" s="841" customFormat="1" ht="15" x14ac:dyDescent="0.25">
      <c r="A1845" s="841" t="s">
        <v>189</v>
      </c>
      <c r="E1845" s="1689" t="s">
        <v>3199</v>
      </c>
      <c r="F1845" s="1689"/>
      <c r="G1845" s="1689"/>
      <c r="H1845" s="1689"/>
      <c r="K1845" s="841" t="s">
        <v>3477</v>
      </c>
      <c r="M1845" s="1357"/>
      <c r="Q1845" s="1357"/>
      <c r="S1845" s="1420"/>
      <c r="T1845" s="1420"/>
      <c r="V1845" s="1357">
        <v>386</v>
      </c>
    </row>
    <row r="1846" spans="1:22" s="841" customFormat="1" ht="15" x14ac:dyDescent="0.25">
      <c r="A1846" s="841" t="s">
        <v>189</v>
      </c>
      <c r="E1846" s="1689" t="s">
        <v>3390</v>
      </c>
      <c r="F1846" s="1689"/>
      <c r="G1846" s="1689"/>
      <c r="H1846" s="1689"/>
      <c r="K1846" s="841" t="s">
        <v>3477</v>
      </c>
      <c r="M1846" s="1357"/>
      <c r="Q1846" s="1357"/>
      <c r="S1846" s="1420"/>
      <c r="T1846" s="1420"/>
      <c r="V1846" s="1357">
        <v>274</v>
      </c>
    </row>
    <row r="1847" spans="1:22" s="841" customFormat="1" ht="15" x14ac:dyDescent="0.25">
      <c r="A1847" s="841" t="s">
        <v>189</v>
      </c>
      <c r="E1847" s="1694" t="s">
        <v>3067</v>
      </c>
      <c r="F1847" s="1907"/>
      <c r="G1847" s="1907"/>
      <c r="H1847" s="1907"/>
      <c r="K1847" s="841" t="s">
        <v>3130</v>
      </c>
      <c r="M1847" s="1357"/>
      <c r="Q1847" s="1357"/>
      <c r="S1847" s="1420"/>
      <c r="T1847" s="1420"/>
      <c r="V1847" s="1357">
        <v>46</v>
      </c>
    </row>
    <row r="1848" spans="1:22" s="841" customFormat="1" ht="15" x14ac:dyDescent="0.25">
      <c r="A1848" s="841" t="s">
        <v>189</v>
      </c>
      <c r="E1848" s="1690" t="s">
        <v>12</v>
      </c>
      <c r="F1848" s="1690"/>
      <c r="G1848" s="1408" t="s">
        <v>23</v>
      </c>
      <c r="H1848" s="391">
        <v>4.92</v>
      </c>
      <c r="K1848" s="841" t="s">
        <v>3477</v>
      </c>
      <c r="L1848" s="841" t="s">
        <v>442</v>
      </c>
      <c r="M1848" s="1357"/>
      <c r="P1848" s="841" t="s">
        <v>3478</v>
      </c>
      <c r="Q1848" s="1357"/>
      <c r="S1848" s="1420"/>
      <c r="T1848" s="1420"/>
      <c r="V1848" s="1357">
        <v>31</v>
      </c>
    </row>
    <row r="1849" spans="1:22" s="841" customFormat="1" ht="15" x14ac:dyDescent="0.25">
      <c r="A1849" s="841" t="s">
        <v>189</v>
      </c>
      <c r="E1849" s="1690" t="s">
        <v>84</v>
      </c>
      <c r="F1849" s="1690"/>
      <c r="G1849" s="1408" t="s">
        <v>33</v>
      </c>
      <c r="H1849" s="393">
        <v>26.384</v>
      </c>
      <c r="K1849" s="841" t="s">
        <v>3477</v>
      </c>
      <c r="L1849" s="841" t="s">
        <v>442</v>
      </c>
      <c r="M1849" s="1357"/>
      <c r="P1849" s="841" t="s">
        <v>3479</v>
      </c>
      <c r="Q1849" s="1357"/>
      <c r="S1849" s="1420"/>
      <c r="T1849" s="1420"/>
      <c r="V1849" s="1357">
        <v>28</v>
      </c>
    </row>
    <row r="1850" spans="1:22" s="841" customFormat="1" ht="15" x14ac:dyDescent="0.25">
      <c r="A1850" s="841" t="s">
        <v>189</v>
      </c>
      <c r="E1850" s="1690" t="s">
        <v>18</v>
      </c>
      <c r="F1850" s="1690"/>
      <c r="G1850" s="1408" t="s">
        <v>33</v>
      </c>
      <c r="H1850" s="393">
        <v>1.9699999999999999E-2</v>
      </c>
      <c r="K1850" s="841" t="s">
        <v>3477</v>
      </c>
      <c r="L1850" s="841" t="s">
        <v>443</v>
      </c>
      <c r="M1850" s="1357"/>
      <c r="P1850" s="841" t="s">
        <v>3480</v>
      </c>
      <c r="Q1850" s="1357"/>
      <c r="S1850" s="1420"/>
      <c r="T1850" s="1420"/>
      <c r="V1850" s="1357">
        <v>24</v>
      </c>
    </row>
    <row r="1851" spans="1:22" s="841" customFormat="1" ht="15" x14ac:dyDescent="0.25">
      <c r="A1851" s="841" t="s">
        <v>189</v>
      </c>
      <c r="E1851" s="1690" t="s">
        <v>5129</v>
      </c>
      <c r="F1851" s="1908"/>
      <c r="G1851" s="1408" t="s">
        <v>24</v>
      </c>
      <c r="H1851" s="393">
        <v>-4.1999999999999997E-3</v>
      </c>
      <c r="K1851" s="841" t="s">
        <v>3477</v>
      </c>
      <c r="L1851" s="841" t="s">
        <v>443</v>
      </c>
      <c r="M1851" s="1357"/>
      <c r="P1851" s="841" t="s">
        <v>4196</v>
      </c>
      <c r="Q1851" s="1357"/>
      <c r="S1851" s="1420"/>
      <c r="T1851" s="1420">
        <v>43585</v>
      </c>
      <c r="V1851" s="1357">
        <v>139</v>
      </c>
    </row>
    <row r="1852" spans="1:22" s="841" customFormat="1" ht="15" x14ac:dyDescent="0.25">
      <c r="A1852" s="841" t="s">
        <v>189</v>
      </c>
      <c r="E1852" s="1690" t="s">
        <v>5130</v>
      </c>
      <c r="F1852" s="1908"/>
      <c r="G1852" s="1408" t="s">
        <v>33</v>
      </c>
      <c r="H1852" s="393">
        <v>-0.29980000000000001</v>
      </c>
      <c r="K1852" s="841" t="s">
        <v>3477</v>
      </c>
      <c r="L1852" s="841" t="s">
        <v>443</v>
      </c>
      <c r="M1852" s="1357"/>
      <c r="P1852" s="841" t="s">
        <v>3882</v>
      </c>
      <c r="Q1852" s="1357"/>
      <c r="S1852" s="1420"/>
      <c r="T1852" s="1420">
        <v>43585</v>
      </c>
      <c r="V1852" s="1357">
        <v>96</v>
      </c>
    </row>
    <row r="1853" spans="1:22" s="841" customFormat="1" ht="15" x14ac:dyDescent="0.25">
      <c r="A1853" s="841" t="s">
        <v>189</v>
      </c>
      <c r="E1853" s="1690" t="s">
        <v>221</v>
      </c>
      <c r="F1853" s="1690"/>
      <c r="G1853" s="1408" t="s">
        <v>33</v>
      </c>
      <c r="H1853" s="393">
        <v>1.9454</v>
      </c>
      <c r="K1853" s="841" t="s">
        <v>3477</v>
      </c>
      <c r="L1853" s="841" t="s">
        <v>444</v>
      </c>
      <c r="M1853" s="1357"/>
      <c r="P1853" s="841" t="s">
        <v>3482</v>
      </c>
      <c r="Q1853" s="1357"/>
      <c r="S1853" s="1420"/>
      <c r="T1853" s="1420"/>
      <c r="V1853" s="1357">
        <v>47</v>
      </c>
    </row>
    <row r="1854" spans="1:22" s="841" customFormat="1" ht="15" x14ac:dyDescent="0.25">
      <c r="A1854" s="841" t="s">
        <v>189</v>
      </c>
      <c r="E1854" s="1690" t="s">
        <v>217</v>
      </c>
      <c r="F1854" s="1690"/>
      <c r="G1854" s="1408" t="s">
        <v>33</v>
      </c>
      <c r="H1854" s="393">
        <v>1.8443000000000001</v>
      </c>
      <c r="K1854" s="841" t="s">
        <v>3477</v>
      </c>
      <c r="L1854" s="841" t="s">
        <v>444</v>
      </c>
      <c r="M1854" s="1357"/>
      <c r="P1854" s="841" t="s">
        <v>3483</v>
      </c>
      <c r="Q1854" s="1357"/>
      <c r="S1854" s="1420"/>
      <c r="T1854" s="1420"/>
      <c r="V1854" s="1357">
        <v>74</v>
      </c>
    </row>
    <row r="1855" spans="1:22" s="841" customFormat="1" ht="15" x14ac:dyDescent="0.25">
      <c r="A1855" s="841" t="s">
        <v>189</v>
      </c>
      <c r="E1855" s="1694" t="s">
        <v>3079</v>
      </c>
      <c r="F1855" s="1690"/>
      <c r="G1855" s="1690"/>
      <c r="H1855" s="1690"/>
      <c r="K1855" s="841" t="s">
        <v>3260</v>
      </c>
      <c r="M1855" s="1357"/>
      <c r="Q1855" s="1357"/>
      <c r="S1855" s="1420"/>
      <c r="T1855" s="1420"/>
      <c r="V1855" s="1357">
        <v>48</v>
      </c>
    </row>
    <row r="1856" spans="1:22" s="841" customFormat="1" ht="15" x14ac:dyDescent="0.25">
      <c r="A1856" s="841" t="s">
        <v>189</v>
      </c>
      <c r="E1856" s="1690" t="s">
        <v>2449</v>
      </c>
      <c r="F1856" s="1690"/>
      <c r="G1856" s="1408" t="s">
        <v>24</v>
      </c>
      <c r="H1856" s="393">
        <v>3.2000000000000002E-3</v>
      </c>
      <c r="K1856" s="841" t="s">
        <v>3477</v>
      </c>
      <c r="L1856" s="841" t="s">
        <v>3046</v>
      </c>
      <c r="M1856" s="1357"/>
      <c r="P1856" s="841" t="s">
        <v>3484</v>
      </c>
      <c r="Q1856" s="1357"/>
      <c r="S1856" s="1420"/>
      <c r="T1856" s="1420"/>
      <c r="V1856" s="1357">
        <v>55</v>
      </c>
    </row>
    <row r="1857" spans="1:22" s="841" customFormat="1" ht="15" x14ac:dyDescent="0.25">
      <c r="A1857" s="841" t="s">
        <v>189</v>
      </c>
      <c r="E1857" s="1690" t="s">
        <v>2450</v>
      </c>
      <c r="F1857" s="1690"/>
      <c r="G1857" s="1408" t="s">
        <v>24</v>
      </c>
      <c r="H1857" s="393">
        <v>4.0000000000000002E-4</v>
      </c>
      <c r="K1857" s="841" t="s">
        <v>3477</v>
      </c>
      <c r="L1857" s="841" t="s">
        <v>3046</v>
      </c>
      <c r="M1857" s="1357"/>
      <c r="P1857" s="841" t="s">
        <v>3484</v>
      </c>
      <c r="Q1857" s="1357"/>
      <c r="S1857" s="1420"/>
      <c r="T1857" s="1420"/>
      <c r="V1857" s="1357">
        <v>65</v>
      </c>
    </row>
    <row r="1858" spans="1:22" s="841" customFormat="1" ht="15" x14ac:dyDescent="0.25">
      <c r="A1858" s="841" t="s">
        <v>189</v>
      </c>
      <c r="E1858" s="1690" t="s">
        <v>439</v>
      </c>
      <c r="F1858" s="1690"/>
      <c r="G1858" s="1408" t="s">
        <v>24</v>
      </c>
      <c r="H1858" s="393">
        <v>2.9999999999999997E-4</v>
      </c>
      <c r="K1858" s="841" t="s">
        <v>3477</v>
      </c>
      <c r="L1858" s="841" t="s">
        <v>3046</v>
      </c>
      <c r="M1858" s="1357"/>
      <c r="P1858" s="841" t="s">
        <v>3485</v>
      </c>
      <c r="Q1858" s="1357"/>
      <c r="S1858" s="1420"/>
      <c r="T1858" s="1420"/>
      <c r="V1858" s="1357">
        <v>57</v>
      </c>
    </row>
    <row r="1859" spans="1:22" s="841" customFormat="1" ht="15" x14ac:dyDescent="0.25">
      <c r="A1859" s="841" t="s">
        <v>189</v>
      </c>
      <c r="E1859" s="1690" t="s">
        <v>32</v>
      </c>
      <c r="F1859" s="1690"/>
      <c r="G1859" s="1408" t="s">
        <v>23</v>
      </c>
      <c r="H1859" s="391">
        <v>0.25</v>
      </c>
      <c r="K1859" s="841" t="s">
        <v>3477</v>
      </c>
      <c r="L1859" s="841" t="s">
        <v>3046</v>
      </c>
      <c r="M1859" s="1357"/>
      <c r="P1859" s="841" t="s">
        <v>3486</v>
      </c>
      <c r="Q1859" s="1357"/>
      <c r="S1859" s="1420"/>
      <c r="T1859" s="1420"/>
      <c r="V1859" s="1357">
        <v>63</v>
      </c>
    </row>
    <row r="1860" spans="1:22" s="841" customFormat="1" x14ac:dyDescent="0.25">
      <c r="A1860" s="841" t="s">
        <v>189</v>
      </c>
      <c r="E1860" s="1909" t="s">
        <v>618</v>
      </c>
      <c r="F1860" s="1923"/>
      <c r="G1860" s="1923"/>
      <c r="H1860" s="1923"/>
      <c r="K1860" s="841" t="s">
        <v>3487</v>
      </c>
      <c r="M1860" s="1357"/>
      <c r="Q1860" s="1357"/>
      <c r="S1860" s="1420"/>
      <c r="T1860" s="1420"/>
      <c r="V1860" s="1357">
        <v>31</v>
      </c>
    </row>
    <row r="1861" spans="1:22" s="841" customFormat="1" ht="15" x14ac:dyDescent="0.25">
      <c r="A1861" s="841" t="s">
        <v>189</v>
      </c>
      <c r="E1861" s="1689" t="s">
        <v>3372</v>
      </c>
      <c r="F1861" s="1689"/>
      <c r="G1861" s="1689"/>
      <c r="H1861" s="1689"/>
      <c r="K1861" s="841" t="s">
        <v>3487</v>
      </c>
      <c r="M1861" s="1357"/>
      <c r="Q1861" s="1357"/>
      <c r="S1861" s="1420"/>
      <c r="T1861" s="1420"/>
      <c r="V1861" s="1357">
        <v>285</v>
      </c>
    </row>
    <row r="1862" spans="1:22" s="841" customFormat="1" ht="15" x14ac:dyDescent="0.25">
      <c r="A1862" s="841" t="s">
        <v>189</v>
      </c>
      <c r="E1862" s="1916" t="s">
        <v>3061</v>
      </c>
      <c r="F1862" s="1689"/>
      <c r="G1862" s="1689"/>
      <c r="H1862" s="1689"/>
      <c r="K1862" s="841" t="s">
        <v>3266</v>
      </c>
      <c r="M1862" s="1357"/>
      <c r="Q1862" s="1357"/>
      <c r="S1862" s="1420"/>
      <c r="T1862" s="1420"/>
      <c r="V1862" s="1357">
        <v>11</v>
      </c>
    </row>
    <row r="1863" spans="1:22" s="841" customFormat="1" ht="15" x14ac:dyDescent="0.25">
      <c r="A1863" s="841" t="s">
        <v>189</v>
      </c>
      <c r="E1863" s="1689" t="s">
        <v>3063</v>
      </c>
      <c r="F1863" s="1689"/>
      <c r="G1863" s="1689"/>
      <c r="H1863" s="1689"/>
      <c r="K1863" s="841" t="s">
        <v>3487</v>
      </c>
      <c r="M1863" s="1357"/>
      <c r="Q1863" s="1357"/>
      <c r="S1863" s="1420"/>
      <c r="T1863" s="1420"/>
      <c r="V1863" s="1357">
        <v>280</v>
      </c>
    </row>
    <row r="1864" spans="1:22" s="841" customFormat="1" ht="15" x14ac:dyDescent="0.25">
      <c r="A1864" s="841" t="s">
        <v>189</v>
      </c>
      <c r="E1864" s="1689" t="s">
        <v>3064</v>
      </c>
      <c r="F1864" s="1689"/>
      <c r="G1864" s="1689"/>
      <c r="H1864" s="1689"/>
      <c r="K1864" s="841" t="s">
        <v>3487</v>
      </c>
      <c r="M1864" s="1357"/>
      <c r="Q1864" s="1357"/>
      <c r="S1864" s="1420"/>
      <c r="T1864" s="1420"/>
      <c r="V1864" s="1357">
        <v>411</v>
      </c>
    </row>
    <row r="1865" spans="1:22" s="841" customFormat="1" ht="15" x14ac:dyDescent="0.25">
      <c r="A1865" s="841" t="s">
        <v>189</v>
      </c>
      <c r="E1865" s="1689" t="s">
        <v>3129</v>
      </c>
      <c r="F1865" s="1689"/>
      <c r="G1865" s="1689"/>
      <c r="H1865" s="1689"/>
      <c r="K1865" s="841" t="s">
        <v>3487</v>
      </c>
      <c r="M1865" s="1357"/>
      <c r="Q1865" s="1357"/>
      <c r="S1865" s="1420"/>
      <c r="T1865" s="1420"/>
      <c r="V1865" s="1357">
        <v>211</v>
      </c>
    </row>
    <row r="1866" spans="1:22" s="841" customFormat="1" ht="15" x14ac:dyDescent="0.25">
      <c r="A1866" s="841" t="s">
        <v>189</v>
      </c>
      <c r="E1866" s="1689" t="s">
        <v>3390</v>
      </c>
      <c r="F1866" s="1689"/>
      <c r="G1866" s="1689"/>
      <c r="H1866" s="1689"/>
      <c r="K1866" s="841" t="s">
        <v>3487</v>
      </c>
      <c r="M1866" s="1357"/>
      <c r="Q1866" s="1357"/>
      <c r="S1866" s="1420"/>
      <c r="T1866" s="1420"/>
      <c r="V1866" s="1357">
        <v>274</v>
      </c>
    </row>
    <row r="1867" spans="1:22" s="841" customFormat="1" ht="15" x14ac:dyDescent="0.25">
      <c r="A1867" s="841" t="s">
        <v>189</v>
      </c>
      <c r="E1867" s="1694" t="s">
        <v>3067</v>
      </c>
      <c r="F1867" s="1907"/>
      <c r="G1867" s="1907"/>
      <c r="H1867" s="1907"/>
      <c r="K1867" s="841" t="s">
        <v>3267</v>
      </c>
      <c r="M1867" s="1357"/>
      <c r="Q1867" s="1357"/>
      <c r="S1867" s="1420"/>
      <c r="T1867" s="1420"/>
      <c r="V1867" s="1357">
        <v>46</v>
      </c>
    </row>
    <row r="1868" spans="1:22" s="841" customFormat="1" ht="15" x14ac:dyDescent="0.25">
      <c r="A1868" s="841" t="s">
        <v>189</v>
      </c>
      <c r="E1868" s="1690" t="s">
        <v>11</v>
      </c>
      <c r="F1868" s="1690"/>
      <c r="G1868" s="1408" t="s">
        <v>23</v>
      </c>
      <c r="H1868" s="391">
        <v>5.4</v>
      </c>
      <c r="K1868" s="841" t="s">
        <v>3487</v>
      </c>
      <c r="L1868" s="841" t="s">
        <v>442</v>
      </c>
      <c r="M1868" s="1357"/>
      <c r="P1868" s="841" t="s">
        <v>3488</v>
      </c>
      <c r="Q1868" s="1357"/>
      <c r="S1868" s="1420"/>
      <c r="T1868" s="1420"/>
      <c r="V1868" s="1357">
        <v>14</v>
      </c>
    </row>
    <row r="1869" spans="1:22" s="841" customFormat="1" ht="18.75" x14ac:dyDescent="0.3">
      <c r="A1869" s="841" t="s">
        <v>189</v>
      </c>
      <c r="E1869" s="1931" t="s">
        <v>85</v>
      </c>
      <c r="F1869" s="1964"/>
      <c r="G1869" s="1964"/>
      <c r="H1869" s="1964"/>
      <c r="K1869" s="841" t="s">
        <v>4197</v>
      </c>
      <c r="M1869" s="1357"/>
      <c r="Q1869" s="1357"/>
      <c r="S1869" s="1420"/>
      <c r="T1869" s="1420"/>
      <c r="V1869" s="1357">
        <v>10</v>
      </c>
    </row>
    <row r="1870" spans="1:22" s="841" customFormat="1" ht="15" x14ac:dyDescent="0.25">
      <c r="A1870" s="841" t="s">
        <v>189</v>
      </c>
      <c r="E1870" s="1690" t="s">
        <v>3133</v>
      </c>
      <c r="F1870" s="1690"/>
      <c r="G1870" s="1408" t="s">
        <v>33</v>
      </c>
      <c r="H1870" s="393">
        <v>-0.6</v>
      </c>
      <c r="M1870" s="1357"/>
      <c r="Q1870" s="1357"/>
      <c r="S1870" s="1420"/>
      <c r="T1870" s="1420"/>
      <c r="V1870" s="1357">
        <v>68</v>
      </c>
    </row>
    <row r="1871" spans="1:22" s="841" customFormat="1" ht="15" x14ac:dyDescent="0.25">
      <c r="A1871" s="841" t="s">
        <v>189</v>
      </c>
      <c r="E1871" s="1690" t="s">
        <v>3134</v>
      </c>
      <c r="F1871" s="1690"/>
      <c r="G1871" s="1408" t="s">
        <v>86</v>
      </c>
      <c r="H1871" s="391">
        <v>-1</v>
      </c>
      <c r="M1871" s="1357"/>
      <c r="Q1871" s="1357"/>
      <c r="S1871" s="1420"/>
      <c r="T1871" s="1420"/>
      <c r="V1871" s="1357">
        <v>87</v>
      </c>
    </row>
    <row r="1872" spans="1:22" s="841" customFormat="1" ht="18.75" x14ac:dyDescent="0.3">
      <c r="A1872" s="841" t="s">
        <v>189</v>
      </c>
      <c r="E1872" s="1931" t="s">
        <v>87</v>
      </c>
      <c r="F1872" s="1964"/>
      <c r="G1872" s="1964"/>
      <c r="H1872" s="1964"/>
      <c r="K1872" s="841" t="s">
        <v>4198</v>
      </c>
      <c r="M1872" s="1357"/>
      <c r="Q1872" s="1357"/>
      <c r="S1872" s="1420"/>
      <c r="T1872" s="1420"/>
      <c r="V1872" s="1357">
        <v>24</v>
      </c>
    </row>
    <row r="1873" spans="1:22" s="841" customFormat="1" ht="15" x14ac:dyDescent="0.25">
      <c r="A1873" s="841" t="s">
        <v>189</v>
      </c>
      <c r="E1873" s="1926" t="s">
        <v>3061</v>
      </c>
      <c r="F1873" s="1689"/>
      <c r="G1873" s="1689"/>
      <c r="H1873" s="1689"/>
      <c r="M1873" s="1357"/>
      <c r="Q1873" s="1357"/>
      <c r="S1873" s="1420"/>
      <c r="T1873" s="1420"/>
      <c r="V1873" s="1357">
        <v>11</v>
      </c>
    </row>
    <row r="1874" spans="1:22" s="841" customFormat="1" ht="15" x14ac:dyDescent="0.25">
      <c r="A1874" s="841" t="s">
        <v>189</v>
      </c>
      <c r="E1874" s="1689" t="s">
        <v>3063</v>
      </c>
      <c r="F1874" s="1689"/>
      <c r="G1874" s="1689"/>
      <c r="H1874" s="1689"/>
      <c r="M1874" s="1357"/>
      <c r="Q1874" s="1357"/>
      <c r="S1874" s="1420"/>
      <c r="T1874" s="1420"/>
      <c r="V1874" s="1357">
        <v>280</v>
      </c>
    </row>
    <row r="1875" spans="1:22" s="841" customFormat="1" ht="15" x14ac:dyDescent="0.25">
      <c r="A1875" s="841" t="s">
        <v>189</v>
      </c>
      <c r="E1875" s="1689" t="s">
        <v>3136</v>
      </c>
      <c r="F1875" s="1689"/>
      <c r="G1875" s="1689"/>
      <c r="H1875" s="1689"/>
      <c r="M1875" s="1357"/>
      <c r="Q1875" s="1357"/>
      <c r="S1875" s="1420"/>
      <c r="T1875" s="1420"/>
      <c r="V1875" s="1357">
        <v>353</v>
      </c>
    </row>
    <row r="1876" spans="1:22" s="841" customFormat="1" ht="15" x14ac:dyDescent="0.25">
      <c r="A1876" s="841" t="s">
        <v>189</v>
      </c>
      <c r="E1876" s="1689" t="s">
        <v>3390</v>
      </c>
      <c r="F1876" s="1689"/>
      <c r="G1876" s="1689"/>
      <c r="H1876" s="1689"/>
      <c r="M1876" s="1357"/>
      <c r="Q1876" s="1357"/>
      <c r="S1876" s="1420"/>
      <c r="T1876" s="1420"/>
      <c r="V1876" s="1357">
        <v>274</v>
      </c>
    </row>
    <row r="1877" spans="1:22" s="841" customFormat="1" ht="15" x14ac:dyDescent="0.25">
      <c r="A1877" s="841" t="s">
        <v>189</v>
      </c>
      <c r="E1877" s="1694" t="s">
        <v>3137</v>
      </c>
      <c r="F1877" s="1908"/>
      <c r="G1877" s="1908"/>
      <c r="H1877" s="1908"/>
      <c r="K1877" s="841" t="s">
        <v>4199</v>
      </c>
      <c r="M1877" s="1357"/>
      <c r="Q1877" s="1357"/>
      <c r="S1877" s="1420"/>
      <c r="T1877" s="1420"/>
      <c r="V1877" s="1357">
        <v>23</v>
      </c>
    </row>
    <row r="1878" spans="1:22" s="841" customFormat="1" ht="15" x14ac:dyDescent="0.25">
      <c r="A1878" s="841" t="s">
        <v>189</v>
      </c>
      <c r="E1878" s="1688" t="s">
        <v>3149</v>
      </c>
      <c r="F1878" s="1688"/>
      <c r="G1878" s="1408" t="s">
        <v>23</v>
      </c>
      <c r="H1878" s="391">
        <v>15</v>
      </c>
      <c r="M1878" s="1357"/>
      <c r="Q1878" s="1357"/>
      <c r="S1878" s="1420"/>
      <c r="T1878" s="1420"/>
      <c r="V1878" s="1357">
        <v>35</v>
      </c>
    </row>
    <row r="1879" spans="1:22" s="841" customFormat="1" ht="15" x14ac:dyDescent="0.25">
      <c r="A1879" s="841" t="s">
        <v>189</v>
      </c>
      <c r="E1879" s="1688" t="s">
        <v>3151</v>
      </c>
      <c r="F1879" s="1688"/>
      <c r="G1879" s="1408" t="s">
        <v>23</v>
      </c>
      <c r="H1879" s="391">
        <v>15</v>
      </c>
      <c r="M1879" s="1357"/>
      <c r="Q1879" s="1357"/>
      <c r="S1879" s="1420"/>
      <c r="T1879" s="1420"/>
      <c r="V1879" s="1357">
        <v>19</v>
      </c>
    </row>
    <row r="1880" spans="1:22" s="841" customFormat="1" ht="15" x14ac:dyDescent="0.25">
      <c r="A1880" s="841" t="s">
        <v>189</v>
      </c>
      <c r="E1880" s="1688" t="s">
        <v>88</v>
      </c>
      <c r="F1880" s="1688"/>
      <c r="G1880" s="1408" t="s">
        <v>23</v>
      </c>
      <c r="H1880" s="391">
        <v>30</v>
      </c>
      <c r="M1880" s="1357"/>
      <c r="Q1880" s="1357"/>
      <c r="S1880" s="1420"/>
      <c r="T1880" s="1420"/>
      <c r="V1880" s="1357">
        <v>89</v>
      </c>
    </row>
    <row r="1881" spans="1:22" s="841" customFormat="1" ht="15" x14ac:dyDescent="0.25">
      <c r="A1881" s="841" t="s">
        <v>189</v>
      </c>
      <c r="E1881" s="1688" t="s">
        <v>94</v>
      </c>
      <c r="F1881" s="1688"/>
      <c r="G1881" s="1408" t="s">
        <v>23</v>
      </c>
      <c r="H1881" s="391">
        <v>30</v>
      </c>
      <c r="M1881" s="1357"/>
      <c r="Q1881" s="1357"/>
      <c r="S1881" s="1420"/>
      <c r="T1881" s="1420"/>
      <c r="V1881" s="1357">
        <v>19</v>
      </c>
    </row>
    <row r="1882" spans="1:22" s="841" customFormat="1" ht="15" x14ac:dyDescent="0.25">
      <c r="A1882" s="841" t="s">
        <v>189</v>
      </c>
      <c r="E1882" s="1688" t="s">
        <v>92</v>
      </c>
      <c r="F1882" s="1688"/>
      <c r="G1882" s="1408" t="s">
        <v>23</v>
      </c>
      <c r="H1882" s="391">
        <v>30</v>
      </c>
      <c r="M1882" s="1357"/>
      <c r="Q1882" s="1357"/>
      <c r="S1882" s="1420"/>
      <c r="T1882" s="1420"/>
      <c r="V1882" s="1357">
        <v>74</v>
      </c>
    </row>
    <row r="1883" spans="1:22" s="841" customFormat="1" ht="15" x14ac:dyDescent="0.25">
      <c r="A1883" s="841" t="s">
        <v>189</v>
      </c>
      <c r="E1883" s="1694" t="s">
        <v>3152</v>
      </c>
      <c r="F1883" s="1908"/>
      <c r="G1883" s="1908"/>
      <c r="H1883" s="1908"/>
      <c r="K1883" s="841" t="s">
        <v>4200</v>
      </c>
      <c r="M1883" s="1357"/>
      <c r="Q1883" s="1357"/>
      <c r="S1883" s="1420"/>
      <c r="T1883" s="1420"/>
      <c r="V1883" s="1357">
        <v>22</v>
      </c>
    </row>
    <row r="1884" spans="1:22" s="841" customFormat="1" ht="15" x14ac:dyDescent="0.25">
      <c r="A1884" s="841" t="s">
        <v>189</v>
      </c>
      <c r="E1884" s="1688" t="s">
        <v>3154</v>
      </c>
      <c r="F1884" s="1688"/>
      <c r="G1884" s="1408" t="s">
        <v>86</v>
      </c>
      <c r="H1884" s="391">
        <v>1.5</v>
      </c>
      <c r="M1884" s="1357"/>
      <c r="Q1884" s="1357"/>
      <c r="S1884" s="1420"/>
      <c r="T1884" s="1420"/>
      <c r="V1884" s="1357">
        <v>24</v>
      </c>
    </row>
    <row r="1885" spans="1:22" s="841" customFormat="1" ht="15" x14ac:dyDescent="0.25">
      <c r="A1885" s="841" t="s">
        <v>189</v>
      </c>
      <c r="E1885" s="1688" t="s">
        <v>3155</v>
      </c>
      <c r="F1885" s="1688"/>
      <c r="G1885" s="1408" t="s">
        <v>86</v>
      </c>
      <c r="H1885" s="391">
        <v>19.559999999999999</v>
      </c>
      <c r="M1885" s="1357"/>
      <c r="Q1885" s="1357"/>
      <c r="S1885" s="1420"/>
      <c r="T1885" s="1420"/>
      <c r="V1885" s="1357">
        <v>24</v>
      </c>
    </row>
    <row r="1886" spans="1:22" s="841" customFormat="1" ht="15" x14ac:dyDescent="0.25">
      <c r="A1886" s="841" t="s">
        <v>189</v>
      </c>
      <c r="E1886" s="1688" t="s">
        <v>3288</v>
      </c>
      <c r="F1886" s="1688"/>
      <c r="G1886" s="1408" t="s">
        <v>23</v>
      </c>
      <c r="H1886" s="391">
        <v>30</v>
      </c>
      <c r="M1886" s="1357"/>
      <c r="Q1886" s="1357"/>
      <c r="S1886" s="1420"/>
      <c r="T1886" s="1420"/>
      <c r="V1886" s="1357">
        <v>47</v>
      </c>
    </row>
    <row r="1887" spans="1:22" s="841" customFormat="1" ht="15" x14ac:dyDescent="0.25">
      <c r="A1887" s="841" t="s">
        <v>189</v>
      </c>
      <c r="E1887" s="1688" t="s">
        <v>4773</v>
      </c>
      <c r="F1887" s="1688"/>
      <c r="G1887" s="1408" t="s">
        <v>23</v>
      </c>
      <c r="H1887" s="391">
        <v>65</v>
      </c>
      <c r="M1887" s="1357"/>
      <c r="Q1887" s="1357"/>
      <c r="S1887" s="1420"/>
      <c r="T1887" s="1420"/>
      <c r="V1887" s="1357">
        <v>52</v>
      </c>
    </row>
    <row r="1888" spans="1:22" s="841" customFormat="1" ht="15" x14ac:dyDescent="0.25">
      <c r="A1888" s="841" t="s">
        <v>189</v>
      </c>
      <c r="E1888" s="1688" t="s">
        <v>4774</v>
      </c>
      <c r="F1888" s="1688"/>
      <c r="G1888" s="1408" t="s">
        <v>23</v>
      </c>
      <c r="H1888" s="391">
        <v>165</v>
      </c>
      <c r="M1888" s="1357"/>
      <c r="Q1888" s="1357"/>
      <c r="S1888" s="1420"/>
      <c r="T1888" s="1420"/>
      <c r="V1888" s="1357">
        <v>51</v>
      </c>
    </row>
    <row r="1889" spans="1:22" s="841" customFormat="1" ht="15" x14ac:dyDescent="0.25">
      <c r="A1889" s="841" t="s">
        <v>189</v>
      </c>
      <c r="E1889" s="1694" t="s">
        <v>3164</v>
      </c>
      <c r="F1889" s="1908"/>
      <c r="G1889" s="1908"/>
      <c r="H1889" s="1908"/>
      <c r="M1889" s="1357"/>
      <c r="Q1889" s="1357"/>
      <c r="S1889" s="1420"/>
      <c r="T1889" s="1420"/>
      <c r="V1889" s="1357">
        <v>5</v>
      </c>
    </row>
    <row r="1890" spans="1:22" s="841" customFormat="1" ht="15" x14ac:dyDescent="0.25">
      <c r="A1890" s="841" t="s">
        <v>189</v>
      </c>
      <c r="E1890" s="1688" t="s">
        <v>3167</v>
      </c>
      <c r="F1890" s="1688"/>
      <c r="G1890" s="1408" t="s">
        <v>23</v>
      </c>
      <c r="H1890" s="391">
        <v>30</v>
      </c>
      <c r="M1890" s="1357"/>
      <c r="Q1890" s="1357"/>
      <c r="S1890" s="1420"/>
      <c r="T1890" s="1420"/>
      <c r="V1890" s="1357">
        <v>39</v>
      </c>
    </row>
    <row r="1891" spans="1:22" s="841" customFormat="1" ht="15" x14ac:dyDescent="0.25">
      <c r="A1891" s="841" t="s">
        <v>189</v>
      </c>
      <c r="E1891" s="1688" t="s">
        <v>3491</v>
      </c>
      <c r="F1891" s="1688"/>
      <c r="G1891" s="1408" t="s">
        <v>23</v>
      </c>
      <c r="H1891" s="391">
        <v>22.35</v>
      </c>
      <c r="M1891" s="1357"/>
      <c r="Q1891" s="1357"/>
      <c r="S1891" s="1420"/>
      <c r="T1891" s="1420"/>
      <c r="V1891" s="1357">
        <v>59</v>
      </c>
    </row>
    <row r="1892" spans="1:22" s="841" customFormat="1" ht="15" x14ac:dyDescent="0.25">
      <c r="A1892" s="841" t="s">
        <v>189</v>
      </c>
      <c r="E1892" s="1688" t="s">
        <v>3166</v>
      </c>
      <c r="F1892" s="1688"/>
      <c r="G1892" s="1688"/>
      <c r="H1892" s="1688"/>
      <c r="M1892" s="1357"/>
      <c r="Q1892" s="1357"/>
      <c r="S1892" s="1420"/>
      <c r="T1892" s="1420"/>
      <c r="V1892" s="1357">
        <v>44</v>
      </c>
    </row>
    <row r="1893" spans="1:22" s="841" customFormat="1" ht="18.75" x14ac:dyDescent="0.3">
      <c r="A1893" s="841" t="s">
        <v>189</v>
      </c>
      <c r="E1893" s="1931" t="s">
        <v>77</v>
      </c>
      <c r="F1893" s="1964"/>
      <c r="G1893" s="1964"/>
      <c r="H1893" s="1964"/>
      <c r="K1893" s="841" t="s">
        <v>4201</v>
      </c>
      <c r="M1893" s="1357"/>
      <c r="Q1893" s="1357"/>
      <c r="S1893" s="1420"/>
      <c r="T1893" s="1420"/>
      <c r="V1893" s="1357">
        <v>38</v>
      </c>
    </row>
    <row r="1894" spans="1:22" s="841" customFormat="1" ht="15" x14ac:dyDescent="0.25">
      <c r="A1894" s="841" t="s">
        <v>189</v>
      </c>
      <c r="E1894" s="1926" t="s">
        <v>3061</v>
      </c>
      <c r="F1894" s="1689"/>
      <c r="G1894" s="1689"/>
      <c r="H1894" s="1689"/>
      <c r="K1894" s="841" t="s">
        <v>3266</v>
      </c>
      <c r="M1894" s="1357"/>
      <c r="Q1894" s="1357"/>
      <c r="S1894" s="1420"/>
      <c r="T1894" s="1420"/>
      <c r="V1894" s="1357">
        <v>11</v>
      </c>
    </row>
    <row r="1895" spans="1:22" s="841" customFormat="1" ht="15" x14ac:dyDescent="0.25">
      <c r="A1895" s="841" t="s">
        <v>189</v>
      </c>
      <c r="E1895" s="1689" t="s">
        <v>3063</v>
      </c>
      <c r="F1895" s="1689"/>
      <c r="G1895" s="1689"/>
      <c r="H1895" s="1689"/>
      <c r="M1895" s="1357"/>
      <c r="Q1895" s="1357"/>
      <c r="S1895" s="1420"/>
      <c r="T1895" s="1420"/>
      <c r="V1895" s="1357">
        <v>280</v>
      </c>
    </row>
    <row r="1896" spans="1:22" s="841" customFormat="1" ht="15" x14ac:dyDescent="0.25">
      <c r="A1896" s="841" t="s">
        <v>189</v>
      </c>
      <c r="E1896" s="1689" t="s">
        <v>3064</v>
      </c>
      <c r="F1896" s="1689"/>
      <c r="G1896" s="1689"/>
      <c r="H1896" s="1689"/>
      <c r="M1896" s="1357"/>
      <c r="Q1896" s="1357"/>
      <c r="S1896" s="1420"/>
      <c r="T1896" s="1420"/>
      <c r="V1896" s="1357">
        <v>411</v>
      </c>
    </row>
    <row r="1897" spans="1:22" s="841" customFormat="1" ht="15" x14ac:dyDescent="0.25">
      <c r="A1897" s="841" t="s">
        <v>189</v>
      </c>
      <c r="E1897" s="1689" t="s">
        <v>3129</v>
      </c>
      <c r="F1897" s="1689"/>
      <c r="G1897" s="1689"/>
      <c r="H1897" s="1689"/>
      <c r="M1897" s="1357"/>
      <c r="Q1897" s="1357"/>
      <c r="S1897" s="1420"/>
      <c r="T1897" s="1420"/>
      <c r="V1897" s="1357">
        <v>211</v>
      </c>
    </row>
    <row r="1898" spans="1:22" s="841" customFormat="1" ht="15" x14ac:dyDescent="0.25">
      <c r="A1898" s="841" t="s">
        <v>189</v>
      </c>
      <c r="E1898" s="1689" t="s">
        <v>3390</v>
      </c>
      <c r="F1898" s="1689"/>
      <c r="G1898" s="1689"/>
      <c r="H1898" s="1689"/>
      <c r="M1898" s="1357"/>
      <c r="Q1898" s="1357"/>
      <c r="S1898" s="1420"/>
      <c r="T1898" s="1420"/>
      <c r="V1898" s="1357">
        <v>274</v>
      </c>
    </row>
    <row r="1899" spans="1:22" s="841" customFormat="1" ht="15" x14ac:dyDescent="0.25">
      <c r="A1899" s="841" t="s">
        <v>189</v>
      </c>
      <c r="E1899" s="1690" t="s">
        <v>3659</v>
      </c>
      <c r="F1899" s="1690"/>
      <c r="G1899" s="1908"/>
      <c r="H1899" s="1908"/>
      <c r="M1899" s="1357"/>
      <c r="Q1899" s="1357"/>
      <c r="S1899" s="1420"/>
      <c r="T1899" s="1420"/>
      <c r="V1899" s="1357">
        <v>117</v>
      </c>
    </row>
    <row r="1900" spans="1:22" s="841" customFormat="1" ht="15" x14ac:dyDescent="0.25">
      <c r="A1900" s="841" t="s">
        <v>189</v>
      </c>
      <c r="E1900" s="1690" t="s">
        <v>3660</v>
      </c>
      <c r="F1900" s="1690"/>
      <c r="G1900" s="1908"/>
      <c r="H1900" s="1908"/>
      <c r="M1900" s="1357"/>
      <c r="Q1900" s="1357"/>
      <c r="S1900" s="1420"/>
      <c r="T1900" s="1420"/>
      <c r="V1900" s="1357">
        <v>23</v>
      </c>
    </row>
    <row r="1901" spans="1:22" s="841" customFormat="1" ht="15" x14ac:dyDescent="0.25">
      <c r="A1901" s="841" t="s">
        <v>189</v>
      </c>
      <c r="E1901" s="1690" t="s">
        <v>3176</v>
      </c>
      <c r="F1901" s="1690"/>
      <c r="G1901" s="1408" t="s">
        <v>23</v>
      </c>
      <c r="H1901" s="391">
        <v>100</v>
      </c>
      <c r="M1901" s="1357"/>
      <c r="Q1901" s="1357"/>
      <c r="S1901" s="1420"/>
      <c r="T1901" s="1420"/>
      <c r="V1901" s="1357">
        <v>106</v>
      </c>
    </row>
    <row r="1902" spans="1:22" s="841" customFormat="1" ht="15" x14ac:dyDescent="0.25">
      <c r="A1902" s="841" t="s">
        <v>189</v>
      </c>
      <c r="E1902" s="1690" t="s">
        <v>3177</v>
      </c>
      <c r="F1902" s="1690"/>
      <c r="G1902" s="1408" t="s">
        <v>23</v>
      </c>
      <c r="H1902" s="391">
        <v>20</v>
      </c>
      <c r="M1902" s="1357"/>
      <c r="Q1902" s="1357"/>
      <c r="S1902" s="1420"/>
      <c r="T1902" s="1420"/>
      <c r="V1902" s="1357">
        <v>34</v>
      </c>
    </row>
    <row r="1903" spans="1:22" s="841" customFormat="1" ht="15" x14ac:dyDescent="0.25">
      <c r="A1903" s="841" t="s">
        <v>189</v>
      </c>
      <c r="E1903" s="1690" t="s">
        <v>3178</v>
      </c>
      <c r="F1903" s="1690"/>
      <c r="G1903" s="1408" t="s">
        <v>23</v>
      </c>
      <c r="H1903" s="391">
        <v>1.37</v>
      </c>
      <c r="M1903" s="1357"/>
      <c r="Q1903" s="1357"/>
      <c r="S1903" s="1420"/>
      <c r="T1903" s="1420"/>
      <c r="V1903" s="1357">
        <v>51</v>
      </c>
    </row>
    <row r="1904" spans="1:22" s="841" customFormat="1" ht="15" x14ac:dyDescent="0.25">
      <c r="A1904" s="841" t="s">
        <v>189</v>
      </c>
      <c r="E1904" s="1690" t="s">
        <v>3180</v>
      </c>
      <c r="F1904" s="1690"/>
      <c r="G1904" s="1408" t="s">
        <v>23</v>
      </c>
      <c r="H1904" s="391">
        <v>0.3</v>
      </c>
      <c r="M1904" s="1357"/>
      <c r="Q1904" s="1357"/>
      <c r="S1904" s="1420"/>
      <c r="T1904" s="1420"/>
      <c r="V1904" s="1357">
        <v>75</v>
      </c>
    </row>
    <row r="1905" spans="1:22" s="841" customFormat="1" ht="15" x14ac:dyDescent="0.25">
      <c r="A1905" s="841" t="s">
        <v>189</v>
      </c>
      <c r="E1905" s="1691" t="s">
        <v>3181</v>
      </c>
      <c r="F1905" s="1691"/>
      <c r="G1905" s="1408" t="s">
        <v>23</v>
      </c>
      <c r="H1905" s="391">
        <v>-0.3</v>
      </c>
      <c r="M1905" s="1357"/>
      <c r="Q1905" s="1357"/>
      <c r="S1905" s="1420"/>
      <c r="T1905" s="1420"/>
      <c r="V1905" s="1357">
        <v>72</v>
      </c>
    </row>
    <row r="1906" spans="1:22" s="841" customFormat="1" ht="15" x14ac:dyDescent="0.25">
      <c r="A1906" s="841" t="s">
        <v>189</v>
      </c>
      <c r="E1906" s="1691" t="s">
        <v>3292</v>
      </c>
      <c r="F1906" s="1691"/>
      <c r="G1906" s="2067"/>
      <c r="H1906" s="2067"/>
      <c r="M1906" s="1357"/>
      <c r="Q1906" s="1357"/>
      <c r="S1906" s="1420"/>
      <c r="T1906" s="1420"/>
      <c r="V1906" s="1357">
        <v>34</v>
      </c>
    </row>
    <row r="1907" spans="1:22" s="841" customFormat="1" ht="15" x14ac:dyDescent="0.25">
      <c r="A1907" s="841" t="s">
        <v>189</v>
      </c>
      <c r="E1907" s="1690" t="s">
        <v>3183</v>
      </c>
      <c r="F1907" s="1690"/>
      <c r="G1907" s="1408" t="s">
        <v>23</v>
      </c>
      <c r="H1907" s="391">
        <v>0.25</v>
      </c>
      <c r="M1907" s="1357"/>
      <c r="Q1907" s="1357"/>
      <c r="S1907" s="1420"/>
      <c r="T1907" s="1420"/>
      <c r="V1907" s="1357">
        <v>57</v>
      </c>
    </row>
    <row r="1908" spans="1:22" s="841" customFormat="1" ht="15" x14ac:dyDescent="0.25">
      <c r="A1908" s="841" t="s">
        <v>189</v>
      </c>
      <c r="E1908" s="1690" t="s">
        <v>3184</v>
      </c>
      <c r="F1908" s="1690"/>
      <c r="G1908" s="1408" t="s">
        <v>23</v>
      </c>
      <c r="H1908" s="391">
        <v>0.5</v>
      </c>
      <c r="M1908" s="1357"/>
      <c r="Q1908" s="1357"/>
      <c r="S1908" s="1420"/>
      <c r="T1908" s="1420"/>
      <c r="V1908" s="1357">
        <v>60</v>
      </c>
    </row>
    <row r="1909" spans="1:22" s="841" customFormat="1" ht="15" x14ac:dyDescent="0.25">
      <c r="A1909" s="841" t="s">
        <v>189</v>
      </c>
      <c r="E1909" s="1690" t="s">
        <v>3185</v>
      </c>
      <c r="F1909" s="1690"/>
      <c r="G1909" s="1908"/>
      <c r="H1909" s="1908"/>
      <c r="M1909" s="1357"/>
      <c r="Q1909" s="1357"/>
      <c r="S1909" s="1420"/>
      <c r="T1909" s="1420"/>
      <c r="V1909" s="1357">
        <v>91</v>
      </c>
    </row>
    <row r="1910" spans="1:22" s="841" customFormat="1" ht="15" x14ac:dyDescent="0.25">
      <c r="A1910" s="841" t="s">
        <v>189</v>
      </c>
      <c r="E1910" s="1691" t="s">
        <v>3186</v>
      </c>
      <c r="F1910" s="1691"/>
      <c r="G1910" s="2067"/>
      <c r="H1910" s="2067"/>
      <c r="M1910" s="1357"/>
      <c r="Q1910" s="1357"/>
      <c r="S1910" s="1420"/>
      <c r="T1910" s="1420"/>
      <c r="V1910" s="1357">
        <v>96</v>
      </c>
    </row>
    <row r="1911" spans="1:22" s="841" customFormat="1" ht="15" x14ac:dyDescent="0.25">
      <c r="A1911" s="841" t="s">
        <v>189</v>
      </c>
      <c r="E1911" s="1691" t="s">
        <v>3293</v>
      </c>
      <c r="F1911" s="1691"/>
      <c r="G1911" s="2067"/>
      <c r="H1911" s="2067"/>
      <c r="M1911" s="1357"/>
      <c r="Q1911" s="1357"/>
      <c r="S1911" s="1420"/>
      <c r="T1911" s="1420"/>
      <c r="V1911" s="1357">
        <v>77</v>
      </c>
    </row>
    <row r="1912" spans="1:22" s="841" customFormat="1" ht="15" x14ac:dyDescent="0.25">
      <c r="A1912" s="841" t="s">
        <v>189</v>
      </c>
      <c r="E1912" s="1704" t="s">
        <v>3188</v>
      </c>
      <c r="F1912" s="1959"/>
      <c r="G1912" s="1408" t="s">
        <v>23</v>
      </c>
      <c r="H1912" s="504" t="s">
        <v>3189</v>
      </c>
      <c r="M1912" s="1357"/>
      <c r="Q1912" s="1357"/>
      <c r="S1912" s="1420"/>
      <c r="T1912" s="1420"/>
      <c r="V1912" s="1357">
        <v>18</v>
      </c>
    </row>
    <row r="1913" spans="1:22" s="841" customFormat="1" ht="15" x14ac:dyDescent="0.25">
      <c r="A1913" s="841" t="s">
        <v>189</v>
      </c>
      <c r="E1913" s="1704" t="s">
        <v>3190</v>
      </c>
      <c r="F1913" s="1959"/>
      <c r="G1913" s="1408" t="s">
        <v>23</v>
      </c>
      <c r="H1913" s="391">
        <v>2</v>
      </c>
      <c r="M1913" s="1357"/>
      <c r="Q1913" s="1357"/>
      <c r="S1913" s="1420"/>
      <c r="T1913" s="1420"/>
      <c r="V1913" s="1357">
        <v>69</v>
      </c>
    </row>
    <row r="1914" spans="1:22" s="841" customFormat="1" ht="18.75" x14ac:dyDescent="0.3">
      <c r="A1914" s="841" t="s">
        <v>189</v>
      </c>
      <c r="E1914" s="1931" t="s">
        <v>147</v>
      </c>
      <c r="F1914" s="1964"/>
      <c r="G1914" s="1964"/>
      <c r="H1914" s="1964"/>
      <c r="K1914" s="841" t="s">
        <v>4202</v>
      </c>
      <c r="M1914" s="1357"/>
      <c r="Q1914" s="1357"/>
      <c r="S1914" s="1420"/>
      <c r="T1914" s="1420"/>
      <c r="V1914" s="1357">
        <v>12</v>
      </c>
    </row>
    <row r="1915" spans="1:22" s="841" customFormat="1" ht="15" x14ac:dyDescent="0.25">
      <c r="A1915" s="841" t="s">
        <v>189</v>
      </c>
      <c r="E1915" s="1704" t="s">
        <v>3192</v>
      </c>
      <c r="F1915" s="1704"/>
      <c r="G1915" s="1704"/>
      <c r="H1915" s="1704"/>
      <c r="M1915" s="1357"/>
      <c r="Q1915" s="1357"/>
      <c r="S1915" s="1420"/>
      <c r="T1915" s="1420"/>
      <c r="V1915" s="1357">
        <v>203</v>
      </c>
    </row>
    <row r="1916" spans="1:22" s="841" customFormat="1" ht="15" x14ac:dyDescent="0.25">
      <c r="A1916" s="841" t="s">
        <v>189</v>
      </c>
      <c r="E1916" s="1690" t="s">
        <v>3295</v>
      </c>
      <c r="F1916" s="1690"/>
      <c r="G1916" s="1408"/>
      <c r="H1916" s="1413">
        <v>1.0470999999999999</v>
      </c>
      <c r="M1916" s="1357"/>
      <c r="Q1916" s="1357"/>
      <c r="S1916" s="1420"/>
      <c r="T1916" s="1420"/>
      <c r="V1916" s="1357">
        <v>57</v>
      </c>
    </row>
    <row r="1917" spans="1:22" s="841" customFormat="1" ht="15" x14ac:dyDescent="0.25">
      <c r="A1917" s="841" t="s">
        <v>189</v>
      </c>
      <c r="E1917" s="1690" t="s">
        <v>3297</v>
      </c>
      <c r="F1917" s="1690"/>
      <c r="G1917" s="1408"/>
      <c r="H1917" s="1413">
        <v>1.0366</v>
      </c>
      <c r="J1917" s="841" t="s">
        <v>4203</v>
      </c>
      <c r="M1917" s="1357"/>
      <c r="Q1917" s="1357"/>
      <c r="S1917" s="1420"/>
      <c r="T1917" s="1420"/>
      <c r="V1917" s="1357">
        <v>55</v>
      </c>
    </row>
    <row r="1918" spans="1:22" s="841" customFormat="1" ht="23.25" x14ac:dyDescent="0.25">
      <c r="A1918" s="841" t="s">
        <v>184</v>
      </c>
      <c r="C1918" s="841" t="s">
        <v>3050</v>
      </c>
      <c r="E1918" s="1911" t="s">
        <v>184</v>
      </c>
      <c r="F1918" s="1911"/>
      <c r="G1918" s="1911"/>
      <c r="H1918" s="1911"/>
      <c r="I1918" s="841" t="s">
        <v>628</v>
      </c>
      <c r="J1918" s="841" t="s">
        <v>4061</v>
      </c>
      <c r="K1918" s="841" t="s">
        <v>184</v>
      </c>
      <c r="M1918" s="1357">
        <v>9</v>
      </c>
      <c r="Q1918" s="1357"/>
      <c r="S1918" s="1420"/>
      <c r="T1918" s="1420"/>
      <c r="V1918" s="1357">
        <v>27</v>
      </c>
    </row>
    <row r="1919" spans="1:22" s="841" customFormat="1" x14ac:dyDescent="0.25">
      <c r="A1919" s="841" t="s">
        <v>184</v>
      </c>
      <c r="C1919" s="841" t="s">
        <v>3052</v>
      </c>
      <c r="E1919" s="1912" t="s">
        <v>3053</v>
      </c>
      <c r="F1919" s="1912"/>
      <c r="G1919" s="1912"/>
      <c r="H1919" s="1912"/>
      <c r="M1919" s="1357"/>
      <c r="Q1919" s="1357"/>
      <c r="S1919" s="1420"/>
      <c r="T1919" s="1420"/>
      <c r="V1919" s="1357">
        <v>27</v>
      </c>
    </row>
    <row r="1920" spans="1:22" s="841" customFormat="1" ht="15.75" x14ac:dyDescent="0.25">
      <c r="A1920" s="841" t="s">
        <v>184</v>
      </c>
      <c r="C1920" s="841" t="s">
        <v>3054</v>
      </c>
      <c r="E1920" s="1913" t="s">
        <v>5107</v>
      </c>
      <c r="F1920" s="1913"/>
      <c r="G1920" s="1913"/>
      <c r="H1920" s="1913"/>
      <c r="M1920" s="1357"/>
      <c r="Q1920" s="1357"/>
      <c r="S1920" s="1420">
        <v>43221</v>
      </c>
      <c r="T1920" s="1420"/>
      <c r="V1920" s="1357">
        <v>45</v>
      </c>
    </row>
    <row r="1921" spans="1:22" s="841" customFormat="1" ht="15" x14ac:dyDescent="0.25">
      <c r="A1921" s="841" t="s">
        <v>184</v>
      </c>
      <c r="C1921" s="841" t="s">
        <v>3055</v>
      </c>
      <c r="E1921" s="1914" t="s">
        <v>3056</v>
      </c>
      <c r="F1921" s="1914"/>
      <c r="G1921" s="1914"/>
      <c r="H1921" s="1914"/>
      <c r="M1921" s="1357"/>
      <c r="Q1921" s="1357"/>
      <c r="S1921" s="1420"/>
      <c r="T1921" s="1420"/>
      <c r="V1921" s="1357">
        <v>52</v>
      </c>
    </row>
    <row r="1922" spans="1:22" s="841" customFormat="1" ht="15" x14ac:dyDescent="0.25">
      <c r="A1922" s="841" t="s">
        <v>184</v>
      </c>
      <c r="E1922" s="1914" t="s">
        <v>3057</v>
      </c>
      <c r="F1922" s="1914"/>
      <c r="G1922" s="1914"/>
      <c r="H1922" s="1914"/>
      <c r="M1922" s="1357"/>
      <c r="Q1922" s="1357"/>
      <c r="S1922" s="1420"/>
      <c r="T1922" s="1420"/>
      <c r="V1922" s="1357">
        <v>53</v>
      </c>
    </row>
    <row r="1923" spans="1:22" s="841" customFormat="1" ht="15" x14ac:dyDescent="0.25">
      <c r="A1923" s="841" t="s">
        <v>184</v>
      </c>
      <c r="E1923" s="1925" t="s">
        <v>5298</v>
      </c>
      <c r="F1923" s="1925"/>
      <c r="G1923" s="1925"/>
      <c r="H1923" s="1925"/>
      <c r="K1923" s="841" t="s">
        <v>5298</v>
      </c>
      <c r="M1923" s="1357"/>
      <c r="Q1923" s="1357"/>
      <c r="S1923" s="1420"/>
      <c r="T1923" s="1420"/>
      <c r="V1923" s="1357">
        <v>12</v>
      </c>
    </row>
    <row r="1924" spans="1:22" s="841" customFormat="1" ht="15" x14ac:dyDescent="0.25">
      <c r="A1924" s="841" t="s">
        <v>184</v>
      </c>
      <c r="E1924" s="1909" t="s">
        <v>438</v>
      </c>
      <c r="F1924" s="1697"/>
      <c r="G1924" s="1697"/>
      <c r="H1924" s="1697"/>
      <c r="K1924" s="841" t="s">
        <v>3197</v>
      </c>
      <c r="M1924" s="1357"/>
      <c r="Q1924" s="1357"/>
      <c r="S1924" s="1420"/>
      <c r="T1924" s="1420"/>
      <c r="V1924" s="1357">
        <v>34</v>
      </c>
    </row>
    <row r="1925" spans="1:22" s="841" customFormat="1" ht="15" x14ac:dyDescent="0.25">
      <c r="A1925" s="841" t="s">
        <v>184</v>
      </c>
      <c r="E1925" s="1689" t="s">
        <v>3951</v>
      </c>
      <c r="F1925" s="1689"/>
      <c r="G1925" s="1689"/>
      <c r="H1925" s="1689"/>
      <c r="K1925" s="841" t="s">
        <v>3197</v>
      </c>
      <c r="M1925" s="1357"/>
      <c r="Q1925" s="1357"/>
      <c r="S1925" s="1420"/>
      <c r="T1925" s="1420"/>
      <c r="V1925" s="1357">
        <v>652</v>
      </c>
    </row>
    <row r="1926" spans="1:22" s="841" customFormat="1" ht="15" x14ac:dyDescent="0.25">
      <c r="A1926" s="841" t="s">
        <v>184</v>
      </c>
      <c r="E1926" s="1916" t="s">
        <v>3061</v>
      </c>
      <c r="F1926" s="1697"/>
      <c r="G1926" s="1697"/>
      <c r="H1926" s="1697"/>
      <c r="K1926" s="841" t="s">
        <v>3062</v>
      </c>
      <c r="M1926" s="1357"/>
      <c r="Q1926" s="1357"/>
      <c r="S1926" s="1420"/>
      <c r="T1926" s="1420"/>
      <c r="V1926" s="1357">
        <v>11</v>
      </c>
    </row>
    <row r="1927" spans="1:22" s="841" customFormat="1" ht="15" x14ac:dyDescent="0.25">
      <c r="A1927" s="841" t="s">
        <v>184</v>
      </c>
      <c r="E1927" s="1689" t="s">
        <v>3063</v>
      </c>
      <c r="F1927" s="1689"/>
      <c r="G1927" s="1689"/>
      <c r="H1927" s="1689"/>
      <c r="K1927" s="841" t="s">
        <v>3197</v>
      </c>
      <c r="M1927" s="1357"/>
      <c r="Q1927" s="1357"/>
      <c r="S1927" s="1420"/>
      <c r="T1927" s="1420"/>
      <c r="V1927" s="1357">
        <v>280</v>
      </c>
    </row>
    <row r="1928" spans="1:22" s="841" customFormat="1" ht="15" x14ac:dyDescent="0.25">
      <c r="A1928" s="841" t="s">
        <v>184</v>
      </c>
      <c r="E1928" s="1689" t="s">
        <v>3064</v>
      </c>
      <c r="F1928" s="1689"/>
      <c r="G1928" s="1689"/>
      <c r="H1928" s="1689"/>
      <c r="K1928" s="841" t="s">
        <v>3197</v>
      </c>
      <c r="M1928" s="1357"/>
      <c r="Q1928" s="1357"/>
      <c r="S1928" s="1420"/>
      <c r="T1928" s="1420"/>
      <c r="V1928" s="1357">
        <v>411</v>
      </c>
    </row>
    <row r="1929" spans="1:22" s="841" customFormat="1" ht="15" x14ac:dyDescent="0.25">
      <c r="A1929" s="841" t="s">
        <v>184</v>
      </c>
      <c r="E1929" s="1689" t="s">
        <v>3065</v>
      </c>
      <c r="F1929" s="1689"/>
      <c r="G1929" s="1689"/>
      <c r="H1929" s="1689"/>
      <c r="K1929" s="841" t="s">
        <v>3197</v>
      </c>
      <c r="M1929" s="1357"/>
      <c r="Q1929" s="1357"/>
      <c r="S1929" s="1420"/>
      <c r="T1929" s="1420"/>
      <c r="V1929" s="1357">
        <v>387</v>
      </c>
    </row>
    <row r="1930" spans="1:22" s="841" customFormat="1" ht="15" x14ac:dyDescent="0.25">
      <c r="A1930" s="841" t="s">
        <v>184</v>
      </c>
      <c r="E1930" s="1689" t="s">
        <v>3200</v>
      </c>
      <c r="F1930" s="1689"/>
      <c r="G1930" s="1689"/>
      <c r="H1930" s="1689"/>
      <c r="K1930" s="841" t="s">
        <v>3197</v>
      </c>
      <c r="M1930" s="1357"/>
      <c r="Q1930" s="1357"/>
      <c r="S1930" s="1420"/>
      <c r="T1930" s="1420"/>
      <c r="V1930" s="1357">
        <v>275</v>
      </c>
    </row>
    <row r="1931" spans="1:22" s="841" customFormat="1" ht="15" x14ac:dyDescent="0.25">
      <c r="A1931" s="841" t="s">
        <v>184</v>
      </c>
      <c r="E1931" s="1694" t="s">
        <v>3067</v>
      </c>
      <c r="F1931" s="1907"/>
      <c r="G1931" s="1907"/>
      <c r="H1931" s="1907"/>
      <c r="K1931" s="841" t="s">
        <v>3068</v>
      </c>
      <c r="M1931" s="1357"/>
      <c r="Q1931" s="1357"/>
      <c r="S1931" s="1420"/>
      <c r="T1931" s="1420"/>
      <c r="V1931" s="1357">
        <v>46</v>
      </c>
    </row>
    <row r="1932" spans="1:22" s="841" customFormat="1" ht="15" x14ac:dyDescent="0.25">
      <c r="A1932" s="841" t="s">
        <v>184</v>
      </c>
      <c r="E1932" s="1690" t="s">
        <v>11</v>
      </c>
      <c r="F1932" s="1690"/>
      <c r="G1932" s="1408" t="s">
        <v>23</v>
      </c>
      <c r="H1932" s="391">
        <v>19.600000000000001</v>
      </c>
      <c r="K1932" s="841" t="s">
        <v>3197</v>
      </c>
      <c r="L1932" s="841" t="s">
        <v>442</v>
      </c>
      <c r="M1932" s="1357"/>
      <c r="P1932" s="841" t="s">
        <v>3201</v>
      </c>
      <c r="Q1932" s="1357"/>
      <c r="S1932" s="1420"/>
      <c r="T1932" s="1420"/>
      <c r="V1932" s="1357">
        <v>14</v>
      </c>
    </row>
    <row r="1933" spans="1:22" s="841" customFormat="1" ht="15" x14ac:dyDescent="0.25">
      <c r="A1933" s="841" t="s">
        <v>184</v>
      </c>
      <c r="E1933" s="1690" t="s">
        <v>5109</v>
      </c>
      <c r="F1933" s="1690"/>
      <c r="G1933" s="1408" t="s">
        <v>23</v>
      </c>
      <c r="H1933" s="391">
        <v>0.56999999999999995</v>
      </c>
      <c r="K1933" s="841" t="s">
        <v>3197</v>
      </c>
      <c r="L1933" s="841" t="s">
        <v>443</v>
      </c>
      <c r="M1933" s="1357"/>
      <c r="P1933" s="841" t="s">
        <v>3202</v>
      </c>
      <c r="Q1933" s="1357"/>
      <c r="S1933" s="1420"/>
      <c r="T1933" s="1420">
        <v>44926</v>
      </c>
      <c r="V1933" s="1357">
        <v>64</v>
      </c>
    </row>
    <row r="1934" spans="1:22" s="841" customFormat="1" ht="15" x14ac:dyDescent="0.25">
      <c r="A1934" s="841" t="s">
        <v>184</v>
      </c>
      <c r="E1934" s="1690" t="s">
        <v>84</v>
      </c>
      <c r="F1934" s="1690"/>
      <c r="G1934" s="1408" t="s">
        <v>24</v>
      </c>
      <c r="H1934" s="393">
        <v>4.1999999999999997E-3</v>
      </c>
      <c r="K1934" s="841" t="s">
        <v>3197</v>
      </c>
      <c r="L1934" s="841" t="s">
        <v>442</v>
      </c>
      <c r="M1934" s="1357"/>
      <c r="P1934" s="841" t="s">
        <v>3203</v>
      </c>
      <c r="Q1934" s="1357"/>
      <c r="S1934" s="1420"/>
      <c r="T1934" s="1420"/>
      <c r="V1934" s="1357">
        <v>28</v>
      </c>
    </row>
    <row r="1935" spans="1:22" s="841" customFormat="1" ht="15" x14ac:dyDescent="0.25">
      <c r="A1935" s="841" t="s">
        <v>184</v>
      </c>
      <c r="E1935" s="1690" t="s">
        <v>5129</v>
      </c>
      <c r="F1935" s="1908"/>
      <c r="G1935" s="1408" t="s">
        <v>24</v>
      </c>
      <c r="H1935" s="393">
        <v>3.5000000000000001E-3</v>
      </c>
      <c r="K1935" s="841" t="s">
        <v>3197</v>
      </c>
      <c r="L1935" s="841" t="s">
        <v>443</v>
      </c>
      <c r="M1935" s="1357"/>
      <c r="P1935" s="841" t="s">
        <v>3205</v>
      </c>
      <c r="Q1935" s="1357"/>
      <c r="S1935" s="1420"/>
      <c r="T1935" s="1420">
        <v>43585</v>
      </c>
      <c r="V1935" s="1357">
        <v>139</v>
      </c>
    </row>
    <row r="1936" spans="1:22" s="841" customFormat="1" ht="15" x14ac:dyDescent="0.25">
      <c r="A1936" s="841" t="s">
        <v>184</v>
      </c>
      <c r="E1936" s="1690" t="s">
        <v>5130</v>
      </c>
      <c r="F1936" s="1908"/>
      <c r="G1936" s="1408" t="s">
        <v>24</v>
      </c>
      <c r="H1936" s="393">
        <v>-5.1999999999999998E-3</v>
      </c>
      <c r="K1936" s="841" t="s">
        <v>3197</v>
      </c>
      <c r="L1936" s="841" t="s">
        <v>443</v>
      </c>
      <c r="M1936" s="1357"/>
      <c r="P1936" s="841" t="s">
        <v>3207</v>
      </c>
      <c r="Q1936" s="1357"/>
      <c r="S1936" s="1420"/>
      <c r="T1936" s="1420">
        <v>43585</v>
      </c>
      <c r="V1936" s="1357">
        <v>96</v>
      </c>
    </row>
    <row r="1937" spans="1:22" s="841" customFormat="1" ht="15" x14ac:dyDescent="0.25">
      <c r="A1937" s="841" t="s">
        <v>184</v>
      </c>
      <c r="E1937" s="1690" t="s">
        <v>5299</v>
      </c>
      <c r="F1937" s="1908"/>
      <c r="G1937" s="1408" t="s">
        <v>24</v>
      </c>
      <c r="H1937" s="393">
        <v>1.6000000000000001E-3</v>
      </c>
      <c r="K1937" s="841" t="s">
        <v>3197</v>
      </c>
      <c r="L1937" s="841" t="s">
        <v>443</v>
      </c>
      <c r="M1937" s="1357"/>
      <c r="P1937" s="841" t="s">
        <v>4526</v>
      </c>
      <c r="Q1937" s="1357"/>
      <c r="S1937" s="1420"/>
      <c r="T1937" s="1420">
        <v>43585</v>
      </c>
      <c r="V1937" s="1357">
        <v>138</v>
      </c>
    </row>
    <row r="1938" spans="1:22" s="841" customFormat="1" ht="15" x14ac:dyDescent="0.25">
      <c r="A1938" s="841" t="s">
        <v>184</v>
      </c>
      <c r="E1938" s="1690" t="s">
        <v>5300</v>
      </c>
      <c r="F1938" s="1908"/>
      <c r="G1938" s="1408" t="s">
        <v>24</v>
      </c>
      <c r="H1938" s="393">
        <v>2.0000000000000001E-4</v>
      </c>
      <c r="K1938" s="841" t="s">
        <v>3197</v>
      </c>
      <c r="L1938" s="841" t="s">
        <v>443</v>
      </c>
      <c r="M1938" s="1357"/>
      <c r="P1938" s="841" t="s">
        <v>5103</v>
      </c>
      <c r="Q1938" s="1357"/>
      <c r="S1938" s="1420"/>
      <c r="T1938" s="1420">
        <v>43585</v>
      </c>
      <c r="V1938" s="1357">
        <v>142</v>
      </c>
    </row>
    <row r="1939" spans="1:22" s="841" customFormat="1" ht="15" x14ac:dyDescent="0.25">
      <c r="A1939" s="841" t="s">
        <v>184</v>
      </c>
      <c r="E1939" s="1690" t="s">
        <v>221</v>
      </c>
      <c r="F1939" s="1690"/>
      <c r="G1939" s="1408" t="s">
        <v>24</v>
      </c>
      <c r="H1939" s="393">
        <v>5.8999999999999999E-3</v>
      </c>
      <c r="K1939" s="841" t="s">
        <v>3197</v>
      </c>
      <c r="L1939" s="841" t="s">
        <v>444</v>
      </c>
      <c r="M1939" s="1357"/>
      <c r="P1939" s="841" t="s">
        <v>3208</v>
      </c>
      <c r="Q1939" s="1357"/>
      <c r="S1939" s="1420"/>
      <c r="T1939" s="1420"/>
      <c r="V1939" s="1357">
        <v>47</v>
      </c>
    </row>
    <row r="1940" spans="1:22" s="841" customFormat="1" ht="15" x14ac:dyDescent="0.25">
      <c r="A1940" s="841" t="s">
        <v>184</v>
      </c>
      <c r="E1940" s="1690" t="s">
        <v>217</v>
      </c>
      <c r="F1940" s="1690"/>
      <c r="G1940" s="1408" t="s">
        <v>24</v>
      </c>
      <c r="H1940" s="393">
        <v>1.6000000000000001E-3</v>
      </c>
      <c r="K1940" s="841" t="s">
        <v>3197</v>
      </c>
      <c r="L1940" s="841" t="s">
        <v>444</v>
      </c>
      <c r="M1940" s="1357"/>
      <c r="P1940" s="841" t="s">
        <v>3209</v>
      </c>
      <c r="Q1940" s="1357"/>
      <c r="S1940" s="1420"/>
      <c r="T1940" s="1420"/>
      <c r="V1940" s="1357">
        <v>74</v>
      </c>
    </row>
    <row r="1941" spans="1:22" s="841" customFormat="1" ht="15" x14ac:dyDescent="0.25">
      <c r="A1941" s="841" t="s">
        <v>184</v>
      </c>
      <c r="E1941" s="1694" t="s">
        <v>3079</v>
      </c>
      <c r="F1941" s="1690"/>
      <c r="G1941" s="1408"/>
      <c r="H1941" s="1408"/>
      <c r="K1941" s="841" t="s">
        <v>3080</v>
      </c>
      <c r="M1941" s="1357"/>
      <c r="Q1941" s="1357"/>
      <c r="S1941" s="1420"/>
      <c r="T1941" s="1420"/>
      <c r="V1941" s="1357">
        <v>48</v>
      </c>
    </row>
    <row r="1942" spans="1:22" s="841" customFormat="1" ht="15" x14ac:dyDescent="0.25">
      <c r="A1942" s="841" t="s">
        <v>184</v>
      </c>
      <c r="E1942" s="1690" t="s">
        <v>2449</v>
      </c>
      <c r="F1942" s="1690"/>
      <c r="G1942" s="1408" t="s">
        <v>24</v>
      </c>
      <c r="H1942" s="393">
        <v>3.2000000000000002E-3</v>
      </c>
      <c r="K1942" s="841" t="s">
        <v>3197</v>
      </c>
      <c r="L1942" s="841" t="s">
        <v>3046</v>
      </c>
      <c r="M1942" s="1357"/>
      <c r="P1942" s="841" t="s">
        <v>3210</v>
      </c>
      <c r="Q1942" s="1357"/>
      <c r="S1942" s="1420"/>
      <c r="T1942" s="1420"/>
      <c r="V1942" s="1357">
        <v>55</v>
      </c>
    </row>
    <row r="1943" spans="1:22" s="841" customFormat="1" ht="15" x14ac:dyDescent="0.25">
      <c r="A1943" s="841" t="s">
        <v>184</v>
      </c>
      <c r="E1943" s="1690" t="s">
        <v>2450</v>
      </c>
      <c r="F1943" s="1690"/>
      <c r="G1943" s="1408" t="s">
        <v>24</v>
      </c>
      <c r="H1943" s="393">
        <v>4.0000000000000002E-4</v>
      </c>
      <c r="K1943" s="841" t="s">
        <v>3197</v>
      </c>
      <c r="L1943" s="841" t="s">
        <v>3046</v>
      </c>
      <c r="M1943" s="1357"/>
      <c r="P1943" s="841" t="s">
        <v>3210</v>
      </c>
      <c r="Q1943" s="1357"/>
      <c r="S1943" s="1420"/>
      <c r="T1943" s="1420"/>
      <c r="V1943" s="1357">
        <v>65</v>
      </c>
    </row>
    <row r="1944" spans="1:22" s="841" customFormat="1" ht="15" x14ac:dyDescent="0.25">
      <c r="A1944" s="841" t="s">
        <v>184</v>
      </c>
      <c r="E1944" s="1690" t="s">
        <v>439</v>
      </c>
      <c r="F1944" s="1690"/>
      <c r="G1944" s="1408" t="s">
        <v>24</v>
      </c>
      <c r="H1944" s="393">
        <v>2.9999999999999997E-4</v>
      </c>
      <c r="K1944" s="841" t="s">
        <v>3197</v>
      </c>
      <c r="L1944" s="841" t="s">
        <v>3046</v>
      </c>
      <c r="M1944" s="1357"/>
      <c r="P1944" s="841" t="s">
        <v>3212</v>
      </c>
      <c r="Q1944" s="1357"/>
      <c r="S1944" s="1420"/>
      <c r="T1944" s="1420"/>
      <c r="V1944" s="1357">
        <v>57</v>
      </c>
    </row>
    <row r="1945" spans="1:22" s="841" customFormat="1" ht="15" x14ac:dyDescent="0.25">
      <c r="A1945" s="841" t="s">
        <v>184</v>
      </c>
      <c r="E1945" s="1690" t="s">
        <v>32</v>
      </c>
      <c r="F1945" s="1690"/>
      <c r="G1945" s="1408" t="s">
        <v>23</v>
      </c>
      <c r="H1945" s="391">
        <v>0.25</v>
      </c>
      <c r="K1945" s="841" t="s">
        <v>3197</v>
      </c>
      <c r="L1945" s="841" t="s">
        <v>3046</v>
      </c>
      <c r="M1945" s="1357"/>
      <c r="P1945" s="841" t="s">
        <v>3213</v>
      </c>
      <c r="Q1945" s="1357"/>
      <c r="S1945" s="1420"/>
      <c r="T1945" s="1420"/>
      <c r="V1945" s="1357">
        <v>63</v>
      </c>
    </row>
    <row r="1946" spans="1:22" s="841" customFormat="1" x14ac:dyDescent="0.25">
      <c r="A1946" s="841" t="s">
        <v>184</v>
      </c>
      <c r="E1946" s="1909" t="s">
        <v>3214</v>
      </c>
      <c r="F1946" s="1915"/>
      <c r="G1946" s="1915"/>
      <c r="H1946" s="1915"/>
      <c r="K1946" s="841" t="s">
        <v>5110</v>
      </c>
      <c r="M1946" s="1357"/>
      <c r="Q1946" s="1357"/>
      <c r="S1946" s="1420"/>
      <c r="T1946" s="1420"/>
      <c r="V1946" s="1357">
        <v>54</v>
      </c>
    </row>
    <row r="1947" spans="1:22" s="841" customFormat="1" ht="15" x14ac:dyDescent="0.25">
      <c r="A1947" s="841" t="s">
        <v>184</v>
      </c>
      <c r="E1947" s="1689" t="s">
        <v>3925</v>
      </c>
      <c r="F1947" s="1689"/>
      <c r="G1947" s="1689"/>
      <c r="H1947" s="1689"/>
      <c r="K1947" s="841" t="s">
        <v>5110</v>
      </c>
      <c r="M1947" s="1357"/>
      <c r="Q1947" s="1357"/>
      <c r="S1947" s="1420"/>
      <c r="T1947" s="1420"/>
      <c r="V1947" s="1357">
        <v>335</v>
      </c>
    </row>
    <row r="1948" spans="1:22" s="841" customFormat="1" ht="15" x14ac:dyDescent="0.25">
      <c r="A1948" s="841" t="s">
        <v>184</v>
      </c>
      <c r="E1948" s="1916" t="s">
        <v>3061</v>
      </c>
      <c r="F1948" s="1697"/>
      <c r="G1948" s="1697"/>
      <c r="H1948" s="1697"/>
      <c r="K1948" s="841" t="s">
        <v>3086</v>
      </c>
      <c r="M1948" s="1357"/>
      <c r="Q1948" s="1357"/>
      <c r="S1948" s="1420"/>
      <c r="T1948" s="1420"/>
      <c r="V1948" s="1357">
        <v>11</v>
      </c>
    </row>
    <row r="1949" spans="1:22" s="841" customFormat="1" ht="15" x14ac:dyDescent="0.25">
      <c r="A1949" s="841" t="s">
        <v>184</v>
      </c>
      <c r="E1949" s="1689" t="s">
        <v>3063</v>
      </c>
      <c r="F1949" s="1689"/>
      <c r="G1949" s="1689"/>
      <c r="H1949" s="1689"/>
      <c r="K1949" s="841" t="s">
        <v>5110</v>
      </c>
      <c r="M1949" s="1357"/>
      <c r="Q1949" s="1357"/>
      <c r="S1949" s="1420"/>
      <c r="T1949" s="1420"/>
      <c r="V1949" s="1357">
        <v>280</v>
      </c>
    </row>
    <row r="1950" spans="1:22" s="841" customFormat="1" ht="15" x14ac:dyDescent="0.25">
      <c r="A1950" s="841" t="s">
        <v>184</v>
      </c>
      <c r="E1950" s="1689" t="s">
        <v>3064</v>
      </c>
      <c r="F1950" s="1689"/>
      <c r="G1950" s="1689"/>
      <c r="H1950" s="1689"/>
      <c r="K1950" s="841" t="s">
        <v>5110</v>
      </c>
      <c r="M1950" s="1357"/>
      <c r="Q1950" s="1357"/>
      <c r="S1950" s="1420"/>
      <c r="T1950" s="1420"/>
      <c r="V1950" s="1357">
        <v>411</v>
      </c>
    </row>
    <row r="1951" spans="1:22" s="841" customFormat="1" ht="15" x14ac:dyDescent="0.25">
      <c r="A1951" s="841" t="s">
        <v>184</v>
      </c>
      <c r="E1951" s="1689" t="s">
        <v>3065</v>
      </c>
      <c r="F1951" s="1689"/>
      <c r="G1951" s="1689"/>
      <c r="H1951" s="1689"/>
      <c r="K1951" s="841" t="s">
        <v>5110</v>
      </c>
      <c r="M1951" s="1357"/>
      <c r="Q1951" s="1357"/>
      <c r="S1951" s="1420"/>
      <c r="T1951" s="1420"/>
      <c r="V1951" s="1357">
        <v>387</v>
      </c>
    </row>
    <row r="1952" spans="1:22" s="841" customFormat="1" ht="15" x14ac:dyDescent="0.25">
      <c r="A1952" s="841" t="s">
        <v>184</v>
      </c>
      <c r="E1952" s="1689" t="s">
        <v>3200</v>
      </c>
      <c r="F1952" s="1689"/>
      <c r="G1952" s="1689"/>
      <c r="H1952" s="1689"/>
      <c r="K1952" s="841" t="s">
        <v>5110</v>
      </c>
      <c r="M1952" s="1357"/>
      <c r="Q1952" s="1357"/>
      <c r="S1952" s="1420"/>
      <c r="T1952" s="1420"/>
      <c r="V1952" s="1357">
        <v>275</v>
      </c>
    </row>
    <row r="1953" spans="1:22" s="841" customFormat="1" ht="15" x14ac:dyDescent="0.25">
      <c r="A1953" s="841" t="s">
        <v>184</v>
      </c>
      <c r="E1953" s="1694" t="s">
        <v>3067</v>
      </c>
      <c r="F1953" s="1907"/>
      <c r="G1953" s="1907"/>
      <c r="H1953" s="1907"/>
      <c r="K1953" s="841" t="s">
        <v>3087</v>
      </c>
      <c r="M1953" s="1357"/>
      <c r="Q1953" s="1357"/>
      <c r="S1953" s="1420"/>
      <c r="T1953" s="1420"/>
      <c r="V1953" s="1357">
        <v>46</v>
      </c>
    </row>
    <row r="1954" spans="1:22" s="841" customFormat="1" ht="15" x14ac:dyDescent="0.25">
      <c r="A1954" s="841" t="s">
        <v>184</v>
      </c>
      <c r="E1954" s="1690" t="s">
        <v>11</v>
      </c>
      <c r="F1954" s="1690"/>
      <c r="G1954" s="1408" t="s">
        <v>23</v>
      </c>
      <c r="H1954" s="391">
        <v>27.39</v>
      </c>
      <c r="K1954" s="841" t="s">
        <v>5110</v>
      </c>
      <c r="L1954" s="841" t="s">
        <v>442</v>
      </c>
      <c r="M1954" s="1357"/>
      <c r="P1954" s="841" t="s">
        <v>5111</v>
      </c>
      <c r="Q1954" s="1357"/>
      <c r="S1954" s="1420"/>
      <c r="T1954" s="1420"/>
      <c r="V1954" s="1357">
        <v>14</v>
      </c>
    </row>
    <row r="1955" spans="1:22" s="841" customFormat="1" ht="15" x14ac:dyDescent="0.25">
      <c r="A1955" s="841" t="s">
        <v>184</v>
      </c>
      <c r="E1955" s="1690" t="s">
        <v>5109</v>
      </c>
      <c r="F1955" s="1690"/>
      <c r="G1955" s="1408" t="s">
        <v>23</v>
      </c>
      <c r="H1955" s="391">
        <v>0.56999999999999995</v>
      </c>
      <c r="K1955" s="841" t="s">
        <v>5110</v>
      </c>
      <c r="L1955" s="841" t="s">
        <v>443</v>
      </c>
      <c r="M1955" s="1357"/>
      <c r="P1955" s="841" t="s">
        <v>5112</v>
      </c>
      <c r="Q1955" s="1357"/>
      <c r="S1955" s="1420"/>
      <c r="T1955" s="1420">
        <v>44926</v>
      </c>
      <c r="V1955" s="1357">
        <v>64</v>
      </c>
    </row>
    <row r="1956" spans="1:22" s="841" customFormat="1" ht="15" x14ac:dyDescent="0.25">
      <c r="A1956" s="841" t="s">
        <v>184</v>
      </c>
      <c r="E1956" s="1690" t="s">
        <v>84</v>
      </c>
      <c r="F1956" s="1690"/>
      <c r="G1956" s="1408" t="s">
        <v>24</v>
      </c>
      <c r="H1956" s="393">
        <v>1.3100000000000001E-2</v>
      </c>
      <c r="K1956" s="841" t="s">
        <v>5110</v>
      </c>
      <c r="L1956" s="841" t="s">
        <v>442</v>
      </c>
      <c r="M1956" s="1357"/>
      <c r="P1956" s="841" t="s">
        <v>5113</v>
      </c>
      <c r="Q1956" s="1357"/>
      <c r="S1956" s="1420"/>
      <c r="T1956" s="1420"/>
      <c r="V1956" s="1357">
        <v>28</v>
      </c>
    </row>
    <row r="1957" spans="1:22" s="841" customFormat="1" ht="15" x14ac:dyDescent="0.25">
      <c r="A1957" s="841" t="s">
        <v>184</v>
      </c>
      <c r="E1957" s="1690" t="s">
        <v>5129</v>
      </c>
      <c r="F1957" s="1908"/>
      <c r="G1957" s="1408" t="s">
        <v>24</v>
      </c>
      <c r="H1957" s="393">
        <v>3.5000000000000001E-3</v>
      </c>
      <c r="K1957" s="841" t="s">
        <v>5110</v>
      </c>
      <c r="L1957" s="841" t="s">
        <v>443</v>
      </c>
      <c r="M1957" s="1357"/>
      <c r="P1957" s="841" t="s">
        <v>4818</v>
      </c>
      <c r="Q1957" s="1357"/>
      <c r="S1957" s="1420"/>
      <c r="T1957" s="1420">
        <v>43585</v>
      </c>
      <c r="V1957" s="1357">
        <v>139</v>
      </c>
    </row>
    <row r="1958" spans="1:22" s="841" customFormat="1" ht="15" x14ac:dyDescent="0.25">
      <c r="A1958" s="841" t="s">
        <v>184</v>
      </c>
      <c r="E1958" s="1690" t="s">
        <v>5130</v>
      </c>
      <c r="F1958" s="1908"/>
      <c r="G1958" s="1408" t="s">
        <v>24</v>
      </c>
      <c r="H1958" s="393">
        <v>-5.3E-3</v>
      </c>
      <c r="K1958" s="841" t="s">
        <v>5110</v>
      </c>
      <c r="L1958" s="841" t="s">
        <v>443</v>
      </c>
      <c r="M1958" s="1357"/>
      <c r="P1958" s="841" t="s">
        <v>5124</v>
      </c>
      <c r="Q1958" s="1357"/>
      <c r="S1958" s="1420"/>
      <c r="T1958" s="1420">
        <v>43585</v>
      </c>
      <c r="V1958" s="1357">
        <v>96</v>
      </c>
    </row>
    <row r="1959" spans="1:22" s="841" customFormat="1" ht="15" x14ac:dyDescent="0.25">
      <c r="A1959" s="841" t="s">
        <v>184</v>
      </c>
      <c r="E1959" s="1690" t="s">
        <v>5301</v>
      </c>
      <c r="F1959" s="1908"/>
      <c r="G1959" s="1408" t="s">
        <v>24</v>
      </c>
      <c r="H1959" s="393">
        <v>6.9999999999999999E-4</v>
      </c>
      <c r="K1959" s="841" t="s">
        <v>5110</v>
      </c>
      <c r="L1959" s="841" t="s">
        <v>443</v>
      </c>
      <c r="M1959" s="1357"/>
      <c r="P1959" s="841" t="s">
        <v>5302</v>
      </c>
      <c r="Q1959" s="1357"/>
      <c r="S1959" s="1420"/>
      <c r="T1959" s="1420">
        <v>43585</v>
      </c>
      <c r="V1959" s="1357">
        <v>140</v>
      </c>
    </row>
    <row r="1960" spans="1:22" s="841" customFormat="1" ht="15" x14ac:dyDescent="0.25">
      <c r="A1960" s="841" t="s">
        <v>184</v>
      </c>
      <c r="E1960" s="1690" t="s">
        <v>5303</v>
      </c>
      <c r="F1960" s="1908"/>
      <c r="G1960" s="1408" t="s">
        <v>24</v>
      </c>
      <c r="H1960" s="393">
        <v>2.0000000000000001E-4</v>
      </c>
      <c r="K1960" s="841" t="s">
        <v>5110</v>
      </c>
      <c r="L1960" s="841" t="s">
        <v>443</v>
      </c>
      <c r="M1960" s="1357"/>
      <c r="P1960" s="841" t="s">
        <v>5287</v>
      </c>
      <c r="Q1960" s="1357"/>
      <c r="S1960" s="1420"/>
      <c r="T1960" s="1420">
        <v>43585</v>
      </c>
      <c r="V1960" s="1357">
        <v>141</v>
      </c>
    </row>
    <row r="1961" spans="1:22" s="841" customFormat="1" ht="15" x14ac:dyDescent="0.25">
      <c r="A1961" s="841" t="s">
        <v>184</v>
      </c>
      <c r="E1961" s="1690" t="s">
        <v>221</v>
      </c>
      <c r="F1961" s="1690"/>
      <c r="G1961" s="1408" t="s">
        <v>24</v>
      </c>
      <c r="H1961" s="393">
        <v>5.1000000000000004E-3</v>
      </c>
      <c r="K1961" s="841" t="s">
        <v>5110</v>
      </c>
      <c r="L1961" s="841" t="s">
        <v>444</v>
      </c>
      <c r="M1961" s="1357"/>
      <c r="P1961" s="841" t="s">
        <v>5115</v>
      </c>
      <c r="Q1961" s="1357"/>
      <c r="S1961" s="1420"/>
      <c r="T1961" s="1420"/>
      <c r="V1961" s="1357">
        <v>47</v>
      </c>
    </row>
    <row r="1962" spans="1:22" s="841" customFormat="1" ht="15" x14ac:dyDescent="0.25">
      <c r="A1962" s="841" t="s">
        <v>184</v>
      </c>
      <c r="E1962" s="1690" t="s">
        <v>217</v>
      </c>
      <c r="F1962" s="1690"/>
      <c r="G1962" s="1408" t="s">
        <v>24</v>
      </c>
      <c r="H1962" s="393">
        <v>1.4E-3</v>
      </c>
      <c r="K1962" s="841" t="s">
        <v>5110</v>
      </c>
      <c r="L1962" s="841" t="s">
        <v>444</v>
      </c>
      <c r="M1962" s="1357"/>
      <c r="P1962" s="841" t="s">
        <v>5116</v>
      </c>
      <c r="Q1962" s="1357"/>
      <c r="S1962" s="1420"/>
      <c r="T1962" s="1420"/>
      <c r="V1962" s="1357">
        <v>74</v>
      </c>
    </row>
    <row r="1963" spans="1:22" s="841" customFormat="1" ht="15" x14ac:dyDescent="0.25">
      <c r="A1963" s="841" t="s">
        <v>184</v>
      </c>
      <c r="E1963" s="1694" t="s">
        <v>3079</v>
      </c>
      <c r="F1963" s="1690"/>
      <c r="G1963" s="1408"/>
      <c r="H1963" s="1408"/>
      <c r="K1963" s="841" t="s">
        <v>3093</v>
      </c>
      <c r="M1963" s="1357"/>
      <c r="Q1963" s="1357"/>
      <c r="S1963" s="1420"/>
      <c r="T1963" s="1420"/>
      <c r="V1963" s="1357">
        <v>48</v>
      </c>
    </row>
    <row r="1964" spans="1:22" s="841" customFormat="1" ht="15" x14ac:dyDescent="0.25">
      <c r="A1964" s="841" t="s">
        <v>184</v>
      </c>
      <c r="E1964" s="1690" t="s">
        <v>2449</v>
      </c>
      <c r="F1964" s="1690"/>
      <c r="G1964" s="1408" t="s">
        <v>24</v>
      </c>
      <c r="H1964" s="393">
        <v>3.2000000000000002E-3</v>
      </c>
      <c r="K1964" s="841" t="s">
        <v>5110</v>
      </c>
      <c r="L1964" s="841" t="s">
        <v>3046</v>
      </c>
      <c r="M1964" s="1357"/>
      <c r="P1964" s="841" t="s">
        <v>5117</v>
      </c>
      <c r="Q1964" s="1357"/>
      <c r="S1964" s="1420"/>
      <c r="T1964" s="1420"/>
      <c r="V1964" s="1357">
        <v>55</v>
      </c>
    </row>
    <row r="1965" spans="1:22" s="841" customFormat="1" ht="15" x14ac:dyDescent="0.25">
      <c r="A1965" s="841" t="s">
        <v>184</v>
      </c>
      <c r="E1965" s="1690" t="s">
        <v>2450</v>
      </c>
      <c r="F1965" s="1690"/>
      <c r="G1965" s="1408" t="s">
        <v>24</v>
      </c>
      <c r="H1965" s="393">
        <v>4.0000000000000002E-4</v>
      </c>
      <c r="K1965" s="841" t="s">
        <v>5110</v>
      </c>
      <c r="L1965" s="841" t="s">
        <v>3046</v>
      </c>
      <c r="M1965" s="1357"/>
      <c r="P1965" s="841" t="s">
        <v>5117</v>
      </c>
      <c r="Q1965" s="1357"/>
      <c r="S1965" s="1420"/>
      <c r="T1965" s="1420"/>
      <c r="V1965" s="1357">
        <v>65</v>
      </c>
    </row>
    <row r="1966" spans="1:22" s="841" customFormat="1" ht="15" x14ac:dyDescent="0.25">
      <c r="A1966" s="841" t="s">
        <v>184</v>
      </c>
      <c r="E1966" s="1690" t="s">
        <v>439</v>
      </c>
      <c r="F1966" s="1690"/>
      <c r="G1966" s="1408" t="s">
        <v>24</v>
      </c>
      <c r="H1966" s="393">
        <v>2.9999999999999997E-4</v>
      </c>
      <c r="K1966" s="841" t="s">
        <v>5110</v>
      </c>
      <c r="L1966" s="841" t="s">
        <v>3046</v>
      </c>
      <c r="M1966" s="1357"/>
      <c r="P1966" s="841" t="s">
        <v>5118</v>
      </c>
      <c r="Q1966" s="1357"/>
      <c r="S1966" s="1420"/>
      <c r="T1966" s="1420"/>
      <c r="V1966" s="1357">
        <v>57</v>
      </c>
    </row>
    <row r="1967" spans="1:22" s="841" customFormat="1" ht="15" x14ac:dyDescent="0.25">
      <c r="A1967" s="841" t="s">
        <v>184</v>
      </c>
      <c r="E1967" s="1690" t="s">
        <v>32</v>
      </c>
      <c r="F1967" s="1690"/>
      <c r="G1967" s="1408" t="s">
        <v>23</v>
      </c>
      <c r="H1967" s="391">
        <v>0.25</v>
      </c>
      <c r="K1967" s="841" t="s">
        <v>5110</v>
      </c>
      <c r="L1967" s="841" t="s">
        <v>3046</v>
      </c>
      <c r="M1967" s="1357"/>
      <c r="P1967" s="841" t="s">
        <v>5119</v>
      </c>
      <c r="Q1967" s="1357"/>
      <c r="S1967" s="1420"/>
      <c r="T1967" s="1420"/>
      <c r="V1967" s="1357">
        <v>63</v>
      </c>
    </row>
    <row r="1968" spans="1:22" s="841" customFormat="1" x14ac:dyDescent="0.25">
      <c r="A1968" s="841" t="s">
        <v>184</v>
      </c>
      <c r="E1968" s="1909" t="s">
        <v>616</v>
      </c>
      <c r="F1968" s="1915"/>
      <c r="G1968" s="1915"/>
      <c r="H1968" s="1915"/>
      <c r="K1968" s="841" t="s">
        <v>6095</v>
      </c>
      <c r="M1968" s="1357"/>
      <c r="Q1968" s="1357"/>
      <c r="S1968" s="1420"/>
      <c r="T1968" s="1420"/>
      <c r="V1968" s="1357">
        <v>53</v>
      </c>
    </row>
    <row r="1969" spans="1:22" s="841" customFormat="1" ht="15" x14ac:dyDescent="0.25">
      <c r="A1969" s="841" t="s">
        <v>184</v>
      </c>
      <c r="E1969" s="1689" t="s">
        <v>4062</v>
      </c>
      <c r="F1969" s="1689"/>
      <c r="G1969" s="1689"/>
      <c r="H1969" s="1689"/>
      <c r="K1969" s="841" t="s">
        <v>6095</v>
      </c>
      <c r="M1969" s="1357"/>
      <c r="Q1969" s="1357"/>
      <c r="S1969" s="1420"/>
      <c r="T1969" s="1420"/>
      <c r="V1969" s="1357">
        <v>749</v>
      </c>
    </row>
    <row r="1970" spans="1:22" s="841" customFormat="1" ht="15" x14ac:dyDescent="0.25">
      <c r="A1970" s="841" t="s">
        <v>184</v>
      </c>
      <c r="E1970" s="1916" t="s">
        <v>3061</v>
      </c>
      <c r="F1970" s="1697"/>
      <c r="G1970" s="1697"/>
      <c r="H1970" s="1697"/>
      <c r="K1970" s="841" t="s">
        <v>3098</v>
      </c>
      <c r="M1970" s="1357"/>
      <c r="Q1970" s="1357"/>
      <c r="S1970" s="1420"/>
      <c r="T1970" s="1420"/>
      <c r="V1970" s="1357">
        <v>11</v>
      </c>
    </row>
    <row r="1971" spans="1:22" s="841" customFormat="1" ht="15" x14ac:dyDescent="0.25">
      <c r="A1971" s="841" t="s">
        <v>184</v>
      </c>
      <c r="E1971" s="1689" t="s">
        <v>3063</v>
      </c>
      <c r="F1971" s="1689"/>
      <c r="G1971" s="1689"/>
      <c r="H1971" s="1689"/>
      <c r="K1971" s="841" t="s">
        <v>6095</v>
      </c>
      <c r="M1971" s="1357"/>
      <c r="Q1971" s="1357"/>
      <c r="S1971" s="1420"/>
      <c r="T1971" s="1420"/>
      <c r="V1971" s="1357">
        <v>280</v>
      </c>
    </row>
    <row r="1972" spans="1:22" s="841" customFormat="1" ht="15" x14ac:dyDescent="0.25">
      <c r="A1972" s="841" t="s">
        <v>184</v>
      </c>
      <c r="E1972" s="1689" t="s">
        <v>3064</v>
      </c>
      <c r="F1972" s="1689"/>
      <c r="G1972" s="1689"/>
      <c r="H1972" s="1689"/>
      <c r="K1972" s="841" t="s">
        <v>6095</v>
      </c>
      <c r="M1972" s="1357"/>
      <c r="Q1972" s="1357"/>
      <c r="S1972" s="1420"/>
      <c r="T1972" s="1420"/>
      <c r="V1972" s="1357">
        <v>411</v>
      </c>
    </row>
    <row r="1973" spans="1:22" s="841" customFormat="1" ht="15" x14ac:dyDescent="0.25">
      <c r="A1973" s="841" t="s">
        <v>184</v>
      </c>
      <c r="E1973" s="1689" t="s">
        <v>3065</v>
      </c>
      <c r="F1973" s="1689"/>
      <c r="G1973" s="1689"/>
      <c r="H1973" s="1689"/>
      <c r="K1973" s="841" t="s">
        <v>6095</v>
      </c>
      <c r="M1973" s="1357"/>
      <c r="Q1973" s="1357"/>
      <c r="S1973" s="1420"/>
      <c r="T1973" s="1420"/>
      <c r="V1973" s="1357">
        <v>387</v>
      </c>
    </row>
    <row r="1974" spans="1:22" s="841" customFormat="1" ht="15" x14ac:dyDescent="0.25">
      <c r="A1974" s="841" t="s">
        <v>184</v>
      </c>
      <c r="E1974" s="1966" t="s">
        <v>3627</v>
      </c>
      <c r="F1974" s="1966"/>
      <c r="G1974" s="1966"/>
      <c r="H1974" s="1966"/>
      <c r="K1974" s="841" t="s">
        <v>6095</v>
      </c>
      <c r="M1974" s="1357"/>
      <c r="Q1974" s="1357"/>
      <c r="S1974" s="1420"/>
      <c r="T1974" s="1420"/>
      <c r="V1974" s="1357">
        <v>610</v>
      </c>
    </row>
    <row r="1975" spans="1:22" s="841" customFormat="1" ht="15" x14ac:dyDescent="0.25">
      <c r="A1975" s="841" t="s">
        <v>184</v>
      </c>
      <c r="E1975" s="1966" t="s">
        <v>5304</v>
      </c>
      <c r="F1975" s="1966"/>
      <c r="G1975" s="1966"/>
      <c r="H1975" s="1966"/>
      <c r="K1975" s="841" t="s">
        <v>6095</v>
      </c>
      <c r="M1975" s="1357"/>
      <c r="Q1975" s="1357"/>
      <c r="S1975" s="1420"/>
      <c r="T1975" s="1420"/>
      <c r="V1975" s="1357">
        <v>617</v>
      </c>
    </row>
    <row r="1976" spans="1:22" s="841" customFormat="1" ht="15" x14ac:dyDescent="0.25">
      <c r="A1976" s="841" t="s">
        <v>184</v>
      </c>
      <c r="E1976" s="1689" t="s">
        <v>3200</v>
      </c>
      <c r="F1976" s="1689"/>
      <c r="G1976" s="1689"/>
      <c r="H1976" s="1689"/>
      <c r="K1976" s="841" t="s">
        <v>6095</v>
      </c>
      <c r="M1976" s="1357"/>
      <c r="Q1976" s="1357"/>
      <c r="S1976" s="1420"/>
      <c r="T1976" s="1420"/>
      <c r="V1976" s="1357">
        <v>275</v>
      </c>
    </row>
    <row r="1977" spans="1:22" s="841" customFormat="1" ht="15" x14ac:dyDescent="0.25">
      <c r="A1977" s="841" t="s">
        <v>184</v>
      </c>
      <c r="E1977" s="1694" t="s">
        <v>3067</v>
      </c>
      <c r="F1977" s="1907"/>
      <c r="G1977" s="1907"/>
      <c r="H1977" s="1907"/>
      <c r="K1977" s="841" t="s">
        <v>3099</v>
      </c>
      <c r="M1977" s="1357"/>
      <c r="Q1977" s="1357"/>
      <c r="S1977" s="1420"/>
      <c r="T1977" s="1420"/>
      <c r="V1977" s="1357">
        <v>46</v>
      </c>
    </row>
    <row r="1978" spans="1:22" s="841" customFormat="1" ht="15" x14ac:dyDescent="0.25">
      <c r="A1978" s="841" t="s">
        <v>184</v>
      </c>
      <c r="E1978" s="1690" t="s">
        <v>11</v>
      </c>
      <c r="F1978" s="1690"/>
      <c r="G1978" s="1408" t="s">
        <v>23</v>
      </c>
      <c r="H1978" s="391">
        <v>180.79</v>
      </c>
      <c r="K1978" s="841" t="s">
        <v>6095</v>
      </c>
      <c r="L1978" s="841" t="s">
        <v>442</v>
      </c>
      <c r="M1978" s="1357"/>
      <c r="P1978" s="841" t="s">
        <v>6096</v>
      </c>
      <c r="Q1978" s="1357"/>
      <c r="S1978" s="1420"/>
      <c r="T1978" s="1420"/>
      <c r="V1978" s="1357">
        <v>14</v>
      </c>
    </row>
    <row r="1979" spans="1:22" s="841" customFormat="1" ht="15" x14ac:dyDescent="0.25">
      <c r="A1979" s="841" t="s">
        <v>184</v>
      </c>
      <c r="E1979" s="1690" t="s">
        <v>84</v>
      </c>
      <c r="F1979" s="1690"/>
      <c r="G1979" s="1408" t="s">
        <v>33</v>
      </c>
      <c r="H1979" s="393">
        <v>4.7003000000000004</v>
      </c>
      <c r="K1979" s="841" t="s">
        <v>6095</v>
      </c>
      <c r="L1979" s="841" t="s">
        <v>442</v>
      </c>
      <c r="M1979" s="1357"/>
      <c r="P1979" s="841" t="s">
        <v>6097</v>
      </c>
      <c r="Q1979" s="1357"/>
      <c r="S1979" s="1420"/>
      <c r="T1979" s="1420"/>
      <c r="V1979" s="1357">
        <v>28</v>
      </c>
    </row>
    <row r="1980" spans="1:22" s="841" customFormat="1" ht="15" x14ac:dyDescent="0.25">
      <c r="A1980" s="841" t="s">
        <v>184</v>
      </c>
      <c r="E1980" s="1690" t="s">
        <v>5129</v>
      </c>
      <c r="F1980" s="1908"/>
      <c r="G1980" s="1408" t="s">
        <v>24</v>
      </c>
      <c r="H1980" s="393">
        <v>3.5000000000000001E-3</v>
      </c>
      <c r="K1980" s="841" t="s">
        <v>6095</v>
      </c>
      <c r="L1980" s="841" t="s">
        <v>443</v>
      </c>
      <c r="M1980" s="1357"/>
      <c r="P1980" s="841" t="s">
        <v>6104</v>
      </c>
      <c r="Q1980" s="1357"/>
      <c r="S1980" s="1420"/>
      <c r="T1980" s="1420">
        <v>43585</v>
      </c>
      <c r="V1980" s="1357">
        <v>139</v>
      </c>
    </row>
    <row r="1981" spans="1:22" s="841" customFormat="1" ht="15" x14ac:dyDescent="0.25">
      <c r="A1981" s="841" t="s">
        <v>184</v>
      </c>
      <c r="E1981" s="1690" t="s">
        <v>5130</v>
      </c>
      <c r="F1981" s="1908"/>
      <c r="G1981" s="1408" t="s">
        <v>33</v>
      </c>
      <c r="H1981" s="393">
        <v>-0.43569999999999998</v>
      </c>
      <c r="K1981" s="841" t="s">
        <v>6095</v>
      </c>
      <c r="L1981" s="841" t="s">
        <v>443</v>
      </c>
      <c r="M1981" s="1357"/>
      <c r="P1981" s="841" t="s">
        <v>6105</v>
      </c>
      <c r="Q1981" s="1357"/>
      <c r="S1981" s="1420"/>
      <c r="T1981" s="1420">
        <v>43585</v>
      </c>
      <c r="V1981" s="1357">
        <v>96</v>
      </c>
    </row>
    <row r="1982" spans="1:22" s="841" customFormat="1" ht="15" x14ac:dyDescent="0.25">
      <c r="A1982" s="841" t="s">
        <v>184</v>
      </c>
      <c r="E1982" s="1690" t="s">
        <v>5305</v>
      </c>
      <c r="F1982" s="1908"/>
      <c r="G1982" s="1408" t="s">
        <v>33</v>
      </c>
      <c r="H1982" s="393">
        <v>-1.5170999999999999</v>
      </c>
      <c r="K1982" s="841" t="s">
        <v>6095</v>
      </c>
      <c r="L1982" s="841" t="s">
        <v>443</v>
      </c>
      <c r="M1982" s="1357"/>
      <c r="P1982" s="841" t="s">
        <v>6105</v>
      </c>
      <c r="Q1982" s="1357"/>
      <c r="S1982" s="1420"/>
      <c r="T1982" s="1420">
        <v>43585</v>
      </c>
      <c r="V1982" s="1357">
        <v>156</v>
      </c>
    </row>
    <row r="1983" spans="1:22" s="841" customFormat="1" ht="15" x14ac:dyDescent="0.25">
      <c r="A1983" s="841" t="s">
        <v>184</v>
      </c>
      <c r="E1983" s="1690" t="s">
        <v>5301</v>
      </c>
      <c r="F1983" s="1908"/>
      <c r="G1983" s="1408" t="s">
        <v>33</v>
      </c>
      <c r="H1983" s="393">
        <v>0.28539999999999999</v>
      </c>
      <c r="K1983" s="841" t="s">
        <v>6095</v>
      </c>
      <c r="L1983" s="841" t="s">
        <v>443</v>
      </c>
      <c r="M1983" s="1357"/>
      <c r="P1983" s="841" t="s">
        <v>6170</v>
      </c>
      <c r="Q1983" s="1357"/>
      <c r="S1983" s="1420"/>
      <c r="T1983" s="1420">
        <v>43585</v>
      </c>
      <c r="V1983" s="1357">
        <v>140</v>
      </c>
    </row>
    <row r="1984" spans="1:22" s="841" customFormat="1" ht="15" x14ac:dyDescent="0.25">
      <c r="A1984" s="841" t="s">
        <v>184</v>
      </c>
      <c r="E1984" s="1690" t="s">
        <v>5306</v>
      </c>
      <c r="F1984" s="1908"/>
      <c r="G1984" s="1408" t="s">
        <v>33</v>
      </c>
      <c r="H1984" s="393">
        <v>8.8999999999999996E-2</v>
      </c>
      <c r="K1984" s="841" t="s">
        <v>6095</v>
      </c>
      <c r="L1984" s="841" t="s">
        <v>443</v>
      </c>
      <c r="M1984" s="1357"/>
      <c r="P1984" s="841" t="s">
        <v>6112</v>
      </c>
      <c r="Q1984" s="1357"/>
      <c r="S1984" s="1420"/>
      <c r="T1984" s="1420">
        <v>43585</v>
      </c>
      <c r="V1984" s="1357">
        <v>143</v>
      </c>
    </row>
    <row r="1985" spans="1:22" s="841" customFormat="1" ht="15" x14ac:dyDescent="0.25">
      <c r="A1985" s="841" t="s">
        <v>184</v>
      </c>
      <c r="E1985" s="1690" t="s">
        <v>221</v>
      </c>
      <c r="F1985" s="1690"/>
      <c r="G1985" s="1408" t="s">
        <v>33</v>
      </c>
      <c r="H1985" s="393">
        <v>2.7181999999999999</v>
      </c>
      <c r="K1985" s="841" t="s">
        <v>6095</v>
      </c>
      <c r="L1985" s="841" t="s">
        <v>444</v>
      </c>
      <c r="M1985" s="1357"/>
      <c r="P1985" s="841" t="s">
        <v>6099</v>
      </c>
      <c r="Q1985" s="1357"/>
      <c r="S1985" s="1420"/>
      <c r="T1985" s="1420"/>
      <c r="V1985" s="1357">
        <v>47</v>
      </c>
    </row>
    <row r="1986" spans="1:22" s="841" customFormat="1" ht="15" x14ac:dyDescent="0.25">
      <c r="A1986" s="841" t="s">
        <v>184</v>
      </c>
      <c r="E1986" s="1690" t="s">
        <v>217</v>
      </c>
      <c r="F1986" s="1690"/>
      <c r="G1986" s="1408" t="s">
        <v>33</v>
      </c>
      <c r="H1986" s="393">
        <v>0.8034</v>
      </c>
      <c r="K1986" s="841" t="s">
        <v>6095</v>
      </c>
      <c r="L1986" s="841" t="s">
        <v>444</v>
      </c>
      <c r="M1986" s="1357"/>
      <c r="P1986" s="841" t="s">
        <v>6100</v>
      </c>
      <c r="Q1986" s="1357"/>
      <c r="S1986" s="1420"/>
      <c r="T1986" s="1420"/>
      <c r="V1986" s="1357">
        <v>74</v>
      </c>
    </row>
    <row r="1987" spans="1:22" s="841" customFormat="1" ht="15" x14ac:dyDescent="0.25">
      <c r="A1987" s="841" t="s">
        <v>184</v>
      </c>
      <c r="E1987" s="1694" t="s">
        <v>3079</v>
      </c>
      <c r="F1987" s="1690"/>
      <c r="G1987" s="1408"/>
      <c r="H1987" s="1408"/>
      <c r="K1987" s="841" t="s">
        <v>3218</v>
      </c>
      <c r="M1987" s="1357"/>
      <c r="Q1987" s="1357"/>
      <c r="S1987" s="1420"/>
      <c r="T1987" s="1420"/>
      <c r="V1987" s="1357">
        <v>48</v>
      </c>
    </row>
    <row r="1988" spans="1:22" s="841" customFormat="1" ht="15" x14ac:dyDescent="0.25">
      <c r="A1988" s="841" t="s">
        <v>184</v>
      </c>
      <c r="E1988" s="1690" t="s">
        <v>2449</v>
      </c>
      <c r="F1988" s="1690"/>
      <c r="G1988" s="1408" t="s">
        <v>24</v>
      </c>
      <c r="H1988" s="393">
        <v>3.2000000000000002E-3</v>
      </c>
      <c r="K1988" s="841" t="s">
        <v>6095</v>
      </c>
      <c r="L1988" s="841" t="s">
        <v>3046</v>
      </c>
      <c r="M1988" s="1357"/>
      <c r="P1988" s="841" t="s">
        <v>6101</v>
      </c>
      <c r="Q1988" s="1357"/>
      <c r="S1988" s="1420"/>
      <c r="T1988" s="1420"/>
      <c r="V1988" s="1357">
        <v>55</v>
      </c>
    </row>
    <row r="1989" spans="1:22" s="841" customFormat="1" ht="15" x14ac:dyDescent="0.25">
      <c r="A1989" s="841" t="s">
        <v>184</v>
      </c>
      <c r="E1989" s="1690" t="s">
        <v>2450</v>
      </c>
      <c r="F1989" s="1690"/>
      <c r="G1989" s="1408" t="s">
        <v>24</v>
      </c>
      <c r="H1989" s="393">
        <v>4.0000000000000002E-4</v>
      </c>
      <c r="K1989" s="841" t="s">
        <v>6095</v>
      </c>
      <c r="L1989" s="841" t="s">
        <v>3046</v>
      </c>
      <c r="M1989" s="1357"/>
      <c r="P1989" s="841" t="s">
        <v>6101</v>
      </c>
      <c r="Q1989" s="1357"/>
      <c r="S1989" s="1420"/>
      <c r="T1989" s="1420"/>
      <c r="V1989" s="1357">
        <v>65</v>
      </c>
    </row>
    <row r="1990" spans="1:22" s="841" customFormat="1" ht="15" x14ac:dyDescent="0.25">
      <c r="A1990" s="841" t="s">
        <v>184</v>
      </c>
      <c r="E1990" s="1690" t="s">
        <v>439</v>
      </c>
      <c r="F1990" s="1690"/>
      <c r="G1990" s="1408" t="s">
        <v>24</v>
      </c>
      <c r="H1990" s="393">
        <v>2.9999999999999997E-4</v>
      </c>
      <c r="K1990" s="841" t="s">
        <v>6095</v>
      </c>
      <c r="L1990" s="841" t="s">
        <v>3046</v>
      </c>
      <c r="M1990" s="1357"/>
      <c r="P1990" s="841" t="s">
        <v>6102</v>
      </c>
      <c r="Q1990" s="1357"/>
      <c r="S1990" s="1420"/>
      <c r="T1990" s="1420"/>
      <c r="V1990" s="1357">
        <v>57</v>
      </c>
    </row>
    <row r="1991" spans="1:22" s="841" customFormat="1" ht="15" x14ac:dyDescent="0.25">
      <c r="A1991" s="841" t="s">
        <v>184</v>
      </c>
      <c r="E1991" s="1690" t="s">
        <v>32</v>
      </c>
      <c r="F1991" s="1690"/>
      <c r="G1991" s="1408" t="s">
        <v>23</v>
      </c>
      <c r="H1991" s="391">
        <v>0.25</v>
      </c>
      <c r="K1991" s="841" t="s">
        <v>6095</v>
      </c>
      <c r="L1991" s="841" t="s">
        <v>3046</v>
      </c>
      <c r="M1991" s="1357"/>
      <c r="P1991" s="841" t="s">
        <v>6103</v>
      </c>
      <c r="Q1991" s="1357"/>
      <c r="S1991" s="1420"/>
      <c r="T1991" s="1420"/>
      <c r="V1991" s="1357">
        <v>63</v>
      </c>
    </row>
    <row r="1992" spans="1:22" s="841" customFormat="1" x14ac:dyDescent="0.25">
      <c r="A1992" s="841" t="s">
        <v>184</v>
      </c>
      <c r="E1992" s="1909" t="s">
        <v>621</v>
      </c>
      <c r="F1992" s="1915"/>
      <c r="G1992" s="1915"/>
      <c r="H1992" s="1915"/>
      <c r="K1992" s="841" t="s">
        <v>4394</v>
      </c>
      <c r="M1992" s="1357"/>
      <c r="Q1992" s="1357"/>
      <c r="S1992" s="1420"/>
      <c r="T1992" s="1420"/>
      <c r="V1992" s="1357">
        <v>32</v>
      </c>
    </row>
    <row r="1993" spans="1:22" s="841" customFormat="1" ht="15" x14ac:dyDescent="0.25">
      <c r="A1993" s="841" t="s">
        <v>184</v>
      </c>
      <c r="E1993" s="1689" t="s">
        <v>3682</v>
      </c>
      <c r="F1993" s="1689"/>
      <c r="G1993" s="1689"/>
      <c r="H1993" s="1689"/>
      <c r="K1993" s="841" t="s">
        <v>4394</v>
      </c>
      <c r="M1993" s="1357"/>
      <c r="Q1993" s="1357"/>
      <c r="S1993" s="1420"/>
      <c r="T1993" s="1420"/>
      <c r="V1993" s="1357">
        <v>351</v>
      </c>
    </row>
    <row r="1994" spans="1:22" s="841" customFormat="1" ht="15" x14ac:dyDescent="0.25">
      <c r="A1994" s="841" t="s">
        <v>184</v>
      </c>
      <c r="E1994" s="1916" t="s">
        <v>3061</v>
      </c>
      <c r="F1994" s="1697"/>
      <c r="G1994" s="1697"/>
      <c r="H1994" s="1697"/>
      <c r="K1994" s="841" t="s">
        <v>3221</v>
      </c>
      <c r="M1994" s="1357"/>
      <c r="Q1994" s="1357"/>
      <c r="S1994" s="1420"/>
      <c r="T1994" s="1420"/>
      <c r="V1994" s="1357">
        <v>11</v>
      </c>
    </row>
    <row r="1995" spans="1:22" s="841" customFormat="1" ht="15" x14ac:dyDescent="0.25">
      <c r="A1995" s="841" t="s">
        <v>184</v>
      </c>
      <c r="E1995" s="1689" t="s">
        <v>3063</v>
      </c>
      <c r="F1995" s="1689"/>
      <c r="G1995" s="1689"/>
      <c r="H1995" s="1689"/>
      <c r="K1995" s="841" t="s">
        <v>4394</v>
      </c>
      <c r="M1995" s="1357"/>
      <c r="Q1995" s="1357"/>
      <c r="S1995" s="1420"/>
      <c r="T1995" s="1420"/>
      <c r="V1995" s="1357">
        <v>280</v>
      </c>
    </row>
    <row r="1996" spans="1:22" s="841" customFormat="1" ht="15" x14ac:dyDescent="0.25">
      <c r="A1996" s="841" t="s">
        <v>184</v>
      </c>
      <c r="E1996" s="1689" t="s">
        <v>3064</v>
      </c>
      <c r="F1996" s="1689"/>
      <c r="G1996" s="1689"/>
      <c r="H1996" s="1689"/>
      <c r="K1996" s="841" t="s">
        <v>4394</v>
      </c>
      <c r="M1996" s="1357"/>
      <c r="Q1996" s="1357"/>
      <c r="S1996" s="1420"/>
      <c r="T1996" s="1420"/>
      <c r="V1996" s="1357">
        <v>411</v>
      </c>
    </row>
    <row r="1997" spans="1:22" s="841" customFormat="1" ht="15" x14ac:dyDescent="0.25">
      <c r="A1997" s="841" t="s">
        <v>184</v>
      </c>
      <c r="E1997" s="1689" t="s">
        <v>3065</v>
      </c>
      <c r="F1997" s="1689"/>
      <c r="G1997" s="1689"/>
      <c r="H1997" s="1689"/>
      <c r="K1997" s="841" t="s">
        <v>4394</v>
      </c>
      <c r="M1997" s="1357"/>
      <c r="Q1997" s="1357"/>
      <c r="S1997" s="1420"/>
      <c r="T1997" s="1420"/>
      <c r="V1997" s="1357">
        <v>387</v>
      </c>
    </row>
    <row r="1998" spans="1:22" s="841" customFormat="1" ht="15" x14ac:dyDescent="0.25">
      <c r="A1998" s="841" t="s">
        <v>184</v>
      </c>
      <c r="E1998" s="1689" t="s">
        <v>3200</v>
      </c>
      <c r="F1998" s="1689"/>
      <c r="G1998" s="1689"/>
      <c r="H1998" s="1689"/>
      <c r="K1998" s="841" t="s">
        <v>4394</v>
      </c>
      <c r="M1998" s="1357"/>
      <c r="Q1998" s="1357"/>
      <c r="S1998" s="1420"/>
      <c r="T1998" s="1420"/>
      <c r="V1998" s="1357">
        <v>275</v>
      </c>
    </row>
    <row r="1999" spans="1:22" s="841" customFormat="1" ht="15" x14ac:dyDescent="0.25">
      <c r="A1999" s="841" t="s">
        <v>184</v>
      </c>
      <c r="E1999" s="1694" t="s">
        <v>3067</v>
      </c>
      <c r="F1999" s="1907"/>
      <c r="G1999" s="1907"/>
      <c r="H1999" s="1907"/>
      <c r="K1999" s="841" t="s">
        <v>3224</v>
      </c>
      <c r="M1999" s="1357"/>
      <c r="Q1999" s="1357"/>
      <c r="S1999" s="1420"/>
      <c r="T1999" s="1420"/>
      <c r="V1999" s="1357">
        <v>46</v>
      </c>
    </row>
    <row r="2000" spans="1:22" s="841" customFormat="1" ht="15" x14ac:dyDescent="0.25">
      <c r="A2000" s="841" t="s">
        <v>184</v>
      </c>
      <c r="E2000" s="1690" t="s">
        <v>11</v>
      </c>
      <c r="F2000" s="1690"/>
      <c r="G2000" s="1408" t="s">
        <v>23</v>
      </c>
      <c r="H2000" s="391">
        <v>16959.849999999999</v>
      </c>
      <c r="K2000" s="841" t="s">
        <v>4394</v>
      </c>
      <c r="L2000" s="841" t="s">
        <v>442</v>
      </c>
      <c r="M2000" s="1357"/>
      <c r="P2000" s="841" t="s">
        <v>4396</v>
      </c>
      <c r="Q2000" s="1357"/>
      <c r="S2000" s="1420"/>
      <c r="T2000" s="1420"/>
      <c r="V2000" s="1357">
        <v>14</v>
      </c>
    </row>
    <row r="2001" spans="1:22" s="841" customFormat="1" ht="15" x14ac:dyDescent="0.25">
      <c r="A2001" s="841" t="s">
        <v>184</v>
      </c>
      <c r="E2001" s="1690" t="s">
        <v>84</v>
      </c>
      <c r="F2001" s="1690"/>
      <c r="G2001" s="1408" t="s">
        <v>33</v>
      </c>
      <c r="H2001" s="393">
        <v>1.5526</v>
      </c>
      <c r="K2001" s="841" t="s">
        <v>4394</v>
      </c>
      <c r="L2001" s="841" t="s">
        <v>442</v>
      </c>
      <c r="M2001" s="1357"/>
      <c r="P2001" s="841" t="s">
        <v>4397</v>
      </c>
      <c r="Q2001" s="1357"/>
      <c r="S2001" s="1420"/>
      <c r="T2001" s="1420"/>
      <c r="V2001" s="1357">
        <v>28</v>
      </c>
    </row>
    <row r="2002" spans="1:22" s="841" customFormat="1" ht="15" x14ac:dyDescent="0.25">
      <c r="A2002" s="841" t="s">
        <v>184</v>
      </c>
      <c r="E2002" s="1690" t="s">
        <v>5130</v>
      </c>
      <c r="F2002" s="1908"/>
      <c r="G2002" s="1408" t="s">
        <v>33</v>
      </c>
      <c r="H2002" s="393">
        <v>-2.3148</v>
      </c>
      <c r="K2002" s="841" t="s">
        <v>4394</v>
      </c>
      <c r="L2002" s="841" t="s">
        <v>443</v>
      </c>
      <c r="M2002" s="1357"/>
      <c r="P2002" s="841" t="s">
        <v>4400</v>
      </c>
      <c r="Q2002" s="1357"/>
      <c r="S2002" s="1420"/>
      <c r="T2002" s="1420">
        <v>43585</v>
      </c>
      <c r="V2002" s="1357">
        <v>96</v>
      </c>
    </row>
    <row r="2003" spans="1:22" s="841" customFormat="1" ht="15" x14ac:dyDescent="0.25">
      <c r="A2003" s="841" t="s">
        <v>184</v>
      </c>
      <c r="E2003" s="1690" t="s">
        <v>5301</v>
      </c>
      <c r="F2003" s="1690"/>
      <c r="G2003" s="1408" t="s">
        <v>33</v>
      </c>
      <c r="H2003" s="393">
        <v>-0.28349999999999997</v>
      </c>
      <c r="K2003" s="841" t="s">
        <v>4394</v>
      </c>
      <c r="L2003" s="841" t="s">
        <v>443</v>
      </c>
      <c r="M2003" s="1357"/>
      <c r="P2003" s="841" t="s">
        <v>5307</v>
      </c>
      <c r="Q2003" s="1357"/>
      <c r="S2003" s="1420"/>
      <c r="T2003" s="1420">
        <v>43585</v>
      </c>
      <c r="V2003" s="1357">
        <v>140</v>
      </c>
    </row>
    <row r="2004" spans="1:22" s="841" customFormat="1" ht="15" x14ac:dyDescent="0.25">
      <c r="A2004" s="841" t="s">
        <v>184</v>
      </c>
      <c r="E2004" s="1690" t="s">
        <v>223</v>
      </c>
      <c r="F2004" s="1690"/>
      <c r="G2004" s="1408" t="s">
        <v>33</v>
      </c>
      <c r="H2004" s="393">
        <v>2.5548000000000002</v>
      </c>
      <c r="K2004" s="841" t="s">
        <v>4394</v>
      </c>
      <c r="L2004" s="841" t="s">
        <v>444</v>
      </c>
      <c r="M2004" s="1357"/>
      <c r="P2004" s="841" t="s">
        <v>5308</v>
      </c>
      <c r="Q2004" s="1357"/>
      <c r="S2004" s="1420"/>
      <c r="T2004" s="1420"/>
      <c r="V2004" s="1357">
        <v>66</v>
      </c>
    </row>
    <row r="2005" spans="1:22" s="841" customFormat="1" ht="15" x14ac:dyDescent="0.25">
      <c r="A2005" s="841" t="s">
        <v>184</v>
      </c>
      <c r="E2005" s="1690" t="s">
        <v>219</v>
      </c>
      <c r="F2005" s="1690"/>
      <c r="G2005" s="1408" t="s">
        <v>33</v>
      </c>
      <c r="H2005" s="393">
        <v>0.75529999999999997</v>
      </c>
      <c r="K2005" s="841" t="s">
        <v>4394</v>
      </c>
      <c r="L2005" s="841" t="s">
        <v>444</v>
      </c>
      <c r="M2005" s="1357"/>
      <c r="P2005" s="841" t="s">
        <v>5309</v>
      </c>
      <c r="Q2005" s="1357"/>
      <c r="S2005" s="1420"/>
      <c r="T2005" s="1420"/>
      <c r="V2005" s="1357">
        <v>93</v>
      </c>
    </row>
    <row r="2006" spans="1:22" s="841" customFormat="1" ht="15" x14ac:dyDescent="0.25">
      <c r="A2006" s="841" t="s">
        <v>184</v>
      </c>
      <c r="E2006" s="1694" t="s">
        <v>3079</v>
      </c>
      <c r="F2006" s="1690"/>
      <c r="G2006" s="1408"/>
      <c r="H2006" s="1408"/>
      <c r="K2006" s="841" t="s">
        <v>3225</v>
      </c>
      <c r="M2006" s="1357"/>
      <c r="Q2006" s="1357"/>
      <c r="S2006" s="1420"/>
      <c r="T2006" s="1420"/>
      <c r="V2006" s="1357">
        <v>48</v>
      </c>
    </row>
    <row r="2007" spans="1:22" s="841" customFormat="1" ht="15" x14ac:dyDescent="0.25">
      <c r="A2007" s="841" t="s">
        <v>184</v>
      </c>
      <c r="E2007" s="1690" t="s">
        <v>2449</v>
      </c>
      <c r="F2007" s="1690"/>
      <c r="G2007" s="1408" t="s">
        <v>24</v>
      </c>
      <c r="H2007" s="393">
        <v>3.2000000000000002E-3</v>
      </c>
      <c r="K2007" s="841" t="s">
        <v>4394</v>
      </c>
      <c r="L2007" s="841" t="s">
        <v>3046</v>
      </c>
      <c r="M2007" s="1357"/>
      <c r="P2007" s="841" t="s">
        <v>4403</v>
      </c>
      <c r="Q2007" s="1357"/>
      <c r="S2007" s="1420"/>
      <c r="T2007" s="1420"/>
      <c r="V2007" s="1357">
        <v>55</v>
      </c>
    </row>
    <row r="2008" spans="1:22" s="841" customFormat="1" ht="15" x14ac:dyDescent="0.25">
      <c r="A2008" s="841" t="s">
        <v>184</v>
      </c>
      <c r="E2008" s="1690" t="s">
        <v>2450</v>
      </c>
      <c r="F2008" s="1690"/>
      <c r="G2008" s="1408" t="s">
        <v>24</v>
      </c>
      <c r="H2008" s="393">
        <v>4.0000000000000002E-4</v>
      </c>
      <c r="K2008" s="841" t="s">
        <v>4394</v>
      </c>
      <c r="L2008" s="841" t="s">
        <v>3046</v>
      </c>
      <c r="M2008" s="1357"/>
      <c r="P2008" s="841" t="s">
        <v>4403</v>
      </c>
      <c r="Q2008" s="1357"/>
      <c r="S2008" s="1420"/>
      <c r="T2008" s="1420"/>
      <c r="V2008" s="1357">
        <v>65</v>
      </c>
    </row>
    <row r="2009" spans="1:22" s="841" customFormat="1" ht="15" x14ac:dyDescent="0.25">
      <c r="A2009" s="841" t="s">
        <v>184</v>
      </c>
      <c r="E2009" s="1690" t="s">
        <v>439</v>
      </c>
      <c r="F2009" s="1690"/>
      <c r="G2009" s="1408" t="s">
        <v>24</v>
      </c>
      <c r="H2009" s="393">
        <v>2.9999999999999997E-4</v>
      </c>
      <c r="K2009" s="841" t="s">
        <v>4394</v>
      </c>
      <c r="L2009" s="841" t="s">
        <v>3046</v>
      </c>
      <c r="M2009" s="1357"/>
      <c r="P2009" s="841" t="s">
        <v>4404</v>
      </c>
      <c r="Q2009" s="1357"/>
      <c r="S2009" s="1420"/>
      <c r="T2009" s="1420"/>
      <c r="V2009" s="1357">
        <v>57</v>
      </c>
    </row>
    <row r="2010" spans="1:22" s="841" customFormat="1" ht="15" x14ac:dyDescent="0.25">
      <c r="A2010" s="841" t="s">
        <v>184</v>
      </c>
      <c r="E2010" s="1690" t="s">
        <v>32</v>
      </c>
      <c r="F2010" s="1690"/>
      <c r="G2010" s="1408" t="s">
        <v>23</v>
      </c>
      <c r="H2010" s="391">
        <v>0.25</v>
      </c>
      <c r="K2010" s="841" t="s">
        <v>4394</v>
      </c>
      <c r="L2010" s="841" t="s">
        <v>3046</v>
      </c>
      <c r="M2010" s="1357"/>
      <c r="P2010" s="841" t="s">
        <v>4405</v>
      </c>
      <c r="Q2010" s="1357"/>
      <c r="S2010" s="1420"/>
      <c r="T2010" s="1420"/>
      <c r="V2010" s="1357">
        <v>63</v>
      </c>
    </row>
    <row r="2011" spans="1:22" s="841" customFormat="1" x14ac:dyDescent="0.25">
      <c r="A2011" s="841" t="s">
        <v>184</v>
      </c>
      <c r="E2011" s="1909" t="s">
        <v>617</v>
      </c>
      <c r="F2011" s="1915"/>
      <c r="G2011" s="1915"/>
      <c r="H2011" s="1915"/>
      <c r="K2011" s="841" t="s">
        <v>3457</v>
      </c>
      <c r="M2011" s="1357"/>
      <c r="Q2011" s="1357"/>
      <c r="S2011" s="1420"/>
      <c r="T2011" s="1420"/>
      <c r="V2011" s="1357">
        <v>47</v>
      </c>
    </row>
    <row r="2012" spans="1:22" s="841" customFormat="1" ht="15" x14ac:dyDescent="0.25">
      <c r="A2012" s="841" t="s">
        <v>184</v>
      </c>
      <c r="E2012" s="1689" t="s">
        <v>4063</v>
      </c>
      <c r="F2012" s="1689"/>
      <c r="G2012" s="1689"/>
      <c r="H2012" s="1689"/>
      <c r="K2012" s="841" t="s">
        <v>3457</v>
      </c>
      <c r="M2012" s="1357"/>
      <c r="Q2012" s="1357"/>
      <c r="S2012" s="1420"/>
      <c r="T2012" s="1420"/>
      <c r="V2012" s="1357">
        <v>720</v>
      </c>
    </row>
    <row r="2013" spans="1:22" s="841" customFormat="1" ht="15" x14ac:dyDescent="0.25">
      <c r="A2013" s="841" t="s">
        <v>184</v>
      </c>
      <c r="E2013" s="1916" t="s">
        <v>3061</v>
      </c>
      <c r="F2013" s="1697"/>
      <c r="G2013" s="1697"/>
      <c r="H2013" s="1697"/>
      <c r="K2013" s="841" t="s">
        <v>3107</v>
      </c>
      <c r="M2013" s="1357"/>
      <c r="Q2013" s="1357"/>
      <c r="S2013" s="1420"/>
      <c r="T2013" s="1420"/>
      <c r="V2013" s="1357">
        <v>11</v>
      </c>
    </row>
    <row r="2014" spans="1:22" s="841" customFormat="1" ht="15" x14ac:dyDescent="0.25">
      <c r="A2014" s="841" t="s">
        <v>184</v>
      </c>
      <c r="E2014" s="1689" t="s">
        <v>3063</v>
      </c>
      <c r="F2014" s="1689"/>
      <c r="G2014" s="1689"/>
      <c r="H2014" s="1689"/>
      <c r="K2014" s="841" t="s">
        <v>3457</v>
      </c>
      <c r="M2014" s="1357"/>
      <c r="Q2014" s="1357"/>
      <c r="S2014" s="1420"/>
      <c r="T2014" s="1420"/>
      <c r="V2014" s="1357">
        <v>280</v>
      </c>
    </row>
    <row r="2015" spans="1:22" s="841" customFormat="1" ht="15" x14ac:dyDescent="0.25">
      <c r="A2015" s="841" t="s">
        <v>184</v>
      </c>
      <c r="E2015" s="1689" t="s">
        <v>3064</v>
      </c>
      <c r="F2015" s="1689"/>
      <c r="G2015" s="1689"/>
      <c r="H2015" s="1689"/>
      <c r="K2015" s="841" t="s">
        <v>3457</v>
      </c>
      <c r="M2015" s="1357"/>
      <c r="Q2015" s="1357"/>
      <c r="S2015" s="1420"/>
      <c r="T2015" s="1420"/>
      <c r="V2015" s="1357">
        <v>411</v>
      </c>
    </row>
    <row r="2016" spans="1:22" s="841" customFormat="1" ht="15" x14ac:dyDescent="0.25">
      <c r="A2016" s="841" t="s">
        <v>184</v>
      </c>
      <c r="E2016" s="1689" t="s">
        <v>3065</v>
      </c>
      <c r="F2016" s="1689"/>
      <c r="G2016" s="1689"/>
      <c r="H2016" s="1689"/>
      <c r="K2016" s="841" t="s">
        <v>3457</v>
      </c>
      <c r="M2016" s="1357"/>
      <c r="Q2016" s="1357"/>
      <c r="S2016" s="1420"/>
      <c r="T2016" s="1420"/>
      <c r="V2016" s="1357">
        <v>387</v>
      </c>
    </row>
    <row r="2017" spans="1:22" s="841" customFormat="1" ht="15" x14ac:dyDescent="0.25">
      <c r="A2017" s="841" t="s">
        <v>184</v>
      </c>
      <c r="E2017" s="1689" t="s">
        <v>3200</v>
      </c>
      <c r="F2017" s="1689"/>
      <c r="G2017" s="1689"/>
      <c r="H2017" s="1689"/>
      <c r="K2017" s="841" t="s">
        <v>3457</v>
      </c>
      <c r="M2017" s="1357"/>
      <c r="Q2017" s="1357"/>
      <c r="S2017" s="1420"/>
      <c r="T2017" s="1420"/>
      <c r="V2017" s="1357">
        <v>275</v>
      </c>
    </row>
    <row r="2018" spans="1:22" s="841" customFormat="1" ht="15" x14ac:dyDescent="0.25">
      <c r="A2018" s="841" t="s">
        <v>184</v>
      </c>
      <c r="E2018" s="1694" t="s">
        <v>3067</v>
      </c>
      <c r="F2018" s="1907"/>
      <c r="G2018" s="1907"/>
      <c r="H2018" s="1907"/>
      <c r="K2018" s="841" t="s">
        <v>3108</v>
      </c>
      <c r="M2018" s="1357"/>
      <c r="Q2018" s="1357"/>
      <c r="S2018" s="1420"/>
      <c r="T2018" s="1420"/>
      <c r="V2018" s="1357">
        <v>46</v>
      </c>
    </row>
    <row r="2019" spans="1:22" s="841" customFormat="1" ht="15" x14ac:dyDescent="0.25">
      <c r="A2019" s="841" t="s">
        <v>184</v>
      </c>
      <c r="E2019" s="1690" t="s">
        <v>12</v>
      </c>
      <c r="F2019" s="1690"/>
      <c r="G2019" s="1408" t="s">
        <v>23</v>
      </c>
      <c r="H2019" s="391">
        <v>7.33</v>
      </c>
      <c r="K2019" s="841" t="s">
        <v>3457</v>
      </c>
      <c r="L2019" s="841" t="s">
        <v>442</v>
      </c>
      <c r="M2019" s="1357"/>
      <c r="P2019" s="841" t="s">
        <v>3458</v>
      </c>
      <c r="Q2019" s="1357"/>
      <c r="S2019" s="1420"/>
      <c r="T2019" s="1420"/>
      <c r="V2019" s="1357">
        <v>31</v>
      </c>
    </row>
    <row r="2020" spans="1:22" s="841" customFormat="1" ht="15" x14ac:dyDescent="0.25">
      <c r="A2020" s="841" t="s">
        <v>184</v>
      </c>
      <c r="E2020" s="1690" t="s">
        <v>84</v>
      </c>
      <c r="F2020" s="1690"/>
      <c r="G2020" s="1408" t="s">
        <v>24</v>
      </c>
      <c r="H2020" s="393">
        <v>1.4200000000000001E-2</v>
      </c>
      <c r="K2020" s="841" t="s">
        <v>3457</v>
      </c>
      <c r="L2020" s="841" t="s">
        <v>442</v>
      </c>
      <c r="M2020" s="1357"/>
      <c r="P2020" s="841" t="s">
        <v>3459</v>
      </c>
      <c r="Q2020" s="1357"/>
      <c r="S2020" s="1420"/>
      <c r="T2020" s="1420"/>
      <c r="V2020" s="1357">
        <v>28</v>
      </c>
    </row>
    <row r="2021" spans="1:22" s="841" customFormat="1" ht="15" x14ac:dyDescent="0.25">
      <c r="A2021" s="841" t="s">
        <v>184</v>
      </c>
      <c r="E2021" s="1690" t="s">
        <v>5130</v>
      </c>
      <c r="F2021" s="1908"/>
      <c r="G2021" s="1408" t="s">
        <v>24</v>
      </c>
      <c r="H2021" s="393">
        <v>-5.0000000000000001E-3</v>
      </c>
      <c r="K2021" s="841" t="s">
        <v>3457</v>
      </c>
      <c r="L2021" s="841" t="s">
        <v>443</v>
      </c>
      <c r="M2021" s="1357"/>
      <c r="P2021" s="841" t="s">
        <v>3527</v>
      </c>
      <c r="Q2021" s="1357"/>
      <c r="S2021" s="1420"/>
      <c r="T2021" s="1420">
        <v>43585</v>
      </c>
      <c r="V2021" s="1357">
        <v>96</v>
      </c>
    </row>
    <row r="2022" spans="1:22" s="841" customFormat="1" ht="15" x14ac:dyDescent="0.25">
      <c r="A2022" s="841" t="s">
        <v>184</v>
      </c>
      <c r="E2022" s="1704" t="s">
        <v>5310</v>
      </c>
      <c r="F2022" s="1959"/>
      <c r="G2022" s="1408" t="s">
        <v>24</v>
      </c>
      <c r="H2022" s="393">
        <v>2.0000000000000001E-4</v>
      </c>
      <c r="K2022" s="841" t="s">
        <v>3457</v>
      </c>
      <c r="L2022" s="841" t="s">
        <v>443</v>
      </c>
      <c r="M2022" s="1357"/>
      <c r="P2022" s="841" t="s">
        <v>5292</v>
      </c>
      <c r="Q2022" s="1357"/>
      <c r="S2022" s="1420"/>
      <c r="T2022" s="1420">
        <v>43585</v>
      </c>
      <c r="V2022" s="1357">
        <v>143</v>
      </c>
    </row>
    <row r="2023" spans="1:22" s="841" customFormat="1" ht="15" x14ac:dyDescent="0.25">
      <c r="A2023" s="841" t="s">
        <v>184</v>
      </c>
      <c r="E2023" s="1690" t="s">
        <v>221</v>
      </c>
      <c r="F2023" s="1690"/>
      <c r="G2023" s="1408" t="s">
        <v>24</v>
      </c>
      <c r="H2023" s="393">
        <v>5.1000000000000004E-3</v>
      </c>
      <c r="K2023" s="841" t="s">
        <v>3457</v>
      </c>
      <c r="L2023" s="841" t="s">
        <v>444</v>
      </c>
      <c r="M2023" s="1357"/>
      <c r="P2023" s="841" t="s">
        <v>3462</v>
      </c>
      <c r="Q2023" s="1357"/>
      <c r="S2023" s="1420"/>
      <c r="T2023" s="1420"/>
      <c r="V2023" s="1357">
        <v>47</v>
      </c>
    </row>
    <row r="2024" spans="1:22" s="841" customFormat="1" ht="15" x14ac:dyDescent="0.25">
      <c r="A2024" s="841" t="s">
        <v>184</v>
      </c>
      <c r="E2024" s="1690" t="s">
        <v>217</v>
      </c>
      <c r="F2024" s="1690"/>
      <c r="G2024" s="1408" t="s">
        <v>24</v>
      </c>
      <c r="H2024" s="393">
        <v>1.4E-3</v>
      </c>
      <c r="K2024" s="841" t="s">
        <v>3457</v>
      </c>
      <c r="L2024" s="841" t="s">
        <v>444</v>
      </c>
      <c r="M2024" s="1357"/>
      <c r="P2024" s="841" t="s">
        <v>3463</v>
      </c>
      <c r="Q2024" s="1357"/>
      <c r="S2024" s="1420"/>
      <c r="T2024" s="1420"/>
      <c r="V2024" s="1357">
        <v>74</v>
      </c>
    </row>
    <row r="2025" spans="1:22" s="841" customFormat="1" ht="15" x14ac:dyDescent="0.25">
      <c r="A2025" s="841" t="s">
        <v>184</v>
      </c>
      <c r="E2025" s="1694" t="s">
        <v>3079</v>
      </c>
      <c r="F2025" s="1690"/>
      <c r="G2025" s="1408"/>
      <c r="H2025" s="1408"/>
      <c r="K2025" s="841" t="s">
        <v>3111</v>
      </c>
      <c r="M2025" s="1357"/>
      <c r="Q2025" s="1357"/>
      <c r="S2025" s="1420"/>
      <c r="T2025" s="1420"/>
      <c r="V2025" s="1357">
        <v>48</v>
      </c>
    </row>
    <row r="2026" spans="1:22" s="841" customFormat="1" ht="15" x14ac:dyDescent="0.25">
      <c r="A2026" s="841" t="s">
        <v>184</v>
      </c>
      <c r="E2026" s="1690" t="s">
        <v>2449</v>
      </c>
      <c r="F2026" s="1690"/>
      <c r="G2026" s="1408" t="s">
        <v>24</v>
      </c>
      <c r="H2026" s="393">
        <v>3.2000000000000002E-3</v>
      </c>
      <c r="K2026" s="841" t="s">
        <v>3457</v>
      </c>
      <c r="L2026" s="841" t="s">
        <v>3046</v>
      </c>
      <c r="M2026" s="1357"/>
      <c r="P2026" s="841" t="s">
        <v>3464</v>
      </c>
      <c r="Q2026" s="1357"/>
      <c r="S2026" s="1420"/>
      <c r="T2026" s="1420"/>
      <c r="V2026" s="1357">
        <v>55</v>
      </c>
    </row>
    <row r="2027" spans="1:22" s="841" customFormat="1" ht="15" x14ac:dyDescent="0.25">
      <c r="A2027" s="841" t="s">
        <v>184</v>
      </c>
      <c r="E2027" s="1690" t="s">
        <v>2450</v>
      </c>
      <c r="F2027" s="1690"/>
      <c r="G2027" s="1408" t="s">
        <v>24</v>
      </c>
      <c r="H2027" s="393">
        <v>4.0000000000000002E-4</v>
      </c>
      <c r="K2027" s="841" t="s">
        <v>3457</v>
      </c>
      <c r="L2027" s="841" t="s">
        <v>3046</v>
      </c>
      <c r="M2027" s="1357"/>
      <c r="P2027" s="841" t="s">
        <v>3464</v>
      </c>
      <c r="Q2027" s="1357"/>
      <c r="S2027" s="1420"/>
      <c r="T2027" s="1420"/>
      <c r="V2027" s="1357">
        <v>65</v>
      </c>
    </row>
    <row r="2028" spans="1:22" s="841" customFormat="1" ht="15" x14ac:dyDescent="0.25">
      <c r="A2028" s="841" t="s">
        <v>184</v>
      </c>
      <c r="E2028" s="1690" t="s">
        <v>439</v>
      </c>
      <c r="F2028" s="1690"/>
      <c r="G2028" s="1408" t="s">
        <v>24</v>
      </c>
      <c r="H2028" s="393">
        <v>2.9999999999999997E-4</v>
      </c>
      <c r="K2028" s="841" t="s">
        <v>3457</v>
      </c>
      <c r="L2028" s="841" t="s">
        <v>3046</v>
      </c>
      <c r="M2028" s="1357"/>
      <c r="P2028" s="841" t="s">
        <v>3465</v>
      </c>
      <c r="Q2028" s="1357"/>
      <c r="S2028" s="1420"/>
      <c r="T2028" s="1420"/>
      <c r="V2028" s="1357">
        <v>57</v>
      </c>
    </row>
    <row r="2029" spans="1:22" s="841" customFormat="1" ht="15" x14ac:dyDescent="0.25">
      <c r="A2029" s="841" t="s">
        <v>184</v>
      </c>
      <c r="E2029" s="1690" t="s">
        <v>32</v>
      </c>
      <c r="F2029" s="1690"/>
      <c r="G2029" s="1408" t="s">
        <v>23</v>
      </c>
      <c r="H2029" s="391">
        <v>0.25</v>
      </c>
      <c r="K2029" s="841" t="s">
        <v>3457</v>
      </c>
      <c r="L2029" s="841" t="s">
        <v>3046</v>
      </c>
      <c r="M2029" s="1357"/>
      <c r="P2029" s="841" t="s">
        <v>3466</v>
      </c>
      <c r="Q2029" s="1357"/>
      <c r="S2029" s="1420"/>
      <c r="T2029" s="1420"/>
      <c r="V2029" s="1357">
        <v>63</v>
      </c>
    </row>
    <row r="2030" spans="1:22" s="841" customFormat="1" x14ac:dyDescent="0.25">
      <c r="A2030" s="841" t="s">
        <v>184</v>
      </c>
      <c r="E2030" s="1909" t="s">
        <v>615</v>
      </c>
      <c r="F2030" s="1915"/>
      <c r="G2030" s="1915"/>
      <c r="H2030" s="1915"/>
      <c r="K2030" s="841" t="s">
        <v>3112</v>
      </c>
      <c r="M2030" s="1357"/>
      <c r="Q2030" s="1357"/>
      <c r="S2030" s="1420"/>
      <c r="T2030" s="1420"/>
      <c r="V2030" s="1357">
        <v>38</v>
      </c>
    </row>
    <row r="2031" spans="1:22" s="841" customFormat="1" ht="15" x14ac:dyDescent="0.25">
      <c r="A2031" s="841" t="s">
        <v>184</v>
      </c>
      <c r="E2031" s="1689" t="s">
        <v>4064</v>
      </c>
      <c r="F2031" s="1689"/>
      <c r="G2031" s="1689"/>
      <c r="H2031" s="1689"/>
      <c r="K2031" s="841" t="s">
        <v>3112</v>
      </c>
      <c r="M2031" s="1357"/>
      <c r="Q2031" s="1357"/>
      <c r="S2031" s="1420"/>
      <c r="T2031" s="1420"/>
      <c r="V2031" s="1357">
        <v>542</v>
      </c>
    </row>
    <row r="2032" spans="1:22" s="841" customFormat="1" ht="15" x14ac:dyDescent="0.25">
      <c r="A2032" s="841" t="s">
        <v>184</v>
      </c>
      <c r="E2032" s="1916" t="s">
        <v>3061</v>
      </c>
      <c r="F2032" s="1697"/>
      <c r="G2032" s="1697"/>
      <c r="H2032" s="1697"/>
      <c r="K2032" s="841" t="s">
        <v>3114</v>
      </c>
      <c r="M2032" s="1357"/>
      <c r="Q2032" s="1357"/>
      <c r="S2032" s="1420"/>
      <c r="T2032" s="1420"/>
      <c r="V2032" s="1357">
        <v>11</v>
      </c>
    </row>
    <row r="2033" spans="1:22" s="841" customFormat="1" ht="15" x14ac:dyDescent="0.25">
      <c r="A2033" s="841" t="s">
        <v>184</v>
      </c>
      <c r="E2033" s="1689" t="s">
        <v>3063</v>
      </c>
      <c r="F2033" s="1689"/>
      <c r="G2033" s="1689"/>
      <c r="H2033" s="1689"/>
      <c r="K2033" s="841" t="s">
        <v>3112</v>
      </c>
      <c r="M2033" s="1357"/>
      <c r="Q2033" s="1357"/>
      <c r="S2033" s="1420"/>
      <c r="T2033" s="1420"/>
      <c r="V2033" s="1357">
        <v>280</v>
      </c>
    </row>
    <row r="2034" spans="1:22" s="841" customFormat="1" ht="15" x14ac:dyDescent="0.25">
      <c r="A2034" s="841" t="s">
        <v>184</v>
      </c>
      <c r="E2034" s="1689" t="s">
        <v>3064</v>
      </c>
      <c r="F2034" s="1689"/>
      <c r="G2034" s="1689"/>
      <c r="H2034" s="1689"/>
      <c r="K2034" s="841" t="s">
        <v>3112</v>
      </c>
      <c r="M2034" s="1357"/>
      <c r="Q2034" s="1357"/>
      <c r="S2034" s="1420"/>
      <c r="T2034" s="1420"/>
      <c r="V2034" s="1357">
        <v>411</v>
      </c>
    </row>
    <row r="2035" spans="1:22" s="841" customFormat="1" ht="15" x14ac:dyDescent="0.25">
      <c r="A2035" s="841" t="s">
        <v>184</v>
      </c>
      <c r="E2035" s="1689" t="s">
        <v>3065</v>
      </c>
      <c r="F2035" s="1689"/>
      <c r="G2035" s="1689"/>
      <c r="H2035" s="1689"/>
      <c r="K2035" s="841" t="s">
        <v>3112</v>
      </c>
      <c r="M2035" s="1357"/>
      <c r="Q2035" s="1357"/>
      <c r="S2035" s="1420"/>
      <c r="T2035" s="1420"/>
      <c r="V2035" s="1357">
        <v>387</v>
      </c>
    </row>
    <row r="2036" spans="1:22" s="841" customFormat="1" ht="15" x14ac:dyDescent="0.25">
      <c r="A2036" s="841" t="s">
        <v>184</v>
      </c>
      <c r="E2036" s="1689" t="s">
        <v>3200</v>
      </c>
      <c r="F2036" s="1689"/>
      <c r="G2036" s="1689"/>
      <c r="H2036" s="1689"/>
      <c r="K2036" s="841" t="s">
        <v>3112</v>
      </c>
      <c r="M2036" s="1357"/>
      <c r="Q2036" s="1357"/>
      <c r="S2036" s="1420"/>
      <c r="T2036" s="1420"/>
      <c r="V2036" s="1357">
        <v>275</v>
      </c>
    </row>
    <row r="2037" spans="1:22" s="841" customFormat="1" ht="15" x14ac:dyDescent="0.25">
      <c r="A2037" s="841" t="s">
        <v>184</v>
      </c>
      <c r="E2037" s="1694" t="s">
        <v>3067</v>
      </c>
      <c r="F2037" s="1907"/>
      <c r="G2037" s="1907"/>
      <c r="H2037" s="1907"/>
      <c r="K2037" s="841" t="s">
        <v>3115</v>
      </c>
      <c r="M2037" s="1357"/>
      <c r="Q2037" s="1357"/>
      <c r="S2037" s="1420"/>
      <c r="T2037" s="1420"/>
      <c r="V2037" s="1357">
        <v>46</v>
      </c>
    </row>
    <row r="2038" spans="1:22" s="841" customFormat="1" ht="15" x14ac:dyDescent="0.25">
      <c r="A2038" s="841" t="s">
        <v>184</v>
      </c>
      <c r="E2038" s="1690" t="s">
        <v>11</v>
      </c>
      <c r="F2038" s="1690"/>
      <c r="G2038" s="1408" t="s">
        <v>23</v>
      </c>
      <c r="H2038" s="391">
        <v>0.74</v>
      </c>
      <c r="K2038" s="841" t="s">
        <v>3112</v>
      </c>
      <c r="L2038" s="841" t="s">
        <v>442</v>
      </c>
      <c r="M2038" s="1357"/>
      <c r="P2038" s="841" t="s">
        <v>3116</v>
      </c>
      <c r="Q2038" s="1357"/>
      <c r="S2038" s="1420"/>
      <c r="T2038" s="1420"/>
      <c r="V2038" s="1357">
        <v>14</v>
      </c>
    </row>
    <row r="2039" spans="1:22" s="841" customFormat="1" ht="15" x14ac:dyDescent="0.25">
      <c r="A2039" s="841" t="s">
        <v>184</v>
      </c>
      <c r="E2039" s="1690" t="s">
        <v>84</v>
      </c>
      <c r="F2039" s="1690"/>
      <c r="G2039" s="1408" t="s">
        <v>33</v>
      </c>
      <c r="H2039" s="393">
        <v>4.9462999999999999</v>
      </c>
      <c r="K2039" s="841" t="s">
        <v>3112</v>
      </c>
      <c r="L2039" s="841" t="s">
        <v>442</v>
      </c>
      <c r="M2039" s="1357"/>
      <c r="P2039" s="841" t="s">
        <v>3117</v>
      </c>
      <c r="Q2039" s="1357"/>
      <c r="S2039" s="1420"/>
      <c r="T2039" s="1420"/>
      <c r="V2039" s="1357">
        <v>28</v>
      </c>
    </row>
    <row r="2040" spans="1:22" s="841" customFormat="1" ht="15" x14ac:dyDescent="0.25">
      <c r="A2040" s="841" t="s">
        <v>184</v>
      </c>
      <c r="E2040" s="1690" t="s">
        <v>5129</v>
      </c>
      <c r="F2040" s="1908"/>
      <c r="G2040" s="1408" t="s">
        <v>24</v>
      </c>
      <c r="H2040" s="393">
        <v>3.5000000000000001E-3</v>
      </c>
      <c r="K2040" s="841" t="s">
        <v>3112</v>
      </c>
      <c r="L2040" s="841" t="s">
        <v>443</v>
      </c>
      <c r="M2040" s="1357"/>
      <c r="P2040" s="841" t="s">
        <v>3119</v>
      </c>
      <c r="Q2040" s="1357"/>
      <c r="S2040" s="1420"/>
      <c r="T2040" s="1420">
        <v>43585</v>
      </c>
      <c r="V2040" s="1357">
        <v>139</v>
      </c>
    </row>
    <row r="2041" spans="1:22" s="841" customFormat="1" ht="15" x14ac:dyDescent="0.25">
      <c r="A2041" s="841" t="s">
        <v>184</v>
      </c>
      <c r="E2041" s="1690" t="s">
        <v>5130</v>
      </c>
      <c r="F2041" s="1908"/>
      <c r="G2041" s="1408" t="s">
        <v>33</v>
      </c>
      <c r="H2041" s="393">
        <v>-1.8212999999999999</v>
      </c>
      <c r="K2041" s="841" t="s">
        <v>3112</v>
      </c>
      <c r="L2041" s="841" t="s">
        <v>443</v>
      </c>
      <c r="M2041" s="1357"/>
      <c r="P2041" s="841" t="s">
        <v>3118</v>
      </c>
      <c r="Q2041" s="1357"/>
      <c r="S2041" s="1420"/>
      <c r="T2041" s="1420">
        <v>43585</v>
      </c>
      <c r="V2041" s="1357">
        <v>96</v>
      </c>
    </row>
    <row r="2042" spans="1:22" s="841" customFormat="1" ht="15" x14ac:dyDescent="0.25">
      <c r="A2042" s="841" t="s">
        <v>184</v>
      </c>
      <c r="E2042" s="1690" t="s">
        <v>5311</v>
      </c>
      <c r="F2042" s="1908"/>
      <c r="G2042" s="1408" t="s">
        <v>33</v>
      </c>
      <c r="H2042" s="393">
        <v>0.2908</v>
      </c>
      <c r="K2042" s="841" t="s">
        <v>3112</v>
      </c>
      <c r="L2042" s="841" t="s">
        <v>443</v>
      </c>
      <c r="M2042" s="1357"/>
      <c r="P2042" s="841" t="s">
        <v>5312</v>
      </c>
      <c r="Q2042" s="1357"/>
      <c r="S2042" s="1420"/>
      <c r="T2042" s="1420">
        <v>43585</v>
      </c>
      <c r="V2042" s="1357">
        <v>137</v>
      </c>
    </row>
    <row r="2043" spans="1:22" s="841" customFormat="1" ht="15" x14ac:dyDescent="0.25">
      <c r="A2043" s="841" t="s">
        <v>184</v>
      </c>
      <c r="E2043" s="1690" t="s">
        <v>5306</v>
      </c>
      <c r="F2043" s="1908"/>
      <c r="G2043" s="1408" t="s">
        <v>33</v>
      </c>
      <c r="H2043" s="393">
        <v>8.4699999999999998E-2</v>
      </c>
      <c r="K2043" s="841" t="s">
        <v>3112</v>
      </c>
      <c r="L2043" s="841" t="s">
        <v>443</v>
      </c>
      <c r="M2043" s="1357"/>
      <c r="P2043" s="841" t="s">
        <v>5313</v>
      </c>
      <c r="Q2043" s="1357"/>
      <c r="S2043" s="1420"/>
      <c r="T2043" s="1420">
        <v>43585</v>
      </c>
      <c r="V2043" s="1357">
        <v>143</v>
      </c>
    </row>
    <row r="2044" spans="1:22" s="841" customFormat="1" ht="15" x14ac:dyDescent="0.25">
      <c r="A2044" s="841" t="s">
        <v>184</v>
      </c>
      <c r="E2044" s="1690" t="s">
        <v>221</v>
      </c>
      <c r="F2044" s="1690"/>
      <c r="G2044" s="1408" t="s">
        <v>33</v>
      </c>
      <c r="H2044" s="393">
        <v>1.6529</v>
      </c>
      <c r="K2044" s="841" t="s">
        <v>3112</v>
      </c>
      <c r="L2044" s="841" t="s">
        <v>444</v>
      </c>
      <c r="M2044" s="1357"/>
      <c r="P2044" s="841" t="s">
        <v>3120</v>
      </c>
      <c r="Q2044" s="1357"/>
      <c r="S2044" s="1420"/>
      <c r="T2044" s="1420"/>
      <c r="V2044" s="1357">
        <v>47</v>
      </c>
    </row>
    <row r="2045" spans="1:22" s="841" customFormat="1" ht="15" x14ac:dyDescent="0.25">
      <c r="A2045" s="841" t="s">
        <v>184</v>
      </c>
      <c r="E2045" s="1690" t="s">
        <v>217</v>
      </c>
      <c r="F2045" s="1690"/>
      <c r="G2045" s="1408" t="s">
        <v>33</v>
      </c>
      <c r="H2045" s="393">
        <v>0.48899999999999999</v>
      </c>
      <c r="K2045" s="841" t="s">
        <v>3112</v>
      </c>
      <c r="L2045" s="841" t="s">
        <v>444</v>
      </c>
      <c r="M2045" s="1357"/>
      <c r="P2045" s="841" t="s">
        <v>3121</v>
      </c>
      <c r="Q2045" s="1357"/>
      <c r="S2045" s="1420"/>
      <c r="T2045" s="1420"/>
      <c r="V2045" s="1357">
        <v>74</v>
      </c>
    </row>
    <row r="2046" spans="1:22" s="841" customFormat="1" ht="15" x14ac:dyDescent="0.25">
      <c r="A2046" s="841" t="s">
        <v>184</v>
      </c>
      <c r="E2046" s="1694" t="s">
        <v>3079</v>
      </c>
      <c r="F2046" s="1690"/>
      <c r="G2046" s="1408"/>
      <c r="H2046" s="1408"/>
      <c r="K2046" s="841" t="s">
        <v>3122</v>
      </c>
      <c r="M2046" s="1357"/>
      <c r="Q2046" s="1357"/>
      <c r="S2046" s="1420"/>
      <c r="T2046" s="1420"/>
      <c r="V2046" s="1357">
        <v>48</v>
      </c>
    </row>
    <row r="2047" spans="1:22" s="841" customFormat="1" ht="15" x14ac:dyDescent="0.25">
      <c r="A2047" s="841" t="s">
        <v>184</v>
      </c>
      <c r="E2047" s="1690" t="s">
        <v>2449</v>
      </c>
      <c r="F2047" s="1690"/>
      <c r="G2047" s="1408" t="s">
        <v>24</v>
      </c>
      <c r="H2047" s="393">
        <v>3.2000000000000002E-3</v>
      </c>
      <c r="K2047" s="841" t="s">
        <v>3112</v>
      </c>
      <c r="L2047" s="841" t="s">
        <v>3046</v>
      </c>
      <c r="M2047" s="1357"/>
      <c r="P2047" s="841" t="s">
        <v>3123</v>
      </c>
      <c r="Q2047" s="1357"/>
      <c r="S2047" s="1420"/>
      <c r="T2047" s="1420"/>
      <c r="V2047" s="1357">
        <v>55</v>
      </c>
    </row>
    <row r="2048" spans="1:22" s="841" customFormat="1" ht="15" x14ac:dyDescent="0.25">
      <c r="A2048" s="841" t="s">
        <v>184</v>
      </c>
      <c r="E2048" s="1690" t="s">
        <v>2450</v>
      </c>
      <c r="F2048" s="1690"/>
      <c r="G2048" s="1408" t="s">
        <v>24</v>
      </c>
      <c r="H2048" s="393">
        <v>4.0000000000000002E-4</v>
      </c>
      <c r="K2048" s="841" t="s">
        <v>3112</v>
      </c>
      <c r="L2048" s="841" t="s">
        <v>3046</v>
      </c>
      <c r="M2048" s="1357"/>
      <c r="P2048" s="841" t="s">
        <v>3123</v>
      </c>
      <c r="Q2048" s="1357"/>
      <c r="S2048" s="1420"/>
      <c r="T2048" s="1420"/>
      <c r="V2048" s="1357">
        <v>65</v>
      </c>
    </row>
    <row r="2049" spans="1:22" s="841" customFormat="1" ht="15" x14ac:dyDescent="0.25">
      <c r="A2049" s="841" t="s">
        <v>184</v>
      </c>
      <c r="E2049" s="1690" t="s">
        <v>439</v>
      </c>
      <c r="F2049" s="1690"/>
      <c r="G2049" s="1408" t="s">
        <v>24</v>
      </c>
      <c r="H2049" s="393">
        <v>2.9999999999999997E-4</v>
      </c>
      <c r="K2049" s="841" t="s">
        <v>3112</v>
      </c>
      <c r="L2049" s="841" t="s">
        <v>3046</v>
      </c>
      <c r="M2049" s="1357"/>
      <c r="P2049" s="841" t="s">
        <v>3124</v>
      </c>
      <c r="Q2049" s="1357"/>
      <c r="S2049" s="1420"/>
      <c r="T2049" s="1420"/>
      <c r="V2049" s="1357">
        <v>57</v>
      </c>
    </row>
    <row r="2050" spans="1:22" s="841" customFormat="1" ht="15" x14ac:dyDescent="0.25">
      <c r="A2050" s="841" t="s">
        <v>184</v>
      </c>
      <c r="E2050" s="1690" t="s">
        <v>32</v>
      </c>
      <c r="F2050" s="1690"/>
      <c r="G2050" s="1408" t="s">
        <v>23</v>
      </c>
      <c r="H2050" s="391">
        <v>0.25</v>
      </c>
      <c r="K2050" s="841" t="s">
        <v>3112</v>
      </c>
      <c r="L2050" s="841" t="s">
        <v>3046</v>
      </c>
      <c r="M2050" s="1357"/>
      <c r="P2050" s="841" t="s">
        <v>3125</v>
      </c>
      <c r="Q2050" s="1357"/>
      <c r="S2050" s="1420"/>
      <c r="T2050" s="1420"/>
      <c r="V2050" s="1357">
        <v>63</v>
      </c>
    </row>
    <row r="2051" spans="1:22" s="841" customFormat="1" x14ac:dyDescent="0.25">
      <c r="A2051" s="841" t="s">
        <v>184</v>
      </c>
      <c r="E2051" s="1909" t="s">
        <v>622</v>
      </c>
      <c r="F2051" s="1915"/>
      <c r="G2051" s="1915"/>
      <c r="H2051" s="1915"/>
      <c r="K2051" s="841" t="s">
        <v>3815</v>
      </c>
      <c r="M2051" s="1357"/>
      <c r="Q2051" s="1357"/>
      <c r="S2051" s="1420"/>
      <c r="T2051" s="1420"/>
      <c r="V2051" s="1357">
        <v>43</v>
      </c>
    </row>
    <row r="2052" spans="1:22" s="841" customFormat="1" ht="15" x14ac:dyDescent="0.25">
      <c r="A2052" s="841" t="s">
        <v>184</v>
      </c>
      <c r="E2052" s="1689" t="s">
        <v>3369</v>
      </c>
      <c r="F2052" s="1689"/>
      <c r="G2052" s="1689"/>
      <c r="H2052" s="1689"/>
      <c r="K2052" s="841" t="s">
        <v>3815</v>
      </c>
      <c r="M2052" s="1357"/>
      <c r="Q2052" s="1357"/>
      <c r="S2052" s="1420"/>
      <c r="T2052" s="1420"/>
      <c r="V2052" s="1357">
        <v>250</v>
      </c>
    </row>
    <row r="2053" spans="1:22" s="841" customFormat="1" ht="15" x14ac:dyDescent="0.25">
      <c r="A2053" s="841" t="s">
        <v>184</v>
      </c>
      <c r="E2053" s="1916" t="s">
        <v>3061</v>
      </c>
      <c r="F2053" s="1697"/>
      <c r="G2053" s="1697"/>
      <c r="H2053" s="1697"/>
      <c r="K2053" s="841" t="s">
        <v>3128</v>
      </c>
      <c r="M2053" s="1357"/>
      <c r="Q2053" s="1357"/>
      <c r="S2053" s="1420"/>
      <c r="T2053" s="1420"/>
      <c r="V2053" s="1357">
        <v>11</v>
      </c>
    </row>
    <row r="2054" spans="1:22" s="841" customFormat="1" ht="15" x14ac:dyDescent="0.25">
      <c r="A2054" s="841" t="s">
        <v>184</v>
      </c>
      <c r="E2054" s="1689" t="s">
        <v>3063</v>
      </c>
      <c r="F2054" s="1689"/>
      <c r="G2054" s="1689"/>
      <c r="H2054" s="1689"/>
      <c r="K2054" s="841" t="s">
        <v>3815</v>
      </c>
      <c r="M2054" s="1357"/>
      <c r="Q2054" s="1357"/>
      <c r="S2054" s="1420"/>
      <c r="T2054" s="1420"/>
      <c r="V2054" s="1357">
        <v>280</v>
      </c>
    </row>
    <row r="2055" spans="1:22" s="841" customFormat="1" ht="15" x14ac:dyDescent="0.25">
      <c r="A2055" s="841" t="s">
        <v>184</v>
      </c>
      <c r="E2055" s="1689" t="s">
        <v>3064</v>
      </c>
      <c r="F2055" s="1689"/>
      <c r="G2055" s="1689"/>
      <c r="H2055" s="1689"/>
      <c r="K2055" s="841" t="s">
        <v>3815</v>
      </c>
      <c r="M2055" s="1357"/>
      <c r="Q2055" s="1357"/>
      <c r="S2055" s="1420"/>
      <c r="T2055" s="1420"/>
      <c r="V2055" s="1357">
        <v>411</v>
      </c>
    </row>
    <row r="2056" spans="1:22" s="841" customFormat="1" ht="15" x14ac:dyDescent="0.25">
      <c r="A2056" s="841" t="s">
        <v>184</v>
      </c>
      <c r="E2056" s="1689" t="s">
        <v>3129</v>
      </c>
      <c r="F2056" s="1689"/>
      <c r="G2056" s="1689"/>
      <c r="H2056" s="1689"/>
      <c r="K2056" s="841" t="s">
        <v>3815</v>
      </c>
      <c r="M2056" s="1357"/>
      <c r="Q2056" s="1357"/>
      <c r="S2056" s="1420"/>
      <c r="T2056" s="1420"/>
      <c r="V2056" s="1357">
        <v>211</v>
      </c>
    </row>
    <row r="2057" spans="1:22" s="841" customFormat="1" ht="15" x14ac:dyDescent="0.25">
      <c r="A2057" s="841" t="s">
        <v>184</v>
      </c>
      <c r="E2057" s="1689" t="s">
        <v>3200</v>
      </c>
      <c r="F2057" s="1689"/>
      <c r="G2057" s="1689"/>
      <c r="H2057" s="1689"/>
      <c r="K2057" s="841" t="s">
        <v>3815</v>
      </c>
      <c r="M2057" s="1357"/>
      <c r="Q2057" s="1357"/>
      <c r="S2057" s="1420"/>
      <c r="T2057" s="1420"/>
      <c r="V2057" s="1357">
        <v>275</v>
      </c>
    </row>
    <row r="2058" spans="1:22" s="841" customFormat="1" ht="15" x14ac:dyDescent="0.25">
      <c r="A2058" s="841" t="s">
        <v>184</v>
      </c>
      <c r="E2058" s="1694" t="s">
        <v>3067</v>
      </c>
      <c r="F2058" s="1907"/>
      <c r="G2058" s="1907"/>
      <c r="H2058" s="1907"/>
      <c r="K2058" s="841" t="s">
        <v>3130</v>
      </c>
      <c r="M2058" s="1357"/>
      <c r="Q2058" s="1357"/>
      <c r="S2058" s="1420"/>
      <c r="T2058" s="1420"/>
      <c r="V2058" s="1357">
        <v>46</v>
      </c>
    </row>
    <row r="2059" spans="1:22" s="841" customFormat="1" ht="15" x14ac:dyDescent="0.25">
      <c r="A2059" s="841" t="s">
        <v>184</v>
      </c>
      <c r="E2059" s="1690" t="s">
        <v>378</v>
      </c>
      <c r="F2059" s="1690"/>
      <c r="G2059" s="1408" t="s">
        <v>33</v>
      </c>
      <c r="H2059" s="393">
        <v>2.3371</v>
      </c>
      <c r="K2059" s="841" t="s">
        <v>3815</v>
      </c>
      <c r="L2059" s="841" t="s">
        <v>442</v>
      </c>
      <c r="M2059" s="1357"/>
      <c r="P2059" s="841" t="s">
        <v>5314</v>
      </c>
      <c r="Q2059" s="1357"/>
      <c r="S2059" s="1420"/>
      <c r="T2059" s="1420"/>
      <c r="V2059" s="1357">
        <v>62</v>
      </c>
    </row>
    <row r="2060" spans="1:22" s="841" customFormat="1" ht="15" x14ac:dyDescent="0.25">
      <c r="A2060" s="841" t="s">
        <v>184</v>
      </c>
      <c r="E2060" s="1690" t="s">
        <v>5130</v>
      </c>
      <c r="F2060" s="1908"/>
      <c r="G2060" s="1408" t="s">
        <v>33</v>
      </c>
      <c r="H2060" s="393">
        <v>-0.85489999999999999</v>
      </c>
      <c r="K2060" s="841" t="s">
        <v>3815</v>
      </c>
      <c r="L2060" s="841" t="s">
        <v>443</v>
      </c>
      <c r="M2060" s="1357"/>
      <c r="P2060" s="841" t="s">
        <v>5315</v>
      </c>
      <c r="Q2060" s="1357"/>
      <c r="S2060" s="1420"/>
      <c r="T2060" s="1420">
        <v>43585</v>
      </c>
      <c r="V2060" s="1357">
        <v>96</v>
      </c>
    </row>
    <row r="2061" spans="1:22" s="841" customFormat="1" ht="15" x14ac:dyDescent="0.25">
      <c r="A2061" s="841" t="s">
        <v>184</v>
      </c>
      <c r="E2061" s="1690" t="s">
        <v>221</v>
      </c>
      <c r="F2061" s="1690"/>
      <c r="G2061" s="1408" t="s">
        <v>33</v>
      </c>
      <c r="H2061" s="393">
        <v>2.5629</v>
      </c>
      <c r="K2061" s="841" t="s">
        <v>3815</v>
      </c>
      <c r="L2061" s="841" t="s">
        <v>444</v>
      </c>
      <c r="M2061" s="1357"/>
      <c r="P2061" s="841" t="s">
        <v>5316</v>
      </c>
      <c r="Q2061" s="1357"/>
      <c r="S2061" s="1420"/>
      <c r="T2061" s="1420"/>
      <c r="V2061" s="1357">
        <v>47</v>
      </c>
    </row>
    <row r="2062" spans="1:22" s="841" customFormat="1" ht="15" x14ac:dyDescent="0.25">
      <c r="A2062" s="841" t="s">
        <v>184</v>
      </c>
      <c r="E2062" s="1690" t="s">
        <v>217</v>
      </c>
      <c r="F2062" s="1690"/>
      <c r="G2062" s="1408" t="s">
        <v>33</v>
      </c>
      <c r="H2062" s="393">
        <v>0.75780000000000003</v>
      </c>
      <c r="K2062" s="841" t="s">
        <v>3815</v>
      </c>
      <c r="L2062" s="841" t="s">
        <v>444</v>
      </c>
      <c r="M2062" s="1357"/>
      <c r="P2062" s="841" t="s">
        <v>3819</v>
      </c>
      <c r="Q2062" s="1357"/>
      <c r="S2062" s="1420"/>
      <c r="T2062" s="1420"/>
      <c r="V2062" s="1357">
        <v>74</v>
      </c>
    </row>
    <row r="2063" spans="1:22" s="841" customFormat="1" x14ac:dyDescent="0.25">
      <c r="A2063" s="841" t="s">
        <v>184</v>
      </c>
      <c r="E2063" s="1909" t="s">
        <v>618</v>
      </c>
      <c r="F2063" s="1915"/>
      <c r="G2063" s="1915"/>
      <c r="H2063" s="1915"/>
      <c r="K2063" s="841" t="s">
        <v>3487</v>
      </c>
      <c r="M2063" s="1357"/>
      <c r="Q2063" s="1357"/>
      <c r="S2063" s="1420"/>
      <c r="T2063" s="1420"/>
      <c r="V2063" s="1357">
        <v>31</v>
      </c>
    </row>
    <row r="2064" spans="1:22" s="841" customFormat="1" ht="15" x14ac:dyDescent="0.25">
      <c r="A2064" s="841" t="s">
        <v>184</v>
      </c>
      <c r="E2064" s="1689" t="s">
        <v>4065</v>
      </c>
      <c r="F2064" s="1689"/>
      <c r="G2064" s="1689"/>
      <c r="H2064" s="1689"/>
      <c r="K2064" s="841" t="s">
        <v>3487</v>
      </c>
      <c r="M2064" s="1357"/>
      <c r="Q2064" s="1357"/>
      <c r="S2064" s="1420"/>
      <c r="T2064" s="1420"/>
      <c r="V2064" s="1357">
        <v>285</v>
      </c>
    </row>
    <row r="2065" spans="1:22" s="841" customFormat="1" ht="15" x14ac:dyDescent="0.25">
      <c r="A2065" s="841" t="s">
        <v>184</v>
      </c>
      <c r="E2065" s="1916" t="s">
        <v>3061</v>
      </c>
      <c r="F2065" s="1697"/>
      <c r="G2065" s="1697"/>
      <c r="H2065" s="1697"/>
      <c r="K2065" s="841" t="s">
        <v>3266</v>
      </c>
      <c r="M2065" s="1357"/>
      <c r="Q2065" s="1357"/>
      <c r="S2065" s="1420"/>
      <c r="T2065" s="1420"/>
      <c r="V2065" s="1357">
        <v>11</v>
      </c>
    </row>
    <row r="2066" spans="1:22" s="841" customFormat="1" ht="15" x14ac:dyDescent="0.25">
      <c r="A2066" s="841" t="s">
        <v>184</v>
      </c>
      <c r="E2066" s="1689" t="s">
        <v>3063</v>
      </c>
      <c r="F2066" s="1689"/>
      <c r="G2066" s="1689"/>
      <c r="H2066" s="1689"/>
      <c r="K2066" s="841" t="s">
        <v>3487</v>
      </c>
      <c r="M2066" s="1357"/>
      <c r="Q2066" s="1357"/>
      <c r="S2066" s="1420"/>
      <c r="T2066" s="1420"/>
      <c r="V2066" s="1357">
        <v>280</v>
      </c>
    </row>
    <row r="2067" spans="1:22" s="841" customFormat="1" ht="15" x14ac:dyDescent="0.25">
      <c r="A2067" s="841" t="s">
        <v>184</v>
      </c>
      <c r="E2067" s="1689" t="s">
        <v>3064</v>
      </c>
      <c r="F2067" s="1689"/>
      <c r="G2067" s="1689"/>
      <c r="H2067" s="1689"/>
      <c r="K2067" s="841" t="s">
        <v>3487</v>
      </c>
      <c r="M2067" s="1357"/>
      <c r="Q2067" s="1357"/>
      <c r="S2067" s="1420"/>
      <c r="T2067" s="1420"/>
      <c r="V2067" s="1357">
        <v>411</v>
      </c>
    </row>
    <row r="2068" spans="1:22" s="841" customFormat="1" ht="15" x14ac:dyDescent="0.25">
      <c r="A2068" s="841" t="s">
        <v>184</v>
      </c>
      <c r="E2068" s="1689" t="s">
        <v>3129</v>
      </c>
      <c r="F2068" s="1689"/>
      <c r="G2068" s="1689"/>
      <c r="H2068" s="1689"/>
      <c r="K2068" s="841" t="s">
        <v>3487</v>
      </c>
      <c r="M2068" s="1357"/>
      <c r="Q2068" s="1357"/>
      <c r="S2068" s="1420"/>
      <c r="T2068" s="1420"/>
      <c r="V2068" s="1357">
        <v>211</v>
      </c>
    </row>
    <row r="2069" spans="1:22" s="841" customFormat="1" ht="15" x14ac:dyDescent="0.25">
      <c r="A2069" s="841" t="s">
        <v>184</v>
      </c>
      <c r="E2069" s="1689" t="s">
        <v>3200</v>
      </c>
      <c r="F2069" s="1689"/>
      <c r="G2069" s="1689"/>
      <c r="H2069" s="1689"/>
      <c r="K2069" s="841" t="s">
        <v>3487</v>
      </c>
      <c r="M2069" s="1357"/>
      <c r="Q2069" s="1357"/>
      <c r="S2069" s="1420"/>
      <c r="T2069" s="1420"/>
      <c r="V2069" s="1357">
        <v>275</v>
      </c>
    </row>
    <row r="2070" spans="1:22" s="841" customFormat="1" ht="15" x14ac:dyDescent="0.25">
      <c r="A2070" s="841" t="s">
        <v>184</v>
      </c>
      <c r="E2070" s="1694" t="s">
        <v>3067</v>
      </c>
      <c r="F2070" s="1907"/>
      <c r="G2070" s="1907"/>
      <c r="H2070" s="1907"/>
      <c r="K2070" s="841" t="s">
        <v>3267</v>
      </c>
      <c r="M2070" s="1357"/>
      <c r="Q2070" s="1357"/>
      <c r="S2070" s="1420"/>
      <c r="T2070" s="1420"/>
      <c r="V2070" s="1357">
        <v>46</v>
      </c>
    </row>
    <row r="2071" spans="1:22" s="841" customFormat="1" ht="15" x14ac:dyDescent="0.25">
      <c r="A2071" s="841" t="s">
        <v>184</v>
      </c>
      <c r="E2071" s="1690" t="s">
        <v>11</v>
      </c>
      <c r="F2071" s="1690"/>
      <c r="G2071" s="1408" t="s">
        <v>23</v>
      </c>
      <c r="H2071" s="391">
        <v>5.4</v>
      </c>
      <c r="K2071" s="841" t="s">
        <v>3487</v>
      </c>
      <c r="L2071" s="841" t="s">
        <v>442</v>
      </c>
      <c r="M2071" s="1357"/>
      <c r="P2071" s="841" t="s">
        <v>3488</v>
      </c>
      <c r="Q2071" s="1357"/>
      <c r="S2071" s="1420"/>
      <c r="T2071" s="1420"/>
      <c r="V2071" s="1357">
        <v>14</v>
      </c>
    </row>
    <row r="2072" spans="1:22" s="841" customFormat="1" x14ac:dyDescent="0.25">
      <c r="A2072" s="841" t="s">
        <v>184</v>
      </c>
      <c r="E2072" s="1909" t="s">
        <v>631</v>
      </c>
      <c r="F2072" s="1915"/>
      <c r="G2072" s="1915"/>
      <c r="H2072" s="1915"/>
      <c r="K2072" s="841" t="s">
        <v>3342</v>
      </c>
      <c r="M2072" s="1357"/>
      <c r="Q2072" s="1357"/>
      <c r="S2072" s="1420"/>
      <c r="T2072" s="1420"/>
      <c r="V2072" s="1357">
        <v>36</v>
      </c>
    </row>
    <row r="2073" spans="1:22" s="841" customFormat="1" ht="15" x14ac:dyDescent="0.25">
      <c r="A2073" s="841" t="s">
        <v>184</v>
      </c>
      <c r="E2073" s="1689" t="s">
        <v>4066</v>
      </c>
      <c r="F2073" s="1689"/>
      <c r="G2073" s="1689"/>
      <c r="H2073" s="1689"/>
      <c r="K2073" s="841" t="s">
        <v>3342</v>
      </c>
      <c r="M2073" s="1357"/>
      <c r="Q2073" s="1357"/>
      <c r="S2073" s="1420"/>
      <c r="T2073" s="1420"/>
      <c r="V2073" s="1357">
        <v>495</v>
      </c>
    </row>
    <row r="2074" spans="1:22" s="841" customFormat="1" ht="15" x14ac:dyDescent="0.25">
      <c r="A2074" s="841" t="s">
        <v>184</v>
      </c>
      <c r="E2074" s="1916" t="s">
        <v>3061</v>
      </c>
      <c r="F2074" s="1697"/>
      <c r="G2074" s="1697"/>
      <c r="H2074" s="1697"/>
      <c r="K2074" s="841" t="s">
        <v>3281</v>
      </c>
      <c r="M2074" s="1357"/>
      <c r="Q2074" s="1357"/>
      <c r="S2074" s="1420"/>
      <c r="T2074" s="1420"/>
      <c r="V2074" s="1357">
        <v>11</v>
      </c>
    </row>
    <row r="2075" spans="1:22" s="841" customFormat="1" ht="15" x14ac:dyDescent="0.25">
      <c r="A2075" s="841" t="s">
        <v>184</v>
      </c>
      <c r="E2075" s="1689" t="s">
        <v>3063</v>
      </c>
      <c r="F2075" s="1689"/>
      <c r="G2075" s="1689"/>
      <c r="H2075" s="1689"/>
      <c r="K2075" s="841" t="s">
        <v>3342</v>
      </c>
      <c r="M2075" s="1357"/>
      <c r="Q2075" s="1357"/>
      <c r="S2075" s="1420"/>
      <c r="T2075" s="1420"/>
      <c r="V2075" s="1357">
        <v>280</v>
      </c>
    </row>
    <row r="2076" spans="1:22" s="841" customFormat="1" ht="15" x14ac:dyDescent="0.25">
      <c r="A2076" s="841" t="s">
        <v>184</v>
      </c>
      <c r="E2076" s="1689" t="s">
        <v>3064</v>
      </c>
      <c r="F2076" s="1689"/>
      <c r="G2076" s="1689"/>
      <c r="H2076" s="1689"/>
      <c r="K2076" s="841" t="s">
        <v>3342</v>
      </c>
      <c r="M2076" s="1357"/>
      <c r="Q2076" s="1357"/>
      <c r="S2076" s="1420"/>
      <c r="T2076" s="1420"/>
      <c r="V2076" s="1357">
        <v>411</v>
      </c>
    </row>
    <row r="2077" spans="1:22" s="841" customFormat="1" ht="15" x14ac:dyDescent="0.25">
      <c r="A2077" s="841" t="s">
        <v>184</v>
      </c>
      <c r="E2077" s="1689" t="s">
        <v>3129</v>
      </c>
      <c r="F2077" s="1689"/>
      <c r="G2077" s="1689"/>
      <c r="H2077" s="1689"/>
      <c r="K2077" s="841" t="s">
        <v>3342</v>
      </c>
      <c r="M2077" s="1357"/>
      <c r="Q2077" s="1357"/>
      <c r="S2077" s="1420"/>
      <c r="T2077" s="1420"/>
      <c r="V2077" s="1357">
        <v>211</v>
      </c>
    </row>
    <row r="2078" spans="1:22" s="841" customFormat="1" ht="15" x14ac:dyDescent="0.25">
      <c r="A2078" s="841" t="s">
        <v>184</v>
      </c>
      <c r="E2078" s="1689" t="s">
        <v>3200</v>
      </c>
      <c r="F2078" s="1689"/>
      <c r="G2078" s="1689"/>
      <c r="H2078" s="1689"/>
      <c r="K2078" s="841" t="s">
        <v>3342</v>
      </c>
      <c r="M2078" s="1357"/>
      <c r="Q2078" s="1357"/>
      <c r="S2078" s="1420"/>
      <c r="T2078" s="1420"/>
      <c r="V2078" s="1357">
        <v>275</v>
      </c>
    </row>
    <row r="2079" spans="1:22" s="841" customFormat="1" ht="15" x14ac:dyDescent="0.25">
      <c r="A2079" s="841" t="s">
        <v>184</v>
      </c>
      <c r="E2079" s="1694" t="s">
        <v>3344</v>
      </c>
      <c r="F2079" s="1907"/>
      <c r="G2079" s="1907"/>
      <c r="H2079" s="1907"/>
      <c r="K2079" s="841" t="s">
        <v>3282</v>
      </c>
      <c r="M2079" s="1357"/>
      <c r="Q2079" s="1357"/>
      <c r="S2079" s="1420"/>
      <c r="T2079" s="1420"/>
      <c r="V2079" s="1357">
        <v>77</v>
      </c>
    </row>
    <row r="2080" spans="1:22" s="841" customFormat="1" ht="15" x14ac:dyDescent="0.25">
      <c r="A2080" s="841" t="s">
        <v>184</v>
      </c>
      <c r="E2080" s="1690" t="s">
        <v>4067</v>
      </c>
      <c r="F2080" s="1690"/>
      <c r="G2080" s="1690"/>
      <c r="H2080" s="1690"/>
      <c r="K2080" s="841" t="s">
        <v>3342</v>
      </c>
      <c r="M2080" s="1357"/>
      <c r="P2080" s="841" t="s">
        <v>6171</v>
      </c>
      <c r="Q2080" s="1357"/>
      <c r="S2080" s="1420"/>
      <c r="T2080" s="1420"/>
      <c r="V2080" s="1357">
        <v>259</v>
      </c>
    </row>
    <row r="2081" spans="1:22" s="841" customFormat="1" ht="18.75" x14ac:dyDescent="0.25">
      <c r="A2081" s="841" t="s">
        <v>184</v>
      </c>
      <c r="E2081" s="1404" t="s">
        <v>85</v>
      </c>
      <c r="F2081" s="663"/>
      <c r="G2081" s="663"/>
      <c r="H2081" s="662"/>
      <c r="K2081" s="841" t="s">
        <v>4068</v>
      </c>
      <c r="M2081" s="1357"/>
      <c r="Q2081" s="1357"/>
      <c r="S2081" s="1420"/>
      <c r="T2081" s="1420"/>
      <c r="V2081" s="1357">
        <v>10</v>
      </c>
    </row>
    <row r="2082" spans="1:22" s="841" customFormat="1" ht="15" x14ac:dyDescent="0.25">
      <c r="A2082" s="841" t="s">
        <v>184</v>
      </c>
      <c r="E2082" s="1690" t="s">
        <v>3133</v>
      </c>
      <c r="F2082" s="1690"/>
      <c r="G2082" s="1408" t="s">
        <v>33</v>
      </c>
      <c r="H2082" s="393">
        <v>-0.6</v>
      </c>
      <c r="M2082" s="1357"/>
      <c r="Q2082" s="1357"/>
      <c r="S2082" s="1420"/>
      <c r="T2082" s="1420"/>
      <c r="V2082" s="1357">
        <v>68</v>
      </c>
    </row>
    <row r="2083" spans="1:22" s="841" customFormat="1" ht="15" x14ac:dyDescent="0.25">
      <c r="A2083" s="841" t="s">
        <v>184</v>
      </c>
      <c r="E2083" s="1690" t="s">
        <v>3134</v>
      </c>
      <c r="F2083" s="1690"/>
      <c r="G2083" s="1408" t="s">
        <v>86</v>
      </c>
      <c r="H2083" s="391">
        <v>-1</v>
      </c>
      <c r="M2083" s="1357"/>
      <c r="Q2083" s="1357"/>
      <c r="S2083" s="1420"/>
      <c r="T2083" s="1420"/>
      <c r="V2083" s="1357">
        <v>87</v>
      </c>
    </row>
    <row r="2084" spans="1:22" s="841" customFormat="1" ht="36" x14ac:dyDescent="0.25">
      <c r="A2084" s="841" t="s">
        <v>184</v>
      </c>
      <c r="E2084" s="1374" t="s">
        <v>87</v>
      </c>
      <c r="F2084" s="663"/>
      <c r="G2084" s="663"/>
      <c r="H2084" s="662"/>
      <c r="K2084" s="841" t="s">
        <v>4069</v>
      </c>
      <c r="M2084" s="1357"/>
      <c r="Q2084" s="1357"/>
      <c r="S2084" s="1420"/>
      <c r="T2084" s="1420"/>
      <c r="V2084" s="1357">
        <v>24</v>
      </c>
    </row>
    <row r="2085" spans="1:22" s="841" customFormat="1" ht="15" x14ac:dyDescent="0.25">
      <c r="A2085" s="841" t="s">
        <v>184</v>
      </c>
      <c r="E2085" s="1926" t="s">
        <v>3061</v>
      </c>
      <c r="F2085" s="1689"/>
      <c r="G2085" s="1689"/>
      <c r="H2085" s="1689"/>
      <c r="M2085" s="1357"/>
      <c r="Q2085" s="1357"/>
      <c r="S2085" s="1420"/>
      <c r="T2085" s="1420"/>
      <c r="V2085" s="1357">
        <v>11</v>
      </c>
    </row>
    <row r="2086" spans="1:22" s="841" customFormat="1" ht="15" x14ac:dyDescent="0.25">
      <c r="A2086" s="841" t="s">
        <v>184</v>
      </c>
      <c r="E2086" s="1689" t="s">
        <v>3063</v>
      </c>
      <c r="F2086" s="1689"/>
      <c r="G2086" s="1689"/>
      <c r="H2086" s="1689"/>
      <c r="M2086" s="1357"/>
      <c r="Q2086" s="1357"/>
      <c r="S2086" s="1420"/>
      <c r="T2086" s="1420"/>
      <c r="V2086" s="1357">
        <v>280</v>
      </c>
    </row>
    <row r="2087" spans="1:22" s="841" customFormat="1" ht="15" x14ac:dyDescent="0.25">
      <c r="A2087" s="841" t="s">
        <v>184</v>
      </c>
      <c r="E2087" s="1689" t="s">
        <v>3136</v>
      </c>
      <c r="F2087" s="1689"/>
      <c r="G2087" s="1689"/>
      <c r="H2087" s="1689"/>
      <c r="M2087" s="1357"/>
      <c r="Q2087" s="1357"/>
      <c r="S2087" s="1420"/>
      <c r="T2087" s="1420"/>
      <c r="V2087" s="1357">
        <v>353</v>
      </c>
    </row>
    <row r="2088" spans="1:22" s="841" customFormat="1" ht="15" x14ac:dyDescent="0.25">
      <c r="A2088" s="841" t="s">
        <v>184</v>
      </c>
      <c r="E2088" s="1689" t="s">
        <v>3200</v>
      </c>
      <c r="F2088" s="1689"/>
      <c r="G2088" s="1689"/>
      <c r="H2088" s="1689"/>
      <c r="M2088" s="1357"/>
      <c r="Q2088" s="1357"/>
      <c r="S2088" s="1420"/>
      <c r="T2088" s="1420"/>
      <c r="V2088" s="1357">
        <v>275</v>
      </c>
    </row>
    <row r="2089" spans="1:22" s="841" customFormat="1" ht="15" x14ac:dyDescent="0.25">
      <c r="A2089" s="841" t="s">
        <v>184</v>
      </c>
      <c r="E2089" s="1370" t="s">
        <v>3137</v>
      </c>
      <c r="F2089" s="629"/>
      <c r="G2089" s="629"/>
      <c r="H2089" s="630"/>
      <c r="K2089" s="841" t="s">
        <v>4070</v>
      </c>
      <c r="M2089" s="1357"/>
      <c r="Q2089" s="1357"/>
      <c r="S2089" s="1420"/>
      <c r="T2089" s="1420"/>
      <c r="V2089" s="1357">
        <v>23</v>
      </c>
    </row>
    <row r="2090" spans="1:22" s="841" customFormat="1" ht="15" x14ac:dyDescent="0.25">
      <c r="A2090" s="841" t="s">
        <v>184</v>
      </c>
      <c r="E2090" s="1688" t="s">
        <v>3149</v>
      </c>
      <c r="F2090" s="1688"/>
      <c r="G2090" s="1408" t="s">
        <v>23</v>
      </c>
      <c r="H2090" s="391">
        <v>15</v>
      </c>
      <c r="M2090" s="1357"/>
      <c r="Q2090" s="1357"/>
      <c r="S2090" s="1420"/>
      <c r="T2090" s="1420"/>
      <c r="V2090" s="1357">
        <v>35</v>
      </c>
    </row>
    <row r="2091" spans="1:22" s="841" customFormat="1" ht="15" x14ac:dyDescent="0.25">
      <c r="A2091" s="841" t="s">
        <v>184</v>
      </c>
      <c r="E2091" s="1688" t="s">
        <v>88</v>
      </c>
      <c r="F2091" s="1688"/>
      <c r="G2091" s="1408" t="s">
        <v>23</v>
      </c>
      <c r="H2091" s="391">
        <v>20</v>
      </c>
      <c r="M2091" s="1357"/>
      <c r="Q2091" s="1357"/>
      <c r="S2091" s="1420"/>
      <c r="T2091" s="1420"/>
      <c r="V2091" s="1357">
        <v>89</v>
      </c>
    </row>
    <row r="2092" spans="1:22" s="841" customFormat="1" ht="15" x14ac:dyDescent="0.25">
      <c r="A2092" s="841" t="s">
        <v>184</v>
      </c>
      <c r="E2092" s="1688" t="s">
        <v>92</v>
      </c>
      <c r="F2092" s="1688"/>
      <c r="G2092" s="1408" t="s">
        <v>23</v>
      </c>
      <c r="H2092" s="391">
        <v>30</v>
      </c>
      <c r="M2092" s="1357"/>
      <c r="Q2092" s="1357"/>
      <c r="S2092" s="1420"/>
      <c r="T2092" s="1420"/>
      <c r="V2092" s="1357">
        <v>74</v>
      </c>
    </row>
    <row r="2093" spans="1:22" s="841" customFormat="1" ht="15" x14ac:dyDescent="0.25">
      <c r="A2093" s="841" t="s">
        <v>184</v>
      </c>
      <c r="E2093" s="1688" t="s">
        <v>3499</v>
      </c>
      <c r="F2093" s="1688"/>
      <c r="G2093" s="1408" t="s">
        <v>23</v>
      </c>
      <c r="H2093" s="391">
        <v>15</v>
      </c>
      <c r="M2093" s="1357"/>
      <c r="Q2093" s="1357"/>
      <c r="S2093" s="1420"/>
      <c r="T2093" s="1420"/>
      <c r="V2093" s="1357">
        <v>39</v>
      </c>
    </row>
    <row r="2094" spans="1:22" s="841" customFormat="1" ht="15" x14ac:dyDescent="0.25">
      <c r="A2094" s="841" t="s">
        <v>184</v>
      </c>
      <c r="E2094" s="1370" t="s">
        <v>3152</v>
      </c>
      <c r="F2094" s="629"/>
      <c r="G2094" s="629"/>
      <c r="H2094" s="630"/>
      <c r="K2094" s="841" t="s">
        <v>4071</v>
      </c>
      <c r="M2094" s="1357"/>
      <c r="Q2094" s="1357"/>
      <c r="S2094" s="1420"/>
      <c r="T2094" s="1420"/>
      <c r="V2094" s="1357">
        <v>22</v>
      </c>
    </row>
    <row r="2095" spans="1:22" s="841" customFormat="1" ht="15" x14ac:dyDescent="0.25">
      <c r="A2095" s="841" t="s">
        <v>184</v>
      </c>
      <c r="E2095" s="1688" t="s">
        <v>5137</v>
      </c>
      <c r="F2095" s="1688"/>
      <c r="G2095" s="1408" t="s">
        <v>86</v>
      </c>
      <c r="H2095" s="391">
        <v>1.5</v>
      </c>
      <c r="M2095" s="1357"/>
      <c r="Q2095" s="1357"/>
      <c r="S2095" s="1420"/>
      <c r="T2095" s="1420"/>
      <c r="V2095" s="1357">
        <v>24</v>
      </c>
    </row>
    <row r="2096" spans="1:22" s="841" customFormat="1" ht="15" x14ac:dyDescent="0.25">
      <c r="A2096" s="841" t="s">
        <v>184</v>
      </c>
      <c r="E2096" s="1688" t="s">
        <v>4772</v>
      </c>
      <c r="F2096" s="1688"/>
      <c r="G2096" s="1408" t="s">
        <v>86</v>
      </c>
      <c r="H2096" s="391">
        <v>19.559999999999999</v>
      </c>
      <c r="M2096" s="1357"/>
      <c r="Q2096" s="1357"/>
      <c r="S2096" s="1420"/>
      <c r="T2096" s="1420"/>
      <c r="V2096" s="1357">
        <v>24</v>
      </c>
    </row>
    <row r="2097" spans="1:22" s="841" customFormat="1" ht="15" x14ac:dyDescent="0.25">
      <c r="A2097" s="841" t="s">
        <v>184</v>
      </c>
      <c r="E2097" s="1688" t="s">
        <v>3288</v>
      </c>
      <c r="F2097" s="1688"/>
      <c r="G2097" s="1408" t="s">
        <v>23</v>
      </c>
      <c r="H2097" s="391">
        <v>30</v>
      </c>
      <c r="M2097" s="1357"/>
      <c r="Q2097" s="1357"/>
      <c r="S2097" s="1420"/>
      <c r="T2097" s="1420"/>
      <c r="V2097" s="1357">
        <v>47</v>
      </c>
    </row>
    <row r="2098" spans="1:22" s="841" customFormat="1" ht="15" x14ac:dyDescent="0.25">
      <c r="A2098" s="841" t="s">
        <v>184</v>
      </c>
      <c r="E2098" s="1688" t="s">
        <v>4773</v>
      </c>
      <c r="F2098" s="1688"/>
      <c r="G2098" s="1408" t="s">
        <v>23</v>
      </c>
      <c r="H2098" s="391">
        <v>65</v>
      </c>
      <c r="M2098" s="1357"/>
      <c r="Q2098" s="1357"/>
      <c r="S2098" s="1420"/>
      <c r="T2098" s="1420"/>
      <c r="V2098" s="1357">
        <v>52</v>
      </c>
    </row>
    <row r="2099" spans="1:22" s="841" customFormat="1" ht="15" x14ac:dyDescent="0.25">
      <c r="A2099" s="841" t="s">
        <v>184</v>
      </c>
      <c r="E2099" s="1688" t="s">
        <v>4774</v>
      </c>
      <c r="F2099" s="1688"/>
      <c r="G2099" s="1408" t="s">
        <v>23</v>
      </c>
      <c r="H2099" s="391">
        <v>185</v>
      </c>
      <c r="M2099" s="1357"/>
      <c r="Q2099" s="1357"/>
      <c r="S2099" s="1420"/>
      <c r="T2099" s="1420"/>
      <c r="V2099" s="1357">
        <v>51</v>
      </c>
    </row>
    <row r="2100" spans="1:22" s="841" customFormat="1" ht="15" x14ac:dyDescent="0.25">
      <c r="A2100" s="841" t="s">
        <v>184</v>
      </c>
      <c r="E2100" s="1688" t="s">
        <v>4775</v>
      </c>
      <c r="F2100" s="1688"/>
      <c r="G2100" s="1408" t="s">
        <v>23</v>
      </c>
      <c r="H2100" s="391">
        <v>95</v>
      </c>
      <c r="M2100" s="1357"/>
      <c r="Q2100" s="1357"/>
      <c r="S2100" s="1420"/>
      <c r="T2100" s="1420"/>
      <c r="V2100" s="1357">
        <v>51</v>
      </c>
    </row>
    <row r="2101" spans="1:22" s="841" customFormat="1" ht="15" x14ac:dyDescent="0.25">
      <c r="A2101" s="841" t="s">
        <v>184</v>
      </c>
      <c r="E2101" s="1370" t="s">
        <v>3164</v>
      </c>
      <c r="F2101" s="629"/>
      <c r="G2101" s="629"/>
      <c r="H2101" s="630"/>
      <c r="M2101" s="1357"/>
      <c r="Q2101" s="1357"/>
      <c r="S2101" s="1420"/>
      <c r="T2101" s="1420"/>
      <c r="V2101" s="1357">
        <v>5</v>
      </c>
    </row>
    <row r="2102" spans="1:22" s="841" customFormat="1" ht="15" x14ac:dyDescent="0.25">
      <c r="A2102" s="841" t="s">
        <v>184</v>
      </c>
      <c r="E2102" s="1688" t="s">
        <v>4072</v>
      </c>
      <c r="F2102" s="1688"/>
      <c r="G2102" s="1408" t="s">
        <v>23</v>
      </c>
      <c r="H2102" s="391">
        <v>60</v>
      </c>
      <c r="M2102" s="1357"/>
      <c r="Q2102" s="1357"/>
      <c r="S2102" s="1420"/>
      <c r="T2102" s="1420"/>
      <c r="V2102" s="1357">
        <v>35</v>
      </c>
    </row>
    <row r="2103" spans="1:22" s="841" customFormat="1" ht="15" x14ac:dyDescent="0.25">
      <c r="A2103" s="841" t="s">
        <v>184</v>
      </c>
      <c r="E2103" s="1688" t="s">
        <v>3168</v>
      </c>
      <c r="F2103" s="1688"/>
      <c r="G2103" s="1408" t="s">
        <v>23</v>
      </c>
      <c r="H2103" s="391">
        <v>105</v>
      </c>
      <c r="M2103" s="1357"/>
      <c r="Q2103" s="1357"/>
      <c r="S2103" s="1420"/>
      <c r="T2103" s="1420"/>
      <c r="V2103" s="1357">
        <v>34</v>
      </c>
    </row>
    <row r="2104" spans="1:22" s="841" customFormat="1" ht="15" x14ac:dyDescent="0.25">
      <c r="A2104" s="841" t="s">
        <v>184</v>
      </c>
      <c r="E2104" s="1688" t="s">
        <v>3502</v>
      </c>
      <c r="F2104" s="1688"/>
      <c r="G2104" s="669" t="s">
        <v>23</v>
      </c>
      <c r="H2104" s="671">
        <v>22.35</v>
      </c>
      <c r="M2104" s="1357"/>
      <c r="Q2104" s="1357"/>
      <c r="S2104" s="1420"/>
      <c r="T2104" s="1420"/>
      <c r="V2104" s="1357">
        <v>104</v>
      </c>
    </row>
    <row r="2105" spans="1:22" s="841" customFormat="1" x14ac:dyDescent="0.25">
      <c r="A2105" s="841" t="s">
        <v>184</v>
      </c>
      <c r="E2105" s="1931" t="s">
        <v>77</v>
      </c>
      <c r="F2105" s="1932"/>
      <c r="G2105" s="1932"/>
      <c r="H2105" s="1932"/>
      <c r="K2105" s="841" t="s">
        <v>4073</v>
      </c>
      <c r="M2105" s="1357"/>
      <c r="Q2105" s="1357"/>
      <c r="S2105" s="1420"/>
      <c r="T2105" s="1420"/>
      <c r="V2105" s="1357">
        <v>38</v>
      </c>
    </row>
    <row r="2106" spans="1:22" s="841" customFormat="1" ht="15" x14ac:dyDescent="0.25">
      <c r="A2106" s="841" t="s">
        <v>184</v>
      </c>
      <c r="E2106" s="1926" t="s">
        <v>3061</v>
      </c>
      <c r="F2106" s="1689"/>
      <c r="G2106" s="1689"/>
      <c r="H2106" s="1689"/>
      <c r="K2106" s="841" t="s">
        <v>3281</v>
      </c>
      <c r="M2106" s="1357"/>
      <c r="Q2106" s="1357"/>
      <c r="S2106" s="1420"/>
      <c r="T2106" s="1420"/>
      <c r="V2106" s="1357">
        <v>11</v>
      </c>
    </row>
    <row r="2107" spans="1:22" s="841" customFormat="1" ht="15" x14ac:dyDescent="0.25">
      <c r="A2107" s="841" t="s">
        <v>184</v>
      </c>
      <c r="E2107" s="1689" t="s">
        <v>3063</v>
      </c>
      <c r="F2107" s="1689"/>
      <c r="G2107" s="1689"/>
      <c r="H2107" s="1689"/>
      <c r="M2107" s="1357"/>
      <c r="Q2107" s="1357"/>
      <c r="S2107" s="1420"/>
      <c r="T2107" s="1420"/>
      <c r="V2107" s="1357">
        <v>280</v>
      </c>
    </row>
    <row r="2108" spans="1:22" s="841" customFormat="1" ht="15" x14ac:dyDescent="0.25">
      <c r="A2108" s="841" t="s">
        <v>184</v>
      </c>
      <c r="E2108" s="1689" t="s">
        <v>3064</v>
      </c>
      <c r="F2108" s="1689"/>
      <c r="G2108" s="1689"/>
      <c r="H2108" s="1689"/>
      <c r="M2108" s="1357"/>
      <c r="Q2108" s="1357"/>
      <c r="S2108" s="1420"/>
      <c r="T2108" s="1420"/>
      <c r="V2108" s="1357">
        <v>411</v>
      </c>
    </row>
    <row r="2109" spans="1:22" s="841" customFormat="1" ht="15" x14ac:dyDescent="0.25">
      <c r="A2109" s="841" t="s">
        <v>184</v>
      </c>
      <c r="E2109" s="1689" t="s">
        <v>3129</v>
      </c>
      <c r="F2109" s="1689"/>
      <c r="G2109" s="1689"/>
      <c r="H2109" s="1689"/>
      <c r="M2109" s="1357"/>
      <c r="Q2109" s="1357"/>
      <c r="S2109" s="1420"/>
      <c r="T2109" s="1420"/>
      <c r="V2109" s="1357">
        <v>211</v>
      </c>
    </row>
    <row r="2110" spans="1:22" s="841" customFormat="1" ht="15" x14ac:dyDescent="0.25">
      <c r="A2110" s="841" t="s">
        <v>184</v>
      </c>
      <c r="E2110" s="1689" t="s">
        <v>3200</v>
      </c>
      <c r="F2110" s="1689"/>
      <c r="G2110" s="1689"/>
      <c r="H2110" s="1689"/>
      <c r="M2110" s="1357"/>
      <c r="Q2110" s="1357"/>
      <c r="S2110" s="1420"/>
      <c r="T2110" s="1420"/>
      <c r="V2110" s="1357">
        <v>275</v>
      </c>
    </row>
    <row r="2111" spans="1:22" s="841" customFormat="1" ht="15" x14ac:dyDescent="0.25">
      <c r="A2111" s="841" t="s">
        <v>184</v>
      </c>
      <c r="E2111" s="1690" t="s">
        <v>3291</v>
      </c>
      <c r="F2111" s="1690"/>
      <c r="G2111" s="509"/>
      <c r="H2111" s="630"/>
      <c r="M2111" s="1357"/>
      <c r="Q2111" s="1357"/>
      <c r="S2111" s="1420"/>
      <c r="T2111" s="1420"/>
      <c r="V2111" s="1357">
        <v>142</v>
      </c>
    </row>
    <row r="2112" spans="1:22" s="841" customFormat="1" ht="15" x14ac:dyDescent="0.25">
      <c r="A2112" s="841" t="s">
        <v>184</v>
      </c>
      <c r="E2112" s="1690" t="s">
        <v>3176</v>
      </c>
      <c r="F2112" s="1690"/>
      <c r="G2112" s="1403" t="s">
        <v>23</v>
      </c>
      <c r="H2112" s="395">
        <v>100</v>
      </c>
      <c r="M2112" s="1357"/>
      <c r="Q2112" s="1357"/>
      <c r="S2112" s="1420"/>
      <c r="T2112" s="1420"/>
      <c r="V2112" s="1357">
        <v>106</v>
      </c>
    </row>
    <row r="2113" spans="1:22" s="841" customFormat="1" ht="15" x14ac:dyDescent="0.25">
      <c r="A2113" s="841" t="s">
        <v>184</v>
      </c>
      <c r="E2113" s="1690" t="s">
        <v>3177</v>
      </c>
      <c r="F2113" s="1690"/>
      <c r="G2113" s="1403" t="s">
        <v>23</v>
      </c>
      <c r="H2113" s="395">
        <v>20</v>
      </c>
      <c r="M2113" s="1357"/>
      <c r="Q2113" s="1357"/>
      <c r="S2113" s="1420"/>
      <c r="T2113" s="1420"/>
      <c r="V2113" s="1357">
        <v>34</v>
      </c>
    </row>
    <row r="2114" spans="1:22" s="841" customFormat="1" ht="15" x14ac:dyDescent="0.25">
      <c r="A2114" s="841" t="s">
        <v>184</v>
      </c>
      <c r="E2114" s="1690" t="s">
        <v>3178</v>
      </c>
      <c r="F2114" s="1690"/>
      <c r="G2114" s="1403" t="s">
        <v>3179</v>
      </c>
      <c r="H2114" s="395">
        <v>0.5</v>
      </c>
      <c r="M2114" s="1357"/>
      <c r="Q2114" s="1357"/>
      <c r="S2114" s="1420"/>
      <c r="T2114" s="1420"/>
      <c r="V2114" s="1357">
        <v>51</v>
      </c>
    </row>
    <row r="2115" spans="1:22" s="841" customFormat="1" ht="15" x14ac:dyDescent="0.25">
      <c r="A2115" s="841" t="s">
        <v>184</v>
      </c>
      <c r="E2115" s="1690" t="s">
        <v>3180</v>
      </c>
      <c r="F2115" s="1690"/>
      <c r="G2115" s="1403" t="s">
        <v>3179</v>
      </c>
      <c r="H2115" s="395">
        <v>0.3</v>
      </c>
      <c r="M2115" s="1357"/>
      <c r="Q2115" s="1357"/>
      <c r="S2115" s="1420"/>
      <c r="T2115" s="1420"/>
      <c r="V2115" s="1357">
        <v>75</v>
      </c>
    </row>
    <row r="2116" spans="1:22" s="841" customFormat="1" ht="15" x14ac:dyDescent="0.25">
      <c r="A2116" s="841" t="s">
        <v>184</v>
      </c>
      <c r="E2116" s="1690" t="s">
        <v>3181</v>
      </c>
      <c r="F2116" s="1690"/>
      <c r="G2116" s="1403" t="s">
        <v>3179</v>
      </c>
      <c r="H2116" s="395">
        <v>-0.3</v>
      </c>
      <c r="M2116" s="1357"/>
      <c r="Q2116" s="1357"/>
      <c r="S2116" s="1420"/>
      <c r="T2116" s="1420"/>
      <c r="V2116" s="1357">
        <v>72</v>
      </c>
    </row>
    <row r="2117" spans="1:22" s="841" customFormat="1" ht="15" x14ac:dyDescent="0.25">
      <c r="A2117" s="841" t="s">
        <v>184</v>
      </c>
      <c r="E2117" s="1691" t="s">
        <v>3292</v>
      </c>
      <c r="F2117" s="1691"/>
      <c r="G2117" s="1403"/>
      <c r="H2117" s="503"/>
      <c r="M2117" s="1357"/>
      <c r="Q2117" s="1357"/>
      <c r="S2117" s="1420"/>
      <c r="T2117" s="1420"/>
      <c r="V2117" s="1357">
        <v>34</v>
      </c>
    </row>
    <row r="2118" spans="1:22" s="841" customFormat="1" ht="15" x14ac:dyDescent="0.25">
      <c r="A2118" s="841" t="s">
        <v>184</v>
      </c>
      <c r="E2118" s="1691" t="s">
        <v>3183</v>
      </c>
      <c r="F2118" s="1691"/>
      <c r="G2118" s="1403" t="s">
        <v>23</v>
      </c>
      <c r="H2118" s="395">
        <v>0.25</v>
      </c>
      <c r="M2118" s="1357"/>
      <c r="Q2118" s="1357"/>
      <c r="S2118" s="1420"/>
      <c r="T2118" s="1420"/>
      <c r="V2118" s="1357">
        <v>57</v>
      </c>
    </row>
    <row r="2119" spans="1:22" s="841" customFormat="1" ht="15" x14ac:dyDescent="0.25">
      <c r="A2119" s="841" t="s">
        <v>184</v>
      </c>
      <c r="E2119" s="1690" t="s">
        <v>3184</v>
      </c>
      <c r="F2119" s="1690"/>
      <c r="G2119" s="1403" t="s">
        <v>23</v>
      </c>
      <c r="H2119" s="395">
        <v>0.5</v>
      </c>
      <c r="M2119" s="1357"/>
      <c r="Q2119" s="1357"/>
      <c r="S2119" s="1420"/>
      <c r="T2119" s="1420"/>
      <c r="V2119" s="1357">
        <v>60</v>
      </c>
    </row>
    <row r="2120" spans="1:22" s="841" customFormat="1" ht="15" x14ac:dyDescent="0.25">
      <c r="A2120" s="841" t="s">
        <v>184</v>
      </c>
      <c r="E2120" s="1690" t="s">
        <v>3185</v>
      </c>
      <c r="F2120" s="1690"/>
      <c r="G2120" s="1403"/>
      <c r="H2120" s="503"/>
      <c r="M2120" s="1357"/>
      <c r="Q2120" s="1357"/>
      <c r="S2120" s="1420"/>
      <c r="T2120" s="1420"/>
      <c r="V2120" s="1357">
        <v>91</v>
      </c>
    </row>
    <row r="2121" spans="1:22" s="841" customFormat="1" ht="15" x14ac:dyDescent="0.25">
      <c r="A2121" s="841" t="s">
        <v>184</v>
      </c>
      <c r="E2121" s="1690" t="s">
        <v>3186</v>
      </c>
      <c r="F2121" s="1690"/>
      <c r="G2121" s="1403"/>
      <c r="H2121" s="503"/>
      <c r="M2121" s="1357"/>
      <c r="Q2121" s="1357"/>
      <c r="S2121" s="1420"/>
      <c r="T2121" s="1420"/>
      <c r="V2121" s="1357">
        <v>96</v>
      </c>
    </row>
    <row r="2122" spans="1:22" s="841" customFormat="1" ht="15" x14ac:dyDescent="0.25">
      <c r="A2122" s="841" t="s">
        <v>184</v>
      </c>
      <c r="E2122" s="1691" t="s">
        <v>3293</v>
      </c>
      <c r="F2122" s="1691"/>
      <c r="G2122" s="1403"/>
      <c r="H2122" s="503"/>
      <c r="M2122" s="1357"/>
      <c r="Q2122" s="1357"/>
      <c r="S2122" s="1420"/>
      <c r="T2122" s="1420"/>
      <c r="V2122" s="1357">
        <v>77</v>
      </c>
    </row>
    <row r="2123" spans="1:22" s="841" customFormat="1" ht="15" x14ac:dyDescent="0.25">
      <c r="A2123" s="841" t="s">
        <v>184</v>
      </c>
      <c r="E2123" s="1691" t="s">
        <v>3188</v>
      </c>
      <c r="F2123" s="1691"/>
      <c r="G2123" s="1403" t="s">
        <v>23</v>
      </c>
      <c r="H2123" s="503" t="s">
        <v>3189</v>
      </c>
      <c r="M2123" s="1357"/>
      <c r="Q2123" s="1357"/>
      <c r="S2123" s="1420"/>
      <c r="T2123" s="1420"/>
      <c r="V2123" s="1357">
        <v>18</v>
      </c>
    </row>
    <row r="2124" spans="1:22" s="841" customFormat="1" ht="15" x14ac:dyDescent="0.25">
      <c r="A2124" s="841" t="s">
        <v>184</v>
      </c>
      <c r="E2124" s="1691" t="s">
        <v>3190</v>
      </c>
      <c r="F2124" s="1691"/>
      <c r="G2124" s="1403" t="s">
        <v>23</v>
      </c>
      <c r="H2124" s="395">
        <v>2</v>
      </c>
      <c r="M2124" s="1357"/>
      <c r="Q2124" s="1357"/>
      <c r="S2124" s="1420"/>
      <c r="T2124" s="1420"/>
      <c r="V2124" s="1357">
        <v>69</v>
      </c>
    </row>
    <row r="2125" spans="1:22" s="841" customFormat="1" ht="18.75" x14ac:dyDescent="0.25">
      <c r="A2125" s="841" t="s">
        <v>184</v>
      </c>
      <c r="E2125" s="1374" t="s">
        <v>147</v>
      </c>
      <c r="F2125" s="663"/>
      <c r="G2125" s="663"/>
      <c r="H2125" s="662"/>
      <c r="K2125" s="841" t="s">
        <v>4074</v>
      </c>
      <c r="M2125" s="1357"/>
      <c r="Q2125" s="1357"/>
      <c r="S2125" s="1420"/>
      <c r="T2125" s="1420"/>
      <c r="V2125" s="1357">
        <v>12</v>
      </c>
    </row>
    <row r="2126" spans="1:22" s="841" customFormat="1" ht="15" x14ac:dyDescent="0.25">
      <c r="A2126" s="841" t="s">
        <v>184</v>
      </c>
      <c r="E2126" s="1704" t="s">
        <v>3192</v>
      </c>
      <c r="F2126" s="1704"/>
      <c r="G2126" s="1704"/>
      <c r="H2126" s="1704"/>
      <c r="M2126" s="1357"/>
      <c r="Q2126" s="1357"/>
      <c r="S2126" s="1420"/>
      <c r="T2126" s="1420"/>
      <c r="V2126" s="1357">
        <v>203</v>
      </c>
    </row>
    <row r="2127" spans="1:22" s="841" customFormat="1" ht="15" x14ac:dyDescent="0.25">
      <c r="A2127" s="841" t="s">
        <v>184</v>
      </c>
      <c r="E2127" s="1690" t="s">
        <v>3295</v>
      </c>
      <c r="F2127" s="1690"/>
      <c r="G2127" s="1408"/>
      <c r="H2127" s="393">
        <v>1.0350999999999999</v>
      </c>
      <c r="M2127" s="1357"/>
      <c r="Q2127" s="1357"/>
      <c r="S2127" s="1420"/>
      <c r="T2127" s="1420"/>
      <c r="V2127" s="1357">
        <v>57</v>
      </c>
    </row>
    <row r="2128" spans="1:22" s="841" customFormat="1" ht="15" x14ac:dyDescent="0.25">
      <c r="A2128" s="841" t="s">
        <v>184</v>
      </c>
      <c r="E2128" s="1690" t="s">
        <v>3296</v>
      </c>
      <c r="F2128" s="1690"/>
      <c r="G2128" s="1408"/>
      <c r="H2128" s="393">
        <v>1.0154000000000001</v>
      </c>
      <c r="M2128" s="1357"/>
      <c r="Q2128" s="1357"/>
      <c r="S2128" s="1420"/>
      <c r="T2128" s="1420"/>
      <c r="V2128" s="1357">
        <v>57</v>
      </c>
    </row>
    <row r="2129" spans="1:22" s="841" customFormat="1" ht="15" x14ac:dyDescent="0.25">
      <c r="A2129" s="841" t="s">
        <v>184</v>
      </c>
      <c r="E2129" s="1690" t="s">
        <v>3297</v>
      </c>
      <c r="F2129" s="1690"/>
      <c r="G2129" s="1408"/>
      <c r="H2129" s="393">
        <v>1.0226</v>
      </c>
      <c r="M2129" s="1357"/>
      <c r="Q2129" s="1357"/>
      <c r="S2129" s="1420"/>
      <c r="T2129" s="1420"/>
      <c r="V2129" s="1357">
        <v>55</v>
      </c>
    </row>
    <row r="2130" spans="1:22" s="841" customFormat="1" ht="15" x14ac:dyDescent="0.25">
      <c r="A2130" s="841" t="s">
        <v>184</v>
      </c>
      <c r="E2130" s="1690" t="s">
        <v>3298</v>
      </c>
      <c r="F2130" s="1690"/>
      <c r="G2130" s="1408"/>
      <c r="H2130" s="393">
        <v>1.0053000000000001</v>
      </c>
      <c r="J2130" s="841" t="s">
        <v>4075</v>
      </c>
      <c r="M2130" s="1357"/>
      <c r="Q2130" s="1357"/>
      <c r="S2130" s="1420"/>
      <c r="T2130" s="1420"/>
      <c r="V2130" s="1357">
        <v>55</v>
      </c>
    </row>
    <row r="2131" spans="1:22" s="841" customFormat="1" ht="23.25" x14ac:dyDescent="0.25">
      <c r="A2131" s="841" t="s">
        <v>2457</v>
      </c>
      <c r="B2131" s="841" t="s">
        <v>3562</v>
      </c>
      <c r="C2131" s="841" t="s">
        <v>3050</v>
      </c>
      <c r="E2131" s="1911" t="s">
        <v>2457</v>
      </c>
      <c r="F2131" s="1911"/>
      <c r="G2131" s="1911"/>
      <c r="H2131" s="1911"/>
      <c r="I2131" s="841" t="s">
        <v>628</v>
      </c>
      <c r="J2131" s="841" t="s">
        <v>3563</v>
      </c>
      <c r="K2131" s="841" t="s">
        <v>2457</v>
      </c>
      <c r="M2131" s="1357">
        <v>7</v>
      </c>
      <c r="Q2131" s="1357"/>
      <c r="S2131" s="1420"/>
      <c r="T2131" s="1420"/>
      <c r="V2131" s="1357">
        <v>12</v>
      </c>
    </row>
    <row r="2132" spans="1:22" s="841" customFormat="1" ht="23.25" x14ac:dyDescent="0.25">
      <c r="A2132" s="841" t="s">
        <v>2457</v>
      </c>
      <c r="B2132" s="841" t="s">
        <v>3562</v>
      </c>
      <c r="C2132" s="841" t="s">
        <v>3052</v>
      </c>
      <c r="E2132" s="1911" t="s">
        <v>2458</v>
      </c>
      <c r="F2132" s="1911"/>
      <c r="G2132" s="1911"/>
      <c r="H2132" s="1911"/>
      <c r="M2132" s="1357"/>
      <c r="Q2132" s="1357"/>
      <c r="S2132" s="1420"/>
      <c r="T2132" s="1420"/>
      <c r="V2132" s="1357">
        <v>42</v>
      </c>
    </row>
    <row r="2133" spans="1:22" s="841" customFormat="1" x14ac:dyDescent="0.25">
      <c r="A2133" s="841" t="s">
        <v>2457</v>
      </c>
      <c r="B2133" s="841" t="s">
        <v>3562</v>
      </c>
      <c r="C2133" s="841" t="s">
        <v>3054</v>
      </c>
      <c r="E2133" s="1912" t="s">
        <v>3053</v>
      </c>
      <c r="F2133" s="1912"/>
      <c r="G2133" s="1912"/>
      <c r="H2133" s="1912"/>
      <c r="M2133" s="1357"/>
      <c r="Q2133" s="1357"/>
      <c r="S2133" s="1420"/>
      <c r="T2133" s="1420"/>
      <c r="V2133" s="1357">
        <v>27</v>
      </c>
    </row>
    <row r="2134" spans="1:22" s="841" customFormat="1" ht="15.75" x14ac:dyDescent="0.25">
      <c r="A2134" s="841" t="s">
        <v>2457</v>
      </c>
      <c r="B2134" s="841" t="s">
        <v>3562</v>
      </c>
      <c r="C2134" s="841" t="s">
        <v>3055</v>
      </c>
      <c r="E2134" s="1913" t="s">
        <v>5107</v>
      </c>
      <c r="F2134" s="1913"/>
      <c r="G2134" s="1913"/>
      <c r="H2134" s="1913"/>
      <c r="M2134" s="1357"/>
      <c r="Q2134" s="1357"/>
      <c r="S2134" s="1420">
        <v>43221</v>
      </c>
      <c r="T2134" s="1420"/>
      <c r="V2134" s="1357">
        <v>45</v>
      </c>
    </row>
    <row r="2135" spans="1:22" s="841" customFormat="1" ht="15" x14ac:dyDescent="0.25">
      <c r="A2135" s="841" t="s">
        <v>2457</v>
      </c>
      <c r="B2135" s="841" t="s">
        <v>3562</v>
      </c>
      <c r="E2135" s="1914" t="s">
        <v>3056</v>
      </c>
      <c r="F2135" s="1914"/>
      <c r="G2135" s="1914"/>
      <c r="H2135" s="1914"/>
      <c r="M2135" s="1357"/>
      <c r="Q2135" s="1357"/>
      <c r="S2135" s="1420"/>
      <c r="T2135" s="1420"/>
      <c r="V2135" s="1357">
        <v>52</v>
      </c>
    </row>
    <row r="2136" spans="1:22" s="841" customFormat="1" ht="15" x14ac:dyDescent="0.25">
      <c r="A2136" s="841" t="s">
        <v>2457</v>
      </c>
      <c r="B2136" s="841" t="s">
        <v>3562</v>
      </c>
      <c r="E2136" s="1914" t="s">
        <v>3057</v>
      </c>
      <c r="F2136" s="1914"/>
      <c r="G2136" s="1914"/>
      <c r="H2136" s="1914"/>
      <c r="M2136" s="1357"/>
      <c r="Q2136" s="1357"/>
      <c r="S2136" s="1420"/>
      <c r="T2136" s="1420"/>
      <c r="V2136" s="1357">
        <v>53</v>
      </c>
    </row>
    <row r="2137" spans="1:22" s="841" customFormat="1" ht="15" x14ac:dyDescent="0.25">
      <c r="A2137" s="841" t="s">
        <v>2457</v>
      </c>
      <c r="B2137" s="841" t="s">
        <v>3562</v>
      </c>
      <c r="E2137" s="1925" t="s">
        <v>5317</v>
      </c>
      <c r="F2137" s="1925"/>
      <c r="G2137" s="1925"/>
      <c r="H2137" s="1925"/>
      <c r="K2137" s="841" t="s">
        <v>5317</v>
      </c>
      <c r="M2137" s="1357"/>
      <c r="Q2137" s="1357"/>
      <c r="S2137" s="1420"/>
      <c r="T2137" s="1420"/>
      <c r="V2137" s="1357">
        <v>12</v>
      </c>
    </row>
    <row r="2138" spans="1:22" s="841" customFormat="1" ht="15" x14ac:dyDescent="0.25">
      <c r="A2138" s="841" t="s">
        <v>2457</v>
      </c>
      <c r="B2138" s="841" t="s">
        <v>3562</v>
      </c>
      <c r="E2138" s="1909" t="s">
        <v>438</v>
      </c>
      <c r="F2138" s="1697"/>
      <c r="G2138" s="1697"/>
      <c r="H2138" s="1697"/>
      <c r="K2138" s="841" t="s">
        <v>3197</v>
      </c>
      <c r="M2138" s="1357"/>
      <c r="Q2138" s="1357"/>
      <c r="S2138" s="1420"/>
      <c r="T2138" s="1420"/>
      <c r="V2138" s="1357">
        <v>34</v>
      </c>
    </row>
    <row r="2139" spans="1:22" s="841" customFormat="1" ht="15" x14ac:dyDescent="0.25">
      <c r="A2139" s="841" t="s">
        <v>2457</v>
      </c>
      <c r="B2139" s="841" t="s">
        <v>3562</v>
      </c>
      <c r="E2139" s="1689" t="s">
        <v>3564</v>
      </c>
      <c r="F2139" s="1689"/>
      <c r="G2139" s="1689"/>
      <c r="H2139" s="1689"/>
      <c r="K2139" s="841" t="s">
        <v>3197</v>
      </c>
      <c r="M2139" s="1357"/>
      <c r="Q2139" s="1357"/>
      <c r="S2139" s="1420"/>
      <c r="T2139" s="1420"/>
      <c r="V2139" s="1357">
        <v>648</v>
      </c>
    </row>
    <row r="2140" spans="1:22" s="841" customFormat="1" ht="15" x14ac:dyDescent="0.25">
      <c r="A2140" s="841" t="s">
        <v>2457</v>
      </c>
      <c r="B2140" s="841" t="s">
        <v>3562</v>
      </c>
      <c r="E2140" s="1916" t="s">
        <v>3061</v>
      </c>
      <c r="F2140" s="1697"/>
      <c r="G2140" s="1697"/>
      <c r="H2140" s="1697"/>
      <c r="K2140" s="841" t="s">
        <v>3062</v>
      </c>
      <c r="M2140" s="1357"/>
      <c r="Q2140" s="1357"/>
      <c r="S2140" s="1420"/>
      <c r="T2140" s="1420"/>
      <c r="V2140" s="1357">
        <v>11</v>
      </c>
    </row>
    <row r="2141" spans="1:22" s="841" customFormat="1" ht="15" x14ac:dyDescent="0.25">
      <c r="A2141" s="841" t="s">
        <v>2457</v>
      </c>
      <c r="B2141" s="841" t="s">
        <v>3562</v>
      </c>
      <c r="E2141" s="1689" t="s">
        <v>3063</v>
      </c>
      <c r="F2141" s="1689"/>
      <c r="G2141" s="1689"/>
      <c r="H2141" s="1689"/>
      <c r="K2141" s="841" t="s">
        <v>3197</v>
      </c>
      <c r="M2141" s="1357"/>
      <c r="Q2141" s="1357"/>
      <c r="S2141" s="1420"/>
      <c r="T2141" s="1420"/>
      <c r="V2141" s="1357">
        <v>280</v>
      </c>
    </row>
    <row r="2142" spans="1:22" s="841" customFormat="1" ht="15" x14ac:dyDescent="0.25">
      <c r="A2142" s="841" t="s">
        <v>2457</v>
      </c>
      <c r="B2142" s="841" t="s">
        <v>3562</v>
      </c>
      <c r="E2142" s="1689" t="s">
        <v>3064</v>
      </c>
      <c r="F2142" s="1689"/>
      <c r="G2142" s="1689"/>
      <c r="H2142" s="1689"/>
      <c r="K2142" s="841" t="s">
        <v>3197</v>
      </c>
      <c r="M2142" s="1357"/>
      <c r="Q2142" s="1357"/>
      <c r="S2142" s="1420"/>
      <c r="T2142" s="1420"/>
      <c r="V2142" s="1357">
        <v>411</v>
      </c>
    </row>
    <row r="2143" spans="1:22" s="841" customFormat="1" ht="15" x14ac:dyDescent="0.25">
      <c r="A2143" s="841" t="s">
        <v>2457</v>
      </c>
      <c r="B2143" s="841" t="s">
        <v>3562</v>
      </c>
      <c r="E2143" s="1689" t="s">
        <v>3565</v>
      </c>
      <c r="F2143" s="1689"/>
      <c r="G2143" s="1689"/>
      <c r="H2143" s="1689"/>
      <c r="K2143" s="841" t="s">
        <v>3197</v>
      </c>
      <c r="M2143" s="1357"/>
      <c r="Q2143" s="1357"/>
      <c r="S2143" s="1420"/>
      <c r="T2143" s="1420"/>
      <c r="V2143" s="1357">
        <v>388</v>
      </c>
    </row>
    <row r="2144" spans="1:22" s="841" customFormat="1" ht="15" x14ac:dyDescent="0.25">
      <c r="A2144" s="841" t="s">
        <v>2457</v>
      </c>
      <c r="B2144" s="841" t="s">
        <v>3562</v>
      </c>
      <c r="E2144" s="1689" t="s">
        <v>3200</v>
      </c>
      <c r="F2144" s="1689"/>
      <c r="G2144" s="1689"/>
      <c r="H2144" s="1689"/>
      <c r="K2144" s="841" t="s">
        <v>3197</v>
      </c>
      <c r="M2144" s="1357"/>
      <c r="Q2144" s="1357"/>
      <c r="S2144" s="1420"/>
      <c r="T2144" s="1420"/>
      <c r="V2144" s="1357">
        <v>275</v>
      </c>
    </row>
    <row r="2145" spans="1:22" s="841" customFormat="1" ht="15" x14ac:dyDescent="0.25">
      <c r="A2145" s="841" t="s">
        <v>2457</v>
      </c>
      <c r="B2145" s="841" t="s">
        <v>3562</v>
      </c>
      <c r="E2145" s="1694" t="s">
        <v>3067</v>
      </c>
      <c r="F2145" s="1907"/>
      <c r="G2145" s="1907"/>
      <c r="H2145" s="1907"/>
      <c r="K2145" s="841" t="s">
        <v>3068</v>
      </c>
      <c r="M2145" s="1357"/>
      <c r="Q2145" s="1357"/>
      <c r="S2145" s="1420"/>
      <c r="T2145" s="1420"/>
      <c r="V2145" s="1357">
        <v>46</v>
      </c>
    </row>
    <row r="2146" spans="1:22" s="841" customFormat="1" ht="15" x14ac:dyDescent="0.25">
      <c r="A2146" s="841" t="s">
        <v>2457</v>
      </c>
      <c r="B2146" s="841" t="s">
        <v>3562</v>
      </c>
      <c r="E2146" s="1690" t="s">
        <v>11</v>
      </c>
      <c r="F2146" s="1690"/>
      <c r="G2146" s="1408" t="s">
        <v>23</v>
      </c>
      <c r="H2146" s="391">
        <v>24.3</v>
      </c>
      <c r="K2146" s="841" t="s">
        <v>3197</v>
      </c>
      <c r="L2146" s="841" t="s">
        <v>442</v>
      </c>
      <c r="M2146" s="1357"/>
      <c r="P2146" s="841" t="s">
        <v>3201</v>
      </c>
      <c r="Q2146" s="1357"/>
      <c r="S2146" s="1420"/>
      <c r="T2146" s="1420"/>
      <c r="V2146" s="1357">
        <v>14</v>
      </c>
    </row>
    <row r="2147" spans="1:22" s="841" customFormat="1" ht="15" x14ac:dyDescent="0.25">
      <c r="A2147" s="841" t="s">
        <v>2457</v>
      </c>
      <c r="B2147" s="841" t="s">
        <v>3562</v>
      </c>
      <c r="E2147" s="1690" t="s">
        <v>3566</v>
      </c>
      <c r="F2147" s="1690"/>
      <c r="G2147" s="1408" t="s">
        <v>23</v>
      </c>
      <c r="H2147" s="391">
        <v>1.75</v>
      </c>
      <c r="K2147" s="841" t="s">
        <v>3197</v>
      </c>
      <c r="L2147" s="841" t="s">
        <v>442</v>
      </c>
      <c r="M2147" s="1357"/>
      <c r="P2147" s="841" t="s">
        <v>6172</v>
      </c>
      <c r="Q2147" s="1357"/>
      <c r="S2147" s="1420"/>
      <c r="T2147" s="1420"/>
      <c r="V2147" s="1357">
        <v>142</v>
      </c>
    </row>
    <row r="2148" spans="1:22" s="841" customFormat="1" ht="15" x14ac:dyDescent="0.25">
      <c r="A2148" s="841" t="s">
        <v>2457</v>
      </c>
      <c r="B2148" s="841" t="s">
        <v>3562</v>
      </c>
      <c r="E2148" s="1690" t="s">
        <v>5318</v>
      </c>
      <c r="F2148" s="1690"/>
      <c r="G2148" s="1408" t="s">
        <v>23</v>
      </c>
      <c r="H2148" s="391">
        <v>0.56999999999999995</v>
      </c>
      <c r="K2148" s="841" t="s">
        <v>3197</v>
      </c>
      <c r="L2148" s="841" t="s">
        <v>443</v>
      </c>
      <c r="M2148" s="1357"/>
      <c r="P2148" s="841" t="s">
        <v>3202</v>
      </c>
      <c r="Q2148" s="1357"/>
      <c r="S2148" s="1420"/>
      <c r="T2148" s="1420">
        <v>44926</v>
      </c>
      <c r="V2148" s="1357">
        <v>79</v>
      </c>
    </row>
    <row r="2149" spans="1:22" s="841" customFormat="1" ht="15" x14ac:dyDescent="0.25">
      <c r="A2149" s="841" t="s">
        <v>2457</v>
      </c>
      <c r="B2149" s="841" t="s">
        <v>3562</v>
      </c>
      <c r="E2149" s="1690" t="s">
        <v>84</v>
      </c>
      <c r="F2149" s="1690"/>
      <c r="G2149" s="1408" t="s">
        <v>24</v>
      </c>
      <c r="H2149" s="393">
        <v>5.3E-3</v>
      </c>
      <c r="K2149" s="841" t="s">
        <v>3197</v>
      </c>
      <c r="L2149" s="841" t="s">
        <v>442</v>
      </c>
      <c r="M2149" s="1357"/>
      <c r="P2149" s="841" t="s">
        <v>3203</v>
      </c>
      <c r="Q2149" s="1357"/>
      <c r="S2149" s="1420"/>
      <c r="T2149" s="1420"/>
      <c r="V2149" s="1357">
        <v>28</v>
      </c>
    </row>
    <row r="2150" spans="1:22" s="841" customFormat="1" ht="15" x14ac:dyDescent="0.25">
      <c r="A2150" s="841" t="s">
        <v>2457</v>
      </c>
      <c r="B2150" s="841" t="s">
        <v>3562</v>
      </c>
      <c r="E2150" s="1690" t="s">
        <v>18</v>
      </c>
      <c r="F2150" s="1690"/>
      <c r="G2150" s="1408" t="s">
        <v>24</v>
      </c>
      <c r="H2150" s="393">
        <v>2.3999999999999998E-3</v>
      </c>
      <c r="K2150" s="841" t="s">
        <v>3197</v>
      </c>
      <c r="L2150" s="841" t="s">
        <v>443</v>
      </c>
      <c r="M2150" s="1357"/>
      <c r="P2150" s="841" t="s">
        <v>3204</v>
      </c>
      <c r="Q2150" s="1357"/>
      <c r="S2150" s="1420"/>
      <c r="T2150" s="1420"/>
      <c r="V2150" s="1357">
        <v>24</v>
      </c>
    </row>
    <row r="2151" spans="1:22" s="841" customFormat="1" ht="15" x14ac:dyDescent="0.25">
      <c r="A2151" s="841" t="s">
        <v>2457</v>
      </c>
      <c r="B2151" s="841" t="s">
        <v>3562</v>
      </c>
      <c r="E2151" s="1690" t="s">
        <v>5122</v>
      </c>
      <c r="F2151" s="1908"/>
      <c r="G2151" s="1408" t="s">
        <v>24</v>
      </c>
      <c r="H2151" s="393">
        <v>1.4200000000000001E-2</v>
      </c>
      <c r="K2151" s="841" t="s">
        <v>3197</v>
      </c>
      <c r="L2151" s="841" t="s">
        <v>443</v>
      </c>
      <c r="M2151" s="1357"/>
      <c r="P2151" s="841" t="s">
        <v>3205</v>
      </c>
      <c r="Q2151" s="1357"/>
      <c r="S2151" s="1420"/>
      <c r="T2151" s="1420">
        <v>43585</v>
      </c>
      <c r="V2151" s="1357">
        <v>139</v>
      </c>
    </row>
    <row r="2152" spans="1:22" s="841" customFormat="1" ht="15" x14ac:dyDescent="0.25">
      <c r="A2152" s="841" t="s">
        <v>2457</v>
      </c>
      <c r="B2152" s="841" t="s">
        <v>3562</v>
      </c>
      <c r="E2152" s="1690" t="s">
        <v>5123</v>
      </c>
      <c r="F2152" s="1908"/>
      <c r="G2152" s="1408" t="s">
        <v>24</v>
      </c>
      <c r="H2152" s="393">
        <v>-6.4999999999999997E-3</v>
      </c>
      <c r="K2152" s="841" t="s">
        <v>3197</v>
      </c>
      <c r="L2152" s="841" t="s">
        <v>443</v>
      </c>
      <c r="M2152" s="1357"/>
      <c r="P2152" s="841" t="s">
        <v>3207</v>
      </c>
      <c r="Q2152" s="1357"/>
      <c r="S2152" s="1420"/>
      <c r="T2152" s="1420">
        <v>43585</v>
      </c>
      <c r="V2152" s="1357">
        <v>96</v>
      </c>
    </row>
    <row r="2153" spans="1:22" s="841" customFormat="1" ht="15" x14ac:dyDescent="0.25">
      <c r="A2153" s="841" t="s">
        <v>2457</v>
      </c>
      <c r="B2153" s="841" t="s">
        <v>3562</v>
      </c>
      <c r="E2153" s="1690" t="s">
        <v>221</v>
      </c>
      <c r="F2153" s="1690"/>
      <c r="G2153" s="1408" t="s">
        <v>24</v>
      </c>
      <c r="H2153" s="393">
        <v>6.1000000000000004E-3</v>
      </c>
      <c r="K2153" s="841" t="s">
        <v>3197</v>
      </c>
      <c r="L2153" s="841" t="s">
        <v>444</v>
      </c>
      <c r="M2153" s="1357"/>
      <c r="P2153" s="841" t="s">
        <v>3208</v>
      </c>
      <c r="Q2153" s="1357"/>
      <c r="S2153" s="1420"/>
      <c r="T2153" s="1420"/>
      <c r="V2153" s="1357">
        <v>47</v>
      </c>
    </row>
    <row r="2154" spans="1:22" s="841" customFormat="1" ht="15" x14ac:dyDescent="0.25">
      <c r="A2154" s="841" t="s">
        <v>2457</v>
      </c>
      <c r="B2154" s="841" t="s">
        <v>3562</v>
      </c>
      <c r="E2154" s="1690" t="s">
        <v>217</v>
      </c>
      <c r="F2154" s="1690"/>
      <c r="G2154" s="1408" t="s">
        <v>24</v>
      </c>
      <c r="H2154" s="393">
        <v>3.3E-3</v>
      </c>
      <c r="K2154" s="841" t="s">
        <v>3197</v>
      </c>
      <c r="L2154" s="841" t="s">
        <v>444</v>
      </c>
      <c r="M2154" s="1357"/>
      <c r="P2154" s="841" t="s">
        <v>3209</v>
      </c>
      <c r="Q2154" s="1357"/>
      <c r="S2154" s="1420"/>
      <c r="T2154" s="1420"/>
      <c r="V2154" s="1357">
        <v>74</v>
      </c>
    </row>
    <row r="2155" spans="1:22" s="841" customFormat="1" ht="15" x14ac:dyDescent="0.25">
      <c r="A2155" s="841" t="s">
        <v>2457</v>
      </c>
      <c r="B2155" s="841" t="s">
        <v>3562</v>
      </c>
      <c r="E2155" s="1694" t="s">
        <v>3079</v>
      </c>
      <c r="F2155" s="1690"/>
      <c r="G2155" s="1408"/>
      <c r="H2155" s="1408"/>
      <c r="K2155" s="841" t="s">
        <v>3080</v>
      </c>
      <c r="M2155" s="1357"/>
      <c r="Q2155" s="1357"/>
      <c r="S2155" s="1420"/>
      <c r="T2155" s="1420"/>
      <c r="V2155" s="1357">
        <v>48</v>
      </c>
    </row>
    <row r="2156" spans="1:22" s="841" customFormat="1" ht="15" x14ac:dyDescent="0.25">
      <c r="A2156" s="841" t="s">
        <v>2457</v>
      </c>
      <c r="B2156" s="841" t="s">
        <v>3562</v>
      </c>
      <c r="E2156" s="1690" t="s">
        <v>2449</v>
      </c>
      <c r="F2156" s="1690"/>
      <c r="G2156" s="1408" t="s">
        <v>24</v>
      </c>
      <c r="H2156" s="393">
        <v>3.2000000000000002E-3</v>
      </c>
      <c r="K2156" s="841" t="s">
        <v>3197</v>
      </c>
      <c r="L2156" s="841" t="s">
        <v>3046</v>
      </c>
      <c r="M2156" s="1357"/>
      <c r="P2156" s="841" t="s">
        <v>3210</v>
      </c>
      <c r="Q2156" s="1357"/>
      <c r="S2156" s="1420"/>
      <c r="T2156" s="1420"/>
      <c r="V2156" s="1357">
        <v>55</v>
      </c>
    </row>
    <row r="2157" spans="1:22" s="841" customFormat="1" ht="15" x14ac:dyDescent="0.25">
      <c r="A2157" s="841" t="s">
        <v>2457</v>
      </c>
      <c r="B2157" s="841" t="s">
        <v>3562</v>
      </c>
      <c r="E2157" s="1690" t="s">
        <v>2450</v>
      </c>
      <c r="F2157" s="1690"/>
      <c r="G2157" s="1408" t="s">
        <v>24</v>
      </c>
      <c r="H2157" s="393">
        <v>4.0000000000000002E-4</v>
      </c>
      <c r="K2157" s="841" t="s">
        <v>3197</v>
      </c>
      <c r="L2157" s="841" t="s">
        <v>3046</v>
      </c>
      <c r="M2157" s="1357"/>
      <c r="P2157" s="841" t="s">
        <v>3210</v>
      </c>
      <c r="Q2157" s="1357"/>
      <c r="S2157" s="1420"/>
      <c r="T2157" s="1420"/>
      <c r="V2157" s="1357">
        <v>65</v>
      </c>
    </row>
    <row r="2158" spans="1:22" s="841" customFormat="1" ht="15" x14ac:dyDescent="0.25">
      <c r="A2158" s="841" t="s">
        <v>2457</v>
      </c>
      <c r="B2158" s="841" t="s">
        <v>3562</v>
      </c>
      <c r="E2158" s="1690" t="s">
        <v>439</v>
      </c>
      <c r="F2158" s="1690"/>
      <c r="G2158" s="1408" t="s">
        <v>24</v>
      </c>
      <c r="H2158" s="393">
        <v>2.9999999999999997E-4</v>
      </c>
      <c r="K2158" s="841" t="s">
        <v>3197</v>
      </c>
      <c r="L2158" s="841" t="s">
        <v>3046</v>
      </c>
      <c r="M2158" s="1357"/>
      <c r="P2158" s="841" t="s">
        <v>3212</v>
      </c>
      <c r="Q2158" s="1357"/>
      <c r="S2158" s="1420"/>
      <c r="T2158" s="1420"/>
      <c r="V2158" s="1357">
        <v>57</v>
      </c>
    </row>
    <row r="2159" spans="1:22" s="841" customFormat="1" ht="15" x14ac:dyDescent="0.25">
      <c r="A2159" s="841" t="s">
        <v>2457</v>
      </c>
      <c r="B2159" s="841" t="s">
        <v>3562</v>
      </c>
      <c r="E2159" s="1690" t="s">
        <v>32</v>
      </c>
      <c r="F2159" s="1690"/>
      <c r="G2159" s="1408" t="s">
        <v>23</v>
      </c>
      <c r="H2159" s="391">
        <v>0.25</v>
      </c>
      <c r="K2159" s="841" t="s">
        <v>3197</v>
      </c>
      <c r="L2159" s="841" t="s">
        <v>3046</v>
      </c>
      <c r="M2159" s="1357"/>
      <c r="P2159" s="841" t="s">
        <v>3213</v>
      </c>
      <c r="Q2159" s="1357"/>
      <c r="S2159" s="1420"/>
      <c r="T2159" s="1420"/>
      <c r="V2159" s="1357">
        <v>63</v>
      </c>
    </row>
    <row r="2160" spans="1:22" s="841" customFormat="1" x14ac:dyDescent="0.25">
      <c r="A2160" s="841" t="s">
        <v>2457</v>
      </c>
      <c r="B2160" s="841" t="s">
        <v>3562</v>
      </c>
      <c r="E2160" s="1909" t="s">
        <v>3214</v>
      </c>
      <c r="F2160" s="1915"/>
      <c r="G2160" s="1915"/>
      <c r="H2160" s="1915"/>
      <c r="K2160" s="841" t="s">
        <v>5110</v>
      </c>
      <c r="M2160" s="1357"/>
      <c r="Q2160" s="1357"/>
      <c r="S2160" s="1420"/>
      <c r="T2160" s="1420"/>
      <c r="V2160" s="1357">
        <v>54</v>
      </c>
    </row>
    <row r="2161" spans="1:22" s="841" customFormat="1" ht="15" x14ac:dyDescent="0.25">
      <c r="A2161" s="841" t="s">
        <v>2457</v>
      </c>
      <c r="B2161" s="841" t="s">
        <v>3562</v>
      </c>
      <c r="E2161" s="1689" t="s">
        <v>3567</v>
      </c>
      <c r="F2161" s="1689"/>
      <c r="G2161" s="1689"/>
      <c r="H2161" s="1689"/>
      <c r="K2161" s="841" t="s">
        <v>5110</v>
      </c>
      <c r="M2161" s="1357"/>
      <c r="Q2161" s="1357"/>
      <c r="S2161" s="1420"/>
      <c r="T2161" s="1420"/>
      <c r="V2161" s="1357">
        <v>335</v>
      </c>
    </row>
    <row r="2162" spans="1:22" s="841" customFormat="1" ht="15" x14ac:dyDescent="0.25">
      <c r="A2162" s="841" t="s">
        <v>2457</v>
      </c>
      <c r="B2162" s="841" t="s">
        <v>3562</v>
      </c>
      <c r="E2162" s="1916" t="s">
        <v>3061</v>
      </c>
      <c r="F2162" s="1697"/>
      <c r="G2162" s="1697"/>
      <c r="H2162" s="1697"/>
      <c r="K2162" s="841" t="s">
        <v>3086</v>
      </c>
      <c r="M2162" s="1357"/>
      <c r="Q2162" s="1357"/>
      <c r="S2162" s="1420"/>
      <c r="T2162" s="1420"/>
      <c r="V2162" s="1357">
        <v>11</v>
      </c>
    </row>
    <row r="2163" spans="1:22" s="841" customFormat="1" ht="15" x14ac:dyDescent="0.25">
      <c r="A2163" s="841" t="s">
        <v>2457</v>
      </c>
      <c r="B2163" s="841" t="s">
        <v>3562</v>
      </c>
      <c r="E2163" s="1689" t="s">
        <v>3063</v>
      </c>
      <c r="F2163" s="1689"/>
      <c r="G2163" s="1689"/>
      <c r="H2163" s="1689"/>
      <c r="K2163" s="841" t="s">
        <v>5110</v>
      </c>
      <c r="M2163" s="1357"/>
      <c r="Q2163" s="1357"/>
      <c r="S2163" s="1420"/>
      <c r="T2163" s="1420"/>
      <c r="V2163" s="1357">
        <v>280</v>
      </c>
    </row>
    <row r="2164" spans="1:22" s="841" customFormat="1" ht="15" x14ac:dyDescent="0.25">
      <c r="A2164" s="841" t="s">
        <v>2457</v>
      </c>
      <c r="B2164" s="841" t="s">
        <v>3562</v>
      </c>
      <c r="E2164" s="1689" t="s">
        <v>3064</v>
      </c>
      <c r="F2164" s="1689"/>
      <c r="G2164" s="1689"/>
      <c r="H2164" s="1689"/>
      <c r="K2164" s="841" t="s">
        <v>5110</v>
      </c>
      <c r="M2164" s="1357"/>
      <c r="Q2164" s="1357"/>
      <c r="S2164" s="1420"/>
      <c r="T2164" s="1420"/>
      <c r="V2164" s="1357">
        <v>411</v>
      </c>
    </row>
    <row r="2165" spans="1:22" s="841" customFormat="1" ht="15" x14ac:dyDescent="0.25">
      <c r="A2165" s="841" t="s">
        <v>2457</v>
      </c>
      <c r="B2165" s="841" t="s">
        <v>3562</v>
      </c>
      <c r="E2165" s="1689" t="s">
        <v>3565</v>
      </c>
      <c r="F2165" s="1689"/>
      <c r="G2165" s="1689"/>
      <c r="H2165" s="1689"/>
      <c r="K2165" s="841" t="s">
        <v>5110</v>
      </c>
      <c r="M2165" s="1357"/>
      <c r="Q2165" s="1357"/>
      <c r="S2165" s="1420"/>
      <c r="T2165" s="1420"/>
      <c r="V2165" s="1357">
        <v>388</v>
      </c>
    </row>
    <row r="2166" spans="1:22" s="841" customFormat="1" ht="15" x14ac:dyDescent="0.25">
      <c r="A2166" s="841" t="s">
        <v>2457</v>
      </c>
      <c r="B2166" s="841" t="s">
        <v>3562</v>
      </c>
      <c r="E2166" s="1689" t="s">
        <v>3200</v>
      </c>
      <c r="F2166" s="1689"/>
      <c r="G2166" s="1689"/>
      <c r="H2166" s="1689"/>
      <c r="K2166" s="841" t="s">
        <v>5110</v>
      </c>
      <c r="M2166" s="1357"/>
      <c r="Q2166" s="1357"/>
      <c r="S2166" s="1420"/>
      <c r="T2166" s="1420"/>
      <c r="V2166" s="1357">
        <v>275</v>
      </c>
    </row>
    <row r="2167" spans="1:22" s="841" customFormat="1" ht="15" x14ac:dyDescent="0.25">
      <c r="A2167" s="841" t="s">
        <v>2457</v>
      </c>
      <c r="B2167" s="841" t="s">
        <v>3562</v>
      </c>
      <c r="E2167" s="1694" t="s">
        <v>3067</v>
      </c>
      <c r="F2167" s="1907"/>
      <c r="G2167" s="1907"/>
      <c r="H2167" s="1907"/>
      <c r="K2167" s="841" t="s">
        <v>3087</v>
      </c>
      <c r="M2167" s="1357"/>
      <c r="Q2167" s="1357"/>
      <c r="S2167" s="1420"/>
      <c r="T2167" s="1420"/>
      <c r="V2167" s="1357">
        <v>46</v>
      </c>
    </row>
    <row r="2168" spans="1:22" s="841" customFormat="1" ht="15" x14ac:dyDescent="0.25">
      <c r="A2168" s="841" t="s">
        <v>2457</v>
      </c>
      <c r="B2168" s="841" t="s">
        <v>3562</v>
      </c>
      <c r="E2168" s="1690" t="s">
        <v>11</v>
      </c>
      <c r="F2168" s="1690"/>
      <c r="G2168" s="1408" t="s">
        <v>23</v>
      </c>
      <c r="H2168" s="391">
        <v>17.36</v>
      </c>
      <c r="K2168" s="841" t="s">
        <v>5110</v>
      </c>
      <c r="L2168" s="841" t="s">
        <v>442</v>
      </c>
      <c r="M2168" s="1357"/>
      <c r="P2168" s="841" t="s">
        <v>5111</v>
      </c>
      <c r="Q2168" s="1357"/>
      <c r="S2168" s="1420"/>
      <c r="T2168" s="1420"/>
      <c r="V2168" s="1357">
        <v>14</v>
      </c>
    </row>
    <row r="2169" spans="1:22" s="841" customFormat="1" ht="15" x14ac:dyDescent="0.25">
      <c r="A2169" s="841" t="s">
        <v>2457</v>
      </c>
      <c r="B2169" s="841" t="s">
        <v>3562</v>
      </c>
      <c r="E2169" s="1690" t="s">
        <v>3566</v>
      </c>
      <c r="F2169" s="1690"/>
      <c r="G2169" s="1408" t="s">
        <v>23</v>
      </c>
      <c r="H2169" s="391">
        <v>4.33</v>
      </c>
      <c r="K2169" s="841" t="s">
        <v>5110</v>
      </c>
      <c r="L2169" s="841" t="s">
        <v>442</v>
      </c>
      <c r="M2169" s="1357"/>
      <c r="P2169" s="841" t="s">
        <v>5329</v>
      </c>
      <c r="Q2169" s="1357"/>
      <c r="S2169" s="1420"/>
      <c r="T2169" s="1420"/>
      <c r="V2169" s="1357">
        <v>142</v>
      </c>
    </row>
    <row r="2170" spans="1:22" s="841" customFormat="1" ht="15" x14ac:dyDescent="0.25">
      <c r="A2170" s="841" t="s">
        <v>2457</v>
      </c>
      <c r="B2170" s="841" t="s">
        <v>3562</v>
      </c>
      <c r="E2170" s="1690" t="s">
        <v>5318</v>
      </c>
      <c r="F2170" s="1690"/>
      <c r="G2170" s="1408" t="s">
        <v>23</v>
      </c>
      <c r="H2170" s="391">
        <v>0.56999999999999995</v>
      </c>
      <c r="K2170" s="841" t="s">
        <v>5110</v>
      </c>
      <c r="L2170" s="841" t="s">
        <v>443</v>
      </c>
      <c r="M2170" s="1357"/>
      <c r="P2170" s="841" t="s">
        <v>5112</v>
      </c>
      <c r="Q2170" s="1357"/>
      <c r="S2170" s="1420"/>
      <c r="T2170" s="1420">
        <v>44926</v>
      </c>
      <c r="V2170" s="1357">
        <v>79</v>
      </c>
    </row>
    <row r="2171" spans="1:22" s="841" customFormat="1" ht="15" x14ac:dyDescent="0.25">
      <c r="A2171" s="841" t="s">
        <v>2457</v>
      </c>
      <c r="B2171" s="841" t="s">
        <v>3562</v>
      </c>
      <c r="E2171" s="1690" t="s">
        <v>84</v>
      </c>
      <c r="F2171" s="1690"/>
      <c r="G2171" s="1408" t="s">
        <v>24</v>
      </c>
      <c r="H2171" s="393">
        <v>1.7999999999999999E-2</v>
      </c>
      <c r="K2171" s="841" t="s">
        <v>5110</v>
      </c>
      <c r="L2171" s="841" t="s">
        <v>442</v>
      </c>
      <c r="M2171" s="1357"/>
      <c r="P2171" s="841" t="s">
        <v>5113</v>
      </c>
      <c r="Q2171" s="1357"/>
      <c r="S2171" s="1420"/>
      <c r="T2171" s="1420"/>
      <c r="V2171" s="1357">
        <v>28</v>
      </c>
    </row>
    <row r="2172" spans="1:22" s="841" customFormat="1" ht="15" x14ac:dyDescent="0.25">
      <c r="A2172" s="841" t="s">
        <v>2457</v>
      </c>
      <c r="B2172" s="841" t="s">
        <v>3562</v>
      </c>
      <c r="E2172" s="1690" t="s">
        <v>18</v>
      </c>
      <c r="F2172" s="1690"/>
      <c r="G2172" s="1408" t="s">
        <v>24</v>
      </c>
      <c r="H2172" s="393">
        <v>2.3999999999999998E-3</v>
      </c>
      <c r="K2172" s="841" t="s">
        <v>5110</v>
      </c>
      <c r="L2172" s="841" t="s">
        <v>443</v>
      </c>
      <c r="M2172" s="1357"/>
      <c r="P2172" s="841" t="s">
        <v>5114</v>
      </c>
      <c r="Q2172" s="1357"/>
      <c r="S2172" s="1420"/>
      <c r="T2172" s="1420"/>
      <c r="V2172" s="1357">
        <v>24</v>
      </c>
    </row>
    <row r="2173" spans="1:22" s="841" customFormat="1" ht="15" x14ac:dyDescent="0.25">
      <c r="A2173" s="841" t="s">
        <v>2457</v>
      </c>
      <c r="B2173" s="841" t="s">
        <v>3562</v>
      </c>
      <c r="E2173" s="1690" t="s">
        <v>5122</v>
      </c>
      <c r="F2173" s="1908"/>
      <c r="G2173" s="1408" t="s">
        <v>24</v>
      </c>
      <c r="H2173" s="393">
        <v>1.4200000000000001E-2</v>
      </c>
      <c r="K2173" s="841" t="s">
        <v>5110</v>
      </c>
      <c r="L2173" s="841" t="s">
        <v>443</v>
      </c>
      <c r="M2173" s="1357"/>
      <c r="P2173" s="841" t="s">
        <v>4818</v>
      </c>
      <c r="Q2173" s="1357"/>
      <c r="S2173" s="1420"/>
      <c r="T2173" s="1420">
        <v>43585</v>
      </c>
      <c r="V2173" s="1357">
        <v>139</v>
      </c>
    </row>
    <row r="2174" spans="1:22" s="841" customFormat="1" ht="15" x14ac:dyDescent="0.25">
      <c r="A2174" s="841" t="s">
        <v>2457</v>
      </c>
      <c r="B2174" s="841" t="s">
        <v>3562</v>
      </c>
      <c r="E2174" s="1690" t="s">
        <v>5123</v>
      </c>
      <c r="F2174" s="1908"/>
      <c r="G2174" s="1408" t="s">
        <v>24</v>
      </c>
      <c r="H2174" s="393">
        <v>-6.4000000000000003E-3</v>
      </c>
      <c r="K2174" s="841" t="s">
        <v>5110</v>
      </c>
      <c r="L2174" s="841" t="s">
        <v>443</v>
      </c>
      <c r="M2174" s="1357"/>
      <c r="P2174" s="841" t="s">
        <v>5124</v>
      </c>
      <c r="Q2174" s="1357"/>
      <c r="S2174" s="1420"/>
      <c r="T2174" s="1420">
        <v>43585</v>
      </c>
      <c r="V2174" s="1357">
        <v>96</v>
      </c>
    </row>
    <row r="2175" spans="1:22" s="841" customFormat="1" ht="15" x14ac:dyDescent="0.25">
      <c r="A2175" s="841" t="s">
        <v>2457</v>
      </c>
      <c r="B2175" s="841" t="s">
        <v>3562</v>
      </c>
      <c r="E2175" s="1690" t="s">
        <v>221</v>
      </c>
      <c r="F2175" s="1690"/>
      <c r="G2175" s="1408" t="s">
        <v>24</v>
      </c>
      <c r="H2175" s="393">
        <v>5.5999999999999999E-3</v>
      </c>
      <c r="K2175" s="841" t="s">
        <v>5110</v>
      </c>
      <c r="L2175" s="841" t="s">
        <v>444</v>
      </c>
      <c r="M2175" s="1357"/>
      <c r="P2175" s="841" t="s">
        <v>5115</v>
      </c>
      <c r="Q2175" s="1357"/>
      <c r="S2175" s="1420"/>
      <c r="T2175" s="1420"/>
      <c r="V2175" s="1357">
        <v>47</v>
      </c>
    </row>
    <row r="2176" spans="1:22" s="841" customFormat="1" ht="15" x14ac:dyDescent="0.25">
      <c r="A2176" s="841" t="s">
        <v>2457</v>
      </c>
      <c r="B2176" s="841" t="s">
        <v>3562</v>
      </c>
      <c r="E2176" s="1690" t="s">
        <v>217</v>
      </c>
      <c r="F2176" s="1690"/>
      <c r="G2176" s="1408" t="s">
        <v>24</v>
      </c>
      <c r="H2176" s="393">
        <v>2.8E-3</v>
      </c>
      <c r="K2176" s="841" t="s">
        <v>5110</v>
      </c>
      <c r="L2176" s="841" t="s">
        <v>444</v>
      </c>
      <c r="M2176" s="1357"/>
      <c r="P2176" s="841" t="s">
        <v>5116</v>
      </c>
      <c r="Q2176" s="1357"/>
      <c r="S2176" s="1420"/>
      <c r="T2176" s="1420"/>
      <c r="V2176" s="1357">
        <v>74</v>
      </c>
    </row>
    <row r="2177" spans="1:22" s="841" customFormat="1" ht="15" x14ac:dyDescent="0.25">
      <c r="A2177" s="841" t="s">
        <v>2457</v>
      </c>
      <c r="B2177" s="841" t="s">
        <v>3562</v>
      </c>
      <c r="E2177" s="1694" t="s">
        <v>3079</v>
      </c>
      <c r="F2177" s="1690"/>
      <c r="G2177" s="1408"/>
      <c r="H2177" s="1408"/>
      <c r="K2177" s="841" t="s">
        <v>3093</v>
      </c>
      <c r="M2177" s="1357"/>
      <c r="Q2177" s="1357"/>
      <c r="S2177" s="1420"/>
      <c r="T2177" s="1420"/>
      <c r="V2177" s="1357">
        <v>48</v>
      </c>
    </row>
    <row r="2178" spans="1:22" s="841" customFormat="1" ht="15" x14ac:dyDescent="0.25">
      <c r="A2178" s="841" t="s">
        <v>2457</v>
      </c>
      <c r="B2178" s="841" t="s">
        <v>3562</v>
      </c>
      <c r="E2178" s="1690" t="s">
        <v>2449</v>
      </c>
      <c r="F2178" s="1690"/>
      <c r="G2178" s="1408" t="s">
        <v>24</v>
      </c>
      <c r="H2178" s="393">
        <v>3.2000000000000002E-3</v>
      </c>
      <c r="K2178" s="841" t="s">
        <v>5110</v>
      </c>
      <c r="L2178" s="841" t="s">
        <v>3046</v>
      </c>
      <c r="M2178" s="1357"/>
      <c r="P2178" s="841" t="s">
        <v>5117</v>
      </c>
      <c r="Q2178" s="1357"/>
      <c r="S2178" s="1420"/>
      <c r="T2178" s="1420"/>
      <c r="V2178" s="1357">
        <v>55</v>
      </c>
    </row>
    <row r="2179" spans="1:22" s="841" customFormat="1" ht="15" x14ac:dyDescent="0.25">
      <c r="A2179" s="841" t="s">
        <v>2457</v>
      </c>
      <c r="B2179" s="841" t="s">
        <v>3562</v>
      </c>
      <c r="E2179" s="1690" t="s">
        <v>2450</v>
      </c>
      <c r="F2179" s="1690"/>
      <c r="G2179" s="1408" t="s">
        <v>24</v>
      </c>
      <c r="H2179" s="393">
        <v>4.0000000000000002E-4</v>
      </c>
      <c r="K2179" s="841" t="s">
        <v>5110</v>
      </c>
      <c r="L2179" s="841" t="s">
        <v>3046</v>
      </c>
      <c r="M2179" s="1357"/>
      <c r="P2179" s="841" t="s">
        <v>5117</v>
      </c>
      <c r="Q2179" s="1357"/>
      <c r="S2179" s="1420"/>
      <c r="T2179" s="1420"/>
      <c r="V2179" s="1357">
        <v>65</v>
      </c>
    </row>
    <row r="2180" spans="1:22" s="841" customFormat="1" ht="15" x14ac:dyDescent="0.25">
      <c r="A2180" s="841" t="s">
        <v>2457</v>
      </c>
      <c r="B2180" s="841" t="s">
        <v>3562</v>
      </c>
      <c r="E2180" s="1690" t="s">
        <v>439</v>
      </c>
      <c r="F2180" s="1690"/>
      <c r="G2180" s="1408" t="s">
        <v>24</v>
      </c>
      <c r="H2180" s="393">
        <v>2.9999999999999997E-4</v>
      </c>
      <c r="K2180" s="841" t="s">
        <v>5110</v>
      </c>
      <c r="L2180" s="841" t="s">
        <v>3046</v>
      </c>
      <c r="M2180" s="1357"/>
      <c r="P2180" s="841" t="s">
        <v>5118</v>
      </c>
      <c r="Q2180" s="1357"/>
      <c r="S2180" s="1420"/>
      <c r="T2180" s="1420"/>
      <c r="V2180" s="1357">
        <v>57</v>
      </c>
    </row>
    <row r="2181" spans="1:22" s="841" customFormat="1" ht="15" x14ac:dyDescent="0.25">
      <c r="A2181" s="841" t="s">
        <v>2457</v>
      </c>
      <c r="B2181" s="841" t="s">
        <v>3562</v>
      </c>
      <c r="E2181" s="1690" t="s">
        <v>32</v>
      </c>
      <c r="F2181" s="1690"/>
      <c r="G2181" s="1408" t="s">
        <v>23</v>
      </c>
      <c r="H2181" s="391">
        <v>0.25</v>
      </c>
      <c r="K2181" s="841" t="s">
        <v>5110</v>
      </c>
      <c r="L2181" s="841" t="s">
        <v>3046</v>
      </c>
      <c r="M2181" s="1357"/>
      <c r="P2181" s="841" t="s">
        <v>5119</v>
      </c>
      <c r="Q2181" s="1357"/>
      <c r="S2181" s="1420"/>
      <c r="T2181" s="1420"/>
      <c r="V2181" s="1357">
        <v>63</v>
      </c>
    </row>
    <row r="2182" spans="1:22" s="841" customFormat="1" x14ac:dyDescent="0.25">
      <c r="A2182" s="841" t="s">
        <v>2457</v>
      </c>
      <c r="B2182" s="841" t="s">
        <v>3562</v>
      </c>
      <c r="E2182" s="1909" t="s">
        <v>616</v>
      </c>
      <c r="F2182" s="1915"/>
      <c r="G2182" s="1915"/>
      <c r="H2182" s="1915"/>
      <c r="K2182" s="841" t="s">
        <v>6095</v>
      </c>
      <c r="M2182" s="1357"/>
      <c r="Q2182" s="1357"/>
      <c r="S2182" s="1420"/>
      <c r="T2182" s="1420"/>
      <c r="V2182" s="1357">
        <v>53</v>
      </c>
    </row>
    <row r="2183" spans="1:22" s="841" customFormat="1" ht="15" x14ac:dyDescent="0.25">
      <c r="A2183" s="841" t="s">
        <v>2457</v>
      </c>
      <c r="B2183" s="841" t="s">
        <v>3562</v>
      </c>
      <c r="E2183" s="1689" t="s">
        <v>3568</v>
      </c>
      <c r="F2183" s="1689"/>
      <c r="G2183" s="1689"/>
      <c r="H2183" s="1689"/>
      <c r="K2183" s="841" t="s">
        <v>6095</v>
      </c>
      <c r="M2183" s="1357"/>
      <c r="Q2183" s="1357"/>
      <c r="S2183" s="1420"/>
      <c r="T2183" s="1420"/>
      <c r="V2183" s="1357">
        <v>1782</v>
      </c>
    </row>
    <row r="2184" spans="1:22" s="841" customFormat="1" ht="15" x14ac:dyDescent="0.25">
      <c r="A2184" s="841" t="s">
        <v>2457</v>
      </c>
      <c r="B2184" s="841" t="s">
        <v>3562</v>
      </c>
      <c r="E2184" s="1916" t="s">
        <v>3061</v>
      </c>
      <c r="F2184" s="1697"/>
      <c r="G2184" s="1697"/>
      <c r="H2184" s="1697"/>
      <c r="K2184" s="841" t="s">
        <v>3098</v>
      </c>
      <c r="M2184" s="1357"/>
      <c r="Q2184" s="1357"/>
      <c r="S2184" s="1420"/>
      <c r="T2184" s="1420"/>
      <c r="V2184" s="1357">
        <v>11</v>
      </c>
    </row>
    <row r="2185" spans="1:22" s="841" customFormat="1" ht="15" x14ac:dyDescent="0.25">
      <c r="A2185" s="841" t="s">
        <v>2457</v>
      </c>
      <c r="B2185" s="841" t="s">
        <v>3562</v>
      </c>
      <c r="E2185" s="1689" t="s">
        <v>3063</v>
      </c>
      <c r="F2185" s="1689"/>
      <c r="G2185" s="1689"/>
      <c r="H2185" s="1689"/>
      <c r="K2185" s="841" t="s">
        <v>6095</v>
      </c>
      <c r="M2185" s="1357"/>
      <c r="Q2185" s="1357"/>
      <c r="S2185" s="1420"/>
      <c r="T2185" s="1420"/>
      <c r="V2185" s="1357">
        <v>280</v>
      </c>
    </row>
    <row r="2186" spans="1:22" s="841" customFormat="1" ht="15" x14ac:dyDescent="0.25">
      <c r="A2186" s="841" t="s">
        <v>2457</v>
      </c>
      <c r="B2186" s="841" t="s">
        <v>3562</v>
      </c>
      <c r="E2186" s="1689" t="s">
        <v>3064</v>
      </c>
      <c r="F2186" s="1689"/>
      <c r="G2186" s="1689"/>
      <c r="H2186" s="1689"/>
      <c r="K2186" s="841" t="s">
        <v>6095</v>
      </c>
      <c r="M2186" s="1357"/>
      <c r="Q2186" s="1357"/>
      <c r="S2186" s="1420"/>
      <c r="T2186" s="1420"/>
      <c r="V2186" s="1357">
        <v>411</v>
      </c>
    </row>
    <row r="2187" spans="1:22" s="841" customFormat="1" ht="15" x14ac:dyDescent="0.25">
      <c r="A2187" s="841" t="s">
        <v>2457</v>
      </c>
      <c r="B2187" s="841" t="s">
        <v>3562</v>
      </c>
      <c r="E2187" s="1689" t="s">
        <v>3565</v>
      </c>
      <c r="F2187" s="1689"/>
      <c r="G2187" s="1689"/>
      <c r="H2187" s="1689"/>
      <c r="K2187" s="841" t="s">
        <v>6095</v>
      </c>
      <c r="M2187" s="1357"/>
      <c r="Q2187" s="1357"/>
      <c r="S2187" s="1420"/>
      <c r="T2187" s="1420"/>
      <c r="V2187" s="1357">
        <v>388</v>
      </c>
    </row>
    <row r="2188" spans="1:22" s="841" customFormat="1" ht="15" x14ac:dyDescent="0.25">
      <c r="A2188" s="841" t="s">
        <v>2457</v>
      </c>
      <c r="B2188" s="841" t="s">
        <v>3562</v>
      </c>
      <c r="E2188" s="1689" t="s">
        <v>3569</v>
      </c>
      <c r="F2188" s="1689"/>
      <c r="G2188" s="1689"/>
      <c r="H2188" s="1689"/>
      <c r="K2188" s="841" t="s">
        <v>6095</v>
      </c>
      <c r="M2188" s="1357"/>
      <c r="Q2188" s="1357"/>
      <c r="S2188" s="1420"/>
      <c r="T2188" s="1420"/>
      <c r="V2188" s="1357">
        <v>626</v>
      </c>
    </row>
    <row r="2189" spans="1:22" s="841" customFormat="1" ht="15" x14ac:dyDescent="0.25">
      <c r="A2189" s="841" t="s">
        <v>2457</v>
      </c>
      <c r="B2189" s="841" t="s">
        <v>3562</v>
      </c>
      <c r="E2189" s="1689" t="s">
        <v>3200</v>
      </c>
      <c r="F2189" s="1689"/>
      <c r="G2189" s="1689"/>
      <c r="H2189" s="1689"/>
      <c r="K2189" s="841" t="s">
        <v>6095</v>
      </c>
      <c r="M2189" s="1357"/>
      <c r="Q2189" s="1357"/>
      <c r="S2189" s="1420"/>
      <c r="T2189" s="1420"/>
      <c r="V2189" s="1357">
        <v>275</v>
      </c>
    </row>
    <row r="2190" spans="1:22" s="841" customFormat="1" ht="15" x14ac:dyDescent="0.25">
      <c r="A2190" s="841" t="s">
        <v>2457</v>
      </c>
      <c r="B2190" s="841" t="s">
        <v>3562</v>
      </c>
      <c r="E2190" s="1694" t="s">
        <v>3067</v>
      </c>
      <c r="F2190" s="1907"/>
      <c r="G2190" s="1907"/>
      <c r="H2190" s="1907"/>
      <c r="K2190" s="841" t="s">
        <v>3099</v>
      </c>
      <c r="M2190" s="1357"/>
      <c r="Q2190" s="1357"/>
      <c r="S2190" s="1420"/>
      <c r="T2190" s="1420"/>
      <c r="V2190" s="1357">
        <v>46</v>
      </c>
    </row>
    <row r="2191" spans="1:22" s="841" customFormat="1" ht="15" x14ac:dyDescent="0.25">
      <c r="A2191" s="841" t="s">
        <v>2457</v>
      </c>
      <c r="B2191" s="841" t="s">
        <v>3562</v>
      </c>
      <c r="E2191" s="1690" t="s">
        <v>11</v>
      </c>
      <c r="F2191" s="1690"/>
      <c r="G2191" s="1408" t="s">
        <v>23</v>
      </c>
      <c r="H2191" s="391">
        <v>96.98</v>
      </c>
      <c r="K2191" s="841" t="s">
        <v>6095</v>
      </c>
      <c r="L2191" s="841" t="s">
        <v>442</v>
      </c>
      <c r="M2191" s="1357"/>
      <c r="P2191" s="841" t="s">
        <v>6096</v>
      </c>
      <c r="Q2191" s="1357"/>
      <c r="S2191" s="1420"/>
      <c r="T2191" s="1420"/>
      <c r="V2191" s="1357">
        <v>14</v>
      </c>
    </row>
    <row r="2192" spans="1:22" s="841" customFormat="1" ht="15" x14ac:dyDescent="0.25">
      <c r="A2192" s="841" t="s">
        <v>2457</v>
      </c>
      <c r="B2192" s="841" t="s">
        <v>3562</v>
      </c>
      <c r="E2192" s="1690" t="s">
        <v>84</v>
      </c>
      <c r="F2192" s="1690"/>
      <c r="G2192" s="1408" t="s">
        <v>33</v>
      </c>
      <c r="H2192" s="393">
        <v>3.9297</v>
      </c>
      <c r="K2192" s="841" t="s">
        <v>6095</v>
      </c>
      <c r="L2192" s="841" t="s">
        <v>442</v>
      </c>
      <c r="M2192" s="1357"/>
      <c r="P2192" s="841" t="s">
        <v>6097</v>
      </c>
      <c r="Q2192" s="1357"/>
      <c r="S2192" s="1420"/>
      <c r="T2192" s="1420"/>
      <c r="V2192" s="1357">
        <v>28</v>
      </c>
    </row>
    <row r="2193" spans="1:22" s="841" customFormat="1" ht="15" x14ac:dyDescent="0.25">
      <c r="A2193" s="841" t="s">
        <v>2457</v>
      </c>
      <c r="B2193" s="841" t="s">
        <v>3562</v>
      </c>
      <c r="E2193" s="1690" t="s">
        <v>18</v>
      </c>
      <c r="F2193" s="1690"/>
      <c r="G2193" s="1408" t="s">
        <v>33</v>
      </c>
      <c r="H2193" s="393">
        <v>1.1222000000000001</v>
      </c>
      <c r="K2193" s="841" t="s">
        <v>6095</v>
      </c>
      <c r="L2193" s="841" t="s">
        <v>443</v>
      </c>
      <c r="M2193" s="1357"/>
      <c r="P2193" s="841" t="s">
        <v>6098</v>
      </c>
      <c r="Q2193" s="1357"/>
      <c r="S2193" s="1420"/>
      <c r="T2193" s="1420"/>
      <c r="V2193" s="1357">
        <v>24</v>
      </c>
    </row>
    <row r="2194" spans="1:22" s="841" customFormat="1" ht="15" x14ac:dyDescent="0.25">
      <c r="A2194" s="841" t="s">
        <v>2457</v>
      </c>
      <c r="B2194" s="841" t="s">
        <v>3562</v>
      </c>
      <c r="E2194" s="1690" t="s">
        <v>5122</v>
      </c>
      <c r="F2194" s="1908"/>
      <c r="G2194" s="1408" t="s">
        <v>24</v>
      </c>
      <c r="H2194" s="393">
        <v>1.4200000000000001E-2</v>
      </c>
      <c r="K2194" s="841" t="s">
        <v>6095</v>
      </c>
      <c r="L2194" s="841" t="s">
        <v>443</v>
      </c>
      <c r="M2194" s="1357"/>
      <c r="P2194" s="841" t="s">
        <v>6104</v>
      </c>
      <c r="Q2194" s="1357"/>
      <c r="S2194" s="1420"/>
      <c r="T2194" s="1420">
        <v>43585</v>
      </c>
      <c r="V2194" s="1357">
        <v>139</v>
      </c>
    </row>
    <row r="2195" spans="1:22" s="841" customFormat="1" ht="15" x14ac:dyDescent="0.25">
      <c r="A2195" s="841" t="s">
        <v>2457</v>
      </c>
      <c r="B2195" s="841" t="s">
        <v>3562</v>
      </c>
      <c r="E2195" s="1690" t="s">
        <v>5123</v>
      </c>
      <c r="F2195" s="1908"/>
      <c r="G2195" s="1408" t="s">
        <v>33</v>
      </c>
      <c r="H2195" s="393">
        <v>-2.8761000000000001</v>
      </c>
      <c r="K2195" s="841" t="s">
        <v>6095</v>
      </c>
      <c r="L2195" s="841" t="s">
        <v>443</v>
      </c>
      <c r="M2195" s="1357"/>
      <c r="P2195" s="841" t="s">
        <v>6105</v>
      </c>
      <c r="Q2195" s="1357"/>
      <c r="S2195" s="1420"/>
      <c r="T2195" s="1420">
        <v>43585</v>
      </c>
      <c r="V2195" s="1357">
        <v>96</v>
      </c>
    </row>
    <row r="2196" spans="1:22" s="841" customFormat="1" ht="15" x14ac:dyDescent="0.25">
      <c r="A2196" s="841" t="s">
        <v>2457</v>
      </c>
      <c r="B2196" s="841" t="s">
        <v>3562</v>
      </c>
      <c r="E2196" s="1690" t="s">
        <v>221</v>
      </c>
      <c r="F2196" s="1690"/>
      <c r="G2196" s="1408" t="s">
        <v>33</v>
      </c>
      <c r="H2196" s="393">
        <v>2.2263999999999999</v>
      </c>
      <c r="K2196" s="841" t="s">
        <v>6095</v>
      </c>
      <c r="L2196" s="841" t="s">
        <v>444</v>
      </c>
      <c r="M2196" s="1357"/>
      <c r="P2196" s="841" t="s">
        <v>6099</v>
      </c>
      <c r="Q2196" s="1357"/>
      <c r="S2196" s="1420"/>
      <c r="T2196" s="1420"/>
      <c r="V2196" s="1357">
        <v>47</v>
      </c>
    </row>
    <row r="2197" spans="1:22" s="841" customFormat="1" ht="15" x14ac:dyDescent="0.25">
      <c r="A2197" s="841" t="s">
        <v>2457</v>
      </c>
      <c r="B2197" s="841" t="s">
        <v>3562</v>
      </c>
      <c r="E2197" s="1690" t="s">
        <v>217</v>
      </c>
      <c r="F2197" s="1690"/>
      <c r="G2197" s="1408" t="s">
        <v>33</v>
      </c>
      <c r="H2197" s="393">
        <v>1.1812</v>
      </c>
      <c r="K2197" s="841" t="s">
        <v>6095</v>
      </c>
      <c r="L2197" s="841" t="s">
        <v>444</v>
      </c>
      <c r="M2197" s="1357"/>
      <c r="P2197" s="841" t="s">
        <v>6100</v>
      </c>
      <c r="Q2197" s="1357"/>
      <c r="S2197" s="1420"/>
      <c r="T2197" s="1420"/>
      <c r="V2197" s="1357">
        <v>74</v>
      </c>
    </row>
    <row r="2198" spans="1:22" s="841" customFormat="1" ht="15" x14ac:dyDescent="0.25">
      <c r="A2198" s="841" t="s">
        <v>2457</v>
      </c>
      <c r="B2198" s="841" t="s">
        <v>3562</v>
      </c>
      <c r="E2198" s="1690" t="s">
        <v>634</v>
      </c>
      <c r="F2198" s="1690"/>
      <c r="G2198" s="1408" t="s">
        <v>33</v>
      </c>
      <c r="H2198" s="393">
        <v>2.3616999999999999</v>
      </c>
      <c r="K2198" s="841" t="s">
        <v>6095</v>
      </c>
      <c r="L2198" s="841" t="s">
        <v>444</v>
      </c>
      <c r="M2198" s="1357"/>
      <c r="P2198" s="841" t="s">
        <v>6173</v>
      </c>
      <c r="Q2198" s="1357"/>
      <c r="S2198" s="1420"/>
      <c r="T2198" s="1420"/>
      <c r="V2198" s="1357">
        <v>77</v>
      </c>
    </row>
    <row r="2199" spans="1:22" s="841" customFormat="1" ht="15" x14ac:dyDescent="0.25">
      <c r="A2199" s="841" t="s">
        <v>2457</v>
      </c>
      <c r="B2199" s="841" t="s">
        <v>3562</v>
      </c>
      <c r="E2199" s="1690" t="s">
        <v>636</v>
      </c>
      <c r="F2199" s="1690"/>
      <c r="G2199" s="1408" t="s">
        <v>33</v>
      </c>
      <c r="H2199" s="393">
        <v>1.3052999999999999</v>
      </c>
      <c r="K2199" s="841" t="s">
        <v>6095</v>
      </c>
      <c r="L2199" s="841" t="s">
        <v>444</v>
      </c>
      <c r="M2199" s="1357"/>
      <c r="P2199" s="841" t="s">
        <v>6174</v>
      </c>
      <c r="Q2199" s="1357"/>
      <c r="S2199" s="1420"/>
      <c r="T2199" s="1420"/>
      <c r="V2199" s="1357">
        <v>104</v>
      </c>
    </row>
    <row r="2200" spans="1:22" s="841" customFormat="1" ht="15" x14ac:dyDescent="0.25">
      <c r="A2200" s="841" t="s">
        <v>2457</v>
      </c>
      <c r="B2200" s="841" t="s">
        <v>3562</v>
      </c>
      <c r="E2200" s="1690" t="s">
        <v>226</v>
      </c>
      <c r="F2200" s="1690"/>
      <c r="G2200" s="1408" t="s">
        <v>33</v>
      </c>
      <c r="H2200" s="393">
        <v>2.3643999999999998</v>
      </c>
      <c r="K2200" s="841" t="s">
        <v>6095</v>
      </c>
      <c r="L2200" s="841" t="s">
        <v>444</v>
      </c>
      <c r="M2200" s="1357"/>
      <c r="P2200" s="841" t="s">
        <v>6175</v>
      </c>
      <c r="Q2200" s="1357"/>
      <c r="S2200" s="1420"/>
      <c r="T2200" s="1420"/>
      <c r="V2200" s="1357">
        <v>77</v>
      </c>
    </row>
    <row r="2201" spans="1:22" s="841" customFormat="1" ht="15" x14ac:dyDescent="0.25">
      <c r="A2201" s="841" t="s">
        <v>2457</v>
      </c>
      <c r="B2201" s="841" t="s">
        <v>3562</v>
      </c>
      <c r="E2201" s="1690" t="s">
        <v>642</v>
      </c>
      <c r="F2201" s="1690"/>
      <c r="G2201" s="1408" t="s">
        <v>33</v>
      </c>
      <c r="H2201" s="393">
        <v>1.2948999999999999</v>
      </c>
      <c r="K2201" s="841" t="s">
        <v>6095</v>
      </c>
      <c r="L2201" s="841" t="s">
        <v>444</v>
      </c>
      <c r="M2201" s="1357"/>
      <c r="P2201" s="841" t="s">
        <v>6176</v>
      </c>
      <c r="Q2201" s="1357"/>
      <c r="S2201" s="1420"/>
      <c r="T2201" s="1420"/>
      <c r="V2201" s="1357">
        <v>104</v>
      </c>
    </row>
    <row r="2202" spans="1:22" s="841" customFormat="1" ht="15" x14ac:dyDescent="0.25">
      <c r="A2202" s="841" t="s">
        <v>2457</v>
      </c>
      <c r="B2202" s="841" t="s">
        <v>3562</v>
      </c>
      <c r="E2202" s="1694" t="s">
        <v>3079</v>
      </c>
      <c r="F2202" s="1690"/>
      <c r="G2202" s="1408"/>
      <c r="H2202" s="1408"/>
      <c r="K2202" s="841" t="s">
        <v>3218</v>
      </c>
      <c r="M2202" s="1357"/>
      <c r="Q2202" s="1357"/>
      <c r="S2202" s="1420"/>
      <c r="T2202" s="1420"/>
      <c r="V2202" s="1357">
        <v>48</v>
      </c>
    </row>
    <row r="2203" spans="1:22" s="841" customFormat="1" ht="15" x14ac:dyDescent="0.25">
      <c r="A2203" s="841" t="s">
        <v>2457</v>
      </c>
      <c r="B2203" s="841" t="s">
        <v>3562</v>
      </c>
      <c r="E2203" s="1690" t="s">
        <v>2449</v>
      </c>
      <c r="F2203" s="1690"/>
      <c r="G2203" s="1408" t="s">
        <v>24</v>
      </c>
      <c r="H2203" s="393">
        <v>3.2000000000000002E-3</v>
      </c>
      <c r="K2203" s="841" t="s">
        <v>6095</v>
      </c>
      <c r="L2203" s="841" t="s">
        <v>3046</v>
      </c>
      <c r="M2203" s="1357"/>
      <c r="P2203" s="841" t="s">
        <v>6101</v>
      </c>
      <c r="Q2203" s="1357"/>
      <c r="S2203" s="1420"/>
      <c r="T2203" s="1420"/>
      <c r="V2203" s="1357">
        <v>55</v>
      </c>
    </row>
    <row r="2204" spans="1:22" s="841" customFormat="1" ht="15" x14ac:dyDescent="0.25">
      <c r="A2204" s="841" t="s">
        <v>2457</v>
      </c>
      <c r="B2204" s="841" t="s">
        <v>3562</v>
      </c>
      <c r="E2204" s="1690" t="s">
        <v>2450</v>
      </c>
      <c r="F2204" s="1690"/>
      <c r="G2204" s="1408" t="s">
        <v>24</v>
      </c>
      <c r="H2204" s="393">
        <v>4.0000000000000002E-4</v>
      </c>
      <c r="K2204" s="841" t="s">
        <v>6095</v>
      </c>
      <c r="L2204" s="841" t="s">
        <v>3046</v>
      </c>
      <c r="M2204" s="1357"/>
      <c r="P2204" s="841" t="s">
        <v>6101</v>
      </c>
      <c r="Q2204" s="1357"/>
      <c r="S2204" s="1420"/>
      <c r="T2204" s="1420"/>
      <c r="V2204" s="1357">
        <v>65</v>
      </c>
    </row>
    <row r="2205" spans="1:22" s="841" customFormat="1" ht="15" x14ac:dyDescent="0.25">
      <c r="A2205" s="841" t="s">
        <v>2457</v>
      </c>
      <c r="B2205" s="841" t="s">
        <v>3562</v>
      </c>
      <c r="E2205" s="1690" t="s">
        <v>439</v>
      </c>
      <c r="F2205" s="1690"/>
      <c r="G2205" s="1408" t="s">
        <v>24</v>
      </c>
      <c r="H2205" s="393">
        <v>2.9999999999999997E-4</v>
      </c>
      <c r="K2205" s="841" t="s">
        <v>6095</v>
      </c>
      <c r="L2205" s="841" t="s">
        <v>3046</v>
      </c>
      <c r="M2205" s="1357"/>
      <c r="P2205" s="841" t="s">
        <v>6102</v>
      </c>
      <c r="Q2205" s="1357"/>
      <c r="S2205" s="1420"/>
      <c r="T2205" s="1420"/>
      <c r="V2205" s="1357">
        <v>57</v>
      </c>
    </row>
    <row r="2206" spans="1:22" s="841" customFormat="1" ht="15" x14ac:dyDescent="0.25">
      <c r="A2206" s="841" t="s">
        <v>2457</v>
      </c>
      <c r="B2206" s="841" t="s">
        <v>3562</v>
      </c>
      <c r="E2206" s="1690" t="s">
        <v>32</v>
      </c>
      <c r="F2206" s="1690"/>
      <c r="G2206" s="1408" t="s">
        <v>23</v>
      </c>
      <c r="H2206" s="391">
        <v>0.25</v>
      </c>
      <c r="K2206" s="841" t="s">
        <v>6095</v>
      </c>
      <c r="L2206" s="841" t="s">
        <v>3046</v>
      </c>
      <c r="M2206" s="1357"/>
      <c r="P2206" s="841" t="s">
        <v>6103</v>
      </c>
      <c r="Q2206" s="1357"/>
      <c r="S2206" s="1420"/>
      <c r="T2206" s="1420"/>
      <c r="V2206" s="1357">
        <v>63</v>
      </c>
    </row>
    <row r="2207" spans="1:22" s="841" customFormat="1" x14ac:dyDescent="0.25">
      <c r="A2207" s="841" t="s">
        <v>2457</v>
      </c>
      <c r="B2207" s="841" t="s">
        <v>3562</v>
      </c>
      <c r="E2207" s="1909" t="s">
        <v>617</v>
      </c>
      <c r="F2207" s="1915"/>
      <c r="G2207" s="1915"/>
      <c r="H2207" s="1915"/>
      <c r="K2207" s="841" t="s">
        <v>3406</v>
      </c>
      <c r="M2207" s="1357"/>
      <c r="Q2207" s="1357"/>
      <c r="S2207" s="1420"/>
      <c r="T2207" s="1420"/>
      <c r="V2207" s="1357">
        <v>47</v>
      </c>
    </row>
    <row r="2208" spans="1:22" s="841" customFormat="1" ht="15" x14ac:dyDescent="0.25">
      <c r="A2208" s="841" t="s">
        <v>2457</v>
      </c>
      <c r="B2208" s="841" t="s">
        <v>3562</v>
      </c>
      <c r="E2208" s="1689" t="s">
        <v>3570</v>
      </c>
      <c r="F2208" s="1689"/>
      <c r="G2208" s="1689"/>
      <c r="H2208" s="1689"/>
      <c r="K2208" s="841" t="s">
        <v>3406</v>
      </c>
      <c r="M2208" s="1357"/>
      <c r="Q2208" s="1357"/>
      <c r="S2208" s="1420"/>
      <c r="T2208" s="1420"/>
      <c r="V2208" s="1357">
        <v>719</v>
      </c>
    </row>
    <row r="2209" spans="1:22" s="841" customFormat="1" ht="15" x14ac:dyDescent="0.25">
      <c r="A2209" s="841" t="s">
        <v>2457</v>
      </c>
      <c r="B2209" s="841" t="s">
        <v>3562</v>
      </c>
      <c r="E2209" s="1916" t="s">
        <v>3061</v>
      </c>
      <c r="F2209" s="1697"/>
      <c r="G2209" s="1697"/>
      <c r="H2209" s="1697"/>
      <c r="K2209" s="841" t="s">
        <v>3221</v>
      </c>
      <c r="M2209" s="1357"/>
      <c r="Q2209" s="1357"/>
      <c r="S2209" s="1420"/>
      <c r="T2209" s="1420"/>
      <c r="V2209" s="1357">
        <v>11</v>
      </c>
    </row>
    <row r="2210" spans="1:22" s="841" customFormat="1" ht="15" x14ac:dyDescent="0.25">
      <c r="A2210" s="841" t="s">
        <v>2457</v>
      </c>
      <c r="B2210" s="841" t="s">
        <v>3562</v>
      </c>
      <c r="E2210" s="1689" t="s">
        <v>3063</v>
      </c>
      <c r="F2210" s="1689"/>
      <c r="G2210" s="1689"/>
      <c r="H2210" s="1689"/>
      <c r="K2210" s="841" t="s">
        <v>3406</v>
      </c>
      <c r="M2210" s="1357"/>
      <c r="Q2210" s="1357"/>
      <c r="S2210" s="1420"/>
      <c r="T2210" s="1420"/>
      <c r="V2210" s="1357">
        <v>280</v>
      </c>
    </row>
    <row r="2211" spans="1:22" s="841" customFormat="1" ht="15" x14ac:dyDescent="0.25">
      <c r="A2211" s="841" t="s">
        <v>2457</v>
      </c>
      <c r="B2211" s="841" t="s">
        <v>3562</v>
      </c>
      <c r="E2211" s="1689" t="s">
        <v>3064</v>
      </c>
      <c r="F2211" s="1689"/>
      <c r="G2211" s="1689"/>
      <c r="H2211" s="1689"/>
      <c r="K2211" s="841" t="s">
        <v>3406</v>
      </c>
      <c r="M2211" s="1357"/>
      <c r="Q2211" s="1357"/>
      <c r="S2211" s="1420"/>
      <c r="T2211" s="1420"/>
      <c r="V2211" s="1357">
        <v>411</v>
      </c>
    </row>
    <row r="2212" spans="1:22" s="841" customFormat="1" ht="15" x14ac:dyDescent="0.25">
      <c r="A2212" s="841" t="s">
        <v>2457</v>
      </c>
      <c r="B2212" s="841" t="s">
        <v>3562</v>
      </c>
      <c r="E2212" s="1689" t="s">
        <v>3565</v>
      </c>
      <c r="F2212" s="1689"/>
      <c r="G2212" s="1689"/>
      <c r="H2212" s="1689"/>
      <c r="K2212" s="841" t="s">
        <v>3406</v>
      </c>
      <c r="M2212" s="1357"/>
      <c r="Q2212" s="1357"/>
      <c r="S2212" s="1420"/>
      <c r="T2212" s="1420"/>
      <c r="V2212" s="1357">
        <v>388</v>
      </c>
    </row>
    <row r="2213" spans="1:22" s="841" customFormat="1" ht="15" x14ac:dyDescent="0.25">
      <c r="A2213" s="841" t="s">
        <v>2457</v>
      </c>
      <c r="B2213" s="841" t="s">
        <v>3562</v>
      </c>
      <c r="E2213" s="1689" t="s">
        <v>3200</v>
      </c>
      <c r="F2213" s="1689"/>
      <c r="G2213" s="1689"/>
      <c r="H2213" s="1689"/>
      <c r="K2213" s="841" t="s">
        <v>3406</v>
      </c>
      <c r="M2213" s="1357"/>
      <c r="Q2213" s="1357"/>
      <c r="S2213" s="1420"/>
      <c r="T2213" s="1420"/>
      <c r="V2213" s="1357">
        <v>275</v>
      </c>
    </row>
    <row r="2214" spans="1:22" s="841" customFormat="1" ht="15" x14ac:dyDescent="0.25">
      <c r="A2214" s="841" t="s">
        <v>2457</v>
      </c>
      <c r="B2214" s="841" t="s">
        <v>3562</v>
      </c>
      <c r="E2214" s="1694" t="s">
        <v>3067</v>
      </c>
      <c r="F2214" s="1907"/>
      <c r="G2214" s="1907"/>
      <c r="H2214" s="1907"/>
      <c r="K2214" s="841" t="s">
        <v>3224</v>
      </c>
      <c r="M2214" s="1357"/>
      <c r="Q2214" s="1357"/>
      <c r="S2214" s="1420"/>
      <c r="T2214" s="1420"/>
      <c r="V2214" s="1357">
        <v>46</v>
      </c>
    </row>
    <row r="2215" spans="1:22" s="841" customFormat="1" ht="15" x14ac:dyDescent="0.25">
      <c r="A2215" s="841" t="s">
        <v>2457</v>
      </c>
      <c r="B2215" s="841" t="s">
        <v>3562</v>
      </c>
      <c r="E2215" s="1690" t="s">
        <v>12</v>
      </c>
      <c r="F2215" s="1690"/>
      <c r="G2215" s="1408" t="s">
        <v>23</v>
      </c>
      <c r="H2215" s="391">
        <v>2.04</v>
      </c>
      <c r="K2215" s="841" t="s">
        <v>3406</v>
      </c>
      <c r="L2215" s="841" t="s">
        <v>442</v>
      </c>
      <c r="M2215" s="1357"/>
      <c r="P2215" s="841" t="s">
        <v>3408</v>
      </c>
      <c r="Q2215" s="1357"/>
      <c r="S2215" s="1420"/>
      <c r="T2215" s="1420"/>
      <c r="V2215" s="1357">
        <v>31</v>
      </c>
    </row>
    <row r="2216" spans="1:22" s="841" customFormat="1" ht="15" x14ac:dyDescent="0.25">
      <c r="A2216" s="841" t="s">
        <v>2457</v>
      </c>
      <c r="B2216" s="841" t="s">
        <v>3562</v>
      </c>
      <c r="E2216" s="1690" t="s">
        <v>84</v>
      </c>
      <c r="F2216" s="1690"/>
      <c r="G2216" s="1408" t="s">
        <v>24</v>
      </c>
      <c r="H2216" s="393">
        <v>2.3300000000000001E-2</v>
      </c>
      <c r="K2216" s="841" t="s">
        <v>3406</v>
      </c>
      <c r="L2216" s="841" t="s">
        <v>442</v>
      </c>
      <c r="M2216" s="1357"/>
      <c r="P2216" s="841" t="s">
        <v>3409</v>
      </c>
      <c r="Q2216" s="1357"/>
      <c r="S2216" s="1420"/>
      <c r="T2216" s="1420"/>
      <c r="V2216" s="1357">
        <v>28</v>
      </c>
    </row>
    <row r="2217" spans="1:22" s="841" customFormat="1" ht="15" x14ac:dyDescent="0.25">
      <c r="A2217" s="841" t="s">
        <v>2457</v>
      </c>
      <c r="B2217" s="841" t="s">
        <v>3562</v>
      </c>
      <c r="E2217" s="1690" t="s">
        <v>18</v>
      </c>
      <c r="F2217" s="1690"/>
      <c r="G2217" s="1408" t="s">
        <v>24</v>
      </c>
      <c r="H2217" s="393">
        <v>2.3999999999999998E-3</v>
      </c>
      <c r="K2217" s="841" t="s">
        <v>3406</v>
      </c>
      <c r="L2217" s="841" t="s">
        <v>443</v>
      </c>
      <c r="M2217" s="1357"/>
      <c r="P2217" s="841" t="s">
        <v>3549</v>
      </c>
      <c r="Q2217" s="1357"/>
      <c r="S2217" s="1420"/>
      <c r="T2217" s="1420"/>
      <c r="V2217" s="1357">
        <v>24</v>
      </c>
    </row>
    <row r="2218" spans="1:22" s="841" customFormat="1" ht="15" x14ac:dyDescent="0.25">
      <c r="A2218" s="841" t="s">
        <v>2457</v>
      </c>
      <c r="B2218" s="841" t="s">
        <v>3562</v>
      </c>
      <c r="E2218" s="1690" t="s">
        <v>5122</v>
      </c>
      <c r="F2218" s="1908"/>
      <c r="G2218" s="1408" t="s">
        <v>24</v>
      </c>
      <c r="H2218" s="393">
        <v>1.4200000000000001E-2</v>
      </c>
      <c r="K2218" s="841" t="s">
        <v>3406</v>
      </c>
      <c r="L2218" s="841" t="s">
        <v>443</v>
      </c>
      <c r="M2218" s="1357"/>
      <c r="P2218" s="841" t="s">
        <v>3550</v>
      </c>
      <c r="Q2218" s="1357"/>
      <c r="S2218" s="1420"/>
      <c r="T2218" s="1420">
        <v>43585</v>
      </c>
      <c r="V2218" s="1357">
        <v>139</v>
      </c>
    </row>
    <row r="2219" spans="1:22" s="841" customFormat="1" ht="15" x14ac:dyDescent="0.25">
      <c r="A2219" s="841" t="s">
        <v>2457</v>
      </c>
      <c r="B2219" s="841" t="s">
        <v>3562</v>
      </c>
      <c r="E2219" s="1690" t="s">
        <v>5123</v>
      </c>
      <c r="F2219" s="1908"/>
      <c r="G2219" s="1408" t="s">
        <v>24</v>
      </c>
      <c r="H2219" s="393">
        <v>-6.3E-3</v>
      </c>
      <c r="K2219" s="841" t="s">
        <v>3406</v>
      </c>
      <c r="L2219" s="841" t="s">
        <v>443</v>
      </c>
      <c r="M2219" s="1357"/>
      <c r="P2219" s="841" t="s">
        <v>3411</v>
      </c>
      <c r="Q2219" s="1357"/>
      <c r="S2219" s="1420"/>
      <c r="T2219" s="1420">
        <v>43585</v>
      </c>
      <c r="V2219" s="1357">
        <v>96</v>
      </c>
    </row>
    <row r="2220" spans="1:22" s="841" customFormat="1" ht="15" x14ac:dyDescent="0.25">
      <c r="A2220" s="841" t="s">
        <v>2457</v>
      </c>
      <c r="B2220" s="841" t="s">
        <v>3562</v>
      </c>
      <c r="E2220" s="1690" t="s">
        <v>221</v>
      </c>
      <c r="F2220" s="1690"/>
      <c r="G2220" s="1408" t="s">
        <v>24</v>
      </c>
      <c r="H2220" s="393">
        <v>5.5999999999999999E-3</v>
      </c>
      <c r="K2220" s="841" t="s">
        <v>3406</v>
      </c>
      <c r="L2220" s="841" t="s">
        <v>444</v>
      </c>
      <c r="M2220" s="1357"/>
      <c r="P2220" s="841" t="s">
        <v>3412</v>
      </c>
      <c r="Q2220" s="1357"/>
      <c r="S2220" s="1420"/>
      <c r="T2220" s="1420"/>
      <c r="V2220" s="1357">
        <v>47</v>
      </c>
    </row>
    <row r="2221" spans="1:22" s="841" customFormat="1" ht="15" x14ac:dyDescent="0.25">
      <c r="A2221" s="841" t="s">
        <v>2457</v>
      </c>
      <c r="B2221" s="841" t="s">
        <v>3562</v>
      </c>
      <c r="E2221" s="1690" t="s">
        <v>217</v>
      </c>
      <c r="F2221" s="1690"/>
      <c r="G2221" s="1408" t="s">
        <v>24</v>
      </c>
      <c r="H2221" s="393">
        <v>2.8E-3</v>
      </c>
      <c r="K2221" s="841" t="s">
        <v>3406</v>
      </c>
      <c r="L2221" s="841" t="s">
        <v>444</v>
      </c>
      <c r="M2221" s="1357"/>
      <c r="P2221" s="841" t="s">
        <v>3413</v>
      </c>
      <c r="Q2221" s="1357"/>
      <c r="S2221" s="1420"/>
      <c r="T2221" s="1420"/>
      <c r="V2221" s="1357">
        <v>74</v>
      </c>
    </row>
    <row r="2222" spans="1:22" s="841" customFormat="1" ht="15" x14ac:dyDescent="0.25">
      <c r="A2222" s="841" t="s">
        <v>2457</v>
      </c>
      <c r="B2222" s="841" t="s">
        <v>3562</v>
      </c>
      <c r="E2222" s="1694" t="s">
        <v>3079</v>
      </c>
      <c r="F2222" s="1690"/>
      <c r="G2222" s="1408"/>
      <c r="H2222" s="1408"/>
      <c r="K2222" s="841" t="s">
        <v>3225</v>
      </c>
      <c r="M2222" s="1357"/>
      <c r="Q2222" s="1357"/>
      <c r="S2222" s="1420"/>
      <c r="T2222" s="1420"/>
      <c r="V2222" s="1357">
        <v>48</v>
      </c>
    </row>
    <row r="2223" spans="1:22" s="841" customFormat="1" ht="15" x14ac:dyDescent="0.25">
      <c r="A2223" s="841" t="s">
        <v>2457</v>
      </c>
      <c r="B2223" s="841" t="s">
        <v>3562</v>
      </c>
      <c r="E2223" s="1690" t="s">
        <v>2449</v>
      </c>
      <c r="F2223" s="1690"/>
      <c r="G2223" s="1408" t="s">
        <v>24</v>
      </c>
      <c r="H2223" s="393">
        <v>3.2000000000000002E-3</v>
      </c>
      <c r="K2223" s="841" t="s">
        <v>3406</v>
      </c>
      <c r="L2223" s="841" t="s">
        <v>3046</v>
      </c>
      <c r="M2223" s="1357"/>
      <c r="P2223" s="841" t="s">
        <v>3414</v>
      </c>
      <c r="Q2223" s="1357"/>
      <c r="S2223" s="1420"/>
      <c r="T2223" s="1420"/>
      <c r="V2223" s="1357">
        <v>55</v>
      </c>
    </row>
    <row r="2224" spans="1:22" s="841" customFormat="1" ht="15" x14ac:dyDescent="0.25">
      <c r="A2224" s="841" t="s">
        <v>2457</v>
      </c>
      <c r="B2224" s="841" t="s">
        <v>3562</v>
      </c>
      <c r="E2224" s="1690" t="s">
        <v>2450</v>
      </c>
      <c r="F2224" s="1690"/>
      <c r="G2224" s="1408" t="s">
        <v>24</v>
      </c>
      <c r="H2224" s="393">
        <v>4.0000000000000002E-4</v>
      </c>
      <c r="K2224" s="841" t="s">
        <v>3406</v>
      </c>
      <c r="L2224" s="841" t="s">
        <v>3046</v>
      </c>
      <c r="M2224" s="1357"/>
      <c r="P2224" s="841" t="s">
        <v>3414</v>
      </c>
      <c r="Q2224" s="1357"/>
      <c r="S2224" s="1420"/>
      <c r="T2224" s="1420"/>
      <c r="V2224" s="1357">
        <v>65</v>
      </c>
    </row>
    <row r="2225" spans="1:22" s="841" customFormat="1" ht="15" x14ac:dyDescent="0.25">
      <c r="A2225" s="841" t="s">
        <v>2457</v>
      </c>
      <c r="B2225" s="841" t="s">
        <v>3562</v>
      </c>
      <c r="E2225" s="1690" t="s">
        <v>439</v>
      </c>
      <c r="F2225" s="1690"/>
      <c r="G2225" s="1408" t="s">
        <v>24</v>
      </c>
      <c r="H2225" s="393">
        <v>2.9999999999999997E-4</v>
      </c>
      <c r="K2225" s="841" t="s">
        <v>3406</v>
      </c>
      <c r="L2225" s="841" t="s">
        <v>3046</v>
      </c>
      <c r="M2225" s="1357"/>
      <c r="P2225" s="841" t="s">
        <v>3415</v>
      </c>
      <c r="Q2225" s="1357"/>
      <c r="S2225" s="1420"/>
      <c r="T2225" s="1420"/>
      <c r="V2225" s="1357">
        <v>57</v>
      </c>
    </row>
    <row r="2226" spans="1:22" s="841" customFormat="1" ht="15" x14ac:dyDescent="0.25">
      <c r="A2226" s="841" t="s">
        <v>2457</v>
      </c>
      <c r="B2226" s="841" t="s">
        <v>3562</v>
      </c>
      <c r="E2226" s="1690" t="s">
        <v>32</v>
      </c>
      <c r="F2226" s="1690"/>
      <c r="G2226" s="1408" t="s">
        <v>23</v>
      </c>
      <c r="H2226" s="391">
        <v>0.25</v>
      </c>
      <c r="K2226" s="841" t="s">
        <v>3406</v>
      </c>
      <c r="L2226" s="841" t="s">
        <v>3046</v>
      </c>
      <c r="M2226" s="1357"/>
      <c r="P2226" s="841" t="s">
        <v>3416</v>
      </c>
      <c r="Q2226" s="1357"/>
      <c r="S2226" s="1420"/>
      <c r="T2226" s="1420"/>
      <c r="V2226" s="1357">
        <v>63</v>
      </c>
    </row>
    <row r="2227" spans="1:22" s="841" customFormat="1" x14ac:dyDescent="0.25">
      <c r="A2227" s="841" t="s">
        <v>2457</v>
      </c>
      <c r="B2227" s="841" t="s">
        <v>3562</v>
      </c>
      <c r="E2227" s="1909" t="s">
        <v>629</v>
      </c>
      <c r="F2227" s="1915"/>
      <c r="G2227" s="1915"/>
      <c r="H2227" s="1915"/>
      <c r="K2227" s="841" t="s">
        <v>3571</v>
      </c>
      <c r="M2227" s="1357"/>
      <c r="Q2227" s="1357"/>
      <c r="S2227" s="1420"/>
      <c r="T2227" s="1420"/>
      <c r="V2227" s="1357">
        <v>40</v>
      </c>
    </row>
    <row r="2228" spans="1:22" s="841" customFormat="1" ht="15" x14ac:dyDescent="0.25">
      <c r="A2228" s="841" t="s">
        <v>2457</v>
      </c>
      <c r="B2228" s="841" t="s">
        <v>3562</v>
      </c>
      <c r="E2228" s="1689" t="s">
        <v>3572</v>
      </c>
      <c r="F2228" s="1689"/>
      <c r="G2228" s="1689"/>
      <c r="H2228" s="1689"/>
      <c r="K2228" s="841" t="s">
        <v>3571</v>
      </c>
      <c r="M2228" s="1357"/>
      <c r="Q2228" s="1357"/>
      <c r="S2228" s="1420"/>
      <c r="T2228" s="1420"/>
      <c r="V2228" s="1357">
        <v>398</v>
      </c>
    </row>
    <row r="2229" spans="1:22" s="841" customFormat="1" ht="15" x14ac:dyDescent="0.25">
      <c r="A2229" s="841" t="s">
        <v>2457</v>
      </c>
      <c r="B2229" s="841" t="s">
        <v>3562</v>
      </c>
      <c r="E2229" s="1916" t="s">
        <v>3061</v>
      </c>
      <c r="F2229" s="1697"/>
      <c r="G2229" s="1697"/>
      <c r="H2229" s="1697"/>
      <c r="K2229" s="841" t="s">
        <v>3107</v>
      </c>
      <c r="M2229" s="1357"/>
      <c r="Q2229" s="1357"/>
      <c r="S2229" s="1420"/>
      <c r="T2229" s="1420"/>
      <c r="V2229" s="1357">
        <v>11</v>
      </c>
    </row>
    <row r="2230" spans="1:22" s="841" customFormat="1" ht="15" x14ac:dyDescent="0.25">
      <c r="A2230" s="841" t="s">
        <v>2457</v>
      </c>
      <c r="B2230" s="841" t="s">
        <v>3562</v>
      </c>
      <c r="E2230" s="1689" t="s">
        <v>3063</v>
      </c>
      <c r="F2230" s="1689"/>
      <c r="G2230" s="1689"/>
      <c r="H2230" s="1689"/>
      <c r="K2230" s="841" t="s">
        <v>3571</v>
      </c>
      <c r="M2230" s="1357"/>
      <c r="Q2230" s="1357"/>
      <c r="S2230" s="1420"/>
      <c r="T2230" s="1420"/>
      <c r="V2230" s="1357">
        <v>280</v>
      </c>
    </row>
    <row r="2231" spans="1:22" s="841" customFormat="1" ht="15" x14ac:dyDescent="0.25">
      <c r="A2231" s="841" t="s">
        <v>2457</v>
      </c>
      <c r="B2231" s="841" t="s">
        <v>3562</v>
      </c>
      <c r="E2231" s="1689" t="s">
        <v>3064</v>
      </c>
      <c r="F2231" s="1689"/>
      <c r="G2231" s="1689"/>
      <c r="H2231" s="1689"/>
      <c r="K2231" s="841" t="s">
        <v>3571</v>
      </c>
      <c r="M2231" s="1357"/>
      <c r="Q2231" s="1357"/>
      <c r="S2231" s="1420"/>
      <c r="T2231" s="1420"/>
      <c r="V2231" s="1357">
        <v>411</v>
      </c>
    </row>
    <row r="2232" spans="1:22" s="841" customFormat="1" ht="15" x14ac:dyDescent="0.25">
      <c r="A2232" s="841" t="s">
        <v>2457</v>
      </c>
      <c r="B2232" s="841" t="s">
        <v>3562</v>
      </c>
      <c r="E2232" s="1689" t="s">
        <v>3565</v>
      </c>
      <c r="F2232" s="1689"/>
      <c r="G2232" s="1689"/>
      <c r="H2232" s="1689"/>
      <c r="K2232" s="841" t="s">
        <v>3571</v>
      </c>
      <c r="M2232" s="1357"/>
      <c r="Q2232" s="1357"/>
      <c r="S2232" s="1420"/>
      <c r="T2232" s="1420"/>
      <c r="V2232" s="1357">
        <v>388</v>
      </c>
    </row>
    <row r="2233" spans="1:22" s="841" customFormat="1" ht="15" x14ac:dyDescent="0.25">
      <c r="A2233" s="841" t="s">
        <v>2457</v>
      </c>
      <c r="B2233" s="841" t="s">
        <v>3562</v>
      </c>
      <c r="E2233" s="1689" t="s">
        <v>3200</v>
      </c>
      <c r="F2233" s="1689"/>
      <c r="G2233" s="1689"/>
      <c r="H2233" s="1689"/>
      <c r="K2233" s="841" t="s">
        <v>3571</v>
      </c>
      <c r="M2233" s="1357"/>
      <c r="Q2233" s="1357"/>
      <c r="S2233" s="1420"/>
      <c r="T2233" s="1420"/>
      <c r="V2233" s="1357">
        <v>275</v>
      </c>
    </row>
    <row r="2234" spans="1:22" s="841" customFormat="1" ht="15" x14ac:dyDescent="0.25">
      <c r="A2234" s="841" t="s">
        <v>2457</v>
      </c>
      <c r="B2234" s="841" t="s">
        <v>3562</v>
      </c>
      <c r="E2234" s="1694" t="s">
        <v>3067</v>
      </c>
      <c r="F2234" s="1907"/>
      <c r="G2234" s="1907"/>
      <c r="H2234" s="1907"/>
      <c r="K2234" s="841" t="s">
        <v>3108</v>
      </c>
      <c r="M2234" s="1357"/>
      <c r="Q2234" s="1357"/>
      <c r="S2234" s="1420"/>
      <c r="T2234" s="1420"/>
      <c r="V2234" s="1357">
        <v>46</v>
      </c>
    </row>
    <row r="2235" spans="1:22" s="841" customFormat="1" ht="15" x14ac:dyDescent="0.25">
      <c r="A2235" s="841" t="s">
        <v>2457</v>
      </c>
      <c r="B2235" s="841" t="s">
        <v>3562</v>
      </c>
      <c r="E2235" s="1690" t="s">
        <v>12</v>
      </c>
      <c r="F2235" s="1690"/>
      <c r="G2235" s="1408" t="s">
        <v>23</v>
      </c>
      <c r="H2235" s="391">
        <v>2.04</v>
      </c>
      <c r="K2235" s="841" t="s">
        <v>3571</v>
      </c>
      <c r="L2235" s="841" t="s">
        <v>442</v>
      </c>
      <c r="M2235" s="1357"/>
      <c r="P2235" s="841" t="s">
        <v>3573</v>
      </c>
      <c r="Q2235" s="1357"/>
      <c r="S2235" s="1420"/>
      <c r="T2235" s="1420"/>
      <c r="V2235" s="1357">
        <v>31</v>
      </c>
    </row>
    <row r="2236" spans="1:22" s="841" customFormat="1" ht="15" x14ac:dyDescent="0.25">
      <c r="A2236" s="841" t="s">
        <v>2457</v>
      </c>
      <c r="B2236" s="841" t="s">
        <v>3562</v>
      </c>
      <c r="E2236" s="1690" t="s">
        <v>84</v>
      </c>
      <c r="F2236" s="1690"/>
      <c r="G2236" s="1408" t="s">
        <v>33</v>
      </c>
      <c r="H2236" s="393">
        <v>30.502800000000001</v>
      </c>
      <c r="K2236" s="841" t="s">
        <v>3571</v>
      </c>
      <c r="L2236" s="841" t="s">
        <v>442</v>
      </c>
      <c r="M2236" s="1357"/>
      <c r="P2236" s="841" t="s">
        <v>3574</v>
      </c>
      <c r="Q2236" s="1357"/>
      <c r="S2236" s="1420"/>
      <c r="T2236" s="1420"/>
      <c r="V2236" s="1357">
        <v>28</v>
      </c>
    </row>
    <row r="2237" spans="1:22" s="841" customFormat="1" ht="15" x14ac:dyDescent="0.25">
      <c r="A2237" s="841" t="s">
        <v>2457</v>
      </c>
      <c r="B2237" s="841" t="s">
        <v>3562</v>
      </c>
      <c r="E2237" s="1690" t="s">
        <v>18</v>
      </c>
      <c r="F2237" s="1690"/>
      <c r="G2237" s="1408" t="s">
        <v>33</v>
      </c>
      <c r="H2237" s="393">
        <v>0.71919999999999995</v>
      </c>
      <c r="K2237" s="841" t="s">
        <v>3571</v>
      </c>
      <c r="L2237" s="841" t="s">
        <v>443</v>
      </c>
      <c r="M2237" s="1357"/>
      <c r="P2237" s="841" t="s">
        <v>3575</v>
      </c>
      <c r="Q2237" s="1357"/>
      <c r="S2237" s="1420"/>
      <c r="T2237" s="1420"/>
      <c r="V2237" s="1357">
        <v>24</v>
      </c>
    </row>
    <row r="2238" spans="1:22" s="841" customFormat="1" ht="15" x14ac:dyDescent="0.25">
      <c r="A2238" s="841" t="s">
        <v>2457</v>
      </c>
      <c r="B2238" s="841" t="s">
        <v>3562</v>
      </c>
      <c r="E2238" s="1690" t="s">
        <v>5122</v>
      </c>
      <c r="F2238" s="1908"/>
      <c r="G2238" s="1408" t="s">
        <v>24</v>
      </c>
      <c r="H2238" s="393">
        <v>1.4200000000000001E-2</v>
      </c>
      <c r="K2238" s="841" t="s">
        <v>3571</v>
      </c>
      <c r="L2238" s="841" t="s">
        <v>443</v>
      </c>
      <c r="M2238" s="1357"/>
      <c r="P2238" s="841" t="s">
        <v>3717</v>
      </c>
      <c r="Q2238" s="1357"/>
      <c r="S2238" s="1420"/>
      <c r="T2238" s="1420">
        <v>43585</v>
      </c>
      <c r="V2238" s="1357">
        <v>139</v>
      </c>
    </row>
    <row r="2239" spans="1:22" s="841" customFormat="1" ht="15" x14ac:dyDescent="0.25">
      <c r="A2239" s="841" t="s">
        <v>2457</v>
      </c>
      <c r="B2239" s="841" t="s">
        <v>3562</v>
      </c>
      <c r="E2239" s="1690" t="s">
        <v>5123</v>
      </c>
      <c r="F2239" s="1908"/>
      <c r="G2239" s="1408" t="s">
        <v>33</v>
      </c>
      <c r="H2239" s="393">
        <v>-2.0787</v>
      </c>
      <c r="K2239" s="841" t="s">
        <v>3571</v>
      </c>
      <c r="L2239" s="841" t="s">
        <v>443</v>
      </c>
      <c r="M2239" s="1357"/>
      <c r="P2239" s="841" t="s">
        <v>3718</v>
      </c>
      <c r="Q2239" s="1357"/>
      <c r="S2239" s="1420"/>
      <c r="T2239" s="1420">
        <v>43585</v>
      </c>
      <c r="V2239" s="1357">
        <v>96</v>
      </c>
    </row>
    <row r="2240" spans="1:22" s="841" customFormat="1" ht="15" x14ac:dyDescent="0.25">
      <c r="A2240" s="841" t="s">
        <v>2457</v>
      </c>
      <c r="B2240" s="841" t="s">
        <v>3562</v>
      </c>
      <c r="E2240" s="1690" t="s">
        <v>221</v>
      </c>
      <c r="F2240" s="1690"/>
      <c r="G2240" s="1408" t="s">
        <v>33</v>
      </c>
      <c r="H2240" s="393">
        <v>1.6411</v>
      </c>
      <c r="K2240" s="841" t="s">
        <v>3571</v>
      </c>
      <c r="L2240" s="841" t="s">
        <v>444</v>
      </c>
      <c r="M2240" s="1357"/>
      <c r="P2240" s="841" t="s">
        <v>3576</v>
      </c>
      <c r="Q2240" s="1357"/>
      <c r="S2240" s="1420"/>
      <c r="T2240" s="1420"/>
      <c r="V2240" s="1357">
        <v>47</v>
      </c>
    </row>
    <row r="2241" spans="1:22" s="841" customFormat="1" ht="15" x14ac:dyDescent="0.25">
      <c r="A2241" s="841" t="s">
        <v>2457</v>
      </c>
      <c r="B2241" s="841" t="s">
        <v>3562</v>
      </c>
      <c r="E2241" s="1690" t="s">
        <v>217</v>
      </c>
      <c r="F2241" s="1690"/>
      <c r="G2241" s="1408" t="s">
        <v>33</v>
      </c>
      <c r="H2241" s="393">
        <v>0.95440000000000003</v>
      </c>
      <c r="K2241" s="841" t="s">
        <v>3571</v>
      </c>
      <c r="L2241" s="841" t="s">
        <v>444</v>
      </c>
      <c r="M2241" s="1357"/>
      <c r="P2241" s="841" t="s">
        <v>3577</v>
      </c>
      <c r="Q2241" s="1357"/>
      <c r="S2241" s="1420"/>
      <c r="T2241" s="1420"/>
      <c r="V2241" s="1357">
        <v>74</v>
      </c>
    </row>
    <row r="2242" spans="1:22" s="841" customFormat="1" ht="15" x14ac:dyDescent="0.25">
      <c r="A2242" s="841" t="s">
        <v>2457</v>
      </c>
      <c r="B2242" s="841" t="s">
        <v>3562</v>
      </c>
      <c r="E2242" s="1694" t="s">
        <v>3079</v>
      </c>
      <c r="F2242" s="1690"/>
      <c r="G2242" s="1408"/>
      <c r="H2242" s="1408"/>
      <c r="K2242" s="841" t="s">
        <v>3111</v>
      </c>
      <c r="M2242" s="1357"/>
      <c r="Q2242" s="1357"/>
      <c r="S2242" s="1420"/>
      <c r="T2242" s="1420"/>
      <c r="V2242" s="1357">
        <v>48</v>
      </c>
    </row>
    <row r="2243" spans="1:22" s="841" customFormat="1" ht="15" x14ac:dyDescent="0.25">
      <c r="A2243" s="841" t="s">
        <v>2457</v>
      </c>
      <c r="B2243" s="841" t="s">
        <v>3562</v>
      </c>
      <c r="E2243" s="1690" t="s">
        <v>2449</v>
      </c>
      <c r="F2243" s="1690"/>
      <c r="G2243" s="1408" t="s">
        <v>24</v>
      </c>
      <c r="H2243" s="393">
        <v>3.2000000000000002E-3</v>
      </c>
      <c r="K2243" s="841" t="s">
        <v>3571</v>
      </c>
      <c r="L2243" s="841" t="s">
        <v>3046</v>
      </c>
      <c r="M2243" s="1357"/>
      <c r="P2243" s="841" t="s">
        <v>3578</v>
      </c>
      <c r="Q2243" s="1357"/>
      <c r="S2243" s="1420"/>
      <c r="T2243" s="1420"/>
      <c r="V2243" s="1357">
        <v>55</v>
      </c>
    </row>
    <row r="2244" spans="1:22" s="841" customFormat="1" ht="15" x14ac:dyDescent="0.25">
      <c r="A2244" s="841" t="s">
        <v>2457</v>
      </c>
      <c r="B2244" s="841" t="s">
        <v>3562</v>
      </c>
      <c r="E2244" s="1690" t="s">
        <v>2450</v>
      </c>
      <c r="F2244" s="1690"/>
      <c r="G2244" s="1408" t="s">
        <v>24</v>
      </c>
      <c r="H2244" s="393">
        <v>4.0000000000000002E-4</v>
      </c>
      <c r="K2244" s="841" t="s">
        <v>3571</v>
      </c>
      <c r="L2244" s="841" t="s">
        <v>3046</v>
      </c>
      <c r="M2244" s="1357"/>
      <c r="P2244" s="841" t="s">
        <v>3578</v>
      </c>
      <c r="Q2244" s="1357"/>
      <c r="S2244" s="1420"/>
      <c r="T2244" s="1420"/>
      <c r="V2244" s="1357">
        <v>65</v>
      </c>
    </row>
    <row r="2245" spans="1:22" s="841" customFormat="1" ht="15" x14ac:dyDescent="0.25">
      <c r="A2245" s="841" t="s">
        <v>2457</v>
      </c>
      <c r="B2245" s="841" t="s">
        <v>3562</v>
      </c>
      <c r="E2245" s="1690" t="s">
        <v>439</v>
      </c>
      <c r="F2245" s="1690"/>
      <c r="G2245" s="1408" t="s">
        <v>24</v>
      </c>
      <c r="H2245" s="393">
        <v>2.9999999999999997E-4</v>
      </c>
      <c r="K2245" s="841" t="s">
        <v>3571</v>
      </c>
      <c r="L2245" s="841" t="s">
        <v>3046</v>
      </c>
      <c r="M2245" s="1357"/>
      <c r="P2245" s="841" t="s">
        <v>3579</v>
      </c>
      <c r="Q2245" s="1357"/>
      <c r="S2245" s="1420"/>
      <c r="T2245" s="1420"/>
      <c r="V2245" s="1357">
        <v>57</v>
      </c>
    </row>
    <row r="2246" spans="1:22" s="841" customFormat="1" ht="15" x14ac:dyDescent="0.25">
      <c r="A2246" s="841" t="s">
        <v>2457</v>
      </c>
      <c r="B2246" s="841" t="s">
        <v>3562</v>
      </c>
      <c r="E2246" s="1690" t="s">
        <v>32</v>
      </c>
      <c r="F2246" s="1690"/>
      <c r="G2246" s="1408" t="s">
        <v>23</v>
      </c>
      <c r="H2246" s="391">
        <v>0.25</v>
      </c>
      <c r="K2246" s="841" t="s">
        <v>3571</v>
      </c>
      <c r="L2246" s="841" t="s">
        <v>3046</v>
      </c>
      <c r="M2246" s="1357"/>
      <c r="P2246" s="841" t="s">
        <v>3580</v>
      </c>
      <c r="Q2246" s="1357"/>
      <c r="S2246" s="1420"/>
      <c r="T2246" s="1420"/>
      <c r="V2246" s="1357">
        <v>63</v>
      </c>
    </row>
    <row r="2247" spans="1:22" s="841" customFormat="1" x14ac:dyDescent="0.25">
      <c r="A2247" s="841" t="s">
        <v>2457</v>
      </c>
      <c r="B2247" s="841" t="s">
        <v>3562</v>
      </c>
      <c r="E2247" s="1909" t="s">
        <v>615</v>
      </c>
      <c r="F2247" s="1915"/>
      <c r="G2247" s="1915"/>
      <c r="H2247" s="1915"/>
      <c r="K2247" s="841" t="s">
        <v>3112</v>
      </c>
      <c r="M2247" s="1357"/>
      <c r="Q2247" s="1357"/>
      <c r="S2247" s="1420"/>
      <c r="T2247" s="1420"/>
      <c r="V2247" s="1357">
        <v>38</v>
      </c>
    </row>
    <row r="2248" spans="1:22" s="841" customFormat="1" ht="15" x14ac:dyDescent="0.25">
      <c r="A2248" s="841" t="s">
        <v>2457</v>
      </c>
      <c r="B2248" s="841" t="s">
        <v>3562</v>
      </c>
      <c r="E2248" s="1689" t="s">
        <v>3581</v>
      </c>
      <c r="F2248" s="1689"/>
      <c r="G2248" s="1689"/>
      <c r="H2248" s="1689"/>
      <c r="K2248" s="841" t="s">
        <v>3112</v>
      </c>
      <c r="M2248" s="1357"/>
      <c r="Q2248" s="1357"/>
      <c r="S2248" s="1420"/>
      <c r="T2248" s="1420"/>
      <c r="V2248" s="1357">
        <v>543</v>
      </c>
    </row>
    <row r="2249" spans="1:22" s="841" customFormat="1" ht="15" x14ac:dyDescent="0.25">
      <c r="A2249" s="841" t="s">
        <v>2457</v>
      </c>
      <c r="B2249" s="841" t="s">
        <v>3562</v>
      </c>
      <c r="E2249" s="1916" t="s">
        <v>3061</v>
      </c>
      <c r="F2249" s="1697"/>
      <c r="G2249" s="1697"/>
      <c r="H2249" s="1697"/>
      <c r="K2249" s="841" t="s">
        <v>3114</v>
      </c>
      <c r="M2249" s="1357"/>
      <c r="Q2249" s="1357"/>
      <c r="S2249" s="1420"/>
      <c r="T2249" s="1420"/>
      <c r="V2249" s="1357">
        <v>11</v>
      </c>
    </row>
    <row r="2250" spans="1:22" s="841" customFormat="1" ht="15" x14ac:dyDescent="0.25">
      <c r="A2250" s="841" t="s">
        <v>2457</v>
      </c>
      <c r="B2250" s="841" t="s">
        <v>3562</v>
      </c>
      <c r="E2250" s="1689" t="s">
        <v>3063</v>
      </c>
      <c r="F2250" s="1689"/>
      <c r="G2250" s="1689"/>
      <c r="H2250" s="1689"/>
      <c r="K2250" s="841" t="s">
        <v>3112</v>
      </c>
      <c r="M2250" s="1357"/>
      <c r="Q2250" s="1357"/>
      <c r="S2250" s="1420"/>
      <c r="T2250" s="1420"/>
      <c r="V2250" s="1357">
        <v>280</v>
      </c>
    </row>
    <row r="2251" spans="1:22" s="841" customFormat="1" ht="15" x14ac:dyDescent="0.25">
      <c r="A2251" s="841" t="s">
        <v>2457</v>
      </c>
      <c r="B2251" s="841" t="s">
        <v>3562</v>
      </c>
      <c r="E2251" s="1689" t="s">
        <v>3064</v>
      </c>
      <c r="F2251" s="1689"/>
      <c r="G2251" s="1689"/>
      <c r="H2251" s="1689"/>
      <c r="K2251" s="841" t="s">
        <v>3112</v>
      </c>
      <c r="M2251" s="1357"/>
      <c r="Q2251" s="1357"/>
      <c r="S2251" s="1420"/>
      <c r="T2251" s="1420"/>
      <c r="V2251" s="1357">
        <v>411</v>
      </c>
    </row>
    <row r="2252" spans="1:22" s="841" customFormat="1" ht="15" x14ac:dyDescent="0.25">
      <c r="A2252" s="841" t="s">
        <v>2457</v>
      </c>
      <c r="B2252" s="841" t="s">
        <v>3562</v>
      </c>
      <c r="E2252" s="1689" t="s">
        <v>3565</v>
      </c>
      <c r="F2252" s="1689"/>
      <c r="G2252" s="1689"/>
      <c r="H2252" s="1689"/>
      <c r="K2252" s="841" t="s">
        <v>3112</v>
      </c>
      <c r="M2252" s="1357"/>
      <c r="Q2252" s="1357"/>
      <c r="S2252" s="1420"/>
      <c r="T2252" s="1420"/>
      <c r="V2252" s="1357">
        <v>388</v>
      </c>
    </row>
    <row r="2253" spans="1:22" s="841" customFormat="1" ht="15" x14ac:dyDescent="0.25">
      <c r="A2253" s="841" t="s">
        <v>2457</v>
      </c>
      <c r="B2253" s="841" t="s">
        <v>3562</v>
      </c>
      <c r="E2253" s="1689" t="s">
        <v>3200</v>
      </c>
      <c r="F2253" s="1689"/>
      <c r="G2253" s="1689"/>
      <c r="H2253" s="1689"/>
      <c r="K2253" s="841" t="s">
        <v>3112</v>
      </c>
      <c r="M2253" s="1357"/>
      <c r="Q2253" s="1357"/>
      <c r="S2253" s="1420"/>
      <c r="T2253" s="1420"/>
      <c r="V2253" s="1357">
        <v>275</v>
      </c>
    </row>
    <row r="2254" spans="1:22" s="841" customFormat="1" ht="15" x14ac:dyDescent="0.25">
      <c r="A2254" s="841" t="s">
        <v>2457</v>
      </c>
      <c r="B2254" s="841" t="s">
        <v>3562</v>
      </c>
      <c r="E2254" s="1694" t="s">
        <v>3067</v>
      </c>
      <c r="F2254" s="1907"/>
      <c r="G2254" s="1907"/>
      <c r="H2254" s="1907"/>
      <c r="K2254" s="841" t="s">
        <v>3115</v>
      </c>
      <c r="M2254" s="1357"/>
      <c r="Q2254" s="1357"/>
      <c r="S2254" s="1420"/>
      <c r="T2254" s="1420"/>
      <c r="V2254" s="1357">
        <v>46</v>
      </c>
    </row>
    <row r="2255" spans="1:22" s="841" customFormat="1" ht="15" x14ac:dyDescent="0.25">
      <c r="A2255" s="841" t="s">
        <v>2457</v>
      </c>
      <c r="B2255" s="841" t="s">
        <v>3562</v>
      </c>
      <c r="E2255" s="1690" t="s">
        <v>12</v>
      </c>
      <c r="F2255" s="1690"/>
      <c r="G2255" s="1408" t="s">
        <v>23</v>
      </c>
      <c r="H2255" s="391">
        <v>1.53</v>
      </c>
      <c r="K2255" s="841" t="s">
        <v>3112</v>
      </c>
      <c r="L2255" s="841" t="s">
        <v>442</v>
      </c>
      <c r="M2255" s="1357"/>
      <c r="P2255" s="841" t="s">
        <v>3116</v>
      </c>
      <c r="Q2255" s="1357"/>
      <c r="S2255" s="1420"/>
      <c r="T2255" s="1420"/>
      <c r="V2255" s="1357">
        <v>31</v>
      </c>
    </row>
    <row r="2256" spans="1:22" s="841" customFormat="1" ht="15" x14ac:dyDescent="0.25">
      <c r="A2256" s="841" t="s">
        <v>2457</v>
      </c>
      <c r="B2256" s="841" t="s">
        <v>3562</v>
      </c>
      <c r="E2256" s="1690" t="s">
        <v>84</v>
      </c>
      <c r="F2256" s="1690"/>
      <c r="G2256" s="1408" t="s">
        <v>33</v>
      </c>
      <c r="H2256" s="393">
        <v>44.8917</v>
      </c>
      <c r="K2256" s="841" t="s">
        <v>3112</v>
      </c>
      <c r="L2256" s="841" t="s">
        <v>442</v>
      </c>
      <c r="M2256" s="1357"/>
      <c r="P2256" s="841" t="s">
        <v>3117</v>
      </c>
      <c r="Q2256" s="1357"/>
      <c r="S2256" s="1420"/>
      <c r="T2256" s="1420"/>
      <c r="V2256" s="1357">
        <v>28</v>
      </c>
    </row>
    <row r="2257" spans="1:22" s="841" customFormat="1" ht="15" x14ac:dyDescent="0.25">
      <c r="A2257" s="841" t="s">
        <v>2457</v>
      </c>
      <c r="B2257" s="841" t="s">
        <v>3562</v>
      </c>
      <c r="E2257" s="1690" t="s">
        <v>18</v>
      </c>
      <c r="F2257" s="1690"/>
      <c r="G2257" s="1408" t="s">
        <v>33</v>
      </c>
      <c r="H2257" s="393">
        <v>0.84060000000000001</v>
      </c>
      <c r="K2257" s="841" t="s">
        <v>3112</v>
      </c>
      <c r="L2257" s="841" t="s">
        <v>443</v>
      </c>
      <c r="M2257" s="1357"/>
      <c r="P2257" s="841" t="s">
        <v>3497</v>
      </c>
      <c r="Q2257" s="1357"/>
      <c r="S2257" s="1420"/>
      <c r="T2257" s="1420"/>
      <c r="V2257" s="1357">
        <v>24</v>
      </c>
    </row>
    <row r="2258" spans="1:22" s="841" customFormat="1" ht="15" x14ac:dyDescent="0.25">
      <c r="A2258" s="841" t="s">
        <v>2457</v>
      </c>
      <c r="B2258" s="841" t="s">
        <v>3562</v>
      </c>
      <c r="E2258" s="1690" t="s">
        <v>5122</v>
      </c>
      <c r="F2258" s="1908"/>
      <c r="G2258" s="1408" t="s">
        <v>24</v>
      </c>
      <c r="H2258" s="393">
        <v>1.4200000000000001E-2</v>
      </c>
      <c r="K2258" s="841" t="s">
        <v>3112</v>
      </c>
      <c r="L2258" s="841" t="s">
        <v>443</v>
      </c>
      <c r="M2258" s="1357"/>
      <c r="P2258" s="841" t="s">
        <v>3119</v>
      </c>
      <c r="Q2258" s="1357"/>
      <c r="S2258" s="1420"/>
      <c r="T2258" s="1420">
        <v>43585</v>
      </c>
      <c r="V2258" s="1357">
        <v>139</v>
      </c>
    </row>
    <row r="2259" spans="1:22" s="841" customFormat="1" ht="15" x14ac:dyDescent="0.25">
      <c r="A2259" s="841" t="s">
        <v>2457</v>
      </c>
      <c r="B2259" s="841" t="s">
        <v>3562</v>
      </c>
      <c r="E2259" s="1690" t="s">
        <v>5123</v>
      </c>
      <c r="F2259" s="1908"/>
      <c r="G2259" s="1408" t="s">
        <v>33</v>
      </c>
      <c r="H2259" s="393">
        <v>-2.1185999999999998</v>
      </c>
      <c r="K2259" s="841" t="s">
        <v>3112</v>
      </c>
      <c r="L2259" s="841" t="s">
        <v>443</v>
      </c>
      <c r="M2259" s="1357"/>
      <c r="P2259" s="841" t="s">
        <v>3118</v>
      </c>
      <c r="Q2259" s="1357"/>
      <c r="S2259" s="1420"/>
      <c r="T2259" s="1420">
        <v>43585</v>
      </c>
      <c r="V2259" s="1357">
        <v>96</v>
      </c>
    </row>
    <row r="2260" spans="1:22" s="841" customFormat="1" ht="15" x14ac:dyDescent="0.25">
      <c r="A2260" s="841" t="s">
        <v>2457</v>
      </c>
      <c r="B2260" s="841" t="s">
        <v>3562</v>
      </c>
      <c r="E2260" s="1690" t="s">
        <v>221</v>
      </c>
      <c r="F2260" s="1690"/>
      <c r="G2260" s="1408" t="s">
        <v>33</v>
      </c>
      <c r="H2260" s="393">
        <v>1.6793</v>
      </c>
      <c r="K2260" s="841" t="s">
        <v>3112</v>
      </c>
      <c r="L2260" s="841" t="s">
        <v>444</v>
      </c>
      <c r="M2260" s="1357"/>
      <c r="P2260" s="841" t="s">
        <v>3120</v>
      </c>
      <c r="Q2260" s="1357"/>
      <c r="S2260" s="1420"/>
      <c r="T2260" s="1420"/>
      <c r="V2260" s="1357">
        <v>47</v>
      </c>
    </row>
    <row r="2261" spans="1:22" s="841" customFormat="1" ht="15" x14ac:dyDescent="0.25">
      <c r="A2261" s="841" t="s">
        <v>2457</v>
      </c>
      <c r="B2261" s="841" t="s">
        <v>3562</v>
      </c>
      <c r="E2261" s="1690" t="s">
        <v>217</v>
      </c>
      <c r="F2261" s="1690"/>
      <c r="G2261" s="1408" t="s">
        <v>33</v>
      </c>
      <c r="H2261" s="393">
        <v>0.91300000000000003</v>
      </c>
      <c r="K2261" s="841" t="s">
        <v>3112</v>
      </c>
      <c r="L2261" s="841" t="s">
        <v>444</v>
      </c>
      <c r="M2261" s="1357"/>
      <c r="P2261" s="841" t="s">
        <v>3121</v>
      </c>
      <c r="Q2261" s="1357"/>
      <c r="S2261" s="1420"/>
      <c r="T2261" s="1420"/>
      <c r="V2261" s="1357">
        <v>74</v>
      </c>
    </row>
    <row r="2262" spans="1:22" s="841" customFormat="1" ht="15" x14ac:dyDescent="0.25">
      <c r="A2262" s="841" t="s">
        <v>2457</v>
      </c>
      <c r="B2262" s="841" t="s">
        <v>3562</v>
      </c>
      <c r="E2262" s="1694" t="s">
        <v>3079</v>
      </c>
      <c r="F2262" s="1690"/>
      <c r="G2262" s="1408"/>
      <c r="H2262" s="1408"/>
      <c r="K2262" s="841" t="s">
        <v>3122</v>
      </c>
      <c r="M2262" s="1357"/>
      <c r="Q2262" s="1357"/>
      <c r="S2262" s="1420"/>
      <c r="T2262" s="1420"/>
      <c r="V2262" s="1357">
        <v>48</v>
      </c>
    </row>
    <row r="2263" spans="1:22" s="841" customFormat="1" ht="15" x14ac:dyDescent="0.25">
      <c r="A2263" s="841" t="s">
        <v>2457</v>
      </c>
      <c r="B2263" s="841" t="s">
        <v>3562</v>
      </c>
      <c r="E2263" s="1690" t="s">
        <v>2449</v>
      </c>
      <c r="F2263" s="1690"/>
      <c r="G2263" s="1408" t="s">
        <v>24</v>
      </c>
      <c r="H2263" s="393">
        <v>3.2000000000000002E-3</v>
      </c>
      <c r="K2263" s="841" t="s">
        <v>3112</v>
      </c>
      <c r="L2263" s="841" t="s">
        <v>3046</v>
      </c>
      <c r="M2263" s="1357"/>
      <c r="P2263" s="841" t="s">
        <v>3123</v>
      </c>
      <c r="Q2263" s="1357"/>
      <c r="S2263" s="1420"/>
      <c r="T2263" s="1420"/>
      <c r="V2263" s="1357">
        <v>55</v>
      </c>
    </row>
    <row r="2264" spans="1:22" s="841" customFormat="1" ht="15" x14ac:dyDescent="0.25">
      <c r="A2264" s="841" t="s">
        <v>2457</v>
      </c>
      <c r="B2264" s="841" t="s">
        <v>3562</v>
      </c>
      <c r="E2264" s="1690" t="s">
        <v>2450</v>
      </c>
      <c r="F2264" s="1690"/>
      <c r="G2264" s="1408" t="s">
        <v>24</v>
      </c>
      <c r="H2264" s="393">
        <v>4.0000000000000002E-4</v>
      </c>
      <c r="K2264" s="841" t="s">
        <v>3112</v>
      </c>
      <c r="L2264" s="841" t="s">
        <v>3046</v>
      </c>
      <c r="M2264" s="1357"/>
      <c r="P2264" s="841" t="s">
        <v>3123</v>
      </c>
      <c r="Q2264" s="1357"/>
      <c r="S2264" s="1420"/>
      <c r="T2264" s="1420"/>
      <c r="V2264" s="1357">
        <v>65</v>
      </c>
    </row>
    <row r="2265" spans="1:22" s="841" customFormat="1" ht="15" x14ac:dyDescent="0.25">
      <c r="A2265" s="841" t="s">
        <v>2457</v>
      </c>
      <c r="B2265" s="841" t="s">
        <v>3562</v>
      </c>
      <c r="E2265" s="1690" t="s">
        <v>439</v>
      </c>
      <c r="F2265" s="1690"/>
      <c r="G2265" s="1408" t="s">
        <v>24</v>
      </c>
      <c r="H2265" s="393">
        <v>2.9999999999999997E-4</v>
      </c>
      <c r="K2265" s="841" t="s">
        <v>3112</v>
      </c>
      <c r="L2265" s="841" t="s">
        <v>3046</v>
      </c>
      <c r="M2265" s="1357"/>
      <c r="P2265" s="841" t="s">
        <v>3124</v>
      </c>
      <c r="Q2265" s="1357"/>
      <c r="S2265" s="1420"/>
      <c r="T2265" s="1420"/>
      <c r="V2265" s="1357">
        <v>57</v>
      </c>
    </row>
    <row r="2266" spans="1:22" s="841" customFormat="1" ht="15" x14ac:dyDescent="0.25">
      <c r="A2266" s="841" t="s">
        <v>2457</v>
      </c>
      <c r="B2266" s="841" t="s">
        <v>3562</v>
      </c>
      <c r="E2266" s="1690" t="s">
        <v>32</v>
      </c>
      <c r="F2266" s="1690"/>
      <c r="G2266" s="1408" t="s">
        <v>23</v>
      </c>
      <c r="H2266" s="391">
        <v>0.25</v>
      </c>
      <c r="K2266" s="841" t="s">
        <v>3112</v>
      </c>
      <c r="L2266" s="841" t="s">
        <v>3046</v>
      </c>
      <c r="M2266" s="1357"/>
      <c r="P2266" s="841" t="s">
        <v>3125</v>
      </c>
      <c r="Q2266" s="1357"/>
      <c r="S2266" s="1420"/>
      <c r="T2266" s="1420"/>
      <c r="V2266" s="1357">
        <v>63</v>
      </c>
    </row>
    <row r="2267" spans="1:22" s="841" customFormat="1" x14ac:dyDescent="0.25">
      <c r="A2267" s="841" t="s">
        <v>2457</v>
      </c>
      <c r="B2267" s="841" t="s">
        <v>3562</v>
      </c>
      <c r="E2267" s="1909" t="s">
        <v>618</v>
      </c>
      <c r="F2267" s="1915"/>
      <c r="G2267" s="1915"/>
      <c r="H2267" s="1915"/>
      <c r="K2267" s="841" t="s">
        <v>3126</v>
      </c>
      <c r="M2267" s="1357"/>
      <c r="Q2267" s="1357"/>
      <c r="S2267" s="1420"/>
      <c r="T2267" s="1420"/>
      <c r="V2267" s="1357">
        <v>31</v>
      </c>
    </row>
    <row r="2268" spans="1:22" s="841" customFormat="1" ht="15" x14ac:dyDescent="0.25">
      <c r="A2268" s="841" t="s">
        <v>2457</v>
      </c>
      <c r="B2268" s="841" t="s">
        <v>3562</v>
      </c>
      <c r="E2268" s="1689" t="s">
        <v>3429</v>
      </c>
      <c r="F2268" s="1689"/>
      <c r="G2268" s="1689"/>
      <c r="H2268" s="1689"/>
      <c r="K2268" s="841" t="s">
        <v>3126</v>
      </c>
      <c r="M2268" s="1357"/>
      <c r="Q2268" s="1357"/>
      <c r="S2268" s="1420"/>
      <c r="T2268" s="1420"/>
      <c r="V2268" s="1357">
        <v>285</v>
      </c>
    </row>
    <row r="2269" spans="1:22" s="841" customFormat="1" ht="15" x14ac:dyDescent="0.25">
      <c r="A2269" s="841" t="s">
        <v>2457</v>
      </c>
      <c r="B2269" s="841" t="s">
        <v>3562</v>
      </c>
      <c r="E2269" s="1916" t="s">
        <v>3061</v>
      </c>
      <c r="F2269" s="1697"/>
      <c r="G2269" s="1697"/>
      <c r="H2269" s="1697"/>
      <c r="K2269" s="841" t="s">
        <v>3128</v>
      </c>
      <c r="M2269" s="1357"/>
      <c r="Q2269" s="1357"/>
      <c r="S2269" s="1420"/>
      <c r="T2269" s="1420"/>
      <c r="V2269" s="1357">
        <v>11</v>
      </c>
    </row>
    <row r="2270" spans="1:22" s="841" customFormat="1" ht="15" x14ac:dyDescent="0.25">
      <c r="A2270" s="841" t="s">
        <v>2457</v>
      </c>
      <c r="B2270" s="841" t="s">
        <v>3562</v>
      </c>
      <c r="E2270" s="1689" t="s">
        <v>3063</v>
      </c>
      <c r="F2270" s="1689"/>
      <c r="G2270" s="1689"/>
      <c r="H2270" s="1689"/>
      <c r="K2270" s="841" t="s">
        <v>3126</v>
      </c>
      <c r="M2270" s="1357"/>
      <c r="Q2270" s="1357"/>
      <c r="S2270" s="1420"/>
      <c r="T2270" s="1420"/>
      <c r="V2270" s="1357">
        <v>280</v>
      </c>
    </row>
    <row r="2271" spans="1:22" s="841" customFormat="1" ht="15" x14ac:dyDescent="0.25">
      <c r="A2271" s="841" t="s">
        <v>2457</v>
      </c>
      <c r="B2271" s="841" t="s">
        <v>3562</v>
      </c>
      <c r="E2271" s="1689" t="s">
        <v>3064</v>
      </c>
      <c r="F2271" s="1689"/>
      <c r="G2271" s="1689"/>
      <c r="H2271" s="1689"/>
      <c r="K2271" s="841" t="s">
        <v>3126</v>
      </c>
      <c r="M2271" s="1357"/>
      <c r="Q2271" s="1357"/>
      <c r="S2271" s="1420"/>
      <c r="T2271" s="1420"/>
      <c r="V2271" s="1357">
        <v>411</v>
      </c>
    </row>
    <row r="2272" spans="1:22" s="841" customFormat="1" ht="15" x14ac:dyDescent="0.25">
      <c r="A2272" s="841" t="s">
        <v>2457</v>
      </c>
      <c r="B2272" s="841" t="s">
        <v>3562</v>
      </c>
      <c r="E2272" s="1689" t="s">
        <v>3582</v>
      </c>
      <c r="F2272" s="1689"/>
      <c r="G2272" s="1689"/>
      <c r="H2272" s="1689"/>
      <c r="K2272" s="841" t="s">
        <v>3126</v>
      </c>
      <c r="M2272" s="1357"/>
      <c r="Q2272" s="1357"/>
      <c r="S2272" s="1420"/>
      <c r="T2272" s="1420"/>
      <c r="V2272" s="1357">
        <v>212</v>
      </c>
    </row>
    <row r="2273" spans="1:22" s="841" customFormat="1" ht="15" x14ac:dyDescent="0.25">
      <c r="A2273" s="841" t="s">
        <v>2457</v>
      </c>
      <c r="B2273" s="841" t="s">
        <v>3562</v>
      </c>
      <c r="E2273" s="1689" t="s">
        <v>3200</v>
      </c>
      <c r="F2273" s="1689"/>
      <c r="G2273" s="1689"/>
      <c r="H2273" s="1689"/>
      <c r="K2273" s="841" t="s">
        <v>3126</v>
      </c>
      <c r="M2273" s="1357"/>
      <c r="Q2273" s="1357"/>
      <c r="S2273" s="1420"/>
      <c r="T2273" s="1420"/>
      <c r="V2273" s="1357">
        <v>275</v>
      </c>
    </row>
    <row r="2274" spans="1:22" s="841" customFormat="1" ht="15" x14ac:dyDescent="0.25">
      <c r="A2274" s="841" t="s">
        <v>2457</v>
      </c>
      <c r="B2274" s="841" t="s">
        <v>3562</v>
      </c>
      <c r="E2274" s="1694" t="s">
        <v>3067</v>
      </c>
      <c r="F2274" s="1907"/>
      <c r="G2274" s="1907"/>
      <c r="H2274" s="1907"/>
      <c r="K2274" s="841" t="s">
        <v>3130</v>
      </c>
      <c r="M2274" s="1357"/>
      <c r="Q2274" s="1357"/>
      <c r="S2274" s="1420"/>
      <c r="T2274" s="1420"/>
      <c r="V2274" s="1357">
        <v>46</v>
      </c>
    </row>
    <row r="2275" spans="1:22" s="841" customFormat="1" ht="15" x14ac:dyDescent="0.25">
      <c r="A2275" s="841" t="s">
        <v>2457</v>
      </c>
      <c r="B2275" s="841" t="s">
        <v>3562</v>
      </c>
      <c r="E2275" s="1690" t="s">
        <v>11</v>
      </c>
      <c r="F2275" s="1690"/>
      <c r="G2275" s="1408" t="s">
        <v>23</v>
      </c>
      <c r="H2275" s="391">
        <v>5.4</v>
      </c>
      <c r="K2275" s="841" t="s">
        <v>3126</v>
      </c>
      <c r="L2275" s="841" t="s">
        <v>442</v>
      </c>
      <c r="M2275" s="1357"/>
      <c r="P2275" s="841" t="s">
        <v>3131</v>
      </c>
      <c r="Q2275" s="1357"/>
      <c r="S2275" s="1420"/>
      <c r="T2275" s="1420"/>
      <c r="V2275" s="1357">
        <v>14</v>
      </c>
    </row>
    <row r="2276" spans="1:22" s="841" customFormat="1" ht="18.75" x14ac:dyDescent="0.3">
      <c r="A2276" s="841" t="s">
        <v>2457</v>
      </c>
      <c r="B2276" s="841" t="s">
        <v>3562</v>
      </c>
      <c r="E2276" s="1374" t="s">
        <v>85</v>
      </c>
      <c r="F2276" s="657"/>
      <c r="G2276" s="657"/>
      <c r="H2276" s="658"/>
      <c r="K2276" s="841" t="s">
        <v>3583</v>
      </c>
      <c r="M2276" s="1357"/>
      <c r="Q2276" s="1357"/>
      <c r="S2276" s="1420"/>
      <c r="T2276" s="1420"/>
      <c r="V2276" s="1357">
        <v>10</v>
      </c>
    </row>
    <row r="2277" spans="1:22" s="841" customFormat="1" ht="15" x14ac:dyDescent="0.25">
      <c r="A2277" s="841" t="s">
        <v>2457</v>
      </c>
      <c r="B2277" s="841" t="s">
        <v>3562</v>
      </c>
      <c r="E2277" s="1690" t="s">
        <v>3133</v>
      </c>
      <c r="F2277" s="1690"/>
      <c r="G2277" s="1408" t="s">
        <v>33</v>
      </c>
      <c r="H2277" s="681">
        <v>-0.6</v>
      </c>
      <c r="M2277" s="1357"/>
      <c r="Q2277" s="1357"/>
      <c r="S2277" s="1420"/>
      <c r="T2277" s="1420"/>
      <c r="V2277" s="1357">
        <v>68</v>
      </c>
    </row>
    <row r="2278" spans="1:22" s="841" customFormat="1" ht="15" x14ac:dyDescent="0.25">
      <c r="A2278" s="841" t="s">
        <v>2457</v>
      </c>
      <c r="B2278" s="841" t="s">
        <v>3562</v>
      </c>
      <c r="E2278" s="1690" t="s">
        <v>3134</v>
      </c>
      <c r="F2278" s="1690"/>
      <c r="G2278" s="1408" t="s">
        <v>86</v>
      </c>
      <c r="H2278" s="391">
        <v>-1</v>
      </c>
      <c r="M2278" s="1357"/>
      <c r="Q2278" s="1357"/>
      <c r="S2278" s="1420"/>
      <c r="T2278" s="1420"/>
      <c r="V2278" s="1357">
        <v>87</v>
      </c>
    </row>
    <row r="2279" spans="1:22" s="841" customFormat="1" ht="36.75" x14ac:dyDescent="0.3">
      <c r="A2279" s="841" t="s">
        <v>2457</v>
      </c>
      <c r="B2279" s="841" t="s">
        <v>3562</v>
      </c>
      <c r="E2279" s="1374" t="s">
        <v>87</v>
      </c>
      <c r="F2279" s="657"/>
      <c r="G2279" s="657"/>
      <c r="H2279" s="658"/>
      <c r="K2279" s="841" t="s">
        <v>3584</v>
      </c>
      <c r="M2279" s="1357"/>
      <c r="Q2279" s="1357"/>
      <c r="S2279" s="1420"/>
      <c r="T2279" s="1420"/>
      <c r="V2279" s="1357">
        <v>24</v>
      </c>
    </row>
    <row r="2280" spans="1:22" s="841" customFormat="1" ht="15" x14ac:dyDescent="0.25">
      <c r="A2280" s="841" t="s">
        <v>2457</v>
      </c>
      <c r="B2280" s="841" t="s">
        <v>3562</v>
      </c>
      <c r="E2280" s="1689" t="s">
        <v>3063</v>
      </c>
      <c r="F2280" s="1689"/>
      <c r="G2280" s="1689"/>
      <c r="H2280" s="1689"/>
      <c r="M2280" s="1357"/>
      <c r="Q2280" s="1357"/>
      <c r="S2280" s="1420"/>
      <c r="T2280" s="1420"/>
      <c r="V2280" s="1357">
        <v>280</v>
      </c>
    </row>
    <row r="2281" spans="1:22" s="841" customFormat="1" ht="15" x14ac:dyDescent="0.25">
      <c r="A2281" s="841" t="s">
        <v>2457</v>
      </c>
      <c r="B2281" s="841" t="s">
        <v>3562</v>
      </c>
      <c r="E2281" s="1689" t="s">
        <v>3136</v>
      </c>
      <c r="F2281" s="1689"/>
      <c r="G2281" s="1689"/>
      <c r="H2281" s="1689"/>
      <c r="M2281" s="1357"/>
      <c r="Q2281" s="1357"/>
      <c r="S2281" s="1420"/>
      <c r="T2281" s="1420"/>
      <c r="V2281" s="1357">
        <v>353</v>
      </c>
    </row>
    <row r="2282" spans="1:22" s="841" customFormat="1" ht="15" x14ac:dyDescent="0.25">
      <c r="A2282" s="841" t="s">
        <v>2457</v>
      </c>
      <c r="B2282" s="841" t="s">
        <v>3562</v>
      </c>
      <c r="E2282" s="1689" t="s">
        <v>3200</v>
      </c>
      <c r="F2282" s="1689"/>
      <c r="G2282" s="1689"/>
      <c r="H2282" s="1689"/>
      <c r="M2282" s="1357"/>
      <c r="Q2282" s="1357"/>
      <c r="S2282" s="1420"/>
      <c r="T2282" s="1420"/>
      <c r="V2282" s="1357">
        <v>275</v>
      </c>
    </row>
    <row r="2283" spans="1:22" s="841" customFormat="1" ht="15" x14ac:dyDescent="0.25">
      <c r="A2283" s="841" t="s">
        <v>2457</v>
      </c>
      <c r="B2283" s="841" t="s">
        <v>3562</v>
      </c>
      <c r="E2283" s="1370" t="s">
        <v>3137</v>
      </c>
      <c r="F2283" s="3"/>
      <c r="G2283" s="3"/>
      <c r="H2283" s="398"/>
      <c r="K2283" s="841" t="s">
        <v>3585</v>
      </c>
      <c r="M2283" s="1357"/>
      <c r="Q2283" s="1357"/>
      <c r="S2283" s="1420"/>
      <c r="T2283" s="1420"/>
      <c r="V2283" s="1357">
        <v>23</v>
      </c>
    </row>
    <row r="2284" spans="1:22" s="841" customFormat="1" ht="15" x14ac:dyDescent="0.25">
      <c r="A2284" s="841" t="s">
        <v>2457</v>
      </c>
      <c r="B2284" s="841" t="s">
        <v>3562</v>
      </c>
      <c r="E2284" s="1688" t="s">
        <v>3355</v>
      </c>
      <c r="F2284" s="1688"/>
      <c r="G2284" s="1408" t="s">
        <v>23</v>
      </c>
      <c r="H2284" s="391">
        <v>15</v>
      </c>
      <c r="M2284" s="1357"/>
      <c r="Q2284" s="1357"/>
      <c r="S2284" s="1420"/>
      <c r="T2284" s="1420"/>
      <c r="V2284" s="1357">
        <v>19</v>
      </c>
    </row>
    <row r="2285" spans="1:22" s="841" customFormat="1" ht="15" x14ac:dyDescent="0.25">
      <c r="A2285" s="841" t="s">
        <v>2457</v>
      </c>
      <c r="B2285" s="841" t="s">
        <v>3562</v>
      </c>
      <c r="E2285" s="1688" t="s">
        <v>3140</v>
      </c>
      <c r="F2285" s="1688"/>
      <c r="G2285" s="1408" t="s">
        <v>23</v>
      </c>
      <c r="H2285" s="391">
        <v>15</v>
      </c>
      <c r="M2285" s="1357"/>
      <c r="Q2285" s="1357"/>
      <c r="S2285" s="1420"/>
      <c r="T2285" s="1420"/>
      <c r="V2285" s="1357">
        <v>20</v>
      </c>
    </row>
    <row r="2286" spans="1:22" s="841" customFormat="1" ht="15" x14ac:dyDescent="0.25">
      <c r="A2286" s="841" t="s">
        <v>2457</v>
      </c>
      <c r="B2286" s="841" t="s">
        <v>3562</v>
      </c>
      <c r="E2286" s="1688" t="s">
        <v>3141</v>
      </c>
      <c r="F2286" s="1688"/>
      <c r="G2286" s="1408" t="s">
        <v>23</v>
      </c>
      <c r="H2286" s="391">
        <v>15</v>
      </c>
      <c r="M2286" s="1357"/>
      <c r="Q2286" s="1357"/>
      <c r="S2286" s="1420"/>
      <c r="T2286" s="1420"/>
      <c r="V2286" s="1357">
        <v>26</v>
      </c>
    </row>
    <row r="2287" spans="1:22" s="841" customFormat="1" ht="15" x14ac:dyDescent="0.25">
      <c r="A2287" s="841" t="s">
        <v>2457</v>
      </c>
      <c r="B2287" s="841" t="s">
        <v>3562</v>
      </c>
      <c r="E2287" s="1688" t="s">
        <v>3142</v>
      </c>
      <c r="F2287" s="1688"/>
      <c r="G2287" s="1408" t="s">
        <v>23</v>
      </c>
      <c r="H2287" s="391">
        <v>15</v>
      </c>
      <c r="M2287" s="1357"/>
      <c r="Q2287" s="1357"/>
      <c r="S2287" s="1420"/>
      <c r="T2287" s="1420"/>
      <c r="V2287" s="1357">
        <v>39</v>
      </c>
    </row>
    <row r="2288" spans="1:22" s="841" customFormat="1" ht="15" x14ac:dyDescent="0.25">
      <c r="A2288" s="841" t="s">
        <v>2457</v>
      </c>
      <c r="B2288" s="841" t="s">
        <v>3562</v>
      </c>
      <c r="E2288" s="1688" t="s">
        <v>3143</v>
      </c>
      <c r="F2288" s="1688"/>
      <c r="G2288" s="1408" t="s">
        <v>23</v>
      </c>
      <c r="H2288" s="391">
        <v>15</v>
      </c>
      <c r="M2288" s="1357"/>
      <c r="Q2288" s="1357"/>
      <c r="S2288" s="1420"/>
      <c r="T2288" s="1420"/>
      <c r="V2288" s="1357">
        <v>37</v>
      </c>
    </row>
    <row r="2289" spans="1:22" s="841" customFormat="1" ht="15" x14ac:dyDescent="0.25">
      <c r="A2289" s="841" t="s">
        <v>2457</v>
      </c>
      <c r="B2289" s="841" t="s">
        <v>3562</v>
      </c>
      <c r="E2289" s="1688" t="s">
        <v>3144</v>
      </c>
      <c r="F2289" s="1688"/>
      <c r="G2289" s="1408" t="s">
        <v>23</v>
      </c>
      <c r="H2289" s="391">
        <v>15</v>
      </c>
      <c r="M2289" s="1357"/>
      <c r="Q2289" s="1357"/>
      <c r="S2289" s="1420"/>
      <c r="T2289" s="1420"/>
      <c r="V2289" s="1357">
        <v>15</v>
      </c>
    </row>
    <row r="2290" spans="1:22" s="841" customFormat="1" ht="15" x14ac:dyDescent="0.25">
      <c r="A2290" s="841" t="s">
        <v>2457</v>
      </c>
      <c r="B2290" s="841" t="s">
        <v>3562</v>
      </c>
      <c r="E2290" s="1688" t="s">
        <v>3145</v>
      </c>
      <c r="F2290" s="1688"/>
      <c r="G2290" s="1408" t="s">
        <v>23</v>
      </c>
      <c r="H2290" s="391">
        <v>15</v>
      </c>
      <c r="M2290" s="1357"/>
      <c r="Q2290" s="1357"/>
      <c r="S2290" s="1420"/>
      <c r="T2290" s="1420"/>
      <c r="V2290" s="1357">
        <v>17</v>
      </c>
    </row>
    <row r="2291" spans="1:22" s="841" customFormat="1" ht="15" x14ac:dyDescent="0.25">
      <c r="A2291" s="841" t="s">
        <v>2457</v>
      </c>
      <c r="B2291" s="841" t="s">
        <v>3562</v>
      </c>
      <c r="E2291" s="1688" t="s">
        <v>3146</v>
      </c>
      <c r="F2291" s="1688"/>
      <c r="G2291" s="1408" t="s">
        <v>23</v>
      </c>
      <c r="H2291" s="391">
        <v>15</v>
      </c>
      <c r="M2291" s="1357"/>
      <c r="Q2291" s="1357"/>
      <c r="S2291" s="1420"/>
      <c r="T2291" s="1420"/>
      <c r="V2291" s="1357">
        <v>19</v>
      </c>
    </row>
    <row r="2292" spans="1:22" s="841" customFormat="1" ht="15" x14ac:dyDescent="0.25">
      <c r="A2292" s="841" t="s">
        <v>2457</v>
      </c>
      <c r="B2292" s="841" t="s">
        <v>3562</v>
      </c>
      <c r="E2292" s="1688" t="s">
        <v>3147</v>
      </c>
      <c r="F2292" s="1688"/>
      <c r="G2292" s="1408" t="s">
        <v>23</v>
      </c>
      <c r="H2292" s="391">
        <v>15</v>
      </c>
      <c r="M2292" s="1357"/>
      <c r="Q2292" s="1357"/>
      <c r="S2292" s="1420"/>
      <c r="T2292" s="1420"/>
      <c r="V2292" s="1357">
        <v>15</v>
      </c>
    </row>
    <row r="2293" spans="1:22" s="841" customFormat="1" ht="15" x14ac:dyDescent="0.25">
      <c r="A2293" s="841" t="s">
        <v>2457</v>
      </c>
      <c r="B2293" s="841" t="s">
        <v>3562</v>
      </c>
      <c r="E2293" s="1688" t="s">
        <v>3586</v>
      </c>
      <c r="F2293" s="1688"/>
      <c r="G2293" s="1408" t="s">
        <v>23</v>
      </c>
      <c r="H2293" s="391">
        <v>15</v>
      </c>
      <c r="M2293" s="1357"/>
      <c r="Q2293" s="1357"/>
      <c r="S2293" s="1420"/>
      <c r="T2293" s="1420"/>
      <c r="V2293" s="1357">
        <v>74</v>
      </c>
    </row>
    <row r="2294" spans="1:22" s="841" customFormat="1" ht="15" x14ac:dyDescent="0.25">
      <c r="A2294" s="841" t="s">
        <v>2457</v>
      </c>
      <c r="B2294" s="841" t="s">
        <v>3562</v>
      </c>
      <c r="E2294" s="1688" t="s">
        <v>3149</v>
      </c>
      <c r="F2294" s="1688"/>
      <c r="G2294" s="1408" t="s">
        <v>23</v>
      </c>
      <c r="H2294" s="391">
        <v>15</v>
      </c>
      <c r="M2294" s="1357"/>
      <c r="Q2294" s="1357"/>
      <c r="S2294" s="1420"/>
      <c r="T2294" s="1420"/>
      <c r="V2294" s="1357">
        <v>35</v>
      </c>
    </row>
    <row r="2295" spans="1:22" s="841" customFormat="1" ht="15" x14ac:dyDescent="0.25">
      <c r="A2295" s="841" t="s">
        <v>2457</v>
      </c>
      <c r="B2295" s="841" t="s">
        <v>3562</v>
      </c>
      <c r="E2295" s="1688" t="s">
        <v>3150</v>
      </c>
      <c r="F2295" s="1688"/>
      <c r="G2295" s="1408" t="s">
        <v>23</v>
      </c>
      <c r="H2295" s="391">
        <v>15</v>
      </c>
      <c r="M2295" s="1357"/>
      <c r="Q2295" s="1357"/>
      <c r="S2295" s="1420"/>
      <c r="T2295" s="1420"/>
      <c r="V2295" s="1357">
        <v>24</v>
      </c>
    </row>
    <row r="2296" spans="1:22" s="841" customFormat="1" ht="15" x14ac:dyDescent="0.25">
      <c r="A2296" s="841" t="s">
        <v>2457</v>
      </c>
      <c r="B2296" s="841" t="s">
        <v>3562</v>
      </c>
      <c r="E2296" s="1688" t="s">
        <v>3151</v>
      </c>
      <c r="F2296" s="1688"/>
      <c r="G2296" s="1408" t="s">
        <v>23</v>
      </c>
      <c r="H2296" s="391">
        <v>15</v>
      </c>
      <c r="M2296" s="1357"/>
      <c r="Q2296" s="1357"/>
      <c r="S2296" s="1420"/>
      <c r="T2296" s="1420"/>
      <c r="V2296" s="1357">
        <v>19</v>
      </c>
    </row>
    <row r="2297" spans="1:22" s="841" customFormat="1" ht="15" x14ac:dyDescent="0.25">
      <c r="A2297" s="841" t="s">
        <v>2457</v>
      </c>
      <c r="B2297" s="841" t="s">
        <v>3562</v>
      </c>
      <c r="E2297" s="1688" t="s">
        <v>94</v>
      </c>
      <c r="F2297" s="1688"/>
      <c r="G2297" s="1408" t="s">
        <v>23</v>
      </c>
      <c r="H2297" s="391">
        <v>30</v>
      </c>
      <c r="M2297" s="1357"/>
      <c r="Q2297" s="1357"/>
      <c r="S2297" s="1420"/>
      <c r="T2297" s="1420"/>
      <c r="V2297" s="1357">
        <v>19</v>
      </c>
    </row>
    <row r="2298" spans="1:22" s="841" customFormat="1" ht="15" x14ac:dyDescent="0.25">
      <c r="A2298" s="841" t="s">
        <v>2457</v>
      </c>
      <c r="B2298" s="841" t="s">
        <v>3562</v>
      </c>
      <c r="E2298" s="1688" t="s">
        <v>88</v>
      </c>
      <c r="F2298" s="1688"/>
      <c r="G2298" s="1408" t="s">
        <v>23</v>
      </c>
      <c r="H2298" s="391">
        <v>30</v>
      </c>
      <c r="M2298" s="1357"/>
      <c r="Q2298" s="1357"/>
      <c r="S2298" s="1420"/>
      <c r="T2298" s="1420"/>
      <c r="V2298" s="1357">
        <v>89</v>
      </c>
    </row>
    <row r="2299" spans="1:22" s="841" customFormat="1" ht="15" x14ac:dyDescent="0.25">
      <c r="A2299" s="841" t="s">
        <v>2457</v>
      </c>
      <c r="B2299" s="841" t="s">
        <v>3562</v>
      </c>
      <c r="E2299" s="1688" t="s">
        <v>92</v>
      </c>
      <c r="F2299" s="1688"/>
      <c r="G2299" s="1408" t="s">
        <v>23</v>
      </c>
      <c r="H2299" s="391">
        <v>30</v>
      </c>
      <c r="M2299" s="1357"/>
      <c r="Q2299" s="1357"/>
      <c r="S2299" s="1420"/>
      <c r="T2299" s="1420"/>
      <c r="V2299" s="1357">
        <v>74</v>
      </c>
    </row>
    <row r="2300" spans="1:22" s="841" customFormat="1" ht="15" x14ac:dyDescent="0.25">
      <c r="A2300" s="841" t="s">
        <v>2457</v>
      </c>
      <c r="B2300" s="841" t="s">
        <v>3562</v>
      </c>
      <c r="E2300" s="1370" t="s">
        <v>3152</v>
      </c>
      <c r="F2300" s="3"/>
      <c r="G2300" s="3"/>
      <c r="H2300" s="398"/>
      <c r="K2300" s="841" t="s">
        <v>3587</v>
      </c>
      <c r="M2300" s="1357"/>
      <c r="Q2300" s="1357"/>
      <c r="S2300" s="1420"/>
      <c r="T2300" s="1420"/>
      <c r="V2300" s="1357">
        <v>22</v>
      </c>
    </row>
    <row r="2301" spans="1:22" s="841" customFormat="1" ht="15" x14ac:dyDescent="0.25">
      <c r="A2301" s="841" t="s">
        <v>2457</v>
      </c>
      <c r="B2301" s="841" t="s">
        <v>3562</v>
      </c>
      <c r="E2301" s="1688" t="s">
        <v>3154</v>
      </c>
      <c r="F2301" s="1688"/>
      <c r="G2301" s="1408" t="s">
        <v>86</v>
      </c>
      <c r="H2301" s="391">
        <v>1.5</v>
      </c>
      <c r="M2301" s="1357"/>
      <c r="Q2301" s="1357"/>
      <c r="S2301" s="1420"/>
      <c r="T2301" s="1420"/>
      <c r="V2301" s="1357">
        <v>24</v>
      </c>
    </row>
    <row r="2302" spans="1:22" s="841" customFormat="1" ht="15" x14ac:dyDescent="0.25">
      <c r="A2302" s="841" t="s">
        <v>2457</v>
      </c>
      <c r="B2302" s="841" t="s">
        <v>3562</v>
      </c>
      <c r="E2302" s="1688" t="s">
        <v>3155</v>
      </c>
      <c r="F2302" s="1688"/>
      <c r="G2302" s="1408" t="s">
        <v>86</v>
      </c>
      <c r="H2302" s="391">
        <v>19.559999999999999</v>
      </c>
      <c r="M2302" s="1357"/>
      <c r="Q2302" s="1357"/>
      <c r="S2302" s="1420"/>
      <c r="T2302" s="1420"/>
      <c r="V2302" s="1357">
        <v>24</v>
      </c>
    </row>
    <row r="2303" spans="1:22" s="841" customFormat="1" ht="15" x14ac:dyDescent="0.25">
      <c r="A2303" s="841" t="s">
        <v>2457</v>
      </c>
      <c r="B2303" s="841" t="s">
        <v>3562</v>
      </c>
      <c r="E2303" s="1688" t="s">
        <v>3288</v>
      </c>
      <c r="F2303" s="1688"/>
      <c r="G2303" s="1408" t="s">
        <v>23</v>
      </c>
      <c r="H2303" s="391">
        <v>30</v>
      </c>
      <c r="M2303" s="1357"/>
      <c r="Q2303" s="1357"/>
      <c r="S2303" s="1420"/>
      <c r="T2303" s="1420"/>
      <c r="V2303" s="1357">
        <v>47</v>
      </c>
    </row>
    <row r="2304" spans="1:22" s="841" customFormat="1" ht="15" x14ac:dyDescent="0.25">
      <c r="A2304" s="841" t="s">
        <v>2457</v>
      </c>
      <c r="B2304" s="841" t="s">
        <v>3562</v>
      </c>
      <c r="E2304" s="1688" t="s">
        <v>3157</v>
      </c>
      <c r="F2304" s="1688"/>
      <c r="G2304" s="1408" t="s">
        <v>23</v>
      </c>
      <c r="H2304" s="391">
        <v>165</v>
      </c>
      <c r="M2304" s="1357"/>
      <c r="Q2304" s="1357"/>
      <c r="S2304" s="1420"/>
      <c r="T2304" s="1420"/>
      <c r="V2304" s="1357">
        <v>69</v>
      </c>
    </row>
    <row r="2305" spans="1:22" s="841" customFormat="1" ht="15" x14ac:dyDescent="0.25">
      <c r="A2305" s="841" t="s">
        <v>2457</v>
      </c>
      <c r="B2305" s="841" t="s">
        <v>3562</v>
      </c>
      <c r="E2305" s="1688" t="s">
        <v>3158</v>
      </c>
      <c r="F2305" s="1688"/>
      <c r="G2305" s="1408" t="s">
        <v>23</v>
      </c>
      <c r="H2305" s="391">
        <v>65</v>
      </c>
      <c r="M2305" s="1357"/>
      <c r="Q2305" s="1357"/>
      <c r="S2305" s="1420"/>
      <c r="T2305" s="1420"/>
      <c r="V2305" s="1357">
        <v>52</v>
      </c>
    </row>
    <row r="2306" spans="1:22" s="841" customFormat="1" ht="15" x14ac:dyDescent="0.25">
      <c r="A2306" s="841" t="s">
        <v>2457</v>
      </c>
      <c r="B2306" s="841" t="s">
        <v>3562</v>
      </c>
      <c r="E2306" s="1688" t="s">
        <v>3159</v>
      </c>
      <c r="F2306" s="1688"/>
      <c r="G2306" s="1408" t="s">
        <v>23</v>
      </c>
      <c r="H2306" s="391">
        <v>185</v>
      </c>
      <c r="M2306" s="1357"/>
      <c r="Q2306" s="1357"/>
      <c r="S2306" s="1420"/>
      <c r="T2306" s="1420"/>
      <c r="V2306" s="1357">
        <v>51</v>
      </c>
    </row>
    <row r="2307" spans="1:22" s="841" customFormat="1" ht="15" x14ac:dyDescent="0.25">
      <c r="A2307" s="841" t="s">
        <v>2457</v>
      </c>
      <c r="B2307" s="841" t="s">
        <v>3562</v>
      </c>
      <c r="E2307" s="1688" t="s">
        <v>3160</v>
      </c>
      <c r="F2307" s="1688"/>
      <c r="G2307" s="1408" t="s">
        <v>23</v>
      </c>
      <c r="H2307" s="391">
        <v>185</v>
      </c>
      <c r="M2307" s="1357"/>
      <c r="Q2307" s="1357"/>
      <c r="S2307" s="1420"/>
      <c r="T2307" s="1420"/>
      <c r="V2307" s="1357">
        <v>51</v>
      </c>
    </row>
    <row r="2308" spans="1:22" s="841" customFormat="1" ht="15" x14ac:dyDescent="0.25">
      <c r="A2308" s="841" t="s">
        <v>2457</v>
      </c>
      <c r="B2308" s="841" t="s">
        <v>3562</v>
      </c>
      <c r="E2308" s="1688" t="s">
        <v>3161</v>
      </c>
      <c r="F2308" s="1688"/>
      <c r="G2308" s="1408" t="s">
        <v>23</v>
      </c>
      <c r="H2308" s="391">
        <v>415</v>
      </c>
      <c r="M2308" s="1357"/>
      <c r="Q2308" s="1357"/>
      <c r="S2308" s="1420"/>
      <c r="T2308" s="1420"/>
      <c r="V2308" s="1357">
        <v>50</v>
      </c>
    </row>
    <row r="2309" spans="1:22" s="841" customFormat="1" ht="15" x14ac:dyDescent="0.25">
      <c r="A2309" s="841" t="s">
        <v>2457</v>
      </c>
      <c r="B2309" s="841" t="s">
        <v>3562</v>
      </c>
      <c r="E2309" s="1370" t="s">
        <v>3164</v>
      </c>
      <c r="F2309" s="3"/>
      <c r="G2309" s="3"/>
      <c r="H2309" s="398"/>
      <c r="M2309" s="1357"/>
      <c r="Q2309" s="1357"/>
      <c r="S2309" s="1420"/>
      <c r="T2309" s="1420"/>
      <c r="V2309" s="1357">
        <v>5</v>
      </c>
    </row>
    <row r="2310" spans="1:22" s="841" customFormat="1" ht="15" x14ac:dyDescent="0.25">
      <c r="A2310" s="841" t="s">
        <v>2457</v>
      </c>
      <c r="B2310" s="841" t="s">
        <v>3562</v>
      </c>
      <c r="E2310" s="1688" t="s">
        <v>3167</v>
      </c>
      <c r="F2310" s="1688"/>
      <c r="G2310" s="1408" t="s">
        <v>23</v>
      </c>
      <c r="H2310" s="391">
        <v>30</v>
      </c>
      <c r="M2310" s="1357"/>
      <c r="Q2310" s="1357"/>
      <c r="S2310" s="1420"/>
      <c r="T2310" s="1420"/>
      <c r="V2310" s="1357">
        <v>39</v>
      </c>
    </row>
    <row r="2311" spans="1:22" s="841" customFormat="1" ht="15" x14ac:dyDescent="0.25">
      <c r="A2311" s="841" t="s">
        <v>2457</v>
      </c>
      <c r="B2311" s="841" t="s">
        <v>3562</v>
      </c>
      <c r="E2311" s="1688" t="s">
        <v>3168</v>
      </c>
      <c r="F2311" s="1688"/>
      <c r="G2311" s="1408" t="s">
        <v>23</v>
      </c>
      <c r="H2311" s="391">
        <v>165</v>
      </c>
      <c r="M2311" s="1357"/>
      <c r="Q2311" s="1357"/>
      <c r="S2311" s="1420"/>
      <c r="T2311" s="1420"/>
      <c r="V2311" s="1357">
        <v>34</v>
      </c>
    </row>
    <row r="2312" spans="1:22" s="841" customFormat="1" ht="15" x14ac:dyDescent="0.25">
      <c r="A2312" s="841" t="s">
        <v>2457</v>
      </c>
      <c r="B2312" s="841" t="s">
        <v>3562</v>
      </c>
      <c r="E2312" s="1688" t="s">
        <v>3434</v>
      </c>
      <c r="F2312" s="1688"/>
      <c r="G2312" s="1408" t="s">
        <v>23</v>
      </c>
      <c r="H2312" s="391">
        <v>500</v>
      </c>
      <c r="M2312" s="1357"/>
      <c r="Q2312" s="1357"/>
      <c r="S2312" s="1420"/>
      <c r="T2312" s="1420"/>
      <c r="V2312" s="1357">
        <v>64</v>
      </c>
    </row>
    <row r="2313" spans="1:22" s="841" customFormat="1" ht="15" x14ac:dyDescent="0.25">
      <c r="A2313" s="841" t="s">
        <v>2457</v>
      </c>
      <c r="B2313" s="841" t="s">
        <v>3562</v>
      </c>
      <c r="E2313" s="1688" t="s">
        <v>3489</v>
      </c>
      <c r="F2313" s="1688"/>
      <c r="G2313" s="1408" t="s">
        <v>23</v>
      </c>
      <c r="H2313" s="391">
        <v>300</v>
      </c>
      <c r="M2313" s="1357"/>
      <c r="Q2313" s="1357"/>
      <c r="S2313" s="1420"/>
      <c r="T2313" s="1420"/>
      <c r="V2313" s="1357">
        <v>67</v>
      </c>
    </row>
    <row r="2314" spans="1:22" s="841" customFormat="1" ht="15" x14ac:dyDescent="0.25">
      <c r="A2314" s="841" t="s">
        <v>2457</v>
      </c>
      <c r="B2314" s="841" t="s">
        <v>3562</v>
      </c>
      <c r="E2314" s="1688" t="s">
        <v>3490</v>
      </c>
      <c r="F2314" s="1688"/>
      <c r="G2314" s="1408" t="s">
        <v>23</v>
      </c>
      <c r="H2314" s="391">
        <v>1000</v>
      </c>
      <c r="M2314" s="1357"/>
      <c r="Q2314" s="1357"/>
      <c r="S2314" s="1420"/>
      <c r="T2314" s="1420"/>
      <c r="V2314" s="1357">
        <v>66</v>
      </c>
    </row>
    <row r="2315" spans="1:22" s="841" customFormat="1" ht="15" x14ac:dyDescent="0.25">
      <c r="A2315" s="841" t="s">
        <v>2457</v>
      </c>
      <c r="B2315" s="841" t="s">
        <v>3562</v>
      </c>
      <c r="E2315" s="1688" t="s">
        <v>66</v>
      </c>
      <c r="F2315" s="1688"/>
      <c r="G2315" s="1408" t="s">
        <v>23</v>
      </c>
      <c r="H2315" s="391">
        <v>500</v>
      </c>
      <c r="M2315" s="1357"/>
      <c r="Q2315" s="1357"/>
      <c r="S2315" s="1420"/>
      <c r="T2315" s="1420"/>
      <c r="V2315" s="1357">
        <v>44</v>
      </c>
    </row>
    <row r="2316" spans="1:22" s="841" customFormat="1" ht="15" x14ac:dyDescent="0.25">
      <c r="A2316" s="841" t="s">
        <v>2457</v>
      </c>
      <c r="B2316" s="841" t="s">
        <v>3562</v>
      </c>
      <c r="E2316" s="1688" t="s">
        <v>3491</v>
      </c>
      <c r="F2316" s="1688"/>
      <c r="G2316" s="1408" t="s">
        <v>23</v>
      </c>
      <c r="H2316" s="391">
        <v>22.35</v>
      </c>
      <c r="M2316" s="1357"/>
      <c r="Q2316" s="1357"/>
      <c r="S2316" s="1420"/>
      <c r="T2316" s="1420"/>
      <c r="V2316" s="1357">
        <v>59</v>
      </c>
    </row>
    <row r="2317" spans="1:22" s="841" customFormat="1" ht="15" x14ac:dyDescent="0.25">
      <c r="A2317" s="841" t="s">
        <v>2457</v>
      </c>
      <c r="B2317" s="841" t="s">
        <v>3562</v>
      </c>
      <c r="E2317" s="1688" t="s">
        <v>3588</v>
      </c>
      <c r="F2317" s="1688"/>
      <c r="G2317" s="1408"/>
      <c r="H2317" s="391"/>
      <c r="M2317" s="1357"/>
      <c r="Q2317" s="1357"/>
      <c r="S2317" s="1420"/>
      <c r="T2317" s="1420"/>
      <c r="V2317" s="1357">
        <v>45</v>
      </c>
    </row>
    <row r="2318" spans="1:22" s="841" customFormat="1" ht="36.75" x14ac:dyDescent="0.3">
      <c r="A2318" s="841" t="s">
        <v>2457</v>
      </c>
      <c r="B2318" s="841" t="s">
        <v>3562</v>
      </c>
      <c r="E2318" s="1374" t="s">
        <v>77</v>
      </c>
      <c r="F2318" s="657"/>
      <c r="G2318" s="657"/>
      <c r="H2318" s="658"/>
      <c r="K2318" s="841" t="s">
        <v>3589</v>
      </c>
      <c r="M2318" s="1357"/>
      <c r="Q2318" s="1357"/>
      <c r="S2318" s="1420"/>
      <c r="T2318" s="1420"/>
      <c r="V2318" s="1357">
        <v>38</v>
      </c>
    </row>
    <row r="2319" spans="1:22" s="841" customFormat="1" ht="15" x14ac:dyDescent="0.25">
      <c r="A2319" s="841" t="s">
        <v>2457</v>
      </c>
      <c r="B2319" s="841" t="s">
        <v>3562</v>
      </c>
      <c r="E2319" s="1689" t="s">
        <v>3063</v>
      </c>
      <c r="F2319" s="1689"/>
      <c r="G2319" s="1689"/>
      <c r="H2319" s="1689"/>
      <c r="M2319" s="1357"/>
      <c r="Q2319" s="1357"/>
      <c r="S2319" s="1420"/>
      <c r="T2319" s="1420"/>
      <c r="V2319" s="1357">
        <v>280</v>
      </c>
    </row>
    <row r="2320" spans="1:22" s="841" customFormat="1" ht="15" x14ac:dyDescent="0.25">
      <c r="A2320" s="841" t="s">
        <v>2457</v>
      </c>
      <c r="B2320" s="841" t="s">
        <v>3562</v>
      </c>
      <c r="E2320" s="1689" t="s">
        <v>3064</v>
      </c>
      <c r="F2320" s="1689"/>
      <c r="G2320" s="1689"/>
      <c r="H2320" s="1689"/>
      <c r="M2320" s="1357"/>
      <c r="Q2320" s="1357"/>
      <c r="S2320" s="1420"/>
      <c r="T2320" s="1420"/>
      <c r="V2320" s="1357">
        <v>411</v>
      </c>
    </row>
    <row r="2321" spans="1:22" s="841" customFormat="1" ht="15" x14ac:dyDescent="0.25">
      <c r="A2321" s="841" t="s">
        <v>2457</v>
      </c>
      <c r="B2321" s="841" t="s">
        <v>3562</v>
      </c>
      <c r="E2321" s="1689" t="s">
        <v>3129</v>
      </c>
      <c r="F2321" s="1689"/>
      <c r="G2321" s="1689"/>
      <c r="H2321" s="1689"/>
      <c r="M2321" s="1357"/>
      <c r="Q2321" s="1357"/>
      <c r="S2321" s="1420"/>
      <c r="T2321" s="1420"/>
      <c r="V2321" s="1357">
        <v>211</v>
      </c>
    </row>
    <row r="2322" spans="1:22" s="841" customFormat="1" ht="15" x14ac:dyDescent="0.25">
      <c r="A2322" s="841" t="s">
        <v>2457</v>
      </c>
      <c r="B2322" s="841" t="s">
        <v>3562</v>
      </c>
      <c r="E2322" s="1689" t="s">
        <v>3590</v>
      </c>
      <c r="F2322" s="1689"/>
      <c r="G2322" s="1689"/>
      <c r="H2322" s="1689"/>
      <c r="M2322" s="1357"/>
      <c r="Q2322" s="1357"/>
      <c r="S2322" s="1420"/>
      <c r="T2322" s="1420"/>
      <c r="V2322" s="1357">
        <v>309</v>
      </c>
    </row>
    <row r="2323" spans="1:22" s="841" customFormat="1" ht="15" x14ac:dyDescent="0.25">
      <c r="A2323" s="841" t="s">
        <v>2457</v>
      </c>
      <c r="B2323" s="841" t="s">
        <v>3562</v>
      </c>
      <c r="E2323" s="1689" t="s">
        <v>3291</v>
      </c>
      <c r="F2323" s="1689"/>
      <c r="G2323" s="1689"/>
      <c r="H2323" s="1689"/>
      <c r="M2323" s="1357"/>
      <c r="Q2323" s="1357"/>
      <c r="S2323" s="1420"/>
      <c r="T2323" s="1420"/>
      <c r="V2323" s="1357">
        <v>142</v>
      </c>
    </row>
    <row r="2324" spans="1:22" s="841" customFormat="1" ht="15" x14ac:dyDescent="0.25">
      <c r="A2324" s="841" t="s">
        <v>2457</v>
      </c>
      <c r="B2324" s="841" t="s">
        <v>3562</v>
      </c>
      <c r="E2324" s="1690" t="s">
        <v>3176</v>
      </c>
      <c r="F2324" s="1690"/>
      <c r="G2324" s="397" t="s">
        <v>23</v>
      </c>
      <c r="H2324" s="391">
        <v>100</v>
      </c>
      <c r="M2324" s="1357"/>
      <c r="Q2324" s="1357"/>
      <c r="S2324" s="1420"/>
      <c r="T2324" s="1420"/>
      <c r="V2324" s="1357">
        <v>106</v>
      </c>
    </row>
    <row r="2325" spans="1:22" s="841" customFormat="1" ht="15" x14ac:dyDescent="0.25">
      <c r="A2325" s="841" t="s">
        <v>2457</v>
      </c>
      <c r="B2325" s="841" t="s">
        <v>3562</v>
      </c>
      <c r="E2325" s="1690" t="s">
        <v>3177</v>
      </c>
      <c r="F2325" s="1690"/>
      <c r="G2325" s="397" t="s">
        <v>23</v>
      </c>
      <c r="H2325" s="391">
        <v>20</v>
      </c>
      <c r="M2325" s="1357"/>
      <c r="Q2325" s="1357"/>
      <c r="S2325" s="1420"/>
      <c r="T2325" s="1420"/>
      <c r="V2325" s="1357">
        <v>34</v>
      </c>
    </row>
    <row r="2326" spans="1:22" s="841" customFormat="1" ht="15" x14ac:dyDescent="0.25">
      <c r="A2326" s="841" t="s">
        <v>2457</v>
      </c>
      <c r="B2326" s="841" t="s">
        <v>3562</v>
      </c>
      <c r="E2326" s="1690" t="s">
        <v>3178</v>
      </c>
      <c r="F2326" s="1690"/>
      <c r="G2326" s="397" t="s">
        <v>3179</v>
      </c>
      <c r="H2326" s="391">
        <v>0.5</v>
      </c>
      <c r="M2326" s="1357"/>
      <c r="Q2326" s="1357"/>
      <c r="S2326" s="1420"/>
      <c r="T2326" s="1420"/>
      <c r="V2326" s="1357">
        <v>51</v>
      </c>
    </row>
    <row r="2327" spans="1:22" s="841" customFormat="1" ht="15" x14ac:dyDescent="0.25">
      <c r="A2327" s="841" t="s">
        <v>2457</v>
      </c>
      <c r="B2327" s="841" t="s">
        <v>3562</v>
      </c>
      <c r="E2327" s="1690" t="s">
        <v>3180</v>
      </c>
      <c r="F2327" s="1690"/>
      <c r="G2327" s="397" t="s">
        <v>3179</v>
      </c>
      <c r="H2327" s="391">
        <v>0.3</v>
      </c>
      <c r="M2327" s="1357"/>
      <c r="Q2327" s="1357"/>
      <c r="S2327" s="1420"/>
      <c r="T2327" s="1420"/>
      <c r="V2327" s="1357">
        <v>75</v>
      </c>
    </row>
    <row r="2328" spans="1:22" s="841" customFormat="1" ht="15" x14ac:dyDescent="0.25">
      <c r="A2328" s="841" t="s">
        <v>2457</v>
      </c>
      <c r="B2328" s="841" t="s">
        <v>3562</v>
      </c>
      <c r="E2328" s="1690" t="s">
        <v>3181</v>
      </c>
      <c r="F2328" s="1690"/>
      <c r="G2328" s="397" t="s">
        <v>3179</v>
      </c>
      <c r="H2328" s="391">
        <v>-0.3</v>
      </c>
      <c r="M2328" s="1357"/>
      <c r="Q2328" s="1357"/>
      <c r="S2328" s="1420"/>
      <c r="T2328" s="1420"/>
      <c r="V2328" s="1357">
        <v>72</v>
      </c>
    </row>
    <row r="2329" spans="1:22" s="841" customFormat="1" ht="15" x14ac:dyDescent="0.25">
      <c r="A2329" s="841" t="s">
        <v>2457</v>
      </c>
      <c r="B2329" s="841" t="s">
        <v>3562</v>
      </c>
      <c r="E2329" s="1690" t="s">
        <v>3292</v>
      </c>
      <c r="F2329" s="1690"/>
      <c r="G2329" s="397"/>
      <c r="H2329" s="392"/>
      <c r="M2329" s="1357"/>
      <c r="Q2329" s="1357"/>
      <c r="S2329" s="1420"/>
      <c r="T2329" s="1420"/>
      <c r="V2329" s="1357">
        <v>34</v>
      </c>
    </row>
    <row r="2330" spans="1:22" s="841" customFormat="1" ht="15" x14ac:dyDescent="0.25">
      <c r="A2330" s="841" t="s">
        <v>2457</v>
      </c>
      <c r="B2330" s="841" t="s">
        <v>3562</v>
      </c>
      <c r="E2330" s="1691" t="s">
        <v>3183</v>
      </c>
      <c r="F2330" s="1691"/>
      <c r="G2330" s="397" t="s">
        <v>23</v>
      </c>
      <c r="H2330" s="391">
        <v>0.25</v>
      </c>
      <c r="M2330" s="1357"/>
      <c r="Q2330" s="1357"/>
      <c r="S2330" s="1420"/>
      <c r="T2330" s="1420"/>
      <c r="V2330" s="1357">
        <v>57</v>
      </c>
    </row>
    <row r="2331" spans="1:22" s="841" customFormat="1" ht="15" x14ac:dyDescent="0.25">
      <c r="A2331" s="841" t="s">
        <v>2457</v>
      </c>
      <c r="B2331" s="841" t="s">
        <v>3562</v>
      </c>
      <c r="E2331" s="1691" t="s">
        <v>3184</v>
      </c>
      <c r="F2331" s="1691"/>
      <c r="G2331" s="397" t="s">
        <v>23</v>
      </c>
      <c r="H2331" s="391">
        <v>0.5</v>
      </c>
      <c r="M2331" s="1357"/>
      <c r="Q2331" s="1357"/>
      <c r="S2331" s="1420"/>
      <c r="T2331" s="1420"/>
      <c r="V2331" s="1357">
        <v>60</v>
      </c>
    </row>
    <row r="2332" spans="1:22" s="841" customFormat="1" ht="15" x14ac:dyDescent="0.25">
      <c r="A2332" s="841" t="s">
        <v>2457</v>
      </c>
      <c r="B2332" s="841" t="s">
        <v>3562</v>
      </c>
      <c r="E2332" s="1690" t="s">
        <v>3185</v>
      </c>
      <c r="F2332" s="1690"/>
      <c r="G2332" s="397"/>
      <c r="H2332" s="392"/>
      <c r="M2332" s="1357"/>
      <c r="Q2332" s="1357"/>
      <c r="S2332" s="1420"/>
      <c r="T2332" s="1420"/>
      <c r="V2332" s="1357">
        <v>91</v>
      </c>
    </row>
    <row r="2333" spans="1:22" s="841" customFormat="1" ht="15" x14ac:dyDescent="0.25">
      <c r="A2333" s="841" t="s">
        <v>2457</v>
      </c>
      <c r="B2333" s="841" t="s">
        <v>3562</v>
      </c>
      <c r="E2333" s="1690" t="s">
        <v>3186</v>
      </c>
      <c r="F2333" s="1690"/>
      <c r="G2333" s="397"/>
      <c r="H2333" s="392"/>
      <c r="M2333" s="1357"/>
      <c r="Q2333" s="1357"/>
      <c r="S2333" s="1420"/>
      <c r="T2333" s="1420"/>
      <c r="V2333" s="1357">
        <v>96</v>
      </c>
    </row>
    <row r="2334" spans="1:22" s="841" customFormat="1" ht="15" x14ac:dyDescent="0.25">
      <c r="A2334" s="841" t="s">
        <v>2457</v>
      </c>
      <c r="B2334" s="841" t="s">
        <v>3562</v>
      </c>
      <c r="E2334" s="1690" t="s">
        <v>3293</v>
      </c>
      <c r="F2334" s="1690"/>
      <c r="G2334" s="397"/>
      <c r="H2334" s="392"/>
      <c r="M2334" s="1357"/>
      <c r="Q2334" s="1357"/>
      <c r="S2334" s="1420"/>
      <c r="T2334" s="1420"/>
      <c r="V2334" s="1357">
        <v>77</v>
      </c>
    </row>
    <row r="2335" spans="1:22" s="841" customFormat="1" ht="15" x14ac:dyDescent="0.25">
      <c r="A2335" s="841" t="s">
        <v>2457</v>
      </c>
      <c r="B2335" s="841" t="s">
        <v>3562</v>
      </c>
      <c r="E2335" s="1691" t="s">
        <v>3188</v>
      </c>
      <c r="F2335" s="1691"/>
      <c r="G2335" s="397" t="s">
        <v>23</v>
      </c>
      <c r="H2335" s="392" t="s">
        <v>3189</v>
      </c>
      <c r="M2335" s="1357"/>
      <c r="Q2335" s="1357"/>
      <c r="S2335" s="1420"/>
      <c r="T2335" s="1420"/>
      <c r="V2335" s="1357">
        <v>18</v>
      </c>
    </row>
    <row r="2336" spans="1:22" s="841" customFormat="1" ht="15" x14ac:dyDescent="0.25">
      <c r="A2336" s="841" t="s">
        <v>2457</v>
      </c>
      <c r="B2336" s="841" t="s">
        <v>3562</v>
      </c>
      <c r="E2336" s="1691" t="s">
        <v>3190</v>
      </c>
      <c r="F2336" s="1691"/>
      <c r="G2336" s="397" t="s">
        <v>23</v>
      </c>
      <c r="H2336" s="391">
        <v>2</v>
      </c>
      <c r="M2336" s="1357"/>
      <c r="Q2336" s="1357"/>
      <c r="S2336" s="1420"/>
      <c r="T2336" s="1420"/>
      <c r="V2336" s="1357">
        <v>69</v>
      </c>
    </row>
    <row r="2337" spans="1:22" s="841" customFormat="1" ht="18.75" x14ac:dyDescent="0.3">
      <c r="A2337" s="841" t="s">
        <v>2457</v>
      </c>
      <c r="B2337" s="841" t="s">
        <v>3562</v>
      </c>
      <c r="E2337" s="1374" t="s">
        <v>147</v>
      </c>
      <c r="F2337" s="657"/>
      <c r="G2337" s="657"/>
      <c r="H2337" s="658"/>
      <c r="K2337" s="841" t="s">
        <v>3591</v>
      </c>
      <c r="M2337" s="1357"/>
      <c r="Q2337" s="1357"/>
      <c r="S2337" s="1420"/>
      <c r="T2337" s="1420"/>
      <c r="V2337" s="1357">
        <v>12</v>
      </c>
    </row>
    <row r="2338" spans="1:22" s="841" customFormat="1" ht="15" x14ac:dyDescent="0.25">
      <c r="A2338" s="841" t="s">
        <v>2457</v>
      </c>
      <c r="B2338" s="841" t="s">
        <v>3562</v>
      </c>
      <c r="E2338" s="1704" t="s">
        <v>3192</v>
      </c>
      <c r="F2338" s="1704"/>
      <c r="G2338" s="1704"/>
      <c r="H2338" s="1704"/>
      <c r="M2338" s="1357"/>
      <c r="Q2338" s="1357"/>
      <c r="S2338" s="1420"/>
      <c r="T2338" s="1420"/>
      <c r="V2338" s="1357">
        <v>203</v>
      </c>
    </row>
    <row r="2339" spans="1:22" s="841" customFormat="1" ht="15" x14ac:dyDescent="0.25">
      <c r="A2339" s="841" t="s">
        <v>2457</v>
      </c>
      <c r="B2339" s="841" t="s">
        <v>3562</v>
      </c>
      <c r="E2339" s="1690" t="s">
        <v>3295</v>
      </c>
      <c r="F2339" s="1690"/>
      <c r="G2339" s="1408"/>
      <c r="H2339" s="393">
        <v>1.0495000000000001</v>
      </c>
      <c r="M2339" s="1357"/>
      <c r="Q2339" s="1357"/>
      <c r="S2339" s="1420"/>
      <c r="T2339" s="1420"/>
      <c r="V2339" s="1357">
        <v>57</v>
      </c>
    </row>
    <row r="2340" spans="1:22" s="841" customFormat="1" ht="15" x14ac:dyDescent="0.25">
      <c r="A2340" s="841" t="s">
        <v>2457</v>
      </c>
      <c r="B2340" s="841" t="s">
        <v>3562</v>
      </c>
      <c r="E2340" s="1690" t="s">
        <v>3297</v>
      </c>
      <c r="F2340" s="1690"/>
      <c r="G2340" s="1408"/>
      <c r="H2340" s="393">
        <v>1.0389999999999999</v>
      </c>
      <c r="J2340" s="841" t="s">
        <v>3592</v>
      </c>
      <c r="M2340" s="1357"/>
      <c r="Q2340" s="1357"/>
      <c r="S2340" s="1420"/>
      <c r="T2340" s="1420"/>
      <c r="V2340" s="1357">
        <v>55</v>
      </c>
    </row>
    <row r="2341" spans="1:22" s="841" customFormat="1" ht="23.25" x14ac:dyDescent="0.25">
      <c r="A2341" s="841" t="s">
        <v>4874</v>
      </c>
      <c r="B2341" s="841" t="s">
        <v>5319</v>
      </c>
      <c r="C2341" s="841" t="s">
        <v>3050</v>
      </c>
      <c r="E2341" s="2124" t="s">
        <v>4874</v>
      </c>
      <c r="F2341" s="2124"/>
      <c r="G2341" s="2125"/>
      <c r="H2341" s="2125"/>
      <c r="I2341" s="841" t="s">
        <v>628</v>
      </c>
      <c r="J2341" s="841" t="s">
        <v>5320</v>
      </c>
      <c r="K2341" s="841" t="s">
        <v>4874</v>
      </c>
      <c r="M2341" s="1357">
        <v>9</v>
      </c>
      <c r="Q2341" s="1357"/>
      <c r="S2341" s="1420"/>
      <c r="T2341" s="1420"/>
      <c r="V2341" s="1357">
        <v>29</v>
      </c>
    </row>
    <row r="2342" spans="1:22" s="841" customFormat="1" ht="23.25" x14ac:dyDescent="0.25">
      <c r="A2342" s="841" t="s">
        <v>4874</v>
      </c>
      <c r="B2342" s="841" t="s">
        <v>5319</v>
      </c>
      <c r="C2342" s="841" t="s">
        <v>3052</v>
      </c>
      <c r="E2342" s="2124" t="s">
        <v>5098</v>
      </c>
      <c r="F2342" s="2124"/>
      <c r="G2342" s="2124"/>
      <c r="H2342" s="2124"/>
      <c r="M2342" s="1357"/>
      <c r="Q2342" s="1357"/>
      <c r="S2342" s="1420"/>
      <c r="T2342" s="1420"/>
      <c r="V2342" s="1357">
        <v>20</v>
      </c>
    </row>
    <row r="2343" spans="1:22" s="841" customFormat="1" x14ac:dyDescent="0.25">
      <c r="A2343" s="841" t="s">
        <v>4874</v>
      </c>
      <c r="B2343" s="841" t="s">
        <v>5319</v>
      </c>
      <c r="C2343" s="841" t="s">
        <v>3054</v>
      </c>
      <c r="E2343" s="2043" t="s">
        <v>3053</v>
      </c>
      <c r="F2343" s="2043"/>
      <c r="G2343" s="2128"/>
      <c r="H2343" s="2128"/>
      <c r="M2343" s="1357"/>
      <c r="Q2343" s="1357"/>
      <c r="S2343" s="1420"/>
      <c r="T2343" s="1420"/>
      <c r="V2343" s="1357">
        <v>27</v>
      </c>
    </row>
    <row r="2344" spans="1:22" s="841" customFormat="1" ht="15.75" x14ac:dyDescent="0.25">
      <c r="A2344" s="841" t="s">
        <v>4874</v>
      </c>
      <c r="B2344" s="841" t="s">
        <v>5319</v>
      </c>
      <c r="C2344" s="841" t="s">
        <v>3055</v>
      </c>
      <c r="E2344" s="2045" t="s">
        <v>5200</v>
      </c>
      <c r="F2344" s="2045"/>
      <c r="G2344" s="2129"/>
      <c r="H2344" s="2129"/>
      <c r="M2344" s="1357"/>
      <c r="Q2344" s="1357"/>
      <c r="R2344" s="841">
        <v>43101</v>
      </c>
      <c r="S2344" s="1420"/>
      <c r="T2344" s="1420"/>
      <c r="V2344" s="1357">
        <v>30</v>
      </c>
    </row>
    <row r="2345" spans="1:22" s="841" customFormat="1" ht="15.75" x14ac:dyDescent="0.25">
      <c r="A2345" s="841" t="s">
        <v>4874</v>
      </c>
      <c r="B2345" s="841" t="s">
        <v>5319</v>
      </c>
      <c r="E2345" s="2045" t="s">
        <v>5201</v>
      </c>
      <c r="F2345" s="2045"/>
      <c r="G2345" s="2045"/>
      <c r="H2345" s="2045"/>
      <c r="M2345" s="1357"/>
      <c r="Q2345" s="1357"/>
      <c r="S2345" s="1420">
        <v>43221</v>
      </c>
      <c r="T2345" s="1420"/>
      <c r="V2345" s="1357">
        <v>31</v>
      </c>
    </row>
    <row r="2346" spans="1:22" s="841" customFormat="1" ht="15" x14ac:dyDescent="0.25">
      <c r="A2346" s="841" t="s">
        <v>4874</v>
      </c>
      <c r="B2346" s="841" t="s">
        <v>5319</v>
      </c>
      <c r="E2346" s="2126" t="s">
        <v>3616</v>
      </c>
      <c r="F2346" s="2126"/>
      <c r="G2346" s="2126"/>
      <c r="H2346" s="2126"/>
      <c r="M2346" s="1357"/>
      <c r="Q2346" s="1357"/>
      <c r="S2346" s="1420"/>
      <c r="T2346" s="1420"/>
      <c r="V2346" s="1357">
        <v>53</v>
      </c>
    </row>
    <row r="2347" spans="1:22" s="841" customFormat="1" ht="15" x14ac:dyDescent="0.25">
      <c r="A2347" s="841" t="s">
        <v>4874</v>
      </c>
      <c r="B2347" s="841" t="s">
        <v>5319</v>
      </c>
      <c r="E2347" s="2126" t="s">
        <v>3057</v>
      </c>
      <c r="F2347" s="2126"/>
      <c r="G2347" s="2126"/>
      <c r="H2347" s="2126"/>
      <c r="M2347" s="1357"/>
      <c r="Q2347" s="1357"/>
      <c r="S2347" s="1420"/>
      <c r="T2347" s="1420"/>
      <c r="V2347" s="1357">
        <v>53</v>
      </c>
    </row>
    <row r="2348" spans="1:22" s="841" customFormat="1" ht="15" x14ac:dyDescent="0.25">
      <c r="A2348" s="841" t="s">
        <v>4874</v>
      </c>
      <c r="B2348" s="841" t="s">
        <v>5319</v>
      </c>
      <c r="E2348" s="2021" t="s">
        <v>5202</v>
      </c>
      <c r="F2348" s="2021"/>
      <c r="G2348" s="2127"/>
      <c r="H2348" s="2127"/>
      <c r="K2348" s="841" t="s">
        <v>5202</v>
      </c>
      <c r="M2348" s="1357"/>
      <c r="Q2348" s="1357"/>
      <c r="S2348" s="1420"/>
      <c r="T2348" s="1420"/>
      <c r="V2348" s="1357">
        <v>12</v>
      </c>
    </row>
    <row r="2349" spans="1:22" s="841" customFormat="1" x14ac:dyDescent="0.25">
      <c r="A2349" s="841" t="s">
        <v>4874</v>
      </c>
      <c r="B2349" s="841" t="s">
        <v>5319</v>
      </c>
      <c r="E2349" s="1974" t="s">
        <v>438</v>
      </c>
      <c r="F2349" s="1974"/>
      <c r="G2349" s="1970"/>
      <c r="H2349" s="1970"/>
      <c r="K2349" s="841" t="s">
        <v>3197</v>
      </c>
      <c r="M2349" s="1357"/>
      <c r="Q2349" s="1357"/>
      <c r="S2349" s="1420"/>
      <c r="T2349" s="1420"/>
      <c r="V2349" s="1357">
        <v>34</v>
      </c>
    </row>
    <row r="2350" spans="1:22" s="841" customFormat="1" ht="15" x14ac:dyDescent="0.25">
      <c r="A2350" s="841" t="s">
        <v>4874</v>
      </c>
      <c r="B2350" s="841" t="s">
        <v>5319</v>
      </c>
      <c r="E2350" s="1969" t="s">
        <v>5321</v>
      </c>
      <c r="F2350" s="1969"/>
      <c r="G2350" s="1970"/>
      <c r="H2350" s="1970"/>
      <c r="K2350" s="841" t="s">
        <v>3197</v>
      </c>
      <c r="M2350" s="1357"/>
      <c r="Q2350" s="1357"/>
      <c r="S2350" s="1420"/>
      <c r="T2350" s="1420"/>
      <c r="V2350" s="1357">
        <v>515</v>
      </c>
    </row>
    <row r="2351" spans="1:22" s="841" customFormat="1" ht="15" x14ac:dyDescent="0.25">
      <c r="A2351" s="841" t="s">
        <v>4874</v>
      </c>
      <c r="B2351" s="841" t="s">
        <v>5319</v>
      </c>
      <c r="E2351" s="2017" t="s">
        <v>3061</v>
      </c>
      <c r="F2351" s="2017"/>
      <c r="G2351" s="2018"/>
      <c r="H2351" s="2018"/>
      <c r="K2351" s="841" t="s">
        <v>3062</v>
      </c>
      <c r="M2351" s="1357"/>
      <c r="Q2351" s="1357"/>
      <c r="S2351" s="1420"/>
      <c r="T2351" s="1420"/>
      <c r="V2351" s="1357">
        <v>11</v>
      </c>
    </row>
    <row r="2352" spans="1:22" s="841" customFormat="1" ht="15" x14ac:dyDescent="0.25">
      <c r="A2352" s="841" t="s">
        <v>4874</v>
      </c>
      <c r="B2352" s="841" t="s">
        <v>5319</v>
      </c>
      <c r="E2352" s="1969" t="s">
        <v>3063</v>
      </c>
      <c r="F2352" s="1969"/>
      <c r="G2352" s="1970"/>
      <c r="H2352" s="1970"/>
      <c r="K2352" s="841" t="s">
        <v>3197</v>
      </c>
      <c r="M2352" s="1357"/>
      <c r="Q2352" s="1357"/>
      <c r="S2352" s="1420"/>
      <c r="T2352" s="1420"/>
      <c r="V2352" s="1357">
        <v>280</v>
      </c>
    </row>
    <row r="2353" spans="1:22" s="841" customFormat="1" ht="15" x14ac:dyDescent="0.25">
      <c r="A2353" s="841" t="s">
        <v>4874</v>
      </c>
      <c r="B2353" s="841" t="s">
        <v>5319</v>
      </c>
      <c r="E2353" s="1969" t="s">
        <v>3301</v>
      </c>
      <c r="F2353" s="1969"/>
      <c r="G2353" s="1970"/>
      <c r="H2353" s="1970"/>
      <c r="K2353" s="841" t="s">
        <v>3197</v>
      </c>
      <c r="M2353" s="1357"/>
      <c r="Q2353" s="1357"/>
      <c r="S2353" s="1420"/>
      <c r="T2353" s="1420"/>
      <c r="V2353" s="1357">
        <v>426</v>
      </c>
    </row>
    <row r="2354" spans="1:22" s="841" customFormat="1" ht="15" x14ac:dyDescent="0.25">
      <c r="A2354" s="841" t="s">
        <v>4874</v>
      </c>
      <c r="B2354" s="841" t="s">
        <v>5319</v>
      </c>
      <c r="E2354" s="1969" t="s">
        <v>3199</v>
      </c>
      <c r="F2354" s="1969"/>
      <c r="G2354" s="1970"/>
      <c r="H2354" s="1970"/>
      <c r="K2354" s="841" t="s">
        <v>3197</v>
      </c>
      <c r="M2354" s="1357"/>
      <c r="Q2354" s="1357"/>
      <c r="S2354" s="1420"/>
      <c r="T2354" s="1420"/>
      <c r="V2354" s="1357">
        <v>386</v>
      </c>
    </row>
    <row r="2355" spans="1:22" s="841" customFormat="1" ht="15" x14ac:dyDescent="0.25">
      <c r="A2355" s="841" t="s">
        <v>4874</v>
      </c>
      <c r="B2355" s="841" t="s">
        <v>5319</v>
      </c>
      <c r="E2355" s="1969" t="s">
        <v>3200</v>
      </c>
      <c r="F2355" s="1969"/>
      <c r="G2355" s="1970"/>
      <c r="H2355" s="1970"/>
      <c r="K2355" s="841" t="s">
        <v>3197</v>
      </c>
      <c r="M2355" s="1357"/>
      <c r="Q2355" s="1357"/>
      <c r="S2355" s="1420"/>
      <c r="T2355" s="1420"/>
      <c r="V2355" s="1357">
        <v>275</v>
      </c>
    </row>
    <row r="2356" spans="1:22" s="841" customFormat="1" ht="15" x14ac:dyDescent="0.25">
      <c r="A2356" s="841" t="s">
        <v>4874</v>
      </c>
      <c r="B2356" s="841" t="s">
        <v>5319</v>
      </c>
      <c r="E2356" s="1972" t="s">
        <v>3067</v>
      </c>
      <c r="F2356" s="1972"/>
      <c r="G2356" s="1973"/>
      <c r="H2356" s="1973"/>
      <c r="K2356" s="841" t="s">
        <v>3068</v>
      </c>
      <c r="M2356" s="1357"/>
      <c r="Q2356" s="1357"/>
      <c r="S2356" s="1420"/>
      <c r="T2356" s="1420"/>
      <c r="V2356" s="1357">
        <v>46</v>
      </c>
    </row>
    <row r="2357" spans="1:22" s="841" customFormat="1" ht="15" x14ac:dyDescent="0.25">
      <c r="A2357" s="841" t="s">
        <v>4874</v>
      </c>
      <c r="B2357" s="841" t="s">
        <v>5319</v>
      </c>
      <c r="E2357" s="1167" t="s">
        <v>11</v>
      </c>
      <c r="F2357" s="1167"/>
      <c r="G2357" s="1168" t="s">
        <v>23</v>
      </c>
      <c r="H2357" s="723">
        <v>21.61</v>
      </c>
      <c r="K2357" s="841" t="s">
        <v>3197</v>
      </c>
      <c r="L2357" s="841" t="s">
        <v>442</v>
      </c>
      <c r="M2357" s="1357"/>
      <c r="P2357" s="841" t="s">
        <v>3201</v>
      </c>
      <c r="Q2357" s="1357"/>
      <c r="S2357" s="1420"/>
      <c r="T2357" s="1420"/>
      <c r="V2357" s="1357">
        <v>14</v>
      </c>
    </row>
    <row r="2358" spans="1:22" s="841" customFormat="1" ht="23.25" x14ac:dyDescent="0.25">
      <c r="A2358" s="841" t="s">
        <v>4874</v>
      </c>
      <c r="B2358" s="841" t="s">
        <v>5319</v>
      </c>
      <c r="E2358" s="1167" t="s">
        <v>5109</v>
      </c>
      <c r="F2358" s="1167"/>
      <c r="G2358" s="1168" t="s">
        <v>23</v>
      </c>
      <c r="H2358" s="723">
        <v>0.56999999999999995</v>
      </c>
      <c r="K2358" s="841" t="s">
        <v>3197</v>
      </c>
      <c r="L2358" s="841" t="s">
        <v>443</v>
      </c>
      <c r="M2358" s="1357"/>
      <c r="P2358" s="841" t="s">
        <v>3202</v>
      </c>
      <c r="Q2358" s="1357"/>
      <c r="S2358" s="1420"/>
      <c r="T2358" s="1420">
        <v>44926</v>
      </c>
      <c r="V2358" s="1357">
        <v>64</v>
      </c>
    </row>
    <row r="2359" spans="1:22" s="841" customFormat="1" ht="34.5" x14ac:dyDescent="0.25">
      <c r="A2359" s="841" t="s">
        <v>4874</v>
      </c>
      <c r="B2359" s="841" t="s">
        <v>5319</v>
      </c>
      <c r="E2359" s="1167" t="s">
        <v>5322</v>
      </c>
      <c r="F2359" s="1167"/>
      <c r="G2359" s="1169" t="s">
        <v>23</v>
      </c>
      <c r="H2359" s="723">
        <v>0.6</v>
      </c>
      <c r="K2359" s="841" t="s">
        <v>3197</v>
      </c>
      <c r="L2359" s="841" t="s">
        <v>442</v>
      </c>
      <c r="M2359" s="1357"/>
      <c r="P2359" s="841" t="s">
        <v>6177</v>
      </c>
      <c r="Q2359" s="1357"/>
      <c r="S2359" s="1420"/>
      <c r="T2359" s="1420"/>
      <c r="V2359" s="1357">
        <v>135</v>
      </c>
    </row>
    <row r="2360" spans="1:22" s="841" customFormat="1" ht="15" x14ac:dyDescent="0.25">
      <c r="A2360" s="841" t="s">
        <v>4874</v>
      </c>
      <c r="B2360" s="841" t="s">
        <v>5319</v>
      </c>
      <c r="E2360" s="621" t="s">
        <v>5203</v>
      </c>
      <c r="F2360" s="621"/>
      <c r="G2360" s="1168" t="s">
        <v>23</v>
      </c>
      <c r="H2360" s="723">
        <v>0.16</v>
      </c>
      <c r="K2360" s="841" t="s">
        <v>3197</v>
      </c>
      <c r="L2360" s="841" t="s">
        <v>442</v>
      </c>
      <c r="M2360" s="1357"/>
      <c r="P2360" s="841" t="s">
        <v>6178</v>
      </c>
      <c r="Q2360" s="1357"/>
      <c r="S2360" s="1420"/>
      <c r="T2360" s="1420"/>
      <c r="V2360" s="1357">
        <v>152</v>
      </c>
    </row>
    <row r="2361" spans="1:22" s="841" customFormat="1" ht="15" x14ac:dyDescent="0.25">
      <c r="A2361" s="841" t="s">
        <v>4874</v>
      </c>
      <c r="B2361" s="841" t="s">
        <v>5319</v>
      </c>
      <c r="E2361" s="625" t="s">
        <v>5204</v>
      </c>
      <c r="F2361" s="625"/>
      <c r="G2361" s="1168" t="s">
        <v>23</v>
      </c>
      <c r="H2361" s="723">
        <v>0.17</v>
      </c>
      <c r="K2361" s="841" t="s">
        <v>3197</v>
      </c>
      <c r="L2361" s="841" t="s">
        <v>442</v>
      </c>
      <c r="M2361" s="1357"/>
      <c r="P2361" s="841" t="s">
        <v>6179</v>
      </c>
      <c r="Q2361" s="1357"/>
      <c r="S2361" s="1420"/>
      <c r="T2361" s="1420">
        <v>43465</v>
      </c>
      <c r="V2361" s="1357">
        <v>96</v>
      </c>
    </row>
    <row r="2362" spans="1:22" s="841" customFormat="1" ht="15" x14ac:dyDescent="0.25">
      <c r="A2362" s="841" t="s">
        <v>4874</v>
      </c>
      <c r="B2362" s="841" t="s">
        <v>5319</v>
      </c>
      <c r="E2362" s="1167" t="s">
        <v>84</v>
      </c>
      <c r="F2362" s="1167"/>
      <c r="G2362" s="1168" t="s">
        <v>24</v>
      </c>
      <c r="H2362" s="724">
        <v>3.5000000000000001E-3</v>
      </c>
      <c r="K2362" s="841" t="s">
        <v>3197</v>
      </c>
      <c r="L2362" s="841" t="s">
        <v>442</v>
      </c>
      <c r="M2362" s="1357"/>
      <c r="P2362" s="841" t="s">
        <v>3203</v>
      </c>
      <c r="Q2362" s="1357"/>
      <c r="S2362" s="1420"/>
      <c r="T2362" s="1420"/>
      <c r="V2362" s="1357">
        <v>28</v>
      </c>
    </row>
    <row r="2363" spans="1:22" s="841" customFormat="1" ht="15" x14ac:dyDescent="0.25">
      <c r="A2363" s="841" t="s">
        <v>4874</v>
      </c>
      <c r="B2363" s="841" t="s">
        <v>5319</v>
      </c>
      <c r="E2363" s="1167" t="s">
        <v>4813</v>
      </c>
      <c r="F2363" s="1167"/>
      <c r="G2363" s="1168" t="s">
        <v>24</v>
      </c>
      <c r="H2363" s="724">
        <v>2.0000000000000001E-4</v>
      </c>
      <c r="K2363" s="841" t="s">
        <v>3197</v>
      </c>
      <c r="L2363" s="841" t="s">
        <v>443</v>
      </c>
      <c r="M2363" s="1357"/>
      <c r="P2363" s="841" t="s">
        <v>3204</v>
      </c>
      <c r="Q2363" s="1357"/>
      <c r="S2363" s="1420"/>
      <c r="T2363" s="1420"/>
      <c r="V2363" s="1357">
        <v>25</v>
      </c>
    </row>
    <row r="2364" spans="1:22" s="841" customFormat="1" ht="45.75" x14ac:dyDescent="0.25">
      <c r="A2364" s="841" t="s">
        <v>4874</v>
      </c>
      <c r="B2364" s="841" t="s">
        <v>5319</v>
      </c>
      <c r="E2364" s="1116" t="s">
        <v>5325</v>
      </c>
      <c r="F2364" s="1116"/>
      <c r="G2364" s="1169" t="s">
        <v>24</v>
      </c>
      <c r="H2364" s="724">
        <v>-5.0000000000000001E-4</v>
      </c>
      <c r="K2364" s="841" t="s">
        <v>3197</v>
      </c>
      <c r="L2364" s="841" t="s">
        <v>443</v>
      </c>
      <c r="M2364" s="1357"/>
      <c r="P2364" s="841" t="s">
        <v>3205</v>
      </c>
      <c r="Q2364" s="1357"/>
      <c r="S2364" s="1420"/>
      <c r="T2364" s="1420">
        <v>43585</v>
      </c>
      <c r="V2364" s="1357">
        <v>154</v>
      </c>
    </row>
    <row r="2365" spans="1:22" s="841" customFormat="1" ht="15" x14ac:dyDescent="0.25">
      <c r="A2365" s="841" t="s">
        <v>4874</v>
      </c>
      <c r="B2365" s="841" t="s">
        <v>5319</v>
      </c>
      <c r="E2365" s="621" t="s">
        <v>5210</v>
      </c>
      <c r="F2365" s="621"/>
      <c r="G2365" s="1168" t="s">
        <v>24</v>
      </c>
      <c r="H2365" s="724">
        <v>-6.9999999999999999E-4</v>
      </c>
      <c r="K2365" s="841" t="s">
        <v>3197</v>
      </c>
      <c r="L2365" s="841" t="s">
        <v>443</v>
      </c>
      <c r="M2365" s="1357"/>
      <c r="P2365" s="841" t="s">
        <v>3207</v>
      </c>
      <c r="Q2365" s="1357"/>
      <c r="S2365" s="1420"/>
      <c r="T2365" s="1420">
        <v>43585</v>
      </c>
      <c r="V2365" s="1357">
        <v>108</v>
      </c>
    </row>
    <row r="2366" spans="1:22" s="841" customFormat="1" ht="45.75" x14ac:dyDescent="0.25">
      <c r="A2366" s="841" t="s">
        <v>4874</v>
      </c>
      <c r="B2366" s="841" t="s">
        <v>5319</v>
      </c>
      <c r="E2366" s="1116" t="s">
        <v>5326</v>
      </c>
      <c r="F2366" s="1116"/>
      <c r="G2366" s="1169" t="s">
        <v>24</v>
      </c>
      <c r="H2366" s="918">
        <v>-5.0000000000000002E-5</v>
      </c>
      <c r="K2366" s="841" t="s">
        <v>3197</v>
      </c>
      <c r="L2366" s="841" t="s">
        <v>443</v>
      </c>
      <c r="M2366" s="1357"/>
      <c r="P2366" s="841" t="s">
        <v>5103</v>
      </c>
      <c r="Q2366" s="1357"/>
      <c r="S2366" s="1420"/>
      <c r="T2366" s="1420">
        <v>43585</v>
      </c>
      <c r="V2366" s="1357">
        <v>160</v>
      </c>
    </row>
    <row r="2367" spans="1:22" s="841" customFormat="1" ht="45.75" x14ac:dyDescent="0.25">
      <c r="A2367" s="841" t="s">
        <v>4874</v>
      </c>
      <c r="B2367" s="841" t="s">
        <v>5319</v>
      </c>
      <c r="E2367" s="1116" t="s">
        <v>5327</v>
      </c>
      <c r="F2367" s="1116"/>
      <c r="G2367" s="1169" t="s">
        <v>24</v>
      </c>
      <c r="H2367" s="724">
        <v>-2.0000000000000001E-4</v>
      </c>
      <c r="K2367" s="841" t="s">
        <v>3197</v>
      </c>
      <c r="L2367" s="841" t="s">
        <v>442</v>
      </c>
      <c r="M2367" s="1357"/>
      <c r="P2367" s="841" t="s">
        <v>3206</v>
      </c>
      <c r="Q2367" s="1357"/>
      <c r="S2367" s="1420"/>
      <c r="T2367" s="1420">
        <v>43585</v>
      </c>
      <c r="V2367" s="1357">
        <v>146</v>
      </c>
    </row>
    <row r="2368" spans="1:22" s="841" customFormat="1" ht="15" x14ac:dyDescent="0.25">
      <c r="A2368" s="841" t="s">
        <v>4874</v>
      </c>
      <c r="B2368" s="841" t="s">
        <v>5319</v>
      </c>
      <c r="E2368" s="1167" t="s">
        <v>221</v>
      </c>
      <c r="F2368" s="1167"/>
      <c r="G2368" s="1168" t="s">
        <v>24</v>
      </c>
      <c r="H2368" s="724">
        <v>7.5706432419583008E-3</v>
      </c>
      <c r="K2368" s="841" t="s">
        <v>3197</v>
      </c>
      <c r="L2368" s="841" t="s">
        <v>444</v>
      </c>
      <c r="M2368" s="1357"/>
      <c r="P2368" s="841" t="s">
        <v>3208</v>
      </c>
      <c r="Q2368" s="1357"/>
      <c r="S2368" s="1420"/>
      <c r="T2368" s="1420"/>
      <c r="V2368" s="1357">
        <v>47</v>
      </c>
    </row>
    <row r="2369" spans="1:22" s="841" customFormat="1" ht="23.25" x14ac:dyDescent="0.25">
      <c r="A2369" s="841" t="s">
        <v>4874</v>
      </c>
      <c r="B2369" s="841" t="s">
        <v>5319</v>
      </c>
      <c r="E2369" s="1167" t="s">
        <v>217</v>
      </c>
      <c r="F2369" s="1167"/>
      <c r="G2369" s="1168" t="s">
        <v>24</v>
      </c>
      <c r="H2369" s="724">
        <v>7.0836618157868745E-3</v>
      </c>
      <c r="K2369" s="841" t="s">
        <v>3197</v>
      </c>
      <c r="L2369" s="841" t="s">
        <v>444</v>
      </c>
      <c r="M2369" s="1357"/>
      <c r="P2369" s="841" t="s">
        <v>3209</v>
      </c>
      <c r="Q2369" s="1357"/>
      <c r="S2369" s="1420"/>
      <c r="T2369" s="1420"/>
      <c r="V2369" s="1357">
        <v>74</v>
      </c>
    </row>
    <row r="2370" spans="1:22" s="841" customFormat="1" ht="26.25" x14ac:dyDescent="0.25">
      <c r="A2370" s="841" t="s">
        <v>4874</v>
      </c>
      <c r="B2370" s="841" t="s">
        <v>5319</v>
      </c>
      <c r="E2370" s="1389" t="s">
        <v>3079</v>
      </c>
      <c r="F2370" s="1389"/>
      <c r="G2370" s="1113"/>
      <c r="H2370" s="1085"/>
      <c r="K2370" s="841" t="s">
        <v>3080</v>
      </c>
      <c r="M2370" s="1357"/>
      <c r="Q2370" s="1357"/>
      <c r="S2370" s="1420"/>
      <c r="T2370" s="1420"/>
      <c r="V2370" s="1357">
        <v>48</v>
      </c>
    </row>
    <row r="2371" spans="1:22" s="841" customFormat="1" ht="15" x14ac:dyDescent="0.25">
      <c r="A2371" s="841" t="s">
        <v>4874</v>
      </c>
      <c r="B2371" s="841" t="s">
        <v>5319</v>
      </c>
      <c r="E2371" s="1690" t="s">
        <v>2449</v>
      </c>
      <c r="F2371" s="1690"/>
      <c r="G2371" s="1113" t="s">
        <v>24</v>
      </c>
      <c r="H2371" s="1115">
        <v>3.2000000000000002E-3</v>
      </c>
      <c r="K2371" s="841" t="s">
        <v>3197</v>
      </c>
      <c r="L2371" s="841" t="s">
        <v>3046</v>
      </c>
      <c r="M2371" s="1357"/>
      <c r="P2371" s="841" t="s">
        <v>3210</v>
      </c>
      <c r="Q2371" s="1357"/>
      <c r="S2371" s="1420"/>
      <c r="T2371" s="1420"/>
      <c r="V2371" s="1357">
        <v>55</v>
      </c>
    </row>
    <row r="2372" spans="1:22" s="841" customFormat="1" ht="23.25" x14ac:dyDescent="0.25">
      <c r="A2372" s="841" t="s">
        <v>4874</v>
      </c>
      <c r="B2372" s="841" t="s">
        <v>5319</v>
      </c>
      <c r="E2372" s="1167" t="s">
        <v>3211</v>
      </c>
      <c r="F2372" s="1167"/>
      <c r="G2372" s="1113" t="s">
        <v>24</v>
      </c>
      <c r="H2372" s="724">
        <v>4.0000000000000002E-4</v>
      </c>
      <c r="K2372" s="841" t="s">
        <v>3197</v>
      </c>
      <c r="L2372" s="841" t="s">
        <v>3046</v>
      </c>
      <c r="M2372" s="1357"/>
      <c r="P2372" s="841" t="s">
        <v>3210</v>
      </c>
      <c r="Q2372" s="1357"/>
      <c r="S2372" s="1420"/>
      <c r="T2372" s="1420"/>
      <c r="V2372" s="1357">
        <v>64</v>
      </c>
    </row>
    <row r="2373" spans="1:22" s="841" customFormat="1" ht="23.25" x14ac:dyDescent="0.25">
      <c r="A2373" s="841" t="s">
        <v>4874</v>
      </c>
      <c r="B2373" s="841" t="s">
        <v>5319</v>
      </c>
      <c r="E2373" s="1382" t="s">
        <v>439</v>
      </c>
      <c r="F2373" s="1382"/>
      <c r="G2373" s="1113" t="s">
        <v>24</v>
      </c>
      <c r="H2373" s="724">
        <v>2.9999999999999997E-4</v>
      </c>
      <c r="K2373" s="841" t="s">
        <v>3197</v>
      </c>
      <c r="L2373" s="841" t="s">
        <v>3046</v>
      </c>
      <c r="M2373" s="1357"/>
      <c r="P2373" s="841" t="s">
        <v>3212</v>
      </c>
      <c r="Q2373" s="1357"/>
      <c r="S2373" s="1420"/>
      <c r="T2373" s="1420"/>
      <c r="V2373" s="1357">
        <v>57</v>
      </c>
    </row>
    <row r="2374" spans="1:22" s="841" customFormat="1" ht="23.25" x14ac:dyDescent="0.25">
      <c r="A2374" s="841" t="s">
        <v>4874</v>
      </c>
      <c r="B2374" s="841" t="s">
        <v>5319</v>
      </c>
      <c r="E2374" s="1382" t="s">
        <v>32</v>
      </c>
      <c r="F2374" s="1382"/>
      <c r="G2374" s="1113" t="s">
        <v>23</v>
      </c>
      <c r="H2374" s="723">
        <v>0.25</v>
      </c>
      <c r="K2374" s="841" t="s">
        <v>3197</v>
      </c>
      <c r="L2374" s="841" t="s">
        <v>3046</v>
      </c>
      <c r="M2374" s="1357"/>
      <c r="P2374" s="841" t="s">
        <v>3213</v>
      </c>
      <c r="Q2374" s="1357"/>
      <c r="S2374" s="1420"/>
      <c r="T2374" s="1420"/>
      <c r="V2374" s="1357">
        <v>63</v>
      </c>
    </row>
    <row r="2375" spans="1:22" s="841" customFormat="1" x14ac:dyDescent="0.25">
      <c r="A2375" s="841" t="s">
        <v>4874</v>
      </c>
      <c r="B2375" s="841" t="s">
        <v>5319</v>
      </c>
      <c r="E2375" s="1974" t="s">
        <v>3214</v>
      </c>
      <c r="F2375" s="1974"/>
      <c r="G2375" s="1975"/>
      <c r="H2375" s="1975"/>
      <c r="K2375" s="841" t="s">
        <v>5110</v>
      </c>
      <c r="M2375" s="1357"/>
      <c r="Q2375" s="1357"/>
      <c r="S2375" s="1420"/>
      <c r="T2375" s="1420"/>
      <c r="V2375" s="1357">
        <v>54</v>
      </c>
    </row>
    <row r="2376" spans="1:22" s="841" customFormat="1" ht="15" x14ac:dyDescent="0.25">
      <c r="A2376" s="841" t="s">
        <v>4874</v>
      </c>
      <c r="B2376" s="841" t="s">
        <v>5319</v>
      </c>
      <c r="E2376" s="1969" t="s">
        <v>5328</v>
      </c>
      <c r="F2376" s="1969"/>
      <c r="G2376" s="1970"/>
      <c r="H2376" s="1970"/>
      <c r="K2376" s="841" t="s">
        <v>5110</v>
      </c>
      <c r="M2376" s="1357"/>
      <c r="Q2376" s="1357"/>
      <c r="S2376" s="1420"/>
      <c r="T2376" s="1420"/>
      <c r="V2376" s="1357">
        <v>293</v>
      </c>
    </row>
    <row r="2377" spans="1:22" s="841" customFormat="1" ht="15" x14ac:dyDescent="0.25">
      <c r="A2377" s="841" t="s">
        <v>4874</v>
      </c>
      <c r="B2377" s="841" t="s">
        <v>5319</v>
      </c>
      <c r="E2377" s="2017" t="s">
        <v>3061</v>
      </c>
      <c r="F2377" s="2017"/>
      <c r="G2377" s="2018"/>
      <c r="H2377" s="2018"/>
      <c r="K2377" s="841" t="s">
        <v>3086</v>
      </c>
      <c r="M2377" s="1357"/>
      <c r="Q2377" s="1357"/>
      <c r="S2377" s="1420"/>
      <c r="T2377" s="1420"/>
      <c r="V2377" s="1357">
        <v>11</v>
      </c>
    </row>
    <row r="2378" spans="1:22" s="841" customFormat="1" ht="15" x14ac:dyDescent="0.25">
      <c r="A2378" s="841" t="s">
        <v>4874</v>
      </c>
      <c r="B2378" s="841" t="s">
        <v>5319</v>
      </c>
      <c r="E2378" s="1969" t="s">
        <v>3063</v>
      </c>
      <c r="F2378" s="1969"/>
      <c r="G2378" s="1970"/>
      <c r="H2378" s="1970"/>
      <c r="K2378" s="841" t="s">
        <v>5110</v>
      </c>
      <c r="M2378" s="1357"/>
      <c r="Q2378" s="1357"/>
      <c r="S2378" s="1420"/>
      <c r="T2378" s="1420"/>
      <c r="V2378" s="1357">
        <v>280</v>
      </c>
    </row>
    <row r="2379" spans="1:22" s="841" customFormat="1" ht="15" x14ac:dyDescent="0.25">
      <c r="A2379" s="841" t="s">
        <v>4874</v>
      </c>
      <c r="B2379" s="841" t="s">
        <v>5319</v>
      </c>
      <c r="E2379" s="1969" t="s">
        <v>3064</v>
      </c>
      <c r="F2379" s="1969"/>
      <c r="G2379" s="1969"/>
      <c r="H2379" s="1969"/>
      <c r="K2379" s="841" t="s">
        <v>5110</v>
      </c>
      <c r="M2379" s="1357"/>
      <c r="Q2379" s="1357"/>
      <c r="S2379" s="1420"/>
      <c r="T2379" s="1420"/>
      <c r="V2379" s="1357">
        <v>411</v>
      </c>
    </row>
    <row r="2380" spans="1:22" s="841" customFormat="1" ht="15" x14ac:dyDescent="0.25">
      <c r="A2380" s="841" t="s">
        <v>4874</v>
      </c>
      <c r="B2380" s="841" t="s">
        <v>5319</v>
      </c>
      <c r="E2380" s="1969" t="s">
        <v>3199</v>
      </c>
      <c r="F2380" s="1969"/>
      <c r="G2380" s="1970"/>
      <c r="H2380" s="1970"/>
      <c r="K2380" s="841" t="s">
        <v>5110</v>
      </c>
      <c r="M2380" s="1357"/>
      <c r="Q2380" s="1357"/>
      <c r="S2380" s="1420"/>
      <c r="T2380" s="1420"/>
      <c r="V2380" s="1357">
        <v>386</v>
      </c>
    </row>
    <row r="2381" spans="1:22" s="841" customFormat="1" ht="15" x14ac:dyDescent="0.25">
      <c r="A2381" s="841" t="s">
        <v>4874</v>
      </c>
      <c r="B2381" s="841" t="s">
        <v>5319</v>
      </c>
      <c r="E2381" s="1969" t="s">
        <v>3200</v>
      </c>
      <c r="F2381" s="1969"/>
      <c r="G2381" s="1970"/>
      <c r="H2381" s="1970"/>
      <c r="K2381" s="841" t="s">
        <v>5110</v>
      </c>
      <c r="M2381" s="1357"/>
      <c r="Q2381" s="1357"/>
      <c r="S2381" s="1420"/>
      <c r="T2381" s="1420"/>
      <c r="V2381" s="1357">
        <v>275</v>
      </c>
    </row>
    <row r="2382" spans="1:22" s="841" customFormat="1" ht="15" x14ac:dyDescent="0.25">
      <c r="A2382" s="841" t="s">
        <v>4874</v>
      </c>
      <c r="B2382" s="841" t="s">
        <v>5319</v>
      </c>
      <c r="E2382" s="1972" t="s">
        <v>3067</v>
      </c>
      <c r="F2382" s="1972"/>
      <c r="G2382" s="1973"/>
      <c r="H2382" s="1973"/>
      <c r="K2382" s="841" t="s">
        <v>3087</v>
      </c>
      <c r="M2382" s="1357"/>
      <c r="Q2382" s="1357"/>
      <c r="S2382" s="1420"/>
      <c r="T2382" s="1420"/>
      <c r="V2382" s="1357">
        <v>46</v>
      </c>
    </row>
    <row r="2383" spans="1:22" s="841" customFormat="1" ht="15" x14ac:dyDescent="0.25">
      <c r="A2383" s="841" t="s">
        <v>4874</v>
      </c>
      <c r="B2383" s="841" t="s">
        <v>5319</v>
      </c>
      <c r="E2383" s="1167" t="s">
        <v>11</v>
      </c>
      <c r="F2383" s="1167"/>
      <c r="G2383" s="1169" t="s">
        <v>23</v>
      </c>
      <c r="H2383" s="723">
        <v>43.99</v>
      </c>
      <c r="K2383" s="841" t="s">
        <v>5110</v>
      </c>
      <c r="L2383" s="841" t="s">
        <v>442</v>
      </c>
      <c r="M2383" s="1357"/>
      <c r="P2383" s="841" t="s">
        <v>5111</v>
      </c>
      <c r="Q2383" s="1357"/>
      <c r="S2383" s="1420"/>
      <c r="T2383" s="1420"/>
      <c r="V2383" s="1357">
        <v>14</v>
      </c>
    </row>
    <row r="2384" spans="1:22" s="841" customFormat="1" ht="23.25" x14ac:dyDescent="0.25">
      <c r="A2384" s="841" t="s">
        <v>4874</v>
      </c>
      <c r="B2384" s="841" t="s">
        <v>5319</v>
      </c>
      <c r="E2384" s="1167" t="s">
        <v>5109</v>
      </c>
      <c r="F2384" s="1167"/>
      <c r="G2384" s="1169" t="s">
        <v>23</v>
      </c>
      <c r="H2384" s="723">
        <v>0.56999999999999995</v>
      </c>
      <c r="K2384" s="841" t="s">
        <v>5110</v>
      </c>
      <c r="L2384" s="841" t="s">
        <v>443</v>
      </c>
      <c r="M2384" s="1357"/>
      <c r="P2384" s="841" t="s">
        <v>5112</v>
      </c>
      <c r="Q2384" s="1357"/>
      <c r="S2384" s="1420"/>
      <c r="T2384" s="1420">
        <v>44926</v>
      </c>
      <c r="V2384" s="1357">
        <v>64</v>
      </c>
    </row>
    <row r="2385" spans="1:22" s="841" customFormat="1" ht="34.5" x14ac:dyDescent="0.25">
      <c r="A2385" s="841" t="s">
        <v>4874</v>
      </c>
      <c r="B2385" s="841" t="s">
        <v>5319</v>
      </c>
      <c r="E2385" s="1167" t="s">
        <v>5322</v>
      </c>
      <c r="F2385" s="1167"/>
      <c r="G2385" s="1169" t="s">
        <v>23</v>
      </c>
      <c r="H2385" s="723">
        <v>1.1000000000000001</v>
      </c>
      <c r="K2385" s="841" t="s">
        <v>5110</v>
      </c>
      <c r="L2385" s="841" t="s">
        <v>442</v>
      </c>
      <c r="M2385" s="1357"/>
      <c r="P2385" s="841" t="s">
        <v>6180</v>
      </c>
      <c r="Q2385" s="1357"/>
      <c r="S2385" s="1420"/>
      <c r="T2385" s="1420"/>
      <c r="V2385" s="1357">
        <v>135</v>
      </c>
    </row>
    <row r="2386" spans="1:22" s="841" customFormat="1" ht="15" x14ac:dyDescent="0.25">
      <c r="A2386" s="841" t="s">
        <v>4874</v>
      </c>
      <c r="B2386" s="841" t="s">
        <v>5319</v>
      </c>
      <c r="E2386" s="621" t="s">
        <v>5203</v>
      </c>
      <c r="F2386" s="621"/>
      <c r="G2386" s="1169" t="s">
        <v>23</v>
      </c>
      <c r="H2386" s="723">
        <v>0.28999999999999998</v>
      </c>
      <c r="K2386" s="841" t="s">
        <v>5110</v>
      </c>
      <c r="L2386" s="841" t="s">
        <v>442</v>
      </c>
      <c r="M2386" s="1357"/>
      <c r="P2386" s="841" t="s">
        <v>6181</v>
      </c>
      <c r="Q2386" s="1357"/>
      <c r="S2386" s="1420"/>
      <c r="T2386" s="1420"/>
      <c r="V2386" s="1357">
        <v>152</v>
      </c>
    </row>
    <row r="2387" spans="1:22" s="841" customFormat="1" ht="15" x14ac:dyDescent="0.25">
      <c r="A2387" s="841" t="s">
        <v>4874</v>
      </c>
      <c r="B2387" s="841" t="s">
        <v>5319</v>
      </c>
      <c r="E2387" s="625" t="s">
        <v>5204</v>
      </c>
      <c r="F2387" s="625"/>
      <c r="G2387" s="1169" t="s">
        <v>23</v>
      </c>
      <c r="H2387" s="723">
        <v>0.35</v>
      </c>
      <c r="K2387" s="841" t="s">
        <v>5110</v>
      </c>
      <c r="L2387" s="841" t="s">
        <v>442</v>
      </c>
      <c r="M2387" s="1357"/>
      <c r="P2387" s="841" t="s">
        <v>6182</v>
      </c>
      <c r="Q2387" s="1357"/>
      <c r="S2387" s="1420"/>
      <c r="T2387" s="1420">
        <v>43465</v>
      </c>
      <c r="V2387" s="1357">
        <v>96</v>
      </c>
    </row>
    <row r="2388" spans="1:22" s="841" customFormat="1" ht="15" x14ac:dyDescent="0.25">
      <c r="A2388" s="841" t="s">
        <v>4874</v>
      </c>
      <c r="B2388" s="841" t="s">
        <v>5319</v>
      </c>
      <c r="E2388" s="1167" t="s">
        <v>84</v>
      </c>
      <c r="F2388" s="1167"/>
      <c r="G2388" s="1169" t="s">
        <v>24</v>
      </c>
      <c r="H2388" s="724">
        <v>1.2800000000000001E-2</v>
      </c>
      <c r="K2388" s="841" t="s">
        <v>5110</v>
      </c>
      <c r="L2388" s="841" t="s">
        <v>442</v>
      </c>
      <c r="M2388" s="1357"/>
      <c r="P2388" s="841" t="s">
        <v>5113</v>
      </c>
      <c r="Q2388" s="1357"/>
      <c r="S2388" s="1420"/>
      <c r="T2388" s="1420"/>
      <c r="V2388" s="1357">
        <v>28</v>
      </c>
    </row>
    <row r="2389" spans="1:22" s="841" customFormat="1" ht="15" x14ac:dyDescent="0.25">
      <c r="A2389" s="841" t="s">
        <v>4874</v>
      </c>
      <c r="B2389" s="841" t="s">
        <v>5319</v>
      </c>
      <c r="E2389" s="1167" t="s">
        <v>4813</v>
      </c>
      <c r="F2389" s="1167"/>
      <c r="G2389" s="1169" t="s">
        <v>24</v>
      </c>
      <c r="H2389" s="724">
        <v>2.0000000000000001E-4</v>
      </c>
      <c r="K2389" s="841" t="s">
        <v>5110</v>
      </c>
      <c r="L2389" s="841" t="s">
        <v>443</v>
      </c>
      <c r="M2389" s="1357"/>
      <c r="P2389" s="841" t="s">
        <v>5114</v>
      </c>
      <c r="Q2389" s="1357"/>
      <c r="S2389" s="1420"/>
      <c r="T2389" s="1420"/>
      <c r="V2389" s="1357">
        <v>25</v>
      </c>
    </row>
    <row r="2390" spans="1:22" s="841" customFormat="1" ht="45.75" x14ac:dyDescent="0.25">
      <c r="A2390" s="841" t="s">
        <v>4874</v>
      </c>
      <c r="B2390" s="841" t="s">
        <v>5319</v>
      </c>
      <c r="E2390" s="1116" t="s">
        <v>5325</v>
      </c>
      <c r="F2390" s="1116"/>
      <c r="G2390" s="1169" t="s">
        <v>24</v>
      </c>
      <c r="H2390" s="724">
        <v>-5.0000000000000001E-4</v>
      </c>
      <c r="K2390" s="841" t="s">
        <v>5110</v>
      </c>
      <c r="L2390" s="841" t="s">
        <v>443</v>
      </c>
      <c r="M2390" s="1357"/>
      <c r="P2390" s="841" t="s">
        <v>4818</v>
      </c>
      <c r="Q2390" s="1357"/>
      <c r="S2390" s="1420"/>
      <c r="T2390" s="1420">
        <v>43585</v>
      </c>
      <c r="V2390" s="1357">
        <v>154</v>
      </c>
    </row>
    <row r="2391" spans="1:22" s="841" customFormat="1" ht="15" x14ac:dyDescent="0.25">
      <c r="A2391" s="841" t="s">
        <v>4874</v>
      </c>
      <c r="B2391" s="841" t="s">
        <v>5319</v>
      </c>
      <c r="E2391" s="621" t="s">
        <v>5210</v>
      </c>
      <c r="F2391" s="621"/>
      <c r="G2391" s="1169" t="s">
        <v>24</v>
      </c>
      <c r="H2391" s="724">
        <v>-6.9999999999999999E-4</v>
      </c>
      <c r="K2391" s="841" t="s">
        <v>5110</v>
      </c>
      <c r="L2391" s="841" t="s">
        <v>443</v>
      </c>
      <c r="M2391" s="1357"/>
      <c r="P2391" s="841" t="s">
        <v>5124</v>
      </c>
      <c r="Q2391" s="1357"/>
      <c r="S2391" s="1420"/>
      <c r="T2391" s="1420">
        <v>43585</v>
      </c>
      <c r="V2391" s="1357">
        <v>108</v>
      </c>
    </row>
    <row r="2392" spans="1:22" s="841" customFormat="1" ht="45.75" x14ac:dyDescent="0.25">
      <c r="A2392" s="841" t="s">
        <v>4874</v>
      </c>
      <c r="B2392" s="841" t="s">
        <v>5319</v>
      </c>
      <c r="E2392" s="1116" t="s">
        <v>5326</v>
      </c>
      <c r="F2392" s="1116"/>
      <c r="G2392" s="1169" t="s">
        <v>24</v>
      </c>
      <c r="H2392" s="918">
        <v>-5.0000000000000002E-5</v>
      </c>
      <c r="K2392" s="841" t="s">
        <v>5110</v>
      </c>
      <c r="L2392" s="841" t="s">
        <v>443</v>
      </c>
      <c r="M2392" s="1357"/>
      <c r="P2392" s="841" t="s">
        <v>5287</v>
      </c>
      <c r="Q2392" s="1357"/>
      <c r="S2392" s="1420"/>
      <c r="T2392" s="1420">
        <v>43585</v>
      </c>
      <c r="V2392" s="1357">
        <v>160</v>
      </c>
    </row>
    <row r="2393" spans="1:22" s="841" customFormat="1" ht="45.75" x14ac:dyDescent="0.25">
      <c r="A2393" s="841" t="s">
        <v>4874</v>
      </c>
      <c r="B2393" s="841" t="s">
        <v>5319</v>
      </c>
      <c r="E2393" s="1116" t="s">
        <v>5327</v>
      </c>
      <c r="F2393" s="1116"/>
      <c r="G2393" s="1169" t="s">
        <v>24</v>
      </c>
      <c r="H2393" s="724">
        <v>5.9999999999999995E-4</v>
      </c>
      <c r="K2393" s="841" t="s">
        <v>5110</v>
      </c>
      <c r="L2393" s="841" t="s">
        <v>442</v>
      </c>
      <c r="M2393" s="1357"/>
      <c r="P2393" s="841" t="s">
        <v>5285</v>
      </c>
      <c r="Q2393" s="1357"/>
      <c r="S2393" s="1420"/>
      <c r="T2393" s="1420">
        <v>43585</v>
      </c>
      <c r="V2393" s="1357">
        <v>146</v>
      </c>
    </row>
    <row r="2394" spans="1:22" s="841" customFormat="1" ht="15" x14ac:dyDescent="0.25">
      <c r="A2394" s="841" t="s">
        <v>4874</v>
      </c>
      <c r="B2394" s="841" t="s">
        <v>5319</v>
      </c>
      <c r="E2394" s="1170" t="s">
        <v>5322</v>
      </c>
      <c r="F2394" s="1170"/>
      <c r="G2394" s="1169" t="s">
        <v>24</v>
      </c>
      <c r="H2394" s="724">
        <v>2.9999999999999997E-4</v>
      </c>
      <c r="K2394" s="841" t="s">
        <v>5110</v>
      </c>
      <c r="L2394" s="841" t="s">
        <v>442</v>
      </c>
      <c r="M2394" s="1357"/>
      <c r="P2394" s="841" t="s">
        <v>6183</v>
      </c>
      <c r="Q2394" s="1357"/>
      <c r="S2394" s="1420"/>
      <c r="T2394" s="1420"/>
      <c r="V2394" s="1357">
        <v>135</v>
      </c>
    </row>
    <row r="2395" spans="1:22" s="841" customFormat="1" ht="15" x14ac:dyDescent="0.25">
      <c r="A2395" s="841" t="s">
        <v>4874</v>
      </c>
      <c r="B2395" s="841" t="s">
        <v>5319</v>
      </c>
      <c r="E2395" s="621" t="s">
        <v>5203</v>
      </c>
      <c r="F2395" s="621"/>
      <c r="G2395" s="1169" t="s">
        <v>24</v>
      </c>
      <c r="H2395" s="724">
        <v>1E-4</v>
      </c>
      <c r="K2395" s="841" t="s">
        <v>5110</v>
      </c>
      <c r="L2395" s="841" t="s">
        <v>442</v>
      </c>
      <c r="M2395" s="1357"/>
      <c r="P2395" s="841" t="s">
        <v>6184</v>
      </c>
      <c r="Q2395" s="1357"/>
      <c r="S2395" s="1420"/>
      <c r="T2395" s="1420"/>
      <c r="V2395" s="1357">
        <v>152</v>
      </c>
    </row>
    <row r="2396" spans="1:22" s="841" customFormat="1" ht="15" x14ac:dyDescent="0.25">
      <c r="A2396" s="841" t="s">
        <v>4874</v>
      </c>
      <c r="B2396" s="841" t="s">
        <v>5319</v>
      </c>
      <c r="E2396" s="1167" t="s">
        <v>221</v>
      </c>
      <c r="F2396" s="1167"/>
      <c r="G2396" s="1169" t="s">
        <v>24</v>
      </c>
      <c r="H2396" s="1115">
        <v>7.1000000000000004E-3</v>
      </c>
      <c r="K2396" s="841" t="s">
        <v>5110</v>
      </c>
      <c r="L2396" s="841" t="s">
        <v>444</v>
      </c>
      <c r="M2396" s="1357"/>
      <c r="P2396" s="841" t="s">
        <v>5115</v>
      </c>
      <c r="Q2396" s="1357"/>
      <c r="S2396" s="1420"/>
      <c r="T2396" s="1420"/>
      <c r="V2396" s="1357">
        <v>47</v>
      </c>
    </row>
    <row r="2397" spans="1:22" s="841" customFormat="1" ht="23.25" x14ac:dyDescent="0.25">
      <c r="A2397" s="841" t="s">
        <v>4874</v>
      </c>
      <c r="B2397" s="841" t="s">
        <v>5319</v>
      </c>
      <c r="E2397" s="1167" t="s">
        <v>217</v>
      </c>
      <c r="F2397" s="1167"/>
      <c r="G2397" s="1169" t="s">
        <v>24</v>
      </c>
      <c r="H2397" s="1115">
        <v>6.4000000000000003E-3</v>
      </c>
      <c r="K2397" s="841" t="s">
        <v>5110</v>
      </c>
      <c r="L2397" s="841" t="s">
        <v>444</v>
      </c>
      <c r="M2397" s="1357"/>
      <c r="P2397" s="841" t="s">
        <v>5116</v>
      </c>
      <c r="Q2397" s="1357"/>
      <c r="S2397" s="1420"/>
      <c r="T2397" s="1420"/>
      <c r="V2397" s="1357">
        <v>74</v>
      </c>
    </row>
    <row r="2398" spans="1:22" s="841" customFormat="1" ht="26.25" x14ac:dyDescent="0.25">
      <c r="A2398" s="841" t="s">
        <v>4874</v>
      </c>
      <c r="B2398" s="841" t="s">
        <v>5319</v>
      </c>
      <c r="E2398" s="1389" t="s">
        <v>3079</v>
      </c>
      <c r="F2398" s="1389"/>
      <c r="G2398" s="1111"/>
      <c r="H2398" s="1085"/>
      <c r="K2398" s="841" t="s">
        <v>3093</v>
      </c>
      <c r="M2398" s="1357"/>
      <c r="Q2398" s="1357"/>
      <c r="S2398" s="1420"/>
      <c r="T2398" s="1420"/>
      <c r="V2398" s="1357">
        <v>48</v>
      </c>
    </row>
    <row r="2399" spans="1:22" s="841" customFormat="1" ht="15" x14ac:dyDescent="0.25">
      <c r="A2399" s="841" t="s">
        <v>4874</v>
      </c>
      <c r="B2399" s="841" t="s">
        <v>5319</v>
      </c>
      <c r="E2399" s="1690" t="s">
        <v>2449</v>
      </c>
      <c r="F2399" s="1690"/>
      <c r="G2399" s="1111" t="s">
        <v>24</v>
      </c>
      <c r="H2399" s="1115">
        <v>3.2000000000000002E-3</v>
      </c>
      <c r="K2399" s="841" t="s">
        <v>5110</v>
      </c>
      <c r="L2399" s="841" t="s">
        <v>3046</v>
      </c>
      <c r="M2399" s="1357"/>
      <c r="P2399" s="841" t="s">
        <v>5117</v>
      </c>
      <c r="Q2399" s="1357"/>
      <c r="S2399" s="1420"/>
      <c r="T2399" s="1420"/>
      <c r="V2399" s="1357">
        <v>55</v>
      </c>
    </row>
    <row r="2400" spans="1:22" s="841" customFormat="1" ht="23.25" x14ac:dyDescent="0.25">
      <c r="A2400" s="841" t="s">
        <v>4874</v>
      </c>
      <c r="B2400" s="841" t="s">
        <v>5319</v>
      </c>
      <c r="E2400" s="1167" t="s">
        <v>3211</v>
      </c>
      <c r="F2400" s="1167"/>
      <c r="G2400" s="1111" t="s">
        <v>24</v>
      </c>
      <c r="H2400" s="724">
        <v>4.0000000000000002E-4</v>
      </c>
      <c r="K2400" s="841" t="s">
        <v>5110</v>
      </c>
      <c r="L2400" s="841" t="s">
        <v>3046</v>
      </c>
      <c r="M2400" s="1357"/>
      <c r="P2400" s="841" t="s">
        <v>5117</v>
      </c>
      <c r="Q2400" s="1357"/>
      <c r="S2400" s="1420"/>
      <c r="T2400" s="1420"/>
      <c r="V2400" s="1357">
        <v>64</v>
      </c>
    </row>
    <row r="2401" spans="1:22" s="841" customFormat="1" ht="23.25" x14ac:dyDescent="0.25">
      <c r="A2401" s="841" t="s">
        <v>4874</v>
      </c>
      <c r="B2401" s="841" t="s">
        <v>5319</v>
      </c>
      <c r="E2401" s="1382" t="s">
        <v>439</v>
      </c>
      <c r="F2401" s="1382"/>
      <c r="G2401" s="1111" t="s">
        <v>24</v>
      </c>
      <c r="H2401" s="724">
        <v>2.9999999999999997E-4</v>
      </c>
      <c r="K2401" s="841" t="s">
        <v>5110</v>
      </c>
      <c r="L2401" s="841" t="s">
        <v>3046</v>
      </c>
      <c r="M2401" s="1357"/>
      <c r="P2401" s="841" t="s">
        <v>5118</v>
      </c>
      <c r="Q2401" s="1357"/>
      <c r="S2401" s="1420"/>
      <c r="T2401" s="1420"/>
      <c r="V2401" s="1357">
        <v>57</v>
      </c>
    </row>
    <row r="2402" spans="1:22" s="841" customFormat="1" ht="23.25" x14ac:dyDescent="0.25">
      <c r="A2402" s="841" t="s">
        <v>4874</v>
      </c>
      <c r="B2402" s="841" t="s">
        <v>5319</v>
      </c>
      <c r="E2402" s="1382" t="s">
        <v>32</v>
      </c>
      <c r="F2402" s="1382"/>
      <c r="G2402" s="1111" t="s">
        <v>23</v>
      </c>
      <c r="H2402" s="723">
        <v>0.25</v>
      </c>
      <c r="K2402" s="841" t="s">
        <v>5110</v>
      </c>
      <c r="L2402" s="841" t="s">
        <v>3046</v>
      </c>
      <c r="M2402" s="1357"/>
      <c r="P2402" s="841" t="s">
        <v>5119</v>
      </c>
      <c r="Q2402" s="1357"/>
      <c r="S2402" s="1420"/>
      <c r="T2402" s="1420"/>
      <c r="V2402" s="1357">
        <v>63</v>
      </c>
    </row>
    <row r="2403" spans="1:22" s="841" customFormat="1" x14ac:dyDescent="0.25">
      <c r="A2403" s="841" t="s">
        <v>4874</v>
      </c>
      <c r="B2403" s="841" t="s">
        <v>5319</v>
      </c>
      <c r="E2403" s="1974" t="s">
        <v>3624</v>
      </c>
      <c r="F2403" s="1974"/>
      <c r="G2403" s="1975"/>
      <c r="H2403" s="1975"/>
      <c r="K2403" s="841" t="s">
        <v>5330</v>
      </c>
      <c r="M2403" s="1357"/>
      <c r="Q2403" s="1357"/>
      <c r="S2403" s="1420"/>
      <c r="T2403" s="1420"/>
      <c r="V2403" s="1357">
        <v>51</v>
      </c>
    </row>
    <row r="2404" spans="1:22" s="841" customFormat="1" ht="15" x14ac:dyDescent="0.25">
      <c r="A2404" s="841" t="s">
        <v>4874</v>
      </c>
      <c r="B2404" s="841" t="s">
        <v>5319</v>
      </c>
      <c r="E2404" s="1969" t="s">
        <v>5331</v>
      </c>
      <c r="F2404" s="1969"/>
      <c r="G2404" s="1970"/>
      <c r="H2404" s="1970"/>
      <c r="K2404" s="841" t="s">
        <v>5330</v>
      </c>
      <c r="M2404" s="1357"/>
      <c r="Q2404" s="1357"/>
      <c r="S2404" s="1420"/>
      <c r="T2404" s="1420"/>
      <c r="V2404" s="1357">
        <v>344</v>
      </c>
    </row>
    <row r="2405" spans="1:22" s="841" customFormat="1" ht="15" x14ac:dyDescent="0.25">
      <c r="A2405" s="841" t="s">
        <v>4874</v>
      </c>
      <c r="B2405" s="841" t="s">
        <v>5319</v>
      </c>
      <c r="E2405" s="2017" t="s">
        <v>3061</v>
      </c>
      <c r="F2405" s="2017"/>
      <c r="G2405" s="2018"/>
      <c r="H2405" s="2018"/>
      <c r="K2405" s="841" t="s">
        <v>3098</v>
      </c>
      <c r="M2405" s="1357"/>
      <c r="Q2405" s="1357"/>
      <c r="S2405" s="1420"/>
      <c r="T2405" s="1420"/>
      <c r="V2405" s="1357">
        <v>11</v>
      </c>
    </row>
    <row r="2406" spans="1:22" s="841" customFormat="1" ht="15" x14ac:dyDescent="0.25">
      <c r="A2406" s="841" t="s">
        <v>4874</v>
      </c>
      <c r="B2406" s="841" t="s">
        <v>5319</v>
      </c>
      <c r="E2406" s="1969" t="s">
        <v>3063</v>
      </c>
      <c r="F2406" s="1969"/>
      <c r="G2406" s="1970"/>
      <c r="H2406" s="1970"/>
      <c r="K2406" s="841" t="s">
        <v>5330</v>
      </c>
      <c r="M2406" s="1357"/>
      <c r="Q2406" s="1357"/>
      <c r="S2406" s="1420"/>
      <c r="T2406" s="1420"/>
      <c r="V2406" s="1357">
        <v>280</v>
      </c>
    </row>
    <row r="2407" spans="1:22" s="841" customFormat="1" ht="15" x14ac:dyDescent="0.25">
      <c r="A2407" s="841" t="s">
        <v>4874</v>
      </c>
      <c r="B2407" s="841" t="s">
        <v>5319</v>
      </c>
      <c r="E2407" s="1969" t="s">
        <v>3064</v>
      </c>
      <c r="F2407" s="1969"/>
      <c r="G2407" s="1970"/>
      <c r="H2407" s="1970"/>
      <c r="K2407" s="841" t="s">
        <v>5330</v>
      </c>
      <c r="M2407" s="1357"/>
      <c r="Q2407" s="1357"/>
      <c r="S2407" s="1420"/>
      <c r="T2407" s="1420"/>
      <c r="V2407" s="1357">
        <v>411</v>
      </c>
    </row>
    <row r="2408" spans="1:22" s="841" customFormat="1" ht="15" x14ac:dyDescent="0.25">
      <c r="A2408" s="841" t="s">
        <v>4874</v>
      </c>
      <c r="B2408" s="841" t="s">
        <v>5319</v>
      </c>
      <c r="E2408" s="1969" t="s">
        <v>3199</v>
      </c>
      <c r="F2408" s="1969"/>
      <c r="G2408" s="1970"/>
      <c r="H2408" s="1970"/>
      <c r="K2408" s="841" t="s">
        <v>5330</v>
      </c>
      <c r="M2408" s="1357"/>
      <c r="Q2408" s="1357"/>
      <c r="S2408" s="1420"/>
      <c r="T2408" s="1420"/>
      <c r="V2408" s="1357">
        <v>386</v>
      </c>
    </row>
    <row r="2409" spans="1:22" s="841" customFormat="1" ht="15" x14ac:dyDescent="0.25">
      <c r="A2409" s="841" t="s">
        <v>4874</v>
      </c>
      <c r="B2409" s="841" t="s">
        <v>5319</v>
      </c>
      <c r="E2409" s="1969" t="s">
        <v>3200</v>
      </c>
      <c r="F2409" s="1969"/>
      <c r="G2409" s="1970"/>
      <c r="H2409" s="1970"/>
      <c r="K2409" s="841" t="s">
        <v>5330</v>
      </c>
      <c r="M2409" s="1357"/>
      <c r="Q2409" s="1357"/>
      <c r="S2409" s="1420"/>
      <c r="T2409" s="1420"/>
      <c r="V2409" s="1357">
        <v>275</v>
      </c>
    </row>
    <row r="2410" spans="1:22" s="841" customFormat="1" ht="24" x14ac:dyDescent="0.25">
      <c r="A2410" s="841" t="s">
        <v>4874</v>
      </c>
      <c r="B2410" s="841" t="s">
        <v>5319</v>
      </c>
      <c r="E2410" s="1387" t="s">
        <v>3625</v>
      </c>
      <c r="F2410" s="1387"/>
      <c r="G2410" s="1171"/>
      <c r="H2410" s="1393"/>
      <c r="K2410" s="841" t="s">
        <v>5330</v>
      </c>
      <c r="M2410" s="1357"/>
      <c r="Q2410" s="1357"/>
      <c r="S2410" s="1420"/>
      <c r="T2410" s="1420"/>
      <c r="V2410" s="1357">
        <v>92</v>
      </c>
    </row>
    <row r="2411" spans="1:22" s="841" customFormat="1" ht="15" x14ac:dyDescent="0.25">
      <c r="A2411" s="841" t="s">
        <v>4874</v>
      </c>
      <c r="B2411" s="841" t="s">
        <v>5319</v>
      </c>
      <c r="E2411" s="1972" t="s">
        <v>3067</v>
      </c>
      <c r="F2411" s="1972"/>
      <c r="G2411" s="1973"/>
      <c r="H2411" s="1973"/>
      <c r="K2411" s="841" t="s">
        <v>3099</v>
      </c>
      <c r="M2411" s="1357"/>
      <c r="Q2411" s="1357"/>
      <c r="S2411" s="1420"/>
      <c r="T2411" s="1420"/>
      <c r="V2411" s="1357">
        <v>46</v>
      </c>
    </row>
    <row r="2412" spans="1:22" s="841" customFormat="1" ht="15" x14ac:dyDescent="0.25">
      <c r="A2412" s="841" t="s">
        <v>4874</v>
      </c>
      <c r="B2412" s="841" t="s">
        <v>5319</v>
      </c>
      <c r="E2412" s="1167" t="s">
        <v>11</v>
      </c>
      <c r="F2412" s="1167"/>
      <c r="G2412" s="1168" t="s">
        <v>23</v>
      </c>
      <c r="H2412" s="723">
        <v>77.48</v>
      </c>
      <c r="K2412" s="841" t="s">
        <v>5330</v>
      </c>
      <c r="L2412" s="841" t="s">
        <v>442</v>
      </c>
      <c r="M2412" s="1357"/>
      <c r="P2412" s="841" t="s">
        <v>5332</v>
      </c>
      <c r="Q2412" s="1357"/>
      <c r="S2412" s="1420"/>
      <c r="T2412" s="1420"/>
      <c r="V2412" s="1357">
        <v>14</v>
      </c>
    </row>
    <row r="2413" spans="1:22" s="841" customFormat="1" ht="34.5" x14ac:dyDescent="0.25">
      <c r="A2413" s="841" t="s">
        <v>4874</v>
      </c>
      <c r="B2413" s="841" t="s">
        <v>5319</v>
      </c>
      <c r="E2413" s="1167" t="s">
        <v>5322</v>
      </c>
      <c r="F2413" s="1167"/>
      <c r="G2413" s="1169" t="s">
        <v>23</v>
      </c>
      <c r="H2413" s="723">
        <v>1.93</v>
      </c>
      <c r="K2413" s="841" t="s">
        <v>5330</v>
      </c>
      <c r="L2413" s="841" t="s">
        <v>442</v>
      </c>
      <c r="M2413" s="1357"/>
      <c r="P2413" s="841" t="s">
        <v>6185</v>
      </c>
      <c r="Q2413" s="1357"/>
      <c r="S2413" s="1420"/>
      <c r="T2413" s="1420"/>
      <c r="V2413" s="1357">
        <v>135</v>
      </c>
    </row>
    <row r="2414" spans="1:22" s="841" customFormat="1" ht="15" x14ac:dyDescent="0.25">
      <c r="A2414" s="841" t="s">
        <v>4874</v>
      </c>
      <c r="B2414" s="841" t="s">
        <v>5319</v>
      </c>
      <c r="E2414" s="621" t="s">
        <v>5203</v>
      </c>
      <c r="F2414" s="621"/>
      <c r="G2414" s="1168" t="s">
        <v>23</v>
      </c>
      <c r="H2414" s="723">
        <v>0.51</v>
      </c>
      <c r="K2414" s="841" t="s">
        <v>5330</v>
      </c>
      <c r="L2414" s="841" t="s">
        <v>442</v>
      </c>
      <c r="M2414" s="1357"/>
      <c r="P2414" s="841" t="s">
        <v>6186</v>
      </c>
      <c r="Q2414" s="1357"/>
      <c r="S2414" s="1420"/>
      <c r="T2414" s="1420"/>
      <c r="V2414" s="1357">
        <v>152</v>
      </c>
    </row>
    <row r="2415" spans="1:22" s="841" customFormat="1" ht="15" x14ac:dyDescent="0.25">
      <c r="A2415" s="841" t="s">
        <v>4874</v>
      </c>
      <c r="B2415" s="841" t="s">
        <v>5319</v>
      </c>
      <c r="E2415" s="625" t="s">
        <v>5204</v>
      </c>
      <c r="F2415" s="625"/>
      <c r="G2415" s="1168" t="s">
        <v>23</v>
      </c>
      <c r="H2415" s="723">
        <v>2.84</v>
      </c>
      <c r="K2415" s="841" t="s">
        <v>5330</v>
      </c>
      <c r="L2415" s="841" t="s">
        <v>442</v>
      </c>
      <c r="M2415" s="1357"/>
      <c r="P2415" s="841" t="s">
        <v>6187</v>
      </c>
      <c r="Q2415" s="1357"/>
      <c r="S2415" s="1420"/>
      <c r="T2415" s="1420">
        <v>43465</v>
      </c>
      <c r="V2415" s="1357">
        <v>96</v>
      </c>
    </row>
    <row r="2416" spans="1:22" s="841" customFormat="1" ht="15" x14ac:dyDescent="0.25">
      <c r="A2416" s="841" t="s">
        <v>4874</v>
      </c>
      <c r="B2416" s="841" t="s">
        <v>5319</v>
      </c>
      <c r="E2416" s="1167" t="s">
        <v>84</v>
      </c>
      <c r="F2416" s="1167"/>
      <c r="G2416" s="1168" t="s">
        <v>33</v>
      </c>
      <c r="H2416" s="724">
        <v>4.6628999999999996</v>
      </c>
      <c r="K2416" s="841" t="s">
        <v>5330</v>
      </c>
      <c r="L2416" s="841" t="s">
        <v>442</v>
      </c>
      <c r="M2416" s="1357"/>
      <c r="P2416" s="841" t="s">
        <v>5333</v>
      </c>
      <c r="Q2416" s="1357"/>
      <c r="S2416" s="1420"/>
      <c r="T2416" s="1420"/>
      <c r="V2416" s="1357">
        <v>28</v>
      </c>
    </row>
    <row r="2417" spans="1:22" s="841" customFormat="1" ht="15" x14ac:dyDescent="0.25">
      <c r="A2417" s="841" t="s">
        <v>4874</v>
      </c>
      <c r="B2417" s="841" t="s">
        <v>5319</v>
      </c>
      <c r="E2417" s="1167" t="s">
        <v>4813</v>
      </c>
      <c r="F2417" s="1167"/>
      <c r="G2417" s="1168" t="s">
        <v>33</v>
      </c>
      <c r="H2417" s="724">
        <v>8.0199999999999994E-2</v>
      </c>
      <c r="K2417" s="841" t="s">
        <v>5330</v>
      </c>
      <c r="L2417" s="841" t="s">
        <v>443</v>
      </c>
      <c r="M2417" s="1357"/>
      <c r="P2417" s="841" t="s">
        <v>5334</v>
      </c>
      <c r="Q2417" s="1357"/>
      <c r="S2417" s="1420"/>
      <c r="T2417" s="1420"/>
      <c r="V2417" s="1357">
        <v>25</v>
      </c>
    </row>
    <row r="2418" spans="1:22" s="841" customFormat="1" ht="45.75" x14ac:dyDescent="0.25">
      <c r="A2418" s="841" t="s">
        <v>4874</v>
      </c>
      <c r="B2418" s="841" t="s">
        <v>5319</v>
      </c>
      <c r="E2418" s="1116" t="s">
        <v>5325</v>
      </c>
      <c r="F2418" s="1116"/>
      <c r="G2418" s="1169" t="s">
        <v>24</v>
      </c>
      <c r="H2418" s="724">
        <v>-5.0000000000000001E-4</v>
      </c>
      <c r="K2418" s="841" t="s">
        <v>5330</v>
      </c>
      <c r="L2418" s="841" t="s">
        <v>443</v>
      </c>
      <c r="M2418" s="1357"/>
      <c r="P2418" s="841" t="s">
        <v>5335</v>
      </c>
      <c r="Q2418" s="1357"/>
      <c r="S2418" s="1420"/>
      <c r="T2418" s="1420">
        <v>43585</v>
      </c>
      <c r="V2418" s="1357">
        <v>154</v>
      </c>
    </row>
    <row r="2419" spans="1:22" s="841" customFormat="1" ht="15" x14ac:dyDescent="0.25">
      <c r="A2419" s="841" t="s">
        <v>4874</v>
      </c>
      <c r="B2419" s="841" t="s">
        <v>5319</v>
      </c>
      <c r="E2419" s="621" t="s">
        <v>5210</v>
      </c>
      <c r="F2419" s="621"/>
      <c r="G2419" s="1168" t="s">
        <v>33</v>
      </c>
      <c r="H2419" s="724">
        <v>0.10050000000000001</v>
      </c>
      <c r="K2419" s="841" t="s">
        <v>5330</v>
      </c>
      <c r="L2419" s="841" t="s">
        <v>443</v>
      </c>
      <c r="M2419" s="1357"/>
      <c r="P2419" s="841" t="s">
        <v>5336</v>
      </c>
      <c r="Q2419" s="1357"/>
      <c r="S2419" s="1420"/>
      <c r="T2419" s="1420">
        <v>43585</v>
      </c>
      <c r="V2419" s="1357">
        <v>108</v>
      </c>
    </row>
    <row r="2420" spans="1:22" s="841" customFormat="1" ht="57" x14ac:dyDescent="0.25">
      <c r="A2420" s="841" t="s">
        <v>4874</v>
      </c>
      <c r="B2420" s="841" t="s">
        <v>5319</v>
      </c>
      <c r="E2420" s="1116" t="s">
        <v>5220</v>
      </c>
      <c r="F2420" s="1116"/>
      <c r="G2420" s="1169" t="s">
        <v>33</v>
      </c>
      <c r="H2420" s="724">
        <v>-0.3538</v>
      </c>
      <c r="K2420" s="841" t="s">
        <v>5330</v>
      </c>
      <c r="L2420" s="841" t="s">
        <v>443</v>
      </c>
      <c r="M2420" s="1357"/>
      <c r="P2420" s="841" t="s">
        <v>5336</v>
      </c>
      <c r="Q2420" s="1357"/>
      <c r="S2420" s="1420"/>
      <c r="T2420" s="1420">
        <v>43585</v>
      </c>
      <c r="V2420" s="1357">
        <v>171</v>
      </c>
    </row>
    <row r="2421" spans="1:22" s="841" customFormat="1" ht="57" x14ac:dyDescent="0.25">
      <c r="A2421" s="841" t="s">
        <v>4874</v>
      </c>
      <c r="B2421" s="841" t="s">
        <v>5319</v>
      </c>
      <c r="E2421" s="1116" t="s">
        <v>5337</v>
      </c>
      <c r="F2421" s="1116"/>
      <c r="G2421" s="1169" t="s">
        <v>33</v>
      </c>
      <c r="H2421" s="918">
        <v>-1.6060000000000001E-2</v>
      </c>
      <c r="K2421" s="841" t="s">
        <v>5330</v>
      </c>
      <c r="L2421" s="841" t="s">
        <v>443</v>
      </c>
      <c r="M2421" s="1357"/>
      <c r="P2421" s="841" t="s">
        <v>5338</v>
      </c>
      <c r="Q2421" s="1357"/>
      <c r="S2421" s="1420"/>
      <c r="T2421" s="1420">
        <v>43585</v>
      </c>
      <c r="V2421" s="1357">
        <v>194</v>
      </c>
    </row>
    <row r="2422" spans="1:22" s="841" customFormat="1" ht="45.75" x14ac:dyDescent="0.25">
      <c r="A2422" s="841" t="s">
        <v>4874</v>
      </c>
      <c r="B2422" s="841" t="s">
        <v>5319</v>
      </c>
      <c r="E2422" s="1116" t="s">
        <v>5327</v>
      </c>
      <c r="F2422" s="1116"/>
      <c r="G2422" s="1169" t="s">
        <v>33</v>
      </c>
      <c r="H2422" s="724">
        <v>0.45850000000000002</v>
      </c>
      <c r="K2422" s="841" t="s">
        <v>5330</v>
      </c>
      <c r="L2422" s="841" t="s">
        <v>442</v>
      </c>
      <c r="M2422" s="1357"/>
      <c r="P2422" s="841" t="s">
        <v>5339</v>
      </c>
      <c r="Q2422" s="1357"/>
      <c r="S2422" s="1420"/>
      <c r="T2422" s="1420">
        <v>43585</v>
      </c>
      <c r="V2422" s="1357">
        <v>146</v>
      </c>
    </row>
    <row r="2423" spans="1:22" s="841" customFormat="1" ht="15" x14ac:dyDescent="0.25">
      <c r="A2423" s="841" t="s">
        <v>4874</v>
      </c>
      <c r="B2423" s="841" t="s">
        <v>5319</v>
      </c>
      <c r="E2423" s="1170" t="s">
        <v>5322</v>
      </c>
      <c r="F2423" s="1170"/>
      <c r="G2423" s="1168" t="s">
        <v>33</v>
      </c>
      <c r="H2423" s="1172">
        <v>0.1163</v>
      </c>
      <c r="K2423" s="841" t="s">
        <v>5330</v>
      </c>
      <c r="L2423" s="841" t="s">
        <v>442</v>
      </c>
      <c r="M2423" s="1357"/>
      <c r="P2423" s="841" t="s">
        <v>6188</v>
      </c>
      <c r="Q2423" s="1357"/>
      <c r="S2423" s="1420"/>
      <c r="T2423" s="1420"/>
      <c r="V2423" s="1357">
        <v>135</v>
      </c>
    </row>
    <row r="2424" spans="1:22" s="841" customFormat="1" ht="15" x14ac:dyDescent="0.25">
      <c r="A2424" s="841" t="s">
        <v>4874</v>
      </c>
      <c r="B2424" s="841" t="s">
        <v>5319</v>
      </c>
      <c r="E2424" s="621" t="s">
        <v>5203</v>
      </c>
      <c r="F2424" s="621"/>
      <c r="G2424" s="1168" t="s">
        <v>33</v>
      </c>
      <c r="H2424" s="724">
        <v>3.0800000000000001E-2</v>
      </c>
      <c r="K2424" s="841" t="s">
        <v>5330</v>
      </c>
      <c r="L2424" s="841" t="s">
        <v>442</v>
      </c>
      <c r="M2424" s="1357"/>
      <c r="P2424" s="841" t="s">
        <v>6189</v>
      </c>
      <c r="Q2424" s="1357"/>
      <c r="S2424" s="1420"/>
      <c r="T2424" s="1420"/>
      <c r="V2424" s="1357">
        <v>152</v>
      </c>
    </row>
    <row r="2425" spans="1:22" s="841" customFormat="1" ht="15" x14ac:dyDescent="0.25">
      <c r="A2425" s="841" t="s">
        <v>4874</v>
      </c>
      <c r="B2425" s="841" t="s">
        <v>5319</v>
      </c>
      <c r="E2425" s="1167" t="s">
        <v>221</v>
      </c>
      <c r="F2425" s="1167"/>
      <c r="G2425" s="1168" t="s">
        <v>33</v>
      </c>
      <c r="H2425" s="724">
        <v>2.7324999999999999</v>
      </c>
      <c r="K2425" s="841" t="s">
        <v>5330</v>
      </c>
      <c r="L2425" s="841" t="s">
        <v>444</v>
      </c>
      <c r="M2425" s="1357"/>
      <c r="P2425" s="841" t="s">
        <v>5340</v>
      </c>
      <c r="Q2425" s="1357"/>
      <c r="S2425" s="1420"/>
      <c r="T2425" s="1420"/>
      <c r="V2425" s="1357">
        <v>47</v>
      </c>
    </row>
    <row r="2426" spans="1:22" s="841" customFormat="1" ht="23.25" x14ac:dyDescent="0.25">
      <c r="A2426" s="841" t="s">
        <v>4874</v>
      </c>
      <c r="B2426" s="841" t="s">
        <v>5319</v>
      </c>
      <c r="E2426" s="1167" t="s">
        <v>217</v>
      </c>
      <c r="F2426" s="1167"/>
      <c r="G2426" s="1168" t="s">
        <v>33</v>
      </c>
      <c r="H2426" s="724">
        <v>2.5347</v>
      </c>
      <c r="K2426" s="841" t="s">
        <v>5330</v>
      </c>
      <c r="L2426" s="841" t="s">
        <v>444</v>
      </c>
      <c r="M2426" s="1357"/>
      <c r="P2426" s="841" t="s">
        <v>5341</v>
      </c>
      <c r="Q2426" s="1357"/>
      <c r="S2426" s="1420"/>
      <c r="T2426" s="1420"/>
      <c r="V2426" s="1357">
        <v>74</v>
      </c>
    </row>
    <row r="2427" spans="1:22" s="841" customFormat="1" ht="26.25" x14ac:dyDescent="0.25">
      <c r="A2427" s="841" t="s">
        <v>4874</v>
      </c>
      <c r="B2427" s="841" t="s">
        <v>5319</v>
      </c>
      <c r="E2427" s="1389" t="s">
        <v>3079</v>
      </c>
      <c r="F2427" s="1389"/>
      <c r="G2427" s="1113"/>
      <c r="H2427" s="1085"/>
      <c r="K2427" s="841" t="s">
        <v>3218</v>
      </c>
      <c r="M2427" s="1357"/>
      <c r="Q2427" s="1357"/>
      <c r="S2427" s="1420"/>
      <c r="T2427" s="1420"/>
      <c r="V2427" s="1357">
        <v>48</v>
      </c>
    </row>
    <row r="2428" spans="1:22" s="841" customFormat="1" ht="15" x14ac:dyDescent="0.25">
      <c r="A2428" s="841" t="s">
        <v>4874</v>
      </c>
      <c r="B2428" s="841" t="s">
        <v>5319</v>
      </c>
      <c r="E2428" s="1690" t="s">
        <v>2449</v>
      </c>
      <c r="F2428" s="1690"/>
      <c r="G2428" s="1113" t="s">
        <v>24</v>
      </c>
      <c r="H2428" s="1115">
        <v>3.2000000000000002E-3</v>
      </c>
      <c r="K2428" s="841" t="s">
        <v>5330</v>
      </c>
      <c r="L2428" s="841" t="s">
        <v>3046</v>
      </c>
      <c r="M2428" s="1357"/>
      <c r="P2428" s="841" t="s">
        <v>5342</v>
      </c>
      <c r="Q2428" s="1357"/>
      <c r="S2428" s="1420"/>
      <c r="T2428" s="1420"/>
      <c r="V2428" s="1357">
        <v>55</v>
      </c>
    </row>
    <row r="2429" spans="1:22" s="841" customFormat="1" ht="23.25" x14ac:dyDescent="0.25">
      <c r="A2429" s="841" t="s">
        <v>4874</v>
      </c>
      <c r="B2429" s="841" t="s">
        <v>5319</v>
      </c>
      <c r="E2429" s="1167" t="s">
        <v>3211</v>
      </c>
      <c r="F2429" s="1167"/>
      <c r="G2429" s="1113" t="s">
        <v>24</v>
      </c>
      <c r="H2429" s="724">
        <v>4.0000000000000002E-4</v>
      </c>
      <c r="K2429" s="841" t="s">
        <v>5330</v>
      </c>
      <c r="L2429" s="841" t="s">
        <v>3046</v>
      </c>
      <c r="M2429" s="1357"/>
      <c r="P2429" s="841" t="s">
        <v>5342</v>
      </c>
      <c r="Q2429" s="1357"/>
      <c r="S2429" s="1420"/>
      <c r="T2429" s="1420"/>
      <c r="V2429" s="1357">
        <v>64</v>
      </c>
    </row>
    <row r="2430" spans="1:22" s="841" customFormat="1" ht="23.25" x14ac:dyDescent="0.25">
      <c r="A2430" s="841" t="s">
        <v>4874</v>
      </c>
      <c r="B2430" s="841" t="s">
        <v>5319</v>
      </c>
      <c r="E2430" s="1382" t="s">
        <v>439</v>
      </c>
      <c r="F2430" s="1382"/>
      <c r="G2430" s="1113" t="s">
        <v>24</v>
      </c>
      <c r="H2430" s="724">
        <v>2.9999999999999997E-4</v>
      </c>
      <c r="K2430" s="841" t="s">
        <v>5330</v>
      </c>
      <c r="L2430" s="841" t="s">
        <v>3046</v>
      </c>
      <c r="M2430" s="1357"/>
      <c r="P2430" s="841" t="s">
        <v>5343</v>
      </c>
      <c r="Q2430" s="1357"/>
      <c r="S2430" s="1420"/>
      <c r="T2430" s="1420"/>
      <c r="V2430" s="1357">
        <v>57</v>
      </c>
    </row>
    <row r="2431" spans="1:22" s="841" customFormat="1" ht="23.25" x14ac:dyDescent="0.25">
      <c r="A2431" s="841" t="s">
        <v>4874</v>
      </c>
      <c r="B2431" s="841" t="s">
        <v>5319</v>
      </c>
      <c r="E2431" s="1382" t="s">
        <v>32</v>
      </c>
      <c r="F2431" s="1382"/>
      <c r="G2431" s="1113" t="s">
        <v>23</v>
      </c>
      <c r="H2431" s="723">
        <v>0.25</v>
      </c>
      <c r="K2431" s="841" t="s">
        <v>5330</v>
      </c>
      <c r="L2431" s="841" t="s">
        <v>3046</v>
      </c>
      <c r="M2431" s="1357"/>
      <c r="P2431" s="841" t="s">
        <v>5344</v>
      </c>
      <c r="Q2431" s="1357"/>
      <c r="S2431" s="1420"/>
      <c r="T2431" s="1420"/>
      <c r="V2431" s="1357">
        <v>63</v>
      </c>
    </row>
    <row r="2432" spans="1:22" s="841" customFormat="1" x14ac:dyDescent="0.25">
      <c r="A2432" s="841" t="s">
        <v>4874</v>
      </c>
      <c r="B2432" s="841" t="s">
        <v>5319</v>
      </c>
      <c r="E2432" s="1974" t="s">
        <v>3626</v>
      </c>
      <c r="F2432" s="1974"/>
      <c r="G2432" s="1975"/>
      <c r="H2432" s="1975"/>
      <c r="K2432" s="841" t="s">
        <v>5345</v>
      </c>
      <c r="M2432" s="1357"/>
      <c r="Q2432" s="1357"/>
      <c r="S2432" s="1420"/>
      <c r="T2432" s="1420"/>
      <c r="V2432" s="1357">
        <v>54</v>
      </c>
    </row>
    <row r="2433" spans="1:22" s="841" customFormat="1" ht="15" x14ac:dyDescent="0.25">
      <c r="A2433" s="841" t="s">
        <v>4874</v>
      </c>
      <c r="B2433" s="841" t="s">
        <v>5319</v>
      </c>
      <c r="E2433" s="1969" t="s">
        <v>5346</v>
      </c>
      <c r="F2433" s="1969"/>
      <c r="G2433" s="1970"/>
      <c r="H2433" s="1970"/>
      <c r="K2433" s="841" t="s">
        <v>5345</v>
      </c>
      <c r="M2433" s="1357"/>
      <c r="Q2433" s="1357"/>
      <c r="S2433" s="1420"/>
      <c r="T2433" s="1420"/>
      <c r="V2433" s="1357">
        <v>359</v>
      </c>
    </row>
    <row r="2434" spans="1:22" s="841" customFormat="1" ht="15" x14ac:dyDescent="0.25">
      <c r="A2434" s="841" t="s">
        <v>4874</v>
      </c>
      <c r="B2434" s="841" t="s">
        <v>5319</v>
      </c>
      <c r="E2434" s="2017" t="s">
        <v>3061</v>
      </c>
      <c r="F2434" s="2017"/>
      <c r="G2434" s="2018"/>
      <c r="H2434" s="2018"/>
      <c r="K2434" s="841" t="s">
        <v>3221</v>
      </c>
      <c r="M2434" s="1357"/>
      <c r="Q2434" s="1357"/>
      <c r="S2434" s="1420"/>
      <c r="T2434" s="1420"/>
      <c r="V2434" s="1357">
        <v>11</v>
      </c>
    </row>
    <row r="2435" spans="1:22" s="841" customFormat="1" ht="15" x14ac:dyDescent="0.25">
      <c r="A2435" s="841" t="s">
        <v>4874</v>
      </c>
      <c r="B2435" s="841" t="s">
        <v>5319</v>
      </c>
      <c r="E2435" s="1969" t="s">
        <v>3063</v>
      </c>
      <c r="F2435" s="1969"/>
      <c r="G2435" s="1970"/>
      <c r="H2435" s="1970"/>
      <c r="K2435" s="841" t="s">
        <v>5345</v>
      </c>
      <c r="M2435" s="1357"/>
      <c r="Q2435" s="1357"/>
      <c r="S2435" s="1420"/>
      <c r="T2435" s="1420"/>
      <c r="V2435" s="1357">
        <v>280</v>
      </c>
    </row>
    <row r="2436" spans="1:22" s="841" customFormat="1" ht="15" x14ac:dyDescent="0.25">
      <c r="A2436" s="841" t="s">
        <v>4874</v>
      </c>
      <c r="B2436" s="841" t="s">
        <v>5319</v>
      </c>
      <c r="E2436" s="1969" t="s">
        <v>3064</v>
      </c>
      <c r="F2436" s="1969"/>
      <c r="G2436" s="1970"/>
      <c r="H2436" s="1970"/>
      <c r="K2436" s="841" t="s">
        <v>5345</v>
      </c>
      <c r="M2436" s="1357"/>
      <c r="Q2436" s="1357"/>
      <c r="S2436" s="1420"/>
      <c r="T2436" s="1420"/>
      <c r="V2436" s="1357">
        <v>411</v>
      </c>
    </row>
    <row r="2437" spans="1:22" s="841" customFormat="1" ht="15" x14ac:dyDescent="0.25">
      <c r="A2437" s="841" t="s">
        <v>4874</v>
      </c>
      <c r="B2437" s="841" t="s">
        <v>5319</v>
      </c>
      <c r="E2437" s="1969" t="s">
        <v>3199</v>
      </c>
      <c r="F2437" s="1969"/>
      <c r="G2437" s="1970"/>
      <c r="H2437" s="1970"/>
      <c r="K2437" s="841" t="s">
        <v>5345</v>
      </c>
      <c r="M2437" s="1357"/>
      <c r="Q2437" s="1357"/>
      <c r="S2437" s="1420"/>
      <c r="T2437" s="1420"/>
      <c r="V2437" s="1357">
        <v>386</v>
      </c>
    </row>
    <row r="2438" spans="1:22" s="841" customFormat="1" ht="15" x14ac:dyDescent="0.25">
      <c r="A2438" s="841" t="s">
        <v>4874</v>
      </c>
      <c r="B2438" s="841" t="s">
        <v>5319</v>
      </c>
      <c r="E2438" s="1969" t="s">
        <v>3200</v>
      </c>
      <c r="F2438" s="1969"/>
      <c r="G2438" s="1970"/>
      <c r="H2438" s="1970"/>
      <c r="K2438" s="841" t="s">
        <v>5345</v>
      </c>
      <c r="M2438" s="1357"/>
      <c r="Q2438" s="1357"/>
      <c r="S2438" s="1420"/>
      <c r="T2438" s="1420"/>
      <c r="V2438" s="1357">
        <v>275</v>
      </c>
    </row>
    <row r="2439" spans="1:22" s="841" customFormat="1" ht="24" x14ac:dyDescent="0.25">
      <c r="A2439" s="841" t="s">
        <v>4874</v>
      </c>
      <c r="B2439" s="841" t="s">
        <v>5319</v>
      </c>
      <c r="E2439" s="1387" t="s">
        <v>3625</v>
      </c>
      <c r="F2439" s="1387"/>
      <c r="G2439" s="1171"/>
      <c r="H2439" s="1393"/>
      <c r="K2439" s="841" t="s">
        <v>5345</v>
      </c>
      <c r="M2439" s="1357"/>
      <c r="Q2439" s="1357"/>
      <c r="S2439" s="1420"/>
      <c r="T2439" s="1420"/>
      <c r="V2439" s="1357">
        <v>92</v>
      </c>
    </row>
    <row r="2440" spans="1:22" s="841" customFormat="1" ht="15" x14ac:dyDescent="0.25">
      <c r="A2440" s="841" t="s">
        <v>4874</v>
      </c>
      <c r="B2440" s="841" t="s">
        <v>5319</v>
      </c>
      <c r="E2440" s="1972" t="s">
        <v>3067</v>
      </c>
      <c r="F2440" s="1972"/>
      <c r="G2440" s="1973"/>
      <c r="H2440" s="1973"/>
      <c r="K2440" s="841" t="s">
        <v>3224</v>
      </c>
      <c r="M2440" s="1357"/>
      <c r="Q2440" s="1357"/>
      <c r="S2440" s="1420"/>
      <c r="T2440" s="1420"/>
      <c r="V2440" s="1357">
        <v>46</v>
      </c>
    </row>
    <row r="2441" spans="1:22" s="841" customFormat="1" ht="15" x14ac:dyDescent="0.25">
      <c r="A2441" s="841" t="s">
        <v>4874</v>
      </c>
      <c r="B2441" s="841" t="s">
        <v>5319</v>
      </c>
      <c r="E2441" s="1167" t="s">
        <v>11</v>
      </c>
      <c r="F2441" s="1167"/>
      <c r="G2441" s="1168" t="s">
        <v>23</v>
      </c>
      <c r="H2441" s="723">
        <v>1764.42</v>
      </c>
      <c r="K2441" s="841" t="s">
        <v>5345</v>
      </c>
      <c r="L2441" s="841" t="s">
        <v>442</v>
      </c>
      <c r="M2441" s="1357"/>
      <c r="P2441" s="841" t="s">
        <v>5347</v>
      </c>
      <c r="Q2441" s="1357"/>
      <c r="S2441" s="1420"/>
      <c r="T2441" s="1420"/>
      <c r="V2441" s="1357">
        <v>14</v>
      </c>
    </row>
    <row r="2442" spans="1:22" s="841" customFormat="1" ht="15" x14ac:dyDescent="0.25">
      <c r="A2442" s="841" t="s">
        <v>4874</v>
      </c>
      <c r="B2442" s="841" t="s">
        <v>5319</v>
      </c>
      <c r="E2442" s="1170" t="s">
        <v>5322</v>
      </c>
      <c r="F2442" s="1170"/>
      <c r="G2442" s="1168" t="s">
        <v>23</v>
      </c>
      <c r="H2442" s="1173">
        <v>44</v>
      </c>
      <c r="K2442" s="841" t="s">
        <v>5345</v>
      </c>
      <c r="L2442" s="841" t="s">
        <v>442</v>
      </c>
      <c r="M2442" s="1357"/>
      <c r="P2442" s="841" t="s">
        <v>6190</v>
      </c>
      <c r="Q2442" s="1357"/>
      <c r="S2442" s="1420"/>
      <c r="T2442" s="1420"/>
      <c r="V2442" s="1357">
        <v>135</v>
      </c>
    </row>
    <row r="2443" spans="1:22" s="841" customFormat="1" ht="15" x14ac:dyDescent="0.25">
      <c r="A2443" s="841" t="s">
        <v>4874</v>
      </c>
      <c r="B2443" s="841" t="s">
        <v>5319</v>
      </c>
      <c r="E2443" s="621" t="s">
        <v>5203</v>
      </c>
      <c r="F2443" s="621"/>
      <c r="G2443" s="1168" t="s">
        <v>23</v>
      </c>
      <c r="H2443" s="723">
        <v>11.65</v>
      </c>
      <c r="K2443" s="841" t="s">
        <v>5345</v>
      </c>
      <c r="L2443" s="841" t="s">
        <v>442</v>
      </c>
      <c r="M2443" s="1357"/>
      <c r="P2443" s="841" t="s">
        <v>6191</v>
      </c>
      <c r="Q2443" s="1357"/>
      <c r="S2443" s="1420"/>
      <c r="T2443" s="1420"/>
      <c r="V2443" s="1357">
        <v>152</v>
      </c>
    </row>
    <row r="2444" spans="1:22" s="841" customFormat="1" ht="15" x14ac:dyDescent="0.25">
      <c r="A2444" s="841" t="s">
        <v>4874</v>
      </c>
      <c r="B2444" s="841" t="s">
        <v>5319</v>
      </c>
      <c r="E2444" s="625" t="s">
        <v>5204</v>
      </c>
      <c r="F2444" s="625"/>
      <c r="G2444" s="1168" t="s">
        <v>23</v>
      </c>
      <c r="H2444" s="723">
        <v>16.18</v>
      </c>
      <c r="K2444" s="841" t="s">
        <v>5345</v>
      </c>
      <c r="L2444" s="841" t="s">
        <v>442</v>
      </c>
      <c r="M2444" s="1357"/>
      <c r="P2444" s="841" t="s">
        <v>6192</v>
      </c>
      <c r="Q2444" s="1357"/>
      <c r="S2444" s="1420"/>
      <c r="T2444" s="1420">
        <v>43465</v>
      </c>
      <c r="V2444" s="1357">
        <v>96</v>
      </c>
    </row>
    <row r="2445" spans="1:22" s="841" customFormat="1" ht="15" x14ac:dyDescent="0.25">
      <c r="A2445" s="841" t="s">
        <v>4874</v>
      </c>
      <c r="B2445" s="841" t="s">
        <v>5319</v>
      </c>
      <c r="E2445" s="1167" t="s">
        <v>84</v>
      </c>
      <c r="F2445" s="1167"/>
      <c r="G2445" s="1168" t="s">
        <v>33</v>
      </c>
      <c r="H2445" s="724">
        <v>2.3994</v>
      </c>
      <c r="K2445" s="841" t="s">
        <v>5345</v>
      </c>
      <c r="L2445" s="841" t="s">
        <v>442</v>
      </c>
      <c r="M2445" s="1357"/>
      <c r="P2445" s="841" t="s">
        <v>5348</v>
      </c>
      <c r="Q2445" s="1357"/>
      <c r="S2445" s="1420"/>
      <c r="T2445" s="1420"/>
      <c r="V2445" s="1357">
        <v>28</v>
      </c>
    </row>
    <row r="2446" spans="1:22" s="841" customFormat="1" ht="15" x14ac:dyDescent="0.25">
      <c r="A2446" s="841" t="s">
        <v>4874</v>
      </c>
      <c r="B2446" s="841" t="s">
        <v>5319</v>
      </c>
      <c r="E2446" s="1167" t="s">
        <v>4813</v>
      </c>
      <c r="F2446" s="1167"/>
      <c r="G2446" s="1168" t="s">
        <v>33</v>
      </c>
      <c r="H2446" s="724">
        <v>7.8399999999999997E-2</v>
      </c>
      <c r="K2446" s="841" t="s">
        <v>5345</v>
      </c>
      <c r="L2446" s="841" t="s">
        <v>443</v>
      </c>
      <c r="M2446" s="1357"/>
      <c r="P2446" s="841" t="s">
        <v>5349</v>
      </c>
      <c r="Q2446" s="1357"/>
      <c r="S2446" s="1420"/>
      <c r="T2446" s="1420"/>
      <c r="V2446" s="1357">
        <v>25</v>
      </c>
    </row>
    <row r="2447" spans="1:22" s="841" customFormat="1" ht="45.75" x14ac:dyDescent="0.25">
      <c r="A2447" s="841" t="s">
        <v>4874</v>
      </c>
      <c r="B2447" s="841" t="s">
        <v>5319</v>
      </c>
      <c r="E2447" s="1116" t="s">
        <v>5325</v>
      </c>
      <c r="F2447" s="1116"/>
      <c r="G2447" s="1169" t="s">
        <v>24</v>
      </c>
      <c r="H2447" s="724">
        <v>-5.0000000000000001E-4</v>
      </c>
      <c r="K2447" s="841" t="s">
        <v>5345</v>
      </c>
      <c r="L2447" s="841" t="s">
        <v>443</v>
      </c>
      <c r="M2447" s="1357"/>
      <c r="P2447" s="841" t="s">
        <v>5350</v>
      </c>
      <c r="Q2447" s="1357"/>
      <c r="S2447" s="1420"/>
      <c r="T2447" s="1420">
        <v>43585</v>
      </c>
      <c r="V2447" s="1357">
        <v>154</v>
      </c>
    </row>
    <row r="2448" spans="1:22" s="841" customFormat="1" ht="15" x14ac:dyDescent="0.25">
      <c r="A2448" s="841" t="s">
        <v>4874</v>
      </c>
      <c r="B2448" s="841" t="s">
        <v>5319</v>
      </c>
      <c r="E2448" s="621" t="s">
        <v>5210</v>
      </c>
      <c r="F2448" s="621"/>
      <c r="G2448" s="1168" t="s">
        <v>33</v>
      </c>
      <c r="H2448" s="724">
        <v>0.12720000000000001</v>
      </c>
      <c r="K2448" s="841" t="s">
        <v>5345</v>
      </c>
      <c r="L2448" s="841" t="s">
        <v>443</v>
      </c>
      <c r="M2448" s="1357"/>
      <c r="P2448" s="841" t="s">
        <v>5351</v>
      </c>
      <c r="Q2448" s="1357"/>
      <c r="S2448" s="1420"/>
      <c r="T2448" s="1420">
        <v>43585</v>
      </c>
      <c r="V2448" s="1357">
        <v>108</v>
      </c>
    </row>
    <row r="2449" spans="1:22" s="841" customFormat="1" ht="57" x14ac:dyDescent="0.25">
      <c r="A2449" s="841" t="s">
        <v>4874</v>
      </c>
      <c r="B2449" s="841" t="s">
        <v>5319</v>
      </c>
      <c r="E2449" s="1116" t="s">
        <v>5220</v>
      </c>
      <c r="F2449" s="1116"/>
      <c r="G2449" s="1169" t="s">
        <v>33</v>
      </c>
      <c r="H2449" s="724">
        <v>-0.44650000000000001</v>
      </c>
      <c r="K2449" s="841" t="s">
        <v>5345</v>
      </c>
      <c r="L2449" s="841" t="s">
        <v>443</v>
      </c>
      <c r="M2449" s="1357"/>
      <c r="P2449" s="841" t="s">
        <v>5351</v>
      </c>
      <c r="Q2449" s="1357"/>
      <c r="S2449" s="1420"/>
      <c r="T2449" s="1420">
        <v>43585</v>
      </c>
      <c r="V2449" s="1357">
        <v>171</v>
      </c>
    </row>
    <row r="2450" spans="1:22" s="841" customFormat="1" ht="57" x14ac:dyDescent="0.25">
      <c r="A2450" s="841" t="s">
        <v>4874</v>
      </c>
      <c r="B2450" s="841" t="s">
        <v>5319</v>
      </c>
      <c r="E2450" s="1116" t="s">
        <v>5337</v>
      </c>
      <c r="F2450" s="1116"/>
      <c r="G2450" s="1169" t="s">
        <v>33</v>
      </c>
      <c r="H2450" s="918">
        <v>-1.9990000000000001E-2</v>
      </c>
      <c r="K2450" s="841" t="s">
        <v>5345</v>
      </c>
      <c r="L2450" s="841" t="s">
        <v>443</v>
      </c>
      <c r="M2450" s="1357"/>
      <c r="P2450" s="841" t="s">
        <v>5352</v>
      </c>
      <c r="Q2450" s="1357"/>
      <c r="S2450" s="1420"/>
      <c r="T2450" s="1420">
        <v>43585</v>
      </c>
      <c r="V2450" s="1357">
        <v>194</v>
      </c>
    </row>
    <row r="2451" spans="1:22" s="841" customFormat="1" ht="45.75" x14ac:dyDescent="0.25">
      <c r="A2451" s="841" t="s">
        <v>4874</v>
      </c>
      <c r="B2451" s="841" t="s">
        <v>5319</v>
      </c>
      <c r="E2451" s="1116" t="s">
        <v>5327</v>
      </c>
      <c r="F2451" s="1116"/>
      <c r="G2451" s="1169" t="s">
        <v>33</v>
      </c>
      <c r="H2451" s="724">
        <v>0.14099999999999999</v>
      </c>
      <c r="K2451" s="841" t="s">
        <v>5345</v>
      </c>
      <c r="L2451" s="841" t="s">
        <v>442</v>
      </c>
      <c r="M2451" s="1357"/>
      <c r="P2451" s="841" t="s">
        <v>5353</v>
      </c>
      <c r="Q2451" s="1357"/>
      <c r="S2451" s="1420"/>
      <c r="T2451" s="1420">
        <v>43585</v>
      </c>
      <c r="V2451" s="1357">
        <v>146</v>
      </c>
    </row>
    <row r="2452" spans="1:22" s="841" customFormat="1" ht="15" x14ac:dyDescent="0.25">
      <c r="A2452" s="841" t="s">
        <v>4874</v>
      </c>
      <c r="B2452" s="841" t="s">
        <v>5319</v>
      </c>
      <c r="E2452" s="1170" t="s">
        <v>5322</v>
      </c>
      <c r="F2452" s="1170"/>
      <c r="G2452" s="1168" t="s">
        <v>33</v>
      </c>
      <c r="H2452" s="1172">
        <v>5.9799999999999999E-2</v>
      </c>
      <c r="K2452" s="841" t="s">
        <v>5345</v>
      </c>
      <c r="L2452" s="841" t="s">
        <v>442</v>
      </c>
      <c r="M2452" s="1357"/>
      <c r="P2452" s="841" t="s">
        <v>6193</v>
      </c>
      <c r="Q2452" s="1357"/>
      <c r="S2452" s="1420"/>
      <c r="T2452" s="1420"/>
      <c r="V2452" s="1357">
        <v>135</v>
      </c>
    </row>
    <row r="2453" spans="1:22" s="841" customFormat="1" ht="15" x14ac:dyDescent="0.25">
      <c r="A2453" s="841" t="s">
        <v>4874</v>
      </c>
      <c r="B2453" s="841" t="s">
        <v>5319</v>
      </c>
      <c r="E2453" s="621" t="s">
        <v>5203</v>
      </c>
      <c r="F2453" s="621"/>
      <c r="G2453" s="1168" t="s">
        <v>33</v>
      </c>
      <c r="H2453" s="724">
        <v>1.5800000000000002E-2</v>
      </c>
      <c r="K2453" s="841" t="s">
        <v>5345</v>
      </c>
      <c r="L2453" s="841" t="s">
        <v>442</v>
      </c>
      <c r="M2453" s="1357"/>
      <c r="P2453" s="841" t="s">
        <v>6194</v>
      </c>
      <c r="Q2453" s="1357"/>
      <c r="S2453" s="1420"/>
      <c r="T2453" s="1420"/>
      <c r="V2453" s="1357">
        <v>152</v>
      </c>
    </row>
    <row r="2454" spans="1:22" s="841" customFormat="1" ht="15" x14ac:dyDescent="0.25">
      <c r="A2454" s="841" t="s">
        <v>4874</v>
      </c>
      <c r="B2454" s="841" t="s">
        <v>5319</v>
      </c>
      <c r="E2454" s="1167" t="s">
        <v>4815</v>
      </c>
      <c r="F2454" s="1167"/>
      <c r="G2454" s="1168" t="s">
        <v>33</v>
      </c>
      <c r="H2454" s="1115">
        <v>2.6436000000000002</v>
      </c>
      <c r="K2454" s="841" t="s">
        <v>5345</v>
      </c>
      <c r="L2454" s="841" t="s">
        <v>444</v>
      </c>
      <c r="M2454" s="1357"/>
      <c r="P2454" s="841" t="s">
        <v>5354</v>
      </c>
      <c r="Q2454" s="1357"/>
      <c r="S2454" s="1420"/>
      <c r="T2454" s="1420"/>
      <c r="V2454" s="1357">
        <v>48</v>
      </c>
    </row>
    <row r="2455" spans="1:22" s="841" customFormat="1" ht="23.25" x14ac:dyDescent="0.25">
      <c r="A2455" s="841" t="s">
        <v>4874</v>
      </c>
      <c r="B2455" s="841" t="s">
        <v>5319</v>
      </c>
      <c r="E2455" s="1167" t="s">
        <v>3628</v>
      </c>
      <c r="F2455" s="1167"/>
      <c r="G2455" s="1168" t="s">
        <v>33</v>
      </c>
      <c r="H2455" s="1115">
        <v>2.4803000000000002</v>
      </c>
      <c r="K2455" s="841" t="s">
        <v>5345</v>
      </c>
      <c r="L2455" s="841" t="s">
        <v>444</v>
      </c>
      <c r="M2455" s="1357"/>
      <c r="P2455" s="841" t="s">
        <v>5355</v>
      </c>
      <c r="Q2455" s="1357"/>
      <c r="S2455" s="1420"/>
      <c r="T2455" s="1420"/>
      <c r="V2455" s="1357">
        <v>75</v>
      </c>
    </row>
    <row r="2456" spans="1:22" s="841" customFormat="1" ht="26.25" x14ac:dyDescent="0.25">
      <c r="A2456" s="841" t="s">
        <v>4874</v>
      </c>
      <c r="B2456" s="841" t="s">
        <v>5319</v>
      </c>
      <c r="E2456" s="1389" t="s">
        <v>3079</v>
      </c>
      <c r="F2456" s="1389"/>
      <c r="G2456" s="1113"/>
      <c r="H2456" s="1085"/>
      <c r="K2456" s="841" t="s">
        <v>3225</v>
      </c>
      <c r="M2456" s="1357"/>
      <c r="Q2456" s="1357"/>
      <c r="S2456" s="1420"/>
      <c r="T2456" s="1420"/>
      <c r="V2456" s="1357">
        <v>48</v>
      </c>
    </row>
    <row r="2457" spans="1:22" s="841" customFormat="1" ht="15" x14ac:dyDescent="0.25">
      <c r="A2457" s="841" t="s">
        <v>4874</v>
      </c>
      <c r="B2457" s="841" t="s">
        <v>5319</v>
      </c>
      <c r="E2457" s="1690" t="s">
        <v>2449</v>
      </c>
      <c r="F2457" s="1690"/>
      <c r="G2457" s="1113" t="s">
        <v>24</v>
      </c>
      <c r="H2457" s="1115">
        <v>3.2000000000000002E-3</v>
      </c>
      <c r="K2457" s="841" t="s">
        <v>5345</v>
      </c>
      <c r="L2457" s="841" t="s">
        <v>3046</v>
      </c>
      <c r="M2457" s="1357"/>
      <c r="P2457" s="841" t="s">
        <v>5356</v>
      </c>
      <c r="Q2457" s="1357"/>
      <c r="S2457" s="1420"/>
      <c r="T2457" s="1420"/>
      <c r="V2457" s="1357">
        <v>55</v>
      </c>
    </row>
    <row r="2458" spans="1:22" s="841" customFormat="1" ht="23.25" x14ac:dyDescent="0.25">
      <c r="A2458" s="841" t="s">
        <v>4874</v>
      </c>
      <c r="B2458" s="841" t="s">
        <v>5319</v>
      </c>
      <c r="E2458" s="1167" t="s">
        <v>3211</v>
      </c>
      <c r="F2458" s="1167"/>
      <c r="G2458" s="1113" t="s">
        <v>24</v>
      </c>
      <c r="H2458" s="724">
        <v>4.0000000000000002E-4</v>
      </c>
      <c r="K2458" s="841" t="s">
        <v>5345</v>
      </c>
      <c r="L2458" s="841" t="s">
        <v>3046</v>
      </c>
      <c r="M2458" s="1357"/>
      <c r="P2458" s="841" t="s">
        <v>5356</v>
      </c>
      <c r="Q2458" s="1357"/>
      <c r="S2458" s="1420"/>
      <c r="T2458" s="1420"/>
      <c r="V2458" s="1357">
        <v>64</v>
      </c>
    </row>
    <row r="2459" spans="1:22" s="841" customFormat="1" ht="23.25" x14ac:dyDescent="0.25">
      <c r="A2459" s="841" t="s">
        <v>4874</v>
      </c>
      <c r="B2459" s="841" t="s">
        <v>5319</v>
      </c>
      <c r="E2459" s="1382" t="s">
        <v>439</v>
      </c>
      <c r="F2459" s="1382"/>
      <c r="G2459" s="1113" t="s">
        <v>24</v>
      </c>
      <c r="H2459" s="724">
        <v>2.9999999999999997E-4</v>
      </c>
      <c r="K2459" s="841" t="s">
        <v>5345</v>
      </c>
      <c r="L2459" s="841" t="s">
        <v>3046</v>
      </c>
      <c r="M2459" s="1357"/>
      <c r="P2459" s="841" t="s">
        <v>5357</v>
      </c>
      <c r="Q2459" s="1357"/>
      <c r="S2459" s="1420"/>
      <c r="T2459" s="1420"/>
      <c r="V2459" s="1357">
        <v>57</v>
      </c>
    </row>
    <row r="2460" spans="1:22" s="841" customFormat="1" ht="23.25" x14ac:dyDescent="0.25">
      <c r="A2460" s="841" t="s">
        <v>4874</v>
      </c>
      <c r="B2460" s="841" t="s">
        <v>5319</v>
      </c>
      <c r="E2460" s="1382" t="s">
        <v>32</v>
      </c>
      <c r="F2460" s="1382"/>
      <c r="G2460" s="1113" t="s">
        <v>23</v>
      </c>
      <c r="H2460" s="723">
        <v>0.25</v>
      </c>
      <c r="K2460" s="841" t="s">
        <v>5345</v>
      </c>
      <c r="L2460" s="841" t="s">
        <v>3046</v>
      </c>
      <c r="M2460" s="1357"/>
      <c r="P2460" s="841" t="s">
        <v>5358</v>
      </c>
      <c r="Q2460" s="1357"/>
      <c r="S2460" s="1420"/>
      <c r="T2460" s="1420"/>
      <c r="V2460" s="1357">
        <v>63</v>
      </c>
    </row>
    <row r="2461" spans="1:22" s="841" customFormat="1" x14ac:dyDescent="0.25">
      <c r="A2461" s="841" t="s">
        <v>4874</v>
      </c>
      <c r="B2461" s="841" t="s">
        <v>5319</v>
      </c>
      <c r="E2461" s="1974" t="s">
        <v>621</v>
      </c>
      <c r="F2461" s="1974"/>
      <c r="G2461" s="1975"/>
      <c r="H2461" s="1975"/>
      <c r="K2461" s="841" t="s">
        <v>3226</v>
      </c>
      <c r="M2461" s="1357"/>
      <c r="Q2461" s="1357"/>
      <c r="S2461" s="1420"/>
      <c r="T2461" s="1420"/>
      <c r="V2461" s="1357">
        <v>32</v>
      </c>
    </row>
    <row r="2462" spans="1:22" s="841" customFormat="1" ht="15" x14ac:dyDescent="0.25">
      <c r="A2462" s="841" t="s">
        <v>4874</v>
      </c>
      <c r="B2462" s="841" t="s">
        <v>5319</v>
      </c>
      <c r="E2462" s="1969" t="s">
        <v>5359</v>
      </c>
      <c r="F2462" s="1969"/>
      <c r="G2462" s="1970"/>
      <c r="H2462" s="1970"/>
      <c r="K2462" s="841" t="s">
        <v>3226</v>
      </c>
      <c r="M2462" s="1357"/>
      <c r="Q2462" s="1357"/>
      <c r="S2462" s="1420"/>
      <c r="T2462" s="1420"/>
      <c r="V2462" s="1357">
        <v>323</v>
      </c>
    </row>
    <row r="2463" spans="1:22" s="841" customFormat="1" ht="15" x14ac:dyDescent="0.25">
      <c r="A2463" s="841" t="s">
        <v>4874</v>
      </c>
      <c r="B2463" s="841" t="s">
        <v>5319</v>
      </c>
      <c r="E2463" s="2017" t="s">
        <v>3061</v>
      </c>
      <c r="F2463" s="2017"/>
      <c r="G2463" s="2018"/>
      <c r="H2463" s="2018"/>
      <c r="K2463" s="841" t="s">
        <v>3107</v>
      </c>
      <c r="M2463" s="1357"/>
      <c r="Q2463" s="1357"/>
      <c r="S2463" s="1420"/>
      <c r="T2463" s="1420"/>
      <c r="V2463" s="1357">
        <v>11</v>
      </c>
    </row>
    <row r="2464" spans="1:22" s="841" customFormat="1" ht="15" x14ac:dyDescent="0.25">
      <c r="A2464" s="841" t="s">
        <v>4874</v>
      </c>
      <c r="B2464" s="841" t="s">
        <v>5319</v>
      </c>
      <c r="E2464" s="1969" t="s">
        <v>3063</v>
      </c>
      <c r="F2464" s="1969"/>
      <c r="G2464" s="1970"/>
      <c r="H2464" s="1970"/>
      <c r="K2464" s="841" t="s">
        <v>3226</v>
      </c>
      <c r="M2464" s="1357"/>
      <c r="Q2464" s="1357"/>
      <c r="S2464" s="1420"/>
      <c r="T2464" s="1420"/>
      <c r="V2464" s="1357">
        <v>280</v>
      </c>
    </row>
    <row r="2465" spans="1:22" s="841" customFormat="1" ht="15" x14ac:dyDescent="0.25">
      <c r="A2465" s="841" t="s">
        <v>4874</v>
      </c>
      <c r="B2465" s="841" t="s">
        <v>5319</v>
      </c>
      <c r="E2465" s="1969" t="s">
        <v>3064</v>
      </c>
      <c r="F2465" s="1969"/>
      <c r="G2465" s="1970"/>
      <c r="H2465" s="1970"/>
      <c r="K2465" s="841" t="s">
        <v>3226</v>
      </c>
      <c r="M2465" s="1357"/>
      <c r="Q2465" s="1357"/>
      <c r="S2465" s="1420"/>
      <c r="T2465" s="1420"/>
      <c r="V2465" s="1357">
        <v>411</v>
      </c>
    </row>
    <row r="2466" spans="1:22" s="841" customFormat="1" ht="15" x14ac:dyDescent="0.25">
      <c r="A2466" s="841" t="s">
        <v>4874</v>
      </c>
      <c r="B2466" s="841" t="s">
        <v>5319</v>
      </c>
      <c r="E2466" s="1969" t="s">
        <v>3199</v>
      </c>
      <c r="F2466" s="1969"/>
      <c r="G2466" s="1970"/>
      <c r="H2466" s="1970"/>
      <c r="K2466" s="841" t="s">
        <v>3226</v>
      </c>
      <c r="M2466" s="1357"/>
      <c r="Q2466" s="1357"/>
      <c r="S2466" s="1420"/>
      <c r="T2466" s="1420"/>
      <c r="V2466" s="1357">
        <v>386</v>
      </c>
    </row>
    <row r="2467" spans="1:22" s="841" customFormat="1" ht="15" x14ac:dyDescent="0.25">
      <c r="A2467" s="841" t="s">
        <v>4874</v>
      </c>
      <c r="B2467" s="841" t="s">
        <v>5319</v>
      </c>
      <c r="E2467" s="1969" t="s">
        <v>3200</v>
      </c>
      <c r="F2467" s="1969"/>
      <c r="G2467" s="1970"/>
      <c r="H2467" s="1970"/>
      <c r="K2467" s="841" t="s">
        <v>3226</v>
      </c>
      <c r="M2467" s="1357"/>
      <c r="Q2467" s="1357"/>
      <c r="S2467" s="1420"/>
      <c r="T2467" s="1420"/>
      <c r="V2467" s="1357">
        <v>275</v>
      </c>
    </row>
    <row r="2468" spans="1:22" s="841" customFormat="1" ht="24" x14ac:dyDescent="0.25">
      <c r="A2468" s="841" t="s">
        <v>4874</v>
      </c>
      <c r="B2468" s="841" t="s">
        <v>5319</v>
      </c>
      <c r="E2468" s="1387" t="s">
        <v>3625</v>
      </c>
      <c r="F2468" s="1387"/>
      <c r="G2468" s="1171"/>
      <c r="H2468" s="1393"/>
      <c r="K2468" s="841" t="s">
        <v>3226</v>
      </c>
      <c r="M2468" s="1357"/>
      <c r="Q2468" s="1357"/>
      <c r="S2468" s="1420"/>
      <c r="T2468" s="1420"/>
      <c r="V2468" s="1357">
        <v>92</v>
      </c>
    </row>
    <row r="2469" spans="1:22" s="841" customFormat="1" ht="15" x14ac:dyDescent="0.25">
      <c r="A2469" s="841" t="s">
        <v>4874</v>
      </c>
      <c r="B2469" s="841" t="s">
        <v>5319</v>
      </c>
      <c r="E2469" s="1972" t="s">
        <v>3067</v>
      </c>
      <c r="F2469" s="1972"/>
      <c r="G2469" s="1973"/>
      <c r="H2469" s="1973"/>
      <c r="K2469" s="841" t="s">
        <v>3108</v>
      </c>
      <c r="M2469" s="1357"/>
      <c r="Q2469" s="1357"/>
      <c r="S2469" s="1420"/>
      <c r="T2469" s="1420"/>
      <c r="V2469" s="1357">
        <v>46</v>
      </c>
    </row>
    <row r="2470" spans="1:22" s="841" customFormat="1" ht="15" x14ac:dyDescent="0.25">
      <c r="A2470" s="841" t="s">
        <v>4874</v>
      </c>
      <c r="B2470" s="841" t="s">
        <v>5319</v>
      </c>
      <c r="E2470" s="1167" t="s">
        <v>11</v>
      </c>
      <c r="F2470" s="1167"/>
      <c r="G2470" s="1168" t="s">
        <v>23</v>
      </c>
      <c r="H2470" s="723">
        <v>13911.73</v>
      </c>
      <c r="K2470" s="841" t="s">
        <v>3226</v>
      </c>
      <c r="L2470" s="841" t="s">
        <v>442</v>
      </c>
      <c r="M2470" s="1357"/>
      <c r="P2470" s="841" t="s">
        <v>3228</v>
      </c>
      <c r="Q2470" s="1357"/>
      <c r="S2470" s="1420"/>
      <c r="T2470" s="1420"/>
      <c r="V2470" s="1357">
        <v>14</v>
      </c>
    </row>
    <row r="2471" spans="1:22" s="841" customFormat="1" ht="15" x14ac:dyDescent="0.25">
      <c r="A2471" s="841" t="s">
        <v>4874</v>
      </c>
      <c r="B2471" s="841" t="s">
        <v>5319</v>
      </c>
      <c r="E2471" s="1170" t="s">
        <v>5322</v>
      </c>
      <c r="F2471" s="1170"/>
      <c r="G2471" s="1168" t="s">
        <v>23</v>
      </c>
      <c r="H2471" s="1173">
        <v>346.9</v>
      </c>
      <c r="K2471" s="841" t="s">
        <v>3226</v>
      </c>
      <c r="L2471" s="841" t="s">
        <v>442</v>
      </c>
      <c r="M2471" s="1357"/>
      <c r="P2471" s="841" t="s">
        <v>6195</v>
      </c>
      <c r="Q2471" s="1357"/>
      <c r="S2471" s="1420"/>
      <c r="T2471" s="1420"/>
      <c r="V2471" s="1357">
        <v>135</v>
      </c>
    </row>
    <row r="2472" spans="1:22" s="841" customFormat="1" ht="15" x14ac:dyDescent="0.25">
      <c r="A2472" s="841" t="s">
        <v>4874</v>
      </c>
      <c r="B2472" s="841" t="s">
        <v>5319</v>
      </c>
      <c r="E2472" s="621" t="s">
        <v>5203</v>
      </c>
      <c r="F2472" s="621"/>
      <c r="G2472" s="1168" t="s">
        <v>23</v>
      </c>
      <c r="H2472" s="723">
        <v>91.89</v>
      </c>
      <c r="K2472" s="841" t="s">
        <v>3226</v>
      </c>
      <c r="L2472" s="841" t="s">
        <v>442</v>
      </c>
      <c r="M2472" s="1357"/>
      <c r="P2472" s="841" t="s">
        <v>6196</v>
      </c>
      <c r="Q2472" s="1357"/>
      <c r="S2472" s="1420"/>
      <c r="T2472" s="1420"/>
      <c r="V2472" s="1357">
        <v>152</v>
      </c>
    </row>
    <row r="2473" spans="1:22" s="841" customFormat="1" ht="15" x14ac:dyDescent="0.25">
      <c r="A2473" s="841" t="s">
        <v>4874</v>
      </c>
      <c r="B2473" s="841" t="s">
        <v>5319</v>
      </c>
      <c r="E2473" s="625" t="s">
        <v>5204</v>
      </c>
      <c r="F2473" s="625"/>
      <c r="G2473" s="1168" t="s">
        <v>23</v>
      </c>
      <c r="H2473" s="723">
        <v>264.39</v>
      </c>
      <c r="K2473" s="841" t="s">
        <v>3226</v>
      </c>
      <c r="L2473" s="841" t="s">
        <v>442</v>
      </c>
      <c r="M2473" s="1357"/>
      <c r="P2473" s="841" t="s">
        <v>6197</v>
      </c>
      <c r="Q2473" s="1357"/>
      <c r="S2473" s="1420"/>
      <c r="T2473" s="1420">
        <v>43465</v>
      </c>
      <c r="V2473" s="1357">
        <v>96</v>
      </c>
    </row>
    <row r="2474" spans="1:22" s="841" customFormat="1" ht="15" x14ac:dyDescent="0.25">
      <c r="A2474" s="841" t="s">
        <v>4874</v>
      </c>
      <c r="B2474" s="841" t="s">
        <v>5319</v>
      </c>
      <c r="E2474" s="1167" t="s">
        <v>84</v>
      </c>
      <c r="F2474" s="1167"/>
      <c r="G2474" s="1168" t="s">
        <v>33</v>
      </c>
      <c r="H2474" s="724">
        <v>2.9782000000000002</v>
      </c>
      <c r="K2474" s="841" t="s">
        <v>3226</v>
      </c>
      <c r="L2474" s="841" t="s">
        <v>442</v>
      </c>
      <c r="M2474" s="1357"/>
      <c r="P2474" s="841" t="s">
        <v>3229</v>
      </c>
      <c r="Q2474" s="1357"/>
      <c r="S2474" s="1420"/>
      <c r="T2474" s="1420"/>
      <c r="V2474" s="1357">
        <v>28</v>
      </c>
    </row>
    <row r="2475" spans="1:22" s="841" customFormat="1" ht="15" x14ac:dyDescent="0.25">
      <c r="A2475" s="841" t="s">
        <v>4874</v>
      </c>
      <c r="B2475" s="841" t="s">
        <v>5319</v>
      </c>
      <c r="E2475" s="1167" t="s">
        <v>4813</v>
      </c>
      <c r="F2475" s="1167"/>
      <c r="G2475" s="1168" t="s">
        <v>33</v>
      </c>
      <c r="H2475" s="724">
        <v>8.3799999999999999E-2</v>
      </c>
      <c r="K2475" s="841" t="s">
        <v>3226</v>
      </c>
      <c r="L2475" s="841" t="s">
        <v>443</v>
      </c>
      <c r="M2475" s="1357"/>
      <c r="P2475" s="841" t="s">
        <v>3230</v>
      </c>
      <c r="Q2475" s="1357"/>
      <c r="S2475" s="1420"/>
      <c r="T2475" s="1420"/>
      <c r="V2475" s="1357">
        <v>25</v>
      </c>
    </row>
    <row r="2476" spans="1:22" s="841" customFormat="1" ht="15" x14ac:dyDescent="0.25">
      <c r="A2476" s="841" t="s">
        <v>4874</v>
      </c>
      <c r="B2476" s="841" t="s">
        <v>5319</v>
      </c>
      <c r="E2476" s="621" t="s">
        <v>5210</v>
      </c>
      <c r="F2476" s="621"/>
      <c r="G2476" s="1168" t="s">
        <v>33</v>
      </c>
      <c r="H2476" s="724">
        <v>-0.40539999999999998</v>
      </c>
      <c r="K2476" s="841" t="s">
        <v>3226</v>
      </c>
      <c r="L2476" s="841" t="s">
        <v>443</v>
      </c>
      <c r="M2476" s="1357"/>
      <c r="P2476" s="841" t="s">
        <v>3232</v>
      </c>
      <c r="Q2476" s="1357"/>
      <c r="S2476" s="1420"/>
      <c r="T2476" s="1420">
        <v>43585</v>
      </c>
      <c r="V2476" s="1357">
        <v>108</v>
      </c>
    </row>
    <row r="2477" spans="1:22" s="841" customFormat="1" ht="45.75" x14ac:dyDescent="0.25">
      <c r="A2477" s="841" t="s">
        <v>4874</v>
      </c>
      <c r="B2477" s="841" t="s">
        <v>5319</v>
      </c>
      <c r="E2477" s="1116" t="s">
        <v>5327</v>
      </c>
      <c r="F2477" s="1116"/>
      <c r="G2477" s="1169" t="s">
        <v>33</v>
      </c>
      <c r="H2477" s="724">
        <v>8.7999999999999995E-2</v>
      </c>
      <c r="K2477" s="841" t="s">
        <v>3226</v>
      </c>
      <c r="L2477" s="841" t="s">
        <v>442</v>
      </c>
      <c r="M2477" s="1357"/>
      <c r="P2477" s="841" t="s">
        <v>3231</v>
      </c>
      <c r="Q2477" s="1357"/>
      <c r="S2477" s="1420"/>
      <c r="T2477" s="1420">
        <v>43585</v>
      </c>
      <c r="V2477" s="1357">
        <v>146</v>
      </c>
    </row>
    <row r="2478" spans="1:22" s="841" customFormat="1" ht="15" x14ac:dyDescent="0.25">
      <c r="A2478" s="841" t="s">
        <v>4874</v>
      </c>
      <c r="B2478" s="841" t="s">
        <v>5319</v>
      </c>
      <c r="E2478" s="1170" t="s">
        <v>5322</v>
      </c>
      <c r="F2478" s="1170"/>
      <c r="G2478" s="1168" t="s">
        <v>33</v>
      </c>
      <c r="H2478" s="724">
        <v>7.4300000000000005E-2</v>
      </c>
      <c r="K2478" s="841" t="s">
        <v>3226</v>
      </c>
      <c r="L2478" s="841" t="s">
        <v>442</v>
      </c>
      <c r="M2478" s="1357"/>
      <c r="P2478" s="841" t="s">
        <v>6198</v>
      </c>
      <c r="Q2478" s="1357"/>
      <c r="S2478" s="1420"/>
      <c r="T2478" s="1420"/>
      <c r="V2478" s="1357">
        <v>135</v>
      </c>
    </row>
    <row r="2479" spans="1:22" s="841" customFormat="1" ht="15" x14ac:dyDescent="0.25">
      <c r="A2479" s="841" t="s">
        <v>4874</v>
      </c>
      <c r="B2479" s="841" t="s">
        <v>5319</v>
      </c>
      <c r="E2479" s="621" t="s">
        <v>5203</v>
      </c>
      <c r="F2479" s="621"/>
      <c r="G2479" s="1168" t="s">
        <v>33</v>
      </c>
      <c r="H2479" s="724">
        <v>1.9699999999999999E-2</v>
      </c>
      <c r="K2479" s="841" t="s">
        <v>3226</v>
      </c>
      <c r="L2479" s="841" t="s">
        <v>442</v>
      </c>
      <c r="M2479" s="1357"/>
      <c r="P2479" s="841" t="s">
        <v>6199</v>
      </c>
      <c r="Q2479" s="1357"/>
      <c r="S2479" s="1420"/>
      <c r="T2479" s="1420"/>
      <c r="V2479" s="1357">
        <v>152</v>
      </c>
    </row>
    <row r="2480" spans="1:22" s="841" customFormat="1" ht="23.25" x14ac:dyDescent="0.25">
      <c r="A2480" s="841" t="s">
        <v>4874</v>
      </c>
      <c r="B2480" s="841" t="s">
        <v>5319</v>
      </c>
      <c r="E2480" s="1167" t="s">
        <v>5360</v>
      </c>
      <c r="F2480" s="1167"/>
      <c r="G2480" s="1168" t="s">
        <v>33</v>
      </c>
      <c r="H2480" s="1115">
        <v>2.8210999999999999</v>
      </c>
      <c r="K2480" s="841" t="s">
        <v>3226</v>
      </c>
      <c r="L2480" s="841" t="s">
        <v>444</v>
      </c>
      <c r="M2480" s="1357"/>
      <c r="P2480" s="841" t="s">
        <v>5361</v>
      </c>
      <c r="Q2480" s="1357"/>
      <c r="S2480" s="1420"/>
      <c r="T2480" s="1420"/>
      <c r="V2480" s="1357">
        <v>66</v>
      </c>
    </row>
    <row r="2481" spans="1:22" s="841" customFormat="1" ht="23.25" x14ac:dyDescent="0.25">
      <c r="A2481" s="841" t="s">
        <v>4874</v>
      </c>
      <c r="B2481" s="841" t="s">
        <v>5319</v>
      </c>
      <c r="E2481" s="1167" t="s">
        <v>5362</v>
      </c>
      <c r="F2481" s="1167"/>
      <c r="G2481" s="1168" t="s">
        <v>33</v>
      </c>
      <c r="H2481" s="1115">
        <v>2.6490999999999998</v>
      </c>
      <c r="K2481" s="841" t="s">
        <v>3226</v>
      </c>
      <c r="L2481" s="841" t="s">
        <v>444</v>
      </c>
      <c r="M2481" s="1357"/>
      <c r="P2481" s="841" t="s">
        <v>5363</v>
      </c>
      <c r="Q2481" s="1357"/>
      <c r="S2481" s="1420"/>
      <c r="T2481" s="1420"/>
      <c r="V2481" s="1357">
        <v>94</v>
      </c>
    </row>
    <row r="2482" spans="1:22" s="841" customFormat="1" ht="26.25" x14ac:dyDescent="0.25">
      <c r="A2482" s="841" t="s">
        <v>4874</v>
      </c>
      <c r="B2482" s="841" t="s">
        <v>5319</v>
      </c>
      <c r="E2482" s="1389" t="s">
        <v>3079</v>
      </c>
      <c r="F2482" s="1389"/>
      <c r="G2482" s="1113"/>
      <c r="H2482" s="1085"/>
      <c r="K2482" s="841" t="s">
        <v>3111</v>
      </c>
      <c r="M2482" s="1357"/>
      <c r="Q2482" s="1357"/>
      <c r="S2482" s="1420"/>
      <c r="T2482" s="1420"/>
      <c r="V2482" s="1357">
        <v>48</v>
      </c>
    </row>
    <row r="2483" spans="1:22" s="841" customFormat="1" ht="15" x14ac:dyDescent="0.25">
      <c r="A2483" s="841" t="s">
        <v>4874</v>
      </c>
      <c r="B2483" s="841" t="s">
        <v>5319</v>
      </c>
      <c r="E2483" s="1690" t="s">
        <v>2449</v>
      </c>
      <c r="F2483" s="1690"/>
      <c r="G2483" s="1113" t="s">
        <v>24</v>
      </c>
      <c r="H2483" s="1115">
        <v>3.2000000000000002E-3</v>
      </c>
      <c r="K2483" s="841" t="s">
        <v>3226</v>
      </c>
      <c r="L2483" s="841" t="s">
        <v>3046</v>
      </c>
      <c r="M2483" s="1357"/>
      <c r="P2483" s="841" t="s">
        <v>3235</v>
      </c>
      <c r="Q2483" s="1357"/>
      <c r="S2483" s="1420"/>
      <c r="T2483" s="1420"/>
      <c r="V2483" s="1357">
        <v>55</v>
      </c>
    </row>
    <row r="2484" spans="1:22" s="841" customFormat="1" ht="23.25" x14ac:dyDescent="0.25">
      <c r="A2484" s="841" t="s">
        <v>4874</v>
      </c>
      <c r="B2484" s="841" t="s">
        <v>5319</v>
      </c>
      <c r="E2484" s="1167" t="s">
        <v>3211</v>
      </c>
      <c r="F2484" s="1167"/>
      <c r="G2484" s="1113" t="s">
        <v>24</v>
      </c>
      <c r="H2484" s="724">
        <v>4.0000000000000002E-4</v>
      </c>
      <c r="K2484" s="841" t="s">
        <v>3226</v>
      </c>
      <c r="L2484" s="841" t="s">
        <v>3046</v>
      </c>
      <c r="M2484" s="1357"/>
      <c r="P2484" s="841" t="s">
        <v>3235</v>
      </c>
      <c r="Q2484" s="1357"/>
      <c r="S2484" s="1420"/>
      <c r="T2484" s="1420"/>
      <c r="V2484" s="1357">
        <v>64</v>
      </c>
    </row>
    <row r="2485" spans="1:22" s="841" customFormat="1" ht="23.25" x14ac:dyDescent="0.25">
      <c r="A2485" s="841" t="s">
        <v>4874</v>
      </c>
      <c r="B2485" s="841" t="s">
        <v>5319</v>
      </c>
      <c r="E2485" s="1382" t="s">
        <v>439</v>
      </c>
      <c r="F2485" s="1382"/>
      <c r="G2485" s="1113" t="s">
        <v>24</v>
      </c>
      <c r="H2485" s="724">
        <v>2.9999999999999997E-4</v>
      </c>
      <c r="K2485" s="841" t="s">
        <v>3226</v>
      </c>
      <c r="L2485" s="841" t="s">
        <v>3046</v>
      </c>
      <c r="M2485" s="1357"/>
      <c r="P2485" s="841" t="s">
        <v>3236</v>
      </c>
      <c r="Q2485" s="1357"/>
      <c r="S2485" s="1420"/>
      <c r="T2485" s="1420"/>
      <c r="V2485" s="1357">
        <v>57</v>
      </c>
    </row>
    <row r="2486" spans="1:22" s="841" customFormat="1" ht="23.25" x14ac:dyDescent="0.25">
      <c r="A2486" s="841" t="s">
        <v>4874</v>
      </c>
      <c r="B2486" s="841" t="s">
        <v>5319</v>
      </c>
      <c r="E2486" s="1382" t="s">
        <v>32</v>
      </c>
      <c r="F2486" s="1382"/>
      <c r="G2486" s="1113" t="s">
        <v>23</v>
      </c>
      <c r="H2486" s="723">
        <v>0.25</v>
      </c>
      <c r="K2486" s="841" t="s">
        <v>3226</v>
      </c>
      <c r="L2486" s="841" t="s">
        <v>3046</v>
      </c>
      <c r="M2486" s="1357"/>
      <c r="P2486" s="841" t="s">
        <v>3237</v>
      </c>
      <c r="Q2486" s="1357"/>
      <c r="S2486" s="1420"/>
      <c r="T2486" s="1420"/>
      <c r="V2486" s="1357">
        <v>63</v>
      </c>
    </row>
    <row r="2487" spans="1:22" s="841" customFormat="1" x14ac:dyDescent="0.25">
      <c r="A2487" s="841" t="s">
        <v>4874</v>
      </c>
      <c r="B2487" s="841" t="s">
        <v>5319</v>
      </c>
      <c r="E2487" s="1974" t="s">
        <v>617</v>
      </c>
      <c r="F2487" s="1974"/>
      <c r="G2487" s="1975"/>
      <c r="H2487" s="1975"/>
      <c r="K2487" s="841" t="s">
        <v>3238</v>
      </c>
      <c r="M2487" s="1357"/>
      <c r="Q2487" s="1357"/>
      <c r="S2487" s="1420"/>
      <c r="T2487" s="1420"/>
      <c r="V2487" s="1357">
        <v>47</v>
      </c>
    </row>
    <row r="2488" spans="1:22" s="841" customFormat="1" ht="15" x14ac:dyDescent="0.25">
      <c r="A2488" s="841" t="s">
        <v>4874</v>
      </c>
      <c r="B2488" s="841" t="s">
        <v>5319</v>
      </c>
      <c r="E2488" s="1969" t="s">
        <v>5364</v>
      </c>
      <c r="F2488" s="1969"/>
      <c r="G2488" s="1970"/>
      <c r="H2488" s="1970"/>
      <c r="K2488" s="841" t="s">
        <v>3238</v>
      </c>
      <c r="M2488" s="1357"/>
      <c r="Q2488" s="1357"/>
      <c r="S2488" s="1420"/>
      <c r="T2488" s="1420"/>
      <c r="V2488" s="1357">
        <v>760</v>
      </c>
    </row>
    <row r="2489" spans="1:22" s="841" customFormat="1" ht="15" x14ac:dyDescent="0.25">
      <c r="A2489" s="841" t="s">
        <v>4874</v>
      </c>
      <c r="B2489" s="841" t="s">
        <v>5319</v>
      </c>
      <c r="E2489" s="2017" t="s">
        <v>3061</v>
      </c>
      <c r="F2489" s="2017"/>
      <c r="G2489" s="2018"/>
      <c r="H2489" s="2018"/>
      <c r="K2489" s="841" t="s">
        <v>3114</v>
      </c>
      <c r="M2489" s="1357"/>
      <c r="Q2489" s="1357"/>
      <c r="S2489" s="1420"/>
      <c r="T2489" s="1420"/>
      <c r="V2489" s="1357">
        <v>11</v>
      </c>
    </row>
    <row r="2490" spans="1:22" s="841" customFormat="1" ht="15" x14ac:dyDescent="0.25">
      <c r="A2490" s="841" t="s">
        <v>4874</v>
      </c>
      <c r="B2490" s="841" t="s">
        <v>5319</v>
      </c>
      <c r="E2490" s="1969" t="s">
        <v>3063</v>
      </c>
      <c r="F2490" s="1969"/>
      <c r="G2490" s="1970"/>
      <c r="H2490" s="1970"/>
      <c r="K2490" s="841" t="s">
        <v>3238</v>
      </c>
      <c r="M2490" s="1357"/>
      <c r="Q2490" s="1357"/>
      <c r="S2490" s="1420"/>
      <c r="T2490" s="1420"/>
      <c r="V2490" s="1357">
        <v>280</v>
      </c>
    </row>
    <row r="2491" spans="1:22" s="841" customFormat="1" ht="15" x14ac:dyDescent="0.25">
      <c r="A2491" s="841" t="s">
        <v>4874</v>
      </c>
      <c r="B2491" s="841" t="s">
        <v>5319</v>
      </c>
      <c r="E2491" s="1969" t="s">
        <v>3064</v>
      </c>
      <c r="F2491" s="1969"/>
      <c r="G2491" s="1970"/>
      <c r="H2491" s="1970"/>
      <c r="K2491" s="841" t="s">
        <v>3238</v>
      </c>
      <c r="M2491" s="1357"/>
      <c r="Q2491" s="1357"/>
      <c r="S2491" s="1420"/>
      <c r="T2491" s="1420"/>
      <c r="V2491" s="1357">
        <v>411</v>
      </c>
    </row>
    <row r="2492" spans="1:22" s="841" customFormat="1" ht="15" x14ac:dyDescent="0.25">
      <c r="A2492" s="841" t="s">
        <v>4874</v>
      </c>
      <c r="B2492" s="841" t="s">
        <v>5319</v>
      </c>
      <c r="E2492" s="1969" t="s">
        <v>3199</v>
      </c>
      <c r="F2492" s="1969"/>
      <c r="G2492" s="1970"/>
      <c r="H2492" s="1970"/>
      <c r="K2492" s="841" t="s">
        <v>3238</v>
      </c>
      <c r="M2492" s="1357"/>
      <c r="Q2492" s="1357"/>
      <c r="S2492" s="1420"/>
      <c r="T2492" s="1420"/>
      <c r="V2492" s="1357">
        <v>386</v>
      </c>
    </row>
    <row r="2493" spans="1:22" s="841" customFormat="1" ht="15" x14ac:dyDescent="0.25">
      <c r="A2493" s="841" t="s">
        <v>4874</v>
      </c>
      <c r="B2493" s="841" t="s">
        <v>5319</v>
      </c>
      <c r="E2493" s="1969" t="s">
        <v>3200</v>
      </c>
      <c r="F2493" s="1969"/>
      <c r="G2493" s="1970"/>
      <c r="H2493" s="1970"/>
      <c r="K2493" s="841" t="s">
        <v>3238</v>
      </c>
      <c r="M2493" s="1357"/>
      <c r="Q2493" s="1357"/>
      <c r="S2493" s="1420"/>
      <c r="T2493" s="1420"/>
      <c r="V2493" s="1357">
        <v>275</v>
      </c>
    </row>
    <row r="2494" spans="1:22" s="841" customFormat="1" ht="15" x14ac:dyDescent="0.25">
      <c r="A2494" s="841" t="s">
        <v>4874</v>
      </c>
      <c r="B2494" s="841" t="s">
        <v>5319</v>
      </c>
      <c r="E2494" s="1972" t="s">
        <v>3067</v>
      </c>
      <c r="F2494" s="1972"/>
      <c r="G2494" s="1973"/>
      <c r="H2494" s="1973"/>
      <c r="K2494" s="841" t="s">
        <v>3115</v>
      </c>
      <c r="M2494" s="1357"/>
      <c r="Q2494" s="1357"/>
      <c r="S2494" s="1420"/>
      <c r="T2494" s="1420"/>
      <c r="V2494" s="1357">
        <v>46</v>
      </c>
    </row>
    <row r="2495" spans="1:22" s="841" customFormat="1" ht="15" x14ac:dyDescent="0.25">
      <c r="A2495" s="841" t="s">
        <v>4874</v>
      </c>
      <c r="B2495" s="841" t="s">
        <v>5319</v>
      </c>
      <c r="E2495" s="1167" t="s">
        <v>12</v>
      </c>
      <c r="F2495" s="1167"/>
      <c r="G2495" s="1168" t="s">
        <v>23</v>
      </c>
      <c r="H2495" s="723">
        <v>9.08</v>
      </c>
      <c r="K2495" s="841" t="s">
        <v>3238</v>
      </c>
      <c r="L2495" s="841" t="s">
        <v>442</v>
      </c>
      <c r="M2495" s="1357"/>
      <c r="P2495" s="841" t="s">
        <v>3240</v>
      </c>
      <c r="Q2495" s="1357"/>
      <c r="S2495" s="1420"/>
      <c r="T2495" s="1420"/>
      <c r="V2495" s="1357">
        <v>31</v>
      </c>
    </row>
    <row r="2496" spans="1:22" s="841" customFormat="1" ht="15" x14ac:dyDescent="0.25">
      <c r="A2496" s="841" t="s">
        <v>4874</v>
      </c>
      <c r="B2496" s="841" t="s">
        <v>5319</v>
      </c>
      <c r="E2496" s="1170" t="s">
        <v>5322</v>
      </c>
      <c r="F2496" s="1170"/>
      <c r="G2496" s="1168" t="s">
        <v>23</v>
      </c>
      <c r="H2496" s="1173">
        <v>0.23</v>
      </c>
      <c r="K2496" s="841" t="s">
        <v>3238</v>
      </c>
      <c r="L2496" s="841" t="s">
        <v>442</v>
      </c>
      <c r="M2496" s="1357"/>
      <c r="P2496" s="841" t="s">
        <v>6200</v>
      </c>
      <c r="Q2496" s="1357"/>
      <c r="S2496" s="1420"/>
      <c r="T2496" s="1420"/>
      <c r="V2496" s="1357">
        <v>135</v>
      </c>
    </row>
    <row r="2497" spans="1:22" s="841" customFormat="1" ht="15" x14ac:dyDescent="0.25">
      <c r="A2497" s="841" t="s">
        <v>4874</v>
      </c>
      <c r="B2497" s="841" t="s">
        <v>5319</v>
      </c>
      <c r="E2497" s="621" t="s">
        <v>5203</v>
      </c>
      <c r="F2497" s="621"/>
      <c r="G2497" s="1168" t="s">
        <v>23</v>
      </c>
      <c r="H2497" s="723">
        <v>0.06</v>
      </c>
      <c r="K2497" s="841" t="s">
        <v>3238</v>
      </c>
      <c r="L2497" s="841" t="s">
        <v>442</v>
      </c>
      <c r="M2497" s="1357"/>
      <c r="P2497" s="841" t="s">
        <v>6201</v>
      </c>
      <c r="Q2497" s="1357"/>
      <c r="S2497" s="1420"/>
      <c r="T2497" s="1420"/>
      <c r="V2497" s="1357">
        <v>152</v>
      </c>
    </row>
    <row r="2498" spans="1:22" s="841" customFormat="1" ht="15" x14ac:dyDescent="0.25">
      <c r="A2498" s="841" t="s">
        <v>4874</v>
      </c>
      <c r="B2498" s="841" t="s">
        <v>5319</v>
      </c>
      <c r="E2498" s="625" t="s">
        <v>5204</v>
      </c>
      <c r="F2498" s="625"/>
      <c r="G2498" s="1168" t="s">
        <v>23</v>
      </c>
      <c r="H2498" s="723">
        <v>0.05</v>
      </c>
      <c r="K2498" s="841" t="s">
        <v>3238</v>
      </c>
      <c r="L2498" s="841" t="s">
        <v>442</v>
      </c>
      <c r="M2498" s="1357"/>
      <c r="P2498" s="841" t="s">
        <v>6202</v>
      </c>
      <c r="Q2498" s="1357"/>
      <c r="S2498" s="1420"/>
      <c r="T2498" s="1420">
        <v>43465</v>
      </c>
      <c r="V2498" s="1357">
        <v>96</v>
      </c>
    </row>
    <row r="2499" spans="1:22" s="841" customFormat="1" ht="15" x14ac:dyDescent="0.25">
      <c r="A2499" s="841" t="s">
        <v>4874</v>
      </c>
      <c r="B2499" s="841" t="s">
        <v>5319</v>
      </c>
      <c r="E2499" s="1167" t="s">
        <v>84</v>
      </c>
      <c r="F2499" s="1167"/>
      <c r="G2499" s="1168" t="s">
        <v>24</v>
      </c>
      <c r="H2499" s="724">
        <v>1.6500000000000001E-2</v>
      </c>
      <c r="K2499" s="841" t="s">
        <v>3238</v>
      </c>
      <c r="L2499" s="841" t="s">
        <v>442</v>
      </c>
      <c r="M2499" s="1357"/>
      <c r="P2499" s="841" t="s">
        <v>3241</v>
      </c>
      <c r="Q2499" s="1357"/>
      <c r="S2499" s="1420"/>
      <c r="T2499" s="1420"/>
      <c r="V2499" s="1357">
        <v>28</v>
      </c>
    </row>
    <row r="2500" spans="1:22" s="841" customFormat="1" ht="15" x14ac:dyDescent="0.25">
      <c r="A2500" s="841" t="s">
        <v>4874</v>
      </c>
      <c r="B2500" s="841" t="s">
        <v>5319</v>
      </c>
      <c r="E2500" s="1167" t="s">
        <v>4813</v>
      </c>
      <c r="F2500" s="1167"/>
      <c r="G2500" s="1168" t="s">
        <v>24</v>
      </c>
      <c r="H2500" s="724">
        <v>2.0000000000000001E-4</v>
      </c>
      <c r="K2500" s="841" t="s">
        <v>3238</v>
      </c>
      <c r="L2500" s="841" t="s">
        <v>443</v>
      </c>
      <c r="M2500" s="1357"/>
      <c r="P2500" s="841" t="s">
        <v>3242</v>
      </c>
      <c r="Q2500" s="1357"/>
      <c r="S2500" s="1420"/>
      <c r="T2500" s="1420"/>
      <c r="V2500" s="1357">
        <v>25</v>
      </c>
    </row>
    <row r="2501" spans="1:22" s="841" customFormat="1" ht="45.75" x14ac:dyDescent="0.25">
      <c r="A2501" s="841" t="s">
        <v>4874</v>
      </c>
      <c r="B2501" s="841" t="s">
        <v>5319</v>
      </c>
      <c r="E2501" s="1116" t="s">
        <v>5325</v>
      </c>
      <c r="F2501" s="1116"/>
      <c r="G2501" s="1169" t="s">
        <v>24</v>
      </c>
      <c r="H2501" s="724">
        <v>-5.0000000000000001E-4</v>
      </c>
      <c r="K2501" s="841" t="s">
        <v>3238</v>
      </c>
      <c r="L2501" s="841" t="s">
        <v>443</v>
      </c>
      <c r="M2501" s="1357"/>
      <c r="P2501" s="841" t="s">
        <v>3663</v>
      </c>
      <c r="Q2501" s="1357"/>
      <c r="S2501" s="1420"/>
      <c r="T2501" s="1420">
        <v>43585</v>
      </c>
      <c r="V2501" s="1357">
        <v>154</v>
      </c>
    </row>
    <row r="2502" spans="1:22" s="841" customFormat="1" ht="15" x14ac:dyDescent="0.25">
      <c r="A2502" s="841" t="s">
        <v>4874</v>
      </c>
      <c r="B2502" s="841" t="s">
        <v>5319</v>
      </c>
      <c r="E2502" s="621" t="s">
        <v>5210</v>
      </c>
      <c r="F2502" s="621"/>
      <c r="G2502" s="1168" t="s">
        <v>24</v>
      </c>
      <c r="H2502" s="724">
        <v>-6.9999999999999999E-4</v>
      </c>
      <c r="K2502" s="841" t="s">
        <v>3238</v>
      </c>
      <c r="L2502" s="841" t="s">
        <v>443</v>
      </c>
      <c r="M2502" s="1357"/>
      <c r="P2502" s="841" t="s">
        <v>3244</v>
      </c>
      <c r="Q2502" s="1357"/>
      <c r="S2502" s="1420"/>
      <c r="T2502" s="1420">
        <v>43585</v>
      </c>
      <c r="V2502" s="1357">
        <v>108</v>
      </c>
    </row>
    <row r="2503" spans="1:22" s="841" customFormat="1" ht="45.75" x14ac:dyDescent="0.25">
      <c r="A2503" s="841" t="s">
        <v>4874</v>
      </c>
      <c r="B2503" s="841" t="s">
        <v>5319</v>
      </c>
      <c r="E2503" s="1116" t="s">
        <v>5326</v>
      </c>
      <c r="F2503" s="1116"/>
      <c r="G2503" s="1169" t="s">
        <v>24</v>
      </c>
      <c r="H2503" s="918">
        <v>-5.0000000000000002E-5</v>
      </c>
      <c r="K2503" s="841" t="s">
        <v>3238</v>
      </c>
      <c r="L2503" s="841" t="s">
        <v>443</v>
      </c>
      <c r="M2503" s="1357"/>
      <c r="P2503" s="841" t="s">
        <v>5365</v>
      </c>
      <c r="Q2503" s="1357"/>
      <c r="S2503" s="1420"/>
      <c r="T2503" s="1420">
        <v>43585</v>
      </c>
      <c r="V2503" s="1357">
        <v>160</v>
      </c>
    </row>
    <row r="2504" spans="1:22" s="841" customFormat="1" ht="15" x14ac:dyDescent="0.25">
      <c r="A2504" s="841" t="s">
        <v>4874</v>
      </c>
      <c r="B2504" s="841" t="s">
        <v>5319</v>
      </c>
      <c r="E2504" s="1170" t="s">
        <v>5322</v>
      </c>
      <c r="F2504" s="1170"/>
      <c r="G2504" s="1168" t="s">
        <v>24</v>
      </c>
      <c r="H2504" s="1172">
        <v>4.0000000000000002E-4</v>
      </c>
      <c r="K2504" s="841" t="s">
        <v>3238</v>
      </c>
      <c r="L2504" s="841" t="s">
        <v>442</v>
      </c>
      <c r="M2504" s="1357"/>
      <c r="P2504" s="841" t="s">
        <v>6203</v>
      </c>
      <c r="Q2504" s="1357"/>
      <c r="S2504" s="1420"/>
      <c r="T2504" s="1420"/>
      <c r="V2504" s="1357">
        <v>135</v>
      </c>
    </row>
    <row r="2505" spans="1:22" s="841" customFormat="1" ht="15" x14ac:dyDescent="0.25">
      <c r="A2505" s="841" t="s">
        <v>4874</v>
      </c>
      <c r="B2505" s="841" t="s">
        <v>5319</v>
      </c>
      <c r="E2505" s="621" t="s">
        <v>5203</v>
      </c>
      <c r="F2505" s="621"/>
      <c r="G2505" s="1168" t="s">
        <v>24</v>
      </c>
      <c r="H2505" s="724">
        <v>1E-4</v>
      </c>
      <c r="K2505" s="841" t="s">
        <v>3238</v>
      </c>
      <c r="L2505" s="841" t="s">
        <v>442</v>
      </c>
      <c r="M2505" s="1357"/>
      <c r="P2505" s="841" t="s">
        <v>6204</v>
      </c>
      <c r="Q2505" s="1357"/>
      <c r="S2505" s="1420"/>
      <c r="T2505" s="1420"/>
      <c r="V2505" s="1357">
        <v>152</v>
      </c>
    </row>
    <row r="2506" spans="1:22" s="841" customFormat="1" ht="15" x14ac:dyDescent="0.25">
      <c r="A2506" s="841" t="s">
        <v>4874</v>
      </c>
      <c r="B2506" s="841" t="s">
        <v>5319</v>
      </c>
      <c r="E2506" s="1167" t="s">
        <v>221</v>
      </c>
      <c r="F2506" s="1167"/>
      <c r="G2506" s="1168" t="s">
        <v>24</v>
      </c>
      <c r="H2506" s="724">
        <v>7.1000000000000004E-3</v>
      </c>
      <c r="K2506" s="841" t="s">
        <v>3238</v>
      </c>
      <c r="L2506" s="841" t="s">
        <v>444</v>
      </c>
      <c r="M2506" s="1357"/>
      <c r="P2506" s="841" t="s">
        <v>3245</v>
      </c>
      <c r="Q2506" s="1357"/>
      <c r="S2506" s="1420"/>
      <c r="T2506" s="1420"/>
      <c r="V2506" s="1357">
        <v>47</v>
      </c>
    </row>
    <row r="2507" spans="1:22" s="841" customFormat="1" ht="23.25" x14ac:dyDescent="0.25">
      <c r="A2507" s="841" t="s">
        <v>4874</v>
      </c>
      <c r="B2507" s="841" t="s">
        <v>5319</v>
      </c>
      <c r="E2507" s="1167" t="s">
        <v>217</v>
      </c>
      <c r="F2507" s="1167"/>
      <c r="G2507" s="1168" t="s">
        <v>24</v>
      </c>
      <c r="H2507" s="724">
        <v>6.4000000000000003E-3</v>
      </c>
      <c r="K2507" s="841" t="s">
        <v>3238</v>
      </c>
      <c r="L2507" s="841" t="s">
        <v>444</v>
      </c>
      <c r="M2507" s="1357"/>
      <c r="P2507" s="841" t="s">
        <v>3246</v>
      </c>
      <c r="Q2507" s="1357"/>
      <c r="S2507" s="1420"/>
      <c r="T2507" s="1420"/>
      <c r="V2507" s="1357">
        <v>74</v>
      </c>
    </row>
    <row r="2508" spans="1:22" s="841" customFormat="1" ht="26.25" x14ac:dyDescent="0.25">
      <c r="A2508" s="841" t="s">
        <v>4874</v>
      </c>
      <c r="B2508" s="841" t="s">
        <v>5319</v>
      </c>
      <c r="E2508" s="1389" t="s">
        <v>3079</v>
      </c>
      <c r="F2508" s="1389"/>
      <c r="G2508" s="1113"/>
      <c r="H2508" s="1085"/>
      <c r="K2508" s="841" t="s">
        <v>3122</v>
      </c>
      <c r="M2508" s="1357"/>
      <c r="Q2508" s="1357"/>
      <c r="S2508" s="1420"/>
      <c r="T2508" s="1420"/>
      <c r="V2508" s="1357">
        <v>48</v>
      </c>
    </row>
    <row r="2509" spans="1:22" s="841" customFormat="1" ht="15" x14ac:dyDescent="0.25">
      <c r="A2509" s="841" t="s">
        <v>4874</v>
      </c>
      <c r="B2509" s="841" t="s">
        <v>5319</v>
      </c>
      <c r="E2509" s="1690" t="s">
        <v>2449</v>
      </c>
      <c r="F2509" s="1690"/>
      <c r="G2509" s="1113" t="s">
        <v>24</v>
      </c>
      <c r="H2509" s="1115">
        <v>3.2000000000000002E-3</v>
      </c>
      <c r="K2509" s="841" t="s">
        <v>3238</v>
      </c>
      <c r="L2509" s="841" t="s">
        <v>3046</v>
      </c>
      <c r="M2509" s="1357"/>
      <c r="P2509" s="841" t="s">
        <v>3247</v>
      </c>
      <c r="Q2509" s="1357"/>
      <c r="S2509" s="1420"/>
      <c r="T2509" s="1420"/>
      <c r="V2509" s="1357">
        <v>55</v>
      </c>
    </row>
    <row r="2510" spans="1:22" s="841" customFormat="1" ht="23.25" x14ac:dyDescent="0.25">
      <c r="A2510" s="841" t="s">
        <v>4874</v>
      </c>
      <c r="B2510" s="841" t="s">
        <v>5319</v>
      </c>
      <c r="E2510" s="1167" t="s">
        <v>3211</v>
      </c>
      <c r="F2510" s="1167"/>
      <c r="G2510" s="1113" t="s">
        <v>24</v>
      </c>
      <c r="H2510" s="724">
        <v>4.0000000000000002E-4</v>
      </c>
      <c r="K2510" s="841" t="s">
        <v>3238</v>
      </c>
      <c r="L2510" s="841" t="s">
        <v>3046</v>
      </c>
      <c r="M2510" s="1357"/>
      <c r="P2510" s="841" t="s">
        <v>3247</v>
      </c>
      <c r="Q2510" s="1357"/>
      <c r="S2510" s="1420"/>
      <c r="T2510" s="1420"/>
      <c r="V2510" s="1357">
        <v>64</v>
      </c>
    </row>
    <row r="2511" spans="1:22" s="841" customFormat="1" ht="23.25" x14ac:dyDescent="0.25">
      <c r="A2511" s="841" t="s">
        <v>4874</v>
      </c>
      <c r="B2511" s="841" t="s">
        <v>5319</v>
      </c>
      <c r="E2511" s="1382" t="s">
        <v>439</v>
      </c>
      <c r="F2511" s="1382"/>
      <c r="G2511" s="1113" t="s">
        <v>24</v>
      </c>
      <c r="H2511" s="724">
        <v>2.9999999999999997E-4</v>
      </c>
      <c r="K2511" s="841" t="s">
        <v>3238</v>
      </c>
      <c r="L2511" s="841" t="s">
        <v>3046</v>
      </c>
      <c r="M2511" s="1357"/>
      <c r="P2511" s="841" t="s">
        <v>3248</v>
      </c>
      <c r="Q2511" s="1357"/>
      <c r="S2511" s="1420"/>
      <c r="T2511" s="1420"/>
      <c r="V2511" s="1357">
        <v>57</v>
      </c>
    </row>
    <row r="2512" spans="1:22" s="841" customFormat="1" ht="23.25" x14ac:dyDescent="0.25">
      <c r="A2512" s="841" t="s">
        <v>4874</v>
      </c>
      <c r="B2512" s="841" t="s">
        <v>5319</v>
      </c>
      <c r="E2512" s="1382" t="s">
        <v>32</v>
      </c>
      <c r="F2512" s="1382"/>
      <c r="G2512" s="1113" t="s">
        <v>23</v>
      </c>
      <c r="H2512" s="723">
        <v>0.25</v>
      </c>
      <c r="K2512" s="841" t="s">
        <v>3238</v>
      </c>
      <c r="L2512" s="841" t="s">
        <v>3046</v>
      </c>
      <c r="M2512" s="1357"/>
      <c r="P2512" s="841" t="s">
        <v>3249</v>
      </c>
      <c r="Q2512" s="1357"/>
      <c r="S2512" s="1420"/>
      <c r="T2512" s="1420"/>
      <c r="V2512" s="1357">
        <v>63</v>
      </c>
    </row>
    <row r="2513" spans="1:22" s="841" customFormat="1" x14ac:dyDescent="0.25">
      <c r="A2513" s="841" t="s">
        <v>4874</v>
      </c>
      <c r="B2513" s="841" t="s">
        <v>5319</v>
      </c>
      <c r="E2513" s="1974" t="s">
        <v>615</v>
      </c>
      <c r="F2513" s="1974"/>
      <c r="G2513" s="1975"/>
      <c r="H2513" s="1975"/>
      <c r="K2513" s="841" t="s">
        <v>3477</v>
      </c>
      <c r="M2513" s="1357"/>
      <c r="Q2513" s="1357"/>
      <c r="S2513" s="1420"/>
      <c r="T2513" s="1420"/>
      <c r="V2513" s="1357">
        <v>38</v>
      </c>
    </row>
    <row r="2514" spans="1:22" s="841" customFormat="1" ht="15" x14ac:dyDescent="0.25">
      <c r="A2514" s="841" t="s">
        <v>4874</v>
      </c>
      <c r="B2514" s="841" t="s">
        <v>5319</v>
      </c>
      <c r="E2514" s="1969" t="s">
        <v>5366</v>
      </c>
      <c r="F2514" s="1969"/>
      <c r="G2514" s="1970"/>
      <c r="H2514" s="1970"/>
      <c r="K2514" s="841" t="s">
        <v>3477</v>
      </c>
      <c r="M2514" s="1357"/>
      <c r="Q2514" s="1357"/>
      <c r="S2514" s="1420"/>
      <c r="T2514" s="1420"/>
      <c r="V2514" s="1357">
        <v>395</v>
      </c>
    </row>
    <row r="2515" spans="1:22" s="841" customFormat="1" ht="15" x14ac:dyDescent="0.25">
      <c r="A2515" s="841" t="s">
        <v>4874</v>
      </c>
      <c r="B2515" s="841" t="s">
        <v>5319</v>
      </c>
      <c r="E2515" s="2017" t="s">
        <v>3061</v>
      </c>
      <c r="F2515" s="2017"/>
      <c r="G2515" s="2018"/>
      <c r="H2515" s="2018"/>
      <c r="K2515" s="841" t="s">
        <v>3128</v>
      </c>
      <c r="M2515" s="1357"/>
      <c r="Q2515" s="1357"/>
      <c r="S2515" s="1420"/>
      <c r="T2515" s="1420"/>
      <c r="V2515" s="1357">
        <v>11</v>
      </c>
    </row>
    <row r="2516" spans="1:22" s="841" customFormat="1" ht="15" x14ac:dyDescent="0.25">
      <c r="A2516" s="841" t="s">
        <v>4874</v>
      </c>
      <c r="B2516" s="841" t="s">
        <v>5319</v>
      </c>
      <c r="E2516" s="1969" t="s">
        <v>3063</v>
      </c>
      <c r="F2516" s="1969"/>
      <c r="G2516" s="1970"/>
      <c r="H2516" s="1970"/>
      <c r="K2516" s="841" t="s">
        <v>3477</v>
      </c>
      <c r="M2516" s="1357"/>
      <c r="Q2516" s="1357"/>
      <c r="S2516" s="1420"/>
      <c r="T2516" s="1420"/>
      <c r="V2516" s="1357">
        <v>280</v>
      </c>
    </row>
    <row r="2517" spans="1:22" s="841" customFormat="1" ht="15" x14ac:dyDescent="0.25">
      <c r="A2517" s="841" t="s">
        <v>4874</v>
      </c>
      <c r="B2517" s="841" t="s">
        <v>5319</v>
      </c>
      <c r="E2517" s="1969" t="s">
        <v>3064</v>
      </c>
      <c r="F2517" s="1969"/>
      <c r="G2517" s="1970"/>
      <c r="H2517" s="1970"/>
      <c r="K2517" s="841" t="s">
        <v>3477</v>
      </c>
      <c r="M2517" s="1357"/>
      <c r="Q2517" s="1357"/>
      <c r="S2517" s="1420"/>
      <c r="T2517" s="1420"/>
      <c r="V2517" s="1357">
        <v>411</v>
      </c>
    </row>
    <row r="2518" spans="1:22" s="841" customFormat="1" ht="15" x14ac:dyDescent="0.25">
      <c r="A2518" s="841" t="s">
        <v>4874</v>
      </c>
      <c r="B2518" s="841" t="s">
        <v>5319</v>
      </c>
      <c r="E2518" s="1969" t="s">
        <v>3199</v>
      </c>
      <c r="F2518" s="1969"/>
      <c r="G2518" s="1970"/>
      <c r="H2518" s="1970"/>
      <c r="K2518" s="841" t="s">
        <v>3477</v>
      </c>
      <c r="M2518" s="1357"/>
      <c r="Q2518" s="1357"/>
      <c r="S2518" s="1420"/>
      <c r="T2518" s="1420"/>
      <c r="V2518" s="1357">
        <v>386</v>
      </c>
    </row>
    <row r="2519" spans="1:22" s="841" customFormat="1" ht="15" x14ac:dyDescent="0.25">
      <c r="A2519" s="841" t="s">
        <v>4874</v>
      </c>
      <c r="B2519" s="841" t="s">
        <v>5319</v>
      </c>
      <c r="E2519" s="1969" t="s">
        <v>3200</v>
      </c>
      <c r="F2519" s="1969"/>
      <c r="G2519" s="1970"/>
      <c r="H2519" s="1970"/>
      <c r="K2519" s="841" t="s">
        <v>3477</v>
      </c>
      <c r="M2519" s="1357"/>
      <c r="Q2519" s="1357"/>
      <c r="S2519" s="1420"/>
      <c r="T2519" s="1420"/>
      <c r="V2519" s="1357">
        <v>275</v>
      </c>
    </row>
    <row r="2520" spans="1:22" s="841" customFormat="1" ht="15" x14ac:dyDescent="0.25">
      <c r="A2520" s="841" t="s">
        <v>4874</v>
      </c>
      <c r="B2520" s="841" t="s">
        <v>5319</v>
      </c>
      <c r="E2520" s="1972" t="s">
        <v>3067</v>
      </c>
      <c r="F2520" s="1972"/>
      <c r="G2520" s="1973"/>
      <c r="H2520" s="1973"/>
      <c r="K2520" s="841" t="s">
        <v>3130</v>
      </c>
      <c r="M2520" s="1357"/>
      <c r="Q2520" s="1357"/>
      <c r="S2520" s="1420"/>
      <c r="T2520" s="1420"/>
      <c r="V2520" s="1357">
        <v>46</v>
      </c>
    </row>
    <row r="2521" spans="1:22" s="841" customFormat="1" ht="15" x14ac:dyDescent="0.25">
      <c r="A2521" s="841" t="s">
        <v>4874</v>
      </c>
      <c r="B2521" s="841" t="s">
        <v>5319</v>
      </c>
      <c r="E2521" s="1167" t="s">
        <v>3645</v>
      </c>
      <c r="F2521" s="1167"/>
      <c r="G2521" s="1168" t="s">
        <v>23</v>
      </c>
      <c r="H2521" s="723">
        <v>1.52</v>
      </c>
      <c r="K2521" s="841" t="s">
        <v>3477</v>
      </c>
      <c r="L2521" s="841" t="s">
        <v>442</v>
      </c>
      <c r="M2521" s="1357"/>
      <c r="P2521" s="841" t="s">
        <v>3478</v>
      </c>
      <c r="Q2521" s="1357"/>
      <c r="S2521" s="1420"/>
      <c r="T2521" s="1420"/>
      <c r="V2521" s="1357">
        <v>30</v>
      </c>
    </row>
    <row r="2522" spans="1:22" s="841" customFormat="1" ht="15" x14ac:dyDescent="0.25">
      <c r="A2522" s="841" t="s">
        <v>4874</v>
      </c>
      <c r="B2522" s="841" t="s">
        <v>5319</v>
      </c>
      <c r="E2522" s="1170" t="s">
        <v>5322</v>
      </c>
      <c r="F2522" s="1170"/>
      <c r="G2522" s="1168" t="s">
        <v>23</v>
      </c>
      <c r="H2522" s="1173">
        <v>0.04</v>
      </c>
      <c r="K2522" s="841" t="s">
        <v>3477</v>
      </c>
      <c r="L2522" s="841" t="s">
        <v>442</v>
      </c>
      <c r="M2522" s="1357"/>
      <c r="P2522" s="841" t="s">
        <v>6205</v>
      </c>
      <c r="Q2522" s="1357"/>
      <c r="S2522" s="1420"/>
      <c r="T2522" s="1420"/>
      <c r="V2522" s="1357">
        <v>135</v>
      </c>
    </row>
    <row r="2523" spans="1:22" s="841" customFormat="1" ht="15" x14ac:dyDescent="0.25">
      <c r="A2523" s="841" t="s">
        <v>4874</v>
      </c>
      <c r="B2523" s="841" t="s">
        <v>5319</v>
      </c>
      <c r="E2523" s="621" t="s">
        <v>5203</v>
      </c>
      <c r="F2523" s="621"/>
      <c r="G2523" s="1168" t="s">
        <v>23</v>
      </c>
      <c r="H2523" s="723">
        <v>0.01</v>
      </c>
      <c r="K2523" s="841" t="s">
        <v>3477</v>
      </c>
      <c r="L2523" s="841" t="s">
        <v>442</v>
      </c>
      <c r="M2523" s="1357"/>
      <c r="P2523" s="841" t="s">
        <v>6206</v>
      </c>
      <c r="Q2523" s="1357"/>
      <c r="S2523" s="1420"/>
      <c r="T2523" s="1420"/>
      <c r="V2523" s="1357">
        <v>152</v>
      </c>
    </row>
    <row r="2524" spans="1:22" s="841" customFormat="1" ht="15" x14ac:dyDescent="0.25">
      <c r="A2524" s="841" t="s">
        <v>4874</v>
      </c>
      <c r="B2524" s="841" t="s">
        <v>5319</v>
      </c>
      <c r="E2524" s="625" t="s">
        <v>5204</v>
      </c>
      <c r="F2524" s="625"/>
      <c r="G2524" s="1168" t="s">
        <v>23</v>
      </c>
      <c r="H2524" s="1114">
        <v>0.01</v>
      </c>
      <c r="K2524" s="841" t="s">
        <v>3477</v>
      </c>
      <c r="L2524" s="841" t="s">
        <v>442</v>
      </c>
      <c r="M2524" s="1357"/>
      <c r="P2524" s="841" t="s">
        <v>6207</v>
      </c>
      <c r="Q2524" s="1357"/>
      <c r="S2524" s="1420"/>
      <c r="T2524" s="1420">
        <v>43465</v>
      </c>
      <c r="V2524" s="1357">
        <v>96</v>
      </c>
    </row>
    <row r="2525" spans="1:22" s="841" customFormat="1" ht="15" x14ac:dyDescent="0.25">
      <c r="A2525" s="841" t="s">
        <v>4874</v>
      </c>
      <c r="B2525" s="841" t="s">
        <v>5319</v>
      </c>
      <c r="E2525" s="1167" t="s">
        <v>84</v>
      </c>
      <c r="F2525" s="1167"/>
      <c r="G2525" s="1168" t="s">
        <v>33</v>
      </c>
      <c r="H2525" s="724">
        <v>11.650399999999999</v>
      </c>
      <c r="K2525" s="841" t="s">
        <v>3477</v>
      </c>
      <c r="L2525" s="841" t="s">
        <v>442</v>
      </c>
      <c r="M2525" s="1357"/>
      <c r="P2525" s="841" t="s">
        <v>3479</v>
      </c>
      <c r="Q2525" s="1357"/>
      <c r="S2525" s="1420"/>
      <c r="T2525" s="1420"/>
      <c r="V2525" s="1357">
        <v>28</v>
      </c>
    </row>
    <row r="2526" spans="1:22" s="841" customFormat="1" ht="15" x14ac:dyDescent="0.25">
      <c r="A2526" s="841" t="s">
        <v>4874</v>
      </c>
      <c r="B2526" s="841" t="s">
        <v>5319</v>
      </c>
      <c r="E2526" s="1167" t="s">
        <v>4813</v>
      </c>
      <c r="F2526" s="1167"/>
      <c r="G2526" s="1168" t="s">
        <v>33</v>
      </c>
      <c r="H2526" s="724">
        <v>5.8000000000000003E-2</v>
      </c>
      <c r="K2526" s="841" t="s">
        <v>3477</v>
      </c>
      <c r="L2526" s="841" t="s">
        <v>443</v>
      </c>
      <c r="M2526" s="1357"/>
      <c r="P2526" s="841" t="s">
        <v>3480</v>
      </c>
      <c r="Q2526" s="1357"/>
      <c r="S2526" s="1420"/>
      <c r="T2526" s="1420"/>
      <c r="V2526" s="1357">
        <v>25</v>
      </c>
    </row>
    <row r="2527" spans="1:22" s="841" customFormat="1" ht="45.75" x14ac:dyDescent="0.25">
      <c r="A2527" s="841" t="s">
        <v>4874</v>
      </c>
      <c r="B2527" s="841" t="s">
        <v>5319</v>
      </c>
      <c r="E2527" s="1116" t="s">
        <v>5325</v>
      </c>
      <c r="F2527" s="1116"/>
      <c r="G2527" s="1169" t="s">
        <v>24</v>
      </c>
      <c r="H2527" s="724">
        <v>-5.0000000000000001E-4</v>
      </c>
      <c r="K2527" s="841" t="s">
        <v>3477</v>
      </c>
      <c r="L2527" s="841" t="s">
        <v>443</v>
      </c>
      <c r="M2527" s="1357"/>
      <c r="P2527" s="841" t="s">
        <v>4196</v>
      </c>
      <c r="Q2527" s="1357"/>
      <c r="S2527" s="1420"/>
      <c r="T2527" s="1420">
        <v>43585</v>
      </c>
      <c r="V2527" s="1357">
        <v>154</v>
      </c>
    </row>
    <row r="2528" spans="1:22" s="841" customFormat="1" ht="15" x14ac:dyDescent="0.25">
      <c r="A2528" s="841" t="s">
        <v>4874</v>
      </c>
      <c r="B2528" s="841" t="s">
        <v>5319</v>
      </c>
      <c r="E2528" s="621" t="s">
        <v>5210</v>
      </c>
      <c r="F2528" s="621"/>
      <c r="G2528" s="1168" t="s">
        <v>33</v>
      </c>
      <c r="H2528" s="724">
        <v>-0.2616</v>
      </c>
      <c r="K2528" s="841" t="s">
        <v>3477</v>
      </c>
      <c r="L2528" s="841" t="s">
        <v>443</v>
      </c>
      <c r="M2528" s="1357"/>
      <c r="P2528" s="841" t="s">
        <v>3882</v>
      </c>
      <c r="Q2528" s="1357"/>
      <c r="S2528" s="1420"/>
      <c r="T2528" s="1420">
        <v>43585</v>
      </c>
      <c r="V2528" s="1357">
        <v>108</v>
      </c>
    </row>
    <row r="2529" spans="1:22" s="841" customFormat="1" ht="57" x14ac:dyDescent="0.25">
      <c r="A2529" s="841" t="s">
        <v>4874</v>
      </c>
      <c r="B2529" s="841" t="s">
        <v>5319</v>
      </c>
      <c r="E2529" s="1116" t="s">
        <v>5337</v>
      </c>
      <c r="F2529" s="1116"/>
      <c r="G2529" s="1169" t="s">
        <v>33</v>
      </c>
      <c r="H2529" s="918">
        <v>-1.6549999999999999E-2</v>
      </c>
      <c r="K2529" s="841" t="s">
        <v>3477</v>
      </c>
      <c r="L2529" s="841" t="s">
        <v>443</v>
      </c>
      <c r="M2529" s="1357"/>
      <c r="P2529" s="841" t="s">
        <v>5367</v>
      </c>
      <c r="Q2529" s="1357"/>
      <c r="S2529" s="1420"/>
      <c r="T2529" s="1420">
        <v>43585</v>
      </c>
      <c r="V2529" s="1357">
        <v>194</v>
      </c>
    </row>
    <row r="2530" spans="1:22" s="841" customFormat="1" ht="45.75" x14ac:dyDescent="0.25">
      <c r="A2530" s="841" t="s">
        <v>4874</v>
      </c>
      <c r="B2530" s="841" t="s">
        <v>5319</v>
      </c>
      <c r="E2530" s="1116" t="s">
        <v>5327</v>
      </c>
      <c r="F2530" s="1116"/>
      <c r="G2530" s="1169" t="s">
        <v>33</v>
      </c>
      <c r="H2530" s="724">
        <v>-33.353200000000001</v>
      </c>
      <c r="K2530" s="841" t="s">
        <v>3477</v>
      </c>
      <c r="L2530" s="841" t="s">
        <v>442</v>
      </c>
      <c r="M2530" s="1357"/>
      <c r="P2530" s="841" t="s">
        <v>3481</v>
      </c>
      <c r="Q2530" s="1357"/>
      <c r="S2530" s="1420"/>
      <c r="T2530" s="1420">
        <v>43585</v>
      </c>
      <c r="V2530" s="1357">
        <v>146</v>
      </c>
    </row>
    <row r="2531" spans="1:22" s="841" customFormat="1" ht="15" x14ac:dyDescent="0.25">
      <c r="A2531" s="841" t="s">
        <v>4874</v>
      </c>
      <c r="B2531" s="841" t="s">
        <v>5319</v>
      </c>
      <c r="E2531" s="1170" t="s">
        <v>5322</v>
      </c>
      <c r="F2531" s="1170"/>
      <c r="G2531" s="1168" t="s">
        <v>33</v>
      </c>
      <c r="H2531" s="1172">
        <v>0.29049999999999998</v>
      </c>
      <c r="K2531" s="841" t="s">
        <v>3477</v>
      </c>
      <c r="L2531" s="841" t="s">
        <v>442</v>
      </c>
      <c r="M2531" s="1357"/>
      <c r="P2531" s="841" t="s">
        <v>6208</v>
      </c>
      <c r="Q2531" s="1357"/>
      <c r="S2531" s="1420"/>
      <c r="T2531" s="1420"/>
      <c r="V2531" s="1357">
        <v>135</v>
      </c>
    </row>
    <row r="2532" spans="1:22" s="841" customFormat="1" ht="15" x14ac:dyDescent="0.25">
      <c r="A2532" s="841" t="s">
        <v>4874</v>
      </c>
      <c r="B2532" s="841" t="s">
        <v>5319</v>
      </c>
      <c r="E2532" s="621" t="s">
        <v>5203</v>
      </c>
      <c r="F2532" s="621"/>
      <c r="G2532" s="1168" t="s">
        <v>33</v>
      </c>
      <c r="H2532" s="724">
        <v>7.6999999999999999E-2</v>
      </c>
      <c r="K2532" s="841" t="s">
        <v>3477</v>
      </c>
      <c r="L2532" s="841" t="s">
        <v>442</v>
      </c>
      <c r="M2532" s="1357"/>
      <c r="P2532" s="841" t="s">
        <v>6209</v>
      </c>
      <c r="Q2532" s="1357"/>
      <c r="S2532" s="1420"/>
      <c r="T2532" s="1420"/>
      <c r="V2532" s="1357">
        <v>152</v>
      </c>
    </row>
    <row r="2533" spans="1:22" s="841" customFormat="1" ht="15" x14ac:dyDescent="0.25">
      <c r="A2533" s="841" t="s">
        <v>4874</v>
      </c>
      <c r="B2533" s="841" t="s">
        <v>5319</v>
      </c>
      <c r="E2533" s="1167" t="s">
        <v>221</v>
      </c>
      <c r="F2533" s="1167"/>
      <c r="G2533" s="1168" t="s">
        <v>33</v>
      </c>
      <c r="H2533" s="1115">
        <v>1.8924000000000001</v>
      </c>
      <c r="K2533" s="841" t="s">
        <v>3477</v>
      </c>
      <c r="L2533" s="841" t="s">
        <v>444</v>
      </c>
      <c r="M2533" s="1357"/>
      <c r="P2533" s="841" t="s">
        <v>3482</v>
      </c>
      <c r="Q2533" s="1357"/>
      <c r="S2533" s="1420"/>
      <c r="T2533" s="1420"/>
      <c r="V2533" s="1357">
        <v>47</v>
      </c>
    </row>
    <row r="2534" spans="1:22" s="841" customFormat="1" ht="23.25" x14ac:dyDescent="0.25">
      <c r="A2534" s="841" t="s">
        <v>4874</v>
      </c>
      <c r="B2534" s="841" t="s">
        <v>5319</v>
      </c>
      <c r="E2534" s="1167" t="s">
        <v>217</v>
      </c>
      <c r="F2534" s="1167"/>
      <c r="G2534" s="1168" t="s">
        <v>33</v>
      </c>
      <c r="H2534" s="1115">
        <v>1.8329</v>
      </c>
      <c r="K2534" s="841" t="s">
        <v>3477</v>
      </c>
      <c r="L2534" s="841" t="s">
        <v>444</v>
      </c>
      <c r="M2534" s="1357"/>
      <c r="P2534" s="841" t="s">
        <v>3483</v>
      </c>
      <c r="Q2534" s="1357"/>
      <c r="S2534" s="1420"/>
      <c r="T2534" s="1420"/>
      <c r="V2534" s="1357">
        <v>74</v>
      </c>
    </row>
    <row r="2535" spans="1:22" s="841" customFormat="1" ht="26.25" x14ac:dyDescent="0.25">
      <c r="A2535" s="841" t="s">
        <v>4874</v>
      </c>
      <c r="B2535" s="841" t="s">
        <v>5319</v>
      </c>
      <c r="E2535" s="1389" t="s">
        <v>3079</v>
      </c>
      <c r="F2535" s="1389"/>
      <c r="G2535" s="1113"/>
      <c r="H2535" s="1085"/>
      <c r="K2535" s="841" t="s">
        <v>3260</v>
      </c>
      <c r="M2535" s="1357"/>
      <c r="Q2535" s="1357"/>
      <c r="S2535" s="1420"/>
      <c r="T2535" s="1420"/>
      <c r="V2535" s="1357">
        <v>48</v>
      </c>
    </row>
    <row r="2536" spans="1:22" s="841" customFormat="1" ht="15" x14ac:dyDescent="0.25">
      <c r="A2536" s="841" t="s">
        <v>4874</v>
      </c>
      <c r="B2536" s="841" t="s">
        <v>5319</v>
      </c>
      <c r="E2536" s="1690" t="s">
        <v>2449</v>
      </c>
      <c r="F2536" s="1690"/>
      <c r="G2536" s="1113" t="s">
        <v>24</v>
      </c>
      <c r="H2536" s="1115">
        <v>3.2000000000000002E-3</v>
      </c>
      <c r="K2536" s="841" t="s">
        <v>3477</v>
      </c>
      <c r="L2536" s="841" t="s">
        <v>3046</v>
      </c>
      <c r="M2536" s="1357"/>
      <c r="P2536" s="841" t="s">
        <v>3484</v>
      </c>
      <c r="Q2536" s="1357"/>
      <c r="S2536" s="1420"/>
      <c r="T2536" s="1420"/>
      <c r="V2536" s="1357">
        <v>55</v>
      </c>
    </row>
    <row r="2537" spans="1:22" s="841" customFormat="1" ht="23.25" x14ac:dyDescent="0.25">
      <c r="A2537" s="841" t="s">
        <v>4874</v>
      </c>
      <c r="B2537" s="841" t="s">
        <v>5319</v>
      </c>
      <c r="E2537" s="1167" t="s">
        <v>3211</v>
      </c>
      <c r="F2537" s="1167"/>
      <c r="G2537" s="1113" t="s">
        <v>24</v>
      </c>
      <c r="H2537" s="724">
        <v>4.0000000000000002E-4</v>
      </c>
      <c r="K2537" s="841" t="s">
        <v>3477</v>
      </c>
      <c r="L2537" s="841" t="s">
        <v>3046</v>
      </c>
      <c r="M2537" s="1357"/>
      <c r="P2537" s="841" t="s">
        <v>3484</v>
      </c>
      <c r="Q2537" s="1357"/>
      <c r="S2537" s="1420"/>
      <c r="T2537" s="1420"/>
      <c r="V2537" s="1357">
        <v>64</v>
      </c>
    </row>
    <row r="2538" spans="1:22" s="841" customFormat="1" ht="23.25" x14ac:dyDescent="0.25">
      <c r="A2538" s="841" t="s">
        <v>4874</v>
      </c>
      <c r="B2538" s="841" t="s">
        <v>5319</v>
      </c>
      <c r="E2538" s="1382" t="s">
        <v>439</v>
      </c>
      <c r="F2538" s="1382"/>
      <c r="G2538" s="1113" t="s">
        <v>24</v>
      </c>
      <c r="H2538" s="724">
        <v>2.9999999999999997E-4</v>
      </c>
      <c r="K2538" s="841" t="s">
        <v>3477</v>
      </c>
      <c r="L2538" s="841" t="s">
        <v>3046</v>
      </c>
      <c r="M2538" s="1357"/>
      <c r="P2538" s="841" t="s">
        <v>3485</v>
      </c>
      <c r="Q2538" s="1357"/>
      <c r="S2538" s="1420"/>
      <c r="T2538" s="1420"/>
      <c r="V2538" s="1357">
        <v>57</v>
      </c>
    </row>
    <row r="2539" spans="1:22" s="841" customFormat="1" ht="23.25" x14ac:dyDescent="0.25">
      <c r="A2539" s="841" t="s">
        <v>4874</v>
      </c>
      <c r="B2539" s="841" t="s">
        <v>5319</v>
      </c>
      <c r="E2539" s="1382" t="s">
        <v>32</v>
      </c>
      <c r="F2539" s="1382"/>
      <c r="G2539" s="1113" t="s">
        <v>23</v>
      </c>
      <c r="H2539" s="723">
        <v>0.25</v>
      </c>
      <c r="K2539" s="841" t="s">
        <v>3477</v>
      </c>
      <c r="L2539" s="841" t="s">
        <v>3046</v>
      </c>
      <c r="M2539" s="1357"/>
      <c r="P2539" s="841" t="s">
        <v>3486</v>
      </c>
      <c r="Q2539" s="1357"/>
      <c r="S2539" s="1420"/>
      <c r="T2539" s="1420"/>
      <c r="V2539" s="1357">
        <v>63</v>
      </c>
    </row>
    <row r="2540" spans="1:22" s="841" customFormat="1" x14ac:dyDescent="0.25">
      <c r="A2540" s="841" t="s">
        <v>4874</v>
      </c>
      <c r="B2540" s="841" t="s">
        <v>5319</v>
      </c>
      <c r="E2540" s="1974" t="s">
        <v>631</v>
      </c>
      <c r="F2540" s="1974"/>
      <c r="G2540" s="1975"/>
      <c r="H2540" s="1975"/>
      <c r="K2540" s="841" t="s">
        <v>3987</v>
      </c>
      <c r="M2540" s="1357"/>
      <c r="Q2540" s="1357"/>
      <c r="S2540" s="1420"/>
      <c r="T2540" s="1420"/>
      <c r="V2540" s="1357">
        <v>36</v>
      </c>
    </row>
    <row r="2541" spans="1:22" s="841" customFormat="1" ht="15" x14ac:dyDescent="0.25">
      <c r="A2541" s="841" t="s">
        <v>4874</v>
      </c>
      <c r="B2541" s="841" t="s">
        <v>5319</v>
      </c>
      <c r="E2541" s="1969" t="s">
        <v>5368</v>
      </c>
      <c r="F2541" s="1969"/>
      <c r="G2541" s="1970"/>
      <c r="H2541" s="1970"/>
      <c r="K2541" s="841" t="s">
        <v>3987</v>
      </c>
      <c r="M2541" s="1357"/>
      <c r="Q2541" s="1357"/>
      <c r="S2541" s="1420"/>
      <c r="T2541" s="1420"/>
      <c r="V2541" s="1357">
        <v>253</v>
      </c>
    </row>
    <row r="2542" spans="1:22" s="841" customFormat="1" ht="15" x14ac:dyDescent="0.25">
      <c r="A2542" s="841" t="s">
        <v>4874</v>
      </c>
      <c r="B2542" s="841" t="s">
        <v>5319</v>
      </c>
      <c r="E2542" s="2017" t="s">
        <v>3061</v>
      </c>
      <c r="F2542" s="2017"/>
      <c r="G2542" s="2018"/>
      <c r="H2542" s="2018"/>
      <c r="K2542" s="841" t="s">
        <v>3266</v>
      </c>
      <c r="M2542" s="1357"/>
      <c r="Q2542" s="1357"/>
      <c r="S2542" s="1420"/>
      <c r="T2542" s="1420"/>
      <c r="V2542" s="1357">
        <v>11</v>
      </c>
    </row>
    <row r="2543" spans="1:22" s="841" customFormat="1" ht="15" x14ac:dyDescent="0.25">
      <c r="A2543" s="841" t="s">
        <v>4874</v>
      </c>
      <c r="B2543" s="841" t="s">
        <v>5319</v>
      </c>
      <c r="E2543" s="1969" t="s">
        <v>3063</v>
      </c>
      <c r="F2543" s="1969"/>
      <c r="G2543" s="1970"/>
      <c r="H2543" s="1970"/>
      <c r="K2543" s="841" t="s">
        <v>3987</v>
      </c>
      <c r="M2543" s="1357"/>
      <c r="Q2543" s="1357"/>
      <c r="S2543" s="1420"/>
      <c r="T2543" s="1420"/>
      <c r="V2543" s="1357">
        <v>280</v>
      </c>
    </row>
    <row r="2544" spans="1:22" s="841" customFormat="1" ht="15" x14ac:dyDescent="0.25">
      <c r="A2544" s="841" t="s">
        <v>4874</v>
      </c>
      <c r="B2544" s="841" t="s">
        <v>5319</v>
      </c>
      <c r="E2544" s="1969" t="s">
        <v>3064</v>
      </c>
      <c r="F2544" s="1969"/>
      <c r="G2544" s="1970"/>
      <c r="H2544" s="1970"/>
      <c r="K2544" s="841" t="s">
        <v>3987</v>
      </c>
      <c r="M2544" s="1357"/>
      <c r="Q2544" s="1357"/>
      <c r="S2544" s="1420"/>
      <c r="T2544" s="1420"/>
      <c r="V2544" s="1357">
        <v>411</v>
      </c>
    </row>
    <row r="2545" spans="1:22" s="841" customFormat="1" ht="15" x14ac:dyDescent="0.25">
      <c r="A2545" s="841" t="s">
        <v>4874</v>
      </c>
      <c r="B2545" s="841" t="s">
        <v>5319</v>
      </c>
      <c r="E2545" s="1969" t="s">
        <v>3129</v>
      </c>
      <c r="F2545" s="1969"/>
      <c r="G2545" s="1970"/>
      <c r="H2545" s="1970"/>
      <c r="K2545" s="841" t="s">
        <v>3987</v>
      </c>
      <c r="M2545" s="1357"/>
      <c r="Q2545" s="1357"/>
      <c r="S2545" s="1420"/>
      <c r="T2545" s="1420"/>
      <c r="V2545" s="1357">
        <v>211</v>
      </c>
    </row>
    <row r="2546" spans="1:22" s="841" customFormat="1" ht="15" x14ac:dyDescent="0.25">
      <c r="A2546" s="841" t="s">
        <v>4874</v>
      </c>
      <c r="B2546" s="841" t="s">
        <v>5319</v>
      </c>
      <c r="E2546" s="1969" t="s">
        <v>3390</v>
      </c>
      <c r="F2546" s="1969"/>
      <c r="G2546" s="1970"/>
      <c r="H2546" s="1970"/>
      <c r="K2546" s="841" t="s">
        <v>3987</v>
      </c>
      <c r="M2546" s="1357"/>
      <c r="Q2546" s="1357"/>
      <c r="S2546" s="1420"/>
      <c r="T2546" s="1420"/>
      <c r="V2546" s="1357">
        <v>274</v>
      </c>
    </row>
    <row r="2547" spans="1:22" s="841" customFormat="1" ht="15" x14ac:dyDescent="0.25">
      <c r="A2547" s="841" t="s">
        <v>4874</v>
      </c>
      <c r="B2547" s="841" t="s">
        <v>5319</v>
      </c>
      <c r="E2547" s="1972" t="s">
        <v>5369</v>
      </c>
      <c r="F2547" s="1972"/>
      <c r="G2547" s="1973"/>
      <c r="H2547" s="1973"/>
      <c r="K2547" s="841" t="s">
        <v>3267</v>
      </c>
      <c r="M2547" s="1357"/>
      <c r="Q2547" s="1357"/>
      <c r="S2547" s="1420"/>
      <c r="T2547" s="1420"/>
      <c r="V2547" s="1357">
        <v>47</v>
      </c>
    </row>
    <row r="2548" spans="1:22" s="841" customFormat="1" ht="15" x14ac:dyDescent="0.25">
      <c r="A2548" s="841" t="s">
        <v>4874</v>
      </c>
      <c r="B2548" s="841" t="s">
        <v>5319</v>
      </c>
      <c r="E2548" s="2130" t="s">
        <v>3633</v>
      </c>
      <c r="F2548" s="2130"/>
      <c r="G2548" s="2130"/>
      <c r="H2548" s="2130"/>
      <c r="K2548" s="841" t="s">
        <v>3987</v>
      </c>
      <c r="M2548" s="1357"/>
      <c r="Q2548" s="1357"/>
      <c r="S2548" s="1420"/>
      <c r="T2548" s="1420"/>
      <c r="V2548" s="1357">
        <v>414</v>
      </c>
    </row>
    <row r="2549" spans="1:22" s="841" customFormat="1" x14ac:dyDescent="0.25">
      <c r="A2549" s="841" t="s">
        <v>4874</v>
      </c>
      <c r="B2549" s="841" t="s">
        <v>5319</v>
      </c>
      <c r="E2549" s="1974" t="s">
        <v>618</v>
      </c>
      <c r="F2549" s="1974"/>
      <c r="G2549" s="1975"/>
      <c r="H2549" s="1975"/>
      <c r="K2549" s="841" t="s">
        <v>3280</v>
      </c>
      <c r="M2549" s="1357"/>
      <c r="Q2549" s="1357"/>
      <c r="S2549" s="1420"/>
      <c r="T2549" s="1420"/>
      <c r="V2549" s="1357">
        <v>31</v>
      </c>
    </row>
    <row r="2550" spans="1:22" s="841" customFormat="1" ht="15" x14ac:dyDescent="0.25">
      <c r="A2550" s="841" t="s">
        <v>4874</v>
      </c>
      <c r="B2550" s="841" t="s">
        <v>5319</v>
      </c>
      <c r="E2550" s="1969" t="s">
        <v>3127</v>
      </c>
      <c r="F2550" s="1969"/>
      <c r="G2550" s="1970"/>
      <c r="H2550" s="1970"/>
      <c r="K2550" s="841" t="s">
        <v>3280</v>
      </c>
      <c r="M2550" s="1357"/>
      <c r="Q2550" s="1357"/>
      <c r="S2550" s="1420"/>
      <c r="T2550" s="1420"/>
      <c r="V2550" s="1357">
        <v>286</v>
      </c>
    </row>
    <row r="2551" spans="1:22" s="841" customFormat="1" ht="15" x14ac:dyDescent="0.25">
      <c r="A2551" s="841" t="s">
        <v>4874</v>
      </c>
      <c r="B2551" s="841" t="s">
        <v>5319</v>
      </c>
      <c r="E2551" s="2017" t="s">
        <v>3061</v>
      </c>
      <c r="F2551" s="2017"/>
      <c r="G2551" s="2018"/>
      <c r="H2551" s="2018"/>
      <c r="K2551" s="841" t="s">
        <v>3281</v>
      </c>
      <c r="M2551" s="1357"/>
      <c r="Q2551" s="1357"/>
      <c r="S2551" s="1420"/>
      <c r="T2551" s="1420"/>
      <c r="V2551" s="1357">
        <v>11</v>
      </c>
    </row>
    <row r="2552" spans="1:22" s="841" customFormat="1" ht="15" x14ac:dyDescent="0.25">
      <c r="A2552" s="841" t="s">
        <v>4874</v>
      </c>
      <c r="B2552" s="841" t="s">
        <v>5319</v>
      </c>
      <c r="E2552" s="1969" t="s">
        <v>3063</v>
      </c>
      <c r="F2552" s="1969"/>
      <c r="G2552" s="1970"/>
      <c r="H2552" s="1970"/>
      <c r="K2552" s="841" t="s">
        <v>3280</v>
      </c>
      <c r="M2552" s="1357"/>
      <c r="Q2552" s="1357"/>
      <c r="S2552" s="1420"/>
      <c r="T2552" s="1420"/>
      <c r="V2552" s="1357">
        <v>280</v>
      </c>
    </row>
    <row r="2553" spans="1:22" s="841" customFormat="1" ht="15" x14ac:dyDescent="0.25">
      <c r="A2553" s="841" t="s">
        <v>4874</v>
      </c>
      <c r="B2553" s="841" t="s">
        <v>5319</v>
      </c>
      <c r="E2553" s="1969" t="s">
        <v>3064</v>
      </c>
      <c r="F2553" s="1969"/>
      <c r="G2553" s="1970"/>
      <c r="H2553" s="1970"/>
      <c r="K2553" s="841" t="s">
        <v>3280</v>
      </c>
      <c r="M2553" s="1357"/>
      <c r="Q2553" s="1357"/>
      <c r="S2553" s="1420"/>
      <c r="T2553" s="1420"/>
      <c r="V2553" s="1357">
        <v>411</v>
      </c>
    </row>
    <row r="2554" spans="1:22" s="841" customFormat="1" ht="15" x14ac:dyDescent="0.25">
      <c r="A2554" s="841" t="s">
        <v>4874</v>
      </c>
      <c r="B2554" s="841" t="s">
        <v>5319</v>
      </c>
      <c r="E2554" s="1969" t="s">
        <v>3199</v>
      </c>
      <c r="F2554" s="1969"/>
      <c r="G2554" s="1970"/>
      <c r="H2554" s="1970"/>
      <c r="K2554" s="841" t="s">
        <v>3280</v>
      </c>
      <c r="M2554" s="1357"/>
      <c r="Q2554" s="1357"/>
      <c r="S2554" s="1420"/>
      <c r="T2554" s="1420"/>
      <c r="V2554" s="1357">
        <v>386</v>
      </c>
    </row>
    <row r="2555" spans="1:22" s="841" customFormat="1" ht="15" x14ac:dyDescent="0.25">
      <c r="A2555" s="841" t="s">
        <v>4874</v>
      </c>
      <c r="B2555" s="841" t="s">
        <v>5319</v>
      </c>
      <c r="E2555" s="1969" t="s">
        <v>3200</v>
      </c>
      <c r="F2555" s="1969"/>
      <c r="G2555" s="1970"/>
      <c r="H2555" s="1970"/>
      <c r="K2555" s="841" t="s">
        <v>3280</v>
      </c>
      <c r="M2555" s="1357"/>
      <c r="Q2555" s="1357"/>
      <c r="S2555" s="1420"/>
      <c r="T2555" s="1420"/>
      <c r="V2555" s="1357">
        <v>275</v>
      </c>
    </row>
    <row r="2556" spans="1:22" s="841" customFormat="1" ht="15" x14ac:dyDescent="0.25">
      <c r="A2556" s="841" t="s">
        <v>4874</v>
      </c>
      <c r="B2556" s="841" t="s">
        <v>5319</v>
      </c>
      <c r="E2556" s="1972" t="s">
        <v>3067</v>
      </c>
      <c r="F2556" s="1972"/>
      <c r="G2556" s="1973"/>
      <c r="H2556" s="1973"/>
      <c r="K2556" s="841" t="s">
        <v>3282</v>
      </c>
      <c r="M2556" s="1357"/>
      <c r="Q2556" s="1357"/>
      <c r="S2556" s="1420"/>
      <c r="T2556" s="1420"/>
      <c r="V2556" s="1357">
        <v>46</v>
      </c>
    </row>
    <row r="2557" spans="1:22" s="841" customFormat="1" ht="15" x14ac:dyDescent="0.25">
      <c r="A2557" s="841" t="s">
        <v>4874</v>
      </c>
      <c r="B2557" s="841" t="s">
        <v>5319</v>
      </c>
      <c r="E2557" s="1382" t="s">
        <v>11</v>
      </c>
      <c r="F2557" s="1382"/>
      <c r="G2557" s="1113" t="s">
        <v>23</v>
      </c>
      <c r="H2557" s="723">
        <v>5.4</v>
      </c>
      <c r="K2557" s="841" t="s">
        <v>3280</v>
      </c>
      <c r="L2557" s="841" t="s">
        <v>442</v>
      </c>
      <c r="M2557" s="1357"/>
      <c r="P2557" s="841" t="s">
        <v>3283</v>
      </c>
      <c r="Q2557" s="1357"/>
      <c r="S2557" s="1420"/>
      <c r="T2557" s="1420"/>
      <c r="V2557" s="1357">
        <v>14</v>
      </c>
    </row>
    <row r="2558" spans="1:22" s="841" customFormat="1" ht="23.25" x14ac:dyDescent="0.25">
      <c r="A2558" s="841" t="s">
        <v>4874</v>
      </c>
      <c r="B2558" s="841" t="s">
        <v>5319</v>
      </c>
      <c r="E2558" s="1174" t="s">
        <v>85</v>
      </c>
      <c r="F2558" s="1174"/>
      <c r="G2558" s="1175"/>
      <c r="H2558" s="1130"/>
      <c r="K2558" s="841" t="s">
        <v>5270</v>
      </c>
      <c r="M2558" s="1357"/>
      <c r="Q2558" s="1357"/>
      <c r="S2558" s="1420"/>
      <c r="T2558" s="1420"/>
      <c r="V2558" s="1357">
        <v>10</v>
      </c>
    </row>
    <row r="2559" spans="1:22" s="841" customFormat="1" ht="23.25" x14ac:dyDescent="0.25">
      <c r="A2559" s="841" t="s">
        <v>4874</v>
      </c>
      <c r="B2559" s="841" t="s">
        <v>5319</v>
      </c>
      <c r="E2559" s="1131" t="s">
        <v>3133</v>
      </c>
      <c r="F2559" s="1131"/>
      <c r="G2559" s="1176" t="s">
        <v>33</v>
      </c>
      <c r="H2559" s="1134">
        <v>-0.4</v>
      </c>
      <c r="M2559" s="1357"/>
      <c r="Q2559" s="1357"/>
      <c r="S2559" s="1420"/>
      <c r="T2559" s="1420"/>
      <c r="V2559" s="1357">
        <v>68</v>
      </c>
    </row>
    <row r="2560" spans="1:22" s="841" customFormat="1" ht="23.25" x14ac:dyDescent="0.25">
      <c r="A2560" s="841" t="s">
        <v>4874</v>
      </c>
      <c r="B2560" s="841" t="s">
        <v>5319</v>
      </c>
      <c r="E2560" s="1131" t="s">
        <v>5273</v>
      </c>
      <c r="F2560" s="1131"/>
      <c r="G2560" s="1176" t="s">
        <v>86</v>
      </c>
      <c r="H2560" s="1134">
        <v>-1</v>
      </c>
      <c r="M2560" s="1357"/>
      <c r="Q2560" s="1357"/>
      <c r="S2560" s="1420"/>
      <c r="T2560" s="1420"/>
      <c r="V2560" s="1357">
        <v>89</v>
      </c>
    </row>
    <row r="2561" spans="1:22" s="841" customFormat="1" ht="36" x14ac:dyDescent="0.25">
      <c r="A2561" s="841" t="s">
        <v>4874</v>
      </c>
      <c r="B2561" s="841" t="s">
        <v>5319</v>
      </c>
      <c r="E2561" s="1177" t="s">
        <v>87</v>
      </c>
      <c r="F2561" s="1177"/>
      <c r="G2561" s="1175"/>
      <c r="H2561" s="1130"/>
      <c r="K2561" s="841" t="s">
        <v>5274</v>
      </c>
      <c r="M2561" s="1357"/>
      <c r="Q2561" s="1357"/>
      <c r="S2561" s="1420"/>
      <c r="T2561" s="1420"/>
      <c r="V2561" s="1357">
        <v>24</v>
      </c>
    </row>
    <row r="2562" spans="1:22" s="841" customFormat="1" ht="15" x14ac:dyDescent="0.25">
      <c r="A2562" s="841" t="s">
        <v>4874</v>
      </c>
      <c r="B2562" s="841" t="s">
        <v>5319</v>
      </c>
      <c r="E2562" s="2131" t="s">
        <v>3061</v>
      </c>
      <c r="F2562" s="2131"/>
      <c r="G2562" s="2132"/>
      <c r="H2562" s="2132"/>
      <c r="M2562" s="1357"/>
      <c r="Q2562" s="1357"/>
      <c r="S2562" s="1420"/>
      <c r="T2562" s="1420"/>
      <c r="V2562" s="1357">
        <v>11</v>
      </c>
    </row>
    <row r="2563" spans="1:22" s="841" customFormat="1" ht="15" x14ac:dyDescent="0.25">
      <c r="A2563" s="841" t="s">
        <v>4874</v>
      </c>
      <c r="B2563" s="841" t="s">
        <v>5319</v>
      </c>
      <c r="E2563" s="1969" t="s">
        <v>3063</v>
      </c>
      <c r="F2563" s="1969"/>
      <c r="G2563" s="1969"/>
      <c r="H2563" s="1969"/>
      <c r="M2563" s="1357"/>
      <c r="Q2563" s="1357"/>
      <c r="S2563" s="1420"/>
      <c r="T2563" s="1420"/>
      <c r="V2563" s="1357">
        <v>280</v>
      </c>
    </row>
    <row r="2564" spans="1:22" s="841" customFormat="1" ht="15" x14ac:dyDescent="0.25">
      <c r="A2564" s="841" t="s">
        <v>4874</v>
      </c>
      <c r="B2564" s="841" t="s">
        <v>5319</v>
      </c>
      <c r="E2564" s="1969" t="s">
        <v>3136</v>
      </c>
      <c r="F2564" s="1969"/>
      <c r="G2564" s="1969"/>
      <c r="H2564" s="1969"/>
      <c r="M2564" s="1357"/>
      <c r="Q2564" s="1357"/>
      <c r="S2564" s="1420"/>
      <c r="T2564" s="1420"/>
      <c r="V2564" s="1357">
        <v>353</v>
      </c>
    </row>
    <row r="2565" spans="1:22" s="841" customFormat="1" ht="15" x14ac:dyDescent="0.25">
      <c r="A2565" s="841" t="s">
        <v>4874</v>
      </c>
      <c r="B2565" s="841" t="s">
        <v>5319</v>
      </c>
      <c r="E2565" s="2049" t="s">
        <v>3390</v>
      </c>
      <c r="F2565" s="2049"/>
      <c r="G2565" s="2049"/>
      <c r="H2565" s="2049"/>
      <c r="M2565" s="1357"/>
      <c r="Q2565" s="1357"/>
      <c r="S2565" s="1420"/>
      <c r="T2565" s="1420"/>
      <c r="V2565" s="1357">
        <v>274</v>
      </c>
    </row>
    <row r="2566" spans="1:22" s="841" customFormat="1" ht="15" x14ac:dyDescent="0.25">
      <c r="A2566" s="841" t="s">
        <v>4874</v>
      </c>
      <c r="B2566" s="841" t="s">
        <v>5319</v>
      </c>
      <c r="E2566" s="1135" t="s">
        <v>3137</v>
      </c>
      <c r="F2566" s="1135"/>
      <c r="G2566" s="1178"/>
      <c r="H2566" s="1137"/>
      <c r="K2566" s="841" t="s">
        <v>5275</v>
      </c>
      <c r="M2566" s="1357"/>
      <c r="Q2566" s="1357"/>
      <c r="S2566" s="1420"/>
      <c r="T2566" s="1420"/>
      <c r="V2566" s="1357">
        <v>23</v>
      </c>
    </row>
    <row r="2567" spans="1:22" s="841" customFormat="1" ht="15" x14ac:dyDescent="0.25">
      <c r="A2567" s="841" t="s">
        <v>4874</v>
      </c>
      <c r="B2567" s="841" t="s">
        <v>5319</v>
      </c>
      <c r="E2567" s="1141" t="s">
        <v>3355</v>
      </c>
      <c r="F2567" s="1141"/>
      <c r="G2567" s="1113" t="s">
        <v>23</v>
      </c>
      <c r="H2567" s="723">
        <v>15</v>
      </c>
      <c r="M2567" s="1357"/>
      <c r="Q2567" s="1357"/>
      <c r="S2567" s="1420"/>
      <c r="T2567" s="1420"/>
      <c r="V2567" s="1357">
        <v>19</v>
      </c>
    </row>
    <row r="2568" spans="1:22" s="841" customFormat="1" ht="15" x14ac:dyDescent="0.25">
      <c r="A2568" s="841" t="s">
        <v>4874</v>
      </c>
      <c r="B2568" s="841" t="s">
        <v>5319</v>
      </c>
      <c r="E2568" s="1141" t="s">
        <v>3143</v>
      </c>
      <c r="F2568" s="1141"/>
      <c r="G2568" s="1113" t="s">
        <v>23</v>
      </c>
      <c r="H2568" s="723">
        <v>15</v>
      </c>
      <c r="M2568" s="1357"/>
      <c r="Q2568" s="1357"/>
      <c r="S2568" s="1420"/>
      <c r="T2568" s="1420"/>
      <c r="V2568" s="1357">
        <v>37</v>
      </c>
    </row>
    <row r="2569" spans="1:22" s="841" customFormat="1" ht="23.25" x14ac:dyDescent="0.25">
      <c r="A2569" s="841" t="s">
        <v>4874</v>
      </c>
      <c r="B2569" s="841" t="s">
        <v>5319</v>
      </c>
      <c r="E2569" s="1141" t="s">
        <v>3148</v>
      </c>
      <c r="F2569" s="1141"/>
      <c r="G2569" s="1113" t="s">
        <v>23</v>
      </c>
      <c r="H2569" s="723">
        <v>15</v>
      </c>
      <c r="M2569" s="1357"/>
      <c r="Q2569" s="1357"/>
      <c r="S2569" s="1420"/>
      <c r="T2569" s="1420"/>
      <c r="V2569" s="1357">
        <v>56</v>
      </c>
    </row>
    <row r="2570" spans="1:22" s="841" customFormat="1" ht="23.25" x14ac:dyDescent="0.25">
      <c r="A2570" s="841" t="s">
        <v>4874</v>
      </c>
      <c r="B2570" s="841" t="s">
        <v>5319</v>
      </c>
      <c r="E2570" s="1141" t="s">
        <v>5370</v>
      </c>
      <c r="F2570" s="1141"/>
      <c r="G2570" s="1113" t="s">
        <v>23</v>
      </c>
      <c r="H2570" s="723">
        <v>25</v>
      </c>
      <c r="M2570" s="1357"/>
      <c r="Q2570" s="1357"/>
      <c r="S2570" s="1420"/>
      <c r="T2570" s="1420"/>
      <c r="V2570" s="1357">
        <v>74</v>
      </c>
    </row>
    <row r="2571" spans="1:22" s="841" customFormat="1" ht="15" x14ac:dyDescent="0.25">
      <c r="A2571" s="841" t="s">
        <v>4874</v>
      </c>
      <c r="B2571" s="841" t="s">
        <v>5319</v>
      </c>
      <c r="E2571" s="1141" t="s">
        <v>3145</v>
      </c>
      <c r="F2571" s="1141"/>
      <c r="G2571" s="1113" t="s">
        <v>23</v>
      </c>
      <c r="H2571" s="723">
        <v>15</v>
      </c>
      <c r="M2571" s="1357"/>
      <c r="Q2571" s="1357"/>
      <c r="S2571" s="1420"/>
      <c r="T2571" s="1420"/>
      <c r="V2571" s="1357">
        <v>17</v>
      </c>
    </row>
    <row r="2572" spans="1:22" s="841" customFormat="1" ht="15" x14ac:dyDescent="0.25">
      <c r="A2572" s="841" t="s">
        <v>4874</v>
      </c>
      <c r="B2572" s="841" t="s">
        <v>5319</v>
      </c>
      <c r="E2572" s="1141" t="s">
        <v>123</v>
      </c>
      <c r="F2572" s="1141"/>
      <c r="G2572" s="1113" t="s">
        <v>23</v>
      </c>
      <c r="H2572" s="723">
        <v>12.5</v>
      </c>
      <c r="M2572" s="1357"/>
      <c r="Q2572" s="1357"/>
      <c r="S2572" s="1420"/>
      <c r="T2572" s="1420"/>
      <c r="V2572" s="1357">
        <v>35</v>
      </c>
    </row>
    <row r="2573" spans="1:22" s="841" customFormat="1" ht="23.25" x14ac:dyDescent="0.25">
      <c r="A2573" s="841" t="s">
        <v>4874</v>
      </c>
      <c r="B2573" s="841" t="s">
        <v>5319</v>
      </c>
      <c r="E2573" s="1141" t="s">
        <v>88</v>
      </c>
      <c r="F2573" s="1141"/>
      <c r="G2573" s="1113" t="s">
        <v>23</v>
      </c>
      <c r="H2573" s="723">
        <v>30</v>
      </c>
      <c r="M2573" s="1357"/>
      <c r="Q2573" s="1357"/>
      <c r="S2573" s="1420"/>
      <c r="T2573" s="1420"/>
      <c r="V2573" s="1357">
        <v>89</v>
      </c>
    </row>
    <row r="2574" spans="1:22" s="841" customFormat="1" ht="34.5" x14ac:dyDescent="0.25">
      <c r="A2574" s="841" t="s">
        <v>4874</v>
      </c>
      <c r="B2574" s="841" t="s">
        <v>5319</v>
      </c>
      <c r="E2574" s="1141" t="s">
        <v>5371</v>
      </c>
      <c r="F2574" s="1141"/>
      <c r="G2574" s="1113" t="s">
        <v>23</v>
      </c>
      <c r="H2574" s="723">
        <v>20</v>
      </c>
      <c r="M2574" s="1357"/>
      <c r="Q2574" s="1357"/>
      <c r="S2574" s="1420"/>
      <c r="T2574" s="1420"/>
      <c r="V2574" s="1357">
        <v>103</v>
      </c>
    </row>
    <row r="2575" spans="1:22" s="841" customFormat="1" ht="23.25" x14ac:dyDescent="0.25">
      <c r="A2575" s="841" t="s">
        <v>4874</v>
      </c>
      <c r="B2575" s="841" t="s">
        <v>5319</v>
      </c>
      <c r="E2575" s="1141" t="s">
        <v>92</v>
      </c>
      <c r="F2575" s="1141"/>
      <c r="G2575" s="1113" t="s">
        <v>23</v>
      </c>
      <c r="H2575" s="723">
        <v>10</v>
      </c>
      <c r="M2575" s="1357"/>
      <c r="Q2575" s="1357"/>
      <c r="S2575" s="1420"/>
      <c r="T2575" s="1420"/>
      <c r="V2575" s="1357">
        <v>74</v>
      </c>
    </row>
    <row r="2576" spans="1:22" s="841" customFormat="1" ht="15" x14ac:dyDescent="0.25">
      <c r="A2576" s="841" t="s">
        <v>4874</v>
      </c>
      <c r="B2576" s="841" t="s">
        <v>5319</v>
      </c>
      <c r="E2576" s="1141" t="s">
        <v>94</v>
      </c>
      <c r="F2576" s="1141"/>
      <c r="G2576" s="1113" t="s">
        <v>23</v>
      </c>
      <c r="H2576" s="723">
        <v>30</v>
      </c>
      <c r="M2576" s="1357"/>
      <c r="Q2576" s="1357"/>
      <c r="S2576" s="1420"/>
      <c r="T2576" s="1420"/>
      <c r="V2576" s="1357">
        <v>19</v>
      </c>
    </row>
    <row r="2577" spans="1:22" s="841" customFormat="1" ht="15" x14ac:dyDescent="0.25">
      <c r="A2577" s="841" t="s">
        <v>4874</v>
      </c>
      <c r="B2577" s="841" t="s">
        <v>5319</v>
      </c>
      <c r="E2577" s="1141" t="s">
        <v>91</v>
      </c>
      <c r="F2577" s="1141"/>
      <c r="G2577" s="1113" t="s">
        <v>23</v>
      </c>
      <c r="H2577" s="723">
        <v>40</v>
      </c>
      <c r="M2577" s="1357"/>
      <c r="Q2577" s="1357"/>
      <c r="S2577" s="1420"/>
      <c r="T2577" s="1420"/>
      <c r="V2577" s="1357">
        <v>29</v>
      </c>
    </row>
    <row r="2578" spans="1:22" s="841" customFormat="1" ht="15" x14ac:dyDescent="0.25">
      <c r="A2578" s="841" t="s">
        <v>4874</v>
      </c>
      <c r="B2578" s="841" t="s">
        <v>5319</v>
      </c>
      <c r="E2578" s="1135" t="s">
        <v>3152</v>
      </c>
      <c r="F2578" s="1135"/>
      <c r="G2578" s="1178"/>
      <c r="H2578" s="1137"/>
      <c r="K2578" s="841" t="s">
        <v>5276</v>
      </c>
      <c r="M2578" s="1357"/>
      <c r="Q2578" s="1357"/>
      <c r="S2578" s="1420"/>
      <c r="T2578" s="1420"/>
      <c r="V2578" s="1357">
        <v>22</v>
      </c>
    </row>
    <row r="2579" spans="1:22" s="841" customFormat="1" ht="15" x14ac:dyDescent="0.25">
      <c r="A2579" s="841" t="s">
        <v>4874</v>
      </c>
      <c r="B2579" s="841" t="s">
        <v>5319</v>
      </c>
      <c r="E2579" s="1141" t="s">
        <v>5137</v>
      </c>
      <c r="F2579" s="1141"/>
      <c r="G2579" s="1113" t="s">
        <v>86</v>
      </c>
      <c r="H2579" s="723">
        <v>1.5</v>
      </c>
      <c r="M2579" s="1357"/>
      <c r="Q2579" s="1357"/>
      <c r="S2579" s="1420"/>
      <c r="T2579" s="1420"/>
      <c r="V2579" s="1357">
        <v>24</v>
      </c>
    </row>
    <row r="2580" spans="1:22" s="841" customFormat="1" ht="15" x14ac:dyDescent="0.25">
      <c r="A2580" s="841" t="s">
        <v>4874</v>
      </c>
      <c r="B2580" s="841" t="s">
        <v>5319</v>
      </c>
      <c r="E2580" s="1141" t="s">
        <v>4772</v>
      </c>
      <c r="F2580" s="1141"/>
      <c r="G2580" s="1113" t="s">
        <v>86</v>
      </c>
      <c r="H2580" s="723">
        <v>19.559999999999999</v>
      </c>
      <c r="M2580" s="1357"/>
      <c r="Q2580" s="1357"/>
      <c r="S2580" s="1420"/>
      <c r="T2580" s="1420"/>
      <c r="V2580" s="1357">
        <v>24</v>
      </c>
    </row>
    <row r="2581" spans="1:22" s="841" customFormat="1" ht="15" x14ac:dyDescent="0.25">
      <c r="A2581" s="841" t="s">
        <v>4874</v>
      </c>
      <c r="B2581" s="841" t="s">
        <v>5319</v>
      </c>
      <c r="E2581" s="1141" t="s">
        <v>117</v>
      </c>
      <c r="F2581" s="1141"/>
      <c r="G2581" s="1113" t="s">
        <v>23</v>
      </c>
      <c r="H2581" s="723">
        <v>9</v>
      </c>
      <c r="M2581" s="1357"/>
      <c r="Q2581" s="1357"/>
      <c r="S2581" s="1420"/>
      <c r="T2581" s="1420"/>
      <c r="V2581" s="1357">
        <v>47</v>
      </c>
    </row>
    <row r="2582" spans="1:22" s="841" customFormat="1" ht="23.25" x14ac:dyDescent="0.25">
      <c r="A2582" s="841" t="s">
        <v>4874</v>
      </c>
      <c r="B2582" s="841" t="s">
        <v>5319</v>
      </c>
      <c r="E2582" s="1141" t="s">
        <v>4773</v>
      </c>
      <c r="F2582" s="1141"/>
      <c r="G2582" s="1113" t="s">
        <v>23</v>
      </c>
      <c r="H2582" s="723">
        <v>20</v>
      </c>
      <c r="M2582" s="1357"/>
      <c r="Q2582" s="1357"/>
      <c r="S2582" s="1420"/>
      <c r="T2582" s="1420"/>
      <c r="V2582" s="1357">
        <v>52</v>
      </c>
    </row>
    <row r="2583" spans="1:22" s="841" customFormat="1" ht="23.25" x14ac:dyDescent="0.25">
      <c r="A2583" s="841" t="s">
        <v>4874</v>
      </c>
      <c r="B2583" s="841" t="s">
        <v>5319</v>
      </c>
      <c r="E2583" s="1141" t="s">
        <v>4775</v>
      </c>
      <c r="F2583" s="1141"/>
      <c r="G2583" s="1113" t="s">
        <v>23</v>
      </c>
      <c r="H2583" s="723">
        <v>185</v>
      </c>
      <c r="M2583" s="1357"/>
      <c r="Q2583" s="1357"/>
      <c r="S2583" s="1420"/>
      <c r="T2583" s="1420"/>
      <c r="V2583" s="1357">
        <v>51</v>
      </c>
    </row>
    <row r="2584" spans="1:22" s="841" customFormat="1" ht="23.25" x14ac:dyDescent="0.25">
      <c r="A2584" s="841" t="s">
        <v>4874</v>
      </c>
      <c r="B2584" s="841" t="s">
        <v>5319</v>
      </c>
      <c r="E2584" s="1141" t="s">
        <v>4776</v>
      </c>
      <c r="F2584" s="1141"/>
      <c r="G2584" s="1113" t="s">
        <v>23</v>
      </c>
      <c r="H2584" s="723">
        <v>415</v>
      </c>
      <c r="M2584" s="1357"/>
      <c r="Q2584" s="1357"/>
      <c r="S2584" s="1420"/>
      <c r="T2584" s="1420"/>
      <c r="V2584" s="1357">
        <v>50</v>
      </c>
    </row>
    <row r="2585" spans="1:22" s="841" customFormat="1" ht="15" x14ac:dyDescent="0.25">
      <c r="A2585" s="841" t="s">
        <v>4874</v>
      </c>
      <c r="B2585" s="841" t="s">
        <v>5319</v>
      </c>
      <c r="E2585" s="1135" t="s">
        <v>3164</v>
      </c>
      <c r="F2585" s="1135"/>
      <c r="G2585" s="1178"/>
      <c r="H2585" s="1137"/>
      <c r="M2585" s="1357"/>
      <c r="Q2585" s="1357"/>
      <c r="S2585" s="1420"/>
      <c r="T2585" s="1420"/>
      <c r="V2585" s="1357">
        <v>5</v>
      </c>
    </row>
    <row r="2586" spans="1:22" s="841" customFormat="1" ht="23.25" x14ac:dyDescent="0.25">
      <c r="A2586" s="841" t="s">
        <v>4874</v>
      </c>
      <c r="B2586" s="841" t="s">
        <v>5319</v>
      </c>
      <c r="E2586" s="1142" t="s">
        <v>5372</v>
      </c>
      <c r="F2586" s="1142"/>
      <c r="G2586" s="1179" t="s">
        <v>23</v>
      </c>
      <c r="H2586" s="723">
        <v>400</v>
      </c>
      <c r="M2586" s="1357"/>
      <c r="Q2586" s="1357"/>
      <c r="S2586" s="1420"/>
      <c r="T2586" s="1420"/>
      <c r="V2586" s="1357">
        <v>64</v>
      </c>
    </row>
    <row r="2587" spans="1:22" s="841" customFormat="1" ht="45.75" x14ac:dyDescent="0.25">
      <c r="A2587" s="841" t="s">
        <v>4874</v>
      </c>
      <c r="B2587" s="841" t="s">
        <v>5319</v>
      </c>
      <c r="E2587" s="1142" t="s">
        <v>5373</v>
      </c>
      <c r="F2587" s="1142"/>
      <c r="G2587" s="1147" t="s">
        <v>23</v>
      </c>
      <c r="H2587" s="1148">
        <v>22.35</v>
      </c>
      <c r="M2587" s="1357"/>
      <c r="Q2587" s="1357"/>
      <c r="S2587" s="1420"/>
      <c r="T2587" s="1420">
        <v>43343</v>
      </c>
      <c r="V2587" s="1357">
        <v>138</v>
      </c>
    </row>
    <row r="2588" spans="1:22" s="841" customFormat="1" ht="57" x14ac:dyDescent="0.25">
      <c r="A2588" s="841" t="s">
        <v>4874</v>
      </c>
      <c r="B2588" s="841" t="s">
        <v>5319</v>
      </c>
      <c r="E2588" s="1142" t="s">
        <v>5374</v>
      </c>
      <c r="F2588" s="1142"/>
      <c r="G2588" s="1147" t="s">
        <v>23</v>
      </c>
      <c r="H2588" s="1148">
        <v>28.09</v>
      </c>
      <c r="M2588" s="1357"/>
      <c r="Q2588" s="1357"/>
      <c r="S2588" s="1420"/>
      <c r="T2588" s="1420">
        <v>43465</v>
      </c>
      <c r="V2588" s="1357">
        <v>163</v>
      </c>
    </row>
    <row r="2589" spans="1:22" s="841" customFormat="1" ht="45.75" x14ac:dyDescent="0.25">
      <c r="A2589" s="841" t="s">
        <v>4874</v>
      </c>
      <c r="B2589" s="841" t="s">
        <v>5319</v>
      </c>
      <c r="E2589" s="1142" t="s">
        <v>5375</v>
      </c>
      <c r="F2589" s="1142"/>
      <c r="G2589" s="1147" t="s">
        <v>23</v>
      </c>
      <c r="H2589" s="1148">
        <v>43.63</v>
      </c>
      <c r="M2589" s="1357"/>
      <c r="Q2589" s="1357"/>
      <c r="S2589" s="1420"/>
      <c r="T2589" s="1420"/>
      <c r="V2589" s="1357">
        <v>137</v>
      </c>
    </row>
    <row r="2590" spans="1:22" s="841" customFormat="1" ht="36" x14ac:dyDescent="0.25">
      <c r="A2590" s="841" t="s">
        <v>4874</v>
      </c>
      <c r="B2590" s="841" t="s">
        <v>5319</v>
      </c>
      <c r="E2590" s="1177" t="s">
        <v>77</v>
      </c>
      <c r="F2590" s="1177"/>
      <c r="G2590" s="1175"/>
      <c r="H2590" s="1130"/>
      <c r="K2590" s="841" t="s">
        <v>5280</v>
      </c>
      <c r="M2590" s="1357"/>
      <c r="Q2590" s="1357"/>
      <c r="S2590" s="1420"/>
      <c r="T2590" s="1420"/>
      <c r="V2590" s="1357">
        <v>38</v>
      </c>
    </row>
    <row r="2591" spans="1:22" s="841" customFormat="1" ht="15" x14ac:dyDescent="0.25">
      <c r="A2591" s="841" t="s">
        <v>4874</v>
      </c>
      <c r="B2591" s="841" t="s">
        <v>5319</v>
      </c>
      <c r="E2591" s="1969" t="s">
        <v>3063</v>
      </c>
      <c r="F2591" s="1969"/>
      <c r="G2591" s="1969"/>
      <c r="H2591" s="1969"/>
      <c r="M2591" s="1357"/>
      <c r="Q2591" s="1357"/>
      <c r="S2591" s="1420"/>
      <c r="T2591" s="1420"/>
      <c r="V2591" s="1357">
        <v>280</v>
      </c>
    </row>
    <row r="2592" spans="1:22" s="841" customFormat="1" ht="15" x14ac:dyDescent="0.25">
      <c r="A2592" s="841" t="s">
        <v>4874</v>
      </c>
      <c r="B2592" s="841" t="s">
        <v>5319</v>
      </c>
      <c r="E2592" s="1969" t="s">
        <v>3064</v>
      </c>
      <c r="F2592" s="1969"/>
      <c r="G2592" s="1969"/>
      <c r="H2592" s="1969"/>
      <c r="M2592" s="1357"/>
      <c r="Q2592" s="1357"/>
      <c r="S2592" s="1420"/>
      <c r="T2592" s="1420"/>
      <c r="V2592" s="1357">
        <v>411</v>
      </c>
    </row>
    <row r="2593" spans="1:22" s="841" customFormat="1" ht="15" x14ac:dyDescent="0.25">
      <c r="A2593" s="841" t="s">
        <v>4874</v>
      </c>
      <c r="B2593" s="841" t="s">
        <v>5319</v>
      </c>
      <c r="E2593" s="1969" t="s">
        <v>3129</v>
      </c>
      <c r="F2593" s="1969"/>
      <c r="G2593" s="1969"/>
      <c r="H2593" s="1969"/>
      <c r="M2593" s="1357"/>
      <c r="Q2593" s="1357"/>
      <c r="S2593" s="1420"/>
      <c r="T2593" s="1420"/>
      <c r="V2593" s="1357">
        <v>211</v>
      </c>
    </row>
    <row r="2594" spans="1:22" s="841" customFormat="1" ht="15" x14ac:dyDescent="0.25">
      <c r="A2594" s="841" t="s">
        <v>4874</v>
      </c>
      <c r="B2594" s="841" t="s">
        <v>5319</v>
      </c>
      <c r="E2594" s="1969" t="s">
        <v>3200</v>
      </c>
      <c r="F2594" s="1969"/>
      <c r="G2594" s="1969"/>
      <c r="H2594" s="1969"/>
      <c r="M2594" s="1357"/>
      <c r="Q2594" s="1357"/>
      <c r="S2594" s="1420"/>
      <c r="T2594" s="1420"/>
      <c r="V2594" s="1357">
        <v>275</v>
      </c>
    </row>
    <row r="2595" spans="1:22" s="841" customFormat="1" ht="15" x14ac:dyDescent="0.25">
      <c r="A2595" s="841" t="s">
        <v>4874</v>
      </c>
      <c r="B2595" s="841" t="s">
        <v>5319</v>
      </c>
      <c r="E2595" s="2048" t="s">
        <v>3291</v>
      </c>
      <c r="F2595" s="2048"/>
      <c r="G2595" s="2048"/>
      <c r="H2595" s="2048"/>
      <c r="M2595" s="1357"/>
      <c r="Q2595" s="1357"/>
      <c r="S2595" s="1420"/>
      <c r="T2595" s="1420"/>
      <c r="V2595" s="1357">
        <v>142</v>
      </c>
    </row>
    <row r="2596" spans="1:22" s="841" customFormat="1" ht="23.25" x14ac:dyDescent="0.25">
      <c r="A2596" s="841" t="s">
        <v>4874</v>
      </c>
      <c r="B2596" s="841" t="s">
        <v>5319</v>
      </c>
      <c r="E2596" s="1382" t="s">
        <v>3176</v>
      </c>
      <c r="F2596" s="1382"/>
      <c r="G2596" s="1139" t="s">
        <v>23</v>
      </c>
      <c r="H2596" s="1140">
        <v>100</v>
      </c>
      <c r="M2596" s="1357"/>
      <c r="Q2596" s="1357"/>
      <c r="S2596" s="1420"/>
      <c r="T2596" s="1420"/>
      <c r="V2596" s="1357">
        <v>106</v>
      </c>
    </row>
    <row r="2597" spans="1:22" s="841" customFormat="1" ht="15" x14ac:dyDescent="0.25">
      <c r="A2597" s="841" t="s">
        <v>4874</v>
      </c>
      <c r="B2597" s="841" t="s">
        <v>5319</v>
      </c>
      <c r="E2597" s="1131" t="s">
        <v>5140</v>
      </c>
      <c r="F2597" s="1131"/>
      <c r="G2597" s="1139" t="s">
        <v>23</v>
      </c>
      <c r="H2597" s="1140">
        <v>20</v>
      </c>
      <c r="M2597" s="1357"/>
      <c r="Q2597" s="1357"/>
      <c r="S2597" s="1420"/>
      <c r="T2597" s="1420"/>
      <c r="V2597" s="1357">
        <v>34</v>
      </c>
    </row>
    <row r="2598" spans="1:22" s="841" customFormat="1" ht="15" x14ac:dyDescent="0.25">
      <c r="A2598" s="841" t="s">
        <v>4874</v>
      </c>
      <c r="B2598" s="841" t="s">
        <v>5319</v>
      </c>
      <c r="E2598" s="1131" t="s">
        <v>5141</v>
      </c>
      <c r="F2598" s="1131"/>
      <c r="G2598" s="1139" t="s">
        <v>3179</v>
      </c>
      <c r="H2598" s="1140">
        <v>0.5</v>
      </c>
      <c r="M2598" s="1357"/>
      <c r="Q2598" s="1357"/>
      <c r="S2598" s="1420"/>
      <c r="T2598" s="1420"/>
      <c r="V2598" s="1357">
        <v>51</v>
      </c>
    </row>
    <row r="2599" spans="1:22" s="841" customFormat="1" ht="23.25" x14ac:dyDescent="0.25">
      <c r="A2599" s="841" t="s">
        <v>4874</v>
      </c>
      <c r="B2599" s="841" t="s">
        <v>5319</v>
      </c>
      <c r="E2599" s="1131" t="s">
        <v>3180</v>
      </c>
      <c r="F2599" s="1131"/>
      <c r="G2599" s="1139" t="s">
        <v>3179</v>
      </c>
      <c r="H2599" s="1140">
        <v>0.3</v>
      </c>
      <c r="M2599" s="1357"/>
      <c r="Q2599" s="1357"/>
      <c r="S2599" s="1420"/>
      <c r="T2599" s="1420"/>
      <c r="V2599" s="1357">
        <v>75</v>
      </c>
    </row>
    <row r="2600" spans="1:22" s="841" customFormat="1" ht="23.25" x14ac:dyDescent="0.25">
      <c r="A2600" s="841" t="s">
        <v>4874</v>
      </c>
      <c r="B2600" s="841" t="s">
        <v>5319</v>
      </c>
      <c r="E2600" s="1131" t="s">
        <v>3181</v>
      </c>
      <c r="F2600" s="1131"/>
      <c r="G2600" s="1139" t="s">
        <v>3179</v>
      </c>
      <c r="H2600" s="1149">
        <v>-0.3</v>
      </c>
      <c r="M2600" s="1357"/>
      <c r="Q2600" s="1357"/>
      <c r="S2600" s="1420"/>
      <c r="T2600" s="1420"/>
      <c r="V2600" s="1357">
        <v>72</v>
      </c>
    </row>
    <row r="2601" spans="1:22" s="841" customFormat="1" ht="15" x14ac:dyDescent="0.25">
      <c r="A2601" s="841" t="s">
        <v>4874</v>
      </c>
      <c r="B2601" s="841" t="s">
        <v>5319</v>
      </c>
      <c r="E2601" s="1131" t="s">
        <v>3292</v>
      </c>
      <c r="F2601" s="1131"/>
      <c r="G2601" s="1150"/>
      <c r="H2601" s="1151"/>
      <c r="M2601" s="1357"/>
      <c r="Q2601" s="1357"/>
      <c r="S2601" s="1420"/>
      <c r="T2601" s="1420"/>
      <c r="V2601" s="1357">
        <v>34</v>
      </c>
    </row>
    <row r="2602" spans="1:22" s="841" customFormat="1" ht="23.25" x14ac:dyDescent="0.25">
      <c r="A2602" s="841" t="s">
        <v>4874</v>
      </c>
      <c r="B2602" s="841" t="s">
        <v>5319</v>
      </c>
      <c r="E2602" s="1152" t="s">
        <v>3183</v>
      </c>
      <c r="F2602" s="1152"/>
      <c r="G2602" s="1139" t="s">
        <v>23</v>
      </c>
      <c r="H2602" s="1140">
        <v>0.25</v>
      </c>
      <c r="M2602" s="1357"/>
      <c r="Q2602" s="1357"/>
      <c r="S2602" s="1420"/>
      <c r="T2602" s="1420"/>
      <c r="V2602" s="1357">
        <v>57</v>
      </c>
    </row>
    <row r="2603" spans="1:22" s="841" customFormat="1" ht="23.25" x14ac:dyDescent="0.25">
      <c r="A2603" s="841" t="s">
        <v>4874</v>
      </c>
      <c r="B2603" s="841" t="s">
        <v>5319</v>
      </c>
      <c r="E2603" s="1152" t="s">
        <v>3184</v>
      </c>
      <c r="F2603" s="1152"/>
      <c r="G2603" s="1139" t="s">
        <v>23</v>
      </c>
      <c r="H2603" s="1140">
        <v>0.5</v>
      </c>
      <c r="M2603" s="1357"/>
      <c r="Q2603" s="1357"/>
      <c r="S2603" s="1420"/>
      <c r="T2603" s="1420"/>
      <c r="V2603" s="1357">
        <v>60</v>
      </c>
    </row>
    <row r="2604" spans="1:22" s="841" customFormat="1" ht="23.25" x14ac:dyDescent="0.25">
      <c r="A2604" s="841" t="s">
        <v>4874</v>
      </c>
      <c r="B2604" s="841" t="s">
        <v>5319</v>
      </c>
      <c r="E2604" s="1131" t="s">
        <v>3185</v>
      </c>
      <c r="F2604" s="1131"/>
      <c r="G2604" s="1150"/>
      <c r="H2604" s="1151"/>
      <c r="M2604" s="1357"/>
      <c r="Q2604" s="1357"/>
      <c r="S2604" s="1420"/>
      <c r="T2604" s="1420"/>
      <c r="V2604" s="1357">
        <v>91</v>
      </c>
    </row>
    <row r="2605" spans="1:22" s="841" customFormat="1" ht="23.25" x14ac:dyDescent="0.25">
      <c r="A2605" s="841" t="s">
        <v>4874</v>
      </c>
      <c r="B2605" s="841" t="s">
        <v>5319</v>
      </c>
      <c r="E2605" s="1131" t="s">
        <v>3186</v>
      </c>
      <c r="F2605" s="1131"/>
      <c r="G2605" s="1150"/>
      <c r="H2605" s="1151"/>
      <c r="M2605" s="1357"/>
      <c r="Q2605" s="1357"/>
      <c r="S2605" s="1420"/>
      <c r="T2605" s="1420"/>
      <c r="V2605" s="1357">
        <v>96</v>
      </c>
    </row>
    <row r="2606" spans="1:22" s="841" customFormat="1" ht="23.25" x14ac:dyDescent="0.25">
      <c r="A2606" s="841" t="s">
        <v>4874</v>
      </c>
      <c r="B2606" s="841" t="s">
        <v>5319</v>
      </c>
      <c r="E2606" s="1131" t="s">
        <v>3293</v>
      </c>
      <c r="F2606" s="1131"/>
      <c r="G2606" s="1150"/>
      <c r="H2606" s="1151"/>
      <c r="M2606" s="1357"/>
      <c r="Q2606" s="1357"/>
      <c r="S2606" s="1420"/>
      <c r="T2606" s="1420"/>
      <c r="V2606" s="1357">
        <v>77</v>
      </c>
    </row>
    <row r="2607" spans="1:22" s="841" customFormat="1" ht="15" x14ac:dyDescent="0.25">
      <c r="A2607" s="841" t="s">
        <v>4874</v>
      </c>
      <c r="B2607" s="841" t="s">
        <v>5319</v>
      </c>
      <c r="E2607" s="1152" t="s">
        <v>3188</v>
      </c>
      <c r="F2607" s="1152"/>
      <c r="G2607" s="1139" t="s">
        <v>23</v>
      </c>
      <c r="H2607" s="1153" t="s">
        <v>3189</v>
      </c>
      <c r="M2607" s="1357"/>
      <c r="Q2607" s="1357"/>
      <c r="S2607" s="1420"/>
      <c r="T2607" s="1420"/>
      <c r="V2607" s="1357">
        <v>18</v>
      </c>
    </row>
    <row r="2608" spans="1:22" s="841" customFormat="1" ht="23.25" x14ac:dyDescent="0.25">
      <c r="A2608" s="841" t="s">
        <v>4874</v>
      </c>
      <c r="B2608" s="841" t="s">
        <v>5319</v>
      </c>
      <c r="E2608" s="1152" t="s">
        <v>3190</v>
      </c>
      <c r="F2608" s="1152"/>
      <c r="G2608" s="1139" t="s">
        <v>23</v>
      </c>
      <c r="H2608" s="1140">
        <v>2</v>
      </c>
      <c r="M2608" s="1357"/>
      <c r="Q2608" s="1357"/>
      <c r="S2608" s="1420"/>
      <c r="T2608" s="1420"/>
      <c r="V2608" s="1357">
        <v>69</v>
      </c>
    </row>
    <row r="2609" spans="1:22" s="841" customFormat="1" ht="23.25" x14ac:dyDescent="0.25">
      <c r="A2609" s="841" t="s">
        <v>4874</v>
      </c>
      <c r="B2609" s="841" t="s">
        <v>5319</v>
      </c>
      <c r="E2609" s="1174" t="s">
        <v>147</v>
      </c>
      <c r="F2609" s="1174"/>
      <c r="G2609" s="1175"/>
      <c r="H2609" s="1130"/>
      <c r="K2609" s="841" t="s">
        <v>5281</v>
      </c>
      <c r="M2609" s="1357"/>
      <c r="Q2609" s="1357"/>
      <c r="S2609" s="1420"/>
      <c r="T2609" s="1420"/>
      <c r="V2609" s="1357">
        <v>12</v>
      </c>
    </row>
    <row r="2610" spans="1:22" s="841" customFormat="1" ht="15" x14ac:dyDescent="0.25">
      <c r="A2610" s="841" t="s">
        <v>4874</v>
      </c>
      <c r="B2610" s="841" t="s">
        <v>5319</v>
      </c>
      <c r="E2610" s="2000" t="s">
        <v>3192</v>
      </c>
      <c r="F2610" s="2000"/>
      <c r="G2610" s="2051"/>
      <c r="H2610" s="2051"/>
      <c r="M2610" s="1357"/>
      <c r="Q2610" s="1357"/>
      <c r="S2610" s="1420"/>
      <c r="T2610" s="1420"/>
      <c r="V2610" s="1357">
        <v>203</v>
      </c>
    </row>
    <row r="2611" spans="1:22" s="841" customFormat="1" ht="23.25" x14ac:dyDescent="0.25">
      <c r="A2611" s="841" t="s">
        <v>4874</v>
      </c>
      <c r="B2611" s="841" t="s">
        <v>5319</v>
      </c>
      <c r="E2611" s="1155" t="s">
        <v>3295</v>
      </c>
      <c r="F2611" s="1155"/>
      <c r="G2611" s="1180"/>
      <c r="H2611" s="514">
        <v>1.036</v>
      </c>
      <c r="M2611" s="1357"/>
      <c r="Q2611" s="1357"/>
      <c r="S2611" s="1420"/>
      <c r="T2611" s="1420"/>
      <c r="V2611" s="1357">
        <v>57</v>
      </c>
    </row>
    <row r="2612" spans="1:22" s="841" customFormat="1" ht="23.25" x14ac:dyDescent="0.25">
      <c r="A2612" s="841" t="s">
        <v>4874</v>
      </c>
      <c r="B2612" s="841" t="s">
        <v>5319</v>
      </c>
      <c r="E2612" s="1155" t="s">
        <v>3296</v>
      </c>
      <c r="F2612" s="1155"/>
      <c r="G2612" s="1180"/>
      <c r="H2612" s="514">
        <v>1.0145</v>
      </c>
      <c r="M2612" s="1357"/>
      <c r="Q2612" s="1357"/>
      <c r="S2612" s="1420"/>
      <c r="T2612" s="1420"/>
      <c r="V2612" s="1357">
        <v>57</v>
      </c>
    </row>
    <row r="2613" spans="1:22" s="841" customFormat="1" ht="23.25" x14ac:dyDescent="0.25">
      <c r="A2613" s="841" t="s">
        <v>4874</v>
      </c>
      <c r="B2613" s="841" t="s">
        <v>5319</v>
      </c>
      <c r="E2613" s="1155" t="s">
        <v>3297</v>
      </c>
      <c r="F2613" s="1155"/>
      <c r="G2613" s="1180"/>
      <c r="H2613" s="514">
        <v>1.0256000000000001</v>
      </c>
      <c r="M2613" s="1357"/>
      <c r="Q2613" s="1357"/>
      <c r="S2613" s="1420"/>
      <c r="T2613" s="1420"/>
      <c r="V2613" s="1357">
        <v>55</v>
      </c>
    </row>
    <row r="2614" spans="1:22" s="841" customFormat="1" ht="23.25" x14ac:dyDescent="0.25">
      <c r="A2614" s="841" t="s">
        <v>4874</v>
      </c>
      <c r="B2614" s="841" t="s">
        <v>5319</v>
      </c>
      <c r="E2614" s="1155" t="s">
        <v>3298</v>
      </c>
      <c r="F2614" s="1155"/>
      <c r="G2614" s="1181"/>
      <c r="H2614" s="1182">
        <v>1.0044999999999999</v>
      </c>
      <c r="J2614" s="841" t="s">
        <v>5376</v>
      </c>
      <c r="M2614" s="1357"/>
      <c r="Q2614" s="1357"/>
      <c r="S2614" s="1420"/>
      <c r="T2614" s="1420"/>
      <c r="V2614" s="1357">
        <v>55</v>
      </c>
    </row>
    <row r="2615" spans="1:22" s="841" customFormat="1" ht="23.25" x14ac:dyDescent="0.25">
      <c r="A2615" s="841" t="s">
        <v>425</v>
      </c>
      <c r="C2615" s="841" t="s">
        <v>3050</v>
      </c>
      <c r="E2615" s="1911" t="s">
        <v>425</v>
      </c>
      <c r="F2615" s="1911"/>
      <c r="G2615" s="1911"/>
      <c r="H2615" s="1911"/>
      <c r="I2615" s="841" t="s">
        <v>628</v>
      </c>
      <c r="J2615" s="841" t="s">
        <v>4384</v>
      </c>
      <c r="K2615" s="841" t="s">
        <v>425</v>
      </c>
      <c r="M2615" s="1357">
        <v>10</v>
      </c>
      <c r="Q2615" s="1357"/>
      <c r="S2615" s="1420"/>
      <c r="T2615" s="1420"/>
      <c r="V2615" s="1357">
        <v>24</v>
      </c>
    </row>
    <row r="2616" spans="1:22" s="841" customFormat="1" x14ac:dyDescent="0.25">
      <c r="A2616" s="841" t="s">
        <v>425</v>
      </c>
      <c r="C2616" s="841" t="s">
        <v>3052</v>
      </c>
      <c r="E2616" s="1912" t="s">
        <v>3053</v>
      </c>
      <c r="F2616" s="1912"/>
      <c r="G2616" s="1912"/>
      <c r="H2616" s="1912"/>
      <c r="M2616" s="1357"/>
      <c r="Q2616" s="1357"/>
      <c r="S2616" s="1420"/>
      <c r="T2616" s="1420"/>
      <c r="V2616" s="1357">
        <v>27</v>
      </c>
    </row>
    <row r="2617" spans="1:22" s="841" customFormat="1" ht="15.75" x14ac:dyDescent="0.25">
      <c r="A2617" s="841" t="s">
        <v>425</v>
      </c>
      <c r="C2617" s="841" t="s">
        <v>3054</v>
      </c>
      <c r="E2617" s="1701" t="s">
        <v>5107</v>
      </c>
      <c r="F2617" s="1701"/>
      <c r="G2617" s="1701"/>
      <c r="H2617" s="1701"/>
      <c r="M2617" s="1357"/>
      <c r="Q2617" s="1357"/>
      <c r="S2617" s="1420">
        <v>43221</v>
      </c>
      <c r="T2617" s="1420"/>
      <c r="V2617" s="1357">
        <v>45</v>
      </c>
    </row>
    <row r="2618" spans="1:22" s="841" customFormat="1" ht="15" x14ac:dyDescent="0.25">
      <c r="A2618" s="841" t="s">
        <v>425</v>
      </c>
      <c r="C2618" s="841" t="s">
        <v>3055</v>
      </c>
      <c r="E2618" s="2133" t="s">
        <v>3056</v>
      </c>
      <c r="F2618" s="2133"/>
      <c r="G2618" s="2133"/>
      <c r="H2618" s="2133"/>
      <c r="M2618" s="1357"/>
      <c r="Q2618" s="1357"/>
      <c r="S2618" s="1420"/>
      <c r="T2618" s="1420"/>
      <c r="V2618" s="1357">
        <v>52</v>
      </c>
    </row>
    <row r="2619" spans="1:22" s="841" customFormat="1" ht="15" x14ac:dyDescent="0.25">
      <c r="A2619" s="841" t="s">
        <v>425</v>
      </c>
      <c r="E2619" s="2133" t="s">
        <v>3057</v>
      </c>
      <c r="F2619" s="2133"/>
      <c r="G2619" s="2133"/>
      <c r="H2619" s="2133"/>
      <c r="M2619" s="1357"/>
      <c r="Q2619" s="1357"/>
      <c r="S2619" s="1420"/>
      <c r="T2619" s="1420"/>
      <c r="V2619" s="1357">
        <v>53</v>
      </c>
    </row>
    <row r="2620" spans="1:22" s="841" customFormat="1" ht="15" x14ac:dyDescent="0.25">
      <c r="A2620" s="841" t="s">
        <v>425</v>
      </c>
      <c r="E2620" s="1703" t="s">
        <v>5377</v>
      </c>
      <c r="F2620" s="1703"/>
      <c r="G2620" s="1703"/>
      <c r="H2620" s="1703"/>
      <c r="K2620" s="841" t="s">
        <v>5377</v>
      </c>
      <c r="M2620" s="1357"/>
      <c r="Q2620" s="1357"/>
      <c r="S2620" s="1420"/>
      <c r="T2620" s="1420"/>
      <c r="V2620" s="1357">
        <v>12</v>
      </c>
    </row>
    <row r="2621" spans="1:22" s="841" customFormat="1" ht="15" x14ac:dyDescent="0.25">
      <c r="A2621" s="841" t="s">
        <v>425</v>
      </c>
      <c r="E2621" s="1909" t="s">
        <v>438</v>
      </c>
      <c r="F2621" s="1689"/>
      <c r="G2621" s="1689"/>
      <c r="H2621" s="1689"/>
      <c r="K2621" s="841" t="s">
        <v>3197</v>
      </c>
      <c r="M2621" s="1357"/>
      <c r="Q2621" s="1357"/>
      <c r="S2621" s="1420"/>
      <c r="T2621" s="1420"/>
      <c r="V2621" s="1357">
        <v>34</v>
      </c>
    </row>
    <row r="2622" spans="1:22" s="841" customFormat="1" ht="15" x14ac:dyDescent="0.25">
      <c r="A2622" s="841" t="s">
        <v>425</v>
      </c>
      <c r="E2622" s="1689" t="s">
        <v>4385</v>
      </c>
      <c r="F2622" s="1689"/>
      <c r="G2622" s="1689"/>
      <c r="H2622" s="1689"/>
      <c r="K2622" s="841" t="s">
        <v>3197</v>
      </c>
      <c r="M2622" s="1357"/>
      <c r="Q2622" s="1357"/>
      <c r="S2622" s="1420"/>
      <c r="T2622" s="1420"/>
      <c r="V2622" s="1357">
        <v>95</v>
      </c>
    </row>
    <row r="2623" spans="1:22" s="841" customFormat="1" ht="15" x14ac:dyDescent="0.25">
      <c r="A2623" s="841" t="s">
        <v>425</v>
      </c>
      <c r="E2623" s="1689" t="s">
        <v>4386</v>
      </c>
      <c r="F2623" s="1689"/>
      <c r="G2623" s="1689"/>
      <c r="H2623" s="1689"/>
      <c r="K2623" s="841" t="s">
        <v>3197</v>
      </c>
      <c r="M2623" s="1357"/>
      <c r="Q2623" s="1357"/>
      <c r="S2623" s="1420"/>
      <c r="T2623" s="1420"/>
      <c r="V2623" s="1357">
        <v>96</v>
      </c>
    </row>
    <row r="2624" spans="1:22" s="841" customFormat="1" ht="15" x14ac:dyDescent="0.25">
      <c r="A2624" s="841" t="s">
        <v>425</v>
      </c>
      <c r="E2624" s="1689" t="s">
        <v>4387</v>
      </c>
      <c r="F2624" s="1689"/>
      <c r="G2624" s="1689"/>
      <c r="H2624" s="1689"/>
      <c r="K2624" s="841" t="s">
        <v>3197</v>
      </c>
      <c r="M2624" s="1357"/>
      <c r="Q2624" s="1357"/>
      <c r="S2624" s="1420"/>
      <c r="T2624" s="1420"/>
      <c r="V2624" s="1357">
        <v>87</v>
      </c>
    </row>
    <row r="2625" spans="1:22" s="841" customFormat="1" ht="15" x14ac:dyDescent="0.25">
      <c r="A2625" s="841" t="s">
        <v>425</v>
      </c>
      <c r="E2625" s="1689" t="s">
        <v>4388</v>
      </c>
      <c r="F2625" s="1689"/>
      <c r="G2625" s="1689"/>
      <c r="H2625" s="1689"/>
      <c r="K2625" s="841" t="s">
        <v>3197</v>
      </c>
      <c r="M2625" s="1357"/>
      <c r="Q2625" s="1357"/>
      <c r="S2625" s="1420"/>
      <c r="T2625" s="1420"/>
      <c r="V2625" s="1357">
        <v>211</v>
      </c>
    </row>
    <row r="2626" spans="1:22" s="841" customFormat="1" ht="15" x14ac:dyDescent="0.25">
      <c r="A2626" s="841" t="s">
        <v>425</v>
      </c>
      <c r="E2626" s="1689" t="s">
        <v>3680</v>
      </c>
      <c r="F2626" s="1689"/>
      <c r="G2626" s="1689"/>
      <c r="H2626" s="1689"/>
      <c r="K2626" s="841" t="s">
        <v>3197</v>
      </c>
      <c r="M2626" s="1357"/>
      <c r="Q2626" s="1357"/>
      <c r="S2626" s="1420"/>
      <c r="T2626" s="1420"/>
      <c r="V2626" s="1357">
        <v>148</v>
      </c>
    </row>
    <row r="2627" spans="1:22" s="841" customFormat="1" ht="15" x14ac:dyDescent="0.25">
      <c r="A2627" s="841" t="s">
        <v>425</v>
      </c>
      <c r="E2627" s="1916" t="s">
        <v>3061</v>
      </c>
      <c r="F2627" s="1689"/>
      <c r="G2627" s="1689"/>
      <c r="H2627" s="1689"/>
      <c r="K2627" s="841" t="s">
        <v>3062</v>
      </c>
      <c r="M2627" s="1357"/>
      <c r="Q2627" s="1357"/>
      <c r="S2627" s="1420"/>
      <c r="T2627" s="1420"/>
      <c r="V2627" s="1357">
        <v>11</v>
      </c>
    </row>
    <row r="2628" spans="1:22" s="841" customFormat="1" ht="15" x14ac:dyDescent="0.25">
      <c r="A2628" s="841" t="s">
        <v>425</v>
      </c>
      <c r="E2628" s="1689" t="s">
        <v>3063</v>
      </c>
      <c r="F2628" s="1689"/>
      <c r="G2628" s="1689"/>
      <c r="H2628" s="1689"/>
      <c r="K2628" s="841" t="s">
        <v>3197</v>
      </c>
      <c r="M2628" s="1357"/>
      <c r="Q2628" s="1357"/>
      <c r="S2628" s="1420"/>
      <c r="T2628" s="1420"/>
      <c r="V2628" s="1357">
        <v>280</v>
      </c>
    </row>
    <row r="2629" spans="1:22" s="841" customFormat="1" ht="15" x14ac:dyDescent="0.25">
      <c r="A2629" s="841" t="s">
        <v>425</v>
      </c>
      <c r="E2629" s="1689" t="s">
        <v>3064</v>
      </c>
      <c r="F2629" s="1689"/>
      <c r="G2629" s="1689"/>
      <c r="H2629" s="1689"/>
      <c r="K2629" s="841" t="s">
        <v>3197</v>
      </c>
      <c r="M2629" s="1357"/>
      <c r="Q2629" s="1357"/>
      <c r="S2629" s="1420"/>
      <c r="T2629" s="1420"/>
      <c r="V2629" s="1357">
        <v>411</v>
      </c>
    </row>
    <row r="2630" spans="1:22" s="841" customFormat="1" ht="15" x14ac:dyDescent="0.25">
      <c r="A2630" s="841" t="s">
        <v>425</v>
      </c>
      <c r="E2630" s="1689" t="s">
        <v>3199</v>
      </c>
      <c r="F2630" s="1689"/>
      <c r="G2630" s="1689"/>
      <c r="H2630" s="1689"/>
      <c r="K2630" s="841" t="s">
        <v>3197</v>
      </c>
      <c r="M2630" s="1357"/>
      <c r="Q2630" s="1357"/>
      <c r="S2630" s="1420"/>
      <c r="T2630" s="1420"/>
      <c r="V2630" s="1357">
        <v>386</v>
      </c>
    </row>
    <row r="2631" spans="1:22" s="841" customFormat="1" ht="15" x14ac:dyDescent="0.25">
      <c r="A2631" s="841" t="s">
        <v>425</v>
      </c>
      <c r="E2631" s="1689" t="s">
        <v>3066</v>
      </c>
      <c r="F2631" s="1689"/>
      <c r="G2631" s="1689"/>
      <c r="H2631" s="1689"/>
      <c r="K2631" s="841" t="s">
        <v>3197</v>
      </c>
      <c r="M2631" s="1357"/>
      <c r="Q2631" s="1357"/>
      <c r="S2631" s="1420"/>
      <c r="T2631" s="1420"/>
      <c r="V2631" s="1357">
        <v>275</v>
      </c>
    </row>
    <row r="2632" spans="1:22" s="841" customFormat="1" ht="15" x14ac:dyDescent="0.25">
      <c r="A2632" s="841" t="s">
        <v>425</v>
      </c>
      <c r="E2632" s="1694" t="s">
        <v>3067</v>
      </c>
      <c r="F2632" s="1907"/>
      <c r="G2632" s="1907"/>
      <c r="H2632" s="1907"/>
      <c r="K2632" s="841" t="s">
        <v>3068</v>
      </c>
      <c r="M2632" s="1357"/>
      <c r="Q2632" s="1357"/>
      <c r="S2632" s="1420"/>
      <c r="T2632" s="1420"/>
      <c r="V2632" s="1357">
        <v>46</v>
      </c>
    </row>
    <row r="2633" spans="1:22" s="841" customFormat="1" ht="15" x14ac:dyDescent="0.25">
      <c r="A2633" s="841" t="s">
        <v>425</v>
      </c>
      <c r="E2633" s="1690" t="s">
        <v>11</v>
      </c>
      <c r="F2633" s="1690"/>
      <c r="G2633" s="1365" t="s">
        <v>23</v>
      </c>
      <c r="H2633" s="391">
        <v>22.9</v>
      </c>
      <c r="K2633" s="841" t="s">
        <v>3197</v>
      </c>
      <c r="L2633" s="841" t="s">
        <v>442</v>
      </c>
      <c r="M2633" s="1357"/>
      <c r="P2633" s="841" t="s">
        <v>3201</v>
      </c>
      <c r="Q2633" s="1357"/>
      <c r="S2633" s="1420"/>
      <c r="T2633" s="1420"/>
      <c r="V2633" s="1357">
        <v>14</v>
      </c>
    </row>
    <row r="2634" spans="1:22" s="841" customFormat="1" ht="15" x14ac:dyDescent="0.25">
      <c r="A2634" s="841" t="s">
        <v>425</v>
      </c>
      <c r="E2634" s="1690" t="s">
        <v>5109</v>
      </c>
      <c r="F2634" s="1690"/>
      <c r="G2634" s="1365" t="s">
        <v>23</v>
      </c>
      <c r="H2634" s="733">
        <v>0.56999999999999995</v>
      </c>
      <c r="K2634" s="841" t="s">
        <v>3197</v>
      </c>
      <c r="L2634" s="841" t="s">
        <v>443</v>
      </c>
      <c r="M2634" s="1357"/>
      <c r="P2634" s="841" t="s">
        <v>3202</v>
      </c>
      <c r="Q2634" s="1357"/>
      <c r="S2634" s="1420"/>
      <c r="T2634" s="1420">
        <v>44926</v>
      </c>
      <c r="V2634" s="1357">
        <v>64</v>
      </c>
    </row>
    <row r="2635" spans="1:22" s="841" customFormat="1" ht="15" x14ac:dyDescent="0.25">
      <c r="A2635" s="841" t="s">
        <v>425</v>
      </c>
      <c r="E2635" s="1690" t="s">
        <v>84</v>
      </c>
      <c r="F2635" s="1690"/>
      <c r="G2635" s="1365" t="s">
        <v>24</v>
      </c>
      <c r="H2635" s="393">
        <v>2.5999999999999999E-3</v>
      </c>
      <c r="K2635" s="841" t="s">
        <v>3197</v>
      </c>
      <c r="L2635" s="841" t="s">
        <v>442</v>
      </c>
      <c r="M2635" s="1357"/>
      <c r="P2635" s="841" t="s">
        <v>3203</v>
      </c>
      <c r="Q2635" s="1357"/>
      <c r="S2635" s="1420"/>
      <c r="T2635" s="1420"/>
      <c r="V2635" s="1357">
        <v>28</v>
      </c>
    </row>
    <row r="2636" spans="1:22" s="841" customFormat="1" ht="15" x14ac:dyDescent="0.25">
      <c r="A2636" s="841" t="s">
        <v>425</v>
      </c>
      <c r="E2636" s="1690" t="s">
        <v>18</v>
      </c>
      <c r="F2636" s="1690"/>
      <c r="G2636" s="1365" t="s">
        <v>24</v>
      </c>
      <c r="H2636" s="732">
        <v>1.6999999999999999E-3</v>
      </c>
      <c r="K2636" s="841" t="s">
        <v>3197</v>
      </c>
      <c r="L2636" s="841" t="s">
        <v>443</v>
      </c>
      <c r="M2636" s="1357"/>
      <c r="P2636" s="841" t="s">
        <v>3204</v>
      </c>
      <c r="Q2636" s="1357"/>
      <c r="S2636" s="1420"/>
      <c r="T2636" s="1420"/>
      <c r="V2636" s="1357">
        <v>24</v>
      </c>
    </row>
    <row r="2637" spans="1:22" s="841" customFormat="1" ht="15" x14ac:dyDescent="0.25">
      <c r="A2637" s="841" t="s">
        <v>425</v>
      </c>
      <c r="E2637" s="1904" t="s">
        <v>5129</v>
      </c>
      <c r="F2637" s="1962"/>
      <c r="G2637" s="1365" t="s">
        <v>24</v>
      </c>
      <c r="H2637" s="732">
        <v>2.0999999999999999E-3</v>
      </c>
      <c r="K2637" s="841" t="s">
        <v>3197</v>
      </c>
      <c r="L2637" s="841" t="s">
        <v>443</v>
      </c>
      <c r="M2637" s="1357"/>
      <c r="P2637" s="841" t="s">
        <v>3205</v>
      </c>
      <c r="Q2637" s="1357"/>
      <c r="S2637" s="1420"/>
      <c r="T2637" s="1420">
        <v>43585</v>
      </c>
      <c r="V2637" s="1357">
        <v>139</v>
      </c>
    </row>
    <row r="2638" spans="1:22" s="841" customFormat="1" ht="15" x14ac:dyDescent="0.25">
      <c r="A2638" s="841" t="s">
        <v>425</v>
      </c>
      <c r="E2638" s="1690" t="s">
        <v>5130</v>
      </c>
      <c r="F2638" s="1908"/>
      <c r="G2638" s="1365" t="s">
        <v>24</v>
      </c>
      <c r="H2638" s="732">
        <v>4.0000000000000002E-4</v>
      </c>
      <c r="K2638" s="841" t="s">
        <v>3197</v>
      </c>
      <c r="L2638" s="841" t="s">
        <v>443</v>
      </c>
      <c r="M2638" s="1357"/>
      <c r="P2638" s="841" t="s">
        <v>3207</v>
      </c>
      <c r="Q2638" s="1357"/>
      <c r="S2638" s="1420"/>
      <c r="T2638" s="1420">
        <v>43585</v>
      </c>
      <c r="V2638" s="1357">
        <v>96</v>
      </c>
    </row>
    <row r="2639" spans="1:22" s="841" customFormat="1" ht="15" x14ac:dyDescent="0.25">
      <c r="A2639" s="841" t="s">
        <v>425</v>
      </c>
      <c r="E2639" s="1690" t="s">
        <v>221</v>
      </c>
      <c r="F2639" s="1690"/>
      <c r="G2639" s="1365" t="s">
        <v>24</v>
      </c>
      <c r="H2639" s="393">
        <v>6.7999999999999996E-3</v>
      </c>
      <c r="K2639" s="841" t="s">
        <v>3197</v>
      </c>
      <c r="L2639" s="841" t="s">
        <v>444</v>
      </c>
      <c r="M2639" s="1357"/>
      <c r="P2639" s="841" t="s">
        <v>3208</v>
      </c>
      <c r="Q2639" s="1357"/>
      <c r="S2639" s="1420"/>
      <c r="T2639" s="1420"/>
      <c r="V2639" s="1357">
        <v>47</v>
      </c>
    </row>
    <row r="2640" spans="1:22" s="841" customFormat="1" ht="15" x14ac:dyDescent="0.25">
      <c r="A2640" s="841" t="s">
        <v>425</v>
      </c>
      <c r="E2640" s="1690" t="s">
        <v>217</v>
      </c>
      <c r="F2640" s="1690"/>
      <c r="G2640" s="1365" t="s">
        <v>24</v>
      </c>
      <c r="H2640" s="393">
        <v>5.7999999999999996E-3</v>
      </c>
      <c r="K2640" s="841" t="s">
        <v>3197</v>
      </c>
      <c r="L2640" s="841" t="s">
        <v>444</v>
      </c>
      <c r="M2640" s="1357"/>
      <c r="P2640" s="841" t="s">
        <v>3209</v>
      </c>
      <c r="Q2640" s="1357"/>
      <c r="S2640" s="1420"/>
      <c r="T2640" s="1420"/>
      <c r="V2640" s="1357">
        <v>74</v>
      </c>
    </row>
    <row r="2641" spans="1:22" s="841" customFormat="1" ht="15" x14ac:dyDescent="0.25">
      <c r="A2641" s="841" t="s">
        <v>425</v>
      </c>
      <c r="E2641" s="1694" t="s">
        <v>3079</v>
      </c>
      <c r="F2641" s="1690"/>
      <c r="G2641" s="1690"/>
      <c r="H2641" s="1690"/>
      <c r="K2641" s="841" t="s">
        <v>3080</v>
      </c>
      <c r="M2641" s="1357"/>
      <c r="Q2641" s="1357"/>
      <c r="S2641" s="1420"/>
      <c r="T2641" s="1420"/>
      <c r="V2641" s="1357">
        <v>48</v>
      </c>
    </row>
    <row r="2642" spans="1:22" s="841" customFormat="1" ht="15" x14ac:dyDescent="0.25">
      <c r="A2642" s="841" t="s">
        <v>425</v>
      </c>
      <c r="E2642" s="1690" t="s">
        <v>2449</v>
      </c>
      <c r="F2642" s="1690"/>
      <c r="G2642" s="1365" t="s">
        <v>24</v>
      </c>
      <c r="H2642" s="732">
        <v>3.2000000000000002E-3</v>
      </c>
      <c r="K2642" s="841" t="s">
        <v>3197</v>
      </c>
      <c r="L2642" s="841" t="s">
        <v>3046</v>
      </c>
      <c r="M2642" s="1357"/>
      <c r="P2642" s="841" t="s">
        <v>3210</v>
      </c>
      <c r="Q2642" s="1357"/>
      <c r="S2642" s="1420"/>
      <c r="T2642" s="1420"/>
      <c r="V2642" s="1357">
        <v>55</v>
      </c>
    </row>
    <row r="2643" spans="1:22" s="841" customFormat="1" ht="15" x14ac:dyDescent="0.25">
      <c r="A2643" s="841" t="s">
        <v>425</v>
      </c>
      <c r="E2643" s="1690" t="s">
        <v>2450</v>
      </c>
      <c r="F2643" s="1690"/>
      <c r="G2643" s="1365" t="s">
        <v>24</v>
      </c>
      <c r="H2643" s="732">
        <v>4.0000000000000002E-4</v>
      </c>
      <c r="K2643" s="841" t="s">
        <v>3197</v>
      </c>
      <c r="L2643" s="841" t="s">
        <v>3046</v>
      </c>
      <c r="M2643" s="1357"/>
      <c r="P2643" s="841" t="s">
        <v>3210</v>
      </c>
      <c r="Q2643" s="1357"/>
      <c r="S2643" s="1420"/>
      <c r="T2643" s="1420"/>
      <c r="V2643" s="1357">
        <v>65</v>
      </c>
    </row>
    <row r="2644" spans="1:22" s="841" customFormat="1" ht="15" x14ac:dyDescent="0.25">
      <c r="A2644" s="841" t="s">
        <v>425</v>
      </c>
      <c r="E2644" s="1690" t="s">
        <v>439</v>
      </c>
      <c r="F2644" s="1690"/>
      <c r="G2644" s="1365" t="s">
        <v>24</v>
      </c>
      <c r="H2644" s="732">
        <v>2.9999999999999997E-4</v>
      </c>
      <c r="K2644" s="841" t="s">
        <v>3197</v>
      </c>
      <c r="L2644" s="841" t="s">
        <v>3046</v>
      </c>
      <c r="M2644" s="1357"/>
      <c r="P2644" s="841" t="s">
        <v>3212</v>
      </c>
      <c r="Q2644" s="1357"/>
      <c r="S2644" s="1420"/>
      <c r="T2644" s="1420"/>
      <c r="V2644" s="1357">
        <v>57</v>
      </c>
    </row>
    <row r="2645" spans="1:22" s="841" customFormat="1" ht="15" x14ac:dyDescent="0.25">
      <c r="A2645" s="841" t="s">
        <v>425</v>
      </c>
      <c r="E2645" s="1690" t="s">
        <v>32</v>
      </c>
      <c r="F2645" s="1690"/>
      <c r="G2645" s="1365" t="s">
        <v>23</v>
      </c>
      <c r="H2645" s="733">
        <v>0.25</v>
      </c>
      <c r="K2645" s="841" t="s">
        <v>3197</v>
      </c>
      <c r="L2645" s="841" t="s">
        <v>3046</v>
      </c>
      <c r="M2645" s="1357"/>
      <c r="P2645" s="841" t="s">
        <v>3213</v>
      </c>
      <c r="Q2645" s="1357"/>
      <c r="S2645" s="1420"/>
      <c r="T2645" s="1420"/>
      <c r="V2645" s="1357">
        <v>63</v>
      </c>
    </row>
    <row r="2646" spans="1:22" s="841" customFormat="1" x14ac:dyDescent="0.25">
      <c r="A2646" s="841" t="s">
        <v>425</v>
      </c>
      <c r="E2646" s="1909" t="s">
        <v>3214</v>
      </c>
      <c r="F2646" s="1923"/>
      <c r="G2646" s="1923"/>
      <c r="H2646" s="1923"/>
      <c r="K2646" s="841" t="s">
        <v>5110</v>
      </c>
      <c r="M2646" s="1357"/>
      <c r="Q2646" s="1357"/>
      <c r="S2646" s="1420"/>
      <c r="T2646" s="1420"/>
      <c r="V2646" s="1357">
        <v>54</v>
      </c>
    </row>
    <row r="2647" spans="1:22" s="841" customFormat="1" ht="15" x14ac:dyDescent="0.25">
      <c r="A2647" s="841" t="s">
        <v>425</v>
      </c>
      <c r="E2647" s="1689" t="s">
        <v>4389</v>
      </c>
      <c r="F2647" s="1689"/>
      <c r="G2647" s="1689"/>
      <c r="H2647" s="1689"/>
      <c r="K2647" s="841" t="s">
        <v>5110</v>
      </c>
      <c r="M2647" s="1357"/>
      <c r="Q2647" s="1357"/>
      <c r="S2647" s="1420"/>
      <c r="T2647" s="1420"/>
      <c r="V2647" s="1357">
        <v>529</v>
      </c>
    </row>
    <row r="2648" spans="1:22" s="841" customFormat="1" ht="15" x14ac:dyDescent="0.25">
      <c r="A2648" s="841" t="s">
        <v>425</v>
      </c>
      <c r="E2648" s="1916" t="s">
        <v>3061</v>
      </c>
      <c r="F2648" s="1689"/>
      <c r="G2648" s="1689"/>
      <c r="H2648" s="1689"/>
      <c r="K2648" s="841" t="s">
        <v>3086</v>
      </c>
      <c r="M2648" s="1357"/>
      <c r="Q2648" s="1357"/>
      <c r="S2648" s="1420"/>
      <c r="T2648" s="1420"/>
      <c r="V2648" s="1357">
        <v>11</v>
      </c>
    </row>
    <row r="2649" spans="1:22" s="841" customFormat="1" ht="15" x14ac:dyDescent="0.25">
      <c r="A2649" s="841" t="s">
        <v>425</v>
      </c>
      <c r="E2649" s="1689" t="s">
        <v>3063</v>
      </c>
      <c r="F2649" s="1689"/>
      <c r="G2649" s="1689"/>
      <c r="H2649" s="1689"/>
      <c r="K2649" s="841" t="s">
        <v>5110</v>
      </c>
      <c r="M2649" s="1357"/>
      <c r="Q2649" s="1357"/>
      <c r="S2649" s="1420"/>
      <c r="T2649" s="1420"/>
      <c r="V2649" s="1357">
        <v>280</v>
      </c>
    </row>
    <row r="2650" spans="1:22" s="841" customFormat="1" ht="15" x14ac:dyDescent="0.25">
      <c r="A2650" s="841" t="s">
        <v>425</v>
      </c>
      <c r="E2650" s="1689" t="s">
        <v>3064</v>
      </c>
      <c r="F2650" s="1689"/>
      <c r="G2650" s="1689"/>
      <c r="H2650" s="1689"/>
      <c r="K2650" s="841" t="s">
        <v>5110</v>
      </c>
      <c r="M2650" s="1357"/>
      <c r="Q2650" s="1357"/>
      <c r="S2650" s="1420"/>
      <c r="T2650" s="1420"/>
      <c r="V2650" s="1357">
        <v>411</v>
      </c>
    </row>
    <row r="2651" spans="1:22" s="841" customFormat="1" ht="15" x14ac:dyDescent="0.25">
      <c r="A2651" s="841" t="s">
        <v>425</v>
      </c>
      <c r="E2651" s="1689" t="s">
        <v>3199</v>
      </c>
      <c r="F2651" s="1689"/>
      <c r="G2651" s="1689"/>
      <c r="H2651" s="1689"/>
      <c r="K2651" s="841" t="s">
        <v>5110</v>
      </c>
      <c r="M2651" s="1357"/>
      <c r="Q2651" s="1357"/>
      <c r="S2651" s="1420"/>
      <c r="T2651" s="1420"/>
      <c r="V2651" s="1357">
        <v>386</v>
      </c>
    </row>
    <row r="2652" spans="1:22" s="841" customFormat="1" ht="15" x14ac:dyDescent="0.25">
      <c r="A2652" s="841" t="s">
        <v>425</v>
      </c>
      <c r="E2652" s="1689" t="s">
        <v>3066</v>
      </c>
      <c r="F2652" s="1689"/>
      <c r="G2652" s="1689"/>
      <c r="H2652" s="1689"/>
      <c r="K2652" s="841" t="s">
        <v>5110</v>
      </c>
      <c r="M2652" s="1357"/>
      <c r="Q2652" s="1357"/>
      <c r="S2652" s="1420"/>
      <c r="T2652" s="1420"/>
      <c r="V2652" s="1357">
        <v>275</v>
      </c>
    </row>
    <row r="2653" spans="1:22" s="841" customFormat="1" ht="15" x14ac:dyDescent="0.25">
      <c r="A2653" s="841" t="s">
        <v>425</v>
      </c>
      <c r="E2653" s="1694" t="s">
        <v>3067</v>
      </c>
      <c r="F2653" s="1907"/>
      <c r="G2653" s="1907"/>
      <c r="H2653" s="1907"/>
      <c r="K2653" s="841" t="s">
        <v>3087</v>
      </c>
      <c r="M2653" s="1357"/>
      <c r="Q2653" s="1357"/>
      <c r="S2653" s="1420"/>
      <c r="T2653" s="1420"/>
      <c r="V2653" s="1357">
        <v>46</v>
      </c>
    </row>
    <row r="2654" spans="1:22" s="841" customFormat="1" ht="15" x14ac:dyDescent="0.25">
      <c r="A2654" s="841" t="s">
        <v>425</v>
      </c>
      <c r="E2654" s="1690" t="s">
        <v>11</v>
      </c>
      <c r="F2654" s="1690"/>
      <c r="G2654" s="1365" t="s">
        <v>23</v>
      </c>
      <c r="H2654" s="391">
        <v>30.84</v>
      </c>
      <c r="K2654" s="841" t="s">
        <v>5110</v>
      </c>
      <c r="L2654" s="841" t="s">
        <v>442</v>
      </c>
      <c r="M2654" s="1357"/>
      <c r="P2654" s="841" t="s">
        <v>5111</v>
      </c>
      <c r="Q2654" s="1357"/>
      <c r="S2654" s="1420"/>
      <c r="T2654" s="1420"/>
      <c r="V2654" s="1357">
        <v>14</v>
      </c>
    </row>
    <row r="2655" spans="1:22" s="841" customFormat="1" ht="15" x14ac:dyDescent="0.25">
      <c r="A2655" s="841" t="s">
        <v>425</v>
      </c>
      <c r="E2655" s="1690" t="s">
        <v>5109</v>
      </c>
      <c r="F2655" s="1690"/>
      <c r="G2655" s="1365" t="s">
        <v>23</v>
      </c>
      <c r="H2655" s="733">
        <v>0.56999999999999995</v>
      </c>
      <c r="K2655" s="841" t="s">
        <v>5110</v>
      </c>
      <c r="L2655" s="841" t="s">
        <v>443</v>
      </c>
      <c r="M2655" s="1357"/>
      <c r="P2655" s="841" t="s">
        <v>5112</v>
      </c>
      <c r="Q2655" s="1357"/>
      <c r="S2655" s="1420"/>
      <c r="T2655" s="1420">
        <v>44926</v>
      </c>
      <c r="V2655" s="1357">
        <v>64</v>
      </c>
    </row>
    <row r="2656" spans="1:22" s="841" customFormat="1" ht="15" x14ac:dyDescent="0.25">
      <c r="A2656" s="841" t="s">
        <v>425</v>
      </c>
      <c r="E2656" s="1690" t="s">
        <v>84</v>
      </c>
      <c r="F2656" s="1690"/>
      <c r="G2656" s="1365" t="s">
        <v>24</v>
      </c>
      <c r="H2656" s="393">
        <v>1.0200000000000001E-2</v>
      </c>
      <c r="K2656" s="841" t="s">
        <v>5110</v>
      </c>
      <c r="L2656" s="841" t="s">
        <v>442</v>
      </c>
      <c r="M2656" s="1357"/>
      <c r="P2656" s="841" t="s">
        <v>5113</v>
      </c>
      <c r="Q2656" s="1357"/>
      <c r="S2656" s="1420"/>
      <c r="T2656" s="1420"/>
      <c r="V2656" s="1357">
        <v>28</v>
      </c>
    </row>
    <row r="2657" spans="1:22" s="841" customFormat="1" ht="15" x14ac:dyDescent="0.25">
      <c r="A2657" s="841" t="s">
        <v>425</v>
      </c>
      <c r="E2657" s="1690" t="s">
        <v>18</v>
      </c>
      <c r="F2657" s="1690"/>
      <c r="G2657" s="1365" t="s">
        <v>24</v>
      </c>
      <c r="H2657" s="732">
        <v>1.5E-3</v>
      </c>
      <c r="K2657" s="841" t="s">
        <v>5110</v>
      </c>
      <c r="L2657" s="841" t="s">
        <v>443</v>
      </c>
      <c r="M2657" s="1357"/>
      <c r="P2657" s="841" t="s">
        <v>5114</v>
      </c>
      <c r="Q2657" s="1357"/>
      <c r="S2657" s="1420"/>
      <c r="T2657" s="1420"/>
      <c r="V2657" s="1357">
        <v>24</v>
      </c>
    </row>
    <row r="2658" spans="1:22" s="841" customFormat="1" ht="15" x14ac:dyDescent="0.25">
      <c r="A2658" s="841" t="s">
        <v>425</v>
      </c>
      <c r="E2658" s="1904" t="s">
        <v>5129</v>
      </c>
      <c r="F2658" s="1962"/>
      <c r="G2658" s="1365" t="s">
        <v>24</v>
      </c>
      <c r="H2658" s="732">
        <v>2.0999999999999999E-3</v>
      </c>
      <c r="K2658" s="841" t="s">
        <v>5110</v>
      </c>
      <c r="L2658" s="841" t="s">
        <v>443</v>
      </c>
      <c r="M2658" s="1357"/>
      <c r="P2658" s="841" t="s">
        <v>4818</v>
      </c>
      <c r="Q2658" s="1357"/>
      <c r="S2658" s="1420"/>
      <c r="T2658" s="1420">
        <v>43585</v>
      </c>
      <c r="V2658" s="1357">
        <v>139</v>
      </c>
    </row>
    <row r="2659" spans="1:22" s="841" customFormat="1" ht="15" x14ac:dyDescent="0.25">
      <c r="A2659" s="841" t="s">
        <v>425</v>
      </c>
      <c r="E2659" s="1690" t="s">
        <v>5130</v>
      </c>
      <c r="F2659" s="1908"/>
      <c r="G2659" s="1365" t="s">
        <v>24</v>
      </c>
      <c r="H2659" s="732">
        <v>4.0000000000000002E-4</v>
      </c>
      <c r="K2659" s="841" t="s">
        <v>5110</v>
      </c>
      <c r="L2659" s="841" t="s">
        <v>443</v>
      </c>
      <c r="M2659" s="1357"/>
      <c r="P2659" s="841" t="s">
        <v>5124</v>
      </c>
      <c r="Q2659" s="1357"/>
      <c r="S2659" s="1420"/>
      <c r="T2659" s="1420">
        <v>43585</v>
      </c>
      <c r="V2659" s="1357">
        <v>96</v>
      </c>
    </row>
    <row r="2660" spans="1:22" s="841" customFormat="1" ht="15" x14ac:dyDescent="0.25">
      <c r="A2660" s="841" t="s">
        <v>425</v>
      </c>
      <c r="E2660" s="1690" t="s">
        <v>221</v>
      </c>
      <c r="F2660" s="1690"/>
      <c r="G2660" s="1365" t="s">
        <v>24</v>
      </c>
      <c r="H2660" s="393">
        <v>5.8999999999999999E-3</v>
      </c>
      <c r="K2660" s="841" t="s">
        <v>5110</v>
      </c>
      <c r="L2660" s="841" t="s">
        <v>444</v>
      </c>
      <c r="M2660" s="1357"/>
      <c r="P2660" s="841" t="s">
        <v>5115</v>
      </c>
      <c r="Q2660" s="1357"/>
      <c r="S2660" s="1420"/>
      <c r="T2660" s="1420"/>
      <c r="V2660" s="1357">
        <v>47</v>
      </c>
    </row>
    <row r="2661" spans="1:22" s="841" customFormat="1" ht="15" x14ac:dyDescent="0.25">
      <c r="A2661" s="841" t="s">
        <v>425</v>
      </c>
      <c r="E2661" s="1690" t="s">
        <v>217</v>
      </c>
      <c r="F2661" s="1690"/>
      <c r="G2661" s="1365" t="s">
        <v>24</v>
      </c>
      <c r="H2661" s="393">
        <v>5.1000000000000004E-3</v>
      </c>
      <c r="K2661" s="841" t="s">
        <v>5110</v>
      </c>
      <c r="L2661" s="841" t="s">
        <v>444</v>
      </c>
      <c r="M2661" s="1357"/>
      <c r="P2661" s="841" t="s">
        <v>5116</v>
      </c>
      <c r="Q2661" s="1357"/>
      <c r="S2661" s="1420"/>
      <c r="T2661" s="1420"/>
      <c r="V2661" s="1357">
        <v>74</v>
      </c>
    </row>
    <row r="2662" spans="1:22" s="841" customFormat="1" ht="15" x14ac:dyDescent="0.25">
      <c r="A2662" s="841" t="s">
        <v>425</v>
      </c>
      <c r="E2662" s="1694" t="s">
        <v>3079</v>
      </c>
      <c r="F2662" s="1690"/>
      <c r="G2662" s="1690"/>
      <c r="H2662" s="1690"/>
      <c r="K2662" s="841" t="s">
        <v>3093</v>
      </c>
      <c r="M2662" s="1357"/>
      <c r="Q2662" s="1357"/>
      <c r="S2662" s="1420"/>
      <c r="T2662" s="1420"/>
      <c r="V2662" s="1357">
        <v>48</v>
      </c>
    </row>
    <row r="2663" spans="1:22" s="841" customFormat="1" ht="15" x14ac:dyDescent="0.25">
      <c r="A2663" s="841" t="s">
        <v>425</v>
      </c>
      <c r="E2663" s="1690" t="s">
        <v>2449</v>
      </c>
      <c r="F2663" s="1690"/>
      <c r="G2663" s="1365" t="s">
        <v>24</v>
      </c>
      <c r="H2663" s="732">
        <v>3.2000000000000002E-3</v>
      </c>
      <c r="K2663" s="841" t="s">
        <v>5110</v>
      </c>
      <c r="L2663" s="841" t="s">
        <v>3046</v>
      </c>
      <c r="M2663" s="1357"/>
      <c r="P2663" s="841" t="s">
        <v>5117</v>
      </c>
      <c r="Q2663" s="1357"/>
      <c r="S2663" s="1420"/>
      <c r="T2663" s="1420"/>
      <c r="V2663" s="1357">
        <v>55</v>
      </c>
    </row>
    <row r="2664" spans="1:22" s="841" customFormat="1" ht="15" x14ac:dyDescent="0.25">
      <c r="A2664" s="841" t="s">
        <v>425</v>
      </c>
      <c r="E2664" s="1690" t="s">
        <v>2450</v>
      </c>
      <c r="F2664" s="1690"/>
      <c r="G2664" s="1365" t="s">
        <v>24</v>
      </c>
      <c r="H2664" s="732">
        <v>4.0000000000000002E-4</v>
      </c>
      <c r="K2664" s="841" t="s">
        <v>5110</v>
      </c>
      <c r="L2664" s="841" t="s">
        <v>3046</v>
      </c>
      <c r="M2664" s="1357"/>
      <c r="P2664" s="841" t="s">
        <v>5117</v>
      </c>
      <c r="Q2664" s="1357"/>
      <c r="S2664" s="1420"/>
      <c r="T2664" s="1420"/>
      <c r="V2664" s="1357">
        <v>65</v>
      </c>
    </row>
    <row r="2665" spans="1:22" s="841" customFormat="1" ht="15" x14ac:dyDescent="0.25">
      <c r="A2665" s="841" t="s">
        <v>425</v>
      </c>
      <c r="E2665" s="1690" t="s">
        <v>439</v>
      </c>
      <c r="F2665" s="1690"/>
      <c r="G2665" s="1365" t="s">
        <v>24</v>
      </c>
      <c r="H2665" s="732">
        <v>2.9999999999999997E-4</v>
      </c>
      <c r="K2665" s="841" t="s">
        <v>5110</v>
      </c>
      <c r="L2665" s="841" t="s">
        <v>3046</v>
      </c>
      <c r="M2665" s="1357"/>
      <c r="P2665" s="841" t="s">
        <v>5118</v>
      </c>
      <c r="Q2665" s="1357"/>
      <c r="S2665" s="1420"/>
      <c r="T2665" s="1420"/>
      <c r="V2665" s="1357">
        <v>57</v>
      </c>
    </row>
    <row r="2666" spans="1:22" s="841" customFormat="1" ht="15" x14ac:dyDescent="0.25">
      <c r="A2666" s="841" t="s">
        <v>425</v>
      </c>
      <c r="E2666" s="1690" t="s">
        <v>32</v>
      </c>
      <c r="F2666" s="1690"/>
      <c r="G2666" s="1365" t="s">
        <v>23</v>
      </c>
      <c r="H2666" s="733">
        <v>0.25</v>
      </c>
      <c r="K2666" s="841" t="s">
        <v>5110</v>
      </c>
      <c r="L2666" s="841" t="s">
        <v>3046</v>
      </c>
      <c r="M2666" s="1357"/>
      <c r="P2666" s="841" t="s">
        <v>5119</v>
      </c>
      <c r="Q2666" s="1357"/>
      <c r="S2666" s="1420"/>
      <c r="T2666" s="1420"/>
      <c r="V2666" s="1357">
        <v>63</v>
      </c>
    </row>
    <row r="2667" spans="1:22" s="841" customFormat="1" x14ac:dyDescent="0.25">
      <c r="A2667" s="841" t="s">
        <v>425</v>
      </c>
      <c r="E2667" s="1909" t="s">
        <v>616</v>
      </c>
      <c r="F2667" s="1923"/>
      <c r="G2667" s="1923"/>
      <c r="H2667" s="1923"/>
      <c r="K2667" s="841" t="s">
        <v>6095</v>
      </c>
      <c r="M2667" s="1357"/>
      <c r="Q2667" s="1357"/>
      <c r="S2667" s="1420"/>
      <c r="T2667" s="1420"/>
      <c r="V2667" s="1357">
        <v>53</v>
      </c>
    </row>
    <row r="2668" spans="1:22" s="841" customFormat="1" ht="15" x14ac:dyDescent="0.25">
      <c r="A2668" s="841" t="s">
        <v>425</v>
      </c>
      <c r="E2668" s="1689" t="s">
        <v>4390</v>
      </c>
      <c r="F2668" s="1689"/>
      <c r="G2668" s="1689"/>
      <c r="H2668" s="1689"/>
      <c r="K2668" s="841" t="s">
        <v>6095</v>
      </c>
      <c r="M2668" s="1357"/>
      <c r="Q2668" s="1357"/>
      <c r="S2668" s="1420"/>
      <c r="T2668" s="1420"/>
      <c r="V2668" s="1357">
        <v>403</v>
      </c>
    </row>
    <row r="2669" spans="1:22" s="841" customFormat="1" ht="15" x14ac:dyDescent="0.25">
      <c r="A2669" s="841" t="s">
        <v>425</v>
      </c>
      <c r="E2669" s="1916" t="s">
        <v>3061</v>
      </c>
      <c r="F2669" s="1689"/>
      <c r="G2669" s="1689"/>
      <c r="H2669" s="1689"/>
      <c r="K2669" s="841" t="s">
        <v>3098</v>
      </c>
      <c r="M2669" s="1357"/>
      <c r="Q2669" s="1357"/>
      <c r="S2669" s="1420"/>
      <c r="T2669" s="1420"/>
      <c r="V2669" s="1357">
        <v>11</v>
      </c>
    </row>
    <row r="2670" spans="1:22" s="841" customFormat="1" ht="15" x14ac:dyDescent="0.25">
      <c r="A2670" s="841" t="s">
        <v>425</v>
      </c>
      <c r="E2670" s="1689" t="s">
        <v>3063</v>
      </c>
      <c r="F2670" s="1689"/>
      <c r="G2670" s="1689"/>
      <c r="H2670" s="1689"/>
      <c r="K2670" s="841" t="s">
        <v>6095</v>
      </c>
      <c r="M2670" s="1357"/>
      <c r="Q2670" s="1357"/>
      <c r="S2670" s="1420"/>
      <c r="T2670" s="1420"/>
      <c r="V2670" s="1357">
        <v>280</v>
      </c>
    </row>
    <row r="2671" spans="1:22" s="841" customFormat="1" ht="15" x14ac:dyDescent="0.25">
      <c r="A2671" s="841" t="s">
        <v>425</v>
      </c>
      <c r="E2671" s="1689" t="s">
        <v>3064</v>
      </c>
      <c r="F2671" s="1689"/>
      <c r="G2671" s="1689"/>
      <c r="H2671" s="1689"/>
      <c r="K2671" s="841" t="s">
        <v>6095</v>
      </c>
      <c r="M2671" s="1357"/>
      <c r="Q2671" s="1357"/>
      <c r="S2671" s="1420"/>
      <c r="T2671" s="1420"/>
      <c r="V2671" s="1357">
        <v>411</v>
      </c>
    </row>
    <row r="2672" spans="1:22" s="841" customFormat="1" ht="15" x14ac:dyDescent="0.25">
      <c r="A2672" s="841" t="s">
        <v>425</v>
      </c>
      <c r="E2672" s="1689" t="s">
        <v>3199</v>
      </c>
      <c r="F2672" s="1689"/>
      <c r="G2672" s="1689"/>
      <c r="H2672" s="1689"/>
      <c r="K2672" s="841" t="s">
        <v>6095</v>
      </c>
      <c r="M2672" s="1357"/>
      <c r="Q2672" s="1357"/>
      <c r="S2672" s="1420"/>
      <c r="T2672" s="1420"/>
      <c r="V2672" s="1357">
        <v>386</v>
      </c>
    </row>
    <row r="2673" spans="1:22" s="841" customFormat="1" ht="15" x14ac:dyDescent="0.25">
      <c r="A2673" s="841" t="s">
        <v>425</v>
      </c>
      <c r="E2673" s="1689" t="s">
        <v>5378</v>
      </c>
      <c r="F2673" s="1689"/>
      <c r="G2673" s="1689"/>
      <c r="H2673" s="1689"/>
      <c r="K2673" s="841" t="s">
        <v>6095</v>
      </c>
      <c r="M2673" s="1357"/>
      <c r="Q2673" s="1357"/>
      <c r="S2673" s="1420"/>
      <c r="T2673" s="1420"/>
      <c r="V2673" s="1357">
        <v>658</v>
      </c>
    </row>
    <row r="2674" spans="1:22" s="841" customFormat="1" ht="15" x14ac:dyDescent="0.25">
      <c r="A2674" s="841" t="s">
        <v>425</v>
      </c>
      <c r="E2674" s="1689" t="s">
        <v>3066</v>
      </c>
      <c r="F2674" s="1689"/>
      <c r="G2674" s="1689"/>
      <c r="H2674" s="1689"/>
      <c r="K2674" s="841" t="s">
        <v>6095</v>
      </c>
      <c r="M2674" s="1357"/>
      <c r="Q2674" s="1357"/>
      <c r="S2674" s="1420"/>
      <c r="T2674" s="1420"/>
      <c r="V2674" s="1357">
        <v>275</v>
      </c>
    </row>
    <row r="2675" spans="1:22" s="841" customFormat="1" ht="15" x14ac:dyDescent="0.25">
      <c r="A2675" s="841" t="s">
        <v>425</v>
      </c>
      <c r="E2675" s="1694" t="s">
        <v>3067</v>
      </c>
      <c r="F2675" s="1907"/>
      <c r="G2675" s="1907"/>
      <c r="H2675" s="1907"/>
      <c r="K2675" s="841" t="s">
        <v>3099</v>
      </c>
      <c r="M2675" s="1357"/>
      <c r="Q2675" s="1357"/>
      <c r="S2675" s="1420"/>
      <c r="T2675" s="1420"/>
      <c r="V2675" s="1357">
        <v>46</v>
      </c>
    </row>
    <row r="2676" spans="1:22" s="841" customFormat="1" ht="15" x14ac:dyDescent="0.25">
      <c r="A2676" s="841" t="s">
        <v>425</v>
      </c>
      <c r="E2676" s="1690" t="s">
        <v>11</v>
      </c>
      <c r="F2676" s="1690"/>
      <c r="G2676" s="1365" t="s">
        <v>23</v>
      </c>
      <c r="H2676" s="391">
        <v>100.01</v>
      </c>
      <c r="K2676" s="841" t="s">
        <v>6095</v>
      </c>
      <c r="L2676" s="841" t="s">
        <v>442</v>
      </c>
      <c r="M2676" s="1357"/>
      <c r="P2676" s="841" t="s">
        <v>6096</v>
      </c>
      <c r="Q2676" s="1357"/>
      <c r="S2676" s="1420"/>
      <c r="T2676" s="1420"/>
      <c r="V2676" s="1357">
        <v>14</v>
      </c>
    </row>
    <row r="2677" spans="1:22" s="841" customFormat="1" ht="15" x14ac:dyDescent="0.25">
      <c r="A2677" s="841" t="s">
        <v>425</v>
      </c>
      <c r="E2677" s="1690" t="s">
        <v>84</v>
      </c>
      <c r="F2677" s="1690"/>
      <c r="G2677" s="1365" t="s">
        <v>33</v>
      </c>
      <c r="H2677" s="393">
        <v>3.3126000000000002</v>
      </c>
      <c r="K2677" s="841" t="s">
        <v>6095</v>
      </c>
      <c r="L2677" s="841" t="s">
        <v>442</v>
      </c>
      <c r="M2677" s="1357"/>
      <c r="P2677" s="841" t="s">
        <v>6097</v>
      </c>
      <c r="Q2677" s="1357"/>
      <c r="S2677" s="1420"/>
      <c r="T2677" s="1420"/>
      <c r="V2677" s="1357">
        <v>28</v>
      </c>
    </row>
    <row r="2678" spans="1:22" s="841" customFormat="1" ht="15" x14ac:dyDescent="0.25">
      <c r="A2678" s="841" t="s">
        <v>425</v>
      </c>
      <c r="E2678" s="1690" t="s">
        <v>4392</v>
      </c>
      <c r="F2678" s="1690"/>
      <c r="G2678" s="1365" t="s">
        <v>33</v>
      </c>
      <c r="H2678" s="732">
        <v>0.62009999999999998</v>
      </c>
      <c r="K2678" s="841" t="s">
        <v>6095</v>
      </c>
      <c r="L2678" s="841" t="s">
        <v>443</v>
      </c>
      <c r="M2678" s="1357"/>
      <c r="P2678" s="841" t="s">
        <v>6098</v>
      </c>
      <c r="Q2678" s="1357"/>
      <c r="S2678" s="1420"/>
      <c r="T2678" s="1420"/>
      <c r="V2678" s="1357">
        <v>37</v>
      </c>
    </row>
    <row r="2679" spans="1:22" s="841" customFormat="1" ht="15" x14ac:dyDescent="0.25">
      <c r="A2679" s="841" t="s">
        <v>425</v>
      </c>
      <c r="E2679" s="1904" t="s">
        <v>5129</v>
      </c>
      <c r="F2679" s="1962"/>
      <c r="G2679" s="1365" t="s">
        <v>24</v>
      </c>
      <c r="H2679" s="732">
        <v>2.0999999999999999E-3</v>
      </c>
      <c r="K2679" s="841" t="s">
        <v>6095</v>
      </c>
      <c r="L2679" s="841" t="s">
        <v>443</v>
      </c>
      <c r="M2679" s="1357"/>
      <c r="P2679" s="841" t="s">
        <v>6104</v>
      </c>
      <c r="Q2679" s="1357"/>
      <c r="S2679" s="1420"/>
      <c r="T2679" s="1420">
        <v>43585</v>
      </c>
      <c r="V2679" s="1357">
        <v>139</v>
      </c>
    </row>
    <row r="2680" spans="1:22" s="841" customFormat="1" ht="15" x14ac:dyDescent="0.25">
      <c r="A2680" s="841" t="s">
        <v>425</v>
      </c>
      <c r="E2680" s="1904" t="s">
        <v>5305</v>
      </c>
      <c r="F2680" s="1962"/>
      <c r="G2680" s="1365" t="s">
        <v>33</v>
      </c>
      <c r="H2680" s="732">
        <v>-0.1004</v>
      </c>
      <c r="K2680" s="841" t="s">
        <v>6095</v>
      </c>
      <c r="L2680" s="841" t="s">
        <v>443</v>
      </c>
      <c r="M2680" s="1357"/>
      <c r="P2680" s="841" t="s">
        <v>6105</v>
      </c>
      <c r="Q2680" s="1357"/>
      <c r="S2680" s="1420"/>
      <c r="T2680" s="1420">
        <v>43585</v>
      </c>
      <c r="V2680" s="1357">
        <v>156</v>
      </c>
    </row>
    <row r="2681" spans="1:22" s="841" customFormat="1" ht="15" x14ac:dyDescent="0.25">
      <c r="A2681" s="841" t="s">
        <v>425</v>
      </c>
      <c r="E2681" s="1690" t="s">
        <v>5130</v>
      </c>
      <c r="F2681" s="1908"/>
      <c r="G2681" s="1365" t="s">
        <v>33</v>
      </c>
      <c r="H2681" s="732">
        <v>0.26700000000000002</v>
      </c>
      <c r="K2681" s="841" t="s">
        <v>6095</v>
      </c>
      <c r="L2681" s="841" t="s">
        <v>443</v>
      </c>
      <c r="M2681" s="1357"/>
      <c r="P2681" s="841" t="s">
        <v>6105</v>
      </c>
      <c r="Q2681" s="1357"/>
      <c r="S2681" s="1420"/>
      <c r="T2681" s="1420">
        <v>43585</v>
      </c>
      <c r="V2681" s="1357">
        <v>96</v>
      </c>
    </row>
    <row r="2682" spans="1:22" s="841" customFormat="1" ht="15" x14ac:dyDescent="0.25">
      <c r="A2682" s="841" t="s">
        <v>425</v>
      </c>
      <c r="E2682" s="1690" t="s">
        <v>221</v>
      </c>
      <c r="F2682" s="1690"/>
      <c r="G2682" s="1365" t="s">
        <v>33</v>
      </c>
      <c r="H2682" s="393">
        <v>2.6031</v>
      </c>
      <c r="K2682" s="841" t="s">
        <v>6095</v>
      </c>
      <c r="L2682" s="841" t="s">
        <v>444</v>
      </c>
      <c r="M2682" s="1357"/>
      <c r="P2682" s="841" t="s">
        <v>6099</v>
      </c>
      <c r="Q2682" s="1357"/>
      <c r="S2682" s="1420"/>
      <c r="T2682" s="1420"/>
      <c r="V2682" s="1357">
        <v>47</v>
      </c>
    </row>
    <row r="2683" spans="1:22" s="841" customFormat="1" ht="15" x14ac:dyDescent="0.25">
      <c r="A2683" s="841" t="s">
        <v>425</v>
      </c>
      <c r="E2683" s="1690" t="s">
        <v>4393</v>
      </c>
      <c r="F2683" s="1690"/>
      <c r="G2683" s="1365" t="s">
        <v>33</v>
      </c>
      <c r="H2683" s="393">
        <v>2.1766999999999999</v>
      </c>
      <c r="K2683" s="841" t="s">
        <v>6095</v>
      </c>
      <c r="L2683" s="841" t="s">
        <v>444</v>
      </c>
      <c r="M2683" s="1357"/>
      <c r="P2683" s="841" t="s">
        <v>6210</v>
      </c>
      <c r="Q2683" s="1357"/>
      <c r="S2683" s="1420"/>
      <c r="T2683" s="1420"/>
      <c r="V2683" s="1357">
        <v>87</v>
      </c>
    </row>
    <row r="2684" spans="1:22" s="841" customFormat="1" ht="15" x14ac:dyDescent="0.25">
      <c r="A2684" s="841" t="s">
        <v>425</v>
      </c>
      <c r="E2684" s="1694" t="s">
        <v>3079</v>
      </c>
      <c r="F2684" s="1690"/>
      <c r="G2684" s="1690"/>
      <c r="H2684" s="1690"/>
      <c r="K2684" s="841" t="s">
        <v>3218</v>
      </c>
      <c r="M2684" s="1357"/>
      <c r="Q2684" s="1357"/>
      <c r="S2684" s="1420"/>
      <c r="T2684" s="1420"/>
      <c r="V2684" s="1357">
        <v>48</v>
      </c>
    </row>
    <row r="2685" spans="1:22" s="841" customFormat="1" ht="15" x14ac:dyDescent="0.25">
      <c r="A2685" s="841" t="s">
        <v>425</v>
      </c>
      <c r="E2685" s="1690" t="s">
        <v>2449</v>
      </c>
      <c r="F2685" s="1690"/>
      <c r="G2685" s="1365" t="s">
        <v>24</v>
      </c>
      <c r="H2685" s="732">
        <v>3.2000000000000002E-3</v>
      </c>
      <c r="K2685" s="841" t="s">
        <v>6095</v>
      </c>
      <c r="L2685" s="841" t="s">
        <v>3046</v>
      </c>
      <c r="M2685" s="1357"/>
      <c r="P2685" s="841" t="s">
        <v>6101</v>
      </c>
      <c r="Q2685" s="1357"/>
      <c r="S2685" s="1420"/>
      <c r="T2685" s="1420"/>
      <c r="V2685" s="1357">
        <v>55</v>
      </c>
    </row>
    <row r="2686" spans="1:22" s="841" customFormat="1" ht="15" x14ac:dyDescent="0.25">
      <c r="A2686" s="841" t="s">
        <v>425</v>
      </c>
      <c r="E2686" s="1690" t="s">
        <v>2450</v>
      </c>
      <c r="F2686" s="1690"/>
      <c r="G2686" s="1365" t="s">
        <v>24</v>
      </c>
      <c r="H2686" s="732">
        <v>4.0000000000000002E-4</v>
      </c>
      <c r="K2686" s="841" t="s">
        <v>6095</v>
      </c>
      <c r="L2686" s="841" t="s">
        <v>3046</v>
      </c>
      <c r="M2686" s="1357"/>
      <c r="P2686" s="841" t="s">
        <v>6101</v>
      </c>
      <c r="Q2686" s="1357"/>
      <c r="S2686" s="1420"/>
      <c r="T2686" s="1420"/>
      <c r="V2686" s="1357">
        <v>65</v>
      </c>
    </row>
    <row r="2687" spans="1:22" s="841" customFormat="1" ht="15" x14ac:dyDescent="0.25">
      <c r="A2687" s="841" t="s">
        <v>425</v>
      </c>
      <c r="E2687" s="1690" t="s">
        <v>439</v>
      </c>
      <c r="F2687" s="1690"/>
      <c r="G2687" s="1365" t="s">
        <v>24</v>
      </c>
      <c r="H2687" s="732">
        <v>2.9999999999999997E-4</v>
      </c>
      <c r="K2687" s="841" t="s">
        <v>6095</v>
      </c>
      <c r="L2687" s="841" t="s">
        <v>3046</v>
      </c>
      <c r="M2687" s="1357"/>
      <c r="P2687" s="841" t="s">
        <v>6102</v>
      </c>
      <c r="Q2687" s="1357"/>
      <c r="S2687" s="1420"/>
      <c r="T2687" s="1420"/>
      <c r="V2687" s="1357">
        <v>57</v>
      </c>
    </row>
    <row r="2688" spans="1:22" s="841" customFormat="1" ht="15" x14ac:dyDescent="0.25">
      <c r="A2688" s="841" t="s">
        <v>425</v>
      </c>
      <c r="E2688" s="1690" t="s">
        <v>32</v>
      </c>
      <c r="F2688" s="1690"/>
      <c r="G2688" s="1365" t="s">
        <v>23</v>
      </c>
      <c r="H2688" s="733">
        <v>0.25</v>
      </c>
      <c r="K2688" s="841" t="s">
        <v>6095</v>
      </c>
      <c r="L2688" s="841" t="s">
        <v>3046</v>
      </c>
      <c r="M2688" s="1357"/>
      <c r="P2688" s="841" t="s">
        <v>6103</v>
      </c>
      <c r="Q2688" s="1357"/>
      <c r="S2688" s="1420"/>
      <c r="T2688" s="1420"/>
      <c r="V2688" s="1357">
        <v>63</v>
      </c>
    </row>
    <row r="2689" spans="1:22" s="841" customFormat="1" x14ac:dyDescent="0.25">
      <c r="A2689" s="841" t="s">
        <v>425</v>
      </c>
      <c r="E2689" s="1909" t="s">
        <v>621</v>
      </c>
      <c r="F2689" s="1923"/>
      <c r="G2689" s="1923"/>
      <c r="H2689" s="1923"/>
      <c r="K2689" s="841" t="s">
        <v>4394</v>
      </c>
      <c r="M2689" s="1357"/>
      <c r="Q2689" s="1357"/>
      <c r="S2689" s="1420"/>
      <c r="T2689" s="1420"/>
      <c r="V2689" s="1357">
        <v>32</v>
      </c>
    </row>
    <row r="2690" spans="1:22" s="841" customFormat="1" ht="15" x14ac:dyDescent="0.25">
      <c r="A2690" s="841" t="s">
        <v>425</v>
      </c>
      <c r="E2690" s="1689" t="s">
        <v>4395</v>
      </c>
      <c r="F2690" s="1689"/>
      <c r="G2690" s="1689"/>
      <c r="H2690" s="1689"/>
      <c r="K2690" s="841" t="s">
        <v>4394</v>
      </c>
      <c r="M2690" s="1357"/>
      <c r="Q2690" s="1357"/>
      <c r="S2690" s="1420"/>
      <c r="T2690" s="1420"/>
      <c r="V2690" s="1357">
        <v>370</v>
      </c>
    </row>
    <row r="2691" spans="1:22" s="841" customFormat="1" ht="15" x14ac:dyDescent="0.25">
      <c r="A2691" s="841" t="s">
        <v>425</v>
      </c>
      <c r="E2691" s="1916" t="s">
        <v>3061</v>
      </c>
      <c r="F2691" s="1689"/>
      <c r="G2691" s="1689"/>
      <c r="H2691" s="1689"/>
      <c r="K2691" s="841" t="s">
        <v>3221</v>
      </c>
      <c r="M2691" s="1357"/>
      <c r="Q2691" s="1357"/>
      <c r="S2691" s="1420"/>
      <c r="T2691" s="1420"/>
      <c r="V2691" s="1357">
        <v>11</v>
      </c>
    </row>
    <row r="2692" spans="1:22" s="841" customFormat="1" ht="15" x14ac:dyDescent="0.25">
      <c r="A2692" s="841" t="s">
        <v>425</v>
      </c>
      <c r="E2692" s="1689" t="s">
        <v>3063</v>
      </c>
      <c r="F2692" s="1689"/>
      <c r="G2692" s="1689"/>
      <c r="H2692" s="1689"/>
      <c r="K2692" s="841" t="s">
        <v>4394</v>
      </c>
      <c r="M2692" s="1357"/>
      <c r="Q2692" s="1357"/>
      <c r="S2692" s="1420"/>
      <c r="T2692" s="1420"/>
      <c r="V2692" s="1357">
        <v>280</v>
      </c>
    </row>
    <row r="2693" spans="1:22" s="841" customFormat="1" ht="15" x14ac:dyDescent="0.25">
      <c r="A2693" s="841" t="s">
        <v>425</v>
      </c>
      <c r="E2693" s="1689" t="s">
        <v>3064</v>
      </c>
      <c r="F2693" s="1689"/>
      <c r="G2693" s="1689"/>
      <c r="H2693" s="1689"/>
      <c r="K2693" s="841" t="s">
        <v>4394</v>
      </c>
      <c r="M2693" s="1357"/>
      <c r="Q2693" s="1357"/>
      <c r="S2693" s="1420"/>
      <c r="T2693" s="1420"/>
      <c r="V2693" s="1357">
        <v>411</v>
      </c>
    </row>
    <row r="2694" spans="1:22" s="841" customFormat="1" ht="15" x14ac:dyDescent="0.25">
      <c r="A2694" s="841" t="s">
        <v>425</v>
      </c>
      <c r="E2694" s="1689" t="s">
        <v>3199</v>
      </c>
      <c r="F2694" s="1689"/>
      <c r="G2694" s="1689"/>
      <c r="H2694" s="1689"/>
      <c r="K2694" s="841" t="s">
        <v>4394</v>
      </c>
      <c r="M2694" s="1357"/>
      <c r="Q2694" s="1357"/>
      <c r="S2694" s="1420"/>
      <c r="T2694" s="1420"/>
      <c r="V2694" s="1357">
        <v>386</v>
      </c>
    </row>
    <row r="2695" spans="1:22" s="841" customFormat="1" ht="15" x14ac:dyDescent="0.25">
      <c r="A2695" s="841" t="s">
        <v>425</v>
      </c>
      <c r="E2695" s="1689" t="s">
        <v>3569</v>
      </c>
      <c r="F2695" s="1689"/>
      <c r="G2695" s="1689"/>
      <c r="H2695" s="1689"/>
      <c r="K2695" s="841" t="s">
        <v>4394</v>
      </c>
      <c r="M2695" s="1357"/>
      <c r="Q2695" s="1357"/>
      <c r="S2695" s="1420"/>
      <c r="T2695" s="1420"/>
      <c r="V2695" s="1357">
        <v>626</v>
      </c>
    </row>
    <row r="2696" spans="1:22" s="841" customFormat="1" ht="15" x14ac:dyDescent="0.25">
      <c r="A2696" s="841" t="s">
        <v>425</v>
      </c>
      <c r="E2696" s="1689" t="s">
        <v>3066</v>
      </c>
      <c r="F2696" s="1689"/>
      <c r="G2696" s="1689"/>
      <c r="H2696" s="1689"/>
      <c r="K2696" s="841" t="s">
        <v>4394</v>
      </c>
      <c r="M2696" s="1357"/>
      <c r="Q2696" s="1357"/>
      <c r="S2696" s="1420"/>
      <c r="T2696" s="1420"/>
      <c r="V2696" s="1357">
        <v>275</v>
      </c>
    </row>
    <row r="2697" spans="1:22" s="841" customFormat="1" ht="15" x14ac:dyDescent="0.25">
      <c r="A2697" s="841" t="s">
        <v>425</v>
      </c>
      <c r="E2697" s="1694" t="s">
        <v>3067</v>
      </c>
      <c r="F2697" s="1907"/>
      <c r="G2697" s="1907"/>
      <c r="H2697" s="1907"/>
      <c r="K2697" s="841" t="s">
        <v>3224</v>
      </c>
      <c r="M2697" s="1357"/>
      <c r="Q2697" s="1357"/>
      <c r="S2697" s="1420"/>
      <c r="T2697" s="1420"/>
      <c r="V2697" s="1357">
        <v>46</v>
      </c>
    </row>
    <row r="2698" spans="1:22" s="841" customFormat="1" ht="15" x14ac:dyDescent="0.25">
      <c r="A2698" s="841" t="s">
        <v>425</v>
      </c>
      <c r="E2698" s="1690" t="s">
        <v>11</v>
      </c>
      <c r="F2698" s="1690"/>
      <c r="G2698" s="1365" t="s">
        <v>23</v>
      </c>
      <c r="H2698" s="391">
        <v>1526.2</v>
      </c>
      <c r="K2698" s="841" t="s">
        <v>4394</v>
      </c>
      <c r="L2698" s="841" t="s">
        <v>442</v>
      </c>
      <c r="M2698" s="1357"/>
      <c r="P2698" s="841" t="s">
        <v>4396</v>
      </c>
      <c r="Q2698" s="1357"/>
      <c r="S2698" s="1420"/>
      <c r="T2698" s="1420"/>
      <c r="V2698" s="1357">
        <v>14</v>
      </c>
    </row>
    <row r="2699" spans="1:22" s="841" customFormat="1" ht="15" x14ac:dyDescent="0.25">
      <c r="A2699" s="841" t="s">
        <v>425</v>
      </c>
      <c r="E2699" s="1690" t="s">
        <v>84</v>
      </c>
      <c r="F2699" s="1690"/>
      <c r="G2699" s="1365" t="s">
        <v>33</v>
      </c>
      <c r="H2699" s="393">
        <v>2.3307000000000002</v>
      </c>
      <c r="K2699" s="841" t="s">
        <v>4394</v>
      </c>
      <c r="L2699" s="841" t="s">
        <v>442</v>
      </c>
      <c r="M2699" s="1357"/>
      <c r="P2699" s="841" t="s">
        <v>4397</v>
      </c>
      <c r="Q2699" s="1357"/>
      <c r="S2699" s="1420"/>
      <c r="T2699" s="1420"/>
      <c r="V2699" s="1357">
        <v>28</v>
      </c>
    </row>
    <row r="2700" spans="1:22" s="841" customFormat="1" ht="15" x14ac:dyDescent="0.25">
      <c r="A2700" s="841" t="s">
        <v>425</v>
      </c>
      <c r="E2700" s="1690" t="s">
        <v>4392</v>
      </c>
      <c r="F2700" s="1690"/>
      <c r="G2700" s="1365" t="s">
        <v>33</v>
      </c>
      <c r="H2700" s="732">
        <v>0.68179999999999996</v>
      </c>
      <c r="K2700" s="841" t="s">
        <v>4394</v>
      </c>
      <c r="L2700" s="841" t="s">
        <v>443</v>
      </c>
      <c r="M2700" s="1357"/>
      <c r="P2700" s="841" t="s">
        <v>4398</v>
      </c>
      <c r="Q2700" s="1357"/>
      <c r="S2700" s="1420"/>
      <c r="T2700" s="1420"/>
      <c r="V2700" s="1357">
        <v>37</v>
      </c>
    </row>
    <row r="2701" spans="1:22" s="841" customFormat="1" ht="15" x14ac:dyDescent="0.25">
      <c r="A2701" s="841" t="s">
        <v>425</v>
      </c>
      <c r="E2701" s="1904" t="s">
        <v>5129</v>
      </c>
      <c r="F2701" s="1962"/>
      <c r="G2701" s="1365" t="s">
        <v>24</v>
      </c>
      <c r="H2701" s="732">
        <v>2.0999999999999999E-3</v>
      </c>
      <c r="K2701" s="841" t="s">
        <v>4394</v>
      </c>
      <c r="L2701" s="841" t="s">
        <v>443</v>
      </c>
      <c r="M2701" s="1357"/>
      <c r="P2701" s="841" t="s">
        <v>5379</v>
      </c>
      <c r="Q2701" s="1357"/>
      <c r="S2701" s="1420"/>
      <c r="T2701" s="1420">
        <v>43585</v>
      </c>
      <c r="V2701" s="1357">
        <v>139</v>
      </c>
    </row>
    <row r="2702" spans="1:22" s="841" customFormat="1" ht="15" x14ac:dyDescent="0.25">
      <c r="A2702" s="841" t="s">
        <v>425</v>
      </c>
      <c r="E2702" s="1690" t="s">
        <v>5130</v>
      </c>
      <c r="F2702" s="1908"/>
      <c r="G2702" s="1365" t="s">
        <v>33</v>
      </c>
      <c r="H2702" s="732">
        <v>9.2399999999999996E-2</v>
      </c>
      <c r="K2702" s="841" t="s">
        <v>4394</v>
      </c>
      <c r="L2702" s="841" t="s">
        <v>443</v>
      </c>
      <c r="M2702" s="1357"/>
      <c r="P2702" s="841" t="s">
        <v>4400</v>
      </c>
      <c r="Q2702" s="1357"/>
      <c r="S2702" s="1420"/>
      <c r="T2702" s="1420">
        <v>43585</v>
      </c>
      <c r="V2702" s="1357">
        <v>96</v>
      </c>
    </row>
    <row r="2703" spans="1:22" s="841" customFormat="1" ht="15" x14ac:dyDescent="0.25">
      <c r="A2703" s="841" t="s">
        <v>425</v>
      </c>
      <c r="E2703" s="1690" t="s">
        <v>221</v>
      </c>
      <c r="F2703" s="1690"/>
      <c r="G2703" s="1365" t="s">
        <v>33</v>
      </c>
      <c r="H2703" s="393">
        <v>2.762</v>
      </c>
      <c r="K2703" s="841" t="s">
        <v>4394</v>
      </c>
      <c r="L2703" s="841" t="s">
        <v>444</v>
      </c>
      <c r="M2703" s="1357"/>
      <c r="P2703" s="841" t="s">
        <v>4401</v>
      </c>
      <c r="Q2703" s="1357"/>
      <c r="S2703" s="1420"/>
      <c r="T2703" s="1420"/>
      <c r="V2703" s="1357">
        <v>47</v>
      </c>
    </row>
    <row r="2704" spans="1:22" s="841" customFormat="1" ht="15" x14ac:dyDescent="0.25">
      <c r="A2704" s="841" t="s">
        <v>425</v>
      </c>
      <c r="E2704" s="1690" t="s">
        <v>4393</v>
      </c>
      <c r="F2704" s="1690"/>
      <c r="G2704" s="1365" t="s">
        <v>33</v>
      </c>
      <c r="H2704" s="393">
        <v>2.3929999999999998</v>
      </c>
      <c r="K2704" s="841" t="s">
        <v>4394</v>
      </c>
      <c r="L2704" s="841" t="s">
        <v>444</v>
      </c>
      <c r="M2704" s="1357"/>
      <c r="P2704" s="841" t="s">
        <v>4402</v>
      </c>
      <c r="Q2704" s="1357"/>
      <c r="S2704" s="1420"/>
      <c r="T2704" s="1420"/>
      <c r="V2704" s="1357">
        <v>87</v>
      </c>
    </row>
    <row r="2705" spans="1:22" s="841" customFormat="1" ht="15" x14ac:dyDescent="0.25">
      <c r="A2705" s="841" t="s">
        <v>425</v>
      </c>
      <c r="E2705" s="1694" t="s">
        <v>3079</v>
      </c>
      <c r="F2705" s="1690"/>
      <c r="G2705" s="1690"/>
      <c r="H2705" s="1690"/>
      <c r="K2705" s="841" t="s">
        <v>3225</v>
      </c>
      <c r="M2705" s="1357"/>
      <c r="Q2705" s="1357"/>
      <c r="S2705" s="1420"/>
      <c r="T2705" s="1420"/>
      <c r="V2705" s="1357">
        <v>48</v>
      </c>
    </row>
    <row r="2706" spans="1:22" s="841" customFormat="1" ht="15" x14ac:dyDescent="0.25">
      <c r="A2706" s="841" t="s">
        <v>425</v>
      </c>
      <c r="E2706" s="1690" t="s">
        <v>2449</v>
      </c>
      <c r="F2706" s="1690"/>
      <c r="G2706" s="1365" t="s">
        <v>24</v>
      </c>
      <c r="H2706" s="732">
        <v>3.2000000000000002E-3</v>
      </c>
      <c r="K2706" s="841" t="s">
        <v>4394</v>
      </c>
      <c r="L2706" s="841" t="s">
        <v>3046</v>
      </c>
      <c r="M2706" s="1357"/>
      <c r="P2706" s="841" t="s">
        <v>4403</v>
      </c>
      <c r="Q2706" s="1357"/>
      <c r="S2706" s="1420"/>
      <c r="T2706" s="1420"/>
      <c r="V2706" s="1357">
        <v>55</v>
      </c>
    </row>
    <row r="2707" spans="1:22" s="841" customFormat="1" ht="15" x14ac:dyDescent="0.25">
      <c r="A2707" s="841" t="s">
        <v>425</v>
      </c>
      <c r="E2707" s="1690" t="s">
        <v>2450</v>
      </c>
      <c r="F2707" s="1690"/>
      <c r="G2707" s="1365" t="s">
        <v>24</v>
      </c>
      <c r="H2707" s="732">
        <v>4.0000000000000002E-4</v>
      </c>
      <c r="K2707" s="841" t="s">
        <v>4394</v>
      </c>
      <c r="L2707" s="841" t="s">
        <v>3046</v>
      </c>
      <c r="M2707" s="1357"/>
      <c r="P2707" s="841" t="s">
        <v>4403</v>
      </c>
      <c r="Q2707" s="1357"/>
      <c r="S2707" s="1420"/>
      <c r="T2707" s="1420"/>
      <c r="V2707" s="1357">
        <v>65</v>
      </c>
    </row>
    <row r="2708" spans="1:22" s="841" customFormat="1" ht="15" x14ac:dyDescent="0.25">
      <c r="A2708" s="841" t="s">
        <v>425</v>
      </c>
      <c r="E2708" s="1690" t="s">
        <v>439</v>
      </c>
      <c r="F2708" s="1690"/>
      <c r="G2708" s="1365" t="s">
        <v>24</v>
      </c>
      <c r="H2708" s="732">
        <v>2.9999999999999997E-4</v>
      </c>
      <c r="K2708" s="841" t="s">
        <v>4394</v>
      </c>
      <c r="L2708" s="841" t="s">
        <v>3046</v>
      </c>
      <c r="M2708" s="1357"/>
      <c r="P2708" s="841" t="s">
        <v>4404</v>
      </c>
      <c r="Q2708" s="1357"/>
      <c r="S2708" s="1420"/>
      <c r="T2708" s="1420"/>
      <c r="V2708" s="1357">
        <v>57</v>
      </c>
    </row>
    <row r="2709" spans="1:22" s="841" customFormat="1" ht="15" x14ac:dyDescent="0.25">
      <c r="A2709" s="841" t="s">
        <v>425</v>
      </c>
      <c r="E2709" s="1690" t="s">
        <v>32</v>
      </c>
      <c r="F2709" s="1690"/>
      <c r="G2709" s="1365" t="s">
        <v>23</v>
      </c>
      <c r="H2709" s="733">
        <v>0.25</v>
      </c>
      <c r="K2709" s="841" t="s">
        <v>4394</v>
      </c>
      <c r="L2709" s="841" t="s">
        <v>3046</v>
      </c>
      <c r="M2709" s="1357"/>
      <c r="P2709" s="841" t="s">
        <v>4405</v>
      </c>
      <c r="Q2709" s="1357"/>
      <c r="S2709" s="1420"/>
      <c r="T2709" s="1420"/>
      <c r="V2709" s="1357">
        <v>63</v>
      </c>
    </row>
    <row r="2710" spans="1:22" s="841" customFormat="1" x14ac:dyDescent="0.25">
      <c r="A2710" s="841" t="s">
        <v>425</v>
      </c>
      <c r="E2710" s="1909" t="s">
        <v>617</v>
      </c>
      <c r="F2710" s="1923"/>
      <c r="G2710" s="1923"/>
      <c r="H2710" s="1923"/>
      <c r="K2710" s="841" t="s">
        <v>3457</v>
      </c>
      <c r="M2710" s="1357"/>
      <c r="Q2710" s="1357"/>
      <c r="S2710" s="1420"/>
      <c r="T2710" s="1420"/>
      <c r="V2710" s="1357">
        <v>47</v>
      </c>
    </row>
    <row r="2711" spans="1:22" s="841" customFormat="1" ht="15" x14ac:dyDescent="0.25">
      <c r="A2711" s="841" t="s">
        <v>425</v>
      </c>
      <c r="E2711" s="1689" t="s">
        <v>4063</v>
      </c>
      <c r="F2711" s="1689"/>
      <c r="G2711" s="1689"/>
      <c r="H2711" s="1689"/>
      <c r="K2711" s="841" t="s">
        <v>3457</v>
      </c>
      <c r="M2711" s="1357"/>
      <c r="Q2711" s="1357"/>
      <c r="S2711" s="1420"/>
      <c r="T2711" s="1420"/>
      <c r="V2711" s="1357">
        <v>720</v>
      </c>
    </row>
    <row r="2712" spans="1:22" s="841" customFormat="1" ht="15" x14ac:dyDescent="0.25">
      <c r="A2712" s="841" t="s">
        <v>425</v>
      </c>
      <c r="E2712" s="1916" t="s">
        <v>3061</v>
      </c>
      <c r="F2712" s="1689"/>
      <c r="G2712" s="1689"/>
      <c r="H2712" s="1689"/>
      <c r="K2712" s="841" t="s">
        <v>3107</v>
      </c>
      <c r="M2712" s="1357"/>
      <c r="Q2712" s="1357"/>
      <c r="S2712" s="1420"/>
      <c r="T2712" s="1420"/>
      <c r="V2712" s="1357">
        <v>11</v>
      </c>
    </row>
    <row r="2713" spans="1:22" s="841" customFormat="1" ht="15" x14ac:dyDescent="0.25">
      <c r="A2713" s="841" t="s">
        <v>425</v>
      </c>
      <c r="E2713" s="1689" t="s">
        <v>3063</v>
      </c>
      <c r="F2713" s="1689"/>
      <c r="G2713" s="1689"/>
      <c r="H2713" s="1689"/>
      <c r="K2713" s="841" t="s">
        <v>3457</v>
      </c>
      <c r="M2713" s="1357"/>
      <c r="Q2713" s="1357"/>
      <c r="S2713" s="1420"/>
      <c r="T2713" s="1420"/>
      <c r="V2713" s="1357">
        <v>280</v>
      </c>
    </row>
    <row r="2714" spans="1:22" s="841" customFormat="1" ht="15" x14ac:dyDescent="0.25">
      <c r="A2714" s="841" t="s">
        <v>425</v>
      </c>
      <c r="E2714" s="1689" t="s">
        <v>3064</v>
      </c>
      <c r="F2714" s="1689"/>
      <c r="G2714" s="1689"/>
      <c r="H2714" s="1689"/>
      <c r="K2714" s="841" t="s">
        <v>3457</v>
      </c>
      <c r="M2714" s="1357"/>
      <c r="Q2714" s="1357"/>
      <c r="S2714" s="1420"/>
      <c r="T2714" s="1420"/>
      <c r="V2714" s="1357">
        <v>411</v>
      </c>
    </row>
    <row r="2715" spans="1:22" s="841" customFormat="1" ht="15" x14ac:dyDescent="0.25">
      <c r="A2715" s="841" t="s">
        <v>425</v>
      </c>
      <c r="E2715" s="1689" t="s">
        <v>3199</v>
      </c>
      <c r="F2715" s="1689"/>
      <c r="G2715" s="1689"/>
      <c r="H2715" s="1689"/>
      <c r="K2715" s="841" t="s">
        <v>3457</v>
      </c>
      <c r="M2715" s="1357"/>
      <c r="Q2715" s="1357"/>
      <c r="S2715" s="1420"/>
      <c r="T2715" s="1420"/>
      <c r="V2715" s="1357">
        <v>386</v>
      </c>
    </row>
    <row r="2716" spans="1:22" s="841" customFormat="1" ht="15" x14ac:dyDescent="0.25">
      <c r="A2716" s="841" t="s">
        <v>425</v>
      </c>
      <c r="E2716" s="1689" t="s">
        <v>3066</v>
      </c>
      <c r="F2716" s="1689"/>
      <c r="G2716" s="1689"/>
      <c r="H2716" s="1689"/>
      <c r="K2716" s="841" t="s">
        <v>3457</v>
      </c>
      <c r="M2716" s="1357"/>
      <c r="Q2716" s="1357"/>
      <c r="S2716" s="1420"/>
      <c r="T2716" s="1420"/>
      <c r="V2716" s="1357">
        <v>275</v>
      </c>
    </row>
    <row r="2717" spans="1:22" s="841" customFormat="1" ht="15" x14ac:dyDescent="0.25">
      <c r="A2717" s="841" t="s">
        <v>425</v>
      </c>
      <c r="E2717" s="1694" t="s">
        <v>3067</v>
      </c>
      <c r="F2717" s="1907"/>
      <c r="G2717" s="1907"/>
      <c r="H2717" s="1907"/>
      <c r="K2717" s="841" t="s">
        <v>3108</v>
      </c>
      <c r="M2717" s="1357"/>
      <c r="Q2717" s="1357"/>
      <c r="S2717" s="1420"/>
      <c r="T2717" s="1420"/>
      <c r="V2717" s="1357">
        <v>46</v>
      </c>
    </row>
    <row r="2718" spans="1:22" s="841" customFormat="1" ht="15" x14ac:dyDescent="0.25">
      <c r="A2718" s="841" t="s">
        <v>425</v>
      </c>
      <c r="E2718" s="1690" t="s">
        <v>11</v>
      </c>
      <c r="F2718" s="1690"/>
      <c r="G2718" s="1365" t="s">
        <v>23</v>
      </c>
      <c r="H2718" s="391">
        <v>8.26</v>
      </c>
      <c r="K2718" s="841" t="s">
        <v>3457</v>
      </c>
      <c r="L2718" s="841" t="s">
        <v>442</v>
      </c>
      <c r="M2718" s="1357"/>
      <c r="P2718" s="841" t="s">
        <v>3458</v>
      </c>
      <c r="Q2718" s="1357"/>
      <c r="S2718" s="1420"/>
      <c r="T2718" s="1420"/>
      <c r="V2718" s="1357">
        <v>14</v>
      </c>
    </row>
    <row r="2719" spans="1:22" s="841" customFormat="1" ht="15" x14ac:dyDescent="0.25">
      <c r="A2719" s="841" t="s">
        <v>425</v>
      </c>
      <c r="E2719" s="1690" t="s">
        <v>84</v>
      </c>
      <c r="F2719" s="1690"/>
      <c r="G2719" s="1365" t="s">
        <v>24</v>
      </c>
      <c r="H2719" s="393">
        <v>1.5E-3</v>
      </c>
      <c r="K2719" s="841" t="s">
        <v>3457</v>
      </c>
      <c r="L2719" s="841" t="s">
        <v>442</v>
      </c>
      <c r="M2719" s="1357"/>
      <c r="P2719" s="841" t="s">
        <v>3459</v>
      </c>
      <c r="Q2719" s="1357"/>
      <c r="S2719" s="1420"/>
      <c r="T2719" s="1420"/>
      <c r="V2719" s="1357">
        <v>28</v>
      </c>
    </row>
    <row r="2720" spans="1:22" s="841" customFormat="1" ht="15" x14ac:dyDescent="0.25">
      <c r="A2720" s="841" t="s">
        <v>425</v>
      </c>
      <c r="E2720" s="1690" t="s">
        <v>18</v>
      </c>
      <c r="F2720" s="1690"/>
      <c r="G2720" s="1365" t="s">
        <v>24</v>
      </c>
      <c r="H2720" s="732">
        <v>1.5E-3</v>
      </c>
      <c r="K2720" s="841" t="s">
        <v>3457</v>
      </c>
      <c r="L2720" s="841" t="s">
        <v>443</v>
      </c>
      <c r="M2720" s="1357"/>
      <c r="P2720" s="841" t="s">
        <v>3460</v>
      </c>
      <c r="Q2720" s="1357"/>
      <c r="S2720" s="1420"/>
      <c r="T2720" s="1420"/>
      <c r="V2720" s="1357">
        <v>24</v>
      </c>
    </row>
    <row r="2721" spans="1:22" s="841" customFormat="1" ht="15" x14ac:dyDescent="0.25">
      <c r="A2721" s="841" t="s">
        <v>425</v>
      </c>
      <c r="E2721" s="1904" t="s">
        <v>5129</v>
      </c>
      <c r="F2721" s="1962"/>
      <c r="G2721" s="1365" t="s">
        <v>24</v>
      </c>
      <c r="H2721" s="732">
        <v>2.0999999999999999E-3</v>
      </c>
      <c r="K2721" s="841" t="s">
        <v>3457</v>
      </c>
      <c r="L2721" s="841" t="s">
        <v>443</v>
      </c>
      <c r="M2721" s="1357"/>
      <c r="P2721" s="841" t="s">
        <v>3526</v>
      </c>
      <c r="Q2721" s="1357"/>
      <c r="S2721" s="1420"/>
      <c r="T2721" s="1420">
        <v>43585</v>
      </c>
      <c r="V2721" s="1357">
        <v>139</v>
      </c>
    </row>
    <row r="2722" spans="1:22" s="841" customFormat="1" ht="15" x14ac:dyDescent="0.25">
      <c r="A2722" s="841" t="s">
        <v>425</v>
      </c>
      <c r="E2722" s="1690" t="s">
        <v>5130</v>
      </c>
      <c r="F2722" s="1908"/>
      <c r="G2722" s="1365" t="s">
        <v>24</v>
      </c>
      <c r="H2722" s="732">
        <v>4.0000000000000002E-4</v>
      </c>
      <c r="K2722" s="841" t="s">
        <v>3457</v>
      </c>
      <c r="L2722" s="841" t="s">
        <v>443</v>
      </c>
      <c r="M2722" s="1357"/>
      <c r="P2722" s="841" t="s">
        <v>3527</v>
      </c>
      <c r="Q2722" s="1357"/>
      <c r="S2722" s="1420"/>
      <c r="T2722" s="1420">
        <v>43585</v>
      </c>
      <c r="V2722" s="1357">
        <v>96</v>
      </c>
    </row>
    <row r="2723" spans="1:22" s="841" customFormat="1" ht="15" x14ac:dyDescent="0.25">
      <c r="A2723" s="841" t="s">
        <v>425</v>
      </c>
      <c r="E2723" s="1690" t="s">
        <v>221</v>
      </c>
      <c r="F2723" s="1690"/>
      <c r="G2723" s="1365" t="s">
        <v>24</v>
      </c>
      <c r="H2723" s="393">
        <v>5.8999999999999999E-3</v>
      </c>
      <c r="K2723" s="841" t="s">
        <v>3457</v>
      </c>
      <c r="L2723" s="841" t="s">
        <v>444</v>
      </c>
      <c r="M2723" s="1357"/>
      <c r="P2723" s="841" t="s">
        <v>3462</v>
      </c>
      <c r="Q2723" s="1357"/>
      <c r="S2723" s="1420"/>
      <c r="T2723" s="1420"/>
      <c r="V2723" s="1357">
        <v>47</v>
      </c>
    </row>
    <row r="2724" spans="1:22" s="841" customFormat="1" ht="15" x14ac:dyDescent="0.25">
      <c r="A2724" s="841" t="s">
        <v>425</v>
      </c>
      <c r="E2724" s="1690" t="s">
        <v>217</v>
      </c>
      <c r="F2724" s="1690"/>
      <c r="G2724" s="1365" t="s">
        <v>24</v>
      </c>
      <c r="H2724" s="393">
        <v>5.1000000000000004E-3</v>
      </c>
      <c r="K2724" s="841" t="s">
        <v>3457</v>
      </c>
      <c r="L2724" s="841" t="s">
        <v>444</v>
      </c>
      <c r="M2724" s="1357"/>
      <c r="P2724" s="841" t="s">
        <v>3463</v>
      </c>
      <c r="Q2724" s="1357"/>
      <c r="S2724" s="1420"/>
      <c r="T2724" s="1420"/>
      <c r="V2724" s="1357">
        <v>74</v>
      </c>
    </row>
    <row r="2725" spans="1:22" s="841" customFormat="1" ht="15" x14ac:dyDescent="0.25">
      <c r="A2725" s="841" t="s">
        <v>425</v>
      </c>
      <c r="E2725" s="1694" t="s">
        <v>3079</v>
      </c>
      <c r="F2725" s="1690"/>
      <c r="G2725" s="1690"/>
      <c r="H2725" s="1690"/>
      <c r="K2725" s="841" t="s">
        <v>3111</v>
      </c>
      <c r="M2725" s="1357"/>
      <c r="Q2725" s="1357"/>
      <c r="S2725" s="1420"/>
      <c r="T2725" s="1420"/>
      <c r="V2725" s="1357">
        <v>48</v>
      </c>
    </row>
    <row r="2726" spans="1:22" s="841" customFormat="1" ht="15" x14ac:dyDescent="0.25">
      <c r="A2726" s="841" t="s">
        <v>425</v>
      </c>
      <c r="E2726" s="1690" t="s">
        <v>2449</v>
      </c>
      <c r="F2726" s="1690"/>
      <c r="G2726" s="1365" t="s">
        <v>24</v>
      </c>
      <c r="H2726" s="732">
        <v>3.2000000000000002E-3</v>
      </c>
      <c r="K2726" s="841" t="s">
        <v>3457</v>
      </c>
      <c r="L2726" s="841" t="s">
        <v>3046</v>
      </c>
      <c r="M2726" s="1357"/>
      <c r="P2726" s="841" t="s">
        <v>3464</v>
      </c>
      <c r="Q2726" s="1357"/>
      <c r="S2726" s="1420"/>
      <c r="T2726" s="1420"/>
      <c r="V2726" s="1357">
        <v>55</v>
      </c>
    </row>
    <row r="2727" spans="1:22" s="841" customFormat="1" ht="15" x14ac:dyDescent="0.25">
      <c r="A2727" s="841" t="s">
        <v>425</v>
      </c>
      <c r="E2727" s="1690" t="s">
        <v>2450</v>
      </c>
      <c r="F2727" s="1690"/>
      <c r="G2727" s="1365" t="s">
        <v>24</v>
      </c>
      <c r="H2727" s="732">
        <v>4.0000000000000002E-4</v>
      </c>
      <c r="K2727" s="841" t="s">
        <v>3457</v>
      </c>
      <c r="L2727" s="841" t="s">
        <v>3046</v>
      </c>
      <c r="M2727" s="1357"/>
      <c r="P2727" s="841" t="s">
        <v>3464</v>
      </c>
      <c r="Q2727" s="1357"/>
      <c r="S2727" s="1420"/>
      <c r="T2727" s="1420"/>
      <c r="V2727" s="1357">
        <v>65</v>
      </c>
    </row>
    <row r="2728" spans="1:22" s="841" customFormat="1" ht="15" x14ac:dyDescent="0.25">
      <c r="A2728" s="841" t="s">
        <v>425</v>
      </c>
      <c r="E2728" s="1690" t="s">
        <v>439</v>
      </c>
      <c r="F2728" s="1690"/>
      <c r="G2728" s="1365" t="s">
        <v>24</v>
      </c>
      <c r="H2728" s="732">
        <v>2.9999999999999997E-4</v>
      </c>
      <c r="K2728" s="841" t="s">
        <v>3457</v>
      </c>
      <c r="L2728" s="841" t="s">
        <v>3046</v>
      </c>
      <c r="M2728" s="1357"/>
      <c r="P2728" s="841" t="s">
        <v>3465</v>
      </c>
      <c r="Q2728" s="1357"/>
      <c r="S2728" s="1420"/>
      <c r="T2728" s="1420"/>
      <c r="V2728" s="1357">
        <v>57</v>
      </c>
    </row>
    <row r="2729" spans="1:22" s="841" customFormat="1" ht="15" x14ac:dyDescent="0.25">
      <c r="A2729" s="841" t="s">
        <v>425</v>
      </c>
      <c r="E2729" s="1690" t="s">
        <v>32</v>
      </c>
      <c r="F2729" s="1690"/>
      <c r="G2729" s="1365" t="s">
        <v>23</v>
      </c>
      <c r="H2729" s="733">
        <v>0.25</v>
      </c>
      <c r="K2729" s="841" t="s">
        <v>3457</v>
      </c>
      <c r="L2729" s="841" t="s">
        <v>3046</v>
      </c>
      <c r="M2729" s="1357"/>
      <c r="P2729" s="841" t="s">
        <v>3466</v>
      </c>
      <c r="Q2729" s="1357"/>
      <c r="S2729" s="1420"/>
      <c r="T2729" s="1420"/>
      <c r="V2729" s="1357">
        <v>63</v>
      </c>
    </row>
    <row r="2730" spans="1:22" s="841" customFormat="1" x14ac:dyDescent="0.25">
      <c r="A2730" s="841" t="s">
        <v>425</v>
      </c>
      <c r="E2730" s="1909" t="s">
        <v>629</v>
      </c>
      <c r="F2730" s="1923"/>
      <c r="G2730" s="1923"/>
      <c r="H2730" s="1923"/>
      <c r="K2730" s="841" t="s">
        <v>3467</v>
      </c>
      <c r="M2730" s="1357"/>
      <c r="Q2730" s="1357"/>
      <c r="S2730" s="1420"/>
      <c r="T2730" s="1420"/>
      <c r="V2730" s="1357">
        <v>40</v>
      </c>
    </row>
    <row r="2731" spans="1:22" s="841" customFormat="1" ht="15" x14ac:dyDescent="0.25">
      <c r="A2731" s="841" t="s">
        <v>425</v>
      </c>
      <c r="E2731" s="1689" t="s">
        <v>3251</v>
      </c>
      <c r="F2731" s="1689"/>
      <c r="G2731" s="1689"/>
      <c r="H2731" s="1689"/>
      <c r="K2731" s="841" t="s">
        <v>3467</v>
      </c>
      <c r="M2731" s="1357"/>
      <c r="Q2731" s="1357"/>
      <c r="S2731" s="1420"/>
      <c r="T2731" s="1420"/>
      <c r="V2731" s="1357">
        <v>253</v>
      </c>
    </row>
    <row r="2732" spans="1:22" s="841" customFormat="1" ht="15" x14ac:dyDescent="0.25">
      <c r="A2732" s="841" t="s">
        <v>425</v>
      </c>
      <c r="E2732" s="1916" t="s">
        <v>3061</v>
      </c>
      <c r="F2732" s="1689"/>
      <c r="G2732" s="1689"/>
      <c r="H2732" s="1689"/>
      <c r="K2732" s="841" t="s">
        <v>3114</v>
      </c>
      <c r="M2732" s="1357"/>
      <c r="Q2732" s="1357"/>
      <c r="S2732" s="1420"/>
      <c r="T2732" s="1420"/>
      <c r="V2732" s="1357">
        <v>11</v>
      </c>
    </row>
    <row r="2733" spans="1:22" s="841" customFormat="1" ht="15" x14ac:dyDescent="0.25">
      <c r="A2733" s="841" t="s">
        <v>425</v>
      </c>
      <c r="E2733" s="1689" t="s">
        <v>3063</v>
      </c>
      <c r="F2733" s="1689"/>
      <c r="G2733" s="1689"/>
      <c r="H2733" s="1689"/>
      <c r="K2733" s="841" t="s">
        <v>3467</v>
      </c>
      <c r="M2733" s="1357"/>
      <c r="Q2733" s="1357"/>
      <c r="S2733" s="1420"/>
      <c r="T2733" s="1420"/>
      <c r="V2733" s="1357">
        <v>280</v>
      </c>
    </row>
    <row r="2734" spans="1:22" s="841" customFormat="1" ht="15" x14ac:dyDescent="0.25">
      <c r="A2734" s="841" t="s">
        <v>425</v>
      </c>
      <c r="E2734" s="1689" t="s">
        <v>3064</v>
      </c>
      <c r="F2734" s="1689"/>
      <c r="G2734" s="1689"/>
      <c r="H2734" s="1689"/>
      <c r="K2734" s="841" t="s">
        <v>3467</v>
      </c>
      <c r="M2734" s="1357"/>
      <c r="Q2734" s="1357"/>
      <c r="S2734" s="1420"/>
      <c r="T2734" s="1420"/>
      <c r="V2734" s="1357">
        <v>411</v>
      </c>
    </row>
    <row r="2735" spans="1:22" s="841" customFormat="1" ht="15" x14ac:dyDescent="0.25">
      <c r="A2735" s="841" t="s">
        <v>425</v>
      </c>
      <c r="E2735" s="1689" t="s">
        <v>3199</v>
      </c>
      <c r="F2735" s="1689"/>
      <c r="G2735" s="1689"/>
      <c r="H2735" s="1689"/>
      <c r="K2735" s="841" t="s">
        <v>3467</v>
      </c>
      <c r="M2735" s="1357"/>
      <c r="Q2735" s="1357"/>
      <c r="S2735" s="1420"/>
      <c r="T2735" s="1420"/>
      <c r="V2735" s="1357">
        <v>386</v>
      </c>
    </row>
    <row r="2736" spans="1:22" s="841" customFormat="1" ht="15" x14ac:dyDescent="0.25">
      <c r="A2736" s="841" t="s">
        <v>425</v>
      </c>
      <c r="E2736" s="1689" t="s">
        <v>3066</v>
      </c>
      <c r="F2736" s="1689"/>
      <c r="G2736" s="1689"/>
      <c r="H2736" s="1689"/>
      <c r="K2736" s="841" t="s">
        <v>3467</v>
      </c>
      <c r="M2736" s="1357"/>
      <c r="Q2736" s="1357"/>
      <c r="S2736" s="1420"/>
      <c r="T2736" s="1420"/>
      <c r="V2736" s="1357">
        <v>275</v>
      </c>
    </row>
    <row r="2737" spans="1:22" s="841" customFormat="1" ht="15" x14ac:dyDescent="0.25">
      <c r="A2737" s="841" t="s">
        <v>425</v>
      </c>
      <c r="E2737" s="1694" t="s">
        <v>3067</v>
      </c>
      <c r="F2737" s="1907"/>
      <c r="G2737" s="1907"/>
      <c r="H2737" s="1907"/>
      <c r="K2737" s="841" t="s">
        <v>3115</v>
      </c>
      <c r="M2737" s="1357"/>
      <c r="Q2737" s="1357"/>
      <c r="S2737" s="1420"/>
      <c r="T2737" s="1420"/>
      <c r="V2737" s="1357">
        <v>46</v>
      </c>
    </row>
    <row r="2738" spans="1:22" s="841" customFormat="1" ht="15" x14ac:dyDescent="0.25">
      <c r="A2738" s="841" t="s">
        <v>425</v>
      </c>
      <c r="E2738" s="1690" t="s">
        <v>11</v>
      </c>
      <c r="F2738" s="1690"/>
      <c r="G2738" s="1365" t="s">
        <v>23</v>
      </c>
      <c r="H2738" s="391">
        <v>7.51</v>
      </c>
      <c r="K2738" s="841" t="s">
        <v>3467</v>
      </c>
      <c r="L2738" s="841" t="s">
        <v>442</v>
      </c>
      <c r="M2738" s="1357"/>
      <c r="P2738" s="841" t="s">
        <v>3468</v>
      </c>
      <c r="Q2738" s="1357"/>
      <c r="S2738" s="1420"/>
      <c r="T2738" s="1420"/>
      <c r="V2738" s="1357">
        <v>14</v>
      </c>
    </row>
    <row r="2739" spans="1:22" s="841" customFormat="1" ht="15" x14ac:dyDescent="0.25">
      <c r="A2739" s="841" t="s">
        <v>425</v>
      </c>
      <c r="E2739" s="1690" t="s">
        <v>84</v>
      </c>
      <c r="F2739" s="1690"/>
      <c r="G2739" s="1365" t="s">
        <v>33</v>
      </c>
      <c r="H2739" s="393">
        <v>0.67279999999999995</v>
      </c>
      <c r="K2739" s="841" t="s">
        <v>3467</v>
      </c>
      <c r="L2739" s="841" t="s">
        <v>442</v>
      </c>
      <c r="M2739" s="1357"/>
      <c r="P2739" s="841" t="s">
        <v>3469</v>
      </c>
      <c r="Q2739" s="1357"/>
      <c r="S2739" s="1420"/>
      <c r="T2739" s="1420"/>
      <c r="V2739" s="1357">
        <v>28</v>
      </c>
    </row>
    <row r="2740" spans="1:22" s="841" customFormat="1" ht="15" x14ac:dyDescent="0.25">
      <c r="A2740" s="841" t="s">
        <v>425</v>
      </c>
      <c r="E2740" s="1690" t="s">
        <v>18</v>
      </c>
      <c r="F2740" s="1690"/>
      <c r="G2740" s="1365" t="s">
        <v>33</v>
      </c>
      <c r="H2740" s="732">
        <v>0.46610000000000001</v>
      </c>
      <c r="K2740" s="841" t="s">
        <v>3467</v>
      </c>
      <c r="L2740" s="841" t="s">
        <v>443</v>
      </c>
      <c r="M2740" s="1357"/>
      <c r="P2740" s="841" t="s">
        <v>3470</v>
      </c>
      <c r="Q2740" s="1357"/>
      <c r="S2740" s="1420"/>
      <c r="T2740" s="1420"/>
      <c r="V2740" s="1357">
        <v>24</v>
      </c>
    </row>
    <row r="2741" spans="1:22" s="841" customFormat="1" ht="15" x14ac:dyDescent="0.25">
      <c r="A2741" s="841" t="s">
        <v>425</v>
      </c>
      <c r="E2741" s="1904" t="s">
        <v>5129</v>
      </c>
      <c r="F2741" s="1962"/>
      <c r="G2741" s="1365" t="s">
        <v>24</v>
      </c>
      <c r="H2741" s="732">
        <v>2.0999999999999999E-3</v>
      </c>
      <c r="K2741" s="841" t="s">
        <v>3467</v>
      </c>
      <c r="L2741" s="841" t="s">
        <v>443</v>
      </c>
      <c r="M2741" s="1357"/>
      <c r="P2741" s="841" t="s">
        <v>4194</v>
      </c>
      <c r="Q2741" s="1357"/>
      <c r="S2741" s="1420"/>
      <c r="T2741" s="1420">
        <v>43585</v>
      </c>
      <c r="V2741" s="1357">
        <v>139</v>
      </c>
    </row>
    <row r="2742" spans="1:22" s="841" customFormat="1" ht="15" x14ac:dyDescent="0.25">
      <c r="A2742" s="841" t="s">
        <v>425</v>
      </c>
      <c r="E2742" s="1690" t="s">
        <v>5130</v>
      </c>
      <c r="F2742" s="1908"/>
      <c r="G2742" s="1365" t="s">
        <v>33</v>
      </c>
      <c r="H2742" s="732">
        <v>0.15540000000000001</v>
      </c>
      <c r="K2742" s="841" t="s">
        <v>3467</v>
      </c>
      <c r="L2742" s="841" t="s">
        <v>443</v>
      </c>
      <c r="M2742" s="1357"/>
      <c r="P2742" s="841" t="s">
        <v>3880</v>
      </c>
      <c r="Q2742" s="1357"/>
      <c r="S2742" s="1420"/>
      <c r="T2742" s="1420">
        <v>43585</v>
      </c>
      <c r="V2742" s="1357">
        <v>96</v>
      </c>
    </row>
    <row r="2743" spans="1:22" s="841" customFormat="1" ht="15" x14ac:dyDescent="0.25">
      <c r="A2743" s="841" t="s">
        <v>425</v>
      </c>
      <c r="E2743" s="1690" t="s">
        <v>221</v>
      </c>
      <c r="F2743" s="1690"/>
      <c r="G2743" s="1365" t="s">
        <v>33</v>
      </c>
      <c r="H2743" s="393">
        <v>1.9121999999999999</v>
      </c>
      <c r="K2743" s="841" t="s">
        <v>3467</v>
      </c>
      <c r="L2743" s="841" t="s">
        <v>444</v>
      </c>
      <c r="M2743" s="1357"/>
      <c r="P2743" s="841" t="s">
        <v>3472</v>
      </c>
      <c r="Q2743" s="1357"/>
      <c r="S2743" s="1420"/>
      <c r="T2743" s="1420"/>
      <c r="V2743" s="1357">
        <v>47</v>
      </c>
    </row>
    <row r="2744" spans="1:22" s="841" customFormat="1" ht="15" x14ac:dyDescent="0.25">
      <c r="A2744" s="841" t="s">
        <v>425</v>
      </c>
      <c r="E2744" s="1690" t="s">
        <v>217</v>
      </c>
      <c r="F2744" s="1690"/>
      <c r="G2744" s="1365" t="s">
        <v>33</v>
      </c>
      <c r="H2744" s="393">
        <v>1.6358999999999999</v>
      </c>
      <c r="K2744" s="841" t="s">
        <v>3467</v>
      </c>
      <c r="L2744" s="841" t="s">
        <v>444</v>
      </c>
      <c r="M2744" s="1357"/>
      <c r="P2744" s="841" t="s">
        <v>3473</v>
      </c>
      <c r="Q2744" s="1357"/>
      <c r="S2744" s="1420"/>
      <c r="T2744" s="1420"/>
      <c r="V2744" s="1357">
        <v>74</v>
      </c>
    </row>
    <row r="2745" spans="1:22" s="841" customFormat="1" ht="15" x14ac:dyDescent="0.25">
      <c r="A2745" s="841" t="s">
        <v>425</v>
      </c>
      <c r="E2745" s="1694" t="s">
        <v>3079</v>
      </c>
      <c r="F2745" s="1690"/>
      <c r="G2745" s="1690"/>
      <c r="H2745" s="1690"/>
      <c r="K2745" s="841" t="s">
        <v>3122</v>
      </c>
      <c r="M2745" s="1357"/>
      <c r="Q2745" s="1357"/>
      <c r="S2745" s="1420"/>
      <c r="T2745" s="1420"/>
      <c r="V2745" s="1357">
        <v>48</v>
      </c>
    </row>
    <row r="2746" spans="1:22" s="841" customFormat="1" ht="15" x14ac:dyDescent="0.25">
      <c r="A2746" s="841" t="s">
        <v>425</v>
      </c>
      <c r="E2746" s="1690" t="s">
        <v>2449</v>
      </c>
      <c r="F2746" s="1690"/>
      <c r="G2746" s="1365" t="s">
        <v>24</v>
      </c>
      <c r="H2746" s="732">
        <v>3.2000000000000002E-3</v>
      </c>
      <c r="K2746" s="841" t="s">
        <v>3467</v>
      </c>
      <c r="L2746" s="841" t="s">
        <v>3046</v>
      </c>
      <c r="M2746" s="1357"/>
      <c r="P2746" s="841" t="s">
        <v>3474</v>
      </c>
      <c r="Q2746" s="1357"/>
      <c r="S2746" s="1420"/>
      <c r="T2746" s="1420"/>
      <c r="V2746" s="1357">
        <v>55</v>
      </c>
    </row>
    <row r="2747" spans="1:22" s="841" customFormat="1" ht="15" x14ac:dyDescent="0.25">
      <c r="A2747" s="841" t="s">
        <v>425</v>
      </c>
      <c r="E2747" s="1690" t="s">
        <v>2450</v>
      </c>
      <c r="F2747" s="1690"/>
      <c r="G2747" s="1365" t="s">
        <v>24</v>
      </c>
      <c r="H2747" s="732">
        <v>4.0000000000000002E-4</v>
      </c>
      <c r="K2747" s="841" t="s">
        <v>3467</v>
      </c>
      <c r="L2747" s="841" t="s">
        <v>3046</v>
      </c>
      <c r="M2747" s="1357"/>
      <c r="P2747" s="841" t="s">
        <v>3474</v>
      </c>
      <c r="Q2747" s="1357"/>
      <c r="S2747" s="1420"/>
      <c r="T2747" s="1420"/>
      <c r="V2747" s="1357">
        <v>65</v>
      </c>
    </row>
    <row r="2748" spans="1:22" s="841" customFormat="1" ht="15" x14ac:dyDescent="0.25">
      <c r="A2748" s="841" t="s">
        <v>425</v>
      </c>
      <c r="E2748" s="1690" t="s">
        <v>439</v>
      </c>
      <c r="F2748" s="1690"/>
      <c r="G2748" s="1365" t="s">
        <v>24</v>
      </c>
      <c r="H2748" s="732">
        <v>2.9999999999999997E-4</v>
      </c>
      <c r="K2748" s="841" t="s">
        <v>3467</v>
      </c>
      <c r="L2748" s="841" t="s">
        <v>3046</v>
      </c>
      <c r="M2748" s="1357"/>
      <c r="P2748" s="841" t="s">
        <v>3475</v>
      </c>
      <c r="Q2748" s="1357"/>
      <c r="S2748" s="1420"/>
      <c r="T2748" s="1420"/>
      <c r="V2748" s="1357">
        <v>57</v>
      </c>
    </row>
    <row r="2749" spans="1:22" s="841" customFormat="1" ht="15" x14ac:dyDescent="0.25">
      <c r="A2749" s="841" t="s">
        <v>425</v>
      </c>
      <c r="E2749" s="1690" t="s">
        <v>32</v>
      </c>
      <c r="F2749" s="1690"/>
      <c r="G2749" s="1365" t="s">
        <v>23</v>
      </c>
      <c r="H2749" s="733">
        <v>0.25</v>
      </c>
      <c r="K2749" s="841" t="s">
        <v>3467</v>
      </c>
      <c r="L2749" s="841" t="s">
        <v>3046</v>
      </c>
      <c r="M2749" s="1357"/>
      <c r="P2749" s="841" t="s">
        <v>3476</v>
      </c>
      <c r="Q2749" s="1357"/>
      <c r="S2749" s="1420"/>
      <c r="T2749" s="1420"/>
      <c r="V2749" s="1357">
        <v>63</v>
      </c>
    </row>
    <row r="2750" spans="1:22" s="841" customFormat="1" x14ac:dyDescent="0.25">
      <c r="A2750" s="841" t="s">
        <v>425</v>
      </c>
      <c r="E2750" s="1909" t="s">
        <v>615</v>
      </c>
      <c r="F2750" s="1923"/>
      <c r="G2750" s="1923"/>
      <c r="H2750" s="1923"/>
      <c r="K2750" s="841" t="s">
        <v>3477</v>
      </c>
      <c r="M2750" s="1357"/>
      <c r="Q2750" s="1357"/>
      <c r="S2750" s="1420"/>
      <c r="T2750" s="1420"/>
      <c r="V2750" s="1357">
        <v>38</v>
      </c>
    </row>
    <row r="2751" spans="1:22" s="841" customFormat="1" ht="15" x14ac:dyDescent="0.25">
      <c r="A2751" s="841" t="s">
        <v>425</v>
      </c>
      <c r="E2751" s="1689" t="s">
        <v>4064</v>
      </c>
      <c r="F2751" s="1689"/>
      <c r="G2751" s="1689"/>
      <c r="H2751" s="1689"/>
      <c r="K2751" s="841" t="s">
        <v>3477</v>
      </c>
      <c r="M2751" s="1357"/>
      <c r="Q2751" s="1357"/>
      <c r="S2751" s="1420"/>
      <c r="T2751" s="1420"/>
      <c r="V2751" s="1357">
        <v>542</v>
      </c>
    </row>
    <row r="2752" spans="1:22" s="841" customFormat="1" ht="15" x14ac:dyDescent="0.25">
      <c r="A2752" s="841" t="s">
        <v>425</v>
      </c>
      <c r="E2752" s="1916" t="s">
        <v>3061</v>
      </c>
      <c r="F2752" s="1689"/>
      <c r="G2752" s="1689"/>
      <c r="H2752" s="1689"/>
      <c r="K2752" s="841" t="s">
        <v>3128</v>
      </c>
      <c r="M2752" s="1357"/>
      <c r="Q2752" s="1357"/>
      <c r="S2752" s="1420"/>
      <c r="T2752" s="1420"/>
      <c r="V2752" s="1357">
        <v>11</v>
      </c>
    </row>
    <row r="2753" spans="1:22" s="841" customFormat="1" ht="15" x14ac:dyDescent="0.25">
      <c r="A2753" s="841" t="s">
        <v>425</v>
      </c>
      <c r="E2753" s="1689" t="s">
        <v>3063</v>
      </c>
      <c r="F2753" s="1689"/>
      <c r="G2753" s="1689"/>
      <c r="H2753" s="1689"/>
      <c r="K2753" s="841" t="s">
        <v>3477</v>
      </c>
      <c r="M2753" s="1357"/>
      <c r="Q2753" s="1357"/>
      <c r="S2753" s="1420"/>
      <c r="T2753" s="1420"/>
      <c r="V2753" s="1357">
        <v>280</v>
      </c>
    </row>
    <row r="2754" spans="1:22" s="841" customFormat="1" ht="15" x14ac:dyDescent="0.25">
      <c r="A2754" s="841" t="s">
        <v>425</v>
      </c>
      <c r="E2754" s="1689" t="s">
        <v>3064</v>
      </c>
      <c r="F2754" s="1689"/>
      <c r="G2754" s="1689"/>
      <c r="H2754" s="1689"/>
      <c r="K2754" s="841" t="s">
        <v>3477</v>
      </c>
      <c r="M2754" s="1357"/>
      <c r="Q2754" s="1357"/>
      <c r="S2754" s="1420"/>
      <c r="T2754" s="1420"/>
      <c r="V2754" s="1357">
        <v>411</v>
      </c>
    </row>
    <row r="2755" spans="1:22" s="841" customFormat="1" ht="15" x14ac:dyDescent="0.25">
      <c r="A2755" s="841" t="s">
        <v>425</v>
      </c>
      <c r="E2755" s="1689" t="s">
        <v>3199</v>
      </c>
      <c r="F2755" s="1689"/>
      <c r="G2755" s="1689"/>
      <c r="H2755" s="1689"/>
      <c r="K2755" s="841" t="s">
        <v>3477</v>
      </c>
      <c r="M2755" s="1357"/>
      <c r="Q2755" s="1357"/>
      <c r="S2755" s="1420"/>
      <c r="T2755" s="1420"/>
      <c r="V2755" s="1357">
        <v>386</v>
      </c>
    </row>
    <row r="2756" spans="1:22" s="841" customFormat="1" ht="15" x14ac:dyDescent="0.25">
      <c r="A2756" s="841" t="s">
        <v>425</v>
      </c>
      <c r="E2756" s="1689" t="s">
        <v>3066</v>
      </c>
      <c r="F2756" s="1689"/>
      <c r="G2756" s="1689"/>
      <c r="H2756" s="1689"/>
      <c r="K2756" s="841" t="s">
        <v>3477</v>
      </c>
      <c r="M2756" s="1357"/>
      <c r="Q2756" s="1357"/>
      <c r="S2756" s="1420"/>
      <c r="T2756" s="1420"/>
      <c r="V2756" s="1357">
        <v>275</v>
      </c>
    </row>
    <row r="2757" spans="1:22" s="841" customFormat="1" ht="15" x14ac:dyDescent="0.25">
      <c r="A2757" s="841" t="s">
        <v>425</v>
      </c>
      <c r="E2757" s="1694" t="s">
        <v>3067</v>
      </c>
      <c r="F2757" s="1907"/>
      <c r="G2757" s="1907"/>
      <c r="H2757" s="1907"/>
      <c r="K2757" s="841" t="s">
        <v>3130</v>
      </c>
      <c r="M2757" s="1357"/>
      <c r="Q2757" s="1357"/>
      <c r="S2757" s="1420"/>
      <c r="T2757" s="1420"/>
      <c r="V2757" s="1357">
        <v>46</v>
      </c>
    </row>
    <row r="2758" spans="1:22" s="841" customFormat="1" ht="15" x14ac:dyDescent="0.25">
      <c r="A2758" s="841" t="s">
        <v>425</v>
      </c>
      <c r="E2758" s="1690" t="s">
        <v>11</v>
      </c>
      <c r="F2758" s="1690"/>
      <c r="G2758" s="1365" t="s">
        <v>23</v>
      </c>
      <c r="H2758" s="391">
        <v>1.1399999999999999</v>
      </c>
      <c r="K2758" s="841" t="s">
        <v>3477</v>
      </c>
      <c r="L2758" s="841" t="s">
        <v>442</v>
      </c>
      <c r="M2758" s="1357"/>
      <c r="P2758" s="841" t="s">
        <v>3478</v>
      </c>
      <c r="Q2758" s="1357"/>
      <c r="S2758" s="1420"/>
      <c r="T2758" s="1420"/>
      <c r="V2758" s="1357">
        <v>14</v>
      </c>
    </row>
    <row r="2759" spans="1:22" s="841" customFormat="1" ht="15" x14ac:dyDescent="0.25">
      <c r="A2759" s="841" t="s">
        <v>425</v>
      </c>
      <c r="E2759" s="1690" t="s">
        <v>84</v>
      </c>
      <c r="F2759" s="1690"/>
      <c r="G2759" s="1365" t="s">
        <v>33</v>
      </c>
      <c r="H2759" s="393">
        <v>0.95940000000000003</v>
      </c>
      <c r="K2759" s="841" t="s">
        <v>3477</v>
      </c>
      <c r="L2759" s="841" t="s">
        <v>442</v>
      </c>
      <c r="M2759" s="1357"/>
      <c r="P2759" s="841" t="s">
        <v>3479</v>
      </c>
      <c r="Q2759" s="1357"/>
      <c r="S2759" s="1420"/>
      <c r="T2759" s="1420"/>
      <c r="V2759" s="1357">
        <v>28</v>
      </c>
    </row>
    <row r="2760" spans="1:22" s="841" customFormat="1" ht="15" x14ac:dyDescent="0.25">
      <c r="A2760" s="841" t="s">
        <v>425</v>
      </c>
      <c r="E2760" s="1690" t="s">
        <v>18</v>
      </c>
      <c r="F2760" s="1690"/>
      <c r="G2760" s="1365" t="s">
        <v>33</v>
      </c>
      <c r="H2760" s="732">
        <v>0.45519999999999999</v>
      </c>
      <c r="K2760" s="841" t="s">
        <v>3477</v>
      </c>
      <c r="L2760" s="841" t="s">
        <v>443</v>
      </c>
      <c r="M2760" s="1357"/>
      <c r="P2760" s="841" t="s">
        <v>3480</v>
      </c>
      <c r="Q2760" s="1357"/>
      <c r="S2760" s="1420"/>
      <c r="T2760" s="1420"/>
      <c r="V2760" s="1357">
        <v>24</v>
      </c>
    </row>
    <row r="2761" spans="1:22" s="841" customFormat="1" ht="15" x14ac:dyDescent="0.25">
      <c r="A2761" s="841" t="s">
        <v>425</v>
      </c>
      <c r="E2761" s="1904" t="s">
        <v>5129</v>
      </c>
      <c r="F2761" s="1962"/>
      <c r="G2761" s="1365" t="s">
        <v>24</v>
      </c>
      <c r="H2761" s="732">
        <v>2.0999999999999999E-3</v>
      </c>
      <c r="K2761" s="841" t="s">
        <v>3477</v>
      </c>
      <c r="L2761" s="841" t="s">
        <v>443</v>
      </c>
      <c r="M2761" s="1357"/>
      <c r="P2761" s="841" t="s">
        <v>4196</v>
      </c>
      <c r="Q2761" s="1357"/>
      <c r="S2761" s="1420"/>
      <c r="T2761" s="1420">
        <v>43585</v>
      </c>
      <c r="V2761" s="1357">
        <v>139</v>
      </c>
    </row>
    <row r="2762" spans="1:22" s="841" customFormat="1" ht="15" x14ac:dyDescent="0.25">
      <c r="A2762" s="841" t="s">
        <v>425</v>
      </c>
      <c r="E2762" s="1690" t="s">
        <v>5130</v>
      </c>
      <c r="F2762" s="1908"/>
      <c r="G2762" s="1365" t="s">
        <v>33</v>
      </c>
      <c r="H2762" s="732">
        <v>0.1454</v>
      </c>
      <c r="K2762" s="841" t="s">
        <v>3477</v>
      </c>
      <c r="L2762" s="841" t="s">
        <v>443</v>
      </c>
      <c r="M2762" s="1357"/>
      <c r="P2762" s="841" t="s">
        <v>3882</v>
      </c>
      <c r="Q2762" s="1357"/>
      <c r="S2762" s="1420"/>
      <c r="T2762" s="1420">
        <v>43585</v>
      </c>
      <c r="V2762" s="1357">
        <v>96</v>
      </c>
    </row>
    <row r="2763" spans="1:22" s="841" customFormat="1" ht="15" x14ac:dyDescent="0.25">
      <c r="A2763" s="841" t="s">
        <v>425</v>
      </c>
      <c r="E2763" s="1690" t="s">
        <v>221</v>
      </c>
      <c r="F2763" s="1690"/>
      <c r="G2763" s="1365" t="s">
        <v>33</v>
      </c>
      <c r="H2763" s="393">
        <v>1.8926000000000001</v>
      </c>
      <c r="K2763" s="841" t="s">
        <v>3477</v>
      </c>
      <c r="L2763" s="841" t="s">
        <v>444</v>
      </c>
      <c r="M2763" s="1357"/>
      <c r="P2763" s="841" t="s">
        <v>3482</v>
      </c>
      <c r="Q2763" s="1357"/>
      <c r="S2763" s="1420"/>
      <c r="T2763" s="1420"/>
      <c r="V2763" s="1357">
        <v>47</v>
      </c>
    </row>
    <row r="2764" spans="1:22" s="841" customFormat="1" ht="15" x14ac:dyDescent="0.25">
      <c r="A2764" s="841" t="s">
        <v>425</v>
      </c>
      <c r="E2764" s="1690" t="s">
        <v>217</v>
      </c>
      <c r="F2764" s="1690"/>
      <c r="G2764" s="1365" t="s">
        <v>33</v>
      </c>
      <c r="H2764" s="393">
        <v>1.5978000000000001</v>
      </c>
      <c r="K2764" s="841" t="s">
        <v>3477</v>
      </c>
      <c r="L2764" s="841" t="s">
        <v>444</v>
      </c>
      <c r="M2764" s="1357"/>
      <c r="P2764" s="841" t="s">
        <v>3483</v>
      </c>
      <c r="Q2764" s="1357"/>
      <c r="S2764" s="1420"/>
      <c r="T2764" s="1420"/>
      <c r="V2764" s="1357">
        <v>74</v>
      </c>
    </row>
    <row r="2765" spans="1:22" s="841" customFormat="1" ht="15" x14ac:dyDescent="0.25">
      <c r="A2765" s="841" t="s">
        <v>425</v>
      </c>
      <c r="E2765" s="1694" t="s">
        <v>3079</v>
      </c>
      <c r="F2765" s="1690"/>
      <c r="G2765" s="1690"/>
      <c r="H2765" s="1690"/>
      <c r="K2765" s="841" t="s">
        <v>3260</v>
      </c>
      <c r="M2765" s="1357"/>
      <c r="Q2765" s="1357"/>
      <c r="S2765" s="1420"/>
      <c r="T2765" s="1420"/>
      <c r="V2765" s="1357">
        <v>48</v>
      </c>
    </row>
    <row r="2766" spans="1:22" s="841" customFormat="1" ht="15" x14ac:dyDescent="0.25">
      <c r="A2766" s="841" t="s">
        <v>425</v>
      </c>
      <c r="E2766" s="1690" t="s">
        <v>2449</v>
      </c>
      <c r="F2766" s="1690"/>
      <c r="G2766" s="1365" t="s">
        <v>24</v>
      </c>
      <c r="H2766" s="732">
        <v>3.2000000000000002E-3</v>
      </c>
      <c r="K2766" s="841" t="s">
        <v>3477</v>
      </c>
      <c r="L2766" s="841" t="s">
        <v>3046</v>
      </c>
      <c r="M2766" s="1357"/>
      <c r="P2766" s="841" t="s">
        <v>3484</v>
      </c>
      <c r="Q2766" s="1357"/>
      <c r="S2766" s="1420"/>
      <c r="T2766" s="1420"/>
      <c r="V2766" s="1357">
        <v>55</v>
      </c>
    </row>
    <row r="2767" spans="1:22" s="841" customFormat="1" ht="15" x14ac:dyDescent="0.25">
      <c r="A2767" s="841" t="s">
        <v>425</v>
      </c>
      <c r="E2767" s="1690" t="s">
        <v>2450</v>
      </c>
      <c r="F2767" s="1690"/>
      <c r="G2767" s="1365" t="s">
        <v>24</v>
      </c>
      <c r="H2767" s="732">
        <v>4.0000000000000002E-4</v>
      </c>
      <c r="K2767" s="841" t="s">
        <v>3477</v>
      </c>
      <c r="L2767" s="841" t="s">
        <v>3046</v>
      </c>
      <c r="M2767" s="1357"/>
      <c r="P2767" s="841" t="s">
        <v>3484</v>
      </c>
      <c r="Q2767" s="1357"/>
      <c r="S2767" s="1420"/>
      <c r="T2767" s="1420"/>
      <c r="V2767" s="1357">
        <v>65</v>
      </c>
    </row>
    <row r="2768" spans="1:22" s="841" customFormat="1" ht="15" x14ac:dyDescent="0.25">
      <c r="A2768" s="841" t="s">
        <v>425</v>
      </c>
      <c r="E2768" s="1690" t="s">
        <v>439</v>
      </c>
      <c r="F2768" s="1690"/>
      <c r="G2768" s="1365" t="s">
        <v>24</v>
      </c>
      <c r="H2768" s="732">
        <v>2.9999999999999997E-4</v>
      </c>
      <c r="K2768" s="841" t="s">
        <v>3477</v>
      </c>
      <c r="L2768" s="841" t="s">
        <v>3046</v>
      </c>
      <c r="M2768" s="1357"/>
      <c r="P2768" s="841" t="s">
        <v>3485</v>
      </c>
      <c r="Q2768" s="1357"/>
      <c r="S2768" s="1420"/>
      <c r="T2768" s="1420"/>
      <c r="V2768" s="1357">
        <v>57</v>
      </c>
    </row>
    <row r="2769" spans="1:22" s="841" customFormat="1" ht="15" x14ac:dyDescent="0.25">
      <c r="A2769" s="841" t="s">
        <v>425</v>
      </c>
      <c r="E2769" s="1690" t="s">
        <v>32</v>
      </c>
      <c r="F2769" s="1690"/>
      <c r="G2769" s="1365" t="s">
        <v>23</v>
      </c>
      <c r="H2769" s="733">
        <v>0.25</v>
      </c>
      <c r="K2769" s="841" t="s">
        <v>3477</v>
      </c>
      <c r="L2769" s="841" t="s">
        <v>3046</v>
      </c>
      <c r="M2769" s="1357"/>
      <c r="P2769" s="841" t="s">
        <v>3486</v>
      </c>
      <c r="Q2769" s="1357"/>
      <c r="S2769" s="1420"/>
      <c r="T2769" s="1420"/>
      <c r="V2769" s="1357">
        <v>63</v>
      </c>
    </row>
    <row r="2770" spans="1:22" s="841" customFormat="1" x14ac:dyDescent="0.25">
      <c r="A2770" s="841" t="s">
        <v>425</v>
      </c>
      <c r="E2770" s="1909" t="s">
        <v>622</v>
      </c>
      <c r="F2770" s="1923"/>
      <c r="G2770" s="1923"/>
      <c r="H2770" s="1923"/>
      <c r="K2770" s="841" t="s">
        <v>3604</v>
      </c>
      <c r="M2770" s="1357"/>
      <c r="Q2770" s="1357"/>
      <c r="S2770" s="1420"/>
      <c r="T2770" s="1420"/>
      <c r="V2770" s="1357">
        <v>43</v>
      </c>
    </row>
    <row r="2771" spans="1:22" s="841" customFormat="1" ht="15" x14ac:dyDescent="0.25">
      <c r="A2771" s="841" t="s">
        <v>425</v>
      </c>
      <c r="E2771" s="1689" t="s">
        <v>3369</v>
      </c>
      <c r="F2771" s="1689"/>
      <c r="G2771" s="1689"/>
      <c r="H2771" s="1689"/>
      <c r="K2771" s="841" t="s">
        <v>3604</v>
      </c>
      <c r="M2771" s="1357"/>
      <c r="Q2771" s="1357"/>
      <c r="S2771" s="1420"/>
      <c r="T2771" s="1420"/>
      <c r="V2771" s="1357">
        <v>250</v>
      </c>
    </row>
    <row r="2772" spans="1:22" s="841" customFormat="1" ht="15" x14ac:dyDescent="0.25">
      <c r="A2772" s="841" t="s">
        <v>425</v>
      </c>
      <c r="E2772" s="1916" t="s">
        <v>3061</v>
      </c>
      <c r="F2772" s="1689"/>
      <c r="G2772" s="1689"/>
      <c r="H2772" s="1689"/>
      <c r="K2772" s="841" t="s">
        <v>3266</v>
      </c>
      <c r="M2772" s="1357"/>
      <c r="Q2772" s="1357"/>
      <c r="S2772" s="1420"/>
      <c r="T2772" s="1420"/>
      <c r="V2772" s="1357">
        <v>11</v>
      </c>
    </row>
    <row r="2773" spans="1:22" s="841" customFormat="1" ht="15" x14ac:dyDescent="0.25">
      <c r="A2773" s="841" t="s">
        <v>425</v>
      </c>
      <c r="E2773" s="1689" t="s">
        <v>3063</v>
      </c>
      <c r="F2773" s="1689"/>
      <c r="G2773" s="1689"/>
      <c r="H2773" s="1689"/>
      <c r="K2773" s="841" t="s">
        <v>3604</v>
      </c>
      <c r="M2773" s="1357"/>
      <c r="Q2773" s="1357"/>
      <c r="S2773" s="1420"/>
      <c r="T2773" s="1420"/>
      <c r="V2773" s="1357">
        <v>280</v>
      </c>
    </row>
    <row r="2774" spans="1:22" s="841" customFormat="1" ht="15" x14ac:dyDescent="0.25">
      <c r="A2774" s="841" t="s">
        <v>425</v>
      </c>
      <c r="E2774" s="1689" t="s">
        <v>3064</v>
      </c>
      <c r="F2774" s="1689"/>
      <c r="G2774" s="1689"/>
      <c r="H2774" s="1689"/>
      <c r="K2774" s="841" t="s">
        <v>3604</v>
      </c>
      <c r="M2774" s="1357"/>
      <c r="Q2774" s="1357"/>
      <c r="S2774" s="1420"/>
      <c r="T2774" s="1420"/>
      <c r="V2774" s="1357">
        <v>411</v>
      </c>
    </row>
    <row r="2775" spans="1:22" s="841" customFormat="1" ht="15" x14ac:dyDescent="0.25">
      <c r="A2775" s="841" t="s">
        <v>425</v>
      </c>
      <c r="E2775" s="1689" t="s">
        <v>3199</v>
      </c>
      <c r="F2775" s="1689"/>
      <c r="G2775" s="1689"/>
      <c r="H2775" s="1689"/>
      <c r="K2775" s="841" t="s">
        <v>3604</v>
      </c>
      <c r="M2775" s="1357"/>
      <c r="Q2775" s="1357"/>
      <c r="S2775" s="1420"/>
      <c r="T2775" s="1420"/>
      <c r="V2775" s="1357">
        <v>386</v>
      </c>
    </row>
    <row r="2776" spans="1:22" s="841" customFormat="1" ht="15" x14ac:dyDescent="0.25">
      <c r="A2776" s="841" t="s">
        <v>425</v>
      </c>
      <c r="E2776" s="1689" t="s">
        <v>3390</v>
      </c>
      <c r="F2776" s="1689"/>
      <c r="G2776" s="1689"/>
      <c r="H2776" s="1689"/>
      <c r="K2776" s="841" t="s">
        <v>3604</v>
      </c>
      <c r="M2776" s="1357"/>
      <c r="Q2776" s="1357"/>
      <c r="S2776" s="1420"/>
      <c r="T2776" s="1420"/>
      <c r="V2776" s="1357">
        <v>274</v>
      </c>
    </row>
    <row r="2777" spans="1:22" s="841" customFormat="1" ht="15" x14ac:dyDescent="0.25">
      <c r="A2777" s="841" t="s">
        <v>425</v>
      </c>
      <c r="E2777" s="1694" t="s">
        <v>3067</v>
      </c>
      <c r="F2777" s="1907"/>
      <c r="G2777" s="1907"/>
      <c r="H2777" s="1907"/>
      <c r="K2777" s="841" t="s">
        <v>3267</v>
      </c>
      <c r="M2777" s="1357"/>
      <c r="Q2777" s="1357"/>
      <c r="S2777" s="1420"/>
      <c r="T2777" s="1420"/>
      <c r="V2777" s="1357">
        <v>46</v>
      </c>
    </row>
    <row r="2778" spans="1:22" s="841" customFormat="1" ht="15" x14ac:dyDescent="0.25">
      <c r="A2778" s="841" t="s">
        <v>425</v>
      </c>
      <c r="E2778" s="1690" t="s">
        <v>11</v>
      </c>
      <c r="F2778" s="1690"/>
      <c r="G2778" s="1365" t="s">
        <v>23</v>
      </c>
      <c r="H2778" s="391">
        <v>132.5</v>
      </c>
      <c r="K2778" s="841" t="s">
        <v>3604</v>
      </c>
      <c r="L2778" s="841" t="s">
        <v>442</v>
      </c>
      <c r="M2778" s="1357"/>
      <c r="P2778" s="841" t="s">
        <v>4406</v>
      </c>
      <c r="Q2778" s="1357"/>
      <c r="S2778" s="1420"/>
      <c r="T2778" s="1420"/>
      <c r="V2778" s="1357">
        <v>14</v>
      </c>
    </row>
    <row r="2779" spans="1:22" s="841" customFormat="1" ht="15" x14ac:dyDescent="0.25">
      <c r="A2779" s="841" t="s">
        <v>425</v>
      </c>
      <c r="E2779" s="1690" t="s">
        <v>18</v>
      </c>
      <c r="F2779" s="1690"/>
      <c r="G2779" s="1365" t="s">
        <v>33</v>
      </c>
      <c r="H2779" s="732">
        <v>0.62009999999999998</v>
      </c>
      <c r="K2779" s="841" t="s">
        <v>3604</v>
      </c>
      <c r="L2779" s="841" t="s">
        <v>443</v>
      </c>
      <c r="M2779" s="1357"/>
      <c r="P2779" s="841" t="s">
        <v>4407</v>
      </c>
      <c r="Q2779" s="1357"/>
      <c r="S2779" s="1420"/>
      <c r="T2779" s="1420"/>
      <c r="V2779" s="1357">
        <v>24</v>
      </c>
    </row>
    <row r="2780" spans="1:22" s="841" customFormat="1" ht="15" x14ac:dyDescent="0.25">
      <c r="A2780" s="841" t="s">
        <v>425</v>
      </c>
      <c r="E2780" s="1904" t="s">
        <v>5129</v>
      </c>
      <c r="F2780" s="1962"/>
      <c r="G2780" s="1365" t="s">
        <v>24</v>
      </c>
      <c r="H2780" s="732">
        <v>2.0999999999999999E-3</v>
      </c>
      <c r="K2780" s="841" t="s">
        <v>3604</v>
      </c>
      <c r="L2780" s="841" t="s">
        <v>443</v>
      </c>
      <c r="M2780" s="1357"/>
      <c r="P2780" s="841" t="s">
        <v>4408</v>
      </c>
      <c r="Q2780" s="1357"/>
      <c r="S2780" s="1420"/>
      <c r="T2780" s="1420">
        <v>43585</v>
      </c>
      <c r="V2780" s="1357">
        <v>139</v>
      </c>
    </row>
    <row r="2781" spans="1:22" s="841" customFormat="1" ht="15" x14ac:dyDescent="0.25">
      <c r="A2781" s="841" t="s">
        <v>425</v>
      </c>
      <c r="E2781" s="1690" t="s">
        <v>5130</v>
      </c>
      <c r="F2781" s="1908"/>
      <c r="G2781" s="1365" t="s">
        <v>33</v>
      </c>
      <c r="H2781" s="732">
        <v>0.1976</v>
      </c>
      <c r="K2781" s="841" t="s">
        <v>3604</v>
      </c>
      <c r="L2781" s="841" t="s">
        <v>443</v>
      </c>
      <c r="M2781" s="1357"/>
      <c r="P2781" s="841" t="s">
        <v>4409</v>
      </c>
      <c r="Q2781" s="1357"/>
      <c r="S2781" s="1420"/>
      <c r="T2781" s="1420">
        <v>43585</v>
      </c>
      <c r="V2781" s="1357">
        <v>96</v>
      </c>
    </row>
    <row r="2782" spans="1:22" s="841" customFormat="1" ht="15" x14ac:dyDescent="0.25">
      <c r="A2782" s="841" t="s">
        <v>425</v>
      </c>
      <c r="E2782" s="1690" t="s">
        <v>221</v>
      </c>
      <c r="F2782" s="1690"/>
      <c r="G2782" s="1365" t="s">
        <v>33</v>
      </c>
      <c r="H2782" s="393">
        <v>2.6031</v>
      </c>
      <c r="K2782" s="841" t="s">
        <v>3604</v>
      </c>
      <c r="L2782" s="841" t="s">
        <v>444</v>
      </c>
      <c r="M2782" s="1357"/>
      <c r="P2782" s="841" t="s">
        <v>3607</v>
      </c>
      <c r="Q2782" s="1357"/>
      <c r="S2782" s="1420"/>
      <c r="T2782" s="1420"/>
      <c r="V2782" s="1357">
        <v>47</v>
      </c>
    </row>
    <row r="2783" spans="1:22" s="841" customFormat="1" ht="15" x14ac:dyDescent="0.25">
      <c r="A2783" s="841" t="s">
        <v>425</v>
      </c>
      <c r="E2783" s="1690" t="s">
        <v>217</v>
      </c>
      <c r="F2783" s="1690"/>
      <c r="G2783" s="1365" t="s">
        <v>33</v>
      </c>
      <c r="H2783" s="393">
        <v>2.1766999999999999</v>
      </c>
      <c r="K2783" s="841" t="s">
        <v>3604</v>
      </c>
      <c r="L2783" s="841" t="s">
        <v>444</v>
      </c>
      <c r="M2783" s="1357"/>
      <c r="P2783" s="841" t="s">
        <v>3608</v>
      </c>
      <c r="Q2783" s="1357"/>
      <c r="S2783" s="1420"/>
      <c r="T2783" s="1420"/>
      <c r="V2783" s="1357">
        <v>74</v>
      </c>
    </row>
    <row r="2784" spans="1:22" s="841" customFormat="1" ht="15" x14ac:dyDescent="0.25">
      <c r="A2784" s="841" t="s">
        <v>425</v>
      </c>
      <c r="E2784" s="1694" t="s">
        <v>3079</v>
      </c>
      <c r="F2784" s="1690"/>
      <c r="G2784" s="1690"/>
      <c r="H2784" s="1690"/>
      <c r="K2784" s="841" t="s">
        <v>3276</v>
      </c>
      <c r="M2784" s="1357"/>
      <c r="Q2784" s="1357"/>
      <c r="S2784" s="1420"/>
      <c r="T2784" s="1420"/>
      <c r="V2784" s="1357">
        <v>48</v>
      </c>
    </row>
    <row r="2785" spans="1:22" s="841" customFormat="1" ht="15" x14ac:dyDescent="0.25">
      <c r="A2785" s="841" t="s">
        <v>425</v>
      </c>
      <c r="E2785" s="1690" t="s">
        <v>2449</v>
      </c>
      <c r="F2785" s="1690"/>
      <c r="G2785" s="1365" t="s">
        <v>24</v>
      </c>
      <c r="H2785" s="732">
        <v>3.2000000000000002E-3</v>
      </c>
      <c r="K2785" s="841" t="s">
        <v>3604</v>
      </c>
      <c r="L2785" s="841" t="s">
        <v>3046</v>
      </c>
      <c r="M2785" s="1357"/>
      <c r="P2785" s="841" t="s">
        <v>3609</v>
      </c>
      <c r="Q2785" s="1357"/>
      <c r="S2785" s="1420"/>
      <c r="T2785" s="1420"/>
      <c r="V2785" s="1357">
        <v>55</v>
      </c>
    </row>
    <row r="2786" spans="1:22" s="841" customFormat="1" ht="15" x14ac:dyDescent="0.25">
      <c r="A2786" s="841" t="s">
        <v>425</v>
      </c>
      <c r="E2786" s="1690" t="s">
        <v>2450</v>
      </c>
      <c r="F2786" s="1690"/>
      <c r="G2786" s="1365" t="s">
        <v>24</v>
      </c>
      <c r="H2786" s="732">
        <v>4.0000000000000002E-4</v>
      </c>
      <c r="K2786" s="841" t="s">
        <v>3604</v>
      </c>
      <c r="L2786" s="841" t="s">
        <v>3046</v>
      </c>
      <c r="M2786" s="1357"/>
      <c r="P2786" s="841" t="s">
        <v>3609</v>
      </c>
      <c r="Q2786" s="1357"/>
      <c r="S2786" s="1420"/>
      <c r="T2786" s="1420"/>
      <c r="V2786" s="1357">
        <v>65</v>
      </c>
    </row>
    <row r="2787" spans="1:22" s="841" customFormat="1" ht="15" x14ac:dyDescent="0.25">
      <c r="A2787" s="841" t="s">
        <v>425</v>
      </c>
      <c r="E2787" s="1690" t="s">
        <v>439</v>
      </c>
      <c r="F2787" s="1690"/>
      <c r="G2787" s="1365" t="s">
        <v>24</v>
      </c>
      <c r="H2787" s="732">
        <v>2.9999999999999997E-4</v>
      </c>
      <c r="K2787" s="841" t="s">
        <v>3604</v>
      </c>
      <c r="L2787" s="841" t="s">
        <v>3046</v>
      </c>
      <c r="M2787" s="1357"/>
      <c r="P2787" s="841" t="s">
        <v>3610</v>
      </c>
      <c r="Q2787" s="1357"/>
      <c r="S2787" s="1420"/>
      <c r="T2787" s="1420"/>
      <c r="V2787" s="1357">
        <v>57</v>
      </c>
    </row>
    <row r="2788" spans="1:22" s="841" customFormat="1" ht="15" x14ac:dyDescent="0.25">
      <c r="A2788" s="841" t="s">
        <v>425</v>
      </c>
      <c r="E2788" s="1690" t="s">
        <v>32</v>
      </c>
      <c r="F2788" s="1690"/>
      <c r="G2788" s="1365" t="s">
        <v>23</v>
      </c>
      <c r="H2788" s="733">
        <v>0.25</v>
      </c>
      <c r="K2788" s="841" t="s">
        <v>3604</v>
      </c>
      <c r="L2788" s="841" t="s">
        <v>3046</v>
      </c>
      <c r="M2788" s="1357"/>
      <c r="P2788" s="841" t="s">
        <v>3611</v>
      </c>
      <c r="Q2788" s="1357"/>
      <c r="S2788" s="1420"/>
      <c r="T2788" s="1420"/>
      <c r="V2788" s="1357">
        <v>63</v>
      </c>
    </row>
    <row r="2789" spans="1:22" s="841" customFormat="1" x14ac:dyDescent="0.25">
      <c r="A2789" s="841" t="s">
        <v>425</v>
      </c>
      <c r="E2789" s="1909" t="s">
        <v>631</v>
      </c>
      <c r="F2789" s="1923"/>
      <c r="G2789" s="1923"/>
      <c r="H2789" s="1923"/>
      <c r="K2789" s="841" t="s">
        <v>3342</v>
      </c>
      <c r="M2789" s="1357"/>
      <c r="Q2789" s="1357"/>
      <c r="S2789" s="1420"/>
      <c r="T2789" s="1420"/>
      <c r="V2789" s="1357">
        <v>36</v>
      </c>
    </row>
    <row r="2790" spans="1:22" s="841" customFormat="1" ht="15" x14ac:dyDescent="0.25">
      <c r="A2790" s="841" t="s">
        <v>425</v>
      </c>
      <c r="E2790" s="1689" t="s">
        <v>4410</v>
      </c>
      <c r="F2790" s="1689"/>
      <c r="G2790" s="1689"/>
      <c r="H2790" s="1689"/>
      <c r="K2790" s="841" t="s">
        <v>3342</v>
      </c>
      <c r="M2790" s="1357"/>
      <c r="Q2790" s="1357"/>
      <c r="S2790" s="1420"/>
      <c r="T2790" s="1420"/>
      <c r="V2790" s="1357">
        <v>218</v>
      </c>
    </row>
    <row r="2791" spans="1:22" s="841" customFormat="1" ht="15" x14ac:dyDescent="0.25">
      <c r="A2791" s="841" t="s">
        <v>425</v>
      </c>
      <c r="E2791" s="1916" t="s">
        <v>3061</v>
      </c>
      <c r="F2791" s="1689"/>
      <c r="G2791" s="1689"/>
      <c r="H2791" s="1689"/>
      <c r="K2791" s="841" t="s">
        <v>3281</v>
      </c>
      <c r="M2791" s="1357"/>
      <c r="Q2791" s="1357"/>
      <c r="S2791" s="1420"/>
      <c r="T2791" s="1420"/>
      <c r="V2791" s="1357">
        <v>11</v>
      </c>
    </row>
    <row r="2792" spans="1:22" s="841" customFormat="1" ht="15" x14ac:dyDescent="0.25">
      <c r="A2792" s="841" t="s">
        <v>425</v>
      </c>
      <c r="E2792" s="1689" t="s">
        <v>3063</v>
      </c>
      <c r="F2792" s="1689"/>
      <c r="G2792" s="1689"/>
      <c r="H2792" s="1689"/>
      <c r="K2792" s="841" t="s">
        <v>3342</v>
      </c>
      <c r="M2792" s="1357"/>
      <c r="Q2792" s="1357"/>
      <c r="S2792" s="1420"/>
      <c r="T2792" s="1420"/>
      <c r="V2792" s="1357">
        <v>280</v>
      </c>
    </row>
    <row r="2793" spans="1:22" s="841" customFormat="1" ht="15" x14ac:dyDescent="0.25">
      <c r="A2793" s="841" t="s">
        <v>425</v>
      </c>
      <c r="E2793" s="1689" t="s">
        <v>3064</v>
      </c>
      <c r="F2793" s="1689"/>
      <c r="G2793" s="1689"/>
      <c r="H2793" s="1689"/>
      <c r="K2793" s="841" t="s">
        <v>3342</v>
      </c>
      <c r="M2793" s="1357"/>
      <c r="Q2793" s="1357"/>
      <c r="S2793" s="1420"/>
      <c r="T2793" s="1420"/>
      <c r="V2793" s="1357">
        <v>411</v>
      </c>
    </row>
    <row r="2794" spans="1:22" s="841" customFormat="1" ht="15" x14ac:dyDescent="0.25">
      <c r="A2794" s="841" t="s">
        <v>425</v>
      </c>
      <c r="E2794" s="1689" t="s">
        <v>3199</v>
      </c>
      <c r="F2794" s="1689"/>
      <c r="G2794" s="1689"/>
      <c r="H2794" s="1689"/>
      <c r="K2794" s="841" t="s">
        <v>3342</v>
      </c>
      <c r="M2794" s="1357"/>
      <c r="Q2794" s="1357"/>
      <c r="S2794" s="1420"/>
      <c r="T2794" s="1420"/>
      <c r="V2794" s="1357">
        <v>386</v>
      </c>
    </row>
    <row r="2795" spans="1:22" s="841" customFormat="1" ht="15" x14ac:dyDescent="0.25">
      <c r="A2795" s="841" t="s">
        <v>425</v>
      </c>
      <c r="E2795" s="1689" t="s">
        <v>3390</v>
      </c>
      <c r="F2795" s="1689"/>
      <c r="G2795" s="1689"/>
      <c r="H2795" s="1689"/>
      <c r="K2795" s="841" t="s">
        <v>3342</v>
      </c>
      <c r="M2795" s="1357"/>
      <c r="Q2795" s="1357"/>
      <c r="S2795" s="1420"/>
      <c r="T2795" s="1420"/>
      <c r="V2795" s="1357">
        <v>274</v>
      </c>
    </row>
    <row r="2796" spans="1:22" s="841" customFormat="1" ht="15" x14ac:dyDescent="0.25">
      <c r="A2796" s="841" t="s">
        <v>425</v>
      </c>
      <c r="E2796" s="1694" t="s">
        <v>3067</v>
      </c>
      <c r="F2796" s="1907"/>
      <c r="G2796" s="1907"/>
      <c r="H2796" s="1907"/>
      <c r="K2796" s="841" t="s">
        <v>3282</v>
      </c>
      <c r="M2796" s="1357"/>
      <c r="Q2796" s="1357"/>
      <c r="S2796" s="1420"/>
      <c r="T2796" s="1420"/>
      <c r="V2796" s="1357">
        <v>46</v>
      </c>
    </row>
    <row r="2797" spans="1:22" s="841" customFormat="1" ht="15" x14ac:dyDescent="0.25">
      <c r="A2797" s="841" t="s">
        <v>425</v>
      </c>
      <c r="E2797" s="1690" t="s">
        <v>4411</v>
      </c>
      <c r="F2797" s="1690"/>
      <c r="G2797" s="1365" t="s">
        <v>33</v>
      </c>
      <c r="H2797" s="732">
        <v>3.3126000000000002</v>
      </c>
      <c r="K2797" s="841" t="s">
        <v>3342</v>
      </c>
      <c r="L2797" s="841" t="s">
        <v>442</v>
      </c>
      <c r="M2797" s="1357"/>
      <c r="P2797" s="841" t="s">
        <v>6171</v>
      </c>
      <c r="Q2797" s="1357"/>
      <c r="S2797" s="1420"/>
      <c r="T2797" s="1420"/>
      <c r="V2797" s="1357">
        <v>318</v>
      </c>
    </row>
    <row r="2798" spans="1:22" s="841" customFormat="1" ht="15" x14ac:dyDescent="0.25">
      <c r="A2798" s="841" t="s">
        <v>425</v>
      </c>
      <c r="E2798" s="1690" t="s">
        <v>4412</v>
      </c>
      <c r="F2798" s="1690"/>
      <c r="G2798" s="1365" t="s">
        <v>33</v>
      </c>
      <c r="H2798" s="732">
        <v>2.3307000000000002</v>
      </c>
      <c r="K2798" s="841" t="s">
        <v>3342</v>
      </c>
      <c r="L2798" s="841" t="s">
        <v>442</v>
      </c>
      <c r="M2798" s="1357"/>
      <c r="P2798" s="841" t="s">
        <v>6171</v>
      </c>
      <c r="Q2798" s="1357"/>
      <c r="S2798" s="1420"/>
      <c r="T2798" s="1420"/>
      <c r="V2798" s="1357">
        <v>290</v>
      </c>
    </row>
    <row r="2799" spans="1:22" s="841" customFormat="1" x14ac:dyDescent="0.25">
      <c r="A2799" s="841" t="s">
        <v>425</v>
      </c>
      <c r="E2799" s="1909" t="s">
        <v>618</v>
      </c>
      <c r="F2799" s="1923"/>
      <c r="G2799" s="1923"/>
      <c r="H2799" s="1923"/>
      <c r="K2799" s="841" t="s">
        <v>3656</v>
      </c>
      <c r="M2799" s="1357"/>
      <c r="Q2799" s="1357"/>
      <c r="S2799" s="1420"/>
      <c r="T2799" s="1420"/>
      <c r="V2799" s="1357">
        <v>31</v>
      </c>
    </row>
    <row r="2800" spans="1:22" s="841" customFormat="1" ht="15" x14ac:dyDescent="0.25">
      <c r="A2800" s="841" t="s">
        <v>425</v>
      </c>
      <c r="E2800" s="1689" t="s">
        <v>3372</v>
      </c>
      <c r="F2800" s="1689"/>
      <c r="G2800" s="1689"/>
      <c r="H2800" s="1689"/>
      <c r="K2800" s="841" t="s">
        <v>3656</v>
      </c>
      <c r="M2800" s="1357"/>
      <c r="Q2800" s="1357"/>
      <c r="S2800" s="1420"/>
      <c r="T2800" s="1420"/>
      <c r="V2800" s="1357">
        <v>285</v>
      </c>
    </row>
    <row r="2801" spans="1:22" s="841" customFormat="1" ht="15" x14ac:dyDescent="0.25">
      <c r="A2801" s="841" t="s">
        <v>425</v>
      </c>
      <c r="E2801" s="1916" t="s">
        <v>3061</v>
      </c>
      <c r="F2801" s="1689"/>
      <c r="G2801" s="1689"/>
      <c r="H2801" s="1689"/>
      <c r="K2801" s="841" t="s">
        <v>3345</v>
      </c>
      <c r="M2801" s="1357"/>
      <c r="Q2801" s="1357"/>
      <c r="S2801" s="1420"/>
      <c r="T2801" s="1420"/>
      <c r="V2801" s="1357">
        <v>11</v>
      </c>
    </row>
    <row r="2802" spans="1:22" s="841" customFormat="1" ht="15" x14ac:dyDescent="0.25">
      <c r="A2802" s="841" t="s">
        <v>425</v>
      </c>
      <c r="E2802" s="1689" t="s">
        <v>3063</v>
      </c>
      <c r="F2802" s="1689"/>
      <c r="G2802" s="1689"/>
      <c r="H2802" s="1689"/>
      <c r="K2802" s="841" t="s">
        <v>3656</v>
      </c>
      <c r="M2802" s="1357"/>
      <c r="Q2802" s="1357"/>
      <c r="S2802" s="1420"/>
      <c r="T2802" s="1420"/>
      <c r="V2802" s="1357">
        <v>280</v>
      </c>
    </row>
    <row r="2803" spans="1:22" s="841" customFormat="1" ht="15" x14ac:dyDescent="0.25">
      <c r="A2803" s="841" t="s">
        <v>425</v>
      </c>
      <c r="E2803" s="1689" t="s">
        <v>3064</v>
      </c>
      <c r="F2803" s="1689"/>
      <c r="G2803" s="1689"/>
      <c r="H2803" s="1689"/>
      <c r="K2803" s="841" t="s">
        <v>3656</v>
      </c>
      <c r="M2803" s="1357"/>
      <c r="Q2803" s="1357"/>
      <c r="S2803" s="1420"/>
      <c r="T2803" s="1420"/>
      <c r="V2803" s="1357">
        <v>411</v>
      </c>
    </row>
    <row r="2804" spans="1:22" s="841" customFormat="1" ht="15" x14ac:dyDescent="0.25">
      <c r="A2804" s="841" t="s">
        <v>425</v>
      </c>
      <c r="E2804" s="1689" t="s">
        <v>3199</v>
      </c>
      <c r="F2804" s="1689"/>
      <c r="G2804" s="1689"/>
      <c r="H2804" s="1689"/>
      <c r="K2804" s="841" t="s">
        <v>3656</v>
      </c>
      <c r="M2804" s="1357"/>
      <c r="Q2804" s="1357"/>
      <c r="S2804" s="1420"/>
      <c r="T2804" s="1420"/>
      <c r="V2804" s="1357">
        <v>386</v>
      </c>
    </row>
    <row r="2805" spans="1:22" s="841" customFormat="1" ht="15" x14ac:dyDescent="0.25">
      <c r="A2805" s="841" t="s">
        <v>425</v>
      </c>
      <c r="E2805" s="1689" t="s">
        <v>3066</v>
      </c>
      <c r="F2805" s="1689"/>
      <c r="G2805" s="1689"/>
      <c r="H2805" s="1689"/>
      <c r="K2805" s="841" t="s">
        <v>3656</v>
      </c>
      <c r="M2805" s="1357"/>
      <c r="Q2805" s="1357"/>
      <c r="S2805" s="1420"/>
      <c r="T2805" s="1420"/>
      <c r="V2805" s="1357">
        <v>275</v>
      </c>
    </row>
    <row r="2806" spans="1:22" s="841" customFormat="1" ht="15" x14ac:dyDescent="0.25">
      <c r="A2806" s="841" t="s">
        <v>425</v>
      </c>
      <c r="E2806" s="1694" t="s">
        <v>3067</v>
      </c>
      <c r="F2806" s="1907"/>
      <c r="G2806" s="1907"/>
      <c r="H2806" s="1907"/>
      <c r="K2806" s="841" t="s">
        <v>3346</v>
      </c>
      <c r="M2806" s="1357"/>
      <c r="Q2806" s="1357"/>
      <c r="S2806" s="1420"/>
      <c r="T2806" s="1420"/>
      <c r="V2806" s="1357">
        <v>46</v>
      </c>
    </row>
    <row r="2807" spans="1:22" s="841" customFormat="1" ht="15" x14ac:dyDescent="0.25">
      <c r="A2807" s="841" t="s">
        <v>425</v>
      </c>
      <c r="E2807" s="1690" t="s">
        <v>11</v>
      </c>
      <c r="F2807" s="1690"/>
      <c r="G2807" s="1365" t="s">
        <v>23</v>
      </c>
      <c r="H2807" s="391">
        <v>5.4</v>
      </c>
      <c r="K2807" s="841" t="s">
        <v>3656</v>
      </c>
      <c r="L2807" s="841" t="s">
        <v>442</v>
      </c>
      <c r="M2807" s="1357"/>
      <c r="P2807" s="841" t="s">
        <v>3657</v>
      </c>
      <c r="Q2807" s="1357"/>
      <c r="S2807" s="1420"/>
      <c r="T2807" s="1420"/>
      <c r="V2807" s="1357">
        <v>14</v>
      </c>
    </row>
    <row r="2808" spans="1:22" s="841" customFormat="1" ht="18.75" x14ac:dyDescent="0.3">
      <c r="A2808" s="841" t="s">
        <v>425</v>
      </c>
      <c r="E2808" s="1931" t="s">
        <v>85</v>
      </c>
      <c r="F2808" s="1964"/>
      <c r="G2808" s="1964"/>
      <c r="H2808" s="1964"/>
      <c r="K2808" s="841" t="s">
        <v>4413</v>
      </c>
      <c r="M2808" s="1357"/>
      <c r="Q2808" s="1357"/>
      <c r="S2808" s="1420"/>
      <c r="T2808" s="1420"/>
      <c r="V2808" s="1357">
        <v>10</v>
      </c>
    </row>
    <row r="2809" spans="1:22" s="841" customFormat="1" ht="15.75" thickBot="1" x14ac:dyDescent="0.3">
      <c r="A2809" s="841" t="s">
        <v>425</v>
      </c>
      <c r="E2809" s="2002" t="s">
        <v>3133</v>
      </c>
      <c r="F2809" s="1904"/>
      <c r="G2809" s="1183" t="s">
        <v>33</v>
      </c>
      <c r="H2809" s="1184">
        <v>-0.6</v>
      </c>
      <c r="M2809" s="1357"/>
      <c r="Q2809" s="1357"/>
      <c r="S2809" s="1420"/>
      <c r="T2809" s="1420"/>
      <c r="V2809" s="1357">
        <v>68</v>
      </c>
    </row>
    <row r="2810" spans="1:22" s="841" customFormat="1" ht="15.75" thickBot="1" x14ac:dyDescent="0.3">
      <c r="A2810" s="841" t="s">
        <v>425</v>
      </c>
      <c r="E2810" s="2002" t="s">
        <v>3134</v>
      </c>
      <c r="F2810" s="1904"/>
      <c r="G2810" s="1183" t="s">
        <v>86</v>
      </c>
      <c r="H2810" s="1185">
        <v>-1</v>
      </c>
      <c r="M2810" s="1357"/>
      <c r="Q2810" s="1357"/>
      <c r="S2810" s="1420"/>
      <c r="T2810" s="1420"/>
      <c r="V2810" s="1357">
        <v>87</v>
      </c>
    </row>
    <row r="2811" spans="1:22" s="841" customFormat="1" ht="18.75" x14ac:dyDescent="0.3">
      <c r="A2811" s="841" t="s">
        <v>425</v>
      </c>
      <c r="E2811" s="1931" t="s">
        <v>87</v>
      </c>
      <c r="F2811" s="1964"/>
      <c r="G2811" s="1964"/>
      <c r="H2811" s="1964"/>
      <c r="K2811" s="841" t="s">
        <v>4414</v>
      </c>
      <c r="M2811" s="1357"/>
      <c r="Q2811" s="1357"/>
      <c r="S2811" s="1420"/>
      <c r="T2811" s="1420"/>
      <c r="V2811" s="1357">
        <v>24</v>
      </c>
    </row>
    <row r="2812" spans="1:22" s="841" customFormat="1" ht="15" x14ac:dyDescent="0.25">
      <c r="A2812" s="841" t="s">
        <v>425</v>
      </c>
      <c r="E2812" s="1689" t="s">
        <v>3063</v>
      </c>
      <c r="F2812" s="1689"/>
      <c r="G2812" s="1689"/>
      <c r="H2812" s="1689"/>
      <c r="M2812" s="1357"/>
      <c r="Q2812" s="1357"/>
      <c r="S2812" s="1420"/>
      <c r="T2812" s="1420"/>
      <c r="V2812" s="1357">
        <v>280</v>
      </c>
    </row>
    <row r="2813" spans="1:22" s="841" customFormat="1" ht="15" x14ac:dyDescent="0.25">
      <c r="A2813" s="841" t="s">
        <v>425</v>
      </c>
      <c r="E2813" s="1689" t="s">
        <v>3136</v>
      </c>
      <c r="F2813" s="1689"/>
      <c r="G2813" s="1689"/>
      <c r="H2813" s="1689"/>
      <c r="M2813" s="1357"/>
      <c r="Q2813" s="1357"/>
      <c r="S2813" s="1420"/>
      <c r="T2813" s="1420"/>
      <c r="V2813" s="1357">
        <v>353</v>
      </c>
    </row>
    <row r="2814" spans="1:22" s="841" customFormat="1" ht="15" x14ac:dyDescent="0.25">
      <c r="A2814" s="841" t="s">
        <v>425</v>
      </c>
      <c r="E2814" s="1689" t="s">
        <v>4415</v>
      </c>
      <c r="F2814" s="1689"/>
      <c r="G2814" s="1689"/>
      <c r="H2814" s="1689"/>
      <c r="M2814" s="1357"/>
      <c r="Q2814" s="1357"/>
      <c r="S2814" s="1420"/>
      <c r="T2814" s="1420"/>
      <c r="V2814" s="1357">
        <v>276</v>
      </c>
    </row>
    <row r="2815" spans="1:22" s="841" customFormat="1" ht="15" x14ac:dyDescent="0.25">
      <c r="A2815" s="841" t="s">
        <v>425</v>
      </c>
      <c r="E2815" s="1694" t="s">
        <v>3137</v>
      </c>
      <c r="F2815" s="1908"/>
      <c r="G2815" s="1908"/>
      <c r="H2815" s="1908"/>
      <c r="K2815" s="841" t="s">
        <v>4416</v>
      </c>
      <c r="M2815" s="1357"/>
      <c r="Q2815" s="1357"/>
      <c r="S2815" s="1420"/>
      <c r="T2815" s="1420"/>
      <c r="V2815" s="1357">
        <v>23</v>
      </c>
    </row>
    <row r="2816" spans="1:22" s="841" customFormat="1" ht="15" x14ac:dyDescent="0.25">
      <c r="A2816" s="841" t="s">
        <v>425</v>
      </c>
      <c r="E2816" s="1688" t="s">
        <v>3355</v>
      </c>
      <c r="F2816" s="1688"/>
      <c r="G2816" s="1365" t="s">
        <v>23</v>
      </c>
      <c r="H2816" s="733">
        <v>15</v>
      </c>
      <c r="M2816" s="1357"/>
      <c r="Q2816" s="1357"/>
      <c r="S2816" s="1420"/>
      <c r="T2816" s="1420"/>
      <c r="V2816" s="1357">
        <v>19</v>
      </c>
    </row>
    <row r="2817" spans="1:22" s="841" customFormat="1" ht="15" x14ac:dyDescent="0.25">
      <c r="A2817" s="841" t="s">
        <v>425</v>
      </c>
      <c r="E2817" s="1688" t="s">
        <v>3140</v>
      </c>
      <c r="F2817" s="1688"/>
      <c r="G2817" s="1365" t="s">
        <v>23</v>
      </c>
      <c r="H2817" s="733">
        <v>15</v>
      </c>
      <c r="M2817" s="1357"/>
      <c r="Q2817" s="1357"/>
      <c r="S2817" s="1420"/>
      <c r="T2817" s="1420"/>
      <c r="V2817" s="1357">
        <v>20</v>
      </c>
    </row>
    <row r="2818" spans="1:22" s="841" customFormat="1" ht="15" x14ac:dyDescent="0.25">
      <c r="A2818" s="841" t="s">
        <v>425</v>
      </c>
      <c r="E2818" s="1688" t="s">
        <v>4770</v>
      </c>
      <c r="F2818" s="1688"/>
      <c r="G2818" s="1365" t="s">
        <v>23</v>
      </c>
      <c r="H2818" s="733">
        <v>15</v>
      </c>
      <c r="M2818" s="1357"/>
      <c r="Q2818" s="1357"/>
      <c r="S2818" s="1420"/>
      <c r="T2818" s="1420"/>
      <c r="V2818" s="1357">
        <v>15</v>
      </c>
    </row>
    <row r="2819" spans="1:22" s="841" customFormat="1" ht="15" x14ac:dyDescent="0.25">
      <c r="A2819" s="841" t="s">
        <v>425</v>
      </c>
      <c r="E2819" s="1688" t="s">
        <v>123</v>
      </c>
      <c r="F2819" s="1688"/>
      <c r="G2819" s="1365" t="s">
        <v>23</v>
      </c>
      <c r="H2819" s="733">
        <v>15</v>
      </c>
      <c r="M2819" s="1357"/>
      <c r="Q2819" s="1357"/>
      <c r="S2819" s="1420"/>
      <c r="T2819" s="1420"/>
      <c r="V2819" s="1357">
        <v>35</v>
      </c>
    </row>
    <row r="2820" spans="1:22" s="841" customFormat="1" ht="15" x14ac:dyDescent="0.25">
      <c r="A2820" s="841" t="s">
        <v>425</v>
      </c>
      <c r="E2820" s="1688" t="s">
        <v>4417</v>
      </c>
      <c r="F2820" s="1688"/>
      <c r="G2820" s="1365" t="s">
        <v>23</v>
      </c>
      <c r="H2820" s="733">
        <v>30</v>
      </c>
      <c r="M2820" s="1357"/>
      <c r="Q2820" s="1357"/>
      <c r="S2820" s="1420"/>
      <c r="T2820" s="1420"/>
      <c r="V2820" s="1357">
        <v>47</v>
      </c>
    </row>
    <row r="2821" spans="1:22" s="841" customFormat="1" ht="15" x14ac:dyDescent="0.25">
      <c r="A2821" s="841" t="s">
        <v>425</v>
      </c>
      <c r="E2821" s="1688" t="s">
        <v>92</v>
      </c>
      <c r="F2821" s="1688"/>
      <c r="G2821" s="1365" t="s">
        <v>23</v>
      </c>
      <c r="H2821" s="733">
        <v>30</v>
      </c>
      <c r="M2821" s="1357"/>
      <c r="Q2821" s="1357"/>
      <c r="S2821" s="1420"/>
      <c r="T2821" s="1420"/>
      <c r="V2821" s="1357">
        <v>74</v>
      </c>
    </row>
    <row r="2822" spans="1:22" s="841" customFormat="1" ht="15" x14ac:dyDescent="0.25">
      <c r="A2822" s="841" t="s">
        <v>425</v>
      </c>
      <c r="E2822" s="1694" t="s">
        <v>3152</v>
      </c>
      <c r="F2822" s="1908"/>
      <c r="G2822" s="1908"/>
      <c r="H2822" s="1908"/>
      <c r="K2822" s="841" t="s">
        <v>4418</v>
      </c>
      <c r="M2822" s="1357"/>
      <c r="Q2822" s="1357"/>
      <c r="S2822" s="1420"/>
      <c r="T2822" s="1420"/>
      <c r="V2822" s="1357">
        <v>22</v>
      </c>
    </row>
    <row r="2823" spans="1:22" s="841" customFormat="1" ht="15" x14ac:dyDescent="0.25">
      <c r="A2823" s="841" t="s">
        <v>425</v>
      </c>
      <c r="E2823" s="1688" t="s">
        <v>5137</v>
      </c>
      <c r="F2823" s="1688"/>
      <c r="G2823" s="1365" t="s">
        <v>86</v>
      </c>
      <c r="H2823" s="733">
        <v>1.5</v>
      </c>
      <c r="M2823" s="1357"/>
      <c r="Q2823" s="1357"/>
      <c r="S2823" s="1420"/>
      <c r="T2823" s="1420"/>
      <c r="V2823" s="1357">
        <v>24</v>
      </c>
    </row>
    <row r="2824" spans="1:22" s="841" customFormat="1" ht="15" x14ac:dyDescent="0.25">
      <c r="A2824" s="841" t="s">
        <v>425</v>
      </c>
      <c r="E2824" s="1688" t="s">
        <v>4772</v>
      </c>
      <c r="F2824" s="1688"/>
      <c r="G2824" s="1365" t="s">
        <v>86</v>
      </c>
      <c r="H2824" s="733">
        <v>19.559999999999999</v>
      </c>
      <c r="M2824" s="1357"/>
      <c r="Q2824" s="1357"/>
      <c r="S2824" s="1420"/>
      <c r="T2824" s="1420"/>
      <c r="V2824" s="1357">
        <v>24</v>
      </c>
    </row>
    <row r="2825" spans="1:22" s="841" customFormat="1" ht="15" x14ac:dyDescent="0.25">
      <c r="A2825" s="841" t="s">
        <v>425</v>
      </c>
      <c r="E2825" s="1688" t="s">
        <v>4773</v>
      </c>
      <c r="F2825" s="1688"/>
      <c r="G2825" s="1365" t="s">
        <v>23</v>
      </c>
      <c r="H2825" s="733">
        <v>65</v>
      </c>
      <c r="M2825" s="1357"/>
      <c r="Q2825" s="1357"/>
      <c r="S2825" s="1420"/>
      <c r="T2825" s="1420"/>
      <c r="V2825" s="1357">
        <v>52</v>
      </c>
    </row>
    <row r="2826" spans="1:22" s="841" customFormat="1" ht="15" x14ac:dyDescent="0.25">
      <c r="A2826" s="841" t="s">
        <v>425</v>
      </c>
      <c r="E2826" s="1688" t="s">
        <v>4774</v>
      </c>
      <c r="F2826" s="1688"/>
      <c r="G2826" s="1365" t="s">
        <v>23</v>
      </c>
      <c r="H2826" s="733">
        <v>185</v>
      </c>
      <c r="M2826" s="1357"/>
      <c r="Q2826" s="1357"/>
      <c r="S2826" s="1420"/>
      <c r="T2826" s="1420"/>
      <c r="V2826" s="1357">
        <v>51</v>
      </c>
    </row>
    <row r="2827" spans="1:22" s="841" customFormat="1" ht="15" x14ac:dyDescent="0.25">
      <c r="A2827" s="841" t="s">
        <v>425</v>
      </c>
      <c r="E2827" s="1694" t="s">
        <v>3164</v>
      </c>
      <c r="F2827" s="1908"/>
      <c r="G2827" s="1908"/>
      <c r="H2827" s="1908"/>
      <c r="M2827" s="1357"/>
      <c r="Q2827" s="1357"/>
      <c r="S2827" s="1420"/>
      <c r="T2827" s="1420"/>
      <c r="V2827" s="1357">
        <v>5</v>
      </c>
    </row>
    <row r="2828" spans="1:22" s="841" customFormat="1" ht="15" x14ac:dyDescent="0.25">
      <c r="A2828" s="841" t="s">
        <v>425</v>
      </c>
      <c r="E2828" s="1688" t="s">
        <v>3658</v>
      </c>
      <c r="F2828" s="1688"/>
      <c r="G2828" s="1365" t="s">
        <v>23</v>
      </c>
      <c r="H2828" s="733">
        <v>500</v>
      </c>
      <c r="M2828" s="1357"/>
      <c r="Q2828" s="1357"/>
      <c r="S2828" s="1420"/>
      <c r="T2828" s="1420"/>
      <c r="V2828" s="1357">
        <v>64</v>
      </c>
    </row>
    <row r="2829" spans="1:22" s="841" customFormat="1" ht="15" x14ac:dyDescent="0.25">
      <c r="A2829" s="841" t="s">
        <v>425</v>
      </c>
      <c r="E2829" s="1688" t="s">
        <v>4419</v>
      </c>
      <c r="F2829" s="1688"/>
      <c r="G2829" s="1365" t="s">
        <v>23</v>
      </c>
      <c r="H2829" s="733">
        <v>1000</v>
      </c>
      <c r="M2829" s="1357"/>
      <c r="Q2829" s="1357"/>
      <c r="S2829" s="1420"/>
      <c r="T2829" s="1420"/>
      <c r="V2829" s="1357">
        <v>66</v>
      </c>
    </row>
    <row r="2830" spans="1:22" s="841" customFormat="1" ht="15" x14ac:dyDescent="0.25">
      <c r="A2830" s="841" t="s">
        <v>425</v>
      </c>
      <c r="E2830" s="1905" t="s">
        <v>3502</v>
      </c>
      <c r="F2830" s="1905"/>
      <c r="G2830" s="1365" t="s">
        <v>23</v>
      </c>
      <c r="H2830" s="733">
        <v>22.35</v>
      </c>
      <c r="M2830" s="1357"/>
      <c r="Q2830" s="1357"/>
      <c r="S2830" s="1420"/>
      <c r="T2830" s="1420"/>
      <c r="V2830" s="1357">
        <v>104</v>
      </c>
    </row>
    <row r="2831" spans="1:22" s="841" customFormat="1" ht="15" x14ac:dyDescent="0.25">
      <c r="A2831" s="841" t="s">
        <v>425</v>
      </c>
      <c r="E2831" s="1688" t="s">
        <v>4420</v>
      </c>
      <c r="F2831" s="1688"/>
      <c r="G2831" s="1365" t="s">
        <v>23</v>
      </c>
      <c r="H2831" s="1186" t="s">
        <v>4421</v>
      </c>
      <c r="M2831" s="1357"/>
      <c r="Q2831" s="1357"/>
      <c r="S2831" s="1420"/>
      <c r="T2831" s="1420"/>
      <c r="V2831" s="1357">
        <v>70</v>
      </c>
    </row>
    <row r="2832" spans="1:22" s="841" customFormat="1" ht="18.75" x14ac:dyDescent="0.3">
      <c r="A2832" s="841" t="s">
        <v>425</v>
      </c>
      <c r="E2832" s="1931" t="s">
        <v>77</v>
      </c>
      <c r="F2832" s="1964"/>
      <c r="G2832" s="1964"/>
      <c r="H2832" s="1964"/>
      <c r="K2832" s="841" t="s">
        <v>4422</v>
      </c>
      <c r="M2832" s="1357"/>
      <c r="Q2832" s="1357"/>
      <c r="S2832" s="1420"/>
      <c r="T2832" s="1420"/>
      <c r="V2832" s="1357">
        <v>38</v>
      </c>
    </row>
    <row r="2833" spans="1:22" s="841" customFormat="1" ht="15" x14ac:dyDescent="0.25">
      <c r="A2833" s="841" t="s">
        <v>425</v>
      </c>
      <c r="E2833" s="1689" t="s">
        <v>3063</v>
      </c>
      <c r="F2833" s="1689"/>
      <c r="G2833" s="1689"/>
      <c r="H2833" s="1689"/>
      <c r="M2833" s="1357"/>
      <c r="Q2833" s="1357"/>
      <c r="S2833" s="1420"/>
      <c r="T2833" s="1420"/>
      <c r="V2833" s="1357">
        <v>280</v>
      </c>
    </row>
    <row r="2834" spans="1:22" s="841" customFormat="1" ht="15" x14ac:dyDescent="0.25">
      <c r="A2834" s="841" t="s">
        <v>425</v>
      </c>
      <c r="E2834" s="1689" t="s">
        <v>3064</v>
      </c>
      <c r="F2834" s="1689"/>
      <c r="G2834" s="1689"/>
      <c r="H2834" s="1689"/>
      <c r="M2834" s="1357"/>
      <c r="Q2834" s="1357"/>
      <c r="S2834" s="1420"/>
      <c r="T2834" s="1420"/>
      <c r="V2834" s="1357">
        <v>411</v>
      </c>
    </row>
    <row r="2835" spans="1:22" s="841" customFormat="1" ht="15" x14ac:dyDescent="0.25">
      <c r="A2835" s="841" t="s">
        <v>425</v>
      </c>
      <c r="E2835" s="1689" t="s">
        <v>3129</v>
      </c>
      <c r="F2835" s="1689"/>
      <c r="G2835" s="1689"/>
      <c r="H2835" s="1689"/>
      <c r="M2835" s="1357"/>
      <c r="Q2835" s="1357"/>
      <c r="S2835" s="1420"/>
      <c r="T2835" s="1420"/>
      <c r="V2835" s="1357">
        <v>211</v>
      </c>
    </row>
    <row r="2836" spans="1:22" s="841" customFormat="1" ht="15" x14ac:dyDescent="0.25">
      <c r="A2836" s="841" t="s">
        <v>425</v>
      </c>
      <c r="E2836" s="1689" t="s">
        <v>3066</v>
      </c>
      <c r="F2836" s="1689"/>
      <c r="G2836" s="1689"/>
      <c r="H2836" s="1689"/>
      <c r="M2836" s="1357"/>
      <c r="Q2836" s="1357"/>
      <c r="S2836" s="1420"/>
      <c r="T2836" s="1420"/>
      <c r="V2836" s="1357">
        <v>275</v>
      </c>
    </row>
    <row r="2837" spans="1:22" s="841" customFormat="1" ht="15" x14ac:dyDescent="0.25">
      <c r="A2837" s="841" t="s">
        <v>425</v>
      </c>
      <c r="E2837" s="1689" t="s">
        <v>3291</v>
      </c>
      <c r="F2837" s="1689"/>
      <c r="G2837" s="1689"/>
      <c r="H2837" s="1689"/>
      <c r="M2837" s="1357"/>
      <c r="Q2837" s="1357"/>
      <c r="S2837" s="1420"/>
      <c r="T2837" s="1420"/>
      <c r="V2837" s="1357">
        <v>142</v>
      </c>
    </row>
    <row r="2838" spans="1:22" s="841" customFormat="1" ht="15" x14ac:dyDescent="0.25">
      <c r="A2838" s="841" t="s">
        <v>425</v>
      </c>
      <c r="E2838" s="1690" t="s">
        <v>3176</v>
      </c>
      <c r="F2838" s="1690"/>
      <c r="G2838" s="1371" t="s">
        <v>23</v>
      </c>
      <c r="H2838" s="735">
        <v>100</v>
      </c>
      <c r="M2838" s="1357"/>
      <c r="Q2838" s="1357"/>
      <c r="S2838" s="1420"/>
      <c r="T2838" s="1420"/>
      <c r="V2838" s="1357">
        <v>106</v>
      </c>
    </row>
    <row r="2839" spans="1:22" s="841" customFormat="1" ht="15" x14ac:dyDescent="0.25">
      <c r="A2839" s="841" t="s">
        <v>425</v>
      </c>
      <c r="E2839" s="1690" t="s">
        <v>5140</v>
      </c>
      <c r="F2839" s="1690"/>
      <c r="G2839" s="1371" t="s">
        <v>23</v>
      </c>
      <c r="H2839" s="735">
        <v>20</v>
      </c>
      <c r="M2839" s="1357"/>
      <c r="Q2839" s="1357"/>
      <c r="S2839" s="1420"/>
      <c r="T2839" s="1420"/>
      <c r="V2839" s="1357">
        <v>34</v>
      </c>
    </row>
    <row r="2840" spans="1:22" s="841" customFormat="1" ht="15" x14ac:dyDescent="0.25">
      <c r="A2840" s="841" t="s">
        <v>425</v>
      </c>
      <c r="E2840" s="1690" t="s">
        <v>5141</v>
      </c>
      <c r="F2840" s="1690"/>
      <c r="G2840" s="1371" t="s">
        <v>3179</v>
      </c>
      <c r="H2840" s="735">
        <v>0.5</v>
      </c>
      <c r="M2840" s="1357"/>
      <c r="Q2840" s="1357"/>
      <c r="S2840" s="1420"/>
      <c r="T2840" s="1420"/>
      <c r="V2840" s="1357">
        <v>51</v>
      </c>
    </row>
    <row r="2841" spans="1:22" s="841" customFormat="1" ht="15" x14ac:dyDescent="0.25">
      <c r="A2841" s="841" t="s">
        <v>425</v>
      </c>
      <c r="E2841" s="1690" t="s">
        <v>3180</v>
      </c>
      <c r="F2841" s="1690"/>
      <c r="G2841" s="1371" t="s">
        <v>3179</v>
      </c>
      <c r="H2841" s="735">
        <v>0.3</v>
      </c>
      <c r="M2841" s="1357"/>
      <c r="Q2841" s="1357"/>
      <c r="S2841" s="1420"/>
      <c r="T2841" s="1420"/>
      <c r="V2841" s="1357">
        <v>75</v>
      </c>
    </row>
    <row r="2842" spans="1:22" s="841" customFormat="1" ht="15" x14ac:dyDescent="0.25">
      <c r="A2842" s="841" t="s">
        <v>425</v>
      </c>
      <c r="E2842" s="1690" t="s">
        <v>3181</v>
      </c>
      <c r="F2842" s="1690"/>
      <c r="G2842" s="1371" t="s">
        <v>3179</v>
      </c>
      <c r="H2842" s="735">
        <v>-0.3</v>
      </c>
      <c r="M2842" s="1357"/>
      <c r="Q2842" s="1357"/>
      <c r="S2842" s="1420"/>
      <c r="T2842" s="1420"/>
      <c r="V2842" s="1357">
        <v>72</v>
      </c>
    </row>
    <row r="2843" spans="1:22" s="841" customFormat="1" ht="15" x14ac:dyDescent="0.25">
      <c r="A2843" s="841" t="s">
        <v>425</v>
      </c>
      <c r="E2843" s="1690" t="s">
        <v>3292</v>
      </c>
      <c r="F2843" s="1690"/>
      <c r="G2843" s="1908"/>
      <c r="H2843" s="1908"/>
      <c r="M2843" s="1357"/>
      <c r="Q2843" s="1357"/>
      <c r="S2843" s="1420"/>
      <c r="T2843" s="1420"/>
      <c r="V2843" s="1357">
        <v>34</v>
      </c>
    </row>
    <row r="2844" spans="1:22" s="841" customFormat="1" ht="15" x14ac:dyDescent="0.25">
      <c r="A2844" s="841" t="s">
        <v>425</v>
      </c>
      <c r="E2844" s="1691" t="s">
        <v>3183</v>
      </c>
      <c r="F2844" s="1691"/>
      <c r="G2844" s="1371" t="s">
        <v>23</v>
      </c>
      <c r="H2844" s="735">
        <v>0.25</v>
      </c>
      <c r="M2844" s="1357"/>
      <c r="Q2844" s="1357"/>
      <c r="S2844" s="1420"/>
      <c r="T2844" s="1420"/>
      <c r="V2844" s="1357">
        <v>57</v>
      </c>
    </row>
    <row r="2845" spans="1:22" s="841" customFormat="1" ht="15" x14ac:dyDescent="0.25">
      <c r="A2845" s="841" t="s">
        <v>425</v>
      </c>
      <c r="E2845" s="1691" t="s">
        <v>3184</v>
      </c>
      <c r="F2845" s="1691"/>
      <c r="G2845" s="1371" t="s">
        <v>23</v>
      </c>
      <c r="H2845" s="735">
        <v>0.5</v>
      </c>
      <c r="M2845" s="1357"/>
      <c r="Q2845" s="1357"/>
      <c r="S2845" s="1420"/>
      <c r="T2845" s="1420"/>
      <c r="V2845" s="1357">
        <v>60</v>
      </c>
    </row>
    <row r="2846" spans="1:22" s="841" customFormat="1" ht="15" x14ac:dyDescent="0.25">
      <c r="A2846" s="841" t="s">
        <v>425</v>
      </c>
      <c r="E2846" s="1904" t="s">
        <v>3707</v>
      </c>
      <c r="F2846" s="1904"/>
      <c r="G2846" s="1088"/>
      <c r="H2846" s="1088"/>
      <c r="M2846" s="1357"/>
      <c r="Q2846" s="1357"/>
      <c r="S2846" s="1420"/>
      <c r="T2846" s="1420"/>
      <c r="V2846" s="1357">
        <v>266</v>
      </c>
    </row>
    <row r="2847" spans="1:22" s="841" customFormat="1" ht="15" x14ac:dyDescent="0.25">
      <c r="A2847" s="841" t="s">
        <v>425</v>
      </c>
      <c r="E2847" s="1691" t="s">
        <v>3188</v>
      </c>
      <c r="F2847" s="1691"/>
      <c r="G2847" s="1383" t="s">
        <v>23</v>
      </c>
      <c r="H2847" s="734" t="s">
        <v>3708</v>
      </c>
      <c r="M2847" s="1357"/>
      <c r="Q2847" s="1357"/>
      <c r="S2847" s="1420"/>
      <c r="T2847" s="1420"/>
      <c r="V2847" s="1357">
        <v>18</v>
      </c>
    </row>
    <row r="2848" spans="1:22" s="841" customFormat="1" ht="15" x14ac:dyDescent="0.25">
      <c r="A2848" s="841" t="s">
        <v>425</v>
      </c>
      <c r="E2848" s="1691" t="s">
        <v>3190</v>
      </c>
      <c r="F2848" s="1691"/>
      <c r="G2848" s="1371" t="s">
        <v>23</v>
      </c>
      <c r="H2848" s="735">
        <v>2</v>
      </c>
      <c r="M2848" s="1357"/>
      <c r="Q2848" s="1357"/>
      <c r="S2848" s="1420"/>
      <c r="T2848" s="1420"/>
      <c r="V2848" s="1357">
        <v>69</v>
      </c>
    </row>
    <row r="2849" spans="1:22" s="841" customFormat="1" ht="18.75" x14ac:dyDescent="0.3">
      <c r="A2849" s="841" t="s">
        <v>425</v>
      </c>
      <c r="E2849" s="1931" t="s">
        <v>147</v>
      </c>
      <c r="F2849" s="1932"/>
      <c r="G2849" s="1964"/>
      <c r="H2849" s="1964"/>
      <c r="K2849" s="841" t="s">
        <v>4423</v>
      </c>
      <c r="M2849" s="1357"/>
      <c r="Q2849" s="1357"/>
      <c r="S2849" s="1420"/>
      <c r="T2849" s="1420"/>
      <c r="V2849" s="1357">
        <v>12</v>
      </c>
    </row>
    <row r="2850" spans="1:22" s="841" customFormat="1" ht="15" x14ac:dyDescent="0.25">
      <c r="A2850" s="841" t="s">
        <v>425</v>
      </c>
      <c r="E2850" s="1690" t="s">
        <v>3295</v>
      </c>
      <c r="F2850" s="1690"/>
      <c r="G2850" s="736"/>
      <c r="H2850" s="1414">
        <v>1.0431999999999999</v>
      </c>
      <c r="M2850" s="1357"/>
      <c r="Q2850" s="1357"/>
      <c r="S2850" s="1420"/>
      <c r="T2850" s="1420"/>
      <c r="V2850" s="1357">
        <v>57</v>
      </c>
    </row>
    <row r="2851" spans="1:22" s="841" customFormat="1" ht="15" x14ac:dyDescent="0.25">
      <c r="A2851" s="841" t="s">
        <v>425</v>
      </c>
      <c r="E2851" s="1690" t="s">
        <v>3296</v>
      </c>
      <c r="F2851" s="1690"/>
      <c r="G2851" s="1408"/>
      <c r="H2851" s="1415">
        <v>1.0148999999999999</v>
      </c>
      <c r="M2851" s="1357"/>
      <c r="Q2851" s="1357"/>
      <c r="S2851" s="1420"/>
      <c r="T2851" s="1420"/>
      <c r="V2851" s="1357">
        <v>57</v>
      </c>
    </row>
    <row r="2852" spans="1:22" s="841" customFormat="1" ht="15" x14ac:dyDescent="0.25">
      <c r="A2852" s="841" t="s">
        <v>425</v>
      </c>
      <c r="E2852" s="1690" t="s">
        <v>3297</v>
      </c>
      <c r="F2852" s="1690"/>
      <c r="G2852" s="1408"/>
      <c r="H2852" s="1415">
        <v>1.0327999999999999</v>
      </c>
      <c r="M2852" s="1357"/>
      <c r="Q2852" s="1357"/>
      <c r="S2852" s="1420"/>
      <c r="T2852" s="1420"/>
      <c r="V2852" s="1357">
        <v>55</v>
      </c>
    </row>
    <row r="2853" spans="1:22" s="841" customFormat="1" ht="15" x14ac:dyDescent="0.25">
      <c r="A2853" s="841" t="s">
        <v>425</v>
      </c>
      <c r="E2853" s="1690" t="s">
        <v>3298</v>
      </c>
      <c r="F2853" s="1690"/>
      <c r="G2853" s="1408"/>
      <c r="H2853" s="1415">
        <v>1.0048999999999999</v>
      </c>
      <c r="J2853" s="841" t="s">
        <v>4424</v>
      </c>
      <c r="M2853" s="1357"/>
      <c r="Q2853" s="1357"/>
      <c r="S2853" s="1420"/>
      <c r="T2853" s="1420"/>
      <c r="V2853" s="1357">
        <v>55</v>
      </c>
    </row>
    <row r="2854" spans="1:22" s="841" customFormat="1" ht="23.25" x14ac:dyDescent="0.25">
      <c r="A2854" s="841" t="s">
        <v>624</v>
      </c>
      <c r="C2854" s="841" t="s">
        <v>3050</v>
      </c>
      <c r="E2854" s="1911" t="s">
        <v>624</v>
      </c>
      <c r="F2854" s="1911"/>
      <c r="G2854" s="1911"/>
      <c r="H2854" s="1911"/>
      <c r="I2854" s="841" t="s">
        <v>628</v>
      </c>
      <c r="J2854" s="841" t="s">
        <v>4425</v>
      </c>
      <c r="K2854" s="841" t="s">
        <v>624</v>
      </c>
      <c r="M2854" s="1357">
        <v>12</v>
      </c>
      <c r="Q2854" s="1357"/>
      <c r="S2854" s="1420"/>
      <c r="T2854" s="1420"/>
      <c r="V2854" s="1357">
        <v>20</v>
      </c>
    </row>
    <row r="2855" spans="1:22" s="841" customFormat="1" x14ac:dyDescent="0.25">
      <c r="A2855" s="841" t="s">
        <v>624</v>
      </c>
      <c r="C2855" s="841" t="s">
        <v>3052</v>
      </c>
      <c r="E2855" s="1912" t="s">
        <v>3053</v>
      </c>
      <c r="F2855" s="1912"/>
      <c r="G2855" s="1912"/>
      <c r="H2855" s="1912"/>
      <c r="M2855" s="1357"/>
      <c r="Q2855" s="1357"/>
      <c r="S2855" s="1420"/>
      <c r="T2855" s="1420"/>
      <c r="V2855" s="1357">
        <v>27</v>
      </c>
    </row>
    <row r="2856" spans="1:22" s="841" customFormat="1" ht="15.75" x14ac:dyDescent="0.25">
      <c r="A2856" s="841" t="s">
        <v>624</v>
      </c>
      <c r="C2856" s="841" t="s">
        <v>3054</v>
      </c>
      <c r="E2856" s="1913" t="s">
        <v>5107</v>
      </c>
      <c r="F2856" s="1913"/>
      <c r="G2856" s="1913"/>
      <c r="H2856" s="1913"/>
      <c r="M2856" s="1357"/>
      <c r="Q2856" s="1357"/>
      <c r="S2856" s="1420">
        <v>43221</v>
      </c>
      <c r="T2856" s="1420"/>
      <c r="V2856" s="1357">
        <v>45</v>
      </c>
    </row>
    <row r="2857" spans="1:22" s="841" customFormat="1" ht="15" x14ac:dyDescent="0.25">
      <c r="A2857" s="841" t="s">
        <v>624</v>
      </c>
      <c r="C2857" s="841" t="s">
        <v>3055</v>
      </c>
      <c r="E2857" s="1914" t="s">
        <v>3056</v>
      </c>
      <c r="F2857" s="1914"/>
      <c r="G2857" s="1914"/>
      <c r="H2857" s="1914"/>
      <c r="M2857" s="1357"/>
      <c r="Q2857" s="1357"/>
      <c r="S2857" s="1420"/>
      <c r="T2857" s="1420"/>
      <c r="V2857" s="1357">
        <v>52</v>
      </c>
    </row>
    <row r="2858" spans="1:22" s="841" customFormat="1" ht="15" x14ac:dyDescent="0.25">
      <c r="A2858" s="841" t="s">
        <v>624</v>
      </c>
      <c r="E2858" s="1914" t="s">
        <v>3057</v>
      </c>
      <c r="F2858" s="1914"/>
      <c r="G2858" s="1914"/>
      <c r="H2858" s="1914"/>
      <c r="M2858" s="1357"/>
      <c r="Q2858" s="1357"/>
      <c r="S2858" s="1420"/>
      <c r="T2858" s="1420"/>
      <c r="V2858" s="1357">
        <v>53</v>
      </c>
    </row>
    <row r="2859" spans="1:22" s="841" customFormat="1" ht="15" x14ac:dyDescent="0.25">
      <c r="A2859" s="841" t="s">
        <v>624</v>
      </c>
      <c r="E2859" s="1925" t="s">
        <v>5380</v>
      </c>
      <c r="F2859" s="1925"/>
      <c r="G2859" s="1925"/>
      <c r="H2859" s="1925"/>
      <c r="K2859" s="841" t="s">
        <v>5380</v>
      </c>
      <c r="M2859" s="1357"/>
      <c r="Q2859" s="1357"/>
      <c r="S2859" s="1420"/>
      <c r="T2859" s="1420"/>
      <c r="V2859" s="1357">
        <v>12</v>
      </c>
    </row>
    <row r="2860" spans="1:22" s="841" customFormat="1" ht="15" x14ac:dyDescent="0.25">
      <c r="A2860" s="841" t="s">
        <v>624</v>
      </c>
      <c r="E2860" s="1909" t="s">
        <v>438</v>
      </c>
      <c r="F2860" s="1697"/>
      <c r="G2860" s="1697"/>
      <c r="H2860" s="1697"/>
      <c r="K2860" s="841" t="s">
        <v>3197</v>
      </c>
      <c r="M2860" s="1357"/>
      <c r="Q2860" s="1357"/>
      <c r="S2860" s="1420"/>
      <c r="T2860" s="1420"/>
      <c r="V2860" s="1357">
        <v>34</v>
      </c>
    </row>
    <row r="2861" spans="1:22" s="841" customFormat="1" ht="15" x14ac:dyDescent="0.25">
      <c r="A2861" s="841" t="s">
        <v>624</v>
      </c>
      <c r="E2861" s="1689" t="s">
        <v>4426</v>
      </c>
      <c r="F2861" s="1689"/>
      <c r="G2861" s="1689"/>
      <c r="H2861" s="1689"/>
      <c r="K2861" s="841" t="s">
        <v>3197</v>
      </c>
      <c r="M2861" s="1357"/>
      <c r="Q2861" s="1357"/>
      <c r="S2861" s="1420"/>
      <c r="T2861" s="1420"/>
      <c r="V2861" s="1357">
        <v>745</v>
      </c>
    </row>
    <row r="2862" spans="1:22" s="841" customFormat="1" ht="15" x14ac:dyDescent="0.25">
      <c r="A2862" s="841" t="s">
        <v>624</v>
      </c>
      <c r="E2862" s="1916" t="s">
        <v>3061</v>
      </c>
      <c r="F2862" s="1697"/>
      <c r="G2862" s="1697"/>
      <c r="H2862" s="1697"/>
      <c r="K2862" s="841" t="s">
        <v>3062</v>
      </c>
      <c r="M2862" s="1357"/>
      <c r="Q2862" s="1357"/>
      <c r="S2862" s="1420"/>
      <c r="T2862" s="1420"/>
      <c r="V2862" s="1357">
        <v>11</v>
      </c>
    </row>
    <row r="2863" spans="1:22" s="841" customFormat="1" ht="15" x14ac:dyDescent="0.25">
      <c r="A2863" s="841" t="s">
        <v>624</v>
      </c>
      <c r="E2863" s="1689" t="s">
        <v>3063</v>
      </c>
      <c r="F2863" s="1689"/>
      <c r="G2863" s="1689"/>
      <c r="H2863" s="1689"/>
      <c r="K2863" s="841" t="s">
        <v>3197</v>
      </c>
      <c r="M2863" s="1357"/>
      <c r="Q2863" s="1357"/>
      <c r="S2863" s="1420"/>
      <c r="T2863" s="1420"/>
      <c r="V2863" s="1357">
        <v>280</v>
      </c>
    </row>
    <row r="2864" spans="1:22" s="841" customFormat="1" ht="15" x14ac:dyDescent="0.25">
      <c r="A2864" s="841" t="s">
        <v>624</v>
      </c>
      <c r="E2864" s="1689" t="s">
        <v>3064</v>
      </c>
      <c r="F2864" s="1689"/>
      <c r="G2864" s="1689"/>
      <c r="H2864" s="1689"/>
      <c r="K2864" s="841" t="s">
        <v>3197</v>
      </c>
      <c r="M2864" s="1357"/>
      <c r="Q2864" s="1357"/>
      <c r="S2864" s="1420"/>
      <c r="T2864" s="1420"/>
      <c r="V2864" s="1357">
        <v>411</v>
      </c>
    </row>
    <row r="2865" spans="1:22" s="841" customFormat="1" ht="15" x14ac:dyDescent="0.25">
      <c r="A2865" s="841" t="s">
        <v>624</v>
      </c>
      <c r="E2865" s="1689" t="s">
        <v>4427</v>
      </c>
      <c r="F2865" s="1689"/>
      <c r="G2865" s="1689"/>
      <c r="H2865" s="1689"/>
      <c r="K2865" s="841" t="s">
        <v>3197</v>
      </c>
      <c r="M2865" s="1357"/>
      <c r="Q2865" s="1357"/>
      <c r="S2865" s="1420"/>
      <c r="T2865" s="1420"/>
      <c r="V2865" s="1357">
        <v>379</v>
      </c>
    </row>
    <row r="2866" spans="1:22" s="841" customFormat="1" ht="15" x14ac:dyDescent="0.25">
      <c r="A2866" s="841" t="s">
        <v>624</v>
      </c>
      <c r="E2866" s="1689" t="s">
        <v>3200</v>
      </c>
      <c r="F2866" s="1689"/>
      <c r="G2866" s="1689"/>
      <c r="H2866" s="1689"/>
      <c r="K2866" s="841" t="s">
        <v>3197</v>
      </c>
      <c r="M2866" s="1357"/>
      <c r="Q2866" s="1357"/>
      <c r="S2866" s="1420"/>
      <c r="T2866" s="1420"/>
      <c r="V2866" s="1357">
        <v>275</v>
      </c>
    </row>
    <row r="2867" spans="1:22" s="841" customFormat="1" ht="15" x14ac:dyDescent="0.25">
      <c r="A2867" s="841" t="s">
        <v>624</v>
      </c>
      <c r="E2867" s="1694" t="s">
        <v>3067</v>
      </c>
      <c r="F2867" s="1907"/>
      <c r="G2867" s="1907"/>
      <c r="H2867" s="1907"/>
      <c r="K2867" s="841" t="s">
        <v>3068</v>
      </c>
      <c r="M2867" s="1357"/>
      <c r="Q2867" s="1357"/>
      <c r="S2867" s="1420"/>
      <c r="T2867" s="1420"/>
      <c r="V2867" s="1357">
        <v>46</v>
      </c>
    </row>
    <row r="2868" spans="1:22" s="841" customFormat="1" ht="15" x14ac:dyDescent="0.25">
      <c r="A2868" s="841" t="s">
        <v>624</v>
      </c>
      <c r="E2868" s="1904" t="s">
        <v>11</v>
      </c>
      <c r="F2868" s="1904"/>
      <c r="G2868" s="1408" t="s">
        <v>23</v>
      </c>
      <c r="H2868" s="391">
        <v>22.62</v>
      </c>
      <c r="K2868" s="841" t="s">
        <v>3197</v>
      </c>
      <c r="L2868" s="841" t="s">
        <v>442</v>
      </c>
      <c r="M2868" s="1357"/>
      <c r="P2868" s="841" t="s">
        <v>3201</v>
      </c>
      <c r="Q2868" s="1357"/>
      <c r="S2868" s="1420"/>
      <c r="T2868" s="1420"/>
      <c r="V2868" s="1357">
        <v>14</v>
      </c>
    </row>
    <row r="2869" spans="1:22" s="841" customFormat="1" ht="15" x14ac:dyDescent="0.25">
      <c r="A2869" s="841" t="s">
        <v>624</v>
      </c>
      <c r="E2869" s="1904" t="s">
        <v>5381</v>
      </c>
      <c r="F2869" s="1904"/>
      <c r="G2869" s="1408" t="s">
        <v>23</v>
      </c>
      <c r="H2869" s="391">
        <v>0.91</v>
      </c>
      <c r="K2869" s="841" t="s">
        <v>3197</v>
      </c>
      <c r="L2869" s="841" t="s">
        <v>442</v>
      </c>
      <c r="M2869" s="1357"/>
      <c r="P2869" s="841" t="s">
        <v>6211</v>
      </c>
      <c r="Q2869" s="1357"/>
      <c r="S2869" s="1420"/>
      <c r="T2869" s="1420"/>
      <c r="V2869" s="1357">
        <v>214</v>
      </c>
    </row>
    <row r="2870" spans="1:22" s="841" customFormat="1" ht="15" x14ac:dyDescent="0.25">
      <c r="A2870" s="841" t="s">
        <v>624</v>
      </c>
      <c r="E2870" s="1904" t="s">
        <v>5382</v>
      </c>
      <c r="F2870" s="1904"/>
      <c r="G2870" s="1408" t="s">
        <v>23</v>
      </c>
      <c r="H2870" s="391">
        <v>0.18</v>
      </c>
      <c r="K2870" s="841" t="s">
        <v>3197</v>
      </c>
      <c r="L2870" s="841" t="s">
        <v>442</v>
      </c>
      <c r="M2870" s="1357"/>
      <c r="P2870" s="841" t="s">
        <v>3364</v>
      </c>
      <c r="Q2870" s="1357"/>
      <c r="S2870" s="1420"/>
      <c r="T2870" s="1420"/>
      <c r="V2870" s="1357">
        <v>183</v>
      </c>
    </row>
    <row r="2871" spans="1:22" s="841" customFormat="1" ht="15" x14ac:dyDescent="0.25">
      <c r="A2871" s="841" t="s">
        <v>624</v>
      </c>
      <c r="E2871" s="1904" t="s">
        <v>5109</v>
      </c>
      <c r="F2871" s="1904"/>
      <c r="G2871" s="1408" t="s">
        <v>23</v>
      </c>
      <c r="H2871" s="391">
        <v>0.56999999999999995</v>
      </c>
      <c r="K2871" s="841" t="s">
        <v>3197</v>
      </c>
      <c r="L2871" s="841" t="s">
        <v>443</v>
      </c>
      <c r="M2871" s="1357"/>
      <c r="P2871" s="841" t="s">
        <v>3202</v>
      </c>
      <c r="Q2871" s="1357"/>
      <c r="S2871" s="1420"/>
      <c r="T2871" s="1420">
        <v>44926</v>
      </c>
      <c r="V2871" s="1357">
        <v>64</v>
      </c>
    </row>
    <row r="2872" spans="1:22" s="841" customFormat="1" ht="15" x14ac:dyDescent="0.25">
      <c r="A2872" s="841" t="s">
        <v>624</v>
      </c>
      <c r="E2872" s="1904" t="s">
        <v>5383</v>
      </c>
      <c r="F2872" s="1904"/>
      <c r="G2872" s="1408" t="s">
        <v>23</v>
      </c>
      <c r="H2872" s="391">
        <v>-0.16</v>
      </c>
      <c r="K2872" s="841" t="s">
        <v>3197</v>
      </c>
      <c r="L2872" s="841" t="s">
        <v>442</v>
      </c>
      <c r="M2872" s="1357"/>
      <c r="P2872" s="841" t="s">
        <v>3954</v>
      </c>
      <c r="Q2872" s="1357"/>
      <c r="S2872" s="1420"/>
      <c r="T2872" s="1420">
        <v>43585</v>
      </c>
      <c r="V2872" s="1357">
        <v>80</v>
      </c>
    </row>
    <row r="2873" spans="1:22" s="841" customFormat="1" ht="15" x14ac:dyDescent="0.25">
      <c r="A2873" s="841" t="s">
        <v>624</v>
      </c>
      <c r="E2873" s="1904" t="s">
        <v>84</v>
      </c>
      <c r="F2873" s="1904"/>
      <c r="G2873" s="1408" t="s">
        <v>24</v>
      </c>
      <c r="H2873" s="393">
        <v>5.3E-3</v>
      </c>
      <c r="K2873" s="841" t="s">
        <v>3197</v>
      </c>
      <c r="L2873" s="841" t="s">
        <v>442</v>
      </c>
      <c r="M2873" s="1357"/>
      <c r="P2873" s="841" t="s">
        <v>3203</v>
      </c>
      <c r="Q2873" s="1357"/>
      <c r="S2873" s="1420"/>
      <c r="T2873" s="1420"/>
      <c r="V2873" s="1357">
        <v>28</v>
      </c>
    </row>
    <row r="2874" spans="1:22" s="841" customFormat="1" ht="15" x14ac:dyDescent="0.25">
      <c r="A2874" s="841" t="s">
        <v>624</v>
      </c>
      <c r="E2874" s="1904" t="s">
        <v>5384</v>
      </c>
      <c r="F2874" s="1904"/>
      <c r="G2874" s="1408" t="s">
        <v>24</v>
      </c>
      <c r="H2874" s="393">
        <v>-6.1000000000000004E-3</v>
      </c>
      <c r="K2874" s="841" t="s">
        <v>3197</v>
      </c>
      <c r="L2874" s="841" t="s">
        <v>443</v>
      </c>
      <c r="M2874" s="1357"/>
      <c r="P2874" s="841" t="s">
        <v>3205</v>
      </c>
      <c r="Q2874" s="1357"/>
      <c r="S2874" s="1420"/>
      <c r="T2874" s="1420">
        <v>43585</v>
      </c>
      <c r="V2874" s="1357">
        <v>141</v>
      </c>
    </row>
    <row r="2875" spans="1:22" s="841" customFormat="1" ht="15" x14ac:dyDescent="0.25">
      <c r="A2875" s="841" t="s">
        <v>624</v>
      </c>
      <c r="E2875" s="1904" t="s">
        <v>5385</v>
      </c>
      <c r="F2875" s="1904"/>
      <c r="G2875" s="1408" t="s">
        <v>24</v>
      </c>
      <c r="H2875" s="393">
        <v>8.9999999999999998E-4</v>
      </c>
      <c r="K2875" s="841" t="s">
        <v>3197</v>
      </c>
      <c r="L2875" s="841" t="s">
        <v>442</v>
      </c>
      <c r="M2875" s="1357"/>
      <c r="P2875" s="841" t="s">
        <v>3206</v>
      </c>
      <c r="Q2875" s="1357"/>
      <c r="S2875" s="1420"/>
      <c r="T2875" s="1420">
        <v>43951</v>
      </c>
      <c r="V2875" s="1357">
        <v>137</v>
      </c>
    </row>
    <row r="2876" spans="1:22" s="841" customFormat="1" ht="15" x14ac:dyDescent="0.25">
      <c r="A2876" s="841" t="s">
        <v>624</v>
      </c>
      <c r="E2876" s="1904" t="s">
        <v>5130</v>
      </c>
      <c r="F2876" s="1962"/>
      <c r="G2876" s="1408" t="s">
        <v>24</v>
      </c>
      <c r="H2876" s="393">
        <v>-5.9999999999999995E-4</v>
      </c>
      <c r="K2876" s="841" t="s">
        <v>3197</v>
      </c>
      <c r="L2876" s="841" t="s">
        <v>443</v>
      </c>
      <c r="M2876" s="1357"/>
      <c r="P2876" s="841" t="s">
        <v>3207</v>
      </c>
      <c r="Q2876" s="1357"/>
      <c r="S2876" s="1420"/>
      <c r="T2876" s="1420">
        <v>43585</v>
      </c>
      <c r="V2876" s="1357">
        <v>96</v>
      </c>
    </row>
    <row r="2877" spans="1:22" s="841" customFormat="1" ht="15" x14ac:dyDescent="0.25">
      <c r="A2877" s="841" t="s">
        <v>624</v>
      </c>
      <c r="E2877" s="1904" t="s">
        <v>5386</v>
      </c>
      <c r="F2877" s="1904"/>
      <c r="G2877" s="1408" t="s">
        <v>24</v>
      </c>
      <c r="H2877" s="393">
        <v>-1E-4</v>
      </c>
      <c r="K2877" s="841" t="s">
        <v>3197</v>
      </c>
      <c r="L2877" s="841" t="s">
        <v>443</v>
      </c>
      <c r="M2877" s="1357"/>
      <c r="P2877" s="841" t="s">
        <v>5103</v>
      </c>
      <c r="Q2877" s="1357"/>
      <c r="S2877" s="1420"/>
      <c r="T2877" s="1420">
        <v>43585</v>
      </c>
      <c r="V2877" s="1357">
        <v>147</v>
      </c>
    </row>
    <row r="2878" spans="1:22" s="841" customFormat="1" ht="15" x14ac:dyDescent="0.25">
      <c r="A2878" s="841" t="s">
        <v>624</v>
      </c>
      <c r="E2878" s="1904" t="s">
        <v>221</v>
      </c>
      <c r="F2878" s="1904"/>
      <c r="G2878" s="1408" t="s">
        <v>24</v>
      </c>
      <c r="H2878" s="393">
        <v>7.7999999999999996E-3</v>
      </c>
      <c r="K2878" s="841" t="s">
        <v>3197</v>
      </c>
      <c r="L2878" s="841" t="s">
        <v>444</v>
      </c>
      <c r="M2878" s="1357"/>
      <c r="P2878" s="841" t="s">
        <v>3208</v>
      </c>
      <c r="Q2878" s="1357"/>
      <c r="S2878" s="1420"/>
      <c r="T2878" s="1420"/>
      <c r="V2878" s="1357">
        <v>47</v>
      </c>
    </row>
    <row r="2879" spans="1:22" s="841" customFormat="1" ht="15" x14ac:dyDescent="0.25">
      <c r="A2879" s="841" t="s">
        <v>624</v>
      </c>
      <c r="E2879" s="1904" t="s">
        <v>217</v>
      </c>
      <c r="F2879" s="1904"/>
      <c r="G2879" s="1408" t="s">
        <v>24</v>
      </c>
      <c r="H2879" s="393">
        <v>5.7000000000000002E-3</v>
      </c>
      <c r="K2879" s="841" t="s">
        <v>3197</v>
      </c>
      <c r="L2879" s="841" t="s">
        <v>444</v>
      </c>
      <c r="M2879" s="1357"/>
      <c r="P2879" s="841" t="s">
        <v>3209</v>
      </c>
      <c r="Q2879" s="1357"/>
      <c r="S2879" s="1420"/>
      <c r="T2879" s="1420"/>
      <c r="V2879" s="1357">
        <v>74</v>
      </c>
    </row>
    <row r="2880" spans="1:22" s="841" customFormat="1" ht="15" x14ac:dyDescent="0.25">
      <c r="A2880" s="841" t="s">
        <v>624</v>
      </c>
      <c r="E2880" s="1694" t="s">
        <v>3079</v>
      </c>
      <c r="F2880" s="1690"/>
      <c r="G2880" s="1408"/>
      <c r="H2880" s="1408"/>
      <c r="K2880" s="841" t="s">
        <v>3080</v>
      </c>
      <c r="M2880" s="1357"/>
      <c r="Q2880" s="1357"/>
      <c r="S2880" s="1420"/>
      <c r="T2880" s="1420"/>
      <c r="V2880" s="1357">
        <v>48</v>
      </c>
    </row>
    <row r="2881" spans="1:22" s="841" customFormat="1" ht="15" x14ac:dyDescent="0.25">
      <c r="A2881" s="841" t="s">
        <v>624</v>
      </c>
      <c r="E2881" s="1904" t="s">
        <v>2449</v>
      </c>
      <c r="F2881" s="1904"/>
      <c r="G2881" s="1408" t="s">
        <v>24</v>
      </c>
      <c r="H2881" s="393">
        <v>3.2000000000000002E-3</v>
      </c>
      <c r="K2881" s="841" t="s">
        <v>3197</v>
      </c>
      <c r="L2881" s="841" t="s">
        <v>3046</v>
      </c>
      <c r="M2881" s="1357"/>
      <c r="P2881" s="841" t="s">
        <v>3210</v>
      </c>
      <c r="Q2881" s="1357"/>
      <c r="S2881" s="1420"/>
      <c r="T2881" s="1420"/>
      <c r="V2881" s="1357">
        <v>55</v>
      </c>
    </row>
    <row r="2882" spans="1:22" s="841" customFormat="1" ht="15" x14ac:dyDescent="0.25">
      <c r="A2882" s="841" t="s">
        <v>624</v>
      </c>
      <c r="E2882" s="1904" t="s">
        <v>2450</v>
      </c>
      <c r="F2882" s="1904"/>
      <c r="G2882" s="1408" t="s">
        <v>24</v>
      </c>
      <c r="H2882" s="393">
        <v>4.0000000000000002E-4</v>
      </c>
      <c r="K2882" s="841" t="s">
        <v>3197</v>
      </c>
      <c r="L2882" s="841" t="s">
        <v>3046</v>
      </c>
      <c r="M2882" s="1357"/>
      <c r="P2882" s="841" t="s">
        <v>3210</v>
      </c>
      <c r="Q2882" s="1357"/>
      <c r="S2882" s="1420"/>
      <c r="T2882" s="1420"/>
      <c r="V2882" s="1357">
        <v>65</v>
      </c>
    </row>
    <row r="2883" spans="1:22" s="841" customFormat="1" ht="15" x14ac:dyDescent="0.25">
      <c r="A2883" s="841" t="s">
        <v>624</v>
      </c>
      <c r="E2883" s="1904" t="s">
        <v>439</v>
      </c>
      <c r="F2883" s="1904"/>
      <c r="G2883" s="1408" t="s">
        <v>24</v>
      </c>
      <c r="H2883" s="393">
        <v>2.9999999999999997E-4</v>
      </c>
      <c r="K2883" s="841" t="s">
        <v>3197</v>
      </c>
      <c r="L2883" s="841" t="s">
        <v>3046</v>
      </c>
      <c r="M2883" s="1357"/>
      <c r="P2883" s="841" t="s">
        <v>3212</v>
      </c>
      <c r="Q2883" s="1357"/>
      <c r="S2883" s="1420"/>
      <c r="T2883" s="1420"/>
      <c r="V2883" s="1357">
        <v>57</v>
      </c>
    </row>
    <row r="2884" spans="1:22" s="841" customFormat="1" ht="15" x14ac:dyDescent="0.25">
      <c r="A2884" s="841" t="s">
        <v>624</v>
      </c>
      <c r="E2884" s="1904" t="s">
        <v>32</v>
      </c>
      <c r="F2884" s="1904"/>
      <c r="G2884" s="1408" t="s">
        <v>23</v>
      </c>
      <c r="H2884" s="391">
        <v>0.25</v>
      </c>
      <c r="K2884" s="841" t="s">
        <v>3197</v>
      </c>
      <c r="L2884" s="841" t="s">
        <v>3046</v>
      </c>
      <c r="M2884" s="1357"/>
      <c r="P2884" s="841" t="s">
        <v>3213</v>
      </c>
      <c r="Q2884" s="1357"/>
      <c r="S2884" s="1420"/>
      <c r="T2884" s="1420"/>
      <c r="V2884" s="1357">
        <v>63</v>
      </c>
    </row>
    <row r="2885" spans="1:22" s="841" customFormat="1" x14ac:dyDescent="0.25">
      <c r="A2885" s="841" t="s">
        <v>624</v>
      </c>
      <c r="E2885" s="1909" t="s">
        <v>3214</v>
      </c>
      <c r="F2885" s="1915"/>
      <c r="G2885" s="1915"/>
      <c r="H2885" s="1915"/>
      <c r="K2885" s="841" t="s">
        <v>5110</v>
      </c>
      <c r="M2885" s="1357"/>
      <c r="Q2885" s="1357"/>
      <c r="S2885" s="1420"/>
      <c r="T2885" s="1420"/>
      <c r="V2885" s="1357">
        <v>54</v>
      </c>
    </row>
    <row r="2886" spans="1:22" s="841" customFormat="1" ht="15" x14ac:dyDescent="0.25">
      <c r="A2886" s="841" t="s">
        <v>624</v>
      </c>
      <c r="E2886" s="2024" t="s">
        <v>5387</v>
      </c>
      <c r="F2886" s="2024"/>
      <c r="G2886" s="2024"/>
      <c r="H2886" s="2024"/>
      <c r="K2886" s="841" t="s">
        <v>5110</v>
      </c>
      <c r="M2886" s="1357"/>
      <c r="Q2886" s="1357"/>
      <c r="S2886" s="1420"/>
      <c r="T2886" s="1420"/>
      <c r="V2886" s="1357">
        <v>390</v>
      </c>
    </row>
    <row r="2887" spans="1:22" s="841" customFormat="1" ht="15" x14ac:dyDescent="0.25">
      <c r="A2887" s="841" t="s">
        <v>624</v>
      </c>
      <c r="E2887" s="1916" t="s">
        <v>3061</v>
      </c>
      <c r="F2887" s="1697"/>
      <c r="G2887" s="1697"/>
      <c r="H2887" s="1697"/>
      <c r="K2887" s="841" t="s">
        <v>3086</v>
      </c>
      <c r="M2887" s="1357"/>
      <c r="Q2887" s="1357"/>
      <c r="S2887" s="1420"/>
      <c r="T2887" s="1420"/>
      <c r="V2887" s="1357">
        <v>11</v>
      </c>
    </row>
    <row r="2888" spans="1:22" s="841" customFormat="1" ht="15" x14ac:dyDescent="0.25">
      <c r="A2888" s="841" t="s">
        <v>624</v>
      </c>
      <c r="E2888" s="1689" t="s">
        <v>3063</v>
      </c>
      <c r="F2888" s="1689"/>
      <c r="G2888" s="1689"/>
      <c r="H2888" s="1689"/>
      <c r="K2888" s="841" t="s">
        <v>5110</v>
      </c>
      <c r="M2888" s="1357"/>
      <c r="Q2888" s="1357"/>
      <c r="S2888" s="1420"/>
      <c r="T2888" s="1420"/>
      <c r="V2888" s="1357">
        <v>280</v>
      </c>
    </row>
    <row r="2889" spans="1:22" s="841" customFormat="1" ht="15" x14ac:dyDescent="0.25">
      <c r="A2889" s="841" t="s">
        <v>624</v>
      </c>
      <c r="E2889" s="1689" t="s">
        <v>3064</v>
      </c>
      <c r="F2889" s="1689"/>
      <c r="G2889" s="1689"/>
      <c r="H2889" s="1689"/>
      <c r="K2889" s="841" t="s">
        <v>5110</v>
      </c>
      <c r="M2889" s="1357"/>
      <c r="Q2889" s="1357"/>
      <c r="S2889" s="1420"/>
      <c r="T2889" s="1420"/>
      <c r="V2889" s="1357">
        <v>411</v>
      </c>
    </row>
    <row r="2890" spans="1:22" s="841" customFormat="1" ht="15" x14ac:dyDescent="0.25">
      <c r="A2890" s="841" t="s">
        <v>624</v>
      </c>
      <c r="E2890" s="1689" t="s">
        <v>4427</v>
      </c>
      <c r="F2890" s="1689"/>
      <c r="G2890" s="1689"/>
      <c r="H2890" s="1689"/>
      <c r="K2890" s="841" t="s">
        <v>5110</v>
      </c>
      <c r="M2890" s="1357"/>
      <c r="Q2890" s="1357"/>
      <c r="S2890" s="1420"/>
      <c r="T2890" s="1420"/>
      <c r="V2890" s="1357">
        <v>379</v>
      </c>
    </row>
    <row r="2891" spans="1:22" s="841" customFormat="1" ht="15" x14ac:dyDescent="0.25">
      <c r="A2891" s="841" t="s">
        <v>624</v>
      </c>
      <c r="E2891" s="1689" t="s">
        <v>3200</v>
      </c>
      <c r="F2891" s="1689"/>
      <c r="G2891" s="1689"/>
      <c r="H2891" s="1689"/>
      <c r="K2891" s="841" t="s">
        <v>5110</v>
      </c>
      <c r="M2891" s="1357"/>
      <c r="Q2891" s="1357"/>
      <c r="S2891" s="1420"/>
      <c r="T2891" s="1420"/>
      <c r="V2891" s="1357">
        <v>275</v>
      </c>
    </row>
    <row r="2892" spans="1:22" s="841" customFormat="1" ht="15" x14ac:dyDescent="0.25">
      <c r="A2892" s="841" t="s">
        <v>624</v>
      </c>
      <c r="E2892" s="1694" t="s">
        <v>3067</v>
      </c>
      <c r="F2892" s="1907"/>
      <c r="G2892" s="1907"/>
      <c r="H2892" s="1907"/>
      <c r="K2892" s="841" t="s">
        <v>3087</v>
      </c>
      <c r="M2892" s="1357"/>
      <c r="Q2892" s="1357"/>
      <c r="S2892" s="1420"/>
      <c r="T2892" s="1420"/>
      <c r="V2892" s="1357">
        <v>46</v>
      </c>
    </row>
    <row r="2893" spans="1:22" s="841" customFormat="1" ht="15" x14ac:dyDescent="0.25">
      <c r="A2893" s="841" t="s">
        <v>624</v>
      </c>
      <c r="E2893" s="1904" t="s">
        <v>11</v>
      </c>
      <c r="F2893" s="1904"/>
      <c r="G2893" s="1408" t="s">
        <v>23</v>
      </c>
      <c r="H2893" s="391">
        <v>26.94</v>
      </c>
      <c r="K2893" s="841" t="s">
        <v>5110</v>
      </c>
      <c r="L2893" s="841" t="s">
        <v>442</v>
      </c>
      <c r="M2893" s="1357"/>
      <c r="P2893" s="841" t="s">
        <v>5111</v>
      </c>
      <c r="Q2893" s="1357"/>
      <c r="S2893" s="1420"/>
      <c r="T2893" s="1420"/>
      <c r="V2893" s="1357">
        <v>14</v>
      </c>
    </row>
    <row r="2894" spans="1:22" s="841" customFormat="1" ht="15" x14ac:dyDescent="0.25">
      <c r="A2894" s="841" t="s">
        <v>624</v>
      </c>
      <c r="E2894" s="1904" t="s">
        <v>5381</v>
      </c>
      <c r="F2894" s="1904"/>
      <c r="G2894" s="1408" t="s">
        <v>23</v>
      </c>
      <c r="H2894" s="391">
        <v>2.68</v>
      </c>
      <c r="K2894" s="841" t="s">
        <v>5110</v>
      </c>
      <c r="L2894" s="841" t="s">
        <v>442</v>
      </c>
      <c r="M2894" s="1357"/>
      <c r="P2894" s="841" t="s">
        <v>6212</v>
      </c>
      <c r="Q2894" s="1357"/>
      <c r="S2894" s="1420"/>
      <c r="T2894" s="1420"/>
      <c r="V2894" s="1357">
        <v>214</v>
      </c>
    </row>
    <row r="2895" spans="1:22" s="841" customFormat="1" ht="15" x14ac:dyDescent="0.25">
      <c r="A2895" s="841" t="s">
        <v>624</v>
      </c>
      <c r="E2895" s="1904" t="s">
        <v>5382</v>
      </c>
      <c r="F2895" s="1904"/>
      <c r="G2895" s="1408" t="s">
        <v>23</v>
      </c>
      <c r="H2895" s="391">
        <v>1.07</v>
      </c>
      <c r="K2895" s="841" t="s">
        <v>5110</v>
      </c>
      <c r="L2895" s="841" t="s">
        <v>442</v>
      </c>
      <c r="M2895" s="1357"/>
      <c r="P2895" s="841" t="s">
        <v>5388</v>
      </c>
      <c r="Q2895" s="1357"/>
      <c r="S2895" s="1420"/>
      <c r="T2895" s="1420"/>
      <c r="V2895" s="1357">
        <v>183</v>
      </c>
    </row>
    <row r="2896" spans="1:22" s="841" customFormat="1" ht="15" x14ac:dyDescent="0.25">
      <c r="A2896" s="841" t="s">
        <v>624</v>
      </c>
      <c r="E2896" s="1904" t="s">
        <v>5109</v>
      </c>
      <c r="F2896" s="1904"/>
      <c r="G2896" s="1408" t="s">
        <v>23</v>
      </c>
      <c r="H2896" s="391">
        <v>0.56999999999999995</v>
      </c>
      <c r="K2896" s="841" t="s">
        <v>5110</v>
      </c>
      <c r="L2896" s="841" t="s">
        <v>443</v>
      </c>
      <c r="M2896" s="1357"/>
      <c r="P2896" s="841" t="s">
        <v>5112</v>
      </c>
      <c r="Q2896" s="1357"/>
      <c r="S2896" s="1420"/>
      <c r="T2896" s="1420">
        <v>44926</v>
      </c>
      <c r="V2896" s="1357">
        <v>64</v>
      </c>
    </row>
    <row r="2897" spans="1:22" s="841" customFormat="1" ht="15" x14ac:dyDescent="0.25">
      <c r="A2897" s="841" t="s">
        <v>624</v>
      </c>
      <c r="E2897" s="1904" t="s">
        <v>84</v>
      </c>
      <c r="F2897" s="1904"/>
      <c r="G2897" s="1408" t="s">
        <v>24</v>
      </c>
      <c r="H2897" s="393">
        <v>1.7399999999999999E-2</v>
      </c>
      <c r="K2897" s="841" t="s">
        <v>5110</v>
      </c>
      <c r="L2897" s="841" t="s">
        <v>442</v>
      </c>
      <c r="M2897" s="1357"/>
      <c r="P2897" s="841" t="s">
        <v>5113</v>
      </c>
      <c r="Q2897" s="1357"/>
      <c r="S2897" s="1420"/>
      <c r="T2897" s="1420"/>
      <c r="V2897" s="1357">
        <v>28</v>
      </c>
    </row>
    <row r="2898" spans="1:22" s="841" customFormat="1" ht="15" x14ac:dyDescent="0.25">
      <c r="A2898" s="841" t="s">
        <v>624</v>
      </c>
      <c r="E2898" s="1904" t="s">
        <v>5384</v>
      </c>
      <c r="F2898" s="1904"/>
      <c r="G2898" s="1408" t="s">
        <v>24</v>
      </c>
      <c r="H2898" s="393">
        <v>-6.1000000000000004E-3</v>
      </c>
      <c r="K2898" s="841" t="s">
        <v>5110</v>
      </c>
      <c r="L2898" s="841" t="s">
        <v>443</v>
      </c>
      <c r="M2898" s="1357"/>
      <c r="P2898" s="841" t="s">
        <v>4818</v>
      </c>
      <c r="Q2898" s="1357"/>
      <c r="S2898" s="1420"/>
      <c r="T2898" s="1420">
        <v>43585</v>
      </c>
      <c r="V2898" s="1357">
        <v>141</v>
      </c>
    </row>
    <row r="2899" spans="1:22" s="841" customFormat="1" ht="15" x14ac:dyDescent="0.25">
      <c r="A2899" s="841" t="s">
        <v>624</v>
      </c>
      <c r="E2899" s="1904" t="s">
        <v>5389</v>
      </c>
      <c r="F2899" s="1904"/>
      <c r="G2899" s="1408" t="s">
        <v>24</v>
      </c>
      <c r="H2899" s="393">
        <v>1.1999999999999999E-3</v>
      </c>
      <c r="K2899" s="841" t="s">
        <v>5110</v>
      </c>
      <c r="L2899" s="841" t="s">
        <v>442</v>
      </c>
      <c r="M2899" s="1357"/>
      <c r="P2899" s="841" t="s">
        <v>5285</v>
      </c>
      <c r="Q2899" s="1357"/>
      <c r="S2899" s="1420"/>
      <c r="T2899" s="1420">
        <v>43951</v>
      </c>
      <c r="V2899" s="1357">
        <v>136</v>
      </c>
    </row>
    <row r="2900" spans="1:22" s="841" customFormat="1" ht="15" x14ac:dyDescent="0.25">
      <c r="A2900" s="841" t="s">
        <v>624</v>
      </c>
      <c r="E2900" s="1904" t="s">
        <v>5130</v>
      </c>
      <c r="F2900" s="1962"/>
      <c r="G2900" s="1408" t="s">
        <v>24</v>
      </c>
      <c r="H2900" s="393">
        <v>-5.0000000000000001E-4</v>
      </c>
      <c r="K2900" s="841" t="s">
        <v>5110</v>
      </c>
      <c r="L2900" s="841" t="s">
        <v>443</v>
      </c>
      <c r="M2900" s="1357"/>
      <c r="P2900" s="841" t="s">
        <v>5124</v>
      </c>
      <c r="Q2900" s="1357"/>
      <c r="S2900" s="1420"/>
      <c r="T2900" s="1420">
        <v>43585</v>
      </c>
      <c r="V2900" s="1357">
        <v>96</v>
      </c>
    </row>
    <row r="2901" spans="1:22" s="841" customFormat="1" ht="15" x14ac:dyDescent="0.25">
      <c r="A2901" s="841" t="s">
        <v>624</v>
      </c>
      <c r="E2901" s="1904" t="s">
        <v>5390</v>
      </c>
      <c r="F2901" s="1904"/>
      <c r="G2901" s="1408" t="s">
        <v>24</v>
      </c>
      <c r="H2901" s="393">
        <v>-1E-4</v>
      </c>
      <c r="K2901" s="841" t="s">
        <v>5110</v>
      </c>
      <c r="L2901" s="841" t="s">
        <v>443</v>
      </c>
      <c r="M2901" s="1357"/>
      <c r="P2901" s="841" t="s">
        <v>5287</v>
      </c>
      <c r="Q2901" s="1357"/>
      <c r="S2901" s="1420"/>
      <c r="T2901" s="1420">
        <v>43585</v>
      </c>
      <c r="V2901" s="1357">
        <v>146</v>
      </c>
    </row>
    <row r="2902" spans="1:22" s="841" customFormat="1" ht="15" x14ac:dyDescent="0.25">
      <c r="A2902" s="841" t="s">
        <v>624</v>
      </c>
      <c r="E2902" s="1904" t="s">
        <v>5383</v>
      </c>
      <c r="F2902" s="1962"/>
      <c r="G2902" s="1408" t="s">
        <v>24</v>
      </c>
      <c r="H2902" s="393">
        <v>-2.0000000000000001E-4</v>
      </c>
      <c r="K2902" s="841" t="s">
        <v>5110</v>
      </c>
      <c r="L2902" s="841" t="s">
        <v>442</v>
      </c>
      <c r="M2902" s="1357"/>
      <c r="P2902" s="841" t="s">
        <v>5391</v>
      </c>
      <c r="Q2902" s="1357"/>
      <c r="S2902" s="1420"/>
      <c r="T2902" s="1420">
        <v>43585</v>
      </c>
      <c r="V2902" s="1357">
        <v>80</v>
      </c>
    </row>
    <row r="2903" spans="1:22" s="841" customFormat="1" ht="15" x14ac:dyDescent="0.25">
      <c r="A2903" s="841" t="s">
        <v>624</v>
      </c>
      <c r="E2903" s="1904" t="s">
        <v>221</v>
      </c>
      <c r="F2903" s="1904"/>
      <c r="G2903" s="1408" t="s">
        <v>24</v>
      </c>
      <c r="H2903" s="393">
        <v>7.1999999999999998E-3</v>
      </c>
      <c r="K2903" s="841" t="s">
        <v>5110</v>
      </c>
      <c r="L2903" s="841" t="s">
        <v>444</v>
      </c>
      <c r="M2903" s="1357"/>
      <c r="P2903" s="841" t="s">
        <v>5115</v>
      </c>
      <c r="Q2903" s="1357"/>
      <c r="S2903" s="1420"/>
      <c r="T2903" s="1420"/>
      <c r="V2903" s="1357">
        <v>47</v>
      </c>
    </row>
    <row r="2904" spans="1:22" s="841" customFormat="1" ht="15" x14ac:dyDescent="0.25">
      <c r="A2904" s="841" t="s">
        <v>624</v>
      </c>
      <c r="E2904" s="1904" t="s">
        <v>217</v>
      </c>
      <c r="F2904" s="1904"/>
      <c r="G2904" s="1408" t="s">
        <v>24</v>
      </c>
      <c r="H2904" s="393">
        <v>5.3E-3</v>
      </c>
      <c r="K2904" s="841" t="s">
        <v>5110</v>
      </c>
      <c r="L2904" s="841" t="s">
        <v>444</v>
      </c>
      <c r="M2904" s="1357"/>
      <c r="P2904" s="841" t="s">
        <v>5116</v>
      </c>
      <c r="Q2904" s="1357"/>
      <c r="S2904" s="1420"/>
      <c r="T2904" s="1420"/>
      <c r="V2904" s="1357">
        <v>74</v>
      </c>
    </row>
    <row r="2905" spans="1:22" s="841" customFormat="1" ht="15" x14ac:dyDescent="0.25">
      <c r="A2905" s="841" t="s">
        <v>624</v>
      </c>
      <c r="E2905" s="1694" t="s">
        <v>3079</v>
      </c>
      <c r="F2905" s="1690"/>
      <c r="G2905" s="1408"/>
      <c r="H2905" s="1408"/>
      <c r="K2905" s="841" t="s">
        <v>3093</v>
      </c>
      <c r="M2905" s="1357"/>
      <c r="Q2905" s="1357"/>
      <c r="S2905" s="1420"/>
      <c r="T2905" s="1420"/>
      <c r="V2905" s="1357">
        <v>48</v>
      </c>
    </row>
    <row r="2906" spans="1:22" s="841" customFormat="1" ht="15" x14ac:dyDescent="0.25">
      <c r="A2906" s="841" t="s">
        <v>624</v>
      </c>
      <c r="E2906" s="1904" t="s">
        <v>2449</v>
      </c>
      <c r="F2906" s="1904"/>
      <c r="G2906" s="1408" t="s">
        <v>24</v>
      </c>
      <c r="H2906" s="393">
        <v>3.2000000000000002E-3</v>
      </c>
      <c r="K2906" s="841" t="s">
        <v>5110</v>
      </c>
      <c r="L2906" s="841" t="s">
        <v>3046</v>
      </c>
      <c r="M2906" s="1357"/>
      <c r="P2906" s="841" t="s">
        <v>5117</v>
      </c>
      <c r="Q2906" s="1357"/>
      <c r="S2906" s="1420"/>
      <c r="T2906" s="1420"/>
      <c r="V2906" s="1357">
        <v>55</v>
      </c>
    </row>
    <row r="2907" spans="1:22" s="841" customFormat="1" ht="15" x14ac:dyDescent="0.25">
      <c r="A2907" s="841" t="s">
        <v>624</v>
      </c>
      <c r="E2907" s="1904" t="s">
        <v>2450</v>
      </c>
      <c r="F2907" s="1904"/>
      <c r="G2907" s="1408" t="s">
        <v>24</v>
      </c>
      <c r="H2907" s="393">
        <v>4.0000000000000002E-4</v>
      </c>
      <c r="K2907" s="841" t="s">
        <v>5110</v>
      </c>
      <c r="L2907" s="841" t="s">
        <v>3046</v>
      </c>
      <c r="M2907" s="1357"/>
      <c r="P2907" s="841" t="s">
        <v>5117</v>
      </c>
      <c r="Q2907" s="1357"/>
      <c r="S2907" s="1420"/>
      <c r="T2907" s="1420"/>
      <c r="V2907" s="1357">
        <v>65</v>
      </c>
    </row>
    <row r="2908" spans="1:22" s="841" customFormat="1" ht="15" x14ac:dyDescent="0.25">
      <c r="A2908" s="841" t="s">
        <v>624</v>
      </c>
      <c r="E2908" s="1904" t="s">
        <v>439</v>
      </c>
      <c r="F2908" s="1904"/>
      <c r="G2908" s="1408" t="s">
        <v>24</v>
      </c>
      <c r="H2908" s="393">
        <v>2.9999999999999997E-4</v>
      </c>
      <c r="K2908" s="841" t="s">
        <v>5110</v>
      </c>
      <c r="L2908" s="841" t="s">
        <v>3046</v>
      </c>
      <c r="M2908" s="1357"/>
      <c r="P2908" s="841" t="s">
        <v>5118</v>
      </c>
      <c r="Q2908" s="1357"/>
      <c r="S2908" s="1420"/>
      <c r="T2908" s="1420"/>
      <c r="V2908" s="1357">
        <v>57</v>
      </c>
    </row>
    <row r="2909" spans="1:22" s="841" customFormat="1" ht="15" x14ac:dyDescent="0.25">
      <c r="A2909" s="841" t="s">
        <v>624</v>
      </c>
      <c r="E2909" s="1904" t="s">
        <v>32</v>
      </c>
      <c r="F2909" s="1904"/>
      <c r="G2909" s="1408" t="s">
        <v>23</v>
      </c>
      <c r="H2909" s="391">
        <v>0.25</v>
      </c>
      <c r="K2909" s="841" t="s">
        <v>5110</v>
      </c>
      <c r="L2909" s="841" t="s">
        <v>3046</v>
      </c>
      <c r="M2909" s="1357"/>
      <c r="P2909" s="841" t="s">
        <v>5119</v>
      </c>
      <c r="Q2909" s="1357"/>
      <c r="S2909" s="1420"/>
      <c r="T2909" s="1420"/>
      <c r="V2909" s="1357">
        <v>63</v>
      </c>
    </row>
    <row r="2910" spans="1:22" s="841" customFormat="1" x14ac:dyDescent="0.25">
      <c r="A2910" s="841" t="s">
        <v>624</v>
      </c>
      <c r="E2910" s="1909" t="s">
        <v>616</v>
      </c>
      <c r="F2910" s="1915"/>
      <c r="G2910" s="1915"/>
      <c r="H2910" s="1915"/>
      <c r="K2910" s="841" t="s">
        <v>6095</v>
      </c>
      <c r="M2910" s="1357"/>
      <c r="Q2910" s="1357"/>
      <c r="S2910" s="1420"/>
      <c r="T2910" s="1420"/>
      <c r="V2910" s="1357">
        <v>53</v>
      </c>
    </row>
    <row r="2911" spans="1:22" s="841" customFormat="1" ht="15" x14ac:dyDescent="0.25">
      <c r="A2911" s="841" t="s">
        <v>624</v>
      </c>
      <c r="E2911" s="2024" t="s">
        <v>5392</v>
      </c>
      <c r="F2911" s="2024"/>
      <c r="G2911" s="2024"/>
      <c r="H2911" s="2024"/>
      <c r="K2911" s="841" t="s">
        <v>6095</v>
      </c>
      <c r="M2911" s="1357"/>
      <c r="Q2911" s="1357"/>
      <c r="S2911" s="1420"/>
      <c r="T2911" s="1420"/>
      <c r="V2911" s="1357">
        <v>439</v>
      </c>
    </row>
    <row r="2912" spans="1:22" s="841" customFormat="1" ht="15" x14ac:dyDescent="0.25">
      <c r="A2912" s="841" t="s">
        <v>624</v>
      </c>
      <c r="E2912" s="1916" t="s">
        <v>3061</v>
      </c>
      <c r="F2912" s="1697"/>
      <c r="G2912" s="1697"/>
      <c r="H2912" s="1697"/>
      <c r="K2912" s="841" t="s">
        <v>3098</v>
      </c>
      <c r="M2912" s="1357"/>
      <c r="Q2912" s="1357"/>
      <c r="S2912" s="1420"/>
      <c r="T2912" s="1420"/>
      <c r="V2912" s="1357">
        <v>11</v>
      </c>
    </row>
    <row r="2913" spans="1:22" s="841" customFormat="1" ht="15" x14ac:dyDescent="0.25">
      <c r="A2913" s="841" t="s">
        <v>624</v>
      </c>
      <c r="E2913" s="1689" t="s">
        <v>3063</v>
      </c>
      <c r="F2913" s="1689"/>
      <c r="G2913" s="1689"/>
      <c r="H2913" s="1689"/>
      <c r="K2913" s="841" t="s">
        <v>6095</v>
      </c>
      <c r="M2913" s="1357"/>
      <c r="Q2913" s="1357"/>
      <c r="S2913" s="1420"/>
      <c r="T2913" s="1420"/>
      <c r="V2913" s="1357">
        <v>280</v>
      </c>
    </row>
    <row r="2914" spans="1:22" s="841" customFormat="1" ht="15" x14ac:dyDescent="0.25">
      <c r="A2914" s="841" t="s">
        <v>624</v>
      </c>
      <c r="E2914" s="1689" t="s">
        <v>3064</v>
      </c>
      <c r="F2914" s="1689"/>
      <c r="G2914" s="1689"/>
      <c r="H2914" s="1689"/>
      <c r="K2914" s="841" t="s">
        <v>6095</v>
      </c>
      <c r="M2914" s="1357"/>
      <c r="Q2914" s="1357"/>
      <c r="S2914" s="1420"/>
      <c r="T2914" s="1420"/>
      <c r="V2914" s="1357">
        <v>411</v>
      </c>
    </row>
    <row r="2915" spans="1:22" s="841" customFormat="1" ht="15" x14ac:dyDescent="0.25">
      <c r="A2915" s="841" t="s">
        <v>624</v>
      </c>
      <c r="E2915" s="1689" t="s">
        <v>4427</v>
      </c>
      <c r="F2915" s="1689"/>
      <c r="G2915" s="1689"/>
      <c r="H2915" s="1689"/>
      <c r="K2915" s="841" t="s">
        <v>6095</v>
      </c>
      <c r="M2915" s="1357"/>
      <c r="Q2915" s="1357"/>
      <c r="S2915" s="1420"/>
      <c r="T2915" s="1420"/>
      <c r="V2915" s="1357">
        <v>379</v>
      </c>
    </row>
    <row r="2916" spans="1:22" s="841" customFormat="1" ht="15" x14ac:dyDescent="0.25">
      <c r="A2916" s="841" t="s">
        <v>624</v>
      </c>
      <c r="E2916" s="1689" t="s">
        <v>4391</v>
      </c>
      <c r="F2916" s="1689"/>
      <c r="G2916" s="1689"/>
      <c r="H2916" s="1689"/>
      <c r="K2916" s="841" t="s">
        <v>6095</v>
      </c>
      <c r="M2916" s="1357"/>
      <c r="Q2916" s="1357"/>
      <c r="S2916" s="1420"/>
      <c r="T2916" s="1420"/>
      <c r="V2916" s="1357">
        <v>613</v>
      </c>
    </row>
    <row r="2917" spans="1:22" s="841" customFormat="1" ht="15" x14ac:dyDescent="0.25">
      <c r="A2917" s="841" t="s">
        <v>624</v>
      </c>
      <c r="E2917" s="1689" t="s">
        <v>3569</v>
      </c>
      <c r="F2917" s="1689"/>
      <c r="G2917" s="1689"/>
      <c r="H2917" s="1689"/>
      <c r="K2917" s="841" t="s">
        <v>6095</v>
      </c>
      <c r="M2917" s="1357"/>
      <c r="Q2917" s="1357"/>
      <c r="S2917" s="1420"/>
      <c r="T2917" s="1420"/>
      <c r="V2917" s="1357">
        <v>626</v>
      </c>
    </row>
    <row r="2918" spans="1:22" s="841" customFormat="1" ht="15" x14ac:dyDescent="0.25">
      <c r="A2918" s="841" t="s">
        <v>624</v>
      </c>
      <c r="E2918" s="1689" t="s">
        <v>3200</v>
      </c>
      <c r="F2918" s="1689"/>
      <c r="G2918" s="1689"/>
      <c r="H2918" s="1689"/>
      <c r="K2918" s="841" t="s">
        <v>6095</v>
      </c>
      <c r="M2918" s="1357"/>
      <c r="Q2918" s="1357"/>
      <c r="S2918" s="1420"/>
      <c r="T2918" s="1420"/>
      <c r="V2918" s="1357">
        <v>275</v>
      </c>
    </row>
    <row r="2919" spans="1:22" s="841" customFormat="1" ht="15" x14ac:dyDescent="0.25">
      <c r="A2919" s="841" t="s">
        <v>624</v>
      </c>
      <c r="E2919" s="1694" t="s">
        <v>3067</v>
      </c>
      <c r="F2919" s="1907"/>
      <c r="G2919" s="1907"/>
      <c r="H2919" s="1907"/>
      <c r="K2919" s="841" t="s">
        <v>3099</v>
      </c>
      <c r="M2919" s="1357"/>
      <c r="Q2919" s="1357"/>
      <c r="S2919" s="1420"/>
      <c r="T2919" s="1420"/>
      <c r="V2919" s="1357">
        <v>46</v>
      </c>
    </row>
    <row r="2920" spans="1:22" s="841" customFormat="1" ht="15" x14ac:dyDescent="0.25">
      <c r="A2920" s="841" t="s">
        <v>624</v>
      </c>
      <c r="E2920" s="1904" t="s">
        <v>11</v>
      </c>
      <c r="F2920" s="1904"/>
      <c r="G2920" s="1408" t="s">
        <v>23</v>
      </c>
      <c r="H2920" s="391">
        <v>106.97</v>
      </c>
      <c r="K2920" s="841" t="s">
        <v>6095</v>
      </c>
      <c r="L2920" s="841" t="s">
        <v>442</v>
      </c>
      <c r="M2920" s="1357"/>
      <c r="P2920" s="841" t="s">
        <v>6096</v>
      </c>
      <c r="Q2920" s="1357"/>
      <c r="S2920" s="1420"/>
      <c r="T2920" s="1420"/>
      <c r="V2920" s="1357">
        <v>14</v>
      </c>
    </row>
    <row r="2921" spans="1:22" s="841" customFormat="1" ht="15" x14ac:dyDescent="0.25">
      <c r="A2921" s="841" t="s">
        <v>624</v>
      </c>
      <c r="E2921" s="1904" t="s">
        <v>84</v>
      </c>
      <c r="F2921" s="1904"/>
      <c r="G2921" s="1408" t="s">
        <v>33</v>
      </c>
      <c r="H2921" s="393">
        <v>4.9394</v>
      </c>
      <c r="K2921" s="841" t="s">
        <v>6095</v>
      </c>
      <c r="L2921" s="841" t="s">
        <v>442</v>
      </c>
      <c r="M2921" s="1357"/>
      <c r="P2921" s="841" t="s">
        <v>6097</v>
      </c>
      <c r="Q2921" s="1357"/>
      <c r="S2921" s="1420"/>
      <c r="T2921" s="1420"/>
      <c r="V2921" s="1357">
        <v>28</v>
      </c>
    </row>
    <row r="2922" spans="1:22" s="841" customFormat="1" ht="15" x14ac:dyDescent="0.25">
      <c r="A2922" s="841" t="s">
        <v>624</v>
      </c>
      <c r="E2922" s="1904" t="s">
        <v>5384</v>
      </c>
      <c r="F2922" s="1904"/>
      <c r="G2922" s="1408" t="s">
        <v>24</v>
      </c>
      <c r="H2922" s="393">
        <v>-6.1000000000000004E-3</v>
      </c>
      <c r="K2922" s="841" t="s">
        <v>6095</v>
      </c>
      <c r="L2922" s="841" t="s">
        <v>443</v>
      </c>
      <c r="M2922" s="1357"/>
      <c r="P2922" s="841" t="s">
        <v>6104</v>
      </c>
      <c r="Q2922" s="1357"/>
      <c r="S2922" s="1420"/>
      <c r="T2922" s="1420">
        <v>43585</v>
      </c>
      <c r="V2922" s="1357">
        <v>141</v>
      </c>
    </row>
    <row r="2923" spans="1:22" s="841" customFormat="1" ht="15" x14ac:dyDescent="0.25">
      <c r="A2923" s="841" t="s">
        <v>624</v>
      </c>
      <c r="E2923" s="1904" t="s">
        <v>5389</v>
      </c>
      <c r="F2923" s="1962"/>
      <c r="G2923" s="1408" t="s">
        <v>33</v>
      </c>
      <c r="H2923" s="393">
        <v>0.27150000000000002</v>
      </c>
      <c r="K2923" s="841" t="s">
        <v>6095</v>
      </c>
      <c r="L2923" s="841" t="s">
        <v>442</v>
      </c>
      <c r="M2923" s="1357"/>
      <c r="P2923" s="841" t="s">
        <v>6111</v>
      </c>
      <c r="Q2923" s="1357"/>
      <c r="S2923" s="1420"/>
      <c r="T2923" s="1420">
        <v>43951</v>
      </c>
      <c r="V2923" s="1357">
        <v>136</v>
      </c>
    </row>
    <row r="2924" spans="1:22" s="841" customFormat="1" ht="15" x14ac:dyDescent="0.25">
      <c r="A2924" s="841" t="s">
        <v>624</v>
      </c>
      <c r="E2924" s="1904" t="s">
        <v>5305</v>
      </c>
      <c r="F2924" s="1962"/>
      <c r="G2924" s="1408" t="s">
        <v>33</v>
      </c>
      <c r="H2924" s="393">
        <v>-0.31619999999999998</v>
      </c>
      <c r="K2924" s="841" t="s">
        <v>6095</v>
      </c>
      <c r="L2924" s="841" t="s">
        <v>443</v>
      </c>
      <c r="M2924" s="1357"/>
      <c r="P2924" s="841" t="s">
        <v>6105</v>
      </c>
      <c r="Q2924" s="1357"/>
      <c r="S2924" s="1420"/>
      <c r="T2924" s="1420">
        <v>43585</v>
      </c>
      <c r="V2924" s="1357">
        <v>156</v>
      </c>
    </row>
    <row r="2925" spans="1:22" s="841" customFormat="1" ht="15" x14ac:dyDescent="0.25">
      <c r="A2925" s="841" t="s">
        <v>624</v>
      </c>
      <c r="E2925" s="1904" t="s">
        <v>5130</v>
      </c>
      <c r="F2925" s="1962"/>
      <c r="G2925" s="1408" t="s">
        <v>33</v>
      </c>
      <c r="H2925" s="393">
        <v>0.37159999999999999</v>
      </c>
      <c r="K2925" s="841" t="s">
        <v>6095</v>
      </c>
      <c r="L2925" s="841" t="s">
        <v>443</v>
      </c>
      <c r="M2925" s="1357"/>
      <c r="P2925" s="841" t="s">
        <v>6105</v>
      </c>
      <c r="Q2925" s="1357"/>
      <c r="S2925" s="1420"/>
      <c r="T2925" s="1420">
        <v>43585</v>
      </c>
      <c r="V2925" s="1357">
        <v>96</v>
      </c>
    </row>
    <row r="2926" spans="1:22" s="841" customFormat="1" ht="15" x14ac:dyDescent="0.25">
      <c r="A2926" s="841" t="s">
        <v>624</v>
      </c>
      <c r="E2926" s="1904" t="s">
        <v>5393</v>
      </c>
      <c r="F2926" s="1962"/>
      <c r="G2926" s="1408" t="s">
        <v>33</v>
      </c>
      <c r="H2926" s="393">
        <v>-2.0199999999999999E-2</v>
      </c>
      <c r="K2926" s="841" t="s">
        <v>6095</v>
      </c>
      <c r="L2926" s="841" t="s">
        <v>443</v>
      </c>
      <c r="M2926" s="1357"/>
      <c r="P2926" s="841" t="s">
        <v>6112</v>
      </c>
      <c r="Q2926" s="1357"/>
      <c r="S2926" s="1420"/>
      <c r="T2926" s="1420">
        <v>43585</v>
      </c>
      <c r="V2926" s="1357">
        <v>145</v>
      </c>
    </row>
    <row r="2927" spans="1:22" s="841" customFormat="1" ht="15" x14ac:dyDescent="0.25">
      <c r="A2927" s="841" t="s">
        <v>624</v>
      </c>
      <c r="E2927" s="1904" t="s">
        <v>5383</v>
      </c>
      <c r="F2927" s="1962"/>
      <c r="G2927" s="1408" t="s">
        <v>33</v>
      </c>
      <c r="H2927" s="393">
        <v>-3.5200000000000002E-2</v>
      </c>
      <c r="K2927" s="841" t="s">
        <v>6095</v>
      </c>
      <c r="L2927" s="841" t="s">
        <v>442</v>
      </c>
      <c r="M2927" s="1357"/>
      <c r="P2927" s="841" t="s">
        <v>6213</v>
      </c>
      <c r="Q2927" s="1357"/>
      <c r="S2927" s="1420"/>
      <c r="T2927" s="1420">
        <v>43585</v>
      </c>
      <c r="V2927" s="1357">
        <v>80</v>
      </c>
    </row>
    <row r="2928" spans="1:22" s="841" customFormat="1" ht="15" x14ac:dyDescent="0.25">
      <c r="A2928" s="841" t="s">
        <v>624</v>
      </c>
      <c r="E2928" s="1904" t="s">
        <v>221</v>
      </c>
      <c r="F2928" s="1904"/>
      <c r="G2928" s="1408" t="s">
        <v>33</v>
      </c>
      <c r="H2928" s="393">
        <v>2.4428000000000001</v>
      </c>
      <c r="K2928" s="841" t="s">
        <v>6095</v>
      </c>
      <c r="L2928" s="841" t="s">
        <v>444</v>
      </c>
      <c r="M2928" s="1357"/>
      <c r="P2928" s="841" t="s">
        <v>6099</v>
      </c>
      <c r="Q2928" s="1357"/>
      <c r="S2928" s="1420"/>
      <c r="T2928" s="1420"/>
      <c r="V2928" s="1357">
        <v>47</v>
      </c>
    </row>
    <row r="2929" spans="1:22" s="841" customFormat="1" ht="15" x14ac:dyDescent="0.25">
      <c r="A2929" s="841" t="s">
        <v>624</v>
      </c>
      <c r="E2929" s="1904" t="s">
        <v>4393</v>
      </c>
      <c r="F2929" s="1904"/>
      <c r="G2929" s="1408" t="s">
        <v>33</v>
      </c>
      <c r="H2929" s="393">
        <v>1.8204</v>
      </c>
      <c r="K2929" s="841" t="s">
        <v>6095</v>
      </c>
      <c r="L2929" s="841" t="s">
        <v>444</v>
      </c>
      <c r="M2929" s="1357"/>
      <c r="P2929" s="841" t="s">
        <v>6210</v>
      </c>
      <c r="Q2929" s="1357"/>
      <c r="S2929" s="1420"/>
      <c r="T2929" s="1420"/>
      <c r="V2929" s="1357">
        <v>87</v>
      </c>
    </row>
    <row r="2930" spans="1:22" s="841" customFormat="1" ht="15" x14ac:dyDescent="0.25">
      <c r="A2930" s="841" t="s">
        <v>624</v>
      </c>
      <c r="E2930" s="1694" t="s">
        <v>3079</v>
      </c>
      <c r="F2930" s="1690"/>
      <c r="G2930" s="1408"/>
      <c r="H2930" s="1408"/>
      <c r="K2930" s="841" t="s">
        <v>3218</v>
      </c>
      <c r="M2930" s="1357"/>
      <c r="Q2930" s="1357"/>
      <c r="S2930" s="1420"/>
      <c r="T2930" s="1420"/>
      <c r="V2930" s="1357">
        <v>48</v>
      </c>
    </row>
    <row r="2931" spans="1:22" s="841" customFormat="1" ht="15" x14ac:dyDescent="0.25">
      <c r="A2931" s="841" t="s">
        <v>624</v>
      </c>
      <c r="E2931" s="1904" t="s">
        <v>2449</v>
      </c>
      <c r="F2931" s="1904"/>
      <c r="G2931" s="1408" t="s">
        <v>24</v>
      </c>
      <c r="H2931" s="393">
        <v>3.2000000000000002E-3</v>
      </c>
      <c r="K2931" s="841" t="s">
        <v>6095</v>
      </c>
      <c r="L2931" s="841" t="s">
        <v>3046</v>
      </c>
      <c r="M2931" s="1357"/>
      <c r="P2931" s="841" t="s">
        <v>6101</v>
      </c>
      <c r="Q2931" s="1357"/>
      <c r="S2931" s="1420"/>
      <c r="T2931" s="1420"/>
      <c r="V2931" s="1357">
        <v>55</v>
      </c>
    </row>
    <row r="2932" spans="1:22" s="841" customFormat="1" ht="15" x14ac:dyDescent="0.25">
      <c r="A2932" s="841" t="s">
        <v>624</v>
      </c>
      <c r="E2932" s="1904" t="s">
        <v>2450</v>
      </c>
      <c r="F2932" s="1904"/>
      <c r="G2932" s="1408" t="s">
        <v>24</v>
      </c>
      <c r="H2932" s="393">
        <v>4.0000000000000002E-4</v>
      </c>
      <c r="K2932" s="841" t="s">
        <v>6095</v>
      </c>
      <c r="L2932" s="841" t="s">
        <v>3046</v>
      </c>
      <c r="M2932" s="1357"/>
      <c r="P2932" s="841" t="s">
        <v>6101</v>
      </c>
      <c r="Q2932" s="1357"/>
      <c r="S2932" s="1420"/>
      <c r="T2932" s="1420"/>
      <c r="V2932" s="1357">
        <v>65</v>
      </c>
    </row>
    <row r="2933" spans="1:22" s="841" customFormat="1" ht="15" x14ac:dyDescent="0.25">
      <c r="A2933" s="841" t="s">
        <v>624</v>
      </c>
      <c r="E2933" s="1904" t="s">
        <v>439</v>
      </c>
      <c r="F2933" s="1904"/>
      <c r="G2933" s="1408" t="s">
        <v>24</v>
      </c>
      <c r="H2933" s="393">
        <v>2.9999999999999997E-4</v>
      </c>
      <c r="K2933" s="841" t="s">
        <v>6095</v>
      </c>
      <c r="L2933" s="841" t="s">
        <v>3046</v>
      </c>
      <c r="M2933" s="1357"/>
      <c r="P2933" s="841" t="s">
        <v>6102</v>
      </c>
      <c r="Q2933" s="1357"/>
      <c r="S2933" s="1420"/>
      <c r="T2933" s="1420"/>
      <c r="V2933" s="1357">
        <v>57</v>
      </c>
    </row>
    <row r="2934" spans="1:22" s="841" customFormat="1" ht="15" x14ac:dyDescent="0.25">
      <c r="A2934" s="841" t="s">
        <v>624</v>
      </c>
      <c r="E2934" s="1904" t="s">
        <v>32</v>
      </c>
      <c r="F2934" s="1904"/>
      <c r="G2934" s="1408" t="s">
        <v>23</v>
      </c>
      <c r="H2934" s="391">
        <v>0.25</v>
      </c>
      <c r="K2934" s="841" t="s">
        <v>6095</v>
      </c>
      <c r="L2934" s="841" t="s">
        <v>3046</v>
      </c>
      <c r="M2934" s="1357"/>
      <c r="P2934" s="841" t="s">
        <v>6103</v>
      </c>
      <c r="Q2934" s="1357"/>
      <c r="S2934" s="1420"/>
      <c r="T2934" s="1420"/>
      <c r="V2934" s="1357">
        <v>63</v>
      </c>
    </row>
    <row r="2935" spans="1:22" s="841" customFormat="1" x14ac:dyDescent="0.25">
      <c r="A2935" s="841" t="s">
        <v>624</v>
      </c>
      <c r="E2935" s="1909" t="s">
        <v>1710</v>
      </c>
      <c r="F2935" s="1915"/>
      <c r="G2935" s="1915"/>
      <c r="H2935" s="1915"/>
      <c r="K2935" s="841" t="s">
        <v>4428</v>
      </c>
      <c r="M2935" s="1357"/>
      <c r="Q2935" s="1357"/>
      <c r="S2935" s="1420"/>
      <c r="T2935" s="1420"/>
      <c r="V2935" s="1357">
        <v>75</v>
      </c>
    </row>
    <row r="2936" spans="1:22" s="841" customFormat="1" ht="15" x14ac:dyDescent="0.25">
      <c r="A2936" s="841" t="s">
        <v>624</v>
      </c>
      <c r="E2936" s="1689" t="s">
        <v>4429</v>
      </c>
      <c r="F2936" s="1689"/>
      <c r="G2936" s="1689"/>
      <c r="H2936" s="1689"/>
      <c r="K2936" s="841" t="s">
        <v>4428</v>
      </c>
      <c r="M2936" s="1357"/>
      <c r="Q2936" s="1357"/>
      <c r="S2936" s="1420"/>
      <c r="T2936" s="1420"/>
      <c r="V2936" s="1357">
        <v>593</v>
      </c>
    </row>
    <row r="2937" spans="1:22" s="841" customFormat="1" ht="15" x14ac:dyDescent="0.25">
      <c r="A2937" s="841" t="s">
        <v>624</v>
      </c>
      <c r="E2937" s="1916" t="s">
        <v>3061</v>
      </c>
      <c r="F2937" s="1697"/>
      <c r="G2937" s="1697"/>
      <c r="H2937" s="1697"/>
      <c r="K2937" s="841" t="s">
        <v>3221</v>
      </c>
      <c r="M2937" s="1357"/>
      <c r="Q2937" s="1357"/>
      <c r="S2937" s="1420"/>
      <c r="T2937" s="1420"/>
      <c r="V2937" s="1357">
        <v>11</v>
      </c>
    </row>
    <row r="2938" spans="1:22" s="841" customFormat="1" ht="15" x14ac:dyDescent="0.25">
      <c r="A2938" s="841" t="s">
        <v>624</v>
      </c>
      <c r="E2938" s="1689" t="s">
        <v>3063</v>
      </c>
      <c r="F2938" s="1689"/>
      <c r="G2938" s="1689"/>
      <c r="H2938" s="1689"/>
      <c r="K2938" s="841" t="s">
        <v>4428</v>
      </c>
      <c r="M2938" s="1357"/>
      <c r="Q2938" s="1357"/>
      <c r="S2938" s="1420"/>
      <c r="T2938" s="1420"/>
      <c r="V2938" s="1357">
        <v>280</v>
      </c>
    </row>
    <row r="2939" spans="1:22" s="841" customFormat="1" ht="15" x14ac:dyDescent="0.25">
      <c r="A2939" s="841" t="s">
        <v>624</v>
      </c>
      <c r="E2939" s="1689" t="s">
        <v>3064</v>
      </c>
      <c r="F2939" s="1689"/>
      <c r="G2939" s="1689"/>
      <c r="H2939" s="1689"/>
      <c r="K2939" s="841" t="s">
        <v>4428</v>
      </c>
      <c r="M2939" s="1357"/>
      <c r="Q2939" s="1357"/>
      <c r="S2939" s="1420"/>
      <c r="T2939" s="1420"/>
      <c r="V2939" s="1357">
        <v>411</v>
      </c>
    </row>
    <row r="2940" spans="1:22" s="841" customFormat="1" ht="15" x14ac:dyDescent="0.25">
      <c r="A2940" s="841" t="s">
        <v>624</v>
      </c>
      <c r="E2940" s="1689" t="s">
        <v>4427</v>
      </c>
      <c r="F2940" s="1689"/>
      <c r="G2940" s="1689"/>
      <c r="H2940" s="1689"/>
      <c r="K2940" s="841" t="s">
        <v>4428</v>
      </c>
      <c r="M2940" s="1357"/>
      <c r="Q2940" s="1357"/>
      <c r="S2940" s="1420"/>
      <c r="T2940" s="1420"/>
      <c r="V2940" s="1357">
        <v>379</v>
      </c>
    </row>
    <row r="2941" spans="1:22" s="841" customFormat="1" ht="15" x14ac:dyDescent="0.25">
      <c r="A2941" s="841" t="s">
        <v>624</v>
      </c>
      <c r="E2941" s="1689" t="s">
        <v>4391</v>
      </c>
      <c r="F2941" s="1689"/>
      <c r="G2941" s="1689"/>
      <c r="H2941" s="1689"/>
      <c r="K2941" s="841" t="s">
        <v>4428</v>
      </c>
      <c r="M2941" s="1357"/>
      <c r="Q2941" s="1357"/>
      <c r="S2941" s="1420"/>
      <c r="T2941" s="1420"/>
      <c r="V2941" s="1357">
        <v>613</v>
      </c>
    </row>
    <row r="2942" spans="1:22" s="841" customFormat="1" ht="15" x14ac:dyDescent="0.25">
      <c r="A2942" s="841" t="s">
        <v>624</v>
      </c>
      <c r="E2942" s="1689" t="s">
        <v>3569</v>
      </c>
      <c r="F2942" s="1689"/>
      <c r="G2942" s="1689"/>
      <c r="H2942" s="1689"/>
      <c r="K2942" s="841" t="s">
        <v>4428</v>
      </c>
      <c r="M2942" s="1357"/>
      <c r="Q2942" s="1357"/>
      <c r="S2942" s="1420"/>
      <c r="T2942" s="1420"/>
      <c r="V2942" s="1357">
        <v>626</v>
      </c>
    </row>
    <row r="2943" spans="1:22" s="841" customFormat="1" ht="15" x14ac:dyDescent="0.25">
      <c r="A2943" s="841" t="s">
        <v>624</v>
      </c>
      <c r="E2943" s="1689" t="s">
        <v>3200</v>
      </c>
      <c r="F2943" s="1689"/>
      <c r="G2943" s="1689"/>
      <c r="H2943" s="1689"/>
      <c r="K2943" s="841" t="s">
        <v>4428</v>
      </c>
      <c r="M2943" s="1357"/>
      <c r="Q2943" s="1357"/>
      <c r="S2943" s="1420"/>
      <c r="T2943" s="1420"/>
      <c r="V2943" s="1357">
        <v>275</v>
      </c>
    </row>
    <row r="2944" spans="1:22" s="841" customFormat="1" ht="15" x14ac:dyDescent="0.25">
      <c r="A2944" s="841" t="s">
        <v>624</v>
      </c>
      <c r="E2944" s="1694" t="s">
        <v>3067</v>
      </c>
      <c r="F2944" s="1907"/>
      <c r="G2944" s="1907"/>
      <c r="H2944" s="1907"/>
      <c r="K2944" s="841" t="s">
        <v>3224</v>
      </c>
      <c r="M2944" s="1357"/>
      <c r="Q2944" s="1357"/>
      <c r="S2944" s="1420"/>
      <c r="T2944" s="1420"/>
      <c r="V2944" s="1357">
        <v>46</v>
      </c>
    </row>
    <row r="2945" spans="1:22" s="841" customFormat="1" ht="15" x14ac:dyDescent="0.25">
      <c r="A2945" s="841" t="s">
        <v>624</v>
      </c>
      <c r="E2945" s="1904" t="s">
        <v>11</v>
      </c>
      <c r="F2945" s="1904"/>
      <c r="G2945" s="1408" t="s">
        <v>23</v>
      </c>
      <c r="H2945" s="391">
        <v>2235.34</v>
      </c>
      <c r="K2945" s="841" t="s">
        <v>4428</v>
      </c>
      <c r="L2945" s="841" t="s">
        <v>442</v>
      </c>
      <c r="M2945" s="1357"/>
      <c r="P2945" s="841" t="s">
        <v>4430</v>
      </c>
      <c r="Q2945" s="1357"/>
      <c r="S2945" s="1420"/>
      <c r="T2945" s="1420"/>
      <c r="V2945" s="1357">
        <v>14</v>
      </c>
    </row>
    <row r="2946" spans="1:22" s="841" customFormat="1" ht="15" x14ac:dyDescent="0.25">
      <c r="A2946" s="841" t="s">
        <v>624</v>
      </c>
      <c r="E2946" s="1904" t="s">
        <v>84</v>
      </c>
      <c r="F2946" s="1904"/>
      <c r="G2946" s="1408" t="s">
        <v>33</v>
      </c>
      <c r="H2946" s="393">
        <v>2.0666000000000002</v>
      </c>
      <c r="K2946" s="841" t="s">
        <v>4428</v>
      </c>
      <c r="L2946" s="841" t="s">
        <v>442</v>
      </c>
      <c r="M2946" s="1357"/>
      <c r="P2946" s="841" t="s">
        <v>4431</v>
      </c>
      <c r="Q2946" s="1357"/>
      <c r="S2946" s="1420"/>
      <c r="T2946" s="1420"/>
      <c r="V2946" s="1357">
        <v>28</v>
      </c>
    </row>
    <row r="2947" spans="1:22" s="841" customFormat="1" ht="15" x14ac:dyDescent="0.25">
      <c r="A2947" s="841" t="s">
        <v>624</v>
      </c>
      <c r="E2947" s="1904" t="s">
        <v>5384</v>
      </c>
      <c r="F2947" s="1904"/>
      <c r="G2947" s="1408" t="s">
        <v>24</v>
      </c>
      <c r="H2947" s="393">
        <v>-6.1000000000000004E-3</v>
      </c>
      <c r="K2947" s="841" t="s">
        <v>4428</v>
      </c>
      <c r="L2947" s="841" t="s">
        <v>443</v>
      </c>
      <c r="M2947" s="1357"/>
      <c r="P2947" s="841" t="s">
        <v>4432</v>
      </c>
      <c r="Q2947" s="1357"/>
      <c r="S2947" s="1420"/>
      <c r="T2947" s="1420">
        <v>43585</v>
      </c>
      <c r="V2947" s="1357">
        <v>141</v>
      </c>
    </row>
    <row r="2948" spans="1:22" s="841" customFormat="1" ht="15" x14ac:dyDescent="0.25">
      <c r="A2948" s="841" t="s">
        <v>624</v>
      </c>
      <c r="E2948" s="1904" t="s">
        <v>5385</v>
      </c>
      <c r="F2948" s="1962"/>
      <c r="G2948" s="1408" t="s">
        <v>33</v>
      </c>
      <c r="H2948" s="393">
        <v>4.4000000000000003E-3</v>
      </c>
      <c r="K2948" s="841" t="s">
        <v>4428</v>
      </c>
      <c r="L2948" s="841" t="s">
        <v>442</v>
      </c>
      <c r="M2948" s="1357"/>
      <c r="P2948" s="841" t="s">
        <v>5394</v>
      </c>
      <c r="Q2948" s="1357"/>
      <c r="S2948" s="1420"/>
      <c r="T2948" s="1420">
        <v>43951</v>
      </c>
      <c r="V2948" s="1357">
        <v>137</v>
      </c>
    </row>
    <row r="2949" spans="1:22" s="841" customFormat="1" ht="15" x14ac:dyDescent="0.25">
      <c r="A2949" s="841" t="s">
        <v>624</v>
      </c>
      <c r="E2949" s="1690" t="s">
        <v>5130</v>
      </c>
      <c r="F2949" s="1908"/>
      <c r="G2949" s="1408" t="s">
        <v>33</v>
      </c>
      <c r="H2949" s="393">
        <v>0.13830000000000001</v>
      </c>
      <c r="K2949" s="841" t="s">
        <v>4428</v>
      </c>
      <c r="L2949" s="841" t="s">
        <v>443</v>
      </c>
      <c r="M2949" s="1357"/>
      <c r="P2949" s="841" t="s">
        <v>4433</v>
      </c>
      <c r="Q2949" s="1357"/>
      <c r="S2949" s="1420"/>
      <c r="T2949" s="1420">
        <v>43585</v>
      </c>
      <c r="V2949" s="1357">
        <v>96</v>
      </c>
    </row>
    <row r="2950" spans="1:22" s="841" customFormat="1" ht="15" x14ac:dyDescent="0.25">
      <c r="A2950" s="841" t="s">
        <v>624</v>
      </c>
      <c r="E2950" s="1904" t="s">
        <v>5386</v>
      </c>
      <c r="F2950" s="1962"/>
      <c r="G2950" s="1408" t="s">
        <v>33</v>
      </c>
      <c r="H2950" s="393">
        <v>-1.8800000000000001E-2</v>
      </c>
      <c r="K2950" s="841" t="s">
        <v>4428</v>
      </c>
      <c r="L2950" s="841" t="s">
        <v>443</v>
      </c>
      <c r="M2950" s="1357"/>
      <c r="P2950" s="841" t="s">
        <v>5395</v>
      </c>
      <c r="Q2950" s="1357"/>
      <c r="S2950" s="1420"/>
      <c r="T2950" s="1420">
        <v>43585</v>
      </c>
      <c r="V2950" s="1357">
        <v>147</v>
      </c>
    </row>
    <row r="2951" spans="1:22" s="841" customFormat="1" ht="15" x14ac:dyDescent="0.25">
      <c r="A2951" s="841" t="s">
        <v>624</v>
      </c>
      <c r="E2951" s="1904" t="s">
        <v>5383</v>
      </c>
      <c r="F2951" s="1962"/>
      <c r="G2951" s="1408" t="s">
        <v>33</v>
      </c>
      <c r="H2951" s="393">
        <v>-1.7399999999999999E-2</v>
      </c>
      <c r="K2951" s="841" t="s">
        <v>4428</v>
      </c>
      <c r="L2951" s="841" t="s">
        <v>442</v>
      </c>
      <c r="M2951" s="1357"/>
      <c r="P2951" s="841" t="s">
        <v>4434</v>
      </c>
      <c r="Q2951" s="1357"/>
      <c r="S2951" s="1420"/>
      <c r="T2951" s="1420">
        <v>43585</v>
      </c>
      <c r="V2951" s="1357">
        <v>80</v>
      </c>
    </row>
    <row r="2952" spans="1:22" s="841" customFormat="1" ht="15" x14ac:dyDescent="0.25">
      <c r="A2952" s="841" t="s">
        <v>624</v>
      </c>
      <c r="E2952" s="1904" t="s">
        <v>221</v>
      </c>
      <c r="F2952" s="1904"/>
      <c r="G2952" s="1408" t="s">
        <v>33</v>
      </c>
      <c r="H2952" s="393">
        <v>3.3109000000000002</v>
      </c>
      <c r="K2952" s="841" t="s">
        <v>4428</v>
      </c>
      <c r="L2952" s="841" t="s">
        <v>444</v>
      </c>
      <c r="M2952" s="1357"/>
      <c r="P2952" s="841" t="s">
        <v>4435</v>
      </c>
      <c r="Q2952" s="1357"/>
      <c r="S2952" s="1420"/>
      <c r="T2952" s="1420"/>
      <c r="V2952" s="1357">
        <v>47</v>
      </c>
    </row>
    <row r="2953" spans="1:22" s="841" customFormat="1" ht="15" x14ac:dyDescent="0.25">
      <c r="A2953" s="841" t="s">
        <v>624</v>
      </c>
      <c r="E2953" s="1904" t="s">
        <v>4393</v>
      </c>
      <c r="F2953" s="1904"/>
      <c r="G2953" s="1408" t="s">
        <v>33</v>
      </c>
      <c r="H2953" s="393">
        <v>2.4672000000000001</v>
      </c>
      <c r="K2953" s="841" t="s">
        <v>4428</v>
      </c>
      <c r="L2953" s="841" t="s">
        <v>444</v>
      </c>
      <c r="M2953" s="1357"/>
      <c r="P2953" s="841" t="s">
        <v>5396</v>
      </c>
      <c r="Q2953" s="1357"/>
      <c r="S2953" s="1420"/>
      <c r="T2953" s="1420"/>
      <c r="V2953" s="1357">
        <v>87</v>
      </c>
    </row>
    <row r="2954" spans="1:22" s="841" customFormat="1" ht="15" x14ac:dyDescent="0.25">
      <c r="A2954" s="841" t="s">
        <v>624</v>
      </c>
      <c r="E2954" s="1694" t="s">
        <v>3079</v>
      </c>
      <c r="F2954" s="1690"/>
      <c r="G2954" s="1408"/>
      <c r="H2954" s="1408"/>
      <c r="K2954" s="841" t="s">
        <v>3225</v>
      </c>
      <c r="M2954" s="1357"/>
      <c r="Q2954" s="1357"/>
      <c r="S2954" s="1420"/>
      <c r="T2954" s="1420"/>
      <c r="V2954" s="1357">
        <v>48</v>
      </c>
    </row>
    <row r="2955" spans="1:22" s="841" customFormat="1" ht="15" x14ac:dyDescent="0.25">
      <c r="A2955" s="841" t="s">
        <v>624</v>
      </c>
      <c r="E2955" s="1904" t="s">
        <v>2449</v>
      </c>
      <c r="F2955" s="1904"/>
      <c r="G2955" s="1408" t="s">
        <v>24</v>
      </c>
      <c r="H2955" s="393">
        <v>3.2000000000000002E-3</v>
      </c>
      <c r="K2955" s="841" t="s">
        <v>4428</v>
      </c>
      <c r="L2955" s="841" t="s">
        <v>3046</v>
      </c>
      <c r="M2955" s="1357"/>
      <c r="P2955" s="841" t="s">
        <v>4436</v>
      </c>
      <c r="Q2955" s="1357"/>
      <c r="S2955" s="1420"/>
      <c r="T2955" s="1420"/>
      <c r="V2955" s="1357">
        <v>55</v>
      </c>
    </row>
    <row r="2956" spans="1:22" s="841" customFormat="1" ht="15" x14ac:dyDescent="0.25">
      <c r="A2956" s="841" t="s">
        <v>624</v>
      </c>
      <c r="E2956" s="1904" t="s">
        <v>2450</v>
      </c>
      <c r="F2956" s="1904"/>
      <c r="G2956" s="1408" t="s">
        <v>24</v>
      </c>
      <c r="H2956" s="393">
        <v>4.0000000000000002E-4</v>
      </c>
      <c r="K2956" s="841" t="s">
        <v>4428</v>
      </c>
      <c r="L2956" s="841" t="s">
        <v>3046</v>
      </c>
      <c r="M2956" s="1357"/>
      <c r="P2956" s="841" t="s">
        <v>4436</v>
      </c>
      <c r="Q2956" s="1357"/>
      <c r="S2956" s="1420"/>
      <c r="T2956" s="1420"/>
      <c r="V2956" s="1357">
        <v>65</v>
      </c>
    </row>
    <row r="2957" spans="1:22" s="841" customFormat="1" ht="15" x14ac:dyDescent="0.25">
      <c r="A2957" s="841" t="s">
        <v>624</v>
      </c>
      <c r="E2957" s="1904" t="s">
        <v>439</v>
      </c>
      <c r="F2957" s="1904"/>
      <c r="G2957" s="1408" t="s">
        <v>24</v>
      </c>
      <c r="H2957" s="393">
        <v>2.9999999999999997E-4</v>
      </c>
      <c r="K2957" s="841" t="s">
        <v>4428</v>
      </c>
      <c r="L2957" s="841" t="s">
        <v>3046</v>
      </c>
      <c r="M2957" s="1357"/>
      <c r="P2957" s="841" t="s">
        <v>4437</v>
      </c>
      <c r="Q2957" s="1357"/>
      <c r="S2957" s="1420"/>
      <c r="T2957" s="1420"/>
      <c r="V2957" s="1357">
        <v>57</v>
      </c>
    </row>
    <row r="2958" spans="1:22" s="841" customFormat="1" ht="15" x14ac:dyDescent="0.25">
      <c r="A2958" s="841" t="s">
        <v>624</v>
      </c>
      <c r="E2958" s="1904" t="s">
        <v>32</v>
      </c>
      <c r="F2958" s="1904"/>
      <c r="G2958" s="1408" t="s">
        <v>23</v>
      </c>
      <c r="H2958" s="391">
        <v>0.25</v>
      </c>
      <c r="K2958" s="841" t="s">
        <v>4428</v>
      </c>
      <c r="L2958" s="841" t="s">
        <v>3046</v>
      </c>
      <c r="M2958" s="1357"/>
      <c r="P2958" s="841" t="s">
        <v>4438</v>
      </c>
      <c r="Q2958" s="1357"/>
      <c r="S2958" s="1420"/>
      <c r="T2958" s="1420"/>
      <c r="V2958" s="1357">
        <v>63</v>
      </c>
    </row>
    <row r="2959" spans="1:22" s="841" customFormat="1" x14ac:dyDescent="0.25">
      <c r="A2959" s="841" t="s">
        <v>624</v>
      </c>
      <c r="E2959" s="1909" t="s">
        <v>639</v>
      </c>
      <c r="F2959" s="1915"/>
      <c r="G2959" s="1915"/>
      <c r="H2959" s="1915"/>
      <c r="K2959" s="841" t="s">
        <v>4439</v>
      </c>
      <c r="M2959" s="1357"/>
      <c r="Q2959" s="1357"/>
      <c r="S2959" s="1420"/>
      <c r="T2959" s="1420"/>
      <c r="V2959" s="1357">
        <v>42</v>
      </c>
    </row>
    <row r="2960" spans="1:22" s="841" customFormat="1" ht="15" x14ac:dyDescent="0.25">
      <c r="A2960" s="841" t="s">
        <v>624</v>
      </c>
      <c r="E2960" s="1689" t="s">
        <v>4440</v>
      </c>
      <c r="F2960" s="1689"/>
      <c r="G2960" s="1689"/>
      <c r="H2960" s="1689"/>
      <c r="K2960" s="841" t="s">
        <v>4439</v>
      </c>
      <c r="M2960" s="1357"/>
      <c r="Q2960" s="1357"/>
      <c r="S2960" s="1420"/>
      <c r="T2960" s="1420"/>
      <c r="V2960" s="1357">
        <v>481</v>
      </c>
    </row>
    <row r="2961" spans="1:22" s="841" customFormat="1" ht="15" x14ac:dyDescent="0.25">
      <c r="A2961" s="841" t="s">
        <v>624</v>
      </c>
      <c r="E2961" s="1916" t="s">
        <v>3061</v>
      </c>
      <c r="F2961" s="1697"/>
      <c r="G2961" s="1697"/>
      <c r="H2961" s="1697"/>
      <c r="K2961" s="841" t="s">
        <v>3107</v>
      </c>
      <c r="M2961" s="1357"/>
      <c r="Q2961" s="1357"/>
      <c r="S2961" s="1420"/>
      <c r="T2961" s="1420"/>
      <c r="V2961" s="1357">
        <v>11</v>
      </c>
    </row>
    <row r="2962" spans="1:22" s="841" customFormat="1" ht="15" x14ac:dyDescent="0.25">
      <c r="A2962" s="841" t="s">
        <v>624</v>
      </c>
      <c r="E2962" s="1689" t="s">
        <v>3063</v>
      </c>
      <c r="F2962" s="1689"/>
      <c r="G2962" s="1689"/>
      <c r="H2962" s="1689"/>
      <c r="K2962" s="841" t="s">
        <v>4439</v>
      </c>
      <c r="M2962" s="1357"/>
      <c r="Q2962" s="1357"/>
      <c r="S2962" s="1420"/>
      <c r="T2962" s="1420"/>
      <c r="V2962" s="1357">
        <v>280</v>
      </c>
    </row>
    <row r="2963" spans="1:22" s="841" customFormat="1" ht="15" x14ac:dyDescent="0.25">
      <c r="A2963" s="841" t="s">
        <v>624</v>
      </c>
      <c r="E2963" s="1689" t="s">
        <v>3064</v>
      </c>
      <c r="F2963" s="1689"/>
      <c r="G2963" s="1689"/>
      <c r="H2963" s="1689"/>
      <c r="K2963" s="841" t="s">
        <v>4439</v>
      </c>
      <c r="M2963" s="1357"/>
      <c r="Q2963" s="1357"/>
      <c r="S2963" s="1420"/>
      <c r="T2963" s="1420"/>
      <c r="V2963" s="1357">
        <v>411</v>
      </c>
    </row>
    <row r="2964" spans="1:22" s="841" customFormat="1" ht="15" x14ac:dyDescent="0.25">
      <c r="A2964" s="841" t="s">
        <v>624</v>
      </c>
      <c r="E2964" s="1689" t="s">
        <v>4427</v>
      </c>
      <c r="F2964" s="1689"/>
      <c r="G2964" s="1689"/>
      <c r="H2964" s="1689"/>
      <c r="K2964" s="841" t="s">
        <v>4439</v>
      </c>
      <c r="M2964" s="1357"/>
      <c r="Q2964" s="1357"/>
      <c r="S2964" s="1420"/>
      <c r="T2964" s="1420"/>
      <c r="V2964" s="1357">
        <v>379</v>
      </c>
    </row>
    <row r="2965" spans="1:22" s="841" customFormat="1" ht="15" x14ac:dyDescent="0.25">
      <c r="A2965" s="841" t="s">
        <v>624</v>
      </c>
      <c r="E2965" s="1689" t="s">
        <v>3200</v>
      </c>
      <c r="F2965" s="1689"/>
      <c r="G2965" s="1689"/>
      <c r="H2965" s="1689"/>
      <c r="K2965" s="841" t="s">
        <v>4439</v>
      </c>
      <c r="M2965" s="1357"/>
      <c r="Q2965" s="1357"/>
      <c r="S2965" s="1420"/>
      <c r="T2965" s="1420"/>
      <c r="V2965" s="1357">
        <v>275</v>
      </c>
    </row>
    <row r="2966" spans="1:22" s="841" customFormat="1" ht="15" x14ac:dyDescent="0.25">
      <c r="A2966" s="841" t="s">
        <v>624</v>
      </c>
      <c r="E2966" s="1694" t="s">
        <v>3067</v>
      </c>
      <c r="F2966" s="1907"/>
      <c r="G2966" s="1907"/>
      <c r="H2966" s="1907"/>
      <c r="K2966" s="841" t="s">
        <v>3108</v>
      </c>
      <c r="M2966" s="1357"/>
      <c r="Q2966" s="1357"/>
      <c r="S2966" s="1420"/>
      <c r="T2966" s="1420"/>
      <c r="V2966" s="1357">
        <v>46</v>
      </c>
    </row>
    <row r="2967" spans="1:22" s="841" customFormat="1" ht="15" x14ac:dyDescent="0.25">
      <c r="A2967" s="841" t="s">
        <v>624</v>
      </c>
      <c r="E2967" s="1690" t="s">
        <v>11</v>
      </c>
      <c r="F2967" s="1690"/>
      <c r="G2967" s="1408" t="s">
        <v>23</v>
      </c>
      <c r="H2967" s="391">
        <v>8103.28</v>
      </c>
      <c r="K2967" s="841" t="s">
        <v>4439</v>
      </c>
      <c r="L2967" s="841" t="s">
        <v>442</v>
      </c>
      <c r="M2967" s="1357"/>
      <c r="P2967" s="841" t="s">
        <v>4441</v>
      </c>
      <c r="Q2967" s="1357"/>
      <c r="S2967" s="1420"/>
      <c r="T2967" s="1420"/>
      <c r="V2967" s="1357">
        <v>14</v>
      </c>
    </row>
    <row r="2968" spans="1:22" s="841" customFormat="1" ht="15" x14ac:dyDescent="0.25">
      <c r="A2968" s="841" t="s">
        <v>624</v>
      </c>
      <c r="E2968" s="1904" t="s">
        <v>84</v>
      </c>
      <c r="F2968" s="1904"/>
      <c r="G2968" s="1408" t="s">
        <v>33</v>
      </c>
      <c r="H2968" s="393">
        <v>2.3361000000000001</v>
      </c>
      <c r="K2968" s="841" t="s">
        <v>4439</v>
      </c>
      <c r="L2968" s="841" t="s">
        <v>442</v>
      </c>
      <c r="M2968" s="1357"/>
      <c r="P2968" s="841" t="s">
        <v>4442</v>
      </c>
      <c r="Q2968" s="1357"/>
      <c r="S2968" s="1420"/>
      <c r="T2968" s="1420"/>
      <c r="V2968" s="1357">
        <v>28</v>
      </c>
    </row>
    <row r="2969" spans="1:22" s="841" customFormat="1" ht="15" x14ac:dyDescent="0.25">
      <c r="A2969" s="841" t="s">
        <v>624</v>
      </c>
      <c r="E2969" s="1904" t="s">
        <v>5385</v>
      </c>
      <c r="F2969" s="1962"/>
      <c r="G2969" s="1408" t="s">
        <v>33</v>
      </c>
      <c r="H2969" s="393">
        <v>0.1492</v>
      </c>
      <c r="K2969" s="841" t="s">
        <v>4439</v>
      </c>
      <c r="L2969" s="841" t="s">
        <v>442</v>
      </c>
      <c r="M2969" s="1357"/>
      <c r="P2969" s="841" t="s">
        <v>5397</v>
      </c>
      <c r="Q2969" s="1357"/>
      <c r="S2969" s="1420"/>
      <c r="T2969" s="1420">
        <v>43951</v>
      </c>
      <c r="V2969" s="1357">
        <v>137</v>
      </c>
    </row>
    <row r="2970" spans="1:22" s="841" customFormat="1" ht="15" x14ac:dyDescent="0.25">
      <c r="A2970" s="841" t="s">
        <v>624</v>
      </c>
      <c r="E2970" s="1904" t="s">
        <v>5398</v>
      </c>
      <c r="F2970" s="1962"/>
      <c r="G2970" s="1408" t="s">
        <v>33</v>
      </c>
      <c r="H2970" s="393">
        <v>-0.44490000000000002</v>
      </c>
      <c r="K2970" s="841" t="s">
        <v>4439</v>
      </c>
      <c r="L2970" s="841" t="s">
        <v>443</v>
      </c>
      <c r="M2970" s="1357"/>
      <c r="P2970" s="841" t="s">
        <v>4443</v>
      </c>
      <c r="Q2970" s="1357"/>
      <c r="S2970" s="1420"/>
      <c r="T2970" s="1420">
        <v>43585</v>
      </c>
      <c r="V2970" s="1357">
        <v>158</v>
      </c>
    </row>
    <row r="2971" spans="1:22" s="841" customFormat="1" ht="15" x14ac:dyDescent="0.25">
      <c r="A2971" s="841" t="s">
        <v>624</v>
      </c>
      <c r="E2971" s="1904" t="s">
        <v>5130</v>
      </c>
      <c r="F2971" s="1962"/>
      <c r="G2971" s="1408" t="s">
        <v>33</v>
      </c>
      <c r="H2971" s="393">
        <v>0.625</v>
      </c>
      <c r="K2971" s="841" t="s">
        <v>4439</v>
      </c>
      <c r="L2971" s="841" t="s">
        <v>443</v>
      </c>
      <c r="M2971" s="1357"/>
      <c r="P2971" s="841" t="s">
        <v>4443</v>
      </c>
      <c r="Q2971" s="1357"/>
      <c r="S2971" s="1420"/>
      <c r="T2971" s="1420">
        <v>43585</v>
      </c>
      <c r="V2971" s="1357">
        <v>96</v>
      </c>
    </row>
    <row r="2972" spans="1:22" s="841" customFormat="1" ht="15" x14ac:dyDescent="0.25">
      <c r="A2972" s="841" t="s">
        <v>624</v>
      </c>
      <c r="E2972" s="1904" t="s">
        <v>5383</v>
      </c>
      <c r="F2972" s="1962"/>
      <c r="G2972" s="1408" t="s">
        <v>33</v>
      </c>
      <c r="H2972" s="393">
        <v>-1.9400000000000001E-2</v>
      </c>
      <c r="K2972" s="841" t="s">
        <v>4439</v>
      </c>
      <c r="L2972" s="841" t="s">
        <v>442</v>
      </c>
      <c r="M2972" s="1357"/>
      <c r="P2972" s="841" t="s">
        <v>4444</v>
      </c>
      <c r="Q2972" s="1357"/>
      <c r="S2972" s="1420"/>
      <c r="T2972" s="1420">
        <v>43585</v>
      </c>
      <c r="V2972" s="1357">
        <v>80</v>
      </c>
    </row>
    <row r="2973" spans="1:22" s="841" customFormat="1" ht="15" x14ac:dyDescent="0.25">
      <c r="A2973" s="841" t="s">
        <v>624</v>
      </c>
      <c r="E2973" s="1904" t="s">
        <v>221</v>
      </c>
      <c r="F2973" s="1904"/>
      <c r="G2973" s="1408" t="s">
        <v>33</v>
      </c>
      <c r="H2973" s="393">
        <v>3.3616999999999999</v>
      </c>
      <c r="K2973" s="841" t="s">
        <v>4439</v>
      </c>
      <c r="L2973" s="841" t="s">
        <v>444</v>
      </c>
      <c r="M2973" s="1357"/>
      <c r="P2973" s="841" t="s">
        <v>4445</v>
      </c>
      <c r="Q2973" s="1357"/>
      <c r="S2973" s="1420"/>
      <c r="T2973" s="1420"/>
      <c r="V2973" s="1357">
        <v>47</v>
      </c>
    </row>
    <row r="2974" spans="1:22" s="841" customFormat="1" ht="15" x14ac:dyDescent="0.25">
      <c r="A2974" s="841" t="s">
        <v>624</v>
      </c>
      <c r="E2974" s="1904" t="s">
        <v>5399</v>
      </c>
      <c r="F2974" s="1904"/>
      <c r="G2974" s="1408" t="s">
        <v>33</v>
      </c>
      <c r="H2974" s="393">
        <v>0.72640000000000005</v>
      </c>
      <c r="K2974" s="841" t="s">
        <v>4439</v>
      </c>
      <c r="L2974" s="841" t="s">
        <v>444</v>
      </c>
      <c r="M2974" s="1357"/>
      <c r="P2974" s="841" t="s">
        <v>5400</v>
      </c>
      <c r="Q2974" s="1357"/>
      <c r="S2974" s="1420"/>
      <c r="T2974" s="1420"/>
      <c r="V2974" s="1357">
        <v>68</v>
      </c>
    </row>
    <row r="2975" spans="1:22" s="841" customFormat="1" ht="15" x14ac:dyDescent="0.25">
      <c r="A2975" s="841" t="s">
        <v>624</v>
      </c>
      <c r="E2975" s="1904" t="s">
        <v>5401</v>
      </c>
      <c r="F2975" s="1904"/>
      <c r="G2975" s="1408" t="s">
        <v>33</v>
      </c>
      <c r="H2975" s="393">
        <v>1.8089</v>
      </c>
      <c r="K2975" s="841" t="s">
        <v>4439</v>
      </c>
      <c r="L2975" s="841" t="s">
        <v>444</v>
      </c>
      <c r="M2975" s="1357"/>
      <c r="P2975" s="841" t="s">
        <v>5402</v>
      </c>
      <c r="Q2975" s="1357"/>
      <c r="S2975" s="1420"/>
      <c r="T2975" s="1420"/>
      <c r="V2975" s="1357">
        <v>78</v>
      </c>
    </row>
    <row r="2976" spans="1:22" s="841" customFormat="1" ht="15" x14ac:dyDescent="0.25">
      <c r="A2976" s="841" t="s">
        <v>624</v>
      </c>
      <c r="E2976" s="1694" t="s">
        <v>3079</v>
      </c>
      <c r="F2976" s="1690"/>
      <c r="G2976" s="1408"/>
      <c r="H2976" s="1408"/>
      <c r="K2976" s="841" t="s">
        <v>3111</v>
      </c>
      <c r="M2976" s="1357"/>
      <c r="Q2976" s="1357"/>
      <c r="S2976" s="1420"/>
      <c r="T2976" s="1420"/>
      <c r="V2976" s="1357">
        <v>48</v>
      </c>
    </row>
    <row r="2977" spans="1:22" s="841" customFormat="1" ht="15" x14ac:dyDescent="0.25">
      <c r="A2977" s="841" t="s">
        <v>624</v>
      </c>
      <c r="E2977" s="1904" t="s">
        <v>2449</v>
      </c>
      <c r="F2977" s="1904"/>
      <c r="G2977" s="1408" t="s">
        <v>24</v>
      </c>
      <c r="H2977" s="393">
        <v>3.2000000000000002E-3</v>
      </c>
      <c r="K2977" s="841" t="s">
        <v>4439</v>
      </c>
      <c r="L2977" s="841" t="s">
        <v>3046</v>
      </c>
      <c r="M2977" s="1357"/>
      <c r="P2977" s="841" t="s">
        <v>4446</v>
      </c>
      <c r="Q2977" s="1357"/>
      <c r="S2977" s="1420"/>
      <c r="T2977" s="1420"/>
      <c r="V2977" s="1357">
        <v>55</v>
      </c>
    </row>
    <row r="2978" spans="1:22" s="841" customFormat="1" ht="15" x14ac:dyDescent="0.25">
      <c r="A2978" s="841" t="s">
        <v>624</v>
      </c>
      <c r="E2978" s="1904" t="s">
        <v>2450</v>
      </c>
      <c r="F2978" s="1904"/>
      <c r="G2978" s="1408" t="s">
        <v>24</v>
      </c>
      <c r="H2978" s="393">
        <v>4.0000000000000002E-4</v>
      </c>
      <c r="K2978" s="841" t="s">
        <v>4439</v>
      </c>
      <c r="L2978" s="841" t="s">
        <v>3046</v>
      </c>
      <c r="M2978" s="1357"/>
      <c r="P2978" s="841" t="s">
        <v>4446</v>
      </c>
      <c r="Q2978" s="1357"/>
      <c r="S2978" s="1420"/>
      <c r="T2978" s="1420"/>
      <c r="V2978" s="1357">
        <v>65</v>
      </c>
    </row>
    <row r="2979" spans="1:22" s="841" customFormat="1" ht="15" x14ac:dyDescent="0.25">
      <c r="A2979" s="841" t="s">
        <v>624</v>
      </c>
      <c r="E2979" s="1904" t="s">
        <v>439</v>
      </c>
      <c r="F2979" s="1904"/>
      <c r="G2979" s="1408" t="s">
        <v>24</v>
      </c>
      <c r="H2979" s="393">
        <v>2.9999999999999997E-4</v>
      </c>
      <c r="K2979" s="841" t="s">
        <v>4439</v>
      </c>
      <c r="L2979" s="841" t="s">
        <v>3046</v>
      </c>
      <c r="M2979" s="1357"/>
      <c r="P2979" s="841" t="s">
        <v>4447</v>
      </c>
      <c r="Q2979" s="1357"/>
      <c r="S2979" s="1420"/>
      <c r="T2979" s="1420"/>
      <c r="V2979" s="1357">
        <v>57</v>
      </c>
    </row>
    <row r="2980" spans="1:22" s="841" customFormat="1" ht="15" x14ac:dyDescent="0.25">
      <c r="A2980" s="841" t="s">
        <v>624</v>
      </c>
      <c r="E2980" s="1904" t="s">
        <v>32</v>
      </c>
      <c r="F2980" s="1904"/>
      <c r="G2980" s="1408" t="s">
        <v>23</v>
      </c>
      <c r="H2980" s="391">
        <v>0.25</v>
      </c>
      <c r="K2980" s="841" t="s">
        <v>4439</v>
      </c>
      <c r="L2980" s="841" t="s">
        <v>3046</v>
      </c>
      <c r="M2980" s="1357"/>
      <c r="P2980" s="841" t="s">
        <v>4448</v>
      </c>
      <c r="Q2980" s="1357"/>
      <c r="S2980" s="1420"/>
      <c r="T2980" s="1420"/>
      <c r="V2980" s="1357">
        <v>63</v>
      </c>
    </row>
    <row r="2981" spans="1:22" s="841" customFormat="1" x14ac:dyDescent="0.25">
      <c r="A2981" s="841" t="s">
        <v>624</v>
      </c>
      <c r="E2981" s="1909" t="s">
        <v>640</v>
      </c>
      <c r="F2981" s="1915"/>
      <c r="G2981" s="1915"/>
      <c r="H2981" s="1915"/>
      <c r="K2981" s="841" t="s">
        <v>4449</v>
      </c>
      <c r="M2981" s="1357"/>
      <c r="Q2981" s="1357"/>
      <c r="S2981" s="1420"/>
      <c r="T2981" s="1420"/>
      <c r="V2981" s="1357">
        <v>38</v>
      </c>
    </row>
    <row r="2982" spans="1:22" s="841" customFormat="1" ht="15" x14ac:dyDescent="0.25">
      <c r="A2982" s="841" t="s">
        <v>624</v>
      </c>
      <c r="E2982" s="1689" t="s">
        <v>4450</v>
      </c>
      <c r="F2982" s="1689"/>
      <c r="G2982" s="1689"/>
      <c r="H2982" s="1689"/>
      <c r="K2982" s="841" t="s">
        <v>4449</v>
      </c>
      <c r="M2982" s="1357"/>
      <c r="Q2982" s="1357"/>
      <c r="S2982" s="1420"/>
      <c r="T2982" s="1420"/>
      <c r="V2982" s="1357">
        <v>365</v>
      </c>
    </row>
    <row r="2983" spans="1:22" s="841" customFormat="1" ht="15" x14ac:dyDescent="0.25">
      <c r="A2983" s="841" t="s">
        <v>624</v>
      </c>
      <c r="E2983" s="1916" t="s">
        <v>3061</v>
      </c>
      <c r="F2983" s="1697"/>
      <c r="G2983" s="1697"/>
      <c r="H2983" s="1697"/>
      <c r="K2983" s="841" t="s">
        <v>3114</v>
      </c>
      <c r="M2983" s="1357"/>
      <c r="Q2983" s="1357"/>
      <c r="S2983" s="1420"/>
      <c r="T2983" s="1420"/>
      <c r="V2983" s="1357">
        <v>11</v>
      </c>
    </row>
    <row r="2984" spans="1:22" s="841" customFormat="1" ht="15" x14ac:dyDescent="0.25">
      <c r="A2984" s="841" t="s">
        <v>624</v>
      </c>
      <c r="E2984" s="1689" t="s">
        <v>3063</v>
      </c>
      <c r="F2984" s="1689"/>
      <c r="G2984" s="1689"/>
      <c r="H2984" s="1689"/>
      <c r="K2984" s="841" t="s">
        <v>4449</v>
      </c>
      <c r="M2984" s="1357"/>
      <c r="Q2984" s="1357"/>
      <c r="S2984" s="1420"/>
      <c r="T2984" s="1420"/>
      <c r="V2984" s="1357">
        <v>280</v>
      </c>
    </row>
    <row r="2985" spans="1:22" s="841" customFormat="1" ht="15" x14ac:dyDescent="0.25">
      <c r="A2985" s="841" t="s">
        <v>624</v>
      </c>
      <c r="E2985" s="1689" t="s">
        <v>3064</v>
      </c>
      <c r="F2985" s="1689"/>
      <c r="G2985" s="1689"/>
      <c r="H2985" s="1689"/>
      <c r="K2985" s="841" t="s">
        <v>4449</v>
      </c>
      <c r="M2985" s="1357"/>
      <c r="Q2985" s="1357"/>
      <c r="S2985" s="1420"/>
      <c r="T2985" s="1420"/>
      <c r="V2985" s="1357">
        <v>411</v>
      </c>
    </row>
    <row r="2986" spans="1:22" s="841" customFormat="1" ht="15" x14ac:dyDescent="0.25">
      <c r="A2986" s="841" t="s">
        <v>624</v>
      </c>
      <c r="E2986" s="1689" t="s">
        <v>4427</v>
      </c>
      <c r="F2986" s="1689"/>
      <c r="G2986" s="1689"/>
      <c r="H2986" s="1689"/>
      <c r="K2986" s="841" t="s">
        <v>4449</v>
      </c>
      <c r="M2986" s="1357"/>
      <c r="Q2986" s="1357"/>
      <c r="S2986" s="1420"/>
      <c r="T2986" s="1420"/>
      <c r="V2986" s="1357">
        <v>379</v>
      </c>
    </row>
    <row r="2987" spans="1:22" s="841" customFormat="1" ht="15" x14ac:dyDescent="0.25">
      <c r="A2987" s="841" t="s">
        <v>624</v>
      </c>
      <c r="E2987" s="1689" t="s">
        <v>3200</v>
      </c>
      <c r="F2987" s="1689"/>
      <c r="G2987" s="1689"/>
      <c r="H2987" s="1689"/>
      <c r="K2987" s="841" t="s">
        <v>4449</v>
      </c>
      <c r="M2987" s="1357"/>
      <c r="Q2987" s="1357"/>
      <c r="S2987" s="1420"/>
      <c r="T2987" s="1420"/>
      <c r="V2987" s="1357">
        <v>275</v>
      </c>
    </row>
    <row r="2988" spans="1:22" s="841" customFormat="1" ht="15" x14ac:dyDescent="0.25">
      <c r="A2988" s="841" t="s">
        <v>624</v>
      </c>
      <c r="E2988" s="1694" t="s">
        <v>3067</v>
      </c>
      <c r="F2988" s="1907"/>
      <c r="G2988" s="1907"/>
      <c r="H2988" s="1907"/>
      <c r="K2988" s="841" t="s">
        <v>3115</v>
      </c>
      <c r="M2988" s="1357"/>
      <c r="Q2988" s="1357"/>
      <c r="S2988" s="1420"/>
      <c r="T2988" s="1420"/>
      <c r="V2988" s="1357">
        <v>46</v>
      </c>
    </row>
    <row r="2989" spans="1:22" s="841" customFormat="1" ht="15" x14ac:dyDescent="0.25">
      <c r="A2989" s="841" t="s">
        <v>624</v>
      </c>
      <c r="E2989" s="1904" t="s">
        <v>11</v>
      </c>
      <c r="F2989" s="1904"/>
      <c r="G2989" s="1408" t="s">
        <v>23</v>
      </c>
      <c r="H2989" s="391">
        <v>28695.54</v>
      </c>
      <c r="K2989" s="841" t="s">
        <v>4449</v>
      </c>
      <c r="L2989" s="841" t="s">
        <v>442</v>
      </c>
      <c r="M2989" s="1357"/>
      <c r="P2989" s="841" t="s">
        <v>4451</v>
      </c>
      <c r="Q2989" s="1357"/>
      <c r="S2989" s="1420"/>
      <c r="T2989" s="1420"/>
      <c r="V2989" s="1357">
        <v>14</v>
      </c>
    </row>
    <row r="2990" spans="1:22" s="841" customFormat="1" ht="15" x14ac:dyDescent="0.25">
      <c r="A2990" s="841" t="s">
        <v>624</v>
      </c>
      <c r="E2990" s="1904" t="s">
        <v>84</v>
      </c>
      <c r="F2990" s="1904"/>
      <c r="G2990" s="1408" t="s">
        <v>33</v>
      </c>
      <c r="H2990" s="393">
        <v>2.9154</v>
      </c>
      <c r="K2990" s="841" t="s">
        <v>4449</v>
      </c>
      <c r="L2990" s="841" t="s">
        <v>442</v>
      </c>
      <c r="M2990" s="1357"/>
      <c r="P2990" s="841" t="s">
        <v>4452</v>
      </c>
      <c r="Q2990" s="1357"/>
      <c r="S2990" s="1420"/>
      <c r="T2990" s="1420"/>
      <c r="V2990" s="1357">
        <v>28</v>
      </c>
    </row>
    <row r="2991" spans="1:22" s="841" customFormat="1" ht="15" x14ac:dyDescent="0.25">
      <c r="A2991" s="841" t="s">
        <v>624</v>
      </c>
      <c r="E2991" s="1904" t="s">
        <v>5385</v>
      </c>
      <c r="F2991" s="1962"/>
      <c r="G2991" s="1408" t="s">
        <v>33</v>
      </c>
      <c r="H2991" s="393">
        <v>0.33900000000000002</v>
      </c>
      <c r="K2991" s="841" t="s">
        <v>4449</v>
      </c>
      <c r="L2991" s="841" t="s">
        <v>442</v>
      </c>
      <c r="M2991" s="1357"/>
      <c r="P2991" s="841" t="s">
        <v>5403</v>
      </c>
      <c r="Q2991" s="1357"/>
      <c r="S2991" s="1420"/>
      <c r="T2991" s="1420">
        <v>43951</v>
      </c>
      <c r="V2991" s="1357">
        <v>137</v>
      </c>
    </row>
    <row r="2992" spans="1:22" s="841" customFormat="1" ht="15" x14ac:dyDescent="0.25">
      <c r="A2992" s="841" t="s">
        <v>624</v>
      </c>
      <c r="E2992" s="1904" t="s">
        <v>5398</v>
      </c>
      <c r="F2992" s="1962"/>
      <c r="G2992" s="1408" t="s">
        <v>33</v>
      </c>
      <c r="H2992" s="393">
        <v>-0.45689999999999997</v>
      </c>
      <c r="K2992" s="841" t="s">
        <v>4449</v>
      </c>
      <c r="L2992" s="841" t="s">
        <v>443</v>
      </c>
      <c r="M2992" s="1357"/>
      <c r="P2992" s="841" t="s">
        <v>4453</v>
      </c>
      <c r="Q2992" s="1357"/>
      <c r="S2992" s="1420"/>
      <c r="T2992" s="1420">
        <v>43585</v>
      </c>
      <c r="V2992" s="1357">
        <v>158</v>
      </c>
    </row>
    <row r="2993" spans="1:22" s="841" customFormat="1" ht="15" x14ac:dyDescent="0.25">
      <c r="A2993" s="841" t="s">
        <v>624</v>
      </c>
      <c r="E2993" s="1904" t="s">
        <v>5130</v>
      </c>
      <c r="F2993" s="1962"/>
      <c r="G2993" s="1408" t="s">
        <v>33</v>
      </c>
      <c r="H2993" s="393">
        <v>0.63560000000000005</v>
      </c>
      <c r="K2993" s="841" t="s">
        <v>4449</v>
      </c>
      <c r="L2993" s="841" t="s">
        <v>443</v>
      </c>
      <c r="M2993" s="1357"/>
      <c r="P2993" s="841" t="s">
        <v>4453</v>
      </c>
      <c r="Q2993" s="1357"/>
      <c r="S2993" s="1420"/>
      <c r="T2993" s="1420">
        <v>43585</v>
      </c>
      <c r="V2993" s="1357">
        <v>96</v>
      </c>
    </row>
    <row r="2994" spans="1:22" s="841" customFormat="1" ht="15" x14ac:dyDescent="0.25">
      <c r="A2994" s="841" t="s">
        <v>624</v>
      </c>
      <c r="E2994" s="1904" t="s">
        <v>5383</v>
      </c>
      <c r="F2994" s="1962"/>
      <c r="G2994" s="1408" t="s">
        <v>33</v>
      </c>
      <c r="H2994" s="393">
        <v>-3.4099999999999998E-2</v>
      </c>
      <c r="K2994" s="841" t="s">
        <v>4449</v>
      </c>
      <c r="L2994" s="841" t="s">
        <v>442</v>
      </c>
      <c r="M2994" s="1357"/>
      <c r="P2994" s="841" t="s">
        <v>4454</v>
      </c>
      <c r="Q2994" s="1357"/>
      <c r="S2994" s="1420"/>
      <c r="T2994" s="1420">
        <v>43585</v>
      </c>
      <c r="V2994" s="1357">
        <v>80</v>
      </c>
    </row>
    <row r="2995" spans="1:22" s="841" customFormat="1" ht="15" x14ac:dyDescent="0.25">
      <c r="A2995" s="841" t="s">
        <v>624</v>
      </c>
      <c r="E2995" s="1904" t="s">
        <v>221</v>
      </c>
      <c r="F2995" s="1904"/>
      <c r="G2995" s="1408" t="s">
        <v>33</v>
      </c>
      <c r="H2995" s="393">
        <v>3.3616999999999999</v>
      </c>
      <c r="K2995" s="841" t="s">
        <v>4449</v>
      </c>
      <c r="L2995" s="841" t="s">
        <v>444</v>
      </c>
      <c r="M2995" s="1357"/>
      <c r="P2995" s="841" t="s">
        <v>4455</v>
      </c>
      <c r="Q2995" s="1357"/>
      <c r="S2995" s="1420"/>
      <c r="T2995" s="1420"/>
      <c r="V2995" s="1357">
        <v>47</v>
      </c>
    </row>
    <row r="2996" spans="1:22" s="841" customFormat="1" ht="15" x14ac:dyDescent="0.25">
      <c r="A2996" s="841" t="s">
        <v>624</v>
      </c>
      <c r="E2996" s="1904" t="s">
        <v>5399</v>
      </c>
      <c r="F2996" s="1904"/>
      <c r="G2996" s="1408" t="s">
        <v>33</v>
      </c>
      <c r="H2996" s="393">
        <v>0.72640000000000005</v>
      </c>
      <c r="K2996" s="841" t="s">
        <v>4449</v>
      </c>
      <c r="L2996" s="841" t="s">
        <v>444</v>
      </c>
      <c r="M2996" s="1357"/>
      <c r="P2996" s="841" t="s">
        <v>5404</v>
      </c>
      <c r="Q2996" s="1357"/>
      <c r="S2996" s="1420"/>
      <c r="T2996" s="1420"/>
      <c r="V2996" s="1357">
        <v>68</v>
      </c>
    </row>
    <row r="2997" spans="1:22" s="841" customFormat="1" ht="15" x14ac:dyDescent="0.25">
      <c r="A2997" s="841" t="s">
        <v>624</v>
      </c>
      <c r="E2997" s="1694" t="s">
        <v>3079</v>
      </c>
      <c r="F2997" s="1690"/>
      <c r="G2997" s="1408"/>
      <c r="H2997" s="1408"/>
      <c r="K2997" s="841" t="s">
        <v>3122</v>
      </c>
      <c r="M2997" s="1357"/>
      <c r="Q2997" s="1357"/>
      <c r="S2997" s="1420"/>
      <c r="T2997" s="1420"/>
      <c r="V2997" s="1357">
        <v>48</v>
      </c>
    </row>
    <row r="2998" spans="1:22" s="841" customFormat="1" ht="15" x14ac:dyDescent="0.25">
      <c r="A2998" s="841" t="s">
        <v>624</v>
      </c>
      <c r="E2998" s="1904" t="s">
        <v>2449</v>
      </c>
      <c r="F2998" s="1904"/>
      <c r="G2998" s="1408" t="s">
        <v>24</v>
      </c>
      <c r="H2998" s="393">
        <v>3.2000000000000002E-3</v>
      </c>
      <c r="K2998" s="841" t="s">
        <v>4449</v>
      </c>
      <c r="L2998" s="841" t="s">
        <v>3046</v>
      </c>
      <c r="M2998" s="1357"/>
      <c r="P2998" s="841" t="s">
        <v>4456</v>
      </c>
      <c r="Q2998" s="1357"/>
      <c r="S2998" s="1420"/>
      <c r="T2998" s="1420"/>
      <c r="V2998" s="1357">
        <v>55</v>
      </c>
    </row>
    <row r="2999" spans="1:22" s="841" customFormat="1" ht="15" x14ac:dyDescent="0.25">
      <c r="A2999" s="841" t="s">
        <v>624</v>
      </c>
      <c r="E2999" s="1904" t="s">
        <v>2450</v>
      </c>
      <c r="F2999" s="1904"/>
      <c r="G2999" s="1408" t="s">
        <v>24</v>
      </c>
      <c r="H2999" s="393">
        <v>4.0000000000000002E-4</v>
      </c>
      <c r="K2999" s="841" t="s">
        <v>4449</v>
      </c>
      <c r="L2999" s="841" t="s">
        <v>3046</v>
      </c>
      <c r="M2999" s="1357"/>
      <c r="P2999" s="841" t="s">
        <v>4456</v>
      </c>
      <c r="Q2999" s="1357"/>
      <c r="S2999" s="1420"/>
      <c r="T2999" s="1420"/>
      <c r="V2999" s="1357">
        <v>65</v>
      </c>
    </row>
    <row r="3000" spans="1:22" s="841" customFormat="1" ht="15" x14ac:dyDescent="0.25">
      <c r="A3000" s="841" t="s">
        <v>624</v>
      </c>
      <c r="E3000" s="1904" t="s">
        <v>439</v>
      </c>
      <c r="F3000" s="1904"/>
      <c r="G3000" s="1408" t="s">
        <v>24</v>
      </c>
      <c r="H3000" s="393">
        <v>2.9999999999999997E-4</v>
      </c>
      <c r="K3000" s="841" t="s">
        <v>4449</v>
      </c>
      <c r="L3000" s="841" t="s">
        <v>3046</v>
      </c>
      <c r="M3000" s="1357"/>
      <c r="P3000" s="841" t="s">
        <v>4457</v>
      </c>
      <c r="Q3000" s="1357"/>
      <c r="S3000" s="1420"/>
      <c r="T3000" s="1420"/>
      <c r="V3000" s="1357">
        <v>57</v>
      </c>
    </row>
    <row r="3001" spans="1:22" s="841" customFormat="1" ht="15" x14ac:dyDescent="0.25">
      <c r="A3001" s="841" t="s">
        <v>624</v>
      </c>
      <c r="E3001" s="1904" t="s">
        <v>32</v>
      </c>
      <c r="F3001" s="1904"/>
      <c r="G3001" s="1408" t="s">
        <v>23</v>
      </c>
      <c r="H3001" s="391">
        <v>0.25</v>
      </c>
      <c r="K3001" s="841" t="s">
        <v>4449</v>
      </c>
      <c r="L3001" s="841" t="s">
        <v>3046</v>
      </c>
      <c r="M3001" s="1357"/>
      <c r="P3001" s="841" t="s">
        <v>4458</v>
      </c>
      <c r="Q3001" s="1357"/>
      <c r="S3001" s="1420"/>
      <c r="T3001" s="1420"/>
      <c r="V3001" s="1357">
        <v>63</v>
      </c>
    </row>
    <row r="3002" spans="1:22" s="841" customFormat="1" x14ac:dyDescent="0.25">
      <c r="A3002" s="841" t="s">
        <v>624</v>
      </c>
      <c r="E3002" s="1909" t="s">
        <v>641</v>
      </c>
      <c r="F3002" s="1915"/>
      <c r="G3002" s="1915"/>
      <c r="H3002" s="1915"/>
      <c r="K3002" s="841" t="s">
        <v>4459</v>
      </c>
      <c r="M3002" s="1357"/>
      <c r="Q3002" s="1357"/>
      <c r="S3002" s="1420"/>
      <c r="T3002" s="1420"/>
      <c r="V3002" s="1357">
        <v>45</v>
      </c>
    </row>
    <row r="3003" spans="1:22" s="841" customFormat="1" ht="15" x14ac:dyDescent="0.25">
      <c r="A3003" s="841" t="s">
        <v>624</v>
      </c>
      <c r="E3003" s="1689" t="s">
        <v>4460</v>
      </c>
      <c r="F3003" s="1689"/>
      <c r="G3003" s="1689"/>
      <c r="H3003" s="1689"/>
      <c r="K3003" s="841" t="s">
        <v>4459</v>
      </c>
      <c r="M3003" s="1357"/>
      <c r="Q3003" s="1357"/>
      <c r="S3003" s="1420"/>
      <c r="T3003" s="1420"/>
      <c r="V3003" s="1357">
        <v>378</v>
      </c>
    </row>
    <row r="3004" spans="1:22" s="841" customFormat="1" ht="15" x14ac:dyDescent="0.25">
      <c r="A3004" s="841" t="s">
        <v>624</v>
      </c>
      <c r="E3004" s="1916" t="s">
        <v>3061</v>
      </c>
      <c r="F3004" s="1697"/>
      <c r="G3004" s="1697"/>
      <c r="H3004" s="1697"/>
      <c r="K3004" s="841" t="s">
        <v>3128</v>
      </c>
      <c r="M3004" s="1357"/>
      <c r="Q3004" s="1357"/>
      <c r="S3004" s="1420"/>
      <c r="T3004" s="1420"/>
      <c r="V3004" s="1357">
        <v>11</v>
      </c>
    </row>
    <row r="3005" spans="1:22" s="841" customFormat="1" ht="15" x14ac:dyDescent="0.25">
      <c r="A3005" s="841" t="s">
        <v>624</v>
      </c>
      <c r="E3005" s="1689" t="s">
        <v>3063</v>
      </c>
      <c r="F3005" s="1689"/>
      <c r="G3005" s="1689"/>
      <c r="H3005" s="1689"/>
      <c r="K3005" s="841" t="s">
        <v>4459</v>
      </c>
      <c r="M3005" s="1357"/>
      <c r="Q3005" s="1357"/>
      <c r="S3005" s="1420"/>
      <c r="T3005" s="1420"/>
      <c r="V3005" s="1357">
        <v>280</v>
      </c>
    </row>
    <row r="3006" spans="1:22" s="841" customFormat="1" ht="15" x14ac:dyDescent="0.25">
      <c r="A3006" s="841" t="s">
        <v>624</v>
      </c>
      <c r="E3006" s="1689" t="s">
        <v>3064</v>
      </c>
      <c r="F3006" s="1689"/>
      <c r="G3006" s="1689"/>
      <c r="H3006" s="1689"/>
      <c r="K3006" s="841" t="s">
        <v>4459</v>
      </c>
      <c r="M3006" s="1357"/>
      <c r="Q3006" s="1357"/>
      <c r="S3006" s="1420"/>
      <c r="T3006" s="1420"/>
      <c r="V3006" s="1357">
        <v>411</v>
      </c>
    </row>
    <row r="3007" spans="1:22" s="841" customFormat="1" ht="15" x14ac:dyDescent="0.25">
      <c r="A3007" s="841" t="s">
        <v>624</v>
      </c>
      <c r="E3007" s="1689" t="s">
        <v>4427</v>
      </c>
      <c r="F3007" s="1689"/>
      <c r="G3007" s="1689"/>
      <c r="H3007" s="1689"/>
      <c r="K3007" s="841" t="s">
        <v>4459</v>
      </c>
      <c r="M3007" s="1357"/>
      <c r="Q3007" s="1357"/>
      <c r="S3007" s="1420"/>
      <c r="T3007" s="1420"/>
      <c r="V3007" s="1357">
        <v>379</v>
      </c>
    </row>
    <row r="3008" spans="1:22" s="841" customFormat="1" ht="15" x14ac:dyDescent="0.25">
      <c r="A3008" s="841" t="s">
        <v>624</v>
      </c>
      <c r="E3008" s="1689" t="s">
        <v>3200</v>
      </c>
      <c r="F3008" s="1689"/>
      <c r="G3008" s="1689"/>
      <c r="H3008" s="1689"/>
      <c r="K3008" s="841" t="s">
        <v>4459</v>
      </c>
      <c r="M3008" s="1357"/>
      <c r="Q3008" s="1357"/>
      <c r="S3008" s="1420"/>
      <c r="T3008" s="1420"/>
      <c r="V3008" s="1357">
        <v>275</v>
      </c>
    </row>
    <row r="3009" spans="1:22" s="841" customFormat="1" ht="15" x14ac:dyDescent="0.25">
      <c r="A3009" s="841" t="s">
        <v>624</v>
      </c>
      <c r="E3009" s="1694" t="s">
        <v>3067</v>
      </c>
      <c r="F3009" s="1907"/>
      <c r="G3009" s="1907"/>
      <c r="H3009" s="1907"/>
      <c r="K3009" s="841" t="s">
        <v>3130</v>
      </c>
      <c r="M3009" s="1357"/>
      <c r="Q3009" s="1357"/>
      <c r="S3009" s="1420"/>
      <c r="T3009" s="1420"/>
      <c r="V3009" s="1357">
        <v>46</v>
      </c>
    </row>
    <row r="3010" spans="1:22" s="841" customFormat="1" ht="15" x14ac:dyDescent="0.25">
      <c r="A3010" s="841" t="s">
        <v>624</v>
      </c>
      <c r="E3010" s="1904" t="s">
        <v>11</v>
      </c>
      <c r="F3010" s="1904"/>
      <c r="G3010" s="1408" t="s">
        <v>23</v>
      </c>
      <c r="H3010" s="391">
        <v>108676.64</v>
      </c>
      <c r="K3010" s="841" t="s">
        <v>4459</v>
      </c>
      <c r="L3010" s="841" t="s">
        <v>442</v>
      </c>
      <c r="M3010" s="1357"/>
      <c r="P3010" s="841" t="s">
        <v>4461</v>
      </c>
      <c r="Q3010" s="1357"/>
      <c r="S3010" s="1420"/>
      <c r="T3010" s="1420"/>
      <c r="V3010" s="1357">
        <v>14</v>
      </c>
    </row>
    <row r="3011" spans="1:22" s="841" customFormat="1" ht="15" x14ac:dyDescent="0.25">
      <c r="A3011" s="841" t="s">
        <v>624</v>
      </c>
      <c r="E3011" s="1904" t="s">
        <v>5385</v>
      </c>
      <c r="F3011" s="1962"/>
      <c r="G3011" s="1408" t="s">
        <v>33</v>
      </c>
      <c r="H3011" s="393">
        <v>-1E-4</v>
      </c>
      <c r="K3011" s="841" t="s">
        <v>4459</v>
      </c>
      <c r="L3011" s="841" t="s">
        <v>442</v>
      </c>
      <c r="M3011" s="1357"/>
      <c r="P3011" s="841" t="s">
        <v>5405</v>
      </c>
      <c r="Q3011" s="1357"/>
      <c r="S3011" s="1420"/>
      <c r="T3011" s="1420">
        <v>43951</v>
      </c>
      <c r="V3011" s="1357">
        <v>137</v>
      </c>
    </row>
    <row r="3012" spans="1:22" s="841" customFormat="1" ht="15" x14ac:dyDescent="0.25">
      <c r="A3012" s="841" t="s">
        <v>624</v>
      </c>
      <c r="E3012" s="1904" t="s">
        <v>5130</v>
      </c>
      <c r="F3012" s="1962"/>
      <c r="G3012" s="1408" t="s">
        <v>33</v>
      </c>
      <c r="H3012" s="393">
        <v>7.2599999999999998E-2</v>
      </c>
      <c r="K3012" s="841" t="s">
        <v>4459</v>
      </c>
      <c r="L3012" s="841" t="s">
        <v>443</v>
      </c>
      <c r="M3012" s="1357"/>
      <c r="P3012" s="841" t="s">
        <v>4462</v>
      </c>
      <c r="Q3012" s="1357"/>
      <c r="S3012" s="1420"/>
      <c r="T3012" s="1420">
        <v>43585</v>
      </c>
      <c r="V3012" s="1357">
        <v>96</v>
      </c>
    </row>
    <row r="3013" spans="1:22" s="841" customFormat="1" ht="15" x14ac:dyDescent="0.25">
      <c r="A3013" s="841" t="s">
        <v>624</v>
      </c>
      <c r="E3013" s="1904" t="s">
        <v>5383</v>
      </c>
      <c r="F3013" s="1962"/>
      <c r="G3013" s="1408" t="s">
        <v>33</v>
      </c>
      <c r="H3013" s="393">
        <v>-0.106</v>
      </c>
      <c r="K3013" s="841" t="s">
        <v>4459</v>
      </c>
      <c r="L3013" s="841" t="s">
        <v>442</v>
      </c>
      <c r="M3013" s="1357"/>
      <c r="P3013" s="841" t="s">
        <v>4463</v>
      </c>
      <c r="Q3013" s="1357"/>
      <c r="S3013" s="1420"/>
      <c r="T3013" s="1420">
        <v>43585</v>
      </c>
      <c r="V3013" s="1357">
        <v>80</v>
      </c>
    </row>
    <row r="3014" spans="1:22" s="841" customFormat="1" ht="15" x14ac:dyDescent="0.25">
      <c r="A3014" s="841" t="s">
        <v>624</v>
      </c>
      <c r="E3014" s="1904" t="s">
        <v>221</v>
      </c>
      <c r="F3014" s="1904"/>
      <c r="G3014" s="1408" t="s">
        <v>33</v>
      </c>
      <c r="H3014" s="393">
        <v>3.3616999999999999</v>
      </c>
      <c r="K3014" s="841" t="s">
        <v>4459</v>
      </c>
      <c r="L3014" s="841" t="s">
        <v>444</v>
      </c>
      <c r="M3014" s="1357"/>
      <c r="P3014" s="841" t="s">
        <v>4464</v>
      </c>
      <c r="Q3014" s="1357"/>
      <c r="S3014" s="1420"/>
      <c r="T3014" s="1420"/>
      <c r="V3014" s="1357">
        <v>47</v>
      </c>
    </row>
    <row r="3015" spans="1:22" s="841" customFormat="1" ht="15" x14ac:dyDescent="0.25">
      <c r="A3015" s="841" t="s">
        <v>624</v>
      </c>
      <c r="E3015" s="1904" t="s">
        <v>5399</v>
      </c>
      <c r="F3015" s="1904"/>
      <c r="G3015" s="1408" t="s">
        <v>33</v>
      </c>
      <c r="H3015" s="393">
        <v>0.72640000000000005</v>
      </c>
      <c r="K3015" s="841" t="s">
        <v>4459</v>
      </c>
      <c r="L3015" s="841" t="s">
        <v>444</v>
      </c>
      <c r="M3015" s="1357"/>
      <c r="P3015" s="841" t="s">
        <v>5406</v>
      </c>
      <c r="Q3015" s="1357"/>
      <c r="S3015" s="1420"/>
      <c r="T3015" s="1420"/>
      <c r="V3015" s="1357">
        <v>68</v>
      </c>
    </row>
    <row r="3016" spans="1:22" s="841" customFormat="1" ht="15" x14ac:dyDescent="0.25">
      <c r="A3016" s="841" t="s">
        <v>624</v>
      </c>
      <c r="E3016" s="1694" t="s">
        <v>3079</v>
      </c>
      <c r="F3016" s="1690"/>
      <c r="G3016" s="1408"/>
      <c r="H3016" s="1408"/>
      <c r="K3016" s="841" t="s">
        <v>3260</v>
      </c>
      <c r="M3016" s="1357"/>
      <c r="Q3016" s="1357"/>
      <c r="S3016" s="1420"/>
      <c r="T3016" s="1420"/>
      <c r="V3016" s="1357">
        <v>48</v>
      </c>
    </row>
    <row r="3017" spans="1:22" s="841" customFormat="1" ht="15" x14ac:dyDescent="0.25">
      <c r="A3017" s="841" t="s">
        <v>624</v>
      </c>
      <c r="E3017" s="1904" t="s">
        <v>2449</v>
      </c>
      <c r="F3017" s="1904"/>
      <c r="G3017" s="1408" t="s">
        <v>24</v>
      </c>
      <c r="H3017" s="393">
        <v>3.2000000000000002E-3</v>
      </c>
      <c r="K3017" s="841" t="s">
        <v>4459</v>
      </c>
      <c r="L3017" s="841" t="s">
        <v>3046</v>
      </c>
      <c r="M3017" s="1357"/>
      <c r="P3017" s="841" t="s">
        <v>4465</v>
      </c>
      <c r="Q3017" s="1357"/>
      <c r="S3017" s="1420"/>
      <c r="T3017" s="1420"/>
      <c r="V3017" s="1357">
        <v>55</v>
      </c>
    </row>
    <row r="3018" spans="1:22" s="841" customFormat="1" ht="15" x14ac:dyDescent="0.25">
      <c r="A3018" s="841" t="s">
        <v>624</v>
      </c>
      <c r="E3018" s="1904" t="s">
        <v>2450</v>
      </c>
      <c r="F3018" s="1904"/>
      <c r="G3018" s="1408" t="s">
        <v>24</v>
      </c>
      <c r="H3018" s="393">
        <v>4.0000000000000002E-4</v>
      </c>
      <c r="K3018" s="841" t="s">
        <v>4459</v>
      </c>
      <c r="L3018" s="841" t="s">
        <v>3046</v>
      </c>
      <c r="M3018" s="1357"/>
      <c r="P3018" s="841" t="s">
        <v>4465</v>
      </c>
      <c r="Q3018" s="1357"/>
      <c r="S3018" s="1420"/>
      <c r="T3018" s="1420"/>
      <c r="V3018" s="1357">
        <v>65</v>
      </c>
    </row>
    <row r="3019" spans="1:22" s="841" customFormat="1" ht="15" x14ac:dyDescent="0.25">
      <c r="A3019" s="841" t="s">
        <v>624</v>
      </c>
      <c r="E3019" s="1904" t="s">
        <v>439</v>
      </c>
      <c r="F3019" s="1904"/>
      <c r="G3019" s="1408" t="s">
        <v>24</v>
      </c>
      <c r="H3019" s="393">
        <v>2.9999999999999997E-4</v>
      </c>
      <c r="K3019" s="841" t="s">
        <v>4459</v>
      </c>
      <c r="L3019" s="841" t="s">
        <v>3046</v>
      </c>
      <c r="M3019" s="1357"/>
      <c r="P3019" s="841" t="s">
        <v>4466</v>
      </c>
      <c r="Q3019" s="1357"/>
      <c r="S3019" s="1420"/>
      <c r="T3019" s="1420"/>
      <c r="V3019" s="1357">
        <v>57</v>
      </c>
    </row>
    <row r="3020" spans="1:22" s="841" customFormat="1" ht="15" x14ac:dyDescent="0.25">
      <c r="A3020" s="841" t="s">
        <v>624</v>
      </c>
      <c r="E3020" s="1904" t="s">
        <v>32</v>
      </c>
      <c r="F3020" s="1904"/>
      <c r="G3020" s="1408" t="s">
        <v>23</v>
      </c>
      <c r="H3020" s="391">
        <v>0.25</v>
      </c>
      <c r="K3020" s="841" t="s">
        <v>4459</v>
      </c>
      <c r="L3020" s="841" t="s">
        <v>3046</v>
      </c>
      <c r="M3020" s="1357"/>
      <c r="P3020" s="841" t="s">
        <v>4467</v>
      </c>
      <c r="Q3020" s="1357"/>
      <c r="S3020" s="1420"/>
      <c r="T3020" s="1420"/>
      <c r="V3020" s="1357">
        <v>63</v>
      </c>
    </row>
    <row r="3021" spans="1:22" s="841" customFormat="1" x14ac:dyDescent="0.25">
      <c r="A3021" s="841" t="s">
        <v>624</v>
      </c>
      <c r="E3021" s="1909" t="s">
        <v>617</v>
      </c>
      <c r="F3021" s="1915"/>
      <c r="G3021" s="1915"/>
      <c r="H3021" s="1915"/>
      <c r="K3021" s="841" t="s">
        <v>3634</v>
      </c>
      <c r="M3021" s="1357"/>
      <c r="Q3021" s="1357"/>
      <c r="S3021" s="1420"/>
      <c r="T3021" s="1420"/>
      <c r="V3021" s="1357">
        <v>47</v>
      </c>
    </row>
    <row r="3022" spans="1:22" s="841" customFormat="1" ht="15" x14ac:dyDescent="0.25">
      <c r="A3022" s="841" t="s">
        <v>624</v>
      </c>
      <c r="E3022" s="1689" t="s">
        <v>4468</v>
      </c>
      <c r="F3022" s="1689"/>
      <c r="G3022" s="1689"/>
      <c r="H3022" s="1689"/>
      <c r="K3022" s="841" t="s">
        <v>3634</v>
      </c>
      <c r="M3022" s="1357"/>
      <c r="Q3022" s="1357"/>
      <c r="S3022" s="1420"/>
      <c r="T3022" s="1420"/>
      <c r="V3022" s="1357">
        <v>472</v>
      </c>
    </row>
    <row r="3023" spans="1:22" s="841" customFormat="1" ht="15" x14ac:dyDescent="0.25">
      <c r="A3023" s="841" t="s">
        <v>624</v>
      </c>
      <c r="E3023" s="1916" t="s">
        <v>3061</v>
      </c>
      <c r="F3023" s="1697"/>
      <c r="G3023" s="1697"/>
      <c r="H3023" s="1697"/>
      <c r="K3023" s="841" t="s">
        <v>3266</v>
      </c>
      <c r="M3023" s="1357"/>
      <c r="Q3023" s="1357"/>
      <c r="S3023" s="1420"/>
      <c r="T3023" s="1420"/>
      <c r="V3023" s="1357">
        <v>11</v>
      </c>
    </row>
    <row r="3024" spans="1:22" s="841" customFormat="1" ht="15" x14ac:dyDescent="0.25">
      <c r="A3024" s="841" t="s">
        <v>624</v>
      </c>
      <c r="E3024" s="1689" t="s">
        <v>3063</v>
      </c>
      <c r="F3024" s="1689"/>
      <c r="G3024" s="1689"/>
      <c r="H3024" s="1689"/>
      <c r="K3024" s="841" t="s">
        <v>3634</v>
      </c>
      <c r="M3024" s="1357"/>
      <c r="Q3024" s="1357"/>
      <c r="S3024" s="1420"/>
      <c r="T3024" s="1420"/>
      <c r="V3024" s="1357">
        <v>280</v>
      </c>
    </row>
    <row r="3025" spans="1:22" s="841" customFormat="1" ht="15" x14ac:dyDescent="0.25">
      <c r="A3025" s="841" t="s">
        <v>624</v>
      </c>
      <c r="E3025" s="1689" t="s">
        <v>3064</v>
      </c>
      <c r="F3025" s="1689"/>
      <c r="G3025" s="1689"/>
      <c r="H3025" s="1689"/>
      <c r="K3025" s="841" t="s">
        <v>3634</v>
      </c>
      <c r="M3025" s="1357"/>
      <c r="Q3025" s="1357"/>
      <c r="S3025" s="1420"/>
      <c r="T3025" s="1420"/>
      <c r="V3025" s="1357">
        <v>411</v>
      </c>
    </row>
    <row r="3026" spans="1:22" s="841" customFormat="1" ht="15" x14ac:dyDescent="0.25">
      <c r="A3026" s="841" t="s">
        <v>624</v>
      </c>
      <c r="E3026" s="1689" t="s">
        <v>4427</v>
      </c>
      <c r="F3026" s="1689"/>
      <c r="G3026" s="1689"/>
      <c r="H3026" s="1689"/>
      <c r="K3026" s="841" t="s">
        <v>3634</v>
      </c>
      <c r="M3026" s="1357"/>
      <c r="Q3026" s="1357"/>
      <c r="S3026" s="1420"/>
      <c r="T3026" s="1420"/>
      <c r="V3026" s="1357">
        <v>379</v>
      </c>
    </row>
    <row r="3027" spans="1:22" s="841" customFormat="1" ht="15" x14ac:dyDescent="0.25">
      <c r="A3027" s="841" t="s">
        <v>624</v>
      </c>
      <c r="E3027" s="1689" t="s">
        <v>3200</v>
      </c>
      <c r="F3027" s="1689"/>
      <c r="G3027" s="1689"/>
      <c r="H3027" s="1689"/>
      <c r="K3027" s="841" t="s">
        <v>3634</v>
      </c>
      <c r="M3027" s="1357"/>
      <c r="Q3027" s="1357"/>
      <c r="S3027" s="1420"/>
      <c r="T3027" s="1420"/>
      <c r="V3027" s="1357">
        <v>275</v>
      </c>
    </row>
    <row r="3028" spans="1:22" s="841" customFormat="1" ht="15" x14ac:dyDescent="0.25">
      <c r="A3028" s="841" t="s">
        <v>624</v>
      </c>
      <c r="E3028" s="1694" t="s">
        <v>3067</v>
      </c>
      <c r="F3028" s="1907"/>
      <c r="G3028" s="1907"/>
      <c r="H3028" s="1907"/>
      <c r="K3028" s="841" t="s">
        <v>3267</v>
      </c>
      <c r="M3028" s="1357"/>
      <c r="Q3028" s="1357"/>
      <c r="S3028" s="1420"/>
      <c r="T3028" s="1420"/>
      <c r="V3028" s="1357">
        <v>46</v>
      </c>
    </row>
    <row r="3029" spans="1:22" s="841" customFormat="1" ht="15" x14ac:dyDescent="0.25">
      <c r="A3029" s="841" t="s">
        <v>624</v>
      </c>
      <c r="E3029" s="1690" t="s">
        <v>12</v>
      </c>
      <c r="F3029" s="1690"/>
      <c r="G3029" s="1408" t="s">
        <v>23</v>
      </c>
      <c r="H3029" s="391">
        <v>10.87</v>
      </c>
      <c r="K3029" s="841" t="s">
        <v>3634</v>
      </c>
      <c r="L3029" s="841" t="s">
        <v>442</v>
      </c>
      <c r="M3029" s="1357"/>
      <c r="P3029" s="841" t="s">
        <v>3635</v>
      </c>
      <c r="Q3029" s="1357"/>
      <c r="S3029" s="1420"/>
      <c r="T3029" s="1420"/>
      <c r="V3029" s="1357">
        <v>31</v>
      </c>
    </row>
    <row r="3030" spans="1:22" s="841" customFormat="1" ht="15" x14ac:dyDescent="0.25">
      <c r="A3030" s="841" t="s">
        <v>624</v>
      </c>
      <c r="E3030" s="1690" t="s">
        <v>5407</v>
      </c>
      <c r="F3030" s="1908"/>
      <c r="G3030" s="1408" t="s">
        <v>23</v>
      </c>
      <c r="H3030" s="391">
        <v>-0.15</v>
      </c>
      <c r="K3030" s="841" t="s">
        <v>3634</v>
      </c>
      <c r="L3030" s="841" t="s">
        <v>443</v>
      </c>
      <c r="M3030" s="1357"/>
      <c r="P3030" s="841" t="s">
        <v>3638</v>
      </c>
      <c r="Q3030" s="1357"/>
      <c r="S3030" s="1420"/>
      <c r="T3030" s="1420">
        <v>43585</v>
      </c>
      <c r="V3030" s="1357">
        <v>112</v>
      </c>
    </row>
    <row r="3031" spans="1:22" s="841" customFormat="1" ht="15" x14ac:dyDescent="0.25">
      <c r="A3031" s="841" t="s">
        <v>624</v>
      </c>
      <c r="E3031" s="1904" t="s">
        <v>5408</v>
      </c>
      <c r="F3031" s="1962"/>
      <c r="G3031" s="1408" t="s">
        <v>23</v>
      </c>
      <c r="H3031" s="391">
        <v>-0.01</v>
      </c>
      <c r="K3031" s="841" t="s">
        <v>3634</v>
      </c>
      <c r="L3031" s="841" t="s">
        <v>443</v>
      </c>
      <c r="M3031" s="1357"/>
      <c r="P3031" s="841" t="s">
        <v>5409</v>
      </c>
      <c r="Q3031" s="1357"/>
      <c r="S3031" s="1420"/>
      <c r="T3031" s="1420">
        <v>43585</v>
      </c>
      <c r="V3031" s="1357">
        <v>164</v>
      </c>
    </row>
    <row r="3032" spans="1:22" s="841" customFormat="1" ht="15" x14ac:dyDescent="0.25">
      <c r="A3032" s="841" t="s">
        <v>624</v>
      </c>
      <c r="E3032" s="1904" t="s">
        <v>5410</v>
      </c>
      <c r="F3032" s="1962"/>
      <c r="G3032" s="1408" t="s">
        <v>23</v>
      </c>
      <c r="H3032" s="391">
        <v>-0.08</v>
      </c>
      <c r="K3032" s="841" t="s">
        <v>3634</v>
      </c>
      <c r="L3032" s="841" t="s">
        <v>442</v>
      </c>
      <c r="M3032" s="1357"/>
      <c r="P3032" s="841" t="s">
        <v>4469</v>
      </c>
      <c r="Q3032" s="1357"/>
      <c r="S3032" s="1420"/>
      <c r="T3032" s="1420">
        <v>43585</v>
      </c>
      <c r="V3032" s="1357">
        <v>96</v>
      </c>
    </row>
    <row r="3033" spans="1:22" s="841" customFormat="1" ht="15" x14ac:dyDescent="0.25">
      <c r="A3033" s="841" t="s">
        <v>624</v>
      </c>
      <c r="E3033" s="1904" t="s">
        <v>5384</v>
      </c>
      <c r="F3033" s="1904"/>
      <c r="G3033" s="1408" t="s">
        <v>24</v>
      </c>
      <c r="H3033" s="393">
        <v>-6.1000000000000004E-3</v>
      </c>
      <c r="K3033" s="841" t="s">
        <v>3634</v>
      </c>
      <c r="L3033" s="841" t="s">
        <v>443</v>
      </c>
      <c r="M3033" s="1357"/>
      <c r="P3033" s="841" t="s">
        <v>3637</v>
      </c>
      <c r="Q3033" s="1357"/>
      <c r="S3033" s="1420"/>
      <c r="T3033" s="1420">
        <v>43585</v>
      </c>
      <c r="V3033" s="1357">
        <v>141</v>
      </c>
    </row>
    <row r="3034" spans="1:22" s="841" customFormat="1" ht="15" x14ac:dyDescent="0.25">
      <c r="A3034" s="841" t="s">
        <v>624</v>
      </c>
      <c r="E3034" s="1904" t="s">
        <v>221</v>
      </c>
      <c r="F3034" s="1904"/>
      <c r="G3034" s="1408" t="s">
        <v>24</v>
      </c>
      <c r="H3034" s="393">
        <v>7.1999999999999998E-3</v>
      </c>
      <c r="K3034" s="841" t="s">
        <v>3634</v>
      </c>
      <c r="L3034" s="841" t="s">
        <v>444</v>
      </c>
      <c r="M3034" s="1357"/>
      <c r="P3034" s="841" t="s">
        <v>3639</v>
      </c>
      <c r="Q3034" s="1357"/>
      <c r="S3034" s="1420"/>
      <c r="T3034" s="1420"/>
      <c r="V3034" s="1357">
        <v>47</v>
      </c>
    </row>
    <row r="3035" spans="1:22" s="841" customFormat="1" ht="15" x14ac:dyDescent="0.25">
      <c r="A3035" s="841" t="s">
        <v>624</v>
      </c>
      <c r="E3035" s="1904" t="s">
        <v>217</v>
      </c>
      <c r="F3035" s="1904"/>
      <c r="G3035" s="1408" t="s">
        <v>24</v>
      </c>
      <c r="H3035" s="393">
        <v>5.3E-3</v>
      </c>
      <c r="K3035" s="841" t="s">
        <v>3634</v>
      </c>
      <c r="L3035" s="841" t="s">
        <v>444</v>
      </c>
      <c r="M3035" s="1357"/>
      <c r="P3035" s="841" t="s">
        <v>3640</v>
      </c>
      <c r="Q3035" s="1357"/>
      <c r="S3035" s="1420"/>
      <c r="T3035" s="1420"/>
      <c r="V3035" s="1357">
        <v>74</v>
      </c>
    </row>
    <row r="3036" spans="1:22" s="841" customFormat="1" ht="15" x14ac:dyDescent="0.25">
      <c r="A3036" s="841" t="s">
        <v>624</v>
      </c>
      <c r="E3036" s="1694" t="s">
        <v>3079</v>
      </c>
      <c r="F3036" s="1690"/>
      <c r="G3036" s="1408"/>
      <c r="H3036" s="1408"/>
      <c r="K3036" s="841" t="s">
        <v>3276</v>
      </c>
      <c r="M3036" s="1357"/>
      <c r="Q3036" s="1357"/>
      <c r="S3036" s="1420"/>
      <c r="T3036" s="1420"/>
      <c r="V3036" s="1357">
        <v>48</v>
      </c>
    </row>
    <row r="3037" spans="1:22" s="841" customFormat="1" ht="15" x14ac:dyDescent="0.25">
      <c r="A3037" s="841" t="s">
        <v>624</v>
      </c>
      <c r="E3037" s="1904" t="s">
        <v>2449</v>
      </c>
      <c r="F3037" s="1904"/>
      <c r="G3037" s="1408" t="s">
        <v>24</v>
      </c>
      <c r="H3037" s="393">
        <v>3.2000000000000002E-3</v>
      </c>
      <c r="K3037" s="841" t="s">
        <v>3634</v>
      </c>
      <c r="L3037" s="841" t="s">
        <v>3046</v>
      </c>
      <c r="M3037" s="1357"/>
      <c r="P3037" s="841" t="s">
        <v>3641</v>
      </c>
      <c r="Q3037" s="1357"/>
      <c r="S3037" s="1420"/>
      <c r="T3037" s="1420"/>
      <c r="V3037" s="1357">
        <v>55</v>
      </c>
    </row>
    <row r="3038" spans="1:22" s="841" customFormat="1" ht="15" x14ac:dyDescent="0.25">
      <c r="A3038" s="841" t="s">
        <v>624</v>
      </c>
      <c r="E3038" s="1904" t="s">
        <v>2450</v>
      </c>
      <c r="F3038" s="1904"/>
      <c r="G3038" s="1408" t="s">
        <v>24</v>
      </c>
      <c r="H3038" s="393">
        <v>4.0000000000000002E-4</v>
      </c>
      <c r="K3038" s="841" t="s">
        <v>3634</v>
      </c>
      <c r="L3038" s="841" t="s">
        <v>3046</v>
      </c>
      <c r="M3038" s="1357"/>
      <c r="P3038" s="841" t="s">
        <v>3641</v>
      </c>
      <c r="Q3038" s="1357"/>
      <c r="S3038" s="1420"/>
      <c r="T3038" s="1420"/>
      <c r="V3038" s="1357">
        <v>65</v>
      </c>
    </row>
    <row r="3039" spans="1:22" s="841" customFormat="1" ht="15" x14ac:dyDescent="0.25">
      <c r="A3039" s="841" t="s">
        <v>624</v>
      </c>
      <c r="E3039" s="1904" t="s">
        <v>439</v>
      </c>
      <c r="F3039" s="1904"/>
      <c r="G3039" s="1408" t="s">
        <v>24</v>
      </c>
      <c r="H3039" s="393">
        <v>2.9999999999999997E-4</v>
      </c>
      <c r="K3039" s="841" t="s">
        <v>3634</v>
      </c>
      <c r="L3039" s="841" t="s">
        <v>3046</v>
      </c>
      <c r="M3039" s="1357"/>
      <c r="P3039" s="841" t="s">
        <v>3642</v>
      </c>
      <c r="Q3039" s="1357"/>
      <c r="S3039" s="1420"/>
      <c r="T3039" s="1420"/>
      <c r="V3039" s="1357">
        <v>57</v>
      </c>
    </row>
    <row r="3040" spans="1:22" s="841" customFormat="1" ht="15" x14ac:dyDescent="0.25">
      <c r="A3040" s="841" t="s">
        <v>624</v>
      </c>
      <c r="E3040" s="1904" t="s">
        <v>32</v>
      </c>
      <c r="F3040" s="1904"/>
      <c r="G3040" s="1408" t="s">
        <v>23</v>
      </c>
      <c r="H3040" s="391">
        <v>0.25</v>
      </c>
      <c r="K3040" s="841" t="s">
        <v>3634</v>
      </c>
      <c r="L3040" s="841" t="s">
        <v>3046</v>
      </c>
      <c r="M3040" s="1357"/>
      <c r="P3040" s="841" t="s">
        <v>3643</v>
      </c>
      <c r="Q3040" s="1357"/>
      <c r="S3040" s="1420"/>
      <c r="T3040" s="1420"/>
      <c r="V3040" s="1357">
        <v>63</v>
      </c>
    </row>
    <row r="3041" spans="1:22" s="841" customFormat="1" x14ac:dyDescent="0.25">
      <c r="A3041" s="841" t="s">
        <v>624</v>
      </c>
      <c r="E3041" s="1909" t="s">
        <v>629</v>
      </c>
      <c r="F3041" s="1915"/>
      <c r="G3041" s="1915"/>
      <c r="H3041" s="1915"/>
      <c r="K3041" s="841" t="s">
        <v>3684</v>
      </c>
      <c r="M3041" s="1357"/>
      <c r="Q3041" s="1357"/>
      <c r="S3041" s="1420"/>
      <c r="T3041" s="1420"/>
      <c r="V3041" s="1357">
        <v>40</v>
      </c>
    </row>
    <row r="3042" spans="1:22" s="841" customFormat="1" ht="15" x14ac:dyDescent="0.25">
      <c r="A3042" s="841" t="s">
        <v>624</v>
      </c>
      <c r="E3042" s="1689" t="s">
        <v>4470</v>
      </c>
      <c r="F3042" s="1689"/>
      <c r="G3042" s="1689"/>
      <c r="H3042" s="1689"/>
      <c r="K3042" s="841" t="s">
        <v>3684</v>
      </c>
      <c r="M3042" s="1357"/>
      <c r="Q3042" s="1357"/>
      <c r="S3042" s="1420"/>
      <c r="T3042" s="1420"/>
      <c r="V3042" s="1357">
        <v>268</v>
      </c>
    </row>
    <row r="3043" spans="1:22" s="841" customFormat="1" ht="15" x14ac:dyDescent="0.25">
      <c r="A3043" s="841" t="s">
        <v>624</v>
      </c>
      <c r="E3043" s="1916" t="s">
        <v>3061</v>
      </c>
      <c r="F3043" s="1697"/>
      <c r="G3043" s="1697"/>
      <c r="H3043" s="1697"/>
      <c r="K3043" s="841" t="s">
        <v>3281</v>
      </c>
      <c r="M3043" s="1357"/>
      <c r="Q3043" s="1357"/>
      <c r="S3043" s="1420"/>
      <c r="T3043" s="1420"/>
      <c r="V3043" s="1357">
        <v>11</v>
      </c>
    </row>
    <row r="3044" spans="1:22" s="841" customFormat="1" ht="15" x14ac:dyDescent="0.25">
      <c r="A3044" s="841" t="s">
        <v>624</v>
      </c>
      <c r="E3044" s="1689" t="s">
        <v>3063</v>
      </c>
      <c r="F3044" s="1689"/>
      <c r="G3044" s="1689"/>
      <c r="H3044" s="1689"/>
      <c r="K3044" s="841" t="s">
        <v>3684</v>
      </c>
      <c r="M3044" s="1357"/>
      <c r="Q3044" s="1357"/>
      <c r="S3044" s="1420"/>
      <c r="T3044" s="1420"/>
      <c r="V3044" s="1357">
        <v>280</v>
      </c>
    </row>
    <row r="3045" spans="1:22" s="841" customFormat="1" ht="15" x14ac:dyDescent="0.25">
      <c r="A3045" s="841" t="s">
        <v>624</v>
      </c>
      <c r="E3045" s="1689" t="s">
        <v>3064</v>
      </c>
      <c r="F3045" s="1689"/>
      <c r="G3045" s="1689"/>
      <c r="H3045" s="1689"/>
      <c r="K3045" s="841" t="s">
        <v>3684</v>
      </c>
      <c r="M3045" s="1357"/>
      <c r="Q3045" s="1357"/>
      <c r="S3045" s="1420"/>
      <c r="T3045" s="1420"/>
      <c r="V3045" s="1357">
        <v>411</v>
      </c>
    </row>
    <row r="3046" spans="1:22" s="841" customFormat="1" ht="15" x14ac:dyDescent="0.25">
      <c r="A3046" s="841" t="s">
        <v>624</v>
      </c>
      <c r="E3046" s="1689" t="s">
        <v>4427</v>
      </c>
      <c r="F3046" s="1689"/>
      <c r="G3046" s="1689"/>
      <c r="H3046" s="1689"/>
      <c r="K3046" s="841" t="s">
        <v>3684</v>
      </c>
      <c r="M3046" s="1357"/>
      <c r="Q3046" s="1357"/>
      <c r="S3046" s="1420"/>
      <c r="T3046" s="1420"/>
      <c r="V3046" s="1357">
        <v>379</v>
      </c>
    </row>
    <row r="3047" spans="1:22" s="841" customFormat="1" ht="15" x14ac:dyDescent="0.25">
      <c r="A3047" s="841" t="s">
        <v>624</v>
      </c>
      <c r="E3047" s="1689" t="s">
        <v>3200</v>
      </c>
      <c r="F3047" s="1689"/>
      <c r="G3047" s="1689"/>
      <c r="H3047" s="1689"/>
      <c r="K3047" s="841" t="s">
        <v>3684</v>
      </c>
      <c r="M3047" s="1357"/>
      <c r="Q3047" s="1357"/>
      <c r="S3047" s="1420"/>
      <c r="T3047" s="1420"/>
      <c r="V3047" s="1357">
        <v>275</v>
      </c>
    </row>
    <row r="3048" spans="1:22" s="841" customFormat="1" ht="15" x14ac:dyDescent="0.25">
      <c r="A3048" s="841" t="s">
        <v>624</v>
      </c>
      <c r="E3048" s="1694" t="s">
        <v>3067</v>
      </c>
      <c r="F3048" s="1907"/>
      <c r="G3048" s="1907"/>
      <c r="H3048" s="1907"/>
      <c r="K3048" s="841" t="s">
        <v>3282</v>
      </c>
      <c r="M3048" s="1357"/>
      <c r="Q3048" s="1357"/>
      <c r="S3048" s="1420"/>
      <c r="T3048" s="1420"/>
      <c r="V3048" s="1357">
        <v>46</v>
      </c>
    </row>
    <row r="3049" spans="1:22" s="841" customFormat="1" ht="15" x14ac:dyDescent="0.25">
      <c r="A3049" s="841" t="s">
        <v>624</v>
      </c>
      <c r="E3049" s="1690" t="s">
        <v>12</v>
      </c>
      <c r="F3049" s="1690"/>
      <c r="G3049" s="1408" t="s">
        <v>23</v>
      </c>
      <c r="H3049" s="391">
        <v>12.48</v>
      </c>
      <c r="K3049" s="841" t="s">
        <v>3684</v>
      </c>
      <c r="L3049" s="841" t="s">
        <v>442</v>
      </c>
      <c r="M3049" s="1357"/>
      <c r="P3049" s="841" t="s">
        <v>3685</v>
      </c>
      <c r="Q3049" s="1357"/>
      <c r="S3049" s="1420"/>
      <c r="T3049" s="1420"/>
      <c r="V3049" s="1357">
        <v>31</v>
      </c>
    </row>
    <row r="3050" spans="1:22" s="841" customFormat="1" ht="15" x14ac:dyDescent="0.25">
      <c r="A3050" s="841" t="s">
        <v>624</v>
      </c>
      <c r="E3050" s="1904" t="s">
        <v>5407</v>
      </c>
      <c r="F3050" s="1962"/>
      <c r="G3050" s="1408" t="s">
        <v>23</v>
      </c>
      <c r="H3050" s="391">
        <v>-0.12</v>
      </c>
      <c r="K3050" s="841" t="s">
        <v>3684</v>
      </c>
      <c r="L3050" s="841" t="s">
        <v>443</v>
      </c>
      <c r="M3050" s="1357"/>
      <c r="P3050" s="841" t="s">
        <v>3686</v>
      </c>
      <c r="Q3050" s="1357"/>
      <c r="S3050" s="1420"/>
      <c r="T3050" s="1420">
        <v>43585</v>
      </c>
      <c r="V3050" s="1357">
        <v>112</v>
      </c>
    </row>
    <row r="3051" spans="1:22" s="841" customFormat="1" ht="15" x14ac:dyDescent="0.25">
      <c r="A3051" s="841" t="s">
        <v>624</v>
      </c>
      <c r="E3051" s="1904" t="s">
        <v>5411</v>
      </c>
      <c r="F3051" s="1962"/>
      <c r="G3051" s="1408" t="s">
        <v>23</v>
      </c>
      <c r="H3051" s="391">
        <v>-0.01</v>
      </c>
      <c r="K3051" s="841" t="s">
        <v>3684</v>
      </c>
      <c r="L3051" s="841" t="s">
        <v>443</v>
      </c>
      <c r="M3051" s="1357"/>
      <c r="P3051" s="841" t="s">
        <v>5412</v>
      </c>
      <c r="Q3051" s="1357"/>
      <c r="S3051" s="1420"/>
      <c r="T3051" s="1420">
        <v>43585</v>
      </c>
      <c r="V3051" s="1357">
        <v>163</v>
      </c>
    </row>
    <row r="3052" spans="1:22" s="841" customFormat="1" ht="15" x14ac:dyDescent="0.25">
      <c r="A3052" s="841" t="s">
        <v>624</v>
      </c>
      <c r="E3052" s="1904" t="s">
        <v>5410</v>
      </c>
      <c r="F3052" s="1962"/>
      <c r="G3052" s="1408" t="s">
        <v>23</v>
      </c>
      <c r="H3052" s="391">
        <v>-0.08</v>
      </c>
      <c r="K3052" s="841" t="s">
        <v>3684</v>
      </c>
      <c r="L3052" s="841" t="s">
        <v>442</v>
      </c>
      <c r="M3052" s="1357"/>
      <c r="P3052" s="841" t="s">
        <v>4471</v>
      </c>
      <c r="Q3052" s="1357"/>
      <c r="S3052" s="1420"/>
      <c r="T3052" s="1420">
        <v>43585</v>
      </c>
      <c r="V3052" s="1357">
        <v>96</v>
      </c>
    </row>
    <row r="3053" spans="1:22" s="841" customFormat="1" ht="15" x14ac:dyDescent="0.25">
      <c r="A3053" s="841" t="s">
        <v>624</v>
      </c>
      <c r="E3053" s="1904" t="s">
        <v>5384</v>
      </c>
      <c r="F3053" s="1904"/>
      <c r="G3053" s="1408" t="s">
        <v>24</v>
      </c>
      <c r="H3053" s="393">
        <v>-6.1000000000000004E-3</v>
      </c>
      <c r="K3053" s="841" t="s">
        <v>3684</v>
      </c>
      <c r="L3053" s="841" t="s">
        <v>443</v>
      </c>
      <c r="M3053" s="1357"/>
      <c r="P3053" s="841" t="s">
        <v>3929</v>
      </c>
      <c r="Q3053" s="1357"/>
      <c r="S3053" s="1420"/>
      <c r="T3053" s="1420">
        <v>43585</v>
      </c>
      <c r="V3053" s="1357">
        <v>141</v>
      </c>
    </row>
    <row r="3054" spans="1:22" s="841" customFormat="1" ht="15" x14ac:dyDescent="0.25">
      <c r="A3054" s="841" t="s">
        <v>624</v>
      </c>
      <c r="E3054" s="1904" t="s">
        <v>221</v>
      </c>
      <c r="F3054" s="1904"/>
      <c r="G3054" s="1408" t="s">
        <v>33</v>
      </c>
      <c r="H3054" s="393">
        <v>2.2351000000000001</v>
      </c>
      <c r="K3054" s="841" t="s">
        <v>3684</v>
      </c>
      <c r="L3054" s="841" t="s">
        <v>444</v>
      </c>
      <c r="M3054" s="1357"/>
      <c r="P3054" s="841" t="s">
        <v>3687</v>
      </c>
      <c r="Q3054" s="1357"/>
      <c r="S3054" s="1420"/>
      <c r="T3054" s="1420"/>
      <c r="V3054" s="1357">
        <v>47</v>
      </c>
    </row>
    <row r="3055" spans="1:22" s="841" customFormat="1" ht="15" x14ac:dyDescent="0.25">
      <c r="A3055" s="841" t="s">
        <v>624</v>
      </c>
      <c r="E3055" s="1904" t="s">
        <v>217</v>
      </c>
      <c r="F3055" s="1904"/>
      <c r="G3055" s="1408" t="s">
        <v>33</v>
      </c>
      <c r="H3055" s="393">
        <v>1.6656</v>
      </c>
      <c r="K3055" s="841" t="s">
        <v>3684</v>
      </c>
      <c r="L3055" s="841" t="s">
        <v>444</v>
      </c>
      <c r="M3055" s="1357"/>
      <c r="P3055" s="841" t="s">
        <v>3688</v>
      </c>
      <c r="Q3055" s="1357"/>
      <c r="S3055" s="1420"/>
      <c r="T3055" s="1420"/>
      <c r="V3055" s="1357">
        <v>74</v>
      </c>
    </row>
    <row r="3056" spans="1:22" s="841" customFormat="1" ht="15" x14ac:dyDescent="0.25">
      <c r="A3056" s="841" t="s">
        <v>624</v>
      </c>
      <c r="E3056" s="1694" t="s">
        <v>3079</v>
      </c>
      <c r="F3056" s="1690"/>
      <c r="G3056" s="1408"/>
      <c r="H3056" s="1408"/>
      <c r="K3056" s="841" t="s">
        <v>3383</v>
      </c>
      <c r="M3056" s="1357"/>
      <c r="Q3056" s="1357"/>
      <c r="S3056" s="1420"/>
      <c r="T3056" s="1420"/>
      <c r="V3056" s="1357">
        <v>48</v>
      </c>
    </row>
    <row r="3057" spans="1:22" s="841" customFormat="1" ht="15" x14ac:dyDescent="0.25">
      <c r="A3057" s="841" t="s">
        <v>624</v>
      </c>
      <c r="E3057" s="1904" t="s">
        <v>2449</v>
      </c>
      <c r="F3057" s="1904"/>
      <c r="G3057" s="1408" t="s">
        <v>24</v>
      </c>
      <c r="H3057" s="393">
        <v>3.2000000000000002E-3</v>
      </c>
      <c r="K3057" s="841" t="s">
        <v>3684</v>
      </c>
      <c r="L3057" s="841" t="s">
        <v>3046</v>
      </c>
      <c r="M3057" s="1357"/>
      <c r="P3057" s="841" t="s">
        <v>3689</v>
      </c>
      <c r="Q3057" s="1357"/>
      <c r="S3057" s="1420"/>
      <c r="T3057" s="1420"/>
      <c r="V3057" s="1357">
        <v>55</v>
      </c>
    </row>
    <row r="3058" spans="1:22" s="841" customFormat="1" ht="15" x14ac:dyDescent="0.25">
      <c r="A3058" s="841" t="s">
        <v>624</v>
      </c>
      <c r="E3058" s="1904" t="s">
        <v>2450</v>
      </c>
      <c r="F3058" s="1904"/>
      <c r="G3058" s="1408" t="s">
        <v>24</v>
      </c>
      <c r="H3058" s="393">
        <v>4.0000000000000002E-4</v>
      </c>
      <c r="K3058" s="841" t="s">
        <v>3684</v>
      </c>
      <c r="L3058" s="841" t="s">
        <v>3046</v>
      </c>
      <c r="M3058" s="1357"/>
      <c r="P3058" s="841" t="s">
        <v>3689</v>
      </c>
      <c r="Q3058" s="1357"/>
      <c r="S3058" s="1420"/>
      <c r="T3058" s="1420"/>
      <c r="V3058" s="1357">
        <v>65</v>
      </c>
    </row>
    <row r="3059" spans="1:22" s="841" customFormat="1" ht="15" x14ac:dyDescent="0.25">
      <c r="A3059" s="841" t="s">
        <v>624</v>
      </c>
      <c r="E3059" s="1904" t="s">
        <v>439</v>
      </c>
      <c r="F3059" s="1904"/>
      <c r="G3059" s="1408" t="s">
        <v>24</v>
      </c>
      <c r="H3059" s="393">
        <v>2.9999999999999997E-4</v>
      </c>
      <c r="K3059" s="841" t="s">
        <v>3684</v>
      </c>
      <c r="L3059" s="841" t="s">
        <v>3046</v>
      </c>
      <c r="M3059" s="1357"/>
      <c r="P3059" s="841" t="s">
        <v>3690</v>
      </c>
      <c r="Q3059" s="1357"/>
      <c r="S3059" s="1420"/>
      <c r="T3059" s="1420"/>
      <c r="V3059" s="1357">
        <v>57</v>
      </c>
    </row>
    <row r="3060" spans="1:22" s="841" customFormat="1" ht="15" x14ac:dyDescent="0.25">
      <c r="A3060" s="841" t="s">
        <v>624</v>
      </c>
      <c r="E3060" s="1904" t="s">
        <v>32</v>
      </c>
      <c r="F3060" s="1904"/>
      <c r="G3060" s="1408" t="s">
        <v>23</v>
      </c>
      <c r="H3060" s="391">
        <v>0.25</v>
      </c>
      <c r="K3060" s="841" t="s">
        <v>3684</v>
      </c>
      <c r="L3060" s="841" t="s">
        <v>3046</v>
      </c>
      <c r="M3060" s="1357"/>
      <c r="P3060" s="841" t="s">
        <v>3691</v>
      </c>
      <c r="Q3060" s="1357"/>
      <c r="S3060" s="1420"/>
      <c r="T3060" s="1420"/>
      <c r="V3060" s="1357">
        <v>63</v>
      </c>
    </row>
    <row r="3061" spans="1:22" s="841" customFormat="1" x14ac:dyDescent="0.25">
      <c r="A3061" s="841" t="s">
        <v>624</v>
      </c>
      <c r="E3061" s="1909" t="s">
        <v>615</v>
      </c>
      <c r="F3061" s="1915"/>
      <c r="G3061" s="1915"/>
      <c r="H3061" s="1915"/>
      <c r="K3061" s="841" t="s">
        <v>3692</v>
      </c>
      <c r="M3061" s="1357"/>
      <c r="Q3061" s="1357"/>
      <c r="S3061" s="1420"/>
      <c r="T3061" s="1420"/>
      <c r="V3061" s="1357">
        <v>38</v>
      </c>
    </row>
    <row r="3062" spans="1:22" s="841" customFormat="1" ht="15" x14ac:dyDescent="0.25">
      <c r="A3062" s="841" t="s">
        <v>624</v>
      </c>
      <c r="E3062" s="1689" t="s">
        <v>4472</v>
      </c>
      <c r="F3062" s="1689"/>
      <c r="G3062" s="1689"/>
      <c r="H3062" s="1689"/>
      <c r="K3062" s="841" t="s">
        <v>3692</v>
      </c>
      <c r="M3062" s="1357"/>
      <c r="Q3062" s="1357"/>
      <c r="S3062" s="1420"/>
      <c r="T3062" s="1420"/>
      <c r="V3062" s="1357">
        <v>455</v>
      </c>
    </row>
    <row r="3063" spans="1:22" s="841" customFormat="1" ht="15" x14ac:dyDescent="0.25">
      <c r="A3063" s="841" t="s">
        <v>624</v>
      </c>
      <c r="E3063" s="1916" t="s">
        <v>3061</v>
      </c>
      <c r="F3063" s="1697"/>
      <c r="G3063" s="1697"/>
      <c r="H3063" s="1697"/>
      <c r="K3063" s="841" t="s">
        <v>3345</v>
      </c>
      <c r="M3063" s="1357"/>
      <c r="Q3063" s="1357"/>
      <c r="S3063" s="1420"/>
      <c r="T3063" s="1420"/>
      <c r="V3063" s="1357">
        <v>11</v>
      </c>
    </row>
    <row r="3064" spans="1:22" s="841" customFormat="1" ht="15" x14ac:dyDescent="0.25">
      <c r="A3064" s="841" t="s">
        <v>624</v>
      </c>
      <c r="E3064" s="1689" t="s">
        <v>3063</v>
      </c>
      <c r="F3064" s="1689"/>
      <c r="G3064" s="1689"/>
      <c r="H3064" s="1689"/>
      <c r="K3064" s="841" t="s">
        <v>3692</v>
      </c>
      <c r="M3064" s="1357"/>
      <c r="Q3064" s="1357"/>
      <c r="S3064" s="1420"/>
      <c r="T3064" s="1420"/>
      <c r="V3064" s="1357">
        <v>280</v>
      </c>
    </row>
    <row r="3065" spans="1:22" s="841" customFormat="1" ht="15" x14ac:dyDescent="0.25">
      <c r="A3065" s="841" t="s">
        <v>624</v>
      </c>
      <c r="E3065" s="1689" t="s">
        <v>3064</v>
      </c>
      <c r="F3065" s="1689"/>
      <c r="G3065" s="1689"/>
      <c r="H3065" s="1689"/>
      <c r="K3065" s="841" t="s">
        <v>3692</v>
      </c>
      <c r="M3065" s="1357"/>
      <c r="Q3065" s="1357"/>
      <c r="S3065" s="1420"/>
      <c r="T3065" s="1420"/>
      <c r="V3065" s="1357">
        <v>411</v>
      </c>
    </row>
    <row r="3066" spans="1:22" s="841" customFormat="1" ht="15" x14ac:dyDescent="0.25">
      <c r="A3066" s="841" t="s">
        <v>624</v>
      </c>
      <c r="E3066" s="1689" t="s">
        <v>4427</v>
      </c>
      <c r="F3066" s="1689"/>
      <c r="G3066" s="1689"/>
      <c r="H3066" s="1689"/>
      <c r="K3066" s="841" t="s">
        <v>3692</v>
      </c>
      <c r="M3066" s="1357"/>
      <c r="Q3066" s="1357"/>
      <c r="S3066" s="1420"/>
      <c r="T3066" s="1420"/>
      <c r="V3066" s="1357">
        <v>379</v>
      </c>
    </row>
    <row r="3067" spans="1:22" s="841" customFormat="1" ht="15" x14ac:dyDescent="0.25">
      <c r="A3067" s="841" t="s">
        <v>624</v>
      </c>
      <c r="E3067" s="1689" t="s">
        <v>3200</v>
      </c>
      <c r="F3067" s="1689"/>
      <c r="G3067" s="1689"/>
      <c r="H3067" s="1689"/>
      <c r="K3067" s="841" t="s">
        <v>3692</v>
      </c>
      <c r="M3067" s="1357"/>
      <c r="Q3067" s="1357"/>
      <c r="S3067" s="1420"/>
      <c r="T3067" s="1420"/>
      <c r="V3067" s="1357">
        <v>275</v>
      </c>
    </row>
    <row r="3068" spans="1:22" s="841" customFormat="1" ht="15" x14ac:dyDescent="0.25">
      <c r="A3068" s="841" t="s">
        <v>624</v>
      </c>
      <c r="E3068" s="1694" t="s">
        <v>3067</v>
      </c>
      <c r="F3068" s="1907"/>
      <c r="G3068" s="1907"/>
      <c r="H3068" s="1907"/>
      <c r="K3068" s="841" t="s">
        <v>3346</v>
      </c>
      <c r="M3068" s="1357"/>
      <c r="Q3068" s="1357"/>
      <c r="S3068" s="1420"/>
      <c r="T3068" s="1420"/>
      <c r="V3068" s="1357">
        <v>46</v>
      </c>
    </row>
    <row r="3069" spans="1:22" s="841" customFormat="1" ht="15" x14ac:dyDescent="0.25">
      <c r="A3069" s="841" t="s">
        <v>624</v>
      </c>
      <c r="E3069" s="1690" t="s">
        <v>12</v>
      </c>
      <c r="F3069" s="1690"/>
      <c r="G3069" s="1408" t="s">
        <v>23</v>
      </c>
      <c r="H3069" s="391">
        <v>6.02</v>
      </c>
      <c r="K3069" s="841" t="s">
        <v>3692</v>
      </c>
      <c r="L3069" s="841" t="s">
        <v>442</v>
      </c>
      <c r="M3069" s="1357"/>
      <c r="P3069" s="841" t="s">
        <v>3694</v>
      </c>
      <c r="Q3069" s="1357"/>
      <c r="S3069" s="1420"/>
      <c r="T3069" s="1420"/>
      <c r="V3069" s="1357">
        <v>31</v>
      </c>
    </row>
    <row r="3070" spans="1:22" s="841" customFormat="1" ht="15" x14ac:dyDescent="0.25">
      <c r="A3070" s="841" t="s">
        <v>624</v>
      </c>
      <c r="E3070" s="1904" t="s">
        <v>5384</v>
      </c>
      <c r="F3070" s="1904"/>
      <c r="G3070" s="1408" t="s">
        <v>24</v>
      </c>
      <c r="H3070" s="393">
        <v>-6.1000000000000004E-3</v>
      </c>
      <c r="K3070" s="841" t="s">
        <v>3692</v>
      </c>
      <c r="L3070" s="841" t="s">
        <v>443</v>
      </c>
      <c r="M3070" s="1357"/>
      <c r="P3070" s="841" t="s">
        <v>3931</v>
      </c>
      <c r="Q3070" s="1357"/>
      <c r="S3070" s="1420"/>
      <c r="T3070" s="1420">
        <v>43585</v>
      </c>
      <c r="V3070" s="1357">
        <v>141</v>
      </c>
    </row>
    <row r="3071" spans="1:22" s="841" customFormat="1" ht="15" x14ac:dyDescent="0.25">
      <c r="A3071" s="841" t="s">
        <v>624</v>
      </c>
      <c r="E3071" s="1904" t="s">
        <v>5407</v>
      </c>
      <c r="F3071" s="1962"/>
      <c r="G3071" s="1408" t="s">
        <v>23</v>
      </c>
      <c r="H3071" s="391">
        <v>0.03</v>
      </c>
      <c r="K3071" s="841" t="s">
        <v>3692</v>
      </c>
      <c r="L3071" s="841" t="s">
        <v>443</v>
      </c>
      <c r="M3071" s="1357"/>
      <c r="P3071" s="841" t="s">
        <v>3695</v>
      </c>
      <c r="Q3071" s="1357"/>
      <c r="S3071" s="1420"/>
      <c r="T3071" s="1420">
        <v>43585</v>
      </c>
      <c r="V3071" s="1357">
        <v>112</v>
      </c>
    </row>
    <row r="3072" spans="1:22" s="841" customFormat="1" ht="15" x14ac:dyDescent="0.25">
      <c r="A3072" s="841" t="s">
        <v>624</v>
      </c>
      <c r="E3072" s="1904" t="s">
        <v>5410</v>
      </c>
      <c r="F3072" s="1962"/>
      <c r="G3072" s="1408" t="s">
        <v>23</v>
      </c>
      <c r="H3072" s="391">
        <v>-0.02</v>
      </c>
      <c r="K3072" s="841" t="s">
        <v>3692</v>
      </c>
      <c r="L3072" s="841" t="s">
        <v>442</v>
      </c>
      <c r="M3072" s="1357"/>
      <c r="P3072" s="841" t="s">
        <v>4473</v>
      </c>
      <c r="Q3072" s="1357"/>
      <c r="S3072" s="1420"/>
      <c r="T3072" s="1420">
        <v>43585</v>
      </c>
      <c r="V3072" s="1357">
        <v>96</v>
      </c>
    </row>
    <row r="3073" spans="1:22" s="841" customFormat="1" ht="15" x14ac:dyDescent="0.25">
      <c r="A3073" s="841" t="s">
        <v>624</v>
      </c>
      <c r="E3073" s="1904" t="s">
        <v>221</v>
      </c>
      <c r="F3073" s="1904"/>
      <c r="G3073" s="1408" t="s">
        <v>33</v>
      </c>
      <c r="H3073" s="393">
        <v>2.2324000000000002</v>
      </c>
      <c r="K3073" s="841" t="s">
        <v>3692</v>
      </c>
      <c r="L3073" s="841" t="s">
        <v>444</v>
      </c>
      <c r="M3073" s="1357"/>
      <c r="P3073" s="841" t="s">
        <v>3696</v>
      </c>
      <c r="Q3073" s="1357"/>
      <c r="S3073" s="1420"/>
      <c r="T3073" s="1420"/>
      <c r="V3073" s="1357">
        <v>47</v>
      </c>
    </row>
    <row r="3074" spans="1:22" s="841" customFormat="1" ht="15" x14ac:dyDescent="0.25">
      <c r="A3074" s="841" t="s">
        <v>624</v>
      </c>
      <c r="E3074" s="1904" t="s">
        <v>217</v>
      </c>
      <c r="F3074" s="1904"/>
      <c r="G3074" s="1408" t="s">
        <v>33</v>
      </c>
      <c r="H3074" s="393">
        <v>1.6638999999999999</v>
      </c>
      <c r="K3074" s="841" t="s">
        <v>3692</v>
      </c>
      <c r="L3074" s="841" t="s">
        <v>444</v>
      </c>
      <c r="M3074" s="1357"/>
      <c r="P3074" s="841" t="s">
        <v>3697</v>
      </c>
      <c r="Q3074" s="1357"/>
      <c r="S3074" s="1420"/>
      <c r="T3074" s="1420"/>
      <c r="V3074" s="1357">
        <v>74</v>
      </c>
    </row>
    <row r="3075" spans="1:22" s="841" customFormat="1" ht="15" x14ac:dyDescent="0.25">
      <c r="A3075" s="841" t="s">
        <v>624</v>
      </c>
      <c r="E3075" s="1694" t="s">
        <v>3079</v>
      </c>
      <c r="F3075" s="1690"/>
      <c r="G3075" s="1408"/>
      <c r="H3075" s="1408"/>
      <c r="K3075" s="841" t="s">
        <v>3347</v>
      </c>
      <c r="M3075" s="1357"/>
      <c r="Q3075" s="1357"/>
      <c r="S3075" s="1420"/>
      <c r="T3075" s="1420"/>
      <c r="V3075" s="1357">
        <v>48</v>
      </c>
    </row>
    <row r="3076" spans="1:22" s="841" customFormat="1" ht="15" x14ac:dyDescent="0.25">
      <c r="A3076" s="841" t="s">
        <v>624</v>
      </c>
      <c r="E3076" s="1904" t="s">
        <v>2449</v>
      </c>
      <c r="F3076" s="1904"/>
      <c r="G3076" s="1408" t="s">
        <v>24</v>
      </c>
      <c r="H3076" s="393">
        <v>3.2000000000000002E-3</v>
      </c>
      <c r="K3076" s="841" t="s">
        <v>3692</v>
      </c>
      <c r="L3076" s="841" t="s">
        <v>3046</v>
      </c>
      <c r="M3076" s="1357"/>
      <c r="P3076" s="841" t="s">
        <v>3698</v>
      </c>
      <c r="Q3076" s="1357"/>
      <c r="S3076" s="1420"/>
      <c r="T3076" s="1420"/>
      <c r="V3076" s="1357">
        <v>55</v>
      </c>
    </row>
    <row r="3077" spans="1:22" s="841" customFormat="1" ht="15" x14ac:dyDescent="0.25">
      <c r="A3077" s="841" t="s">
        <v>624</v>
      </c>
      <c r="E3077" s="1904" t="s">
        <v>2450</v>
      </c>
      <c r="F3077" s="1904"/>
      <c r="G3077" s="1408" t="s">
        <v>24</v>
      </c>
      <c r="H3077" s="393">
        <v>4.0000000000000002E-4</v>
      </c>
      <c r="K3077" s="841" t="s">
        <v>3692</v>
      </c>
      <c r="L3077" s="841" t="s">
        <v>3046</v>
      </c>
      <c r="M3077" s="1357"/>
      <c r="P3077" s="841" t="s">
        <v>3698</v>
      </c>
      <c r="Q3077" s="1357"/>
      <c r="S3077" s="1420"/>
      <c r="T3077" s="1420"/>
      <c r="V3077" s="1357">
        <v>65</v>
      </c>
    </row>
    <row r="3078" spans="1:22" s="841" customFormat="1" ht="15" x14ac:dyDescent="0.25">
      <c r="A3078" s="841" t="s">
        <v>624</v>
      </c>
      <c r="E3078" s="1904" t="s">
        <v>439</v>
      </c>
      <c r="F3078" s="1904"/>
      <c r="G3078" s="1408" t="s">
        <v>24</v>
      </c>
      <c r="H3078" s="393">
        <v>2.9999999999999997E-4</v>
      </c>
      <c r="K3078" s="841" t="s">
        <v>3692</v>
      </c>
      <c r="L3078" s="841" t="s">
        <v>3046</v>
      </c>
      <c r="M3078" s="1357"/>
      <c r="P3078" s="841" t="s">
        <v>3699</v>
      </c>
      <c r="Q3078" s="1357"/>
      <c r="S3078" s="1420"/>
      <c r="T3078" s="1420"/>
      <c r="V3078" s="1357">
        <v>57</v>
      </c>
    </row>
    <row r="3079" spans="1:22" s="841" customFormat="1" ht="15" x14ac:dyDescent="0.25">
      <c r="A3079" s="841" t="s">
        <v>624</v>
      </c>
      <c r="E3079" s="1904" t="s">
        <v>32</v>
      </c>
      <c r="F3079" s="1904"/>
      <c r="G3079" s="1408" t="s">
        <v>23</v>
      </c>
      <c r="H3079" s="391">
        <v>0.25</v>
      </c>
      <c r="K3079" s="841" t="s">
        <v>3692</v>
      </c>
      <c r="L3079" s="841" t="s">
        <v>3046</v>
      </c>
      <c r="M3079" s="1357"/>
      <c r="P3079" s="841" t="s">
        <v>3700</v>
      </c>
      <c r="Q3079" s="1357"/>
      <c r="S3079" s="1420"/>
      <c r="T3079" s="1420"/>
      <c r="V3079" s="1357">
        <v>63</v>
      </c>
    </row>
    <row r="3080" spans="1:22" s="841" customFormat="1" x14ac:dyDescent="0.25">
      <c r="A3080" s="841" t="s">
        <v>624</v>
      </c>
      <c r="E3080" s="1909" t="s">
        <v>631</v>
      </c>
      <c r="F3080" s="1915"/>
      <c r="G3080" s="1915"/>
      <c r="H3080" s="1915"/>
      <c r="K3080" s="841" t="s">
        <v>4474</v>
      </c>
      <c r="M3080" s="1357"/>
      <c r="Q3080" s="1357"/>
      <c r="S3080" s="1420"/>
      <c r="T3080" s="1420"/>
      <c r="V3080" s="1357">
        <v>36</v>
      </c>
    </row>
    <row r="3081" spans="1:22" s="841" customFormat="1" ht="15" x14ac:dyDescent="0.25">
      <c r="A3081" s="841" t="s">
        <v>624</v>
      </c>
      <c r="E3081" s="1689" t="s">
        <v>4410</v>
      </c>
      <c r="F3081" s="1689"/>
      <c r="G3081" s="1689"/>
      <c r="H3081" s="1689"/>
      <c r="K3081" s="841" t="s">
        <v>4474</v>
      </c>
      <c r="M3081" s="1357"/>
      <c r="Q3081" s="1357"/>
      <c r="S3081" s="1420"/>
      <c r="T3081" s="1420"/>
      <c r="V3081" s="1357">
        <v>218</v>
      </c>
    </row>
    <row r="3082" spans="1:22" s="841" customFormat="1" ht="15" x14ac:dyDescent="0.25">
      <c r="A3082" s="841" t="s">
        <v>624</v>
      </c>
      <c r="E3082" s="1916" t="s">
        <v>3061</v>
      </c>
      <c r="F3082" s="1697"/>
      <c r="G3082" s="1697"/>
      <c r="H3082" s="1697"/>
      <c r="K3082" s="841" t="s">
        <v>3348</v>
      </c>
      <c r="M3082" s="1357"/>
      <c r="Q3082" s="1357"/>
      <c r="S3082" s="1420"/>
      <c r="T3082" s="1420"/>
      <c r="V3082" s="1357">
        <v>11</v>
      </c>
    </row>
    <row r="3083" spans="1:22" s="841" customFormat="1" ht="15" x14ac:dyDescent="0.25">
      <c r="A3083" s="841" t="s">
        <v>624</v>
      </c>
      <c r="E3083" s="1689" t="s">
        <v>3063</v>
      </c>
      <c r="F3083" s="1689"/>
      <c r="G3083" s="1689"/>
      <c r="H3083" s="1689"/>
      <c r="K3083" s="841" t="s">
        <v>4474</v>
      </c>
      <c r="M3083" s="1357"/>
      <c r="Q3083" s="1357"/>
      <c r="S3083" s="1420"/>
      <c r="T3083" s="1420"/>
      <c r="V3083" s="1357">
        <v>280</v>
      </c>
    </row>
    <row r="3084" spans="1:22" s="841" customFormat="1" ht="15" x14ac:dyDescent="0.25">
      <c r="A3084" s="841" t="s">
        <v>624</v>
      </c>
      <c r="E3084" s="1689" t="s">
        <v>3064</v>
      </c>
      <c r="F3084" s="1689"/>
      <c r="G3084" s="1689"/>
      <c r="H3084" s="1689"/>
      <c r="K3084" s="841" t="s">
        <v>4474</v>
      </c>
      <c r="M3084" s="1357"/>
      <c r="Q3084" s="1357"/>
      <c r="S3084" s="1420"/>
      <c r="T3084" s="1420"/>
      <c r="V3084" s="1357">
        <v>411</v>
      </c>
    </row>
    <row r="3085" spans="1:22" s="841" customFormat="1" ht="15" x14ac:dyDescent="0.25">
      <c r="A3085" s="841" t="s">
        <v>624</v>
      </c>
      <c r="E3085" s="1689" t="s">
        <v>3129</v>
      </c>
      <c r="F3085" s="1689"/>
      <c r="G3085" s="1689"/>
      <c r="H3085" s="1689"/>
      <c r="K3085" s="841" t="s">
        <v>4474</v>
      </c>
      <c r="M3085" s="1357"/>
      <c r="Q3085" s="1357"/>
      <c r="S3085" s="1420"/>
      <c r="T3085" s="1420"/>
      <c r="V3085" s="1357">
        <v>211</v>
      </c>
    </row>
    <row r="3086" spans="1:22" s="841" customFormat="1" ht="15" x14ac:dyDescent="0.25">
      <c r="A3086" s="841" t="s">
        <v>624</v>
      </c>
      <c r="E3086" s="1689" t="s">
        <v>3200</v>
      </c>
      <c r="F3086" s="1689"/>
      <c r="G3086" s="1689"/>
      <c r="H3086" s="1689"/>
      <c r="K3086" s="841" t="s">
        <v>4474</v>
      </c>
      <c r="M3086" s="1357"/>
      <c r="Q3086" s="1357"/>
      <c r="S3086" s="1420"/>
      <c r="T3086" s="1420"/>
      <c r="V3086" s="1357">
        <v>275</v>
      </c>
    </row>
    <row r="3087" spans="1:22" s="841" customFormat="1" ht="15" x14ac:dyDescent="0.25">
      <c r="A3087" s="841" t="s">
        <v>624</v>
      </c>
      <c r="E3087" s="1694" t="s">
        <v>3531</v>
      </c>
      <c r="F3087" s="1907"/>
      <c r="G3087" s="1907"/>
      <c r="H3087" s="1907"/>
      <c r="K3087" s="841" t="s">
        <v>3349</v>
      </c>
      <c r="M3087" s="1357"/>
      <c r="Q3087" s="1357"/>
      <c r="S3087" s="1420"/>
      <c r="T3087" s="1420"/>
      <c r="V3087" s="1357">
        <v>56</v>
      </c>
    </row>
    <row r="3088" spans="1:22" s="841" customFormat="1" ht="15" x14ac:dyDescent="0.25">
      <c r="A3088" s="841" t="s">
        <v>624</v>
      </c>
      <c r="E3088" s="1904" t="s">
        <v>4475</v>
      </c>
      <c r="F3088" s="1904"/>
      <c r="G3088" s="1408" t="s">
        <v>33</v>
      </c>
      <c r="H3088" s="393">
        <v>0.56230000000000002</v>
      </c>
      <c r="K3088" s="841" t="s">
        <v>4474</v>
      </c>
      <c r="L3088" s="841" t="s">
        <v>442</v>
      </c>
      <c r="M3088" s="1357"/>
      <c r="P3088" s="841" t="s">
        <v>6214</v>
      </c>
      <c r="Q3088" s="1357"/>
      <c r="S3088" s="1420"/>
      <c r="T3088" s="1420"/>
      <c r="V3088" s="1357">
        <v>164</v>
      </c>
    </row>
    <row r="3089" spans="1:22" s="841" customFormat="1" x14ac:dyDescent="0.25">
      <c r="A3089" s="841" t="s">
        <v>624</v>
      </c>
      <c r="E3089" s="1909" t="s">
        <v>618</v>
      </c>
      <c r="F3089" s="1915"/>
      <c r="G3089" s="1915"/>
      <c r="H3089" s="1915"/>
      <c r="K3089" s="841" t="s">
        <v>4099</v>
      </c>
      <c r="M3089" s="1357"/>
      <c r="Q3089" s="1357"/>
      <c r="S3089" s="1420"/>
      <c r="T3089" s="1420"/>
      <c r="V3089" s="1357">
        <v>31</v>
      </c>
    </row>
    <row r="3090" spans="1:22" s="841" customFormat="1" ht="15" x14ac:dyDescent="0.25">
      <c r="A3090" s="841" t="s">
        <v>624</v>
      </c>
      <c r="E3090" s="1689" t="s">
        <v>3372</v>
      </c>
      <c r="F3090" s="1689"/>
      <c r="G3090" s="1689"/>
      <c r="H3090" s="1689"/>
      <c r="K3090" s="841" t="s">
        <v>4099</v>
      </c>
      <c r="M3090" s="1357"/>
      <c r="Q3090" s="1357"/>
      <c r="S3090" s="1420"/>
      <c r="T3090" s="1420"/>
      <c r="V3090" s="1357">
        <v>285</v>
      </c>
    </row>
    <row r="3091" spans="1:22" s="841" customFormat="1" ht="15" x14ac:dyDescent="0.25">
      <c r="A3091" s="841" t="s">
        <v>624</v>
      </c>
      <c r="E3091" s="1916" t="s">
        <v>3061</v>
      </c>
      <c r="F3091" s="1697"/>
      <c r="G3091" s="1697"/>
      <c r="H3091" s="1697"/>
      <c r="K3091" s="841" t="s">
        <v>3351</v>
      </c>
      <c r="M3091" s="1357"/>
      <c r="Q3091" s="1357"/>
      <c r="S3091" s="1420"/>
      <c r="T3091" s="1420"/>
      <c r="V3091" s="1357">
        <v>11</v>
      </c>
    </row>
    <row r="3092" spans="1:22" s="841" customFormat="1" ht="15" x14ac:dyDescent="0.25">
      <c r="A3092" s="841" t="s">
        <v>624</v>
      </c>
      <c r="E3092" s="1689" t="s">
        <v>3063</v>
      </c>
      <c r="F3092" s="1689"/>
      <c r="G3092" s="1689"/>
      <c r="H3092" s="1689"/>
      <c r="K3092" s="841" t="s">
        <v>4099</v>
      </c>
      <c r="M3092" s="1357"/>
      <c r="Q3092" s="1357"/>
      <c r="S3092" s="1420"/>
      <c r="T3092" s="1420"/>
      <c r="V3092" s="1357">
        <v>280</v>
      </c>
    </row>
    <row r="3093" spans="1:22" s="841" customFormat="1" ht="15" x14ac:dyDescent="0.25">
      <c r="A3093" s="841" t="s">
        <v>624</v>
      </c>
      <c r="E3093" s="1689" t="s">
        <v>3064</v>
      </c>
      <c r="F3093" s="1689"/>
      <c r="G3093" s="1689"/>
      <c r="H3093" s="1689"/>
      <c r="K3093" s="841" t="s">
        <v>4099</v>
      </c>
      <c r="M3093" s="1357"/>
      <c r="Q3093" s="1357"/>
      <c r="S3093" s="1420"/>
      <c r="T3093" s="1420"/>
      <c r="V3093" s="1357">
        <v>411</v>
      </c>
    </row>
    <row r="3094" spans="1:22" s="841" customFormat="1" ht="15" x14ac:dyDescent="0.25">
      <c r="A3094" s="841" t="s">
        <v>624</v>
      </c>
      <c r="E3094" s="1689" t="s">
        <v>3129</v>
      </c>
      <c r="F3094" s="1689"/>
      <c r="G3094" s="1689"/>
      <c r="H3094" s="1689"/>
      <c r="K3094" s="841" t="s">
        <v>4099</v>
      </c>
      <c r="M3094" s="1357"/>
      <c r="Q3094" s="1357"/>
      <c r="S3094" s="1420"/>
      <c r="T3094" s="1420"/>
      <c r="V3094" s="1357">
        <v>211</v>
      </c>
    </row>
    <row r="3095" spans="1:22" s="841" customFormat="1" ht="15" x14ac:dyDescent="0.25">
      <c r="A3095" s="841" t="s">
        <v>624</v>
      </c>
      <c r="E3095" s="1689" t="s">
        <v>3200</v>
      </c>
      <c r="F3095" s="1689"/>
      <c r="G3095" s="1689"/>
      <c r="H3095" s="1689"/>
      <c r="K3095" s="841" t="s">
        <v>4099</v>
      </c>
      <c r="M3095" s="1357"/>
      <c r="Q3095" s="1357"/>
      <c r="S3095" s="1420"/>
      <c r="T3095" s="1420"/>
      <c r="V3095" s="1357">
        <v>275</v>
      </c>
    </row>
    <row r="3096" spans="1:22" s="841" customFormat="1" ht="15" x14ac:dyDescent="0.25">
      <c r="A3096" s="841" t="s">
        <v>624</v>
      </c>
      <c r="E3096" s="1694" t="s">
        <v>3067</v>
      </c>
      <c r="F3096" s="1907"/>
      <c r="G3096" s="1907"/>
      <c r="H3096" s="1907"/>
      <c r="K3096" s="841" t="s">
        <v>3352</v>
      </c>
      <c r="M3096" s="1357"/>
      <c r="Q3096" s="1357"/>
      <c r="S3096" s="1420"/>
      <c r="T3096" s="1420"/>
      <c r="V3096" s="1357">
        <v>46</v>
      </c>
    </row>
    <row r="3097" spans="1:22" s="841" customFormat="1" ht="15" x14ac:dyDescent="0.25">
      <c r="A3097" s="841" t="s">
        <v>624</v>
      </c>
      <c r="E3097" s="1690" t="s">
        <v>11</v>
      </c>
      <c r="F3097" s="1690"/>
      <c r="G3097" s="1408" t="s">
        <v>23</v>
      </c>
      <c r="H3097" s="391">
        <v>5.4</v>
      </c>
      <c r="K3097" s="841" t="s">
        <v>4099</v>
      </c>
      <c r="L3097" s="841" t="s">
        <v>442</v>
      </c>
      <c r="M3097" s="1357"/>
      <c r="P3097" s="841" t="s">
        <v>4102</v>
      </c>
      <c r="Q3097" s="1357"/>
      <c r="S3097" s="1420"/>
      <c r="T3097" s="1420"/>
      <c r="V3097" s="1357">
        <v>14</v>
      </c>
    </row>
    <row r="3098" spans="1:22" s="841" customFormat="1" ht="18.75" x14ac:dyDescent="0.3">
      <c r="A3098" s="841" t="s">
        <v>624</v>
      </c>
      <c r="E3098" s="1374" t="s">
        <v>85</v>
      </c>
      <c r="F3098" s="657"/>
      <c r="G3098" s="657"/>
      <c r="H3098" s="658"/>
      <c r="K3098" s="841" t="s">
        <v>4476</v>
      </c>
      <c r="M3098" s="1357"/>
      <c r="Q3098" s="1357"/>
      <c r="S3098" s="1420"/>
      <c r="T3098" s="1420"/>
      <c r="V3098" s="1357">
        <v>10</v>
      </c>
    </row>
    <row r="3099" spans="1:22" s="841" customFormat="1" ht="15" x14ac:dyDescent="0.25">
      <c r="A3099" s="841" t="s">
        <v>624</v>
      </c>
      <c r="E3099" s="1904" t="s">
        <v>3133</v>
      </c>
      <c r="F3099" s="1904"/>
      <c r="G3099" s="1408" t="s">
        <v>33</v>
      </c>
      <c r="H3099" s="393">
        <v>-0.6</v>
      </c>
      <c r="M3099" s="1357"/>
      <c r="Q3099" s="1357"/>
      <c r="S3099" s="1420"/>
      <c r="T3099" s="1420"/>
      <c r="V3099" s="1357">
        <v>68</v>
      </c>
    </row>
    <row r="3100" spans="1:22" s="841" customFormat="1" ht="15" x14ac:dyDescent="0.25">
      <c r="A3100" s="841" t="s">
        <v>624</v>
      </c>
      <c r="E3100" s="1904" t="s">
        <v>3134</v>
      </c>
      <c r="F3100" s="1904"/>
      <c r="G3100" s="1408" t="s">
        <v>86</v>
      </c>
      <c r="H3100" s="391">
        <v>-1</v>
      </c>
      <c r="M3100" s="1357"/>
      <c r="Q3100" s="1357"/>
      <c r="S3100" s="1420"/>
      <c r="T3100" s="1420"/>
      <c r="V3100" s="1357">
        <v>87</v>
      </c>
    </row>
    <row r="3101" spans="1:22" s="841" customFormat="1" ht="36.75" x14ac:dyDescent="0.3">
      <c r="A3101" s="841" t="s">
        <v>624</v>
      </c>
      <c r="E3101" s="1374" t="s">
        <v>87</v>
      </c>
      <c r="F3101" s="657"/>
      <c r="G3101" s="657"/>
      <c r="H3101" s="658"/>
      <c r="K3101" s="841" t="s">
        <v>4477</v>
      </c>
      <c r="M3101" s="1357"/>
      <c r="Q3101" s="1357"/>
      <c r="S3101" s="1420"/>
      <c r="T3101" s="1420"/>
      <c r="V3101" s="1357">
        <v>24</v>
      </c>
    </row>
    <row r="3102" spans="1:22" s="841" customFormat="1" ht="15" x14ac:dyDescent="0.25">
      <c r="A3102" s="841" t="s">
        <v>624</v>
      </c>
      <c r="E3102" s="1689" t="s">
        <v>3063</v>
      </c>
      <c r="F3102" s="1689"/>
      <c r="G3102" s="1689"/>
      <c r="H3102" s="1689"/>
      <c r="M3102" s="1357"/>
      <c r="Q3102" s="1357"/>
      <c r="S3102" s="1420"/>
      <c r="T3102" s="1420"/>
      <c r="V3102" s="1357">
        <v>280</v>
      </c>
    </row>
    <row r="3103" spans="1:22" s="841" customFormat="1" ht="15" x14ac:dyDescent="0.25">
      <c r="A3103" s="841" t="s">
        <v>624</v>
      </c>
      <c r="E3103" s="1689" t="s">
        <v>3136</v>
      </c>
      <c r="F3103" s="1689"/>
      <c r="G3103" s="1689"/>
      <c r="H3103" s="1689"/>
      <c r="M3103" s="1357"/>
      <c r="Q3103" s="1357"/>
      <c r="S3103" s="1420"/>
      <c r="T3103" s="1420"/>
      <c r="V3103" s="1357">
        <v>353</v>
      </c>
    </row>
    <row r="3104" spans="1:22" s="841" customFormat="1" ht="15" x14ac:dyDescent="0.25">
      <c r="A3104" s="841" t="s">
        <v>624</v>
      </c>
      <c r="E3104" s="1689" t="s">
        <v>3200</v>
      </c>
      <c r="F3104" s="1689"/>
      <c r="G3104" s="1689"/>
      <c r="H3104" s="1689"/>
      <c r="M3104" s="1357"/>
      <c r="Q3104" s="1357"/>
      <c r="S3104" s="1420"/>
      <c r="T3104" s="1420"/>
      <c r="V3104" s="1357">
        <v>275</v>
      </c>
    </row>
    <row r="3105" spans="1:22" s="841" customFormat="1" ht="15" x14ac:dyDescent="0.25">
      <c r="A3105" s="841" t="s">
        <v>624</v>
      </c>
      <c r="E3105" s="1370" t="s">
        <v>3137</v>
      </c>
      <c r="F3105" s="3"/>
      <c r="G3105" s="3"/>
      <c r="H3105" s="398"/>
      <c r="K3105" s="841" t="s">
        <v>4478</v>
      </c>
      <c r="M3105" s="1357"/>
      <c r="Q3105" s="1357"/>
      <c r="S3105" s="1420"/>
      <c r="T3105" s="1420"/>
      <c r="V3105" s="1357">
        <v>23</v>
      </c>
    </row>
    <row r="3106" spans="1:22" s="841" customFormat="1" ht="15" x14ac:dyDescent="0.25">
      <c r="A3106" s="841" t="s">
        <v>624</v>
      </c>
      <c r="E3106" s="1905" t="s">
        <v>3355</v>
      </c>
      <c r="F3106" s="1905"/>
      <c r="G3106" s="1408" t="s">
        <v>23</v>
      </c>
      <c r="H3106" s="391">
        <v>15</v>
      </c>
      <c r="M3106" s="1357"/>
      <c r="Q3106" s="1357"/>
      <c r="S3106" s="1420"/>
      <c r="T3106" s="1420"/>
      <c r="V3106" s="1357">
        <v>19</v>
      </c>
    </row>
    <row r="3107" spans="1:22" s="841" customFormat="1" ht="15" x14ac:dyDescent="0.25">
      <c r="A3107" s="841" t="s">
        <v>624</v>
      </c>
      <c r="E3107" s="1905" t="s">
        <v>3141</v>
      </c>
      <c r="F3107" s="1905"/>
      <c r="G3107" s="1408" t="s">
        <v>23</v>
      </c>
      <c r="H3107" s="391">
        <v>15</v>
      </c>
      <c r="M3107" s="1357"/>
      <c r="Q3107" s="1357"/>
      <c r="S3107" s="1420"/>
      <c r="T3107" s="1420"/>
      <c r="V3107" s="1357">
        <v>26</v>
      </c>
    </row>
    <row r="3108" spans="1:22" s="841" customFormat="1" ht="15" x14ac:dyDescent="0.25">
      <c r="A3108" s="841" t="s">
        <v>624</v>
      </c>
      <c r="E3108" s="1905" t="s">
        <v>4770</v>
      </c>
      <c r="F3108" s="1905"/>
      <c r="G3108" s="1408" t="s">
        <v>23</v>
      </c>
      <c r="H3108" s="391">
        <v>15</v>
      </c>
      <c r="M3108" s="1357"/>
      <c r="Q3108" s="1357"/>
      <c r="S3108" s="1420"/>
      <c r="T3108" s="1420"/>
      <c r="V3108" s="1357">
        <v>15</v>
      </c>
    </row>
    <row r="3109" spans="1:22" s="841" customFormat="1" ht="15" x14ac:dyDescent="0.25">
      <c r="A3109" s="841" t="s">
        <v>624</v>
      </c>
      <c r="E3109" s="1905" t="s">
        <v>3147</v>
      </c>
      <c r="F3109" s="1905"/>
      <c r="G3109" s="1408" t="s">
        <v>23</v>
      </c>
      <c r="H3109" s="391">
        <v>15</v>
      </c>
      <c r="M3109" s="1357"/>
      <c r="Q3109" s="1357"/>
      <c r="S3109" s="1420"/>
      <c r="T3109" s="1420"/>
      <c r="V3109" s="1357">
        <v>15</v>
      </c>
    </row>
    <row r="3110" spans="1:22" s="841" customFormat="1" ht="15" x14ac:dyDescent="0.25">
      <c r="A3110" s="841" t="s">
        <v>624</v>
      </c>
      <c r="E3110" s="1905" t="s">
        <v>3148</v>
      </c>
      <c r="F3110" s="1905"/>
      <c r="G3110" s="1408" t="s">
        <v>23</v>
      </c>
      <c r="H3110" s="391">
        <v>15</v>
      </c>
      <c r="M3110" s="1357"/>
      <c r="Q3110" s="1357"/>
      <c r="S3110" s="1420"/>
      <c r="T3110" s="1420"/>
      <c r="V3110" s="1357">
        <v>56</v>
      </c>
    </row>
    <row r="3111" spans="1:22" s="841" customFormat="1" ht="15" x14ac:dyDescent="0.25">
      <c r="A3111" s="841" t="s">
        <v>624</v>
      </c>
      <c r="E3111" s="1905" t="s">
        <v>123</v>
      </c>
      <c r="F3111" s="1905"/>
      <c r="G3111" s="1408" t="s">
        <v>23</v>
      </c>
      <c r="H3111" s="391">
        <v>15</v>
      </c>
      <c r="M3111" s="1357"/>
      <c r="Q3111" s="1357"/>
      <c r="S3111" s="1420"/>
      <c r="T3111" s="1420"/>
      <c r="V3111" s="1357">
        <v>35</v>
      </c>
    </row>
    <row r="3112" spans="1:22" s="841" customFormat="1" ht="15" x14ac:dyDescent="0.25">
      <c r="A3112" s="841" t="s">
        <v>624</v>
      </c>
      <c r="E3112" s="1905" t="s">
        <v>88</v>
      </c>
      <c r="F3112" s="1905"/>
      <c r="G3112" s="1408" t="s">
        <v>23</v>
      </c>
      <c r="H3112" s="391">
        <v>30</v>
      </c>
      <c r="M3112" s="1357"/>
      <c r="Q3112" s="1357"/>
      <c r="S3112" s="1420"/>
      <c r="T3112" s="1420"/>
      <c r="V3112" s="1357">
        <v>89</v>
      </c>
    </row>
    <row r="3113" spans="1:22" s="841" customFormat="1" ht="15" x14ac:dyDescent="0.25">
      <c r="A3113" s="841" t="s">
        <v>624</v>
      </c>
      <c r="E3113" s="1905" t="s">
        <v>94</v>
      </c>
      <c r="F3113" s="1905"/>
      <c r="G3113" s="1408" t="s">
        <v>23</v>
      </c>
      <c r="H3113" s="391">
        <v>30</v>
      </c>
      <c r="M3113" s="1357"/>
      <c r="Q3113" s="1357"/>
      <c r="S3113" s="1420"/>
      <c r="T3113" s="1420"/>
      <c r="V3113" s="1357">
        <v>19</v>
      </c>
    </row>
    <row r="3114" spans="1:22" s="841" customFormat="1" ht="15" x14ac:dyDescent="0.25">
      <c r="A3114" s="841" t="s">
        <v>624</v>
      </c>
      <c r="E3114" s="1905" t="s">
        <v>92</v>
      </c>
      <c r="F3114" s="1905"/>
      <c r="G3114" s="1408" t="s">
        <v>23</v>
      </c>
      <c r="H3114" s="391">
        <v>30</v>
      </c>
      <c r="M3114" s="1357"/>
      <c r="Q3114" s="1357"/>
      <c r="S3114" s="1420"/>
      <c r="T3114" s="1420"/>
      <c r="V3114" s="1357">
        <v>74</v>
      </c>
    </row>
    <row r="3115" spans="1:22" s="841" customFormat="1" ht="15" x14ac:dyDescent="0.25">
      <c r="A3115" s="841" t="s">
        <v>624</v>
      </c>
      <c r="E3115" s="1905" t="s">
        <v>4479</v>
      </c>
      <c r="F3115" s="1905"/>
      <c r="G3115" s="1408" t="s">
        <v>23</v>
      </c>
      <c r="H3115" s="391">
        <v>50</v>
      </c>
      <c r="M3115" s="1357"/>
      <c r="Q3115" s="1357"/>
      <c r="S3115" s="1420"/>
      <c r="T3115" s="1420"/>
      <c r="V3115" s="1357">
        <v>26</v>
      </c>
    </row>
    <row r="3116" spans="1:22" s="841" customFormat="1" ht="15" x14ac:dyDescent="0.25">
      <c r="A3116" s="841" t="s">
        <v>624</v>
      </c>
      <c r="E3116" s="1905" t="s">
        <v>4480</v>
      </c>
      <c r="F3116" s="1905"/>
      <c r="G3116" s="1408" t="s">
        <v>23</v>
      </c>
      <c r="H3116" s="391">
        <v>105</v>
      </c>
      <c r="M3116" s="1357"/>
      <c r="Q3116" s="1357"/>
      <c r="S3116" s="1420"/>
      <c r="T3116" s="1420"/>
      <c r="V3116" s="1357">
        <v>46</v>
      </c>
    </row>
    <row r="3117" spans="1:22" s="841" customFormat="1" ht="15" x14ac:dyDescent="0.25">
      <c r="A3117" s="841" t="s">
        <v>624</v>
      </c>
      <c r="E3117" s="1905" t="s">
        <v>4481</v>
      </c>
      <c r="F3117" s="1905"/>
      <c r="G3117" s="1408" t="s">
        <v>23</v>
      </c>
      <c r="H3117" s="391">
        <v>180</v>
      </c>
      <c r="M3117" s="1357"/>
      <c r="Q3117" s="1357"/>
      <c r="S3117" s="1420"/>
      <c r="T3117" s="1420"/>
      <c r="V3117" s="1357">
        <v>34</v>
      </c>
    </row>
    <row r="3118" spans="1:22" s="841" customFormat="1" ht="15" x14ac:dyDescent="0.25">
      <c r="A3118" s="841" t="s">
        <v>624</v>
      </c>
      <c r="E3118" s="1370" t="s">
        <v>3152</v>
      </c>
      <c r="F3118" s="3"/>
      <c r="G3118" s="3"/>
      <c r="H3118" s="398"/>
      <c r="K3118" s="841" t="s">
        <v>4482</v>
      </c>
      <c r="M3118" s="1357"/>
      <c r="Q3118" s="1357"/>
      <c r="S3118" s="1420"/>
      <c r="T3118" s="1420"/>
      <c r="V3118" s="1357">
        <v>22</v>
      </c>
    </row>
    <row r="3119" spans="1:22" s="841" customFormat="1" ht="15" x14ac:dyDescent="0.25">
      <c r="A3119" s="841" t="s">
        <v>624</v>
      </c>
      <c r="E3119" s="1905" t="s">
        <v>5137</v>
      </c>
      <c r="F3119" s="1905"/>
      <c r="G3119" s="1408" t="s">
        <v>86</v>
      </c>
      <c r="H3119" s="391">
        <v>1.5</v>
      </c>
      <c r="M3119" s="1357"/>
      <c r="Q3119" s="1357"/>
      <c r="S3119" s="1420"/>
      <c r="T3119" s="1420"/>
      <c r="V3119" s="1357">
        <v>24</v>
      </c>
    </row>
    <row r="3120" spans="1:22" s="841" customFormat="1" ht="15" x14ac:dyDescent="0.25">
      <c r="A3120" s="841" t="s">
        <v>624</v>
      </c>
      <c r="E3120" s="1905" t="s">
        <v>4772</v>
      </c>
      <c r="F3120" s="1905"/>
      <c r="G3120" s="1408" t="s">
        <v>86</v>
      </c>
      <c r="H3120" s="391">
        <v>19.559999999999999</v>
      </c>
      <c r="M3120" s="1357"/>
      <c r="Q3120" s="1357"/>
      <c r="S3120" s="1420"/>
      <c r="T3120" s="1420"/>
      <c r="V3120" s="1357">
        <v>24</v>
      </c>
    </row>
    <row r="3121" spans="1:22" s="841" customFormat="1" ht="15" x14ac:dyDescent="0.25">
      <c r="A3121" s="841" t="s">
        <v>624</v>
      </c>
      <c r="E3121" s="1905" t="s">
        <v>3288</v>
      </c>
      <c r="F3121" s="1905"/>
      <c r="G3121" s="1408" t="s">
        <v>23</v>
      </c>
      <c r="H3121" s="391">
        <v>30</v>
      </c>
      <c r="M3121" s="1357"/>
      <c r="Q3121" s="1357"/>
      <c r="S3121" s="1420"/>
      <c r="T3121" s="1420"/>
      <c r="V3121" s="1357">
        <v>47</v>
      </c>
    </row>
    <row r="3122" spans="1:22" s="841" customFormat="1" ht="15" x14ac:dyDescent="0.25">
      <c r="A3122" s="841" t="s">
        <v>624</v>
      </c>
      <c r="E3122" s="1905" t="s">
        <v>4773</v>
      </c>
      <c r="F3122" s="1905"/>
      <c r="G3122" s="1408" t="s">
        <v>23</v>
      </c>
      <c r="H3122" s="391">
        <v>65</v>
      </c>
      <c r="M3122" s="1357"/>
      <c r="Q3122" s="1357"/>
      <c r="S3122" s="1420"/>
      <c r="T3122" s="1420"/>
      <c r="V3122" s="1357">
        <v>52</v>
      </c>
    </row>
    <row r="3123" spans="1:22" s="841" customFormat="1" ht="15" x14ac:dyDescent="0.25">
      <c r="A3123" s="841" t="s">
        <v>624</v>
      </c>
      <c r="E3123" s="1905" t="s">
        <v>4774</v>
      </c>
      <c r="F3123" s="1905"/>
      <c r="G3123" s="1408" t="s">
        <v>23</v>
      </c>
      <c r="H3123" s="391">
        <v>185</v>
      </c>
      <c r="M3123" s="1357"/>
      <c r="Q3123" s="1357"/>
      <c r="S3123" s="1420"/>
      <c r="T3123" s="1420"/>
      <c r="V3123" s="1357">
        <v>51</v>
      </c>
    </row>
    <row r="3124" spans="1:22" s="841" customFormat="1" ht="15" x14ac:dyDescent="0.25">
      <c r="A3124" s="841" t="s">
        <v>624</v>
      </c>
      <c r="E3124" s="1370" t="s">
        <v>3164</v>
      </c>
      <c r="F3124" s="3"/>
      <c r="G3124" s="3"/>
      <c r="H3124" s="398"/>
      <c r="M3124" s="1357"/>
      <c r="Q3124" s="1357"/>
      <c r="S3124" s="1420"/>
      <c r="T3124" s="1420"/>
      <c r="V3124" s="1357">
        <v>5</v>
      </c>
    </row>
    <row r="3125" spans="1:22" s="841" customFormat="1" ht="15" x14ac:dyDescent="0.25">
      <c r="A3125" s="841" t="s">
        <v>624</v>
      </c>
      <c r="E3125" s="1905" t="s">
        <v>4483</v>
      </c>
      <c r="F3125" s="1905"/>
      <c r="G3125" s="1408" t="s">
        <v>23</v>
      </c>
      <c r="H3125" s="391">
        <v>110</v>
      </c>
      <c r="M3125" s="1357"/>
      <c r="Q3125" s="1357"/>
      <c r="S3125" s="1420"/>
      <c r="T3125" s="1420"/>
      <c r="V3125" s="1357">
        <v>28</v>
      </c>
    </row>
    <row r="3126" spans="1:22" s="841" customFormat="1" ht="15" x14ac:dyDescent="0.25">
      <c r="A3126" s="841" t="s">
        <v>624</v>
      </c>
      <c r="E3126" s="1905" t="s">
        <v>4484</v>
      </c>
      <c r="F3126" s="1905"/>
      <c r="G3126" s="1408" t="s">
        <v>23</v>
      </c>
      <c r="H3126" s="391">
        <v>150</v>
      </c>
      <c r="M3126" s="1357"/>
      <c r="Q3126" s="1357"/>
      <c r="S3126" s="1420"/>
      <c r="T3126" s="1420"/>
      <c r="V3126" s="1357">
        <v>27</v>
      </c>
    </row>
    <row r="3127" spans="1:22" s="841" customFormat="1" ht="15" x14ac:dyDescent="0.25">
      <c r="A3127" s="841" t="s">
        <v>624</v>
      </c>
      <c r="E3127" s="1905" t="s">
        <v>4485</v>
      </c>
      <c r="F3127" s="1905"/>
      <c r="G3127" s="1408" t="s">
        <v>23</v>
      </c>
      <c r="H3127" s="391">
        <v>60</v>
      </c>
      <c r="M3127" s="1357"/>
      <c r="Q3127" s="1357"/>
      <c r="S3127" s="1420"/>
      <c r="T3127" s="1420"/>
      <c r="V3127" s="1357">
        <v>15</v>
      </c>
    </row>
    <row r="3128" spans="1:22" s="841" customFormat="1" ht="15" x14ac:dyDescent="0.25">
      <c r="A3128" s="841" t="s">
        <v>624</v>
      </c>
      <c r="E3128" s="1905" t="s">
        <v>4486</v>
      </c>
      <c r="F3128" s="1905"/>
      <c r="G3128" s="1408" t="s">
        <v>23</v>
      </c>
      <c r="H3128" s="391">
        <v>95</v>
      </c>
      <c r="M3128" s="1357"/>
      <c r="Q3128" s="1357"/>
      <c r="S3128" s="1420"/>
      <c r="T3128" s="1420"/>
      <c r="V3128" s="1357">
        <v>26</v>
      </c>
    </row>
    <row r="3129" spans="1:22" s="841" customFormat="1" ht="15" x14ac:dyDescent="0.25">
      <c r="A3129" s="841" t="s">
        <v>624</v>
      </c>
      <c r="E3129" s="1905" t="s">
        <v>4487</v>
      </c>
      <c r="F3129" s="1905"/>
      <c r="G3129" s="1408" t="s">
        <v>23</v>
      </c>
      <c r="H3129" s="391">
        <v>65</v>
      </c>
      <c r="M3129" s="1357"/>
      <c r="Q3129" s="1357"/>
      <c r="S3129" s="1420"/>
      <c r="T3129" s="1420"/>
      <c r="V3129" s="1357">
        <v>26</v>
      </c>
    </row>
    <row r="3130" spans="1:22" s="841" customFormat="1" ht="15" x14ac:dyDescent="0.25">
      <c r="A3130" s="841" t="s">
        <v>624</v>
      </c>
      <c r="E3130" s="1905" t="s">
        <v>3167</v>
      </c>
      <c r="F3130" s="1905"/>
      <c r="G3130" s="1408" t="s">
        <v>23</v>
      </c>
      <c r="H3130" s="391">
        <v>30</v>
      </c>
      <c r="M3130" s="1357"/>
      <c r="Q3130" s="1357"/>
      <c r="S3130" s="1420"/>
      <c r="T3130" s="1420"/>
      <c r="V3130" s="1357">
        <v>39</v>
      </c>
    </row>
    <row r="3131" spans="1:22" s="841" customFormat="1" ht="15" x14ac:dyDescent="0.25">
      <c r="A3131" s="841" t="s">
        <v>624</v>
      </c>
      <c r="E3131" s="1905" t="s">
        <v>4488</v>
      </c>
      <c r="F3131" s="1905"/>
      <c r="G3131" s="1408" t="s">
        <v>23</v>
      </c>
      <c r="H3131" s="391">
        <v>170</v>
      </c>
      <c r="M3131" s="1357"/>
      <c r="Q3131" s="1357"/>
      <c r="S3131" s="1420"/>
      <c r="T3131" s="1420"/>
      <c r="V3131" s="1357">
        <v>20</v>
      </c>
    </row>
    <row r="3132" spans="1:22" s="841" customFormat="1" ht="15" x14ac:dyDescent="0.25">
      <c r="A3132" s="841" t="s">
        <v>624</v>
      </c>
      <c r="E3132" s="1905" t="s">
        <v>4489</v>
      </c>
      <c r="F3132" s="1905"/>
      <c r="G3132" s="1408" t="s">
        <v>23</v>
      </c>
      <c r="H3132" s="391">
        <v>100</v>
      </c>
      <c r="M3132" s="1357"/>
      <c r="Q3132" s="1357"/>
      <c r="S3132" s="1420"/>
      <c r="T3132" s="1420"/>
      <c r="V3132" s="1357">
        <v>25</v>
      </c>
    </row>
    <row r="3133" spans="1:22" s="841" customFormat="1" ht="15" x14ac:dyDescent="0.25">
      <c r="A3133" s="841" t="s">
        <v>624</v>
      </c>
      <c r="E3133" s="1905" t="s">
        <v>3491</v>
      </c>
      <c r="F3133" s="1905"/>
      <c r="G3133" s="1408" t="s">
        <v>23</v>
      </c>
      <c r="H3133" s="391">
        <v>22.35</v>
      </c>
      <c r="M3133" s="1357"/>
      <c r="Q3133" s="1357"/>
      <c r="S3133" s="1420"/>
      <c r="T3133" s="1420"/>
      <c r="V3133" s="1357">
        <v>59</v>
      </c>
    </row>
    <row r="3134" spans="1:22" s="841" customFormat="1" ht="15" x14ac:dyDescent="0.25">
      <c r="A3134" s="841" t="s">
        <v>624</v>
      </c>
      <c r="E3134" s="1905" t="s">
        <v>3588</v>
      </c>
      <c r="F3134" s="1905"/>
      <c r="G3134" s="1408"/>
      <c r="H3134" s="391"/>
      <c r="M3134" s="1357"/>
      <c r="Q3134" s="1357"/>
      <c r="S3134" s="1420"/>
      <c r="T3134" s="1420"/>
      <c r="V3134" s="1357">
        <v>45</v>
      </c>
    </row>
    <row r="3135" spans="1:22" s="841" customFormat="1" ht="36.75" x14ac:dyDescent="0.3">
      <c r="A3135" s="841" t="s">
        <v>624</v>
      </c>
      <c r="E3135" s="1374" t="s">
        <v>77</v>
      </c>
      <c r="F3135" s="657"/>
      <c r="G3135" s="657"/>
      <c r="H3135" s="658"/>
      <c r="K3135" s="841" t="s">
        <v>4490</v>
      </c>
      <c r="M3135" s="1357"/>
      <c r="Q3135" s="1357"/>
      <c r="S3135" s="1420"/>
      <c r="T3135" s="1420"/>
      <c r="V3135" s="1357">
        <v>38</v>
      </c>
    </row>
    <row r="3136" spans="1:22" s="841" customFormat="1" ht="15" x14ac:dyDescent="0.25">
      <c r="A3136" s="841" t="s">
        <v>624</v>
      </c>
      <c r="E3136" s="1689" t="s">
        <v>3063</v>
      </c>
      <c r="F3136" s="1689"/>
      <c r="G3136" s="1689"/>
      <c r="H3136" s="1689"/>
      <c r="M3136" s="1357"/>
      <c r="Q3136" s="1357"/>
      <c r="S3136" s="1420"/>
      <c r="T3136" s="1420"/>
      <c r="V3136" s="1357">
        <v>280</v>
      </c>
    </row>
    <row r="3137" spans="1:22" s="841" customFormat="1" ht="15" x14ac:dyDescent="0.25">
      <c r="A3137" s="841" t="s">
        <v>624</v>
      </c>
      <c r="E3137" s="1689" t="s">
        <v>3064</v>
      </c>
      <c r="F3137" s="1689"/>
      <c r="G3137" s="1689"/>
      <c r="H3137" s="1689"/>
      <c r="M3137" s="1357"/>
      <c r="Q3137" s="1357"/>
      <c r="S3137" s="1420"/>
      <c r="T3137" s="1420"/>
      <c r="V3137" s="1357">
        <v>411</v>
      </c>
    </row>
    <row r="3138" spans="1:22" s="841" customFormat="1" ht="15" x14ac:dyDescent="0.25">
      <c r="A3138" s="841" t="s">
        <v>624</v>
      </c>
      <c r="E3138" s="1689" t="s">
        <v>3129</v>
      </c>
      <c r="F3138" s="1689"/>
      <c r="G3138" s="1689"/>
      <c r="H3138" s="1689"/>
      <c r="M3138" s="1357"/>
      <c r="Q3138" s="1357"/>
      <c r="S3138" s="1420"/>
      <c r="T3138" s="1420"/>
      <c r="V3138" s="1357">
        <v>211</v>
      </c>
    </row>
    <row r="3139" spans="1:22" s="841" customFormat="1" ht="15" x14ac:dyDescent="0.25">
      <c r="A3139" s="841" t="s">
        <v>624</v>
      </c>
      <c r="E3139" s="1689" t="s">
        <v>3200</v>
      </c>
      <c r="F3139" s="1689"/>
      <c r="G3139" s="1689"/>
      <c r="H3139" s="1689"/>
      <c r="M3139" s="1357"/>
      <c r="Q3139" s="1357"/>
      <c r="S3139" s="1420"/>
      <c r="T3139" s="1420"/>
      <c r="V3139" s="1357">
        <v>275</v>
      </c>
    </row>
    <row r="3140" spans="1:22" s="841" customFormat="1" ht="15" x14ac:dyDescent="0.25">
      <c r="A3140" s="841" t="s">
        <v>624</v>
      </c>
      <c r="E3140" s="1689" t="s">
        <v>3291</v>
      </c>
      <c r="F3140" s="1689"/>
      <c r="G3140" s="1689"/>
      <c r="H3140" s="1689"/>
      <c r="M3140" s="1357"/>
      <c r="Q3140" s="1357"/>
      <c r="S3140" s="1420"/>
      <c r="T3140" s="1420"/>
      <c r="V3140" s="1357">
        <v>142</v>
      </c>
    </row>
    <row r="3141" spans="1:22" s="841" customFormat="1" ht="15" x14ac:dyDescent="0.25">
      <c r="A3141" s="841" t="s">
        <v>624</v>
      </c>
      <c r="E3141" s="1904" t="s">
        <v>3176</v>
      </c>
      <c r="F3141" s="1904"/>
      <c r="G3141" s="397" t="s">
        <v>23</v>
      </c>
      <c r="H3141" s="391">
        <v>100</v>
      </c>
      <c r="M3141" s="1357"/>
      <c r="Q3141" s="1357"/>
      <c r="S3141" s="1420"/>
      <c r="T3141" s="1420"/>
      <c r="V3141" s="1357">
        <v>106</v>
      </c>
    </row>
    <row r="3142" spans="1:22" s="841" customFormat="1" ht="15" x14ac:dyDescent="0.25">
      <c r="A3142" s="841" t="s">
        <v>624</v>
      </c>
      <c r="E3142" s="1904" t="s">
        <v>5140</v>
      </c>
      <c r="F3142" s="1904"/>
      <c r="G3142" s="397" t="s">
        <v>23</v>
      </c>
      <c r="H3142" s="391">
        <v>20</v>
      </c>
      <c r="M3142" s="1357"/>
      <c r="Q3142" s="1357"/>
      <c r="S3142" s="1420"/>
      <c r="T3142" s="1420"/>
      <c r="V3142" s="1357">
        <v>34</v>
      </c>
    </row>
    <row r="3143" spans="1:22" s="841" customFormat="1" ht="15" x14ac:dyDescent="0.25">
      <c r="A3143" s="841" t="s">
        <v>624</v>
      </c>
      <c r="E3143" s="1904" t="s">
        <v>5141</v>
      </c>
      <c r="F3143" s="1904"/>
      <c r="G3143" s="397" t="s">
        <v>3179</v>
      </c>
      <c r="H3143" s="391">
        <v>0.5</v>
      </c>
      <c r="M3143" s="1357"/>
      <c r="Q3143" s="1357"/>
      <c r="S3143" s="1420"/>
      <c r="T3143" s="1420"/>
      <c r="V3143" s="1357">
        <v>51</v>
      </c>
    </row>
    <row r="3144" spans="1:22" s="841" customFormat="1" ht="15" x14ac:dyDescent="0.25">
      <c r="A3144" s="841" t="s">
        <v>624</v>
      </c>
      <c r="E3144" s="1904" t="s">
        <v>3180</v>
      </c>
      <c r="F3144" s="1904"/>
      <c r="G3144" s="397" t="s">
        <v>3179</v>
      </c>
      <c r="H3144" s="391">
        <v>0.3</v>
      </c>
      <c r="M3144" s="1357"/>
      <c r="Q3144" s="1357"/>
      <c r="S3144" s="1420"/>
      <c r="T3144" s="1420"/>
      <c r="V3144" s="1357">
        <v>75</v>
      </c>
    </row>
    <row r="3145" spans="1:22" s="841" customFormat="1" ht="15" x14ac:dyDescent="0.25">
      <c r="A3145" s="841" t="s">
        <v>624</v>
      </c>
      <c r="E3145" s="1904" t="s">
        <v>3181</v>
      </c>
      <c r="F3145" s="1904"/>
      <c r="G3145" s="397" t="s">
        <v>3179</v>
      </c>
      <c r="H3145" s="391">
        <v>-0.3</v>
      </c>
      <c r="M3145" s="1357"/>
      <c r="Q3145" s="1357"/>
      <c r="S3145" s="1420"/>
      <c r="T3145" s="1420"/>
      <c r="V3145" s="1357">
        <v>72</v>
      </c>
    </row>
    <row r="3146" spans="1:22" s="841" customFormat="1" ht="15" x14ac:dyDescent="0.25">
      <c r="A3146" s="841" t="s">
        <v>624</v>
      </c>
      <c r="E3146" s="1904" t="s">
        <v>3292</v>
      </c>
      <c r="F3146" s="1904"/>
      <c r="G3146" s="397"/>
      <c r="H3146" s="392"/>
      <c r="M3146" s="1357"/>
      <c r="Q3146" s="1357"/>
      <c r="S3146" s="1420"/>
      <c r="T3146" s="1420"/>
      <c r="V3146" s="1357">
        <v>34</v>
      </c>
    </row>
    <row r="3147" spans="1:22" s="841" customFormat="1" ht="15" x14ac:dyDescent="0.25">
      <c r="A3147" s="841" t="s">
        <v>624</v>
      </c>
      <c r="E3147" s="2134" t="s">
        <v>3183</v>
      </c>
      <c r="F3147" s="2134"/>
      <c r="G3147" s="397" t="s">
        <v>23</v>
      </c>
      <c r="H3147" s="391">
        <v>0.25</v>
      </c>
      <c r="M3147" s="1357"/>
      <c r="Q3147" s="1357"/>
      <c r="S3147" s="1420"/>
      <c r="T3147" s="1420"/>
      <c r="V3147" s="1357">
        <v>57</v>
      </c>
    </row>
    <row r="3148" spans="1:22" s="841" customFormat="1" ht="15" x14ac:dyDescent="0.25">
      <c r="A3148" s="841" t="s">
        <v>624</v>
      </c>
      <c r="E3148" s="2134" t="s">
        <v>3184</v>
      </c>
      <c r="F3148" s="2134"/>
      <c r="G3148" s="397" t="s">
        <v>23</v>
      </c>
      <c r="H3148" s="391">
        <v>0.5</v>
      </c>
      <c r="M3148" s="1357"/>
      <c r="Q3148" s="1357"/>
      <c r="S3148" s="1420"/>
      <c r="T3148" s="1420"/>
      <c r="V3148" s="1357">
        <v>60</v>
      </c>
    </row>
    <row r="3149" spans="1:22" s="841" customFormat="1" ht="15" x14ac:dyDescent="0.25">
      <c r="A3149" s="841" t="s">
        <v>624</v>
      </c>
      <c r="E3149" s="1904" t="s">
        <v>3185</v>
      </c>
      <c r="F3149" s="1904"/>
      <c r="G3149" s="397"/>
      <c r="H3149" s="392"/>
      <c r="M3149" s="1357"/>
      <c r="Q3149" s="1357"/>
      <c r="S3149" s="1420"/>
      <c r="T3149" s="1420"/>
      <c r="V3149" s="1357">
        <v>91</v>
      </c>
    </row>
    <row r="3150" spans="1:22" s="841" customFormat="1" ht="15" x14ac:dyDescent="0.25">
      <c r="A3150" s="841" t="s">
        <v>624</v>
      </c>
      <c r="E3150" s="1904" t="s">
        <v>3186</v>
      </c>
      <c r="F3150" s="1904"/>
      <c r="G3150" s="397"/>
      <c r="H3150" s="392"/>
      <c r="M3150" s="1357"/>
      <c r="Q3150" s="1357"/>
      <c r="S3150" s="1420"/>
      <c r="T3150" s="1420"/>
      <c r="V3150" s="1357">
        <v>96</v>
      </c>
    </row>
    <row r="3151" spans="1:22" s="841" customFormat="1" ht="15" x14ac:dyDescent="0.25">
      <c r="A3151" s="841" t="s">
        <v>624</v>
      </c>
      <c r="E3151" s="1904" t="s">
        <v>3293</v>
      </c>
      <c r="F3151" s="1904"/>
      <c r="G3151" s="397"/>
      <c r="H3151" s="392"/>
      <c r="M3151" s="1357"/>
      <c r="Q3151" s="1357"/>
      <c r="S3151" s="1420"/>
      <c r="T3151" s="1420"/>
      <c r="V3151" s="1357">
        <v>77</v>
      </c>
    </row>
    <row r="3152" spans="1:22" s="841" customFormat="1" ht="15" x14ac:dyDescent="0.25">
      <c r="A3152" s="841" t="s">
        <v>624</v>
      </c>
      <c r="E3152" s="2134" t="s">
        <v>3188</v>
      </c>
      <c r="F3152" s="2134"/>
      <c r="G3152" s="397" t="s">
        <v>23</v>
      </c>
      <c r="H3152" s="392" t="s">
        <v>3189</v>
      </c>
      <c r="M3152" s="1357"/>
      <c r="Q3152" s="1357"/>
      <c r="S3152" s="1420"/>
      <c r="T3152" s="1420"/>
      <c r="V3152" s="1357">
        <v>18</v>
      </c>
    </row>
    <row r="3153" spans="1:22" s="841" customFormat="1" ht="15" x14ac:dyDescent="0.25">
      <c r="A3153" s="841" t="s">
        <v>624</v>
      </c>
      <c r="E3153" s="2134" t="s">
        <v>3190</v>
      </c>
      <c r="F3153" s="2134"/>
      <c r="G3153" s="397" t="s">
        <v>23</v>
      </c>
      <c r="H3153" s="391">
        <v>2</v>
      </c>
      <c r="M3153" s="1357"/>
      <c r="Q3153" s="1357"/>
      <c r="S3153" s="1420"/>
      <c r="T3153" s="1420"/>
      <c r="V3153" s="1357">
        <v>69</v>
      </c>
    </row>
    <row r="3154" spans="1:22" s="841" customFormat="1" ht="18.75" x14ac:dyDescent="0.3">
      <c r="A3154" s="841" t="s">
        <v>624</v>
      </c>
      <c r="E3154" s="1386" t="s">
        <v>147</v>
      </c>
      <c r="F3154" s="657"/>
      <c r="G3154" s="657"/>
      <c r="H3154" s="658"/>
      <c r="K3154" s="841" t="s">
        <v>4491</v>
      </c>
      <c r="M3154" s="1357"/>
      <c r="Q3154" s="1357"/>
      <c r="S3154" s="1420"/>
      <c r="T3154" s="1420"/>
      <c r="V3154" s="1357">
        <v>12</v>
      </c>
    </row>
    <row r="3155" spans="1:22" s="841" customFormat="1" ht="15" x14ac:dyDescent="0.25">
      <c r="A3155" s="841" t="s">
        <v>624</v>
      </c>
      <c r="E3155" s="1704" t="s">
        <v>3192</v>
      </c>
      <c r="F3155" s="1704"/>
      <c r="G3155" s="1704"/>
      <c r="H3155" s="1704"/>
      <c r="M3155" s="1357"/>
      <c r="Q3155" s="1357"/>
      <c r="S3155" s="1420"/>
      <c r="T3155" s="1420"/>
      <c r="V3155" s="1357">
        <v>203</v>
      </c>
    </row>
    <row r="3156" spans="1:22" s="841" customFormat="1" ht="15" x14ac:dyDescent="0.25">
      <c r="A3156" s="841" t="s">
        <v>624</v>
      </c>
      <c r="E3156" s="1904" t="s">
        <v>3295</v>
      </c>
      <c r="F3156" s="1904"/>
      <c r="G3156" s="1408"/>
      <c r="H3156" s="393">
        <v>1.0377000000000001</v>
      </c>
      <c r="M3156" s="1357"/>
      <c r="Q3156" s="1357"/>
      <c r="S3156" s="1420"/>
      <c r="T3156" s="1420"/>
      <c r="V3156" s="1357">
        <v>57</v>
      </c>
    </row>
    <row r="3157" spans="1:22" s="841" customFormat="1" ht="15" x14ac:dyDescent="0.25">
      <c r="A3157" s="841" t="s">
        <v>624</v>
      </c>
      <c r="E3157" s="1904" t="s">
        <v>3296</v>
      </c>
      <c r="F3157" s="1904"/>
      <c r="G3157" s="1408"/>
      <c r="H3157" s="393">
        <v>1.0145</v>
      </c>
      <c r="M3157" s="1357"/>
      <c r="Q3157" s="1357"/>
      <c r="S3157" s="1420"/>
      <c r="T3157" s="1420"/>
      <c r="V3157" s="1357">
        <v>57</v>
      </c>
    </row>
    <row r="3158" spans="1:22" s="841" customFormat="1" ht="15" x14ac:dyDescent="0.25">
      <c r="A3158" s="841" t="s">
        <v>624</v>
      </c>
      <c r="E3158" s="1904" t="s">
        <v>3297</v>
      </c>
      <c r="F3158" s="1904"/>
      <c r="G3158" s="1408"/>
      <c r="H3158" s="393">
        <v>1.0273000000000001</v>
      </c>
      <c r="M3158" s="1357"/>
      <c r="Q3158" s="1357"/>
      <c r="S3158" s="1420"/>
      <c r="T3158" s="1420"/>
      <c r="V3158" s="1357">
        <v>55</v>
      </c>
    </row>
    <row r="3159" spans="1:22" s="841" customFormat="1" ht="15" x14ac:dyDescent="0.25">
      <c r="A3159" s="841" t="s">
        <v>624</v>
      </c>
      <c r="E3159" s="1904" t="s">
        <v>3298</v>
      </c>
      <c r="F3159" s="1904"/>
      <c r="G3159" s="1408"/>
      <c r="H3159" s="393">
        <v>1.0044999999999999</v>
      </c>
      <c r="J3159" s="841" t="s">
        <v>4492</v>
      </c>
      <c r="M3159" s="1357"/>
      <c r="Q3159" s="1357"/>
      <c r="S3159" s="1420"/>
      <c r="T3159" s="1420"/>
      <c r="V3159" s="1357">
        <v>55</v>
      </c>
    </row>
    <row r="3160" spans="1:22" s="841" customFormat="1" ht="23.25" x14ac:dyDescent="0.25">
      <c r="A3160" s="841" t="s">
        <v>177</v>
      </c>
      <c r="C3160" s="841" t="s">
        <v>3050</v>
      </c>
      <c r="E3160" s="1911" t="s">
        <v>177</v>
      </c>
      <c r="F3160" s="1911"/>
      <c r="G3160" s="1911"/>
      <c r="H3160" s="1911"/>
      <c r="I3160" s="841" t="s">
        <v>628</v>
      </c>
      <c r="J3160" s="841" t="s">
        <v>4725</v>
      </c>
      <c r="K3160" s="841" t="s">
        <v>177</v>
      </c>
      <c r="M3160" s="1357">
        <v>8</v>
      </c>
      <c r="Q3160" s="1357"/>
      <c r="S3160" s="1420"/>
      <c r="T3160" s="1420"/>
      <c r="V3160" s="1357">
        <v>18</v>
      </c>
    </row>
    <row r="3161" spans="1:22" s="841" customFormat="1" x14ac:dyDescent="0.25">
      <c r="A3161" s="841" t="s">
        <v>177</v>
      </c>
      <c r="C3161" s="841" t="s">
        <v>3052</v>
      </c>
      <c r="E3161" s="1912" t="s">
        <v>3053</v>
      </c>
      <c r="F3161" s="1912"/>
      <c r="G3161" s="1912"/>
      <c r="H3161" s="1912"/>
      <c r="M3161" s="1357"/>
      <c r="Q3161" s="1357"/>
      <c r="S3161" s="1420"/>
      <c r="T3161" s="1420"/>
      <c r="V3161" s="1357">
        <v>27</v>
      </c>
    </row>
    <row r="3162" spans="1:22" s="841" customFormat="1" ht="15.75" x14ac:dyDescent="0.25">
      <c r="A3162" s="841" t="s">
        <v>177</v>
      </c>
      <c r="C3162" s="841" t="s">
        <v>3054</v>
      </c>
      <c r="E3162" s="1913" t="s">
        <v>5107</v>
      </c>
      <c r="F3162" s="1913"/>
      <c r="G3162" s="1913"/>
      <c r="H3162" s="1913"/>
      <c r="M3162" s="1357"/>
      <c r="Q3162" s="1357"/>
      <c r="S3162" s="1420">
        <v>43221</v>
      </c>
      <c r="T3162" s="1420"/>
      <c r="V3162" s="1357">
        <v>45</v>
      </c>
    </row>
    <row r="3163" spans="1:22" s="841" customFormat="1" ht="15" x14ac:dyDescent="0.25">
      <c r="A3163" s="841" t="s">
        <v>177</v>
      </c>
      <c r="C3163" s="841" t="s">
        <v>3055</v>
      </c>
      <c r="E3163" s="1914" t="s">
        <v>3056</v>
      </c>
      <c r="F3163" s="1914"/>
      <c r="G3163" s="1914"/>
      <c r="H3163" s="1914"/>
      <c r="M3163" s="1357"/>
      <c r="Q3163" s="1357"/>
      <c r="S3163" s="1420"/>
      <c r="T3163" s="1420"/>
      <c r="V3163" s="1357">
        <v>52</v>
      </c>
    </row>
    <row r="3164" spans="1:22" s="841" customFormat="1" ht="15" x14ac:dyDescent="0.25">
      <c r="A3164" s="841" t="s">
        <v>177</v>
      </c>
      <c r="E3164" s="1914" t="s">
        <v>3057</v>
      </c>
      <c r="F3164" s="1914"/>
      <c r="G3164" s="1914"/>
      <c r="H3164" s="1914"/>
      <c r="M3164" s="1357"/>
      <c r="Q3164" s="1357"/>
      <c r="S3164" s="1420"/>
      <c r="T3164" s="1420"/>
      <c r="V3164" s="1357">
        <v>53</v>
      </c>
    </row>
    <row r="3165" spans="1:22" s="841" customFormat="1" ht="15" x14ac:dyDescent="0.25">
      <c r="A3165" s="841" t="s">
        <v>177</v>
      </c>
      <c r="E3165" s="1925" t="s">
        <v>5413</v>
      </c>
      <c r="F3165" s="1925"/>
      <c r="G3165" s="1925"/>
      <c r="H3165" s="1925"/>
      <c r="K3165" s="841" t="s">
        <v>5413</v>
      </c>
      <c r="M3165" s="1357"/>
      <c r="Q3165" s="1357"/>
      <c r="S3165" s="1420"/>
      <c r="T3165" s="1420"/>
      <c r="V3165" s="1357">
        <v>12</v>
      </c>
    </row>
    <row r="3166" spans="1:22" s="841" customFormat="1" ht="15" x14ac:dyDescent="0.25">
      <c r="A3166" s="841" t="s">
        <v>177</v>
      </c>
      <c r="E3166" s="1909" t="s">
        <v>438</v>
      </c>
      <c r="F3166" s="1697"/>
      <c r="G3166" s="1697"/>
      <c r="H3166" s="1697"/>
      <c r="K3166" s="841" t="s">
        <v>3197</v>
      </c>
      <c r="M3166" s="1357"/>
      <c r="Q3166" s="1357"/>
      <c r="S3166" s="1420"/>
      <c r="T3166" s="1420"/>
      <c r="V3166" s="1357">
        <v>34</v>
      </c>
    </row>
    <row r="3167" spans="1:22" s="841" customFormat="1" ht="15" x14ac:dyDescent="0.25">
      <c r="A3167" s="841" t="s">
        <v>177</v>
      </c>
      <c r="E3167" s="1689" t="s">
        <v>4726</v>
      </c>
      <c r="F3167" s="1689"/>
      <c r="G3167" s="1689"/>
      <c r="H3167" s="1689"/>
      <c r="K3167" s="841" t="s">
        <v>3197</v>
      </c>
      <c r="M3167" s="1357"/>
      <c r="Q3167" s="1357"/>
      <c r="S3167" s="1420"/>
      <c r="T3167" s="1420"/>
      <c r="V3167" s="1357">
        <v>473</v>
      </c>
    </row>
    <row r="3168" spans="1:22" s="841" customFormat="1" ht="15" x14ac:dyDescent="0.25">
      <c r="A3168" s="841" t="s">
        <v>177</v>
      </c>
      <c r="E3168" s="1916" t="s">
        <v>3061</v>
      </c>
      <c r="F3168" s="1697"/>
      <c r="G3168" s="1697"/>
      <c r="H3168" s="1697"/>
      <c r="K3168" s="841" t="s">
        <v>3062</v>
      </c>
      <c r="M3168" s="1357"/>
      <c r="Q3168" s="1357"/>
      <c r="S3168" s="1420"/>
      <c r="T3168" s="1420"/>
      <c r="V3168" s="1357">
        <v>11</v>
      </c>
    </row>
    <row r="3169" spans="1:22" s="841" customFormat="1" ht="15" x14ac:dyDescent="0.25">
      <c r="A3169" s="841" t="s">
        <v>177</v>
      </c>
      <c r="E3169" s="1689" t="s">
        <v>3063</v>
      </c>
      <c r="F3169" s="1689"/>
      <c r="G3169" s="1689"/>
      <c r="H3169" s="1689"/>
      <c r="K3169" s="841" t="s">
        <v>3197</v>
      </c>
      <c r="M3169" s="1357"/>
      <c r="Q3169" s="1357"/>
      <c r="S3169" s="1420"/>
      <c r="T3169" s="1420"/>
      <c r="V3169" s="1357">
        <v>280</v>
      </c>
    </row>
    <row r="3170" spans="1:22" s="841" customFormat="1" ht="15" x14ac:dyDescent="0.25">
      <c r="A3170" s="841" t="s">
        <v>177</v>
      </c>
      <c r="E3170" s="1689" t="s">
        <v>3064</v>
      </c>
      <c r="F3170" s="1689"/>
      <c r="G3170" s="1689"/>
      <c r="H3170" s="1689"/>
      <c r="K3170" s="841" t="s">
        <v>3197</v>
      </c>
      <c r="M3170" s="1357"/>
      <c r="Q3170" s="1357"/>
      <c r="S3170" s="1420"/>
      <c r="T3170" s="1420"/>
      <c r="V3170" s="1357">
        <v>411</v>
      </c>
    </row>
    <row r="3171" spans="1:22" s="841" customFormat="1" ht="15" x14ac:dyDescent="0.25">
      <c r="A3171" s="841" t="s">
        <v>177</v>
      </c>
      <c r="E3171" s="1689" t="s">
        <v>3199</v>
      </c>
      <c r="F3171" s="1689"/>
      <c r="G3171" s="1689"/>
      <c r="H3171" s="1689"/>
      <c r="K3171" s="841" t="s">
        <v>3197</v>
      </c>
      <c r="M3171" s="1357"/>
      <c r="Q3171" s="1357"/>
      <c r="S3171" s="1420"/>
      <c r="T3171" s="1420"/>
      <c r="V3171" s="1357">
        <v>386</v>
      </c>
    </row>
    <row r="3172" spans="1:22" s="841" customFormat="1" ht="15" x14ac:dyDescent="0.25">
      <c r="A3172" s="841" t="s">
        <v>177</v>
      </c>
      <c r="E3172" s="1689" t="s">
        <v>3200</v>
      </c>
      <c r="F3172" s="1689"/>
      <c r="G3172" s="1689"/>
      <c r="H3172" s="1689"/>
      <c r="K3172" s="841" t="s">
        <v>3197</v>
      </c>
      <c r="M3172" s="1357"/>
      <c r="Q3172" s="1357"/>
      <c r="S3172" s="1420"/>
      <c r="T3172" s="1420"/>
      <c r="V3172" s="1357">
        <v>275</v>
      </c>
    </row>
    <row r="3173" spans="1:22" s="841" customFormat="1" ht="15" x14ac:dyDescent="0.25">
      <c r="A3173" s="841" t="s">
        <v>177</v>
      </c>
      <c r="E3173" s="1694" t="s">
        <v>3067</v>
      </c>
      <c r="F3173" s="1907"/>
      <c r="G3173" s="1907"/>
      <c r="H3173" s="1907"/>
      <c r="K3173" s="841" t="s">
        <v>3068</v>
      </c>
      <c r="M3173" s="1357"/>
      <c r="Q3173" s="1357"/>
      <c r="S3173" s="1420"/>
      <c r="T3173" s="1420"/>
      <c r="V3173" s="1357">
        <v>46</v>
      </c>
    </row>
    <row r="3174" spans="1:22" s="841" customFormat="1" ht="15" x14ac:dyDescent="0.25">
      <c r="A3174" s="841" t="s">
        <v>177</v>
      </c>
      <c r="E3174" s="1690" t="s">
        <v>11</v>
      </c>
      <c r="F3174" s="1690"/>
      <c r="G3174" s="1408" t="s">
        <v>23</v>
      </c>
      <c r="H3174" s="391">
        <v>16.95</v>
      </c>
      <c r="K3174" s="841" t="s">
        <v>3197</v>
      </c>
      <c r="L3174" s="841" t="s">
        <v>442</v>
      </c>
      <c r="M3174" s="1357"/>
      <c r="P3174" s="841" t="s">
        <v>3201</v>
      </c>
      <c r="Q3174" s="1357"/>
      <c r="S3174" s="1420"/>
      <c r="T3174" s="1420"/>
      <c r="V3174" s="1357">
        <v>14</v>
      </c>
    </row>
    <row r="3175" spans="1:22" s="841" customFormat="1" ht="15" x14ac:dyDescent="0.25">
      <c r="A3175" s="841" t="s">
        <v>177</v>
      </c>
      <c r="E3175" s="1690" t="s">
        <v>5109</v>
      </c>
      <c r="F3175" s="1690"/>
      <c r="G3175" s="1408" t="s">
        <v>23</v>
      </c>
      <c r="H3175" s="391">
        <v>0.56999999999999995</v>
      </c>
      <c r="K3175" s="841" t="s">
        <v>3197</v>
      </c>
      <c r="L3175" s="841" t="s">
        <v>443</v>
      </c>
      <c r="M3175" s="1357"/>
      <c r="P3175" s="841" t="s">
        <v>3202</v>
      </c>
      <c r="Q3175" s="1357"/>
      <c r="S3175" s="1420"/>
      <c r="T3175" s="1420">
        <v>44926</v>
      </c>
      <c r="V3175" s="1357">
        <v>64</v>
      </c>
    </row>
    <row r="3176" spans="1:22" s="841" customFormat="1" ht="15" x14ac:dyDescent="0.25">
      <c r="A3176" s="841" t="s">
        <v>177</v>
      </c>
      <c r="E3176" s="1690" t="s">
        <v>5383</v>
      </c>
      <c r="F3176" s="1908"/>
      <c r="G3176" s="1408" t="s">
        <v>23</v>
      </c>
      <c r="H3176" s="391">
        <v>0.08</v>
      </c>
      <c r="K3176" s="841" t="s">
        <v>3197</v>
      </c>
      <c r="L3176" s="841" t="s">
        <v>442</v>
      </c>
      <c r="M3176" s="1357"/>
      <c r="P3176" s="841" t="s">
        <v>3954</v>
      </c>
      <c r="Q3176" s="1357"/>
      <c r="S3176" s="1420"/>
      <c r="T3176" s="1420">
        <v>43585</v>
      </c>
      <c r="V3176" s="1357">
        <v>80</v>
      </c>
    </row>
    <row r="3177" spans="1:22" s="841" customFormat="1" ht="15" x14ac:dyDescent="0.25">
      <c r="A3177" s="841" t="s">
        <v>177</v>
      </c>
      <c r="E3177" s="1690" t="s">
        <v>84</v>
      </c>
      <c r="F3177" s="1690"/>
      <c r="G3177" s="1408" t="s">
        <v>24</v>
      </c>
      <c r="H3177" s="393">
        <v>2.0999999999999999E-3</v>
      </c>
      <c r="K3177" s="841" t="s">
        <v>3197</v>
      </c>
      <c r="L3177" s="841" t="s">
        <v>442</v>
      </c>
      <c r="M3177" s="1357"/>
      <c r="P3177" s="841" t="s">
        <v>3203</v>
      </c>
      <c r="Q3177" s="1357"/>
      <c r="S3177" s="1420"/>
      <c r="T3177" s="1420"/>
      <c r="V3177" s="1357">
        <v>28</v>
      </c>
    </row>
    <row r="3178" spans="1:22" s="841" customFormat="1" ht="15" x14ac:dyDescent="0.25">
      <c r="A3178" s="841" t="s">
        <v>177</v>
      </c>
      <c r="E3178" s="1690" t="s">
        <v>18</v>
      </c>
      <c r="F3178" s="1690"/>
      <c r="G3178" s="1408" t="s">
        <v>24</v>
      </c>
      <c r="H3178" s="393">
        <v>1.1999999999999999E-3</v>
      </c>
      <c r="K3178" s="841" t="s">
        <v>3197</v>
      </c>
      <c r="L3178" s="841" t="s">
        <v>443</v>
      </c>
      <c r="M3178" s="1357"/>
      <c r="P3178" s="841" t="s">
        <v>3204</v>
      </c>
      <c r="Q3178" s="1357"/>
      <c r="S3178" s="1420"/>
      <c r="T3178" s="1420"/>
      <c r="V3178" s="1357">
        <v>24</v>
      </c>
    </row>
    <row r="3179" spans="1:22" s="841" customFormat="1" ht="15" x14ac:dyDescent="0.25">
      <c r="A3179" s="841" t="s">
        <v>177</v>
      </c>
      <c r="E3179" s="1690" t="s">
        <v>5130</v>
      </c>
      <c r="F3179" s="1908"/>
      <c r="G3179" s="1408" t="s">
        <v>24</v>
      </c>
      <c r="H3179" s="393">
        <v>3.3999999999999998E-3</v>
      </c>
      <c r="K3179" s="841" t="s">
        <v>3197</v>
      </c>
      <c r="L3179" s="841" t="s">
        <v>443</v>
      </c>
      <c r="M3179" s="1357"/>
      <c r="P3179" s="841" t="s">
        <v>3207</v>
      </c>
      <c r="Q3179" s="1357"/>
      <c r="S3179" s="1420"/>
      <c r="T3179" s="1420">
        <v>43585</v>
      </c>
      <c r="V3179" s="1357">
        <v>96</v>
      </c>
    </row>
    <row r="3180" spans="1:22" s="841" customFormat="1" ht="15" x14ac:dyDescent="0.25">
      <c r="A3180" s="841" t="s">
        <v>177</v>
      </c>
      <c r="E3180" s="1690" t="s">
        <v>5414</v>
      </c>
      <c r="F3180" s="1690"/>
      <c r="G3180" s="1408" t="s">
        <v>24</v>
      </c>
      <c r="H3180" s="393">
        <v>4.4999999999999997E-3</v>
      </c>
      <c r="K3180" s="841" t="s">
        <v>3197</v>
      </c>
      <c r="L3180" s="841" t="s">
        <v>443</v>
      </c>
      <c r="M3180" s="1357"/>
      <c r="P3180" s="841" t="s">
        <v>6215</v>
      </c>
      <c r="Q3180" s="1357"/>
      <c r="S3180" s="1420"/>
      <c r="T3180" s="1420"/>
      <c r="V3180" s="1357">
        <v>126</v>
      </c>
    </row>
    <row r="3181" spans="1:22" s="841" customFormat="1" ht="15" x14ac:dyDescent="0.25">
      <c r="A3181" s="841" t="s">
        <v>177</v>
      </c>
      <c r="E3181" s="1690" t="s">
        <v>221</v>
      </c>
      <c r="F3181" s="1690"/>
      <c r="G3181" s="1408" t="s">
        <v>24</v>
      </c>
      <c r="H3181" s="393">
        <v>7.3000000000000001E-3</v>
      </c>
      <c r="K3181" s="841" t="s">
        <v>3197</v>
      </c>
      <c r="L3181" s="841" t="s">
        <v>444</v>
      </c>
      <c r="M3181" s="1357"/>
      <c r="P3181" s="841" t="s">
        <v>3208</v>
      </c>
      <c r="Q3181" s="1357"/>
      <c r="S3181" s="1420"/>
      <c r="T3181" s="1420"/>
      <c r="V3181" s="1357">
        <v>47</v>
      </c>
    </row>
    <row r="3182" spans="1:22" s="841" customFormat="1" ht="15" x14ac:dyDescent="0.25">
      <c r="A3182" s="841" t="s">
        <v>177</v>
      </c>
      <c r="E3182" s="1690" t="s">
        <v>217</v>
      </c>
      <c r="F3182" s="1690"/>
      <c r="G3182" s="1408" t="s">
        <v>24</v>
      </c>
      <c r="H3182" s="393">
        <v>5.3E-3</v>
      </c>
      <c r="K3182" s="841" t="s">
        <v>3197</v>
      </c>
      <c r="L3182" s="841" t="s">
        <v>444</v>
      </c>
      <c r="M3182" s="1357"/>
      <c r="P3182" s="841" t="s">
        <v>3209</v>
      </c>
      <c r="Q3182" s="1357"/>
      <c r="S3182" s="1420"/>
      <c r="T3182" s="1420"/>
      <c r="V3182" s="1357">
        <v>74</v>
      </c>
    </row>
    <row r="3183" spans="1:22" s="841" customFormat="1" ht="15" x14ac:dyDescent="0.25">
      <c r="A3183" s="841" t="s">
        <v>177</v>
      </c>
      <c r="E3183" s="1694" t="s">
        <v>3079</v>
      </c>
      <c r="F3183" s="1690"/>
      <c r="G3183" s="1408"/>
      <c r="H3183" s="1408"/>
      <c r="K3183" s="841" t="s">
        <v>3080</v>
      </c>
      <c r="M3183" s="1357"/>
      <c r="Q3183" s="1357"/>
      <c r="S3183" s="1420"/>
      <c r="T3183" s="1420"/>
      <c r="V3183" s="1357">
        <v>48</v>
      </c>
    </row>
    <row r="3184" spans="1:22" s="841" customFormat="1" ht="15" x14ac:dyDescent="0.25">
      <c r="A3184" s="841" t="s">
        <v>177</v>
      </c>
      <c r="E3184" s="1690" t="s">
        <v>2449</v>
      </c>
      <c r="F3184" s="1690"/>
      <c r="G3184" s="1408" t="s">
        <v>24</v>
      </c>
      <c r="H3184" s="393">
        <v>3.2000000000000002E-3</v>
      </c>
      <c r="K3184" s="841" t="s">
        <v>3197</v>
      </c>
      <c r="L3184" s="841" t="s">
        <v>3046</v>
      </c>
      <c r="M3184" s="1357"/>
      <c r="P3184" s="841" t="s">
        <v>3210</v>
      </c>
      <c r="Q3184" s="1357"/>
      <c r="S3184" s="1420"/>
      <c r="T3184" s="1420"/>
      <c r="V3184" s="1357">
        <v>55</v>
      </c>
    </row>
    <row r="3185" spans="1:22" s="841" customFormat="1" ht="15" x14ac:dyDescent="0.25">
      <c r="A3185" s="841" t="s">
        <v>177</v>
      </c>
      <c r="E3185" s="1690" t="s">
        <v>2450</v>
      </c>
      <c r="F3185" s="1690"/>
      <c r="G3185" s="1408" t="s">
        <v>24</v>
      </c>
      <c r="H3185" s="393">
        <v>4.0000000000000002E-4</v>
      </c>
      <c r="K3185" s="841" t="s">
        <v>3197</v>
      </c>
      <c r="L3185" s="841" t="s">
        <v>3046</v>
      </c>
      <c r="M3185" s="1357"/>
      <c r="P3185" s="841" t="s">
        <v>3210</v>
      </c>
      <c r="Q3185" s="1357"/>
      <c r="S3185" s="1420"/>
      <c r="T3185" s="1420"/>
      <c r="V3185" s="1357">
        <v>65</v>
      </c>
    </row>
    <row r="3186" spans="1:22" s="841" customFormat="1" ht="15" x14ac:dyDescent="0.25">
      <c r="A3186" s="841" t="s">
        <v>177</v>
      </c>
      <c r="E3186" s="1690" t="s">
        <v>439</v>
      </c>
      <c r="F3186" s="1690"/>
      <c r="G3186" s="1408" t="s">
        <v>24</v>
      </c>
      <c r="H3186" s="393">
        <v>2.9999999999999997E-4</v>
      </c>
      <c r="K3186" s="841" t="s">
        <v>3197</v>
      </c>
      <c r="L3186" s="841" t="s">
        <v>3046</v>
      </c>
      <c r="M3186" s="1357"/>
      <c r="P3186" s="841" t="s">
        <v>3212</v>
      </c>
      <c r="Q3186" s="1357"/>
      <c r="S3186" s="1420"/>
      <c r="T3186" s="1420"/>
      <c r="V3186" s="1357">
        <v>57</v>
      </c>
    </row>
    <row r="3187" spans="1:22" s="841" customFormat="1" ht="15" x14ac:dyDescent="0.25">
      <c r="A3187" s="841" t="s">
        <v>177</v>
      </c>
      <c r="E3187" s="1690" t="s">
        <v>32</v>
      </c>
      <c r="F3187" s="1690"/>
      <c r="G3187" s="1408" t="s">
        <v>23</v>
      </c>
      <c r="H3187" s="391">
        <v>0.25</v>
      </c>
      <c r="K3187" s="841" t="s">
        <v>3197</v>
      </c>
      <c r="L3187" s="841" t="s">
        <v>3046</v>
      </c>
      <c r="M3187" s="1357"/>
      <c r="P3187" s="841" t="s">
        <v>3213</v>
      </c>
      <c r="Q3187" s="1357"/>
      <c r="S3187" s="1420"/>
      <c r="T3187" s="1420"/>
      <c r="V3187" s="1357">
        <v>63</v>
      </c>
    </row>
    <row r="3188" spans="1:22" s="841" customFormat="1" x14ac:dyDescent="0.25">
      <c r="A3188" s="841" t="s">
        <v>177</v>
      </c>
      <c r="E3188" s="1909" t="s">
        <v>3214</v>
      </c>
      <c r="F3188" s="1915"/>
      <c r="G3188" s="1915"/>
      <c r="H3188" s="1915"/>
      <c r="K3188" s="841" t="s">
        <v>5110</v>
      </c>
      <c r="M3188" s="1357"/>
      <c r="Q3188" s="1357"/>
      <c r="S3188" s="1420"/>
      <c r="T3188" s="1420"/>
      <c r="V3188" s="1357">
        <v>54</v>
      </c>
    </row>
    <row r="3189" spans="1:22" s="841" customFormat="1" ht="15" x14ac:dyDescent="0.25">
      <c r="A3189" s="841" t="s">
        <v>177</v>
      </c>
      <c r="E3189" s="1689" t="s">
        <v>4727</v>
      </c>
      <c r="F3189" s="1689"/>
      <c r="G3189" s="1689"/>
      <c r="H3189" s="1689"/>
      <c r="K3189" s="841" t="s">
        <v>5110</v>
      </c>
      <c r="M3189" s="1357"/>
      <c r="Q3189" s="1357"/>
      <c r="S3189" s="1420"/>
      <c r="T3189" s="1420"/>
      <c r="V3189" s="1357">
        <v>342</v>
      </c>
    </row>
    <row r="3190" spans="1:22" s="841" customFormat="1" ht="15" x14ac:dyDescent="0.25">
      <c r="A3190" s="841" t="s">
        <v>177</v>
      </c>
      <c r="E3190" s="1916" t="s">
        <v>3061</v>
      </c>
      <c r="F3190" s="1697"/>
      <c r="G3190" s="1697"/>
      <c r="H3190" s="1697"/>
      <c r="K3190" s="841" t="s">
        <v>3086</v>
      </c>
      <c r="M3190" s="1357"/>
      <c r="Q3190" s="1357"/>
      <c r="S3190" s="1420"/>
      <c r="T3190" s="1420"/>
      <c r="V3190" s="1357">
        <v>11</v>
      </c>
    </row>
    <row r="3191" spans="1:22" s="841" customFormat="1" ht="15" x14ac:dyDescent="0.25">
      <c r="A3191" s="841" t="s">
        <v>177</v>
      </c>
      <c r="E3191" s="1689" t="s">
        <v>3063</v>
      </c>
      <c r="F3191" s="1689"/>
      <c r="G3191" s="1689"/>
      <c r="H3191" s="1689"/>
      <c r="K3191" s="841" t="s">
        <v>5110</v>
      </c>
      <c r="M3191" s="1357"/>
      <c r="Q3191" s="1357"/>
      <c r="S3191" s="1420"/>
      <c r="T3191" s="1420"/>
      <c r="V3191" s="1357">
        <v>280</v>
      </c>
    </row>
    <row r="3192" spans="1:22" s="841" customFormat="1" ht="15" x14ac:dyDescent="0.25">
      <c r="A3192" s="841" t="s">
        <v>177</v>
      </c>
      <c r="E3192" s="1689" t="s">
        <v>3064</v>
      </c>
      <c r="F3192" s="1689"/>
      <c r="G3192" s="1689"/>
      <c r="H3192" s="1689"/>
      <c r="K3192" s="841" t="s">
        <v>5110</v>
      </c>
      <c r="M3192" s="1357"/>
      <c r="Q3192" s="1357"/>
      <c r="S3192" s="1420"/>
      <c r="T3192" s="1420"/>
      <c r="V3192" s="1357">
        <v>411</v>
      </c>
    </row>
    <row r="3193" spans="1:22" s="841" customFormat="1" ht="15" x14ac:dyDescent="0.25">
      <c r="A3193" s="841" t="s">
        <v>177</v>
      </c>
      <c r="E3193" s="1689" t="s">
        <v>3199</v>
      </c>
      <c r="F3193" s="1689"/>
      <c r="G3193" s="1689"/>
      <c r="H3193" s="1689"/>
      <c r="K3193" s="841" t="s">
        <v>5110</v>
      </c>
      <c r="M3193" s="1357"/>
      <c r="Q3193" s="1357"/>
      <c r="S3193" s="1420"/>
      <c r="T3193" s="1420"/>
      <c r="V3193" s="1357">
        <v>386</v>
      </c>
    </row>
    <row r="3194" spans="1:22" s="841" customFormat="1" ht="15" x14ac:dyDescent="0.25">
      <c r="A3194" s="841" t="s">
        <v>177</v>
      </c>
      <c r="E3194" s="1689" t="s">
        <v>3200</v>
      </c>
      <c r="F3194" s="1689"/>
      <c r="G3194" s="1689"/>
      <c r="H3194" s="1689"/>
      <c r="K3194" s="841" t="s">
        <v>5110</v>
      </c>
      <c r="M3194" s="1357"/>
      <c r="Q3194" s="1357"/>
      <c r="S3194" s="1420"/>
      <c r="T3194" s="1420"/>
      <c r="V3194" s="1357">
        <v>275</v>
      </c>
    </row>
    <row r="3195" spans="1:22" s="841" customFormat="1" ht="15" x14ac:dyDescent="0.25">
      <c r="A3195" s="841" t="s">
        <v>177</v>
      </c>
      <c r="E3195" s="1694" t="s">
        <v>3067</v>
      </c>
      <c r="F3195" s="1907"/>
      <c r="G3195" s="1907"/>
      <c r="H3195" s="1907"/>
      <c r="K3195" s="841" t="s">
        <v>3087</v>
      </c>
      <c r="M3195" s="1357"/>
      <c r="Q3195" s="1357"/>
      <c r="S3195" s="1420"/>
      <c r="T3195" s="1420"/>
      <c r="V3195" s="1357">
        <v>46</v>
      </c>
    </row>
    <row r="3196" spans="1:22" s="841" customFormat="1" ht="15" x14ac:dyDescent="0.25">
      <c r="A3196" s="841" t="s">
        <v>177</v>
      </c>
      <c r="E3196" s="1690" t="s">
        <v>11</v>
      </c>
      <c r="F3196" s="1690"/>
      <c r="G3196" s="1408" t="s">
        <v>23</v>
      </c>
      <c r="H3196" s="391">
        <v>16.079999999999998</v>
      </c>
      <c r="K3196" s="841" t="s">
        <v>5110</v>
      </c>
      <c r="L3196" s="841" t="s">
        <v>442</v>
      </c>
      <c r="M3196" s="1357"/>
      <c r="P3196" s="841" t="s">
        <v>5111</v>
      </c>
      <c r="Q3196" s="1357"/>
      <c r="S3196" s="1420"/>
      <c r="T3196" s="1420"/>
      <c r="V3196" s="1357">
        <v>14</v>
      </c>
    </row>
    <row r="3197" spans="1:22" s="841" customFormat="1" ht="15" x14ac:dyDescent="0.25">
      <c r="A3197" s="841" t="s">
        <v>177</v>
      </c>
      <c r="E3197" s="1690" t="s">
        <v>5109</v>
      </c>
      <c r="F3197" s="1690"/>
      <c r="G3197" s="1408" t="s">
        <v>23</v>
      </c>
      <c r="H3197" s="391">
        <v>0.56999999999999995</v>
      </c>
      <c r="K3197" s="841" t="s">
        <v>5110</v>
      </c>
      <c r="L3197" s="841" t="s">
        <v>443</v>
      </c>
      <c r="M3197" s="1357"/>
      <c r="P3197" s="841" t="s">
        <v>5112</v>
      </c>
      <c r="Q3197" s="1357"/>
      <c r="S3197" s="1420"/>
      <c r="T3197" s="1420">
        <v>44926</v>
      </c>
      <c r="V3197" s="1357">
        <v>64</v>
      </c>
    </row>
    <row r="3198" spans="1:22" s="841" customFormat="1" ht="15" x14ac:dyDescent="0.25">
      <c r="A3198" s="841" t="s">
        <v>177</v>
      </c>
      <c r="E3198" s="1690" t="s">
        <v>84</v>
      </c>
      <c r="F3198" s="1690"/>
      <c r="G3198" s="1408" t="s">
        <v>24</v>
      </c>
      <c r="H3198" s="393">
        <v>5.1000000000000004E-3</v>
      </c>
      <c r="K3198" s="841" t="s">
        <v>5110</v>
      </c>
      <c r="L3198" s="841" t="s">
        <v>442</v>
      </c>
      <c r="M3198" s="1357"/>
      <c r="P3198" s="841" t="s">
        <v>5113</v>
      </c>
      <c r="Q3198" s="1357"/>
      <c r="S3198" s="1420"/>
      <c r="T3198" s="1420"/>
      <c r="V3198" s="1357">
        <v>28</v>
      </c>
    </row>
    <row r="3199" spans="1:22" s="841" customFormat="1" ht="15" x14ac:dyDescent="0.25">
      <c r="A3199" s="841" t="s">
        <v>177</v>
      </c>
      <c r="E3199" s="1690" t="s">
        <v>18</v>
      </c>
      <c r="F3199" s="1690"/>
      <c r="G3199" s="1408" t="s">
        <v>24</v>
      </c>
      <c r="H3199" s="393">
        <v>1.1000000000000001E-3</v>
      </c>
      <c r="K3199" s="841" t="s">
        <v>5110</v>
      </c>
      <c r="L3199" s="841" t="s">
        <v>443</v>
      </c>
      <c r="M3199" s="1357"/>
      <c r="P3199" s="841" t="s">
        <v>5114</v>
      </c>
      <c r="Q3199" s="1357"/>
      <c r="S3199" s="1420"/>
      <c r="T3199" s="1420"/>
      <c r="V3199" s="1357">
        <v>24</v>
      </c>
    </row>
    <row r="3200" spans="1:22" s="841" customFormat="1" ht="15" x14ac:dyDescent="0.25">
      <c r="A3200" s="841" t="s">
        <v>177</v>
      </c>
      <c r="E3200" s="1690" t="s">
        <v>5130</v>
      </c>
      <c r="F3200" s="1908"/>
      <c r="G3200" s="1408" t="s">
        <v>24</v>
      </c>
      <c r="H3200" s="393">
        <v>3.7000000000000002E-3</v>
      </c>
      <c r="K3200" s="841" t="s">
        <v>5110</v>
      </c>
      <c r="L3200" s="841" t="s">
        <v>443</v>
      </c>
      <c r="M3200" s="1357"/>
      <c r="P3200" s="841" t="s">
        <v>5124</v>
      </c>
      <c r="Q3200" s="1357"/>
      <c r="S3200" s="1420"/>
      <c r="T3200" s="1420">
        <v>43585</v>
      </c>
      <c r="V3200" s="1357">
        <v>96</v>
      </c>
    </row>
    <row r="3201" spans="1:22" s="841" customFormat="1" ht="15" x14ac:dyDescent="0.25">
      <c r="A3201" s="841" t="s">
        <v>177</v>
      </c>
      <c r="E3201" s="1690" t="s">
        <v>5414</v>
      </c>
      <c r="F3201" s="1690"/>
      <c r="G3201" s="1408" t="s">
        <v>24</v>
      </c>
      <c r="H3201" s="393">
        <v>4.4999999999999997E-3</v>
      </c>
      <c r="K3201" s="841" t="s">
        <v>5110</v>
      </c>
      <c r="L3201" s="841" t="s">
        <v>443</v>
      </c>
      <c r="M3201" s="1357"/>
      <c r="P3201" s="841" t="s">
        <v>6216</v>
      </c>
      <c r="Q3201" s="1357"/>
      <c r="S3201" s="1420"/>
      <c r="T3201" s="1420"/>
      <c r="V3201" s="1357">
        <v>126</v>
      </c>
    </row>
    <row r="3202" spans="1:22" s="841" customFormat="1" ht="15" x14ac:dyDescent="0.25">
      <c r="A3202" s="841" t="s">
        <v>177</v>
      </c>
      <c r="E3202" s="1690" t="s">
        <v>5383</v>
      </c>
      <c r="F3202" s="1908"/>
      <c r="G3202" s="1408" t="s">
        <v>24</v>
      </c>
      <c r="H3202" s="393">
        <v>1E-4</v>
      </c>
      <c r="K3202" s="841" t="s">
        <v>5110</v>
      </c>
      <c r="L3202" s="841" t="s">
        <v>442</v>
      </c>
      <c r="M3202" s="1357"/>
      <c r="P3202" s="841" t="s">
        <v>5391</v>
      </c>
      <c r="Q3202" s="1357"/>
      <c r="S3202" s="1420"/>
      <c r="T3202" s="1420">
        <v>43585</v>
      </c>
      <c r="V3202" s="1357">
        <v>80</v>
      </c>
    </row>
    <row r="3203" spans="1:22" s="841" customFormat="1" ht="15" x14ac:dyDescent="0.25">
      <c r="A3203" s="841" t="s">
        <v>177</v>
      </c>
      <c r="E3203" s="1690" t="s">
        <v>221</v>
      </c>
      <c r="F3203" s="1690"/>
      <c r="G3203" s="1408" t="s">
        <v>24</v>
      </c>
      <c r="H3203" s="393">
        <v>6.4000000000000003E-3</v>
      </c>
      <c r="K3203" s="841" t="s">
        <v>5110</v>
      </c>
      <c r="L3203" s="841" t="s">
        <v>444</v>
      </c>
      <c r="M3203" s="1357"/>
      <c r="P3203" s="841" t="s">
        <v>5115</v>
      </c>
      <c r="Q3203" s="1357"/>
      <c r="S3203" s="1420"/>
      <c r="T3203" s="1420"/>
      <c r="V3203" s="1357">
        <v>47</v>
      </c>
    </row>
    <row r="3204" spans="1:22" s="841" customFormat="1" ht="15" x14ac:dyDescent="0.25">
      <c r="A3204" s="841" t="s">
        <v>177</v>
      </c>
      <c r="E3204" s="1690" t="s">
        <v>217</v>
      </c>
      <c r="F3204" s="1690"/>
      <c r="G3204" s="1408" t="s">
        <v>24</v>
      </c>
      <c r="H3204" s="393">
        <v>4.5999999999999999E-3</v>
      </c>
      <c r="K3204" s="841" t="s">
        <v>5110</v>
      </c>
      <c r="L3204" s="841" t="s">
        <v>444</v>
      </c>
      <c r="M3204" s="1357"/>
      <c r="P3204" s="841" t="s">
        <v>5116</v>
      </c>
      <c r="Q3204" s="1357"/>
      <c r="S3204" s="1420"/>
      <c r="T3204" s="1420"/>
      <c r="V3204" s="1357">
        <v>74</v>
      </c>
    </row>
    <row r="3205" spans="1:22" s="841" customFormat="1" ht="15" x14ac:dyDescent="0.25">
      <c r="A3205" s="841" t="s">
        <v>177</v>
      </c>
      <c r="E3205" s="1694" t="s">
        <v>3079</v>
      </c>
      <c r="F3205" s="1690"/>
      <c r="G3205" s="1408"/>
      <c r="H3205" s="1408"/>
      <c r="K3205" s="841" t="s">
        <v>3093</v>
      </c>
      <c r="M3205" s="1357"/>
      <c r="Q3205" s="1357"/>
      <c r="S3205" s="1420"/>
      <c r="T3205" s="1420"/>
      <c r="V3205" s="1357">
        <v>48</v>
      </c>
    </row>
    <row r="3206" spans="1:22" s="841" customFormat="1" ht="15" x14ac:dyDescent="0.25">
      <c r="A3206" s="841" t="s">
        <v>177</v>
      </c>
      <c r="E3206" s="1690" t="s">
        <v>2449</v>
      </c>
      <c r="F3206" s="1690"/>
      <c r="G3206" s="1408" t="s">
        <v>24</v>
      </c>
      <c r="H3206" s="393">
        <v>3.2000000000000002E-3</v>
      </c>
      <c r="K3206" s="841" t="s">
        <v>5110</v>
      </c>
      <c r="L3206" s="841" t="s">
        <v>3046</v>
      </c>
      <c r="M3206" s="1357"/>
      <c r="P3206" s="841" t="s">
        <v>5117</v>
      </c>
      <c r="Q3206" s="1357"/>
      <c r="S3206" s="1420"/>
      <c r="T3206" s="1420"/>
      <c r="V3206" s="1357">
        <v>55</v>
      </c>
    </row>
    <row r="3207" spans="1:22" s="841" customFormat="1" ht="15" x14ac:dyDescent="0.25">
      <c r="A3207" s="841" t="s">
        <v>177</v>
      </c>
      <c r="E3207" s="1690" t="s">
        <v>2450</v>
      </c>
      <c r="F3207" s="1690"/>
      <c r="G3207" s="1408" t="s">
        <v>24</v>
      </c>
      <c r="H3207" s="393">
        <v>4.0000000000000002E-4</v>
      </c>
      <c r="K3207" s="841" t="s">
        <v>5110</v>
      </c>
      <c r="L3207" s="841" t="s">
        <v>3046</v>
      </c>
      <c r="M3207" s="1357"/>
      <c r="P3207" s="841" t="s">
        <v>5117</v>
      </c>
      <c r="Q3207" s="1357"/>
      <c r="S3207" s="1420"/>
      <c r="T3207" s="1420"/>
      <c r="V3207" s="1357">
        <v>65</v>
      </c>
    </row>
    <row r="3208" spans="1:22" s="841" customFormat="1" ht="15" x14ac:dyDescent="0.25">
      <c r="A3208" s="841" t="s">
        <v>177</v>
      </c>
      <c r="E3208" s="1690" t="s">
        <v>439</v>
      </c>
      <c r="F3208" s="1690"/>
      <c r="G3208" s="1408" t="s">
        <v>24</v>
      </c>
      <c r="H3208" s="393">
        <v>2.9999999999999997E-4</v>
      </c>
      <c r="K3208" s="841" t="s">
        <v>5110</v>
      </c>
      <c r="L3208" s="841" t="s">
        <v>3046</v>
      </c>
      <c r="M3208" s="1357"/>
      <c r="P3208" s="841" t="s">
        <v>5118</v>
      </c>
      <c r="Q3208" s="1357"/>
      <c r="S3208" s="1420"/>
      <c r="T3208" s="1420"/>
      <c r="V3208" s="1357">
        <v>57</v>
      </c>
    </row>
    <row r="3209" spans="1:22" s="841" customFormat="1" ht="15" x14ac:dyDescent="0.25">
      <c r="A3209" s="841" t="s">
        <v>177</v>
      </c>
      <c r="E3209" s="1690" t="s">
        <v>32</v>
      </c>
      <c r="F3209" s="1690"/>
      <c r="G3209" s="1408" t="s">
        <v>23</v>
      </c>
      <c r="H3209" s="391">
        <v>0.25</v>
      </c>
      <c r="K3209" s="841" t="s">
        <v>5110</v>
      </c>
      <c r="L3209" s="841" t="s">
        <v>3046</v>
      </c>
      <c r="M3209" s="1357"/>
      <c r="P3209" s="841" t="s">
        <v>5119</v>
      </c>
      <c r="Q3209" s="1357"/>
      <c r="S3209" s="1420"/>
      <c r="T3209" s="1420"/>
      <c r="V3209" s="1357">
        <v>63</v>
      </c>
    </row>
    <row r="3210" spans="1:22" s="841" customFormat="1" x14ac:dyDescent="0.25">
      <c r="A3210" s="841" t="s">
        <v>177</v>
      </c>
      <c r="E3210" s="1909" t="s">
        <v>616</v>
      </c>
      <c r="F3210" s="1915"/>
      <c r="G3210" s="1915"/>
      <c r="H3210" s="1915"/>
      <c r="K3210" s="841" t="s">
        <v>6095</v>
      </c>
      <c r="M3210" s="1357"/>
      <c r="Q3210" s="1357"/>
      <c r="S3210" s="1420"/>
      <c r="T3210" s="1420"/>
      <c r="V3210" s="1357">
        <v>53</v>
      </c>
    </row>
    <row r="3211" spans="1:22" s="841" customFormat="1" ht="15" x14ac:dyDescent="0.25">
      <c r="A3211" s="841" t="s">
        <v>177</v>
      </c>
      <c r="E3211" s="1689" t="s">
        <v>4728</v>
      </c>
      <c r="F3211" s="1689"/>
      <c r="G3211" s="1689"/>
      <c r="H3211" s="1689"/>
      <c r="K3211" s="841" t="s">
        <v>6095</v>
      </c>
      <c r="M3211" s="1357"/>
      <c r="Q3211" s="1357"/>
      <c r="S3211" s="1420"/>
      <c r="T3211" s="1420"/>
      <c r="V3211" s="1357">
        <v>310</v>
      </c>
    </row>
    <row r="3212" spans="1:22" s="841" customFormat="1" ht="15" x14ac:dyDescent="0.25">
      <c r="A3212" s="841" t="s">
        <v>177</v>
      </c>
      <c r="E3212" s="1916" t="s">
        <v>3061</v>
      </c>
      <c r="F3212" s="1697"/>
      <c r="G3212" s="1697"/>
      <c r="H3212" s="1697"/>
      <c r="K3212" s="841" t="s">
        <v>3098</v>
      </c>
      <c r="M3212" s="1357"/>
      <c r="Q3212" s="1357"/>
      <c r="S3212" s="1420"/>
      <c r="T3212" s="1420"/>
      <c r="V3212" s="1357">
        <v>11</v>
      </c>
    </row>
    <row r="3213" spans="1:22" s="841" customFormat="1" ht="15" x14ac:dyDescent="0.25">
      <c r="A3213" s="841" t="s">
        <v>177</v>
      </c>
      <c r="E3213" s="1689" t="s">
        <v>3064</v>
      </c>
      <c r="F3213" s="1689"/>
      <c r="G3213" s="1689"/>
      <c r="H3213" s="1689"/>
      <c r="K3213" s="841" t="s">
        <v>6095</v>
      </c>
      <c r="M3213" s="1357"/>
      <c r="Q3213" s="1357"/>
      <c r="S3213" s="1420"/>
      <c r="T3213" s="1420"/>
      <c r="V3213" s="1357">
        <v>411</v>
      </c>
    </row>
    <row r="3214" spans="1:22" s="841" customFormat="1" ht="15" x14ac:dyDescent="0.25">
      <c r="A3214" s="841" t="s">
        <v>177</v>
      </c>
      <c r="E3214" s="1689" t="s">
        <v>3199</v>
      </c>
      <c r="F3214" s="1689"/>
      <c r="G3214" s="1689"/>
      <c r="H3214" s="1689"/>
      <c r="K3214" s="841" t="s">
        <v>6095</v>
      </c>
      <c r="M3214" s="1357"/>
      <c r="Q3214" s="1357"/>
      <c r="S3214" s="1420"/>
      <c r="T3214" s="1420"/>
      <c r="V3214" s="1357">
        <v>386</v>
      </c>
    </row>
    <row r="3215" spans="1:22" s="841" customFormat="1" ht="15" x14ac:dyDescent="0.25">
      <c r="A3215" s="841" t="s">
        <v>177</v>
      </c>
      <c r="E3215" s="1689" t="s">
        <v>3200</v>
      </c>
      <c r="F3215" s="1689"/>
      <c r="G3215" s="1689"/>
      <c r="H3215" s="1689"/>
      <c r="K3215" s="841" t="s">
        <v>6095</v>
      </c>
      <c r="M3215" s="1357"/>
      <c r="Q3215" s="1357"/>
      <c r="S3215" s="1420"/>
      <c r="T3215" s="1420"/>
      <c r="V3215" s="1357">
        <v>275</v>
      </c>
    </row>
    <row r="3216" spans="1:22" s="841" customFormat="1" ht="15" x14ac:dyDescent="0.25">
      <c r="A3216" s="841" t="s">
        <v>177</v>
      </c>
      <c r="E3216" s="1694" t="s">
        <v>3067</v>
      </c>
      <c r="F3216" s="1907"/>
      <c r="G3216" s="1907"/>
      <c r="H3216" s="1907"/>
      <c r="K3216" s="841" t="s">
        <v>3099</v>
      </c>
      <c r="M3216" s="1357"/>
      <c r="Q3216" s="1357"/>
      <c r="S3216" s="1420"/>
      <c r="T3216" s="1420"/>
      <c r="V3216" s="1357">
        <v>46</v>
      </c>
    </row>
    <row r="3217" spans="1:22" s="841" customFormat="1" ht="15" x14ac:dyDescent="0.25">
      <c r="A3217" s="841" t="s">
        <v>177</v>
      </c>
      <c r="E3217" s="1690" t="s">
        <v>11</v>
      </c>
      <c r="F3217" s="1690"/>
      <c r="G3217" s="1408" t="s">
        <v>23</v>
      </c>
      <c r="H3217" s="391">
        <v>190.64</v>
      </c>
      <c r="K3217" s="841" t="s">
        <v>6095</v>
      </c>
      <c r="L3217" s="841" t="s">
        <v>442</v>
      </c>
      <c r="M3217" s="1357"/>
      <c r="P3217" s="841" t="s">
        <v>6096</v>
      </c>
      <c r="Q3217" s="1357"/>
      <c r="S3217" s="1420"/>
      <c r="T3217" s="1420"/>
      <c r="V3217" s="1357">
        <v>14</v>
      </c>
    </row>
    <row r="3218" spans="1:22" s="841" customFormat="1" ht="15" x14ac:dyDescent="0.25">
      <c r="A3218" s="841" t="s">
        <v>177</v>
      </c>
      <c r="E3218" s="1690" t="s">
        <v>84</v>
      </c>
      <c r="F3218" s="1690"/>
      <c r="G3218" s="1408" t="s">
        <v>33</v>
      </c>
      <c r="H3218" s="393">
        <v>1.6129</v>
      </c>
      <c r="K3218" s="841" t="s">
        <v>6095</v>
      </c>
      <c r="L3218" s="841" t="s">
        <v>442</v>
      </c>
      <c r="M3218" s="1357"/>
      <c r="P3218" s="841" t="s">
        <v>6097</v>
      </c>
      <c r="Q3218" s="1357"/>
      <c r="S3218" s="1420"/>
      <c r="T3218" s="1420"/>
      <c r="V3218" s="1357">
        <v>28</v>
      </c>
    </row>
    <row r="3219" spans="1:22" s="841" customFormat="1" ht="15" x14ac:dyDescent="0.25">
      <c r="A3219" s="841" t="s">
        <v>177</v>
      </c>
      <c r="E3219" s="1690" t="s">
        <v>18</v>
      </c>
      <c r="F3219" s="1690"/>
      <c r="G3219" s="1408" t="s">
        <v>33</v>
      </c>
      <c r="H3219" s="393">
        <v>0.43319999999999997</v>
      </c>
      <c r="K3219" s="841" t="s">
        <v>6095</v>
      </c>
      <c r="L3219" s="841" t="s">
        <v>443</v>
      </c>
      <c r="M3219" s="1357"/>
      <c r="P3219" s="841" t="s">
        <v>6098</v>
      </c>
      <c r="Q3219" s="1357"/>
      <c r="S3219" s="1420"/>
      <c r="T3219" s="1420"/>
      <c r="V3219" s="1357">
        <v>24</v>
      </c>
    </row>
    <row r="3220" spans="1:22" s="841" customFormat="1" ht="15" x14ac:dyDescent="0.25">
      <c r="A3220" s="841" t="s">
        <v>177</v>
      </c>
      <c r="E3220" s="1690" t="s">
        <v>5305</v>
      </c>
      <c r="F3220" s="1908"/>
      <c r="G3220" s="1408" t="s">
        <v>33</v>
      </c>
      <c r="H3220" s="393">
        <v>-0.31009999999999999</v>
      </c>
      <c r="K3220" s="841" t="s">
        <v>6095</v>
      </c>
      <c r="L3220" s="841" t="s">
        <v>443</v>
      </c>
      <c r="M3220" s="1357"/>
      <c r="P3220" s="841" t="s">
        <v>6105</v>
      </c>
      <c r="Q3220" s="1357"/>
      <c r="S3220" s="1420"/>
      <c r="T3220" s="1420">
        <v>43585</v>
      </c>
      <c r="V3220" s="1357">
        <v>156</v>
      </c>
    </row>
    <row r="3221" spans="1:22" s="841" customFormat="1" ht="15" x14ac:dyDescent="0.25">
      <c r="A3221" s="841" t="s">
        <v>177</v>
      </c>
      <c r="E3221" s="1690" t="s">
        <v>5130</v>
      </c>
      <c r="F3221" s="1908"/>
      <c r="G3221" s="1408" t="s">
        <v>33</v>
      </c>
      <c r="H3221" s="393">
        <v>1.4079999999999999</v>
      </c>
      <c r="K3221" s="841" t="s">
        <v>6095</v>
      </c>
      <c r="L3221" s="841" t="s">
        <v>443</v>
      </c>
      <c r="M3221" s="1357"/>
      <c r="P3221" s="841" t="s">
        <v>6105</v>
      </c>
      <c r="Q3221" s="1357"/>
      <c r="S3221" s="1420"/>
      <c r="T3221" s="1420">
        <v>43585</v>
      </c>
      <c r="V3221" s="1357">
        <v>96</v>
      </c>
    </row>
    <row r="3222" spans="1:22" s="841" customFormat="1" ht="15" x14ac:dyDescent="0.25">
      <c r="A3222" s="841" t="s">
        <v>177</v>
      </c>
      <c r="E3222" s="1690" t="s">
        <v>5414</v>
      </c>
      <c r="F3222" s="1690"/>
      <c r="G3222" s="1408" t="s">
        <v>24</v>
      </c>
      <c r="H3222" s="393">
        <v>4.4999999999999997E-3</v>
      </c>
      <c r="K3222" s="841" t="s">
        <v>6095</v>
      </c>
      <c r="L3222" s="841" t="s">
        <v>443</v>
      </c>
      <c r="M3222" s="1357"/>
      <c r="P3222" s="841" t="s">
        <v>6217</v>
      </c>
      <c r="Q3222" s="1357"/>
      <c r="S3222" s="1420"/>
      <c r="T3222" s="1420"/>
      <c r="V3222" s="1357">
        <v>126</v>
      </c>
    </row>
    <row r="3223" spans="1:22" s="841" customFormat="1" ht="15" x14ac:dyDescent="0.25">
      <c r="A3223" s="841" t="s">
        <v>177</v>
      </c>
      <c r="E3223" s="1690" t="s">
        <v>5415</v>
      </c>
      <c r="F3223" s="1690"/>
      <c r="G3223" s="1408" t="s">
        <v>24</v>
      </c>
      <c r="H3223" s="393">
        <v>5.5999999999999999E-3</v>
      </c>
      <c r="K3223" s="841" t="s">
        <v>6095</v>
      </c>
      <c r="L3223" s="841" t="s">
        <v>443</v>
      </c>
      <c r="M3223" s="1357"/>
      <c r="P3223" s="841" t="s">
        <v>6218</v>
      </c>
      <c r="Q3223" s="1357"/>
      <c r="S3223" s="1420"/>
      <c r="T3223" s="1420">
        <v>44681</v>
      </c>
      <c r="V3223" s="1357">
        <v>295</v>
      </c>
    </row>
    <row r="3224" spans="1:22" s="841" customFormat="1" ht="15" x14ac:dyDescent="0.25">
      <c r="A3224" s="841" t="s">
        <v>177</v>
      </c>
      <c r="E3224" s="1690" t="s">
        <v>5383</v>
      </c>
      <c r="F3224" s="1908"/>
      <c r="G3224" s="1408" t="s">
        <v>33</v>
      </c>
      <c r="H3224" s="393">
        <v>1.3299999999999999E-2</v>
      </c>
      <c r="K3224" s="841" t="s">
        <v>6095</v>
      </c>
      <c r="L3224" s="841" t="s">
        <v>442</v>
      </c>
      <c r="M3224" s="1357"/>
      <c r="P3224" s="841" t="s">
        <v>6213</v>
      </c>
      <c r="Q3224" s="1357"/>
      <c r="S3224" s="1420"/>
      <c r="T3224" s="1420">
        <v>43585</v>
      </c>
      <c r="V3224" s="1357">
        <v>80</v>
      </c>
    </row>
    <row r="3225" spans="1:22" s="841" customFormat="1" ht="15" x14ac:dyDescent="0.25">
      <c r="A3225" s="841" t="s">
        <v>177</v>
      </c>
      <c r="E3225" s="1690" t="s">
        <v>221</v>
      </c>
      <c r="F3225" s="1690"/>
      <c r="G3225" s="1408" t="s">
        <v>33</v>
      </c>
      <c r="H3225" s="393">
        <v>2.6785000000000001</v>
      </c>
      <c r="K3225" s="841" t="s">
        <v>6095</v>
      </c>
      <c r="L3225" s="841" t="s">
        <v>444</v>
      </c>
      <c r="M3225" s="1357"/>
      <c r="P3225" s="841" t="s">
        <v>6099</v>
      </c>
      <c r="Q3225" s="1357"/>
      <c r="S3225" s="1420"/>
      <c r="T3225" s="1420"/>
      <c r="V3225" s="1357">
        <v>47</v>
      </c>
    </row>
    <row r="3226" spans="1:22" s="841" customFormat="1" ht="15" x14ac:dyDescent="0.25">
      <c r="A3226" s="841" t="s">
        <v>177</v>
      </c>
      <c r="E3226" s="1690" t="s">
        <v>3628</v>
      </c>
      <c r="F3226" s="1690"/>
      <c r="G3226" s="1408" t="s">
        <v>33</v>
      </c>
      <c r="H3226" s="393">
        <v>1.8973</v>
      </c>
      <c r="K3226" s="841" t="s">
        <v>6095</v>
      </c>
      <c r="L3226" s="841" t="s">
        <v>444</v>
      </c>
      <c r="M3226" s="1357"/>
      <c r="P3226" s="841" t="s">
        <v>6219</v>
      </c>
      <c r="Q3226" s="1357"/>
      <c r="S3226" s="1420"/>
      <c r="T3226" s="1420"/>
      <c r="V3226" s="1357">
        <v>75</v>
      </c>
    </row>
    <row r="3227" spans="1:22" s="841" customFormat="1" ht="15" x14ac:dyDescent="0.25">
      <c r="A3227" s="841" t="s">
        <v>177</v>
      </c>
      <c r="E3227" s="1694" t="s">
        <v>3079</v>
      </c>
      <c r="F3227" s="1690"/>
      <c r="G3227" s="1408"/>
      <c r="H3227" s="1408"/>
      <c r="K3227" s="841" t="s">
        <v>3218</v>
      </c>
      <c r="M3227" s="1357"/>
      <c r="Q3227" s="1357"/>
      <c r="S3227" s="1420"/>
      <c r="T3227" s="1420"/>
      <c r="V3227" s="1357">
        <v>48</v>
      </c>
    </row>
    <row r="3228" spans="1:22" s="841" customFormat="1" ht="15" x14ac:dyDescent="0.25">
      <c r="A3228" s="841" t="s">
        <v>177</v>
      </c>
      <c r="E3228" s="1690" t="s">
        <v>2449</v>
      </c>
      <c r="F3228" s="1690"/>
      <c r="G3228" s="1408" t="s">
        <v>24</v>
      </c>
      <c r="H3228" s="393">
        <v>3.2000000000000002E-3</v>
      </c>
      <c r="K3228" s="841" t="s">
        <v>6095</v>
      </c>
      <c r="L3228" s="841" t="s">
        <v>3046</v>
      </c>
      <c r="M3228" s="1357"/>
      <c r="P3228" s="841" t="s">
        <v>6101</v>
      </c>
      <c r="Q3228" s="1357"/>
      <c r="S3228" s="1420"/>
      <c r="T3228" s="1420"/>
      <c r="V3228" s="1357">
        <v>55</v>
      </c>
    </row>
    <row r="3229" spans="1:22" s="841" customFormat="1" ht="15" x14ac:dyDescent="0.25">
      <c r="A3229" s="841" t="s">
        <v>177</v>
      </c>
      <c r="E3229" s="1690" t="s">
        <v>2450</v>
      </c>
      <c r="F3229" s="1690"/>
      <c r="G3229" s="1408" t="s">
        <v>24</v>
      </c>
      <c r="H3229" s="393">
        <v>4.0000000000000002E-4</v>
      </c>
      <c r="K3229" s="841" t="s">
        <v>6095</v>
      </c>
      <c r="L3229" s="841" t="s">
        <v>3046</v>
      </c>
      <c r="M3229" s="1357"/>
      <c r="P3229" s="841" t="s">
        <v>6101</v>
      </c>
      <c r="Q3229" s="1357"/>
      <c r="S3229" s="1420"/>
      <c r="T3229" s="1420"/>
      <c r="V3229" s="1357">
        <v>65</v>
      </c>
    </row>
    <row r="3230" spans="1:22" s="841" customFormat="1" ht="15" x14ac:dyDescent="0.25">
      <c r="A3230" s="841" t="s">
        <v>177</v>
      </c>
      <c r="E3230" s="1690" t="s">
        <v>439</v>
      </c>
      <c r="F3230" s="1690"/>
      <c r="G3230" s="1408" t="s">
        <v>24</v>
      </c>
      <c r="H3230" s="393">
        <v>2.9999999999999997E-4</v>
      </c>
      <c r="K3230" s="841" t="s">
        <v>6095</v>
      </c>
      <c r="L3230" s="841" t="s">
        <v>3046</v>
      </c>
      <c r="M3230" s="1357"/>
      <c r="P3230" s="841" t="s">
        <v>6102</v>
      </c>
      <c r="Q3230" s="1357"/>
      <c r="S3230" s="1420"/>
      <c r="T3230" s="1420"/>
      <c r="V3230" s="1357">
        <v>57</v>
      </c>
    </row>
    <row r="3231" spans="1:22" s="841" customFormat="1" ht="15" x14ac:dyDescent="0.25">
      <c r="A3231" s="841" t="s">
        <v>177</v>
      </c>
      <c r="E3231" s="1690" t="s">
        <v>32</v>
      </c>
      <c r="F3231" s="1690"/>
      <c r="G3231" s="1408" t="s">
        <v>23</v>
      </c>
      <c r="H3231" s="391">
        <v>0.25</v>
      </c>
      <c r="K3231" s="841" t="s">
        <v>6095</v>
      </c>
      <c r="L3231" s="841" t="s">
        <v>3046</v>
      </c>
      <c r="M3231" s="1357"/>
      <c r="P3231" s="841" t="s">
        <v>6103</v>
      </c>
      <c r="Q3231" s="1357"/>
      <c r="S3231" s="1420"/>
      <c r="T3231" s="1420"/>
      <c r="V3231" s="1357">
        <v>63</v>
      </c>
    </row>
    <row r="3232" spans="1:22" s="841" customFormat="1" x14ac:dyDescent="0.25">
      <c r="A3232" s="841" t="s">
        <v>177</v>
      </c>
      <c r="E3232" s="1909" t="s">
        <v>617</v>
      </c>
      <c r="F3232" s="1915"/>
      <c r="G3232" s="1915"/>
      <c r="H3232" s="1915"/>
      <c r="K3232" s="841" t="s">
        <v>3406</v>
      </c>
      <c r="M3232" s="1357"/>
      <c r="Q3232" s="1357"/>
      <c r="S3232" s="1420"/>
      <c r="T3232" s="1420"/>
      <c r="V3232" s="1357">
        <v>47</v>
      </c>
    </row>
    <row r="3233" spans="1:22" s="841" customFormat="1" ht="15" x14ac:dyDescent="0.25">
      <c r="A3233" s="841" t="s">
        <v>177</v>
      </c>
      <c r="E3233" s="1689" t="s">
        <v>4729</v>
      </c>
      <c r="F3233" s="1689"/>
      <c r="G3233" s="1689"/>
      <c r="H3233" s="1689"/>
      <c r="K3233" s="841" t="s">
        <v>3406</v>
      </c>
      <c r="M3233" s="1357"/>
      <c r="Q3233" s="1357"/>
      <c r="S3233" s="1420"/>
      <c r="T3233" s="1420"/>
      <c r="V3233" s="1357">
        <v>700</v>
      </c>
    </row>
    <row r="3234" spans="1:22" s="841" customFormat="1" ht="15" x14ac:dyDescent="0.25">
      <c r="A3234" s="841" t="s">
        <v>177</v>
      </c>
      <c r="E3234" s="1916" t="s">
        <v>3061</v>
      </c>
      <c r="F3234" s="1697"/>
      <c r="G3234" s="1697"/>
      <c r="H3234" s="1697"/>
      <c r="K3234" s="841" t="s">
        <v>3221</v>
      </c>
      <c r="M3234" s="1357"/>
      <c r="Q3234" s="1357"/>
      <c r="S3234" s="1420"/>
      <c r="T3234" s="1420"/>
      <c r="V3234" s="1357">
        <v>11</v>
      </c>
    </row>
    <row r="3235" spans="1:22" s="841" customFormat="1" ht="15" x14ac:dyDescent="0.25">
      <c r="A3235" s="841" t="s">
        <v>177</v>
      </c>
      <c r="E3235" s="1689" t="s">
        <v>3063</v>
      </c>
      <c r="F3235" s="1689"/>
      <c r="G3235" s="1689"/>
      <c r="H3235" s="1689"/>
      <c r="K3235" s="841" t="s">
        <v>3406</v>
      </c>
      <c r="M3235" s="1357"/>
      <c r="Q3235" s="1357"/>
      <c r="S3235" s="1420"/>
      <c r="T3235" s="1420"/>
      <c r="V3235" s="1357">
        <v>280</v>
      </c>
    </row>
    <row r="3236" spans="1:22" s="841" customFormat="1" ht="15" x14ac:dyDescent="0.25">
      <c r="A3236" s="841" t="s">
        <v>177</v>
      </c>
      <c r="E3236" s="1689" t="s">
        <v>3064</v>
      </c>
      <c r="F3236" s="1689"/>
      <c r="G3236" s="1689"/>
      <c r="H3236" s="1689"/>
      <c r="K3236" s="841" t="s">
        <v>3406</v>
      </c>
      <c r="M3236" s="1357"/>
      <c r="Q3236" s="1357"/>
      <c r="S3236" s="1420"/>
      <c r="T3236" s="1420"/>
      <c r="V3236" s="1357">
        <v>411</v>
      </c>
    </row>
    <row r="3237" spans="1:22" s="841" customFormat="1" ht="15" x14ac:dyDescent="0.25">
      <c r="A3237" s="841" t="s">
        <v>177</v>
      </c>
      <c r="E3237" s="1689" t="s">
        <v>3199</v>
      </c>
      <c r="F3237" s="1689"/>
      <c r="G3237" s="1689"/>
      <c r="H3237" s="1689"/>
      <c r="K3237" s="841" t="s">
        <v>3406</v>
      </c>
      <c r="M3237" s="1357"/>
      <c r="Q3237" s="1357"/>
      <c r="S3237" s="1420"/>
      <c r="T3237" s="1420"/>
      <c r="V3237" s="1357">
        <v>386</v>
      </c>
    </row>
    <row r="3238" spans="1:22" s="841" customFormat="1" ht="15" x14ac:dyDescent="0.25">
      <c r="A3238" s="841" t="s">
        <v>177</v>
      </c>
      <c r="E3238" s="1689" t="s">
        <v>3200</v>
      </c>
      <c r="F3238" s="1689"/>
      <c r="G3238" s="1689"/>
      <c r="H3238" s="1689"/>
      <c r="K3238" s="841" t="s">
        <v>3406</v>
      </c>
      <c r="M3238" s="1357"/>
      <c r="Q3238" s="1357"/>
      <c r="S3238" s="1420"/>
      <c r="T3238" s="1420"/>
      <c r="V3238" s="1357">
        <v>275</v>
      </c>
    </row>
    <row r="3239" spans="1:22" s="841" customFormat="1" ht="15" x14ac:dyDescent="0.25">
      <c r="A3239" s="841" t="s">
        <v>177</v>
      </c>
      <c r="E3239" s="1694" t="s">
        <v>3067</v>
      </c>
      <c r="F3239" s="1907"/>
      <c r="G3239" s="1907"/>
      <c r="H3239" s="1907"/>
      <c r="K3239" s="841" t="s">
        <v>3224</v>
      </c>
      <c r="M3239" s="1357"/>
      <c r="Q3239" s="1357"/>
      <c r="S3239" s="1420"/>
      <c r="T3239" s="1420"/>
      <c r="V3239" s="1357">
        <v>46</v>
      </c>
    </row>
    <row r="3240" spans="1:22" s="841" customFormat="1" ht="15" x14ac:dyDescent="0.25">
      <c r="A3240" s="841" t="s">
        <v>177</v>
      </c>
      <c r="E3240" s="1690" t="s">
        <v>12</v>
      </c>
      <c r="F3240" s="1690"/>
      <c r="G3240" s="1408" t="s">
        <v>23</v>
      </c>
      <c r="H3240" s="391">
        <v>6.53</v>
      </c>
      <c r="K3240" s="841" t="s">
        <v>3406</v>
      </c>
      <c r="L3240" s="841" t="s">
        <v>442</v>
      </c>
      <c r="M3240" s="1357"/>
      <c r="P3240" s="841" t="s">
        <v>3408</v>
      </c>
      <c r="Q3240" s="1357"/>
      <c r="S3240" s="1420"/>
      <c r="T3240" s="1420"/>
      <c r="V3240" s="1357">
        <v>31</v>
      </c>
    </row>
    <row r="3241" spans="1:22" s="841" customFormat="1" ht="15" x14ac:dyDescent="0.25">
      <c r="A3241" s="841" t="s">
        <v>177</v>
      </c>
      <c r="E3241" s="1690" t="s">
        <v>84</v>
      </c>
      <c r="F3241" s="1690"/>
      <c r="G3241" s="1408" t="s">
        <v>24</v>
      </c>
      <c r="H3241" s="393">
        <v>1.9E-3</v>
      </c>
      <c r="K3241" s="841" t="s">
        <v>3406</v>
      </c>
      <c r="L3241" s="841" t="s">
        <v>442</v>
      </c>
      <c r="M3241" s="1357"/>
      <c r="P3241" s="841" t="s">
        <v>3409</v>
      </c>
      <c r="Q3241" s="1357"/>
      <c r="S3241" s="1420"/>
      <c r="T3241" s="1420"/>
      <c r="V3241" s="1357">
        <v>28</v>
      </c>
    </row>
    <row r="3242" spans="1:22" s="841" customFormat="1" ht="15" x14ac:dyDescent="0.25">
      <c r="A3242" s="841" t="s">
        <v>177</v>
      </c>
      <c r="E3242" s="1690" t="s">
        <v>18</v>
      </c>
      <c r="F3242" s="1690"/>
      <c r="G3242" s="1408" t="s">
        <v>24</v>
      </c>
      <c r="H3242" s="393">
        <v>1.1000000000000001E-3</v>
      </c>
      <c r="K3242" s="841" t="s">
        <v>3406</v>
      </c>
      <c r="L3242" s="841" t="s">
        <v>443</v>
      </c>
      <c r="M3242" s="1357"/>
      <c r="P3242" s="841" t="s">
        <v>3549</v>
      </c>
      <c r="Q3242" s="1357"/>
      <c r="S3242" s="1420"/>
      <c r="T3242" s="1420"/>
      <c r="V3242" s="1357">
        <v>24</v>
      </c>
    </row>
    <row r="3243" spans="1:22" s="841" customFormat="1" ht="15" x14ac:dyDescent="0.25">
      <c r="A3243" s="841" t="s">
        <v>177</v>
      </c>
      <c r="E3243" s="1690" t="s">
        <v>5130</v>
      </c>
      <c r="F3243" s="1908"/>
      <c r="G3243" s="1408" t="s">
        <v>24</v>
      </c>
      <c r="H3243" s="393">
        <v>3.5999999999999999E-3</v>
      </c>
      <c r="K3243" s="841" t="s">
        <v>3406</v>
      </c>
      <c r="L3243" s="841" t="s">
        <v>443</v>
      </c>
      <c r="M3243" s="1357"/>
      <c r="P3243" s="841" t="s">
        <v>3411</v>
      </c>
      <c r="Q3243" s="1357"/>
      <c r="S3243" s="1420"/>
      <c r="T3243" s="1420">
        <v>43585</v>
      </c>
      <c r="V3243" s="1357">
        <v>96</v>
      </c>
    </row>
    <row r="3244" spans="1:22" s="841" customFormat="1" ht="15" x14ac:dyDescent="0.25">
      <c r="A3244" s="841" t="s">
        <v>177</v>
      </c>
      <c r="E3244" s="1690" t="s">
        <v>5414</v>
      </c>
      <c r="F3244" s="1690"/>
      <c r="G3244" s="1408" t="s">
        <v>24</v>
      </c>
      <c r="H3244" s="393">
        <v>4.4999999999999997E-3</v>
      </c>
      <c r="K3244" s="841" t="s">
        <v>3406</v>
      </c>
      <c r="L3244" s="841" t="s">
        <v>443</v>
      </c>
      <c r="M3244" s="1357"/>
      <c r="P3244" s="841" t="s">
        <v>6220</v>
      </c>
      <c r="Q3244" s="1357"/>
      <c r="S3244" s="1420"/>
      <c r="T3244" s="1420"/>
      <c r="V3244" s="1357">
        <v>126</v>
      </c>
    </row>
    <row r="3245" spans="1:22" s="841" customFormat="1" ht="15" x14ac:dyDescent="0.25">
      <c r="A3245" s="841" t="s">
        <v>177</v>
      </c>
      <c r="E3245" s="1690" t="s">
        <v>5383</v>
      </c>
      <c r="F3245" s="1908"/>
      <c r="G3245" s="1408" t="s">
        <v>24</v>
      </c>
      <c r="H3245" s="393">
        <v>1E-4</v>
      </c>
      <c r="K3245" s="841" t="s">
        <v>3406</v>
      </c>
      <c r="L3245" s="841" t="s">
        <v>442</v>
      </c>
      <c r="M3245" s="1357"/>
      <c r="P3245" s="841" t="s">
        <v>4147</v>
      </c>
      <c r="Q3245" s="1357"/>
      <c r="S3245" s="1420"/>
      <c r="T3245" s="1420">
        <v>43585</v>
      </c>
      <c r="V3245" s="1357">
        <v>80</v>
      </c>
    </row>
    <row r="3246" spans="1:22" s="841" customFormat="1" ht="15" x14ac:dyDescent="0.25">
      <c r="A3246" s="841" t="s">
        <v>177</v>
      </c>
      <c r="E3246" s="1690" t="s">
        <v>221</v>
      </c>
      <c r="F3246" s="1690"/>
      <c r="G3246" s="1408" t="s">
        <v>24</v>
      </c>
      <c r="H3246" s="393">
        <v>6.4000000000000003E-3</v>
      </c>
      <c r="K3246" s="841" t="s">
        <v>3406</v>
      </c>
      <c r="L3246" s="841" t="s">
        <v>444</v>
      </c>
      <c r="M3246" s="1357"/>
      <c r="P3246" s="841" t="s">
        <v>3412</v>
      </c>
      <c r="Q3246" s="1357"/>
      <c r="S3246" s="1420"/>
      <c r="T3246" s="1420"/>
      <c r="V3246" s="1357">
        <v>47</v>
      </c>
    </row>
    <row r="3247" spans="1:22" s="841" customFormat="1" ht="15" x14ac:dyDescent="0.25">
      <c r="A3247" s="841" t="s">
        <v>177</v>
      </c>
      <c r="E3247" s="1690" t="s">
        <v>217</v>
      </c>
      <c r="F3247" s="1690"/>
      <c r="G3247" s="1408" t="s">
        <v>24</v>
      </c>
      <c r="H3247" s="393">
        <v>4.5999999999999999E-3</v>
      </c>
      <c r="K3247" s="841" t="s">
        <v>3406</v>
      </c>
      <c r="L3247" s="841" t="s">
        <v>444</v>
      </c>
      <c r="M3247" s="1357"/>
      <c r="P3247" s="841" t="s">
        <v>3413</v>
      </c>
      <c r="Q3247" s="1357"/>
      <c r="S3247" s="1420"/>
      <c r="T3247" s="1420"/>
      <c r="V3247" s="1357">
        <v>74</v>
      </c>
    </row>
    <row r="3248" spans="1:22" s="841" customFormat="1" ht="15" x14ac:dyDescent="0.25">
      <c r="A3248" s="841" t="s">
        <v>177</v>
      </c>
      <c r="E3248" s="1694" t="s">
        <v>3079</v>
      </c>
      <c r="F3248" s="1690"/>
      <c r="G3248" s="1408"/>
      <c r="H3248" s="1408"/>
      <c r="K3248" s="841" t="s">
        <v>3225</v>
      </c>
      <c r="M3248" s="1357"/>
      <c r="Q3248" s="1357"/>
      <c r="S3248" s="1420"/>
      <c r="T3248" s="1420"/>
      <c r="V3248" s="1357">
        <v>48</v>
      </c>
    </row>
    <row r="3249" spans="1:22" s="841" customFormat="1" ht="15" x14ac:dyDescent="0.25">
      <c r="A3249" s="841" t="s">
        <v>177</v>
      </c>
      <c r="E3249" s="1690" t="s">
        <v>2449</v>
      </c>
      <c r="F3249" s="1690"/>
      <c r="G3249" s="1408" t="s">
        <v>24</v>
      </c>
      <c r="H3249" s="393">
        <v>3.2000000000000002E-3</v>
      </c>
      <c r="K3249" s="841" t="s">
        <v>3406</v>
      </c>
      <c r="L3249" s="841" t="s">
        <v>3046</v>
      </c>
      <c r="M3249" s="1357"/>
      <c r="P3249" s="841" t="s">
        <v>3414</v>
      </c>
      <c r="Q3249" s="1357"/>
      <c r="S3249" s="1420"/>
      <c r="T3249" s="1420"/>
      <c r="V3249" s="1357">
        <v>55</v>
      </c>
    </row>
    <row r="3250" spans="1:22" s="841" customFormat="1" ht="15" x14ac:dyDescent="0.25">
      <c r="A3250" s="841" t="s">
        <v>177</v>
      </c>
      <c r="E3250" s="1690" t="s">
        <v>2450</v>
      </c>
      <c r="F3250" s="1690"/>
      <c r="G3250" s="1408" t="s">
        <v>24</v>
      </c>
      <c r="H3250" s="393">
        <v>4.0000000000000002E-4</v>
      </c>
      <c r="K3250" s="841" t="s">
        <v>3406</v>
      </c>
      <c r="L3250" s="841" t="s">
        <v>3046</v>
      </c>
      <c r="M3250" s="1357"/>
      <c r="P3250" s="841" t="s">
        <v>3414</v>
      </c>
      <c r="Q3250" s="1357"/>
      <c r="S3250" s="1420"/>
      <c r="T3250" s="1420"/>
      <c r="V3250" s="1357">
        <v>65</v>
      </c>
    </row>
    <row r="3251" spans="1:22" s="841" customFormat="1" ht="15" x14ac:dyDescent="0.25">
      <c r="A3251" s="841" t="s">
        <v>177</v>
      </c>
      <c r="E3251" s="1690" t="s">
        <v>439</v>
      </c>
      <c r="F3251" s="1690"/>
      <c r="G3251" s="1408" t="s">
        <v>24</v>
      </c>
      <c r="H3251" s="393">
        <v>2.9999999999999997E-4</v>
      </c>
      <c r="K3251" s="841" t="s">
        <v>3406</v>
      </c>
      <c r="L3251" s="841" t="s">
        <v>3046</v>
      </c>
      <c r="M3251" s="1357"/>
      <c r="P3251" s="841" t="s">
        <v>3415</v>
      </c>
      <c r="Q3251" s="1357"/>
      <c r="S3251" s="1420"/>
      <c r="T3251" s="1420"/>
      <c r="V3251" s="1357">
        <v>57</v>
      </c>
    </row>
    <row r="3252" spans="1:22" s="841" customFormat="1" ht="15" x14ac:dyDescent="0.25">
      <c r="A3252" s="841" t="s">
        <v>177</v>
      </c>
      <c r="E3252" s="1690" t="s">
        <v>32</v>
      </c>
      <c r="F3252" s="1690"/>
      <c r="G3252" s="1408" t="s">
        <v>23</v>
      </c>
      <c r="H3252" s="391">
        <v>0.25</v>
      </c>
      <c r="K3252" s="841" t="s">
        <v>3406</v>
      </c>
      <c r="L3252" s="841" t="s">
        <v>3046</v>
      </c>
      <c r="M3252" s="1357"/>
      <c r="P3252" s="841" t="s">
        <v>3416</v>
      </c>
      <c r="Q3252" s="1357"/>
      <c r="S3252" s="1420"/>
      <c r="T3252" s="1420"/>
      <c r="V3252" s="1357">
        <v>63</v>
      </c>
    </row>
    <row r="3253" spans="1:22" s="841" customFormat="1" x14ac:dyDescent="0.25">
      <c r="A3253" s="841" t="s">
        <v>177</v>
      </c>
      <c r="E3253" s="1909" t="s">
        <v>629</v>
      </c>
      <c r="F3253" s="1915"/>
      <c r="G3253" s="1915"/>
      <c r="H3253" s="1915"/>
      <c r="K3253" s="841" t="s">
        <v>3571</v>
      </c>
      <c r="M3253" s="1357"/>
      <c r="Q3253" s="1357"/>
      <c r="S3253" s="1420"/>
      <c r="T3253" s="1420"/>
      <c r="V3253" s="1357">
        <v>40</v>
      </c>
    </row>
    <row r="3254" spans="1:22" s="841" customFormat="1" ht="15" x14ac:dyDescent="0.25">
      <c r="A3254" s="841" t="s">
        <v>177</v>
      </c>
      <c r="E3254" s="1689" t="s">
        <v>4730</v>
      </c>
      <c r="F3254" s="1689"/>
      <c r="G3254" s="1689"/>
      <c r="H3254" s="1689"/>
      <c r="K3254" s="841" t="s">
        <v>3571</v>
      </c>
      <c r="M3254" s="1357"/>
      <c r="Q3254" s="1357"/>
      <c r="S3254" s="1420"/>
      <c r="T3254" s="1420"/>
      <c r="V3254" s="1357">
        <v>273</v>
      </c>
    </row>
    <row r="3255" spans="1:22" s="841" customFormat="1" ht="15" x14ac:dyDescent="0.25">
      <c r="A3255" s="841" t="s">
        <v>177</v>
      </c>
      <c r="E3255" s="1916" t="s">
        <v>3061</v>
      </c>
      <c r="F3255" s="1697"/>
      <c r="G3255" s="1697"/>
      <c r="H3255" s="1697"/>
      <c r="K3255" s="841" t="s">
        <v>3107</v>
      </c>
      <c r="M3255" s="1357"/>
      <c r="Q3255" s="1357"/>
      <c r="S3255" s="1420"/>
      <c r="T3255" s="1420"/>
      <c r="V3255" s="1357">
        <v>11</v>
      </c>
    </row>
    <row r="3256" spans="1:22" s="841" customFormat="1" ht="15" x14ac:dyDescent="0.25">
      <c r="A3256" s="841" t="s">
        <v>177</v>
      </c>
      <c r="E3256" s="1689" t="s">
        <v>3063</v>
      </c>
      <c r="F3256" s="1689"/>
      <c r="G3256" s="1689"/>
      <c r="H3256" s="1689"/>
      <c r="K3256" s="841" t="s">
        <v>3571</v>
      </c>
      <c r="M3256" s="1357"/>
      <c r="Q3256" s="1357"/>
      <c r="S3256" s="1420"/>
      <c r="T3256" s="1420"/>
      <c r="V3256" s="1357">
        <v>280</v>
      </c>
    </row>
    <row r="3257" spans="1:22" s="841" customFormat="1" ht="15" x14ac:dyDescent="0.25">
      <c r="A3257" s="841" t="s">
        <v>177</v>
      </c>
      <c r="E3257" s="1689" t="s">
        <v>3064</v>
      </c>
      <c r="F3257" s="1689"/>
      <c r="G3257" s="1689"/>
      <c r="H3257" s="1689"/>
      <c r="K3257" s="841" t="s">
        <v>3571</v>
      </c>
      <c r="M3257" s="1357"/>
      <c r="Q3257" s="1357"/>
      <c r="S3257" s="1420"/>
      <c r="T3257" s="1420"/>
      <c r="V3257" s="1357">
        <v>411</v>
      </c>
    </row>
    <row r="3258" spans="1:22" s="841" customFormat="1" ht="15" x14ac:dyDescent="0.25">
      <c r="A3258" s="841" t="s">
        <v>177</v>
      </c>
      <c r="E3258" s="1689" t="s">
        <v>3199</v>
      </c>
      <c r="F3258" s="1689"/>
      <c r="G3258" s="1689"/>
      <c r="H3258" s="1689"/>
      <c r="K3258" s="841" t="s">
        <v>3571</v>
      </c>
      <c r="M3258" s="1357"/>
      <c r="Q3258" s="1357"/>
      <c r="S3258" s="1420"/>
      <c r="T3258" s="1420"/>
      <c r="V3258" s="1357">
        <v>386</v>
      </c>
    </row>
    <row r="3259" spans="1:22" s="841" customFormat="1" ht="15" x14ac:dyDescent="0.25">
      <c r="A3259" s="841" t="s">
        <v>177</v>
      </c>
      <c r="E3259" s="1689" t="s">
        <v>3200</v>
      </c>
      <c r="F3259" s="1689"/>
      <c r="G3259" s="1689"/>
      <c r="H3259" s="1689"/>
      <c r="K3259" s="841" t="s">
        <v>3571</v>
      </c>
      <c r="M3259" s="1357"/>
      <c r="Q3259" s="1357"/>
      <c r="S3259" s="1420"/>
      <c r="T3259" s="1420"/>
      <c r="V3259" s="1357">
        <v>275</v>
      </c>
    </row>
    <row r="3260" spans="1:22" s="841" customFormat="1" ht="15" x14ac:dyDescent="0.25">
      <c r="A3260" s="841" t="s">
        <v>177</v>
      </c>
      <c r="E3260" s="1694" t="s">
        <v>3067</v>
      </c>
      <c r="F3260" s="1907"/>
      <c r="G3260" s="1907"/>
      <c r="H3260" s="1907"/>
      <c r="K3260" s="841" t="s">
        <v>3108</v>
      </c>
      <c r="M3260" s="1357"/>
      <c r="Q3260" s="1357"/>
      <c r="S3260" s="1420"/>
      <c r="T3260" s="1420"/>
      <c r="V3260" s="1357">
        <v>46</v>
      </c>
    </row>
    <row r="3261" spans="1:22" s="841" customFormat="1" ht="15" x14ac:dyDescent="0.25">
      <c r="A3261" s="841" t="s">
        <v>177</v>
      </c>
      <c r="E3261" s="1690" t="s">
        <v>12</v>
      </c>
      <c r="F3261" s="1690"/>
      <c r="G3261" s="1408" t="s">
        <v>23</v>
      </c>
      <c r="H3261" s="391">
        <v>3.19</v>
      </c>
      <c r="K3261" s="841" t="s">
        <v>3571</v>
      </c>
      <c r="L3261" s="841" t="s">
        <v>442</v>
      </c>
      <c r="M3261" s="1357"/>
      <c r="P3261" s="841" t="s">
        <v>3573</v>
      </c>
      <c r="Q3261" s="1357"/>
      <c r="S3261" s="1420"/>
      <c r="T3261" s="1420"/>
      <c r="V3261" s="1357">
        <v>31</v>
      </c>
    </row>
    <row r="3262" spans="1:22" s="841" customFormat="1" ht="15" x14ac:dyDescent="0.25">
      <c r="A3262" s="841" t="s">
        <v>177</v>
      </c>
      <c r="E3262" s="1690" t="s">
        <v>84</v>
      </c>
      <c r="F3262" s="1690"/>
      <c r="G3262" s="1408" t="s">
        <v>33</v>
      </c>
      <c r="H3262" s="393">
        <v>6.0022000000000002</v>
      </c>
      <c r="K3262" s="841" t="s">
        <v>3571</v>
      </c>
      <c r="L3262" s="841" t="s">
        <v>442</v>
      </c>
      <c r="M3262" s="1357"/>
      <c r="P3262" s="841" t="s">
        <v>3574</v>
      </c>
      <c r="Q3262" s="1357"/>
      <c r="S3262" s="1420"/>
      <c r="T3262" s="1420"/>
      <c r="V3262" s="1357">
        <v>28</v>
      </c>
    </row>
    <row r="3263" spans="1:22" s="841" customFormat="1" ht="15" x14ac:dyDescent="0.25">
      <c r="A3263" s="841" t="s">
        <v>177</v>
      </c>
      <c r="E3263" s="1690" t="s">
        <v>18</v>
      </c>
      <c r="F3263" s="1690"/>
      <c r="G3263" s="1408" t="s">
        <v>33</v>
      </c>
      <c r="H3263" s="393">
        <v>0.34210000000000002</v>
      </c>
      <c r="K3263" s="841" t="s">
        <v>3571</v>
      </c>
      <c r="L3263" s="841" t="s">
        <v>443</v>
      </c>
      <c r="M3263" s="1357"/>
      <c r="P3263" s="841" t="s">
        <v>3575</v>
      </c>
      <c r="Q3263" s="1357"/>
      <c r="S3263" s="1420"/>
      <c r="T3263" s="1420"/>
      <c r="V3263" s="1357">
        <v>24</v>
      </c>
    </row>
    <row r="3264" spans="1:22" s="841" customFormat="1" ht="15" x14ac:dyDescent="0.25">
      <c r="A3264" s="841" t="s">
        <v>177</v>
      </c>
      <c r="E3264" s="1690" t="s">
        <v>5130</v>
      </c>
      <c r="F3264" s="1908"/>
      <c r="G3264" s="1408" t="s">
        <v>33</v>
      </c>
      <c r="H3264" s="393">
        <v>1.4443999999999999</v>
      </c>
      <c r="K3264" s="841" t="s">
        <v>3571</v>
      </c>
      <c r="L3264" s="841" t="s">
        <v>443</v>
      </c>
      <c r="M3264" s="1357"/>
      <c r="P3264" s="841" t="s">
        <v>3718</v>
      </c>
      <c r="Q3264" s="1357"/>
      <c r="S3264" s="1420"/>
      <c r="T3264" s="1420">
        <v>43585</v>
      </c>
      <c r="V3264" s="1357">
        <v>96</v>
      </c>
    </row>
    <row r="3265" spans="1:22" s="841" customFormat="1" ht="15" x14ac:dyDescent="0.25">
      <c r="A3265" s="841" t="s">
        <v>177</v>
      </c>
      <c r="E3265" s="1690" t="s">
        <v>5414</v>
      </c>
      <c r="F3265" s="1690"/>
      <c r="G3265" s="1408" t="s">
        <v>24</v>
      </c>
      <c r="H3265" s="393">
        <v>4.4999999999999997E-3</v>
      </c>
      <c r="K3265" s="841" t="s">
        <v>3571</v>
      </c>
      <c r="L3265" s="841" t="s">
        <v>443</v>
      </c>
      <c r="M3265" s="1357"/>
      <c r="P3265" s="841" t="s">
        <v>6221</v>
      </c>
      <c r="Q3265" s="1357"/>
      <c r="S3265" s="1420"/>
      <c r="T3265" s="1420"/>
      <c r="V3265" s="1357">
        <v>126</v>
      </c>
    </row>
    <row r="3266" spans="1:22" s="841" customFormat="1" ht="15" x14ac:dyDescent="0.25">
      <c r="A3266" s="841" t="s">
        <v>177</v>
      </c>
      <c r="E3266" s="1690" t="s">
        <v>5383</v>
      </c>
      <c r="F3266" s="1908"/>
      <c r="G3266" s="1408" t="s">
        <v>33</v>
      </c>
      <c r="H3266" s="393">
        <v>4.1999999999999997E-3</v>
      </c>
      <c r="K3266" s="841" t="s">
        <v>3571</v>
      </c>
      <c r="L3266" s="841" t="s">
        <v>442</v>
      </c>
      <c r="M3266" s="1357"/>
      <c r="P3266" s="841" t="s">
        <v>4150</v>
      </c>
      <c r="Q3266" s="1357"/>
      <c r="S3266" s="1420"/>
      <c r="T3266" s="1420">
        <v>43585</v>
      </c>
      <c r="V3266" s="1357">
        <v>80</v>
      </c>
    </row>
    <row r="3267" spans="1:22" s="841" customFormat="1" ht="15" x14ac:dyDescent="0.25">
      <c r="A3267" s="841" t="s">
        <v>177</v>
      </c>
      <c r="E3267" s="1690" t="s">
        <v>221</v>
      </c>
      <c r="F3267" s="1690"/>
      <c r="G3267" s="1408" t="s">
        <v>33</v>
      </c>
      <c r="H3267" s="393">
        <v>2.0299999999999998</v>
      </c>
      <c r="K3267" s="841" t="s">
        <v>3571</v>
      </c>
      <c r="L3267" s="841" t="s">
        <v>444</v>
      </c>
      <c r="M3267" s="1357"/>
      <c r="P3267" s="841" t="s">
        <v>3576</v>
      </c>
      <c r="Q3267" s="1357"/>
      <c r="S3267" s="1420"/>
      <c r="T3267" s="1420"/>
      <c r="V3267" s="1357">
        <v>47</v>
      </c>
    </row>
    <row r="3268" spans="1:22" s="841" customFormat="1" ht="15" x14ac:dyDescent="0.25">
      <c r="A3268" s="841" t="s">
        <v>177</v>
      </c>
      <c r="E3268" s="1690" t="s">
        <v>217</v>
      </c>
      <c r="F3268" s="1690"/>
      <c r="G3268" s="1408" t="s">
        <v>33</v>
      </c>
      <c r="H3268" s="393">
        <v>1.4985999999999999</v>
      </c>
      <c r="K3268" s="841" t="s">
        <v>3571</v>
      </c>
      <c r="L3268" s="841" t="s">
        <v>444</v>
      </c>
      <c r="M3268" s="1357"/>
      <c r="P3268" s="841" t="s">
        <v>3577</v>
      </c>
      <c r="Q3268" s="1357"/>
      <c r="S3268" s="1420"/>
      <c r="T3268" s="1420"/>
      <c r="V3268" s="1357">
        <v>74</v>
      </c>
    </row>
    <row r="3269" spans="1:22" s="841" customFormat="1" ht="15" x14ac:dyDescent="0.25">
      <c r="A3269" s="841" t="s">
        <v>177</v>
      </c>
      <c r="E3269" s="1694" t="s">
        <v>3079</v>
      </c>
      <c r="F3269" s="1690"/>
      <c r="G3269" s="1408"/>
      <c r="H3269" s="1408"/>
      <c r="K3269" s="841" t="s">
        <v>3111</v>
      </c>
      <c r="M3269" s="1357"/>
      <c r="Q3269" s="1357"/>
      <c r="S3269" s="1420"/>
      <c r="T3269" s="1420"/>
      <c r="V3269" s="1357">
        <v>48</v>
      </c>
    </row>
    <row r="3270" spans="1:22" s="841" customFormat="1" ht="15" x14ac:dyDescent="0.25">
      <c r="A3270" s="841" t="s">
        <v>177</v>
      </c>
      <c r="E3270" s="1690" t="s">
        <v>2449</v>
      </c>
      <c r="F3270" s="1690"/>
      <c r="G3270" s="1408" t="s">
        <v>24</v>
      </c>
      <c r="H3270" s="393">
        <v>3.2000000000000002E-3</v>
      </c>
      <c r="K3270" s="841" t="s">
        <v>3571</v>
      </c>
      <c r="L3270" s="841" t="s">
        <v>3046</v>
      </c>
      <c r="M3270" s="1357"/>
      <c r="P3270" s="841" t="s">
        <v>3578</v>
      </c>
      <c r="Q3270" s="1357"/>
      <c r="S3270" s="1420"/>
      <c r="T3270" s="1420"/>
      <c r="V3270" s="1357">
        <v>55</v>
      </c>
    </row>
    <row r="3271" spans="1:22" s="841" customFormat="1" ht="15" x14ac:dyDescent="0.25">
      <c r="A3271" s="841" t="s">
        <v>177</v>
      </c>
      <c r="E3271" s="1690" t="s">
        <v>2450</v>
      </c>
      <c r="F3271" s="1690"/>
      <c r="G3271" s="1408" t="s">
        <v>24</v>
      </c>
      <c r="H3271" s="393">
        <v>4.0000000000000002E-4</v>
      </c>
      <c r="K3271" s="841" t="s">
        <v>3571</v>
      </c>
      <c r="L3271" s="841" t="s">
        <v>3046</v>
      </c>
      <c r="M3271" s="1357"/>
      <c r="P3271" s="841" t="s">
        <v>3578</v>
      </c>
      <c r="Q3271" s="1357"/>
      <c r="S3271" s="1420"/>
      <c r="T3271" s="1420"/>
      <c r="V3271" s="1357">
        <v>65</v>
      </c>
    </row>
    <row r="3272" spans="1:22" s="841" customFormat="1" ht="15" x14ac:dyDescent="0.25">
      <c r="A3272" s="841" t="s">
        <v>177</v>
      </c>
      <c r="E3272" s="1690" t="s">
        <v>439</v>
      </c>
      <c r="F3272" s="1690"/>
      <c r="G3272" s="1408" t="s">
        <v>24</v>
      </c>
      <c r="H3272" s="393">
        <v>2.9999999999999997E-4</v>
      </c>
      <c r="K3272" s="841" t="s">
        <v>3571</v>
      </c>
      <c r="L3272" s="841" t="s">
        <v>3046</v>
      </c>
      <c r="M3272" s="1357"/>
      <c r="P3272" s="841" t="s">
        <v>3579</v>
      </c>
      <c r="Q3272" s="1357"/>
      <c r="S3272" s="1420"/>
      <c r="T3272" s="1420"/>
      <c r="V3272" s="1357">
        <v>57</v>
      </c>
    </row>
    <row r="3273" spans="1:22" s="841" customFormat="1" ht="15" x14ac:dyDescent="0.25">
      <c r="A3273" s="841" t="s">
        <v>177</v>
      </c>
      <c r="E3273" s="1690" t="s">
        <v>32</v>
      </c>
      <c r="F3273" s="1690"/>
      <c r="G3273" s="1408" t="s">
        <v>23</v>
      </c>
      <c r="H3273" s="391">
        <v>0.25</v>
      </c>
      <c r="K3273" s="841" t="s">
        <v>3571</v>
      </c>
      <c r="L3273" s="841" t="s">
        <v>3046</v>
      </c>
      <c r="M3273" s="1357"/>
      <c r="P3273" s="841" t="s">
        <v>3580</v>
      </c>
      <c r="Q3273" s="1357"/>
      <c r="S3273" s="1420"/>
      <c r="T3273" s="1420"/>
      <c r="V3273" s="1357">
        <v>63</v>
      </c>
    </row>
    <row r="3274" spans="1:22" s="841" customFormat="1" x14ac:dyDescent="0.25">
      <c r="A3274" s="841" t="s">
        <v>177</v>
      </c>
      <c r="E3274" s="1909" t="s">
        <v>615</v>
      </c>
      <c r="F3274" s="1915"/>
      <c r="G3274" s="1915"/>
      <c r="H3274" s="1915"/>
      <c r="K3274" s="841" t="s">
        <v>3112</v>
      </c>
      <c r="M3274" s="1357"/>
      <c r="Q3274" s="1357"/>
      <c r="S3274" s="1420"/>
      <c r="T3274" s="1420"/>
      <c r="V3274" s="1357">
        <v>38</v>
      </c>
    </row>
    <row r="3275" spans="1:22" s="841" customFormat="1" ht="15" x14ac:dyDescent="0.25">
      <c r="A3275" s="841" t="s">
        <v>177</v>
      </c>
      <c r="E3275" s="1916" t="s">
        <v>3061</v>
      </c>
      <c r="F3275" s="1697"/>
      <c r="G3275" s="1697"/>
      <c r="H3275" s="1697"/>
      <c r="K3275" s="841" t="s">
        <v>3114</v>
      </c>
      <c r="M3275" s="1357"/>
      <c r="Q3275" s="1357"/>
      <c r="S3275" s="1420"/>
      <c r="T3275" s="1420"/>
      <c r="V3275" s="1357">
        <v>11</v>
      </c>
    </row>
    <row r="3276" spans="1:22" s="841" customFormat="1" ht="15" x14ac:dyDescent="0.25">
      <c r="A3276" s="841" t="s">
        <v>177</v>
      </c>
      <c r="E3276" s="1689" t="s">
        <v>3063</v>
      </c>
      <c r="F3276" s="1689"/>
      <c r="G3276" s="1689"/>
      <c r="H3276" s="1689"/>
      <c r="K3276" s="841" t="s">
        <v>3112</v>
      </c>
      <c r="M3276" s="1357"/>
      <c r="Q3276" s="1357"/>
      <c r="S3276" s="1420"/>
      <c r="T3276" s="1420"/>
      <c r="V3276" s="1357">
        <v>280</v>
      </c>
    </row>
    <row r="3277" spans="1:22" s="841" customFormat="1" ht="15" x14ac:dyDescent="0.25">
      <c r="A3277" s="841" t="s">
        <v>177</v>
      </c>
      <c r="E3277" s="1689" t="s">
        <v>3064</v>
      </c>
      <c r="F3277" s="1689"/>
      <c r="G3277" s="1689"/>
      <c r="H3277" s="1689"/>
      <c r="K3277" s="841" t="s">
        <v>3112</v>
      </c>
      <c r="M3277" s="1357"/>
      <c r="Q3277" s="1357"/>
      <c r="S3277" s="1420"/>
      <c r="T3277" s="1420"/>
      <c r="V3277" s="1357">
        <v>411</v>
      </c>
    </row>
    <row r="3278" spans="1:22" s="841" customFormat="1" ht="15" x14ac:dyDescent="0.25">
      <c r="A3278" s="841" t="s">
        <v>177</v>
      </c>
      <c r="E3278" s="1689" t="s">
        <v>3199</v>
      </c>
      <c r="F3278" s="1689"/>
      <c r="G3278" s="1689"/>
      <c r="H3278" s="1689"/>
      <c r="K3278" s="841" t="s">
        <v>3112</v>
      </c>
      <c r="M3278" s="1357"/>
      <c r="Q3278" s="1357"/>
      <c r="S3278" s="1420"/>
      <c r="T3278" s="1420"/>
      <c r="V3278" s="1357">
        <v>386</v>
      </c>
    </row>
    <row r="3279" spans="1:22" s="841" customFormat="1" ht="15" x14ac:dyDescent="0.25">
      <c r="A3279" s="841" t="s">
        <v>177</v>
      </c>
      <c r="E3279" s="1689" t="s">
        <v>3200</v>
      </c>
      <c r="F3279" s="1689"/>
      <c r="G3279" s="1689"/>
      <c r="H3279" s="1689"/>
      <c r="K3279" s="841" t="s">
        <v>3112</v>
      </c>
      <c r="M3279" s="1357"/>
      <c r="Q3279" s="1357"/>
      <c r="S3279" s="1420"/>
      <c r="T3279" s="1420"/>
      <c r="V3279" s="1357">
        <v>275</v>
      </c>
    </row>
    <row r="3280" spans="1:22" s="841" customFormat="1" ht="15" x14ac:dyDescent="0.25">
      <c r="A3280" s="841" t="s">
        <v>177</v>
      </c>
      <c r="E3280" s="1694" t="s">
        <v>3067</v>
      </c>
      <c r="F3280" s="1907"/>
      <c r="G3280" s="1907"/>
      <c r="H3280" s="1907"/>
      <c r="K3280" s="841" t="s">
        <v>3115</v>
      </c>
      <c r="M3280" s="1357"/>
      <c r="Q3280" s="1357"/>
      <c r="S3280" s="1420"/>
      <c r="T3280" s="1420"/>
      <c r="V3280" s="1357">
        <v>46</v>
      </c>
    </row>
    <row r="3281" spans="1:22" s="841" customFormat="1" ht="15" x14ac:dyDescent="0.25">
      <c r="A3281" s="841" t="s">
        <v>177</v>
      </c>
      <c r="E3281" s="1690" t="s">
        <v>12</v>
      </c>
      <c r="F3281" s="1690"/>
      <c r="G3281" s="1408" t="s">
        <v>23</v>
      </c>
      <c r="H3281" s="391">
        <v>1.2</v>
      </c>
      <c r="K3281" s="841" t="s">
        <v>3112</v>
      </c>
      <c r="L3281" s="841" t="s">
        <v>442</v>
      </c>
      <c r="M3281" s="1357"/>
      <c r="P3281" s="841" t="s">
        <v>3116</v>
      </c>
      <c r="Q3281" s="1357"/>
      <c r="S3281" s="1420"/>
      <c r="T3281" s="1420"/>
      <c r="V3281" s="1357">
        <v>31</v>
      </c>
    </row>
    <row r="3282" spans="1:22" s="841" customFormat="1" ht="15" x14ac:dyDescent="0.25">
      <c r="A3282" s="841" t="s">
        <v>177</v>
      </c>
      <c r="E3282" s="1690" t="s">
        <v>84</v>
      </c>
      <c r="F3282" s="1690"/>
      <c r="G3282" s="1408" t="s">
        <v>33</v>
      </c>
      <c r="H3282" s="393">
        <v>11.6563</v>
      </c>
      <c r="K3282" s="841" t="s">
        <v>3112</v>
      </c>
      <c r="L3282" s="841" t="s">
        <v>442</v>
      </c>
      <c r="M3282" s="1357"/>
      <c r="P3282" s="841" t="s">
        <v>3117</v>
      </c>
      <c r="Q3282" s="1357"/>
      <c r="S3282" s="1420"/>
      <c r="T3282" s="1420"/>
      <c r="V3282" s="1357">
        <v>28</v>
      </c>
    </row>
    <row r="3283" spans="1:22" s="841" customFormat="1" ht="15" x14ac:dyDescent="0.25">
      <c r="A3283" s="841" t="s">
        <v>177</v>
      </c>
      <c r="E3283" s="1690" t="s">
        <v>18</v>
      </c>
      <c r="F3283" s="1690"/>
      <c r="G3283" s="1408" t="s">
        <v>33</v>
      </c>
      <c r="H3283" s="393">
        <v>0.33510000000000001</v>
      </c>
      <c r="K3283" s="841" t="s">
        <v>3112</v>
      </c>
      <c r="L3283" s="841" t="s">
        <v>443</v>
      </c>
      <c r="M3283" s="1357"/>
      <c r="P3283" s="841" t="s">
        <v>3497</v>
      </c>
      <c r="Q3283" s="1357"/>
      <c r="S3283" s="1420"/>
      <c r="T3283" s="1420"/>
      <c r="V3283" s="1357">
        <v>24</v>
      </c>
    </row>
    <row r="3284" spans="1:22" s="841" customFormat="1" ht="15" x14ac:dyDescent="0.25">
      <c r="A3284" s="841" t="s">
        <v>177</v>
      </c>
      <c r="E3284" s="1690" t="s">
        <v>5130</v>
      </c>
      <c r="F3284" s="1908"/>
      <c r="G3284" s="1408" t="s">
        <v>33</v>
      </c>
      <c r="H3284" s="393">
        <v>0.94379999999999997</v>
      </c>
      <c r="K3284" s="841" t="s">
        <v>3112</v>
      </c>
      <c r="L3284" s="841" t="s">
        <v>443</v>
      </c>
      <c r="M3284" s="1357"/>
      <c r="P3284" s="841" t="s">
        <v>3118</v>
      </c>
      <c r="Q3284" s="1357"/>
      <c r="S3284" s="1420"/>
      <c r="T3284" s="1420">
        <v>43585</v>
      </c>
      <c r="V3284" s="1357">
        <v>96</v>
      </c>
    </row>
    <row r="3285" spans="1:22" s="841" customFormat="1" ht="15" x14ac:dyDescent="0.25">
      <c r="A3285" s="841" t="s">
        <v>177</v>
      </c>
      <c r="E3285" s="1690" t="s">
        <v>5414</v>
      </c>
      <c r="F3285" s="1690"/>
      <c r="G3285" s="1408" t="s">
        <v>24</v>
      </c>
      <c r="H3285" s="393">
        <v>4.4999999999999997E-3</v>
      </c>
      <c r="K3285" s="841" t="s">
        <v>3112</v>
      </c>
      <c r="L3285" s="841" t="s">
        <v>443</v>
      </c>
      <c r="M3285" s="1357"/>
      <c r="P3285" s="841" t="s">
        <v>6222</v>
      </c>
      <c r="Q3285" s="1357"/>
      <c r="S3285" s="1420"/>
      <c r="T3285" s="1420"/>
      <c r="V3285" s="1357">
        <v>126</v>
      </c>
    </row>
    <row r="3286" spans="1:22" s="841" customFormat="1" ht="15" x14ac:dyDescent="0.25">
      <c r="A3286" s="841" t="s">
        <v>177</v>
      </c>
      <c r="E3286" s="1690" t="s">
        <v>5383</v>
      </c>
      <c r="F3286" s="1908"/>
      <c r="G3286" s="1408" t="s">
        <v>33</v>
      </c>
      <c r="H3286" s="393">
        <v>8.7800000000000003E-2</v>
      </c>
      <c r="K3286" s="841" t="s">
        <v>3112</v>
      </c>
      <c r="L3286" s="841" t="s">
        <v>442</v>
      </c>
      <c r="M3286" s="1357"/>
      <c r="P3286" s="841" t="s">
        <v>4153</v>
      </c>
      <c r="Q3286" s="1357"/>
      <c r="S3286" s="1420"/>
      <c r="T3286" s="1420">
        <v>43585</v>
      </c>
      <c r="V3286" s="1357">
        <v>80</v>
      </c>
    </row>
    <row r="3287" spans="1:22" s="841" customFormat="1" ht="15" x14ac:dyDescent="0.25">
      <c r="A3287" s="841" t="s">
        <v>177</v>
      </c>
      <c r="E3287" s="1690" t="s">
        <v>221</v>
      </c>
      <c r="F3287" s="1690"/>
      <c r="G3287" s="1408" t="s">
        <v>33</v>
      </c>
      <c r="H3287" s="393">
        <v>2.0202</v>
      </c>
      <c r="K3287" s="841" t="s">
        <v>3112</v>
      </c>
      <c r="L3287" s="841" t="s">
        <v>444</v>
      </c>
      <c r="M3287" s="1357"/>
      <c r="P3287" s="841" t="s">
        <v>3120</v>
      </c>
      <c r="Q3287" s="1357"/>
      <c r="S3287" s="1420"/>
      <c r="T3287" s="1420"/>
      <c r="V3287" s="1357">
        <v>47</v>
      </c>
    </row>
    <row r="3288" spans="1:22" s="841" customFormat="1" ht="15" x14ac:dyDescent="0.25">
      <c r="A3288" s="841" t="s">
        <v>177</v>
      </c>
      <c r="E3288" s="1690" t="s">
        <v>217</v>
      </c>
      <c r="F3288" s="1690"/>
      <c r="G3288" s="1408" t="s">
        <v>33</v>
      </c>
      <c r="H3288" s="393">
        <v>1.4677</v>
      </c>
      <c r="K3288" s="841" t="s">
        <v>3112</v>
      </c>
      <c r="L3288" s="841" t="s">
        <v>444</v>
      </c>
      <c r="M3288" s="1357"/>
      <c r="P3288" s="841" t="s">
        <v>3121</v>
      </c>
      <c r="Q3288" s="1357"/>
      <c r="S3288" s="1420"/>
      <c r="T3288" s="1420"/>
      <c r="V3288" s="1357">
        <v>74</v>
      </c>
    </row>
    <row r="3289" spans="1:22" s="841" customFormat="1" ht="15" x14ac:dyDescent="0.25">
      <c r="A3289" s="841" t="s">
        <v>177</v>
      </c>
      <c r="E3289" s="1694" t="s">
        <v>3079</v>
      </c>
      <c r="F3289" s="1690"/>
      <c r="G3289" s="1408"/>
      <c r="H3289" s="1408"/>
      <c r="K3289" s="841" t="s">
        <v>3122</v>
      </c>
      <c r="M3289" s="1357"/>
      <c r="Q3289" s="1357"/>
      <c r="S3289" s="1420"/>
      <c r="T3289" s="1420"/>
      <c r="V3289" s="1357">
        <v>48</v>
      </c>
    </row>
    <row r="3290" spans="1:22" s="841" customFormat="1" ht="15" x14ac:dyDescent="0.25">
      <c r="A3290" s="841" t="s">
        <v>177</v>
      </c>
      <c r="E3290" s="1690" t="s">
        <v>2449</v>
      </c>
      <c r="F3290" s="1690"/>
      <c r="G3290" s="1408" t="s">
        <v>24</v>
      </c>
      <c r="H3290" s="393">
        <v>3.2000000000000002E-3</v>
      </c>
      <c r="K3290" s="841" t="s">
        <v>3112</v>
      </c>
      <c r="L3290" s="841" t="s">
        <v>3046</v>
      </c>
      <c r="M3290" s="1357"/>
      <c r="P3290" s="841" t="s">
        <v>3123</v>
      </c>
      <c r="Q3290" s="1357"/>
      <c r="S3290" s="1420"/>
      <c r="T3290" s="1420"/>
      <c r="V3290" s="1357">
        <v>55</v>
      </c>
    </row>
    <row r="3291" spans="1:22" s="841" customFormat="1" ht="15" x14ac:dyDescent="0.25">
      <c r="A3291" s="841" t="s">
        <v>177</v>
      </c>
      <c r="E3291" s="1690" t="s">
        <v>2450</v>
      </c>
      <c r="F3291" s="1690"/>
      <c r="G3291" s="1408" t="s">
        <v>24</v>
      </c>
      <c r="H3291" s="393">
        <v>4.0000000000000002E-4</v>
      </c>
      <c r="K3291" s="841" t="s">
        <v>3112</v>
      </c>
      <c r="L3291" s="841" t="s">
        <v>3046</v>
      </c>
      <c r="M3291" s="1357"/>
      <c r="P3291" s="841" t="s">
        <v>3123</v>
      </c>
      <c r="Q3291" s="1357"/>
      <c r="S3291" s="1420"/>
      <c r="T3291" s="1420"/>
      <c r="V3291" s="1357">
        <v>65</v>
      </c>
    </row>
    <row r="3292" spans="1:22" s="841" customFormat="1" ht="15" x14ac:dyDescent="0.25">
      <c r="A3292" s="841" t="s">
        <v>177</v>
      </c>
      <c r="E3292" s="1690" t="s">
        <v>439</v>
      </c>
      <c r="F3292" s="1690"/>
      <c r="G3292" s="1408" t="s">
        <v>24</v>
      </c>
      <c r="H3292" s="393">
        <v>2.9999999999999997E-4</v>
      </c>
      <c r="K3292" s="841" t="s">
        <v>3112</v>
      </c>
      <c r="L3292" s="841" t="s">
        <v>3046</v>
      </c>
      <c r="M3292" s="1357"/>
      <c r="P3292" s="841" t="s">
        <v>3124</v>
      </c>
      <c r="Q3292" s="1357"/>
      <c r="S3292" s="1420"/>
      <c r="T3292" s="1420"/>
      <c r="V3292" s="1357">
        <v>57</v>
      </c>
    </row>
    <row r="3293" spans="1:22" s="841" customFormat="1" ht="15" x14ac:dyDescent="0.25">
      <c r="A3293" s="841" t="s">
        <v>177</v>
      </c>
      <c r="E3293" s="1690" t="s">
        <v>32</v>
      </c>
      <c r="F3293" s="1690"/>
      <c r="G3293" s="1408" t="s">
        <v>23</v>
      </c>
      <c r="H3293" s="391">
        <v>0.25</v>
      </c>
      <c r="K3293" s="841" t="s">
        <v>3112</v>
      </c>
      <c r="L3293" s="841" t="s">
        <v>3046</v>
      </c>
      <c r="M3293" s="1357"/>
      <c r="P3293" s="841" t="s">
        <v>3125</v>
      </c>
      <c r="Q3293" s="1357"/>
      <c r="S3293" s="1420"/>
      <c r="T3293" s="1420"/>
      <c r="V3293" s="1357">
        <v>63</v>
      </c>
    </row>
    <row r="3294" spans="1:22" s="841" customFormat="1" x14ac:dyDescent="0.25">
      <c r="A3294" s="841" t="s">
        <v>177</v>
      </c>
      <c r="E3294" s="1909" t="s">
        <v>622</v>
      </c>
      <c r="F3294" s="1915"/>
      <c r="G3294" s="1915"/>
      <c r="H3294" s="1915"/>
      <c r="K3294" s="841" t="s">
        <v>3815</v>
      </c>
      <c r="M3294" s="1357"/>
      <c r="Q3294" s="1357"/>
      <c r="S3294" s="1420"/>
      <c r="T3294" s="1420"/>
      <c r="V3294" s="1357">
        <v>43</v>
      </c>
    </row>
    <row r="3295" spans="1:22" s="841" customFormat="1" ht="15" x14ac:dyDescent="0.25">
      <c r="A3295" s="841" t="s">
        <v>177</v>
      </c>
      <c r="E3295" s="1689" t="s">
        <v>4731</v>
      </c>
      <c r="F3295" s="1689"/>
      <c r="G3295" s="1689"/>
      <c r="H3295" s="1689"/>
      <c r="K3295" s="841" t="s">
        <v>3815</v>
      </c>
      <c r="M3295" s="1357"/>
      <c r="Q3295" s="1357"/>
      <c r="S3295" s="1420"/>
      <c r="T3295" s="1420"/>
      <c r="V3295" s="1357">
        <v>262</v>
      </c>
    </row>
    <row r="3296" spans="1:22" s="841" customFormat="1" ht="15" x14ac:dyDescent="0.25">
      <c r="A3296" s="841" t="s">
        <v>177</v>
      </c>
      <c r="E3296" s="1916" t="s">
        <v>3061</v>
      </c>
      <c r="F3296" s="1697"/>
      <c r="G3296" s="1697"/>
      <c r="H3296" s="1697"/>
      <c r="K3296" s="841" t="s">
        <v>3128</v>
      </c>
      <c r="M3296" s="1357"/>
      <c r="Q3296" s="1357"/>
      <c r="S3296" s="1420"/>
      <c r="T3296" s="1420"/>
      <c r="V3296" s="1357">
        <v>11</v>
      </c>
    </row>
    <row r="3297" spans="1:22" s="841" customFormat="1" ht="15" x14ac:dyDescent="0.25">
      <c r="A3297" s="841" t="s">
        <v>177</v>
      </c>
      <c r="E3297" s="1689" t="s">
        <v>3063</v>
      </c>
      <c r="F3297" s="1689"/>
      <c r="G3297" s="1689"/>
      <c r="H3297" s="1689"/>
      <c r="K3297" s="841" t="s">
        <v>3815</v>
      </c>
      <c r="M3297" s="1357"/>
      <c r="Q3297" s="1357"/>
      <c r="S3297" s="1420"/>
      <c r="T3297" s="1420"/>
      <c r="V3297" s="1357">
        <v>280</v>
      </c>
    </row>
    <row r="3298" spans="1:22" s="841" customFormat="1" ht="15" x14ac:dyDescent="0.25">
      <c r="A3298" s="841" t="s">
        <v>177</v>
      </c>
      <c r="E3298" s="1689" t="s">
        <v>3064</v>
      </c>
      <c r="F3298" s="1689"/>
      <c r="G3298" s="1689"/>
      <c r="H3298" s="1689"/>
      <c r="K3298" s="841" t="s">
        <v>3815</v>
      </c>
      <c r="M3298" s="1357"/>
      <c r="Q3298" s="1357"/>
      <c r="S3298" s="1420"/>
      <c r="T3298" s="1420"/>
      <c r="V3298" s="1357">
        <v>411</v>
      </c>
    </row>
    <row r="3299" spans="1:22" s="841" customFormat="1" ht="15" x14ac:dyDescent="0.25">
      <c r="A3299" s="841" t="s">
        <v>177</v>
      </c>
      <c r="E3299" s="1689" t="s">
        <v>3199</v>
      </c>
      <c r="F3299" s="1689"/>
      <c r="G3299" s="1689"/>
      <c r="H3299" s="1689"/>
      <c r="K3299" s="841" t="s">
        <v>3815</v>
      </c>
      <c r="M3299" s="1357"/>
      <c r="Q3299" s="1357"/>
      <c r="S3299" s="1420"/>
      <c r="T3299" s="1420"/>
      <c r="V3299" s="1357">
        <v>386</v>
      </c>
    </row>
    <row r="3300" spans="1:22" s="841" customFormat="1" ht="15" x14ac:dyDescent="0.25">
      <c r="A3300" s="841" t="s">
        <v>177</v>
      </c>
      <c r="E3300" s="1689" t="s">
        <v>3200</v>
      </c>
      <c r="F3300" s="1689"/>
      <c r="G3300" s="1689"/>
      <c r="H3300" s="1689"/>
      <c r="K3300" s="841" t="s">
        <v>3815</v>
      </c>
      <c r="M3300" s="1357"/>
      <c r="Q3300" s="1357"/>
      <c r="S3300" s="1420"/>
      <c r="T3300" s="1420"/>
      <c r="V3300" s="1357">
        <v>275</v>
      </c>
    </row>
    <row r="3301" spans="1:22" s="841" customFormat="1" ht="15" x14ac:dyDescent="0.25">
      <c r="A3301" s="841" t="s">
        <v>177</v>
      </c>
      <c r="E3301" s="1694" t="s">
        <v>3067</v>
      </c>
      <c r="F3301" s="1907"/>
      <c r="G3301" s="1907"/>
      <c r="H3301" s="1907"/>
      <c r="K3301" s="841" t="s">
        <v>3130</v>
      </c>
      <c r="M3301" s="1357"/>
      <c r="Q3301" s="1357"/>
      <c r="S3301" s="1420"/>
      <c r="T3301" s="1420"/>
      <c r="V3301" s="1357">
        <v>46</v>
      </c>
    </row>
    <row r="3302" spans="1:22" s="841" customFormat="1" ht="15" x14ac:dyDescent="0.25">
      <c r="A3302" s="841" t="s">
        <v>177</v>
      </c>
      <c r="E3302" s="1690" t="s">
        <v>11</v>
      </c>
      <c r="F3302" s="1690"/>
      <c r="G3302" s="1408" t="s">
        <v>23</v>
      </c>
      <c r="H3302" s="391">
        <v>1884.96</v>
      </c>
      <c r="K3302" s="841" t="s">
        <v>3815</v>
      </c>
      <c r="L3302" s="841" t="s">
        <v>442</v>
      </c>
      <c r="M3302" s="1357"/>
      <c r="P3302" s="841" t="s">
        <v>3817</v>
      </c>
      <c r="Q3302" s="1357"/>
      <c r="S3302" s="1420"/>
      <c r="T3302" s="1420"/>
      <c r="V3302" s="1357">
        <v>14</v>
      </c>
    </row>
    <row r="3303" spans="1:22" s="841" customFormat="1" ht="15" x14ac:dyDescent="0.25">
      <c r="A3303" s="841" t="s">
        <v>177</v>
      </c>
      <c r="E3303" s="1690" t="s">
        <v>84</v>
      </c>
      <c r="F3303" s="1690"/>
      <c r="G3303" s="1408" t="s">
        <v>33</v>
      </c>
      <c r="H3303" s="393">
        <v>0.28039999999999998</v>
      </c>
      <c r="K3303" s="841" t="s">
        <v>3815</v>
      </c>
      <c r="L3303" s="841" t="s">
        <v>442</v>
      </c>
      <c r="M3303" s="1357"/>
      <c r="P3303" s="841" t="s">
        <v>3818</v>
      </c>
      <c r="Q3303" s="1357"/>
      <c r="S3303" s="1420"/>
      <c r="T3303" s="1420"/>
      <c r="V3303" s="1357">
        <v>28</v>
      </c>
    </row>
    <row r="3304" spans="1:22" s="841" customFormat="1" ht="15" x14ac:dyDescent="0.25">
      <c r="A3304" s="841" t="s">
        <v>177</v>
      </c>
      <c r="E3304" s="1690" t="s">
        <v>18</v>
      </c>
      <c r="F3304" s="1690"/>
      <c r="G3304" s="1408" t="s">
        <v>33</v>
      </c>
      <c r="H3304" s="393">
        <v>0.43319999999999997</v>
      </c>
      <c r="K3304" s="841" t="s">
        <v>3815</v>
      </c>
      <c r="L3304" s="841" t="s">
        <v>443</v>
      </c>
      <c r="M3304" s="1357"/>
      <c r="P3304" s="841" t="s">
        <v>5416</v>
      </c>
      <c r="Q3304" s="1357"/>
      <c r="S3304" s="1420"/>
      <c r="T3304" s="1420"/>
      <c r="V3304" s="1357">
        <v>24</v>
      </c>
    </row>
    <row r="3305" spans="1:22" s="841" customFormat="1" ht="15" x14ac:dyDescent="0.25">
      <c r="A3305" s="841" t="s">
        <v>177</v>
      </c>
      <c r="E3305" s="1690" t="s">
        <v>5130</v>
      </c>
      <c r="F3305" s="1908"/>
      <c r="G3305" s="1408" t="s">
        <v>33</v>
      </c>
      <c r="H3305" s="393">
        <v>2.2978999999999998</v>
      </c>
      <c r="K3305" s="841" t="s">
        <v>3815</v>
      </c>
      <c r="L3305" s="841" t="s">
        <v>443</v>
      </c>
      <c r="M3305" s="1357"/>
      <c r="P3305" s="841" t="s">
        <v>5315</v>
      </c>
      <c r="Q3305" s="1357"/>
      <c r="S3305" s="1420"/>
      <c r="T3305" s="1420">
        <v>43585</v>
      </c>
      <c r="V3305" s="1357">
        <v>96</v>
      </c>
    </row>
    <row r="3306" spans="1:22" s="841" customFormat="1" ht="15" x14ac:dyDescent="0.25">
      <c r="A3306" s="841" t="s">
        <v>177</v>
      </c>
      <c r="E3306" s="1690" t="s">
        <v>5383</v>
      </c>
      <c r="F3306" s="1908"/>
      <c r="G3306" s="1408" t="s">
        <v>33</v>
      </c>
      <c r="H3306" s="393">
        <v>6.4999999999999997E-3</v>
      </c>
      <c r="K3306" s="841" t="s">
        <v>3815</v>
      </c>
      <c r="L3306" s="841" t="s">
        <v>442</v>
      </c>
      <c r="M3306" s="1357"/>
      <c r="P3306" s="841" t="s">
        <v>5417</v>
      </c>
      <c r="Q3306" s="1357"/>
      <c r="S3306" s="1420"/>
      <c r="T3306" s="1420">
        <v>43585</v>
      </c>
      <c r="V3306" s="1357">
        <v>80</v>
      </c>
    </row>
    <row r="3307" spans="1:22" s="841" customFormat="1" ht="15" x14ac:dyDescent="0.25">
      <c r="A3307" s="841" t="s">
        <v>177</v>
      </c>
      <c r="E3307" s="1690" t="s">
        <v>221</v>
      </c>
      <c r="F3307" s="1690"/>
      <c r="G3307" s="1408" t="s">
        <v>33</v>
      </c>
      <c r="H3307" s="393">
        <v>2.6785000000000001</v>
      </c>
      <c r="K3307" s="841" t="s">
        <v>3815</v>
      </c>
      <c r="L3307" s="841" t="s">
        <v>444</v>
      </c>
      <c r="M3307" s="1357"/>
      <c r="P3307" s="841" t="s">
        <v>5316</v>
      </c>
      <c r="Q3307" s="1357"/>
      <c r="S3307" s="1420"/>
      <c r="T3307" s="1420"/>
      <c r="V3307" s="1357">
        <v>47</v>
      </c>
    </row>
    <row r="3308" spans="1:22" s="841" customFormat="1" ht="15" x14ac:dyDescent="0.25">
      <c r="A3308" s="841" t="s">
        <v>177</v>
      </c>
      <c r="E3308" s="1690" t="s">
        <v>217</v>
      </c>
      <c r="F3308" s="1690"/>
      <c r="G3308" s="1408" t="s">
        <v>33</v>
      </c>
      <c r="H3308" s="393">
        <v>1.8973</v>
      </c>
      <c r="K3308" s="841" t="s">
        <v>3815</v>
      </c>
      <c r="L3308" s="841" t="s">
        <v>444</v>
      </c>
      <c r="M3308" s="1357"/>
      <c r="P3308" s="841" t="s">
        <v>3819</v>
      </c>
      <c r="Q3308" s="1357"/>
      <c r="S3308" s="1420"/>
      <c r="T3308" s="1420"/>
      <c r="V3308" s="1357">
        <v>74</v>
      </c>
    </row>
    <row r="3309" spans="1:22" s="841" customFormat="1" ht="15" x14ac:dyDescent="0.25">
      <c r="A3309" s="841" t="s">
        <v>177</v>
      </c>
      <c r="E3309" s="1694" t="s">
        <v>3079</v>
      </c>
      <c r="F3309" s="1690"/>
      <c r="G3309" s="1408"/>
      <c r="H3309" s="1408"/>
      <c r="K3309" s="841" t="s">
        <v>3260</v>
      </c>
      <c r="M3309" s="1357"/>
      <c r="Q3309" s="1357"/>
      <c r="S3309" s="1420"/>
      <c r="T3309" s="1420"/>
      <c r="V3309" s="1357">
        <v>48</v>
      </c>
    </row>
    <row r="3310" spans="1:22" s="841" customFormat="1" ht="15" x14ac:dyDescent="0.25">
      <c r="A3310" s="841" t="s">
        <v>177</v>
      </c>
      <c r="E3310" s="1690" t="s">
        <v>2449</v>
      </c>
      <c r="F3310" s="1690"/>
      <c r="G3310" s="1408" t="s">
        <v>24</v>
      </c>
      <c r="H3310" s="393">
        <v>3.2000000000000002E-3</v>
      </c>
      <c r="K3310" s="841" t="s">
        <v>3815</v>
      </c>
      <c r="L3310" s="841" t="s">
        <v>3046</v>
      </c>
      <c r="M3310" s="1357"/>
      <c r="P3310" s="841" t="s">
        <v>5418</v>
      </c>
      <c r="Q3310" s="1357"/>
      <c r="S3310" s="1420"/>
      <c r="T3310" s="1420"/>
      <c r="V3310" s="1357">
        <v>55</v>
      </c>
    </row>
    <row r="3311" spans="1:22" s="841" customFormat="1" ht="15" x14ac:dyDescent="0.25">
      <c r="A3311" s="841" t="s">
        <v>177</v>
      </c>
      <c r="E3311" s="1690" t="s">
        <v>2450</v>
      </c>
      <c r="F3311" s="1690"/>
      <c r="G3311" s="1408" t="s">
        <v>24</v>
      </c>
      <c r="H3311" s="393">
        <v>4.0000000000000002E-4</v>
      </c>
      <c r="K3311" s="841" t="s">
        <v>3815</v>
      </c>
      <c r="L3311" s="841" t="s">
        <v>3046</v>
      </c>
      <c r="M3311" s="1357"/>
      <c r="P3311" s="841" t="s">
        <v>5418</v>
      </c>
      <c r="Q3311" s="1357"/>
      <c r="S3311" s="1420"/>
      <c r="T3311" s="1420"/>
      <c r="V3311" s="1357">
        <v>65</v>
      </c>
    </row>
    <row r="3312" spans="1:22" s="841" customFormat="1" ht="15" x14ac:dyDescent="0.25">
      <c r="A3312" s="841" t="s">
        <v>177</v>
      </c>
      <c r="E3312" s="1690" t="s">
        <v>439</v>
      </c>
      <c r="F3312" s="1690"/>
      <c r="G3312" s="1408" t="s">
        <v>24</v>
      </c>
      <c r="H3312" s="393">
        <v>2.9999999999999997E-4</v>
      </c>
      <c r="K3312" s="841" t="s">
        <v>3815</v>
      </c>
      <c r="L3312" s="841" t="s">
        <v>3046</v>
      </c>
      <c r="M3312" s="1357"/>
      <c r="P3312" s="841" t="s">
        <v>5419</v>
      </c>
      <c r="Q3312" s="1357"/>
      <c r="S3312" s="1420"/>
      <c r="T3312" s="1420"/>
      <c r="V3312" s="1357">
        <v>57</v>
      </c>
    </row>
    <row r="3313" spans="1:22" s="841" customFormat="1" ht="15" x14ac:dyDescent="0.25">
      <c r="A3313" s="841" t="s">
        <v>177</v>
      </c>
      <c r="E3313" s="1690" t="s">
        <v>32</v>
      </c>
      <c r="F3313" s="1690"/>
      <c r="G3313" s="1408" t="s">
        <v>23</v>
      </c>
      <c r="H3313" s="391">
        <v>0.25</v>
      </c>
      <c r="K3313" s="841" t="s">
        <v>3815</v>
      </c>
      <c r="L3313" s="841" t="s">
        <v>3046</v>
      </c>
      <c r="M3313" s="1357"/>
      <c r="P3313" s="841" t="s">
        <v>5420</v>
      </c>
      <c r="Q3313" s="1357"/>
      <c r="S3313" s="1420"/>
      <c r="T3313" s="1420"/>
      <c r="V3313" s="1357">
        <v>63</v>
      </c>
    </row>
    <row r="3314" spans="1:22" s="841" customFormat="1" x14ac:dyDescent="0.25">
      <c r="A3314" s="841" t="s">
        <v>177</v>
      </c>
      <c r="E3314" s="1909" t="s">
        <v>618</v>
      </c>
      <c r="F3314" s="1915"/>
      <c r="G3314" s="1915"/>
      <c r="H3314" s="1915"/>
      <c r="K3314" s="841" t="s">
        <v>3487</v>
      </c>
      <c r="M3314" s="1357"/>
      <c r="Q3314" s="1357"/>
      <c r="S3314" s="1420"/>
      <c r="T3314" s="1420"/>
      <c r="V3314" s="1357">
        <v>31</v>
      </c>
    </row>
    <row r="3315" spans="1:22" s="841" customFormat="1" ht="15" x14ac:dyDescent="0.25">
      <c r="A3315" s="841" t="s">
        <v>177</v>
      </c>
      <c r="E3315" s="1689" t="s">
        <v>3127</v>
      </c>
      <c r="F3315" s="1689"/>
      <c r="G3315" s="1689"/>
      <c r="H3315" s="1689"/>
      <c r="K3315" s="841" t="s">
        <v>3487</v>
      </c>
      <c r="M3315" s="1357"/>
      <c r="Q3315" s="1357"/>
      <c r="S3315" s="1420"/>
      <c r="T3315" s="1420"/>
      <c r="V3315" s="1357">
        <v>286</v>
      </c>
    </row>
    <row r="3316" spans="1:22" s="841" customFormat="1" ht="15" x14ac:dyDescent="0.25">
      <c r="A3316" s="841" t="s">
        <v>177</v>
      </c>
      <c r="E3316" s="1916" t="s">
        <v>3061</v>
      </c>
      <c r="F3316" s="1697"/>
      <c r="G3316" s="1697"/>
      <c r="H3316" s="1697"/>
      <c r="K3316" s="841" t="s">
        <v>3266</v>
      </c>
      <c r="M3316" s="1357"/>
      <c r="Q3316" s="1357"/>
      <c r="S3316" s="1420"/>
      <c r="T3316" s="1420"/>
      <c r="V3316" s="1357">
        <v>11</v>
      </c>
    </row>
    <row r="3317" spans="1:22" s="841" customFormat="1" ht="15" x14ac:dyDescent="0.25">
      <c r="A3317" s="841" t="s">
        <v>177</v>
      </c>
      <c r="E3317" s="1689" t="s">
        <v>3063</v>
      </c>
      <c r="F3317" s="1689"/>
      <c r="G3317" s="1689"/>
      <c r="H3317" s="1689"/>
      <c r="K3317" s="841" t="s">
        <v>3487</v>
      </c>
      <c r="M3317" s="1357"/>
      <c r="Q3317" s="1357"/>
      <c r="S3317" s="1420"/>
      <c r="T3317" s="1420"/>
      <c r="V3317" s="1357">
        <v>280</v>
      </c>
    </row>
    <row r="3318" spans="1:22" s="841" customFormat="1" ht="15" x14ac:dyDescent="0.25">
      <c r="A3318" s="841" t="s">
        <v>177</v>
      </c>
      <c r="E3318" s="1689" t="s">
        <v>3064</v>
      </c>
      <c r="F3318" s="1689"/>
      <c r="G3318" s="1689"/>
      <c r="H3318" s="1689"/>
      <c r="K3318" s="841" t="s">
        <v>3487</v>
      </c>
      <c r="M3318" s="1357"/>
      <c r="Q3318" s="1357"/>
      <c r="S3318" s="1420"/>
      <c r="T3318" s="1420"/>
      <c r="V3318" s="1357">
        <v>411</v>
      </c>
    </row>
    <row r="3319" spans="1:22" s="841" customFormat="1" ht="15" x14ac:dyDescent="0.25">
      <c r="A3319" s="841" t="s">
        <v>177</v>
      </c>
      <c r="E3319" s="1689" t="s">
        <v>3129</v>
      </c>
      <c r="F3319" s="1689"/>
      <c r="G3319" s="1689"/>
      <c r="H3319" s="1689"/>
      <c r="K3319" s="841" t="s">
        <v>3487</v>
      </c>
      <c r="M3319" s="1357"/>
      <c r="Q3319" s="1357"/>
      <c r="S3319" s="1420"/>
      <c r="T3319" s="1420"/>
      <c r="V3319" s="1357">
        <v>211</v>
      </c>
    </row>
    <row r="3320" spans="1:22" s="841" customFormat="1" ht="15" x14ac:dyDescent="0.25">
      <c r="A3320" s="841" t="s">
        <v>177</v>
      </c>
      <c r="E3320" s="1689" t="s">
        <v>3200</v>
      </c>
      <c r="F3320" s="1689"/>
      <c r="G3320" s="1689"/>
      <c r="H3320" s="1689"/>
      <c r="K3320" s="841" t="s">
        <v>3487</v>
      </c>
      <c r="M3320" s="1357"/>
      <c r="Q3320" s="1357"/>
      <c r="S3320" s="1420"/>
      <c r="T3320" s="1420"/>
      <c r="V3320" s="1357">
        <v>275</v>
      </c>
    </row>
    <row r="3321" spans="1:22" s="841" customFormat="1" ht="15" x14ac:dyDescent="0.25">
      <c r="A3321" s="841" t="s">
        <v>177</v>
      </c>
      <c r="E3321" s="1694" t="s">
        <v>3067</v>
      </c>
      <c r="F3321" s="1907"/>
      <c r="G3321" s="1907"/>
      <c r="H3321" s="1907"/>
      <c r="K3321" s="841" t="s">
        <v>3267</v>
      </c>
      <c r="M3321" s="1357"/>
      <c r="Q3321" s="1357"/>
      <c r="S3321" s="1420"/>
      <c r="T3321" s="1420"/>
      <c r="V3321" s="1357">
        <v>46</v>
      </c>
    </row>
    <row r="3322" spans="1:22" s="841" customFormat="1" ht="15" x14ac:dyDescent="0.25">
      <c r="A3322" s="841" t="s">
        <v>177</v>
      </c>
      <c r="E3322" s="1690" t="s">
        <v>11</v>
      </c>
      <c r="F3322" s="1690"/>
      <c r="G3322" s="1408" t="s">
        <v>23</v>
      </c>
      <c r="H3322" s="391">
        <v>5.4</v>
      </c>
      <c r="K3322" s="841" t="s">
        <v>3487</v>
      </c>
      <c r="L3322" s="841" t="s">
        <v>442</v>
      </c>
      <c r="M3322" s="1357"/>
      <c r="P3322" s="841" t="s">
        <v>3488</v>
      </c>
      <c r="Q3322" s="1357"/>
      <c r="S3322" s="1420"/>
      <c r="T3322" s="1420"/>
      <c r="V3322" s="1357">
        <v>14</v>
      </c>
    </row>
    <row r="3323" spans="1:22" s="841" customFormat="1" ht="18.75" x14ac:dyDescent="0.3">
      <c r="A3323" s="841" t="s">
        <v>177</v>
      </c>
      <c r="E3323" s="1374" t="s">
        <v>85</v>
      </c>
      <c r="F3323" s="657"/>
      <c r="G3323" s="657"/>
      <c r="H3323" s="658"/>
      <c r="K3323" s="841" t="s">
        <v>4732</v>
      </c>
      <c r="M3323" s="1357"/>
      <c r="Q3323" s="1357"/>
      <c r="S3323" s="1420"/>
      <c r="T3323" s="1420"/>
      <c r="V3323" s="1357">
        <v>10</v>
      </c>
    </row>
    <row r="3324" spans="1:22" s="841" customFormat="1" ht="15" x14ac:dyDescent="0.25">
      <c r="A3324" s="841" t="s">
        <v>177</v>
      </c>
      <c r="E3324" s="1690" t="s">
        <v>3133</v>
      </c>
      <c r="F3324" s="1690"/>
      <c r="G3324" s="1408" t="s">
        <v>159</v>
      </c>
      <c r="H3324" s="393">
        <v>-0.6</v>
      </c>
      <c r="M3324" s="1357"/>
      <c r="Q3324" s="1357"/>
      <c r="S3324" s="1420"/>
      <c r="T3324" s="1420"/>
      <c r="V3324" s="1357">
        <v>68</v>
      </c>
    </row>
    <row r="3325" spans="1:22" s="841" customFormat="1" ht="15" x14ac:dyDescent="0.25">
      <c r="A3325" s="841" t="s">
        <v>177</v>
      </c>
      <c r="E3325" s="1690" t="s">
        <v>5273</v>
      </c>
      <c r="F3325" s="1690"/>
      <c r="G3325" s="1408" t="s">
        <v>86</v>
      </c>
      <c r="H3325" s="391">
        <v>-1</v>
      </c>
      <c r="M3325" s="1357"/>
      <c r="Q3325" s="1357"/>
      <c r="S3325" s="1420"/>
      <c r="T3325" s="1420"/>
      <c r="V3325" s="1357">
        <v>89</v>
      </c>
    </row>
    <row r="3326" spans="1:22" s="841" customFormat="1" ht="36.75" x14ac:dyDescent="0.3">
      <c r="A3326" s="841" t="s">
        <v>177</v>
      </c>
      <c r="E3326" s="1374" t="s">
        <v>87</v>
      </c>
      <c r="F3326" s="657"/>
      <c r="G3326" s="657"/>
      <c r="H3326" s="658"/>
      <c r="K3326" s="841" t="s">
        <v>4733</v>
      </c>
      <c r="M3326" s="1357"/>
      <c r="Q3326" s="1357"/>
      <c r="S3326" s="1420"/>
      <c r="T3326" s="1420"/>
      <c r="V3326" s="1357">
        <v>24</v>
      </c>
    </row>
    <row r="3327" spans="1:22" s="841" customFormat="1" ht="15" x14ac:dyDescent="0.25">
      <c r="A3327" s="841" t="s">
        <v>177</v>
      </c>
      <c r="E3327" s="1689" t="s">
        <v>3063</v>
      </c>
      <c r="F3327" s="1689"/>
      <c r="G3327" s="1689"/>
      <c r="H3327" s="1689"/>
      <c r="M3327" s="1357"/>
      <c r="Q3327" s="1357"/>
      <c r="S3327" s="1420"/>
      <c r="T3327" s="1420"/>
      <c r="V3327" s="1357">
        <v>280</v>
      </c>
    </row>
    <row r="3328" spans="1:22" s="841" customFormat="1" ht="15" x14ac:dyDescent="0.25">
      <c r="A3328" s="841" t="s">
        <v>177</v>
      </c>
      <c r="E3328" s="1689" t="s">
        <v>3136</v>
      </c>
      <c r="F3328" s="1689"/>
      <c r="G3328" s="1689"/>
      <c r="H3328" s="1689"/>
      <c r="M3328" s="1357"/>
      <c r="Q3328" s="1357"/>
      <c r="S3328" s="1420"/>
      <c r="T3328" s="1420"/>
      <c r="V3328" s="1357">
        <v>353</v>
      </c>
    </row>
    <row r="3329" spans="1:22" s="841" customFormat="1" ht="15" x14ac:dyDescent="0.25">
      <c r="A3329" s="841" t="s">
        <v>177</v>
      </c>
      <c r="E3329" s="1689" t="s">
        <v>3200</v>
      </c>
      <c r="F3329" s="1689"/>
      <c r="G3329" s="1689"/>
      <c r="H3329" s="1689"/>
      <c r="M3329" s="1357"/>
      <c r="Q3329" s="1357"/>
      <c r="S3329" s="1420"/>
      <c r="T3329" s="1420"/>
      <c r="V3329" s="1357">
        <v>275</v>
      </c>
    </row>
    <row r="3330" spans="1:22" s="841" customFormat="1" ht="15" x14ac:dyDescent="0.25">
      <c r="A3330" s="841" t="s">
        <v>177</v>
      </c>
      <c r="E3330" s="1370" t="s">
        <v>3137</v>
      </c>
      <c r="F3330" s="3"/>
      <c r="G3330" s="3"/>
      <c r="H3330" s="398"/>
      <c r="K3330" s="841" t="s">
        <v>4734</v>
      </c>
      <c r="M3330" s="1357"/>
      <c r="Q3330" s="1357"/>
      <c r="S3330" s="1420"/>
      <c r="T3330" s="1420"/>
      <c r="V3330" s="1357">
        <v>23</v>
      </c>
    </row>
    <row r="3331" spans="1:22" s="841" customFormat="1" ht="15" x14ac:dyDescent="0.25">
      <c r="A3331" s="841" t="s">
        <v>177</v>
      </c>
      <c r="E3331" s="1688" t="s">
        <v>3355</v>
      </c>
      <c r="F3331" s="1688"/>
      <c r="G3331" s="1408" t="s">
        <v>23</v>
      </c>
      <c r="H3331" s="391">
        <v>15</v>
      </c>
      <c r="M3331" s="1357"/>
      <c r="Q3331" s="1357"/>
      <c r="S3331" s="1420"/>
      <c r="T3331" s="1420"/>
      <c r="V3331" s="1357">
        <v>19</v>
      </c>
    </row>
    <row r="3332" spans="1:22" s="841" customFormat="1" ht="15" x14ac:dyDescent="0.25">
      <c r="A3332" s="841" t="s">
        <v>177</v>
      </c>
      <c r="E3332" s="1688" t="s">
        <v>3140</v>
      </c>
      <c r="F3332" s="1688"/>
      <c r="G3332" s="1408" t="s">
        <v>23</v>
      </c>
      <c r="H3332" s="391">
        <v>15</v>
      </c>
      <c r="M3332" s="1357"/>
      <c r="Q3332" s="1357"/>
      <c r="S3332" s="1420"/>
      <c r="T3332" s="1420"/>
      <c r="V3332" s="1357">
        <v>20</v>
      </c>
    </row>
    <row r="3333" spans="1:22" s="841" customFormat="1" ht="15" x14ac:dyDescent="0.25">
      <c r="A3333" s="841" t="s">
        <v>177</v>
      </c>
      <c r="E3333" s="1688" t="s">
        <v>3141</v>
      </c>
      <c r="F3333" s="1688"/>
      <c r="G3333" s="1408" t="s">
        <v>23</v>
      </c>
      <c r="H3333" s="391">
        <v>15</v>
      </c>
      <c r="M3333" s="1357"/>
      <c r="Q3333" s="1357"/>
      <c r="S3333" s="1420"/>
      <c r="T3333" s="1420"/>
      <c r="V3333" s="1357">
        <v>26</v>
      </c>
    </row>
    <row r="3334" spans="1:22" s="841" customFormat="1" ht="15" x14ac:dyDescent="0.25">
      <c r="A3334" s="841" t="s">
        <v>177</v>
      </c>
      <c r="E3334" s="1688" t="s">
        <v>3142</v>
      </c>
      <c r="F3334" s="1688"/>
      <c r="G3334" s="1408" t="s">
        <v>23</v>
      </c>
      <c r="H3334" s="391">
        <v>15</v>
      </c>
      <c r="M3334" s="1357"/>
      <c r="Q3334" s="1357"/>
      <c r="S3334" s="1420"/>
      <c r="T3334" s="1420"/>
      <c r="V3334" s="1357">
        <v>39</v>
      </c>
    </row>
    <row r="3335" spans="1:22" s="841" customFormat="1" ht="15" x14ac:dyDescent="0.25">
      <c r="A3335" s="841" t="s">
        <v>177</v>
      </c>
      <c r="E3335" s="1688" t="s">
        <v>3143</v>
      </c>
      <c r="F3335" s="1688"/>
      <c r="G3335" s="1408" t="s">
        <v>23</v>
      </c>
      <c r="H3335" s="391">
        <v>15</v>
      </c>
      <c r="M3335" s="1357"/>
      <c r="Q3335" s="1357"/>
      <c r="S3335" s="1420"/>
      <c r="T3335" s="1420"/>
      <c r="V3335" s="1357">
        <v>37</v>
      </c>
    </row>
    <row r="3336" spans="1:22" s="841" customFormat="1" ht="15" x14ac:dyDescent="0.25">
      <c r="A3336" s="841" t="s">
        <v>177</v>
      </c>
      <c r="E3336" s="1688" t="s">
        <v>4770</v>
      </c>
      <c r="F3336" s="1688"/>
      <c r="G3336" s="1408" t="s">
        <v>23</v>
      </c>
      <c r="H3336" s="391">
        <v>15</v>
      </c>
      <c r="M3336" s="1357"/>
      <c r="Q3336" s="1357"/>
      <c r="S3336" s="1420"/>
      <c r="T3336" s="1420"/>
      <c r="V3336" s="1357">
        <v>15</v>
      </c>
    </row>
    <row r="3337" spans="1:22" s="841" customFormat="1" ht="15" x14ac:dyDescent="0.25">
      <c r="A3337" s="841" t="s">
        <v>177</v>
      </c>
      <c r="E3337" s="1688" t="s">
        <v>3145</v>
      </c>
      <c r="F3337" s="1688"/>
      <c r="G3337" s="1408" t="s">
        <v>23</v>
      </c>
      <c r="H3337" s="391">
        <v>15</v>
      </c>
      <c r="M3337" s="1357"/>
      <c r="Q3337" s="1357"/>
      <c r="S3337" s="1420"/>
      <c r="T3337" s="1420"/>
      <c r="V3337" s="1357">
        <v>17</v>
      </c>
    </row>
    <row r="3338" spans="1:22" s="841" customFormat="1" ht="15" x14ac:dyDescent="0.25">
      <c r="A3338" s="841" t="s">
        <v>177</v>
      </c>
      <c r="E3338" s="1688" t="s">
        <v>3146</v>
      </c>
      <c r="F3338" s="1688"/>
      <c r="G3338" s="1408" t="s">
        <v>23</v>
      </c>
      <c r="H3338" s="391">
        <v>15</v>
      </c>
      <c r="M3338" s="1357"/>
      <c r="Q3338" s="1357"/>
      <c r="S3338" s="1420"/>
      <c r="T3338" s="1420"/>
      <c r="V3338" s="1357">
        <v>19</v>
      </c>
    </row>
    <row r="3339" spans="1:22" s="841" customFormat="1" ht="15" x14ac:dyDescent="0.25">
      <c r="A3339" s="841" t="s">
        <v>177</v>
      </c>
      <c r="E3339" s="1688" t="s">
        <v>3147</v>
      </c>
      <c r="F3339" s="1688"/>
      <c r="G3339" s="1408" t="s">
        <v>23</v>
      </c>
      <c r="H3339" s="391">
        <v>15</v>
      </c>
      <c r="M3339" s="1357"/>
      <c r="Q3339" s="1357"/>
      <c r="S3339" s="1420"/>
      <c r="T3339" s="1420"/>
      <c r="V3339" s="1357">
        <v>15</v>
      </c>
    </row>
    <row r="3340" spans="1:22" s="841" customFormat="1" ht="15" x14ac:dyDescent="0.25">
      <c r="A3340" s="841" t="s">
        <v>177</v>
      </c>
      <c r="E3340" s="1688" t="s">
        <v>3148</v>
      </c>
      <c r="F3340" s="1688"/>
      <c r="G3340" s="1408" t="s">
        <v>23</v>
      </c>
      <c r="H3340" s="391">
        <v>15</v>
      </c>
      <c r="M3340" s="1357"/>
      <c r="Q3340" s="1357"/>
      <c r="S3340" s="1420"/>
      <c r="T3340" s="1420"/>
      <c r="V3340" s="1357">
        <v>56</v>
      </c>
    </row>
    <row r="3341" spans="1:22" s="841" customFormat="1" ht="15" x14ac:dyDescent="0.25">
      <c r="A3341" s="841" t="s">
        <v>177</v>
      </c>
      <c r="E3341" s="1688" t="s">
        <v>123</v>
      </c>
      <c r="F3341" s="1688"/>
      <c r="G3341" s="1408" t="s">
        <v>23</v>
      </c>
      <c r="H3341" s="391">
        <v>15</v>
      </c>
      <c r="M3341" s="1357"/>
      <c r="Q3341" s="1357"/>
      <c r="S3341" s="1420"/>
      <c r="T3341" s="1420"/>
      <c r="V3341" s="1357">
        <v>35</v>
      </c>
    </row>
    <row r="3342" spans="1:22" s="841" customFormat="1" ht="15" x14ac:dyDescent="0.25">
      <c r="A3342" s="841" t="s">
        <v>177</v>
      </c>
      <c r="E3342" s="1688" t="s">
        <v>3150</v>
      </c>
      <c r="F3342" s="1688"/>
      <c r="G3342" s="1408" t="s">
        <v>23</v>
      </c>
      <c r="H3342" s="391">
        <v>15</v>
      </c>
      <c r="M3342" s="1357"/>
      <c r="Q3342" s="1357"/>
      <c r="S3342" s="1420"/>
      <c r="T3342" s="1420"/>
      <c r="V3342" s="1357">
        <v>24</v>
      </c>
    </row>
    <row r="3343" spans="1:22" s="841" customFormat="1" ht="15" x14ac:dyDescent="0.25">
      <c r="A3343" s="841" t="s">
        <v>177</v>
      </c>
      <c r="E3343" s="1688" t="s">
        <v>3151</v>
      </c>
      <c r="F3343" s="1688"/>
      <c r="G3343" s="1408" t="s">
        <v>23</v>
      </c>
      <c r="H3343" s="391">
        <v>15</v>
      </c>
      <c r="M3343" s="1357"/>
      <c r="Q3343" s="1357"/>
      <c r="S3343" s="1420"/>
      <c r="T3343" s="1420"/>
      <c r="V3343" s="1357">
        <v>19</v>
      </c>
    </row>
    <row r="3344" spans="1:22" s="841" customFormat="1" ht="15" x14ac:dyDescent="0.25">
      <c r="A3344" s="841" t="s">
        <v>177</v>
      </c>
      <c r="E3344" s="1688" t="s">
        <v>88</v>
      </c>
      <c r="F3344" s="1688"/>
      <c r="G3344" s="1408" t="s">
        <v>23</v>
      </c>
      <c r="H3344" s="391">
        <v>30</v>
      </c>
      <c r="M3344" s="1357"/>
      <c r="Q3344" s="1357"/>
      <c r="S3344" s="1420"/>
      <c r="T3344" s="1420"/>
      <c r="V3344" s="1357">
        <v>89</v>
      </c>
    </row>
    <row r="3345" spans="1:22" s="841" customFormat="1" ht="15" x14ac:dyDescent="0.25">
      <c r="A3345" s="841" t="s">
        <v>177</v>
      </c>
      <c r="E3345" s="1688" t="s">
        <v>92</v>
      </c>
      <c r="F3345" s="1688"/>
      <c r="G3345" s="1408" t="s">
        <v>23</v>
      </c>
      <c r="H3345" s="391">
        <v>30</v>
      </c>
      <c r="M3345" s="1357"/>
      <c r="Q3345" s="1357"/>
      <c r="S3345" s="1420"/>
      <c r="T3345" s="1420"/>
      <c r="V3345" s="1357">
        <v>74</v>
      </c>
    </row>
    <row r="3346" spans="1:22" s="841" customFormat="1" ht="15" x14ac:dyDescent="0.25">
      <c r="A3346" s="841" t="s">
        <v>177</v>
      </c>
      <c r="E3346" s="1370" t="s">
        <v>3152</v>
      </c>
      <c r="F3346" s="3"/>
      <c r="G3346" s="3"/>
      <c r="H3346" s="398"/>
      <c r="K3346" s="841" t="s">
        <v>4735</v>
      </c>
      <c r="M3346" s="1357"/>
      <c r="Q3346" s="1357"/>
      <c r="S3346" s="1420"/>
      <c r="T3346" s="1420"/>
      <c r="V3346" s="1357">
        <v>22</v>
      </c>
    </row>
    <row r="3347" spans="1:22" s="841" customFormat="1" ht="15" x14ac:dyDescent="0.25">
      <c r="A3347" s="841" t="s">
        <v>177</v>
      </c>
      <c r="E3347" s="1688" t="s">
        <v>5137</v>
      </c>
      <c r="F3347" s="1688"/>
      <c r="G3347" s="1408" t="s">
        <v>86</v>
      </c>
      <c r="H3347" s="391">
        <v>1.5</v>
      </c>
      <c r="M3347" s="1357"/>
      <c r="Q3347" s="1357"/>
      <c r="S3347" s="1420"/>
      <c r="T3347" s="1420"/>
      <c r="V3347" s="1357">
        <v>24</v>
      </c>
    </row>
    <row r="3348" spans="1:22" s="841" customFormat="1" ht="15" x14ac:dyDescent="0.25">
      <c r="A3348" s="841" t="s">
        <v>177</v>
      </c>
      <c r="E3348" s="1688" t="s">
        <v>4772</v>
      </c>
      <c r="F3348" s="1688"/>
      <c r="G3348" s="1408" t="s">
        <v>86</v>
      </c>
      <c r="H3348" s="391">
        <v>19.559999999999999</v>
      </c>
      <c r="M3348" s="1357"/>
      <c r="Q3348" s="1357"/>
      <c r="S3348" s="1420"/>
      <c r="T3348" s="1420"/>
      <c r="V3348" s="1357">
        <v>24</v>
      </c>
    </row>
    <row r="3349" spans="1:22" s="841" customFormat="1" ht="15" x14ac:dyDescent="0.25">
      <c r="A3349" s="841" t="s">
        <v>177</v>
      </c>
      <c r="E3349" s="1688" t="s">
        <v>3288</v>
      </c>
      <c r="F3349" s="1688"/>
      <c r="G3349" s="1408" t="s">
        <v>23</v>
      </c>
      <c r="H3349" s="391">
        <v>30</v>
      </c>
      <c r="M3349" s="1357"/>
      <c r="Q3349" s="1357"/>
      <c r="S3349" s="1420"/>
      <c r="T3349" s="1420"/>
      <c r="V3349" s="1357">
        <v>47</v>
      </c>
    </row>
    <row r="3350" spans="1:22" s="841" customFormat="1" ht="15" x14ac:dyDescent="0.25">
      <c r="A3350" s="841" t="s">
        <v>177</v>
      </c>
      <c r="E3350" s="1688" t="s">
        <v>3157</v>
      </c>
      <c r="F3350" s="1688"/>
      <c r="G3350" s="1408" t="s">
        <v>23</v>
      </c>
      <c r="H3350" s="391">
        <v>165</v>
      </c>
      <c r="M3350" s="1357"/>
      <c r="Q3350" s="1357"/>
      <c r="S3350" s="1420"/>
      <c r="T3350" s="1420"/>
      <c r="V3350" s="1357">
        <v>69</v>
      </c>
    </row>
    <row r="3351" spans="1:22" s="841" customFormat="1" ht="15" x14ac:dyDescent="0.25">
      <c r="A3351" s="841" t="s">
        <v>177</v>
      </c>
      <c r="E3351" s="1688" t="s">
        <v>4773</v>
      </c>
      <c r="F3351" s="1688"/>
      <c r="G3351" s="1408" t="s">
        <v>23</v>
      </c>
      <c r="H3351" s="391">
        <v>65</v>
      </c>
      <c r="M3351" s="1357"/>
      <c r="Q3351" s="1357"/>
      <c r="S3351" s="1420"/>
      <c r="T3351" s="1420"/>
      <c r="V3351" s="1357">
        <v>52</v>
      </c>
    </row>
    <row r="3352" spans="1:22" s="841" customFormat="1" ht="15" x14ac:dyDescent="0.25">
      <c r="A3352" s="841" t="s">
        <v>177</v>
      </c>
      <c r="E3352" s="1688" t="s">
        <v>4774</v>
      </c>
      <c r="F3352" s="1688"/>
      <c r="G3352" s="1408" t="s">
        <v>23</v>
      </c>
      <c r="H3352" s="391">
        <v>185</v>
      </c>
      <c r="M3352" s="1357"/>
      <c r="Q3352" s="1357"/>
      <c r="S3352" s="1420"/>
      <c r="T3352" s="1420"/>
      <c r="V3352" s="1357">
        <v>51</v>
      </c>
    </row>
    <row r="3353" spans="1:22" s="841" customFormat="1" ht="15" x14ac:dyDescent="0.25">
      <c r="A3353" s="841" t="s">
        <v>177</v>
      </c>
      <c r="E3353" s="1688" t="s">
        <v>4775</v>
      </c>
      <c r="F3353" s="1688"/>
      <c r="G3353" s="1408" t="s">
        <v>23</v>
      </c>
      <c r="H3353" s="391">
        <v>185</v>
      </c>
      <c r="M3353" s="1357"/>
      <c r="Q3353" s="1357"/>
      <c r="S3353" s="1420"/>
      <c r="T3353" s="1420"/>
      <c r="V3353" s="1357">
        <v>51</v>
      </c>
    </row>
    <row r="3354" spans="1:22" s="841" customFormat="1" ht="15" x14ac:dyDescent="0.25">
      <c r="A3354" s="841" t="s">
        <v>177</v>
      </c>
      <c r="E3354" s="1688" t="s">
        <v>4776</v>
      </c>
      <c r="F3354" s="1688"/>
      <c r="G3354" s="1408" t="s">
        <v>23</v>
      </c>
      <c r="H3354" s="391">
        <v>415</v>
      </c>
      <c r="M3354" s="1357"/>
      <c r="Q3354" s="1357"/>
      <c r="S3354" s="1420"/>
      <c r="T3354" s="1420"/>
      <c r="V3354" s="1357">
        <v>50</v>
      </c>
    </row>
    <row r="3355" spans="1:22" s="841" customFormat="1" ht="15" x14ac:dyDescent="0.25">
      <c r="A3355" s="841" t="s">
        <v>177</v>
      </c>
      <c r="E3355" s="1688" t="s">
        <v>4777</v>
      </c>
      <c r="F3355" s="1688"/>
      <c r="G3355" s="1408" t="s">
        <v>23</v>
      </c>
      <c r="H3355" s="391">
        <v>65</v>
      </c>
      <c r="M3355" s="1357"/>
      <c r="Q3355" s="1357"/>
      <c r="S3355" s="1420"/>
      <c r="T3355" s="1420"/>
      <c r="V3355" s="1357">
        <v>57</v>
      </c>
    </row>
    <row r="3356" spans="1:22" s="841" customFormat="1" ht="15" x14ac:dyDescent="0.25">
      <c r="A3356" s="841" t="s">
        <v>177</v>
      </c>
      <c r="E3356" s="1688" t="s">
        <v>4778</v>
      </c>
      <c r="F3356" s="1688"/>
      <c r="G3356" s="1408" t="s">
        <v>23</v>
      </c>
      <c r="H3356" s="391">
        <v>185</v>
      </c>
      <c r="M3356" s="1357"/>
      <c r="Q3356" s="1357"/>
      <c r="S3356" s="1420"/>
      <c r="T3356" s="1420"/>
      <c r="V3356" s="1357">
        <v>56</v>
      </c>
    </row>
    <row r="3357" spans="1:22" s="841" customFormat="1" ht="15" x14ac:dyDescent="0.25">
      <c r="A3357" s="841" t="s">
        <v>177</v>
      </c>
      <c r="E3357" s="1370" t="s">
        <v>3164</v>
      </c>
      <c r="F3357" s="507"/>
      <c r="G3357" s="397"/>
      <c r="H3357" s="391"/>
      <c r="M3357" s="1357"/>
      <c r="Q3357" s="1357"/>
      <c r="S3357" s="1420"/>
      <c r="T3357" s="1420"/>
      <c r="V3357" s="1357">
        <v>5</v>
      </c>
    </row>
    <row r="3358" spans="1:22" s="841" customFormat="1" ht="15" x14ac:dyDescent="0.25">
      <c r="A3358" s="841" t="s">
        <v>177</v>
      </c>
      <c r="E3358" s="1688" t="s">
        <v>94</v>
      </c>
      <c r="F3358" s="1688"/>
      <c r="G3358" s="1408" t="s">
        <v>23</v>
      </c>
      <c r="H3358" s="391">
        <v>30</v>
      </c>
      <c r="M3358" s="1357"/>
      <c r="Q3358" s="1357"/>
      <c r="S3358" s="1420"/>
      <c r="T3358" s="1420"/>
      <c r="V3358" s="1357">
        <v>19</v>
      </c>
    </row>
    <row r="3359" spans="1:22" s="841" customFormat="1" ht="15" x14ac:dyDescent="0.25">
      <c r="A3359" s="841" t="s">
        <v>177</v>
      </c>
      <c r="E3359" s="1688" t="s">
        <v>4779</v>
      </c>
      <c r="F3359" s="1688"/>
      <c r="G3359" s="1408" t="s">
        <v>23</v>
      </c>
      <c r="H3359" s="391">
        <v>30</v>
      </c>
      <c r="M3359" s="1357"/>
      <c r="Q3359" s="1357"/>
      <c r="S3359" s="1420"/>
      <c r="T3359" s="1420"/>
      <c r="V3359" s="1357">
        <v>39</v>
      </c>
    </row>
    <row r="3360" spans="1:22" s="841" customFormat="1" ht="15" x14ac:dyDescent="0.25">
      <c r="A3360" s="841" t="s">
        <v>177</v>
      </c>
      <c r="E3360" s="1688" t="s">
        <v>3168</v>
      </c>
      <c r="F3360" s="1688"/>
      <c r="G3360" s="1408" t="s">
        <v>23</v>
      </c>
      <c r="H3360" s="391">
        <v>165</v>
      </c>
      <c r="M3360" s="1357"/>
      <c r="Q3360" s="1357"/>
      <c r="S3360" s="1420"/>
      <c r="T3360" s="1420"/>
      <c r="V3360" s="1357">
        <v>34</v>
      </c>
    </row>
    <row r="3361" spans="1:22" s="841" customFormat="1" ht="15" x14ac:dyDescent="0.25">
      <c r="A3361" s="841" t="s">
        <v>177</v>
      </c>
      <c r="E3361" s="1688" t="s">
        <v>3434</v>
      </c>
      <c r="F3361" s="1688"/>
      <c r="G3361" s="1408" t="s">
        <v>23</v>
      </c>
      <c r="H3361" s="391">
        <v>500</v>
      </c>
      <c r="M3361" s="1357"/>
      <c r="Q3361" s="1357"/>
      <c r="S3361" s="1420"/>
      <c r="T3361" s="1420"/>
      <c r="V3361" s="1357">
        <v>64</v>
      </c>
    </row>
    <row r="3362" spans="1:22" s="841" customFormat="1" ht="15" x14ac:dyDescent="0.25">
      <c r="A3362" s="841" t="s">
        <v>177</v>
      </c>
      <c r="E3362" s="1688" t="s">
        <v>3489</v>
      </c>
      <c r="F3362" s="1688"/>
      <c r="G3362" s="1408" t="s">
        <v>23</v>
      </c>
      <c r="H3362" s="391">
        <v>300</v>
      </c>
      <c r="M3362" s="1357"/>
      <c r="Q3362" s="1357"/>
      <c r="S3362" s="1420"/>
      <c r="T3362" s="1420"/>
      <c r="V3362" s="1357">
        <v>67</v>
      </c>
    </row>
    <row r="3363" spans="1:22" s="841" customFormat="1" ht="15" x14ac:dyDescent="0.25">
      <c r="A3363" s="841" t="s">
        <v>177</v>
      </c>
      <c r="E3363" s="1688" t="s">
        <v>3490</v>
      </c>
      <c r="F3363" s="1688"/>
      <c r="G3363" s="1408" t="s">
        <v>23</v>
      </c>
      <c r="H3363" s="391">
        <v>1000</v>
      </c>
      <c r="M3363" s="1357"/>
      <c r="Q3363" s="1357"/>
      <c r="S3363" s="1420"/>
      <c r="T3363" s="1420"/>
      <c r="V3363" s="1357">
        <v>66</v>
      </c>
    </row>
    <row r="3364" spans="1:22" s="841" customFormat="1" ht="15" x14ac:dyDescent="0.25">
      <c r="A3364" s="841" t="s">
        <v>177</v>
      </c>
      <c r="E3364" s="1688" t="s">
        <v>3491</v>
      </c>
      <c r="F3364" s="1688"/>
      <c r="G3364" s="1408" t="s">
        <v>23</v>
      </c>
      <c r="H3364" s="391">
        <v>22.35</v>
      </c>
      <c r="M3364" s="1357"/>
      <c r="Q3364" s="1357"/>
      <c r="S3364" s="1420"/>
      <c r="T3364" s="1420"/>
      <c r="V3364" s="1357">
        <v>59</v>
      </c>
    </row>
    <row r="3365" spans="1:22" s="841" customFormat="1" ht="15" x14ac:dyDescent="0.25">
      <c r="A3365" s="841" t="s">
        <v>177</v>
      </c>
      <c r="E3365" s="1688" t="s">
        <v>3166</v>
      </c>
      <c r="F3365" s="1688"/>
      <c r="G3365" s="1408"/>
      <c r="H3365" s="391"/>
      <c r="M3365" s="1357"/>
      <c r="Q3365" s="1357"/>
      <c r="S3365" s="1420"/>
      <c r="T3365" s="1420"/>
      <c r="V3365" s="1357">
        <v>44</v>
      </c>
    </row>
    <row r="3366" spans="1:22" s="841" customFormat="1" ht="18.75" x14ac:dyDescent="0.3">
      <c r="A3366" s="841" t="s">
        <v>177</v>
      </c>
      <c r="E3366" s="1405" t="s">
        <v>77</v>
      </c>
      <c r="F3366" s="657"/>
      <c r="G3366" s="657"/>
      <c r="H3366" s="658"/>
      <c r="K3366" s="841" t="s">
        <v>4736</v>
      </c>
      <c r="M3366" s="1357"/>
      <c r="Q3366" s="1357"/>
      <c r="S3366" s="1420"/>
      <c r="T3366" s="1420"/>
      <c r="V3366" s="1357">
        <v>38</v>
      </c>
    </row>
    <row r="3367" spans="1:22" s="841" customFormat="1" ht="15" x14ac:dyDescent="0.25">
      <c r="A3367" s="841" t="s">
        <v>177</v>
      </c>
      <c r="E3367" s="1689" t="s">
        <v>3063</v>
      </c>
      <c r="F3367" s="1689"/>
      <c r="G3367" s="1689"/>
      <c r="H3367" s="1689"/>
      <c r="M3367" s="1357"/>
      <c r="Q3367" s="1357"/>
      <c r="S3367" s="1420"/>
      <c r="T3367" s="1420"/>
      <c r="V3367" s="1357">
        <v>280</v>
      </c>
    </row>
    <row r="3368" spans="1:22" s="841" customFormat="1" ht="15" x14ac:dyDescent="0.25">
      <c r="A3368" s="841" t="s">
        <v>177</v>
      </c>
      <c r="E3368" s="1689" t="s">
        <v>3064</v>
      </c>
      <c r="F3368" s="1689"/>
      <c r="G3368" s="1689"/>
      <c r="H3368" s="1689"/>
      <c r="M3368" s="1357"/>
      <c r="Q3368" s="1357"/>
      <c r="S3368" s="1420"/>
      <c r="T3368" s="1420"/>
      <c r="V3368" s="1357">
        <v>411</v>
      </c>
    </row>
    <row r="3369" spans="1:22" s="841" customFormat="1" ht="15" x14ac:dyDescent="0.25">
      <c r="A3369" s="841" t="s">
        <v>177</v>
      </c>
      <c r="E3369" s="1689" t="s">
        <v>3129</v>
      </c>
      <c r="F3369" s="1689"/>
      <c r="G3369" s="1689"/>
      <c r="H3369" s="1689"/>
      <c r="M3369" s="1357"/>
      <c r="Q3369" s="1357"/>
      <c r="S3369" s="1420"/>
      <c r="T3369" s="1420"/>
      <c r="V3369" s="1357">
        <v>211</v>
      </c>
    </row>
    <row r="3370" spans="1:22" s="841" customFormat="1" ht="15" x14ac:dyDescent="0.25">
      <c r="A3370" s="841" t="s">
        <v>177</v>
      </c>
      <c r="E3370" s="1689" t="s">
        <v>3200</v>
      </c>
      <c r="F3370" s="1689"/>
      <c r="G3370" s="1689"/>
      <c r="H3370" s="1689"/>
      <c r="M3370" s="1357"/>
      <c r="Q3370" s="1357"/>
      <c r="S3370" s="1420"/>
      <c r="T3370" s="1420"/>
      <c r="V3370" s="1357">
        <v>275</v>
      </c>
    </row>
    <row r="3371" spans="1:22" s="841" customFormat="1" ht="15" x14ac:dyDescent="0.25">
      <c r="A3371" s="841" t="s">
        <v>177</v>
      </c>
      <c r="E3371" s="1689" t="s">
        <v>3291</v>
      </c>
      <c r="F3371" s="1689"/>
      <c r="G3371" s="1689"/>
      <c r="H3371" s="1689"/>
      <c r="M3371" s="1357"/>
      <c r="Q3371" s="1357"/>
      <c r="S3371" s="1420"/>
      <c r="T3371" s="1420"/>
      <c r="V3371" s="1357">
        <v>142</v>
      </c>
    </row>
    <row r="3372" spans="1:22" s="841" customFormat="1" ht="15" x14ac:dyDescent="0.25">
      <c r="A3372" s="841" t="s">
        <v>177</v>
      </c>
      <c r="E3372" s="1690" t="s">
        <v>3176</v>
      </c>
      <c r="F3372" s="1690"/>
      <c r="G3372" s="397" t="s">
        <v>23</v>
      </c>
      <c r="H3372" s="391">
        <v>100</v>
      </c>
      <c r="M3372" s="1357"/>
      <c r="Q3372" s="1357"/>
      <c r="S3372" s="1420"/>
      <c r="T3372" s="1420"/>
      <c r="V3372" s="1357">
        <v>106</v>
      </c>
    </row>
    <row r="3373" spans="1:22" s="841" customFormat="1" ht="15" x14ac:dyDescent="0.25">
      <c r="A3373" s="841" t="s">
        <v>177</v>
      </c>
      <c r="E3373" s="1690" t="s">
        <v>3177</v>
      </c>
      <c r="F3373" s="1690"/>
      <c r="G3373" s="397" t="s">
        <v>23</v>
      </c>
      <c r="H3373" s="391">
        <v>20</v>
      </c>
      <c r="M3373" s="1357"/>
      <c r="Q3373" s="1357"/>
      <c r="S3373" s="1420"/>
      <c r="T3373" s="1420"/>
      <c r="V3373" s="1357">
        <v>34</v>
      </c>
    </row>
    <row r="3374" spans="1:22" s="841" customFormat="1" ht="15" x14ac:dyDescent="0.25">
      <c r="A3374" s="841" t="s">
        <v>177</v>
      </c>
      <c r="E3374" s="1690" t="s">
        <v>3178</v>
      </c>
      <c r="F3374" s="1690"/>
      <c r="G3374" s="397" t="s">
        <v>3179</v>
      </c>
      <c r="H3374" s="391">
        <v>0.5</v>
      </c>
      <c r="M3374" s="1357"/>
      <c r="Q3374" s="1357"/>
      <c r="S3374" s="1420"/>
      <c r="T3374" s="1420"/>
      <c r="V3374" s="1357">
        <v>51</v>
      </c>
    </row>
    <row r="3375" spans="1:22" s="841" customFormat="1" ht="15" x14ac:dyDescent="0.25">
      <c r="A3375" s="841" t="s">
        <v>177</v>
      </c>
      <c r="E3375" s="1690" t="s">
        <v>3180</v>
      </c>
      <c r="F3375" s="1690"/>
      <c r="G3375" s="397" t="s">
        <v>3179</v>
      </c>
      <c r="H3375" s="391">
        <v>0.3</v>
      </c>
      <c r="M3375" s="1357"/>
      <c r="Q3375" s="1357"/>
      <c r="S3375" s="1420"/>
      <c r="T3375" s="1420"/>
      <c r="V3375" s="1357">
        <v>75</v>
      </c>
    </row>
    <row r="3376" spans="1:22" s="841" customFormat="1" ht="15" x14ac:dyDescent="0.25">
      <c r="A3376" s="841" t="s">
        <v>177</v>
      </c>
      <c r="E3376" s="1690" t="s">
        <v>3181</v>
      </c>
      <c r="F3376" s="1690"/>
      <c r="G3376" s="397" t="s">
        <v>3179</v>
      </c>
      <c r="H3376" s="391">
        <v>-0.3</v>
      </c>
      <c r="M3376" s="1357"/>
      <c r="Q3376" s="1357"/>
      <c r="S3376" s="1420"/>
      <c r="T3376" s="1420"/>
      <c r="V3376" s="1357">
        <v>72</v>
      </c>
    </row>
    <row r="3377" spans="1:22" s="841" customFormat="1" ht="15" x14ac:dyDescent="0.25">
      <c r="A3377" s="841" t="s">
        <v>177</v>
      </c>
      <c r="E3377" s="1690" t="s">
        <v>3292</v>
      </c>
      <c r="F3377" s="1690"/>
      <c r="G3377" s="397"/>
      <c r="H3377" s="392"/>
      <c r="M3377" s="1357"/>
      <c r="Q3377" s="1357"/>
      <c r="S3377" s="1420"/>
      <c r="T3377" s="1420"/>
      <c r="V3377" s="1357">
        <v>34</v>
      </c>
    </row>
    <row r="3378" spans="1:22" s="841" customFormat="1" ht="15" x14ac:dyDescent="0.25">
      <c r="A3378" s="841" t="s">
        <v>177</v>
      </c>
      <c r="E3378" s="1691" t="s">
        <v>3183</v>
      </c>
      <c r="F3378" s="1691"/>
      <c r="G3378" s="397" t="s">
        <v>23</v>
      </c>
      <c r="H3378" s="391">
        <v>0.25</v>
      </c>
      <c r="M3378" s="1357"/>
      <c r="Q3378" s="1357"/>
      <c r="S3378" s="1420"/>
      <c r="T3378" s="1420"/>
      <c r="V3378" s="1357">
        <v>57</v>
      </c>
    </row>
    <row r="3379" spans="1:22" s="841" customFormat="1" ht="15" x14ac:dyDescent="0.25">
      <c r="A3379" s="841" t="s">
        <v>177</v>
      </c>
      <c r="E3379" s="1691" t="s">
        <v>3184</v>
      </c>
      <c r="F3379" s="1691"/>
      <c r="G3379" s="397" t="s">
        <v>23</v>
      </c>
      <c r="H3379" s="391">
        <v>0.5</v>
      </c>
      <c r="M3379" s="1357"/>
      <c r="Q3379" s="1357"/>
      <c r="S3379" s="1420"/>
      <c r="T3379" s="1420"/>
      <c r="V3379" s="1357">
        <v>60</v>
      </c>
    </row>
    <row r="3380" spans="1:22" s="841" customFormat="1" ht="15" x14ac:dyDescent="0.25">
      <c r="A3380" s="841" t="s">
        <v>177</v>
      </c>
      <c r="E3380" s="1690" t="s">
        <v>3185</v>
      </c>
      <c r="F3380" s="1690"/>
      <c r="G3380" s="397"/>
      <c r="H3380" s="392"/>
      <c r="M3380" s="1357"/>
      <c r="Q3380" s="1357"/>
      <c r="S3380" s="1420"/>
      <c r="T3380" s="1420"/>
      <c r="V3380" s="1357">
        <v>91</v>
      </c>
    </row>
    <row r="3381" spans="1:22" s="841" customFormat="1" ht="15" x14ac:dyDescent="0.25">
      <c r="A3381" s="841" t="s">
        <v>177</v>
      </c>
      <c r="E3381" s="1690" t="s">
        <v>3186</v>
      </c>
      <c r="F3381" s="1690"/>
      <c r="G3381" s="397"/>
      <c r="H3381" s="392"/>
      <c r="M3381" s="1357"/>
      <c r="Q3381" s="1357"/>
      <c r="S3381" s="1420"/>
      <c r="T3381" s="1420"/>
      <c r="V3381" s="1357">
        <v>96</v>
      </c>
    </row>
    <row r="3382" spans="1:22" s="841" customFormat="1" ht="15" x14ac:dyDescent="0.25">
      <c r="A3382" s="841" t="s">
        <v>177</v>
      </c>
      <c r="E3382" s="1690" t="s">
        <v>3293</v>
      </c>
      <c r="F3382" s="1690"/>
      <c r="G3382" s="397"/>
      <c r="H3382" s="392"/>
      <c r="M3382" s="1357"/>
      <c r="Q3382" s="1357"/>
      <c r="S3382" s="1420"/>
      <c r="T3382" s="1420"/>
      <c r="V3382" s="1357">
        <v>77</v>
      </c>
    </row>
    <row r="3383" spans="1:22" s="841" customFormat="1" ht="15" x14ac:dyDescent="0.25">
      <c r="A3383" s="841" t="s">
        <v>177</v>
      </c>
      <c r="E3383" s="1691" t="s">
        <v>3188</v>
      </c>
      <c r="F3383" s="1691"/>
      <c r="G3383" s="397" t="s">
        <v>23</v>
      </c>
      <c r="H3383" s="392" t="s">
        <v>3189</v>
      </c>
      <c r="M3383" s="1357"/>
      <c r="Q3383" s="1357"/>
      <c r="S3383" s="1420"/>
      <c r="T3383" s="1420"/>
      <c r="V3383" s="1357">
        <v>18</v>
      </c>
    </row>
    <row r="3384" spans="1:22" s="841" customFormat="1" ht="15" x14ac:dyDescent="0.25">
      <c r="A3384" s="841" t="s">
        <v>177</v>
      </c>
      <c r="E3384" s="1691" t="s">
        <v>3190</v>
      </c>
      <c r="F3384" s="1691"/>
      <c r="G3384" s="397" t="s">
        <v>23</v>
      </c>
      <c r="H3384" s="391">
        <v>2</v>
      </c>
      <c r="M3384" s="1357"/>
      <c r="Q3384" s="1357"/>
      <c r="S3384" s="1420"/>
      <c r="T3384" s="1420"/>
      <c r="V3384" s="1357">
        <v>69</v>
      </c>
    </row>
    <row r="3385" spans="1:22" s="841" customFormat="1" ht="18.75" x14ac:dyDescent="0.3">
      <c r="A3385" s="841" t="s">
        <v>177</v>
      </c>
      <c r="E3385" s="1374" t="s">
        <v>147</v>
      </c>
      <c r="F3385" s="657"/>
      <c r="G3385" s="657"/>
      <c r="H3385" s="658"/>
      <c r="K3385" s="841" t="s">
        <v>4737</v>
      </c>
      <c r="M3385" s="1357"/>
      <c r="Q3385" s="1357"/>
      <c r="S3385" s="1420"/>
      <c r="T3385" s="1420"/>
      <c r="V3385" s="1357">
        <v>12</v>
      </c>
    </row>
    <row r="3386" spans="1:22" s="841" customFormat="1" ht="15" x14ac:dyDescent="0.25">
      <c r="A3386" s="841" t="s">
        <v>177</v>
      </c>
      <c r="E3386" s="1704" t="s">
        <v>3192</v>
      </c>
      <c r="F3386" s="1704"/>
      <c r="G3386" s="1704"/>
      <c r="H3386" s="1704"/>
      <c r="M3386" s="1357"/>
      <c r="Q3386" s="1357"/>
      <c r="S3386" s="1420"/>
      <c r="T3386" s="1420"/>
      <c r="V3386" s="1357">
        <v>203</v>
      </c>
    </row>
    <row r="3387" spans="1:22" s="841" customFormat="1" ht="15" x14ac:dyDescent="0.25">
      <c r="A3387" s="841" t="s">
        <v>177</v>
      </c>
      <c r="E3387" s="1690" t="s">
        <v>3295</v>
      </c>
      <c r="F3387" s="1690"/>
      <c r="G3387" s="1408"/>
      <c r="H3387" s="393">
        <v>1.081</v>
      </c>
      <c r="M3387" s="1357"/>
      <c r="Q3387" s="1357"/>
      <c r="S3387" s="1420"/>
      <c r="T3387" s="1420"/>
      <c r="V3387" s="1357">
        <v>57</v>
      </c>
    </row>
    <row r="3388" spans="1:22" s="841" customFormat="1" ht="15" x14ac:dyDescent="0.25">
      <c r="A3388" s="841" t="s">
        <v>177</v>
      </c>
      <c r="E3388" s="1690" t="s">
        <v>3297</v>
      </c>
      <c r="F3388" s="1690"/>
      <c r="G3388" s="1408"/>
      <c r="H3388" s="393">
        <v>1.0703</v>
      </c>
      <c r="J3388" s="841" t="s">
        <v>4738</v>
      </c>
      <c r="M3388" s="1357"/>
      <c r="Q3388" s="1357"/>
      <c r="S3388" s="1420"/>
      <c r="T3388" s="1420"/>
      <c r="V3388" s="1357">
        <v>55</v>
      </c>
    </row>
    <row r="3389" spans="1:22" s="841" customFormat="1" ht="23.25" x14ac:dyDescent="0.25">
      <c r="A3389" s="841" t="s">
        <v>174</v>
      </c>
      <c r="C3389" s="841" t="s">
        <v>3050</v>
      </c>
      <c r="E3389" s="1911" t="s">
        <v>174</v>
      </c>
      <c r="F3389" s="1911"/>
      <c r="G3389" s="1911"/>
      <c r="H3389" s="1911"/>
      <c r="I3389" s="841" t="s">
        <v>628</v>
      </c>
      <c r="J3389" s="841" t="s">
        <v>3402</v>
      </c>
      <c r="K3389" s="841" t="s">
        <v>174</v>
      </c>
      <c r="M3389" s="1357">
        <v>6</v>
      </c>
      <c r="Q3389" s="1357"/>
      <c r="S3389" s="1420"/>
      <c r="T3389" s="1420"/>
      <c r="V3389" s="1357">
        <v>21</v>
      </c>
    </row>
    <row r="3390" spans="1:22" s="841" customFormat="1" x14ac:dyDescent="0.25">
      <c r="A3390" s="841" t="s">
        <v>174</v>
      </c>
      <c r="C3390" s="841" t="s">
        <v>3052</v>
      </c>
      <c r="E3390" s="1912" t="s">
        <v>3053</v>
      </c>
      <c r="F3390" s="1912"/>
      <c r="G3390" s="1912"/>
      <c r="H3390" s="1912"/>
      <c r="M3390" s="1357"/>
      <c r="Q3390" s="1357"/>
      <c r="S3390" s="1420"/>
      <c r="T3390" s="1420"/>
      <c r="V3390" s="1357">
        <v>27</v>
      </c>
    </row>
    <row r="3391" spans="1:22" s="841" customFormat="1" ht="15.75" x14ac:dyDescent="0.25">
      <c r="A3391" s="841" t="s">
        <v>174</v>
      </c>
      <c r="C3391" s="841" t="s">
        <v>3054</v>
      </c>
      <c r="E3391" s="1913" t="s">
        <v>5107</v>
      </c>
      <c r="F3391" s="1913"/>
      <c r="G3391" s="1913"/>
      <c r="H3391" s="1913"/>
      <c r="M3391" s="1357"/>
      <c r="Q3391" s="1357"/>
      <c r="S3391" s="1420">
        <v>43221</v>
      </c>
      <c r="T3391" s="1420"/>
      <c r="V3391" s="1357">
        <v>45</v>
      </c>
    </row>
    <row r="3392" spans="1:22" s="841" customFormat="1" ht="15" x14ac:dyDescent="0.25">
      <c r="A3392" s="841" t="s">
        <v>174</v>
      </c>
      <c r="C3392" s="841" t="s">
        <v>3055</v>
      </c>
      <c r="E3392" s="1914" t="s">
        <v>3056</v>
      </c>
      <c r="F3392" s="1914"/>
      <c r="G3392" s="1914"/>
      <c r="H3392" s="1914"/>
      <c r="M3392" s="1357"/>
      <c r="Q3392" s="1357"/>
      <c r="S3392" s="1420"/>
      <c r="T3392" s="1420"/>
      <c r="V3392" s="1357">
        <v>52</v>
      </c>
    </row>
    <row r="3393" spans="1:22" s="841" customFormat="1" ht="15" x14ac:dyDescent="0.25">
      <c r="A3393" s="841" t="s">
        <v>174</v>
      </c>
      <c r="E3393" s="1914" t="s">
        <v>3057</v>
      </c>
      <c r="F3393" s="1914"/>
      <c r="G3393" s="1914"/>
      <c r="H3393" s="1914"/>
      <c r="M3393" s="1357"/>
      <c r="Q3393" s="1357"/>
      <c r="S3393" s="1420"/>
      <c r="T3393" s="1420"/>
      <c r="V3393" s="1357">
        <v>53</v>
      </c>
    </row>
    <row r="3394" spans="1:22" s="841" customFormat="1" ht="15" x14ac:dyDescent="0.25">
      <c r="A3394" s="841" t="s">
        <v>174</v>
      </c>
      <c r="E3394" s="1925" t="s">
        <v>5421</v>
      </c>
      <c r="F3394" s="1925"/>
      <c r="G3394" s="1925"/>
      <c r="H3394" s="1925"/>
      <c r="K3394" s="841" t="s">
        <v>5421</v>
      </c>
      <c r="M3394" s="1357"/>
      <c r="Q3394" s="1357"/>
      <c r="S3394" s="1420"/>
      <c r="T3394" s="1420"/>
      <c r="V3394" s="1357">
        <v>12</v>
      </c>
    </row>
    <row r="3395" spans="1:22" s="841" customFormat="1" ht="15" x14ac:dyDescent="0.25">
      <c r="A3395" s="841" t="s">
        <v>174</v>
      </c>
      <c r="E3395" s="1909" t="s">
        <v>438</v>
      </c>
      <c r="F3395" s="1697"/>
      <c r="G3395" s="1697"/>
      <c r="H3395" s="1697"/>
      <c r="K3395" s="841" t="s">
        <v>3197</v>
      </c>
      <c r="M3395" s="1357"/>
      <c r="Q3395" s="1357"/>
      <c r="S3395" s="1420"/>
      <c r="T3395" s="1420"/>
      <c r="V3395" s="1357">
        <v>34</v>
      </c>
    </row>
    <row r="3396" spans="1:22" s="841" customFormat="1" ht="15" x14ac:dyDescent="0.25">
      <c r="A3396" s="841" t="s">
        <v>174</v>
      </c>
      <c r="E3396" s="1689" t="s">
        <v>3403</v>
      </c>
      <c r="F3396" s="1689"/>
      <c r="G3396" s="1689"/>
      <c r="H3396" s="1689"/>
      <c r="K3396" s="841" t="s">
        <v>3197</v>
      </c>
      <c r="M3396" s="1357"/>
      <c r="Q3396" s="1357"/>
      <c r="S3396" s="1420"/>
      <c r="T3396" s="1420"/>
      <c r="V3396" s="1357">
        <v>679</v>
      </c>
    </row>
    <row r="3397" spans="1:22" s="841" customFormat="1" ht="15" x14ac:dyDescent="0.25">
      <c r="A3397" s="841" t="s">
        <v>174</v>
      </c>
      <c r="E3397" s="1916" t="s">
        <v>3061</v>
      </c>
      <c r="F3397" s="1697"/>
      <c r="G3397" s="1697"/>
      <c r="H3397" s="1697"/>
      <c r="K3397" s="841" t="s">
        <v>3062</v>
      </c>
      <c r="M3397" s="1357"/>
      <c r="Q3397" s="1357"/>
      <c r="S3397" s="1420"/>
      <c r="T3397" s="1420"/>
      <c r="V3397" s="1357">
        <v>11</v>
      </c>
    </row>
    <row r="3398" spans="1:22" s="841" customFormat="1" ht="15" x14ac:dyDescent="0.25">
      <c r="A3398" s="841" t="s">
        <v>174</v>
      </c>
      <c r="E3398" s="1689" t="s">
        <v>3063</v>
      </c>
      <c r="F3398" s="1689"/>
      <c r="G3398" s="1689"/>
      <c r="H3398" s="1689"/>
      <c r="K3398" s="841" t="s">
        <v>3197</v>
      </c>
      <c r="M3398" s="1357"/>
      <c r="Q3398" s="1357"/>
      <c r="S3398" s="1420"/>
      <c r="T3398" s="1420"/>
      <c r="V3398" s="1357">
        <v>280</v>
      </c>
    </row>
    <row r="3399" spans="1:22" s="841" customFormat="1" ht="15" x14ac:dyDescent="0.25">
      <c r="A3399" s="841" t="s">
        <v>174</v>
      </c>
      <c r="E3399" s="1689" t="s">
        <v>3064</v>
      </c>
      <c r="F3399" s="1689"/>
      <c r="G3399" s="1689"/>
      <c r="H3399" s="1689"/>
      <c r="K3399" s="841" t="s">
        <v>3197</v>
      </c>
      <c r="M3399" s="1357"/>
      <c r="Q3399" s="1357"/>
      <c r="S3399" s="1420"/>
      <c r="T3399" s="1420"/>
      <c r="V3399" s="1357">
        <v>411</v>
      </c>
    </row>
    <row r="3400" spans="1:22" s="841" customFormat="1" ht="15" x14ac:dyDescent="0.25">
      <c r="A3400" s="841" t="s">
        <v>174</v>
      </c>
      <c r="E3400" s="1689" t="s">
        <v>3199</v>
      </c>
      <c r="F3400" s="1689"/>
      <c r="G3400" s="1689"/>
      <c r="H3400" s="1689"/>
      <c r="K3400" s="841" t="s">
        <v>3197</v>
      </c>
      <c r="M3400" s="1357"/>
      <c r="Q3400" s="1357"/>
      <c r="S3400" s="1420"/>
      <c r="T3400" s="1420"/>
      <c r="V3400" s="1357">
        <v>386</v>
      </c>
    </row>
    <row r="3401" spans="1:22" s="841" customFormat="1" ht="15" x14ac:dyDescent="0.25">
      <c r="A3401" s="841" t="s">
        <v>174</v>
      </c>
      <c r="E3401" s="1689" t="s">
        <v>3200</v>
      </c>
      <c r="F3401" s="1689"/>
      <c r="G3401" s="1689"/>
      <c r="H3401" s="1689"/>
      <c r="K3401" s="841" t="s">
        <v>3197</v>
      </c>
      <c r="M3401" s="1357"/>
      <c r="Q3401" s="1357"/>
      <c r="S3401" s="1420"/>
      <c r="T3401" s="1420"/>
      <c r="V3401" s="1357">
        <v>275</v>
      </c>
    </row>
    <row r="3402" spans="1:22" s="841" customFormat="1" ht="15" x14ac:dyDescent="0.25">
      <c r="A3402" s="841" t="s">
        <v>174</v>
      </c>
      <c r="E3402" s="1694" t="s">
        <v>3067</v>
      </c>
      <c r="F3402" s="1907"/>
      <c r="G3402" s="1907"/>
      <c r="H3402" s="1907"/>
      <c r="K3402" s="841" t="s">
        <v>3068</v>
      </c>
      <c r="M3402" s="1357"/>
      <c r="Q3402" s="1357"/>
      <c r="S3402" s="1420"/>
      <c r="T3402" s="1420"/>
      <c r="V3402" s="1357">
        <v>46</v>
      </c>
    </row>
    <row r="3403" spans="1:22" s="841" customFormat="1" ht="15" x14ac:dyDescent="0.25">
      <c r="A3403" s="841" t="s">
        <v>174</v>
      </c>
      <c r="E3403" s="1690" t="s">
        <v>11</v>
      </c>
      <c r="F3403" s="1690"/>
      <c r="G3403" s="1408" t="s">
        <v>23</v>
      </c>
      <c r="H3403" s="391">
        <v>22.44</v>
      </c>
      <c r="K3403" s="841" t="s">
        <v>3197</v>
      </c>
      <c r="L3403" s="841" t="s">
        <v>442</v>
      </c>
      <c r="M3403" s="1357"/>
      <c r="P3403" s="841" t="s">
        <v>3201</v>
      </c>
      <c r="Q3403" s="1357"/>
      <c r="S3403" s="1420"/>
      <c r="T3403" s="1420"/>
      <c r="V3403" s="1357">
        <v>14</v>
      </c>
    </row>
    <row r="3404" spans="1:22" s="841" customFormat="1" ht="15" x14ac:dyDescent="0.25">
      <c r="A3404" s="841" t="s">
        <v>174</v>
      </c>
      <c r="E3404" s="1690" t="s">
        <v>5109</v>
      </c>
      <c r="F3404" s="1690"/>
      <c r="G3404" s="1408" t="s">
        <v>23</v>
      </c>
      <c r="H3404" s="391">
        <v>0.56999999999999995</v>
      </c>
      <c r="K3404" s="841" t="s">
        <v>3197</v>
      </c>
      <c r="L3404" s="841" t="s">
        <v>443</v>
      </c>
      <c r="M3404" s="1357"/>
      <c r="P3404" s="841" t="s">
        <v>3202</v>
      </c>
      <c r="Q3404" s="1357"/>
      <c r="S3404" s="1420"/>
      <c r="T3404" s="1420">
        <v>44926</v>
      </c>
      <c r="V3404" s="1357">
        <v>64</v>
      </c>
    </row>
    <row r="3405" spans="1:22" s="841" customFormat="1" ht="15" x14ac:dyDescent="0.25">
      <c r="A3405" s="841" t="s">
        <v>174</v>
      </c>
      <c r="E3405" s="1690" t="s">
        <v>84</v>
      </c>
      <c r="F3405" s="1690"/>
      <c r="G3405" s="1408" t="s">
        <v>24</v>
      </c>
      <c r="H3405" s="393">
        <v>4.1999999999999997E-3</v>
      </c>
      <c r="K3405" s="841" t="s">
        <v>3197</v>
      </c>
      <c r="L3405" s="841" t="s">
        <v>442</v>
      </c>
      <c r="M3405" s="1357"/>
      <c r="P3405" s="841" t="s">
        <v>3203</v>
      </c>
      <c r="Q3405" s="1357"/>
      <c r="S3405" s="1420"/>
      <c r="T3405" s="1420"/>
      <c r="V3405" s="1357">
        <v>28</v>
      </c>
    </row>
    <row r="3406" spans="1:22" s="841" customFormat="1" ht="15" x14ac:dyDescent="0.25">
      <c r="A3406" s="841" t="s">
        <v>174</v>
      </c>
      <c r="E3406" s="1690" t="s">
        <v>5129</v>
      </c>
      <c r="F3406" s="1908"/>
      <c r="G3406" s="1408" t="s">
        <v>24</v>
      </c>
      <c r="H3406" s="393">
        <v>-2.0000000000000001E-4</v>
      </c>
      <c r="K3406" s="841" t="s">
        <v>3197</v>
      </c>
      <c r="L3406" s="841" t="s">
        <v>443</v>
      </c>
      <c r="M3406" s="1357"/>
      <c r="P3406" s="841" t="s">
        <v>3205</v>
      </c>
      <c r="Q3406" s="1357"/>
      <c r="S3406" s="1420"/>
      <c r="T3406" s="1420">
        <v>43585</v>
      </c>
      <c r="V3406" s="1357">
        <v>139</v>
      </c>
    </row>
    <row r="3407" spans="1:22" s="841" customFormat="1" ht="15" x14ac:dyDescent="0.25">
      <c r="A3407" s="841" t="s">
        <v>174</v>
      </c>
      <c r="E3407" s="1690" t="s">
        <v>5130</v>
      </c>
      <c r="F3407" s="1908"/>
      <c r="G3407" s="1408" t="s">
        <v>24</v>
      </c>
      <c r="H3407" s="393">
        <v>-1.2999999999999999E-3</v>
      </c>
      <c r="K3407" s="841" t="s">
        <v>3197</v>
      </c>
      <c r="L3407" s="841" t="s">
        <v>443</v>
      </c>
      <c r="M3407" s="1357"/>
      <c r="P3407" s="841" t="s">
        <v>3207</v>
      </c>
      <c r="Q3407" s="1357"/>
      <c r="S3407" s="1420"/>
      <c r="T3407" s="1420">
        <v>43585</v>
      </c>
      <c r="V3407" s="1357">
        <v>96</v>
      </c>
    </row>
    <row r="3408" spans="1:22" s="841" customFormat="1" ht="15" x14ac:dyDescent="0.25">
      <c r="A3408" s="841" t="s">
        <v>174</v>
      </c>
      <c r="E3408" s="1690" t="s">
        <v>221</v>
      </c>
      <c r="F3408" s="1690"/>
      <c r="G3408" s="1408" t="s">
        <v>24</v>
      </c>
      <c r="H3408" s="393">
        <v>7.1999999999999998E-3</v>
      </c>
      <c r="K3408" s="841" t="s">
        <v>3197</v>
      </c>
      <c r="L3408" s="841" t="s">
        <v>444</v>
      </c>
      <c r="M3408" s="1357"/>
      <c r="P3408" s="841" t="s">
        <v>3208</v>
      </c>
      <c r="Q3408" s="1357"/>
      <c r="S3408" s="1420"/>
      <c r="T3408" s="1420"/>
      <c r="V3408" s="1357">
        <v>47</v>
      </c>
    </row>
    <row r="3409" spans="1:22" s="841" customFormat="1" ht="15" x14ac:dyDescent="0.25">
      <c r="A3409" s="841" t="s">
        <v>174</v>
      </c>
      <c r="E3409" s="1690" t="s">
        <v>217</v>
      </c>
      <c r="F3409" s="1690"/>
      <c r="G3409" s="1408" t="s">
        <v>24</v>
      </c>
      <c r="H3409" s="393">
        <v>6.8999999999999999E-3</v>
      </c>
      <c r="K3409" s="841" t="s">
        <v>3197</v>
      </c>
      <c r="L3409" s="841" t="s">
        <v>444</v>
      </c>
      <c r="M3409" s="1357"/>
      <c r="P3409" s="841" t="s">
        <v>3209</v>
      </c>
      <c r="Q3409" s="1357"/>
      <c r="S3409" s="1420"/>
      <c r="T3409" s="1420"/>
      <c r="V3409" s="1357">
        <v>74</v>
      </c>
    </row>
    <row r="3410" spans="1:22" s="841" customFormat="1" ht="15" x14ac:dyDescent="0.25">
      <c r="A3410" s="841" t="s">
        <v>174</v>
      </c>
      <c r="E3410" s="1694" t="s">
        <v>3079</v>
      </c>
      <c r="F3410" s="1690"/>
      <c r="G3410" s="1408"/>
      <c r="H3410" s="1408"/>
      <c r="K3410" s="841" t="s">
        <v>3080</v>
      </c>
      <c r="M3410" s="1357"/>
      <c r="Q3410" s="1357"/>
      <c r="S3410" s="1420"/>
      <c r="T3410" s="1420"/>
      <c r="V3410" s="1357">
        <v>48</v>
      </c>
    </row>
    <row r="3411" spans="1:22" s="841" customFormat="1" ht="15" x14ac:dyDescent="0.25">
      <c r="A3411" s="841" t="s">
        <v>174</v>
      </c>
      <c r="E3411" s="1690" t="s">
        <v>2449</v>
      </c>
      <c r="F3411" s="1690"/>
      <c r="G3411" s="1408" t="s">
        <v>24</v>
      </c>
      <c r="H3411" s="393">
        <v>3.2000000000000002E-3</v>
      </c>
      <c r="K3411" s="841" t="s">
        <v>3197</v>
      </c>
      <c r="L3411" s="841" t="s">
        <v>3046</v>
      </c>
      <c r="M3411" s="1357"/>
      <c r="P3411" s="841" t="s">
        <v>3210</v>
      </c>
      <c r="Q3411" s="1357"/>
      <c r="S3411" s="1420"/>
      <c r="T3411" s="1420"/>
      <c r="V3411" s="1357">
        <v>55</v>
      </c>
    </row>
    <row r="3412" spans="1:22" s="841" customFormat="1" ht="15" x14ac:dyDescent="0.25">
      <c r="A3412" s="841" t="s">
        <v>174</v>
      </c>
      <c r="E3412" s="1690" t="s">
        <v>2450</v>
      </c>
      <c r="F3412" s="1690"/>
      <c r="G3412" s="1408" t="s">
        <v>24</v>
      </c>
      <c r="H3412" s="393">
        <v>4.0000000000000002E-4</v>
      </c>
      <c r="K3412" s="841" t="s">
        <v>3197</v>
      </c>
      <c r="L3412" s="841" t="s">
        <v>3046</v>
      </c>
      <c r="M3412" s="1357"/>
      <c r="P3412" s="841" t="s">
        <v>3210</v>
      </c>
      <c r="Q3412" s="1357"/>
      <c r="S3412" s="1420"/>
      <c r="T3412" s="1420"/>
      <c r="V3412" s="1357">
        <v>65</v>
      </c>
    </row>
    <row r="3413" spans="1:22" s="841" customFormat="1" ht="15" x14ac:dyDescent="0.25">
      <c r="A3413" s="841" t="s">
        <v>174</v>
      </c>
      <c r="E3413" s="1690" t="s">
        <v>439</v>
      </c>
      <c r="F3413" s="1690"/>
      <c r="G3413" s="1408" t="s">
        <v>24</v>
      </c>
      <c r="H3413" s="393">
        <v>2.9999999999999997E-4</v>
      </c>
      <c r="K3413" s="841" t="s">
        <v>3197</v>
      </c>
      <c r="L3413" s="841" t="s">
        <v>3046</v>
      </c>
      <c r="M3413" s="1357"/>
      <c r="P3413" s="841" t="s">
        <v>3212</v>
      </c>
      <c r="Q3413" s="1357"/>
      <c r="S3413" s="1420"/>
      <c r="T3413" s="1420"/>
      <c r="V3413" s="1357">
        <v>57</v>
      </c>
    </row>
    <row r="3414" spans="1:22" s="841" customFormat="1" ht="15" x14ac:dyDescent="0.25">
      <c r="A3414" s="841" t="s">
        <v>174</v>
      </c>
      <c r="E3414" s="1690" t="s">
        <v>32</v>
      </c>
      <c r="F3414" s="1690"/>
      <c r="G3414" s="1408" t="s">
        <v>23</v>
      </c>
      <c r="H3414" s="391">
        <v>0.25</v>
      </c>
      <c r="K3414" s="841" t="s">
        <v>3197</v>
      </c>
      <c r="L3414" s="841" t="s">
        <v>3046</v>
      </c>
      <c r="M3414" s="1357"/>
      <c r="P3414" s="841" t="s">
        <v>3213</v>
      </c>
      <c r="Q3414" s="1357"/>
      <c r="S3414" s="1420"/>
      <c r="T3414" s="1420"/>
      <c r="V3414" s="1357">
        <v>63</v>
      </c>
    </row>
    <row r="3415" spans="1:22" s="841" customFormat="1" x14ac:dyDescent="0.25">
      <c r="A3415" s="841" t="s">
        <v>174</v>
      </c>
      <c r="E3415" s="1909" t="s">
        <v>3214</v>
      </c>
      <c r="F3415" s="1915"/>
      <c r="G3415" s="1915"/>
      <c r="H3415" s="1915"/>
      <c r="K3415" s="841" t="s">
        <v>5110</v>
      </c>
      <c r="M3415" s="1357"/>
      <c r="Q3415" s="1357"/>
      <c r="S3415" s="1420"/>
      <c r="T3415" s="1420"/>
      <c r="V3415" s="1357">
        <v>54</v>
      </c>
    </row>
    <row r="3416" spans="1:22" s="841" customFormat="1" ht="15" x14ac:dyDescent="0.25">
      <c r="A3416" s="841" t="s">
        <v>174</v>
      </c>
      <c r="E3416" s="1689" t="s">
        <v>3404</v>
      </c>
      <c r="F3416" s="1689"/>
      <c r="G3416" s="1689"/>
      <c r="H3416" s="1689"/>
      <c r="K3416" s="841" t="s">
        <v>5110</v>
      </c>
      <c r="M3416" s="1357"/>
      <c r="Q3416" s="1357"/>
      <c r="S3416" s="1420"/>
      <c r="T3416" s="1420"/>
      <c r="V3416" s="1357">
        <v>409</v>
      </c>
    </row>
    <row r="3417" spans="1:22" s="841" customFormat="1" ht="15" x14ac:dyDescent="0.25">
      <c r="A3417" s="841" t="s">
        <v>174</v>
      </c>
      <c r="E3417" s="1916" t="s">
        <v>3061</v>
      </c>
      <c r="F3417" s="1697"/>
      <c r="G3417" s="1697"/>
      <c r="H3417" s="1697"/>
      <c r="K3417" s="841" t="s">
        <v>3086</v>
      </c>
      <c r="M3417" s="1357"/>
      <c r="Q3417" s="1357"/>
      <c r="S3417" s="1420"/>
      <c r="T3417" s="1420"/>
      <c r="V3417" s="1357">
        <v>11</v>
      </c>
    </row>
    <row r="3418" spans="1:22" s="841" customFormat="1" ht="15" x14ac:dyDescent="0.25">
      <c r="A3418" s="841" t="s">
        <v>174</v>
      </c>
      <c r="E3418" s="1689" t="s">
        <v>3063</v>
      </c>
      <c r="F3418" s="1689"/>
      <c r="G3418" s="1689"/>
      <c r="H3418" s="1689"/>
      <c r="K3418" s="841" t="s">
        <v>5110</v>
      </c>
      <c r="M3418" s="1357"/>
      <c r="Q3418" s="1357"/>
      <c r="S3418" s="1420"/>
      <c r="T3418" s="1420"/>
      <c r="V3418" s="1357">
        <v>280</v>
      </c>
    </row>
    <row r="3419" spans="1:22" s="841" customFormat="1" ht="15" x14ac:dyDescent="0.25">
      <c r="A3419" s="841" t="s">
        <v>174</v>
      </c>
      <c r="E3419" s="1689" t="s">
        <v>3064</v>
      </c>
      <c r="F3419" s="1689"/>
      <c r="G3419" s="1689"/>
      <c r="H3419" s="1689"/>
      <c r="K3419" s="841" t="s">
        <v>5110</v>
      </c>
      <c r="M3419" s="1357"/>
      <c r="Q3419" s="1357"/>
      <c r="S3419" s="1420"/>
      <c r="T3419" s="1420"/>
      <c r="V3419" s="1357">
        <v>411</v>
      </c>
    </row>
    <row r="3420" spans="1:22" s="841" customFormat="1" ht="15" x14ac:dyDescent="0.25">
      <c r="A3420" s="841" t="s">
        <v>174</v>
      </c>
      <c r="E3420" s="1689" t="s">
        <v>3065</v>
      </c>
      <c r="F3420" s="1689"/>
      <c r="G3420" s="1689"/>
      <c r="H3420" s="1689"/>
      <c r="K3420" s="841" t="s">
        <v>5110</v>
      </c>
      <c r="M3420" s="1357"/>
      <c r="Q3420" s="1357"/>
      <c r="S3420" s="1420"/>
      <c r="T3420" s="1420"/>
      <c r="V3420" s="1357">
        <v>387</v>
      </c>
    </row>
    <row r="3421" spans="1:22" s="841" customFormat="1" ht="15" x14ac:dyDescent="0.25">
      <c r="A3421" s="841" t="s">
        <v>174</v>
      </c>
      <c r="E3421" s="1689" t="s">
        <v>3200</v>
      </c>
      <c r="F3421" s="1689"/>
      <c r="G3421" s="1689"/>
      <c r="H3421" s="1689"/>
      <c r="K3421" s="841" t="s">
        <v>5110</v>
      </c>
      <c r="M3421" s="1357"/>
      <c r="Q3421" s="1357"/>
      <c r="S3421" s="1420"/>
      <c r="T3421" s="1420"/>
      <c r="V3421" s="1357">
        <v>275</v>
      </c>
    </row>
    <row r="3422" spans="1:22" s="841" customFormat="1" ht="15" x14ac:dyDescent="0.25">
      <c r="A3422" s="841" t="s">
        <v>174</v>
      </c>
      <c r="E3422" s="1694" t="s">
        <v>3067</v>
      </c>
      <c r="F3422" s="1907"/>
      <c r="G3422" s="1907"/>
      <c r="H3422" s="1907"/>
      <c r="K3422" s="841" t="s">
        <v>3087</v>
      </c>
      <c r="M3422" s="1357"/>
      <c r="Q3422" s="1357"/>
      <c r="S3422" s="1420"/>
      <c r="T3422" s="1420"/>
      <c r="V3422" s="1357">
        <v>46</v>
      </c>
    </row>
    <row r="3423" spans="1:22" s="841" customFormat="1" ht="15" x14ac:dyDescent="0.25">
      <c r="A3423" s="841" t="s">
        <v>174</v>
      </c>
      <c r="E3423" s="1690" t="s">
        <v>11</v>
      </c>
      <c r="F3423" s="1690"/>
      <c r="G3423" s="1408" t="s">
        <v>23</v>
      </c>
      <c r="H3423" s="391">
        <v>26.22</v>
      </c>
      <c r="K3423" s="841" t="s">
        <v>5110</v>
      </c>
      <c r="L3423" s="841" t="s">
        <v>442</v>
      </c>
      <c r="M3423" s="1357"/>
      <c r="P3423" s="841" t="s">
        <v>5111</v>
      </c>
      <c r="Q3423" s="1357"/>
      <c r="S3423" s="1420"/>
      <c r="T3423" s="1420"/>
      <c r="V3423" s="1357">
        <v>14</v>
      </c>
    </row>
    <row r="3424" spans="1:22" s="841" customFormat="1" ht="15" x14ac:dyDescent="0.25">
      <c r="A3424" s="841" t="s">
        <v>174</v>
      </c>
      <c r="E3424" s="1690" t="s">
        <v>5109</v>
      </c>
      <c r="F3424" s="1690"/>
      <c r="G3424" s="1408" t="s">
        <v>23</v>
      </c>
      <c r="H3424" s="391">
        <v>0.56999999999999995</v>
      </c>
      <c r="K3424" s="841" t="s">
        <v>5110</v>
      </c>
      <c r="L3424" s="841" t="s">
        <v>443</v>
      </c>
      <c r="M3424" s="1357"/>
      <c r="P3424" s="841" t="s">
        <v>5112</v>
      </c>
      <c r="Q3424" s="1357"/>
      <c r="S3424" s="1420"/>
      <c r="T3424" s="1420">
        <v>44926</v>
      </c>
      <c r="V3424" s="1357">
        <v>64</v>
      </c>
    </row>
    <row r="3425" spans="1:22" s="841" customFormat="1" ht="15" x14ac:dyDescent="0.25">
      <c r="A3425" s="841" t="s">
        <v>174</v>
      </c>
      <c r="E3425" s="1690" t="s">
        <v>84</v>
      </c>
      <c r="F3425" s="1690"/>
      <c r="G3425" s="1408" t="s">
        <v>24</v>
      </c>
      <c r="H3425" s="393">
        <v>1.4E-2</v>
      </c>
      <c r="K3425" s="841" t="s">
        <v>5110</v>
      </c>
      <c r="L3425" s="841" t="s">
        <v>442</v>
      </c>
      <c r="M3425" s="1357"/>
      <c r="P3425" s="841" t="s">
        <v>5113</v>
      </c>
      <c r="Q3425" s="1357"/>
      <c r="S3425" s="1420"/>
      <c r="T3425" s="1420"/>
      <c r="V3425" s="1357">
        <v>28</v>
      </c>
    </row>
    <row r="3426" spans="1:22" s="841" customFormat="1" ht="15" x14ac:dyDescent="0.25">
      <c r="A3426" s="841" t="s">
        <v>174</v>
      </c>
      <c r="E3426" s="1690" t="s">
        <v>5129</v>
      </c>
      <c r="F3426" s="1908"/>
      <c r="G3426" s="1408" t="s">
        <v>24</v>
      </c>
      <c r="H3426" s="393">
        <v>-2.0000000000000001E-4</v>
      </c>
      <c r="K3426" s="841" t="s">
        <v>5110</v>
      </c>
      <c r="L3426" s="841" t="s">
        <v>443</v>
      </c>
      <c r="M3426" s="1357"/>
      <c r="P3426" s="841" t="s">
        <v>4818</v>
      </c>
      <c r="Q3426" s="1357"/>
      <c r="S3426" s="1420"/>
      <c r="T3426" s="1420">
        <v>43585</v>
      </c>
      <c r="V3426" s="1357">
        <v>139</v>
      </c>
    </row>
    <row r="3427" spans="1:22" s="841" customFormat="1" ht="15" x14ac:dyDescent="0.25">
      <c r="A3427" s="841" t="s">
        <v>174</v>
      </c>
      <c r="E3427" s="1690" t="s">
        <v>5130</v>
      </c>
      <c r="F3427" s="1908"/>
      <c r="G3427" s="1408" t="s">
        <v>24</v>
      </c>
      <c r="H3427" s="393">
        <v>-1.2999999999999999E-3</v>
      </c>
      <c r="K3427" s="841" t="s">
        <v>5110</v>
      </c>
      <c r="L3427" s="841" t="s">
        <v>443</v>
      </c>
      <c r="M3427" s="1357"/>
      <c r="P3427" s="841" t="s">
        <v>5124</v>
      </c>
      <c r="Q3427" s="1357"/>
      <c r="S3427" s="1420"/>
      <c r="T3427" s="1420">
        <v>43585</v>
      </c>
      <c r="V3427" s="1357">
        <v>96</v>
      </c>
    </row>
    <row r="3428" spans="1:22" s="841" customFormat="1" ht="15" x14ac:dyDescent="0.25">
      <c r="A3428" s="841" t="s">
        <v>174</v>
      </c>
      <c r="E3428" s="1690" t="s">
        <v>221</v>
      </c>
      <c r="F3428" s="1690"/>
      <c r="G3428" s="1408" t="s">
        <v>24</v>
      </c>
      <c r="H3428" s="393">
        <v>6.8999999999999999E-3</v>
      </c>
      <c r="K3428" s="841" t="s">
        <v>5110</v>
      </c>
      <c r="L3428" s="841" t="s">
        <v>444</v>
      </c>
      <c r="M3428" s="1357"/>
      <c r="P3428" s="841" t="s">
        <v>5115</v>
      </c>
      <c r="Q3428" s="1357"/>
      <c r="S3428" s="1420"/>
      <c r="T3428" s="1420"/>
      <c r="V3428" s="1357">
        <v>47</v>
      </c>
    </row>
    <row r="3429" spans="1:22" s="841" customFormat="1" ht="15" x14ac:dyDescent="0.25">
      <c r="A3429" s="841" t="s">
        <v>174</v>
      </c>
      <c r="E3429" s="1690" t="s">
        <v>217</v>
      </c>
      <c r="F3429" s="1690"/>
      <c r="G3429" s="1408" t="s">
        <v>24</v>
      </c>
      <c r="H3429" s="393">
        <v>6.1999999999999998E-3</v>
      </c>
      <c r="K3429" s="841" t="s">
        <v>5110</v>
      </c>
      <c r="L3429" s="841" t="s">
        <v>444</v>
      </c>
      <c r="M3429" s="1357"/>
      <c r="P3429" s="841" t="s">
        <v>5116</v>
      </c>
      <c r="Q3429" s="1357"/>
      <c r="S3429" s="1420"/>
      <c r="T3429" s="1420"/>
      <c r="V3429" s="1357">
        <v>74</v>
      </c>
    </row>
    <row r="3430" spans="1:22" s="841" customFormat="1" ht="15" x14ac:dyDescent="0.25">
      <c r="A3430" s="841" t="s">
        <v>174</v>
      </c>
      <c r="E3430" s="1694" t="s">
        <v>3079</v>
      </c>
      <c r="F3430" s="1690"/>
      <c r="G3430" s="1408"/>
      <c r="H3430" s="1408"/>
      <c r="K3430" s="841" t="s">
        <v>3093</v>
      </c>
      <c r="M3430" s="1357"/>
      <c r="Q3430" s="1357"/>
      <c r="S3430" s="1420"/>
      <c r="T3430" s="1420"/>
      <c r="V3430" s="1357">
        <v>48</v>
      </c>
    </row>
    <row r="3431" spans="1:22" s="841" customFormat="1" ht="15" x14ac:dyDescent="0.25">
      <c r="A3431" s="841" t="s">
        <v>174</v>
      </c>
      <c r="E3431" s="1690" t="s">
        <v>2449</v>
      </c>
      <c r="F3431" s="1690"/>
      <c r="G3431" s="1408" t="s">
        <v>24</v>
      </c>
      <c r="H3431" s="393">
        <v>3.2000000000000002E-3</v>
      </c>
      <c r="K3431" s="841" t="s">
        <v>5110</v>
      </c>
      <c r="L3431" s="841" t="s">
        <v>3046</v>
      </c>
      <c r="M3431" s="1357"/>
      <c r="P3431" s="841" t="s">
        <v>5117</v>
      </c>
      <c r="Q3431" s="1357"/>
      <c r="S3431" s="1420"/>
      <c r="T3431" s="1420"/>
      <c r="V3431" s="1357">
        <v>55</v>
      </c>
    </row>
    <row r="3432" spans="1:22" s="841" customFormat="1" ht="15" x14ac:dyDescent="0.25">
      <c r="A3432" s="841" t="s">
        <v>174</v>
      </c>
      <c r="E3432" s="1690" t="s">
        <v>2450</v>
      </c>
      <c r="F3432" s="1690"/>
      <c r="G3432" s="1408" t="s">
        <v>24</v>
      </c>
      <c r="H3432" s="393">
        <v>4.0000000000000002E-4</v>
      </c>
      <c r="K3432" s="841" t="s">
        <v>5110</v>
      </c>
      <c r="L3432" s="841" t="s">
        <v>3046</v>
      </c>
      <c r="M3432" s="1357"/>
      <c r="P3432" s="841" t="s">
        <v>5117</v>
      </c>
      <c r="Q3432" s="1357"/>
      <c r="S3432" s="1420"/>
      <c r="T3432" s="1420"/>
      <c r="V3432" s="1357">
        <v>65</v>
      </c>
    </row>
    <row r="3433" spans="1:22" s="841" customFormat="1" ht="15" x14ac:dyDescent="0.25">
      <c r="A3433" s="841" t="s">
        <v>174</v>
      </c>
      <c r="E3433" s="1690" t="s">
        <v>439</v>
      </c>
      <c r="F3433" s="1690"/>
      <c r="G3433" s="1408" t="s">
        <v>24</v>
      </c>
      <c r="H3433" s="393">
        <v>2.9999999999999997E-4</v>
      </c>
      <c r="K3433" s="841" t="s">
        <v>5110</v>
      </c>
      <c r="L3433" s="841" t="s">
        <v>3046</v>
      </c>
      <c r="M3433" s="1357"/>
      <c r="P3433" s="841" t="s">
        <v>5118</v>
      </c>
      <c r="Q3433" s="1357"/>
      <c r="S3433" s="1420"/>
      <c r="T3433" s="1420"/>
      <c r="V3433" s="1357">
        <v>57</v>
      </c>
    </row>
    <row r="3434" spans="1:22" s="841" customFormat="1" ht="15" x14ac:dyDescent="0.25">
      <c r="A3434" s="841" t="s">
        <v>174</v>
      </c>
      <c r="E3434" s="1690" t="s">
        <v>32</v>
      </c>
      <c r="F3434" s="1690"/>
      <c r="G3434" s="1408" t="s">
        <v>23</v>
      </c>
      <c r="H3434" s="391">
        <v>0.25</v>
      </c>
      <c r="K3434" s="841" t="s">
        <v>5110</v>
      </c>
      <c r="L3434" s="841" t="s">
        <v>3046</v>
      </c>
      <c r="M3434" s="1357"/>
      <c r="P3434" s="841" t="s">
        <v>5119</v>
      </c>
      <c r="Q3434" s="1357"/>
      <c r="S3434" s="1420"/>
      <c r="T3434" s="1420"/>
      <c r="V3434" s="1357">
        <v>63</v>
      </c>
    </row>
    <row r="3435" spans="1:22" s="841" customFormat="1" x14ac:dyDescent="0.25">
      <c r="A3435" s="841" t="s">
        <v>174</v>
      </c>
      <c r="E3435" s="1909" t="s">
        <v>616</v>
      </c>
      <c r="F3435" s="1915"/>
      <c r="G3435" s="1915"/>
      <c r="H3435" s="1915"/>
      <c r="K3435" s="841" t="s">
        <v>6095</v>
      </c>
      <c r="M3435" s="1357"/>
      <c r="Q3435" s="1357"/>
      <c r="S3435" s="1420"/>
      <c r="T3435" s="1420"/>
      <c r="V3435" s="1357">
        <v>53</v>
      </c>
    </row>
    <row r="3436" spans="1:22" s="841" customFormat="1" ht="15" x14ac:dyDescent="0.25">
      <c r="A3436" s="841" t="s">
        <v>174</v>
      </c>
      <c r="E3436" s="1689" t="s">
        <v>3405</v>
      </c>
      <c r="F3436" s="1689"/>
      <c r="G3436" s="1689"/>
      <c r="H3436" s="1689"/>
      <c r="K3436" s="841" t="s">
        <v>6095</v>
      </c>
      <c r="M3436" s="1357"/>
      <c r="Q3436" s="1357"/>
      <c r="S3436" s="1420"/>
      <c r="T3436" s="1420"/>
      <c r="V3436" s="1357">
        <v>403</v>
      </c>
    </row>
    <row r="3437" spans="1:22" s="841" customFormat="1" ht="15" x14ac:dyDescent="0.25">
      <c r="A3437" s="841" t="s">
        <v>174</v>
      </c>
      <c r="E3437" s="1916" t="s">
        <v>3061</v>
      </c>
      <c r="F3437" s="1697"/>
      <c r="G3437" s="1697"/>
      <c r="H3437" s="1697"/>
      <c r="K3437" s="841" t="s">
        <v>3098</v>
      </c>
      <c r="M3437" s="1357"/>
      <c r="Q3437" s="1357"/>
      <c r="S3437" s="1420"/>
      <c r="T3437" s="1420"/>
      <c r="V3437" s="1357">
        <v>11</v>
      </c>
    </row>
    <row r="3438" spans="1:22" s="841" customFormat="1" ht="15" x14ac:dyDescent="0.25">
      <c r="A3438" s="841" t="s">
        <v>174</v>
      </c>
      <c r="E3438" s="1689" t="s">
        <v>3063</v>
      </c>
      <c r="F3438" s="1689"/>
      <c r="G3438" s="1689"/>
      <c r="H3438" s="1689"/>
      <c r="K3438" s="841" t="s">
        <v>6095</v>
      </c>
      <c r="M3438" s="1357"/>
      <c r="Q3438" s="1357"/>
      <c r="S3438" s="1420"/>
      <c r="T3438" s="1420"/>
      <c r="V3438" s="1357">
        <v>280</v>
      </c>
    </row>
    <row r="3439" spans="1:22" s="841" customFormat="1" ht="15" x14ac:dyDescent="0.25">
      <c r="A3439" s="841" t="s">
        <v>174</v>
      </c>
      <c r="E3439" s="1689" t="s">
        <v>3064</v>
      </c>
      <c r="F3439" s="1689"/>
      <c r="G3439" s="1689"/>
      <c r="H3439" s="1689"/>
      <c r="K3439" s="841" t="s">
        <v>6095</v>
      </c>
      <c r="M3439" s="1357"/>
      <c r="Q3439" s="1357"/>
      <c r="S3439" s="1420"/>
      <c r="T3439" s="1420"/>
      <c r="V3439" s="1357">
        <v>411</v>
      </c>
    </row>
    <row r="3440" spans="1:22" s="841" customFormat="1" ht="15" x14ac:dyDescent="0.25">
      <c r="A3440" s="841" t="s">
        <v>174</v>
      </c>
      <c r="E3440" s="1689" t="s">
        <v>3065</v>
      </c>
      <c r="F3440" s="1689"/>
      <c r="G3440" s="1689"/>
      <c r="H3440" s="1689"/>
      <c r="K3440" s="841" t="s">
        <v>6095</v>
      </c>
      <c r="M3440" s="1357"/>
      <c r="Q3440" s="1357"/>
      <c r="S3440" s="1420"/>
      <c r="T3440" s="1420"/>
      <c r="V3440" s="1357">
        <v>387</v>
      </c>
    </row>
    <row r="3441" spans="1:22" s="841" customFormat="1" ht="15" x14ac:dyDescent="0.25">
      <c r="A3441" s="841" t="s">
        <v>174</v>
      </c>
      <c r="E3441" s="2024" t="s">
        <v>3222</v>
      </c>
      <c r="F3441" s="2024"/>
      <c r="G3441" s="2024"/>
      <c r="H3441" s="2024"/>
      <c r="K3441" s="841" t="s">
        <v>6095</v>
      </c>
      <c r="M3441" s="1357"/>
      <c r="Q3441" s="1357"/>
      <c r="S3441" s="1420"/>
      <c r="T3441" s="1420"/>
      <c r="V3441" s="1357">
        <v>610</v>
      </c>
    </row>
    <row r="3442" spans="1:22" s="841" customFormat="1" ht="15" x14ac:dyDescent="0.25">
      <c r="A3442" s="841" t="s">
        <v>174</v>
      </c>
      <c r="E3442" s="2024" t="s">
        <v>3223</v>
      </c>
      <c r="F3442" s="2024"/>
      <c r="G3442" s="2024"/>
      <c r="H3442" s="2024"/>
      <c r="K3442" s="841" t="s">
        <v>6095</v>
      </c>
      <c r="M3442" s="1357"/>
      <c r="Q3442" s="1357"/>
      <c r="S3442" s="1420"/>
      <c r="T3442" s="1420"/>
      <c r="V3442" s="1357">
        <v>626</v>
      </c>
    </row>
    <row r="3443" spans="1:22" s="841" customFormat="1" ht="15" x14ac:dyDescent="0.25">
      <c r="A3443" s="841" t="s">
        <v>174</v>
      </c>
      <c r="E3443" s="1689" t="s">
        <v>3200</v>
      </c>
      <c r="F3443" s="1689"/>
      <c r="G3443" s="1689"/>
      <c r="H3443" s="1689"/>
      <c r="K3443" s="841" t="s">
        <v>6095</v>
      </c>
      <c r="M3443" s="1357"/>
      <c r="Q3443" s="1357"/>
      <c r="S3443" s="1420"/>
      <c r="T3443" s="1420"/>
      <c r="V3443" s="1357">
        <v>275</v>
      </c>
    </row>
    <row r="3444" spans="1:22" s="841" customFormat="1" ht="15" x14ac:dyDescent="0.25">
      <c r="A3444" s="841" t="s">
        <v>174</v>
      </c>
      <c r="E3444" s="1694" t="s">
        <v>3067</v>
      </c>
      <c r="F3444" s="1907"/>
      <c r="G3444" s="1907"/>
      <c r="H3444" s="1907"/>
      <c r="K3444" s="841" t="s">
        <v>3099</v>
      </c>
      <c r="M3444" s="1357"/>
      <c r="Q3444" s="1357"/>
      <c r="S3444" s="1420"/>
      <c r="T3444" s="1420"/>
      <c r="V3444" s="1357">
        <v>46</v>
      </c>
    </row>
    <row r="3445" spans="1:22" s="841" customFormat="1" ht="15" x14ac:dyDescent="0.25">
      <c r="A3445" s="841" t="s">
        <v>174</v>
      </c>
      <c r="E3445" s="1690" t="s">
        <v>11</v>
      </c>
      <c r="F3445" s="1690"/>
      <c r="G3445" s="1408" t="s">
        <v>23</v>
      </c>
      <c r="H3445" s="391">
        <v>61.46</v>
      </c>
      <c r="K3445" s="841" t="s">
        <v>6095</v>
      </c>
      <c r="L3445" s="841" t="s">
        <v>442</v>
      </c>
      <c r="M3445" s="1357"/>
      <c r="P3445" s="841" t="s">
        <v>6096</v>
      </c>
      <c r="Q3445" s="1357"/>
      <c r="S3445" s="1420"/>
      <c r="T3445" s="1420"/>
      <c r="V3445" s="1357">
        <v>14</v>
      </c>
    </row>
    <row r="3446" spans="1:22" s="841" customFormat="1" ht="15" x14ac:dyDescent="0.25">
      <c r="A3446" s="841" t="s">
        <v>174</v>
      </c>
      <c r="E3446" s="1690" t="s">
        <v>84</v>
      </c>
      <c r="F3446" s="1690"/>
      <c r="G3446" s="1408" t="s">
        <v>33</v>
      </c>
      <c r="H3446" s="393">
        <v>3.0255999999999998</v>
      </c>
      <c r="K3446" s="841" t="s">
        <v>6095</v>
      </c>
      <c r="L3446" s="841" t="s">
        <v>442</v>
      </c>
      <c r="M3446" s="1357"/>
      <c r="P3446" s="841" t="s">
        <v>6097</v>
      </c>
      <c r="Q3446" s="1357"/>
      <c r="S3446" s="1420"/>
      <c r="T3446" s="1420"/>
      <c r="V3446" s="1357">
        <v>28</v>
      </c>
    </row>
    <row r="3447" spans="1:22" s="841" customFormat="1" ht="15" x14ac:dyDescent="0.25">
      <c r="A3447" s="841" t="s">
        <v>174</v>
      </c>
      <c r="E3447" s="1690" t="s">
        <v>5129</v>
      </c>
      <c r="F3447" s="1908"/>
      <c r="G3447" s="1408" t="s">
        <v>24</v>
      </c>
      <c r="H3447" s="393">
        <v>-2.0000000000000001E-4</v>
      </c>
      <c r="K3447" s="841" t="s">
        <v>6095</v>
      </c>
      <c r="L3447" s="841" t="s">
        <v>443</v>
      </c>
      <c r="M3447" s="1357"/>
      <c r="P3447" s="841" t="s">
        <v>6104</v>
      </c>
      <c r="Q3447" s="1357"/>
      <c r="S3447" s="1420"/>
      <c r="T3447" s="1420">
        <v>43585</v>
      </c>
      <c r="V3447" s="1357">
        <v>139</v>
      </c>
    </row>
    <row r="3448" spans="1:22" s="841" customFormat="1" ht="15" x14ac:dyDescent="0.25">
      <c r="A3448" s="841" t="s">
        <v>174</v>
      </c>
      <c r="E3448" s="1690" t="s">
        <v>5130</v>
      </c>
      <c r="F3448" s="1908"/>
      <c r="G3448" s="1408" t="s">
        <v>33</v>
      </c>
      <c r="H3448" s="393">
        <v>-0.48199999999999998</v>
      </c>
      <c r="K3448" s="841" t="s">
        <v>6095</v>
      </c>
      <c r="L3448" s="841" t="s">
        <v>443</v>
      </c>
      <c r="M3448" s="1357"/>
      <c r="P3448" s="841" t="s">
        <v>6105</v>
      </c>
      <c r="Q3448" s="1357"/>
      <c r="S3448" s="1420"/>
      <c r="T3448" s="1420">
        <v>43585</v>
      </c>
      <c r="V3448" s="1357">
        <v>96</v>
      </c>
    </row>
    <row r="3449" spans="1:22" s="841" customFormat="1" ht="15" x14ac:dyDescent="0.25">
      <c r="A3449" s="841" t="s">
        <v>174</v>
      </c>
      <c r="E3449" s="1690" t="s">
        <v>223</v>
      </c>
      <c r="F3449" s="1690"/>
      <c r="G3449" s="1408" t="s">
        <v>33</v>
      </c>
      <c r="H3449" s="393">
        <v>2.8418000000000001</v>
      </c>
      <c r="K3449" s="841" t="s">
        <v>6095</v>
      </c>
      <c r="L3449" s="841" t="s">
        <v>444</v>
      </c>
      <c r="M3449" s="1357"/>
      <c r="P3449" s="841" t="s">
        <v>6107</v>
      </c>
      <c r="Q3449" s="1357"/>
      <c r="S3449" s="1420"/>
      <c r="T3449" s="1420"/>
      <c r="V3449" s="1357">
        <v>66</v>
      </c>
    </row>
    <row r="3450" spans="1:22" s="841" customFormat="1" ht="15" x14ac:dyDescent="0.25">
      <c r="A3450" s="841" t="s">
        <v>174</v>
      </c>
      <c r="E3450" s="506" t="s">
        <v>4822</v>
      </c>
      <c r="F3450" s="1391"/>
      <c r="G3450" s="1408" t="s">
        <v>33</v>
      </c>
      <c r="H3450" s="393">
        <v>2.6964000000000001</v>
      </c>
      <c r="K3450" s="841" t="s">
        <v>6095</v>
      </c>
      <c r="L3450" s="841" t="s">
        <v>444</v>
      </c>
      <c r="M3450" s="1357"/>
      <c r="P3450" s="841" t="s">
        <v>6223</v>
      </c>
      <c r="Q3450" s="1357"/>
      <c r="S3450" s="1420"/>
      <c r="T3450" s="1420"/>
      <c r="V3450" s="1357">
        <v>94</v>
      </c>
    </row>
    <row r="3451" spans="1:22" s="841" customFormat="1" ht="15" x14ac:dyDescent="0.25">
      <c r="A3451" s="841" t="s">
        <v>174</v>
      </c>
      <c r="E3451" s="1694" t="s">
        <v>3079</v>
      </c>
      <c r="F3451" s="1690"/>
      <c r="G3451" s="1408"/>
      <c r="H3451" s="1408"/>
      <c r="K3451" s="841" t="s">
        <v>3218</v>
      </c>
      <c r="M3451" s="1357"/>
      <c r="Q3451" s="1357"/>
      <c r="S3451" s="1420"/>
      <c r="T3451" s="1420"/>
      <c r="V3451" s="1357">
        <v>48</v>
      </c>
    </row>
    <row r="3452" spans="1:22" s="841" customFormat="1" ht="15" x14ac:dyDescent="0.25">
      <c r="A3452" s="841" t="s">
        <v>174</v>
      </c>
      <c r="E3452" s="1690" t="s">
        <v>2449</v>
      </c>
      <c r="F3452" s="1690"/>
      <c r="G3452" s="1408" t="s">
        <v>24</v>
      </c>
      <c r="H3452" s="393">
        <v>3.2000000000000002E-3</v>
      </c>
      <c r="K3452" s="841" t="s">
        <v>6095</v>
      </c>
      <c r="L3452" s="841" t="s">
        <v>3046</v>
      </c>
      <c r="M3452" s="1357"/>
      <c r="P3452" s="841" t="s">
        <v>6101</v>
      </c>
      <c r="Q3452" s="1357"/>
      <c r="S3452" s="1420"/>
      <c r="T3452" s="1420"/>
      <c r="V3452" s="1357">
        <v>55</v>
      </c>
    </row>
    <row r="3453" spans="1:22" s="841" customFormat="1" ht="15" x14ac:dyDescent="0.25">
      <c r="A3453" s="841" t="s">
        <v>174</v>
      </c>
      <c r="E3453" s="1690" t="s">
        <v>2450</v>
      </c>
      <c r="F3453" s="1690"/>
      <c r="G3453" s="1408" t="s">
        <v>24</v>
      </c>
      <c r="H3453" s="393">
        <v>4.0000000000000002E-4</v>
      </c>
      <c r="K3453" s="841" t="s">
        <v>6095</v>
      </c>
      <c r="L3453" s="841" t="s">
        <v>3046</v>
      </c>
      <c r="M3453" s="1357"/>
      <c r="P3453" s="841" t="s">
        <v>6101</v>
      </c>
      <c r="Q3453" s="1357"/>
      <c r="S3453" s="1420"/>
      <c r="T3453" s="1420"/>
      <c r="V3453" s="1357">
        <v>65</v>
      </c>
    </row>
    <row r="3454" spans="1:22" s="841" customFormat="1" ht="15" x14ac:dyDescent="0.25">
      <c r="A3454" s="841" t="s">
        <v>174</v>
      </c>
      <c r="E3454" s="1690" t="s">
        <v>439</v>
      </c>
      <c r="F3454" s="1690"/>
      <c r="G3454" s="1408" t="s">
        <v>24</v>
      </c>
      <c r="H3454" s="393">
        <v>2.9999999999999997E-4</v>
      </c>
      <c r="K3454" s="841" t="s">
        <v>6095</v>
      </c>
      <c r="L3454" s="841" t="s">
        <v>3046</v>
      </c>
      <c r="M3454" s="1357"/>
      <c r="P3454" s="841" t="s">
        <v>6102</v>
      </c>
      <c r="Q3454" s="1357"/>
      <c r="S3454" s="1420"/>
      <c r="T3454" s="1420"/>
      <c r="V3454" s="1357">
        <v>57</v>
      </c>
    </row>
    <row r="3455" spans="1:22" s="841" customFormat="1" ht="15" x14ac:dyDescent="0.25">
      <c r="A3455" s="841" t="s">
        <v>174</v>
      </c>
      <c r="E3455" s="1690" t="s">
        <v>32</v>
      </c>
      <c r="F3455" s="1690"/>
      <c r="G3455" s="1408" t="s">
        <v>23</v>
      </c>
      <c r="H3455" s="391">
        <v>0.25</v>
      </c>
      <c r="K3455" s="841" t="s">
        <v>6095</v>
      </c>
      <c r="L3455" s="841" t="s">
        <v>3046</v>
      </c>
      <c r="M3455" s="1357"/>
      <c r="P3455" s="841" t="s">
        <v>6103</v>
      </c>
      <c r="Q3455" s="1357"/>
      <c r="S3455" s="1420"/>
      <c r="T3455" s="1420"/>
      <c r="V3455" s="1357">
        <v>63</v>
      </c>
    </row>
    <row r="3456" spans="1:22" s="841" customFormat="1" x14ac:dyDescent="0.25">
      <c r="A3456" s="841" t="s">
        <v>174</v>
      </c>
      <c r="E3456" s="1909" t="s">
        <v>617</v>
      </c>
      <c r="F3456" s="1915"/>
      <c r="G3456" s="1915"/>
      <c r="H3456" s="1915"/>
      <c r="K3456" s="841" t="s">
        <v>3406</v>
      </c>
      <c r="M3456" s="1357"/>
      <c r="Q3456" s="1357"/>
      <c r="S3456" s="1420"/>
      <c r="T3456" s="1420"/>
      <c r="V3456" s="1357">
        <v>47</v>
      </c>
    </row>
    <row r="3457" spans="1:22" s="841" customFormat="1" ht="15" x14ac:dyDescent="0.25">
      <c r="A3457" s="841" t="s">
        <v>174</v>
      </c>
      <c r="E3457" s="1689" t="s">
        <v>3407</v>
      </c>
      <c r="F3457" s="1689"/>
      <c r="G3457" s="1689"/>
      <c r="H3457" s="1689"/>
      <c r="K3457" s="841" t="s">
        <v>3406</v>
      </c>
      <c r="M3457" s="1357"/>
      <c r="Q3457" s="1357"/>
      <c r="S3457" s="1420"/>
      <c r="T3457" s="1420"/>
      <c r="V3457" s="1357">
        <v>732</v>
      </c>
    </row>
    <row r="3458" spans="1:22" s="841" customFormat="1" ht="15" x14ac:dyDescent="0.25">
      <c r="A3458" s="841" t="s">
        <v>174</v>
      </c>
      <c r="E3458" s="1916" t="s">
        <v>3061</v>
      </c>
      <c r="F3458" s="1697"/>
      <c r="G3458" s="1697"/>
      <c r="H3458" s="1697"/>
      <c r="K3458" s="841" t="s">
        <v>3221</v>
      </c>
      <c r="M3458" s="1357"/>
      <c r="Q3458" s="1357"/>
      <c r="S3458" s="1420"/>
      <c r="T3458" s="1420"/>
      <c r="V3458" s="1357">
        <v>11</v>
      </c>
    </row>
    <row r="3459" spans="1:22" s="841" customFormat="1" ht="15" x14ac:dyDescent="0.25">
      <c r="A3459" s="841" t="s">
        <v>174</v>
      </c>
      <c r="E3459" s="1689" t="s">
        <v>3063</v>
      </c>
      <c r="F3459" s="1689"/>
      <c r="G3459" s="1689"/>
      <c r="H3459" s="1689"/>
      <c r="K3459" s="841" t="s">
        <v>3406</v>
      </c>
      <c r="M3459" s="1357"/>
      <c r="Q3459" s="1357"/>
      <c r="S3459" s="1420"/>
      <c r="T3459" s="1420"/>
      <c r="V3459" s="1357">
        <v>280</v>
      </c>
    </row>
    <row r="3460" spans="1:22" s="841" customFormat="1" ht="15" x14ac:dyDescent="0.25">
      <c r="A3460" s="841" t="s">
        <v>174</v>
      </c>
      <c r="E3460" s="1689" t="s">
        <v>3064</v>
      </c>
      <c r="F3460" s="1689"/>
      <c r="G3460" s="1689"/>
      <c r="H3460" s="1689"/>
      <c r="K3460" s="841" t="s">
        <v>3406</v>
      </c>
      <c r="M3460" s="1357"/>
      <c r="Q3460" s="1357"/>
      <c r="S3460" s="1420"/>
      <c r="T3460" s="1420"/>
      <c r="V3460" s="1357">
        <v>411</v>
      </c>
    </row>
    <row r="3461" spans="1:22" s="841" customFormat="1" ht="15" x14ac:dyDescent="0.25">
      <c r="A3461" s="841" t="s">
        <v>174</v>
      </c>
      <c r="E3461" s="1689" t="s">
        <v>3065</v>
      </c>
      <c r="F3461" s="1689"/>
      <c r="G3461" s="1689"/>
      <c r="H3461" s="1689"/>
      <c r="K3461" s="841" t="s">
        <v>3406</v>
      </c>
      <c r="M3461" s="1357"/>
      <c r="Q3461" s="1357"/>
      <c r="S3461" s="1420"/>
      <c r="T3461" s="1420"/>
      <c r="V3461" s="1357">
        <v>387</v>
      </c>
    </row>
    <row r="3462" spans="1:22" s="841" customFormat="1" ht="15" x14ac:dyDescent="0.25">
      <c r="A3462" s="841" t="s">
        <v>174</v>
      </c>
      <c r="E3462" s="1689" t="s">
        <v>3200</v>
      </c>
      <c r="F3462" s="1689"/>
      <c r="G3462" s="1689"/>
      <c r="H3462" s="1689"/>
      <c r="K3462" s="841" t="s">
        <v>3406</v>
      </c>
      <c r="M3462" s="1357"/>
      <c r="Q3462" s="1357"/>
      <c r="S3462" s="1420"/>
      <c r="T3462" s="1420"/>
      <c r="V3462" s="1357">
        <v>275</v>
      </c>
    </row>
    <row r="3463" spans="1:22" s="841" customFormat="1" ht="15" x14ac:dyDescent="0.25">
      <c r="A3463" s="841" t="s">
        <v>174</v>
      </c>
      <c r="E3463" s="1694" t="s">
        <v>3067</v>
      </c>
      <c r="F3463" s="1907"/>
      <c r="G3463" s="1907"/>
      <c r="H3463" s="1907"/>
      <c r="K3463" s="841" t="s">
        <v>3224</v>
      </c>
      <c r="M3463" s="1357"/>
      <c r="Q3463" s="1357"/>
      <c r="S3463" s="1420"/>
      <c r="T3463" s="1420"/>
      <c r="V3463" s="1357">
        <v>46</v>
      </c>
    </row>
    <row r="3464" spans="1:22" s="841" customFormat="1" ht="15" x14ac:dyDescent="0.25">
      <c r="A3464" s="841" t="s">
        <v>174</v>
      </c>
      <c r="E3464" s="1690" t="s">
        <v>11</v>
      </c>
      <c r="F3464" s="1690"/>
      <c r="G3464" s="1408" t="s">
        <v>23</v>
      </c>
      <c r="H3464" s="391">
        <v>9.42</v>
      </c>
      <c r="K3464" s="841" t="s">
        <v>3406</v>
      </c>
      <c r="L3464" s="841" t="s">
        <v>442</v>
      </c>
      <c r="M3464" s="1357"/>
      <c r="P3464" s="841" t="s">
        <v>3408</v>
      </c>
      <c r="Q3464" s="1357"/>
      <c r="S3464" s="1420"/>
      <c r="T3464" s="1420"/>
      <c r="V3464" s="1357">
        <v>14</v>
      </c>
    </row>
    <row r="3465" spans="1:22" s="841" customFormat="1" ht="15" x14ac:dyDescent="0.25">
      <c r="A3465" s="841" t="s">
        <v>174</v>
      </c>
      <c r="E3465" s="1690" t="s">
        <v>84</v>
      </c>
      <c r="F3465" s="1690"/>
      <c r="G3465" s="1408" t="s">
        <v>24</v>
      </c>
      <c r="H3465" s="393">
        <v>1.6400000000000001E-2</v>
      </c>
      <c r="K3465" s="841" t="s">
        <v>3406</v>
      </c>
      <c r="L3465" s="841" t="s">
        <v>442</v>
      </c>
      <c r="M3465" s="1357"/>
      <c r="P3465" s="841" t="s">
        <v>3409</v>
      </c>
      <c r="Q3465" s="1357"/>
      <c r="S3465" s="1420"/>
      <c r="T3465" s="1420"/>
      <c r="V3465" s="1357">
        <v>28</v>
      </c>
    </row>
    <row r="3466" spans="1:22" s="841" customFormat="1" ht="15" x14ac:dyDescent="0.25">
      <c r="A3466" s="841" t="s">
        <v>174</v>
      </c>
      <c r="E3466" s="1690" t="s">
        <v>5130</v>
      </c>
      <c r="F3466" s="1908"/>
      <c r="G3466" s="1408" t="s">
        <v>24</v>
      </c>
      <c r="H3466" s="393">
        <v>-1.2999999999999999E-3</v>
      </c>
      <c r="K3466" s="841" t="s">
        <v>3406</v>
      </c>
      <c r="L3466" s="841" t="s">
        <v>443</v>
      </c>
      <c r="M3466" s="1357"/>
      <c r="P3466" s="841" t="s">
        <v>3411</v>
      </c>
      <c r="Q3466" s="1357"/>
      <c r="S3466" s="1420"/>
      <c r="T3466" s="1420">
        <v>43585</v>
      </c>
      <c r="V3466" s="1357">
        <v>96</v>
      </c>
    </row>
    <row r="3467" spans="1:22" s="841" customFormat="1" ht="15" x14ac:dyDescent="0.25">
      <c r="A3467" s="841" t="s">
        <v>174</v>
      </c>
      <c r="E3467" s="1690" t="s">
        <v>221</v>
      </c>
      <c r="F3467" s="1690"/>
      <c r="G3467" s="1408" t="s">
        <v>24</v>
      </c>
      <c r="H3467" s="393">
        <v>6.8999999999999999E-3</v>
      </c>
      <c r="K3467" s="841" t="s">
        <v>3406</v>
      </c>
      <c r="L3467" s="841" t="s">
        <v>444</v>
      </c>
      <c r="M3467" s="1357"/>
      <c r="P3467" s="841" t="s">
        <v>3412</v>
      </c>
      <c r="Q3467" s="1357"/>
      <c r="S3467" s="1420"/>
      <c r="T3467" s="1420"/>
      <c r="V3467" s="1357">
        <v>47</v>
      </c>
    </row>
    <row r="3468" spans="1:22" s="841" customFormat="1" ht="15" x14ac:dyDescent="0.25">
      <c r="A3468" s="841" t="s">
        <v>174</v>
      </c>
      <c r="E3468" s="1690" t="s">
        <v>217</v>
      </c>
      <c r="F3468" s="1690"/>
      <c r="G3468" s="1408" t="s">
        <v>24</v>
      </c>
      <c r="H3468" s="393">
        <v>6.1999999999999998E-3</v>
      </c>
      <c r="K3468" s="841" t="s">
        <v>3406</v>
      </c>
      <c r="L3468" s="841" t="s">
        <v>444</v>
      </c>
      <c r="M3468" s="1357"/>
      <c r="P3468" s="841" t="s">
        <v>3413</v>
      </c>
      <c r="Q3468" s="1357"/>
      <c r="S3468" s="1420"/>
      <c r="T3468" s="1420"/>
      <c r="V3468" s="1357">
        <v>74</v>
      </c>
    </row>
    <row r="3469" spans="1:22" s="841" customFormat="1" ht="15" x14ac:dyDescent="0.25">
      <c r="A3469" s="841" t="s">
        <v>174</v>
      </c>
      <c r="E3469" s="1694" t="s">
        <v>3079</v>
      </c>
      <c r="F3469" s="1690"/>
      <c r="G3469" s="1408"/>
      <c r="H3469" s="1408"/>
      <c r="K3469" s="841" t="s">
        <v>3225</v>
      </c>
      <c r="M3469" s="1357"/>
      <c r="Q3469" s="1357"/>
      <c r="S3469" s="1420"/>
      <c r="T3469" s="1420"/>
      <c r="V3469" s="1357">
        <v>48</v>
      </c>
    </row>
    <row r="3470" spans="1:22" s="841" customFormat="1" ht="15" x14ac:dyDescent="0.25">
      <c r="A3470" s="841" t="s">
        <v>174</v>
      </c>
      <c r="E3470" s="1690" t="s">
        <v>2449</v>
      </c>
      <c r="F3470" s="1690"/>
      <c r="G3470" s="1408" t="s">
        <v>24</v>
      </c>
      <c r="H3470" s="393">
        <v>3.2000000000000002E-3</v>
      </c>
      <c r="K3470" s="841" t="s">
        <v>3406</v>
      </c>
      <c r="L3470" s="841" t="s">
        <v>3046</v>
      </c>
      <c r="M3470" s="1357"/>
      <c r="P3470" s="841" t="s">
        <v>3414</v>
      </c>
      <c r="Q3470" s="1357"/>
      <c r="S3470" s="1420"/>
      <c r="T3470" s="1420"/>
      <c r="V3470" s="1357">
        <v>55</v>
      </c>
    </row>
    <row r="3471" spans="1:22" s="841" customFormat="1" ht="15" x14ac:dyDescent="0.25">
      <c r="A3471" s="841" t="s">
        <v>174</v>
      </c>
      <c r="E3471" s="1690" t="s">
        <v>2450</v>
      </c>
      <c r="F3471" s="1690"/>
      <c r="G3471" s="1408" t="s">
        <v>24</v>
      </c>
      <c r="H3471" s="393">
        <v>4.0000000000000002E-4</v>
      </c>
      <c r="K3471" s="841" t="s">
        <v>3406</v>
      </c>
      <c r="L3471" s="841" t="s">
        <v>3046</v>
      </c>
      <c r="M3471" s="1357"/>
      <c r="P3471" s="841" t="s">
        <v>3414</v>
      </c>
      <c r="Q3471" s="1357"/>
      <c r="S3471" s="1420"/>
      <c r="T3471" s="1420"/>
      <c r="V3471" s="1357">
        <v>65</v>
      </c>
    </row>
    <row r="3472" spans="1:22" s="841" customFormat="1" ht="15" x14ac:dyDescent="0.25">
      <c r="A3472" s="841" t="s">
        <v>174</v>
      </c>
      <c r="E3472" s="1690" t="s">
        <v>439</v>
      </c>
      <c r="F3472" s="1690"/>
      <c r="G3472" s="1408" t="s">
        <v>24</v>
      </c>
      <c r="H3472" s="393">
        <v>2.9999999999999997E-4</v>
      </c>
      <c r="K3472" s="841" t="s">
        <v>3406</v>
      </c>
      <c r="L3472" s="841" t="s">
        <v>3046</v>
      </c>
      <c r="M3472" s="1357"/>
      <c r="P3472" s="841" t="s">
        <v>3415</v>
      </c>
      <c r="Q3472" s="1357"/>
      <c r="S3472" s="1420"/>
      <c r="T3472" s="1420"/>
      <c r="V3472" s="1357">
        <v>57</v>
      </c>
    </row>
    <row r="3473" spans="1:22" s="841" customFormat="1" ht="15" x14ac:dyDescent="0.25">
      <c r="A3473" s="841" t="s">
        <v>174</v>
      </c>
      <c r="E3473" s="1690" t="s">
        <v>32</v>
      </c>
      <c r="F3473" s="1690"/>
      <c r="G3473" s="1408" t="s">
        <v>23</v>
      </c>
      <c r="H3473" s="391">
        <v>0.25</v>
      </c>
      <c r="K3473" s="841" t="s">
        <v>3406</v>
      </c>
      <c r="L3473" s="841" t="s">
        <v>3046</v>
      </c>
      <c r="M3473" s="1357"/>
      <c r="P3473" s="841" t="s">
        <v>3416</v>
      </c>
      <c r="Q3473" s="1357"/>
      <c r="S3473" s="1420"/>
      <c r="T3473" s="1420"/>
      <c r="V3473" s="1357">
        <v>63</v>
      </c>
    </row>
    <row r="3474" spans="1:22" s="841" customFormat="1" x14ac:dyDescent="0.25">
      <c r="A3474" s="841" t="s">
        <v>174</v>
      </c>
      <c r="E3474" s="1909" t="s">
        <v>615</v>
      </c>
      <c r="F3474" s="1915"/>
      <c r="G3474" s="1915"/>
      <c r="H3474" s="1915"/>
      <c r="K3474" s="841" t="s">
        <v>3417</v>
      </c>
      <c r="M3474" s="1357"/>
      <c r="Q3474" s="1357"/>
      <c r="S3474" s="1420"/>
      <c r="T3474" s="1420"/>
      <c r="V3474" s="1357">
        <v>38</v>
      </c>
    </row>
    <row r="3475" spans="1:22" s="841" customFormat="1" ht="15" x14ac:dyDescent="0.25">
      <c r="A3475" s="841" t="s">
        <v>174</v>
      </c>
      <c r="E3475" s="1689" t="s">
        <v>3418</v>
      </c>
      <c r="F3475" s="1689"/>
      <c r="G3475" s="1689"/>
      <c r="H3475" s="1689"/>
      <c r="K3475" s="841" t="s">
        <v>3417</v>
      </c>
      <c r="M3475" s="1357"/>
      <c r="Q3475" s="1357"/>
      <c r="S3475" s="1420"/>
      <c r="T3475" s="1420"/>
      <c r="V3475" s="1357">
        <v>582</v>
      </c>
    </row>
    <row r="3476" spans="1:22" s="841" customFormat="1" ht="15" x14ac:dyDescent="0.25">
      <c r="A3476" s="841" t="s">
        <v>174</v>
      </c>
      <c r="E3476" s="1916" t="s">
        <v>3061</v>
      </c>
      <c r="F3476" s="1697"/>
      <c r="G3476" s="1697"/>
      <c r="H3476" s="1697"/>
      <c r="K3476" s="841" t="s">
        <v>3107</v>
      </c>
      <c r="M3476" s="1357"/>
      <c r="Q3476" s="1357"/>
      <c r="S3476" s="1420"/>
      <c r="T3476" s="1420"/>
      <c r="V3476" s="1357">
        <v>11</v>
      </c>
    </row>
    <row r="3477" spans="1:22" s="841" customFormat="1" ht="15" x14ac:dyDescent="0.25">
      <c r="A3477" s="841" t="s">
        <v>174</v>
      </c>
      <c r="E3477" s="1689" t="s">
        <v>3063</v>
      </c>
      <c r="F3477" s="1689"/>
      <c r="G3477" s="1689"/>
      <c r="H3477" s="1689"/>
      <c r="K3477" s="841" t="s">
        <v>3417</v>
      </c>
      <c r="M3477" s="1357"/>
      <c r="Q3477" s="1357"/>
      <c r="S3477" s="1420"/>
      <c r="T3477" s="1420"/>
      <c r="V3477" s="1357">
        <v>280</v>
      </c>
    </row>
    <row r="3478" spans="1:22" s="841" customFormat="1" ht="15" x14ac:dyDescent="0.25">
      <c r="A3478" s="841" t="s">
        <v>174</v>
      </c>
      <c r="E3478" s="1689" t="s">
        <v>3064</v>
      </c>
      <c r="F3478" s="1689"/>
      <c r="G3478" s="1689"/>
      <c r="H3478" s="1689"/>
      <c r="K3478" s="841" t="s">
        <v>3417</v>
      </c>
      <c r="M3478" s="1357"/>
      <c r="Q3478" s="1357"/>
      <c r="S3478" s="1420"/>
      <c r="T3478" s="1420"/>
      <c r="V3478" s="1357">
        <v>411</v>
      </c>
    </row>
    <row r="3479" spans="1:22" s="841" customFormat="1" ht="15" x14ac:dyDescent="0.25">
      <c r="A3479" s="841" t="s">
        <v>174</v>
      </c>
      <c r="E3479" s="1689" t="s">
        <v>3065</v>
      </c>
      <c r="F3479" s="1689"/>
      <c r="G3479" s="1689"/>
      <c r="H3479" s="1689"/>
      <c r="K3479" s="841" t="s">
        <v>3417</v>
      </c>
      <c r="M3479" s="1357"/>
      <c r="Q3479" s="1357"/>
      <c r="S3479" s="1420"/>
      <c r="T3479" s="1420"/>
      <c r="V3479" s="1357">
        <v>387</v>
      </c>
    </row>
    <row r="3480" spans="1:22" s="841" customFormat="1" ht="15" x14ac:dyDescent="0.25">
      <c r="A3480" s="841" t="s">
        <v>174</v>
      </c>
      <c r="E3480" s="1689" t="s">
        <v>3200</v>
      </c>
      <c r="F3480" s="1689"/>
      <c r="G3480" s="1689"/>
      <c r="H3480" s="1689"/>
      <c r="K3480" s="841" t="s">
        <v>3417</v>
      </c>
      <c r="M3480" s="1357"/>
      <c r="Q3480" s="1357"/>
      <c r="S3480" s="1420"/>
      <c r="T3480" s="1420"/>
      <c r="V3480" s="1357">
        <v>275</v>
      </c>
    </row>
    <row r="3481" spans="1:22" s="841" customFormat="1" ht="15" x14ac:dyDescent="0.25">
      <c r="A3481" s="841" t="s">
        <v>174</v>
      </c>
      <c r="E3481" s="1694" t="s">
        <v>3067</v>
      </c>
      <c r="F3481" s="1907"/>
      <c r="G3481" s="1907"/>
      <c r="H3481" s="1907"/>
      <c r="K3481" s="841" t="s">
        <v>3108</v>
      </c>
      <c r="M3481" s="1357"/>
      <c r="Q3481" s="1357"/>
      <c r="S3481" s="1420"/>
      <c r="T3481" s="1420"/>
      <c r="V3481" s="1357">
        <v>46</v>
      </c>
    </row>
    <row r="3482" spans="1:22" s="841" customFormat="1" ht="15" x14ac:dyDescent="0.25">
      <c r="A3482" s="841" t="s">
        <v>174</v>
      </c>
      <c r="E3482" s="1690" t="s">
        <v>11</v>
      </c>
      <c r="F3482" s="1690"/>
      <c r="G3482" s="1408" t="s">
        <v>23</v>
      </c>
      <c r="H3482" s="391">
        <v>0.63</v>
      </c>
      <c r="K3482" s="841" t="s">
        <v>3417</v>
      </c>
      <c r="L3482" s="841" t="s">
        <v>442</v>
      </c>
      <c r="M3482" s="1357"/>
      <c r="P3482" s="841" t="s">
        <v>3419</v>
      </c>
      <c r="Q3482" s="1357"/>
      <c r="S3482" s="1420"/>
      <c r="T3482" s="1420"/>
      <c r="V3482" s="1357">
        <v>14</v>
      </c>
    </row>
    <row r="3483" spans="1:22" s="841" customFormat="1" ht="15" x14ac:dyDescent="0.25">
      <c r="A3483" s="841" t="s">
        <v>174</v>
      </c>
      <c r="E3483" s="1690" t="s">
        <v>84</v>
      </c>
      <c r="F3483" s="1690"/>
      <c r="G3483" s="1408" t="s">
        <v>33</v>
      </c>
      <c r="H3483" s="393">
        <v>4.5568</v>
      </c>
      <c r="K3483" s="841" t="s">
        <v>3417</v>
      </c>
      <c r="L3483" s="841" t="s">
        <v>442</v>
      </c>
      <c r="M3483" s="1357"/>
      <c r="P3483" s="841" t="s">
        <v>3420</v>
      </c>
      <c r="Q3483" s="1357"/>
      <c r="S3483" s="1420"/>
      <c r="T3483" s="1420"/>
      <c r="V3483" s="1357">
        <v>28</v>
      </c>
    </row>
    <row r="3484" spans="1:22" s="841" customFormat="1" ht="15" x14ac:dyDescent="0.25">
      <c r="A3484" s="841" t="s">
        <v>174</v>
      </c>
      <c r="E3484" s="1690" t="s">
        <v>5129</v>
      </c>
      <c r="F3484" s="1908"/>
      <c r="G3484" s="1408" t="s">
        <v>24</v>
      </c>
      <c r="H3484" s="393">
        <v>-2.0000000000000001E-4</v>
      </c>
      <c r="K3484" s="841" t="s">
        <v>3417</v>
      </c>
      <c r="L3484" s="841" t="s">
        <v>443</v>
      </c>
      <c r="M3484" s="1357"/>
      <c r="P3484" s="841" t="s">
        <v>3421</v>
      </c>
      <c r="Q3484" s="1357"/>
      <c r="S3484" s="1420"/>
      <c r="T3484" s="1420">
        <v>43585</v>
      </c>
      <c r="V3484" s="1357">
        <v>139</v>
      </c>
    </row>
    <row r="3485" spans="1:22" s="841" customFormat="1" ht="15" x14ac:dyDescent="0.25">
      <c r="A3485" s="841" t="s">
        <v>174</v>
      </c>
      <c r="E3485" s="1690" t="s">
        <v>5130</v>
      </c>
      <c r="F3485" s="1908"/>
      <c r="G3485" s="1408" t="s">
        <v>33</v>
      </c>
      <c r="H3485" s="393">
        <v>-0.45789999999999997</v>
      </c>
      <c r="K3485" s="841" t="s">
        <v>3417</v>
      </c>
      <c r="L3485" s="841" t="s">
        <v>443</v>
      </c>
      <c r="M3485" s="1357"/>
      <c r="P3485" s="841" t="s">
        <v>3423</v>
      </c>
      <c r="Q3485" s="1357"/>
      <c r="S3485" s="1420"/>
      <c r="T3485" s="1420">
        <v>43585</v>
      </c>
      <c r="V3485" s="1357">
        <v>96</v>
      </c>
    </row>
    <row r="3486" spans="1:22" s="841" customFormat="1" ht="15" x14ac:dyDescent="0.25">
      <c r="A3486" s="841" t="s">
        <v>174</v>
      </c>
      <c r="E3486" s="1690" t="s">
        <v>221</v>
      </c>
      <c r="F3486" s="1690"/>
      <c r="G3486" s="1408" t="s">
        <v>33</v>
      </c>
      <c r="H3486" s="393">
        <v>2.0768</v>
      </c>
      <c r="K3486" s="841" t="s">
        <v>3417</v>
      </c>
      <c r="L3486" s="841" t="s">
        <v>444</v>
      </c>
      <c r="M3486" s="1357"/>
      <c r="P3486" s="841" t="s">
        <v>3424</v>
      </c>
      <c r="Q3486" s="1357"/>
      <c r="S3486" s="1420"/>
      <c r="T3486" s="1420"/>
      <c r="V3486" s="1357">
        <v>47</v>
      </c>
    </row>
    <row r="3487" spans="1:22" s="841" customFormat="1" ht="15" x14ac:dyDescent="0.25">
      <c r="A3487" s="841" t="s">
        <v>174</v>
      </c>
      <c r="E3487" s="1690" t="s">
        <v>220</v>
      </c>
      <c r="F3487" s="1690"/>
      <c r="G3487" s="1408" t="s">
        <v>33</v>
      </c>
      <c r="H3487" s="393">
        <v>1.9189000000000001</v>
      </c>
      <c r="K3487" s="841" t="s">
        <v>3417</v>
      </c>
      <c r="L3487" s="841" t="s">
        <v>444</v>
      </c>
      <c r="M3487" s="1357"/>
      <c r="P3487" s="841" t="s">
        <v>3425</v>
      </c>
      <c r="Q3487" s="1357"/>
      <c r="S3487" s="1420"/>
      <c r="T3487" s="1420"/>
      <c r="V3487" s="1357">
        <v>55</v>
      </c>
    </row>
    <row r="3488" spans="1:22" s="841" customFormat="1" ht="15" x14ac:dyDescent="0.25">
      <c r="A3488" s="841" t="s">
        <v>174</v>
      </c>
      <c r="E3488" s="1694" t="s">
        <v>3079</v>
      </c>
      <c r="F3488" s="1690"/>
      <c r="G3488" s="1408"/>
      <c r="H3488" s="1408"/>
      <c r="K3488" s="841" t="s">
        <v>3111</v>
      </c>
      <c r="M3488" s="1357"/>
      <c r="Q3488" s="1357"/>
      <c r="S3488" s="1420"/>
      <c r="T3488" s="1420"/>
      <c r="V3488" s="1357">
        <v>48</v>
      </c>
    </row>
    <row r="3489" spans="1:22" s="841" customFormat="1" ht="15" x14ac:dyDescent="0.25">
      <c r="A3489" s="841" t="s">
        <v>174</v>
      </c>
      <c r="E3489" s="1690" t="s">
        <v>2449</v>
      </c>
      <c r="F3489" s="1690"/>
      <c r="G3489" s="1408" t="s">
        <v>24</v>
      </c>
      <c r="H3489" s="393">
        <v>3.2000000000000002E-3</v>
      </c>
      <c r="K3489" s="841" t="s">
        <v>3417</v>
      </c>
      <c r="L3489" s="841" t="s">
        <v>3046</v>
      </c>
      <c r="M3489" s="1357"/>
      <c r="P3489" s="841" t="s">
        <v>3426</v>
      </c>
      <c r="Q3489" s="1357"/>
      <c r="S3489" s="1420"/>
      <c r="T3489" s="1420"/>
      <c r="V3489" s="1357">
        <v>55</v>
      </c>
    </row>
    <row r="3490" spans="1:22" s="841" customFormat="1" ht="15" x14ac:dyDescent="0.25">
      <c r="A3490" s="841" t="s">
        <v>174</v>
      </c>
      <c r="E3490" s="1690" t="s">
        <v>2450</v>
      </c>
      <c r="F3490" s="1690"/>
      <c r="G3490" s="1408" t="s">
        <v>24</v>
      </c>
      <c r="H3490" s="393">
        <v>4.0000000000000002E-4</v>
      </c>
      <c r="K3490" s="841" t="s">
        <v>3417</v>
      </c>
      <c r="L3490" s="841" t="s">
        <v>3046</v>
      </c>
      <c r="M3490" s="1357"/>
      <c r="P3490" s="841" t="s">
        <v>3426</v>
      </c>
      <c r="Q3490" s="1357"/>
      <c r="S3490" s="1420"/>
      <c r="T3490" s="1420"/>
      <c r="V3490" s="1357">
        <v>65</v>
      </c>
    </row>
    <row r="3491" spans="1:22" s="841" customFormat="1" ht="15" x14ac:dyDescent="0.25">
      <c r="A3491" s="841" t="s">
        <v>174</v>
      </c>
      <c r="E3491" s="1690" t="s">
        <v>439</v>
      </c>
      <c r="F3491" s="1690"/>
      <c r="G3491" s="1408" t="s">
        <v>24</v>
      </c>
      <c r="H3491" s="393">
        <v>2.9999999999999997E-4</v>
      </c>
      <c r="K3491" s="841" t="s">
        <v>3417</v>
      </c>
      <c r="L3491" s="841" t="s">
        <v>3046</v>
      </c>
      <c r="M3491" s="1357"/>
      <c r="P3491" s="841" t="s">
        <v>3427</v>
      </c>
      <c r="Q3491" s="1357"/>
      <c r="S3491" s="1420"/>
      <c r="T3491" s="1420"/>
      <c r="V3491" s="1357">
        <v>57</v>
      </c>
    </row>
    <row r="3492" spans="1:22" s="841" customFormat="1" ht="15" x14ac:dyDescent="0.25">
      <c r="A3492" s="841" t="s">
        <v>174</v>
      </c>
      <c r="E3492" s="1690" t="s">
        <v>32</v>
      </c>
      <c r="F3492" s="1690"/>
      <c r="G3492" s="1408" t="s">
        <v>23</v>
      </c>
      <c r="H3492" s="391">
        <v>0.25</v>
      </c>
      <c r="K3492" s="841" t="s">
        <v>3417</v>
      </c>
      <c r="L3492" s="841" t="s">
        <v>3046</v>
      </c>
      <c r="M3492" s="1357"/>
      <c r="P3492" s="841" t="s">
        <v>3428</v>
      </c>
      <c r="Q3492" s="1357"/>
      <c r="S3492" s="1420"/>
      <c r="T3492" s="1420"/>
      <c r="V3492" s="1357">
        <v>63</v>
      </c>
    </row>
    <row r="3493" spans="1:22" s="841" customFormat="1" x14ac:dyDescent="0.25">
      <c r="A3493" s="841" t="s">
        <v>174</v>
      </c>
      <c r="E3493" s="1909" t="s">
        <v>618</v>
      </c>
      <c r="F3493" s="1915"/>
      <c r="G3493" s="1915"/>
      <c r="H3493" s="1915"/>
      <c r="K3493" s="841" t="s">
        <v>3371</v>
      </c>
      <c r="M3493" s="1357"/>
      <c r="Q3493" s="1357"/>
      <c r="S3493" s="1420"/>
      <c r="T3493" s="1420"/>
      <c r="V3493" s="1357">
        <v>31</v>
      </c>
    </row>
    <row r="3494" spans="1:22" s="841" customFormat="1" ht="15" x14ac:dyDescent="0.25">
      <c r="A3494" s="841" t="s">
        <v>174</v>
      </c>
      <c r="E3494" s="1689" t="s">
        <v>3429</v>
      </c>
      <c r="F3494" s="1689"/>
      <c r="G3494" s="1689"/>
      <c r="H3494" s="1689"/>
      <c r="K3494" s="841" t="s">
        <v>3371</v>
      </c>
      <c r="M3494" s="1357"/>
      <c r="Q3494" s="1357"/>
      <c r="S3494" s="1420"/>
      <c r="T3494" s="1420"/>
      <c r="V3494" s="1357">
        <v>285</v>
      </c>
    </row>
    <row r="3495" spans="1:22" s="841" customFormat="1" ht="15" x14ac:dyDescent="0.25">
      <c r="A3495" s="841" t="s">
        <v>174</v>
      </c>
      <c r="E3495" s="1916" t="s">
        <v>3061</v>
      </c>
      <c r="F3495" s="1697"/>
      <c r="G3495" s="1697"/>
      <c r="H3495" s="1697"/>
      <c r="K3495" s="841" t="s">
        <v>3114</v>
      </c>
      <c r="M3495" s="1357"/>
      <c r="Q3495" s="1357"/>
      <c r="S3495" s="1420"/>
      <c r="T3495" s="1420"/>
      <c r="V3495" s="1357">
        <v>11</v>
      </c>
    </row>
    <row r="3496" spans="1:22" s="841" customFormat="1" ht="15" x14ac:dyDescent="0.25">
      <c r="A3496" s="841" t="s">
        <v>174</v>
      </c>
      <c r="E3496" s="1689" t="s">
        <v>3063</v>
      </c>
      <c r="F3496" s="1689"/>
      <c r="G3496" s="1689"/>
      <c r="H3496" s="1689"/>
      <c r="K3496" s="841" t="s">
        <v>3371</v>
      </c>
      <c r="M3496" s="1357"/>
      <c r="Q3496" s="1357"/>
      <c r="S3496" s="1420"/>
      <c r="T3496" s="1420"/>
      <c r="V3496" s="1357">
        <v>280</v>
      </c>
    </row>
    <row r="3497" spans="1:22" s="841" customFormat="1" ht="15" x14ac:dyDescent="0.25">
      <c r="A3497" s="841" t="s">
        <v>174</v>
      </c>
      <c r="E3497" s="1689" t="s">
        <v>3064</v>
      </c>
      <c r="F3497" s="1689"/>
      <c r="G3497" s="1689"/>
      <c r="H3497" s="1689"/>
      <c r="K3497" s="841" t="s">
        <v>3371</v>
      </c>
      <c r="M3497" s="1357"/>
      <c r="Q3497" s="1357"/>
      <c r="S3497" s="1420"/>
      <c r="T3497" s="1420"/>
      <c r="V3497" s="1357">
        <v>411</v>
      </c>
    </row>
    <row r="3498" spans="1:22" s="841" customFormat="1" ht="15" x14ac:dyDescent="0.25">
      <c r="A3498" s="841" t="s">
        <v>174</v>
      </c>
      <c r="E3498" s="1689" t="s">
        <v>3129</v>
      </c>
      <c r="F3498" s="1689"/>
      <c r="G3498" s="1689"/>
      <c r="H3498" s="1689"/>
      <c r="K3498" s="841" t="s">
        <v>3371</v>
      </c>
      <c r="M3498" s="1357"/>
      <c r="Q3498" s="1357"/>
      <c r="S3498" s="1420"/>
      <c r="T3498" s="1420"/>
      <c r="V3498" s="1357">
        <v>211</v>
      </c>
    </row>
    <row r="3499" spans="1:22" s="841" customFormat="1" ht="15" x14ac:dyDescent="0.25">
      <c r="A3499" s="841" t="s">
        <v>174</v>
      </c>
      <c r="E3499" s="1689" t="s">
        <v>3200</v>
      </c>
      <c r="F3499" s="1689"/>
      <c r="G3499" s="1689"/>
      <c r="H3499" s="1689"/>
      <c r="K3499" s="841" t="s">
        <v>3371</v>
      </c>
      <c r="M3499" s="1357"/>
      <c r="Q3499" s="1357"/>
      <c r="S3499" s="1420"/>
      <c r="T3499" s="1420"/>
      <c r="V3499" s="1357">
        <v>275</v>
      </c>
    </row>
    <row r="3500" spans="1:22" s="841" customFormat="1" ht="15" x14ac:dyDescent="0.25">
      <c r="A3500" s="841" t="s">
        <v>174</v>
      </c>
      <c r="E3500" s="1694" t="s">
        <v>3067</v>
      </c>
      <c r="F3500" s="1907"/>
      <c r="G3500" s="1907"/>
      <c r="H3500" s="1907"/>
      <c r="K3500" s="841" t="s">
        <v>3115</v>
      </c>
      <c r="M3500" s="1357"/>
      <c r="Q3500" s="1357"/>
      <c r="S3500" s="1420"/>
      <c r="T3500" s="1420"/>
      <c r="V3500" s="1357">
        <v>46</v>
      </c>
    </row>
    <row r="3501" spans="1:22" s="841" customFormat="1" ht="15" x14ac:dyDescent="0.25">
      <c r="A3501" s="841" t="s">
        <v>174</v>
      </c>
      <c r="E3501" s="1690" t="s">
        <v>11</v>
      </c>
      <c r="F3501" s="1690"/>
      <c r="G3501" s="1408" t="s">
        <v>23</v>
      </c>
      <c r="H3501" s="391">
        <v>5.4</v>
      </c>
      <c r="K3501" s="841" t="s">
        <v>3371</v>
      </c>
      <c r="L3501" s="841" t="s">
        <v>442</v>
      </c>
      <c r="M3501" s="1357"/>
      <c r="P3501" s="841" t="s">
        <v>3373</v>
      </c>
      <c r="Q3501" s="1357"/>
      <c r="S3501" s="1420"/>
      <c r="T3501" s="1420"/>
      <c r="V3501" s="1357">
        <v>14</v>
      </c>
    </row>
    <row r="3502" spans="1:22" s="841" customFormat="1" ht="18.75" x14ac:dyDescent="0.25">
      <c r="A3502" s="841" t="s">
        <v>174</v>
      </c>
      <c r="E3502" s="1374" t="s">
        <v>85</v>
      </c>
      <c r="F3502" s="661"/>
      <c r="G3502" s="661"/>
      <c r="H3502" s="662"/>
      <c r="K3502" s="841" t="s">
        <v>3430</v>
      </c>
      <c r="M3502" s="1357"/>
      <c r="Q3502" s="1357"/>
      <c r="S3502" s="1420"/>
      <c r="T3502" s="1420"/>
      <c r="V3502" s="1357">
        <v>10</v>
      </c>
    </row>
    <row r="3503" spans="1:22" s="841" customFormat="1" ht="15" x14ac:dyDescent="0.25">
      <c r="A3503" s="841" t="s">
        <v>174</v>
      </c>
      <c r="E3503" s="1690" t="s">
        <v>3133</v>
      </c>
      <c r="F3503" s="1690"/>
      <c r="G3503" s="1408" t="s">
        <v>33</v>
      </c>
      <c r="H3503" s="681">
        <v>-0.6</v>
      </c>
      <c r="M3503" s="1357"/>
      <c r="Q3503" s="1357"/>
      <c r="S3503" s="1420"/>
      <c r="T3503" s="1420"/>
      <c r="V3503" s="1357">
        <v>68</v>
      </c>
    </row>
    <row r="3504" spans="1:22" s="841" customFormat="1" ht="15" x14ac:dyDescent="0.25">
      <c r="A3504" s="841" t="s">
        <v>174</v>
      </c>
      <c r="E3504" s="1690" t="s">
        <v>3134</v>
      </c>
      <c r="F3504" s="1690"/>
      <c r="G3504" s="1408" t="s">
        <v>86</v>
      </c>
      <c r="H3504" s="391">
        <v>-1</v>
      </c>
      <c r="M3504" s="1357"/>
      <c r="Q3504" s="1357"/>
      <c r="S3504" s="1420"/>
      <c r="T3504" s="1420"/>
      <c r="V3504" s="1357">
        <v>87</v>
      </c>
    </row>
    <row r="3505" spans="1:22" s="841" customFormat="1" ht="36" x14ac:dyDescent="0.25">
      <c r="A3505" s="841" t="s">
        <v>174</v>
      </c>
      <c r="E3505" s="1374" t="s">
        <v>87</v>
      </c>
      <c r="F3505" s="661"/>
      <c r="G3505" s="661"/>
      <c r="H3505" s="662"/>
      <c r="K3505" s="841" t="s">
        <v>3431</v>
      </c>
      <c r="M3505" s="1357"/>
      <c r="Q3505" s="1357"/>
      <c r="S3505" s="1420"/>
      <c r="T3505" s="1420"/>
      <c r="V3505" s="1357">
        <v>24</v>
      </c>
    </row>
    <row r="3506" spans="1:22" s="841" customFormat="1" ht="15" x14ac:dyDescent="0.25">
      <c r="A3506" s="841" t="s">
        <v>174</v>
      </c>
      <c r="E3506" s="1689" t="s">
        <v>3063</v>
      </c>
      <c r="F3506" s="1689"/>
      <c r="G3506" s="1689"/>
      <c r="H3506" s="1689"/>
      <c r="M3506" s="1357"/>
      <c r="Q3506" s="1357"/>
      <c r="S3506" s="1420"/>
      <c r="T3506" s="1420"/>
      <c r="V3506" s="1357">
        <v>280</v>
      </c>
    </row>
    <row r="3507" spans="1:22" s="841" customFormat="1" ht="15" x14ac:dyDescent="0.25">
      <c r="A3507" s="841" t="s">
        <v>174</v>
      </c>
      <c r="E3507" s="1689" t="s">
        <v>3136</v>
      </c>
      <c r="F3507" s="1689"/>
      <c r="G3507" s="1689"/>
      <c r="H3507" s="1689"/>
      <c r="M3507" s="1357"/>
      <c r="Q3507" s="1357"/>
      <c r="S3507" s="1420"/>
      <c r="T3507" s="1420"/>
      <c r="V3507" s="1357">
        <v>353</v>
      </c>
    </row>
    <row r="3508" spans="1:22" s="841" customFormat="1" ht="15" x14ac:dyDescent="0.25">
      <c r="A3508" s="841" t="s">
        <v>174</v>
      </c>
      <c r="E3508" s="1689" t="s">
        <v>3200</v>
      </c>
      <c r="F3508" s="1689"/>
      <c r="G3508" s="1689"/>
      <c r="H3508" s="1689"/>
      <c r="M3508" s="1357"/>
      <c r="Q3508" s="1357"/>
      <c r="S3508" s="1420"/>
      <c r="T3508" s="1420"/>
      <c r="V3508" s="1357">
        <v>275</v>
      </c>
    </row>
    <row r="3509" spans="1:22" s="841" customFormat="1" ht="15" x14ac:dyDescent="0.25">
      <c r="A3509" s="841" t="s">
        <v>174</v>
      </c>
      <c r="E3509" s="1370" t="s">
        <v>3137</v>
      </c>
      <c r="F3509" s="500"/>
      <c r="G3509" s="500"/>
      <c r="H3509" s="501"/>
      <c r="K3509" s="841" t="s">
        <v>3432</v>
      </c>
      <c r="M3509" s="1357"/>
      <c r="Q3509" s="1357"/>
      <c r="S3509" s="1420"/>
      <c r="T3509" s="1420"/>
      <c r="V3509" s="1357">
        <v>23</v>
      </c>
    </row>
    <row r="3510" spans="1:22" s="841" customFormat="1" ht="15" x14ac:dyDescent="0.25">
      <c r="A3510" s="841" t="s">
        <v>174</v>
      </c>
      <c r="E3510" s="1688" t="s">
        <v>3355</v>
      </c>
      <c r="F3510" s="1688"/>
      <c r="G3510" s="1408" t="s">
        <v>23</v>
      </c>
      <c r="H3510" s="391">
        <v>15</v>
      </c>
      <c r="M3510" s="1357"/>
      <c r="Q3510" s="1357"/>
      <c r="S3510" s="1420"/>
      <c r="T3510" s="1420"/>
      <c r="V3510" s="1357">
        <v>19</v>
      </c>
    </row>
    <row r="3511" spans="1:22" s="841" customFormat="1" ht="15" x14ac:dyDescent="0.25">
      <c r="A3511" s="841" t="s">
        <v>174</v>
      </c>
      <c r="E3511" s="1688" t="s">
        <v>3148</v>
      </c>
      <c r="F3511" s="1688"/>
      <c r="G3511" s="1408" t="s">
        <v>23</v>
      </c>
      <c r="H3511" s="391">
        <v>15</v>
      </c>
      <c r="M3511" s="1357"/>
      <c r="Q3511" s="1357"/>
      <c r="S3511" s="1420"/>
      <c r="T3511" s="1420"/>
      <c r="V3511" s="1357">
        <v>56</v>
      </c>
    </row>
    <row r="3512" spans="1:22" s="841" customFormat="1" ht="15" x14ac:dyDescent="0.25">
      <c r="A3512" s="841" t="s">
        <v>174</v>
      </c>
      <c r="E3512" s="1688" t="s">
        <v>3140</v>
      </c>
      <c r="F3512" s="1688"/>
      <c r="G3512" s="1408" t="s">
        <v>23</v>
      </c>
      <c r="H3512" s="391">
        <v>15</v>
      </c>
      <c r="M3512" s="1357"/>
      <c r="Q3512" s="1357"/>
      <c r="S3512" s="1420"/>
      <c r="T3512" s="1420"/>
      <c r="V3512" s="1357">
        <v>20</v>
      </c>
    </row>
    <row r="3513" spans="1:22" s="841" customFormat="1" ht="15" x14ac:dyDescent="0.25">
      <c r="A3513" s="841" t="s">
        <v>174</v>
      </c>
      <c r="E3513" s="1688" t="s">
        <v>88</v>
      </c>
      <c r="F3513" s="1688"/>
      <c r="G3513" s="1408" t="s">
        <v>23</v>
      </c>
      <c r="H3513" s="391">
        <v>30</v>
      </c>
      <c r="M3513" s="1357"/>
      <c r="Q3513" s="1357"/>
      <c r="S3513" s="1420"/>
      <c r="T3513" s="1420"/>
      <c r="V3513" s="1357">
        <v>89</v>
      </c>
    </row>
    <row r="3514" spans="1:22" s="841" customFormat="1" ht="15" x14ac:dyDescent="0.25">
      <c r="A3514" s="841" t="s">
        <v>174</v>
      </c>
      <c r="E3514" s="1688" t="s">
        <v>123</v>
      </c>
      <c r="F3514" s="1688"/>
      <c r="G3514" s="1408" t="s">
        <v>23</v>
      </c>
      <c r="H3514" s="391">
        <v>15</v>
      </c>
      <c r="M3514" s="1357"/>
      <c r="Q3514" s="1357"/>
      <c r="S3514" s="1420"/>
      <c r="T3514" s="1420"/>
      <c r="V3514" s="1357">
        <v>35</v>
      </c>
    </row>
    <row r="3515" spans="1:22" s="841" customFormat="1" ht="15" x14ac:dyDescent="0.25">
      <c r="A3515" s="841" t="s">
        <v>174</v>
      </c>
      <c r="E3515" s="1370" t="s">
        <v>3152</v>
      </c>
      <c r="F3515" s="500"/>
      <c r="G3515" s="500"/>
      <c r="H3515" s="501"/>
      <c r="K3515" s="841" t="s">
        <v>3433</v>
      </c>
      <c r="M3515" s="1357"/>
      <c r="Q3515" s="1357"/>
      <c r="S3515" s="1420"/>
      <c r="T3515" s="1420"/>
      <c r="V3515" s="1357">
        <v>22</v>
      </c>
    </row>
    <row r="3516" spans="1:22" s="841" customFormat="1" ht="15" x14ac:dyDescent="0.25">
      <c r="A3516" s="841" t="s">
        <v>174</v>
      </c>
      <c r="E3516" s="1688" t="s">
        <v>5137</v>
      </c>
      <c r="F3516" s="1688"/>
      <c r="G3516" s="1408" t="s">
        <v>86</v>
      </c>
      <c r="H3516" s="391">
        <v>1.5</v>
      </c>
      <c r="M3516" s="1357"/>
      <c r="Q3516" s="1357"/>
      <c r="S3516" s="1420"/>
      <c r="T3516" s="1420"/>
      <c r="V3516" s="1357">
        <v>24</v>
      </c>
    </row>
    <row r="3517" spans="1:22" s="841" customFormat="1" ht="15" x14ac:dyDescent="0.25">
      <c r="A3517" s="841" t="s">
        <v>174</v>
      </c>
      <c r="E3517" s="1688" t="s">
        <v>4772</v>
      </c>
      <c r="F3517" s="1688"/>
      <c r="G3517" s="1408" t="s">
        <v>86</v>
      </c>
      <c r="H3517" s="391">
        <v>19.559999999999999</v>
      </c>
      <c r="M3517" s="1357"/>
      <c r="Q3517" s="1357"/>
      <c r="S3517" s="1420"/>
      <c r="T3517" s="1420"/>
      <c r="V3517" s="1357">
        <v>24</v>
      </c>
    </row>
    <row r="3518" spans="1:22" s="841" customFormat="1" ht="15" x14ac:dyDescent="0.25">
      <c r="A3518" s="841" t="s">
        <v>174</v>
      </c>
      <c r="E3518" s="1688" t="s">
        <v>3288</v>
      </c>
      <c r="F3518" s="1688"/>
      <c r="G3518" s="1408" t="s">
        <v>23</v>
      </c>
      <c r="H3518" s="391">
        <v>30</v>
      </c>
      <c r="M3518" s="1357"/>
      <c r="Q3518" s="1357"/>
      <c r="S3518" s="1420"/>
      <c r="T3518" s="1420"/>
      <c r="V3518" s="1357">
        <v>47</v>
      </c>
    </row>
    <row r="3519" spans="1:22" s="841" customFormat="1" ht="15" x14ac:dyDescent="0.25">
      <c r="A3519" s="841" t="s">
        <v>174</v>
      </c>
      <c r="E3519" s="1688" t="s">
        <v>4773</v>
      </c>
      <c r="F3519" s="1688"/>
      <c r="G3519" s="1408" t="s">
        <v>23</v>
      </c>
      <c r="H3519" s="391">
        <v>65</v>
      </c>
      <c r="M3519" s="1357"/>
      <c r="Q3519" s="1357"/>
      <c r="S3519" s="1420"/>
      <c r="T3519" s="1420"/>
      <c r="V3519" s="1357">
        <v>52</v>
      </c>
    </row>
    <row r="3520" spans="1:22" s="841" customFormat="1" ht="15" x14ac:dyDescent="0.25">
      <c r="A3520" s="841" t="s">
        <v>174</v>
      </c>
      <c r="E3520" s="1688" t="s">
        <v>4774</v>
      </c>
      <c r="F3520" s="1688"/>
      <c r="G3520" s="1408" t="s">
        <v>23</v>
      </c>
      <c r="H3520" s="391">
        <v>185</v>
      </c>
      <c r="M3520" s="1357"/>
      <c r="Q3520" s="1357"/>
      <c r="S3520" s="1420"/>
      <c r="T3520" s="1420"/>
      <c r="V3520" s="1357">
        <v>51</v>
      </c>
    </row>
    <row r="3521" spans="1:22" s="841" customFormat="1" ht="15" x14ac:dyDescent="0.25">
      <c r="A3521" s="841" t="s">
        <v>174</v>
      </c>
      <c r="E3521" s="1370" t="s">
        <v>3164</v>
      </c>
      <c r="F3521" s="1403"/>
      <c r="G3521" s="502"/>
      <c r="H3521" s="395"/>
      <c r="M3521" s="1357"/>
      <c r="Q3521" s="1357"/>
      <c r="S3521" s="1420"/>
      <c r="T3521" s="1420"/>
      <c r="V3521" s="1357">
        <v>5</v>
      </c>
    </row>
    <row r="3522" spans="1:22" s="841" customFormat="1" ht="15" x14ac:dyDescent="0.25">
      <c r="A3522" s="841" t="s">
        <v>174</v>
      </c>
      <c r="E3522" s="1688" t="s">
        <v>3434</v>
      </c>
      <c r="F3522" s="1688"/>
      <c r="G3522" s="1408" t="s">
        <v>23</v>
      </c>
      <c r="H3522" s="391">
        <v>500</v>
      </c>
      <c r="M3522" s="1357"/>
      <c r="Q3522" s="1357"/>
      <c r="S3522" s="1420"/>
      <c r="T3522" s="1420"/>
      <c r="V3522" s="1357">
        <v>64</v>
      </c>
    </row>
    <row r="3523" spans="1:22" s="841" customFormat="1" ht="15" x14ac:dyDescent="0.25">
      <c r="A3523" s="841" t="s">
        <v>174</v>
      </c>
      <c r="E3523" s="1688" t="s">
        <v>3435</v>
      </c>
      <c r="F3523" s="1688"/>
      <c r="G3523" s="1408" t="s">
        <v>23</v>
      </c>
      <c r="H3523" s="391">
        <v>22.35</v>
      </c>
      <c r="M3523" s="1357"/>
      <c r="Q3523" s="1357"/>
      <c r="S3523" s="1420"/>
      <c r="T3523" s="1420"/>
      <c r="V3523" s="1357">
        <v>68</v>
      </c>
    </row>
    <row r="3524" spans="1:22" s="841" customFormat="1" ht="15" x14ac:dyDescent="0.25">
      <c r="A3524" s="841" t="s">
        <v>174</v>
      </c>
      <c r="E3524" s="1688" t="s">
        <v>3166</v>
      </c>
      <c r="F3524" s="1688"/>
      <c r="G3524" s="1408"/>
      <c r="H3524" s="391"/>
      <c r="M3524" s="1357"/>
      <c r="Q3524" s="1357"/>
      <c r="S3524" s="1420"/>
      <c r="T3524" s="1420"/>
      <c r="V3524" s="1357">
        <v>44</v>
      </c>
    </row>
    <row r="3525" spans="1:22" s="841" customFormat="1" ht="18.75" x14ac:dyDescent="0.25">
      <c r="A3525" s="841" t="s">
        <v>174</v>
      </c>
      <c r="E3525" s="1405" t="s">
        <v>77</v>
      </c>
      <c r="F3525" s="661"/>
      <c r="G3525" s="661"/>
      <c r="H3525" s="662"/>
      <c r="K3525" s="841" t="s">
        <v>3436</v>
      </c>
      <c r="M3525" s="1357"/>
      <c r="Q3525" s="1357"/>
      <c r="S3525" s="1420"/>
      <c r="T3525" s="1420"/>
      <c r="V3525" s="1357">
        <v>38</v>
      </c>
    </row>
    <row r="3526" spans="1:22" s="841" customFormat="1" ht="15" x14ac:dyDescent="0.25">
      <c r="A3526" s="841" t="s">
        <v>174</v>
      </c>
      <c r="E3526" s="1689" t="s">
        <v>3063</v>
      </c>
      <c r="F3526" s="1689"/>
      <c r="G3526" s="1689"/>
      <c r="H3526" s="1689"/>
      <c r="M3526" s="1357"/>
      <c r="Q3526" s="1357"/>
      <c r="S3526" s="1420"/>
      <c r="T3526" s="1420"/>
      <c r="V3526" s="1357">
        <v>280</v>
      </c>
    </row>
    <row r="3527" spans="1:22" s="841" customFormat="1" ht="15" x14ac:dyDescent="0.25">
      <c r="A3527" s="841" t="s">
        <v>174</v>
      </c>
      <c r="E3527" s="1689" t="s">
        <v>3064</v>
      </c>
      <c r="F3527" s="1689"/>
      <c r="G3527" s="1689"/>
      <c r="H3527" s="1689"/>
      <c r="M3527" s="1357"/>
      <c r="Q3527" s="1357"/>
      <c r="S3527" s="1420"/>
      <c r="T3527" s="1420"/>
      <c r="V3527" s="1357">
        <v>411</v>
      </c>
    </row>
    <row r="3528" spans="1:22" s="841" customFormat="1" ht="15" x14ac:dyDescent="0.25">
      <c r="A3528" s="841" t="s">
        <v>174</v>
      </c>
      <c r="E3528" s="1689" t="s">
        <v>3129</v>
      </c>
      <c r="F3528" s="1689"/>
      <c r="G3528" s="1689"/>
      <c r="H3528" s="1689"/>
      <c r="M3528" s="1357"/>
      <c r="Q3528" s="1357"/>
      <c r="S3528" s="1420"/>
      <c r="T3528" s="1420"/>
      <c r="V3528" s="1357">
        <v>211</v>
      </c>
    </row>
    <row r="3529" spans="1:22" s="841" customFormat="1" ht="15" x14ac:dyDescent="0.25">
      <c r="A3529" s="841" t="s">
        <v>174</v>
      </c>
      <c r="E3529" s="1689" t="s">
        <v>3200</v>
      </c>
      <c r="F3529" s="1689"/>
      <c r="G3529" s="1689"/>
      <c r="H3529" s="1689"/>
      <c r="M3529" s="1357"/>
      <c r="Q3529" s="1357"/>
      <c r="S3529" s="1420"/>
      <c r="T3529" s="1420"/>
      <c r="V3529" s="1357">
        <v>275</v>
      </c>
    </row>
    <row r="3530" spans="1:22" s="841" customFormat="1" ht="15" x14ac:dyDescent="0.25">
      <c r="A3530" s="841" t="s">
        <v>174</v>
      </c>
      <c r="E3530" s="1689" t="s">
        <v>3291</v>
      </c>
      <c r="F3530" s="1689"/>
      <c r="G3530" s="1689"/>
      <c r="H3530" s="1689"/>
      <c r="M3530" s="1357"/>
      <c r="Q3530" s="1357"/>
      <c r="S3530" s="1420"/>
      <c r="T3530" s="1420"/>
      <c r="V3530" s="1357">
        <v>142</v>
      </c>
    </row>
    <row r="3531" spans="1:22" s="841" customFormat="1" ht="15" x14ac:dyDescent="0.25">
      <c r="A3531" s="841" t="s">
        <v>174</v>
      </c>
      <c r="E3531" s="1690" t="s">
        <v>3176</v>
      </c>
      <c r="F3531" s="1690"/>
      <c r="G3531" s="502" t="s">
        <v>23</v>
      </c>
      <c r="H3531" s="395">
        <v>100</v>
      </c>
      <c r="M3531" s="1357"/>
      <c r="Q3531" s="1357"/>
      <c r="S3531" s="1420"/>
      <c r="T3531" s="1420"/>
      <c r="V3531" s="1357">
        <v>106</v>
      </c>
    </row>
    <row r="3532" spans="1:22" s="841" customFormat="1" ht="15" x14ac:dyDescent="0.25">
      <c r="A3532" s="841" t="s">
        <v>174</v>
      </c>
      <c r="E3532" s="1690" t="s">
        <v>3177</v>
      </c>
      <c r="F3532" s="1690"/>
      <c r="G3532" s="502" t="s">
        <v>23</v>
      </c>
      <c r="H3532" s="395">
        <v>20</v>
      </c>
      <c r="M3532" s="1357"/>
      <c r="Q3532" s="1357"/>
      <c r="S3532" s="1420"/>
      <c r="T3532" s="1420"/>
      <c r="V3532" s="1357">
        <v>34</v>
      </c>
    </row>
    <row r="3533" spans="1:22" s="841" customFormat="1" ht="15" x14ac:dyDescent="0.25">
      <c r="A3533" s="841" t="s">
        <v>174</v>
      </c>
      <c r="E3533" s="1690" t="s">
        <v>3178</v>
      </c>
      <c r="F3533" s="1690"/>
      <c r="G3533" s="502" t="s">
        <v>3179</v>
      </c>
      <c r="H3533" s="395">
        <v>0.5</v>
      </c>
      <c r="M3533" s="1357"/>
      <c r="Q3533" s="1357"/>
      <c r="S3533" s="1420"/>
      <c r="T3533" s="1420"/>
      <c r="V3533" s="1357">
        <v>51</v>
      </c>
    </row>
    <row r="3534" spans="1:22" s="841" customFormat="1" ht="15" x14ac:dyDescent="0.25">
      <c r="A3534" s="841" t="s">
        <v>174</v>
      </c>
      <c r="E3534" s="1690" t="s">
        <v>3180</v>
      </c>
      <c r="F3534" s="1690"/>
      <c r="G3534" s="502" t="s">
        <v>3179</v>
      </c>
      <c r="H3534" s="395">
        <v>0.3</v>
      </c>
      <c r="M3534" s="1357"/>
      <c r="Q3534" s="1357"/>
      <c r="S3534" s="1420"/>
      <c r="T3534" s="1420"/>
      <c r="V3534" s="1357">
        <v>75</v>
      </c>
    </row>
    <row r="3535" spans="1:22" s="841" customFormat="1" ht="15" x14ac:dyDescent="0.25">
      <c r="A3535" s="841" t="s">
        <v>174</v>
      </c>
      <c r="E3535" s="1690" t="s">
        <v>3181</v>
      </c>
      <c r="F3535" s="1690"/>
      <c r="G3535" s="502" t="s">
        <v>3179</v>
      </c>
      <c r="H3535" s="395">
        <v>-0.3</v>
      </c>
      <c r="M3535" s="1357"/>
      <c r="Q3535" s="1357"/>
      <c r="S3535" s="1420"/>
      <c r="T3535" s="1420"/>
      <c r="V3535" s="1357">
        <v>72</v>
      </c>
    </row>
    <row r="3536" spans="1:22" s="841" customFormat="1" ht="15" x14ac:dyDescent="0.25">
      <c r="A3536" s="841" t="s">
        <v>174</v>
      </c>
      <c r="E3536" s="1690" t="s">
        <v>3292</v>
      </c>
      <c r="F3536" s="1690"/>
      <c r="G3536" s="502"/>
      <c r="H3536" s="503"/>
      <c r="M3536" s="1357"/>
      <c r="Q3536" s="1357"/>
      <c r="S3536" s="1420"/>
      <c r="T3536" s="1420"/>
      <c r="V3536" s="1357">
        <v>34</v>
      </c>
    </row>
    <row r="3537" spans="1:22" s="841" customFormat="1" ht="15" x14ac:dyDescent="0.25">
      <c r="A3537" s="841" t="s">
        <v>174</v>
      </c>
      <c r="E3537" s="1691" t="s">
        <v>3183</v>
      </c>
      <c r="F3537" s="1691"/>
      <c r="G3537" s="502" t="s">
        <v>23</v>
      </c>
      <c r="H3537" s="395">
        <v>0.25</v>
      </c>
      <c r="M3537" s="1357"/>
      <c r="Q3537" s="1357"/>
      <c r="S3537" s="1420"/>
      <c r="T3537" s="1420"/>
      <c r="V3537" s="1357">
        <v>57</v>
      </c>
    </row>
    <row r="3538" spans="1:22" s="841" customFormat="1" ht="15" x14ac:dyDescent="0.25">
      <c r="A3538" s="841" t="s">
        <v>174</v>
      </c>
      <c r="E3538" s="1691" t="s">
        <v>3184</v>
      </c>
      <c r="F3538" s="1691"/>
      <c r="G3538" s="502" t="s">
        <v>23</v>
      </c>
      <c r="H3538" s="395">
        <v>0.5</v>
      </c>
      <c r="M3538" s="1357"/>
      <c r="Q3538" s="1357"/>
      <c r="S3538" s="1420"/>
      <c r="T3538" s="1420"/>
      <c r="V3538" s="1357">
        <v>60</v>
      </c>
    </row>
    <row r="3539" spans="1:22" s="841" customFormat="1" ht="15" x14ac:dyDescent="0.25">
      <c r="A3539" s="841" t="s">
        <v>174</v>
      </c>
      <c r="E3539" s="1690" t="s">
        <v>3185</v>
      </c>
      <c r="F3539" s="1690"/>
      <c r="G3539" s="502"/>
      <c r="H3539" s="503"/>
      <c r="M3539" s="1357"/>
      <c r="Q3539" s="1357"/>
      <c r="S3539" s="1420"/>
      <c r="T3539" s="1420"/>
      <c r="V3539" s="1357">
        <v>91</v>
      </c>
    </row>
    <row r="3540" spans="1:22" s="841" customFormat="1" ht="15" x14ac:dyDescent="0.25">
      <c r="A3540" s="841" t="s">
        <v>174</v>
      </c>
      <c r="E3540" s="1690" t="s">
        <v>3186</v>
      </c>
      <c r="F3540" s="1690"/>
      <c r="G3540" s="502"/>
      <c r="H3540" s="503"/>
      <c r="M3540" s="1357"/>
      <c r="Q3540" s="1357"/>
      <c r="S3540" s="1420"/>
      <c r="T3540" s="1420"/>
      <c r="V3540" s="1357">
        <v>96</v>
      </c>
    </row>
    <row r="3541" spans="1:22" s="841" customFormat="1" ht="15" x14ac:dyDescent="0.25">
      <c r="A3541" s="841" t="s">
        <v>174</v>
      </c>
      <c r="E3541" s="1690" t="s">
        <v>3293</v>
      </c>
      <c r="F3541" s="1690"/>
      <c r="G3541" s="502"/>
      <c r="H3541" s="503"/>
      <c r="M3541" s="1357"/>
      <c r="Q3541" s="1357"/>
      <c r="S3541" s="1420"/>
      <c r="T3541" s="1420"/>
      <c r="V3541" s="1357">
        <v>77</v>
      </c>
    </row>
    <row r="3542" spans="1:22" s="841" customFormat="1" ht="15" x14ac:dyDescent="0.25">
      <c r="A3542" s="841" t="s">
        <v>174</v>
      </c>
      <c r="E3542" s="1691" t="s">
        <v>3188</v>
      </c>
      <c r="F3542" s="1691"/>
      <c r="G3542" s="502" t="s">
        <v>23</v>
      </c>
      <c r="H3542" s="503" t="s">
        <v>3189</v>
      </c>
      <c r="M3542" s="1357"/>
      <c r="Q3542" s="1357"/>
      <c r="S3542" s="1420"/>
      <c r="T3542" s="1420"/>
      <c r="V3542" s="1357">
        <v>18</v>
      </c>
    </row>
    <row r="3543" spans="1:22" s="841" customFormat="1" ht="15" x14ac:dyDescent="0.25">
      <c r="A3543" s="841" t="s">
        <v>174</v>
      </c>
      <c r="E3543" s="1691" t="s">
        <v>3190</v>
      </c>
      <c r="F3543" s="1691"/>
      <c r="G3543" s="502" t="s">
        <v>23</v>
      </c>
      <c r="H3543" s="395">
        <v>2</v>
      </c>
      <c r="M3543" s="1357"/>
      <c r="Q3543" s="1357"/>
      <c r="S3543" s="1420"/>
      <c r="T3543" s="1420"/>
      <c r="V3543" s="1357">
        <v>69</v>
      </c>
    </row>
    <row r="3544" spans="1:22" s="841" customFormat="1" ht="18.75" x14ac:dyDescent="0.25">
      <c r="A3544" s="841" t="s">
        <v>174</v>
      </c>
      <c r="E3544" s="1374" t="s">
        <v>147</v>
      </c>
      <c r="F3544" s="661"/>
      <c r="G3544" s="661"/>
      <c r="H3544" s="662"/>
      <c r="K3544" s="841" t="s">
        <v>3437</v>
      </c>
      <c r="M3544" s="1357"/>
      <c r="Q3544" s="1357"/>
      <c r="S3544" s="1420"/>
      <c r="T3544" s="1420"/>
      <c r="V3544" s="1357">
        <v>12</v>
      </c>
    </row>
    <row r="3545" spans="1:22" s="841" customFormat="1" ht="15" x14ac:dyDescent="0.25">
      <c r="A3545" s="841" t="s">
        <v>174</v>
      </c>
      <c r="E3545" s="1704" t="s">
        <v>3192</v>
      </c>
      <c r="F3545" s="1704"/>
      <c r="G3545" s="1704"/>
      <c r="H3545" s="1704"/>
      <c r="M3545" s="1357"/>
      <c r="Q3545" s="1357"/>
      <c r="S3545" s="1420"/>
      <c r="T3545" s="1420"/>
      <c r="V3545" s="1357">
        <v>203</v>
      </c>
    </row>
    <row r="3546" spans="1:22" s="841" customFormat="1" ht="15" x14ac:dyDescent="0.25">
      <c r="A3546" s="841" t="s">
        <v>174</v>
      </c>
      <c r="E3546" s="1690" t="s">
        <v>3295</v>
      </c>
      <c r="F3546" s="1690"/>
      <c r="G3546" s="1408"/>
      <c r="H3546" s="393">
        <v>1.0373000000000001</v>
      </c>
      <c r="M3546" s="1357"/>
      <c r="Q3546" s="1357"/>
      <c r="S3546" s="1420"/>
      <c r="T3546" s="1420"/>
      <c r="V3546" s="1357">
        <v>57</v>
      </c>
    </row>
    <row r="3547" spans="1:22" s="841" customFormat="1" ht="15" x14ac:dyDescent="0.25">
      <c r="A3547" s="841" t="s">
        <v>174</v>
      </c>
      <c r="E3547" s="1690" t="s">
        <v>3297</v>
      </c>
      <c r="F3547" s="1690"/>
      <c r="G3547" s="1408"/>
      <c r="H3547" s="393">
        <v>1.0269999999999999</v>
      </c>
      <c r="J3547" s="841" t="s">
        <v>3438</v>
      </c>
      <c r="M3547" s="1357"/>
      <c r="Q3547" s="1357"/>
      <c r="S3547" s="1420"/>
      <c r="T3547" s="1420"/>
      <c r="V3547" s="1357">
        <v>55</v>
      </c>
    </row>
    <row r="3548" spans="1:22" s="841" customFormat="1" ht="23.25" x14ac:dyDescent="0.25">
      <c r="A3548" s="841" t="s">
        <v>209</v>
      </c>
      <c r="C3548" s="841" t="s">
        <v>3050</v>
      </c>
      <c r="E3548" s="1911" t="s">
        <v>209</v>
      </c>
      <c r="F3548" s="1911"/>
      <c r="G3548" s="1911"/>
      <c r="H3548" s="1911"/>
      <c r="I3548" s="841" t="s">
        <v>628</v>
      </c>
      <c r="J3548" s="841" t="s">
        <v>3726</v>
      </c>
      <c r="K3548" s="841" t="s">
        <v>209</v>
      </c>
      <c r="M3548" s="1357">
        <v>10</v>
      </c>
      <c r="Q3548" s="1357"/>
      <c r="S3548" s="1420"/>
      <c r="T3548" s="1420"/>
      <c r="V3548" s="1357">
        <v>25</v>
      </c>
    </row>
    <row r="3549" spans="1:22" s="841" customFormat="1" x14ac:dyDescent="0.25">
      <c r="A3549" s="841" t="s">
        <v>209</v>
      </c>
      <c r="C3549" s="841" t="s">
        <v>3052</v>
      </c>
      <c r="E3549" s="1912" t="s">
        <v>3053</v>
      </c>
      <c r="F3549" s="1912"/>
      <c r="G3549" s="1912"/>
      <c r="H3549" s="1912"/>
      <c r="M3549" s="1357"/>
      <c r="Q3549" s="1357"/>
      <c r="S3549" s="1420"/>
      <c r="T3549" s="1420"/>
      <c r="V3549" s="1357">
        <v>27</v>
      </c>
    </row>
    <row r="3550" spans="1:22" s="841" customFormat="1" ht="15.75" x14ac:dyDescent="0.25">
      <c r="A3550" s="841" t="s">
        <v>209</v>
      </c>
      <c r="C3550" s="841" t="s">
        <v>3054</v>
      </c>
      <c r="E3550" s="1913" t="s">
        <v>5107</v>
      </c>
      <c r="F3550" s="1913"/>
      <c r="G3550" s="1913"/>
      <c r="H3550" s="1913"/>
      <c r="M3550" s="1357"/>
      <c r="Q3550" s="1357"/>
      <c r="S3550" s="1420">
        <v>43221</v>
      </c>
      <c r="T3550" s="1420"/>
      <c r="V3550" s="1357">
        <v>45</v>
      </c>
    </row>
    <row r="3551" spans="1:22" s="841" customFormat="1" ht="15" x14ac:dyDescent="0.25">
      <c r="A3551" s="841" t="s">
        <v>209</v>
      </c>
      <c r="C3551" s="841" t="s">
        <v>3055</v>
      </c>
      <c r="E3551" s="1914" t="s">
        <v>3056</v>
      </c>
      <c r="F3551" s="1914"/>
      <c r="G3551" s="1914"/>
      <c r="H3551" s="1914"/>
      <c r="M3551" s="1357"/>
      <c r="Q3551" s="1357"/>
      <c r="S3551" s="1420"/>
      <c r="T3551" s="1420"/>
      <c r="V3551" s="1357">
        <v>52</v>
      </c>
    </row>
    <row r="3552" spans="1:22" s="841" customFormat="1" ht="15" x14ac:dyDescent="0.25">
      <c r="A3552" s="841" t="s">
        <v>209</v>
      </c>
      <c r="E3552" s="1914" t="s">
        <v>3057</v>
      </c>
      <c r="F3552" s="1914"/>
      <c r="G3552" s="1914"/>
      <c r="H3552" s="1914"/>
      <c r="M3552" s="1357"/>
      <c r="Q3552" s="1357"/>
      <c r="S3552" s="1420"/>
      <c r="T3552" s="1420"/>
      <c r="V3552" s="1357">
        <v>53</v>
      </c>
    </row>
    <row r="3553" spans="1:22" s="841" customFormat="1" ht="15" x14ac:dyDescent="0.25">
      <c r="A3553" s="841" t="s">
        <v>209</v>
      </c>
      <c r="E3553" s="1925" t="s">
        <v>5422</v>
      </c>
      <c r="F3553" s="1925"/>
      <c r="G3553" s="1925"/>
      <c r="H3553" s="1925"/>
      <c r="K3553" s="841" t="s">
        <v>5422</v>
      </c>
      <c r="M3553" s="1357"/>
      <c r="Q3553" s="1357"/>
      <c r="S3553" s="1420"/>
      <c r="T3553" s="1420"/>
      <c r="V3553" s="1357">
        <v>12</v>
      </c>
    </row>
    <row r="3554" spans="1:22" s="841" customFormat="1" ht="15" x14ac:dyDescent="0.25">
      <c r="A3554" s="841" t="s">
        <v>209</v>
      </c>
      <c r="E3554" s="1909" t="s">
        <v>438</v>
      </c>
      <c r="F3554" s="1697"/>
      <c r="G3554" s="1697"/>
      <c r="H3554" s="1697"/>
      <c r="K3554" s="841" t="s">
        <v>3197</v>
      </c>
      <c r="M3554" s="1357"/>
      <c r="Q3554" s="1357"/>
      <c r="S3554" s="1420"/>
      <c r="T3554" s="1420"/>
      <c r="V3554" s="1357">
        <v>34</v>
      </c>
    </row>
    <row r="3555" spans="1:22" s="841" customFormat="1" ht="15" x14ac:dyDescent="0.25">
      <c r="A3555" s="841" t="s">
        <v>209</v>
      </c>
      <c r="E3555" s="1689" t="s">
        <v>5423</v>
      </c>
      <c r="F3555" s="1689"/>
      <c r="G3555" s="1689"/>
      <c r="H3555" s="1689"/>
      <c r="K3555" s="841" t="s">
        <v>3197</v>
      </c>
      <c r="M3555" s="1357"/>
      <c r="Q3555" s="1357"/>
      <c r="S3555" s="1420"/>
      <c r="T3555" s="1420"/>
      <c r="V3555" s="1357">
        <v>1431</v>
      </c>
    </row>
    <row r="3556" spans="1:22" s="841" customFormat="1" ht="15" x14ac:dyDescent="0.25">
      <c r="A3556" s="841" t="s">
        <v>209</v>
      </c>
      <c r="E3556" s="1916" t="s">
        <v>3061</v>
      </c>
      <c r="F3556" s="1697"/>
      <c r="G3556" s="1697"/>
      <c r="H3556" s="1697"/>
      <c r="K3556" s="841" t="s">
        <v>3062</v>
      </c>
      <c r="M3556" s="1357"/>
      <c r="Q3556" s="1357"/>
      <c r="S3556" s="1420"/>
      <c r="T3556" s="1420"/>
      <c r="V3556" s="1357">
        <v>11</v>
      </c>
    </row>
    <row r="3557" spans="1:22" s="841" customFormat="1" ht="15" x14ac:dyDescent="0.25">
      <c r="A3557" s="841" t="s">
        <v>209</v>
      </c>
      <c r="E3557" s="1689" t="s">
        <v>3063</v>
      </c>
      <c r="F3557" s="1689"/>
      <c r="G3557" s="1689"/>
      <c r="H3557" s="1689"/>
      <c r="K3557" s="841" t="s">
        <v>3197</v>
      </c>
      <c r="M3557" s="1357"/>
      <c r="Q3557" s="1357"/>
      <c r="S3557" s="1420"/>
      <c r="T3557" s="1420"/>
      <c r="V3557" s="1357">
        <v>280</v>
      </c>
    </row>
    <row r="3558" spans="1:22" s="841" customFormat="1" ht="15" x14ac:dyDescent="0.25">
      <c r="A3558" s="841" t="s">
        <v>209</v>
      </c>
      <c r="E3558" s="1689" t="s">
        <v>3064</v>
      </c>
      <c r="F3558" s="1689"/>
      <c r="G3558" s="1689"/>
      <c r="H3558" s="1689"/>
      <c r="K3558" s="841" t="s">
        <v>3197</v>
      </c>
      <c r="M3558" s="1357"/>
      <c r="Q3558" s="1357"/>
      <c r="S3558" s="1420"/>
      <c r="T3558" s="1420"/>
      <c r="V3558" s="1357">
        <v>411</v>
      </c>
    </row>
    <row r="3559" spans="1:22" s="841" customFormat="1" ht="15" x14ac:dyDescent="0.25">
      <c r="A3559" s="841" t="s">
        <v>209</v>
      </c>
      <c r="E3559" s="1689" t="s">
        <v>3065</v>
      </c>
      <c r="F3559" s="1689"/>
      <c r="G3559" s="1689"/>
      <c r="H3559" s="1689"/>
      <c r="K3559" s="841" t="s">
        <v>3197</v>
      </c>
      <c r="M3559" s="1357"/>
      <c r="Q3559" s="1357"/>
      <c r="S3559" s="1420"/>
      <c r="T3559" s="1420"/>
      <c r="V3559" s="1357">
        <v>387</v>
      </c>
    </row>
    <row r="3560" spans="1:22" s="841" customFormat="1" ht="15" x14ac:dyDescent="0.25">
      <c r="A3560" s="841" t="s">
        <v>209</v>
      </c>
      <c r="E3560" s="1689" t="s">
        <v>3200</v>
      </c>
      <c r="F3560" s="1689"/>
      <c r="G3560" s="1689"/>
      <c r="H3560" s="1689"/>
      <c r="K3560" s="841" t="s">
        <v>3197</v>
      </c>
      <c r="M3560" s="1357"/>
      <c r="Q3560" s="1357"/>
      <c r="S3560" s="1420"/>
      <c r="T3560" s="1420"/>
      <c r="V3560" s="1357">
        <v>275</v>
      </c>
    </row>
    <row r="3561" spans="1:22" s="841" customFormat="1" ht="15" x14ac:dyDescent="0.25">
      <c r="A3561" s="841" t="s">
        <v>209</v>
      </c>
      <c r="E3561" s="1694" t="s">
        <v>3067</v>
      </c>
      <c r="F3561" s="1907"/>
      <c r="G3561" s="1907"/>
      <c r="H3561" s="1907"/>
      <c r="K3561" s="841" t="s">
        <v>3068</v>
      </c>
      <c r="M3561" s="1357"/>
      <c r="Q3561" s="1357"/>
      <c r="S3561" s="1420"/>
      <c r="T3561" s="1420"/>
      <c r="V3561" s="1357">
        <v>46</v>
      </c>
    </row>
    <row r="3562" spans="1:22" s="841" customFormat="1" ht="15" x14ac:dyDescent="0.25">
      <c r="A3562" s="841" t="s">
        <v>209</v>
      </c>
      <c r="E3562" s="1690" t="s">
        <v>11</v>
      </c>
      <c r="F3562" s="1690"/>
      <c r="G3562" s="1408" t="s">
        <v>23</v>
      </c>
      <c r="H3562" s="391">
        <v>23.1</v>
      </c>
      <c r="K3562" s="841" t="s">
        <v>3197</v>
      </c>
      <c r="L3562" s="841" t="s">
        <v>442</v>
      </c>
      <c r="M3562" s="1357"/>
      <c r="P3562" s="841" t="s">
        <v>3201</v>
      </c>
      <c r="Q3562" s="1357"/>
      <c r="S3562" s="1420"/>
      <c r="T3562" s="1420"/>
      <c r="V3562" s="1357">
        <v>14</v>
      </c>
    </row>
    <row r="3563" spans="1:22" s="841" customFormat="1" ht="15" x14ac:dyDescent="0.25">
      <c r="A3563" s="841" t="s">
        <v>209</v>
      </c>
      <c r="E3563" s="1690" t="s">
        <v>5109</v>
      </c>
      <c r="F3563" s="1690"/>
      <c r="G3563" s="1408" t="s">
        <v>23</v>
      </c>
      <c r="H3563" s="391">
        <v>0.56999999999999995</v>
      </c>
      <c r="K3563" s="841" t="s">
        <v>3197</v>
      </c>
      <c r="L3563" s="841" t="s">
        <v>443</v>
      </c>
      <c r="M3563" s="1357"/>
      <c r="P3563" s="841" t="s">
        <v>3202</v>
      </c>
      <c r="Q3563" s="1357"/>
      <c r="S3563" s="1420"/>
      <c r="T3563" s="1420">
        <v>44926</v>
      </c>
      <c r="V3563" s="1357">
        <v>64</v>
      </c>
    </row>
    <row r="3564" spans="1:22" s="841" customFormat="1" ht="15" x14ac:dyDescent="0.25">
      <c r="A3564" s="841" t="s">
        <v>209</v>
      </c>
      <c r="E3564" s="1690" t="s">
        <v>84</v>
      </c>
      <c r="F3564" s="1690"/>
      <c r="G3564" s="1408" t="s">
        <v>24</v>
      </c>
      <c r="H3564" s="393">
        <v>4.1999999999999997E-3</v>
      </c>
      <c r="K3564" s="841" t="s">
        <v>3197</v>
      </c>
      <c r="L3564" s="841" t="s">
        <v>442</v>
      </c>
      <c r="M3564" s="1357"/>
      <c r="P3564" s="841" t="s">
        <v>3203</v>
      </c>
      <c r="Q3564" s="1357"/>
      <c r="S3564" s="1420"/>
      <c r="T3564" s="1420"/>
      <c r="V3564" s="1357">
        <v>28</v>
      </c>
    </row>
    <row r="3565" spans="1:22" s="841" customFormat="1" ht="15" x14ac:dyDescent="0.25">
      <c r="A3565" s="841" t="s">
        <v>209</v>
      </c>
      <c r="E3565" s="1690" t="s">
        <v>18</v>
      </c>
      <c r="F3565" s="1690"/>
      <c r="G3565" s="1408" t="s">
        <v>24</v>
      </c>
      <c r="H3565" s="393">
        <v>1E-3</v>
      </c>
      <c r="K3565" s="841" t="s">
        <v>3197</v>
      </c>
      <c r="L3565" s="841" t="s">
        <v>443</v>
      </c>
      <c r="M3565" s="1357"/>
      <c r="P3565" s="841" t="s">
        <v>3204</v>
      </c>
      <c r="Q3565" s="1357"/>
      <c r="S3565" s="1420"/>
      <c r="T3565" s="1420"/>
      <c r="V3565" s="1357">
        <v>24</v>
      </c>
    </row>
    <row r="3566" spans="1:22" s="841" customFormat="1" ht="15" x14ac:dyDescent="0.25">
      <c r="A3566" s="841" t="s">
        <v>209</v>
      </c>
      <c r="E3566" s="1690" t="s">
        <v>5129</v>
      </c>
      <c r="F3566" s="1908"/>
      <c r="G3566" s="1408" t="s">
        <v>24</v>
      </c>
      <c r="H3566" s="393">
        <v>-2.8E-3</v>
      </c>
      <c r="K3566" s="841" t="s">
        <v>3197</v>
      </c>
      <c r="L3566" s="841" t="s">
        <v>443</v>
      </c>
      <c r="M3566" s="1357"/>
      <c r="P3566" s="841" t="s">
        <v>3205</v>
      </c>
      <c r="Q3566" s="1357"/>
      <c r="S3566" s="1420"/>
      <c r="T3566" s="1420">
        <v>43585</v>
      </c>
      <c r="V3566" s="1357">
        <v>139</v>
      </c>
    </row>
    <row r="3567" spans="1:22" s="841" customFormat="1" ht="15" x14ac:dyDescent="0.25">
      <c r="A3567" s="841" t="s">
        <v>209</v>
      </c>
      <c r="E3567" s="1690" t="s">
        <v>5130</v>
      </c>
      <c r="F3567" s="1908"/>
      <c r="G3567" s="1408" t="s">
        <v>24</v>
      </c>
      <c r="H3567" s="393">
        <v>-1.8E-3</v>
      </c>
      <c r="K3567" s="841" t="s">
        <v>3197</v>
      </c>
      <c r="L3567" s="841" t="s">
        <v>443</v>
      </c>
      <c r="M3567" s="1357"/>
      <c r="P3567" s="841" t="s">
        <v>3207</v>
      </c>
      <c r="Q3567" s="1357"/>
      <c r="S3567" s="1420"/>
      <c r="T3567" s="1420">
        <v>43585</v>
      </c>
      <c r="V3567" s="1357">
        <v>96</v>
      </c>
    </row>
    <row r="3568" spans="1:22" s="841" customFormat="1" ht="15" x14ac:dyDescent="0.25">
      <c r="A3568" s="841" t="s">
        <v>209</v>
      </c>
      <c r="E3568" s="1690" t="s">
        <v>5424</v>
      </c>
      <c r="F3568" s="1908"/>
      <c r="G3568" s="1408" t="s">
        <v>24</v>
      </c>
      <c r="H3568" s="393">
        <v>-1E-4</v>
      </c>
      <c r="K3568" s="841" t="s">
        <v>3197</v>
      </c>
      <c r="L3568" s="841" t="s">
        <v>443</v>
      </c>
      <c r="M3568" s="1357"/>
      <c r="P3568" s="841" t="s">
        <v>5103</v>
      </c>
      <c r="Q3568" s="1357"/>
      <c r="S3568" s="1420"/>
      <c r="T3568" s="1420">
        <v>43585</v>
      </c>
      <c r="V3568" s="1357">
        <v>146</v>
      </c>
    </row>
    <row r="3569" spans="1:22" s="841" customFormat="1" ht="15" x14ac:dyDescent="0.25">
      <c r="A3569" s="841" t="s">
        <v>209</v>
      </c>
      <c r="E3569" s="1690" t="s">
        <v>221</v>
      </c>
      <c r="F3569" s="1690"/>
      <c r="G3569" s="1408" t="s">
        <v>24</v>
      </c>
      <c r="H3569" s="393">
        <v>6.4999999999999997E-3</v>
      </c>
      <c r="K3569" s="841" t="s">
        <v>3197</v>
      </c>
      <c r="L3569" s="841" t="s">
        <v>444</v>
      </c>
      <c r="M3569" s="1357"/>
      <c r="P3569" s="841" t="s">
        <v>3208</v>
      </c>
      <c r="Q3569" s="1357"/>
      <c r="S3569" s="1420"/>
      <c r="T3569" s="1420"/>
      <c r="V3569" s="1357">
        <v>47</v>
      </c>
    </row>
    <row r="3570" spans="1:22" s="841" customFormat="1" ht="15" x14ac:dyDescent="0.25">
      <c r="A3570" s="841" t="s">
        <v>209</v>
      </c>
      <c r="E3570" s="1690" t="s">
        <v>217</v>
      </c>
      <c r="F3570" s="1690"/>
      <c r="G3570" s="1408" t="s">
        <v>24</v>
      </c>
      <c r="H3570" s="393">
        <v>4.8999999999999998E-3</v>
      </c>
      <c r="K3570" s="841" t="s">
        <v>3197</v>
      </c>
      <c r="L3570" s="841" t="s">
        <v>444</v>
      </c>
      <c r="M3570" s="1357"/>
      <c r="P3570" s="841" t="s">
        <v>3209</v>
      </c>
      <c r="Q3570" s="1357"/>
      <c r="S3570" s="1420"/>
      <c r="T3570" s="1420"/>
      <c r="V3570" s="1357">
        <v>74</v>
      </c>
    </row>
    <row r="3571" spans="1:22" s="841" customFormat="1" ht="15" x14ac:dyDescent="0.25">
      <c r="A3571" s="841" t="s">
        <v>209</v>
      </c>
      <c r="E3571" s="1694" t="s">
        <v>3079</v>
      </c>
      <c r="F3571" s="1690"/>
      <c r="G3571" s="1408"/>
      <c r="H3571" s="1408"/>
      <c r="K3571" s="841" t="s">
        <v>3080</v>
      </c>
      <c r="M3571" s="1357"/>
      <c r="Q3571" s="1357"/>
      <c r="S3571" s="1420"/>
      <c r="T3571" s="1420"/>
      <c r="V3571" s="1357">
        <v>48</v>
      </c>
    </row>
    <row r="3572" spans="1:22" s="841" customFormat="1" ht="15" x14ac:dyDescent="0.25">
      <c r="A3572" s="841" t="s">
        <v>209</v>
      </c>
      <c r="E3572" s="1690" t="s">
        <v>2449</v>
      </c>
      <c r="F3572" s="1690"/>
      <c r="G3572" s="1408" t="s">
        <v>24</v>
      </c>
      <c r="H3572" s="393">
        <v>3.2000000000000002E-3</v>
      </c>
      <c r="K3572" s="841" t="s">
        <v>3197</v>
      </c>
      <c r="L3572" s="841" t="s">
        <v>3046</v>
      </c>
      <c r="M3572" s="1357"/>
      <c r="P3572" s="841" t="s">
        <v>3210</v>
      </c>
      <c r="Q3572" s="1357"/>
      <c r="S3572" s="1420"/>
      <c r="T3572" s="1420"/>
      <c r="V3572" s="1357">
        <v>55</v>
      </c>
    </row>
    <row r="3573" spans="1:22" s="841" customFormat="1" ht="15" x14ac:dyDescent="0.25">
      <c r="A3573" s="841" t="s">
        <v>209</v>
      </c>
      <c r="E3573" s="1690" t="s">
        <v>2450</v>
      </c>
      <c r="F3573" s="1690"/>
      <c r="G3573" s="1408" t="s">
        <v>24</v>
      </c>
      <c r="H3573" s="393">
        <v>4.0000000000000002E-4</v>
      </c>
      <c r="K3573" s="841" t="s">
        <v>3197</v>
      </c>
      <c r="L3573" s="841" t="s">
        <v>3046</v>
      </c>
      <c r="M3573" s="1357"/>
      <c r="P3573" s="841" t="s">
        <v>3210</v>
      </c>
      <c r="Q3573" s="1357"/>
      <c r="S3573" s="1420"/>
      <c r="T3573" s="1420"/>
      <c r="V3573" s="1357">
        <v>65</v>
      </c>
    </row>
    <row r="3574" spans="1:22" s="841" customFormat="1" ht="15" x14ac:dyDescent="0.25">
      <c r="A3574" s="841" t="s">
        <v>209</v>
      </c>
      <c r="E3574" s="1690" t="s">
        <v>439</v>
      </c>
      <c r="F3574" s="1690"/>
      <c r="G3574" s="1408" t="s">
        <v>24</v>
      </c>
      <c r="H3574" s="393">
        <v>2.9999999999999997E-4</v>
      </c>
      <c r="K3574" s="841" t="s">
        <v>3197</v>
      </c>
      <c r="L3574" s="841" t="s">
        <v>3046</v>
      </c>
      <c r="M3574" s="1357"/>
      <c r="P3574" s="841" t="s">
        <v>3212</v>
      </c>
      <c r="Q3574" s="1357"/>
      <c r="S3574" s="1420"/>
      <c r="T3574" s="1420"/>
      <c r="V3574" s="1357">
        <v>57</v>
      </c>
    </row>
    <row r="3575" spans="1:22" s="841" customFormat="1" ht="15" x14ac:dyDescent="0.25">
      <c r="A3575" s="841" t="s">
        <v>209</v>
      </c>
      <c r="E3575" s="1690" t="s">
        <v>32</v>
      </c>
      <c r="F3575" s="1690"/>
      <c r="G3575" s="1408" t="s">
        <v>23</v>
      </c>
      <c r="H3575" s="391">
        <v>0.25</v>
      </c>
      <c r="K3575" s="841" t="s">
        <v>3197</v>
      </c>
      <c r="L3575" s="841" t="s">
        <v>3046</v>
      </c>
      <c r="M3575" s="1357"/>
      <c r="P3575" s="841" t="s">
        <v>3213</v>
      </c>
      <c r="Q3575" s="1357"/>
      <c r="S3575" s="1420"/>
      <c r="T3575" s="1420"/>
      <c r="V3575" s="1357">
        <v>63</v>
      </c>
    </row>
    <row r="3576" spans="1:22" s="841" customFormat="1" x14ac:dyDescent="0.25">
      <c r="A3576" s="841" t="s">
        <v>209</v>
      </c>
      <c r="E3576" s="1909" t="s">
        <v>645</v>
      </c>
      <c r="F3576" s="1923"/>
      <c r="G3576" s="1923"/>
      <c r="H3576" s="1923"/>
      <c r="K3576" s="841" t="s">
        <v>3727</v>
      </c>
      <c r="M3576" s="1357"/>
      <c r="Q3576" s="1357"/>
      <c r="S3576" s="1420"/>
      <c r="T3576" s="1420"/>
      <c r="V3576" s="1357">
        <v>43</v>
      </c>
    </row>
    <row r="3577" spans="1:22" s="841" customFormat="1" ht="15" x14ac:dyDescent="0.25">
      <c r="A3577" s="841" t="s">
        <v>209</v>
      </c>
      <c r="E3577" s="1689" t="s">
        <v>3728</v>
      </c>
      <c r="F3577" s="1689"/>
      <c r="G3577" s="1689"/>
      <c r="H3577" s="1689"/>
      <c r="K3577" s="841" t="s">
        <v>3727</v>
      </c>
      <c r="M3577" s="1357"/>
      <c r="Q3577" s="1357"/>
      <c r="S3577" s="1420"/>
      <c r="T3577" s="1420"/>
      <c r="V3577" s="1357">
        <v>329</v>
      </c>
    </row>
    <row r="3578" spans="1:22" s="841" customFormat="1" ht="15" x14ac:dyDescent="0.25">
      <c r="A3578" s="841" t="s">
        <v>209</v>
      </c>
      <c r="E3578" s="1916" t="s">
        <v>3061</v>
      </c>
      <c r="F3578" s="1689"/>
      <c r="G3578" s="1689"/>
      <c r="H3578" s="1689"/>
      <c r="K3578" s="841" t="s">
        <v>3086</v>
      </c>
      <c r="M3578" s="1357"/>
      <c r="Q3578" s="1357"/>
      <c r="S3578" s="1420"/>
      <c r="T3578" s="1420"/>
      <c r="V3578" s="1357">
        <v>11</v>
      </c>
    </row>
    <row r="3579" spans="1:22" s="841" customFormat="1" ht="15" x14ac:dyDescent="0.25">
      <c r="A3579" s="841" t="s">
        <v>209</v>
      </c>
      <c r="E3579" s="1689" t="s">
        <v>3063</v>
      </c>
      <c r="F3579" s="1689"/>
      <c r="G3579" s="1689"/>
      <c r="H3579" s="1689"/>
      <c r="K3579" s="841" t="s">
        <v>3727</v>
      </c>
      <c r="M3579" s="1357"/>
      <c r="Q3579" s="1357"/>
      <c r="S3579" s="1420"/>
      <c r="T3579" s="1420"/>
      <c r="V3579" s="1357">
        <v>280</v>
      </c>
    </row>
    <row r="3580" spans="1:22" s="841" customFormat="1" ht="15" x14ac:dyDescent="0.25">
      <c r="A3580" s="841" t="s">
        <v>209</v>
      </c>
      <c r="E3580" s="1689" t="s">
        <v>3064</v>
      </c>
      <c r="F3580" s="1689"/>
      <c r="G3580" s="1689"/>
      <c r="H3580" s="1689"/>
      <c r="K3580" s="841" t="s">
        <v>3727</v>
      </c>
      <c r="M3580" s="1357"/>
      <c r="Q3580" s="1357"/>
      <c r="S3580" s="1420"/>
      <c r="T3580" s="1420"/>
      <c r="V3580" s="1357">
        <v>411</v>
      </c>
    </row>
    <row r="3581" spans="1:22" s="841" customFormat="1" ht="15" x14ac:dyDescent="0.25">
      <c r="A3581" s="841" t="s">
        <v>209</v>
      </c>
      <c r="E3581" s="1689" t="s">
        <v>3199</v>
      </c>
      <c r="F3581" s="1689"/>
      <c r="G3581" s="1689"/>
      <c r="H3581" s="1689"/>
      <c r="K3581" s="841" t="s">
        <v>3727</v>
      </c>
      <c r="M3581" s="1357"/>
      <c r="Q3581" s="1357"/>
      <c r="S3581" s="1420"/>
      <c r="T3581" s="1420"/>
      <c r="V3581" s="1357">
        <v>386</v>
      </c>
    </row>
    <row r="3582" spans="1:22" s="841" customFormat="1" ht="15" x14ac:dyDescent="0.25">
      <c r="A3582" s="841" t="s">
        <v>209</v>
      </c>
      <c r="E3582" s="1689" t="s">
        <v>3200</v>
      </c>
      <c r="F3582" s="1689"/>
      <c r="G3582" s="1689"/>
      <c r="H3582" s="1689"/>
      <c r="K3582" s="841" t="s">
        <v>3727</v>
      </c>
      <c r="M3582" s="1357"/>
      <c r="Q3582" s="1357"/>
      <c r="S3582" s="1420"/>
      <c r="T3582" s="1420"/>
      <c r="V3582" s="1357">
        <v>275</v>
      </c>
    </row>
    <row r="3583" spans="1:22" s="841" customFormat="1" ht="15" x14ac:dyDescent="0.25">
      <c r="A3583" s="841" t="s">
        <v>209</v>
      </c>
      <c r="E3583" s="1694" t="s">
        <v>3067</v>
      </c>
      <c r="F3583" s="1907"/>
      <c r="G3583" s="1907"/>
      <c r="H3583" s="1907"/>
      <c r="K3583" s="841" t="s">
        <v>3087</v>
      </c>
      <c r="M3583" s="1357"/>
      <c r="Q3583" s="1357"/>
      <c r="S3583" s="1420"/>
      <c r="T3583" s="1420"/>
      <c r="V3583" s="1357">
        <v>46</v>
      </c>
    </row>
    <row r="3584" spans="1:22" s="841" customFormat="1" ht="15" x14ac:dyDescent="0.25">
      <c r="A3584" s="841" t="s">
        <v>209</v>
      </c>
      <c r="E3584" s="1690" t="s">
        <v>11</v>
      </c>
      <c r="F3584" s="1690"/>
      <c r="G3584" s="1408" t="s">
        <v>23</v>
      </c>
      <c r="H3584" s="391">
        <v>41.17</v>
      </c>
      <c r="K3584" s="841" t="s">
        <v>3727</v>
      </c>
      <c r="L3584" s="841" t="s">
        <v>442</v>
      </c>
      <c r="M3584" s="1357"/>
      <c r="P3584" s="841" t="s">
        <v>3729</v>
      </c>
      <c r="Q3584" s="1357"/>
      <c r="S3584" s="1420"/>
      <c r="T3584" s="1420"/>
      <c r="V3584" s="1357">
        <v>14</v>
      </c>
    </row>
    <row r="3585" spans="1:22" s="841" customFormat="1" ht="15" x14ac:dyDescent="0.25">
      <c r="A3585" s="841" t="s">
        <v>209</v>
      </c>
      <c r="E3585" s="1690" t="s">
        <v>5109</v>
      </c>
      <c r="F3585" s="1690"/>
      <c r="G3585" s="1408" t="s">
        <v>23</v>
      </c>
      <c r="H3585" s="391">
        <v>0.56999999999999995</v>
      </c>
      <c r="K3585" s="841" t="s">
        <v>3727</v>
      </c>
      <c r="L3585" s="841" t="s">
        <v>443</v>
      </c>
      <c r="M3585" s="1357"/>
      <c r="P3585" s="841" t="s">
        <v>3730</v>
      </c>
      <c r="Q3585" s="1357"/>
      <c r="S3585" s="1420"/>
      <c r="T3585" s="1420">
        <v>44926</v>
      </c>
      <c r="V3585" s="1357">
        <v>64</v>
      </c>
    </row>
    <row r="3586" spans="1:22" s="841" customFormat="1" ht="15" x14ac:dyDescent="0.25">
      <c r="A3586" s="841" t="s">
        <v>209</v>
      </c>
      <c r="E3586" s="1690" t="s">
        <v>84</v>
      </c>
      <c r="F3586" s="1690"/>
      <c r="G3586" s="1408" t="s">
        <v>24</v>
      </c>
      <c r="H3586" s="393">
        <v>1.44E-2</v>
      </c>
      <c r="K3586" s="841" t="s">
        <v>3727</v>
      </c>
      <c r="L3586" s="841" t="s">
        <v>442</v>
      </c>
      <c r="M3586" s="1357"/>
      <c r="P3586" s="841" t="s">
        <v>3731</v>
      </c>
      <c r="Q3586" s="1357"/>
      <c r="S3586" s="1420"/>
      <c r="T3586" s="1420"/>
      <c r="V3586" s="1357">
        <v>28</v>
      </c>
    </row>
    <row r="3587" spans="1:22" s="841" customFormat="1" ht="15" x14ac:dyDescent="0.25">
      <c r="A3587" s="841" t="s">
        <v>209</v>
      </c>
      <c r="E3587" s="1690" t="s">
        <v>18</v>
      </c>
      <c r="F3587" s="1690"/>
      <c r="G3587" s="1408" t="s">
        <v>24</v>
      </c>
      <c r="H3587" s="393">
        <v>1.2999999999999999E-3</v>
      </c>
      <c r="K3587" s="841" t="s">
        <v>3727</v>
      </c>
      <c r="L3587" s="841" t="s">
        <v>443</v>
      </c>
      <c r="M3587" s="1357"/>
      <c r="P3587" s="841" t="s">
        <v>3732</v>
      </c>
      <c r="Q3587" s="1357"/>
      <c r="S3587" s="1420"/>
      <c r="T3587" s="1420"/>
      <c r="V3587" s="1357">
        <v>24</v>
      </c>
    </row>
    <row r="3588" spans="1:22" s="841" customFormat="1" ht="15" x14ac:dyDescent="0.25">
      <c r="A3588" s="841" t="s">
        <v>209</v>
      </c>
      <c r="E3588" s="1690" t="s">
        <v>5129</v>
      </c>
      <c r="F3588" s="1908"/>
      <c r="G3588" s="1408" t="s">
        <v>24</v>
      </c>
      <c r="H3588" s="393">
        <v>-2.8E-3</v>
      </c>
      <c r="K3588" s="841" t="s">
        <v>3727</v>
      </c>
      <c r="L3588" s="841" t="s">
        <v>443</v>
      </c>
      <c r="M3588" s="1357"/>
      <c r="P3588" s="841" t="s">
        <v>3733</v>
      </c>
      <c r="Q3588" s="1357"/>
      <c r="S3588" s="1420"/>
      <c r="T3588" s="1420">
        <v>43585</v>
      </c>
      <c r="V3588" s="1357">
        <v>139</v>
      </c>
    </row>
    <row r="3589" spans="1:22" s="841" customFormat="1" ht="15" x14ac:dyDescent="0.25">
      <c r="A3589" s="841" t="s">
        <v>209</v>
      </c>
      <c r="E3589" s="1690" t="s">
        <v>5130</v>
      </c>
      <c r="F3589" s="1908"/>
      <c r="G3589" s="1408" t="s">
        <v>24</v>
      </c>
      <c r="H3589" s="393">
        <v>-1.8E-3</v>
      </c>
      <c r="K3589" s="841" t="s">
        <v>3727</v>
      </c>
      <c r="L3589" s="841" t="s">
        <v>443</v>
      </c>
      <c r="M3589" s="1357"/>
      <c r="P3589" s="841" t="s">
        <v>3734</v>
      </c>
      <c r="Q3589" s="1357"/>
      <c r="S3589" s="1420"/>
      <c r="T3589" s="1420">
        <v>43585</v>
      </c>
      <c r="V3589" s="1357">
        <v>96</v>
      </c>
    </row>
    <row r="3590" spans="1:22" s="841" customFormat="1" ht="15" x14ac:dyDescent="0.25">
      <c r="A3590" s="841" t="s">
        <v>209</v>
      </c>
      <c r="E3590" s="1690" t="s">
        <v>5424</v>
      </c>
      <c r="F3590" s="1908"/>
      <c r="G3590" s="1408" t="s">
        <v>24</v>
      </c>
      <c r="H3590" s="393">
        <v>-1E-4</v>
      </c>
      <c r="K3590" s="841" t="s">
        <v>3727</v>
      </c>
      <c r="L3590" s="841" t="s">
        <v>443</v>
      </c>
      <c r="M3590" s="1357"/>
      <c r="P3590" s="841" t="s">
        <v>5425</v>
      </c>
      <c r="Q3590" s="1357"/>
      <c r="S3590" s="1420"/>
      <c r="T3590" s="1420">
        <v>43585</v>
      </c>
      <c r="V3590" s="1357">
        <v>146</v>
      </c>
    </row>
    <row r="3591" spans="1:22" s="841" customFormat="1" ht="15" x14ac:dyDescent="0.25">
      <c r="A3591" s="841" t="s">
        <v>209</v>
      </c>
      <c r="E3591" s="1690" t="s">
        <v>221</v>
      </c>
      <c r="F3591" s="1690"/>
      <c r="G3591" s="1408" t="s">
        <v>24</v>
      </c>
      <c r="H3591" s="393">
        <v>6.7000000000000002E-3</v>
      </c>
      <c r="K3591" s="841" t="s">
        <v>3727</v>
      </c>
      <c r="L3591" s="841" t="s">
        <v>444</v>
      </c>
      <c r="M3591" s="1357"/>
      <c r="P3591" s="841" t="s">
        <v>3735</v>
      </c>
      <c r="Q3591" s="1357"/>
      <c r="S3591" s="1420"/>
      <c r="T3591" s="1420"/>
      <c r="V3591" s="1357">
        <v>47</v>
      </c>
    </row>
    <row r="3592" spans="1:22" s="841" customFormat="1" ht="15" x14ac:dyDescent="0.25">
      <c r="A3592" s="841" t="s">
        <v>209</v>
      </c>
      <c r="E3592" s="1690" t="s">
        <v>217</v>
      </c>
      <c r="F3592" s="1690"/>
      <c r="G3592" s="1408" t="s">
        <v>24</v>
      </c>
      <c r="H3592" s="393">
        <v>6.3E-3</v>
      </c>
      <c r="K3592" s="841" t="s">
        <v>3727</v>
      </c>
      <c r="L3592" s="841" t="s">
        <v>444</v>
      </c>
      <c r="M3592" s="1357"/>
      <c r="P3592" s="841" t="s">
        <v>3736</v>
      </c>
      <c r="Q3592" s="1357"/>
      <c r="S3592" s="1420"/>
      <c r="T3592" s="1420"/>
      <c r="V3592" s="1357">
        <v>74</v>
      </c>
    </row>
    <row r="3593" spans="1:22" s="841" customFormat="1" ht="15" x14ac:dyDescent="0.25">
      <c r="A3593" s="841" t="s">
        <v>209</v>
      </c>
      <c r="E3593" s="1694" t="s">
        <v>3079</v>
      </c>
      <c r="F3593" s="1690"/>
      <c r="G3593" s="1408"/>
      <c r="H3593" s="1408"/>
      <c r="K3593" s="841" t="s">
        <v>3093</v>
      </c>
      <c r="M3593" s="1357"/>
      <c r="Q3593" s="1357"/>
      <c r="S3593" s="1420"/>
      <c r="T3593" s="1420"/>
      <c r="V3593" s="1357">
        <v>48</v>
      </c>
    </row>
    <row r="3594" spans="1:22" s="841" customFormat="1" ht="15" x14ac:dyDescent="0.25">
      <c r="A3594" s="841" t="s">
        <v>209</v>
      </c>
      <c r="E3594" s="1690" t="s">
        <v>2449</v>
      </c>
      <c r="F3594" s="1690"/>
      <c r="G3594" s="1408" t="s">
        <v>24</v>
      </c>
      <c r="H3594" s="393">
        <v>3.2000000000000002E-3</v>
      </c>
      <c r="K3594" s="841" t="s">
        <v>3727</v>
      </c>
      <c r="L3594" s="841" t="s">
        <v>3046</v>
      </c>
      <c r="M3594" s="1357"/>
      <c r="P3594" s="841" t="s">
        <v>3737</v>
      </c>
      <c r="Q3594" s="1357"/>
      <c r="S3594" s="1420"/>
      <c r="T3594" s="1420"/>
      <c r="V3594" s="1357">
        <v>55</v>
      </c>
    </row>
    <row r="3595" spans="1:22" s="841" customFormat="1" ht="15" x14ac:dyDescent="0.25">
      <c r="A3595" s="841" t="s">
        <v>209</v>
      </c>
      <c r="E3595" s="1690" t="s">
        <v>2450</v>
      </c>
      <c r="F3595" s="1690"/>
      <c r="G3595" s="1408" t="s">
        <v>24</v>
      </c>
      <c r="H3595" s="393">
        <v>4.0000000000000002E-4</v>
      </c>
      <c r="K3595" s="841" t="s">
        <v>3727</v>
      </c>
      <c r="L3595" s="841" t="s">
        <v>3046</v>
      </c>
      <c r="M3595" s="1357"/>
      <c r="P3595" s="841" t="s">
        <v>3737</v>
      </c>
      <c r="Q3595" s="1357"/>
      <c r="S3595" s="1420"/>
      <c r="T3595" s="1420"/>
      <c r="V3595" s="1357">
        <v>65</v>
      </c>
    </row>
    <row r="3596" spans="1:22" s="841" customFormat="1" ht="15" x14ac:dyDescent="0.25">
      <c r="A3596" s="841" t="s">
        <v>209</v>
      </c>
      <c r="E3596" s="1690" t="s">
        <v>439</v>
      </c>
      <c r="F3596" s="1690"/>
      <c r="G3596" s="1408" t="s">
        <v>24</v>
      </c>
      <c r="H3596" s="393">
        <v>2.9999999999999997E-4</v>
      </c>
      <c r="K3596" s="841" t="s">
        <v>3727</v>
      </c>
      <c r="L3596" s="841" t="s">
        <v>3046</v>
      </c>
      <c r="M3596" s="1357"/>
      <c r="P3596" s="841" t="s">
        <v>3738</v>
      </c>
      <c r="Q3596" s="1357"/>
      <c r="S3596" s="1420"/>
      <c r="T3596" s="1420"/>
      <c r="V3596" s="1357">
        <v>57</v>
      </c>
    </row>
    <row r="3597" spans="1:22" s="841" customFormat="1" ht="15" x14ac:dyDescent="0.25">
      <c r="A3597" s="841" t="s">
        <v>209</v>
      </c>
      <c r="E3597" s="1690" t="s">
        <v>32</v>
      </c>
      <c r="F3597" s="1690"/>
      <c r="G3597" s="1408" t="s">
        <v>23</v>
      </c>
      <c r="H3597" s="391">
        <v>0.25</v>
      </c>
      <c r="K3597" s="841" t="s">
        <v>3727</v>
      </c>
      <c r="L3597" s="841" t="s">
        <v>3046</v>
      </c>
      <c r="M3597" s="1357"/>
      <c r="P3597" s="841" t="s">
        <v>3739</v>
      </c>
      <c r="Q3597" s="1357"/>
      <c r="S3597" s="1420"/>
      <c r="T3597" s="1420"/>
      <c r="V3597" s="1357">
        <v>63</v>
      </c>
    </row>
    <row r="3598" spans="1:22" s="841" customFormat="1" x14ac:dyDescent="0.25">
      <c r="A3598" s="841" t="s">
        <v>209</v>
      </c>
      <c r="E3598" s="1909" t="s">
        <v>3214</v>
      </c>
      <c r="F3598" s="1915"/>
      <c r="G3598" s="1915"/>
      <c r="H3598" s="1915"/>
      <c r="K3598" s="841" t="s">
        <v>5426</v>
      </c>
      <c r="M3598" s="1357"/>
      <c r="Q3598" s="1357"/>
      <c r="S3598" s="1420"/>
      <c r="T3598" s="1420"/>
      <c r="V3598" s="1357">
        <v>54</v>
      </c>
    </row>
    <row r="3599" spans="1:22" s="841" customFormat="1" ht="15" x14ac:dyDescent="0.25">
      <c r="A3599" s="841" t="s">
        <v>209</v>
      </c>
      <c r="E3599" s="1689" t="s">
        <v>3740</v>
      </c>
      <c r="F3599" s="1689"/>
      <c r="G3599" s="1689"/>
      <c r="H3599" s="1689"/>
      <c r="K3599" s="841" t="s">
        <v>5426</v>
      </c>
      <c r="M3599" s="1357"/>
      <c r="Q3599" s="1357"/>
      <c r="S3599" s="1420"/>
      <c r="T3599" s="1420"/>
      <c r="V3599" s="1357">
        <v>293</v>
      </c>
    </row>
    <row r="3600" spans="1:22" s="841" customFormat="1" ht="15" x14ac:dyDescent="0.25">
      <c r="A3600" s="841" t="s">
        <v>209</v>
      </c>
      <c r="E3600" s="1916" t="s">
        <v>3061</v>
      </c>
      <c r="F3600" s="1697"/>
      <c r="G3600" s="1697"/>
      <c r="H3600" s="1697"/>
      <c r="K3600" s="841" t="s">
        <v>3098</v>
      </c>
      <c r="M3600" s="1357"/>
      <c r="Q3600" s="1357"/>
      <c r="S3600" s="1420"/>
      <c r="T3600" s="1420"/>
      <c r="V3600" s="1357">
        <v>11</v>
      </c>
    </row>
    <row r="3601" spans="1:22" s="841" customFormat="1" ht="15" x14ac:dyDescent="0.25">
      <c r="A3601" s="841" t="s">
        <v>209</v>
      </c>
      <c r="E3601" s="1689" t="s">
        <v>3063</v>
      </c>
      <c r="F3601" s="1689"/>
      <c r="G3601" s="1689"/>
      <c r="H3601" s="1689"/>
      <c r="K3601" s="841" t="s">
        <v>5426</v>
      </c>
      <c r="M3601" s="1357"/>
      <c r="Q3601" s="1357"/>
      <c r="S3601" s="1420"/>
      <c r="T3601" s="1420"/>
      <c r="V3601" s="1357">
        <v>280</v>
      </c>
    </row>
    <row r="3602" spans="1:22" s="841" customFormat="1" ht="15" x14ac:dyDescent="0.25">
      <c r="A3602" s="841" t="s">
        <v>209</v>
      </c>
      <c r="E3602" s="1689" t="s">
        <v>3064</v>
      </c>
      <c r="F3602" s="1689"/>
      <c r="G3602" s="1689"/>
      <c r="H3602" s="1689"/>
      <c r="K3602" s="841" t="s">
        <v>5426</v>
      </c>
      <c r="M3602" s="1357"/>
      <c r="Q3602" s="1357"/>
      <c r="S3602" s="1420"/>
      <c r="T3602" s="1420"/>
      <c r="V3602" s="1357">
        <v>411</v>
      </c>
    </row>
    <row r="3603" spans="1:22" s="841" customFormat="1" ht="15" x14ac:dyDescent="0.25">
      <c r="A3603" s="841" t="s">
        <v>209</v>
      </c>
      <c r="E3603" s="1689" t="s">
        <v>3065</v>
      </c>
      <c r="F3603" s="1689"/>
      <c r="G3603" s="1689"/>
      <c r="H3603" s="1689"/>
      <c r="K3603" s="841" t="s">
        <v>5426</v>
      </c>
      <c r="M3603" s="1357"/>
      <c r="Q3603" s="1357"/>
      <c r="S3603" s="1420"/>
      <c r="T3603" s="1420"/>
      <c r="V3603" s="1357">
        <v>387</v>
      </c>
    </row>
    <row r="3604" spans="1:22" s="841" customFormat="1" ht="15" x14ac:dyDescent="0.25">
      <c r="A3604" s="841" t="s">
        <v>209</v>
      </c>
      <c r="E3604" s="1689" t="s">
        <v>3200</v>
      </c>
      <c r="F3604" s="1689"/>
      <c r="G3604" s="1689"/>
      <c r="H3604" s="1689"/>
      <c r="K3604" s="841" t="s">
        <v>5426</v>
      </c>
      <c r="M3604" s="1357"/>
      <c r="Q3604" s="1357"/>
      <c r="S3604" s="1420"/>
      <c r="T3604" s="1420"/>
      <c r="V3604" s="1357">
        <v>275</v>
      </c>
    </row>
    <row r="3605" spans="1:22" s="841" customFormat="1" ht="15" x14ac:dyDescent="0.25">
      <c r="A3605" s="841" t="s">
        <v>209</v>
      </c>
      <c r="E3605" s="1694" t="s">
        <v>3067</v>
      </c>
      <c r="F3605" s="1907"/>
      <c r="G3605" s="1907"/>
      <c r="H3605" s="1907"/>
      <c r="K3605" s="841" t="s">
        <v>3099</v>
      </c>
      <c r="M3605" s="1357"/>
      <c r="Q3605" s="1357"/>
      <c r="S3605" s="1420"/>
      <c r="T3605" s="1420"/>
      <c r="V3605" s="1357">
        <v>46</v>
      </c>
    </row>
    <row r="3606" spans="1:22" s="841" customFormat="1" ht="15" x14ac:dyDescent="0.25">
      <c r="A3606" s="841" t="s">
        <v>209</v>
      </c>
      <c r="E3606" s="1690" t="s">
        <v>11</v>
      </c>
      <c r="F3606" s="1690"/>
      <c r="G3606" s="1408" t="s">
        <v>23</v>
      </c>
      <c r="H3606" s="391">
        <v>17.05</v>
      </c>
      <c r="K3606" s="841" t="s">
        <v>5426</v>
      </c>
      <c r="L3606" s="841" t="s">
        <v>442</v>
      </c>
      <c r="M3606" s="1357"/>
      <c r="P3606" s="841" t="s">
        <v>5427</v>
      </c>
      <c r="Q3606" s="1357"/>
      <c r="S3606" s="1420"/>
      <c r="T3606" s="1420"/>
      <c r="V3606" s="1357">
        <v>14</v>
      </c>
    </row>
    <row r="3607" spans="1:22" s="841" customFormat="1" ht="15" x14ac:dyDescent="0.25">
      <c r="A3607" s="841" t="s">
        <v>209</v>
      </c>
      <c r="E3607" s="1690" t="s">
        <v>5109</v>
      </c>
      <c r="F3607" s="1690"/>
      <c r="G3607" s="1408" t="s">
        <v>23</v>
      </c>
      <c r="H3607" s="391">
        <v>0.56999999999999995</v>
      </c>
      <c r="K3607" s="841" t="s">
        <v>5426</v>
      </c>
      <c r="L3607" s="841" t="s">
        <v>443</v>
      </c>
      <c r="M3607" s="1357"/>
      <c r="P3607" s="841" t="s">
        <v>5428</v>
      </c>
      <c r="Q3607" s="1357"/>
      <c r="S3607" s="1420"/>
      <c r="T3607" s="1420">
        <v>44926</v>
      </c>
      <c r="V3607" s="1357">
        <v>64</v>
      </c>
    </row>
    <row r="3608" spans="1:22" s="841" customFormat="1" ht="15" x14ac:dyDescent="0.25">
      <c r="A3608" s="841" t="s">
        <v>209</v>
      </c>
      <c r="E3608" s="1690" t="s">
        <v>84</v>
      </c>
      <c r="F3608" s="1690"/>
      <c r="G3608" s="1408" t="s">
        <v>24</v>
      </c>
      <c r="H3608" s="393">
        <v>1.72E-2</v>
      </c>
      <c r="K3608" s="841" t="s">
        <v>5426</v>
      </c>
      <c r="L3608" s="841" t="s">
        <v>442</v>
      </c>
      <c r="M3608" s="1357"/>
      <c r="P3608" s="841" t="s">
        <v>5429</v>
      </c>
      <c r="Q3608" s="1357"/>
      <c r="S3608" s="1420"/>
      <c r="T3608" s="1420"/>
      <c r="V3608" s="1357">
        <v>28</v>
      </c>
    </row>
    <row r="3609" spans="1:22" s="841" customFormat="1" ht="15" x14ac:dyDescent="0.25">
      <c r="A3609" s="841" t="s">
        <v>209</v>
      </c>
      <c r="E3609" s="1690" t="s">
        <v>18</v>
      </c>
      <c r="F3609" s="1690"/>
      <c r="G3609" s="1408" t="s">
        <v>24</v>
      </c>
      <c r="H3609" s="393">
        <v>8.9999999999999998E-4</v>
      </c>
      <c r="K3609" s="841" t="s">
        <v>5426</v>
      </c>
      <c r="L3609" s="841" t="s">
        <v>443</v>
      </c>
      <c r="M3609" s="1357"/>
      <c r="P3609" s="841" t="s">
        <v>5430</v>
      </c>
      <c r="Q3609" s="1357"/>
      <c r="S3609" s="1420"/>
      <c r="T3609" s="1420"/>
      <c r="V3609" s="1357">
        <v>24</v>
      </c>
    </row>
    <row r="3610" spans="1:22" s="841" customFormat="1" ht="15" x14ac:dyDescent="0.25">
      <c r="A3610" s="841" t="s">
        <v>209</v>
      </c>
      <c r="E3610" s="1690" t="s">
        <v>5129</v>
      </c>
      <c r="F3610" s="1908"/>
      <c r="G3610" s="1408" t="s">
        <v>24</v>
      </c>
      <c r="H3610" s="393">
        <v>-2.8E-3</v>
      </c>
      <c r="K3610" s="841" t="s">
        <v>5426</v>
      </c>
      <c r="L3610" s="841" t="s">
        <v>443</v>
      </c>
      <c r="M3610" s="1357"/>
      <c r="P3610" s="841" t="s">
        <v>5431</v>
      </c>
      <c r="Q3610" s="1357"/>
      <c r="S3610" s="1420"/>
      <c r="T3610" s="1420">
        <v>43585</v>
      </c>
      <c r="V3610" s="1357">
        <v>139</v>
      </c>
    </row>
    <row r="3611" spans="1:22" s="841" customFormat="1" ht="15" x14ac:dyDescent="0.25">
      <c r="A3611" s="841" t="s">
        <v>209</v>
      </c>
      <c r="E3611" s="1690" t="s">
        <v>5130</v>
      </c>
      <c r="F3611" s="1908"/>
      <c r="G3611" s="1408" t="s">
        <v>24</v>
      </c>
      <c r="H3611" s="393">
        <v>-1.8E-3</v>
      </c>
      <c r="K3611" s="841" t="s">
        <v>5426</v>
      </c>
      <c r="L3611" s="841" t="s">
        <v>443</v>
      </c>
      <c r="M3611" s="1357"/>
      <c r="P3611" s="841" t="s">
        <v>5432</v>
      </c>
      <c r="Q3611" s="1357"/>
      <c r="S3611" s="1420"/>
      <c r="T3611" s="1420">
        <v>43585</v>
      </c>
      <c r="V3611" s="1357">
        <v>96</v>
      </c>
    </row>
    <row r="3612" spans="1:22" s="841" customFormat="1" ht="15" x14ac:dyDescent="0.25">
      <c r="A3612" s="841" t="s">
        <v>209</v>
      </c>
      <c r="E3612" s="1690" t="s">
        <v>5424</v>
      </c>
      <c r="F3612" s="1908"/>
      <c r="G3612" s="1408" t="s">
        <v>24</v>
      </c>
      <c r="H3612" s="393">
        <v>-1E-4</v>
      </c>
      <c r="K3612" s="841" t="s">
        <v>5426</v>
      </c>
      <c r="L3612" s="841" t="s">
        <v>443</v>
      </c>
      <c r="M3612" s="1357"/>
      <c r="P3612" s="841" t="s">
        <v>5433</v>
      </c>
      <c r="Q3612" s="1357"/>
      <c r="S3612" s="1420"/>
      <c r="T3612" s="1420">
        <v>43585</v>
      </c>
      <c r="V3612" s="1357">
        <v>146</v>
      </c>
    </row>
    <row r="3613" spans="1:22" s="841" customFormat="1" ht="15" x14ac:dyDescent="0.25">
      <c r="A3613" s="841" t="s">
        <v>209</v>
      </c>
      <c r="E3613" s="1690" t="s">
        <v>221</v>
      </c>
      <c r="F3613" s="1690"/>
      <c r="G3613" s="1408" t="s">
        <v>24</v>
      </c>
      <c r="H3613" s="393">
        <v>5.8999999999999999E-3</v>
      </c>
      <c r="K3613" s="841" t="s">
        <v>5426</v>
      </c>
      <c r="L3613" s="841" t="s">
        <v>444</v>
      </c>
      <c r="M3613" s="1357"/>
      <c r="P3613" s="841" t="s">
        <v>5434</v>
      </c>
      <c r="Q3613" s="1357"/>
      <c r="S3613" s="1420"/>
      <c r="T3613" s="1420"/>
      <c r="V3613" s="1357">
        <v>47</v>
      </c>
    </row>
    <row r="3614" spans="1:22" s="841" customFormat="1" ht="15" x14ac:dyDescent="0.25">
      <c r="A3614" s="841" t="s">
        <v>209</v>
      </c>
      <c r="E3614" s="1690" t="s">
        <v>217</v>
      </c>
      <c r="F3614" s="1690"/>
      <c r="G3614" s="1408" t="s">
        <v>24</v>
      </c>
      <c r="H3614" s="393">
        <v>4.4000000000000003E-3</v>
      </c>
      <c r="K3614" s="841" t="s">
        <v>5426</v>
      </c>
      <c r="L3614" s="841" t="s">
        <v>444</v>
      </c>
      <c r="M3614" s="1357"/>
      <c r="P3614" s="841" t="s">
        <v>5435</v>
      </c>
      <c r="Q3614" s="1357"/>
      <c r="S3614" s="1420"/>
      <c r="T3614" s="1420"/>
      <c r="V3614" s="1357">
        <v>74</v>
      </c>
    </row>
    <row r="3615" spans="1:22" s="841" customFormat="1" ht="15" x14ac:dyDescent="0.25">
      <c r="A3615" s="841" t="s">
        <v>209</v>
      </c>
      <c r="E3615" s="1694" t="s">
        <v>3079</v>
      </c>
      <c r="F3615" s="1690"/>
      <c r="G3615" s="1408"/>
      <c r="H3615" s="1408"/>
      <c r="K3615" s="841" t="s">
        <v>3218</v>
      </c>
      <c r="M3615" s="1357"/>
      <c r="Q3615" s="1357"/>
      <c r="S3615" s="1420"/>
      <c r="T3615" s="1420"/>
      <c r="V3615" s="1357">
        <v>48</v>
      </c>
    </row>
    <row r="3616" spans="1:22" s="841" customFormat="1" ht="15" x14ac:dyDescent="0.25">
      <c r="A3616" s="841" t="s">
        <v>209</v>
      </c>
      <c r="E3616" s="1690" t="s">
        <v>2449</v>
      </c>
      <c r="F3616" s="1690"/>
      <c r="G3616" s="1408" t="s">
        <v>24</v>
      </c>
      <c r="H3616" s="393">
        <v>3.2000000000000002E-3</v>
      </c>
      <c r="K3616" s="841" t="s">
        <v>5426</v>
      </c>
      <c r="L3616" s="841" t="s">
        <v>3046</v>
      </c>
      <c r="M3616" s="1357"/>
      <c r="P3616" s="841" t="s">
        <v>5436</v>
      </c>
      <c r="Q3616" s="1357"/>
      <c r="S3616" s="1420"/>
      <c r="T3616" s="1420"/>
      <c r="V3616" s="1357">
        <v>55</v>
      </c>
    </row>
    <row r="3617" spans="1:22" s="841" customFormat="1" ht="15" x14ac:dyDescent="0.25">
      <c r="A3617" s="841" t="s">
        <v>209</v>
      </c>
      <c r="E3617" s="1690" t="s">
        <v>2450</v>
      </c>
      <c r="F3617" s="1690"/>
      <c r="G3617" s="1408" t="s">
        <v>24</v>
      </c>
      <c r="H3617" s="393">
        <v>4.0000000000000002E-4</v>
      </c>
      <c r="K3617" s="841" t="s">
        <v>5426</v>
      </c>
      <c r="L3617" s="841" t="s">
        <v>3046</v>
      </c>
      <c r="M3617" s="1357"/>
      <c r="P3617" s="841" t="s">
        <v>5436</v>
      </c>
      <c r="Q3617" s="1357"/>
      <c r="S3617" s="1420"/>
      <c r="T3617" s="1420"/>
      <c r="V3617" s="1357">
        <v>65</v>
      </c>
    </row>
    <row r="3618" spans="1:22" s="841" customFormat="1" ht="15" x14ac:dyDescent="0.25">
      <c r="A3618" s="841" t="s">
        <v>209</v>
      </c>
      <c r="E3618" s="1690" t="s">
        <v>439</v>
      </c>
      <c r="F3618" s="1690"/>
      <c r="G3618" s="1408" t="s">
        <v>24</v>
      </c>
      <c r="H3618" s="393">
        <v>2.9999999999999997E-4</v>
      </c>
      <c r="K3618" s="841" t="s">
        <v>5426</v>
      </c>
      <c r="L3618" s="841" t="s">
        <v>3046</v>
      </c>
      <c r="M3618" s="1357"/>
      <c r="P3618" s="841" t="s">
        <v>5437</v>
      </c>
      <c r="Q3618" s="1357"/>
      <c r="S3618" s="1420"/>
      <c r="T3618" s="1420"/>
      <c r="V3618" s="1357">
        <v>57</v>
      </c>
    </row>
    <row r="3619" spans="1:22" s="841" customFormat="1" ht="15" x14ac:dyDescent="0.25">
      <c r="A3619" s="841" t="s">
        <v>209</v>
      </c>
      <c r="E3619" s="1690" t="s">
        <v>32</v>
      </c>
      <c r="F3619" s="1690"/>
      <c r="G3619" s="1408" t="s">
        <v>23</v>
      </c>
      <c r="H3619" s="391">
        <v>0.25</v>
      </c>
      <c r="K3619" s="841" t="s">
        <v>5426</v>
      </c>
      <c r="L3619" s="841" t="s">
        <v>3046</v>
      </c>
      <c r="M3619" s="1357"/>
      <c r="P3619" s="841" t="s">
        <v>5438</v>
      </c>
      <c r="Q3619" s="1357"/>
      <c r="S3619" s="1420"/>
      <c r="T3619" s="1420"/>
      <c r="V3619" s="1357">
        <v>63</v>
      </c>
    </row>
    <row r="3620" spans="1:22" s="841" customFormat="1" x14ac:dyDescent="0.25">
      <c r="A3620" s="841" t="s">
        <v>209</v>
      </c>
      <c r="E3620" s="1909" t="s">
        <v>637</v>
      </c>
      <c r="F3620" s="1915"/>
      <c r="G3620" s="1915"/>
      <c r="H3620" s="1915"/>
      <c r="K3620" s="841" t="s">
        <v>3741</v>
      </c>
      <c r="M3620" s="1357"/>
      <c r="Q3620" s="1357"/>
      <c r="S3620" s="1420"/>
      <c r="T3620" s="1420"/>
      <c r="V3620" s="1357">
        <v>53</v>
      </c>
    </row>
    <row r="3621" spans="1:22" s="841" customFormat="1" ht="15" x14ac:dyDescent="0.25">
      <c r="A3621" s="841" t="s">
        <v>209</v>
      </c>
      <c r="E3621" s="1689" t="s">
        <v>3742</v>
      </c>
      <c r="F3621" s="1689"/>
      <c r="G3621" s="1689"/>
      <c r="H3621" s="1689"/>
      <c r="K3621" s="841" t="s">
        <v>3741</v>
      </c>
      <c r="M3621" s="1357"/>
      <c r="Q3621" s="1357"/>
      <c r="S3621" s="1420"/>
      <c r="T3621" s="1420"/>
      <c r="V3621" s="1357">
        <v>386</v>
      </c>
    </row>
    <row r="3622" spans="1:22" s="841" customFormat="1" ht="15" x14ac:dyDescent="0.25">
      <c r="A3622" s="841" t="s">
        <v>209</v>
      </c>
      <c r="E3622" s="1916" t="s">
        <v>3061</v>
      </c>
      <c r="F3622" s="1697"/>
      <c r="G3622" s="1697"/>
      <c r="H3622" s="1697"/>
      <c r="K3622" s="841" t="s">
        <v>3221</v>
      </c>
      <c r="M3622" s="1357"/>
      <c r="Q3622" s="1357"/>
      <c r="S3622" s="1420"/>
      <c r="T3622" s="1420"/>
      <c r="V3622" s="1357">
        <v>11</v>
      </c>
    </row>
    <row r="3623" spans="1:22" s="841" customFormat="1" ht="15" x14ac:dyDescent="0.25">
      <c r="A3623" s="841" t="s">
        <v>209</v>
      </c>
      <c r="E3623" s="1689" t="s">
        <v>3063</v>
      </c>
      <c r="F3623" s="1689"/>
      <c r="G3623" s="1689"/>
      <c r="H3623" s="1689"/>
      <c r="K3623" s="841" t="s">
        <v>3741</v>
      </c>
      <c r="M3623" s="1357"/>
      <c r="Q3623" s="1357"/>
      <c r="S3623" s="1420"/>
      <c r="T3623" s="1420"/>
      <c r="V3623" s="1357">
        <v>280</v>
      </c>
    </row>
    <row r="3624" spans="1:22" s="841" customFormat="1" ht="15" x14ac:dyDescent="0.25">
      <c r="A3624" s="841" t="s">
        <v>209</v>
      </c>
      <c r="E3624" s="1689" t="s">
        <v>3064</v>
      </c>
      <c r="F3624" s="1689"/>
      <c r="G3624" s="1689"/>
      <c r="H3624" s="1689"/>
      <c r="K3624" s="841" t="s">
        <v>3741</v>
      </c>
      <c r="M3624" s="1357"/>
      <c r="Q3624" s="1357"/>
      <c r="S3624" s="1420"/>
      <c r="T3624" s="1420"/>
      <c r="V3624" s="1357">
        <v>411</v>
      </c>
    </row>
    <row r="3625" spans="1:22" s="841" customFormat="1" ht="15" x14ac:dyDescent="0.25">
      <c r="A3625" s="841" t="s">
        <v>209</v>
      </c>
      <c r="E3625" s="1689" t="s">
        <v>3065</v>
      </c>
      <c r="F3625" s="1689"/>
      <c r="G3625" s="1689"/>
      <c r="H3625" s="1689"/>
      <c r="K3625" s="841" t="s">
        <v>3741</v>
      </c>
      <c r="M3625" s="1357"/>
      <c r="Q3625" s="1357"/>
      <c r="S3625" s="1420"/>
      <c r="T3625" s="1420"/>
      <c r="V3625" s="1357">
        <v>387</v>
      </c>
    </row>
    <row r="3626" spans="1:22" s="841" customFormat="1" ht="15" x14ac:dyDescent="0.25">
      <c r="A3626" s="841" t="s">
        <v>209</v>
      </c>
      <c r="E3626" s="1966" t="s">
        <v>3627</v>
      </c>
      <c r="F3626" s="1966"/>
      <c r="G3626" s="1966"/>
      <c r="H3626" s="1966"/>
      <c r="K3626" s="841" t="s">
        <v>3741</v>
      </c>
      <c r="M3626" s="1357"/>
      <c r="Q3626" s="1357"/>
      <c r="S3626" s="1420"/>
      <c r="T3626" s="1420"/>
      <c r="V3626" s="1357">
        <v>610</v>
      </c>
    </row>
    <row r="3627" spans="1:22" s="841" customFormat="1" ht="15" x14ac:dyDescent="0.25">
      <c r="A3627" s="841" t="s">
        <v>209</v>
      </c>
      <c r="E3627" s="1966" t="s">
        <v>5304</v>
      </c>
      <c r="F3627" s="1966"/>
      <c r="G3627" s="1966"/>
      <c r="H3627" s="1966"/>
      <c r="K3627" s="841" t="s">
        <v>3741</v>
      </c>
      <c r="M3627" s="1357"/>
      <c r="Q3627" s="1357"/>
      <c r="S3627" s="1420"/>
      <c r="T3627" s="1420"/>
      <c r="V3627" s="1357">
        <v>617</v>
      </c>
    </row>
    <row r="3628" spans="1:22" s="841" customFormat="1" ht="15" x14ac:dyDescent="0.25">
      <c r="A3628" s="841" t="s">
        <v>209</v>
      </c>
      <c r="E3628" s="1689" t="s">
        <v>3200</v>
      </c>
      <c r="F3628" s="1689"/>
      <c r="G3628" s="1689"/>
      <c r="H3628" s="1689"/>
      <c r="K3628" s="841" t="s">
        <v>3741</v>
      </c>
      <c r="M3628" s="1357"/>
      <c r="Q3628" s="1357"/>
      <c r="S3628" s="1420"/>
      <c r="T3628" s="1420"/>
      <c r="V3628" s="1357">
        <v>275</v>
      </c>
    </row>
    <row r="3629" spans="1:22" s="841" customFormat="1" ht="15" x14ac:dyDescent="0.25">
      <c r="A3629" s="841" t="s">
        <v>209</v>
      </c>
      <c r="E3629" s="1694" t="s">
        <v>3067</v>
      </c>
      <c r="F3629" s="1907"/>
      <c r="G3629" s="1907"/>
      <c r="H3629" s="1907"/>
      <c r="K3629" s="841" t="s">
        <v>3224</v>
      </c>
      <c r="M3629" s="1357"/>
      <c r="Q3629" s="1357"/>
      <c r="S3629" s="1420"/>
      <c r="T3629" s="1420"/>
      <c r="V3629" s="1357">
        <v>46</v>
      </c>
    </row>
    <row r="3630" spans="1:22" s="841" customFormat="1" ht="15" x14ac:dyDescent="0.25">
      <c r="A3630" s="841" t="s">
        <v>209</v>
      </c>
      <c r="E3630" s="1690" t="s">
        <v>11</v>
      </c>
      <c r="F3630" s="1690"/>
      <c r="G3630" s="1408" t="s">
        <v>23</v>
      </c>
      <c r="H3630" s="391">
        <v>108.95</v>
      </c>
      <c r="K3630" s="841" t="s">
        <v>3741</v>
      </c>
      <c r="L3630" s="841" t="s">
        <v>442</v>
      </c>
      <c r="M3630" s="1357"/>
      <c r="P3630" s="841" t="s">
        <v>3743</v>
      </c>
      <c r="Q3630" s="1357"/>
      <c r="S3630" s="1420"/>
      <c r="T3630" s="1420"/>
      <c r="V3630" s="1357">
        <v>14</v>
      </c>
    </row>
    <row r="3631" spans="1:22" s="841" customFormat="1" ht="15" x14ac:dyDescent="0.25">
      <c r="A3631" s="841" t="s">
        <v>209</v>
      </c>
      <c r="E3631" s="1690" t="s">
        <v>84</v>
      </c>
      <c r="F3631" s="1690"/>
      <c r="G3631" s="1408" t="s">
        <v>33</v>
      </c>
      <c r="H3631" s="393">
        <v>3.3614000000000002</v>
      </c>
      <c r="K3631" s="841" t="s">
        <v>3741</v>
      </c>
      <c r="L3631" s="841" t="s">
        <v>442</v>
      </c>
      <c r="M3631" s="1357"/>
      <c r="P3631" s="841" t="s">
        <v>3744</v>
      </c>
      <c r="Q3631" s="1357"/>
      <c r="S3631" s="1420"/>
      <c r="T3631" s="1420"/>
      <c r="V3631" s="1357">
        <v>28</v>
      </c>
    </row>
    <row r="3632" spans="1:22" s="841" customFormat="1" ht="15" x14ac:dyDescent="0.25">
      <c r="A3632" s="841" t="s">
        <v>209</v>
      </c>
      <c r="E3632" s="1690" t="s">
        <v>18</v>
      </c>
      <c r="F3632" s="1690"/>
      <c r="G3632" s="1408" t="s">
        <v>33</v>
      </c>
      <c r="H3632" s="393">
        <v>0.38579999999999998</v>
      </c>
      <c r="K3632" s="841" t="s">
        <v>3741</v>
      </c>
      <c r="L3632" s="841" t="s">
        <v>443</v>
      </c>
      <c r="M3632" s="1357"/>
      <c r="P3632" s="841" t="s">
        <v>3745</v>
      </c>
      <c r="Q3632" s="1357"/>
      <c r="S3632" s="1420"/>
      <c r="T3632" s="1420"/>
      <c r="V3632" s="1357">
        <v>24</v>
      </c>
    </row>
    <row r="3633" spans="1:22" s="841" customFormat="1" ht="15" x14ac:dyDescent="0.25">
      <c r="A3633" s="841" t="s">
        <v>209</v>
      </c>
      <c r="E3633" s="1690" t="s">
        <v>5129</v>
      </c>
      <c r="F3633" s="1908"/>
      <c r="G3633" s="1408" t="s">
        <v>24</v>
      </c>
      <c r="H3633" s="393">
        <v>-2.8E-3</v>
      </c>
      <c r="K3633" s="841" t="s">
        <v>3741</v>
      </c>
      <c r="L3633" s="841" t="s">
        <v>443</v>
      </c>
      <c r="M3633" s="1357"/>
      <c r="P3633" s="841" t="s">
        <v>3746</v>
      </c>
      <c r="Q3633" s="1357"/>
      <c r="S3633" s="1420"/>
      <c r="T3633" s="1420">
        <v>43585</v>
      </c>
      <c r="V3633" s="1357">
        <v>139</v>
      </c>
    </row>
    <row r="3634" spans="1:22" s="841" customFormat="1" ht="15" x14ac:dyDescent="0.25">
      <c r="A3634" s="841" t="s">
        <v>209</v>
      </c>
      <c r="E3634" s="1690" t="s">
        <v>5305</v>
      </c>
      <c r="F3634" s="1908"/>
      <c r="G3634" s="1408" t="s">
        <v>33</v>
      </c>
      <c r="H3634" s="393">
        <v>-0.86799999999999999</v>
      </c>
      <c r="K3634" s="841" t="s">
        <v>3741</v>
      </c>
      <c r="L3634" s="841" t="s">
        <v>443</v>
      </c>
      <c r="M3634" s="1357"/>
      <c r="P3634" s="841" t="s">
        <v>3747</v>
      </c>
      <c r="Q3634" s="1357"/>
      <c r="S3634" s="1420"/>
      <c r="T3634" s="1420">
        <v>43585</v>
      </c>
      <c r="V3634" s="1357">
        <v>156</v>
      </c>
    </row>
    <row r="3635" spans="1:22" s="841" customFormat="1" ht="15" x14ac:dyDescent="0.25">
      <c r="A3635" s="841" t="s">
        <v>209</v>
      </c>
      <c r="E3635" s="1690" t="s">
        <v>5130</v>
      </c>
      <c r="F3635" s="1908"/>
      <c r="G3635" s="1408" t="s">
        <v>33</v>
      </c>
      <c r="H3635" s="393">
        <v>0.13930000000000001</v>
      </c>
      <c r="K3635" s="841" t="s">
        <v>3741</v>
      </c>
      <c r="L3635" s="841" t="s">
        <v>443</v>
      </c>
      <c r="M3635" s="1357"/>
      <c r="P3635" s="841" t="s">
        <v>3747</v>
      </c>
      <c r="Q3635" s="1357"/>
      <c r="S3635" s="1420"/>
      <c r="T3635" s="1420">
        <v>43585</v>
      </c>
      <c r="V3635" s="1357">
        <v>96</v>
      </c>
    </row>
    <row r="3636" spans="1:22" s="841" customFormat="1" ht="15" x14ac:dyDescent="0.25">
      <c r="A3636" s="841" t="s">
        <v>209</v>
      </c>
      <c r="E3636" s="1690" t="s">
        <v>5424</v>
      </c>
      <c r="F3636" s="1908"/>
      <c r="G3636" s="1408" t="s">
        <v>33</v>
      </c>
      <c r="H3636" s="393">
        <v>-2.8199999999999999E-2</v>
      </c>
      <c r="K3636" s="841" t="s">
        <v>3741</v>
      </c>
      <c r="L3636" s="841" t="s">
        <v>443</v>
      </c>
      <c r="M3636" s="1357"/>
      <c r="P3636" s="841" t="s">
        <v>5439</v>
      </c>
      <c r="Q3636" s="1357"/>
      <c r="S3636" s="1420"/>
      <c r="T3636" s="1420">
        <v>43585</v>
      </c>
      <c r="V3636" s="1357">
        <v>146</v>
      </c>
    </row>
    <row r="3637" spans="1:22" s="841" customFormat="1" ht="15" x14ac:dyDescent="0.25">
      <c r="A3637" s="841" t="s">
        <v>209</v>
      </c>
      <c r="E3637" s="1690" t="s">
        <v>221</v>
      </c>
      <c r="F3637" s="1690"/>
      <c r="G3637" s="1408" t="s">
        <v>33</v>
      </c>
      <c r="H3637" s="393">
        <v>2.875</v>
      </c>
      <c r="K3637" s="841" t="s">
        <v>3741</v>
      </c>
      <c r="L3637" s="841" t="s">
        <v>444</v>
      </c>
      <c r="M3637" s="1357"/>
      <c r="P3637" s="841" t="s">
        <v>3748</v>
      </c>
      <c r="Q3637" s="1357"/>
      <c r="S3637" s="1420"/>
      <c r="T3637" s="1420"/>
      <c r="V3637" s="1357">
        <v>47</v>
      </c>
    </row>
    <row r="3638" spans="1:22" s="841" customFormat="1" ht="15" x14ac:dyDescent="0.25">
      <c r="A3638" s="841" t="s">
        <v>209</v>
      </c>
      <c r="E3638" s="1690" t="s">
        <v>217</v>
      </c>
      <c r="F3638" s="1690"/>
      <c r="G3638" s="1408" t="s">
        <v>33</v>
      </c>
      <c r="H3638" s="393">
        <v>2.0926</v>
      </c>
      <c r="K3638" s="841" t="s">
        <v>3741</v>
      </c>
      <c r="L3638" s="841" t="s">
        <v>444</v>
      </c>
      <c r="M3638" s="1357"/>
      <c r="P3638" s="841" t="s">
        <v>3749</v>
      </c>
      <c r="Q3638" s="1357"/>
      <c r="S3638" s="1420"/>
      <c r="T3638" s="1420"/>
      <c r="V3638" s="1357">
        <v>74</v>
      </c>
    </row>
    <row r="3639" spans="1:22" s="841" customFormat="1" ht="15" x14ac:dyDescent="0.25">
      <c r="A3639" s="841" t="s">
        <v>209</v>
      </c>
      <c r="E3639" s="1694" t="s">
        <v>3079</v>
      </c>
      <c r="F3639" s="1690"/>
      <c r="G3639" s="1408"/>
      <c r="H3639" s="1408"/>
      <c r="K3639" s="841" t="s">
        <v>3225</v>
      </c>
      <c r="M3639" s="1357"/>
      <c r="Q3639" s="1357"/>
      <c r="S3639" s="1420"/>
      <c r="T3639" s="1420"/>
      <c r="V3639" s="1357">
        <v>48</v>
      </c>
    </row>
    <row r="3640" spans="1:22" s="841" customFormat="1" ht="15" x14ac:dyDescent="0.25">
      <c r="A3640" s="841" t="s">
        <v>209</v>
      </c>
      <c r="E3640" s="1690" t="s">
        <v>2449</v>
      </c>
      <c r="F3640" s="1690"/>
      <c r="G3640" s="1408" t="s">
        <v>24</v>
      </c>
      <c r="H3640" s="393">
        <v>3.2000000000000002E-3</v>
      </c>
      <c r="K3640" s="841" t="s">
        <v>3741</v>
      </c>
      <c r="L3640" s="841" t="s">
        <v>3046</v>
      </c>
      <c r="M3640" s="1357"/>
      <c r="P3640" s="841" t="s">
        <v>3750</v>
      </c>
      <c r="Q3640" s="1357"/>
      <c r="S3640" s="1420"/>
      <c r="T3640" s="1420"/>
      <c r="V3640" s="1357">
        <v>55</v>
      </c>
    </row>
    <row r="3641" spans="1:22" s="841" customFormat="1" ht="15" x14ac:dyDescent="0.25">
      <c r="A3641" s="841" t="s">
        <v>209</v>
      </c>
      <c r="E3641" s="1690" t="s">
        <v>2450</v>
      </c>
      <c r="F3641" s="1690"/>
      <c r="G3641" s="1408" t="s">
        <v>24</v>
      </c>
      <c r="H3641" s="393">
        <v>4.0000000000000002E-4</v>
      </c>
      <c r="K3641" s="841" t="s">
        <v>3741</v>
      </c>
      <c r="L3641" s="841" t="s">
        <v>3046</v>
      </c>
      <c r="M3641" s="1357"/>
      <c r="P3641" s="841" t="s">
        <v>3750</v>
      </c>
      <c r="Q3641" s="1357"/>
      <c r="S3641" s="1420"/>
      <c r="T3641" s="1420"/>
      <c r="V3641" s="1357">
        <v>65</v>
      </c>
    </row>
    <row r="3642" spans="1:22" s="841" customFormat="1" ht="15" x14ac:dyDescent="0.25">
      <c r="A3642" s="841" t="s">
        <v>209</v>
      </c>
      <c r="E3642" s="1690" t="s">
        <v>439</v>
      </c>
      <c r="F3642" s="1690"/>
      <c r="G3642" s="1408" t="s">
        <v>24</v>
      </c>
      <c r="H3642" s="393">
        <v>2.9999999999999997E-4</v>
      </c>
      <c r="K3642" s="841" t="s">
        <v>3741</v>
      </c>
      <c r="L3642" s="841" t="s">
        <v>3046</v>
      </c>
      <c r="M3642" s="1357"/>
      <c r="P3642" s="841" t="s">
        <v>3751</v>
      </c>
      <c r="Q3642" s="1357"/>
      <c r="S3642" s="1420"/>
      <c r="T3642" s="1420"/>
      <c r="V3642" s="1357">
        <v>57</v>
      </c>
    </row>
    <row r="3643" spans="1:22" s="841" customFormat="1" ht="15" x14ac:dyDescent="0.25">
      <c r="A3643" s="841" t="s">
        <v>209</v>
      </c>
      <c r="E3643" s="1690" t="s">
        <v>32</v>
      </c>
      <c r="F3643" s="1690"/>
      <c r="G3643" s="1408" t="s">
        <v>23</v>
      </c>
      <c r="H3643" s="391">
        <v>0.25</v>
      </c>
      <c r="K3643" s="841" t="s">
        <v>3741</v>
      </c>
      <c r="L3643" s="841" t="s">
        <v>3046</v>
      </c>
      <c r="M3643" s="1357"/>
      <c r="P3643" s="841" t="s">
        <v>3752</v>
      </c>
      <c r="Q3643" s="1357"/>
      <c r="S3643" s="1420"/>
      <c r="T3643" s="1420"/>
      <c r="V3643" s="1357">
        <v>63</v>
      </c>
    </row>
    <row r="3644" spans="1:22" s="841" customFormat="1" x14ac:dyDescent="0.25">
      <c r="A3644" s="841" t="s">
        <v>209</v>
      </c>
      <c r="E3644" s="1909" t="s">
        <v>638</v>
      </c>
      <c r="F3644" s="1915"/>
      <c r="G3644" s="1915"/>
      <c r="H3644" s="1915"/>
      <c r="K3644" s="841" t="s">
        <v>3753</v>
      </c>
      <c r="M3644" s="1357"/>
      <c r="Q3644" s="1357"/>
      <c r="S3644" s="1420"/>
      <c r="T3644" s="1420"/>
      <c r="V3644" s="1357">
        <v>56</v>
      </c>
    </row>
    <row r="3645" spans="1:22" s="841" customFormat="1" ht="15" x14ac:dyDescent="0.25">
      <c r="A3645" s="841" t="s">
        <v>209</v>
      </c>
      <c r="E3645" s="1689" t="s">
        <v>3754</v>
      </c>
      <c r="F3645" s="1689"/>
      <c r="G3645" s="1689"/>
      <c r="H3645" s="1689"/>
      <c r="K3645" s="841" t="s">
        <v>3753</v>
      </c>
      <c r="M3645" s="1357"/>
      <c r="Q3645" s="1357"/>
      <c r="S3645" s="1420"/>
      <c r="T3645" s="1420"/>
      <c r="V3645" s="1357">
        <v>401</v>
      </c>
    </row>
    <row r="3646" spans="1:22" s="841" customFormat="1" ht="15" x14ac:dyDescent="0.25">
      <c r="A3646" s="841" t="s">
        <v>209</v>
      </c>
      <c r="E3646" s="1916" t="s">
        <v>3061</v>
      </c>
      <c r="F3646" s="1697"/>
      <c r="G3646" s="1697"/>
      <c r="H3646" s="1697"/>
      <c r="K3646" s="841" t="s">
        <v>3107</v>
      </c>
      <c r="M3646" s="1357"/>
      <c r="Q3646" s="1357"/>
      <c r="S3646" s="1420"/>
      <c r="T3646" s="1420"/>
      <c r="V3646" s="1357">
        <v>11</v>
      </c>
    </row>
    <row r="3647" spans="1:22" s="841" customFormat="1" ht="15" x14ac:dyDescent="0.25">
      <c r="A3647" s="841" t="s">
        <v>209</v>
      </c>
      <c r="E3647" s="1689" t="s">
        <v>3063</v>
      </c>
      <c r="F3647" s="1689"/>
      <c r="G3647" s="1689"/>
      <c r="H3647" s="1689"/>
      <c r="K3647" s="841" t="s">
        <v>3753</v>
      </c>
      <c r="M3647" s="1357"/>
      <c r="Q3647" s="1357"/>
      <c r="S3647" s="1420"/>
      <c r="T3647" s="1420"/>
      <c r="V3647" s="1357">
        <v>280</v>
      </c>
    </row>
    <row r="3648" spans="1:22" s="841" customFormat="1" ht="15" x14ac:dyDescent="0.25">
      <c r="A3648" s="841" t="s">
        <v>209</v>
      </c>
      <c r="E3648" s="1689" t="s">
        <v>3064</v>
      </c>
      <c r="F3648" s="1689"/>
      <c r="G3648" s="1689"/>
      <c r="H3648" s="1689"/>
      <c r="K3648" s="841" t="s">
        <v>3753</v>
      </c>
      <c r="M3648" s="1357"/>
      <c r="Q3648" s="1357"/>
      <c r="S3648" s="1420"/>
      <c r="T3648" s="1420"/>
      <c r="V3648" s="1357">
        <v>411</v>
      </c>
    </row>
    <row r="3649" spans="1:22" s="841" customFormat="1" ht="15" x14ac:dyDescent="0.25">
      <c r="A3649" s="841" t="s">
        <v>209</v>
      </c>
      <c r="E3649" s="1689" t="s">
        <v>3065</v>
      </c>
      <c r="F3649" s="1689"/>
      <c r="G3649" s="1689"/>
      <c r="H3649" s="1689"/>
      <c r="K3649" s="841" t="s">
        <v>3753</v>
      </c>
      <c r="M3649" s="1357"/>
      <c r="Q3649" s="1357"/>
      <c r="S3649" s="1420"/>
      <c r="T3649" s="1420"/>
      <c r="V3649" s="1357">
        <v>387</v>
      </c>
    </row>
    <row r="3650" spans="1:22" s="841" customFormat="1" ht="15" x14ac:dyDescent="0.25">
      <c r="A3650" s="841" t="s">
        <v>209</v>
      </c>
      <c r="E3650" s="1966" t="s">
        <v>3627</v>
      </c>
      <c r="F3650" s="1966"/>
      <c r="G3650" s="1966"/>
      <c r="H3650" s="1966"/>
      <c r="K3650" s="841" t="s">
        <v>3753</v>
      </c>
      <c r="M3650" s="1357"/>
      <c r="Q3650" s="1357"/>
      <c r="S3650" s="1420"/>
      <c r="T3650" s="1420"/>
      <c r="V3650" s="1357">
        <v>610</v>
      </c>
    </row>
    <row r="3651" spans="1:22" s="841" customFormat="1" ht="15" x14ac:dyDescent="0.25">
      <c r="A3651" s="841" t="s">
        <v>209</v>
      </c>
      <c r="E3651" s="1966" t="s">
        <v>5304</v>
      </c>
      <c r="F3651" s="1966"/>
      <c r="G3651" s="1966"/>
      <c r="H3651" s="1966"/>
      <c r="K3651" s="841" t="s">
        <v>3753</v>
      </c>
      <c r="M3651" s="1357"/>
      <c r="Q3651" s="1357"/>
      <c r="S3651" s="1420"/>
      <c r="T3651" s="1420"/>
      <c r="V3651" s="1357">
        <v>617</v>
      </c>
    </row>
    <row r="3652" spans="1:22" s="841" customFormat="1" ht="15" x14ac:dyDescent="0.25">
      <c r="A3652" s="841" t="s">
        <v>209</v>
      </c>
      <c r="E3652" s="1689" t="s">
        <v>3200</v>
      </c>
      <c r="F3652" s="1689"/>
      <c r="G3652" s="1689"/>
      <c r="H3652" s="1689"/>
      <c r="K3652" s="841" t="s">
        <v>3753</v>
      </c>
      <c r="M3652" s="1357"/>
      <c r="Q3652" s="1357"/>
      <c r="S3652" s="1420"/>
      <c r="T3652" s="1420"/>
      <c r="V3652" s="1357">
        <v>275</v>
      </c>
    </row>
    <row r="3653" spans="1:22" s="841" customFormat="1" ht="15" x14ac:dyDescent="0.25">
      <c r="A3653" s="841" t="s">
        <v>209</v>
      </c>
      <c r="E3653" s="1694" t="s">
        <v>3067</v>
      </c>
      <c r="F3653" s="1907"/>
      <c r="G3653" s="1907"/>
      <c r="H3653" s="1907"/>
      <c r="K3653" s="841" t="s">
        <v>3108</v>
      </c>
      <c r="M3653" s="1357"/>
      <c r="Q3653" s="1357"/>
      <c r="S3653" s="1420"/>
      <c r="T3653" s="1420"/>
      <c r="V3653" s="1357">
        <v>46</v>
      </c>
    </row>
    <row r="3654" spans="1:22" s="841" customFormat="1" ht="15" x14ac:dyDescent="0.25">
      <c r="A3654" s="841" t="s">
        <v>209</v>
      </c>
      <c r="E3654" s="1690" t="s">
        <v>11</v>
      </c>
      <c r="F3654" s="1690"/>
      <c r="G3654" s="1408" t="s">
        <v>23</v>
      </c>
      <c r="H3654" s="391">
        <v>5725.14</v>
      </c>
      <c r="K3654" s="841" t="s">
        <v>3753</v>
      </c>
      <c r="L3654" s="841" t="s">
        <v>442</v>
      </c>
      <c r="M3654" s="1357"/>
      <c r="P3654" s="841" t="s">
        <v>3755</v>
      </c>
      <c r="Q3654" s="1357"/>
      <c r="S3654" s="1420"/>
      <c r="T3654" s="1420"/>
      <c r="V3654" s="1357">
        <v>14</v>
      </c>
    </row>
    <row r="3655" spans="1:22" s="841" customFormat="1" ht="15" x14ac:dyDescent="0.25">
      <c r="A3655" s="841" t="s">
        <v>209</v>
      </c>
      <c r="E3655" s="1690" t="s">
        <v>84</v>
      </c>
      <c r="F3655" s="1690"/>
      <c r="G3655" s="1408" t="s">
        <v>33</v>
      </c>
      <c r="H3655" s="393">
        <v>2.1295999999999999</v>
      </c>
      <c r="K3655" s="841" t="s">
        <v>3753</v>
      </c>
      <c r="L3655" s="841" t="s">
        <v>442</v>
      </c>
      <c r="M3655" s="1357"/>
      <c r="P3655" s="841" t="s">
        <v>3756</v>
      </c>
      <c r="Q3655" s="1357"/>
      <c r="S3655" s="1420"/>
      <c r="T3655" s="1420"/>
      <c r="V3655" s="1357">
        <v>28</v>
      </c>
    </row>
    <row r="3656" spans="1:22" s="841" customFormat="1" ht="15" x14ac:dyDescent="0.25">
      <c r="A3656" s="841" t="s">
        <v>209</v>
      </c>
      <c r="E3656" s="1690" t="s">
        <v>18</v>
      </c>
      <c r="F3656" s="1690"/>
      <c r="G3656" s="1408" t="s">
        <v>33</v>
      </c>
      <c r="H3656" s="393">
        <v>0.43459999999999999</v>
      </c>
      <c r="K3656" s="841" t="s">
        <v>3753</v>
      </c>
      <c r="L3656" s="841" t="s">
        <v>443</v>
      </c>
      <c r="M3656" s="1357"/>
      <c r="P3656" s="841" t="s">
        <v>3757</v>
      </c>
      <c r="Q3656" s="1357"/>
      <c r="S3656" s="1420"/>
      <c r="T3656" s="1420"/>
      <c r="V3656" s="1357">
        <v>24</v>
      </c>
    </row>
    <row r="3657" spans="1:22" s="841" customFormat="1" ht="15" x14ac:dyDescent="0.25">
      <c r="A3657" s="841" t="s">
        <v>209</v>
      </c>
      <c r="E3657" s="1690" t="s">
        <v>5129</v>
      </c>
      <c r="F3657" s="1908"/>
      <c r="G3657" s="1408" t="s">
        <v>24</v>
      </c>
      <c r="H3657" s="393">
        <v>-2.8E-3</v>
      </c>
      <c r="K3657" s="841" t="s">
        <v>3753</v>
      </c>
      <c r="L3657" s="841" t="s">
        <v>443</v>
      </c>
      <c r="M3657" s="1357"/>
      <c r="P3657" s="841" t="s">
        <v>3758</v>
      </c>
      <c r="Q3657" s="1357"/>
      <c r="S3657" s="1420"/>
      <c r="T3657" s="1420">
        <v>43585</v>
      </c>
      <c r="V3657" s="1357">
        <v>139</v>
      </c>
    </row>
    <row r="3658" spans="1:22" s="841" customFormat="1" ht="15" x14ac:dyDescent="0.25">
      <c r="A3658" s="841" t="s">
        <v>209</v>
      </c>
      <c r="E3658" s="1690" t="s">
        <v>5130</v>
      </c>
      <c r="F3658" s="1908"/>
      <c r="G3658" s="1408" t="s">
        <v>33</v>
      </c>
      <c r="H3658" s="393">
        <v>-0.79410000000000003</v>
      </c>
      <c r="K3658" s="841" t="s">
        <v>3753</v>
      </c>
      <c r="L3658" s="841" t="s">
        <v>443</v>
      </c>
      <c r="M3658" s="1357"/>
      <c r="P3658" s="841" t="s">
        <v>3759</v>
      </c>
      <c r="Q3658" s="1357"/>
      <c r="S3658" s="1420"/>
      <c r="T3658" s="1420">
        <v>43585</v>
      </c>
      <c r="V3658" s="1357">
        <v>96</v>
      </c>
    </row>
    <row r="3659" spans="1:22" s="841" customFormat="1" ht="15" x14ac:dyDescent="0.25">
      <c r="A3659" s="841" t="s">
        <v>209</v>
      </c>
      <c r="E3659" s="1690" t="s">
        <v>5424</v>
      </c>
      <c r="F3659" s="1908"/>
      <c r="G3659" s="1408" t="s">
        <v>33</v>
      </c>
      <c r="H3659" s="393">
        <v>-2.6599999999999999E-2</v>
      </c>
      <c r="K3659" s="841" t="s">
        <v>3753</v>
      </c>
      <c r="L3659" s="841" t="s">
        <v>443</v>
      </c>
      <c r="M3659" s="1357"/>
      <c r="P3659" s="841" t="s">
        <v>5440</v>
      </c>
      <c r="Q3659" s="1357"/>
      <c r="S3659" s="1420"/>
      <c r="T3659" s="1420">
        <v>43585</v>
      </c>
      <c r="V3659" s="1357">
        <v>146</v>
      </c>
    </row>
    <row r="3660" spans="1:22" s="841" customFormat="1" ht="15" x14ac:dyDescent="0.25">
      <c r="A3660" s="841" t="s">
        <v>209</v>
      </c>
      <c r="E3660" s="1690" t="s">
        <v>221</v>
      </c>
      <c r="F3660" s="1690"/>
      <c r="G3660" s="1408" t="s">
        <v>33</v>
      </c>
      <c r="H3660" s="393">
        <v>3.1675</v>
      </c>
      <c r="K3660" s="841" t="s">
        <v>3753</v>
      </c>
      <c r="L3660" s="841" t="s">
        <v>444</v>
      </c>
      <c r="M3660" s="1357"/>
      <c r="P3660" s="841" t="s">
        <v>3760</v>
      </c>
      <c r="Q3660" s="1357"/>
      <c r="S3660" s="1420"/>
      <c r="T3660" s="1420"/>
      <c r="V3660" s="1357">
        <v>47</v>
      </c>
    </row>
    <row r="3661" spans="1:22" s="841" customFormat="1" ht="15" x14ac:dyDescent="0.25">
      <c r="A3661" s="841" t="s">
        <v>209</v>
      </c>
      <c r="E3661" s="1690" t="s">
        <v>3628</v>
      </c>
      <c r="F3661" s="1690"/>
      <c r="G3661" s="1408" t="s">
        <v>33</v>
      </c>
      <c r="H3661" s="393">
        <v>2.2982</v>
      </c>
      <c r="K3661" s="841" t="s">
        <v>3753</v>
      </c>
      <c r="L3661" s="841" t="s">
        <v>444</v>
      </c>
      <c r="M3661" s="1357"/>
      <c r="P3661" s="841" t="s">
        <v>5441</v>
      </c>
      <c r="Q3661" s="1357"/>
      <c r="S3661" s="1420"/>
      <c r="T3661" s="1420"/>
      <c r="V3661" s="1357">
        <v>75</v>
      </c>
    </row>
    <row r="3662" spans="1:22" s="841" customFormat="1" ht="15" x14ac:dyDescent="0.25">
      <c r="A3662" s="841" t="s">
        <v>209</v>
      </c>
      <c r="E3662" s="1694" t="s">
        <v>3079</v>
      </c>
      <c r="F3662" s="1690"/>
      <c r="G3662" s="1408"/>
      <c r="H3662" s="1408"/>
      <c r="K3662" s="841" t="s">
        <v>3111</v>
      </c>
      <c r="M3662" s="1357"/>
      <c r="Q3662" s="1357"/>
      <c r="S3662" s="1420"/>
      <c r="T3662" s="1420"/>
      <c r="V3662" s="1357">
        <v>48</v>
      </c>
    </row>
    <row r="3663" spans="1:22" s="841" customFormat="1" ht="15" x14ac:dyDescent="0.25">
      <c r="A3663" s="841" t="s">
        <v>209</v>
      </c>
      <c r="E3663" s="1690" t="s">
        <v>2449</v>
      </c>
      <c r="F3663" s="1690"/>
      <c r="G3663" s="1408" t="s">
        <v>24</v>
      </c>
      <c r="H3663" s="393">
        <v>3.2000000000000002E-3</v>
      </c>
      <c r="K3663" s="841" t="s">
        <v>3753</v>
      </c>
      <c r="L3663" s="841" t="s">
        <v>3046</v>
      </c>
      <c r="M3663" s="1357"/>
      <c r="P3663" s="841" t="s">
        <v>3761</v>
      </c>
      <c r="Q3663" s="1357"/>
      <c r="S3663" s="1420"/>
      <c r="T3663" s="1420"/>
      <c r="V3663" s="1357">
        <v>55</v>
      </c>
    </row>
    <row r="3664" spans="1:22" s="841" customFormat="1" ht="15" x14ac:dyDescent="0.25">
      <c r="A3664" s="841" t="s">
        <v>209</v>
      </c>
      <c r="E3664" s="1690" t="s">
        <v>2450</v>
      </c>
      <c r="F3664" s="1690"/>
      <c r="G3664" s="1408" t="s">
        <v>24</v>
      </c>
      <c r="H3664" s="393">
        <v>4.0000000000000002E-4</v>
      </c>
      <c r="K3664" s="841" t="s">
        <v>3753</v>
      </c>
      <c r="L3664" s="841" t="s">
        <v>3046</v>
      </c>
      <c r="M3664" s="1357"/>
      <c r="P3664" s="841" t="s">
        <v>3761</v>
      </c>
      <c r="Q3664" s="1357"/>
      <c r="S3664" s="1420"/>
      <c r="T3664" s="1420"/>
      <c r="V3664" s="1357">
        <v>65</v>
      </c>
    </row>
    <row r="3665" spans="1:22" s="841" customFormat="1" ht="15" x14ac:dyDescent="0.25">
      <c r="A3665" s="841" t="s">
        <v>209</v>
      </c>
      <c r="E3665" s="1690" t="s">
        <v>439</v>
      </c>
      <c r="F3665" s="1690"/>
      <c r="G3665" s="1408" t="s">
        <v>24</v>
      </c>
      <c r="H3665" s="393">
        <v>2.9999999999999997E-4</v>
      </c>
      <c r="K3665" s="841" t="s">
        <v>3753</v>
      </c>
      <c r="L3665" s="841" t="s">
        <v>3046</v>
      </c>
      <c r="M3665" s="1357"/>
      <c r="P3665" s="841" t="s">
        <v>3762</v>
      </c>
      <c r="Q3665" s="1357"/>
      <c r="S3665" s="1420"/>
      <c r="T3665" s="1420"/>
      <c r="V3665" s="1357">
        <v>57</v>
      </c>
    </row>
    <row r="3666" spans="1:22" s="841" customFormat="1" ht="15" x14ac:dyDescent="0.25">
      <c r="A3666" s="841" t="s">
        <v>209</v>
      </c>
      <c r="E3666" s="1690" t="s">
        <v>32</v>
      </c>
      <c r="F3666" s="1690"/>
      <c r="G3666" s="1408" t="s">
        <v>23</v>
      </c>
      <c r="H3666" s="391">
        <v>0.25</v>
      </c>
      <c r="K3666" s="841" t="s">
        <v>3753</v>
      </c>
      <c r="L3666" s="841" t="s">
        <v>3046</v>
      </c>
      <c r="M3666" s="1357"/>
      <c r="P3666" s="841" t="s">
        <v>3763</v>
      </c>
      <c r="Q3666" s="1357"/>
      <c r="S3666" s="1420"/>
      <c r="T3666" s="1420"/>
      <c r="V3666" s="1357">
        <v>63</v>
      </c>
    </row>
    <row r="3667" spans="1:22" s="841" customFormat="1" x14ac:dyDescent="0.25">
      <c r="A3667" s="841" t="s">
        <v>209</v>
      </c>
      <c r="E3667" s="1909" t="s">
        <v>621</v>
      </c>
      <c r="F3667" s="1915"/>
      <c r="G3667" s="1915"/>
      <c r="H3667" s="1915"/>
      <c r="K3667" s="841" t="s">
        <v>3321</v>
      </c>
      <c r="M3667" s="1357"/>
      <c r="Q3667" s="1357"/>
      <c r="S3667" s="1420"/>
      <c r="T3667" s="1420"/>
      <c r="V3667" s="1357">
        <v>32</v>
      </c>
    </row>
    <row r="3668" spans="1:22" s="841" customFormat="1" ht="15" x14ac:dyDescent="0.25">
      <c r="A3668" s="841" t="s">
        <v>209</v>
      </c>
      <c r="E3668" s="1689" t="s">
        <v>3764</v>
      </c>
      <c r="F3668" s="1689"/>
      <c r="G3668" s="1689"/>
      <c r="H3668" s="1689"/>
      <c r="K3668" s="841" t="s">
        <v>3321</v>
      </c>
      <c r="M3668" s="1357"/>
      <c r="Q3668" s="1357"/>
      <c r="S3668" s="1420"/>
      <c r="T3668" s="1420"/>
      <c r="V3668" s="1357">
        <v>327</v>
      </c>
    </row>
    <row r="3669" spans="1:22" s="841" customFormat="1" ht="15" x14ac:dyDescent="0.25">
      <c r="A3669" s="841" t="s">
        <v>209</v>
      </c>
      <c r="E3669" s="1916" t="s">
        <v>3061</v>
      </c>
      <c r="F3669" s="1697"/>
      <c r="G3669" s="1697"/>
      <c r="H3669" s="1697"/>
      <c r="K3669" s="841" t="s">
        <v>3114</v>
      </c>
      <c r="M3669" s="1357"/>
      <c r="Q3669" s="1357"/>
      <c r="S3669" s="1420"/>
      <c r="T3669" s="1420"/>
      <c r="V3669" s="1357">
        <v>11</v>
      </c>
    </row>
    <row r="3670" spans="1:22" s="841" customFormat="1" ht="15" x14ac:dyDescent="0.25">
      <c r="A3670" s="841" t="s">
        <v>209</v>
      </c>
      <c r="E3670" s="1689" t="s">
        <v>3063</v>
      </c>
      <c r="F3670" s="1689"/>
      <c r="G3670" s="1689"/>
      <c r="H3670" s="1689"/>
      <c r="K3670" s="841" t="s">
        <v>3321</v>
      </c>
      <c r="M3670" s="1357"/>
      <c r="Q3670" s="1357"/>
      <c r="S3670" s="1420"/>
      <c r="T3670" s="1420"/>
      <c r="V3670" s="1357">
        <v>280</v>
      </c>
    </row>
    <row r="3671" spans="1:22" s="841" customFormat="1" ht="15" x14ac:dyDescent="0.25">
      <c r="A3671" s="841" t="s">
        <v>209</v>
      </c>
      <c r="E3671" s="1689" t="s">
        <v>3064</v>
      </c>
      <c r="F3671" s="1689"/>
      <c r="G3671" s="1689"/>
      <c r="H3671" s="1689"/>
      <c r="K3671" s="841" t="s">
        <v>3321</v>
      </c>
      <c r="M3671" s="1357"/>
      <c r="Q3671" s="1357"/>
      <c r="S3671" s="1420"/>
      <c r="T3671" s="1420"/>
      <c r="V3671" s="1357">
        <v>411</v>
      </c>
    </row>
    <row r="3672" spans="1:22" s="841" customFormat="1" ht="15" x14ac:dyDescent="0.25">
      <c r="A3672" s="841" t="s">
        <v>209</v>
      </c>
      <c r="E3672" s="1689" t="s">
        <v>3065</v>
      </c>
      <c r="F3672" s="1689"/>
      <c r="G3672" s="1689"/>
      <c r="H3672" s="1689"/>
      <c r="K3672" s="841" t="s">
        <v>3321</v>
      </c>
      <c r="M3672" s="1357"/>
      <c r="Q3672" s="1357"/>
      <c r="S3672" s="1420"/>
      <c r="T3672" s="1420"/>
      <c r="V3672" s="1357">
        <v>387</v>
      </c>
    </row>
    <row r="3673" spans="1:22" s="841" customFormat="1" ht="15" x14ac:dyDescent="0.25">
      <c r="A3673" s="841" t="s">
        <v>209</v>
      </c>
      <c r="E3673" s="1689" t="s">
        <v>3200</v>
      </c>
      <c r="F3673" s="1689"/>
      <c r="G3673" s="1689"/>
      <c r="H3673" s="1689"/>
      <c r="K3673" s="841" t="s">
        <v>3321</v>
      </c>
      <c r="M3673" s="1357"/>
      <c r="Q3673" s="1357"/>
      <c r="S3673" s="1420"/>
      <c r="T3673" s="1420"/>
      <c r="V3673" s="1357">
        <v>275</v>
      </c>
    </row>
    <row r="3674" spans="1:22" s="841" customFormat="1" ht="15" x14ac:dyDescent="0.25">
      <c r="A3674" s="841" t="s">
        <v>209</v>
      </c>
      <c r="E3674" s="1694" t="s">
        <v>3067</v>
      </c>
      <c r="F3674" s="1907"/>
      <c r="G3674" s="1907"/>
      <c r="H3674" s="1907"/>
      <c r="K3674" s="841" t="s">
        <v>3115</v>
      </c>
      <c r="M3674" s="1357"/>
      <c r="Q3674" s="1357"/>
      <c r="S3674" s="1420"/>
      <c r="T3674" s="1420"/>
      <c r="V3674" s="1357">
        <v>46</v>
      </c>
    </row>
    <row r="3675" spans="1:22" s="841" customFormat="1" ht="15" x14ac:dyDescent="0.25">
      <c r="A3675" s="841" t="s">
        <v>209</v>
      </c>
      <c r="E3675" s="1690" t="s">
        <v>11</v>
      </c>
      <c r="F3675" s="1690"/>
      <c r="G3675" s="1408" t="s">
        <v>23</v>
      </c>
      <c r="H3675" s="391">
        <v>8600.32</v>
      </c>
      <c r="K3675" s="841" t="s">
        <v>3321</v>
      </c>
      <c r="L3675" s="841" t="s">
        <v>442</v>
      </c>
      <c r="M3675" s="1357"/>
      <c r="P3675" s="841" t="s">
        <v>3322</v>
      </c>
      <c r="Q3675" s="1357"/>
      <c r="S3675" s="1420"/>
      <c r="T3675" s="1420"/>
      <c r="V3675" s="1357">
        <v>14</v>
      </c>
    </row>
    <row r="3676" spans="1:22" s="841" customFormat="1" ht="15" x14ac:dyDescent="0.25">
      <c r="A3676" s="841" t="s">
        <v>209</v>
      </c>
      <c r="E3676" s="1690" t="s">
        <v>84</v>
      </c>
      <c r="F3676" s="1690"/>
      <c r="G3676" s="1408" t="s">
        <v>33</v>
      </c>
      <c r="H3676" s="393">
        <v>2.9992000000000001</v>
      </c>
      <c r="K3676" s="841" t="s">
        <v>3321</v>
      </c>
      <c r="L3676" s="841" t="s">
        <v>442</v>
      </c>
      <c r="M3676" s="1357"/>
      <c r="P3676" s="841" t="s">
        <v>3323</v>
      </c>
      <c r="Q3676" s="1357"/>
      <c r="S3676" s="1420"/>
      <c r="T3676" s="1420"/>
      <c r="V3676" s="1357">
        <v>28</v>
      </c>
    </row>
    <row r="3677" spans="1:22" s="841" customFormat="1" ht="15" x14ac:dyDescent="0.25">
      <c r="A3677" s="841" t="s">
        <v>209</v>
      </c>
      <c r="E3677" s="1690" t="s">
        <v>18</v>
      </c>
      <c r="F3677" s="1690"/>
      <c r="G3677" s="1408" t="s">
        <v>33</v>
      </c>
      <c r="H3677" s="393">
        <v>0.41570000000000001</v>
      </c>
      <c r="K3677" s="841" t="s">
        <v>3321</v>
      </c>
      <c r="L3677" s="841" t="s">
        <v>443</v>
      </c>
      <c r="M3677" s="1357"/>
      <c r="P3677" s="841" t="s">
        <v>3629</v>
      </c>
      <c r="Q3677" s="1357"/>
      <c r="S3677" s="1420"/>
      <c r="T3677" s="1420"/>
      <c r="V3677" s="1357">
        <v>24</v>
      </c>
    </row>
    <row r="3678" spans="1:22" s="841" customFormat="1" ht="15" x14ac:dyDescent="0.25">
      <c r="A3678" s="841" t="s">
        <v>209</v>
      </c>
      <c r="E3678" s="1690" t="s">
        <v>5130</v>
      </c>
      <c r="F3678" s="1908"/>
      <c r="G3678" s="1408" t="s">
        <v>33</v>
      </c>
      <c r="H3678" s="393">
        <v>-1.0403</v>
      </c>
      <c r="K3678" s="841" t="s">
        <v>3321</v>
      </c>
      <c r="L3678" s="841" t="s">
        <v>443</v>
      </c>
      <c r="M3678" s="1357"/>
      <c r="P3678" s="841" t="s">
        <v>3326</v>
      </c>
      <c r="Q3678" s="1357"/>
      <c r="S3678" s="1420"/>
      <c r="T3678" s="1420">
        <v>43585</v>
      </c>
      <c r="V3678" s="1357">
        <v>96</v>
      </c>
    </row>
    <row r="3679" spans="1:22" s="841" customFormat="1" ht="15" x14ac:dyDescent="0.25">
      <c r="A3679" s="841" t="s">
        <v>209</v>
      </c>
      <c r="E3679" s="1690" t="s">
        <v>221</v>
      </c>
      <c r="F3679" s="1690"/>
      <c r="G3679" s="1408" t="s">
        <v>33</v>
      </c>
      <c r="H3679" s="393">
        <v>3.1675</v>
      </c>
      <c r="K3679" s="841" t="s">
        <v>3321</v>
      </c>
      <c r="L3679" s="841" t="s">
        <v>444</v>
      </c>
      <c r="M3679" s="1357"/>
      <c r="P3679" s="841" t="s">
        <v>3327</v>
      </c>
      <c r="Q3679" s="1357"/>
      <c r="S3679" s="1420"/>
      <c r="T3679" s="1420"/>
      <c r="V3679" s="1357">
        <v>47</v>
      </c>
    </row>
    <row r="3680" spans="1:22" s="841" customFormat="1" ht="15" x14ac:dyDescent="0.25">
      <c r="A3680" s="841" t="s">
        <v>209</v>
      </c>
      <c r="E3680" s="1690" t="s">
        <v>3628</v>
      </c>
      <c r="F3680" s="1690"/>
      <c r="G3680" s="1408" t="s">
        <v>33</v>
      </c>
      <c r="H3680" s="393">
        <v>2.2982</v>
      </c>
      <c r="K3680" s="841" t="s">
        <v>3321</v>
      </c>
      <c r="L3680" s="841" t="s">
        <v>444</v>
      </c>
      <c r="M3680" s="1357"/>
      <c r="P3680" s="841" t="s">
        <v>5442</v>
      </c>
      <c r="Q3680" s="1357"/>
      <c r="S3680" s="1420"/>
      <c r="T3680" s="1420"/>
      <c r="V3680" s="1357">
        <v>75</v>
      </c>
    </row>
    <row r="3681" spans="1:22" s="841" customFormat="1" ht="15" x14ac:dyDescent="0.25">
      <c r="A3681" s="841" t="s">
        <v>209</v>
      </c>
      <c r="E3681" s="1694" t="s">
        <v>3079</v>
      </c>
      <c r="F3681" s="1690"/>
      <c r="G3681" s="1408"/>
      <c r="H3681" s="1408"/>
      <c r="K3681" s="841" t="s">
        <v>3122</v>
      </c>
      <c r="M3681" s="1357"/>
      <c r="Q3681" s="1357"/>
      <c r="S3681" s="1420"/>
      <c r="T3681" s="1420"/>
      <c r="V3681" s="1357">
        <v>48</v>
      </c>
    </row>
    <row r="3682" spans="1:22" s="841" customFormat="1" ht="15" x14ac:dyDescent="0.25">
      <c r="A3682" s="841" t="s">
        <v>209</v>
      </c>
      <c r="E3682" s="1690" t="s">
        <v>2449</v>
      </c>
      <c r="F3682" s="1690"/>
      <c r="G3682" s="1408" t="s">
        <v>24</v>
      </c>
      <c r="H3682" s="393">
        <v>3.2000000000000002E-3</v>
      </c>
      <c r="K3682" s="841" t="s">
        <v>3321</v>
      </c>
      <c r="L3682" s="841" t="s">
        <v>3046</v>
      </c>
      <c r="M3682" s="1357"/>
      <c r="P3682" s="841" t="s">
        <v>3329</v>
      </c>
      <c r="Q3682" s="1357"/>
      <c r="S3682" s="1420"/>
      <c r="T3682" s="1420"/>
      <c r="V3682" s="1357">
        <v>55</v>
      </c>
    </row>
    <row r="3683" spans="1:22" s="841" customFormat="1" ht="15" x14ac:dyDescent="0.25">
      <c r="A3683" s="841" t="s">
        <v>209</v>
      </c>
      <c r="E3683" s="1690" t="s">
        <v>2450</v>
      </c>
      <c r="F3683" s="1690"/>
      <c r="G3683" s="1408" t="s">
        <v>24</v>
      </c>
      <c r="H3683" s="393">
        <v>4.0000000000000002E-4</v>
      </c>
      <c r="K3683" s="841" t="s">
        <v>3321</v>
      </c>
      <c r="L3683" s="841" t="s">
        <v>3046</v>
      </c>
      <c r="M3683" s="1357"/>
      <c r="P3683" s="841" t="s">
        <v>3329</v>
      </c>
      <c r="Q3683" s="1357"/>
      <c r="S3683" s="1420"/>
      <c r="T3683" s="1420"/>
      <c r="V3683" s="1357">
        <v>65</v>
      </c>
    </row>
    <row r="3684" spans="1:22" s="841" customFormat="1" ht="15" x14ac:dyDescent="0.25">
      <c r="A3684" s="841" t="s">
        <v>209</v>
      </c>
      <c r="E3684" s="1690" t="s">
        <v>439</v>
      </c>
      <c r="F3684" s="1690"/>
      <c r="G3684" s="1408" t="s">
        <v>24</v>
      </c>
      <c r="H3684" s="393">
        <v>2.9999999999999997E-4</v>
      </c>
      <c r="K3684" s="841" t="s">
        <v>3321</v>
      </c>
      <c r="L3684" s="841" t="s">
        <v>3046</v>
      </c>
      <c r="M3684" s="1357"/>
      <c r="P3684" s="841" t="s">
        <v>3330</v>
      </c>
      <c r="Q3684" s="1357"/>
      <c r="S3684" s="1420"/>
      <c r="T3684" s="1420"/>
      <c r="V3684" s="1357">
        <v>57</v>
      </c>
    </row>
    <row r="3685" spans="1:22" s="841" customFormat="1" ht="15" x14ac:dyDescent="0.25">
      <c r="A3685" s="841" t="s">
        <v>209</v>
      </c>
      <c r="E3685" s="1690" t="s">
        <v>32</v>
      </c>
      <c r="F3685" s="1690"/>
      <c r="G3685" s="1408" t="s">
        <v>23</v>
      </c>
      <c r="H3685" s="391">
        <v>0.25</v>
      </c>
      <c r="K3685" s="841" t="s">
        <v>3321</v>
      </c>
      <c r="L3685" s="841" t="s">
        <v>3046</v>
      </c>
      <c r="M3685" s="1357"/>
      <c r="P3685" s="841" t="s">
        <v>3331</v>
      </c>
      <c r="Q3685" s="1357"/>
      <c r="S3685" s="1420"/>
      <c r="T3685" s="1420"/>
      <c r="V3685" s="1357">
        <v>63</v>
      </c>
    </row>
    <row r="3686" spans="1:22" s="841" customFormat="1" x14ac:dyDescent="0.25">
      <c r="A3686" s="841" t="s">
        <v>209</v>
      </c>
      <c r="E3686" s="1909" t="s">
        <v>617</v>
      </c>
      <c r="F3686" s="1915"/>
      <c r="G3686" s="1915"/>
      <c r="H3686" s="1915"/>
      <c r="K3686" s="841" t="s">
        <v>3332</v>
      </c>
      <c r="M3686" s="1357"/>
      <c r="Q3686" s="1357"/>
      <c r="S3686" s="1420"/>
      <c r="T3686" s="1420"/>
      <c r="V3686" s="1357">
        <v>47</v>
      </c>
    </row>
    <row r="3687" spans="1:22" s="841" customFormat="1" ht="15" x14ac:dyDescent="0.25">
      <c r="A3687" s="841" t="s">
        <v>209</v>
      </c>
      <c r="E3687" s="1689" t="s">
        <v>3765</v>
      </c>
      <c r="F3687" s="1689"/>
      <c r="G3687" s="1689"/>
      <c r="H3687" s="1689"/>
      <c r="K3687" s="841" t="s">
        <v>3332</v>
      </c>
      <c r="M3687" s="1357"/>
      <c r="Q3687" s="1357"/>
      <c r="S3687" s="1420"/>
      <c r="T3687" s="1420"/>
      <c r="V3687" s="1357">
        <v>591</v>
      </c>
    </row>
    <row r="3688" spans="1:22" s="841" customFormat="1" ht="15" x14ac:dyDescent="0.25">
      <c r="A3688" s="841" t="s">
        <v>209</v>
      </c>
      <c r="E3688" s="1916" t="s">
        <v>3061</v>
      </c>
      <c r="F3688" s="1697"/>
      <c r="G3688" s="1697"/>
      <c r="H3688" s="1697"/>
      <c r="K3688" s="841" t="s">
        <v>3128</v>
      </c>
      <c r="M3688" s="1357"/>
      <c r="Q3688" s="1357"/>
      <c r="S3688" s="1420"/>
      <c r="T3688" s="1420"/>
      <c r="V3688" s="1357">
        <v>11</v>
      </c>
    </row>
    <row r="3689" spans="1:22" s="841" customFormat="1" ht="15" x14ac:dyDescent="0.25">
      <c r="A3689" s="841" t="s">
        <v>209</v>
      </c>
      <c r="E3689" s="1689" t="s">
        <v>3063</v>
      </c>
      <c r="F3689" s="1689"/>
      <c r="G3689" s="1689"/>
      <c r="H3689" s="1689"/>
      <c r="K3689" s="841" t="s">
        <v>3332</v>
      </c>
      <c r="M3689" s="1357"/>
      <c r="Q3689" s="1357"/>
      <c r="S3689" s="1420"/>
      <c r="T3689" s="1420"/>
      <c r="V3689" s="1357">
        <v>280</v>
      </c>
    </row>
    <row r="3690" spans="1:22" s="841" customFormat="1" ht="15" x14ac:dyDescent="0.25">
      <c r="A3690" s="841" t="s">
        <v>209</v>
      </c>
      <c r="E3690" s="1689" t="s">
        <v>3064</v>
      </c>
      <c r="F3690" s="1689"/>
      <c r="G3690" s="1689"/>
      <c r="H3690" s="1689"/>
      <c r="K3690" s="841" t="s">
        <v>3332</v>
      </c>
      <c r="M3690" s="1357"/>
      <c r="Q3690" s="1357"/>
      <c r="S3690" s="1420"/>
      <c r="T3690" s="1420"/>
      <c r="V3690" s="1357">
        <v>411</v>
      </c>
    </row>
    <row r="3691" spans="1:22" s="841" customFormat="1" ht="15" x14ac:dyDescent="0.25">
      <c r="A3691" s="841" t="s">
        <v>209</v>
      </c>
      <c r="E3691" s="1689" t="s">
        <v>3065</v>
      </c>
      <c r="F3691" s="1689"/>
      <c r="G3691" s="1689"/>
      <c r="H3691" s="1689"/>
      <c r="K3691" s="841" t="s">
        <v>3332</v>
      </c>
      <c r="M3691" s="1357"/>
      <c r="Q3691" s="1357"/>
      <c r="S3691" s="1420"/>
      <c r="T3691" s="1420"/>
      <c r="V3691" s="1357">
        <v>387</v>
      </c>
    </row>
    <row r="3692" spans="1:22" s="841" customFormat="1" ht="15" x14ac:dyDescent="0.25">
      <c r="A3692" s="841" t="s">
        <v>209</v>
      </c>
      <c r="E3692" s="1689" t="s">
        <v>3200</v>
      </c>
      <c r="F3692" s="1689"/>
      <c r="G3692" s="1689"/>
      <c r="H3692" s="1689"/>
      <c r="K3692" s="841" t="s">
        <v>3332</v>
      </c>
      <c r="M3692" s="1357"/>
      <c r="Q3692" s="1357"/>
      <c r="S3692" s="1420"/>
      <c r="T3692" s="1420"/>
      <c r="V3692" s="1357">
        <v>275</v>
      </c>
    </row>
    <row r="3693" spans="1:22" s="841" customFormat="1" ht="15" x14ac:dyDescent="0.25">
      <c r="A3693" s="841" t="s">
        <v>209</v>
      </c>
      <c r="E3693" s="1694" t="s">
        <v>3067</v>
      </c>
      <c r="F3693" s="1907"/>
      <c r="G3693" s="1907"/>
      <c r="H3693" s="1907"/>
      <c r="K3693" s="841" t="s">
        <v>3130</v>
      </c>
      <c r="M3693" s="1357"/>
      <c r="Q3693" s="1357"/>
      <c r="S3693" s="1420"/>
      <c r="T3693" s="1420"/>
      <c r="V3693" s="1357">
        <v>46</v>
      </c>
    </row>
    <row r="3694" spans="1:22" s="841" customFormat="1" ht="15" x14ac:dyDescent="0.25">
      <c r="A3694" s="841" t="s">
        <v>209</v>
      </c>
      <c r="E3694" s="1690" t="s">
        <v>12</v>
      </c>
      <c r="F3694" s="1690"/>
      <c r="G3694" s="1408" t="s">
        <v>23</v>
      </c>
      <c r="H3694" s="391">
        <v>6.95</v>
      </c>
      <c r="K3694" s="841" t="s">
        <v>3332</v>
      </c>
      <c r="L3694" s="841" t="s">
        <v>442</v>
      </c>
      <c r="M3694" s="1357"/>
      <c r="P3694" s="841" t="s">
        <v>3333</v>
      </c>
      <c r="Q3694" s="1357"/>
      <c r="S3694" s="1420"/>
      <c r="T3694" s="1420"/>
      <c r="V3694" s="1357">
        <v>31</v>
      </c>
    </row>
    <row r="3695" spans="1:22" s="841" customFormat="1" ht="15" x14ac:dyDescent="0.25">
      <c r="A3695" s="841" t="s">
        <v>209</v>
      </c>
      <c r="E3695" s="1690" t="s">
        <v>84</v>
      </c>
      <c r="F3695" s="1690"/>
      <c r="G3695" s="1408" t="s">
        <v>24</v>
      </c>
      <c r="H3695" s="393">
        <v>1.7100000000000001E-2</v>
      </c>
      <c r="K3695" s="841" t="s">
        <v>3332</v>
      </c>
      <c r="L3695" s="841" t="s">
        <v>442</v>
      </c>
      <c r="M3695" s="1357"/>
      <c r="P3695" s="841" t="s">
        <v>3334</v>
      </c>
      <c r="Q3695" s="1357"/>
      <c r="S3695" s="1420"/>
      <c r="T3695" s="1420"/>
      <c r="V3695" s="1357">
        <v>28</v>
      </c>
    </row>
    <row r="3696" spans="1:22" s="841" customFormat="1" ht="15" x14ac:dyDescent="0.25">
      <c r="A3696" s="841" t="s">
        <v>209</v>
      </c>
      <c r="E3696" s="1690" t="s">
        <v>18</v>
      </c>
      <c r="F3696" s="1690"/>
      <c r="G3696" s="1408" t="s">
        <v>24</v>
      </c>
      <c r="H3696" s="393">
        <v>8.9999999999999998E-4</v>
      </c>
      <c r="K3696" s="841" t="s">
        <v>3332</v>
      </c>
      <c r="L3696" s="841" t="s">
        <v>443</v>
      </c>
      <c r="M3696" s="1357"/>
      <c r="P3696" s="841" t="s">
        <v>3766</v>
      </c>
      <c r="Q3696" s="1357"/>
      <c r="S3696" s="1420"/>
      <c r="T3696" s="1420"/>
      <c r="V3696" s="1357">
        <v>24</v>
      </c>
    </row>
    <row r="3697" spans="1:22" s="841" customFormat="1" ht="15" x14ac:dyDescent="0.25">
      <c r="A3697" s="841" t="s">
        <v>209</v>
      </c>
      <c r="E3697" s="1690" t="s">
        <v>5129</v>
      </c>
      <c r="F3697" s="1908"/>
      <c r="G3697" s="1408" t="s">
        <v>24</v>
      </c>
      <c r="H3697" s="393">
        <v>-2.8E-3</v>
      </c>
      <c r="K3697" s="841" t="s">
        <v>3332</v>
      </c>
      <c r="L3697" s="841" t="s">
        <v>443</v>
      </c>
      <c r="M3697" s="1357"/>
      <c r="P3697" s="841" t="s">
        <v>3335</v>
      </c>
      <c r="Q3697" s="1357"/>
      <c r="S3697" s="1420"/>
      <c r="T3697" s="1420">
        <v>43585</v>
      </c>
      <c r="V3697" s="1357">
        <v>139</v>
      </c>
    </row>
    <row r="3698" spans="1:22" s="841" customFormat="1" ht="15" x14ac:dyDescent="0.25">
      <c r="A3698" s="841" t="s">
        <v>209</v>
      </c>
      <c r="E3698" s="1690" t="s">
        <v>5130</v>
      </c>
      <c r="F3698" s="1908"/>
      <c r="G3698" s="1408" t="s">
        <v>24</v>
      </c>
      <c r="H3698" s="393">
        <v>-1.8E-3</v>
      </c>
      <c r="K3698" s="841" t="s">
        <v>3332</v>
      </c>
      <c r="L3698" s="841" t="s">
        <v>443</v>
      </c>
      <c r="M3698" s="1357"/>
      <c r="P3698" s="841" t="s">
        <v>3336</v>
      </c>
      <c r="Q3698" s="1357"/>
      <c r="S3698" s="1420"/>
      <c r="T3698" s="1420">
        <v>43585</v>
      </c>
      <c r="V3698" s="1357">
        <v>96</v>
      </c>
    </row>
    <row r="3699" spans="1:22" s="841" customFormat="1" ht="15" x14ac:dyDescent="0.25">
      <c r="A3699" s="841" t="s">
        <v>209</v>
      </c>
      <c r="E3699" s="1690" t="s">
        <v>5424</v>
      </c>
      <c r="F3699" s="1908"/>
      <c r="G3699" s="1408" t="s">
        <v>24</v>
      </c>
      <c r="H3699" s="393">
        <v>-1E-4</v>
      </c>
      <c r="K3699" s="841" t="s">
        <v>3332</v>
      </c>
      <c r="L3699" s="841" t="s">
        <v>443</v>
      </c>
      <c r="M3699" s="1357"/>
      <c r="P3699" s="841" t="s">
        <v>5443</v>
      </c>
      <c r="Q3699" s="1357"/>
      <c r="S3699" s="1420"/>
      <c r="T3699" s="1420">
        <v>43585</v>
      </c>
      <c r="V3699" s="1357">
        <v>146</v>
      </c>
    </row>
    <row r="3700" spans="1:22" s="841" customFormat="1" ht="15" x14ac:dyDescent="0.25">
      <c r="A3700" s="841" t="s">
        <v>209</v>
      </c>
      <c r="E3700" s="1690" t="s">
        <v>221</v>
      </c>
      <c r="F3700" s="1690"/>
      <c r="G3700" s="1408" t="s">
        <v>24</v>
      </c>
      <c r="H3700" s="393">
        <v>5.8999999999999999E-3</v>
      </c>
      <c r="K3700" s="841" t="s">
        <v>3332</v>
      </c>
      <c r="L3700" s="841" t="s">
        <v>444</v>
      </c>
      <c r="M3700" s="1357"/>
      <c r="P3700" s="841" t="s">
        <v>3337</v>
      </c>
      <c r="Q3700" s="1357"/>
      <c r="S3700" s="1420"/>
      <c r="T3700" s="1420"/>
      <c r="V3700" s="1357">
        <v>47</v>
      </c>
    </row>
    <row r="3701" spans="1:22" s="841" customFormat="1" ht="15" x14ac:dyDescent="0.25">
      <c r="A3701" s="841" t="s">
        <v>209</v>
      </c>
      <c r="E3701" s="1690" t="s">
        <v>217</v>
      </c>
      <c r="F3701" s="1690"/>
      <c r="G3701" s="1408" t="s">
        <v>24</v>
      </c>
      <c r="H3701" s="393">
        <v>4.4000000000000003E-3</v>
      </c>
      <c r="K3701" s="841" t="s">
        <v>3332</v>
      </c>
      <c r="L3701" s="841" t="s">
        <v>444</v>
      </c>
      <c r="M3701" s="1357"/>
      <c r="P3701" s="841" t="s">
        <v>3338</v>
      </c>
      <c r="Q3701" s="1357"/>
      <c r="S3701" s="1420"/>
      <c r="T3701" s="1420"/>
      <c r="V3701" s="1357">
        <v>74</v>
      </c>
    </row>
    <row r="3702" spans="1:22" s="841" customFormat="1" ht="15" x14ac:dyDescent="0.25">
      <c r="A3702" s="841" t="s">
        <v>209</v>
      </c>
      <c r="E3702" s="1694" t="s">
        <v>3079</v>
      </c>
      <c r="F3702" s="1690"/>
      <c r="G3702" s="1408"/>
      <c r="H3702" s="1408"/>
      <c r="K3702" s="841" t="s">
        <v>3260</v>
      </c>
      <c r="M3702" s="1357"/>
      <c r="Q3702" s="1357"/>
      <c r="S3702" s="1420"/>
      <c r="T3702" s="1420"/>
      <c r="V3702" s="1357">
        <v>48</v>
      </c>
    </row>
    <row r="3703" spans="1:22" s="841" customFormat="1" ht="15" x14ac:dyDescent="0.25">
      <c r="A3703" s="841" t="s">
        <v>209</v>
      </c>
      <c r="E3703" s="1690" t="s">
        <v>2449</v>
      </c>
      <c r="F3703" s="1690"/>
      <c r="G3703" s="1408" t="s">
        <v>24</v>
      </c>
      <c r="H3703" s="393">
        <v>3.2000000000000002E-3</v>
      </c>
      <c r="K3703" s="841" t="s">
        <v>3332</v>
      </c>
      <c r="L3703" s="841" t="s">
        <v>3046</v>
      </c>
      <c r="M3703" s="1357"/>
      <c r="P3703" s="841" t="s">
        <v>3339</v>
      </c>
      <c r="Q3703" s="1357"/>
      <c r="S3703" s="1420"/>
      <c r="T3703" s="1420"/>
      <c r="V3703" s="1357">
        <v>55</v>
      </c>
    </row>
    <row r="3704" spans="1:22" s="841" customFormat="1" ht="15" x14ac:dyDescent="0.25">
      <c r="A3704" s="841" t="s">
        <v>209</v>
      </c>
      <c r="E3704" s="1690" t="s">
        <v>2450</v>
      </c>
      <c r="F3704" s="1690"/>
      <c r="G3704" s="1408" t="s">
        <v>24</v>
      </c>
      <c r="H3704" s="393">
        <v>4.0000000000000002E-4</v>
      </c>
      <c r="K3704" s="841" t="s">
        <v>3332</v>
      </c>
      <c r="L3704" s="841" t="s">
        <v>3046</v>
      </c>
      <c r="M3704" s="1357"/>
      <c r="P3704" s="841" t="s">
        <v>3339</v>
      </c>
      <c r="Q3704" s="1357"/>
      <c r="S3704" s="1420"/>
      <c r="T3704" s="1420"/>
      <c r="V3704" s="1357">
        <v>65</v>
      </c>
    </row>
    <row r="3705" spans="1:22" s="841" customFormat="1" ht="15" x14ac:dyDescent="0.25">
      <c r="A3705" s="841" t="s">
        <v>209</v>
      </c>
      <c r="E3705" s="1690" t="s">
        <v>439</v>
      </c>
      <c r="F3705" s="1690"/>
      <c r="G3705" s="1408" t="s">
        <v>24</v>
      </c>
      <c r="H3705" s="393">
        <v>2.9999999999999997E-4</v>
      </c>
      <c r="K3705" s="841" t="s">
        <v>3332</v>
      </c>
      <c r="L3705" s="841" t="s">
        <v>3046</v>
      </c>
      <c r="M3705" s="1357"/>
      <c r="P3705" s="841" t="s">
        <v>3340</v>
      </c>
      <c r="Q3705" s="1357"/>
      <c r="S3705" s="1420"/>
      <c r="T3705" s="1420"/>
      <c r="V3705" s="1357">
        <v>57</v>
      </c>
    </row>
    <row r="3706" spans="1:22" s="841" customFormat="1" ht="15" x14ac:dyDescent="0.25">
      <c r="A3706" s="841" t="s">
        <v>209</v>
      </c>
      <c r="E3706" s="1690" t="s">
        <v>32</v>
      </c>
      <c r="F3706" s="1690"/>
      <c r="G3706" s="1408" t="s">
        <v>23</v>
      </c>
      <c r="H3706" s="391">
        <v>0.25</v>
      </c>
      <c r="K3706" s="841" t="s">
        <v>3332</v>
      </c>
      <c r="L3706" s="841" t="s">
        <v>3046</v>
      </c>
      <c r="M3706" s="1357"/>
      <c r="P3706" s="841" t="s">
        <v>3341</v>
      </c>
      <c r="Q3706" s="1357"/>
      <c r="S3706" s="1420"/>
      <c r="T3706" s="1420"/>
      <c r="V3706" s="1357">
        <v>63</v>
      </c>
    </row>
    <row r="3707" spans="1:22" s="841" customFormat="1" x14ac:dyDescent="0.25">
      <c r="A3707" s="841" t="s">
        <v>209</v>
      </c>
      <c r="E3707" s="1909" t="s">
        <v>629</v>
      </c>
      <c r="F3707" s="1915"/>
      <c r="G3707" s="1915"/>
      <c r="H3707" s="1915"/>
      <c r="K3707" s="841" t="s">
        <v>3767</v>
      </c>
      <c r="M3707" s="1357"/>
      <c r="Q3707" s="1357"/>
      <c r="S3707" s="1420"/>
      <c r="T3707" s="1420"/>
      <c r="V3707" s="1357">
        <v>40</v>
      </c>
    </row>
    <row r="3708" spans="1:22" s="841" customFormat="1" ht="15" x14ac:dyDescent="0.25">
      <c r="A3708" s="841" t="s">
        <v>209</v>
      </c>
      <c r="E3708" s="1689" t="s">
        <v>3768</v>
      </c>
      <c r="F3708" s="1689"/>
      <c r="G3708" s="1689"/>
      <c r="H3708" s="1689"/>
      <c r="K3708" s="841" t="s">
        <v>3767</v>
      </c>
      <c r="M3708" s="1357"/>
      <c r="Q3708" s="1357"/>
      <c r="S3708" s="1420"/>
      <c r="T3708" s="1420"/>
      <c r="V3708" s="1357">
        <v>288</v>
      </c>
    </row>
    <row r="3709" spans="1:22" s="841" customFormat="1" ht="15" x14ac:dyDescent="0.25">
      <c r="A3709" s="841" t="s">
        <v>209</v>
      </c>
      <c r="E3709" s="1916" t="s">
        <v>3061</v>
      </c>
      <c r="F3709" s="1697"/>
      <c r="G3709" s="1697"/>
      <c r="H3709" s="1697"/>
      <c r="K3709" s="841" t="s">
        <v>3266</v>
      </c>
      <c r="M3709" s="1357"/>
      <c r="Q3709" s="1357"/>
      <c r="S3709" s="1420"/>
      <c r="T3709" s="1420"/>
      <c r="V3709" s="1357">
        <v>11</v>
      </c>
    </row>
    <row r="3710" spans="1:22" s="841" customFormat="1" ht="15" x14ac:dyDescent="0.25">
      <c r="A3710" s="841" t="s">
        <v>209</v>
      </c>
      <c r="E3710" s="1689" t="s">
        <v>3063</v>
      </c>
      <c r="F3710" s="1689"/>
      <c r="G3710" s="1689"/>
      <c r="H3710" s="1689"/>
      <c r="K3710" s="841" t="s">
        <v>3767</v>
      </c>
      <c r="M3710" s="1357"/>
      <c r="Q3710" s="1357"/>
      <c r="S3710" s="1420"/>
      <c r="T3710" s="1420"/>
      <c r="V3710" s="1357">
        <v>280</v>
      </c>
    </row>
    <row r="3711" spans="1:22" s="841" customFormat="1" ht="15" x14ac:dyDescent="0.25">
      <c r="A3711" s="841" t="s">
        <v>209</v>
      </c>
      <c r="E3711" s="1689" t="s">
        <v>3064</v>
      </c>
      <c r="F3711" s="1689"/>
      <c r="G3711" s="1689"/>
      <c r="H3711" s="1689"/>
      <c r="K3711" s="841" t="s">
        <v>3767</v>
      </c>
      <c r="M3711" s="1357"/>
      <c r="Q3711" s="1357"/>
      <c r="S3711" s="1420"/>
      <c r="T3711" s="1420"/>
      <c r="V3711" s="1357">
        <v>411</v>
      </c>
    </row>
    <row r="3712" spans="1:22" s="841" customFormat="1" ht="15" x14ac:dyDescent="0.25">
      <c r="A3712" s="841" t="s">
        <v>209</v>
      </c>
      <c r="E3712" s="1689" t="s">
        <v>3065</v>
      </c>
      <c r="F3712" s="1689"/>
      <c r="G3712" s="1689"/>
      <c r="H3712" s="1689"/>
      <c r="K3712" s="841" t="s">
        <v>3767</v>
      </c>
      <c r="M3712" s="1357"/>
      <c r="Q3712" s="1357"/>
      <c r="S3712" s="1420"/>
      <c r="T3712" s="1420"/>
      <c r="V3712" s="1357">
        <v>387</v>
      </c>
    </row>
    <row r="3713" spans="1:22" s="841" customFormat="1" ht="15" x14ac:dyDescent="0.25">
      <c r="A3713" s="841" t="s">
        <v>209</v>
      </c>
      <c r="E3713" s="1689" t="s">
        <v>3200</v>
      </c>
      <c r="F3713" s="1689"/>
      <c r="G3713" s="1689"/>
      <c r="H3713" s="1689"/>
      <c r="K3713" s="841" t="s">
        <v>3767</v>
      </c>
      <c r="M3713" s="1357"/>
      <c r="Q3713" s="1357"/>
      <c r="S3713" s="1420"/>
      <c r="T3713" s="1420"/>
      <c r="V3713" s="1357">
        <v>275</v>
      </c>
    </row>
    <row r="3714" spans="1:22" s="841" customFormat="1" ht="15" x14ac:dyDescent="0.25">
      <c r="A3714" s="841" t="s">
        <v>209</v>
      </c>
      <c r="E3714" s="1694" t="s">
        <v>3067</v>
      </c>
      <c r="F3714" s="1907"/>
      <c r="G3714" s="1907"/>
      <c r="H3714" s="1907"/>
      <c r="K3714" s="841" t="s">
        <v>3267</v>
      </c>
      <c r="M3714" s="1357"/>
      <c r="Q3714" s="1357"/>
      <c r="S3714" s="1420"/>
      <c r="T3714" s="1420"/>
      <c r="V3714" s="1357">
        <v>46</v>
      </c>
    </row>
    <row r="3715" spans="1:22" s="841" customFormat="1" ht="15" x14ac:dyDescent="0.25">
      <c r="A3715" s="841" t="s">
        <v>209</v>
      </c>
      <c r="E3715" s="1690" t="s">
        <v>11</v>
      </c>
      <c r="F3715" s="1690"/>
      <c r="G3715" s="1408" t="s">
        <v>23</v>
      </c>
      <c r="H3715" s="391">
        <v>4.58</v>
      </c>
      <c r="K3715" s="841" t="s">
        <v>3767</v>
      </c>
      <c r="L3715" s="841" t="s">
        <v>442</v>
      </c>
      <c r="M3715" s="1357"/>
      <c r="P3715" s="841" t="s">
        <v>3769</v>
      </c>
      <c r="Q3715" s="1357"/>
      <c r="S3715" s="1420"/>
      <c r="T3715" s="1420"/>
      <c r="V3715" s="1357">
        <v>14</v>
      </c>
    </row>
    <row r="3716" spans="1:22" s="841" customFormat="1" ht="15" x14ac:dyDescent="0.25">
      <c r="A3716" s="841" t="s">
        <v>209</v>
      </c>
      <c r="E3716" s="1690" t="s">
        <v>84</v>
      </c>
      <c r="F3716" s="1690"/>
      <c r="G3716" s="1408" t="s">
        <v>33</v>
      </c>
      <c r="H3716" s="393">
        <v>13.846399999999999</v>
      </c>
      <c r="K3716" s="841" t="s">
        <v>3767</v>
      </c>
      <c r="L3716" s="841" t="s">
        <v>442</v>
      </c>
      <c r="M3716" s="1357"/>
      <c r="P3716" s="841" t="s">
        <v>3770</v>
      </c>
      <c r="Q3716" s="1357"/>
      <c r="S3716" s="1420"/>
      <c r="T3716" s="1420"/>
      <c r="V3716" s="1357">
        <v>28</v>
      </c>
    </row>
    <row r="3717" spans="1:22" s="841" customFormat="1" ht="15" x14ac:dyDescent="0.25">
      <c r="A3717" s="841" t="s">
        <v>209</v>
      </c>
      <c r="E3717" s="1690" t="s">
        <v>18</v>
      </c>
      <c r="F3717" s="1690"/>
      <c r="G3717" s="1408" t="s">
        <v>33</v>
      </c>
      <c r="H3717" s="393">
        <v>0.2505</v>
      </c>
      <c r="K3717" s="841" t="s">
        <v>3767</v>
      </c>
      <c r="L3717" s="841" t="s">
        <v>443</v>
      </c>
      <c r="M3717" s="1357"/>
      <c r="P3717" s="841" t="s">
        <v>3771</v>
      </c>
      <c r="Q3717" s="1357"/>
      <c r="S3717" s="1420"/>
      <c r="T3717" s="1420"/>
      <c r="V3717" s="1357">
        <v>24</v>
      </c>
    </row>
    <row r="3718" spans="1:22" s="841" customFormat="1" ht="15" x14ac:dyDescent="0.25">
      <c r="A3718" s="841" t="s">
        <v>209</v>
      </c>
      <c r="E3718" s="1690" t="s">
        <v>5129</v>
      </c>
      <c r="F3718" s="1908"/>
      <c r="G3718" s="1408" t="s">
        <v>24</v>
      </c>
      <c r="H3718" s="393">
        <v>-2.8E-3</v>
      </c>
      <c r="K3718" s="841" t="s">
        <v>3767</v>
      </c>
      <c r="L3718" s="841" t="s">
        <v>443</v>
      </c>
      <c r="M3718" s="1357"/>
      <c r="P3718" s="841" t="s">
        <v>3772</v>
      </c>
      <c r="Q3718" s="1357"/>
      <c r="S3718" s="1420"/>
      <c r="T3718" s="1420">
        <v>43585</v>
      </c>
      <c r="V3718" s="1357">
        <v>139</v>
      </c>
    </row>
    <row r="3719" spans="1:22" s="841" customFormat="1" ht="15" x14ac:dyDescent="0.25">
      <c r="A3719" s="841" t="s">
        <v>209</v>
      </c>
      <c r="E3719" s="1690" t="s">
        <v>5130</v>
      </c>
      <c r="F3719" s="1908"/>
      <c r="G3719" s="1408" t="s">
        <v>33</v>
      </c>
      <c r="H3719" s="393">
        <v>-0.64</v>
      </c>
      <c r="K3719" s="841" t="s">
        <v>3767</v>
      </c>
      <c r="L3719" s="841" t="s">
        <v>443</v>
      </c>
      <c r="M3719" s="1357"/>
      <c r="P3719" s="841" t="s">
        <v>3773</v>
      </c>
      <c r="Q3719" s="1357"/>
      <c r="S3719" s="1420"/>
      <c r="T3719" s="1420">
        <v>43585</v>
      </c>
      <c r="V3719" s="1357">
        <v>96</v>
      </c>
    </row>
    <row r="3720" spans="1:22" s="841" customFormat="1" ht="15" x14ac:dyDescent="0.25">
      <c r="A3720" s="841" t="s">
        <v>209</v>
      </c>
      <c r="E3720" s="1690" t="s">
        <v>5424</v>
      </c>
      <c r="F3720" s="1908"/>
      <c r="G3720" s="1408" t="s">
        <v>33</v>
      </c>
      <c r="H3720" s="393">
        <v>-2.47E-2</v>
      </c>
      <c r="K3720" s="841" t="s">
        <v>3767</v>
      </c>
      <c r="L3720" s="841" t="s">
        <v>443</v>
      </c>
      <c r="M3720" s="1357"/>
      <c r="P3720" s="841" t="s">
        <v>5444</v>
      </c>
      <c r="Q3720" s="1357"/>
      <c r="S3720" s="1420"/>
      <c r="T3720" s="1420">
        <v>43585</v>
      </c>
      <c r="V3720" s="1357">
        <v>146</v>
      </c>
    </row>
    <row r="3721" spans="1:22" s="841" customFormat="1" ht="15" x14ac:dyDescent="0.25">
      <c r="A3721" s="841" t="s">
        <v>209</v>
      </c>
      <c r="E3721" s="1690" t="s">
        <v>221</v>
      </c>
      <c r="F3721" s="1690"/>
      <c r="G3721" s="1408" t="s">
        <v>33</v>
      </c>
      <c r="H3721" s="393">
        <v>1.7932999999999999</v>
      </c>
      <c r="K3721" s="841" t="s">
        <v>3767</v>
      </c>
      <c r="L3721" s="841" t="s">
        <v>444</v>
      </c>
      <c r="M3721" s="1357"/>
      <c r="P3721" s="841" t="s">
        <v>3774</v>
      </c>
      <c r="Q3721" s="1357"/>
      <c r="S3721" s="1420"/>
      <c r="T3721" s="1420"/>
      <c r="V3721" s="1357">
        <v>47</v>
      </c>
    </row>
    <row r="3722" spans="1:22" s="841" customFormat="1" ht="15" x14ac:dyDescent="0.25">
      <c r="A3722" s="841" t="s">
        <v>209</v>
      </c>
      <c r="E3722" s="1690" t="s">
        <v>217</v>
      </c>
      <c r="F3722" s="1690"/>
      <c r="G3722" s="1408" t="s">
        <v>33</v>
      </c>
      <c r="H3722" s="393">
        <v>1.3156000000000001</v>
      </c>
      <c r="K3722" s="841" t="s">
        <v>3767</v>
      </c>
      <c r="L3722" s="841" t="s">
        <v>444</v>
      </c>
      <c r="M3722" s="1357"/>
      <c r="P3722" s="841" t="s">
        <v>3775</v>
      </c>
      <c r="Q3722" s="1357"/>
      <c r="S3722" s="1420"/>
      <c r="T3722" s="1420"/>
      <c r="V3722" s="1357">
        <v>74</v>
      </c>
    </row>
    <row r="3723" spans="1:22" s="841" customFormat="1" ht="15" x14ac:dyDescent="0.25">
      <c r="A3723" s="841" t="s">
        <v>209</v>
      </c>
      <c r="E3723" s="1694" t="s">
        <v>3079</v>
      </c>
      <c r="F3723" s="1690"/>
      <c r="G3723" s="1408"/>
      <c r="H3723" s="1408"/>
      <c r="K3723" s="841" t="s">
        <v>3276</v>
      </c>
      <c r="M3723" s="1357"/>
      <c r="Q3723" s="1357"/>
      <c r="S3723" s="1420"/>
      <c r="T3723" s="1420"/>
      <c r="V3723" s="1357">
        <v>48</v>
      </c>
    </row>
    <row r="3724" spans="1:22" s="841" customFormat="1" ht="15" x14ac:dyDescent="0.25">
      <c r="A3724" s="841" t="s">
        <v>209</v>
      </c>
      <c r="E3724" s="1690" t="s">
        <v>2449</v>
      </c>
      <c r="F3724" s="1690"/>
      <c r="G3724" s="1408" t="s">
        <v>24</v>
      </c>
      <c r="H3724" s="393">
        <v>3.2000000000000002E-3</v>
      </c>
      <c r="K3724" s="841" t="s">
        <v>3767</v>
      </c>
      <c r="L3724" s="841" t="s">
        <v>3046</v>
      </c>
      <c r="M3724" s="1357"/>
      <c r="P3724" s="841" t="s">
        <v>3776</v>
      </c>
      <c r="Q3724" s="1357"/>
      <c r="S3724" s="1420"/>
      <c r="T3724" s="1420"/>
      <c r="V3724" s="1357">
        <v>55</v>
      </c>
    </row>
    <row r="3725" spans="1:22" s="841" customFormat="1" ht="15" x14ac:dyDescent="0.25">
      <c r="A3725" s="841" t="s">
        <v>209</v>
      </c>
      <c r="E3725" s="1690" t="s">
        <v>2450</v>
      </c>
      <c r="F3725" s="1690"/>
      <c r="G3725" s="1408" t="s">
        <v>24</v>
      </c>
      <c r="H3725" s="393">
        <v>4.0000000000000002E-4</v>
      </c>
      <c r="K3725" s="841" t="s">
        <v>3767</v>
      </c>
      <c r="L3725" s="841" t="s">
        <v>3046</v>
      </c>
      <c r="M3725" s="1357"/>
      <c r="P3725" s="841" t="s">
        <v>3776</v>
      </c>
      <c r="Q3725" s="1357"/>
      <c r="S3725" s="1420"/>
      <c r="T3725" s="1420"/>
      <c r="V3725" s="1357">
        <v>65</v>
      </c>
    </row>
    <row r="3726" spans="1:22" s="841" customFormat="1" ht="15" x14ac:dyDescent="0.25">
      <c r="A3726" s="841" t="s">
        <v>209</v>
      </c>
      <c r="E3726" s="1690" t="s">
        <v>439</v>
      </c>
      <c r="F3726" s="1690"/>
      <c r="G3726" s="1408" t="s">
        <v>24</v>
      </c>
      <c r="H3726" s="393">
        <v>2.9999999999999997E-4</v>
      </c>
      <c r="K3726" s="841" t="s">
        <v>3767</v>
      </c>
      <c r="L3726" s="841" t="s">
        <v>3046</v>
      </c>
      <c r="M3726" s="1357"/>
      <c r="P3726" s="841" t="s">
        <v>3777</v>
      </c>
      <c r="Q3726" s="1357"/>
      <c r="S3726" s="1420"/>
      <c r="T3726" s="1420"/>
      <c r="V3726" s="1357">
        <v>57</v>
      </c>
    </row>
    <row r="3727" spans="1:22" s="841" customFormat="1" ht="15" x14ac:dyDescent="0.25">
      <c r="A3727" s="841" t="s">
        <v>209</v>
      </c>
      <c r="E3727" s="1690" t="s">
        <v>32</v>
      </c>
      <c r="F3727" s="1690"/>
      <c r="G3727" s="1408" t="s">
        <v>23</v>
      </c>
      <c r="H3727" s="391">
        <v>0.25</v>
      </c>
      <c r="K3727" s="841" t="s">
        <v>3767</v>
      </c>
      <c r="L3727" s="841" t="s">
        <v>3046</v>
      </c>
      <c r="M3727" s="1357"/>
      <c r="P3727" s="841" t="s">
        <v>3778</v>
      </c>
      <c r="Q3727" s="1357"/>
      <c r="S3727" s="1420"/>
      <c r="T3727" s="1420"/>
      <c r="V3727" s="1357">
        <v>63</v>
      </c>
    </row>
    <row r="3728" spans="1:22" s="841" customFormat="1" x14ac:dyDescent="0.25">
      <c r="A3728" s="841" t="s">
        <v>209</v>
      </c>
      <c r="E3728" s="1909" t="s">
        <v>615</v>
      </c>
      <c r="F3728" s="1915"/>
      <c r="G3728" s="1915"/>
      <c r="H3728" s="1915"/>
      <c r="K3728" s="841" t="s">
        <v>3644</v>
      </c>
      <c r="M3728" s="1357"/>
      <c r="Q3728" s="1357"/>
      <c r="S3728" s="1420"/>
      <c r="T3728" s="1420"/>
      <c r="V3728" s="1357">
        <v>38</v>
      </c>
    </row>
    <row r="3729" spans="1:22" s="841" customFormat="1" ht="15" x14ac:dyDescent="0.25">
      <c r="A3729" s="841" t="s">
        <v>209</v>
      </c>
      <c r="E3729" s="1689" t="s">
        <v>3779</v>
      </c>
      <c r="F3729" s="1689"/>
      <c r="G3729" s="1689"/>
      <c r="H3729" s="1689"/>
      <c r="K3729" s="841" t="s">
        <v>3644</v>
      </c>
      <c r="M3729" s="1357"/>
      <c r="Q3729" s="1357"/>
      <c r="S3729" s="1420"/>
      <c r="T3729" s="1420"/>
      <c r="V3729" s="1357">
        <v>326</v>
      </c>
    </row>
    <row r="3730" spans="1:22" s="841" customFormat="1" ht="15" x14ac:dyDescent="0.25">
      <c r="A3730" s="841" t="s">
        <v>209</v>
      </c>
      <c r="E3730" s="1916" t="s">
        <v>3061</v>
      </c>
      <c r="F3730" s="1697"/>
      <c r="G3730" s="1697"/>
      <c r="H3730" s="1697"/>
      <c r="K3730" s="841" t="s">
        <v>3281</v>
      </c>
      <c r="M3730" s="1357"/>
      <c r="Q3730" s="1357"/>
      <c r="S3730" s="1420"/>
      <c r="T3730" s="1420"/>
      <c r="V3730" s="1357">
        <v>11</v>
      </c>
    </row>
    <row r="3731" spans="1:22" s="841" customFormat="1" ht="15" x14ac:dyDescent="0.25">
      <c r="A3731" s="841" t="s">
        <v>209</v>
      </c>
      <c r="E3731" s="1689" t="s">
        <v>3063</v>
      </c>
      <c r="F3731" s="1689"/>
      <c r="G3731" s="1689"/>
      <c r="H3731" s="1689"/>
      <c r="K3731" s="841" t="s">
        <v>3644</v>
      </c>
      <c r="M3731" s="1357"/>
      <c r="Q3731" s="1357"/>
      <c r="S3731" s="1420"/>
      <c r="T3731" s="1420"/>
      <c r="V3731" s="1357">
        <v>280</v>
      </c>
    </row>
    <row r="3732" spans="1:22" s="841" customFormat="1" ht="15" x14ac:dyDescent="0.25">
      <c r="A3732" s="841" t="s">
        <v>209</v>
      </c>
      <c r="E3732" s="1689" t="s">
        <v>3064</v>
      </c>
      <c r="F3732" s="1689"/>
      <c r="G3732" s="1689"/>
      <c r="H3732" s="1689"/>
      <c r="K3732" s="841" t="s">
        <v>3644</v>
      </c>
      <c r="M3732" s="1357"/>
      <c r="Q3732" s="1357"/>
      <c r="S3732" s="1420"/>
      <c r="T3732" s="1420"/>
      <c r="V3732" s="1357">
        <v>411</v>
      </c>
    </row>
    <row r="3733" spans="1:22" s="841" customFormat="1" ht="15" x14ac:dyDescent="0.25">
      <c r="A3733" s="841" t="s">
        <v>209</v>
      </c>
      <c r="E3733" s="1689" t="s">
        <v>3065</v>
      </c>
      <c r="F3733" s="1689"/>
      <c r="G3733" s="1689"/>
      <c r="H3733" s="1689"/>
      <c r="K3733" s="841" t="s">
        <v>3644</v>
      </c>
      <c r="M3733" s="1357"/>
      <c r="Q3733" s="1357"/>
      <c r="S3733" s="1420"/>
      <c r="T3733" s="1420"/>
      <c r="V3733" s="1357">
        <v>387</v>
      </c>
    </row>
    <row r="3734" spans="1:22" s="841" customFormat="1" ht="15" x14ac:dyDescent="0.25">
      <c r="A3734" s="841" t="s">
        <v>209</v>
      </c>
      <c r="E3734" s="1689" t="s">
        <v>3200</v>
      </c>
      <c r="F3734" s="1689"/>
      <c r="G3734" s="1689"/>
      <c r="H3734" s="1689"/>
      <c r="K3734" s="841" t="s">
        <v>3644</v>
      </c>
      <c r="M3734" s="1357"/>
      <c r="Q3734" s="1357"/>
      <c r="S3734" s="1420"/>
      <c r="T3734" s="1420"/>
      <c r="V3734" s="1357">
        <v>275</v>
      </c>
    </row>
    <row r="3735" spans="1:22" s="841" customFormat="1" ht="15" x14ac:dyDescent="0.25">
      <c r="A3735" s="841" t="s">
        <v>209</v>
      </c>
      <c r="E3735" s="1694" t="s">
        <v>3067</v>
      </c>
      <c r="F3735" s="1907"/>
      <c r="G3735" s="1907"/>
      <c r="H3735" s="1907"/>
      <c r="K3735" s="841" t="s">
        <v>3282</v>
      </c>
      <c r="M3735" s="1357"/>
      <c r="Q3735" s="1357"/>
      <c r="S3735" s="1420"/>
      <c r="T3735" s="1420"/>
      <c r="V3735" s="1357">
        <v>46</v>
      </c>
    </row>
    <row r="3736" spans="1:22" s="841" customFormat="1" ht="15" x14ac:dyDescent="0.25">
      <c r="A3736" s="841" t="s">
        <v>209</v>
      </c>
      <c r="E3736" s="1690" t="s">
        <v>435</v>
      </c>
      <c r="F3736" s="1690"/>
      <c r="G3736" s="1408" t="s">
        <v>23</v>
      </c>
      <c r="H3736" s="391">
        <v>0.71</v>
      </c>
      <c r="K3736" s="841" t="s">
        <v>3644</v>
      </c>
      <c r="L3736" s="841" t="s">
        <v>442</v>
      </c>
      <c r="M3736" s="1357"/>
      <c r="P3736" s="841" t="s">
        <v>3646</v>
      </c>
      <c r="Q3736" s="1357"/>
      <c r="S3736" s="1420"/>
      <c r="T3736" s="1420"/>
      <c r="V3736" s="1357">
        <v>26</v>
      </c>
    </row>
    <row r="3737" spans="1:22" s="841" customFormat="1" ht="15" x14ac:dyDescent="0.25">
      <c r="A3737" s="841" t="s">
        <v>209</v>
      </c>
      <c r="E3737" s="1690" t="s">
        <v>84</v>
      </c>
      <c r="F3737" s="1690"/>
      <c r="G3737" s="1408" t="s">
        <v>33</v>
      </c>
      <c r="H3737" s="393">
        <v>3.7862</v>
      </c>
      <c r="K3737" s="841" t="s">
        <v>3644</v>
      </c>
      <c r="L3737" s="841" t="s">
        <v>442</v>
      </c>
      <c r="M3737" s="1357"/>
      <c r="P3737" s="841" t="s">
        <v>3647</v>
      </c>
      <c r="Q3737" s="1357"/>
      <c r="S3737" s="1420"/>
      <c r="T3737" s="1420"/>
      <c r="V3737" s="1357">
        <v>28</v>
      </c>
    </row>
    <row r="3738" spans="1:22" s="841" customFormat="1" ht="15" x14ac:dyDescent="0.25">
      <c r="A3738" s="841" t="s">
        <v>209</v>
      </c>
      <c r="E3738" s="1690" t="s">
        <v>18</v>
      </c>
      <c r="F3738" s="1690"/>
      <c r="G3738" s="1408" t="s">
        <v>33</v>
      </c>
      <c r="H3738" s="393">
        <v>0.26179999999999998</v>
      </c>
      <c r="K3738" s="841" t="s">
        <v>3644</v>
      </c>
      <c r="L3738" s="841" t="s">
        <v>443</v>
      </c>
      <c r="M3738" s="1357"/>
      <c r="P3738" s="841" t="s">
        <v>3648</v>
      </c>
      <c r="Q3738" s="1357"/>
      <c r="S3738" s="1420"/>
      <c r="T3738" s="1420"/>
      <c r="V3738" s="1357">
        <v>24</v>
      </c>
    </row>
    <row r="3739" spans="1:22" s="841" customFormat="1" ht="15" x14ac:dyDescent="0.25">
      <c r="A3739" s="841" t="s">
        <v>209</v>
      </c>
      <c r="E3739" s="1690" t="s">
        <v>5129</v>
      </c>
      <c r="F3739" s="1908"/>
      <c r="G3739" s="1408" t="s">
        <v>24</v>
      </c>
      <c r="H3739" s="393">
        <v>-2.8E-3</v>
      </c>
      <c r="K3739" s="841" t="s">
        <v>3644</v>
      </c>
      <c r="L3739" s="841" t="s">
        <v>443</v>
      </c>
      <c r="M3739" s="1357"/>
      <c r="P3739" s="841" t="s">
        <v>3649</v>
      </c>
      <c r="Q3739" s="1357"/>
      <c r="S3739" s="1420"/>
      <c r="T3739" s="1420">
        <v>43585</v>
      </c>
      <c r="V3739" s="1357">
        <v>139</v>
      </c>
    </row>
    <row r="3740" spans="1:22" s="841" customFormat="1" ht="15" x14ac:dyDescent="0.25">
      <c r="A3740" s="841" t="s">
        <v>209</v>
      </c>
      <c r="E3740" s="1690" t="s">
        <v>5130</v>
      </c>
      <c r="F3740" s="1908"/>
      <c r="G3740" s="1408" t="s">
        <v>33</v>
      </c>
      <c r="H3740" s="393">
        <v>-0.63819999999999999</v>
      </c>
      <c r="K3740" s="841" t="s">
        <v>3644</v>
      </c>
      <c r="L3740" s="841" t="s">
        <v>443</v>
      </c>
      <c r="M3740" s="1357"/>
      <c r="P3740" s="841" t="s">
        <v>3650</v>
      </c>
      <c r="Q3740" s="1357"/>
      <c r="S3740" s="1420"/>
      <c r="T3740" s="1420">
        <v>43585</v>
      </c>
      <c r="V3740" s="1357">
        <v>96</v>
      </c>
    </row>
    <row r="3741" spans="1:22" s="841" customFormat="1" ht="15" x14ac:dyDescent="0.25">
      <c r="A3741" s="841" t="s">
        <v>209</v>
      </c>
      <c r="E3741" s="1690" t="s">
        <v>5424</v>
      </c>
      <c r="F3741" s="1908"/>
      <c r="G3741" s="1408" t="s">
        <v>33</v>
      </c>
      <c r="H3741" s="393">
        <v>-2.47E-2</v>
      </c>
      <c r="K3741" s="841" t="s">
        <v>3644</v>
      </c>
      <c r="L3741" s="841" t="s">
        <v>443</v>
      </c>
      <c r="M3741" s="1357"/>
      <c r="P3741" s="841" t="s">
        <v>5445</v>
      </c>
      <c r="Q3741" s="1357"/>
      <c r="S3741" s="1420"/>
      <c r="T3741" s="1420">
        <v>43585</v>
      </c>
      <c r="V3741" s="1357">
        <v>146</v>
      </c>
    </row>
    <row r="3742" spans="1:22" s="841" customFormat="1" ht="15" x14ac:dyDescent="0.25">
      <c r="A3742" s="841" t="s">
        <v>209</v>
      </c>
      <c r="E3742" s="1690" t="s">
        <v>221</v>
      </c>
      <c r="F3742" s="1690"/>
      <c r="G3742" s="1408" t="s">
        <v>33</v>
      </c>
      <c r="H3742" s="393">
        <v>1.8882000000000001</v>
      </c>
      <c r="K3742" s="841" t="s">
        <v>3644</v>
      </c>
      <c r="L3742" s="841" t="s">
        <v>444</v>
      </c>
      <c r="M3742" s="1357"/>
      <c r="P3742" s="841" t="s">
        <v>3651</v>
      </c>
      <c r="Q3742" s="1357"/>
      <c r="S3742" s="1420"/>
      <c r="T3742" s="1420"/>
      <c r="V3742" s="1357">
        <v>47</v>
      </c>
    </row>
    <row r="3743" spans="1:22" s="841" customFormat="1" ht="15" x14ac:dyDescent="0.25">
      <c r="A3743" s="841" t="s">
        <v>209</v>
      </c>
      <c r="E3743" s="1690" t="s">
        <v>217</v>
      </c>
      <c r="F3743" s="1690"/>
      <c r="G3743" s="1408" t="s">
        <v>33</v>
      </c>
      <c r="H3743" s="393">
        <v>1.3749</v>
      </c>
      <c r="K3743" s="841" t="s">
        <v>3644</v>
      </c>
      <c r="L3743" s="841" t="s">
        <v>444</v>
      </c>
      <c r="M3743" s="1357"/>
      <c r="P3743" s="841" t="s">
        <v>3652</v>
      </c>
      <c r="Q3743" s="1357"/>
      <c r="S3743" s="1420"/>
      <c r="T3743" s="1420"/>
      <c r="V3743" s="1357">
        <v>74</v>
      </c>
    </row>
    <row r="3744" spans="1:22" s="841" customFormat="1" ht="15" x14ac:dyDescent="0.25">
      <c r="A3744" s="841" t="s">
        <v>209</v>
      </c>
      <c r="E3744" s="1694" t="s">
        <v>3079</v>
      </c>
      <c r="F3744" s="1690"/>
      <c r="G3744" s="1408"/>
      <c r="H3744" s="1408"/>
      <c r="K3744" s="841" t="s">
        <v>3383</v>
      </c>
      <c r="M3744" s="1357"/>
      <c r="Q3744" s="1357"/>
      <c r="S3744" s="1420"/>
      <c r="T3744" s="1420"/>
      <c r="V3744" s="1357">
        <v>48</v>
      </c>
    </row>
    <row r="3745" spans="1:22" s="841" customFormat="1" ht="15" x14ac:dyDescent="0.25">
      <c r="A3745" s="841" t="s">
        <v>209</v>
      </c>
      <c r="E3745" s="1690" t="s">
        <v>2449</v>
      </c>
      <c r="F3745" s="1690"/>
      <c r="G3745" s="1408" t="s">
        <v>24</v>
      </c>
      <c r="H3745" s="393">
        <v>3.2000000000000002E-3</v>
      </c>
      <c r="K3745" s="841" t="s">
        <v>3644</v>
      </c>
      <c r="L3745" s="841" t="s">
        <v>3046</v>
      </c>
      <c r="M3745" s="1357"/>
      <c r="P3745" s="841" t="s">
        <v>3653</v>
      </c>
      <c r="Q3745" s="1357"/>
      <c r="S3745" s="1420"/>
      <c r="T3745" s="1420"/>
      <c r="V3745" s="1357">
        <v>55</v>
      </c>
    </row>
    <row r="3746" spans="1:22" s="841" customFormat="1" ht="15" x14ac:dyDescent="0.25">
      <c r="A3746" s="841" t="s">
        <v>209</v>
      </c>
      <c r="E3746" s="1690" t="s">
        <v>2450</v>
      </c>
      <c r="F3746" s="1690"/>
      <c r="G3746" s="1408" t="s">
        <v>24</v>
      </c>
      <c r="H3746" s="393">
        <v>4.0000000000000002E-4</v>
      </c>
      <c r="K3746" s="841" t="s">
        <v>3644</v>
      </c>
      <c r="L3746" s="841" t="s">
        <v>3046</v>
      </c>
      <c r="M3746" s="1357"/>
      <c r="P3746" s="841" t="s">
        <v>3653</v>
      </c>
      <c r="Q3746" s="1357"/>
      <c r="S3746" s="1420"/>
      <c r="T3746" s="1420"/>
      <c r="V3746" s="1357">
        <v>65</v>
      </c>
    </row>
    <row r="3747" spans="1:22" s="841" customFormat="1" ht="15" x14ac:dyDescent="0.25">
      <c r="A3747" s="841" t="s">
        <v>209</v>
      </c>
      <c r="E3747" s="1690" t="s">
        <v>439</v>
      </c>
      <c r="F3747" s="1690"/>
      <c r="G3747" s="1408" t="s">
        <v>24</v>
      </c>
      <c r="H3747" s="393">
        <v>2.9999999999999997E-4</v>
      </c>
      <c r="K3747" s="841" t="s">
        <v>3644</v>
      </c>
      <c r="L3747" s="841" t="s">
        <v>3046</v>
      </c>
      <c r="M3747" s="1357"/>
      <c r="P3747" s="841" t="s">
        <v>3654</v>
      </c>
      <c r="Q3747" s="1357"/>
      <c r="S3747" s="1420"/>
      <c r="T3747" s="1420"/>
      <c r="V3747" s="1357">
        <v>57</v>
      </c>
    </row>
    <row r="3748" spans="1:22" s="841" customFormat="1" ht="15" x14ac:dyDescent="0.25">
      <c r="A3748" s="841" t="s">
        <v>209</v>
      </c>
      <c r="E3748" s="1690" t="s">
        <v>32</v>
      </c>
      <c r="F3748" s="1690"/>
      <c r="G3748" s="1408" t="s">
        <v>23</v>
      </c>
      <c r="H3748" s="391">
        <v>0.25</v>
      </c>
      <c r="K3748" s="841" t="s">
        <v>3644</v>
      </c>
      <c r="L3748" s="841" t="s">
        <v>3046</v>
      </c>
      <c r="M3748" s="1357"/>
      <c r="P3748" s="841" t="s">
        <v>3655</v>
      </c>
      <c r="Q3748" s="1357"/>
      <c r="S3748" s="1420"/>
      <c r="T3748" s="1420"/>
      <c r="V3748" s="1357">
        <v>63</v>
      </c>
    </row>
    <row r="3749" spans="1:22" s="841" customFormat="1" x14ac:dyDescent="0.25">
      <c r="A3749" s="841" t="s">
        <v>209</v>
      </c>
      <c r="E3749" s="1909" t="s">
        <v>618</v>
      </c>
      <c r="F3749" s="1915"/>
      <c r="G3749" s="1915"/>
      <c r="H3749" s="1915"/>
      <c r="K3749" s="841" t="s">
        <v>3656</v>
      </c>
      <c r="M3749" s="1357"/>
      <c r="Q3749" s="1357"/>
      <c r="S3749" s="1420"/>
      <c r="T3749" s="1420"/>
      <c r="V3749" s="1357">
        <v>31</v>
      </c>
    </row>
    <row r="3750" spans="1:22" s="841" customFormat="1" ht="15" x14ac:dyDescent="0.25">
      <c r="A3750" s="841" t="s">
        <v>209</v>
      </c>
      <c r="E3750" s="1689" t="s">
        <v>3781</v>
      </c>
      <c r="F3750" s="1689"/>
      <c r="G3750" s="1689"/>
      <c r="H3750" s="1689"/>
      <c r="K3750" s="841" t="s">
        <v>3656</v>
      </c>
      <c r="M3750" s="1357"/>
      <c r="Q3750" s="1357"/>
      <c r="S3750" s="1420"/>
      <c r="T3750" s="1420"/>
      <c r="V3750" s="1357">
        <v>286</v>
      </c>
    </row>
    <row r="3751" spans="1:22" s="841" customFormat="1" ht="15" x14ac:dyDescent="0.25">
      <c r="A3751" s="841" t="s">
        <v>209</v>
      </c>
      <c r="E3751" s="1916" t="s">
        <v>3061</v>
      </c>
      <c r="F3751" s="1697"/>
      <c r="G3751" s="1697"/>
      <c r="H3751" s="1697"/>
      <c r="K3751" s="841" t="s">
        <v>3345</v>
      </c>
      <c r="M3751" s="1357"/>
      <c r="Q3751" s="1357"/>
      <c r="S3751" s="1420"/>
      <c r="T3751" s="1420"/>
      <c r="V3751" s="1357">
        <v>11</v>
      </c>
    </row>
    <row r="3752" spans="1:22" s="841" customFormat="1" ht="15" x14ac:dyDescent="0.25">
      <c r="A3752" s="841" t="s">
        <v>209</v>
      </c>
      <c r="E3752" s="1689" t="s">
        <v>3063</v>
      </c>
      <c r="F3752" s="1689"/>
      <c r="G3752" s="1689"/>
      <c r="H3752" s="1689"/>
      <c r="K3752" s="841" t="s">
        <v>3656</v>
      </c>
      <c r="M3752" s="1357"/>
      <c r="Q3752" s="1357"/>
      <c r="S3752" s="1420"/>
      <c r="T3752" s="1420"/>
      <c r="V3752" s="1357">
        <v>280</v>
      </c>
    </row>
    <row r="3753" spans="1:22" s="841" customFormat="1" ht="15" x14ac:dyDescent="0.25">
      <c r="A3753" s="841" t="s">
        <v>209</v>
      </c>
      <c r="E3753" s="1689" t="s">
        <v>3064</v>
      </c>
      <c r="F3753" s="1689"/>
      <c r="G3753" s="1689"/>
      <c r="H3753" s="1689"/>
      <c r="K3753" s="841" t="s">
        <v>3656</v>
      </c>
      <c r="M3753" s="1357"/>
      <c r="Q3753" s="1357"/>
      <c r="S3753" s="1420"/>
      <c r="T3753" s="1420"/>
      <c r="V3753" s="1357">
        <v>411</v>
      </c>
    </row>
    <row r="3754" spans="1:22" s="841" customFormat="1" ht="15" x14ac:dyDescent="0.25">
      <c r="A3754" s="841" t="s">
        <v>209</v>
      </c>
      <c r="E3754" s="1689" t="s">
        <v>3129</v>
      </c>
      <c r="F3754" s="1689"/>
      <c r="G3754" s="1689"/>
      <c r="H3754" s="1689"/>
      <c r="K3754" s="841" t="s">
        <v>3656</v>
      </c>
      <c r="M3754" s="1357"/>
      <c r="Q3754" s="1357"/>
      <c r="S3754" s="1420"/>
      <c r="T3754" s="1420"/>
      <c r="V3754" s="1357">
        <v>211</v>
      </c>
    </row>
    <row r="3755" spans="1:22" s="841" customFormat="1" ht="15" x14ac:dyDescent="0.25">
      <c r="A3755" s="841" t="s">
        <v>209</v>
      </c>
      <c r="E3755" s="1689" t="s">
        <v>3200</v>
      </c>
      <c r="F3755" s="1689"/>
      <c r="G3755" s="1689"/>
      <c r="H3755" s="1689"/>
      <c r="K3755" s="841" t="s">
        <v>3656</v>
      </c>
      <c r="M3755" s="1357"/>
      <c r="Q3755" s="1357"/>
      <c r="S3755" s="1420"/>
      <c r="T3755" s="1420"/>
      <c r="V3755" s="1357">
        <v>275</v>
      </c>
    </row>
    <row r="3756" spans="1:22" s="841" customFormat="1" ht="15" x14ac:dyDescent="0.25">
      <c r="A3756" s="841" t="s">
        <v>209</v>
      </c>
      <c r="E3756" s="1694" t="s">
        <v>3067</v>
      </c>
      <c r="F3756" s="1907"/>
      <c r="G3756" s="1907"/>
      <c r="H3756" s="1907"/>
      <c r="K3756" s="841" t="s">
        <v>3346</v>
      </c>
      <c r="M3756" s="1357"/>
      <c r="Q3756" s="1357"/>
      <c r="S3756" s="1420"/>
      <c r="T3756" s="1420"/>
      <c r="V3756" s="1357">
        <v>46</v>
      </c>
    </row>
    <row r="3757" spans="1:22" s="841" customFormat="1" ht="15" x14ac:dyDescent="0.25">
      <c r="A3757" s="841" t="s">
        <v>209</v>
      </c>
      <c r="E3757" s="1690" t="s">
        <v>11</v>
      </c>
      <c r="F3757" s="1690"/>
      <c r="G3757" s="1408" t="s">
        <v>23</v>
      </c>
      <c r="H3757" s="391">
        <v>5.4</v>
      </c>
      <c r="K3757" s="841" t="s">
        <v>3656</v>
      </c>
      <c r="L3757" s="841" t="s">
        <v>442</v>
      </c>
      <c r="M3757" s="1357"/>
      <c r="P3757" s="841" t="s">
        <v>3657</v>
      </c>
      <c r="Q3757" s="1357"/>
      <c r="S3757" s="1420"/>
      <c r="T3757" s="1420"/>
      <c r="V3757" s="1357">
        <v>14</v>
      </c>
    </row>
    <row r="3758" spans="1:22" s="841" customFormat="1" ht="18.75" x14ac:dyDescent="0.3">
      <c r="A3758" s="841" t="s">
        <v>209</v>
      </c>
      <c r="E3758" s="1374" t="s">
        <v>85</v>
      </c>
      <c r="F3758" s="657"/>
      <c r="G3758" s="657"/>
      <c r="H3758" s="658"/>
      <c r="K3758" s="841" t="s">
        <v>3782</v>
      </c>
      <c r="M3758" s="1357"/>
      <c r="Q3758" s="1357"/>
      <c r="S3758" s="1420"/>
      <c r="T3758" s="1420"/>
      <c r="V3758" s="1357">
        <v>10</v>
      </c>
    </row>
    <row r="3759" spans="1:22" s="841" customFormat="1" ht="15" x14ac:dyDescent="0.25">
      <c r="A3759" s="841" t="s">
        <v>209</v>
      </c>
      <c r="E3759" s="1690" t="s">
        <v>3133</v>
      </c>
      <c r="F3759" s="1690"/>
      <c r="G3759" s="1408" t="s">
        <v>33</v>
      </c>
      <c r="H3759" s="393">
        <v>-0.6</v>
      </c>
      <c r="M3759" s="1357"/>
      <c r="Q3759" s="1357"/>
      <c r="S3759" s="1420"/>
      <c r="T3759" s="1420"/>
      <c r="V3759" s="1357">
        <v>68</v>
      </c>
    </row>
    <row r="3760" spans="1:22" s="841" customFormat="1" ht="15" x14ac:dyDescent="0.25">
      <c r="A3760" s="841" t="s">
        <v>209</v>
      </c>
      <c r="E3760" s="1690" t="s">
        <v>3134</v>
      </c>
      <c r="F3760" s="1690"/>
      <c r="G3760" s="1408" t="s">
        <v>86</v>
      </c>
      <c r="H3760" s="391">
        <v>-1</v>
      </c>
      <c r="M3760" s="1357"/>
      <c r="Q3760" s="1357"/>
      <c r="S3760" s="1420"/>
      <c r="T3760" s="1420"/>
      <c r="V3760" s="1357">
        <v>87</v>
      </c>
    </row>
    <row r="3761" spans="1:22" s="841" customFormat="1" ht="36.75" x14ac:dyDescent="0.3">
      <c r="A3761" s="841" t="s">
        <v>209</v>
      </c>
      <c r="E3761" s="1374" t="s">
        <v>87</v>
      </c>
      <c r="F3761" s="657"/>
      <c r="G3761" s="657"/>
      <c r="H3761" s="658"/>
      <c r="K3761" s="841" t="s">
        <v>3783</v>
      </c>
      <c r="M3761" s="1357"/>
      <c r="Q3761" s="1357"/>
      <c r="S3761" s="1420"/>
      <c r="T3761" s="1420"/>
      <c r="V3761" s="1357">
        <v>24</v>
      </c>
    </row>
    <row r="3762" spans="1:22" s="841" customFormat="1" ht="15" x14ac:dyDescent="0.25">
      <c r="A3762" s="841" t="s">
        <v>209</v>
      </c>
      <c r="E3762" s="1689" t="s">
        <v>3063</v>
      </c>
      <c r="F3762" s="1689"/>
      <c r="G3762" s="1689"/>
      <c r="H3762" s="1689"/>
      <c r="M3762" s="1357"/>
      <c r="Q3762" s="1357"/>
      <c r="S3762" s="1420"/>
      <c r="T3762" s="1420"/>
      <c r="V3762" s="1357">
        <v>280</v>
      </c>
    </row>
    <row r="3763" spans="1:22" s="841" customFormat="1" ht="15" x14ac:dyDescent="0.25">
      <c r="A3763" s="841" t="s">
        <v>209</v>
      </c>
      <c r="E3763" s="1689" t="s">
        <v>3136</v>
      </c>
      <c r="F3763" s="1689"/>
      <c r="G3763" s="1689"/>
      <c r="H3763" s="1689"/>
      <c r="M3763" s="1357"/>
      <c r="Q3763" s="1357"/>
      <c r="S3763" s="1420"/>
      <c r="T3763" s="1420"/>
      <c r="V3763" s="1357">
        <v>353</v>
      </c>
    </row>
    <row r="3764" spans="1:22" s="841" customFormat="1" ht="15" x14ac:dyDescent="0.25">
      <c r="A3764" s="841" t="s">
        <v>209</v>
      </c>
      <c r="E3764" s="1689" t="s">
        <v>3200</v>
      </c>
      <c r="F3764" s="1689"/>
      <c r="G3764" s="1689"/>
      <c r="H3764" s="1689"/>
      <c r="M3764" s="1357"/>
      <c r="Q3764" s="1357"/>
      <c r="S3764" s="1420"/>
      <c r="T3764" s="1420"/>
      <c r="V3764" s="1357">
        <v>275</v>
      </c>
    </row>
    <row r="3765" spans="1:22" s="841" customFormat="1" ht="15" x14ac:dyDescent="0.25">
      <c r="A3765" s="841" t="s">
        <v>209</v>
      </c>
      <c r="E3765" s="1370" t="s">
        <v>3137</v>
      </c>
      <c r="F3765" s="3"/>
      <c r="G3765" s="3"/>
      <c r="H3765" s="398"/>
      <c r="K3765" s="841" t="s">
        <v>3784</v>
      </c>
      <c r="M3765" s="1357"/>
      <c r="Q3765" s="1357"/>
      <c r="S3765" s="1420"/>
      <c r="T3765" s="1420"/>
      <c r="V3765" s="1357">
        <v>23</v>
      </c>
    </row>
    <row r="3766" spans="1:22" s="841" customFormat="1" ht="15" x14ac:dyDescent="0.25">
      <c r="A3766" s="841" t="s">
        <v>209</v>
      </c>
      <c r="E3766" s="1688" t="s">
        <v>3355</v>
      </c>
      <c r="F3766" s="1688"/>
      <c r="G3766" s="1408" t="s">
        <v>23</v>
      </c>
      <c r="H3766" s="391">
        <v>15</v>
      </c>
      <c r="M3766" s="1357"/>
      <c r="Q3766" s="1357"/>
      <c r="S3766" s="1420"/>
      <c r="T3766" s="1420"/>
      <c r="V3766" s="1357">
        <v>19</v>
      </c>
    </row>
    <row r="3767" spans="1:22" s="841" customFormat="1" ht="15" x14ac:dyDescent="0.25">
      <c r="A3767" s="841" t="s">
        <v>209</v>
      </c>
      <c r="E3767" s="1688" t="s">
        <v>3140</v>
      </c>
      <c r="F3767" s="1688"/>
      <c r="G3767" s="1408" t="s">
        <v>23</v>
      </c>
      <c r="H3767" s="391">
        <v>15</v>
      </c>
      <c r="M3767" s="1357"/>
      <c r="Q3767" s="1357"/>
      <c r="S3767" s="1420"/>
      <c r="T3767" s="1420"/>
      <c r="V3767" s="1357">
        <v>20</v>
      </c>
    </row>
    <row r="3768" spans="1:22" s="841" customFormat="1" ht="15" x14ac:dyDescent="0.25">
      <c r="A3768" s="841" t="s">
        <v>209</v>
      </c>
      <c r="E3768" s="1688" t="s">
        <v>3143</v>
      </c>
      <c r="F3768" s="1688"/>
      <c r="G3768" s="1408" t="s">
        <v>23</v>
      </c>
      <c r="H3768" s="391">
        <v>15</v>
      </c>
      <c r="M3768" s="1357"/>
      <c r="Q3768" s="1357"/>
      <c r="S3768" s="1420"/>
      <c r="T3768" s="1420"/>
      <c r="V3768" s="1357">
        <v>37</v>
      </c>
    </row>
    <row r="3769" spans="1:22" s="841" customFormat="1" ht="15" x14ac:dyDescent="0.25">
      <c r="A3769" s="841" t="s">
        <v>209</v>
      </c>
      <c r="E3769" s="1688" t="s">
        <v>4770</v>
      </c>
      <c r="F3769" s="1688"/>
      <c r="G3769" s="1408" t="s">
        <v>23</v>
      </c>
      <c r="H3769" s="391">
        <v>15</v>
      </c>
      <c r="M3769" s="1357"/>
      <c r="Q3769" s="1357"/>
      <c r="S3769" s="1420"/>
      <c r="T3769" s="1420"/>
      <c r="V3769" s="1357">
        <v>15</v>
      </c>
    </row>
    <row r="3770" spans="1:22" s="841" customFormat="1" ht="15" x14ac:dyDescent="0.25">
      <c r="A3770" s="841" t="s">
        <v>209</v>
      </c>
      <c r="E3770" s="1688" t="s">
        <v>3147</v>
      </c>
      <c r="F3770" s="1688"/>
      <c r="G3770" s="1408" t="s">
        <v>23</v>
      </c>
      <c r="H3770" s="391">
        <v>15</v>
      </c>
      <c r="M3770" s="1357"/>
      <c r="Q3770" s="1357"/>
      <c r="S3770" s="1420"/>
      <c r="T3770" s="1420"/>
      <c r="V3770" s="1357">
        <v>15</v>
      </c>
    </row>
    <row r="3771" spans="1:22" s="841" customFormat="1" ht="15" x14ac:dyDescent="0.25">
      <c r="A3771" s="841" t="s">
        <v>209</v>
      </c>
      <c r="E3771" s="1688" t="s">
        <v>3148</v>
      </c>
      <c r="F3771" s="1688"/>
      <c r="G3771" s="1408" t="s">
        <v>23</v>
      </c>
      <c r="H3771" s="391">
        <v>15</v>
      </c>
      <c r="M3771" s="1357"/>
      <c r="Q3771" s="1357"/>
      <c r="S3771" s="1420"/>
      <c r="T3771" s="1420"/>
      <c r="V3771" s="1357">
        <v>56</v>
      </c>
    </row>
    <row r="3772" spans="1:22" s="841" customFormat="1" ht="15" x14ac:dyDescent="0.25">
      <c r="A3772" s="841" t="s">
        <v>209</v>
      </c>
      <c r="E3772" s="1688" t="s">
        <v>123</v>
      </c>
      <c r="F3772" s="1688"/>
      <c r="G3772" s="1408" t="s">
        <v>23</v>
      </c>
      <c r="H3772" s="391">
        <v>15</v>
      </c>
      <c r="M3772" s="1357"/>
      <c r="Q3772" s="1357"/>
      <c r="S3772" s="1420"/>
      <c r="T3772" s="1420"/>
      <c r="V3772" s="1357">
        <v>35</v>
      </c>
    </row>
    <row r="3773" spans="1:22" s="841" customFormat="1" ht="15" x14ac:dyDescent="0.25">
      <c r="A3773" s="841" t="s">
        <v>209</v>
      </c>
      <c r="E3773" s="1688" t="s">
        <v>88</v>
      </c>
      <c r="F3773" s="1688"/>
      <c r="G3773" s="1408" t="s">
        <v>23</v>
      </c>
      <c r="H3773" s="391">
        <v>30</v>
      </c>
      <c r="M3773" s="1357"/>
      <c r="Q3773" s="1357"/>
      <c r="S3773" s="1420"/>
      <c r="T3773" s="1420"/>
      <c r="V3773" s="1357">
        <v>89</v>
      </c>
    </row>
    <row r="3774" spans="1:22" s="841" customFormat="1" ht="15" x14ac:dyDescent="0.25">
      <c r="A3774" s="841" t="s">
        <v>209</v>
      </c>
      <c r="E3774" s="1688" t="s">
        <v>94</v>
      </c>
      <c r="F3774" s="1688"/>
      <c r="G3774" s="1408" t="s">
        <v>23</v>
      </c>
      <c r="H3774" s="391">
        <v>30</v>
      </c>
      <c r="M3774" s="1357"/>
      <c r="Q3774" s="1357"/>
      <c r="S3774" s="1420"/>
      <c r="T3774" s="1420"/>
      <c r="V3774" s="1357">
        <v>19</v>
      </c>
    </row>
    <row r="3775" spans="1:22" s="841" customFormat="1" ht="15" x14ac:dyDescent="0.25">
      <c r="A3775" s="841" t="s">
        <v>209</v>
      </c>
      <c r="E3775" s="1688" t="s">
        <v>92</v>
      </c>
      <c r="F3775" s="1688"/>
      <c r="G3775" s="1408" t="s">
        <v>23</v>
      </c>
      <c r="H3775" s="391">
        <v>30</v>
      </c>
      <c r="M3775" s="1357"/>
      <c r="Q3775" s="1357"/>
      <c r="S3775" s="1420"/>
      <c r="T3775" s="1420"/>
      <c r="V3775" s="1357">
        <v>74</v>
      </c>
    </row>
    <row r="3776" spans="1:22" s="841" customFormat="1" ht="15" x14ac:dyDescent="0.25">
      <c r="A3776" s="841" t="s">
        <v>209</v>
      </c>
      <c r="E3776" s="1370" t="s">
        <v>3152</v>
      </c>
      <c r="F3776" s="3"/>
      <c r="G3776" s="3"/>
      <c r="H3776" s="398"/>
      <c r="K3776" s="841" t="s">
        <v>3785</v>
      </c>
      <c r="M3776" s="1357"/>
      <c r="Q3776" s="1357"/>
      <c r="S3776" s="1420"/>
      <c r="T3776" s="1420"/>
      <c r="V3776" s="1357">
        <v>22</v>
      </c>
    </row>
    <row r="3777" spans="1:22" s="841" customFormat="1" ht="15" x14ac:dyDescent="0.25">
      <c r="A3777" s="841" t="s">
        <v>209</v>
      </c>
      <c r="E3777" s="1688" t="s">
        <v>5137</v>
      </c>
      <c r="F3777" s="1688"/>
      <c r="G3777" s="1408" t="s">
        <v>86</v>
      </c>
      <c r="H3777" s="391">
        <v>1.5</v>
      </c>
      <c r="M3777" s="1357"/>
      <c r="Q3777" s="1357"/>
      <c r="S3777" s="1420"/>
      <c r="T3777" s="1420"/>
      <c r="V3777" s="1357">
        <v>24</v>
      </c>
    </row>
    <row r="3778" spans="1:22" s="841" customFormat="1" ht="15" x14ac:dyDescent="0.25">
      <c r="A3778" s="841" t="s">
        <v>209</v>
      </c>
      <c r="E3778" s="1688" t="s">
        <v>4772</v>
      </c>
      <c r="F3778" s="1688"/>
      <c r="G3778" s="1408" t="s">
        <v>86</v>
      </c>
      <c r="H3778" s="391">
        <v>19.559999999999999</v>
      </c>
      <c r="M3778" s="1357"/>
      <c r="Q3778" s="1357"/>
      <c r="S3778" s="1420"/>
      <c r="T3778" s="1420"/>
      <c r="V3778" s="1357">
        <v>24</v>
      </c>
    </row>
    <row r="3779" spans="1:22" s="841" customFormat="1" ht="15" x14ac:dyDescent="0.25">
      <c r="A3779" s="841" t="s">
        <v>209</v>
      </c>
      <c r="E3779" s="1688" t="s">
        <v>3288</v>
      </c>
      <c r="F3779" s="1688"/>
      <c r="G3779" s="1408" t="s">
        <v>23</v>
      </c>
      <c r="H3779" s="391">
        <v>30</v>
      </c>
      <c r="M3779" s="1357"/>
      <c r="Q3779" s="1357"/>
      <c r="S3779" s="1420"/>
      <c r="T3779" s="1420"/>
      <c r="V3779" s="1357">
        <v>47</v>
      </c>
    </row>
    <row r="3780" spans="1:22" s="841" customFormat="1" ht="15" x14ac:dyDescent="0.25">
      <c r="A3780" s="841" t="s">
        <v>209</v>
      </c>
      <c r="E3780" s="1688" t="s">
        <v>4773</v>
      </c>
      <c r="F3780" s="1688"/>
      <c r="G3780" s="1408" t="s">
        <v>23</v>
      </c>
      <c r="H3780" s="391">
        <v>65</v>
      </c>
      <c r="M3780" s="1357"/>
      <c r="Q3780" s="1357"/>
      <c r="S3780" s="1420"/>
      <c r="T3780" s="1420"/>
      <c r="V3780" s="1357">
        <v>52</v>
      </c>
    </row>
    <row r="3781" spans="1:22" s="841" customFormat="1" ht="15" x14ac:dyDescent="0.25">
      <c r="A3781" s="841" t="s">
        <v>209</v>
      </c>
      <c r="E3781" s="1688" t="s">
        <v>4774</v>
      </c>
      <c r="F3781" s="1688"/>
      <c r="G3781" s="1408" t="s">
        <v>23</v>
      </c>
      <c r="H3781" s="391">
        <v>185</v>
      </c>
      <c r="M3781" s="1357"/>
      <c r="Q3781" s="1357"/>
      <c r="S3781" s="1420"/>
      <c r="T3781" s="1420"/>
      <c r="V3781" s="1357">
        <v>51</v>
      </c>
    </row>
    <row r="3782" spans="1:22" s="841" customFormat="1" ht="15" x14ac:dyDescent="0.25">
      <c r="A3782" s="841" t="s">
        <v>209</v>
      </c>
      <c r="E3782" s="1688" t="s">
        <v>4777</v>
      </c>
      <c r="F3782" s="1688"/>
      <c r="G3782" s="1408" t="s">
        <v>23</v>
      </c>
      <c r="H3782" s="391">
        <v>65</v>
      </c>
      <c r="M3782" s="1357"/>
      <c r="Q3782" s="1357"/>
      <c r="S3782" s="1420"/>
      <c r="T3782" s="1420"/>
      <c r="V3782" s="1357">
        <v>57</v>
      </c>
    </row>
    <row r="3783" spans="1:22" s="841" customFormat="1" ht="15" x14ac:dyDescent="0.25">
      <c r="A3783" s="841" t="s">
        <v>209</v>
      </c>
      <c r="E3783" s="1688" t="s">
        <v>4778</v>
      </c>
      <c r="F3783" s="1688"/>
      <c r="G3783" s="1408" t="s">
        <v>23</v>
      </c>
      <c r="H3783" s="391">
        <v>185</v>
      </c>
      <c r="M3783" s="1357"/>
      <c r="Q3783" s="1357"/>
      <c r="S3783" s="1420"/>
      <c r="T3783" s="1420"/>
      <c r="V3783" s="1357">
        <v>56</v>
      </c>
    </row>
    <row r="3784" spans="1:22" s="841" customFormat="1" ht="15" x14ac:dyDescent="0.25">
      <c r="A3784" s="841" t="s">
        <v>209</v>
      </c>
      <c r="E3784" s="1370" t="s">
        <v>3164</v>
      </c>
      <c r="F3784" s="506"/>
      <c r="G3784" s="397"/>
      <c r="H3784" s="391"/>
      <c r="M3784" s="1357"/>
      <c r="Q3784" s="1357"/>
      <c r="S3784" s="1420"/>
      <c r="T3784" s="1420"/>
      <c r="V3784" s="1357">
        <v>5</v>
      </c>
    </row>
    <row r="3785" spans="1:22" s="841" customFormat="1" ht="15" x14ac:dyDescent="0.25">
      <c r="A3785" s="841" t="s">
        <v>209</v>
      </c>
      <c r="E3785" s="1688" t="s">
        <v>4773</v>
      </c>
      <c r="F3785" s="1688"/>
      <c r="G3785" s="1408" t="s">
        <v>23</v>
      </c>
      <c r="H3785" s="391">
        <v>65</v>
      </c>
      <c r="M3785" s="1357"/>
      <c r="Q3785" s="1357"/>
      <c r="S3785" s="1420"/>
      <c r="T3785" s="1420"/>
      <c r="V3785" s="1357">
        <v>52</v>
      </c>
    </row>
    <row r="3786" spans="1:22" s="841" customFormat="1" ht="15" x14ac:dyDescent="0.25">
      <c r="A3786" s="841" t="s">
        <v>209</v>
      </c>
      <c r="E3786" s="1688" t="s">
        <v>4774</v>
      </c>
      <c r="F3786" s="1688"/>
      <c r="G3786" s="1408" t="s">
        <v>23</v>
      </c>
      <c r="H3786" s="391">
        <v>185</v>
      </c>
      <c r="M3786" s="1357"/>
      <c r="Q3786" s="1357"/>
      <c r="S3786" s="1420"/>
      <c r="T3786" s="1420"/>
      <c r="V3786" s="1357">
        <v>51</v>
      </c>
    </row>
    <row r="3787" spans="1:22" s="841" customFormat="1" ht="15" x14ac:dyDescent="0.25">
      <c r="A3787" s="841" t="s">
        <v>209</v>
      </c>
      <c r="E3787" s="1688" t="s">
        <v>3434</v>
      </c>
      <c r="F3787" s="1688"/>
      <c r="G3787" s="1408" t="s">
        <v>23</v>
      </c>
      <c r="H3787" s="391">
        <v>500</v>
      </c>
      <c r="M3787" s="1357"/>
      <c r="Q3787" s="1357"/>
      <c r="S3787" s="1420"/>
      <c r="T3787" s="1420"/>
      <c r="V3787" s="1357">
        <v>64</v>
      </c>
    </row>
    <row r="3788" spans="1:22" s="841" customFormat="1" ht="15" x14ac:dyDescent="0.25">
      <c r="A3788" s="841" t="s">
        <v>209</v>
      </c>
      <c r="E3788" s="1688" t="s">
        <v>3490</v>
      </c>
      <c r="F3788" s="1688"/>
      <c r="G3788" s="1408" t="s">
        <v>23</v>
      </c>
      <c r="H3788" s="391">
        <v>1000</v>
      </c>
      <c r="M3788" s="1357"/>
      <c r="Q3788" s="1357"/>
      <c r="S3788" s="1420"/>
      <c r="T3788" s="1420"/>
      <c r="V3788" s="1357">
        <v>66</v>
      </c>
    </row>
    <row r="3789" spans="1:22" s="841" customFormat="1" ht="15" x14ac:dyDescent="0.25">
      <c r="A3789" s="841" t="s">
        <v>209</v>
      </c>
      <c r="E3789" s="1688" t="s">
        <v>3502</v>
      </c>
      <c r="F3789" s="1688"/>
      <c r="G3789" s="1408" t="s">
        <v>23</v>
      </c>
      <c r="H3789" s="391">
        <v>22.35</v>
      </c>
      <c r="M3789" s="1357"/>
      <c r="Q3789" s="1357"/>
      <c r="S3789" s="1420"/>
      <c r="T3789" s="1420"/>
      <c r="V3789" s="1357">
        <v>104</v>
      </c>
    </row>
    <row r="3790" spans="1:22" s="841" customFormat="1" ht="15" x14ac:dyDescent="0.25">
      <c r="A3790" s="841" t="s">
        <v>209</v>
      </c>
      <c r="E3790" s="1688" t="s">
        <v>3786</v>
      </c>
      <c r="F3790" s="1688"/>
      <c r="G3790" s="1408" t="s">
        <v>23</v>
      </c>
      <c r="H3790" s="391">
        <v>905</v>
      </c>
      <c r="M3790" s="1357"/>
      <c r="Q3790" s="1357"/>
      <c r="S3790" s="1420"/>
      <c r="T3790" s="1420"/>
      <c r="V3790" s="1357">
        <v>43</v>
      </c>
    </row>
    <row r="3791" spans="1:22" s="841" customFormat="1" ht="18.75" x14ac:dyDescent="0.3">
      <c r="A3791" s="841" t="s">
        <v>209</v>
      </c>
      <c r="E3791" s="1405" t="s">
        <v>77</v>
      </c>
      <c r="F3791" s="657"/>
      <c r="G3791" s="657"/>
      <c r="H3791" s="658"/>
      <c r="K3791" s="841" t="s">
        <v>3787</v>
      </c>
      <c r="M3791" s="1357"/>
      <c r="Q3791" s="1357"/>
      <c r="S3791" s="1420"/>
      <c r="T3791" s="1420"/>
      <c r="V3791" s="1357">
        <v>38</v>
      </c>
    </row>
    <row r="3792" spans="1:22" s="841" customFormat="1" ht="15" x14ac:dyDescent="0.25">
      <c r="A3792" s="841" t="s">
        <v>209</v>
      </c>
      <c r="E3792" s="1689" t="s">
        <v>3063</v>
      </c>
      <c r="F3792" s="1689"/>
      <c r="G3792" s="1689"/>
      <c r="H3792" s="1689"/>
      <c r="M3792" s="1357"/>
      <c r="Q3792" s="1357"/>
      <c r="S3792" s="1420"/>
      <c r="T3792" s="1420"/>
      <c r="V3792" s="1357">
        <v>280</v>
      </c>
    </row>
    <row r="3793" spans="1:22" s="841" customFormat="1" ht="15" x14ac:dyDescent="0.25">
      <c r="A3793" s="841" t="s">
        <v>209</v>
      </c>
      <c r="E3793" s="1689" t="s">
        <v>3064</v>
      </c>
      <c r="F3793" s="1689"/>
      <c r="G3793" s="1689"/>
      <c r="H3793" s="1689"/>
      <c r="M3793" s="1357"/>
      <c r="Q3793" s="1357"/>
      <c r="S3793" s="1420"/>
      <c r="T3793" s="1420"/>
      <c r="V3793" s="1357">
        <v>411</v>
      </c>
    </row>
    <row r="3794" spans="1:22" s="841" customFormat="1" ht="15" x14ac:dyDescent="0.25">
      <c r="A3794" s="841" t="s">
        <v>209</v>
      </c>
      <c r="E3794" s="1689" t="s">
        <v>3129</v>
      </c>
      <c r="F3794" s="1689"/>
      <c r="G3794" s="1689"/>
      <c r="H3794" s="1689"/>
      <c r="M3794" s="1357"/>
      <c r="Q3794" s="1357"/>
      <c r="S3794" s="1420"/>
      <c r="T3794" s="1420"/>
      <c r="V3794" s="1357">
        <v>211</v>
      </c>
    </row>
    <row r="3795" spans="1:22" s="841" customFormat="1" ht="15" x14ac:dyDescent="0.25">
      <c r="A3795" s="841" t="s">
        <v>209</v>
      </c>
      <c r="E3795" s="1689" t="s">
        <v>3200</v>
      </c>
      <c r="F3795" s="1689"/>
      <c r="G3795" s="1689"/>
      <c r="H3795" s="1689"/>
      <c r="M3795" s="1357"/>
      <c r="Q3795" s="1357"/>
      <c r="S3795" s="1420"/>
      <c r="T3795" s="1420"/>
      <c r="V3795" s="1357">
        <v>275</v>
      </c>
    </row>
    <row r="3796" spans="1:22" s="841" customFormat="1" ht="15" x14ac:dyDescent="0.25">
      <c r="A3796" s="841" t="s">
        <v>209</v>
      </c>
      <c r="E3796" s="1689" t="s">
        <v>3291</v>
      </c>
      <c r="F3796" s="1689"/>
      <c r="G3796" s="1689"/>
      <c r="H3796" s="1689"/>
      <c r="M3796" s="1357"/>
      <c r="Q3796" s="1357"/>
      <c r="S3796" s="1420"/>
      <c r="T3796" s="1420"/>
      <c r="V3796" s="1357">
        <v>142</v>
      </c>
    </row>
    <row r="3797" spans="1:22" s="841" customFormat="1" ht="15" x14ac:dyDescent="0.25">
      <c r="A3797" s="841" t="s">
        <v>209</v>
      </c>
      <c r="E3797" s="1690" t="s">
        <v>3176</v>
      </c>
      <c r="F3797" s="1690"/>
      <c r="G3797" s="397" t="s">
        <v>23</v>
      </c>
      <c r="H3797" s="391">
        <v>100</v>
      </c>
      <c r="M3797" s="1357"/>
      <c r="Q3797" s="1357"/>
      <c r="S3797" s="1420"/>
      <c r="T3797" s="1420"/>
      <c r="V3797" s="1357">
        <v>106</v>
      </c>
    </row>
    <row r="3798" spans="1:22" s="841" customFormat="1" ht="15" x14ac:dyDescent="0.25">
      <c r="A3798" s="841" t="s">
        <v>209</v>
      </c>
      <c r="E3798" s="1690" t="s">
        <v>3177</v>
      </c>
      <c r="F3798" s="1690"/>
      <c r="G3798" s="397" t="s">
        <v>23</v>
      </c>
      <c r="H3798" s="391">
        <v>20</v>
      </c>
      <c r="M3798" s="1357"/>
      <c r="Q3798" s="1357"/>
      <c r="S3798" s="1420"/>
      <c r="T3798" s="1420"/>
      <c r="V3798" s="1357">
        <v>34</v>
      </c>
    </row>
    <row r="3799" spans="1:22" s="841" customFormat="1" ht="15" x14ac:dyDescent="0.25">
      <c r="A3799" s="841" t="s">
        <v>209</v>
      </c>
      <c r="E3799" s="1690" t="s">
        <v>3178</v>
      </c>
      <c r="F3799" s="1690"/>
      <c r="G3799" s="397" t="s">
        <v>3179</v>
      </c>
      <c r="H3799" s="391">
        <v>0.5</v>
      </c>
      <c r="M3799" s="1357"/>
      <c r="Q3799" s="1357"/>
      <c r="S3799" s="1420"/>
      <c r="T3799" s="1420"/>
      <c r="V3799" s="1357">
        <v>51</v>
      </c>
    </row>
    <row r="3800" spans="1:22" s="841" customFormat="1" ht="15" x14ac:dyDescent="0.25">
      <c r="A3800" s="841" t="s">
        <v>209</v>
      </c>
      <c r="E3800" s="1690" t="s">
        <v>3180</v>
      </c>
      <c r="F3800" s="1690"/>
      <c r="G3800" s="397" t="s">
        <v>3179</v>
      </c>
      <c r="H3800" s="391">
        <v>0.3</v>
      </c>
      <c r="M3800" s="1357"/>
      <c r="Q3800" s="1357"/>
      <c r="S3800" s="1420"/>
      <c r="T3800" s="1420"/>
      <c r="V3800" s="1357">
        <v>75</v>
      </c>
    </row>
    <row r="3801" spans="1:22" s="841" customFormat="1" ht="15" x14ac:dyDescent="0.25">
      <c r="A3801" s="841" t="s">
        <v>209</v>
      </c>
      <c r="E3801" s="1690" t="s">
        <v>3181</v>
      </c>
      <c r="F3801" s="1690"/>
      <c r="G3801" s="397" t="s">
        <v>3179</v>
      </c>
      <c r="H3801" s="391">
        <v>-0.3</v>
      </c>
      <c r="M3801" s="1357"/>
      <c r="Q3801" s="1357"/>
      <c r="S3801" s="1420"/>
      <c r="T3801" s="1420"/>
      <c r="V3801" s="1357">
        <v>72</v>
      </c>
    </row>
    <row r="3802" spans="1:22" s="841" customFormat="1" ht="15" x14ac:dyDescent="0.25">
      <c r="A3802" s="841" t="s">
        <v>209</v>
      </c>
      <c r="E3802" s="1690" t="s">
        <v>3292</v>
      </c>
      <c r="F3802" s="1690"/>
      <c r="G3802" s="397"/>
      <c r="H3802" s="392"/>
      <c r="M3802" s="1357"/>
      <c r="Q3802" s="1357"/>
      <c r="S3802" s="1420"/>
      <c r="T3802" s="1420"/>
      <c r="V3802" s="1357">
        <v>34</v>
      </c>
    </row>
    <row r="3803" spans="1:22" s="841" customFormat="1" ht="15" x14ac:dyDescent="0.25">
      <c r="A3803" s="841" t="s">
        <v>209</v>
      </c>
      <c r="E3803" s="1691" t="s">
        <v>3183</v>
      </c>
      <c r="F3803" s="1691"/>
      <c r="G3803" s="397" t="s">
        <v>23</v>
      </c>
      <c r="H3803" s="391">
        <v>0.25</v>
      </c>
      <c r="M3803" s="1357"/>
      <c r="Q3803" s="1357"/>
      <c r="S3803" s="1420"/>
      <c r="T3803" s="1420"/>
      <c r="V3803" s="1357">
        <v>57</v>
      </c>
    </row>
    <row r="3804" spans="1:22" s="841" customFormat="1" ht="15" x14ac:dyDescent="0.25">
      <c r="A3804" s="841" t="s">
        <v>209</v>
      </c>
      <c r="E3804" s="1691" t="s">
        <v>3184</v>
      </c>
      <c r="F3804" s="1691"/>
      <c r="G3804" s="397" t="s">
        <v>23</v>
      </c>
      <c r="H3804" s="391">
        <v>0.5</v>
      </c>
      <c r="M3804" s="1357"/>
      <c r="Q3804" s="1357"/>
      <c r="S3804" s="1420"/>
      <c r="T3804" s="1420"/>
      <c r="V3804" s="1357">
        <v>60</v>
      </c>
    </row>
    <row r="3805" spans="1:22" s="841" customFormat="1" ht="15" x14ac:dyDescent="0.25">
      <c r="A3805" s="841" t="s">
        <v>209</v>
      </c>
      <c r="E3805" s="1690" t="s">
        <v>3185</v>
      </c>
      <c r="F3805" s="1690"/>
      <c r="G3805" s="397"/>
      <c r="H3805" s="392"/>
      <c r="M3805" s="1357"/>
      <c r="Q3805" s="1357"/>
      <c r="S3805" s="1420"/>
      <c r="T3805" s="1420"/>
      <c r="V3805" s="1357">
        <v>91</v>
      </c>
    </row>
    <row r="3806" spans="1:22" s="841" customFormat="1" ht="15" x14ac:dyDescent="0.25">
      <c r="A3806" s="841" t="s">
        <v>209</v>
      </c>
      <c r="E3806" s="1690" t="s">
        <v>3186</v>
      </c>
      <c r="F3806" s="1690"/>
      <c r="G3806" s="397"/>
      <c r="H3806" s="392"/>
      <c r="M3806" s="1357"/>
      <c r="Q3806" s="1357"/>
      <c r="S3806" s="1420"/>
      <c r="T3806" s="1420"/>
      <c r="V3806" s="1357">
        <v>96</v>
      </c>
    </row>
    <row r="3807" spans="1:22" s="841" customFormat="1" ht="15" x14ac:dyDescent="0.25">
      <c r="A3807" s="841" t="s">
        <v>209</v>
      </c>
      <c r="E3807" s="1690" t="s">
        <v>3293</v>
      </c>
      <c r="F3807" s="1690"/>
      <c r="G3807" s="397"/>
      <c r="H3807" s="392"/>
      <c r="M3807" s="1357"/>
      <c r="Q3807" s="1357"/>
      <c r="S3807" s="1420"/>
      <c r="T3807" s="1420"/>
      <c r="V3807" s="1357">
        <v>77</v>
      </c>
    </row>
    <row r="3808" spans="1:22" s="841" customFormat="1" ht="15" x14ac:dyDescent="0.25">
      <c r="A3808" s="841" t="s">
        <v>209</v>
      </c>
      <c r="E3808" s="1691" t="s">
        <v>3188</v>
      </c>
      <c r="F3808" s="1691"/>
      <c r="G3808" s="397" t="s">
        <v>23</v>
      </c>
      <c r="H3808" s="392" t="s">
        <v>3189</v>
      </c>
      <c r="M3808" s="1357"/>
      <c r="Q3808" s="1357"/>
      <c r="S3808" s="1420"/>
      <c r="T3808" s="1420"/>
      <c r="V3808" s="1357">
        <v>18</v>
      </c>
    </row>
    <row r="3809" spans="1:22" s="841" customFormat="1" ht="15" x14ac:dyDescent="0.25">
      <c r="A3809" s="841" t="s">
        <v>209</v>
      </c>
      <c r="E3809" s="1691" t="s">
        <v>3190</v>
      </c>
      <c r="F3809" s="1691"/>
      <c r="G3809" s="397" t="s">
        <v>23</v>
      </c>
      <c r="H3809" s="391">
        <v>2</v>
      </c>
      <c r="M3809" s="1357"/>
      <c r="Q3809" s="1357"/>
      <c r="S3809" s="1420"/>
      <c r="T3809" s="1420"/>
      <c r="V3809" s="1357">
        <v>69</v>
      </c>
    </row>
    <row r="3810" spans="1:22" s="841" customFormat="1" ht="18.75" x14ac:dyDescent="0.3">
      <c r="A3810" s="841" t="s">
        <v>209</v>
      </c>
      <c r="E3810" s="1374" t="s">
        <v>147</v>
      </c>
      <c r="F3810" s="657"/>
      <c r="G3810" s="657"/>
      <c r="H3810" s="658"/>
      <c r="K3810" s="841" t="s">
        <v>3788</v>
      </c>
      <c r="M3810" s="1357"/>
      <c r="Q3810" s="1357"/>
      <c r="S3810" s="1420"/>
      <c r="T3810" s="1420"/>
      <c r="V3810" s="1357">
        <v>12</v>
      </c>
    </row>
    <row r="3811" spans="1:22" s="841" customFormat="1" ht="15" x14ac:dyDescent="0.25">
      <c r="A3811" s="841" t="s">
        <v>209</v>
      </c>
      <c r="E3811" s="1704" t="s">
        <v>3192</v>
      </c>
      <c r="F3811" s="1704"/>
      <c r="G3811" s="1704"/>
      <c r="H3811" s="1704"/>
      <c r="M3811" s="1357"/>
      <c r="Q3811" s="1357"/>
      <c r="S3811" s="1420"/>
      <c r="T3811" s="1420"/>
      <c r="V3811" s="1357">
        <v>203</v>
      </c>
    </row>
    <row r="3812" spans="1:22" s="841" customFormat="1" ht="15" x14ac:dyDescent="0.25">
      <c r="A3812" s="841" t="s">
        <v>209</v>
      </c>
      <c r="E3812" s="1690" t="s">
        <v>3295</v>
      </c>
      <c r="F3812" s="1690"/>
      <c r="G3812" s="1408"/>
      <c r="H3812" s="393">
        <v>1.0482</v>
      </c>
      <c r="M3812" s="1357"/>
      <c r="Q3812" s="1357"/>
      <c r="S3812" s="1420"/>
      <c r="T3812" s="1420"/>
      <c r="V3812" s="1357">
        <v>57</v>
      </c>
    </row>
    <row r="3813" spans="1:22" s="841" customFormat="1" ht="15" x14ac:dyDescent="0.25">
      <c r="A3813" s="841" t="s">
        <v>209</v>
      </c>
      <c r="E3813" s="1690" t="s">
        <v>3296</v>
      </c>
      <c r="F3813" s="1690"/>
      <c r="G3813" s="1408"/>
      <c r="H3813" s="393">
        <v>1.0145999999999999</v>
      </c>
      <c r="M3813" s="1357"/>
      <c r="Q3813" s="1357"/>
      <c r="S3813" s="1420"/>
      <c r="T3813" s="1420"/>
      <c r="V3813" s="1357">
        <v>57</v>
      </c>
    </row>
    <row r="3814" spans="1:22" s="841" customFormat="1" ht="15" x14ac:dyDescent="0.25">
      <c r="A3814" s="841" t="s">
        <v>209</v>
      </c>
      <c r="E3814" s="1690" t="s">
        <v>3297</v>
      </c>
      <c r="F3814" s="1690"/>
      <c r="G3814" s="1408"/>
      <c r="H3814" s="393">
        <v>1.0344</v>
      </c>
      <c r="M3814" s="1357"/>
      <c r="Q3814" s="1357"/>
      <c r="S3814" s="1420"/>
      <c r="T3814" s="1420"/>
      <c r="V3814" s="1357">
        <v>55</v>
      </c>
    </row>
    <row r="3815" spans="1:22" s="841" customFormat="1" ht="15" x14ac:dyDescent="0.25">
      <c r="A3815" s="841" t="s">
        <v>209</v>
      </c>
      <c r="E3815" s="1690" t="s">
        <v>3298</v>
      </c>
      <c r="F3815" s="1690"/>
      <c r="G3815" s="1408"/>
      <c r="H3815" s="393">
        <v>1.0044999999999999</v>
      </c>
      <c r="J3815" s="841" t="s">
        <v>3789</v>
      </c>
      <c r="M3815" s="1357"/>
      <c r="Q3815" s="1357"/>
      <c r="S3815" s="1420"/>
      <c r="T3815" s="1420"/>
      <c r="V3815" s="1357">
        <v>55</v>
      </c>
    </row>
    <row r="3816" spans="1:22" s="841" customFormat="1" ht="23.25" x14ac:dyDescent="0.25">
      <c r="A3816" s="841" t="s">
        <v>180</v>
      </c>
      <c r="C3816" s="841" t="s">
        <v>3050</v>
      </c>
      <c r="E3816" s="1911" t="s">
        <v>180</v>
      </c>
      <c r="F3816" s="1699"/>
      <c r="G3816" s="1699"/>
      <c r="H3816" s="1699"/>
      <c r="I3816" s="841" t="s">
        <v>628</v>
      </c>
      <c r="J3816" s="841" t="s">
        <v>4348</v>
      </c>
      <c r="K3816" s="841" t="s">
        <v>180</v>
      </c>
      <c r="M3816" s="1357">
        <v>8</v>
      </c>
      <c r="Q3816" s="1357"/>
      <c r="S3816" s="1420"/>
      <c r="T3816" s="1420"/>
      <c r="V3816" s="1357">
        <v>19</v>
      </c>
    </row>
    <row r="3817" spans="1:22" s="841" customFormat="1" x14ac:dyDescent="0.25">
      <c r="A3817" s="841" t="s">
        <v>180</v>
      </c>
      <c r="C3817" s="841" t="s">
        <v>3052</v>
      </c>
      <c r="E3817" s="1912" t="s">
        <v>3053</v>
      </c>
      <c r="F3817" s="1700"/>
      <c r="G3817" s="1700"/>
      <c r="H3817" s="1700"/>
      <c r="M3817" s="1357"/>
      <c r="Q3817" s="1357"/>
      <c r="S3817" s="1420"/>
      <c r="T3817" s="1420"/>
      <c r="V3817" s="1357">
        <v>27</v>
      </c>
    </row>
    <row r="3818" spans="1:22" s="841" customFormat="1" ht="15.75" x14ac:dyDescent="0.25">
      <c r="A3818" s="841" t="s">
        <v>180</v>
      </c>
      <c r="C3818" s="841" t="s">
        <v>3054</v>
      </c>
      <c r="E3818" s="1913" t="s">
        <v>5101</v>
      </c>
      <c r="F3818" s="1701"/>
      <c r="G3818" s="1701"/>
      <c r="H3818" s="1701"/>
      <c r="M3818" s="1357"/>
      <c r="Q3818" s="1357"/>
      <c r="S3818" s="1420">
        <v>43101</v>
      </c>
      <c r="T3818" s="1420"/>
      <c r="V3818" s="1357">
        <v>49</v>
      </c>
    </row>
    <row r="3819" spans="1:22" s="841" customFormat="1" ht="15" x14ac:dyDescent="0.25">
      <c r="A3819" s="841" t="s">
        <v>180</v>
      </c>
      <c r="C3819" s="841" t="s">
        <v>3055</v>
      </c>
      <c r="E3819" s="1914" t="s">
        <v>3056</v>
      </c>
      <c r="F3819" s="1702"/>
      <c r="G3819" s="1702"/>
      <c r="H3819" s="1702"/>
      <c r="M3819" s="1357"/>
      <c r="Q3819" s="1357"/>
      <c r="S3819" s="1420"/>
      <c r="T3819" s="1420"/>
      <c r="V3819" s="1357">
        <v>52</v>
      </c>
    </row>
    <row r="3820" spans="1:22" s="841" customFormat="1" ht="15" x14ac:dyDescent="0.25">
      <c r="A3820" s="841" t="s">
        <v>180</v>
      </c>
      <c r="E3820" s="1914" t="s">
        <v>3057</v>
      </c>
      <c r="F3820" s="1702"/>
      <c r="G3820" s="1702"/>
      <c r="H3820" s="1702"/>
      <c r="M3820" s="1357"/>
      <c r="Q3820" s="1357"/>
      <c r="S3820" s="1420"/>
      <c r="T3820" s="1420"/>
      <c r="V3820" s="1357">
        <v>53</v>
      </c>
    </row>
    <row r="3821" spans="1:22" s="841" customFormat="1" ht="15" x14ac:dyDescent="0.25">
      <c r="A3821" s="841" t="s">
        <v>180</v>
      </c>
      <c r="E3821" s="1925" t="s">
        <v>5446</v>
      </c>
      <c r="F3821" s="1703"/>
      <c r="G3821" s="1703"/>
      <c r="H3821" s="1703"/>
      <c r="K3821" s="841" t="s">
        <v>5446</v>
      </c>
      <c r="M3821" s="1357"/>
      <c r="Q3821" s="1357"/>
      <c r="S3821" s="1420"/>
      <c r="T3821" s="1420"/>
      <c r="V3821" s="1357">
        <v>12</v>
      </c>
    </row>
    <row r="3822" spans="1:22" s="841" customFormat="1" ht="15" x14ac:dyDescent="0.25">
      <c r="A3822" s="841" t="s">
        <v>180</v>
      </c>
      <c r="E3822" s="1909" t="s">
        <v>438</v>
      </c>
      <c r="F3822" s="1697"/>
      <c r="G3822" s="1697"/>
      <c r="H3822" s="1697"/>
      <c r="K3822" s="841" t="s">
        <v>3197</v>
      </c>
      <c r="M3822" s="1357"/>
      <c r="Q3822" s="1357"/>
      <c r="S3822" s="1420"/>
      <c r="T3822" s="1420"/>
      <c r="V3822" s="1357">
        <v>34</v>
      </c>
    </row>
    <row r="3823" spans="1:22" s="841" customFormat="1" ht="15" x14ac:dyDescent="0.25">
      <c r="A3823" s="841" t="s">
        <v>180</v>
      </c>
      <c r="E3823" s="1689" t="s">
        <v>4349</v>
      </c>
      <c r="F3823" s="1697"/>
      <c r="G3823" s="1697"/>
      <c r="H3823" s="1697"/>
      <c r="K3823" s="841" t="s">
        <v>3197</v>
      </c>
      <c r="M3823" s="1357"/>
      <c r="Q3823" s="1357"/>
      <c r="S3823" s="1420"/>
      <c r="T3823" s="1420"/>
      <c r="V3823" s="1357">
        <v>79</v>
      </c>
    </row>
    <row r="3824" spans="1:22" s="841" customFormat="1" ht="15" x14ac:dyDescent="0.25">
      <c r="A3824" s="841" t="s">
        <v>180</v>
      </c>
      <c r="E3824" s="1689" t="s">
        <v>4350</v>
      </c>
      <c r="F3824" s="1697"/>
      <c r="G3824" s="1697"/>
      <c r="H3824" s="1697"/>
      <c r="K3824" s="841" t="s">
        <v>3197</v>
      </c>
      <c r="M3824" s="1357"/>
      <c r="Q3824" s="1357"/>
      <c r="S3824" s="1420"/>
      <c r="T3824" s="1420"/>
      <c r="V3824" s="1357">
        <v>73</v>
      </c>
    </row>
    <row r="3825" spans="1:22" s="841" customFormat="1" ht="15" x14ac:dyDescent="0.25">
      <c r="A3825" s="841" t="s">
        <v>180</v>
      </c>
      <c r="E3825" s="1689" t="s">
        <v>4351</v>
      </c>
      <c r="F3825" s="1697"/>
      <c r="G3825" s="1697"/>
      <c r="H3825" s="1697"/>
      <c r="K3825" s="841" t="s">
        <v>3197</v>
      </c>
      <c r="M3825" s="1357"/>
      <c r="Q3825" s="1357"/>
      <c r="S3825" s="1420"/>
      <c r="T3825" s="1420"/>
      <c r="V3825" s="1357">
        <v>65</v>
      </c>
    </row>
    <row r="3826" spans="1:22" s="841" customFormat="1" ht="15" x14ac:dyDescent="0.25">
      <c r="A3826" s="841" t="s">
        <v>180</v>
      </c>
      <c r="E3826" s="1689" t="s">
        <v>4352</v>
      </c>
      <c r="F3826" s="1697"/>
      <c r="G3826" s="1697"/>
      <c r="H3826" s="1697"/>
      <c r="K3826" s="841" t="s">
        <v>3197</v>
      </c>
      <c r="M3826" s="1357"/>
      <c r="Q3826" s="1357"/>
      <c r="S3826" s="1420"/>
      <c r="T3826" s="1420"/>
      <c r="V3826" s="1357">
        <v>47</v>
      </c>
    </row>
    <row r="3827" spans="1:22" s="841" customFormat="1" ht="15" x14ac:dyDescent="0.25">
      <c r="A3827" s="841" t="s">
        <v>180</v>
      </c>
      <c r="E3827" s="1689" t="s">
        <v>4353</v>
      </c>
      <c r="F3827" s="1697"/>
      <c r="G3827" s="1697"/>
      <c r="H3827" s="1697"/>
      <c r="K3827" s="841" t="s">
        <v>3197</v>
      </c>
      <c r="M3827" s="1357"/>
      <c r="Q3827" s="1357"/>
      <c r="S3827" s="1420"/>
      <c r="T3827" s="1420"/>
      <c r="V3827" s="1357">
        <v>92</v>
      </c>
    </row>
    <row r="3828" spans="1:22" s="841" customFormat="1" ht="15" x14ac:dyDescent="0.25">
      <c r="A3828" s="841" t="s">
        <v>180</v>
      </c>
      <c r="E3828" s="1689" t="s">
        <v>4354</v>
      </c>
      <c r="F3828" s="1697"/>
      <c r="G3828" s="1697"/>
      <c r="H3828" s="1697"/>
      <c r="K3828" s="841" t="s">
        <v>3197</v>
      </c>
      <c r="M3828" s="1357"/>
      <c r="Q3828" s="1357"/>
      <c r="S3828" s="1420"/>
      <c r="T3828" s="1420"/>
      <c r="V3828" s="1357">
        <v>58</v>
      </c>
    </row>
    <row r="3829" spans="1:22" s="841" customFormat="1" ht="15" x14ac:dyDescent="0.25">
      <c r="A3829" s="841" t="s">
        <v>180</v>
      </c>
      <c r="E3829" s="1689" t="s">
        <v>4355</v>
      </c>
      <c r="F3829" s="1697"/>
      <c r="G3829" s="1697"/>
      <c r="H3829" s="1697"/>
      <c r="K3829" s="841" t="s">
        <v>3197</v>
      </c>
      <c r="M3829" s="1357"/>
      <c r="Q3829" s="1357"/>
      <c r="S3829" s="1420"/>
      <c r="T3829" s="1420"/>
      <c r="V3829" s="1357">
        <v>90</v>
      </c>
    </row>
    <row r="3830" spans="1:22" s="841" customFormat="1" ht="15" x14ac:dyDescent="0.25">
      <c r="A3830" s="841" t="s">
        <v>180</v>
      </c>
      <c r="E3830" s="1689" t="s">
        <v>4356</v>
      </c>
      <c r="F3830" s="1697"/>
      <c r="G3830" s="1697"/>
      <c r="H3830" s="1697"/>
      <c r="K3830" s="841" t="s">
        <v>3197</v>
      </c>
      <c r="M3830" s="1357"/>
      <c r="Q3830" s="1357"/>
      <c r="S3830" s="1420"/>
      <c r="T3830" s="1420"/>
      <c r="V3830" s="1357">
        <v>149</v>
      </c>
    </row>
    <row r="3831" spans="1:22" s="841" customFormat="1" ht="15" x14ac:dyDescent="0.25">
      <c r="A3831" s="841" t="s">
        <v>180</v>
      </c>
      <c r="E3831" s="1916" t="s">
        <v>3061</v>
      </c>
      <c r="F3831" s="1697"/>
      <c r="G3831" s="1697"/>
      <c r="H3831" s="1697"/>
      <c r="K3831" s="841" t="s">
        <v>3062</v>
      </c>
      <c r="M3831" s="1357"/>
      <c r="Q3831" s="1357"/>
      <c r="S3831" s="1420"/>
      <c r="T3831" s="1420"/>
      <c r="V3831" s="1357">
        <v>11</v>
      </c>
    </row>
    <row r="3832" spans="1:22" s="841" customFormat="1" ht="15" x14ac:dyDescent="0.25">
      <c r="A3832" s="841" t="s">
        <v>180</v>
      </c>
      <c r="E3832" s="1689" t="s">
        <v>3063</v>
      </c>
      <c r="F3832" s="1697"/>
      <c r="G3832" s="1697"/>
      <c r="H3832" s="1697"/>
      <c r="K3832" s="841" t="s">
        <v>3197</v>
      </c>
      <c r="M3832" s="1357"/>
      <c r="Q3832" s="1357"/>
      <c r="S3832" s="1420"/>
      <c r="T3832" s="1420"/>
      <c r="V3832" s="1357">
        <v>280</v>
      </c>
    </row>
    <row r="3833" spans="1:22" s="841" customFormat="1" ht="15" x14ac:dyDescent="0.25">
      <c r="A3833" s="841" t="s">
        <v>180</v>
      </c>
      <c r="E3833" s="1689" t="s">
        <v>3064</v>
      </c>
      <c r="F3833" s="1697"/>
      <c r="G3833" s="1697"/>
      <c r="H3833" s="1697"/>
      <c r="K3833" s="841" t="s">
        <v>3197</v>
      </c>
      <c r="M3833" s="1357"/>
      <c r="Q3833" s="1357"/>
      <c r="S3833" s="1420"/>
      <c r="T3833" s="1420"/>
      <c r="V3833" s="1357">
        <v>411</v>
      </c>
    </row>
    <row r="3834" spans="1:22" s="841" customFormat="1" ht="15" x14ac:dyDescent="0.25">
      <c r="A3834" s="841" t="s">
        <v>180</v>
      </c>
      <c r="E3834" s="1689" t="s">
        <v>3199</v>
      </c>
      <c r="F3834" s="1697"/>
      <c r="G3834" s="1697"/>
      <c r="H3834" s="1697"/>
      <c r="K3834" s="841" t="s">
        <v>3197</v>
      </c>
      <c r="M3834" s="1357"/>
      <c r="Q3834" s="1357"/>
      <c r="S3834" s="1420"/>
      <c r="T3834" s="1420"/>
      <c r="V3834" s="1357">
        <v>386</v>
      </c>
    </row>
    <row r="3835" spans="1:22" s="841" customFormat="1" ht="15" x14ac:dyDescent="0.25">
      <c r="A3835" s="841" t="s">
        <v>180</v>
      </c>
      <c r="E3835" s="1689" t="s">
        <v>3390</v>
      </c>
      <c r="F3835" s="1697"/>
      <c r="G3835" s="1697"/>
      <c r="H3835" s="1697"/>
      <c r="K3835" s="841" t="s">
        <v>3197</v>
      </c>
      <c r="M3835" s="1357"/>
      <c r="Q3835" s="1357"/>
      <c r="S3835" s="1420"/>
      <c r="T3835" s="1420"/>
      <c r="V3835" s="1357">
        <v>274</v>
      </c>
    </row>
    <row r="3836" spans="1:22" s="841" customFormat="1" ht="15" x14ac:dyDescent="0.25">
      <c r="A3836" s="841" t="s">
        <v>180</v>
      </c>
      <c r="E3836" s="1694" t="s">
        <v>3067</v>
      </c>
      <c r="F3836" s="1907"/>
      <c r="G3836" s="1907"/>
      <c r="H3836" s="1907"/>
      <c r="K3836" s="841" t="s">
        <v>3068</v>
      </c>
      <c r="M3836" s="1357"/>
      <c r="Q3836" s="1357"/>
      <c r="S3836" s="1420"/>
      <c r="T3836" s="1420"/>
      <c r="V3836" s="1357">
        <v>46</v>
      </c>
    </row>
    <row r="3837" spans="1:22" s="841" customFormat="1" ht="15" x14ac:dyDescent="0.25">
      <c r="A3837" s="841" t="s">
        <v>180</v>
      </c>
      <c r="E3837" s="1704" t="s">
        <v>11</v>
      </c>
      <c r="F3837" s="1704"/>
      <c r="G3837" s="1403" t="s">
        <v>23</v>
      </c>
      <c r="H3837" s="395">
        <v>25.09</v>
      </c>
      <c r="K3837" s="841" t="s">
        <v>3197</v>
      </c>
      <c r="L3837" s="841" t="s">
        <v>442</v>
      </c>
      <c r="M3837" s="1357"/>
      <c r="P3837" s="841" t="s">
        <v>3201</v>
      </c>
      <c r="Q3837" s="1357"/>
      <c r="S3837" s="1420"/>
      <c r="T3837" s="1420"/>
      <c r="V3837" s="1357">
        <v>14</v>
      </c>
    </row>
    <row r="3838" spans="1:22" s="841" customFormat="1" ht="15" x14ac:dyDescent="0.25">
      <c r="A3838" s="841" t="s">
        <v>180</v>
      </c>
      <c r="E3838" s="1704" t="s">
        <v>423</v>
      </c>
      <c r="F3838" s="1704"/>
      <c r="G3838" s="1403" t="s">
        <v>23</v>
      </c>
      <c r="H3838" s="395">
        <v>0.79</v>
      </c>
      <c r="K3838" s="841" t="s">
        <v>3197</v>
      </c>
      <c r="L3838" s="841" t="s">
        <v>443</v>
      </c>
      <c r="M3838" s="1357"/>
      <c r="P3838" s="841" t="s">
        <v>3202</v>
      </c>
      <c r="Q3838" s="1357"/>
      <c r="S3838" s="1420"/>
      <c r="T3838" s="1420">
        <v>43404</v>
      </c>
      <c r="V3838" s="1357">
        <v>78</v>
      </c>
    </row>
    <row r="3839" spans="1:22" s="841" customFormat="1" ht="15" x14ac:dyDescent="0.25">
      <c r="A3839" s="841" t="s">
        <v>180</v>
      </c>
      <c r="E3839" s="1704" t="s">
        <v>84</v>
      </c>
      <c r="F3839" s="1704"/>
      <c r="G3839" s="1403" t="s">
        <v>24</v>
      </c>
      <c r="H3839" s="605">
        <v>4.1999999999999997E-3</v>
      </c>
      <c r="K3839" s="841" t="s">
        <v>3197</v>
      </c>
      <c r="L3839" s="841" t="s">
        <v>442</v>
      </c>
      <c r="M3839" s="1357"/>
      <c r="P3839" s="841" t="s">
        <v>3203</v>
      </c>
      <c r="Q3839" s="1357"/>
      <c r="S3839" s="1420"/>
      <c r="T3839" s="1420"/>
      <c r="V3839" s="1357">
        <v>28</v>
      </c>
    </row>
    <row r="3840" spans="1:22" s="841" customFormat="1" ht="15" x14ac:dyDescent="0.25">
      <c r="A3840" s="841" t="s">
        <v>180</v>
      </c>
      <c r="E3840" s="1704" t="s">
        <v>18</v>
      </c>
      <c r="F3840" s="1704"/>
      <c r="G3840" s="1403" t="s">
        <v>24</v>
      </c>
      <c r="H3840" s="605">
        <v>4.0000000000000002E-4</v>
      </c>
      <c r="K3840" s="841" t="s">
        <v>3197</v>
      </c>
      <c r="L3840" s="841" t="s">
        <v>443</v>
      </c>
      <c r="M3840" s="1357"/>
      <c r="P3840" s="841" t="s">
        <v>3204</v>
      </c>
      <c r="Q3840" s="1357"/>
      <c r="S3840" s="1420"/>
      <c r="T3840" s="1420"/>
      <c r="V3840" s="1357">
        <v>24</v>
      </c>
    </row>
    <row r="3841" spans="1:22" s="841" customFormat="1" ht="15" x14ac:dyDescent="0.25">
      <c r="A3841" s="841" t="s">
        <v>180</v>
      </c>
      <c r="E3841" s="1704" t="s">
        <v>5143</v>
      </c>
      <c r="F3841" s="1959"/>
      <c r="G3841" s="1403" t="s">
        <v>24</v>
      </c>
      <c r="H3841" s="605">
        <v>5.9999999999999995E-4</v>
      </c>
      <c r="K3841" s="841" t="s">
        <v>3197</v>
      </c>
      <c r="L3841" s="841" t="s">
        <v>443</v>
      </c>
      <c r="M3841" s="1357"/>
      <c r="P3841" s="841" t="s">
        <v>3205</v>
      </c>
      <c r="Q3841" s="1357"/>
      <c r="S3841" s="1420"/>
      <c r="T3841" s="1420">
        <v>43465</v>
      </c>
      <c r="V3841" s="1357">
        <v>142</v>
      </c>
    </row>
    <row r="3842" spans="1:22" s="841" customFormat="1" ht="15" x14ac:dyDescent="0.25">
      <c r="A3842" s="841" t="s">
        <v>180</v>
      </c>
      <c r="E3842" s="1704" t="s">
        <v>5447</v>
      </c>
      <c r="F3842" s="1959"/>
      <c r="G3842" s="1403" t="s">
        <v>24</v>
      </c>
      <c r="H3842" s="605">
        <v>2.0000000000000001E-4</v>
      </c>
      <c r="K3842" s="841" t="s">
        <v>3197</v>
      </c>
      <c r="L3842" s="841" t="s">
        <v>442</v>
      </c>
      <c r="M3842" s="1357"/>
      <c r="P3842" s="841" t="s">
        <v>3206</v>
      </c>
      <c r="Q3842" s="1357"/>
      <c r="S3842" s="1420"/>
      <c r="T3842" s="1420">
        <v>43465</v>
      </c>
      <c r="V3842" s="1357">
        <v>138</v>
      </c>
    </row>
    <row r="3843" spans="1:22" s="841" customFormat="1" ht="15" x14ac:dyDescent="0.25">
      <c r="A3843" s="841" t="s">
        <v>180</v>
      </c>
      <c r="E3843" s="1704" t="s">
        <v>5144</v>
      </c>
      <c r="F3843" s="1959"/>
      <c r="G3843" s="1403" t="s">
        <v>24</v>
      </c>
      <c r="H3843" s="605">
        <v>5.0000000000000001E-4</v>
      </c>
      <c r="K3843" s="841" t="s">
        <v>3197</v>
      </c>
      <c r="L3843" s="841" t="s">
        <v>443</v>
      </c>
      <c r="M3843" s="1357"/>
      <c r="P3843" s="841" t="s">
        <v>3207</v>
      </c>
      <c r="Q3843" s="1357"/>
      <c r="S3843" s="1420"/>
      <c r="T3843" s="1420">
        <v>43465</v>
      </c>
      <c r="V3843" s="1357">
        <v>99</v>
      </c>
    </row>
    <row r="3844" spans="1:22" s="841" customFormat="1" ht="15" x14ac:dyDescent="0.25">
      <c r="A3844" s="841" t="s">
        <v>180</v>
      </c>
      <c r="E3844" s="1704" t="s">
        <v>5145</v>
      </c>
      <c r="F3844" s="1959"/>
      <c r="G3844" s="1403" t="s">
        <v>24</v>
      </c>
      <c r="H3844" s="605">
        <v>-1E-4</v>
      </c>
      <c r="K3844" s="841" t="s">
        <v>3197</v>
      </c>
      <c r="L3844" s="841" t="s">
        <v>443</v>
      </c>
      <c r="M3844" s="1357"/>
      <c r="P3844" s="841" t="s">
        <v>5103</v>
      </c>
      <c r="Q3844" s="1357"/>
      <c r="S3844" s="1420"/>
      <c r="T3844" s="1420">
        <v>43465</v>
      </c>
      <c r="V3844" s="1357">
        <v>148</v>
      </c>
    </row>
    <row r="3845" spans="1:22" s="841" customFormat="1" ht="15" x14ac:dyDescent="0.25">
      <c r="A3845" s="841" t="s">
        <v>180</v>
      </c>
      <c r="E3845" s="1704" t="s">
        <v>221</v>
      </c>
      <c r="F3845" s="1704"/>
      <c r="G3845" s="1403" t="s">
        <v>24</v>
      </c>
      <c r="H3845" s="605">
        <v>6.8999999999999999E-3</v>
      </c>
      <c r="K3845" s="841" t="s">
        <v>3197</v>
      </c>
      <c r="L3845" s="841" t="s">
        <v>444</v>
      </c>
      <c r="M3845" s="1357"/>
      <c r="P3845" s="841" t="s">
        <v>3208</v>
      </c>
      <c r="Q3845" s="1357"/>
      <c r="S3845" s="1420"/>
      <c r="T3845" s="1420"/>
      <c r="V3845" s="1357">
        <v>47</v>
      </c>
    </row>
    <row r="3846" spans="1:22" s="841" customFormat="1" ht="15" x14ac:dyDescent="0.25">
      <c r="A3846" s="841" t="s">
        <v>180</v>
      </c>
      <c r="E3846" s="1704" t="s">
        <v>217</v>
      </c>
      <c r="F3846" s="1704"/>
      <c r="G3846" s="1403" t="s">
        <v>24</v>
      </c>
      <c r="H3846" s="605">
        <v>4.7999999999999996E-3</v>
      </c>
      <c r="K3846" s="841" t="s">
        <v>3197</v>
      </c>
      <c r="L3846" s="841" t="s">
        <v>444</v>
      </c>
      <c r="M3846" s="1357"/>
      <c r="P3846" s="841" t="s">
        <v>3209</v>
      </c>
      <c r="Q3846" s="1357"/>
      <c r="S3846" s="1420"/>
      <c r="T3846" s="1420"/>
      <c r="V3846" s="1357">
        <v>74</v>
      </c>
    </row>
    <row r="3847" spans="1:22" s="841" customFormat="1" ht="15" x14ac:dyDescent="0.25">
      <c r="A3847" s="841" t="s">
        <v>180</v>
      </c>
      <c r="E3847" s="1694" t="s">
        <v>3079</v>
      </c>
      <c r="F3847" s="1690"/>
      <c r="G3847" s="1408"/>
      <c r="H3847" s="1187"/>
      <c r="K3847" s="841" t="s">
        <v>3080</v>
      </c>
      <c r="M3847" s="1357"/>
      <c r="Q3847" s="1357"/>
      <c r="S3847" s="1420"/>
      <c r="T3847" s="1420"/>
      <c r="V3847" s="1357">
        <v>48</v>
      </c>
    </row>
    <row r="3848" spans="1:22" s="841" customFormat="1" ht="15" x14ac:dyDescent="0.25">
      <c r="A3848" s="841" t="s">
        <v>180</v>
      </c>
      <c r="E3848" s="1704" t="s">
        <v>2449</v>
      </c>
      <c r="F3848" s="1704"/>
      <c r="G3848" s="1403" t="s">
        <v>24</v>
      </c>
      <c r="H3848" s="605">
        <v>3.2000000000000002E-3</v>
      </c>
      <c r="K3848" s="841" t="s">
        <v>3197</v>
      </c>
      <c r="L3848" s="841" t="s">
        <v>3046</v>
      </c>
      <c r="M3848" s="1357"/>
      <c r="P3848" s="841" t="s">
        <v>3210</v>
      </c>
      <c r="Q3848" s="1357"/>
      <c r="S3848" s="1420"/>
      <c r="T3848" s="1420"/>
      <c r="V3848" s="1357">
        <v>55</v>
      </c>
    </row>
    <row r="3849" spans="1:22" s="841" customFormat="1" ht="15" x14ac:dyDescent="0.25">
      <c r="A3849" s="841" t="s">
        <v>180</v>
      </c>
      <c r="E3849" s="1704" t="s">
        <v>2450</v>
      </c>
      <c r="F3849" s="1704"/>
      <c r="G3849" s="1403" t="s">
        <v>24</v>
      </c>
      <c r="H3849" s="605">
        <v>4.0000000000000002E-4</v>
      </c>
      <c r="K3849" s="841" t="s">
        <v>3197</v>
      </c>
      <c r="L3849" s="841" t="s">
        <v>3046</v>
      </c>
      <c r="M3849" s="1357"/>
      <c r="P3849" s="841" t="s">
        <v>3210</v>
      </c>
      <c r="Q3849" s="1357"/>
      <c r="S3849" s="1420"/>
      <c r="T3849" s="1420"/>
      <c r="V3849" s="1357">
        <v>65</v>
      </c>
    </row>
    <row r="3850" spans="1:22" s="841" customFormat="1" ht="15" x14ac:dyDescent="0.25">
      <c r="A3850" s="841" t="s">
        <v>180</v>
      </c>
      <c r="E3850" s="1704" t="s">
        <v>439</v>
      </c>
      <c r="F3850" s="1704"/>
      <c r="G3850" s="1403" t="s">
        <v>24</v>
      </c>
      <c r="H3850" s="605">
        <v>2.9999999999999997E-4</v>
      </c>
      <c r="K3850" s="841" t="s">
        <v>3197</v>
      </c>
      <c r="L3850" s="841" t="s">
        <v>3046</v>
      </c>
      <c r="M3850" s="1357"/>
      <c r="P3850" s="841" t="s">
        <v>3212</v>
      </c>
      <c r="Q3850" s="1357"/>
      <c r="S3850" s="1420"/>
      <c r="T3850" s="1420"/>
      <c r="V3850" s="1357">
        <v>57</v>
      </c>
    </row>
    <row r="3851" spans="1:22" s="841" customFormat="1" ht="15" x14ac:dyDescent="0.25">
      <c r="A3851" s="841" t="s">
        <v>180</v>
      </c>
      <c r="E3851" s="1704" t="s">
        <v>32</v>
      </c>
      <c r="F3851" s="1704"/>
      <c r="G3851" s="1403" t="s">
        <v>23</v>
      </c>
      <c r="H3851" s="395">
        <v>0.25</v>
      </c>
      <c r="K3851" s="841" t="s">
        <v>3197</v>
      </c>
      <c r="L3851" s="841" t="s">
        <v>3046</v>
      </c>
      <c r="M3851" s="1357"/>
      <c r="P3851" s="841" t="s">
        <v>3213</v>
      </c>
      <c r="Q3851" s="1357"/>
      <c r="S3851" s="1420"/>
      <c r="T3851" s="1420"/>
      <c r="V3851" s="1357">
        <v>63</v>
      </c>
    </row>
    <row r="3852" spans="1:22" s="841" customFormat="1" x14ac:dyDescent="0.25">
      <c r="A3852" s="841" t="s">
        <v>180</v>
      </c>
      <c r="E3852" s="1909" t="s">
        <v>3214</v>
      </c>
      <c r="F3852" s="1909"/>
      <c r="G3852" s="1909"/>
      <c r="H3852" s="1909"/>
      <c r="K3852" s="841" t="s">
        <v>5110</v>
      </c>
      <c r="M3852" s="1357"/>
      <c r="Q3852" s="1357"/>
      <c r="S3852" s="1420"/>
      <c r="T3852" s="1420"/>
      <c r="V3852" s="1357">
        <v>54</v>
      </c>
    </row>
    <row r="3853" spans="1:22" s="841" customFormat="1" ht="15" x14ac:dyDescent="0.25">
      <c r="A3853" s="841" t="s">
        <v>180</v>
      </c>
      <c r="E3853" s="1689" t="s">
        <v>5448</v>
      </c>
      <c r="F3853" s="1689"/>
      <c r="G3853" s="1689"/>
      <c r="H3853" s="1689"/>
      <c r="K3853" s="841" t="s">
        <v>5110</v>
      </c>
      <c r="M3853" s="1357"/>
      <c r="Q3853" s="1357"/>
      <c r="S3853" s="1420"/>
      <c r="T3853" s="1420"/>
      <c r="V3853" s="1357">
        <v>758</v>
      </c>
    </row>
    <row r="3854" spans="1:22" s="841" customFormat="1" ht="15" x14ac:dyDescent="0.25">
      <c r="A3854" s="841" t="s">
        <v>180</v>
      </c>
      <c r="E3854" s="1916" t="s">
        <v>3061</v>
      </c>
      <c r="F3854" s="1926"/>
      <c r="G3854" s="1926"/>
      <c r="H3854" s="1926"/>
      <c r="K3854" s="841" t="s">
        <v>3086</v>
      </c>
      <c r="M3854" s="1357"/>
      <c r="Q3854" s="1357"/>
      <c r="S3854" s="1420"/>
      <c r="T3854" s="1420"/>
      <c r="V3854" s="1357">
        <v>11</v>
      </c>
    </row>
    <row r="3855" spans="1:22" s="841" customFormat="1" ht="15" x14ac:dyDescent="0.25">
      <c r="A3855" s="841" t="s">
        <v>180</v>
      </c>
      <c r="E3855" s="1689" t="s">
        <v>3063</v>
      </c>
      <c r="F3855" s="1689"/>
      <c r="G3855" s="1689"/>
      <c r="H3855" s="1689"/>
      <c r="K3855" s="841" t="s">
        <v>5110</v>
      </c>
      <c r="M3855" s="1357"/>
      <c r="Q3855" s="1357"/>
      <c r="S3855" s="1420"/>
      <c r="T3855" s="1420"/>
      <c r="V3855" s="1357">
        <v>280</v>
      </c>
    </row>
    <row r="3856" spans="1:22" s="841" customFormat="1" ht="15" x14ac:dyDescent="0.25">
      <c r="A3856" s="841" t="s">
        <v>180</v>
      </c>
      <c r="E3856" s="1689" t="s">
        <v>3064</v>
      </c>
      <c r="F3856" s="1689"/>
      <c r="G3856" s="1689"/>
      <c r="H3856" s="1689"/>
      <c r="K3856" s="841" t="s">
        <v>5110</v>
      </c>
      <c r="M3856" s="1357"/>
      <c r="Q3856" s="1357"/>
      <c r="S3856" s="1420"/>
      <c r="T3856" s="1420"/>
      <c r="V3856" s="1357">
        <v>411</v>
      </c>
    </row>
    <row r="3857" spans="1:22" s="841" customFormat="1" ht="15" x14ac:dyDescent="0.25">
      <c r="A3857" s="841" t="s">
        <v>180</v>
      </c>
      <c r="E3857" s="1689" t="s">
        <v>3199</v>
      </c>
      <c r="F3857" s="1689"/>
      <c r="G3857" s="1689"/>
      <c r="H3857" s="1689"/>
      <c r="K3857" s="841" t="s">
        <v>5110</v>
      </c>
      <c r="M3857" s="1357"/>
      <c r="Q3857" s="1357"/>
      <c r="S3857" s="1420"/>
      <c r="T3857" s="1420"/>
      <c r="V3857" s="1357">
        <v>386</v>
      </c>
    </row>
    <row r="3858" spans="1:22" s="841" customFormat="1" ht="15" x14ac:dyDescent="0.25">
      <c r="A3858" s="841" t="s">
        <v>180</v>
      </c>
      <c r="E3858" s="1689" t="s">
        <v>3390</v>
      </c>
      <c r="F3858" s="1689"/>
      <c r="G3858" s="1689"/>
      <c r="H3858" s="1689"/>
      <c r="K3858" s="841" t="s">
        <v>5110</v>
      </c>
      <c r="M3858" s="1357"/>
      <c r="Q3858" s="1357"/>
      <c r="S3858" s="1420"/>
      <c r="T3858" s="1420"/>
      <c r="V3858" s="1357">
        <v>274</v>
      </c>
    </row>
    <row r="3859" spans="1:22" s="841" customFormat="1" ht="15" x14ac:dyDescent="0.25">
      <c r="A3859" s="841" t="s">
        <v>180</v>
      </c>
      <c r="E3859" s="1694" t="s">
        <v>3067</v>
      </c>
      <c r="F3859" s="1922"/>
      <c r="G3859" s="1922"/>
      <c r="H3859" s="1922"/>
      <c r="K3859" s="841" t="s">
        <v>3087</v>
      </c>
      <c r="M3859" s="1357"/>
      <c r="Q3859" s="1357"/>
      <c r="S3859" s="1420"/>
      <c r="T3859" s="1420"/>
      <c r="V3859" s="1357">
        <v>46</v>
      </c>
    </row>
    <row r="3860" spans="1:22" s="841" customFormat="1" ht="15" x14ac:dyDescent="0.25">
      <c r="A3860" s="841" t="s">
        <v>180</v>
      </c>
      <c r="E3860" s="1704" t="s">
        <v>11</v>
      </c>
      <c r="F3860" s="1704"/>
      <c r="G3860" s="1403" t="s">
        <v>23</v>
      </c>
      <c r="H3860" s="395">
        <v>31.86</v>
      </c>
      <c r="K3860" s="841" t="s">
        <v>5110</v>
      </c>
      <c r="L3860" s="841" t="s">
        <v>442</v>
      </c>
      <c r="M3860" s="1357"/>
      <c r="P3860" s="841" t="s">
        <v>5111</v>
      </c>
      <c r="Q3860" s="1357"/>
      <c r="S3860" s="1420"/>
      <c r="T3860" s="1420"/>
      <c r="V3860" s="1357">
        <v>14</v>
      </c>
    </row>
    <row r="3861" spans="1:22" s="841" customFormat="1" ht="15" x14ac:dyDescent="0.25">
      <c r="A3861" s="841" t="s">
        <v>180</v>
      </c>
      <c r="E3861" s="1704" t="s">
        <v>423</v>
      </c>
      <c r="F3861" s="1704"/>
      <c r="G3861" s="1403" t="s">
        <v>23</v>
      </c>
      <c r="H3861" s="395">
        <v>0.79</v>
      </c>
      <c r="K3861" s="841" t="s">
        <v>5110</v>
      </c>
      <c r="L3861" s="841" t="s">
        <v>443</v>
      </c>
      <c r="M3861" s="1357"/>
      <c r="P3861" s="841" t="s">
        <v>5112</v>
      </c>
      <c r="Q3861" s="1357"/>
      <c r="S3861" s="1420"/>
      <c r="T3861" s="1420">
        <v>43404</v>
      </c>
      <c r="V3861" s="1357">
        <v>78</v>
      </c>
    </row>
    <row r="3862" spans="1:22" s="841" customFormat="1" ht="15" x14ac:dyDescent="0.25">
      <c r="A3862" s="841" t="s">
        <v>180</v>
      </c>
      <c r="E3862" s="1704" t="s">
        <v>84</v>
      </c>
      <c r="F3862" s="1704"/>
      <c r="G3862" s="1403" t="s">
        <v>24</v>
      </c>
      <c r="H3862" s="605">
        <v>1.5800000000000002E-2</v>
      </c>
      <c r="K3862" s="841" t="s">
        <v>5110</v>
      </c>
      <c r="L3862" s="841" t="s">
        <v>442</v>
      </c>
      <c r="M3862" s="1357"/>
      <c r="P3862" s="841" t="s">
        <v>5113</v>
      </c>
      <c r="Q3862" s="1357"/>
      <c r="S3862" s="1420"/>
      <c r="T3862" s="1420"/>
      <c r="V3862" s="1357">
        <v>28</v>
      </c>
    </row>
    <row r="3863" spans="1:22" s="841" customFormat="1" ht="15" x14ac:dyDescent="0.25">
      <c r="A3863" s="841" t="s">
        <v>180</v>
      </c>
      <c r="E3863" s="1704" t="s">
        <v>18</v>
      </c>
      <c r="F3863" s="1704"/>
      <c r="G3863" s="1403" t="s">
        <v>24</v>
      </c>
      <c r="H3863" s="605">
        <v>2.9999999999999997E-4</v>
      </c>
      <c r="K3863" s="841" t="s">
        <v>5110</v>
      </c>
      <c r="L3863" s="841" t="s">
        <v>443</v>
      </c>
      <c r="M3863" s="1357"/>
      <c r="P3863" s="841" t="s">
        <v>5114</v>
      </c>
      <c r="Q3863" s="1357"/>
      <c r="S3863" s="1420"/>
      <c r="T3863" s="1420"/>
      <c r="V3863" s="1357">
        <v>24</v>
      </c>
    </row>
    <row r="3864" spans="1:22" s="841" customFormat="1" ht="15" x14ac:dyDescent="0.25">
      <c r="A3864" s="841" t="s">
        <v>180</v>
      </c>
      <c r="E3864" s="1704" t="s">
        <v>5143</v>
      </c>
      <c r="F3864" s="1959"/>
      <c r="G3864" s="1403" t="s">
        <v>24</v>
      </c>
      <c r="H3864" s="605">
        <v>5.9999999999999995E-4</v>
      </c>
      <c r="K3864" s="841" t="s">
        <v>5110</v>
      </c>
      <c r="L3864" s="841" t="s">
        <v>443</v>
      </c>
      <c r="M3864" s="1357"/>
      <c r="P3864" s="841" t="s">
        <v>4818</v>
      </c>
      <c r="Q3864" s="1357"/>
      <c r="S3864" s="1420"/>
      <c r="T3864" s="1420">
        <v>43465</v>
      </c>
      <c r="V3864" s="1357">
        <v>142</v>
      </c>
    </row>
    <row r="3865" spans="1:22" s="841" customFormat="1" ht="15" x14ac:dyDescent="0.25">
      <c r="A3865" s="841" t="s">
        <v>180</v>
      </c>
      <c r="E3865" s="1704" t="s">
        <v>5447</v>
      </c>
      <c r="F3865" s="1959"/>
      <c r="G3865" s="1403" t="s">
        <v>24</v>
      </c>
      <c r="H3865" s="605">
        <v>8.9999999999999998E-4</v>
      </c>
      <c r="K3865" s="841" t="s">
        <v>5110</v>
      </c>
      <c r="L3865" s="841" t="s">
        <v>442</v>
      </c>
      <c r="M3865" s="1357"/>
      <c r="P3865" s="841" t="s">
        <v>5285</v>
      </c>
      <c r="Q3865" s="1357"/>
      <c r="S3865" s="1420"/>
      <c r="T3865" s="1420">
        <v>43465</v>
      </c>
      <c r="V3865" s="1357">
        <v>138</v>
      </c>
    </row>
    <row r="3866" spans="1:22" s="841" customFormat="1" ht="15" x14ac:dyDescent="0.25">
      <c r="A3866" s="841" t="s">
        <v>180</v>
      </c>
      <c r="E3866" s="1704" t="s">
        <v>5144</v>
      </c>
      <c r="F3866" s="1959"/>
      <c r="G3866" s="1403" t="s">
        <v>24</v>
      </c>
      <c r="H3866" s="605">
        <v>5.0000000000000001E-4</v>
      </c>
      <c r="K3866" s="841" t="s">
        <v>5110</v>
      </c>
      <c r="L3866" s="841" t="s">
        <v>443</v>
      </c>
      <c r="M3866" s="1357"/>
      <c r="P3866" s="841" t="s">
        <v>5124</v>
      </c>
      <c r="Q3866" s="1357"/>
      <c r="S3866" s="1420"/>
      <c r="T3866" s="1420">
        <v>43465</v>
      </c>
      <c r="V3866" s="1357">
        <v>99</v>
      </c>
    </row>
    <row r="3867" spans="1:22" s="841" customFormat="1" ht="15" x14ac:dyDescent="0.25">
      <c r="A3867" s="841" t="s">
        <v>180</v>
      </c>
      <c r="E3867" s="1704" t="s">
        <v>5145</v>
      </c>
      <c r="F3867" s="1959"/>
      <c r="G3867" s="1403" t="s">
        <v>24</v>
      </c>
      <c r="H3867" s="605">
        <v>-1E-4</v>
      </c>
      <c r="K3867" s="841" t="s">
        <v>5110</v>
      </c>
      <c r="L3867" s="841" t="s">
        <v>443</v>
      </c>
      <c r="M3867" s="1357"/>
      <c r="P3867" s="841" t="s">
        <v>5287</v>
      </c>
      <c r="Q3867" s="1357"/>
      <c r="S3867" s="1420"/>
      <c r="T3867" s="1420">
        <v>43465</v>
      </c>
      <c r="V3867" s="1357">
        <v>148</v>
      </c>
    </row>
    <row r="3868" spans="1:22" s="841" customFormat="1" ht="15" x14ac:dyDescent="0.25">
      <c r="A3868" s="841" t="s">
        <v>180</v>
      </c>
      <c r="E3868" s="1704" t="s">
        <v>221</v>
      </c>
      <c r="F3868" s="1704"/>
      <c r="G3868" s="1403" t="s">
        <v>24</v>
      </c>
      <c r="H3868" s="605">
        <v>6.0000000000000001E-3</v>
      </c>
      <c r="K3868" s="841" t="s">
        <v>5110</v>
      </c>
      <c r="L3868" s="841" t="s">
        <v>444</v>
      </c>
      <c r="M3868" s="1357"/>
      <c r="P3868" s="841" t="s">
        <v>5115</v>
      </c>
      <c r="Q3868" s="1357"/>
      <c r="S3868" s="1420"/>
      <c r="T3868" s="1420"/>
      <c r="V3868" s="1357">
        <v>47</v>
      </c>
    </row>
    <row r="3869" spans="1:22" s="841" customFormat="1" ht="15" x14ac:dyDescent="0.25">
      <c r="A3869" s="841" t="s">
        <v>180</v>
      </c>
      <c r="E3869" s="1704" t="s">
        <v>217</v>
      </c>
      <c r="F3869" s="1704"/>
      <c r="G3869" s="1403" t="s">
        <v>24</v>
      </c>
      <c r="H3869" s="605">
        <v>4.4000000000000003E-3</v>
      </c>
      <c r="K3869" s="841" t="s">
        <v>5110</v>
      </c>
      <c r="L3869" s="841" t="s">
        <v>444</v>
      </c>
      <c r="M3869" s="1357"/>
      <c r="P3869" s="841" t="s">
        <v>5116</v>
      </c>
      <c r="Q3869" s="1357"/>
      <c r="S3869" s="1420"/>
      <c r="T3869" s="1420"/>
      <c r="V3869" s="1357">
        <v>74</v>
      </c>
    </row>
    <row r="3870" spans="1:22" s="841" customFormat="1" ht="15" x14ac:dyDescent="0.25">
      <c r="A3870" s="841" t="s">
        <v>180</v>
      </c>
      <c r="E3870" s="1694" t="s">
        <v>3079</v>
      </c>
      <c r="F3870" s="1906"/>
      <c r="G3870" s="1408"/>
      <c r="H3870" s="1187"/>
      <c r="K3870" s="841" t="s">
        <v>3093</v>
      </c>
      <c r="M3870" s="1357"/>
      <c r="Q3870" s="1357"/>
      <c r="S3870" s="1420"/>
      <c r="T3870" s="1420"/>
      <c r="V3870" s="1357">
        <v>48</v>
      </c>
    </row>
    <row r="3871" spans="1:22" s="841" customFormat="1" ht="15" x14ac:dyDescent="0.25">
      <c r="A3871" s="841" t="s">
        <v>180</v>
      </c>
      <c r="E3871" s="1704" t="s">
        <v>2449</v>
      </c>
      <c r="F3871" s="1704"/>
      <c r="G3871" s="1403" t="s">
        <v>24</v>
      </c>
      <c r="H3871" s="605">
        <v>3.2000000000000002E-3</v>
      </c>
      <c r="K3871" s="841" t="s">
        <v>5110</v>
      </c>
      <c r="L3871" s="841" t="s">
        <v>3046</v>
      </c>
      <c r="M3871" s="1357"/>
      <c r="P3871" s="841" t="s">
        <v>5117</v>
      </c>
      <c r="Q3871" s="1357"/>
      <c r="S3871" s="1420"/>
      <c r="T3871" s="1420"/>
      <c r="V3871" s="1357">
        <v>55</v>
      </c>
    </row>
    <row r="3872" spans="1:22" s="841" customFormat="1" ht="15" x14ac:dyDescent="0.25">
      <c r="A3872" s="841" t="s">
        <v>180</v>
      </c>
      <c r="E3872" s="1704" t="s">
        <v>2450</v>
      </c>
      <c r="F3872" s="1704"/>
      <c r="G3872" s="1403" t="s">
        <v>24</v>
      </c>
      <c r="H3872" s="605">
        <v>4.0000000000000002E-4</v>
      </c>
      <c r="K3872" s="841" t="s">
        <v>5110</v>
      </c>
      <c r="L3872" s="841" t="s">
        <v>3046</v>
      </c>
      <c r="M3872" s="1357"/>
      <c r="P3872" s="841" t="s">
        <v>5117</v>
      </c>
      <c r="Q3872" s="1357"/>
      <c r="S3872" s="1420"/>
      <c r="T3872" s="1420"/>
      <c r="V3872" s="1357">
        <v>65</v>
      </c>
    </row>
    <row r="3873" spans="1:22" s="841" customFormat="1" ht="15" x14ac:dyDescent="0.25">
      <c r="A3873" s="841" t="s">
        <v>180</v>
      </c>
      <c r="E3873" s="1704" t="s">
        <v>439</v>
      </c>
      <c r="F3873" s="1704"/>
      <c r="G3873" s="1403" t="s">
        <v>24</v>
      </c>
      <c r="H3873" s="605">
        <v>2.9999999999999997E-4</v>
      </c>
      <c r="K3873" s="841" t="s">
        <v>5110</v>
      </c>
      <c r="L3873" s="841" t="s">
        <v>3046</v>
      </c>
      <c r="M3873" s="1357"/>
      <c r="P3873" s="841" t="s">
        <v>5118</v>
      </c>
      <c r="Q3873" s="1357"/>
      <c r="S3873" s="1420"/>
      <c r="T3873" s="1420"/>
      <c r="V3873" s="1357">
        <v>57</v>
      </c>
    </row>
    <row r="3874" spans="1:22" s="841" customFormat="1" ht="15" x14ac:dyDescent="0.25">
      <c r="A3874" s="841" t="s">
        <v>180</v>
      </c>
      <c r="E3874" s="1704" t="s">
        <v>32</v>
      </c>
      <c r="F3874" s="1704"/>
      <c r="G3874" s="1403" t="s">
        <v>23</v>
      </c>
      <c r="H3874" s="395">
        <v>0.25</v>
      </c>
      <c r="K3874" s="841" t="s">
        <v>5110</v>
      </c>
      <c r="L3874" s="841" t="s">
        <v>3046</v>
      </c>
      <c r="M3874" s="1357"/>
      <c r="P3874" s="841" t="s">
        <v>5119</v>
      </c>
      <c r="Q3874" s="1357"/>
      <c r="S3874" s="1420"/>
      <c r="T3874" s="1420"/>
      <c r="V3874" s="1357">
        <v>63</v>
      </c>
    </row>
    <row r="3875" spans="1:22" s="841" customFormat="1" x14ac:dyDescent="0.25">
      <c r="A3875" s="841" t="s">
        <v>180</v>
      </c>
      <c r="E3875" s="1909" t="s">
        <v>616</v>
      </c>
      <c r="F3875" s="1909"/>
      <c r="G3875" s="1909"/>
      <c r="H3875" s="1909"/>
      <c r="K3875" s="841" t="s">
        <v>6095</v>
      </c>
      <c r="M3875" s="1357"/>
      <c r="Q3875" s="1357"/>
      <c r="S3875" s="1420"/>
      <c r="T3875" s="1420"/>
      <c r="V3875" s="1357">
        <v>53</v>
      </c>
    </row>
    <row r="3876" spans="1:22" s="841" customFormat="1" ht="15" x14ac:dyDescent="0.25">
      <c r="A3876" s="841" t="s">
        <v>180</v>
      </c>
      <c r="E3876" s="1689" t="s">
        <v>5449</v>
      </c>
      <c r="F3876" s="1689"/>
      <c r="G3876" s="1689"/>
      <c r="H3876" s="1689"/>
      <c r="K3876" s="841" t="s">
        <v>6095</v>
      </c>
      <c r="M3876" s="1357"/>
      <c r="Q3876" s="1357"/>
      <c r="S3876" s="1420"/>
      <c r="T3876" s="1420"/>
      <c r="V3876" s="1357">
        <v>564</v>
      </c>
    </row>
    <row r="3877" spans="1:22" s="841" customFormat="1" ht="15" x14ac:dyDescent="0.25">
      <c r="A3877" s="841" t="s">
        <v>180</v>
      </c>
      <c r="E3877" s="1916" t="s">
        <v>3061</v>
      </c>
      <c r="F3877" s="1926"/>
      <c r="G3877" s="1926"/>
      <c r="H3877" s="1926"/>
      <c r="K3877" s="841" t="s">
        <v>3098</v>
      </c>
      <c r="M3877" s="1357"/>
      <c r="Q3877" s="1357"/>
      <c r="S3877" s="1420"/>
      <c r="T3877" s="1420"/>
      <c r="V3877" s="1357">
        <v>11</v>
      </c>
    </row>
    <row r="3878" spans="1:22" s="841" customFormat="1" ht="15" x14ac:dyDescent="0.25">
      <c r="A3878" s="841" t="s">
        <v>180</v>
      </c>
      <c r="E3878" s="1689" t="s">
        <v>3063</v>
      </c>
      <c r="F3878" s="1689"/>
      <c r="G3878" s="1689"/>
      <c r="H3878" s="1689"/>
      <c r="K3878" s="841" t="s">
        <v>6095</v>
      </c>
      <c r="M3878" s="1357"/>
      <c r="Q3878" s="1357"/>
      <c r="S3878" s="1420"/>
      <c r="T3878" s="1420"/>
      <c r="V3878" s="1357">
        <v>280</v>
      </c>
    </row>
    <row r="3879" spans="1:22" s="841" customFormat="1" ht="15" x14ac:dyDescent="0.25">
      <c r="A3879" s="841" t="s">
        <v>180</v>
      </c>
      <c r="E3879" s="1689" t="s">
        <v>3064</v>
      </c>
      <c r="F3879" s="1697"/>
      <c r="G3879" s="1697"/>
      <c r="H3879" s="1697"/>
      <c r="K3879" s="841" t="s">
        <v>6095</v>
      </c>
      <c r="M3879" s="1357"/>
      <c r="Q3879" s="1357"/>
      <c r="S3879" s="1420"/>
      <c r="T3879" s="1420"/>
      <c r="V3879" s="1357">
        <v>411</v>
      </c>
    </row>
    <row r="3880" spans="1:22" s="841" customFormat="1" ht="15" x14ac:dyDescent="0.25">
      <c r="A3880" s="841" t="s">
        <v>180</v>
      </c>
      <c r="E3880" s="1689" t="s">
        <v>3199</v>
      </c>
      <c r="F3880" s="1697"/>
      <c r="G3880" s="1697"/>
      <c r="H3880" s="1697"/>
      <c r="K3880" s="841" t="s">
        <v>6095</v>
      </c>
      <c r="M3880" s="1357"/>
      <c r="Q3880" s="1357"/>
      <c r="S3880" s="1420"/>
      <c r="T3880" s="1420"/>
      <c r="V3880" s="1357">
        <v>386</v>
      </c>
    </row>
    <row r="3881" spans="1:22" s="841" customFormat="1" ht="15" x14ac:dyDescent="0.25">
      <c r="A3881" s="841" t="s">
        <v>180</v>
      </c>
      <c r="E3881" s="1689" t="s">
        <v>5288</v>
      </c>
      <c r="F3881" s="1689"/>
      <c r="G3881" s="1689"/>
      <c r="H3881" s="1689"/>
      <c r="K3881" s="841" t="s">
        <v>6095</v>
      </c>
      <c r="M3881" s="1357"/>
      <c r="Q3881" s="1357"/>
      <c r="S3881" s="1420"/>
      <c r="T3881" s="1420"/>
      <c r="V3881" s="1357">
        <v>610</v>
      </c>
    </row>
    <row r="3882" spans="1:22" s="841" customFormat="1" ht="15" x14ac:dyDescent="0.25">
      <c r="A3882" s="841" t="s">
        <v>180</v>
      </c>
      <c r="E3882" s="1689" t="s">
        <v>3223</v>
      </c>
      <c r="F3882" s="1689"/>
      <c r="G3882" s="1689"/>
      <c r="H3882" s="1689"/>
      <c r="K3882" s="841" t="s">
        <v>6095</v>
      </c>
      <c r="M3882" s="1357"/>
      <c r="Q3882" s="1357"/>
      <c r="S3882" s="1420"/>
      <c r="T3882" s="1420"/>
      <c r="V3882" s="1357">
        <v>626</v>
      </c>
    </row>
    <row r="3883" spans="1:22" s="841" customFormat="1" ht="15" x14ac:dyDescent="0.25">
      <c r="A3883" s="841" t="s">
        <v>180</v>
      </c>
      <c r="E3883" s="1921" t="s">
        <v>3390</v>
      </c>
      <c r="F3883" s="2010"/>
      <c r="G3883" s="2010"/>
      <c r="H3883" s="2010"/>
      <c r="K3883" s="841" t="s">
        <v>6095</v>
      </c>
      <c r="M3883" s="1357"/>
      <c r="Q3883" s="1357"/>
      <c r="S3883" s="1420"/>
      <c r="T3883" s="1420"/>
      <c r="V3883" s="1357">
        <v>274</v>
      </c>
    </row>
    <row r="3884" spans="1:22" s="841" customFormat="1" ht="15" x14ac:dyDescent="0.25">
      <c r="A3884" s="841" t="s">
        <v>180</v>
      </c>
      <c r="E3884" s="1694" t="s">
        <v>3067</v>
      </c>
      <c r="F3884" s="1907"/>
      <c r="G3884" s="1907"/>
      <c r="H3884" s="1907"/>
      <c r="K3884" s="841" t="s">
        <v>3099</v>
      </c>
      <c r="M3884" s="1357"/>
      <c r="Q3884" s="1357"/>
      <c r="S3884" s="1420"/>
      <c r="T3884" s="1420"/>
      <c r="V3884" s="1357">
        <v>46</v>
      </c>
    </row>
    <row r="3885" spans="1:22" s="841" customFormat="1" ht="15" x14ac:dyDescent="0.25">
      <c r="A3885" s="841" t="s">
        <v>180</v>
      </c>
      <c r="E3885" s="1704" t="s">
        <v>11</v>
      </c>
      <c r="F3885" s="1704"/>
      <c r="G3885" s="1403" t="s">
        <v>23</v>
      </c>
      <c r="H3885" s="395">
        <v>236.43</v>
      </c>
      <c r="K3885" s="841" t="s">
        <v>6095</v>
      </c>
      <c r="L3885" s="841" t="s">
        <v>442</v>
      </c>
      <c r="M3885" s="1357"/>
      <c r="P3885" s="841" t="s">
        <v>6096</v>
      </c>
      <c r="Q3885" s="1357"/>
      <c r="S3885" s="1420"/>
      <c r="T3885" s="1420"/>
      <c r="V3885" s="1357">
        <v>14</v>
      </c>
    </row>
    <row r="3886" spans="1:22" s="841" customFormat="1" ht="15" x14ac:dyDescent="0.25">
      <c r="A3886" s="841" t="s">
        <v>180</v>
      </c>
      <c r="E3886" s="1704" t="s">
        <v>84</v>
      </c>
      <c r="F3886" s="1704"/>
      <c r="G3886" s="1403" t="s">
        <v>33</v>
      </c>
      <c r="H3886" s="605">
        <v>2.5524</v>
      </c>
      <c r="K3886" s="841" t="s">
        <v>6095</v>
      </c>
      <c r="L3886" s="841" t="s">
        <v>442</v>
      </c>
      <c r="M3886" s="1357"/>
      <c r="P3886" s="841" t="s">
        <v>6097</v>
      </c>
      <c r="Q3886" s="1357"/>
      <c r="S3886" s="1420"/>
      <c r="T3886" s="1420"/>
      <c r="V3886" s="1357">
        <v>28</v>
      </c>
    </row>
    <row r="3887" spans="1:22" s="841" customFormat="1" ht="15" x14ac:dyDescent="0.25">
      <c r="A3887" s="841" t="s">
        <v>180</v>
      </c>
      <c r="E3887" s="1704" t="s">
        <v>18</v>
      </c>
      <c r="F3887" s="1704"/>
      <c r="G3887" s="1403" t="s">
        <v>33</v>
      </c>
      <c r="H3887" s="605">
        <v>0.13650000000000001</v>
      </c>
      <c r="K3887" s="841" t="s">
        <v>6095</v>
      </c>
      <c r="L3887" s="841" t="s">
        <v>443</v>
      </c>
      <c r="M3887" s="1357"/>
      <c r="P3887" s="841" t="s">
        <v>6098</v>
      </c>
      <c r="Q3887" s="1357"/>
      <c r="S3887" s="1420"/>
      <c r="T3887" s="1420"/>
      <c r="V3887" s="1357">
        <v>24</v>
      </c>
    </row>
    <row r="3888" spans="1:22" s="841" customFormat="1" ht="15" x14ac:dyDescent="0.25">
      <c r="A3888" s="841" t="s">
        <v>180</v>
      </c>
      <c r="E3888" s="1704" t="s">
        <v>5143</v>
      </c>
      <c r="F3888" s="1959"/>
      <c r="G3888" s="1403" t="s">
        <v>24</v>
      </c>
      <c r="H3888" s="605">
        <v>5.9999999999999995E-4</v>
      </c>
      <c r="K3888" s="841" t="s">
        <v>6095</v>
      </c>
      <c r="L3888" s="841" t="s">
        <v>443</v>
      </c>
      <c r="M3888" s="1357"/>
      <c r="P3888" s="841" t="s">
        <v>6104</v>
      </c>
      <c r="Q3888" s="1357"/>
      <c r="S3888" s="1420"/>
      <c r="T3888" s="1420">
        <v>43465</v>
      </c>
      <c r="V3888" s="1357">
        <v>142</v>
      </c>
    </row>
    <row r="3889" spans="1:22" s="841" customFormat="1" ht="15" x14ac:dyDescent="0.25">
      <c r="A3889" s="841" t="s">
        <v>180</v>
      </c>
      <c r="E3889" s="1704" t="s">
        <v>5447</v>
      </c>
      <c r="F3889" s="1959"/>
      <c r="G3889" s="1403" t="s">
        <v>33</v>
      </c>
      <c r="H3889" s="605">
        <v>5.74E-2</v>
      </c>
      <c r="K3889" s="841" t="s">
        <v>6095</v>
      </c>
      <c r="L3889" s="841" t="s">
        <v>442</v>
      </c>
      <c r="M3889" s="1357"/>
      <c r="P3889" s="841" t="s">
        <v>6111</v>
      </c>
      <c r="Q3889" s="1357"/>
      <c r="S3889" s="1420"/>
      <c r="T3889" s="1420">
        <v>43465</v>
      </c>
      <c r="V3889" s="1357">
        <v>138</v>
      </c>
    </row>
    <row r="3890" spans="1:22" s="841" customFormat="1" ht="15" x14ac:dyDescent="0.25">
      <c r="A3890" s="841" t="s">
        <v>180</v>
      </c>
      <c r="E3890" s="1704" t="s">
        <v>5450</v>
      </c>
      <c r="F3890" s="1959"/>
      <c r="G3890" s="1403" t="s">
        <v>33</v>
      </c>
      <c r="H3890" s="605">
        <v>0.13589999999999999</v>
      </c>
      <c r="K3890" s="841" t="s">
        <v>6095</v>
      </c>
      <c r="L3890" s="841" t="s">
        <v>443</v>
      </c>
      <c r="M3890" s="1357"/>
      <c r="P3890" s="841" t="s">
        <v>6105</v>
      </c>
      <c r="Q3890" s="1357"/>
      <c r="S3890" s="1420"/>
      <c r="T3890" s="1420">
        <v>43465</v>
      </c>
      <c r="V3890" s="1357">
        <v>159</v>
      </c>
    </row>
    <row r="3891" spans="1:22" s="841" customFormat="1" ht="15" x14ac:dyDescent="0.25">
      <c r="A3891" s="841" t="s">
        <v>180</v>
      </c>
      <c r="E3891" s="1704" t="s">
        <v>5144</v>
      </c>
      <c r="F3891" s="1959"/>
      <c r="G3891" s="1403" t="s">
        <v>33</v>
      </c>
      <c r="H3891" s="605">
        <v>7.2599999999999998E-2</v>
      </c>
      <c r="K3891" s="841" t="s">
        <v>6095</v>
      </c>
      <c r="L3891" s="841" t="s">
        <v>443</v>
      </c>
      <c r="M3891" s="1357"/>
      <c r="P3891" s="841" t="s">
        <v>6105</v>
      </c>
      <c r="Q3891" s="1357"/>
      <c r="S3891" s="1420"/>
      <c r="T3891" s="1420">
        <v>43465</v>
      </c>
      <c r="V3891" s="1357">
        <v>99</v>
      </c>
    </row>
    <row r="3892" spans="1:22" s="841" customFormat="1" ht="15" x14ac:dyDescent="0.25">
      <c r="A3892" s="841" t="s">
        <v>180</v>
      </c>
      <c r="E3892" s="1704" t="s">
        <v>5145</v>
      </c>
      <c r="F3892" s="1959"/>
      <c r="G3892" s="1403" t="s">
        <v>33</v>
      </c>
      <c r="H3892" s="605">
        <v>-2.01E-2</v>
      </c>
      <c r="K3892" s="841" t="s">
        <v>6095</v>
      </c>
      <c r="L3892" s="841" t="s">
        <v>443</v>
      </c>
      <c r="M3892" s="1357"/>
      <c r="P3892" s="841" t="s">
        <v>6112</v>
      </c>
      <c r="Q3892" s="1357"/>
      <c r="S3892" s="1420"/>
      <c r="T3892" s="1420">
        <v>43465</v>
      </c>
      <c r="V3892" s="1357">
        <v>148</v>
      </c>
    </row>
    <row r="3893" spans="1:22" s="841" customFormat="1" ht="15" x14ac:dyDescent="0.25">
      <c r="A3893" s="841" t="s">
        <v>180</v>
      </c>
      <c r="E3893" s="1704" t="s">
        <v>221</v>
      </c>
      <c r="F3893" s="1704"/>
      <c r="G3893" s="1403" t="s">
        <v>33</v>
      </c>
      <c r="H3893" s="605">
        <v>2.5363000000000002</v>
      </c>
      <c r="K3893" s="841" t="s">
        <v>6095</v>
      </c>
      <c r="L3893" s="841" t="s">
        <v>444</v>
      </c>
      <c r="M3893" s="1357"/>
      <c r="P3893" s="841" t="s">
        <v>6099</v>
      </c>
      <c r="Q3893" s="1357"/>
      <c r="S3893" s="1420"/>
      <c r="T3893" s="1420"/>
      <c r="V3893" s="1357">
        <v>47</v>
      </c>
    </row>
    <row r="3894" spans="1:22" s="841" customFormat="1" ht="15" x14ac:dyDescent="0.25">
      <c r="A3894" s="841" t="s">
        <v>180</v>
      </c>
      <c r="E3894" s="1704" t="s">
        <v>217</v>
      </c>
      <c r="F3894" s="1704"/>
      <c r="G3894" s="1403" t="s">
        <v>33</v>
      </c>
      <c r="H3894" s="605">
        <v>1.7819</v>
      </c>
      <c r="K3894" s="841" t="s">
        <v>6095</v>
      </c>
      <c r="L3894" s="841" t="s">
        <v>444</v>
      </c>
      <c r="M3894" s="1357"/>
      <c r="P3894" s="841" t="s">
        <v>6100</v>
      </c>
      <c r="Q3894" s="1357"/>
      <c r="S3894" s="1420"/>
      <c r="T3894" s="1420"/>
      <c r="V3894" s="1357">
        <v>74</v>
      </c>
    </row>
    <row r="3895" spans="1:22" s="841" customFormat="1" ht="15" x14ac:dyDescent="0.25">
      <c r="A3895" s="841" t="s">
        <v>180</v>
      </c>
      <c r="E3895" s="1704" t="s">
        <v>223</v>
      </c>
      <c r="F3895" s="1704"/>
      <c r="G3895" s="1403" t="s">
        <v>33</v>
      </c>
      <c r="H3895" s="605">
        <v>2.694</v>
      </c>
      <c r="K3895" s="841" t="s">
        <v>6095</v>
      </c>
      <c r="L3895" s="841" t="s">
        <v>444</v>
      </c>
      <c r="M3895" s="1357"/>
      <c r="P3895" s="841" t="s">
        <v>6107</v>
      </c>
      <c r="Q3895" s="1357"/>
      <c r="S3895" s="1420"/>
      <c r="T3895" s="1420"/>
      <c r="V3895" s="1357">
        <v>66</v>
      </c>
    </row>
    <row r="3896" spans="1:22" s="841" customFormat="1" ht="15" x14ac:dyDescent="0.25">
      <c r="A3896" s="841" t="s">
        <v>180</v>
      </c>
      <c r="E3896" s="1704" t="s">
        <v>219</v>
      </c>
      <c r="F3896" s="1704"/>
      <c r="G3896" s="1403" t="s">
        <v>33</v>
      </c>
      <c r="H3896" s="605">
        <v>1.9534</v>
      </c>
      <c r="K3896" s="841" t="s">
        <v>6095</v>
      </c>
      <c r="L3896" s="841" t="s">
        <v>444</v>
      </c>
      <c r="M3896" s="1357"/>
      <c r="P3896" s="841" t="s">
        <v>6108</v>
      </c>
      <c r="Q3896" s="1357"/>
      <c r="S3896" s="1420"/>
      <c r="T3896" s="1420"/>
      <c r="V3896" s="1357">
        <v>93</v>
      </c>
    </row>
    <row r="3897" spans="1:22" s="841" customFormat="1" ht="15" x14ac:dyDescent="0.25">
      <c r="A3897" s="841" t="s">
        <v>180</v>
      </c>
      <c r="E3897" s="1916" t="s">
        <v>3079</v>
      </c>
      <c r="F3897" s="1704"/>
      <c r="G3897" s="1403"/>
      <c r="H3897" s="1188"/>
      <c r="K3897" s="841" t="s">
        <v>3218</v>
      </c>
      <c r="M3897" s="1357"/>
      <c r="Q3897" s="1357"/>
      <c r="S3897" s="1420"/>
      <c r="T3897" s="1420"/>
      <c r="V3897" s="1357">
        <v>48</v>
      </c>
    </row>
    <row r="3898" spans="1:22" s="841" customFormat="1" ht="15" x14ac:dyDescent="0.25">
      <c r="A3898" s="841" t="s">
        <v>180</v>
      </c>
      <c r="E3898" s="1704" t="s">
        <v>2449</v>
      </c>
      <c r="F3898" s="1704"/>
      <c r="G3898" s="1403" t="s">
        <v>24</v>
      </c>
      <c r="H3898" s="605">
        <v>3.2000000000000002E-3</v>
      </c>
      <c r="K3898" s="841" t="s">
        <v>6095</v>
      </c>
      <c r="L3898" s="841" t="s">
        <v>3046</v>
      </c>
      <c r="M3898" s="1357"/>
      <c r="P3898" s="841" t="s">
        <v>6101</v>
      </c>
      <c r="Q3898" s="1357"/>
      <c r="S3898" s="1420"/>
      <c r="T3898" s="1420"/>
      <c r="V3898" s="1357">
        <v>55</v>
      </c>
    </row>
    <row r="3899" spans="1:22" s="841" customFormat="1" ht="15" x14ac:dyDescent="0.25">
      <c r="A3899" s="841" t="s">
        <v>180</v>
      </c>
      <c r="E3899" s="1704" t="s">
        <v>2450</v>
      </c>
      <c r="F3899" s="1704"/>
      <c r="G3899" s="1403" t="s">
        <v>24</v>
      </c>
      <c r="H3899" s="605">
        <v>4.0000000000000002E-4</v>
      </c>
      <c r="K3899" s="841" t="s">
        <v>6095</v>
      </c>
      <c r="L3899" s="841" t="s">
        <v>3046</v>
      </c>
      <c r="M3899" s="1357"/>
      <c r="P3899" s="841" t="s">
        <v>6101</v>
      </c>
      <c r="Q3899" s="1357"/>
      <c r="S3899" s="1420"/>
      <c r="T3899" s="1420"/>
      <c r="V3899" s="1357">
        <v>65</v>
      </c>
    </row>
    <row r="3900" spans="1:22" s="841" customFormat="1" ht="15" x14ac:dyDescent="0.25">
      <c r="A3900" s="841" t="s">
        <v>180</v>
      </c>
      <c r="E3900" s="1704" t="s">
        <v>439</v>
      </c>
      <c r="F3900" s="1704"/>
      <c r="G3900" s="1403" t="s">
        <v>24</v>
      </c>
      <c r="H3900" s="605">
        <v>2.9999999999999997E-4</v>
      </c>
      <c r="K3900" s="841" t="s">
        <v>6095</v>
      </c>
      <c r="L3900" s="841" t="s">
        <v>3046</v>
      </c>
      <c r="M3900" s="1357"/>
      <c r="P3900" s="841" t="s">
        <v>6102</v>
      </c>
      <c r="Q3900" s="1357"/>
      <c r="S3900" s="1420"/>
      <c r="T3900" s="1420"/>
      <c r="V3900" s="1357">
        <v>57</v>
      </c>
    </row>
    <row r="3901" spans="1:22" s="841" customFormat="1" ht="15" x14ac:dyDescent="0.25">
      <c r="A3901" s="841" t="s">
        <v>180</v>
      </c>
      <c r="E3901" s="1704" t="s">
        <v>32</v>
      </c>
      <c r="F3901" s="1704"/>
      <c r="G3901" s="1403" t="s">
        <v>23</v>
      </c>
      <c r="H3901" s="395">
        <v>0.25</v>
      </c>
      <c r="K3901" s="841" t="s">
        <v>6095</v>
      </c>
      <c r="L3901" s="841" t="s">
        <v>3046</v>
      </c>
      <c r="M3901" s="1357"/>
      <c r="P3901" s="841" t="s">
        <v>6103</v>
      </c>
      <c r="Q3901" s="1357"/>
      <c r="S3901" s="1420"/>
      <c r="T3901" s="1420"/>
      <c r="V3901" s="1357">
        <v>63</v>
      </c>
    </row>
    <row r="3902" spans="1:22" s="841" customFormat="1" x14ac:dyDescent="0.25">
      <c r="A3902" s="841" t="s">
        <v>180</v>
      </c>
      <c r="E3902" s="1909" t="s">
        <v>621</v>
      </c>
      <c r="F3902" s="1915"/>
      <c r="G3902" s="1915"/>
      <c r="H3902" s="1915"/>
      <c r="K3902" s="841" t="s">
        <v>4394</v>
      </c>
      <c r="M3902" s="1357"/>
      <c r="Q3902" s="1357"/>
      <c r="S3902" s="1420"/>
      <c r="T3902" s="1420"/>
      <c r="V3902" s="1357">
        <v>32</v>
      </c>
    </row>
    <row r="3903" spans="1:22" s="841" customFormat="1" ht="15" x14ac:dyDescent="0.25">
      <c r="A3903" s="841" t="s">
        <v>180</v>
      </c>
      <c r="E3903" s="1689" t="s">
        <v>5451</v>
      </c>
      <c r="F3903" s="1697"/>
      <c r="G3903" s="1697"/>
      <c r="H3903" s="1697"/>
      <c r="K3903" s="841" t="s">
        <v>4394</v>
      </c>
      <c r="M3903" s="1357"/>
      <c r="Q3903" s="1357"/>
      <c r="S3903" s="1420"/>
      <c r="T3903" s="1420"/>
      <c r="V3903" s="1357">
        <v>551</v>
      </c>
    </row>
    <row r="3904" spans="1:22" s="841" customFormat="1" ht="15" x14ac:dyDescent="0.25">
      <c r="A3904" s="841" t="s">
        <v>180</v>
      </c>
      <c r="E3904" s="1916" t="s">
        <v>3061</v>
      </c>
      <c r="F3904" s="1697"/>
      <c r="G3904" s="1697"/>
      <c r="H3904" s="1697"/>
      <c r="K3904" s="841" t="s">
        <v>3221</v>
      </c>
      <c r="M3904" s="1357"/>
      <c r="Q3904" s="1357"/>
      <c r="S3904" s="1420"/>
      <c r="T3904" s="1420"/>
      <c r="V3904" s="1357">
        <v>11</v>
      </c>
    </row>
    <row r="3905" spans="1:22" s="841" customFormat="1" ht="15" x14ac:dyDescent="0.25">
      <c r="A3905" s="841" t="s">
        <v>180</v>
      </c>
      <c r="E3905" s="1689" t="s">
        <v>3063</v>
      </c>
      <c r="F3905" s="1697"/>
      <c r="G3905" s="1697"/>
      <c r="H3905" s="1697"/>
      <c r="K3905" s="841" t="s">
        <v>4394</v>
      </c>
      <c r="M3905" s="1357"/>
      <c r="Q3905" s="1357"/>
      <c r="S3905" s="1420"/>
      <c r="T3905" s="1420"/>
      <c r="V3905" s="1357">
        <v>280</v>
      </c>
    </row>
    <row r="3906" spans="1:22" s="841" customFormat="1" ht="15" x14ac:dyDescent="0.25">
      <c r="A3906" s="841" t="s">
        <v>180</v>
      </c>
      <c r="E3906" s="1689" t="s">
        <v>3064</v>
      </c>
      <c r="F3906" s="1697"/>
      <c r="G3906" s="1697"/>
      <c r="H3906" s="1697"/>
      <c r="K3906" s="841" t="s">
        <v>4394</v>
      </c>
      <c r="M3906" s="1357"/>
      <c r="Q3906" s="1357"/>
      <c r="S3906" s="1420"/>
      <c r="T3906" s="1420"/>
      <c r="V3906" s="1357">
        <v>411</v>
      </c>
    </row>
    <row r="3907" spans="1:22" s="841" customFormat="1" ht="15" x14ac:dyDescent="0.25">
      <c r="A3907" s="841" t="s">
        <v>180</v>
      </c>
      <c r="E3907" s="1689" t="s">
        <v>3199</v>
      </c>
      <c r="F3907" s="1697"/>
      <c r="G3907" s="1697"/>
      <c r="H3907" s="1697"/>
      <c r="K3907" s="841" t="s">
        <v>4394</v>
      </c>
      <c r="M3907" s="1357"/>
      <c r="Q3907" s="1357"/>
      <c r="S3907" s="1420"/>
      <c r="T3907" s="1420"/>
      <c r="V3907" s="1357">
        <v>386</v>
      </c>
    </row>
    <row r="3908" spans="1:22" s="841" customFormat="1" ht="15" x14ac:dyDescent="0.25">
      <c r="A3908" s="841" t="s">
        <v>180</v>
      </c>
      <c r="E3908" s="1689" t="s">
        <v>3223</v>
      </c>
      <c r="F3908" s="1689"/>
      <c r="G3908" s="1689"/>
      <c r="H3908" s="1689"/>
      <c r="K3908" s="841" t="s">
        <v>4394</v>
      </c>
      <c r="M3908" s="1357"/>
      <c r="Q3908" s="1357"/>
      <c r="S3908" s="1420"/>
      <c r="T3908" s="1420"/>
      <c r="V3908" s="1357">
        <v>626</v>
      </c>
    </row>
    <row r="3909" spans="1:22" s="841" customFormat="1" ht="15" x14ac:dyDescent="0.25">
      <c r="A3909" s="841" t="s">
        <v>180</v>
      </c>
      <c r="E3909" s="1921" t="s">
        <v>3390</v>
      </c>
      <c r="F3909" s="2010"/>
      <c r="G3909" s="2010"/>
      <c r="H3909" s="2010"/>
      <c r="K3909" s="841" t="s">
        <v>4394</v>
      </c>
      <c r="M3909" s="1357"/>
      <c r="Q3909" s="1357"/>
      <c r="S3909" s="1420"/>
      <c r="T3909" s="1420"/>
      <c r="V3909" s="1357">
        <v>274</v>
      </c>
    </row>
    <row r="3910" spans="1:22" s="841" customFormat="1" ht="15" x14ac:dyDescent="0.25">
      <c r="A3910" s="841" t="s">
        <v>180</v>
      </c>
      <c r="E3910" s="1916" t="s">
        <v>3067</v>
      </c>
      <c r="F3910" s="1689"/>
      <c r="G3910" s="1689"/>
      <c r="H3910" s="1689"/>
      <c r="K3910" s="841" t="s">
        <v>3224</v>
      </c>
      <c r="M3910" s="1357"/>
      <c r="Q3910" s="1357"/>
      <c r="S3910" s="1420"/>
      <c r="T3910" s="1420"/>
      <c r="V3910" s="1357">
        <v>46</v>
      </c>
    </row>
    <row r="3911" spans="1:22" s="841" customFormat="1" ht="15" x14ac:dyDescent="0.25">
      <c r="A3911" s="841" t="s">
        <v>180</v>
      </c>
      <c r="E3911" s="1704" t="s">
        <v>11</v>
      </c>
      <c r="F3911" s="1704"/>
      <c r="G3911" s="1403" t="s">
        <v>23</v>
      </c>
      <c r="H3911" s="395">
        <v>11308.07</v>
      </c>
      <c r="K3911" s="841" t="s">
        <v>4394</v>
      </c>
      <c r="L3911" s="841" t="s">
        <v>442</v>
      </c>
      <c r="M3911" s="1357"/>
      <c r="P3911" s="841" t="s">
        <v>4396</v>
      </c>
      <c r="Q3911" s="1357"/>
      <c r="S3911" s="1420"/>
      <c r="T3911" s="1420"/>
      <c r="V3911" s="1357">
        <v>14</v>
      </c>
    </row>
    <row r="3912" spans="1:22" s="841" customFormat="1" ht="15" x14ac:dyDescent="0.25">
      <c r="A3912" s="841" t="s">
        <v>180</v>
      </c>
      <c r="E3912" s="1704" t="s">
        <v>84</v>
      </c>
      <c r="F3912" s="1704"/>
      <c r="G3912" s="1403" t="s">
        <v>33</v>
      </c>
      <c r="H3912" s="605">
        <v>1.1765000000000001</v>
      </c>
      <c r="K3912" s="841" t="s">
        <v>4394</v>
      </c>
      <c r="L3912" s="841" t="s">
        <v>442</v>
      </c>
      <c r="M3912" s="1357"/>
      <c r="P3912" s="841" t="s">
        <v>4397</v>
      </c>
      <c r="Q3912" s="1357"/>
      <c r="S3912" s="1420"/>
      <c r="T3912" s="1420"/>
      <c r="V3912" s="1357">
        <v>28</v>
      </c>
    </row>
    <row r="3913" spans="1:22" s="841" customFormat="1" ht="15" x14ac:dyDescent="0.25">
      <c r="A3913" s="841" t="s">
        <v>180</v>
      </c>
      <c r="E3913" s="1704" t="s">
        <v>18</v>
      </c>
      <c r="F3913" s="1704"/>
      <c r="G3913" s="1403" t="s">
        <v>33</v>
      </c>
      <c r="H3913" s="605">
        <v>0.15790000000000001</v>
      </c>
      <c r="K3913" s="841" t="s">
        <v>4394</v>
      </c>
      <c r="L3913" s="841" t="s">
        <v>443</v>
      </c>
      <c r="M3913" s="1357"/>
      <c r="P3913" s="841" t="s">
        <v>4398</v>
      </c>
      <c r="Q3913" s="1357"/>
      <c r="S3913" s="1420"/>
      <c r="T3913" s="1420"/>
      <c r="V3913" s="1357">
        <v>24</v>
      </c>
    </row>
    <row r="3914" spans="1:22" s="841" customFormat="1" ht="15" x14ac:dyDescent="0.25">
      <c r="A3914" s="841" t="s">
        <v>180</v>
      </c>
      <c r="E3914" s="1704" t="s">
        <v>5143</v>
      </c>
      <c r="F3914" s="1959"/>
      <c r="G3914" s="1403" t="s">
        <v>24</v>
      </c>
      <c r="H3914" s="605">
        <v>5.9999999999999995E-4</v>
      </c>
      <c r="K3914" s="841" t="s">
        <v>4394</v>
      </c>
      <c r="L3914" s="841" t="s">
        <v>443</v>
      </c>
      <c r="M3914" s="1357"/>
      <c r="P3914" s="841" t="s">
        <v>5379</v>
      </c>
      <c r="Q3914" s="1357"/>
      <c r="S3914" s="1420"/>
      <c r="T3914" s="1420">
        <v>43465</v>
      </c>
      <c r="V3914" s="1357">
        <v>142</v>
      </c>
    </row>
    <row r="3915" spans="1:22" s="841" customFormat="1" ht="15" x14ac:dyDescent="0.25">
      <c r="A3915" s="841" t="s">
        <v>180</v>
      </c>
      <c r="E3915" s="1704" t="s">
        <v>5447</v>
      </c>
      <c r="F3915" s="1959"/>
      <c r="G3915" s="1403" t="s">
        <v>33</v>
      </c>
      <c r="H3915" s="605">
        <v>-8.3000000000000001E-3</v>
      </c>
      <c r="K3915" s="841" t="s">
        <v>4394</v>
      </c>
      <c r="L3915" s="841" t="s">
        <v>442</v>
      </c>
      <c r="M3915" s="1357"/>
      <c r="P3915" s="841" t="s">
        <v>4399</v>
      </c>
      <c r="Q3915" s="1357"/>
      <c r="S3915" s="1420"/>
      <c r="T3915" s="1420">
        <v>43465</v>
      </c>
      <c r="V3915" s="1357">
        <v>138</v>
      </c>
    </row>
    <row r="3916" spans="1:22" s="841" customFormat="1" ht="15" x14ac:dyDescent="0.25">
      <c r="A3916" s="841" t="s">
        <v>180</v>
      </c>
      <c r="E3916" s="1704" t="s">
        <v>5144</v>
      </c>
      <c r="F3916" s="1959"/>
      <c r="G3916" s="1403" t="s">
        <v>33</v>
      </c>
      <c r="H3916" s="605">
        <v>0.32979999999999998</v>
      </c>
      <c r="K3916" s="841" t="s">
        <v>4394</v>
      </c>
      <c r="L3916" s="841" t="s">
        <v>443</v>
      </c>
      <c r="M3916" s="1357"/>
      <c r="P3916" s="841" t="s">
        <v>4400</v>
      </c>
      <c r="Q3916" s="1357"/>
      <c r="S3916" s="1420"/>
      <c r="T3916" s="1420">
        <v>43465</v>
      </c>
      <c r="V3916" s="1357">
        <v>99</v>
      </c>
    </row>
    <row r="3917" spans="1:22" s="841" customFormat="1" ht="15" x14ac:dyDescent="0.25">
      <c r="A3917" s="841" t="s">
        <v>180</v>
      </c>
      <c r="E3917" s="1704" t="s">
        <v>5145</v>
      </c>
      <c r="F3917" s="1959"/>
      <c r="G3917" s="1403" t="s">
        <v>33</v>
      </c>
      <c r="H3917" s="605">
        <v>8.0000000000000004E-4</v>
      </c>
      <c r="K3917" s="841" t="s">
        <v>4394</v>
      </c>
      <c r="L3917" s="841" t="s">
        <v>443</v>
      </c>
      <c r="M3917" s="1357"/>
      <c r="P3917" s="841" t="s">
        <v>5452</v>
      </c>
      <c r="Q3917" s="1357"/>
      <c r="S3917" s="1420"/>
      <c r="T3917" s="1420">
        <v>43465</v>
      </c>
      <c r="V3917" s="1357">
        <v>148</v>
      </c>
    </row>
    <row r="3918" spans="1:22" s="841" customFormat="1" ht="15" x14ac:dyDescent="0.25">
      <c r="A3918" s="841" t="s">
        <v>180</v>
      </c>
      <c r="E3918" s="1704" t="s">
        <v>223</v>
      </c>
      <c r="F3918" s="1704"/>
      <c r="G3918" s="1403" t="s">
        <v>33</v>
      </c>
      <c r="H3918" s="605">
        <v>2.9828000000000001</v>
      </c>
      <c r="K3918" s="841" t="s">
        <v>4394</v>
      </c>
      <c r="L3918" s="841" t="s">
        <v>444</v>
      </c>
      <c r="M3918" s="1357"/>
      <c r="P3918" s="841" t="s">
        <v>5308</v>
      </c>
      <c r="Q3918" s="1357"/>
      <c r="S3918" s="1420"/>
      <c r="T3918" s="1420"/>
      <c r="V3918" s="1357">
        <v>66</v>
      </c>
    </row>
    <row r="3919" spans="1:22" s="841" customFormat="1" ht="15" x14ac:dyDescent="0.25">
      <c r="A3919" s="841" t="s">
        <v>180</v>
      </c>
      <c r="E3919" s="1704" t="s">
        <v>219</v>
      </c>
      <c r="F3919" s="1704"/>
      <c r="G3919" s="1403" t="s">
        <v>33</v>
      </c>
      <c r="H3919" s="605">
        <v>2.2338</v>
      </c>
      <c r="K3919" s="841" t="s">
        <v>4394</v>
      </c>
      <c r="L3919" s="841" t="s">
        <v>444</v>
      </c>
      <c r="M3919" s="1357"/>
      <c r="P3919" s="841" t="s">
        <v>5309</v>
      </c>
      <c r="Q3919" s="1357"/>
      <c r="S3919" s="1420"/>
      <c r="T3919" s="1420"/>
      <c r="V3919" s="1357">
        <v>93</v>
      </c>
    </row>
    <row r="3920" spans="1:22" s="841" customFormat="1" ht="15" x14ac:dyDescent="0.25">
      <c r="A3920" s="841" t="s">
        <v>180</v>
      </c>
      <c r="E3920" s="1916" t="s">
        <v>3079</v>
      </c>
      <c r="F3920" s="1704"/>
      <c r="G3920" s="1403"/>
      <c r="H3920" s="1188"/>
      <c r="K3920" s="841" t="s">
        <v>3225</v>
      </c>
      <c r="M3920" s="1357"/>
      <c r="Q3920" s="1357"/>
      <c r="S3920" s="1420"/>
      <c r="T3920" s="1420"/>
      <c r="V3920" s="1357">
        <v>48</v>
      </c>
    </row>
    <row r="3921" spans="1:22" s="841" customFormat="1" ht="15" x14ac:dyDescent="0.25">
      <c r="A3921" s="841" t="s">
        <v>180</v>
      </c>
      <c r="E3921" s="1704" t="s">
        <v>2449</v>
      </c>
      <c r="F3921" s="1704"/>
      <c r="G3921" s="1403" t="s">
        <v>24</v>
      </c>
      <c r="H3921" s="605">
        <v>3.2000000000000002E-3</v>
      </c>
      <c r="K3921" s="841" t="s">
        <v>4394</v>
      </c>
      <c r="L3921" s="841" t="s">
        <v>3046</v>
      </c>
      <c r="M3921" s="1357"/>
      <c r="P3921" s="841" t="s">
        <v>4403</v>
      </c>
      <c r="Q3921" s="1357"/>
      <c r="S3921" s="1420"/>
      <c r="T3921" s="1420"/>
      <c r="V3921" s="1357">
        <v>55</v>
      </c>
    </row>
    <row r="3922" spans="1:22" s="841" customFormat="1" ht="15" x14ac:dyDescent="0.25">
      <c r="A3922" s="841" t="s">
        <v>180</v>
      </c>
      <c r="E3922" s="1704" t="s">
        <v>2450</v>
      </c>
      <c r="F3922" s="1704"/>
      <c r="G3922" s="1403" t="s">
        <v>24</v>
      </c>
      <c r="H3922" s="605">
        <v>4.0000000000000002E-4</v>
      </c>
      <c r="K3922" s="841" t="s">
        <v>4394</v>
      </c>
      <c r="L3922" s="841" t="s">
        <v>3046</v>
      </c>
      <c r="M3922" s="1357"/>
      <c r="P3922" s="841" t="s">
        <v>4403</v>
      </c>
      <c r="Q3922" s="1357"/>
      <c r="S3922" s="1420"/>
      <c r="T3922" s="1420"/>
      <c r="V3922" s="1357">
        <v>65</v>
      </c>
    </row>
    <row r="3923" spans="1:22" s="841" customFormat="1" ht="15" x14ac:dyDescent="0.25">
      <c r="A3923" s="841" t="s">
        <v>180</v>
      </c>
      <c r="E3923" s="1704" t="s">
        <v>439</v>
      </c>
      <c r="F3923" s="1704"/>
      <c r="G3923" s="1403" t="s">
        <v>24</v>
      </c>
      <c r="H3923" s="605">
        <v>2.9999999999999997E-4</v>
      </c>
      <c r="K3923" s="841" t="s">
        <v>4394</v>
      </c>
      <c r="L3923" s="841" t="s">
        <v>3046</v>
      </c>
      <c r="M3923" s="1357"/>
      <c r="P3923" s="841" t="s">
        <v>4404</v>
      </c>
      <c r="Q3923" s="1357"/>
      <c r="S3923" s="1420"/>
      <c r="T3923" s="1420"/>
      <c r="V3923" s="1357">
        <v>57</v>
      </c>
    </row>
    <row r="3924" spans="1:22" s="841" customFormat="1" ht="15" x14ac:dyDescent="0.25">
      <c r="A3924" s="841" t="s">
        <v>180</v>
      </c>
      <c r="E3924" s="1704" t="s">
        <v>32</v>
      </c>
      <c r="F3924" s="1704"/>
      <c r="G3924" s="1403" t="s">
        <v>23</v>
      </c>
      <c r="H3924" s="395">
        <v>0.25</v>
      </c>
      <c r="K3924" s="841" t="s">
        <v>4394</v>
      </c>
      <c r="L3924" s="841" t="s">
        <v>3046</v>
      </c>
      <c r="M3924" s="1357"/>
      <c r="P3924" s="841" t="s">
        <v>4405</v>
      </c>
      <c r="Q3924" s="1357"/>
      <c r="S3924" s="1420"/>
      <c r="T3924" s="1420"/>
      <c r="V3924" s="1357">
        <v>63</v>
      </c>
    </row>
    <row r="3925" spans="1:22" s="841" customFormat="1" x14ac:dyDescent="0.25">
      <c r="A3925" s="841" t="s">
        <v>180</v>
      </c>
      <c r="E3925" s="1909" t="s">
        <v>617</v>
      </c>
      <c r="F3925" s="1915"/>
      <c r="G3925" s="1915"/>
      <c r="H3925" s="1915"/>
      <c r="K3925" s="841" t="s">
        <v>3457</v>
      </c>
      <c r="M3925" s="1357"/>
      <c r="Q3925" s="1357"/>
      <c r="S3925" s="1420"/>
      <c r="T3925" s="1420"/>
      <c r="V3925" s="1357">
        <v>47</v>
      </c>
    </row>
    <row r="3926" spans="1:22" s="841" customFormat="1" ht="15" x14ac:dyDescent="0.25">
      <c r="A3926" s="841" t="s">
        <v>180</v>
      </c>
      <c r="E3926" s="1689" t="s">
        <v>4358</v>
      </c>
      <c r="F3926" s="1697"/>
      <c r="G3926" s="1697"/>
      <c r="H3926" s="1697"/>
      <c r="K3926" s="841" t="s">
        <v>3457</v>
      </c>
      <c r="M3926" s="1357"/>
      <c r="Q3926" s="1357"/>
      <c r="S3926" s="1420"/>
      <c r="T3926" s="1420"/>
      <c r="V3926" s="1357">
        <v>719</v>
      </c>
    </row>
    <row r="3927" spans="1:22" s="841" customFormat="1" ht="15" x14ac:dyDescent="0.25">
      <c r="A3927" s="841" t="s">
        <v>180</v>
      </c>
      <c r="E3927" s="1916" t="s">
        <v>3061</v>
      </c>
      <c r="F3927" s="1697"/>
      <c r="G3927" s="1697"/>
      <c r="H3927" s="1697"/>
      <c r="K3927" s="841" t="s">
        <v>3107</v>
      </c>
      <c r="M3927" s="1357"/>
      <c r="Q3927" s="1357"/>
      <c r="S3927" s="1420"/>
      <c r="T3927" s="1420"/>
      <c r="V3927" s="1357">
        <v>11</v>
      </c>
    </row>
    <row r="3928" spans="1:22" s="841" customFormat="1" ht="15" x14ac:dyDescent="0.25">
      <c r="A3928" s="841" t="s">
        <v>180</v>
      </c>
      <c r="E3928" s="1689" t="s">
        <v>3063</v>
      </c>
      <c r="F3928" s="1697"/>
      <c r="G3928" s="1697"/>
      <c r="H3928" s="1697"/>
      <c r="K3928" s="841" t="s">
        <v>3457</v>
      </c>
      <c r="M3928" s="1357"/>
      <c r="Q3928" s="1357"/>
      <c r="S3928" s="1420"/>
      <c r="T3928" s="1420"/>
      <c r="V3928" s="1357">
        <v>280</v>
      </c>
    </row>
    <row r="3929" spans="1:22" s="841" customFormat="1" ht="15" x14ac:dyDescent="0.25">
      <c r="A3929" s="841" t="s">
        <v>180</v>
      </c>
      <c r="E3929" s="1689" t="s">
        <v>3064</v>
      </c>
      <c r="F3929" s="1697"/>
      <c r="G3929" s="1697"/>
      <c r="H3929" s="1697"/>
      <c r="K3929" s="841" t="s">
        <v>3457</v>
      </c>
      <c r="M3929" s="1357"/>
      <c r="Q3929" s="1357"/>
      <c r="S3929" s="1420"/>
      <c r="T3929" s="1420"/>
      <c r="V3929" s="1357">
        <v>411</v>
      </c>
    </row>
    <row r="3930" spans="1:22" s="841" customFormat="1" ht="15" x14ac:dyDescent="0.25">
      <c r="A3930" s="841" t="s">
        <v>180</v>
      </c>
      <c r="E3930" s="1689" t="s">
        <v>3199</v>
      </c>
      <c r="F3930" s="1697"/>
      <c r="G3930" s="1697"/>
      <c r="H3930" s="1697"/>
      <c r="K3930" s="841" t="s">
        <v>3457</v>
      </c>
      <c r="M3930" s="1357"/>
      <c r="Q3930" s="1357"/>
      <c r="S3930" s="1420"/>
      <c r="T3930" s="1420"/>
      <c r="V3930" s="1357">
        <v>386</v>
      </c>
    </row>
    <row r="3931" spans="1:22" s="841" customFormat="1" ht="15" x14ac:dyDescent="0.25">
      <c r="A3931" s="841" t="s">
        <v>180</v>
      </c>
      <c r="E3931" s="1689" t="s">
        <v>3390</v>
      </c>
      <c r="F3931" s="1697"/>
      <c r="G3931" s="1697"/>
      <c r="H3931" s="1697"/>
      <c r="K3931" s="841" t="s">
        <v>3457</v>
      </c>
      <c r="M3931" s="1357"/>
      <c r="Q3931" s="1357"/>
      <c r="S3931" s="1420"/>
      <c r="T3931" s="1420"/>
      <c r="V3931" s="1357">
        <v>274</v>
      </c>
    </row>
    <row r="3932" spans="1:22" s="841" customFormat="1" ht="15" x14ac:dyDescent="0.25">
      <c r="A3932" s="841" t="s">
        <v>180</v>
      </c>
      <c r="E3932" s="1694" t="s">
        <v>3067</v>
      </c>
      <c r="F3932" s="1907"/>
      <c r="G3932" s="1907"/>
      <c r="H3932" s="1907"/>
      <c r="K3932" s="841" t="s">
        <v>3108</v>
      </c>
      <c r="M3932" s="1357"/>
      <c r="Q3932" s="1357"/>
      <c r="S3932" s="1420"/>
      <c r="T3932" s="1420"/>
      <c r="V3932" s="1357">
        <v>46</v>
      </c>
    </row>
    <row r="3933" spans="1:22" s="841" customFormat="1" ht="15" x14ac:dyDescent="0.25">
      <c r="A3933" s="841" t="s">
        <v>180</v>
      </c>
      <c r="E3933" s="1704" t="s">
        <v>12</v>
      </c>
      <c r="F3933" s="1704"/>
      <c r="G3933" s="1403" t="s">
        <v>23</v>
      </c>
      <c r="H3933" s="395">
        <v>8.36</v>
      </c>
      <c r="K3933" s="841" t="s">
        <v>3457</v>
      </c>
      <c r="L3933" s="841" t="s">
        <v>442</v>
      </c>
      <c r="M3933" s="1357"/>
      <c r="P3933" s="841" t="s">
        <v>3458</v>
      </c>
      <c r="Q3933" s="1357"/>
      <c r="S3933" s="1420"/>
      <c r="T3933" s="1420"/>
      <c r="V3933" s="1357">
        <v>31</v>
      </c>
    </row>
    <row r="3934" spans="1:22" s="841" customFormat="1" ht="15" x14ac:dyDescent="0.25">
      <c r="A3934" s="841" t="s">
        <v>180</v>
      </c>
      <c r="E3934" s="1704" t="s">
        <v>84</v>
      </c>
      <c r="F3934" s="1704"/>
      <c r="G3934" s="1403" t="s">
        <v>24</v>
      </c>
      <c r="H3934" s="605">
        <v>8.6E-3</v>
      </c>
      <c r="K3934" s="841" t="s">
        <v>3457</v>
      </c>
      <c r="L3934" s="841" t="s">
        <v>442</v>
      </c>
      <c r="M3934" s="1357"/>
      <c r="P3934" s="841" t="s">
        <v>3459</v>
      </c>
      <c r="Q3934" s="1357"/>
      <c r="S3934" s="1420"/>
      <c r="T3934" s="1420"/>
      <c r="V3934" s="1357">
        <v>28</v>
      </c>
    </row>
    <row r="3935" spans="1:22" s="841" customFormat="1" ht="15" x14ac:dyDescent="0.25">
      <c r="A3935" s="841" t="s">
        <v>180</v>
      </c>
      <c r="E3935" s="1704" t="s">
        <v>18</v>
      </c>
      <c r="F3935" s="1704"/>
      <c r="G3935" s="1403" t="s">
        <v>24</v>
      </c>
      <c r="H3935" s="605">
        <v>2.9999999999999997E-4</v>
      </c>
      <c r="K3935" s="841" t="s">
        <v>3457</v>
      </c>
      <c r="L3935" s="841" t="s">
        <v>443</v>
      </c>
      <c r="M3935" s="1357"/>
      <c r="P3935" s="841" t="s">
        <v>3460</v>
      </c>
      <c r="Q3935" s="1357"/>
      <c r="S3935" s="1420"/>
      <c r="T3935" s="1420"/>
      <c r="V3935" s="1357">
        <v>24</v>
      </c>
    </row>
    <row r="3936" spans="1:22" s="841" customFormat="1" ht="15" x14ac:dyDescent="0.25">
      <c r="A3936" s="841" t="s">
        <v>180</v>
      </c>
      <c r="E3936" s="1704" t="s">
        <v>5143</v>
      </c>
      <c r="F3936" s="1959"/>
      <c r="G3936" s="1403" t="s">
        <v>24</v>
      </c>
      <c r="H3936" s="605">
        <v>5.9999999999999995E-4</v>
      </c>
      <c r="K3936" s="841" t="s">
        <v>3457</v>
      </c>
      <c r="L3936" s="841" t="s">
        <v>443</v>
      </c>
      <c r="M3936" s="1357"/>
      <c r="P3936" s="841" t="s">
        <v>3526</v>
      </c>
      <c r="Q3936" s="1357"/>
      <c r="S3936" s="1420"/>
      <c r="T3936" s="1420">
        <v>43465</v>
      </c>
      <c r="V3936" s="1357">
        <v>142</v>
      </c>
    </row>
    <row r="3937" spans="1:22" s="841" customFormat="1" ht="15" x14ac:dyDescent="0.25">
      <c r="A3937" s="841" t="s">
        <v>180</v>
      </c>
      <c r="E3937" s="1704" t="s">
        <v>5447</v>
      </c>
      <c r="F3937" s="1959"/>
      <c r="G3937" s="1403" t="s">
        <v>24</v>
      </c>
      <c r="H3937" s="605">
        <v>-1E-4</v>
      </c>
      <c r="K3937" s="841" t="s">
        <v>3457</v>
      </c>
      <c r="L3937" s="841" t="s">
        <v>442</v>
      </c>
      <c r="M3937" s="1357"/>
      <c r="P3937" s="841" t="s">
        <v>3461</v>
      </c>
      <c r="Q3937" s="1357"/>
      <c r="S3937" s="1420"/>
      <c r="T3937" s="1420">
        <v>43465</v>
      </c>
      <c r="V3937" s="1357">
        <v>138</v>
      </c>
    </row>
    <row r="3938" spans="1:22" s="841" customFormat="1" ht="15" x14ac:dyDescent="0.25">
      <c r="A3938" s="841" t="s">
        <v>180</v>
      </c>
      <c r="E3938" s="1704" t="s">
        <v>5144</v>
      </c>
      <c r="F3938" s="1959"/>
      <c r="G3938" s="1403" t="s">
        <v>24</v>
      </c>
      <c r="H3938" s="605">
        <v>5.0000000000000001E-4</v>
      </c>
      <c r="K3938" s="841" t="s">
        <v>3457</v>
      </c>
      <c r="L3938" s="841" t="s">
        <v>443</v>
      </c>
      <c r="M3938" s="1357"/>
      <c r="P3938" s="841" t="s">
        <v>3527</v>
      </c>
      <c r="Q3938" s="1357"/>
      <c r="S3938" s="1420"/>
      <c r="T3938" s="1420">
        <v>43465</v>
      </c>
      <c r="V3938" s="1357">
        <v>99</v>
      </c>
    </row>
    <row r="3939" spans="1:22" s="841" customFormat="1" ht="15" x14ac:dyDescent="0.25">
      <c r="A3939" s="841" t="s">
        <v>180</v>
      </c>
      <c r="E3939" s="1704" t="s">
        <v>5145</v>
      </c>
      <c r="F3939" s="1959"/>
      <c r="G3939" s="1403" t="s">
        <v>24</v>
      </c>
      <c r="H3939" s="605">
        <v>-1E-4</v>
      </c>
      <c r="K3939" s="841" t="s">
        <v>3457</v>
      </c>
      <c r="L3939" s="841" t="s">
        <v>443</v>
      </c>
      <c r="M3939" s="1357"/>
      <c r="P3939" s="841" t="s">
        <v>5292</v>
      </c>
      <c r="Q3939" s="1357"/>
      <c r="S3939" s="1420"/>
      <c r="T3939" s="1420">
        <v>43465</v>
      </c>
      <c r="V3939" s="1357">
        <v>148</v>
      </c>
    </row>
    <row r="3940" spans="1:22" s="841" customFormat="1" ht="15" x14ac:dyDescent="0.25">
      <c r="A3940" s="841" t="s">
        <v>180</v>
      </c>
      <c r="E3940" s="1704" t="s">
        <v>221</v>
      </c>
      <c r="F3940" s="1704"/>
      <c r="G3940" s="1403" t="s">
        <v>24</v>
      </c>
      <c r="H3940" s="605">
        <v>6.0000000000000001E-3</v>
      </c>
      <c r="K3940" s="841" t="s">
        <v>3457</v>
      </c>
      <c r="L3940" s="841" t="s">
        <v>444</v>
      </c>
      <c r="M3940" s="1357"/>
      <c r="P3940" s="841" t="s">
        <v>3462</v>
      </c>
      <c r="Q3940" s="1357"/>
      <c r="S3940" s="1420"/>
      <c r="T3940" s="1420"/>
      <c r="V3940" s="1357">
        <v>47</v>
      </c>
    </row>
    <row r="3941" spans="1:22" s="841" customFormat="1" ht="15" x14ac:dyDescent="0.25">
      <c r="A3941" s="841" t="s">
        <v>180</v>
      </c>
      <c r="E3941" s="1704" t="s">
        <v>217</v>
      </c>
      <c r="F3941" s="1704"/>
      <c r="G3941" s="1403" t="s">
        <v>24</v>
      </c>
      <c r="H3941" s="605">
        <v>4.4000000000000003E-3</v>
      </c>
      <c r="K3941" s="841" t="s">
        <v>3457</v>
      </c>
      <c r="L3941" s="841" t="s">
        <v>444</v>
      </c>
      <c r="M3941" s="1357"/>
      <c r="P3941" s="841" t="s">
        <v>3463</v>
      </c>
      <c r="Q3941" s="1357"/>
      <c r="S3941" s="1420"/>
      <c r="T3941" s="1420"/>
      <c r="V3941" s="1357">
        <v>74</v>
      </c>
    </row>
    <row r="3942" spans="1:22" s="841" customFormat="1" ht="15" x14ac:dyDescent="0.25">
      <c r="A3942" s="841" t="s">
        <v>180</v>
      </c>
      <c r="E3942" s="1916" t="s">
        <v>3079</v>
      </c>
      <c r="F3942" s="1704"/>
      <c r="G3942" s="1403"/>
      <c r="H3942" s="1188"/>
      <c r="K3942" s="841" t="s">
        <v>3111</v>
      </c>
      <c r="M3942" s="1357"/>
      <c r="Q3942" s="1357"/>
      <c r="S3942" s="1420"/>
      <c r="T3942" s="1420"/>
      <c r="V3942" s="1357">
        <v>48</v>
      </c>
    </row>
    <row r="3943" spans="1:22" s="841" customFormat="1" ht="15" x14ac:dyDescent="0.25">
      <c r="A3943" s="841" t="s">
        <v>180</v>
      </c>
      <c r="E3943" s="1704" t="s">
        <v>2449</v>
      </c>
      <c r="F3943" s="1704"/>
      <c r="G3943" s="1403" t="s">
        <v>24</v>
      </c>
      <c r="H3943" s="605">
        <v>3.2000000000000002E-3</v>
      </c>
      <c r="K3943" s="841" t="s">
        <v>3457</v>
      </c>
      <c r="L3943" s="841" t="s">
        <v>3046</v>
      </c>
      <c r="M3943" s="1357"/>
      <c r="P3943" s="841" t="s">
        <v>3464</v>
      </c>
      <c r="Q3943" s="1357"/>
      <c r="S3943" s="1420"/>
      <c r="T3943" s="1420"/>
      <c r="V3943" s="1357">
        <v>55</v>
      </c>
    </row>
    <row r="3944" spans="1:22" s="841" customFormat="1" ht="15" x14ac:dyDescent="0.25">
      <c r="A3944" s="841" t="s">
        <v>180</v>
      </c>
      <c r="E3944" s="1704" t="s">
        <v>2450</v>
      </c>
      <c r="F3944" s="1704"/>
      <c r="G3944" s="1403" t="s">
        <v>24</v>
      </c>
      <c r="H3944" s="605">
        <v>4.0000000000000002E-4</v>
      </c>
      <c r="K3944" s="841" t="s">
        <v>3457</v>
      </c>
      <c r="L3944" s="841" t="s">
        <v>3046</v>
      </c>
      <c r="M3944" s="1357"/>
      <c r="P3944" s="841" t="s">
        <v>3464</v>
      </c>
      <c r="Q3944" s="1357"/>
      <c r="S3944" s="1420"/>
      <c r="T3944" s="1420"/>
      <c r="V3944" s="1357">
        <v>65</v>
      </c>
    </row>
    <row r="3945" spans="1:22" s="841" customFormat="1" ht="15" x14ac:dyDescent="0.25">
      <c r="A3945" s="841" t="s">
        <v>180</v>
      </c>
      <c r="E3945" s="1704" t="s">
        <v>439</v>
      </c>
      <c r="F3945" s="1704"/>
      <c r="G3945" s="1403" t="s">
        <v>24</v>
      </c>
      <c r="H3945" s="605">
        <v>2.9999999999999997E-4</v>
      </c>
      <c r="K3945" s="841" t="s">
        <v>3457</v>
      </c>
      <c r="L3945" s="841" t="s">
        <v>3046</v>
      </c>
      <c r="M3945" s="1357"/>
      <c r="P3945" s="841" t="s">
        <v>3465</v>
      </c>
      <c r="Q3945" s="1357"/>
      <c r="S3945" s="1420"/>
      <c r="T3945" s="1420"/>
      <c r="V3945" s="1357">
        <v>57</v>
      </c>
    </row>
    <row r="3946" spans="1:22" s="841" customFormat="1" ht="15" x14ac:dyDescent="0.25">
      <c r="A3946" s="841" t="s">
        <v>180</v>
      </c>
      <c r="E3946" s="1704" t="s">
        <v>32</v>
      </c>
      <c r="F3946" s="1704"/>
      <c r="G3946" s="1403" t="s">
        <v>23</v>
      </c>
      <c r="H3946" s="395">
        <v>0.25</v>
      </c>
      <c r="K3946" s="841" t="s">
        <v>3457</v>
      </c>
      <c r="L3946" s="841" t="s">
        <v>3046</v>
      </c>
      <c r="M3946" s="1357"/>
      <c r="P3946" s="841" t="s">
        <v>3466</v>
      </c>
      <c r="Q3946" s="1357"/>
      <c r="S3946" s="1420"/>
      <c r="T3946" s="1420"/>
      <c r="V3946" s="1357">
        <v>63</v>
      </c>
    </row>
    <row r="3947" spans="1:22" s="841" customFormat="1" x14ac:dyDescent="0.25">
      <c r="A3947" s="841" t="s">
        <v>180</v>
      </c>
      <c r="E3947" s="1909" t="s">
        <v>629</v>
      </c>
      <c r="F3947" s="1915"/>
      <c r="G3947" s="1915"/>
      <c r="H3947" s="1915"/>
      <c r="K3947" s="841" t="s">
        <v>3467</v>
      </c>
      <c r="M3947" s="1357"/>
      <c r="Q3947" s="1357"/>
      <c r="S3947" s="1420"/>
      <c r="T3947" s="1420"/>
      <c r="V3947" s="1357">
        <v>40</v>
      </c>
    </row>
    <row r="3948" spans="1:22" s="841" customFormat="1" ht="15" x14ac:dyDescent="0.25">
      <c r="A3948" s="841" t="s">
        <v>180</v>
      </c>
      <c r="E3948" s="1689" t="s">
        <v>3251</v>
      </c>
      <c r="F3948" s="1697"/>
      <c r="G3948" s="1697"/>
      <c r="H3948" s="1697"/>
      <c r="K3948" s="841" t="s">
        <v>3467</v>
      </c>
      <c r="M3948" s="1357"/>
      <c r="Q3948" s="1357"/>
      <c r="S3948" s="1420"/>
      <c r="T3948" s="1420"/>
      <c r="V3948" s="1357">
        <v>253</v>
      </c>
    </row>
    <row r="3949" spans="1:22" s="841" customFormat="1" ht="15" x14ac:dyDescent="0.25">
      <c r="A3949" s="841" t="s">
        <v>180</v>
      </c>
      <c r="E3949" s="1916" t="s">
        <v>3061</v>
      </c>
      <c r="F3949" s="1697"/>
      <c r="G3949" s="1697"/>
      <c r="H3949" s="1697"/>
      <c r="K3949" s="841" t="s">
        <v>3114</v>
      </c>
      <c r="M3949" s="1357"/>
      <c r="Q3949" s="1357"/>
      <c r="S3949" s="1420"/>
      <c r="T3949" s="1420"/>
      <c r="V3949" s="1357">
        <v>11</v>
      </c>
    </row>
    <row r="3950" spans="1:22" s="841" customFormat="1" ht="15" x14ac:dyDescent="0.25">
      <c r="A3950" s="841" t="s">
        <v>180</v>
      </c>
      <c r="E3950" s="1689" t="s">
        <v>3063</v>
      </c>
      <c r="F3950" s="1697"/>
      <c r="G3950" s="1697"/>
      <c r="H3950" s="1697"/>
      <c r="K3950" s="841" t="s">
        <v>3467</v>
      </c>
      <c r="M3950" s="1357"/>
      <c r="Q3950" s="1357"/>
      <c r="S3950" s="1420"/>
      <c r="T3950" s="1420"/>
      <c r="V3950" s="1357">
        <v>280</v>
      </c>
    </row>
    <row r="3951" spans="1:22" s="841" customFormat="1" ht="15" x14ac:dyDescent="0.25">
      <c r="A3951" s="841" t="s">
        <v>180</v>
      </c>
      <c r="E3951" s="1689" t="s">
        <v>3064</v>
      </c>
      <c r="F3951" s="1697"/>
      <c r="G3951" s="1697"/>
      <c r="H3951" s="1697"/>
      <c r="K3951" s="841" t="s">
        <v>3467</v>
      </c>
      <c r="M3951" s="1357"/>
      <c r="Q3951" s="1357"/>
      <c r="S3951" s="1420"/>
      <c r="T3951" s="1420"/>
      <c r="V3951" s="1357">
        <v>411</v>
      </c>
    </row>
    <row r="3952" spans="1:22" s="841" customFormat="1" ht="15" x14ac:dyDescent="0.25">
      <c r="A3952" s="841" t="s">
        <v>180</v>
      </c>
      <c r="E3952" s="1689" t="s">
        <v>3199</v>
      </c>
      <c r="F3952" s="1697"/>
      <c r="G3952" s="1697"/>
      <c r="H3952" s="1697"/>
      <c r="K3952" s="841" t="s">
        <v>3467</v>
      </c>
      <c r="M3952" s="1357"/>
      <c r="Q3952" s="1357"/>
      <c r="S3952" s="1420"/>
      <c r="T3952" s="1420"/>
      <c r="V3952" s="1357">
        <v>386</v>
      </c>
    </row>
    <row r="3953" spans="1:22" s="841" customFormat="1" ht="15" x14ac:dyDescent="0.25">
      <c r="A3953" s="841" t="s">
        <v>180</v>
      </c>
      <c r="E3953" s="1689" t="s">
        <v>3390</v>
      </c>
      <c r="F3953" s="1697"/>
      <c r="G3953" s="1697"/>
      <c r="H3953" s="1697"/>
      <c r="K3953" s="841" t="s">
        <v>3467</v>
      </c>
      <c r="M3953" s="1357"/>
      <c r="Q3953" s="1357"/>
      <c r="S3953" s="1420"/>
      <c r="T3953" s="1420"/>
      <c r="V3953" s="1357">
        <v>274</v>
      </c>
    </row>
    <row r="3954" spans="1:22" s="841" customFormat="1" ht="15" x14ac:dyDescent="0.25">
      <c r="A3954" s="841" t="s">
        <v>180</v>
      </c>
      <c r="E3954" s="1694" t="s">
        <v>3067</v>
      </c>
      <c r="F3954" s="1907"/>
      <c r="G3954" s="1907"/>
      <c r="H3954" s="1907"/>
      <c r="K3954" s="841" t="s">
        <v>3115</v>
      </c>
      <c r="M3954" s="1357"/>
      <c r="Q3954" s="1357"/>
      <c r="S3954" s="1420"/>
      <c r="T3954" s="1420"/>
      <c r="V3954" s="1357">
        <v>46</v>
      </c>
    </row>
    <row r="3955" spans="1:22" s="841" customFormat="1" ht="15" x14ac:dyDescent="0.25">
      <c r="A3955" s="841" t="s">
        <v>180</v>
      </c>
      <c r="E3955" s="1704" t="s">
        <v>12</v>
      </c>
      <c r="F3955" s="1704"/>
      <c r="G3955" s="1403" t="s">
        <v>23</v>
      </c>
      <c r="H3955" s="395">
        <v>2.31</v>
      </c>
      <c r="K3955" s="841" t="s">
        <v>3467</v>
      </c>
      <c r="L3955" s="841" t="s">
        <v>442</v>
      </c>
      <c r="M3955" s="1357"/>
      <c r="P3955" s="841" t="s">
        <v>3468</v>
      </c>
      <c r="Q3955" s="1357"/>
      <c r="S3955" s="1420"/>
      <c r="T3955" s="1420"/>
      <c r="V3955" s="1357">
        <v>31</v>
      </c>
    </row>
    <row r="3956" spans="1:22" s="841" customFormat="1" ht="15" x14ac:dyDescent="0.25">
      <c r="A3956" s="841" t="s">
        <v>180</v>
      </c>
      <c r="E3956" s="1704" t="s">
        <v>84</v>
      </c>
      <c r="F3956" s="1704"/>
      <c r="G3956" s="1403" t="s">
        <v>33</v>
      </c>
      <c r="H3956" s="605">
        <v>12.3185</v>
      </c>
      <c r="K3956" s="841" t="s">
        <v>3467</v>
      </c>
      <c r="L3956" s="841" t="s">
        <v>442</v>
      </c>
      <c r="M3956" s="1357"/>
      <c r="P3956" s="841" t="s">
        <v>3469</v>
      </c>
      <c r="Q3956" s="1357"/>
      <c r="S3956" s="1420"/>
      <c r="T3956" s="1420"/>
      <c r="V3956" s="1357">
        <v>28</v>
      </c>
    </row>
    <row r="3957" spans="1:22" s="841" customFormat="1" ht="15" x14ac:dyDescent="0.25">
      <c r="A3957" s="841" t="s">
        <v>180</v>
      </c>
      <c r="E3957" s="1704" t="s">
        <v>18</v>
      </c>
      <c r="F3957" s="1704"/>
      <c r="G3957" s="1403" t="s">
        <v>33</v>
      </c>
      <c r="H3957" s="605">
        <v>9.9400000000000002E-2</v>
      </c>
      <c r="K3957" s="841" t="s">
        <v>3467</v>
      </c>
      <c r="L3957" s="841" t="s">
        <v>443</v>
      </c>
      <c r="M3957" s="1357"/>
      <c r="P3957" s="841" t="s">
        <v>3470</v>
      </c>
      <c r="Q3957" s="1357"/>
      <c r="S3957" s="1420"/>
      <c r="T3957" s="1420"/>
      <c r="V3957" s="1357">
        <v>24</v>
      </c>
    </row>
    <row r="3958" spans="1:22" s="841" customFormat="1" ht="15" x14ac:dyDescent="0.25">
      <c r="A3958" s="841" t="s">
        <v>180</v>
      </c>
      <c r="E3958" s="1704" t="s">
        <v>5143</v>
      </c>
      <c r="F3958" s="1959"/>
      <c r="G3958" s="1403" t="s">
        <v>24</v>
      </c>
      <c r="H3958" s="605">
        <v>5.9999999999999995E-4</v>
      </c>
      <c r="K3958" s="841" t="s">
        <v>3467</v>
      </c>
      <c r="L3958" s="841" t="s">
        <v>443</v>
      </c>
      <c r="M3958" s="1357"/>
      <c r="P3958" s="841" t="s">
        <v>4194</v>
      </c>
      <c r="Q3958" s="1357"/>
      <c r="S3958" s="1420"/>
      <c r="T3958" s="1420">
        <v>43465</v>
      </c>
      <c r="V3958" s="1357">
        <v>142</v>
      </c>
    </row>
    <row r="3959" spans="1:22" s="841" customFormat="1" ht="15" x14ac:dyDescent="0.25">
      <c r="A3959" s="841" t="s">
        <v>180</v>
      </c>
      <c r="E3959" s="1704" t="s">
        <v>5453</v>
      </c>
      <c r="F3959" s="1959"/>
      <c r="G3959" s="1403" t="s">
        <v>33</v>
      </c>
      <c r="H3959" s="605">
        <v>-6.7900000000000002E-2</v>
      </c>
      <c r="K3959" s="841" t="s">
        <v>3467</v>
      </c>
      <c r="L3959" s="841" t="s">
        <v>442</v>
      </c>
      <c r="M3959" s="1357"/>
      <c r="P3959" s="841" t="s">
        <v>3471</v>
      </c>
      <c r="Q3959" s="1357"/>
      <c r="S3959" s="1420"/>
      <c r="T3959" s="1420">
        <v>43465</v>
      </c>
      <c r="V3959" s="1357">
        <v>137</v>
      </c>
    </row>
    <row r="3960" spans="1:22" s="841" customFormat="1" ht="15" x14ac:dyDescent="0.25">
      <c r="A3960" s="841" t="s">
        <v>180</v>
      </c>
      <c r="E3960" s="1704" t="s">
        <v>5144</v>
      </c>
      <c r="F3960" s="1959"/>
      <c r="G3960" s="1403" t="s">
        <v>33</v>
      </c>
      <c r="H3960" s="605">
        <v>0.18310000000000001</v>
      </c>
      <c r="K3960" s="841" t="s">
        <v>3467</v>
      </c>
      <c r="L3960" s="841" t="s">
        <v>443</v>
      </c>
      <c r="M3960" s="1357"/>
      <c r="P3960" s="841" t="s">
        <v>3880</v>
      </c>
      <c r="Q3960" s="1357"/>
      <c r="S3960" s="1420"/>
      <c r="T3960" s="1420">
        <v>43465</v>
      </c>
      <c r="V3960" s="1357">
        <v>99</v>
      </c>
    </row>
    <row r="3961" spans="1:22" s="841" customFormat="1" ht="15" x14ac:dyDescent="0.25">
      <c r="A3961" s="841" t="s">
        <v>180</v>
      </c>
      <c r="E3961" s="1704" t="s">
        <v>5145</v>
      </c>
      <c r="F3961" s="1959"/>
      <c r="G3961" s="1403" t="s">
        <v>33</v>
      </c>
      <c r="H3961" s="605">
        <v>-1.8700000000000001E-2</v>
      </c>
      <c r="K3961" s="841" t="s">
        <v>3467</v>
      </c>
      <c r="L3961" s="841" t="s">
        <v>443</v>
      </c>
      <c r="M3961" s="1357"/>
      <c r="P3961" s="841" t="s">
        <v>5454</v>
      </c>
      <c r="Q3961" s="1357"/>
      <c r="S3961" s="1420"/>
      <c r="T3961" s="1420">
        <v>43465</v>
      </c>
      <c r="V3961" s="1357">
        <v>148</v>
      </c>
    </row>
    <row r="3962" spans="1:22" s="841" customFormat="1" ht="15" x14ac:dyDescent="0.25">
      <c r="A3962" s="841" t="s">
        <v>180</v>
      </c>
      <c r="E3962" s="1704" t="s">
        <v>221</v>
      </c>
      <c r="F3962" s="1704"/>
      <c r="G3962" s="1403" t="s">
        <v>33</v>
      </c>
      <c r="H3962" s="605">
        <v>1.9226000000000001</v>
      </c>
      <c r="K3962" s="841" t="s">
        <v>3467</v>
      </c>
      <c r="L3962" s="841" t="s">
        <v>444</v>
      </c>
      <c r="M3962" s="1357"/>
      <c r="P3962" s="841" t="s">
        <v>3472</v>
      </c>
      <c r="Q3962" s="1357"/>
      <c r="S3962" s="1420"/>
      <c r="T3962" s="1420"/>
      <c r="V3962" s="1357">
        <v>47</v>
      </c>
    </row>
    <row r="3963" spans="1:22" s="841" customFormat="1" ht="15" x14ac:dyDescent="0.25">
      <c r="A3963" s="841" t="s">
        <v>180</v>
      </c>
      <c r="E3963" s="1704" t="s">
        <v>217</v>
      </c>
      <c r="F3963" s="1704"/>
      <c r="G3963" s="1403" t="s">
        <v>33</v>
      </c>
      <c r="H3963" s="605">
        <v>1.4064000000000001</v>
      </c>
      <c r="K3963" s="841" t="s">
        <v>3467</v>
      </c>
      <c r="L3963" s="841" t="s">
        <v>444</v>
      </c>
      <c r="M3963" s="1357"/>
      <c r="P3963" s="841" t="s">
        <v>3473</v>
      </c>
      <c r="Q3963" s="1357"/>
      <c r="S3963" s="1420"/>
      <c r="T3963" s="1420"/>
      <c r="V3963" s="1357">
        <v>74</v>
      </c>
    </row>
    <row r="3964" spans="1:22" s="841" customFormat="1" ht="15" x14ac:dyDescent="0.25">
      <c r="A3964" s="841" t="s">
        <v>180</v>
      </c>
      <c r="E3964" s="1694" t="s">
        <v>3079</v>
      </c>
      <c r="F3964" s="1690"/>
      <c r="G3964" s="1408"/>
      <c r="H3964" s="1187"/>
      <c r="K3964" s="841" t="s">
        <v>3122</v>
      </c>
      <c r="M3964" s="1357"/>
      <c r="Q3964" s="1357"/>
      <c r="S3964" s="1420"/>
      <c r="T3964" s="1420"/>
      <c r="V3964" s="1357">
        <v>48</v>
      </c>
    </row>
    <row r="3965" spans="1:22" s="841" customFormat="1" ht="15" x14ac:dyDescent="0.25">
      <c r="A3965" s="841" t="s">
        <v>180</v>
      </c>
      <c r="E3965" s="1704" t="s">
        <v>2449</v>
      </c>
      <c r="F3965" s="1704"/>
      <c r="G3965" s="1403" t="s">
        <v>24</v>
      </c>
      <c r="H3965" s="605">
        <v>3.2000000000000002E-3</v>
      </c>
      <c r="K3965" s="841" t="s">
        <v>3467</v>
      </c>
      <c r="L3965" s="841" t="s">
        <v>3046</v>
      </c>
      <c r="M3965" s="1357"/>
      <c r="P3965" s="841" t="s">
        <v>3474</v>
      </c>
      <c r="Q3965" s="1357"/>
      <c r="S3965" s="1420"/>
      <c r="T3965" s="1420"/>
      <c r="V3965" s="1357">
        <v>55</v>
      </c>
    </row>
    <row r="3966" spans="1:22" s="841" customFormat="1" ht="15" x14ac:dyDescent="0.25">
      <c r="A3966" s="841" t="s">
        <v>180</v>
      </c>
      <c r="E3966" s="1704" t="s">
        <v>2450</v>
      </c>
      <c r="F3966" s="1704"/>
      <c r="G3966" s="1403" t="s">
        <v>24</v>
      </c>
      <c r="H3966" s="605">
        <v>4.0000000000000002E-4</v>
      </c>
      <c r="K3966" s="841" t="s">
        <v>3467</v>
      </c>
      <c r="L3966" s="841" t="s">
        <v>3046</v>
      </c>
      <c r="M3966" s="1357"/>
      <c r="P3966" s="841" t="s">
        <v>3474</v>
      </c>
      <c r="Q3966" s="1357"/>
      <c r="S3966" s="1420"/>
      <c r="T3966" s="1420"/>
      <c r="V3966" s="1357">
        <v>65</v>
      </c>
    </row>
    <row r="3967" spans="1:22" s="841" customFormat="1" ht="15" x14ac:dyDescent="0.25">
      <c r="A3967" s="841" t="s">
        <v>180</v>
      </c>
      <c r="E3967" s="1704" t="s">
        <v>439</v>
      </c>
      <c r="F3967" s="1704"/>
      <c r="G3967" s="1403" t="s">
        <v>24</v>
      </c>
      <c r="H3967" s="605">
        <v>2.9999999999999997E-4</v>
      </c>
      <c r="K3967" s="841" t="s">
        <v>3467</v>
      </c>
      <c r="L3967" s="841" t="s">
        <v>3046</v>
      </c>
      <c r="M3967" s="1357"/>
      <c r="P3967" s="841" t="s">
        <v>3475</v>
      </c>
      <c r="Q3967" s="1357"/>
      <c r="S3967" s="1420"/>
      <c r="T3967" s="1420"/>
      <c r="V3967" s="1357">
        <v>57</v>
      </c>
    </row>
    <row r="3968" spans="1:22" s="841" customFormat="1" ht="15" x14ac:dyDescent="0.25">
      <c r="A3968" s="841" t="s">
        <v>180</v>
      </c>
      <c r="E3968" s="1704" t="s">
        <v>32</v>
      </c>
      <c r="F3968" s="1704"/>
      <c r="G3968" s="1403" t="s">
        <v>23</v>
      </c>
      <c r="H3968" s="395">
        <v>0.25</v>
      </c>
      <c r="K3968" s="841" t="s">
        <v>3467</v>
      </c>
      <c r="L3968" s="841" t="s">
        <v>3046</v>
      </c>
      <c r="M3968" s="1357"/>
      <c r="P3968" s="841" t="s">
        <v>3476</v>
      </c>
      <c r="Q3968" s="1357"/>
      <c r="S3968" s="1420"/>
      <c r="T3968" s="1420"/>
      <c r="V3968" s="1357">
        <v>63</v>
      </c>
    </row>
    <row r="3969" spans="1:22" s="841" customFormat="1" x14ac:dyDescent="0.25">
      <c r="A3969" s="841" t="s">
        <v>180</v>
      </c>
      <c r="E3969" s="1909" t="s">
        <v>615</v>
      </c>
      <c r="F3969" s="1915"/>
      <c r="G3969" s="1915"/>
      <c r="H3969" s="1915"/>
      <c r="K3969" s="841" t="s">
        <v>3477</v>
      </c>
      <c r="M3969" s="1357"/>
      <c r="Q3969" s="1357"/>
      <c r="S3969" s="1420"/>
      <c r="T3969" s="1420"/>
      <c r="V3969" s="1357">
        <v>38</v>
      </c>
    </row>
    <row r="3970" spans="1:22" s="841" customFormat="1" ht="15" x14ac:dyDescent="0.25">
      <c r="A3970" s="841" t="s">
        <v>180</v>
      </c>
      <c r="E3970" s="1689" t="s">
        <v>4359</v>
      </c>
      <c r="F3970" s="1697"/>
      <c r="G3970" s="1697"/>
      <c r="H3970" s="1697"/>
      <c r="K3970" s="841" t="s">
        <v>3477</v>
      </c>
      <c r="M3970" s="1357"/>
      <c r="Q3970" s="1357"/>
      <c r="S3970" s="1420"/>
      <c r="T3970" s="1420"/>
      <c r="V3970" s="1357">
        <v>878</v>
      </c>
    </row>
    <row r="3971" spans="1:22" s="841" customFormat="1" ht="15" x14ac:dyDescent="0.25">
      <c r="A3971" s="841" t="s">
        <v>180</v>
      </c>
      <c r="E3971" s="1916" t="s">
        <v>3061</v>
      </c>
      <c r="F3971" s="1697"/>
      <c r="G3971" s="1697"/>
      <c r="H3971" s="1697"/>
      <c r="K3971" s="841" t="s">
        <v>3128</v>
      </c>
      <c r="M3971" s="1357"/>
      <c r="Q3971" s="1357"/>
      <c r="S3971" s="1420"/>
      <c r="T3971" s="1420"/>
      <c r="V3971" s="1357">
        <v>11</v>
      </c>
    </row>
    <row r="3972" spans="1:22" s="841" customFormat="1" ht="15" x14ac:dyDescent="0.25">
      <c r="A3972" s="841" t="s">
        <v>180</v>
      </c>
      <c r="E3972" s="1689" t="s">
        <v>3063</v>
      </c>
      <c r="F3972" s="1697"/>
      <c r="G3972" s="1697"/>
      <c r="H3972" s="1697"/>
      <c r="K3972" s="841" t="s">
        <v>3477</v>
      </c>
      <c r="M3972" s="1357"/>
      <c r="Q3972" s="1357"/>
      <c r="S3972" s="1420"/>
      <c r="T3972" s="1420"/>
      <c r="V3972" s="1357">
        <v>280</v>
      </c>
    </row>
    <row r="3973" spans="1:22" s="841" customFormat="1" ht="15" x14ac:dyDescent="0.25">
      <c r="A3973" s="841" t="s">
        <v>180</v>
      </c>
      <c r="E3973" s="1689" t="s">
        <v>3064</v>
      </c>
      <c r="F3973" s="1697"/>
      <c r="G3973" s="1697"/>
      <c r="H3973" s="1697"/>
      <c r="K3973" s="841" t="s">
        <v>3477</v>
      </c>
      <c r="M3973" s="1357"/>
      <c r="Q3973" s="1357"/>
      <c r="S3973" s="1420"/>
      <c r="T3973" s="1420"/>
      <c r="V3973" s="1357">
        <v>411</v>
      </c>
    </row>
    <row r="3974" spans="1:22" s="841" customFormat="1" ht="15" x14ac:dyDescent="0.25">
      <c r="A3974" s="841" t="s">
        <v>180</v>
      </c>
      <c r="E3974" s="1689" t="s">
        <v>3199</v>
      </c>
      <c r="F3974" s="1697"/>
      <c r="G3974" s="1697"/>
      <c r="H3974" s="1697"/>
      <c r="K3974" s="841" t="s">
        <v>3477</v>
      </c>
      <c r="M3974" s="1357"/>
      <c r="Q3974" s="1357"/>
      <c r="S3974" s="1420"/>
      <c r="T3974" s="1420"/>
      <c r="V3974" s="1357">
        <v>386</v>
      </c>
    </row>
    <row r="3975" spans="1:22" s="841" customFormat="1" ht="15" x14ac:dyDescent="0.25">
      <c r="A3975" s="841" t="s">
        <v>180</v>
      </c>
      <c r="E3975" s="1689" t="s">
        <v>3390</v>
      </c>
      <c r="F3975" s="1697"/>
      <c r="G3975" s="1697"/>
      <c r="H3975" s="1697"/>
      <c r="K3975" s="841" t="s">
        <v>3477</v>
      </c>
      <c r="M3975" s="1357"/>
      <c r="Q3975" s="1357"/>
      <c r="S3975" s="1420"/>
      <c r="T3975" s="1420"/>
      <c r="V3975" s="1357">
        <v>274</v>
      </c>
    </row>
    <row r="3976" spans="1:22" s="841" customFormat="1" ht="15" x14ac:dyDescent="0.25">
      <c r="A3976" s="841" t="s">
        <v>180</v>
      </c>
      <c r="E3976" s="1694" t="s">
        <v>3067</v>
      </c>
      <c r="F3976" s="1907"/>
      <c r="G3976" s="1907"/>
      <c r="H3976" s="1907"/>
      <c r="K3976" s="841" t="s">
        <v>3130</v>
      </c>
      <c r="M3976" s="1357"/>
      <c r="Q3976" s="1357"/>
      <c r="S3976" s="1420"/>
      <c r="T3976" s="1420"/>
      <c r="V3976" s="1357">
        <v>46</v>
      </c>
    </row>
    <row r="3977" spans="1:22" s="841" customFormat="1" ht="15" x14ac:dyDescent="0.25">
      <c r="A3977" s="841" t="s">
        <v>180</v>
      </c>
      <c r="E3977" s="1704" t="s">
        <v>435</v>
      </c>
      <c r="F3977" s="1704"/>
      <c r="G3977" s="1403" t="s">
        <v>23</v>
      </c>
      <c r="H3977" s="395">
        <v>1.1499999999999999</v>
      </c>
      <c r="K3977" s="841" t="s">
        <v>3477</v>
      </c>
      <c r="L3977" s="841" t="s">
        <v>442</v>
      </c>
      <c r="M3977" s="1357"/>
      <c r="P3977" s="841" t="s">
        <v>3478</v>
      </c>
      <c r="Q3977" s="1357"/>
      <c r="S3977" s="1420"/>
      <c r="T3977" s="1420"/>
      <c r="V3977" s="1357">
        <v>26</v>
      </c>
    </row>
    <row r="3978" spans="1:22" s="841" customFormat="1" ht="15" x14ac:dyDescent="0.25">
      <c r="A3978" s="841" t="s">
        <v>180</v>
      </c>
      <c r="E3978" s="1704" t="s">
        <v>84</v>
      </c>
      <c r="F3978" s="1704"/>
      <c r="G3978" s="1403" t="s">
        <v>33</v>
      </c>
      <c r="H3978" s="605">
        <v>3.4430999999999998</v>
      </c>
      <c r="K3978" s="841" t="s">
        <v>3477</v>
      </c>
      <c r="L3978" s="841" t="s">
        <v>442</v>
      </c>
      <c r="M3978" s="1357"/>
      <c r="P3978" s="841" t="s">
        <v>3479</v>
      </c>
      <c r="Q3978" s="1357"/>
      <c r="S3978" s="1420"/>
      <c r="T3978" s="1420"/>
      <c r="V3978" s="1357">
        <v>28</v>
      </c>
    </row>
    <row r="3979" spans="1:22" s="841" customFormat="1" ht="15" x14ac:dyDescent="0.25">
      <c r="A3979" s="841" t="s">
        <v>180</v>
      </c>
      <c r="E3979" s="1704" t="s">
        <v>18</v>
      </c>
      <c r="F3979" s="1704"/>
      <c r="G3979" s="1403" t="s">
        <v>33</v>
      </c>
      <c r="H3979" s="605">
        <v>9.74E-2</v>
      </c>
      <c r="K3979" s="841" t="s">
        <v>3477</v>
      </c>
      <c r="L3979" s="841" t="s">
        <v>443</v>
      </c>
      <c r="M3979" s="1357"/>
      <c r="P3979" s="841" t="s">
        <v>3480</v>
      </c>
      <c r="Q3979" s="1357"/>
      <c r="S3979" s="1420"/>
      <c r="T3979" s="1420"/>
      <c r="V3979" s="1357">
        <v>24</v>
      </c>
    </row>
    <row r="3980" spans="1:22" s="841" customFormat="1" ht="15" x14ac:dyDescent="0.25">
      <c r="A3980" s="841" t="s">
        <v>180</v>
      </c>
      <c r="E3980" s="1704" t="s">
        <v>5143</v>
      </c>
      <c r="F3980" s="1959"/>
      <c r="G3980" s="1403" t="s">
        <v>24</v>
      </c>
      <c r="H3980" s="605">
        <v>5.9999999999999995E-4</v>
      </c>
      <c r="K3980" s="841" t="s">
        <v>3477</v>
      </c>
      <c r="L3980" s="841" t="s">
        <v>443</v>
      </c>
      <c r="M3980" s="1357"/>
      <c r="P3980" s="841" t="s">
        <v>4196</v>
      </c>
      <c r="Q3980" s="1357"/>
      <c r="S3980" s="1420"/>
      <c r="T3980" s="1420">
        <v>43465</v>
      </c>
      <c r="V3980" s="1357">
        <v>142</v>
      </c>
    </row>
    <row r="3981" spans="1:22" s="841" customFormat="1" ht="15" x14ac:dyDescent="0.25">
      <c r="A3981" s="841" t="s">
        <v>180</v>
      </c>
      <c r="E3981" s="1704" t="s">
        <v>5447</v>
      </c>
      <c r="F3981" s="1959"/>
      <c r="G3981" s="1403" t="s">
        <v>33</v>
      </c>
      <c r="H3981" s="605">
        <v>-4.4999999999999998E-2</v>
      </c>
      <c r="K3981" s="841" t="s">
        <v>3477</v>
      </c>
      <c r="L3981" s="841" t="s">
        <v>442</v>
      </c>
      <c r="M3981" s="1357"/>
      <c r="P3981" s="841" t="s">
        <v>3481</v>
      </c>
      <c r="Q3981" s="1357"/>
      <c r="S3981" s="1420"/>
      <c r="T3981" s="1420">
        <v>43465</v>
      </c>
      <c r="V3981" s="1357">
        <v>138</v>
      </c>
    </row>
    <row r="3982" spans="1:22" s="841" customFormat="1" ht="15" x14ac:dyDescent="0.25">
      <c r="A3982" s="841" t="s">
        <v>180</v>
      </c>
      <c r="E3982" s="1704" t="s">
        <v>5144</v>
      </c>
      <c r="F3982" s="1959"/>
      <c r="G3982" s="1403" t="s">
        <v>33</v>
      </c>
      <c r="H3982" s="605">
        <v>0.19769999999999999</v>
      </c>
      <c r="K3982" s="841" t="s">
        <v>3477</v>
      </c>
      <c r="L3982" s="841" t="s">
        <v>443</v>
      </c>
      <c r="M3982" s="1357"/>
      <c r="P3982" s="841" t="s">
        <v>3882</v>
      </c>
      <c r="Q3982" s="1357"/>
      <c r="S3982" s="1420"/>
      <c r="T3982" s="1420">
        <v>43465</v>
      </c>
      <c r="V3982" s="1357">
        <v>99</v>
      </c>
    </row>
    <row r="3983" spans="1:22" s="841" customFormat="1" ht="15" x14ac:dyDescent="0.25">
      <c r="A3983" s="841" t="s">
        <v>180</v>
      </c>
      <c r="E3983" s="1704" t="s">
        <v>5145</v>
      </c>
      <c r="F3983" s="1959"/>
      <c r="G3983" s="1403" t="s">
        <v>33</v>
      </c>
      <c r="H3983" s="605">
        <v>-2.01E-2</v>
      </c>
      <c r="K3983" s="841" t="s">
        <v>3477</v>
      </c>
      <c r="L3983" s="841" t="s">
        <v>443</v>
      </c>
      <c r="M3983" s="1357"/>
      <c r="P3983" s="841" t="s">
        <v>5367</v>
      </c>
      <c r="Q3983" s="1357"/>
      <c r="S3983" s="1420"/>
      <c r="T3983" s="1420">
        <v>43465</v>
      </c>
      <c r="V3983" s="1357">
        <v>148</v>
      </c>
    </row>
    <row r="3984" spans="1:22" s="841" customFormat="1" ht="15" x14ac:dyDescent="0.25">
      <c r="A3984" s="841" t="s">
        <v>180</v>
      </c>
      <c r="E3984" s="1704" t="s">
        <v>221</v>
      </c>
      <c r="F3984" s="1704"/>
      <c r="G3984" s="1403" t="s">
        <v>33</v>
      </c>
      <c r="H3984" s="605">
        <v>1.9128000000000001</v>
      </c>
      <c r="K3984" s="841" t="s">
        <v>3477</v>
      </c>
      <c r="L3984" s="841" t="s">
        <v>444</v>
      </c>
      <c r="M3984" s="1357"/>
      <c r="P3984" s="841" t="s">
        <v>3482</v>
      </c>
      <c r="Q3984" s="1357"/>
      <c r="S3984" s="1420"/>
      <c r="T3984" s="1420"/>
      <c r="V3984" s="1357">
        <v>47</v>
      </c>
    </row>
    <row r="3985" spans="1:22" s="841" customFormat="1" ht="15" x14ac:dyDescent="0.25">
      <c r="A3985" s="841" t="s">
        <v>180</v>
      </c>
      <c r="E3985" s="1704" t="s">
        <v>217</v>
      </c>
      <c r="F3985" s="1704"/>
      <c r="G3985" s="1403" t="s">
        <v>33</v>
      </c>
      <c r="H3985" s="605">
        <v>1.3775999999999999</v>
      </c>
      <c r="K3985" s="841" t="s">
        <v>3477</v>
      </c>
      <c r="L3985" s="841" t="s">
        <v>444</v>
      </c>
      <c r="M3985" s="1357"/>
      <c r="P3985" s="841" t="s">
        <v>3483</v>
      </c>
      <c r="Q3985" s="1357"/>
      <c r="S3985" s="1420"/>
      <c r="T3985" s="1420"/>
      <c r="V3985" s="1357">
        <v>74</v>
      </c>
    </row>
    <row r="3986" spans="1:22" s="841" customFormat="1" ht="15" x14ac:dyDescent="0.25">
      <c r="A3986" s="841" t="s">
        <v>180</v>
      </c>
      <c r="E3986" s="1916" t="s">
        <v>3079</v>
      </c>
      <c r="F3986" s="1704"/>
      <c r="G3986" s="1403"/>
      <c r="H3986" s="1188"/>
      <c r="K3986" s="841" t="s">
        <v>3260</v>
      </c>
      <c r="M3986" s="1357"/>
      <c r="Q3986" s="1357"/>
      <c r="S3986" s="1420"/>
      <c r="T3986" s="1420"/>
      <c r="V3986" s="1357">
        <v>48</v>
      </c>
    </row>
    <row r="3987" spans="1:22" s="841" customFormat="1" ht="15" x14ac:dyDescent="0.25">
      <c r="A3987" s="841" t="s">
        <v>180</v>
      </c>
      <c r="E3987" s="1704" t="s">
        <v>2449</v>
      </c>
      <c r="F3987" s="1704"/>
      <c r="G3987" s="1403" t="s">
        <v>24</v>
      </c>
      <c r="H3987" s="605">
        <v>3.2000000000000002E-3</v>
      </c>
      <c r="K3987" s="841" t="s">
        <v>3477</v>
      </c>
      <c r="L3987" s="841" t="s">
        <v>3046</v>
      </c>
      <c r="M3987" s="1357"/>
      <c r="P3987" s="841" t="s">
        <v>3484</v>
      </c>
      <c r="Q3987" s="1357"/>
      <c r="S3987" s="1420"/>
      <c r="T3987" s="1420"/>
      <c r="V3987" s="1357">
        <v>55</v>
      </c>
    </row>
    <row r="3988" spans="1:22" s="841" customFormat="1" ht="15" x14ac:dyDescent="0.25">
      <c r="A3988" s="841" t="s">
        <v>180</v>
      </c>
      <c r="E3988" s="1704" t="s">
        <v>2450</v>
      </c>
      <c r="F3988" s="1704"/>
      <c r="G3988" s="1403" t="s">
        <v>24</v>
      </c>
      <c r="H3988" s="605">
        <v>4.0000000000000002E-4</v>
      </c>
      <c r="K3988" s="841" t="s">
        <v>3477</v>
      </c>
      <c r="L3988" s="841" t="s">
        <v>3046</v>
      </c>
      <c r="M3988" s="1357"/>
      <c r="P3988" s="841" t="s">
        <v>3484</v>
      </c>
      <c r="Q3988" s="1357"/>
      <c r="S3988" s="1420"/>
      <c r="T3988" s="1420"/>
      <c r="V3988" s="1357">
        <v>65</v>
      </c>
    </row>
    <row r="3989" spans="1:22" s="841" customFormat="1" ht="15" x14ac:dyDescent="0.25">
      <c r="A3989" s="841" t="s">
        <v>180</v>
      </c>
      <c r="E3989" s="1704" t="s">
        <v>439</v>
      </c>
      <c r="F3989" s="1704"/>
      <c r="G3989" s="1403" t="s">
        <v>24</v>
      </c>
      <c r="H3989" s="605">
        <v>2.9999999999999997E-4</v>
      </c>
      <c r="K3989" s="841" t="s">
        <v>3477</v>
      </c>
      <c r="L3989" s="841" t="s">
        <v>3046</v>
      </c>
      <c r="M3989" s="1357"/>
      <c r="P3989" s="841" t="s">
        <v>3485</v>
      </c>
      <c r="Q3989" s="1357"/>
      <c r="S3989" s="1420"/>
      <c r="T3989" s="1420"/>
      <c r="V3989" s="1357">
        <v>57</v>
      </c>
    </row>
    <row r="3990" spans="1:22" s="841" customFormat="1" ht="15" x14ac:dyDescent="0.25">
      <c r="A3990" s="841" t="s">
        <v>180</v>
      </c>
      <c r="E3990" s="1704" t="s">
        <v>32</v>
      </c>
      <c r="F3990" s="1704"/>
      <c r="G3990" s="1403" t="s">
        <v>23</v>
      </c>
      <c r="H3990" s="395">
        <v>0.25</v>
      </c>
      <c r="K3990" s="841" t="s">
        <v>3477</v>
      </c>
      <c r="L3990" s="841" t="s">
        <v>3046</v>
      </c>
      <c r="M3990" s="1357"/>
      <c r="P3990" s="841" t="s">
        <v>3486</v>
      </c>
      <c r="Q3990" s="1357"/>
      <c r="S3990" s="1420"/>
      <c r="T3990" s="1420"/>
      <c r="V3990" s="1357">
        <v>63</v>
      </c>
    </row>
    <row r="3991" spans="1:22" s="841" customFormat="1" x14ac:dyDescent="0.25">
      <c r="A3991" s="841" t="s">
        <v>180</v>
      </c>
      <c r="E3991" s="1909" t="s">
        <v>618</v>
      </c>
      <c r="F3991" s="1915"/>
      <c r="G3991" s="1915"/>
      <c r="H3991" s="1915"/>
      <c r="K3991" s="841" t="s">
        <v>3487</v>
      </c>
      <c r="M3991" s="1357"/>
      <c r="Q3991" s="1357"/>
      <c r="S3991" s="1420"/>
      <c r="T3991" s="1420"/>
      <c r="V3991" s="1357">
        <v>31</v>
      </c>
    </row>
    <row r="3992" spans="1:22" s="841" customFormat="1" ht="15" x14ac:dyDescent="0.25">
      <c r="A3992" s="841" t="s">
        <v>180</v>
      </c>
      <c r="E3992" s="1689" t="s">
        <v>3372</v>
      </c>
      <c r="F3992" s="1697"/>
      <c r="G3992" s="1697"/>
      <c r="H3992" s="1697"/>
      <c r="K3992" s="841" t="s">
        <v>3487</v>
      </c>
      <c r="M3992" s="1357"/>
      <c r="Q3992" s="1357"/>
      <c r="S3992" s="1420"/>
      <c r="T3992" s="1420"/>
      <c r="V3992" s="1357">
        <v>285</v>
      </c>
    </row>
    <row r="3993" spans="1:22" s="841" customFormat="1" ht="15" x14ac:dyDescent="0.25">
      <c r="A3993" s="841" t="s">
        <v>180</v>
      </c>
      <c r="E3993" s="1916" t="s">
        <v>3061</v>
      </c>
      <c r="F3993" s="1697"/>
      <c r="G3993" s="1697"/>
      <c r="H3993" s="1697"/>
      <c r="K3993" s="841" t="s">
        <v>3266</v>
      </c>
      <c r="M3993" s="1357"/>
      <c r="Q3993" s="1357"/>
      <c r="S3993" s="1420"/>
      <c r="T3993" s="1420"/>
      <c r="V3993" s="1357">
        <v>11</v>
      </c>
    </row>
    <row r="3994" spans="1:22" s="841" customFormat="1" ht="15" x14ac:dyDescent="0.25">
      <c r="A3994" s="841" t="s">
        <v>180</v>
      </c>
      <c r="E3994" s="1689" t="s">
        <v>3063</v>
      </c>
      <c r="F3994" s="1697"/>
      <c r="G3994" s="1697"/>
      <c r="H3994" s="1697"/>
      <c r="K3994" s="841" t="s">
        <v>3487</v>
      </c>
      <c r="M3994" s="1357"/>
      <c r="Q3994" s="1357"/>
      <c r="S3994" s="1420"/>
      <c r="T3994" s="1420"/>
      <c r="V3994" s="1357">
        <v>280</v>
      </c>
    </row>
    <row r="3995" spans="1:22" s="841" customFormat="1" ht="15" x14ac:dyDescent="0.25">
      <c r="A3995" s="841" t="s">
        <v>180</v>
      </c>
      <c r="E3995" s="1689" t="s">
        <v>3064</v>
      </c>
      <c r="F3995" s="1697"/>
      <c r="G3995" s="1697"/>
      <c r="H3995" s="1697"/>
      <c r="K3995" s="841" t="s">
        <v>3487</v>
      </c>
      <c r="M3995" s="1357"/>
      <c r="Q3995" s="1357"/>
      <c r="S3995" s="1420"/>
      <c r="T3995" s="1420"/>
      <c r="V3995" s="1357">
        <v>411</v>
      </c>
    </row>
    <row r="3996" spans="1:22" s="841" customFormat="1" ht="15" x14ac:dyDescent="0.25">
      <c r="A3996" s="841" t="s">
        <v>180</v>
      </c>
      <c r="E3996" s="1689" t="s">
        <v>3129</v>
      </c>
      <c r="F3996" s="1697"/>
      <c r="G3996" s="1697"/>
      <c r="H3996" s="1697"/>
      <c r="K3996" s="841" t="s">
        <v>3487</v>
      </c>
      <c r="M3996" s="1357"/>
      <c r="Q3996" s="1357"/>
      <c r="S3996" s="1420"/>
      <c r="T3996" s="1420"/>
      <c r="V3996" s="1357">
        <v>211</v>
      </c>
    </row>
    <row r="3997" spans="1:22" s="841" customFormat="1" ht="15" x14ac:dyDescent="0.25">
      <c r="A3997" s="841" t="s">
        <v>180</v>
      </c>
      <c r="E3997" s="1689" t="s">
        <v>3390</v>
      </c>
      <c r="F3997" s="1697"/>
      <c r="G3997" s="1697"/>
      <c r="H3997" s="1697"/>
      <c r="K3997" s="841" t="s">
        <v>3487</v>
      </c>
      <c r="M3997" s="1357"/>
      <c r="Q3997" s="1357"/>
      <c r="S3997" s="1420"/>
      <c r="T3997" s="1420"/>
      <c r="V3997" s="1357">
        <v>274</v>
      </c>
    </row>
    <row r="3998" spans="1:22" s="841" customFormat="1" ht="15" x14ac:dyDescent="0.25">
      <c r="A3998" s="841" t="s">
        <v>180</v>
      </c>
      <c r="E3998" s="1694" t="s">
        <v>3067</v>
      </c>
      <c r="F3998" s="1907"/>
      <c r="G3998" s="1907"/>
      <c r="H3998" s="1907"/>
      <c r="K3998" s="841" t="s">
        <v>3267</v>
      </c>
      <c r="M3998" s="1357"/>
      <c r="Q3998" s="1357"/>
      <c r="S3998" s="1420"/>
      <c r="T3998" s="1420"/>
      <c r="V3998" s="1357">
        <v>46</v>
      </c>
    </row>
    <row r="3999" spans="1:22" s="841" customFormat="1" ht="15" x14ac:dyDescent="0.25">
      <c r="A3999" s="841" t="s">
        <v>180</v>
      </c>
      <c r="E3999" s="1690" t="s">
        <v>11</v>
      </c>
      <c r="F3999" s="1690"/>
      <c r="G3999" s="1408" t="s">
        <v>23</v>
      </c>
      <c r="H3999" s="391">
        <v>5.4</v>
      </c>
      <c r="K3999" s="841" t="s">
        <v>3487</v>
      </c>
      <c r="L3999" s="841" t="s">
        <v>442</v>
      </c>
      <c r="M3999" s="1357"/>
      <c r="P3999" s="841" t="s">
        <v>3488</v>
      </c>
      <c r="Q3999" s="1357"/>
      <c r="S3999" s="1420"/>
      <c r="T3999" s="1420"/>
      <c r="V3999" s="1357">
        <v>14</v>
      </c>
    </row>
    <row r="4000" spans="1:22" s="841" customFormat="1" ht="18.75" x14ac:dyDescent="0.3">
      <c r="A4000" s="841" t="s">
        <v>180</v>
      </c>
      <c r="E4000" s="1374" t="s">
        <v>85</v>
      </c>
      <c r="F4000" s="657"/>
      <c r="G4000" s="657"/>
      <c r="H4000" s="731"/>
      <c r="K4000" s="841" t="s">
        <v>4360</v>
      </c>
      <c r="M4000" s="1357"/>
      <c r="Q4000" s="1357"/>
      <c r="S4000" s="1420"/>
      <c r="T4000" s="1420"/>
      <c r="V4000" s="1357">
        <v>10</v>
      </c>
    </row>
    <row r="4001" spans="1:22" s="841" customFormat="1" ht="15" x14ac:dyDescent="0.25">
      <c r="A4001" s="841" t="s">
        <v>180</v>
      </c>
      <c r="E4001" s="1690" t="s">
        <v>3133</v>
      </c>
      <c r="F4001" s="1690"/>
      <c r="G4001" s="1408" t="s">
        <v>33</v>
      </c>
      <c r="H4001" s="393">
        <v>-0.6</v>
      </c>
      <c r="M4001" s="1357"/>
      <c r="Q4001" s="1357"/>
      <c r="S4001" s="1420"/>
      <c r="T4001" s="1420"/>
      <c r="V4001" s="1357">
        <v>68</v>
      </c>
    </row>
    <row r="4002" spans="1:22" s="841" customFormat="1" ht="15" x14ac:dyDescent="0.25">
      <c r="A4002" s="841" t="s">
        <v>180</v>
      </c>
      <c r="E4002" s="1690" t="s">
        <v>3134</v>
      </c>
      <c r="F4002" s="1690"/>
      <c r="G4002" s="1408" t="s">
        <v>86</v>
      </c>
      <c r="H4002" s="391">
        <v>-1</v>
      </c>
      <c r="M4002" s="1357"/>
      <c r="Q4002" s="1357"/>
      <c r="S4002" s="1420"/>
      <c r="T4002" s="1420"/>
      <c r="V4002" s="1357">
        <v>87</v>
      </c>
    </row>
    <row r="4003" spans="1:22" s="841" customFormat="1" ht="36.75" x14ac:dyDescent="0.3">
      <c r="A4003" s="841" t="s">
        <v>180</v>
      </c>
      <c r="E4003" s="1374" t="s">
        <v>87</v>
      </c>
      <c r="F4003" s="657"/>
      <c r="G4003" s="657"/>
      <c r="H4003" s="731"/>
      <c r="K4003" s="841" t="s">
        <v>4361</v>
      </c>
      <c r="M4003" s="1357"/>
      <c r="Q4003" s="1357"/>
      <c r="S4003" s="1420"/>
      <c r="T4003" s="1420"/>
      <c r="V4003" s="1357">
        <v>24</v>
      </c>
    </row>
    <row r="4004" spans="1:22" s="841" customFormat="1" ht="15" x14ac:dyDescent="0.25">
      <c r="A4004" s="841" t="s">
        <v>180</v>
      </c>
      <c r="E4004" s="1926" t="s">
        <v>3061</v>
      </c>
      <c r="F4004" s="1689"/>
      <c r="G4004" s="1689"/>
      <c r="H4004" s="1689"/>
      <c r="M4004" s="1357"/>
      <c r="Q4004" s="1357"/>
      <c r="S4004" s="1420"/>
      <c r="T4004" s="1420"/>
      <c r="V4004" s="1357">
        <v>11</v>
      </c>
    </row>
    <row r="4005" spans="1:22" s="841" customFormat="1" ht="15" x14ac:dyDescent="0.25">
      <c r="A4005" s="841" t="s">
        <v>180</v>
      </c>
      <c r="E4005" s="1689" t="s">
        <v>3063</v>
      </c>
      <c r="F4005" s="1689"/>
      <c r="G4005" s="1689"/>
      <c r="H4005" s="1689"/>
      <c r="M4005" s="1357"/>
      <c r="Q4005" s="1357"/>
      <c r="S4005" s="1420"/>
      <c r="T4005" s="1420"/>
      <c r="V4005" s="1357">
        <v>280</v>
      </c>
    </row>
    <row r="4006" spans="1:22" s="841" customFormat="1" ht="15" x14ac:dyDescent="0.25">
      <c r="A4006" s="841" t="s">
        <v>180</v>
      </c>
      <c r="E4006" s="1689" t="s">
        <v>3136</v>
      </c>
      <c r="F4006" s="1689"/>
      <c r="G4006" s="1689"/>
      <c r="H4006" s="1689"/>
      <c r="M4006" s="1357"/>
      <c r="Q4006" s="1357"/>
      <c r="S4006" s="1420"/>
      <c r="T4006" s="1420"/>
      <c r="V4006" s="1357">
        <v>353</v>
      </c>
    </row>
    <row r="4007" spans="1:22" s="841" customFormat="1" ht="15" x14ac:dyDescent="0.25">
      <c r="A4007" s="841" t="s">
        <v>180</v>
      </c>
      <c r="E4007" s="2068" t="s">
        <v>3390</v>
      </c>
      <c r="F4007" s="2068"/>
      <c r="G4007" s="2068"/>
      <c r="H4007" s="2068"/>
      <c r="M4007" s="1357"/>
      <c r="Q4007" s="1357"/>
      <c r="S4007" s="1420"/>
      <c r="T4007" s="1420"/>
      <c r="V4007" s="1357">
        <v>274</v>
      </c>
    </row>
    <row r="4008" spans="1:22" s="841" customFormat="1" ht="15" x14ac:dyDescent="0.25">
      <c r="A4008" s="841" t="s">
        <v>180</v>
      </c>
      <c r="E4008" s="1370" t="s">
        <v>3137</v>
      </c>
      <c r="F4008" s="3"/>
      <c r="G4008" s="3"/>
      <c r="H4008" s="626"/>
      <c r="K4008" s="841" t="s">
        <v>4362</v>
      </c>
      <c r="M4008" s="1357"/>
      <c r="Q4008" s="1357"/>
      <c r="S4008" s="1420"/>
      <c r="T4008" s="1420"/>
      <c r="V4008" s="1357">
        <v>23</v>
      </c>
    </row>
    <row r="4009" spans="1:22" s="841" customFormat="1" ht="15" x14ac:dyDescent="0.25">
      <c r="A4009" s="841" t="s">
        <v>180</v>
      </c>
      <c r="E4009" s="1688" t="s">
        <v>3355</v>
      </c>
      <c r="F4009" s="1688"/>
      <c r="G4009" s="1408" t="s">
        <v>23</v>
      </c>
      <c r="H4009" s="391">
        <v>15</v>
      </c>
      <c r="M4009" s="1357"/>
      <c r="Q4009" s="1357"/>
      <c r="S4009" s="1420"/>
      <c r="T4009" s="1420"/>
      <c r="V4009" s="1357">
        <v>19</v>
      </c>
    </row>
    <row r="4010" spans="1:22" s="841" customFormat="1" ht="15" x14ac:dyDescent="0.25">
      <c r="A4010" s="841" t="s">
        <v>180</v>
      </c>
      <c r="E4010" s="1688" t="s">
        <v>3145</v>
      </c>
      <c r="F4010" s="1688"/>
      <c r="G4010" s="1408" t="s">
        <v>23</v>
      </c>
      <c r="H4010" s="391">
        <v>15</v>
      </c>
      <c r="M4010" s="1357"/>
      <c r="Q4010" s="1357"/>
      <c r="S4010" s="1420"/>
      <c r="T4010" s="1420"/>
      <c r="V4010" s="1357">
        <v>17</v>
      </c>
    </row>
    <row r="4011" spans="1:22" s="841" customFormat="1" ht="15" x14ac:dyDescent="0.25">
      <c r="A4011" s="841" t="s">
        <v>180</v>
      </c>
      <c r="E4011" s="1688" t="s">
        <v>3148</v>
      </c>
      <c r="F4011" s="1688"/>
      <c r="G4011" s="1408" t="s">
        <v>23</v>
      </c>
      <c r="H4011" s="391">
        <v>15</v>
      </c>
      <c r="M4011" s="1357"/>
      <c r="Q4011" s="1357"/>
      <c r="S4011" s="1420"/>
      <c r="T4011" s="1420"/>
      <c r="V4011" s="1357">
        <v>56</v>
      </c>
    </row>
    <row r="4012" spans="1:22" s="841" customFormat="1" ht="15" x14ac:dyDescent="0.25">
      <c r="A4012" s="841" t="s">
        <v>180</v>
      </c>
      <c r="E4012" s="1688" t="s">
        <v>123</v>
      </c>
      <c r="F4012" s="1688"/>
      <c r="G4012" s="1408" t="s">
        <v>23</v>
      </c>
      <c r="H4012" s="391">
        <v>15</v>
      </c>
      <c r="M4012" s="1357"/>
      <c r="Q4012" s="1357"/>
      <c r="S4012" s="1420"/>
      <c r="T4012" s="1420"/>
      <c r="V4012" s="1357">
        <v>35</v>
      </c>
    </row>
    <row r="4013" spans="1:22" s="841" customFormat="1" ht="15" x14ac:dyDescent="0.25">
      <c r="A4013" s="841" t="s">
        <v>180</v>
      </c>
      <c r="E4013" s="1688" t="s">
        <v>88</v>
      </c>
      <c r="F4013" s="1688"/>
      <c r="G4013" s="1408" t="s">
        <v>23</v>
      </c>
      <c r="H4013" s="391">
        <v>30</v>
      </c>
      <c r="M4013" s="1357"/>
      <c r="Q4013" s="1357"/>
      <c r="S4013" s="1420"/>
      <c r="T4013" s="1420"/>
      <c r="V4013" s="1357">
        <v>89</v>
      </c>
    </row>
    <row r="4014" spans="1:22" s="841" customFormat="1" ht="15" x14ac:dyDescent="0.25">
      <c r="A4014" s="841" t="s">
        <v>180</v>
      </c>
      <c r="E4014" s="1688" t="s">
        <v>92</v>
      </c>
      <c r="F4014" s="1688"/>
      <c r="G4014" s="1408" t="s">
        <v>23</v>
      </c>
      <c r="H4014" s="391">
        <v>30</v>
      </c>
      <c r="M4014" s="1357"/>
      <c r="Q4014" s="1357"/>
      <c r="S4014" s="1420"/>
      <c r="T4014" s="1420"/>
      <c r="V4014" s="1357">
        <v>74</v>
      </c>
    </row>
    <row r="4015" spans="1:22" s="841" customFormat="1" ht="15" x14ac:dyDescent="0.25">
      <c r="A4015" s="841" t="s">
        <v>180</v>
      </c>
      <c r="E4015" s="1370" t="s">
        <v>3152</v>
      </c>
      <c r="F4015" s="3"/>
      <c r="G4015" s="3"/>
      <c r="H4015" s="626"/>
      <c r="K4015" s="841" t="s">
        <v>4363</v>
      </c>
      <c r="M4015" s="1357"/>
      <c r="Q4015" s="1357"/>
      <c r="S4015" s="1420"/>
      <c r="T4015" s="1420"/>
      <c r="V4015" s="1357">
        <v>22</v>
      </c>
    </row>
    <row r="4016" spans="1:22" s="841" customFormat="1" ht="15" x14ac:dyDescent="0.25">
      <c r="A4016" s="841" t="s">
        <v>180</v>
      </c>
      <c r="E4016" s="1688" t="s">
        <v>5137</v>
      </c>
      <c r="F4016" s="1688"/>
      <c r="G4016" s="1408" t="s">
        <v>86</v>
      </c>
      <c r="H4016" s="391">
        <v>1.5</v>
      </c>
      <c r="M4016" s="1357"/>
      <c r="Q4016" s="1357"/>
      <c r="S4016" s="1420"/>
      <c r="T4016" s="1420"/>
      <c r="V4016" s="1357">
        <v>24</v>
      </c>
    </row>
    <row r="4017" spans="1:22" s="841" customFormat="1" ht="15" x14ac:dyDescent="0.25">
      <c r="A4017" s="841" t="s">
        <v>180</v>
      </c>
      <c r="E4017" s="1688" t="s">
        <v>4772</v>
      </c>
      <c r="F4017" s="1688"/>
      <c r="G4017" s="1408" t="s">
        <v>86</v>
      </c>
      <c r="H4017" s="391">
        <v>19.66</v>
      </c>
      <c r="M4017" s="1357"/>
      <c r="Q4017" s="1357"/>
      <c r="S4017" s="1420"/>
      <c r="T4017" s="1420"/>
      <c r="V4017" s="1357">
        <v>24</v>
      </c>
    </row>
    <row r="4018" spans="1:22" s="841" customFormat="1" ht="15" x14ac:dyDescent="0.25">
      <c r="A4018" s="841" t="s">
        <v>180</v>
      </c>
      <c r="E4018" s="1688" t="s">
        <v>3156</v>
      </c>
      <c r="F4018" s="1688"/>
      <c r="G4018" s="1408" t="s">
        <v>23</v>
      </c>
      <c r="H4018" s="391">
        <v>30</v>
      </c>
      <c r="M4018" s="1357"/>
      <c r="Q4018" s="1357"/>
      <c r="S4018" s="1420"/>
      <c r="T4018" s="1420"/>
      <c r="V4018" s="1357">
        <v>79</v>
      </c>
    </row>
    <row r="4019" spans="1:22" s="841" customFormat="1" ht="15" x14ac:dyDescent="0.25">
      <c r="A4019" s="841" t="s">
        <v>180</v>
      </c>
      <c r="E4019" s="1688" t="s">
        <v>4773</v>
      </c>
      <c r="F4019" s="1688"/>
      <c r="G4019" s="1408" t="s">
        <v>23</v>
      </c>
      <c r="H4019" s="391">
        <v>65</v>
      </c>
      <c r="M4019" s="1357"/>
      <c r="Q4019" s="1357"/>
      <c r="S4019" s="1420"/>
      <c r="T4019" s="1420"/>
      <c r="V4019" s="1357">
        <v>52</v>
      </c>
    </row>
    <row r="4020" spans="1:22" s="841" customFormat="1" ht="15" x14ac:dyDescent="0.25">
      <c r="A4020" s="841" t="s">
        <v>180</v>
      </c>
      <c r="E4020" s="1688" t="s">
        <v>4774</v>
      </c>
      <c r="F4020" s="1688"/>
      <c r="G4020" s="1408" t="s">
        <v>23</v>
      </c>
      <c r="H4020" s="391">
        <v>185</v>
      </c>
      <c r="M4020" s="1357"/>
      <c r="Q4020" s="1357"/>
      <c r="S4020" s="1420"/>
      <c r="T4020" s="1420"/>
      <c r="V4020" s="1357">
        <v>51</v>
      </c>
    </row>
    <row r="4021" spans="1:22" s="841" customFormat="1" ht="15" x14ac:dyDescent="0.25">
      <c r="A4021" s="841" t="s">
        <v>180</v>
      </c>
      <c r="E4021" s="1688" t="s">
        <v>4775</v>
      </c>
      <c r="F4021" s="1688"/>
      <c r="G4021" s="1408" t="s">
        <v>23</v>
      </c>
      <c r="H4021" s="391">
        <v>185</v>
      </c>
      <c r="M4021" s="1357"/>
      <c r="Q4021" s="1357"/>
      <c r="S4021" s="1420"/>
      <c r="T4021" s="1420"/>
      <c r="V4021" s="1357">
        <v>51</v>
      </c>
    </row>
    <row r="4022" spans="1:22" s="841" customFormat="1" ht="15" x14ac:dyDescent="0.25">
      <c r="A4022" s="841" t="s">
        <v>180</v>
      </c>
      <c r="E4022" s="1688" t="s">
        <v>4776</v>
      </c>
      <c r="F4022" s="1688"/>
      <c r="G4022" s="1408" t="s">
        <v>23</v>
      </c>
      <c r="H4022" s="391">
        <v>415</v>
      </c>
      <c r="M4022" s="1357"/>
      <c r="Q4022" s="1357"/>
      <c r="S4022" s="1420"/>
      <c r="T4022" s="1420"/>
      <c r="V4022" s="1357">
        <v>50</v>
      </c>
    </row>
    <row r="4023" spans="1:22" s="841" customFormat="1" ht="15" x14ac:dyDescent="0.25">
      <c r="A4023" s="841" t="s">
        <v>180</v>
      </c>
      <c r="E4023" s="1688" t="s">
        <v>4777</v>
      </c>
      <c r="F4023" s="1688"/>
      <c r="G4023" s="1408" t="s">
        <v>23</v>
      </c>
      <c r="H4023" s="391">
        <v>65</v>
      </c>
      <c r="M4023" s="1357"/>
      <c r="Q4023" s="1357"/>
      <c r="S4023" s="1420"/>
      <c r="T4023" s="1420"/>
      <c r="V4023" s="1357">
        <v>57</v>
      </c>
    </row>
    <row r="4024" spans="1:22" s="841" customFormat="1" ht="15" x14ac:dyDescent="0.25">
      <c r="A4024" s="841" t="s">
        <v>180</v>
      </c>
      <c r="E4024" s="1688" t="s">
        <v>4778</v>
      </c>
      <c r="F4024" s="1688"/>
      <c r="G4024" s="1408" t="s">
        <v>23</v>
      </c>
      <c r="H4024" s="391">
        <v>185</v>
      </c>
      <c r="M4024" s="1357"/>
      <c r="Q4024" s="1357"/>
      <c r="S4024" s="1420"/>
      <c r="T4024" s="1420"/>
      <c r="V4024" s="1357">
        <v>56</v>
      </c>
    </row>
    <row r="4025" spans="1:22" s="841" customFormat="1" ht="15" x14ac:dyDescent="0.25">
      <c r="A4025" s="841" t="s">
        <v>180</v>
      </c>
      <c r="E4025" s="1370" t="s">
        <v>3164</v>
      </c>
      <c r="F4025" s="3"/>
      <c r="G4025" s="3"/>
      <c r="H4025" s="626"/>
      <c r="M4025" s="1357"/>
      <c r="Q4025" s="1357"/>
      <c r="S4025" s="1420"/>
      <c r="T4025" s="1420"/>
      <c r="V4025" s="1357">
        <v>5</v>
      </c>
    </row>
    <row r="4026" spans="1:22" s="841" customFormat="1" ht="15" x14ac:dyDescent="0.25">
      <c r="A4026" s="841" t="s">
        <v>180</v>
      </c>
      <c r="E4026" s="1688" t="s">
        <v>3167</v>
      </c>
      <c r="F4026" s="1688"/>
      <c r="G4026" s="1408" t="s">
        <v>23</v>
      </c>
      <c r="H4026" s="391">
        <v>30</v>
      </c>
      <c r="M4026" s="1357"/>
      <c r="Q4026" s="1357"/>
      <c r="S4026" s="1420"/>
      <c r="T4026" s="1420"/>
      <c r="V4026" s="1357">
        <v>39</v>
      </c>
    </row>
    <row r="4027" spans="1:22" s="841" customFormat="1" ht="15" x14ac:dyDescent="0.25">
      <c r="A4027" s="841" t="s">
        <v>180</v>
      </c>
      <c r="E4027" s="1688" t="s">
        <v>3168</v>
      </c>
      <c r="F4027" s="1688"/>
      <c r="G4027" s="1408" t="s">
        <v>23</v>
      </c>
      <c r="H4027" s="391">
        <v>165</v>
      </c>
      <c r="M4027" s="1357"/>
      <c r="Q4027" s="1357"/>
      <c r="S4027" s="1420"/>
      <c r="T4027" s="1420"/>
      <c r="V4027" s="1357">
        <v>34</v>
      </c>
    </row>
    <row r="4028" spans="1:22" s="841" customFormat="1" ht="15" x14ac:dyDescent="0.25">
      <c r="A4028" s="841" t="s">
        <v>180</v>
      </c>
      <c r="E4028" s="1688" t="s">
        <v>3888</v>
      </c>
      <c r="F4028" s="1688"/>
      <c r="G4028" s="1408"/>
      <c r="H4028" s="393" t="s">
        <v>4364</v>
      </c>
      <c r="M4028" s="1357"/>
      <c r="Q4028" s="1357"/>
      <c r="S4028" s="1420"/>
      <c r="T4028" s="1420"/>
      <c r="V4028" s="1357">
        <v>62</v>
      </c>
    </row>
    <row r="4029" spans="1:22" s="841" customFormat="1" ht="15" x14ac:dyDescent="0.25">
      <c r="A4029" s="841" t="s">
        <v>180</v>
      </c>
      <c r="E4029" s="1688" t="s">
        <v>3170</v>
      </c>
      <c r="F4029" s="1688"/>
      <c r="G4029" s="1408"/>
      <c r="H4029" s="393" t="s">
        <v>4364</v>
      </c>
      <c r="M4029" s="1357"/>
      <c r="Q4029" s="1357"/>
      <c r="S4029" s="1420"/>
      <c r="T4029" s="1420"/>
      <c r="V4029" s="1357">
        <v>65</v>
      </c>
    </row>
    <row r="4030" spans="1:22" s="841" customFormat="1" ht="15" x14ac:dyDescent="0.25">
      <c r="A4030" s="841" t="s">
        <v>180</v>
      </c>
      <c r="E4030" s="1688" t="s">
        <v>3171</v>
      </c>
      <c r="F4030" s="1688"/>
      <c r="G4030" s="1408"/>
      <c r="H4030" s="393" t="s">
        <v>4364</v>
      </c>
      <c r="M4030" s="1357"/>
      <c r="Q4030" s="1357"/>
      <c r="S4030" s="1420"/>
      <c r="T4030" s="1420"/>
      <c r="V4030" s="1357">
        <v>64</v>
      </c>
    </row>
    <row r="4031" spans="1:22" s="841" customFormat="1" ht="15" x14ac:dyDescent="0.25">
      <c r="A4031" s="841" t="s">
        <v>180</v>
      </c>
      <c r="E4031" s="1688" t="s">
        <v>3491</v>
      </c>
      <c r="F4031" s="1688"/>
      <c r="G4031" s="1408"/>
      <c r="H4031" s="394"/>
      <c r="M4031" s="1357"/>
      <c r="Q4031" s="1357"/>
      <c r="S4031" s="1420"/>
      <c r="T4031" s="1420"/>
      <c r="V4031" s="1357">
        <v>59</v>
      </c>
    </row>
    <row r="4032" spans="1:22" s="841" customFormat="1" ht="15" x14ac:dyDescent="0.25">
      <c r="A4032" s="841" t="s">
        <v>180</v>
      </c>
      <c r="E4032" s="1688" t="s">
        <v>3166</v>
      </c>
      <c r="F4032" s="1688"/>
      <c r="G4032" s="1408" t="s">
        <v>23</v>
      </c>
      <c r="H4032" s="391">
        <v>22.35</v>
      </c>
      <c r="M4032" s="1357"/>
      <c r="Q4032" s="1357"/>
      <c r="S4032" s="1420"/>
      <c r="T4032" s="1420"/>
      <c r="V4032" s="1357">
        <v>44</v>
      </c>
    </row>
    <row r="4033" spans="1:22" s="841" customFormat="1" ht="36.75" x14ac:dyDescent="0.3">
      <c r="A4033" s="841" t="s">
        <v>180</v>
      </c>
      <c r="E4033" s="1374" t="s">
        <v>77</v>
      </c>
      <c r="F4033" s="657"/>
      <c r="G4033" s="657"/>
      <c r="H4033" s="731"/>
      <c r="K4033" s="841" t="s">
        <v>4365</v>
      </c>
      <c r="M4033" s="1357"/>
      <c r="Q4033" s="1357"/>
      <c r="S4033" s="1420"/>
      <c r="T4033" s="1420"/>
      <c r="V4033" s="1357">
        <v>38</v>
      </c>
    </row>
    <row r="4034" spans="1:22" s="841" customFormat="1" ht="15" x14ac:dyDescent="0.25">
      <c r="A4034" s="841" t="s">
        <v>180</v>
      </c>
      <c r="E4034" s="1926" t="s">
        <v>3061</v>
      </c>
      <c r="F4034" s="1689"/>
      <c r="G4034" s="1689"/>
      <c r="H4034" s="1689"/>
      <c r="K4034" s="841" t="s">
        <v>3266</v>
      </c>
      <c r="M4034" s="1357"/>
      <c r="Q4034" s="1357"/>
      <c r="S4034" s="1420"/>
      <c r="T4034" s="1420"/>
      <c r="V4034" s="1357">
        <v>11</v>
      </c>
    </row>
    <row r="4035" spans="1:22" s="841" customFormat="1" ht="15" x14ac:dyDescent="0.25">
      <c r="A4035" s="841" t="s">
        <v>180</v>
      </c>
      <c r="E4035" s="1689" t="s">
        <v>3063</v>
      </c>
      <c r="F4035" s="1689"/>
      <c r="G4035" s="1689"/>
      <c r="H4035" s="1689"/>
      <c r="M4035" s="1357"/>
      <c r="Q4035" s="1357"/>
      <c r="S4035" s="1420"/>
      <c r="T4035" s="1420"/>
      <c r="V4035" s="1357">
        <v>280</v>
      </c>
    </row>
    <row r="4036" spans="1:22" s="841" customFormat="1" ht="15" x14ac:dyDescent="0.25">
      <c r="A4036" s="841" t="s">
        <v>180</v>
      </c>
      <c r="E4036" s="1689" t="s">
        <v>3064</v>
      </c>
      <c r="F4036" s="1689"/>
      <c r="G4036" s="1689"/>
      <c r="H4036" s="1689"/>
      <c r="M4036" s="1357"/>
      <c r="Q4036" s="1357"/>
      <c r="S4036" s="1420"/>
      <c r="T4036" s="1420"/>
      <c r="V4036" s="1357">
        <v>411</v>
      </c>
    </row>
    <row r="4037" spans="1:22" s="841" customFormat="1" ht="15" x14ac:dyDescent="0.25">
      <c r="A4037" s="841" t="s">
        <v>180</v>
      </c>
      <c r="E4037" s="1689" t="s">
        <v>3129</v>
      </c>
      <c r="F4037" s="1689"/>
      <c r="G4037" s="1689"/>
      <c r="H4037" s="1689"/>
      <c r="M4037" s="1357"/>
      <c r="Q4037" s="1357"/>
      <c r="S4037" s="1420"/>
      <c r="T4037" s="1420"/>
      <c r="V4037" s="1357">
        <v>211</v>
      </c>
    </row>
    <row r="4038" spans="1:22" s="841" customFormat="1" ht="15" x14ac:dyDescent="0.25">
      <c r="A4038" s="841" t="s">
        <v>180</v>
      </c>
      <c r="E4038" s="1689" t="s">
        <v>3390</v>
      </c>
      <c r="F4038" s="1689"/>
      <c r="G4038" s="1689"/>
      <c r="H4038" s="1689"/>
      <c r="M4038" s="1357"/>
      <c r="Q4038" s="1357"/>
      <c r="S4038" s="1420"/>
      <c r="T4038" s="1420"/>
      <c r="V4038" s="1357">
        <v>274</v>
      </c>
    </row>
    <row r="4039" spans="1:22" s="841" customFormat="1" ht="15" x14ac:dyDescent="0.25">
      <c r="A4039" s="841" t="s">
        <v>180</v>
      </c>
      <c r="E4039" s="1690" t="s">
        <v>3559</v>
      </c>
      <c r="F4039" s="1690"/>
      <c r="G4039" s="1907"/>
      <c r="H4039" s="1907"/>
      <c r="M4039" s="1357"/>
      <c r="Q4039" s="1357"/>
      <c r="S4039" s="1420"/>
      <c r="T4039" s="1420"/>
      <c r="V4039" s="1357">
        <v>141</v>
      </c>
    </row>
    <row r="4040" spans="1:22" s="841" customFormat="1" ht="15" x14ac:dyDescent="0.25">
      <c r="A4040" s="841" t="s">
        <v>180</v>
      </c>
      <c r="E4040" s="1690" t="s">
        <v>3176</v>
      </c>
      <c r="F4040" s="1690"/>
      <c r="G4040" s="397" t="s">
        <v>23</v>
      </c>
      <c r="H4040" s="391">
        <v>100</v>
      </c>
      <c r="M4040" s="1357"/>
      <c r="Q4040" s="1357"/>
      <c r="S4040" s="1420"/>
      <c r="T4040" s="1420"/>
      <c r="V4040" s="1357">
        <v>106</v>
      </c>
    </row>
    <row r="4041" spans="1:22" s="841" customFormat="1" ht="15" x14ac:dyDescent="0.25">
      <c r="A4041" s="841" t="s">
        <v>180</v>
      </c>
      <c r="E4041" s="1690" t="s">
        <v>3177</v>
      </c>
      <c r="F4041" s="1690"/>
      <c r="G4041" s="397" t="s">
        <v>23</v>
      </c>
      <c r="H4041" s="391">
        <v>20</v>
      </c>
      <c r="M4041" s="1357"/>
      <c r="Q4041" s="1357"/>
      <c r="S4041" s="1420"/>
      <c r="T4041" s="1420"/>
      <c r="V4041" s="1357">
        <v>34</v>
      </c>
    </row>
    <row r="4042" spans="1:22" s="841" customFormat="1" ht="15" x14ac:dyDescent="0.25">
      <c r="A4042" s="841" t="s">
        <v>180</v>
      </c>
      <c r="E4042" s="1690" t="s">
        <v>3178</v>
      </c>
      <c r="F4042" s="1690"/>
      <c r="G4042" s="397" t="s">
        <v>23</v>
      </c>
      <c r="H4042" s="391">
        <v>0.5</v>
      </c>
      <c r="M4042" s="1357"/>
      <c r="Q4042" s="1357"/>
      <c r="S4042" s="1420"/>
      <c r="T4042" s="1420"/>
      <c r="V4042" s="1357">
        <v>51</v>
      </c>
    </row>
    <row r="4043" spans="1:22" s="841" customFormat="1" ht="15" x14ac:dyDescent="0.25">
      <c r="A4043" s="841" t="s">
        <v>180</v>
      </c>
      <c r="E4043" s="1690" t="s">
        <v>3180</v>
      </c>
      <c r="F4043" s="1690"/>
      <c r="G4043" s="397" t="s">
        <v>23</v>
      </c>
      <c r="H4043" s="391">
        <v>0.3</v>
      </c>
      <c r="M4043" s="1357"/>
      <c r="Q4043" s="1357"/>
      <c r="S4043" s="1420"/>
      <c r="T4043" s="1420"/>
      <c r="V4043" s="1357">
        <v>75</v>
      </c>
    </row>
    <row r="4044" spans="1:22" s="841" customFormat="1" ht="15" x14ac:dyDescent="0.25">
      <c r="A4044" s="841" t="s">
        <v>180</v>
      </c>
      <c r="E4044" s="1690" t="s">
        <v>3181</v>
      </c>
      <c r="F4044" s="1690"/>
      <c r="G4044" s="397" t="s">
        <v>23</v>
      </c>
      <c r="H4044" s="391">
        <v>-0.3</v>
      </c>
      <c r="M4044" s="1357"/>
      <c r="Q4044" s="1357"/>
      <c r="S4044" s="1420"/>
      <c r="T4044" s="1420"/>
      <c r="V4044" s="1357">
        <v>72</v>
      </c>
    </row>
    <row r="4045" spans="1:22" s="841" customFormat="1" ht="15" x14ac:dyDescent="0.25">
      <c r="A4045" s="841" t="s">
        <v>180</v>
      </c>
      <c r="E4045" s="1691" t="s">
        <v>3292</v>
      </c>
      <c r="F4045" s="1691"/>
      <c r="G4045" s="397"/>
      <c r="H4045" s="393"/>
      <c r="M4045" s="1357"/>
      <c r="Q4045" s="1357"/>
      <c r="S4045" s="1420"/>
      <c r="T4045" s="1420"/>
      <c r="V4045" s="1357">
        <v>34</v>
      </c>
    </row>
    <row r="4046" spans="1:22" s="841" customFormat="1" ht="15" x14ac:dyDescent="0.25">
      <c r="A4046" s="841" t="s">
        <v>180</v>
      </c>
      <c r="E4046" s="1691" t="s">
        <v>3183</v>
      </c>
      <c r="F4046" s="1691"/>
      <c r="G4046" s="397" t="s">
        <v>23</v>
      </c>
      <c r="H4046" s="391">
        <v>0.25</v>
      </c>
      <c r="M4046" s="1357"/>
      <c r="Q4046" s="1357"/>
      <c r="S4046" s="1420"/>
      <c r="T4046" s="1420"/>
      <c r="V4046" s="1357">
        <v>57</v>
      </c>
    </row>
    <row r="4047" spans="1:22" s="841" customFormat="1" ht="15" x14ac:dyDescent="0.25">
      <c r="A4047" s="841" t="s">
        <v>180</v>
      </c>
      <c r="E4047" s="1691" t="s">
        <v>3184</v>
      </c>
      <c r="F4047" s="1691"/>
      <c r="G4047" s="397" t="s">
        <v>23</v>
      </c>
      <c r="H4047" s="391">
        <v>0.5</v>
      </c>
      <c r="M4047" s="1357"/>
      <c r="Q4047" s="1357"/>
      <c r="S4047" s="1420"/>
      <c r="T4047" s="1420"/>
      <c r="V4047" s="1357">
        <v>60</v>
      </c>
    </row>
    <row r="4048" spans="1:22" s="841" customFormat="1" ht="15" x14ac:dyDescent="0.25">
      <c r="A4048" s="841" t="s">
        <v>180</v>
      </c>
      <c r="E4048" s="1690" t="s">
        <v>3185</v>
      </c>
      <c r="F4048" s="1690"/>
      <c r="G4048" s="397"/>
      <c r="H4048" s="393"/>
      <c r="M4048" s="1357"/>
      <c r="Q4048" s="1357"/>
      <c r="S4048" s="1420"/>
      <c r="T4048" s="1420"/>
      <c r="V4048" s="1357">
        <v>91</v>
      </c>
    </row>
    <row r="4049" spans="1:22" s="841" customFormat="1" ht="15" x14ac:dyDescent="0.25">
      <c r="A4049" s="841" t="s">
        <v>180</v>
      </c>
      <c r="E4049" s="1690" t="s">
        <v>3186</v>
      </c>
      <c r="F4049" s="1690"/>
      <c r="G4049" s="3"/>
      <c r="H4049" s="626"/>
      <c r="M4049" s="1357"/>
      <c r="Q4049" s="1357"/>
      <c r="S4049" s="1420"/>
      <c r="T4049" s="1420"/>
      <c r="V4049" s="1357">
        <v>96</v>
      </c>
    </row>
    <row r="4050" spans="1:22" s="841" customFormat="1" ht="15" x14ac:dyDescent="0.25">
      <c r="A4050" s="841" t="s">
        <v>180</v>
      </c>
      <c r="E4050" s="1691" t="s">
        <v>3293</v>
      </c>
      <c r="F4050" s="1691"/>
      <c r="G4050" s="3"/>
      <c r="H4050" s="626"/>
      <c r="M4050" s="1357"/>
      <c r="Q4050" s="1357"/>
      <c r="S4050" s="1420"/>
      <c r="T4050" s="1420"/>
      <c r="V4050" s="1357">
        <v>77</v>
      </c>
    </row>
    <row r="4051" spans="1:22" s="841" customFormat="1" ht="15" x14ac:dyDescent="0.25">
      <c r="A4051" s="841" t="s">
        <v>180</v>
      </c>
      <c r="E4051" s="1691" t="s">
        <v>3188</v>
      </c>
      <c r="F4051" s="1691"/>
      <c r="G4051" s="397" t="s">
        <v>23</v>
      </c>
      <c r="H4051" s="391" t="s">
        <v>3189</v>
      </c>
      <c r="M4051" s="1357"/>
      <c r="Q4051" s="1357"/>
      <c r="S4051" s="1420"/>
      <c r="T4051" s="1420"/>
      <c r="V4051" s="1357">
        <v>18</v>
      </c>
    </row>
    <row r="4052" spans="1:22" s="841" customFormat="1" ht="15" x14ac:dyDescent="0.25">
      <c r="A4052" s="841" t="s">
        <v>180</v>
      </c>
      <c r="E4052" s="1691" t="s">
        <v>3190</v>
      </c>
      <c r="F4052" s="1691"/>
      <c r="G4052" s="397" t="s">
        <v>23</v>
      </c>
      <c r="H4052" s="391">
        <v>2</v>
      </c>
      <c r="M4052" s="1357"/>
      <c r="Q4052" s="1357"/>
      <c r="S4052" s="1420"/>
      <c r="T4052" s="1420"/>
      <c r="V4052" s="1357">
        <v>69</v>
      </c>
    </row>
    <row r="4053" spans="1:22" s="841" customFormat="1" ht="18.75" x14ac:dyDescent="0.3">
      <c r="A4053" s="841" t="s">
        <v>180</v>
      </c>
      <c r="E4053" s="1374" t="s">
        <v>147</v>
      </c>
      <c r="F4053" s="657"/>
      <c r="G4053" s="657"/>
      <c r="H4053" s="658"/>
      <c r="K4053" s="841" t="s">
        <v>4366</v>
      </c>
      <c r="M4053" s="1357"/>
      <c r="Q4053" s="1357"/>
      <c r="S4053" s="1420"/>
      <c r="T4053" s="1420"/>
      <c r="V4053" s="1357">
        <v>12</v>
      </c>
    </row>
    <row r="4054" spans="1:22" s="841" customFormat="1" ht="15" x14ac:dyDescent="0.25">
      <c r="A4054" s="841" t="s">
        <v>180</v>
      </c>
      <c r="E4054" s="1704" t="s">
        <v>3192</v>
      </c>
      <c r="F4054" s="1948"/>
      <c r="G4054" s="1948"/>
      <c r="H4054" s="1948"/>
      <c r="M4054" s="1357"/>
      <c r="Q4054" s="1357"/>
      <c r="S4054" s="1420"/>
      <c r="T4054" s="1420"/>
      <c r="V4054" s="1357">
        <v>203</v>
      </c>
    </row>
    <row r="4055" spans="1:22" s="841" customFormat="1" ht="15" x14ac:dyDescent="0.25">
      <c r="A4055" s="841" t="s">
        <v>180</v>
      </c>
      <c r="E4055" s="1690" t="s">
        <v>3295</v>
      </c>
      <c r="F4055" s="1690"/>
      <c r="G4055" s="1408"/>
      <c r="H4055" s="1413">
        <v>1.0290999999999999</v>
      </c>
      <c r="M4055" s="1357"/>
      <c r="Q4055" s="1357"/>
      <c r="S4055" s="1420"/>
      <c r="T4055" s="1420"/>
      <c r="V4055" s="1357">
        <v>57</v>
      </c>
    </row>
    <row r="4056" spans="1:22" s="841" customFormat="1" ht="15" x14ac:dyDescent="0.25">
      <c r="A4056" s="841" t="s">
        <v>180</v>
      </c>
      <c r="E4056" s="1690" t="s">
        <v>3296</v>
      </c>
      <c r="F4056" s="1690"/>
      <c r="G4056" s="1408"/>
      <c r="H4056" s="1413">
        <v>1.0176000000000001</v>
      </c>
      <c r="M4056" s="1357"/>
      <c r="Q4056" s="1357"/>
      <c r="S4056" s="1420"/>
      <c r="T4056" s="1420"/>
      <c r="V4056" s="1357">
        <v>57</v>
      </c>
    </row>
    <row r="4057" spans="1:22" s="841" customFormat="1" ht="15" x14ac:dyDescent="0.25">
      <c r="A4057" s="841" t="s">
        <v>180</v>
      </c>
      <c r="E4057" s="1690" t="s">
        <v>3297</v>
      </c>
      <c r="F4057" s="1690"/>
      <c r="G4057" s="1408"/>
      <c r="H4057" s="1413">
        <v>1.0187999999999999</v>
      </c>
      <c r="M4057" s="1357"/>
      <c r="Q4057" s="1357"/>
      <c r="S4057" s="1420"/>
      <c r="T4057" s="1420"/>
      <c r="V4057" s="1357">
        <v>55</v>
      </c>
    </row>
    <row r="4058" spans="1:22" s="841" customFormat="1" ht="15" x14ac:dyDescent="0.25">
      <c r="A4058" s="841" t="s">
        <v>180</v>
      </c>
      <c r="E4058" s="1690" t="s">
        <v>3298</v>
      </c>
      <c r="F4058" s="1690"/>
      <c r="G4058" s="1408"/>
      <c r="H4058" s="1413">
        <v>1.0075000000000001</v>
      </c>
      <c r="J4058" s="841" t="s">
        <v>4367</v>
      </c>
      <c r="M4058" s="1357"/>
      <c r="Q4058" s="1357"/>
      <c r="S4058" s="1420"/>
      <c r="T4058" s="1420"/>
      <c r="V4058" s="1357">
        <v>55</v>
      </c>
    </row>
    <row r="4059" spans="1:22" s="841" customFormat="1" ht="23.25" x14ac:dyDescent="0.25">
      <c r="A4059" s="841" t="s">
        <v>181</v>
      </c>
      <c r="C4059" s="841" t="s">
        <v>3050</v>
      </c>
      <c r="E4059" s="1911" t="s">
        <v>181</v>
      </c>
      <c r="F4059" s="1911"/>
      <c r="G4059" s="1911"/>
      <c r="H4059" s="1911"/>
      <c r="I4059" s="841" t="s">
        <v>628</v>
      </c>
      <c r="J4059" s="841" t="s">
        <v>3790</v>
      </c>
      <c r="K4059" s="841" t="s">
        <v>181</v>
      </c>
      <c r="M4059" s="1357">
        <v>6</v>
      </c>
      <c r="Q4059" s="1357"/>
      <c r="S4059" s="1420"/>
      <c r="T4059" s="1420"/>
      <c r="V4059" s="1357">
        <v>30</v>
      </c>
    </row>
    <row r="4060" spans="1:22" s="841" customFormat="1" x14ac:dyDescent="0.25">
      <c r="A4060" s="841" t="s">
        <v>181</v>
      </c>
      <c r="C4060" s="841" t="s">
        <v>3052</v>
      </c>
      <c r="E4060" s="1912" t="s">
        <v>3053</v>
      </c>
      <c r="F4060" s="1912"/>
      <c r="G4060" s="1912"/>
      <c r="H4060" s="1912"/>
      <c r="M4060" s="1357"/>
      <c r="Q4060" s="1357"/>
      <c r="S4060" s="1420"/>
      <c r="T4060" s="1420"/>
      <c r="V4060" s="1357">
        <v>27</v>
      </c>
    </row>
    <row r="4061" spans="1:22" s="841" customFormat="1" ht="15.75" x14ac:dyDescent="0.25">
      <c r="A4061" s="841" t="s">
        <v>181</v>
      </c>
      <c r="C4061" s="841" t="s">
        <v>3054</v>
      </c>
      <c r="E4061" s="1913" t="s">
        <v>5107</v>
      </c>
      <c r="F4061" s="1913"/>
      <c r="G4061" s="1913"/>
      <c r="H4061" s="1913"/>
      <c r="M4061" s="1357"/>
      <c r="Q4061" s="1357"/>
      <c r="S4061" s="1420">
        <v>43221</v>
      </c>
      <c r="T4061" s="1420"/>
      <c r="V4061" s="1357">
        <v>45</v>
      </c>
    </row>
    <row r="4062" spans="1:22" s="841" customFormat="1" ht="15" x14ac:dyDescent="0.25">
      <c r="A4062" s="841" t="s">
        <v>181</v>
      </c>
      <c r="C4062" s="841" t="s">
        <v>3055</v>
      </c>
      <c r="E4062" s="1914" t="s">
        <v>3056</v>
      </c>
      <c r="F4062" s="1914"/>
      <c r="G4062" s="1914"/>
      <c r="H4062" s="1914"/>
      <c r="M4062" s="1357"/>
      <c r="Q4062" s="1357"/>
      <c r="S4062" s="1420"/>
      <c r="T4062" s="1420"/>
      <c r="V4062" s="1357">
        <v>52</v>
      </c>
    </row>
    <row r="4063" spans="1:22" s="841" customFormat="1" ht="15" x14ac:dyDescent="0.25">
      <c r="A4063" s="841" t="s">
        <v>181</v>
      </c>
      <c r="E4063" s="1914" t="s">
        <v>3057</v>
      </c>
      <c r="F4063" s="1914"/>
      <c r="G4063" s="1914"/>
      <c r="H4063" s="1914"/>
      <c r="M4063" s="1357"/>
      <c r="Q4063" s="1357"/>
      <c r="S4063" s="1420"/>
      <c r="T4063" s="1420"/>
      <c r="V4063" s="1357">
        <v>53</v>
      </c>
    </row>
    <row r="4064" spans="1:22" s="841" customFormat="1" ht="15" x14ac:dyDescent="0.25">
      <c r="A4064" s="841" t="s">
        <v>181</v>
      </c>
      <c r="E4064" s="1925" t="s">
        <v>5455</v>
      </c>
      <c r="F4064" s="1925"/>
      <c r="G4064" s="1925"/>
      <c r="H4064" s="1925"/>
      <c r="K4064" s="841" t="s">
        <v>5455</v>
      </c>
      <c r="M4064" s="1357"/>
      <c r="Q4064" s="1357"/>
      <c r="S4064" s="1420"/>
      <c r="T4064" s="1420"/>
      <c r="V4064" s="1357">
        <v>12</v>
      </c>
    </row>
    <row r="4065" spans="1:22" s="841" customFormat="1" ht="15" x14ac:dyDescent="0.25">
      <c r="A4065" s="841" t="s">
        <v>181</v>
      </c>
      <c r="E4065" s="1909" t="s">
        <v>438</v>
      </c>
      <c r="F4065" s="1697"/>
      <c r="G4065" s="1697"/>
      <c r="H4065" s="1697"/>
      <c r="K4065" s="841" t="s">
        <v>3197</v>
      </c>
      <c r="M4065" s="1357"/>
      <c r="Q4065" s="1357"/>
      <c r="S4065" s="1420"/>
      <c r="T4065" s="1420"/>
      <c r="V4065" s="1357">
        <v>34</v>
      </c>
    </row>
    <row r="4066" spans="1:22" s="841" customFormat="1" ht="15" x14ac:dyDescent="0.25">
      <c r="A4066" s="841" t="s">
        <v>181</v>
      </c>
      <c r="E4066" s="1689" t="s">
        <v>3791</v>
      </c>
      <c r="F4066" s="1689"/>
      <c r="G4066" s="1689"/>
      <c r="H4066" s="1689"/>
      <c r="K4066" s="841" t="s">
        <v>3197</v>
      </c>
      <c r="M4066" s="1357"/>
      <c r="Q4066" s="1357"/>
      <c r="S4066" s="1420"/>
      <c r="T4066" s="1420"/>
      <c r="V4066" s="1357">
        <v>470</v>
      </c>
    </row>
    <row r="4067" spans="1:22" s="841" customFormat="1" ht="15" x14ac:dyDescent="0.25">
      <c r="A4067" s="841" t="s">
        <v>181</v>
      </c>
      <c r="E4067" s="1916" t="s">
        <v>3061</v>
      </c>
      <c r="F4067" s="1697"/>
      <c r="G4067" s="1697"/>
      <c r="H4067" s="1697"/>
      <c r="K4067" s="841" t="s">
        <v>3062</v>
      </c>
      <c r="M4067" s="1357"/>
      <c r="Q4067" s="1357"/>
      <c r="S4067" s="1420"/>
      <c r="T4067" s="1420"/>
      <c r="V4067" s="1357">
        <v>11</v>
      </c>
    </row>
    <row r="4068" spans="1:22" s="841" customFormat="1" ht="15" x14ac:dyDescent="0.25">
      <c r="A4068" s="841" t="s">
        <v>181</v>
      </c>
      <c r="E4068" s="1689" t="s">
        <v>3493</v>
      </c>
      <c r="F4068" s="1689"/>
      <c r="G4068" s="1689"/>
      <c r="H4068" s="1689"/>
      <c r="K4068" s="841" t="s">
        <v>3197</v>
      </c>
      <c r="M4068" s="1357"/>
      <c r="Q4068" s="1357"/>
      <c r="S4068" s="1420"/>
      <c r="T4068" s="1420"/>
      <c r="V4068" s="1357">
        <v>272</v>
      </c>
    </row>
    <row r="4069" spans="1:22" s="841" customFormat="1" ht="15" x14ac:dyDescent="0.25">
      <c r="A4069" s="841" t="s">
        <v>181</v>
      </c>
      <c r="E4069" s="1689" t="s">
        <v>3494</v>
      </c>
      <c r="F4069" s="1689"/>
      <c r="G4069" s="1689"/>
      <c r="H4069" s="1689"/>
      <c r="K4069" s="841" t="s">
        <v>3197</v>
      </c>
      <c r="M4069" s="1357"/>
      <c r="Q4069" s="1357"/>
      <c r="S4069" s="1420"/>
      <c r="T4069" s="1420"/>
      <c r="V4069" s="1357">
        <v>403</v>
      </c>
    </row>
    <row r="4070" spans="1:22" s="841" customFormat="1" ht="15" x14ac:dyDescent="0.25">
      <c r="A4070" s="841" t="s">
        <v>181</v>
      </c>
      <c r="E4070" s="1689" t="s">
        <v>3792</v>
      </c>
      <c r="F4070" s="1689"/>
      <c r="G4070" s="1689"/>
      <c r="H4070" s="1689"/>
      <c r="K4070" s="841" t="s">
        <v>3197</v>
      </c>
      <c r="M4070" s="1357"/>
      <c r="Q4070" s="1357"/>
      <c r="S4070" s="1420"/>
      <c r="T4070" s="1420"/>
      <c r="V4070" s="1357">
        <v>380</v>
      </c>
    </row>
    <row r="4071" spans="1:22" s="841" customFormat="1" ht="15" x14ac:dyDescent="0.25">
      <c r="A4071" s="841" t="s">
        <v>181</v>
      </c>
      <c r="E4071" s="1689" t="s">
        <v>3200</v>
      </c>
      <c r="F4071" s="1689"/>
      <c r="G4071" s="1689"/>
      <c r="H4071" s="1689"/>
      <c r="K4071" s="841" t="s">
        <v>3197</v>
      </c>
      <c r="M4071" s="1357"/>
      <c r="Q4071" s="1357"/>
      <c r="S4071" s="1420"/>
      <c r="T4071" s="1420"/>
      <c r="V4071" s="1357">
        <v>275</v>
      </c>
    </row>
    <row r="4072" spans="1:22" s="841" customFormat="1" ht="15" x14ac:dyDescent="0.25">
      <c r="A4072" s="841" t="s">
        <v>181</v>
      </c>
      <c r="E4072" s="1694" t="s">
        <v>3067</v>
      </c>
      <c r="F4072" s="1907"/>
      <c r="G4072" s="1907"/>
      <c r="H4072" s="1907"/>
      <c r="K4072" s="841" t="s">
        <v>3068</v>
      </c>
      <c r="M4072" s="1357"/>
      <c r="Q4072" s="1357"/>
      <c r="S4072" s="1420"/>
      <c r="T4072" s="1420"/>
      <c r="V4072" s="1357">
        <v>46</v>
      </c>
    </row>
    <row r="4073" spans="1:22" s="841" customFormat="1" ht="15" x14ac:dyDescent="0.25">
      <c r="A4073" s="841" t="s">
        <v>181</v>
      </c>
      <c r="E4073" s="1690" t="s">
        <v>11</v>
      </c>
      <c r="F4073" s="1690"/>
      <c r="G4073" s="1408" t="s">
        <v>23</v>
      </c>
      <c r="H4073" s="391">
        <v>30.09</v>
      </c>
      <c r="K4073" s="841" t="s">
        <v>3197</v>
      </c>
      <c r="L4073" s="841" t="s">
        <v>442</v>
      </c>
      <c r="M4073" s="1357"/>
      <c r="P4073" s="841" t="s">
        <v>3201</v>
      </c>
      <c r="Q4073" s="1357"/>
      <c r="S4073" s="1420"/>
      <c r="T4073" s="1420"/>
      <c r="V4073" s="1357">
        <v>14</v>
      </c>
    </row>
    <row r="4074" spans="1:22" s="841" customFormat="1" ht="15" x14ac:dyDescent="0.25">
      <c r="A4074" s="841" t="s">
        <v>181</v>
      </c>
      <c r="E4074" s="1690" t="s">
        <v>5109</v>
      </c>
      <c r="F4074" s="1690"/>
      <c r="G4074" s="1408" t="s">
        <v>23</v>
      </c>
      <c r="H4074" s="391">
        <v>0.56999999999999995</v>
      </c>
      <c r="K4074" s="841" t="s">
        <v>3197</v>
      </c>
      <c r="L4074" s="841" t="s">
        <v>443</v>
      </c>
      <c r="M4074" s="1357"/>
      <c r="P4074" s="841" t="s">
        <v>3202</v>
      </c>
      <c r="Q4074" s="1357"/>
      <c r="S4074" s="1420"/>
      <c r="T4074" s="1420">
        <v>44926</v>
      </c>
      <c r="V4074" s="1357">
        <v>64</v>
      </c>
    </row>
    <row r="4075" spans="1:22" s="841" customFormat="1" ht="15" x14ac:dyDescent="0.25">
      <c r="A4075" s="841" t="s">
        <v>181</v>
      </c>
      <c r="E4075" s="1690" t="s">
        <v>84</v>
      </c>
      <c r="F4075" s="1690"/>
      <c r="G4075" s="1408" t="s">
        <v>24</v>
      </c>
      <c r="H4075" s="393">
        <v>3.5999999999999999E-3</v>
      </c>
      <c r="K4075" s="841" t="s">
        <v>3197</v>
      </c>
      <c r="L4075" s="841" t="s">
        <v>442</v>
      </c>
      <c r="M4075" s="1357"/>
      <c r="P4075" s="841" t="s">
        <v>3203</v>
      </c>
      <c r="Q4075" s="1357"/>
      <c r="S4075" s="1420"/>
      <c r="T4075" s="1420"/>
      <c r="V4075" s="1357">
        <v>28</v>
      </c>
    </row>
    <row r="4076" spans="1:22" s="841" customFormat="1" ht="15" x14ac:dyDescent="0.25">
      <c r="A4076" s="841" t="s">
        <v>181</v>
      </c>
      <c r="E4076" s="1690" t="s">
        <v>5129</v>
      </c>
      <c r="F4076" s="1908"/>
      <c r="G4076" s="1408" t="s">
        <v>24</v>
      </c>
      <c r="H4076" s="393">
        <v>1E-4</v>
      </c>
      <c r="K4076" s="841" t="s">
        <v>3197</v>
      </c>
      <c r="L4076" s="841" t="s">
        <v>443</v>
      </c>
      <c r="M4076" s="1357"/>
      <c r="P4076" s="841" t="s">
        <v>3205</v>
      </c>
      <c r="Q4076" s="1357"/>
      <c r="S4076" s="1420"/>
      <c r="T4076" s="1420">
        <v>43585</v>
      </c>
      <c r="V4076" s="1357">
        <v>139</v>
      </c>
    </row>
    <row r="4077" spans="1:22" s="841" customFormat="1" ht="15" x14ac:dyDescent="0.25">
      <c r="A4077" s="841" t="s">
        <v>181</v>
      </c>
      <c r="E4077" s="1690" t="s">
        <v>5130</v>
      </c>
      <c r="F4077" s="1908"/>
      <c r="G4077" s="1408" t="s">
        <v>24</v>
      </c>
      <c r="H4077" s="393">
        <v>-1.1999999999999999E-3</v>
      </c>
      <c r="K4077" s="841" t="s">
        <v>3197</v>
      </c>
      <c r="L4077" s="841" t="s">
        <v>443</v>
      </c>
      <c r="M4077" s="1357"/>
      <c r="P4077" s="841" t="s">
        <v>3207</v>
      </c>
      <c r="Q4077" s="1357"/>
      <c r="S4077" s="1420"/>
      <c r="T4077" s="1420">
        <v>43585</v>
      </c>
      <c r="V4077" s="1357">
        <v>96</v>
      </c>
    </row>
    <row r="4078" spans="1:22" s="841" customFormat="1" ht="15" x14ac:dyDescent="0.25">
      <c r="A4078" s="841" t="s">
        <v>181</v>
      </c>
      <c r="E4078" s="1690" t="s">
        <v>3793</v>
      </c>
      <c r="F4078" s="1690"/>
      <c r="G4078" s="1408" t="s">
        <v>24</v>
      </c>
      <c r="H4078" s="393">
        <v>-4.0000000000000002E-4</v>
      </c>
      <c r="K4078" s="841" t="s">
        <v>3197</v>
      </c>
      <c r="L4078" s="841" t="s">
        <v>442</v>
      </c>
      <c r="M4078" s="1357"/>
      <c r="P4078" s="841" t="s">
        <v>6224</v>
      </c>
      <c r="Q4078" s="1357"/>
      <c r="S4078" s="1420"/>
      <c r="T4078" s="1420">
        <v>43708</v>
      </c>
      <c r="V4078" s="1357">
        <v>76</v>
      </c>
    </row>
    <row r="4079" spans="1:22" s="841" customFormat="1" ht="15" x14ac:dyDescent="0.25">
      <c r="A4079" s="841" t="s">
        <v>181</v>
      </c>
      <c r="E4079" s="1690" t="s">
        <v>221</v>
      </c>
      <c r="F4079" s="1690"/>
      <c r="G4079" s="1408" t="s">
        <v>24</v>
      </c>
      <c r="H4079" s="393">
        <v>6.7000000000000002E-3</v>
      </c>
      <c r="K4079" s="841" t="s">
        <v>3197</v>
      </c>
      <c r="L4079" s="841" t="s">
        <v>444</v>
      </c>
      <c r="M4079" s="1357"/>
      <c r="P4079" s="841" t="s">
        <v>3208</v>
      </c>
      <c r="Q4079" s="1357"/>
      <c r="S4079" s="1420"/>
      <c r="T4079" s="1420"/>
      <c r="V4079" s="1357">
        <v>47</v>
      </c>
    </row>
    <row r="4080" spans="1:22" s="841" customFormat="1" ht="15" x14ac:dyDescent="0.25">
      <c r="A4080" s="841" t="s">
        <v>181</v>
      </c>
      <c r="E4080" s="1690" t="s">
        <v>217</v>
      </c>
      <c r="F4080" s="1690"/>
      <c r="G4080" s="1408" t="s">
        <v>24</v>
      </c>
      <c r="H4080" s="393">
        <v>2E-3</v>
      </c>
      <c r="K4080" s="841" t="s">
        <v>3197</v>
      </c>
      <c r="L4080" s="841" t="s">
        <v>444</v>
      </c>
      <c r="M4080" s="1357"/>
      <c r="P4080" s="841" t="s">
        <v>3209</v>
      </c>
      <c r="Q4080" s="1357"/>
      <c r="S4080" s="1420"/>
      <c r="T4080" s="1420"/>
      <c r="V4080" s="1357">
        <v>74</v>
      </c>
    </row>
    <row r="4081" spans="1:22" s="841" customFormat="1" ht="15" x14ac:dyDescent="0.25">
      <c r="A4081" s="841" t="s">
        <v>181</v>
      </c>
      <c r="E4081" s="1694" t="s">
        <v>3079</v>
      </c>
      <c r="F4081" s="1690"/>
      <c r="G4081" s="1408"/>
      <c r="H4081" s="1408"/>
      <c r="K4081" s="841" t="s">
        <v>3080</v>
      </c>
      <c r="M4081" s="1357"/>
      <c r="Q4081" s="1357"/>
      <c r="S4081" s="1420"/>
      <c r="T4081" s="1420"/>
      <c r="V4081" s="1357">
        <v>48</v>
      </c>
    </row>
    <row r="4082" spans="1:22" s="841" customFormat="1" ht="15" x14ac:dyDescent="0.25">
      <c r="A4082" s="841" t="s">
        <v>181</v>
      </c>
      <c r="E4082" s="1690" t="s">
        <v>2449</v>
      </c>
      <c r="F4082" s="1690"/>
      <c r="G4082" s="1408" t="s">
        <v>24</v>
      </c>
      <c r="H4082" s="393">
        <v>3.2000000000000002E-3</v>
      </c>
      <c r="K4082" s="841" t="s">
        <v>3197</v>
      </c>
      <c r="L4082" s="841" t="s">
        <v>3046</v>
      </c>
      <c r="M4082" s="1357"/>
      <c r="P4082" s="841" t="s">
        <v>3210</v>
      </c>
      <c r="Q4082" s="1357"/>
      <c r="S4082" s="1420"/>
      <c r="T4082" s="1420"/>
      <c r="V4082" s="1357">
        <v>55</v>
      </c>
    </row>
    <row r="4083" spans="1:22" s="841" customFormat="1" ht="15" x14ac:dyDescent="0.25">
      <c r="A4083" s="841" t="s">
        <v>181</v>
      </c>
      <c r="E4083" s="1690" t="s">
        <v>2450</v>
      </c>
      <c r="F4083" s="1690"/>
      <c r="G4083" s="1408" t="s">
        <v>24</v>
      </c>
      <c r="H4083" s="393">
        <v>4.0000000000000002E-4</v>
      </c>
      <c r="K4083" s="841" t="s">
        <v>3197</v>
      </c>
      <c r="L4083" s="841" t="s">
        <v>3046</v>
      </c>
      <c r="M4083" s="1357"/>
      <c r="P4083" s="841" t="s">
        <v>3210</v>
      </c>
      <c r="Q4083" s="1357"/>
      <c r="S4083" s="1420"/>
      <c r="T4083" s="1420"/>
      <c r="V4083" s="1357">
        <v>65</v>
      </c>
    </row>
    <row r="4084" spans="1:22" s="841" customFormat="1" ht="15" x14ac:dyDescent="0.25">
      <c r="A4084" s="841" t="s">
        <v>181</v>
      </c>
      <c r="E4084" s="1690" t="s">
        <v>439</v>
      </c>
      <c r="F4084" s="1690"/>
      <c r="G4084" s="1408" t="s">
        <v>24</v>
      </c>
      <c r="H4084" s="393">
        <v>2.9999999999999997E-4</v>
      </c>
      <c r="K4084" s="841" t="s">
        <v>3197</v>
      </c>
      <c r="L4084" s="841" t="s">
        <v>3046</v>
      </c>
      <c r="M4084" s="1357"/>
      <c r="P4084" s="841" t="s">
        <v>3212</v>
      </c>
      <c r="Q4084" s="1357"/>
      <c r="S4084" s="1420"/>
      <c r="T4084" s="1420"/>
      <c r="V4084" s="1357">
        <v>57</v>
      </c>
    </row>
    <row r="4085" spans="1:22" s="841" customFormat="1" ht="15" x14ac:dyDescent="0.25">
      <c r="A4085" s="841" t="s">
        <v>181</v>
      </c>
      <c r="E4085" s="1690" t="s">
        <v>32</v>
      </c>
      <c r="F4085" s="1690"/>
      <c r="G4085" s="1408" t="s">
        <v>23</v>
      </c>
      <c r="H4085" s="391">
        <v>0.25</v>
      </c>
      <c r="K4085" s="841" t="s">
        <v>3197</v>
      </c>
      <c r="L4085" s="841" t="s">
        <v>3046</v>
      </c>
      <c r="M4085" s="1357"/>
      <c r="P4085" s="841" t="s">
        <v>3213</v>
      </c>
      <c r="Q4085" s="1357"/>
      <c r="S4085" s="1420"/>
      <c r="T4085" s="1420"/>
      <c r="V4085" s="1357">
        <v>63</v>
      </c>
    </row>
    <row r="4086" spans="1:22" s="841" customFormat="1" x14ac:dyDescent="0.25">
      <c r="A4086" s="841" t="s">
        <v>181</v>
      </c>
      <c r="E4086" s="1909" t="s">
        <v>3214</v>
      </c>
      <c r="F4086" s="1915"/>
      <c r="G4086" s="1915"/>
      <c r="H4086" s="1915"/>
      <c r="K4086" s="841" t="s">
        <v>5110</v>
      </c>
      <c r="M4086" s="1357"/>
      <c r="Q4086" s="1357"/>
      <c r="S4086" s="1420"/>
      <c r="T4086" s="1420"/>
      <c r="V4086" s="1357">
        <v>54</v>
      </c>
    </row>
    <row r="4087" spans="1:22" s="841" customFormat="1" ht="15" x14ac:dyDescent="0.25">
      <c r="A4087" s="841" t="s">
        <v>181</v>
      </c>
      <c r="E4087" s="1689" t="s">
        <v>3794</v>
      </c>
      <c r="F4087" s="1689"/>
      <c r="G4087" s="1689"/>
      <c r="H4087" s="1689"/>
      <c r="K4087" s="841" t="s">
        <v>5110</v>
      </c>
      <c r="M4087" s="1357"/>
      <c r="Q4087" s="1357"/>
      <c r="S4087" s="1420"/>
      <c r="T4087" s="1420"/>
      <c r="V4087" s="1357">
        <v>418</v>
      </c>
    </row>
    <row r="4088" spans="1:22" s="841" customFormat="1" ht="15" x14ac:dyDescent="0.25">
      <c r="A4088" s="841" t="s">
        <v>181</v>
      </c>
      <c r="E4088" s="1916" t="s">
        <v>3061</v>
      </c>
      <c r="F4088" s="1697"/>
      <c r="G4088" s="1697"/>
      <c r="H4088" s="1697"/>
      <c r="K4088" s="841" t="s">
        <v>3086</v>
      </c>
      <c r="M4088" s="1357"/>
      <c r="Q4088" s="1357"/>
      <c r="S4088" s="1420"/>
      <c r="T4088" s="1420"/>
      <c r="V4088" s="1357">
        <v>11</v>
      </c>
    </row>
    <row r="4089" spans="1:22" s="841" customFormat="1" ht="15" x14ac:dyDescent="0.25">
      <c r="A4089" s="841" t="s">
        <v>181</v>
      </c>
      <c r="E4089" s="1689" t="s">
        <v>3493</v>
      </c>
      <c r="F4089" s="1689"/>
      <c r="G4089" s="1689"/>
      <c r="H4089" s="1689"/>
      <c r="K4089" s="841" t="s">
        <v>5110</v>
      </c>
      <c r="M4089" s="1357"/>
      <c r="Q4089" s="1357"/>
      <c r="S4089" s="1420"/>
      <c r="T4089" s="1420"/>
      <c r="V4089" s="1357">
        <v>272</v>
      </c>
    </row>
    <row r="4090" spans="1:22" s="841" customFormat="1" ht="15" x14ac:dyDescent="0.25">
      <c r="A4090" s="841" t="s">
        <v>181</v>
      </c>
      <c r="E4090" s="1689" t="s">
        <v>3494</v>
      </c>
      <c r="F4090" s="1689"/>
      <c r="G4090" s="1689"/>
      <c r="H4090" s="1689"/>
      <c r="K4090" s="841" t="s">
        <v>5110</v>
      </c>
      <c r="M4090" s="1357"/>
      <c r="Q4090" s="1357"/>
      <c r="S4090" s="1420"/>
      <c r="T4090" s="1420"/>
      <c r="V4090" s="1357">
        <v>403</v>
      </c>
    </row>
    <row r="4091" spans="1:22" s="841" customFormat="1" ht="15" x14ac:dyDescent="0.25">
      <c r="A4091" s="841" t="s">
        <v>181</v>
      </c>
      <c r="E4091" s="1689" t="s">
        <v>3792</v>
      </c>
      <c r="F4091" s="1689"/>
      <c r="G4091" s="1689"/>
      <c r="H4091" s="1689"/>
      <c r="K4091" s="841" t="s">
        <v>5110</v>
      </c>
      <c r="M4091" s="1357"/>
      <c r="Q4091" s="1357"/>
      <c r="S4091" s="1420"/>
      <c r="T4091" s="1420"/>
      <c r="V4091" s="1357">
        <v>380</v>
      </c>
    </row>
    <row r="4092" spans="1:22" s="841" customFormat="1" ht="15" x14ac:dyDescent="0.25">
      <c r="A4092" s="841" t="s">
        <v>181</v>
      </c>
      <c r="E4092" s="1689" t="s">
        <v>3200</v>
      </c>
      <c r="F4092" s="1689"/>
      <c r="G4092" s="1689"/>
      <c r="H4092" s="1689"/>
      <c r="K4092" s="841" t="s">
        <v>5110</v>
      </c>
      <c r="M4092" s="1357"/>
      <c r="Q4092" s="1357"/>
      <c r="S4092" s="1420"/>
      <c r="T4092" s="1420"/>
      <c r="V4092" s="1357">
        <v>275</v>
      </c>
    </row>
    <row r="4093" spans="1:22" s="841" customFormat="1" ht="15" x14ac:dyDescent="0.25">
      <c r="A4093" s="841" t="s">
        <v>181</v>
      </c>
      <c r="E4093" s="1694" t="s">
        <v>3067</v>
      </c>
      <c r="F4093" s="1907"/>
      <c r="G4093" s="1907"/>
      <c r="H4093" s="1907"/>
      <c r="K4093" s="841" t="s">
        <v>3087</v>
      </c>
      <c r="M4093" s="1357"/>
      <c r="Q4093" s="1357"/>
      <c r="S4093" s="1420"/>
      <c r="T4093" s="1420"/>
      <c r="V4093" s="1357">
        <v>46</v>
      </c>
    </row>
    <row r="4094" spans="1:22" s="841" customFormat="1" ht="15" x14ac:dyDescent="0.25">
      <c r="A4094" s="841" t="s">
        <v>181</v>
      </c>
      <c r="E4094" s="1690" t="s">
        <v>11</v>
      </c>
      <c r="F4094" s="1690"/>
      <c r="G4094" s="1408" t="s">
        <v>23</v>
      </c>
      <c r="H4094" s="391">
        <v>45.59</v>
      </c>
      <c r="K4094" s="841" t="s">
        <v>5110</v>
      </c>
      <c r="L4094" s="841" t="s">
        <v>442</v>
      </c>
      <c r="M4094" s="1357"/>
      <c r="P4094" s="841" t="s">
        <v>5111</v>
      </c>
      <c r="Q4094" s="1357"/>
      <c r="S4094" s="1420"/>
      <c r="T4094" s="1420"/>
      <c r="V4094" s="1357">
        <v>14</v>
      </c>
    </row>
    <row r="4095" spans="1:22" s="841" customFormat="1" ht="15" x14ac:dyDescent="0.25">
      <c r="A4095" s="841" t="s">
        <v>181</v>
      </c>
      <c r="E4095" s="1690" t="s">
        <v>5109</v>
      </c>
      <c r="F4095" s="1690"/>
      <c r="G4095" s="1408" t="s">
        <v>23</v>
      </c>
      <c r="H4095" s="391">
        <v>0.56999999999999995</v>
      </c>
      <c r="K4095" s="841" t="s">
        <v>5110</v>
      </c>
      <c r="L4095" s="841" t="s">
        <v>443</v>
      </c>
      <c r="M4095" s="1357"/>
      <c r="P4095" s="841" t="s">
        <v>5112</v>
      </c>
      <c r="Q4095" s="1357"/>
      <c r="S4095" s="1420"/>
      <c r="T4095" s="1420">
        <v>44926</v>
      </c>
      <c r="V4095" s="1357">
        <v>64</v>
      </c>
    </row>
    <row r="4096" spans="1:22" s="841" customFormat="1" ht="15" x14ac:dyDescent="0.25">
      <c r="A4096" s="841" t="s">
        <v>181</v>
      </c>
      <c r="E4096" s="1690" t="s">
        <v>84</v>
      </c>
      <c r="F4096" s="1690"/>
      <c r="G4096" s="1408" t="s">
        <v>24</v>
      </c>
      <c r="H4096" s="393">
        <v>1.04E-2</v>
      </c>
      <c r="K4096" s="841" t="s">
        <v>5110</v>
      </c>
      <c r="L4096" s="841" t="s">
        <v>442</v>
      </c>
      <c r="M4096" s="1357"/>
      <c r="P4096" s="841" t="s">
        <v>5113</v>
      </c>
      <c r="Q4096" s="1357"/>
      <c r="S4096" s="1420"/>
      <c r="T4096" s="1420"/>
      <c r="V4096" s="1357">
        <v>28</v>
      </c>
    </row>
    <row r="4097" spans="1:22" s="841" customFormat="1" ht="15" x14ac:dyDescent="0.25">
      <c r="A4097" s="841" t="s">
        <v>181</v>
      </c>
      <c r="E4097" s="1690" t="s">
        <v>5129</v>
      </c>
      <c r="F4097" s="1908"/>
      <c r="G4097" s="1408" t="s">
        <v>24</v>
      </c>
      <c r="H4097" s="393">
        <v>1E-4</v>
      </c>
      <c r="K4097" s="841" t="s">
        <v>5110</v>
      </c>
      <c r="L4097" s="841" t="s">
        <v>443</v>
      </c>
      <c r="M4097" s="1357"/>
      <c r="P4097" s="841" t="s">
        <v>4818</v>
      </c>
      <c r="Q4097" s="1357"/>
      <c r="S4097" s="1420"/>
      <c r="T4097" s="1420">
        <v>43585</v>
      </c>
      <c r="V4097" s="1357">
        <v>139</v>
      </c>
    </row>
    <row r="4098" spans="1:22" s="841" customFormat="1" ht="15" x14ac:dyDescent="0.25">
      <c r="A4098" s="841" t="s">
        <v>181</v>
      </c>
      <c r="E4098" s="1690" t="s">
        <v>5130</v>
      </c>
      <c r="F4098" s="1908"/>
      <c r="G4098" s="1408" t="s">
        <v>24</v>
      </c>
      <c r="H4098" s="393">
        <v>-1.2999999999999999E-3</v>
      </c>
      <c r="K4098" s="841" t="s">
        <v>5110</v>
      </c>
      <c r="L4098" s="841" t="s">
        <v>443</v>
      </c>
      <c r="M4098" s="1357"/>
      <c r="P4098" s="841" t="s">
        <v>5124</v>
      </c>
      <c r="Q4098" s="1357"/>
      <c r="S4098" s="1420"/>
      <c r="T4098" s="1420">
        <v>43585</v>
      </c>
      <c r="V4098" s="1357">
        <v>96</v>
      </c>
    </row>
    <row r="4099" spans="1:22" s="841" customFormat="1" ht="15" x14ac:dyDescent="0.25">
      <c r="A4099" s="841" t="s">
        <v>181</v>
      </c>
      <c r="E4099" s="1690" t="s">
        <v>3793</v>
      </c>
      <c r="F4099" s="1690"/>
      <c r="G4099" s="1408" t="s">
        <v>24</v>
      </c>
      <c r="H4099" s="393">
        <v>-4.0000000000000002E-4</v>
      </c>
      <c r="K4099" s="841" t="s">
        <v>5110</v>
      </c>
      <c r="L4099" s="841" t="s">
        <v>442</v>
      </c>
      <c r="M4099" s="1357"/>
      <c r="P4099" s="841" t="s">
        <v>6225</v>
      </c>
      <c r="Q4099" s="1357"/>
      <c r="S4099" s="1420"/>
      <c r="T4099" s="1420">
        <v>43708</v>
      </c>
      <c r="V4099" s="1357">
        <v>76</v>
      </c>
    </row>
    <row r="4100" spans="1:22" s="841" customFormat="1" ht="15" x14ac:dyDescent="0.25">
      <c r="A4100" s="841" t="s">
        <v>181</v>
      </c>
      <c r="E4100" s="1690" t="s">
        <v>221</v>
      </c>
      <c r="F4100" s="1690"/>
      <c r="G4100" s="1408" t="s">
        <v>24</v>
      </c>
      <c r="H4100" s="393">
        <v>6.1000000000000004E-3</v>
      </c>
      <c r="K4100" s="841" t="s">
        <v>5110</v>
      </c>
      <c r="L4100" s="841" t="s">
        <v>444</v>
      </c>
      <c r="M4100" s="1357"/>
      <c r="P4100" s="841" t="s">
        <v>5115</v>
      </c>
      <c r="Q4100" s="1357"/>
      <c r="S4100" s="1420"/>
      <c r="T4100" s="1420"/>
      <c r="V4100" s="1357">
        <v>47</v>
      </c>
    </row>
    <row r="4101" spans="1:22" s="841" customFormat="1" ht="15" x14ac:dyDescent="0.25">
      <c r="A4101" s="841" t="s">
        <v>181</v>
      </c>
      <c r="E4101" s="1690" t="s">
        <v>217</v>
      </c>
      <c r="F4101" s="1690"/>
      <c r="G4101" s="1408" t="s">
        <v>24</v>
      </c>
      <c r="H4101" s="393">
        <v>1.8E-3</v>
      </c>
      <c r="K4101" s="841" t="s">
        <v>5110</v>
      </c>
      <c r="L4101" s="841" t="s">
        <v>444</v>
      </c>
      <c r="M4101" s="1357"/>
      <c r="P4101" s="841" t="s">
        <v>5116</v>
      </c>
      <c r="Q4101" s="1357"/>
      <c r="S4101" s="1420"/>
      <c r="T4101" s="1420"/>
      <c r="V4101" s="1357">
        <v>74</v>
      </c>
    </row>
    <row r="4102" spans="1:22" s="841" customFormat="1" ht="15" x14ac:dyDescent="0.25">
      <c r="A4102" s="841" t="s">
        <v>181</v>
      </c>
      <c r="E4102" s="1694" t="s">
        <v>3079</v>
      </c>
      <c r="F4102" s="1690"/>
      <c r="G4102" s="1408"/>
      <c r="H4102" s="1408"/>
      <c r="K4102" s="841" t="s">
        <v>3093</v>
      </c>
      <c r="M4102" s="1357"/>
      <c r="Q4102" s="1357"/>
      <c r="S4102" s="1420"/>
      <c r="T4102" s="1420"/>
      <c r="V4102" s="1357">
        <v>48</v>
      </c>
    </row>
    <row r="4103" spans="1:22" s="841" customFormat="1" ht="15" x14ac:dyDescent="0.25">
      <c r="A4103" s="841" t="s">
        <v>181</v>
      </c>
      <c r="E4103" s="1690" t="s">
        <v>2449</v>
      </c>
      <c r="F4103" s="1690"/>
      <c r="G4103" s="1408" t="s">
        <v>24</v>
      </c>
      <c r="H4103" s="393">
        <v>3.2000000000000002E-3</v>
      </c>
      <c r="K4103" s="841" t="s">
        <v>5110</v>
      </c>
      <c r="L4103" s="841" t="s">
        <v>3046</v>
      </c>
      <c r="M4103" s="1357"/>
      <c r="P4103" s="841" t="s">
        <v>5117</v>
      </c>
      <c r="Q4103" s="1357"/>
      <c r="S4103" s="1420"/>
      <c r="T4103" s="1420"/>
      <c r="V4103" s="1357">
        <v>55</v>
      </c>
    </row>
    <row r="4104" spans="1:22" s="841" customFormat="1" ht="15" x14ac:dyDescent="0.25">
      <c r="A4104" s="841" t="s">
        <v>181</v>
      </c>
      <c r="E4104" s="1690" t="s">
        <v>2450</v>
      </c>
      <c r="F4104" s="1690"/>
      <c r="G4104" s="1408" t="s">
        <v>24</v>
      </c>
      <c r="H4104" s="393">
        <v>4.0000000000000002E-4</v>
      </c>
      <c r="K4104" s="841" t="s">
        <v>5110</v>
      </c>
      <c r="L4104" s="841" t="s">
        <v>3046</v>
      </c>
      <c r="M4104" s="1357"/>
      <c r="P4104" s="841" t="s">
        <v>5117</v>
      </c>
      <c r="Q4104" s="1357"/>
      <c r="S4104" s="1420"/>
      <c r="T4104" s="1420"/>
      <c r="V4104" s="1357">
        <v>65</v>
      </c>
    </row>
    <row r="4105" spans="1:22" s="841" customFormat="1" ht="15" x14ac:dyDescent="0.25">
      <c r="A4105" s="841" t="s">
        <v>181</v>
      </c>
      <c r="E4105" s="1690" t="s">
        <v>439</v>
      </c>
      <c r="F4105" s="1690"/>
      <c r="G4105" s="1408" t="s">
        <v>24</v>
      </c>
      <c r="H4105" s="393">
        <v>2.9999999999999997E-4</v>
      </c>
      <c r="K4105" s="841" t="s">
        <v>5110</v>
      </c>
      <c r="L4105" s="841" t="s">
        <v>3046</v>
      </c>
      <c r="M4105" s="1357"/>
      <c r="P4105" s="841" t="s">
        <v>5118</v>
      </c>
      <c r="Q4105" s="1357"/>
      <c r="S4105" s="1420"/>
      <c r="T4105" s="1420"/>
      <c r="V4105" s="1357">
        <v>57</v>
      </c>
    </row>
    <row r="4106" spans="1:22" s="841" customFormat="1" ht="15" x14ac:dyDescent="0.25">
      <c r="A4106" s="841" t="s">
        <v>181</v>
      </c>
      <c r="E4106" s="1690" t="s">
        <v>32</v>
      </c>
      <c r="F4106" s="1690"/>
      <c r="G4106" s="1408" t="s">
        <v>23</v>
      </c>
      <c r="H4106" s="391">
        <v>0.25</v>
      </c>
      <c r="K4106" s="841" t="s">
        <v>5110</v>
      </c>
      <c r="L4106" s="841" t="s">
        <v>3046</v>
      </c>
      <c r="M4106" s="1357"/>
      <c r="P4106" s="841" t="s">
        <v>5119</v>
      </c>
      <c r="Q4106" s="1357"/>
      <c r="S4106" s="1420"/>
      <c r="T4106" s="1420"/>
      <c r="V4106" s="1357">
        <v>63</v>
      </c>
    </row>
    <row r="4107" spans="1:22" s="841" customFormat="1" x14ac:dyDescent="0.25">
      <c r="A4107" s="841" t="s">
        <v>181</v>
      </c>
      <c r="E4107" s="1909" t="s">
        <v>616</v>
      </c>
      <c r="F4107" s="1915"/>
      <c r="G4107" s="1915"/>
      <c r="H4107" s="1915"/>
      <c r="K4107" s="841" t="s">
        <v>6095</v>
      </c>
      <c r="M4107" s="1357"/>
      <c r="Q4107" s="1357"/>
      <c r="S4107" s="1420"/>
      <c r="T4107" s="1420"/>
      <c r="V4107" s="1357">
        <v>53</v>
      </c>
    </row>
    <row r="4108" spans="1:22" s="841" customFormat="1" ht="15" x14ac:dyDescent="0.25">
      <c r="A4108" s="841" t="s">
        <v>181</v>
      </c>
      <c r="E4108" s="1689" t="s">
        <v>3795</v>
      </c>
      <c r="F4108" s="1689"/>
      <c r="G4108" s="1689"/>
      <c r="H4108" s="1689"/>
      <c r="K4108" s="841" t="s">
        <v>6095</v>
      </c>
      <c r="M4108" s="1357"/>
      <c r="Q4108" s="1357"/>
      <c r="S4108" s="1420"/>
      <c r="T4108" s="1420"/>
      <c r="V4108" s="1357">
        <v>629</v>
      </c>
    </row>
    <row r="4109" spans="1:22" s="841" customFormat="1" ht="15" x14ac:dyDescent="0.25">
      <c r="A4109" s="841" t="s">
        <v>181</v>
      </c>
      <c r="E4109" s="1916" t="s">
        <v>3061</v>
      </c>
      <c r="F4109" s="1697"/>
      <c r="G4109" s="1697"/>
      <c r="H4109" s="1697"/>
      <c r="K4109" s="841" t="s">
        <v>3098</v>
      </c>
      <c r="M4109" s="1357"/>
      <c r="Q4109" s="1357"/>
      <c r="S4109" s="1420"/>
      <c r="T4109" s="1420"/>
      <c r="V4109" s="1357">
        <v>11</v>
      </c>
    </row>
    <row r="4110" spans="1:22" s="841" customFormat="1" ht="15" x14ac:dyDescent="0.25">
      <c r="A4110" s="841" t="s">
        <v>181</v>
      </c>
      <c r="E4110" s="1689" t="s">
        <v>3493</v>
      </c>
      <c r="F4110" s="1689"/>
      <c r="G4110" s="1689"/>
      <c r="H4110" s="1689"/>
      <c r="K4110" s="841" t="s">
        <v>6095</v>
      </c>
      <c r="M4110" s="1357"/>
      <c r="Q4110" s="1357"/>
      <c r="S4110" s="1420"/>
      <c r="T4110" s="1420"/>
      <c r="V4110" s="1357">
        <v>272</v>
      </c>
    </row>
    <row r="4111" spans="1:22" s="841" customFormat="1" ht="15" x14ac:dyDescent="0.25">
      <c r="A4111" s="841" t="s">
        <v>181</v>
      </c>
      <c r="E4111" s="1689" t="s">
        <v>3494</v>
      </c>
      <c r="F4111" s="1689"/>
      <c r="G4111" s="1689"/>
      <c r="H4111" s="1689"/>
      <c r="K4111" s="841" t="s">
        <v>6095</v>
      </c>
      <c r="M4111" s="1357"/>
      <c r="Q4111" s="1357"/>
      <c r="S4111" s="1420"/>
      <c r="T4111" s="1420"/>
      <c r="V4111" s="1357">
        <v>403</v>
      </c>
    </row>
    <row r="4112" spans="1:22" s="841" customFormat="1" ht="15" x14ac:dyDescent="0.25">
      <c r="A4112" s="841" t="s">
        <v>181</v>
      </c>
      <c r="E4112" s="1689" t="s">
        <v>3792</v>
      </c>
      <c r="F4112" s="1689"/>
      <c r="G4112" s="1689"/>
      <c r="H4112" s="1689"/>
      <c r="K4112" s="841" t="s">
        <v>6095</v>
      </c>
      <c r="M4112" s="1357"/>
      <c r="Q4112" s="1357"/>
      <c r="S4112" s="1420"/>
      <c r="T4112" s="1420"/>
      <c r="V4112" s="1357">
        <v>380</v>
      </c>
    </row>
    <row r="4113" spans="1:22" s="841" customFormat="1" ht="15" x14ac:dyDescent="0.25">
      <c r="A4113" s="841" t="s">
        <v>181</v>
      </c>
      <c r="E4113" s="1689" t="s">
        <v>5456</v>
      </c>
      <c r="F4113" s="1689"/>
      <c r="G4113" s="1689"/>
      <c r="H4113" s="1689"/>
      <c r="K4113" s="841" t="s">
        <v>6095</v>
      </c>
      <c r="M4113" s="1357"/>
      <c r="Q4113" s="1357"/>
      <c r="S4113" s="1420"/>
      <c r="T4113" s="1420"/>
      <c r="V4113" s="1357">
        <v>652</v>
      </c>
    </row>
    <row r="4114" spans="1:22" s="841" customFormat="1" ht="15" x14ac:dyDescent="0.25">
      <c r="A4114" s="841" t="s">
        <v>181</v>
      </c>
      <c r="E4114" s="1689" t="s">
        <v>3200</v>
      </c>
      <c r="F4114" s="1689"/>
      <c r="G4114" s="1689"/>
      <c r="H4114" s="1689"/>
      <c r="K4114" s="841" t="s">
        <v>6095</v>
      </c>
      <c r="M4114" s="1357"/>
      <c r="Q4114" s="1357"/>
      <c r="S4114" s="1420"/>
      <c r="T4114" s="1420"/>
      <c r="V4114" s="1357">
        <v>275</v>
      </c>
    </row>
    <row r="4115" spans="1:22" s="841" customFormat="1" ht="15" x14ac:dyDescent="0.25">
      <c r="A4115" s="841" t="s">
        <v>181</v>
      </c>
      <c r="E4115" s="1694" t="s">
        <v>3067</v>
      </c>
      <c r="F4115" s="1907"/>
      <c r="G4115" s="1907"/>
      <c r="H4115" s="1907"/>
      <c r="K4115" s="841" t="s">
        <v>3099</v>
      </c>
      <c r="M4115" s="1357"/>
      <c r="Q4115" s="1357"/>
      <c r="S4115" s="1420"/>
      <c r="T4115" s="1420"/>
      <c r="V4115" s="1357">
        <v>46</v>
      </c>
    </row>
    <row r="4116" spans="1:22" s="841" customFormat="1" ht="15" x14ac:dyDescent="0.25">
      <c r="A4116" s="841" t="s">
        <v>181</v>
      </c>
      <c r="E4116" s="1690" t="s">
        <v>11</v>
      </c>
      <c r="F4116" s="1690"/>
      <c r="G4116" s="1408" t="s">
        <v>23</v>
      </c>
      <c r="H4116" s="391">
        <v>180.8</v>
      </c>
      <c r="K4116" s="841" t="s">
        <v>6095</v>
      </c>
      <c r="L4116" s="841" t="s">
        <v>442</v>
      </c>
      <c r="M4116" s="1357"/>
      <c r="P4116" s="841" t="s">
        <v>6096</v>
      </c>
      <c r="Q4116" s="1357"/>
      <c r="S4116" s="1420"/>
      <c r="T4116" s="1420"/>
      <c r="V4116" s="1357">
        <v>14</v>
      </c>
    </row>
    <row r="4117" spans="1:22" s="841" customFormat="1" ht="15" x14ac:dyDescent="0.25">
      <c r="A4117" s="841" t="s">
        <v>181</v>
      </c>
      <c r="E4117" s="1690" t="s">
        <v>84</v>
      </c>
      <c r="F4117" s="1690"/>
      <c r="G4117" s="1408" t="s">
        <v>33</v>
      </c>
      <c r="H4117" s="393">
        <v>2.7277</v>
      </c>
      <c r="K4117" s="841" t="s">
        <v>6095</v>
      </c>
      <c r="L4117" s="841" t="s">
        <v>442</v>
      </c>
      <c r="M4117" s="1357"/>
      <c r="P4117" s="841" t="s">
        <v>6097</v>
      </c>
      <c r="Q4117" s="1357"/>
      <c r="S4117" s="1420"/>
      <c r="T4117" s="1420"/>
      <c r="V4117" s="1357">
        <v>28</v>
      </c>
    </row>
    <row r="4118" spans="1:22" s="841" customFormat="1" ht="15" x14ac:dyDescent="0.25">
      <c r="A4118" s="841" t="s">
        <v>181</v>
      </c>
      <c r="E4118" s="1690" t="s">
        <v>5129</v>
      </c>
      <c r="F4118" s="1908"/>
      <c r="G4118" s="1408" t="s">
        <v>24</v>
      </c>
      <c r="H4118" s="393">
        <v>1E-4</v>
      </c>
      <c r="K4118" s="841" t="s">
        <v>6095</v>
      </c>
      <c r="L4118" s="841" t="s">
        <v>443</v>
      </c>
      <c r="M4118" s="1357"/>
      <c r="P4118" s="841" t="s">
        <v>6104</v>
      </c>
      <c r="Q4118" s="1357"/>
      <c r="S4118" s="1420"/>
      <c r="T4118" s="1420">
        <v>43585</v>
      </c>
      <c r="V4118" s="1357">
        <v>139</v>
      </c>
    </row>
    <row r="4119" spans="1:22" s="841" customFormat="1" ht="15" x14ac:dyDescent="0.25">
      <c r="A4119" s="841" t="s">
        <v>181</v>
      </c>
      <c r="E4119" s="1690" t="s">
        <v>5130</v>
      </c>
      <c r="F4119" s="1908"/>
      <c r="G4119" s="1408" t="s">
        <v>33</v>
      </c>
      <c r="H4119" s="393">
        <v>-0.53810000000000002</v>
      </c>
      <c r="K4119" s="841" t="s">
        <v>6095</v>
      </c>
      <c r="L4119" s="841" t="s">
        <v>443</v>
      </c>
      <c r="M4119" s="1357"/>
      <c r="P4119" s="841" t="s">
        <v>6105</v>
      </c>
      <c r="Q4119" s="1357"/>
      <c r="S4119" s="1420"/>
      <c r="T4119" s="1420">
        <v>43585</v>
      </c>
      <c r="V4119" s="1357">
        <v>96</v>
      </c>
    </row>
    <row r="4120" spans="1:22" s="841" customFormat="1" ht="15" x14ac:dyDescent="0.25">
      <c r="A4120" s="841" t="s">
        <v>181</v>
      </c>
      <c r="E4120" s="1690" t="s">
        <v>3793</v>
      </c>
      <c r="F4120" s="1690"/>
      <c r="G4120" s="1408" t="s">
        <v>33</v>
      </c>
      <c r="H4120" s="393">
        <v>-0.1381</v>
      </c>
      <c r="K4120" s="841" t="s">
        <v>6095</v>
      </c>
      <c r="L4120" s="841" t="s">
        <v>442</v>
      </c>
      <c r="M4120" s="1357"/>
      <c r="P4120" s="841" t="s">
        <v>6226</v>
      </c>
      <c r="Q4120" s="1357"/>
      <c r="S4120" s="1420"/>
      <c r="T4120" s="1420">
        <v>43708</v>
      </c>
      <c r="V4120" s="1357">
        <v>76</v>
      </c>
    </row>
    <row r="4121" spans="1:22" s="841" customFormat="1" ht="15" x14ac:dyDescent="0.25">
      <c r="A4121" s="841" t="s">
        <v>181</v>
      </c>
      <c r="E4121" s="1690" t="s">
        <v>221</v>
      </c>
      <c r="F4121" s="1690"/>
      <c r="G4121" s="1408" t="s">
        <v>33</v>
      </c>
      <c r="H4121" s="393">
        <v>2.5142000000000002</v>
      </c>
      <c r="K4121" s="841" t="s">
        <v>6095</v>
      </c>
      <c r="L4121" s="841" t="s">
        <v>444</v>
      </c>
      <c r="M4121" s="1357"/>
      <c r="P4121" s="841" t="s">
        <v>6099</v>
      </c>
      <c r="Q4121" s="1357"/>
      <c r="S4121" s="1420"/>
      <c r="T4121" s="1420"/>
      <c r="V4121" s="1357">
        <v>47</v>
      </c>
    </row>
    <row r="4122" spans="1:22" s="841" customFormat="1" ht="15" x14ac:dyDescent="0.25">
      <c r="A4122" s="841" t="s">
        <v>181</v>
      </c>
      <c r="E4122" s="1690" t="s">
        <v>217</v>
      </c>
      <c r="F4122" s="1690"/>
      <c r="G4122" s="1408" t="s">
        <v>33</v>
      </c>
      <c r="H4122" s="393">
        <v>0.72909999999999997</v>
      </c>
      <c r="K4122" s="841" t="s">
        <v>6095</v>
      </c>
      <c r="L4122" s="841" t="s">
        <v>444</v>
      </c>
      <c r="M4122" s="1357"/>
      <c r="P4122" s="841" t="s">
        <v>6100</v>
      </c>
      <c r="Q4122" s="1357"/>
      <c r="S4122" s="1420"/>
      <c r="T4122" s="1420"/>
      <c r="V4122" s="1357">
        <v>74</v>
      </c>
    </row>
    <row r="4123" spans="1:22" s="841" customFormat="1" ht="15" x14ac:dyDescent="0.25">
      <c r="A4123" s="841" t="s">
        <v>181</v>
      </c>
      <c r="E4123" s="1694" t="s">
        <v>3079</v>
      </c>
      <c r="F4123" s="1690"/>
      <c r="G4123" s="1408"/>
      <c r="H4123" s="1408"/>
      <c r="K4123" s="841" t="s">
        <v>3218</v>
      </c>
      <c r="M4123" s="1357"/>
      <c r="Q4123" s="1357"/>
      <c r="S4123" s="1420"/>
      <c r="T4123" s="1420"/>
      <c r="V4123" s="1357">
        <v>48</v>
      </c>
    </row>
    <row r="4124" spans="1:22" s="841" customFormat="1" ht="15" x14ac:dyDescent="0.25">
      <c r="A4124" s="841" t="s">
        <v>181</v>
      </c>
      <c r="E4124" s="1690" t="s">
        <v>2449</v>
      </c>
      <c r="F4124" s="1690"/>
      <c r="G4124" s="1408" t="s">
        <v>24</v>
      </c>
      <c r="H4124" s="393">
        <v>3.2000000000000002E-3</v>
      </c>
      <c r="K4124" s="841" t="s">
        <v>6095</v>
      </c>
      <c r="L4124" s="841" t="s">
        <v>3046</v>
      </c>
      <c r="M4124" s="1357"/>
      <c r="P4124" s="841" t="s">
        <v>6101</v>
      </c>
      <c r="Q4124" s="1357"/>
      <c r="S4124" s="1420"/>
      <c r="T4124" s="1420"/>
      <c r="V4124" s="1357">
        <v>55</v>
      </c>
    </row>
    <row r="4125" spans="1:22" s="841" customFormat="1" ht="15" x14ac:dyDescent="0.25">
      <c r="A4125" s="841" t="s">
        <v>181</v>
      </c>
      <c r="E4125" s="1690" t="s">
        <v>2450</v>
      </c>
      <c r="F4125" s="1690"/>
      <c r="G4125" s="1408" t="s">
        <v>24</v>
      </c>
      <c r="H4125" s="393">
        <v>4.0000000000000002E-4</v>
      </c>
      <c r="K4125" s="841" t="s">
        <v>6095</v>
      </c>
      <c r="L4125" s="841" t="s">
        <v>3046</v>
      </c>
      <c r="M4125" s="1357"/>
      <c r="P4125" s="841" t="s">
        <v>6101</v>
      </c>
      <c r="Q4125" s="1357"/>
      <c r="S4125" s="1420"/>
      <c r="T4125" s="1420"/>
      <c r="V4125" s="1357">
        <v>65</v>
      </c>
    </row>
    <row r="4126" spans="1:22" s="841" customFormat="1" ht="15" x14ac:dyDescent="0.25">
      <c r="A4126" s="841" t="s">
        <v>181</v>
      </c>
      <c r="E4126" s="1690" t="s">
        <v>439</v>
      </c>
      <c r="F4126" s="1690"/>
      <c r="G4126" s="1408" t="s">
        <v>24</v>
      </c>
      <c r="H4126" s="393">
        <v>2.9999999999999997E-4</v>
      </c>
      <c r="K4126" s="841" t="s">
        <v>6095</v>
      </c>
      <c r="L4126" s="841" t="s">
        <v>3046</v>
      </c>
      <c r="M4126" s="1357"/>
      <c r="P4126" s="841" t="s">
        <v>6102</v>
      </c>
      <c r="Q4126" s="1357"/>
      <c r="S4126" s="1420"/>
      <c r="T4126" s="1420"/>
      <c r="V4126" s="1357">
        <v>57</v>
      </c>
    </row>
    <row r="4127" spans="1:22" s="841" customFormat="1" ht="15" x14ac:dyDescent="0.25">
      <c r="A4127" s="841" t="s">
        <v>181</v>
      </c>
      <c r="E4127" s="1690" t="s">
        <v>32</v>
      </c>
      <c r="F4127" s="1690"/>
      <c r="G4127" s="1408" t="s">
        <v>23</v>
      </c>
      <c r="H4127" s="391">
        <v>0.25</v>
      </c>
      <c r="K4127" s="841" t="s">
        <v>6095</v>
      </c>
      <c r="L4127" s="841" t="s">
        <v>3046</v>
      </c>
      <c r="M4127" s="1357"/>
      <c r="P4127" s="841" t="s">
        <v>6103</v>
      </c>
      <c r="Q4127" s="1357"/>
      <c r="S4127" s="1420"/>
      <c r="T4127" s="1420"/>
      <c r="V4127" s="1357">
        <v>63</v>
      </c>
    </row>
    <row r="4128" spans="1:22" s="841" customFormat="1" x14ac:dyDescent="0.25">
      <c r="A4128" s="841" t="s">
        <v>181</v>
      </c>
      <c r="E4128" s="1909" t="s">
        <v>617</v>
      </c>
      <c r="F4128" s="1915"/>
      <c r="G4128" s="1915"/>
      <c r="H4128" s="1915"/>
      <c r="K4128" s="841" t="s">
        <v>3406</v>
      </c>
      <c r="M4128" s="1357"/>
      <c r="Q4128" s="1357"/>
      <c r="S4128" s="1420"/>
      <c r="T4128" s="1420"/>
      <c r="V4128" s="1357">
        <v>47</v>
      </c>
    </row>
    <row r="4129" spans="1:22" s="841" customFormat="1" ht="15" x14ac:dyDescent="0.25">
      <c r="A4129" s="841" t="s">
        <v>181</v>
      </c>
      <c r="E4129" s="1689" t="s">
        <v>3796</v>
      </c>
      <c r="F4129" s="1689"/>
      <c r="G4129" s="1689"/>
      <c r="H4129" s="1689"/>
      <c r="K4129" s="841" t="s">
        <v>3406</v>
      </c>
      <c r="M4129" s="1357"/>
      <c r="Q4129" s="1357"/>
      <c r="S4129" s="1420"/>
      <c r="T4129" s="1420"/>
      <c r="V4129" s="1357">
        <v>722</v>
      </c>
    </row>
    <row r="4130" spans="1:22" s="841" customFormat="1" ht="15" x14ac:dyDescent="0.25">
      <c r="A4130" s="841" t="s">
        <v>181</v>
      </c>
      <c r="E4130" s="1916" t="s">
        <v>3061</v>
      </c>
      <c r="F4130" s="1697"/>
      <c r="G4130" s="1697"/>
      <c r="H4130" s="1697"/>
      <c r="K4130" s="841" t="s">
        <v>3221</v>
      </c>
      <c r="M4130" s="1357"/>
      <c r="Q4130" s="1357"/>
      <c r="S4130" s="1420"/>
      <c r="T4130" s="1420"/>
      <c r="V4130" s="1357">
        <v>11</v>
      </c>
    </row>
    <row r="4131" spans="1:22" s="841" customFormat="1" ht="15" x14ac:dyDescent="0.25">
      <c r="A4131" s="841" t="s">
        <v>181</v>
      </c>
      <c r="E4131" s="1689" t="s">
        <v>3493</v>
      </c>
      <c r="F4131" s="1689"/>
      <c r="G4131" s="1689"/>
      <c r="H4131" s="1689"/>
      <c r="K4131" s="841" t="s">
        <v>3406</v>
      </c>
      <c r="M4131" s="1357"/>
      <c r="Q4131" s="1357"/>
      <c r="S4131" s="1420"/>
      <c r="T4131" s="1420"/>
      <c r="V4131" s="1357">
        <v>272</v>
      </c>
    </row>
    <row r="4132" spans="1:22" s="841" customFormat="1" ht="15" x14ac:dyDescent="0.25">
      <c r="A4132" s="841" t="s">
        <v>181</v>
      </c>
      <c r="E4132" s="1689" t="s">
        <v>3494</v>
      </c>
      <c r="F4132" s="1689"/>
      <c r="G4132" s="1689"/>
      <c r="H4132" s="1689"/>
      <c r="K4132" s="841" t="s">
        <v>3406</v>
      </c>
      <c r="M4132" s="1357"/>
      <c r="Q4132" s="1357"/>
      <c r="S4132" s="1420"/>
      <c r="T4132" s="1420"/>
      <c r="V4132" s="1357">
        <v>403</v>
      </c>
    </row>
    <row r="4133" spans="1:22" s="841" customFormat="1" ht="15" x14ac:dyDescent="0.25">
      <c r="A4133" s="841" t="s">
        <v>181</v>
      </c>
      <c r="E4133" s="1689" t="s">
        <v>3792</v>
      </c>
      <c r="F4133" s="1689"/>
      <c r="G4133" s="1689"/>
      <c r="H4133" s="1689"/>
      <c r="K4133" s="841" t="s">
        <v>3406</v>
      </c>
      <c r="M4133" s="1357"/>
      <c r="Q4133" s="1357"/>
      <c r="S4133" s="1420"/>
      <c r="T4133" s="1420"/>
      <c r="V4133" s="1357">
        <v>380</v>
      </c>
    </row>
    <row r="4134" spans="1:22" s="841" customFormat="1" ht="15" x14ac:dyDescent="0.25">
      <c r="A4134" s="841" t="s">
        <v>181</v>
      </c>
      <c r="E4134" s="1689" t="s">
        <v>3200</v>
      </c>
      <c r="F4134" s="1689"/>
      <c r="G4134" s="1689"/>
      <c r="H4134" s="1689"/>
      <c r="K4134" s="841" t="s">
        <v>3406</v>
      </c>
      <c r="M4134" s="1357"/>
      <c r="Q4134" s="1357"/>
      <c r="S4134" s="1420"/>
      <c r="T4134" s="1420"/>
      <c r="V4134" s="1357">
        <v>275</v>
      </c>
    </row>
    <row r="4135" spans="1:22" s="841" customFormat="1" ht="15" x14ac:dyDescent="0.25">
      <c r="A4135" s="841" t="s">
        <v>181</v>
      </c>
      <c r="E4135" s="1694" t="s">
        <v>3067</v>
      </c>
      <c r="F4135" s="1907"/>
      <c r="G4135" s="1907"/>
      <c r="H4135" s="1907"/>
      <c r="K4135" s="841" t="s">
        <v>3224</v>
      </c>
      <c r="M4135" s="1357"/>
      <c r="Q4135" s="1357"/>
      <c r="S4135" s="1420"/>
      <c r="T4135" s="1420"/>
      <c r="V4135" s="1357">
        <v>46</v>
      </c>
    </row>
    <row r="4136" spans="1:22" s="841" customFormat="1" ht="15" x14ac:dyDescent="0.25">
      <c r="A4136" s="841" t="s">
        <v>181</v>
      </c>
      <c r="E4136" s="1690" t="s">
        <v>13</v>
      </c>
      <c r="F4136" s="1690"/>
      <c r="G4136" s="1408" t="s">
        <v>23</v>
      </c>
      <c r="H4136" s="391">
        <v>40.03</v>
      </c>
      <c r="K4136" s="841" t="s">
        <v>3406</v>
      </c>
      <c r="L4136" s="841" t="s">
        <v>442</v>
      </c>
      <c r="M4136" s="1357"/>
      <c r="P4136" s="841" t="s">
        <v>3408</v>
      </c>
      <c r="Q4136" s="1357"/>
      <c r="S4136" s="1420"/>
      <c r="T4136" s="1420"/>
      <c r="V4136" s="1357">
        <v>29</v>
      </c>
    </row>
    <row r="4137" spans="1:22" s="841" customFormat="1" ht="15" x14ac:dyDescent="0.25">
      <c r="A4137" s="841" t="s">
        <v>181</v>
      </c>
      <c r="E4137" s="1690" t="s">
        <v>84</v>
      </c>
      <c r="F4137" s="1690"/>
      <c r="G4137" s="1408" t="s">
        <v>24</v>
      </c>
      <c r="H4137" s="393">
        <v>9.1000000000000004E-3</v>
      </c>
      <c r="K4137" s="841" t="s">
        <v>3406</v>
      </c>
      <c r="L4137" s="841" t="s">
        <v>442</v>
      </c>
      <c r="M4137" s="1357"/>
      <c r="P4137" s="841" t="s">
        <v>3409</v>
      </c>
      <c r="Q4137" s="1357"/>
      <c r="S4137" s="1420"/>
      <c r="T4137" s="1420"/>
      <c r="V4137" s="1357">
        <v>28</v>
      </c>
    </row>
    <row r="4138" spans="1:22" s="841" customFormat="1" ht="15" x14ac:dyDescent="0.25">
      <c r="A4138" s="841" t="s">
        <v>181</v>
      </c>
      <c r="E4138" s="1690" t="s">
        <v>5130</v>
      </c>
      <c r="F4138" s="1908"/>
      <c r="G4138" s="1408" t="s">
        <v>24</v>
      </c>
      <c r="H4138" s="393">
        <v>-4.0000000000000002E-4</v>
      </c>
      <c r="K4138" s="841" t="s">
        <v>3406</v>
      </c>
      <c r="L4138" s="841" t="s">
        <v>443</v>
      </c>
      <c r="M4138" s="1357"/>
      <c r="P4138" s="841" t="s">
        <v>3411</v>
      </c>
      <c r="Q4138" s="1357"/>
      <c r="S4138" s="1420"/>
      <c r="T4138" s="1420">
        <v>43585</v>
      </c>
      <c r="V4138" s="1357">
        <v>96</v>
      </c>
    </row>
    <row r="4139" spans="1:22" s="841" customFormat="1" ht="15" x14ac:dyDescent="0.25">
      <c r="A4139" s="841" t="s">
        <v>181</v>
      </c>
      <c r="E4139" s="1690" t="s">
        <v>3793</v>
      </c>
      <c r="F4139" s="1690"/>
      <c r="G4139" s="1408" t="s">
        <v>24</v>
      </c>
      <c r="H4139" s="393">
        <v>-4.0000000000000002E-4</v>
      </c>
      <c r="K4139" s="841" t="s">
        <v>3406</v>
      </c>
      <c r="L4139" s="841" t="s">
        <v>442</v>
      </c>
      <c r="M4139" s="1357"/>
      <c r="P4139" s="841" t="s">
        <v>6227</v>
      </c>
      <c r="Q4139" s="1357"/>
      <c r="S4139" s="1420"/>
      <c r="T4139" s="1420">
        <v>43708</v>
      </c>
      <c r="V4139" s="1357">
        <v>76</v>
      </c>
    </row>
    <row r="4140" spans="1:22" s="841" customFormat="1" ht="15" x14ac:dyDescent="0.25">
      <c r="A4140" s="841" t="s">
        <v>181</v>
      </c>
      <c r="E4140" s="1690" t="s">
        <v>221</v>
      </c>
      <c r="F4140" s="1690"/>
      <c r="G4140" s="1408" t="s">
        <v>24</v>
      </c>
      <c r="H4140" s="393">
        <v>6.1000000000000004E-3</v>
      </c>
      <c r="K4140" s="841" t="s">
        <v>3406</v>
      </c>
      <c r="L4140" s="841" t="s">
        <v>444</v>
      </c>
      <c r="M4140" s="1357"/>
      <c r="P4140" s="841" t="s">
        <v>3412</v>
      </c>
      <c r="Q4140" s="1357"/>
      <c r="S4140" s="1420"/>
      <c r="T4140" s="1420"/>
      <c r="V4140" s="1357">
        <v>47</v>
      </c>
    </row>
    <row r="4141" spans="1:22" s="841" customFormat="1" ht="15" x14ac:dyDescent="0.25">
      <c r="A4141" s="841" t="s">
        <v>181</v>
      </c>
      <c r="E4141" s="1690" t="s">
        <v>217</v>
      </c>
      <c r="F4141" s="1690"/>
      <c r="G4141" s="1408" t="s">
        <v>24</v>
      </c>
      <c r="H4141" s="393">
        <v>1.8E-3</v>
      </c>
      <c r="K4141" s="841" t="s">
        <v>3406</v>
      </c>
      <c r="L4141" s="841" t="s">
        <v>444</v>
      </c>
      <c r="M4141" s="1357"/>
      <c r="P4141" s="841" t="s">
        <v>3413</v>
      </c>
      <c r="Q4141" s="1357"/>
      <c r="S4141" s="1420"/>
      <c r="T4141" s="1420"/>
      <c r="V4141" s="1357">
        <v>74</v>
      </c>
    </row>
    <row r="4142" spans="1:22" s="841" customFormat="1" ht="15" x14ac:dyDescent="0.25">
      <c r="A4142" s="841" t="s">
        <v>181</v>
      </c>
      <c r="E4142" s="1694" t="s">
        <v>3079</v>
      </c>
      <c r="F4142" s="1690"/>
      <c r="G4142" s="1408"/>
      <c r="H4142" s="1408"/>
      <c r="K4142" s="841" t="s">
        <v>3225</v>
      </c>
      <c r="M4142" s="1357"/>
      <c r="Q4142" s="1357"/>
      <c r="S4142" s="1420"/>
      <c r="T4142" s="1420"/>
      <c r="V4142" s="1357">
        <v>48</v>
      </c>
    </row>
    <row r="4143" spans="1:22" s="841" customFormat="1" ht="15" x14ac:dyDescent="0.25">
      <c r="A4143" s="841" t="s">
        <v>181</v>
      </c>
      <c r="E4143" s="1690" t="s">
        <v>2449</v>
      </c>
      <c r="F4143" s="1690"/>
      <c r="G4143" s="1408" t="s">
        <v>24</v>
      </c>
      <c r="H4143" s="393">
        <v>3.2000000000000002E-3</v>
      </c>
      <c r="K4143" s="841" t="s">
        <v>3406</v>
      </c>
      <c r="L4143" s="841" t="s">
        <v>3046</v>
      </c>
      <c r="M4143" s="1357"/>
      <c r="P4143" s="841" t="s">
        <v>3414</v>
      </c>
      <c r="Q4143" s="1357"/>
      <c r="S4143" s="1420"/>
      <c r="T4143" s="1420"/>
      <c r="V4143" s="1357">
        <v>55</v>
      </c>
    </row>
    <row r="4144" spans="1:22" s="841" customFormat="1" ht="15" x14ac:dyDescent="0.25">
      <c r="A4144" s="841" t="s">
        <v>181</v>
      </c>
      <c r="E4144" s="1690" t="s">
        <v>2450</v>
      </c>
      <c r="F4144" s="1690"/>
      <c r="G4144" s="1408" t="s">
        <v>24</v>
      </c>
      <c r="H4144" s="393">
        <v>4.0000000000000002E-4</v>
      </c>
      <c r="K4144" s="841" t="s">
        <v>3406</v>
      </c>
      <c r="L4144" s="841" t="s">
        <v>3046</v>
      </c>
      <c r="M4144" s="1357"/>
      <c r="P4144" s="841" t="s">
        <v>3414</v>
      </c>
      <c r="Q4144" s="1357"/>
      <c r="S4144" s="1420"/>
      <c r="T4144" s="1420"/>
      <c r="V4144" s="1357">
        <v>65</v>
      </c>
    </row>
    <row r="4145" spans="1:22" s="841" customFormat="1" ht="15" x14ac:dyDescent="0.25">
      <c r="A4145" s="841" t="s">
        <v>181</v>
      </c>
      <c r="E4145" s="1690" t="s">
        <v>439</v>
      </c>
      <c r="F4145" s="1690"/>
      <c r="G4145" s="1408" t="s">
        <v>24</v>
      </c>
      <c r="H4145" s="393">
        <v>2.9999999999999997E-4</v>
      </c>
      <c r="K4145" s="841" t="s">
        <v>3406</v>
      </c>
      <c r="L4145" s="841" t="s">
        <v>3046</v>
      </c>
      <c r="M4145" s="1357"/>
      <c r="P4145" s="841" t="s">
        <v>3415</v>
      </c>
      <c r="Q4145" s="1357"/>
      <c r="S4145" s="1420"/>
      <c r="T4145" s="1420"/>
      <c r="V4145" s="1357">
        <v>57</v>
      </c>
    </row>
    <row r="4146" spans="1:22" s="841" customFormat="1" ht="15" x14ac:dyDescent="0.25">
      <c r="A4146" s="841" t="s">
        <v>181</v>
      </c>
      <c r="E4146" s="1690" t="s">
        <v>32</v>
      </c>
      <c r="F4146" s="1690"/>
      <c r="G4146" s="1408" t="s">
        <v>23</v>
      </c>
      <c r="H4146" s="391">
        <v>0.25</v>
      </c>
      <c r="K4146" s="841" t="s">
        <v>3406</v>
      </c>
      <c r="L4146" s="841" t="s">
        <v>3046</v>
      </c>
      <c r="M4146" s="1357"/>
      <c r="P4146" s="841" t="s">
        <v>3416</v>
      </c>
      <c r="Q4146" s="1357"/>
      <c r="S4146" s="1420"/>
      <c r="T4146" s="1420"/>
      <c r="V4146" s="1357">
        <v>63</v>
      </c>
    </row>
    <row r="4147" spans="1:22" s="841" customFormat="1" x14ac:dyDescent="0.25">
      <c r="A4147" s="841" t="s">
        <v>181</v>
      </c>
      <c r="E4147" s="1909" t="s">
        <v>615</v>
      </c>
      <c r="F4147" s="1915"/>
      <c r="G4147" s="1915"/>
      <c r="H4147" s="1915"/>
      <c r="K4147" s="841" t="s">
        <v>3417</v>
      </c>
      <c r="M4147" s="1357"/>
      <c r="Q4147" s="1357"/>
      <c r="S4147" s="1420"/>
      <c r="T4147" s="1420"/>
      <c r="V4147" s="1357">
        <v>38</v>
      </c>
    </row>
    <row r="4148" spans="1:22" s="841" customFormat="1" ht="15" x14ac:dyDescent="0.25">
      <c r="A4148" s="841" t="s">
        <v>181</v>
      </c>
      <c r="E4148" s="1689" t="s">
        <v>3797</v>
      </c>
      <c r="F4148" s="1689"/>
      <c r="G4148" s="1689"/>
      <c r="H4148" s="1689"/>
      <c r="K4148" s="841" t="s">
        <v>3417</v>
      </c>
      <c r="M4148" s="1357"/>
      <c r="Q4148" s="1357"/>
      <c r="S4148" s="1420"/>
      <c r="T4148" s="1420"/>
      <c r="V4148" s="1357">
        <v>415</v>
      </c>
    </row>
    <row r="4149" spans="1:22" s="841" customFormat="1" ht="15" x14ac:dyDescent="0.25">
      <c r="A4149" s="841" t="s">
        <v>181</v>
      </c>
      <c r="E4149" s="1916" t="s">
        <v>3061</v>
      </c>
      <c r="F4149" s="1697"/>
      <c r="G4149" s="1697"/>
      <c r="H4149" s="1697"/>
      <c r="K4149" s="841" t="s">
        <v>3107</v>
      </c>
      <c r="M4149" s="1357"/>
      <c r="Q4149" s="1357"/>
      <c r="S4149" s="1420"/>
      <c r="T4149" s="1420"/>
      <c r="V4149" s="1357">
        <v>11</v>
      </c>
    </row>
    <row r="4150" spans="1:22" s="841" customFormat="1" ht="15" x14ac:dyDescent="0.25">
      <c r="A4150" s="841" t="s">
        <v>181</v>
      </c>
      <c r="E4150" s="1689" t="s">
        <v>3493</v>
      </c>
      <c r="F4150" s="1689"/>
      <c r="G4150" s="1689"/>
      <c r="H4150" s="1689"/>
      <c r="K4150" s="841" t="s">
        <v>3417</v>
      </c>
      <c r="M4150" s="1357"/>
      <c r="Q4150" s="1357"/>
      <c r="S4150" s="1420"/>
      <c r="T4150" s="1420"/>
      <c r="V4150" s="1357">
        <v>272</v>
      </c>
    </row>
    <row r="4151" spans="1:22" s="841" customFormat="1" ht="15" x14ac:dyDescent="0.25">
      <c r="A4151" s="841" t="s">
        <v>181</v>
      </c>
      <c r="E4151" s="1689" t="s">
        <v>3494</v>
      </c>
      <c r="F4151" s="1689"/>
      <c r="G4151" s="1689"/>
      <c r="H4151" s="1689"/>
      <c r="K4151" s="841" t="s">
        <v>3417</v>
      </c>
      <c r="M4151" s="1357"/>
      <c r="Q4151" s="1357"/>
      <c r="S4151" s="1420"/>
      <c r="T4151" s="1420"/>
      <c r="V4151" s="1357">
        <v>403</v>
      </c>
    </row>
    <row r="4152" spans="1:22" s="841" customFormat="1" ht="15" x14ac:dyDescent="0.25">
      <c r="A4152" s="841" t="s">
        <v>181</v>
      </c>
      <c r="E4152" s="1689" t="s">
        <v>3798</v>
      </c>
      <c r="F4152" s="1689"/>
      <c r="G4152" s="1689"/>
      <c r="H4152" s="1689"/>
      <c r="K4152" s="841" t="s">
        <v>3417</v>
      </c>
      <c r="M4152" s="1357"/>
      <c r="Q4152" s="1357"/>
      <c r="S4152" s="1420"/>
      <c r="T4152" s="1420"/>
      <c r="V4152" s="1357">
        <v>378</v>
      </c>
    </row>
    <row r="4153" spans="1:22" s="841" customFormat="1" ht="15" x14ac:dyDescent="0.25">
      <c r="A4153" s="841" t="s">
        <v>181</v>
      </c>
      <c r="E4153" s="1689" t="s">
        <v>3200</v>
      </c>
      <c r="F4153" s="1689"/>
      <c r="G4153" s="1689"/>
      <c r="H4153" s="1689"/>
      <c r="K4153" s="841" t="s">
        <v>3417</v>
      </c>
      <c r="M4153" s="1357"/>
      <c r="Q4153" s="1357"/>
      <c r="S4153" s="1420"/>
      <c r="T4153" s="1420"/>
      <c r="V4153" s="1357">
        <v>275</v>
      </c>
    </row>
    <row r="4154" spans="1:22" s="841" customFormat="1" ht="15" x14ac:dyDescent="0.25">
      <c r="A4154" s="841" t="s">
        <v>181</v>
      </c>
      <c r="E4154" s="1694" t="s">
        <v>3067</v>
      </c>
      <c r="F4154" s="1907"/>
      <c r="G4154" s="1907"/>
      <c r="H4154" s="1907"/>
      <c r="K4154" s="841" t="s">
        <v>3108</v>
      </c>
      <c r="M4154" s="1357"/>
      <c r="Q4154" s="1357"/>
      <c r="S4154" s="1420"/>
      <c r="T4154" s="1420"/>
      <c r="V4154" s="1357">
        <v>46</v>
      </c>
    </row>
    <row r="4155" spans="1:22" s="841" customFormat="1" ht="15" x14ac:dyDescent="0.25">
      <c r="A4155" s="841" t="s">
        <v>181</v>
      </c>
      <c r="E4155" s="1690" t="s">
        <v>12</v>
      </c>
      <c r="F4155" s="1690"/>
      <c r="G4155" s="1408" t="s">
        <v>23</v>
      </c>
      <c r="H4155" s="391">
        <v>1.69</v>
      </c>
      <c r="K4155" s="841" t="s">
        <v>3417</v>
      </c>
      <c r="L4155" s="841" t="s">
        <v>442</v>
      </c>
      <c r="M4155" s="1357"/>
      <c r="P4155" s="841" t="s">
        <v>3419</v>
      </c>
      <c r="Q4155" s="1357"/>
      <c r="S4155" s="1420"/>
      <c r="T4155" s="1420"/>
      <c r="V4155" s="1357">
        <v>31</v>
      </c>
    </row>
    <row r="4156" spans="1:22" s="841" customFormat="1" ht="15" x14ac:dyDescent="0.25">
      <c r="A4156" s="841" t="s">
        <v>181</v>
      </c>
      <c r="E4156" s="1690" t="s">
        <v>84</v>
      </c>
      <c r="F4156" s="1690"/>
      <c r="G4156" s="1408" t="s">
        <v>33</v>
      </c>
      <c r="H4156" s="393">
        <v>4.3746999999999998</v>
      </c>
      <c r="K4156" s="841" t="s">
        <v>3417</v>
      </c>
      <c r="L4156" s="841" t="s">
        <v>442</v>
      </c>
      <c r="M4156" s="1357"/>
      <c r="P4156" s="841" t="s">
        <v>3420</v>
      </c>
      <c r="Q4156" s="1357"/>
      <c r="S4156" s="1420"/>
      <c r="T4156" s="1420"/>
      <c r="V4156" s="1357">
        <v>28</v>
      </c>
    </row>
    <row r="4157" spans="1:22" s="841" customFormat="1" ht="15" x14ac:dyDescent="0.25">
      <c r="A4157" s="841" t="s">
        <v>181</v>
      </c>
      <c r="E4157" s="1690" t="s">
        <v>5129</v>
      </c>
      <c r="F4157" s="1908"/>
      <c r="G4157" s="1408" t="s">
        <v>24</v>
      </c>
      <c r="H4157" s="393">
        <v>1E-4</v>
      </c>
      <c r="K4157" s="841" t="s">
        <v>3417</v>
      </c>
      <c r="L4157" s="841" t="s">
        <v>443</v>
      </c>
      <c r="M4157" s="1357"/>
      <c r="P4157" s="841" t="s">
        <v>3421</v>
      </c>
      <c r="Q4157" s="1357"/>
      <c r="S4157" s="1420"/>
      <c r="T4157" s="1420">
        <v>43585</v>
      </c>
      <c r="V4157" s="1357">
        <v>139</v>
      </c>
    </row>
    <row r="4158" spans="1:22" s="841" customFormat="1" ht="15" x14ac:dyDescent="0.25">
      <c r="A4158" s="841" t="s">
        <v>181</v>
      </c>
      <c r="E4158" s="1690" t="s">
        <v>5130</v>
      </c>
      <c r="F4158" s="1908"/>
      <c r="G4158" s="1408" t="s">
        <v>24</v>
      </c>
      <c r="H4158" s="393">
        <v>-1.6999999999999999E-3</v>
      </c>
      <c r="K4158" s="841" t="s">
        <v>3417</v>
      </c>
      <c r="L4158" s="841" t="s">
        <v>443</v>
      </c>
      <c r="M4158" s="1357"/>
      <c r="P4158" s="841" t="s">
        <v>3423</v>
      </c>
      <c r="Q4158" s="1357"/>
      <c r="S4158" s="1420"/>
      <c r="T4158" s="1420">
        <v>43585</v>
      </c>
      <c r="V4158" s="1357">
        <v>96</v>
      </c>
    </row>
    <row r="4159" spans="1:22" s="841" customFormat="1" ht="15" x14ac:dyDescent="0.25">
      <c r="A4159" s="841" t="s">
        <v>181</v>
      </c>
      <c r="E4159" s="1690" t="s">
        <v>3793</v>
      </c>
      <c r="F4159" s="1690"/>
      <c r="G4159" s="1408" t="s">
        <v>33</v>
      </c>
      <c r="H4159" s="393">
        <v>-0.1225</v>
      </c>
      <c r="K4159" s="841" t="s">
        <v>3417</v>
      </c>
      <c r="L4159" s="841" t="s">
        <v>442</v>
      </c>
      <c r="M4159" s="1357"/>
      <c r="P4159" s="841" t="s">
        <v>6228</v>
      </c>
      <c r="Q4159" s="1357"/>
      <c r="S4159" s="1420"/>
      <c r="T4159" s="1420">
        <v>43708</v>
      </c>
      <c r="V4159" s="1357">
        <v>76</v>
      </c>
    </row>
    <row r="4160" spans="1:22" s="841" customFormat="1" ht="15" x14ac:dyDescent="0.25">
      <c r="A4160" s="841" t="s">
        <v>181</v>
      </c>
      <c r="E4160" s="1690" t="s">
        <v>221</v>
      </c>
      <c r="F4160" s="1690"/>
      <c r="G4160" s="1408" t="s">
        <v>33</v>
      </c>
      <c r="H4160" s="393">
        <v>1.8962000000000001</v>
      </c>
      <c r="K4160" s="841" t="s">
        <v>3417</v>
      </c>
      <c r="L4160" s="841" t="s">
        <v>444</v>
      </c>
      <c r="M4160" s="1357"/>
      <c r="P4160" s="841" t="s">
        <v>3424</v>
      </c>
      <c r="Q4160" s="1357"/>
      <c r="S4160" s="1420"/>
      <c r="T4160" s="1420"/>
      <c r="V4160" s="1357">
        <v>47</v>
      </c>
    </row>
    <row r="4161" spans="1:22" s="841" customFormat="1" ht="15" x14ac:dyDescent="0.25">
      <c r="A4161" s="841" t="s">
        <v>181</v>
      </c>
      <c r="E4161" s="1690" t="s">
        <v>217</v>
      </c>
      <c r="F4161" s="1690"/>
      <c r="G4161" s="1408" t="s">
        <v>33</v>
      </c>
      <c r="H4161" s="393">
        <v>0.56379999999999997</v>
      </c>
      <c r="K4161" s="841" t="s">
        <v>3417</v>
      </c>
      <c r="L4161" s="841" t="s">
        <v>444</v>
      </c>
      <c r="M4161" s="1357"/>
      <c r="P4161" s="841" t="s">
        <v>3553</v>
      </c>
      <c r="Q4161" s="1357"/>
      <c r="S4161" s="1420"/>
      <c r="T4161" s="1420"/>
      <c r="V4161" s="1357">
        <v>74</v>
      </c>
    </row>
    <row r="4162" spans="1:22" s="841" customFormat="1" ht="15" x14ac:dyDescent="0.25">
      <c r="A4162" s="841" t="s">
        <v>181</v>
      </c>
      <c r="E4162" s="1694" t="s">
        <v>3079</v>
      </c>
      <c r="F4162" s="1690"/>
      <c r="G4162" s="1408"/>
      <c r="H4162" s="1408"/>
      <c r="K4162" s="841" t="s">
        <v>3111</v>
      </c>
      <c r="M4162" s="1357"/>
      <c r="Q4162" s="1357"/>
      <c r="S4162" s="1420"/>
      <c r="T4162" s="1420"/>
      <c r="V4162" s="1357">
        <v>48</v>
      </c>
    </row>
    <row r="4163" spans="1:22" s="841" customFormat="1" ht="15" x14ac:dyDescent="0.25">
      <c r="A4163" s="841" t="s">
        <v>181</v>
      </c>
      <c r="E4163" s="1690" t="s">
        <v>2449</v>
      </c>
      <c r="F4163" s="1690"/>
      <c r="G4163" s="1408" t="s">
        <v>24</v>
      </c>
      <c r="H4163" s="393">
        <v>3.2000000000000002E-3</v>
      </c>
      <c r="K4163" s="841" t="s">
        <v>3417</v>
      </c>
      <c r="L4163" s="841" t="s">
        <v>3046</v>
      </c>
      <c r="M4163" s="1357"/>
      <c r="P4163" s="841" t="s">
        <v>3426</v>
      </c>
      <c r="Q4163" s="1357"/>
      <c r="S4163" s="1420"/>
      <c r="T4163" s="1420"/>
      <c r="V4163" s="1357">
        <v>55</v>
      </c>
    </row>
    <row r="4164" spans="1:22" s="841" customFormat="1" ht="15" x14ac:dyDescent="0.25">
      <c r="A4164" s="841" t="s">
        <v>181</v>
      </c>
      <c r="E4164" s="1690" t="s">
        <v>2450</v>
      </c>
      <c r="F4164" s="1690"/>
      <c r="G4164" s="1408" t="s">
        <v>24</v>
      </c>
      <c r="H4164" s="393">
        <v>4.0000000000000002E-4</v>
      </c>
      <c r="K4164" s="841" t="s">
        <v>3417</v>
      </c>
      <c r="L4164" s="841" t="s">
        <v>3046</v>
      </c>
      <c r="M4164" s="1357"/>
      <c r="P4164" s="841" t="s">
        <v>3426</v>
      </c>
      <c r="Q4164" s="1357"/>
      <c r="S4164" s="1420"/>
      <c r="T4164" s="1420"/>
      <c r="V4164" s="1357">
        <v>65</v>
      </c>
    </row>
    <row r="4165" spans="1:22" s="841" customFormat="1" ht="15" x14ac:dyDescent="0.25">
      <c r="A4165" s="841" t="s">
        <v>181</v>
      </c>
      <c r="E4165" s="1690" t="s">
        <v>439</v>
      </c>
      <c r="F4165" s="1690"/>
      <c r="G4165" s="1408" t="s">
        <v>24</v>
      </c>
      <c r="H4165" s="393">
        <v>2.9999999999999997E-4</v>
      </c>
      <c r="K4165" s="841" t="s">
        <v>3417</v>
      </c>
      <c r="L4165" s="841" t="s">
        <v>3046</v>
      </c>
      <c r="M4165" s="1357"/>
      <c r="P4165" s="841" t="s">
        <v>3427</v>
      </c>
      <c r="Q4165" s="1357"/>
      <c r="S4165" s="1420"/>
      <c r="T4165" s="1420"/>
      <c r="V4165" s="1357">
        <v>57</v>
      </c>
    </row>
    <row r="4166" spans="1:22" s="841" customFormat="1" ht="15" x14ac:dyDescent="0.25">
      <c r="A4166" s="841" t="s">
        <v>181</v>
      </c>
      <c r="E4166" s="1690" t="s">
        <v>32</v>
      </c>
      <c r="F4166" s="1690"/>
      <c r="G4166" s="1408" t="s">
        <v>23</v>
      </c>
      <c r="H4166" s="391">
        <v>0.25</v>
      </c>
      <c r="K4166" s="841" t="s">
        <v>3417</v>
      </c>
      <c r="L4166" s="841" t="s">
        <v>3046</v>
      </c>
      <c r="M4166" s="1357"/>
      <c r="P4166" s="841" t="s">
        <v>3428</v>
      </c>
      <c r="Q4166" s="1357"/>
      <c r="S4166" s="1420"/>
      <c r="T4166" s="1420"/>
      <c r="V4166" s="1357">
        <v>63</v>
      </c>
    </row>
    <row r="4167" spans="1:22" s="841" customFormat="1" x14ac:dyDescent="0.25">
      <c r="A4167" s="841" t="s">
        <v>181</v>
      </c>
      <c r="E4167" s="1909" t="s">
        <v>618</v>
      </c>
      <c r="F4167" s="1915"/>
      <c r="G4167" s="1915"/>
      <c r="H4167" s="1915"/>
      <c r="K4167" s="841" t="s">
        <v>3371</v>
      </c>
      <c r="M4167" s="1357"/>
      <c r="Q4167" s="1357"/>
      <c r="S4167" s="1420"/>
      <c r="T4167" s="1420"/>
      <c r="V4167" s="1357">
        <v>31</v>
      </c>
    </row>
    <row r="4168" spans="1:22" s="841" customFormat="1" ht="15" x14ac:dyDescent="0.25">
      <c r="A4168" s="841" t="s">
        <v>181</v>
      </c>
      <c r="E4168" s="1689" t="s">
        <v>3429</v>
      </c>
      <c r="F4168" s="1689"/>
      <c r="G4168" s="1689"/>
      <c r="H4168" s="1689"/>
      <c r="K4168" s="841" t="s">
        <v>3371</v>
      </c>
      <c r="M4168" s="1357"/>
      <c r="Q4168" s="1357"/>
      <c r="S4168" s="1420"/>
      <c r="T4168" s="1420"/>
      <c r="V4168" s="1357">
        <v>285</v>
      </c>
    </row>
    <row r="4169" spans="1:22" s="841" customFormat="1" ht="15" x14ac:dyDescent="0.25">
      <c r="A4169" s="841" t="s">
        <v>181</v>
      </c>
      <c r="E4169" s="1916" t="s">
        <v>3061</v>
      </c>
      <c r="F4169" s="1697"/>
      <c r="G4169" s="1697"/>
      <c r="H4169" s="1697"/>
      <c r="K4169" s="841" t="s">
        <v>3114</v>
      </c>
      <c r="M4169" s="1357"/>
      <c r="Q4169" s="1357"/>
      <c r="S4169" s="1420"/>
      <c r="T4169" s="1420"/>
      <c r="V4169" s="1357">
        <v>11</v>
      </c>
    </row>
    <row r="4170" spans="1:22" s="841" customFormat="1" ht="15" x14ac:dyDescent="0.25">
      <c r="A4170" s="841" t="s">
        <v>181</v>
      </c>
      <c r="E4170" s="1689" t="s">
        <v>3493</v>
      </c>
      <c r="F4170" s="1689"/>
      <c r="G4170" s="1689"/>
      <c r="H4170" s="1689"/>
      <c r="K4170" s="841" t="s">
        <v>3371</v>
      </c>
      <c r="M4170" s="1357"/>
      <c r="Q4170" s="1357"/>
      <c r="S4170" s="1420"/>
      <c r="T4170" s="1420"/>
      <c r="V4170" s="1357">
        <v>272</v>
      </c>
    </row>
    <row r="4171" spans="1:22" s="841" customFormat="1" ht="15" x14ac:dyDescent="0.25">
      <c r="A4171" s="841" t="s">
        <v>181</v>
      </c>
      <c r="E4171" s="1689" t="s">
        <v>3494</v>
      </c>
      <c r="F4171" s="1689"/>
      <c r="G4171" s="1689"/>
      <c r="H4171" s="1689"/>
      <c r="K4171" s="841" t="s">
        <v>3371</v>
      </c>
      <c r="M4171" s="1357"/>
      <c r="Q4171" s="1357"/>
      <c r="S4171" s="1420"/>
      <c r="T4171" s="1420"/>
      <c r="V4171" s="1357">
        <v>403</v>
      </c>
    </row>
    <row r="4172" spans="1:22" s="841" customFormat="1" ht="15" x14ac:dyDescent="0.25">
      <c r="A4172" s="841" t="s">
        <v>181</v>
      </c>
      <c r="E4172" s="1689" t="s">
        <v>3799</v>
      </c>
      <c r="F4172" s="1689"/>
      <c r="G4172" s="1689"/>
      <c r="H4172" s="1689"/>
      <c r="K4172" s="841" t="s">
        <v>3371</v>
      </c>
      <c r="M4172" s="1357"/>
      <c r="Q4172" s="1357"/>
      <c r="S4172" s="1420"/>
      <c r="T4172" s="1420"/>
      <c r="V4172" s="1357">
        <v>204</v>
      </c>
    </row>
    <row r="4173" spans="1:22" s="841" customFormat="1" ht="15" x14ac:dyDescent="0.25">
      <c r="A4173" s="841" t="s">
        <v>181</v>
      </c>
      <c r="E4173" s="1689" t="s">
        <v>3200</v>
      </c>
      <c r="F4173" s="1689"/>
      <c r="G4173" s="1689"/>
      <c r="H4173" s="1689"/>
      <c r="K4173" s="841" t="s">
        <v>3371</v>
      </c>
      <c r="M4173" s="1357"/>
      <c r="Q4173" s="1357"/>
      <c r="S4173" s="1420"/>
      <c r="T4173" s="1420"/>
      <c r="V4173" s="1357">
        <v>275</v>
      </c>
    </row>
    <row r="4174" spans="1:22" s="841" customFormat="1" ht="15" x14ac:dyDescent="0.25">
      <c r="A4174" s="841" t="s">
        <v>181</v>
      </c>
      <c r="E4174" s="1694" t="s">
        <v>3067</v>
      </c>
      <c r="F4174" s="1907"/>
      <c r="G4174" s="1907"/>
      <c r="H4174" s="1907"/>
      <c r="K4174" s="841" t="s">
        <v>3115</v>
      </c>
      <c r="M4174" s="1357"/>
      <c r="Q4174" s="1357"/>
      <c r="S4174" s="1420"/>
      <c r="T4174" s="1420"/>
      <c r="V4174" s="1357">
        <v>46</v>
      </c>
    </row>
    <row r="4175" spans="1:22" s="841" customFormat="1" ht="15" x14ac:dyDescent="0.25">
      <c r="A4175" s="841" t="s">
        <v>181</v>
      </c>
      <c r="E4175" s="1690" t="s">
        <v>11</v>
      </c>
      <c r="F4175" s="1690"/>
      <c r="G4175" s="1408" t="s">
        <v>23</v>
      </c>
      <c r="H4175" s="391">
        <v>5.4</v>
      </c>
      <c r="K4175" s="841" t="s">
        <v>3371</v>
      </c>
      <c r="L4175" s="841" t="s">
        <v>442</v>
      </c>
      <c r="M4175" s="1357"/>
      <c r="P4175" s="841" t="s">
        <v>3373</v>
      </c>
      <c r="Q4175" s="1357"/>
      <c r="S4175" s="1420"/>
      <c r="T4175" s="1420"/>
      <c r="V4175" s="1357">
        <v>14</v>
      </c>
    </row>
    <row r="4176" spans="1:22" s="841" customFormat="1" ht="18.75" x14ac:dyDescent="0.3">
      <c r="A4176" s="841" t="s">
        <v>181</v>
      </c>
      <c r="E4176" s="1374" t="s">
        <v>85</v>
      </c>
      <c r="F4176" s="657"/>
      <c r="G4176" s="657"/>
      <c r="H4176" s="658"/>
      <c r="K4176" s="841" t="s">
        <v>3800</v>
      </c>
      <c r="M4176" s="1357"/>
      <c r="Q4176" s="1357"/>
      <c r="S4176" s="1420"/>
      <c r="T4176" s="1420"/>
      <c r="V4176" s="1357">
        <v>10</v>
      </c>
    </row>
    <row r="4177" spans="1:22" s="841" customFormat="1" ht="15" x14ac:dyDescent="0.25">
      <c r="A4177" s="841" t="s">
        <v>181</v>
      </c>
      <c r="E4177" s="1690" t="s">
        <v>3133</v>
      </c>
      <c r="F4177" s="1690"/>
      <c r="G4177" s="1408" t="s">
        <v>33</v>
      </c>
      <c r="H4177" s="393">
        <v>-0.6</v>
      </c>
      <c r="M4177" s="1357"/>
      <c r="Q4177" s="1357"/>
      <c r="S4177" s="1420"/>
      <c r="T4177" s="1420"/>
      <c r="V4177" s="1357">
        <v>68</v>
      </c>
    </row>
    <row r="4178" spans="1:22" s="841" customFormat="1" ht="15" x14ac:dyDescent="0.25">
      <c r="A4178" s="841" t="s">
        <v>181</v>
      </c>
      <c r="E4178" s="1690" t="s">
        <v>3134</v>
      </c>
      <c r="F4178" s="1690"/>
      <c r="G4178" s="1408" t="s">
        <v>86</v>
      </c>
      <c r="H4178" s="391">
        <v>-1</v>
      </c>
      <c r="M4178" s="1357"/>
      <c r="Q4178" s="1357"/>
      <c r="S4178" s="1420"/>
      <c r="T4178" s="1420"/>
      <c r="V4178" s="1357">
        <v>87</v>
      </c>
    </row>
    <row r="4179" spans="1:22" s="841" customFormat="1" ht="36.75" x14ac:dyDescent="0.3">
      <c r="A4179" s="841" t="s">
        <v>181</v>
      </c>
      <c r="E4179" s="1374" t="s">
        <v>87</v>
      </c>
      <c r="F4179" s="657"/>
      <c r="G4179" s="657"/>
      <c r="H4179" s="658"/>
      <c r="K4179" s="841" t="s">
        <v>3801</v>
      </c>
      <c r="M4179" s="1357"/>
      <c r="Q4179" s="1357"/>
      <c r="S4179" s="1420"/>
      <c r="T4179" s="1420"/>
      <c r="V4179" s="1357">
        <v>24</v>
      </c>
    </row>
    <row r="4180" spans="1:22" s="841" customFormat="1" ht="15" x14ac:dyDescent="0.25">
      <c r="A4180" s="841" t="s">
        <v>181</v>
      </c>
      <c r="E4180" s="1689" t="s">
        <v>3493</v>
      </c>
      <c r="F4180" s="1689"/>
      <c r="G4180" s="1689"/>
      <c r="H4180" s="1689"/>
      <c r="M4180" s="1357"/>
      <c r="Q4180" s="1357"/>
      <c r="S4180" s="1420"/>
      <c r="T4180" s="1420"/>
      <c r="V4180" s="1357">
        <v>272</v>
      </c>
    </row>
    <row r="4181" spans="1:22" s="841" customFormat="1" ht="15" x14ac:dyDescent="0.25">
      <c r="A4181" s="841" t="s">
        <v>181</v>
      </c>
      <c r="E4181" s="1689" t="s">
        <v>3498</v>
      </c>
      <c r="F4181" s="1689"/>
      <c r="G4181" s="1689"/>
      <c r="H4181" s="1689"/>
      <c r="M4181" s="1357"/>
      <c r="Q4181" s="1357"/>
      <c r="S4181" s="1420"/>
      <c r="T4181" s="1420"/>
      <c r="V4181" s="1357">
        <v>345</v>
      </c>
    </row>
    <row r="4182" spans="1:22" s="841" customFormat="1" ht="15" x14ac:dyDescent="0.25">
      <c r="A4182" s="841" t="s">
        <v>181</v>
      </c>
      <c r="E4182" s="1689" t="s">
        <v>3200</v>
      </c>
      <c r="F4182" s="1689"/>
      <c r="G4182" s="1689"/>
      <c r="H4182" s="1689"/>
      <c r="M4182" s="1357"/>
      <c r="Q4182" s="1357"/>
      <c r="S4182" s="1420"/>
      <c r="T4182" s="1420"/>
      <c r="V4182" s="1357">
        <v>275</v>
      </c>
    </row>
    <row r="4183" spans="1:22" s="841" customFormat="1" ht="15" x14ac:dyDescent="0.25">
      <c r="A4183" s="841" t="s">
        <v>181</v>
      </c>
      <c r="E4183" s="1370" t="s">
        <v>3137</v>
      </c>
      <c r="F4183" s="3"/>
      <c r="G4183" s="3"/>
      <c r="H4183" s="398"/>
      <c r="K4183" s="841" t="s">
        <v>3802</v>
      </c>
      <c r="M4183" s="1357"/>
      <c r="Q4183" s="1357"/>
      <c r="S4183" s="1420"/>
      <c r="T4183" s="1420"/>
      <c r="V4183" s="1357">
        <v>23</v>
      </c>
    </row>
    <row r="4184" spans="1:22" s="841" customFormat="1" ht="15" x14ac:dyDescent="0.25">
      <c r="A4184" s="841" t="s">
        <v>181</v>
      </c>
      <c r="E4184" s="1688" t="s">
        <v>3355</v>
      </c>
      <c r="F4184" s="1688"/>
      <c r="G4184" s="1408" t="s">
        <v>23</v>
      </c>
      <c r="H4184" s="391">
        <v>15</v>
      </c>
      <c r="M4184" s="1357"/>
      <c r="Q4184" s="1357"/>
      <c r="S4184" s="1420"/>
      <c r="T4184" s="1420"/>
      <c r="V4184" s="1357">
        <v>19</v>
      </c>
    </row>
    <row r="4185" spans="1:22" s="841" customFormat="1" ht="15" x14ac:dyDescent="0.25">
      <c r="A4185" s="841" t="s">
        <v>181</v>
      </c>
      <c r="E4185" s="1688" t="s">
        <v>3140</v>
      </c>
      <c r="F4185" s="1688"/>
      <c r="G4185" s="1408" t="s">
        <v>23</v>
      </c>
      <c r="H4185" s="391">
        <v>15</v>
      </c>
      <c r="M4185" s="1357"/>
      <c r="Q4185" s="1357"/>
      <c r="S4185" s="1420"/>
      <c r="T4185" s="1420"/>
      <c r="V4185" s="1357">
        <v>20</v>
      </c>
    </row>
    <row r="4186" spans="1:22" s="841" customFormat="1" ht="15" x14ac:dyDescent="0.25">
      <c r="A4186" s="841" t="s">
        <v>181</v>
      </c>
      <c r="E4186" s="1688" t="s">
        <v>3142</v>
      </c>
      <c r="F4186" s="1688"/>
      <c r="G4186" s="1408" t="s">
        <v>23</v>
      </c>
      <c r="H4186" s="391">
        <v>15</v>
      </c>
      <c r="M4186" s="1357"/>
      <c r="Q4186" s="1357"/>
      <c r="S4186" s="1420"/>
      <c r="T4186" s="1420"/>
      <c r="V4186" s="1357">
        <v>39</v>
      </c>
    </row>
    <row r="4187" spans="1:22" s="841" customFormat="1" ht="15" x14ac:dyDescent="0.25">
      <c r="A4187" s="841" t="s">
        <v>181</v>
      </c>
      <c r="E4187" s="1688" t="s">
        <v>3143</v>
      </c>
      <c r="F4187" s="1688"/>
      <c r="G4187" s="1408" t="s">
        <v>23</v>
      </c>
      <c r="H4187" s="391">
        <v>15</v>
      </c>
      <c r="M4187" s="1357"/>
      <c r="Q4187" s="1357"/>
      <c r="S4187" s="1420"/>
      <c r="T4187" s="1420"/>
      <c r="V4187" s="1357">
        <v>37</v>
      </c>
    </row>
    <row r="4188" spans="1:22" s="841" customFormat="1" ht="15" x14ac:dyDescent="0.25">
      <c r="A4188" s="841" t="s">
        <v>181</v>
      </c>
      <c r="E4188" s="1688" t="s">
        <v>4770</v>
      </c>
      <c r="F4188" s="1688"/>
      <c r="G4188" s="1408" t="s">
        <v>23</v>
      </c>
      <c r="H4188" s="391">
        <v>15</v>
      </c>
      <c r="M4188" s="1357"/>
      <c r="Q4188" s="1357"/>
      <c r="S4188" s="1420"/>
      <c r="T4188" s="1420"/>
      <c r="V4188" s="1357">
        <v>15</v>
      </c>
    </row>
    <row r="4189" spans="1:22" s="841" customFormat="1" ht="15" x14ac:dyDescent="0.25">
      <c r="A4189" s="841" t="s">
        <v>181</v>
      </c>
      <c r="E4189" s="1688" t="s">
        <v>3145</v>
      </c>
      <c r="F4189" s="1688"/>
      <c r="G4189" s="1408" t="s">
        <v>23</v>
      </c>
      <c r="H4189" s="391">
        <v>15</v>
      </c>
      <c r="M4189" s="1357"/>
      <c r="Q4189" s="1357"/>
      <c r="S4189" s="1420"/>
      <c r="T4189" s="1420"/>
      <c r="V4189" s="1357">
        <v>17</v>
      </c>
    </row>
    <row r="4190" spans="1:22" s="841" customFormat="1" ht="15" x14ac:dyDescent="0.25">
      <c r="A4190" s="841" t="s">
        <v>181</v>
      </c>
      <c r="E4190" s="1688" t="s">
        <v>3151</v>
      </c>
      <c r="F4190" s="1688"/>
      <c r="G4190" s="1408" t="s">
        <v>23</v>
      </c>
      <c r="H4190" s="391">
        <v>15</v>
      </c>
      <c r="M4190" s="1357"/>
      <c r="Q4190" s="1357"/>
      <c r="S4190" s="1420"/>
      <c r="T4190" s="1420"/>
      <c r="V4190" s="1357">
        <v>19</v>
      </c>
    </row>
    <row r="4191" spans="1:22" s="841" customFormat="1" ht="15" x14ac:dyDescent="0.25">
      <c r="A4191" s="841" t="s">
        <v>181</v>
      </c>
      <c r="E4191" s="1688" t="s">
        <v>3147</v>
      </c>
      <c r="F4191" s="1688"/>
      <c r="G4191" s="1408" t="s">
        <v>23</v>
      </c>
      <c r="H4191" s="391">
        <v>15</v>
      </c>
      <c r="M4191" s="1357"/>
      <c r="Q4191" s="1357"/>
      <c r="S4191" s="1420"/>
      <c r="T4191" s="1420"/>
      <c r="V4191" s="1357">
        <v>15</v>
      </c>
    </row>
    <row r="4192" spans="1:22" s="841" customFormat="1" ht="15" x14ac:dyDescent="0.25">
      <c r="A4192" s="841" t="s">
        <v>181</v>
      </c>
      <c r="E4192" s="1688" t="s">
        <v>3148</v>
      </c>
      <c r="F4192" s="1688"/>
      <c r="G4192" s="1408" t="s">
        <v>23</v>
      </c>
      <c r="H4192" s="391">
        <v>25</v>
      </c>
      <c r="M4192" s="1357"/>
      <c r="Q4192" s="1357"/>
      <c r="S4192" s="1420"/>
      <c r="T4192" s="1420"/>
      <c r="V4192" s="1357">
        <v>56</v>
      </c>
    </row>
    <row r="4193" spans="1:22" s="841" customFormat="1" ht="15" x14ac:dyDescent="0.25">
      <c r="A4193" s="841" t="s">
        <v>181</v>
      </c>
      <c r="E4193" s="1688" t="s">
        <v>123</v>
      </c>
      <c r="F4193" s="1688"/>
      <c r="G4193" s="1408" t="s">
        <v>23</v>
      </c>
      <c r="H4193" s="391">
        <v>25</v>
      </c>
      <c r="M4193" s="1357"/>
      <c r="Q4193" s="1357"/>
      <c r="S4193" s="1420"/>
      <c r="T4193" s="1420"/>
      <c r="V4193" s="1357">
        <v>35</v>
      </c>
    </row>
    <row r="4194" spans="1:22" s="841" customFormat="1" ht="15" x14ac:dyDescent="0.25">
      <c r="A4194" s="841" t="s">
        <v>181</v>
      </c>
      <c r="E4194" s="1688" t="s">
        <v>88</v>
      </c>
      <c r="F4194" s="1688"/>
      <c r="G4194" s="1408" t="s">
        <v>23</v>
      </c>
      <c r="H4194" s="391">
        <v>30</v>
      </c>
      <c r="M4194" s="1357"/>
      <c r="Q4194" s="1357"/>
      <c r="S4194" s="1420"/>
      <c r="T4194" s="1420"/>
      <c r="V4194" s="1357">
        <v>89</v>
      </c>
    </row>
    <row r="4195" spans="1:22" s="841" customFormat="1" ht="15" x14ac:dyDescent="0.25">
      <c r="A4195" s="841" t="s">
        <v>181</v>
      </c>
      <c r="E4195" s="1688" t="s">
        <v>94</v>
      </c>
      <c r="F4195" s="1688"/>
      <c r="G4195" s="1408" t="s">
        <v>23</v>
      </c>
      <c r="H4195" s="391">
        <v>30</v>
      </c>
      <c r="M4195" s="1357"/>
      <c r="Q4195" s="1357"/>
      <c r="S4195" s="1420"/>
      <c r="T4195" s="1420"/>
      <c r="V4195" s="1357">
        <v>19</v>
      </c>
    </row>
    <row r="4196" spans="1:22" s="841" customFormat="1" ht="15" x14ac:dyDescent="0.25">
      <c r="A4196" s="841" t="s">
        <v>181</v>
      </c>
      <c r="E4196" s="1688" t="s">
        <v>92</v>
      </c>
      <c r="F4196" s="1688"/>
      <c r="G4196" s="1408" t="s">
        <v>23</v>
      </c>
      <c r="H4196" s="391">
        <v>30</v>
      </c>
      <c r="M4196" s="1357"/>
      <c r="Q4196" s="1357"/>
      <c r="S4196" s="1420"/>
      <c r="T4196" s="1420"/>
      <c r="V4196" s="1357">
        <v>74</v>
      </c>
    </row>
    <row r="4197" spans="1:22" s="841" customFormat="1" ht="15" x14ac:dyDescent="0.25">
      <c r="A4197" s="841" t="s">
        <v>181</v>
      </c>
      <c r="E4197" s="1370" t="s">
        <v>3152</v>
      </c>
      <c r="F4197" s="3"/>
      <c r="G4197" s="3"/>
      <c r="H4197" s="398"/>
      <c r="K4197" s="841" t="s">
        <v>3803</v>
      </c>
      <c r="M4197" s="1357"/>
      <c r="Q4197" s="1357"/>
      <c r="S4197" s="1420"/>
      <c r="T4197" s="1420"/>
      <c r="V4197" s="1357">
        <v>22</v>
      </c>
    </row>
    <row r="4198" spans="1:22" s="841" customFormat="1" ht="15" x14ac:dyDescent="0.25">
      <c r="A4198" s="841" t="s">
        <v>181</v>
      </c>
      <c r="E4198" s="1688" t="s">
        <v>5137</v>
      </c>
      <c r="F4198" s="1688"/>
      <c r="G4198" s="1408" t="s">
        <v>86</v>
      </c>
      <c r="H4198" s="391">
        <v>1.5</v>
      </c>
      <c r="M4198" s="1357"/>
      <c r="Q4198" s="1357"/>
      <c r="S4198" s="1420"/>
      <c r="T4198" s="1420"/>
      <c r="V4198" s="1357">
        <v>24</v>
      </c>
    </row>
    <row r="4199" spans="1:22" s="841" customFormat="1" ht="15" x14ac:dyDescent="0.25">
      <c r="A4199" s="841" t="s">
        <v>181</v>
      </c>
      <c r="E4199" s="1688" t="s">
        <v>4772</v>
      </c>
      <c r="F4199" s="1688"/>
      <c r="G4199" s="1408" t="s">
        <v>86</v>
      </c>
      <c r="H4199" s="391">
        <v>19.559999999999999</v>
      </c>
      <c r="M4199" s="1357"/>
      <c r="Q4199" s="1357"/>
      <c r="S4199" s="1420"/>
      <c r="T4199" s="1420"/>
      <c r="V4199" s="1357">
        <v>24</v>
      </c>
    </row>
    <row r="4200" spans="1:22" s="841" customFormat="1" ht="15" x14ac:dyDescent="0.25">
      <c r="A4200" s="841" t="s">
        <v>181</v>
      </c>
      <c r="E4200" s="1688" t="s">
        <v>4773</v>
      </c>
      <c r="F4200" s="1688"/>
      <c r="G4200" s="1408" t="s">
        <v>23</v>
      </c>
      <c r="H4200" s="391">
        <v>65</v>
      </c>
      <c r="M4200" s="1357"/>
      <c r="Q4200" s="1357"/>
      <c r="S4200" s="1420"/>
      <c r="T4200" s="1420"/>
      <c r="V4200" s="1357">
        <v>52</v>
      </c>
    </row>
    <row r="4201" spans="1:22" s="841" customFormat="1" ht="15" x14ac:dyDescent="0.25">
      <c r="A4201" s="841" t="s">
        <v>181</v>
      </c>
      <c r="E4201" s="1688" t="s">
        <v>4774</v>
      </c>
      <c r="F4201" s="1688"/>
      <c r="G4201" s="1408" t="s">
        <v>23</v>
      </c>
      <c r="H4201" s="391">
        <v>185</v>
      </c>
      <c r="M4201" s="1357"/>
      <c r="Q4201" s="1357"/>
      <c r="S4201" s="1420"/>
      <c r="T4201" s="1420"/>
      <c r="V4201" s="1357">
        <v>51</v>
      </c>
    </row>
    <row r="4202" spans="1:22" s="841" customFormat="1" ht="15" x14ac:dyDescent="0.25">
      <c r="A4202" s="841" t="s">
        <v>181</v>
      </c>
      <c r="E4202" s="1688" t="s">
        <v>4775</v>
      </c>
      <c r="F4202" s="1688"/>
      <c r="G4202" s="1408" t="s">
        <v>23</v>
      </c>
      <c r="H4202" s="391">
        <v>185</v>
      </c>
      <c r="M4202" s="1357"/>
      <c r="Q4202" s="1357"/>
      <c r="S4202" s="1420"/>
      <c r="T4202" s="1420"/>
      <c r="V4202" s="1357">
        <v>51</v>
      </c>
    </row>
    <row r="4203" spans="1:22" s="841" customFormat="1" ht="15" x14ac:dyDescent="0.25">
      <c r="A4203" s="841" t="s">
        <v>181</v>
      </c>
      <c r="E4203" s="1688" t="s">
        <v>4776</v>
      </c>
      <c r="F4203" s="1688"/>
      <c r="G4203" s="1408" t="s">
        <v>23</v>
      </c>
      <c r="H4203" s="391">
        <v>415</v>
      </c>
      <c r="M4203" s="1357"/>
      <c r="Q4203" s="1357"/>
      <c r="S4203" s="1420"/>
      <c r="T4203" s="1420"/>
      <c r="V4203" s="1357">
        <v>50</v>
      </c>
    </row>
    <row r="4204" spans="1:22" s="841" customFormat="1" ht="15" x14ac:dyDescent="0.25">
      <c r="A4204" s="841" t="s">
        <v>181</v>
      </c>
      <c r="E4204" s="1688" t="s">
        <v>4777</v>
      </c>
      <c r="F4204" s="1688"/>
      <c r="G4204" s="1408" t="s">
        <v>23</v>
      </c>
      <c r="H4204" s="391">
        <v>65</v>
      </c>
      <c r="M4204" s="1357"/>
      <c r="Q4204" s="1357"/>
      <c r="S4204" s="1420"/>
      <c r="T4204" s="1420"/>
      <c r="V4204" s="1357">
        <v>57</v>
      </c>
    </row>
    <row r="4205" spans="1:22" s="841" customFormat="1" ht="15" x14ac:dyDescent="0.25">
      <c r="A4205" s="841" t="s">
        <v>181</v>
      </c>
      <c r="E4205" s="1688" t="s">
        <v>4778</v>
      </c>
      <c r="F4205" s="1688"/>
      <c r="G4205" s="1408" t="s">
        <v>23</v>
      </c>
      <c r="H4205" s="391">
        <v>185</v>
      </c>
      <c r="M4205" s="1357"/>
      <c r="Q4205" s="1357"/>
      <c r="S4205" s="1420"/>
      <c r="T4205" s="1420"/>
      <c r="V4205" s="1357">
        <v>56</v>
      </c>
    </row>
    <row r="4206" spans="1:22" s="841" customFormat="1" ht="15" x14ac:dyDescent="0.25">
      <c r="A4206" s="841" t="s">
        <v>181</v>
      </c>
      <c r="E4206" s="1370" t="s">
        <v>3164</v>
      </c>
      <c r="F4206" s="506"/>
      <c r="G4206" s="397"/>
      <c r="H4206" s="391"/>
      <c r="M4206" s="1357"/>
      <c r="Q4206" s="1357"/>
      <c r="S4206" s="1420"/>
      <c r="T4206" s="1420"/>
      <c r="V4206" s="1357">
        <v>5</v>
      </c>
    </row>
    <row r="4207" spans="1:22" s="841" customFormat="1" ht="15" x14ac:dyDescent="0.25">
      <c r="A4207" s="841" t="s">
        <v>181</v>
      </c>
      <c r="E4207" s="1688" t="s">
        <v>3167</v>
      </c>
      <c r="F4207" s="1688"/>
      <c r="G4207" s="1408" t="s">
        <v>23</v>
      </c>
      <c r="H4207" s="391">
        <v>65</v>
      </c>
      <c r="M4207" s="1357"/>
      <c r="Q4207" s="1357"/>
      <c r="S4207" s="1420"/>
      <c r="T4207" s="1420"/>
      <c r="V4207" s="1357">
        <v>39</v>
      </c>
    </row>
    <row r="4208" spans="1:22" s="841" customFormat="1" ht="15" x14ac:dyDescent="0.25">
      <c r="A4208" s="841" t="s">
        <v>181</v>
      </c>
      <c r="E4208" s="1688" t="s">
        <v>3168</v>
      </c>
      <c r="F4208" s="1688"/>
      <c r="G4208" s="1408" t="s">
        <v>23</v>
      </c>
      <c r="H4208" s="391">
        <v>165</v>
      </c>
      <c r="M4208" s="1357"/>
      <c r="Q4208" s="1357"/>
      <c r="S4208" s="1420"/>
      <c r="T4208" s="1420"/>
      <c r="V4208" s="1357">
        <v>34</v>
      </c>
    </row>
    <row r="4209" spans="1:22" s="841" customFormat="1" ht="15" x14ac:dyDescent="0.25">
      <c r="A4209" s="841" t="s">
        <v>181</v>
      </c>
      <c r="E4209" s="1688" t="s">
        <v>3502</v>
      </c>
      <c r="F4209" s="1688"/>
      <c r="G4209" s="1408" t="s">
        <v>23</v>
      </c>
      <c r="H4209" s="391">
        <v>22.35</v>
      </c>
      <c r="M4209" s="1357"/>
      <c r="Q4209" s="1357"/>
      <c r="S4209" s="1420"/>
      <c r="T4209" s="1420"/>
      <c r="V4209" s="1357">
        <v>104</v>
      </c>
    </row>
    <row r="4210" spans="1:22" s="841" customFormat="1" ht="36.75" x14ac:dyDescent="0.3">
      <c r="A4210" s="841" t="s">
        <v>181</v>
      </c>
      <c r="E4210" s="1374" t="s">
        <v>77</v>
      </c>
      <c r="F4210" s="657"/>
      <c r="G4210" s="657"/>
      <c r="H4210" s="658"/>
      <c r="K4210" s="841" t="s">
        <v>3804</v>
      </c>
      <c r="M4210" s="1357"/>
      <c r="Q4210" s="1357"/>
      <c r="S4210" s="1420"/>
      <c r="T4210" s="1420"/>
      <c r="V4210" s="1357">
        <v>38</v>
      </c>
    </row>
    <row r="4211" spans="1:22" s="841" customFormat="1" ht="15" x14ac:dyDescent="0.25">
      <c r="A4211" s="841" t="s">
        <v>181</v>
      </c>
      <c r="E4211" s="1689" t="s">
        <v>3493</v>
      </c>
      <c r="F4211" s="1689"/>
      <c r="G4211" s="1689"/>
      <c r="H4211" s="1689"/>
      <c r="M4211" s="1357"/>
      <c r="Q4211" s="1357"/>
      <c r="S4211" s="1420"/>
      <c r="T4211" s="1420"/>
      <c r="V4211" s="1357">
        <v>272</v>
      </c>
    </row>
    <row r="4212" spans="1:22" s="841" customFormat="1" ht="15" x14ac:dyDescent="0.25">
      <c r="A4212" s="841" t="s">
        <v>181</v>
      </c>
      <c r="E4212" s="1689" t="s">
        <v>3494</v>
      </c>
      <c r="F4212" s="1689"/>
      <c r="G4212" s="1689"/>
      <c r="H4212" s="1689"/>
      <c r="M4212" s="1357"/>
      <c r="Q4212" s="1357"/>
      <c r="S4212" s="1420"/>
      <c r="T4212" s="1420"/>
      <c r="V4212" s="1357">
        <v>403</v>
      </c>
    </row>
    <row r="4213" spans="1:22" s="841" customFormat="1" ht="15" x14ac:dyDescent="0.25">
      <c r="A4213" s="841" t="s">
        <v>181</v>
      </c>
      <c r="E4213" s="1689" t="s">
        <v>3129</v>
      </c>
      <c r="F4213" s="1689"/>
      <c r="G4213" s="1689"/>
      <c r="H4213" s="1689"/>
      <c r="M4213" s="1357"/>
      <c r="Q4213" s="1357"/>
      <c r="S4213" s="1420"/>
      <c r="T4213" s="1420"/>
      <c r="V4213" s="1357">
        <v>211</v>
      </c>
    </row>
    <row r="4214" spans="1:22" s="841" customFormat="1" ht="15" x14ac:dyDescent="0.25">
      <c r="A4214" s="841" t="s">
        <v>181</v>
      </c>
      <c r="E4214" s="1689" t="s">
        <v>3200</v>
      </c>
      <c r="F4214" s="1689"/>
      <c r="G4214" s="1689"/>
      <c r="H4214" s="1689"/>
      <c r="M4214" s="1357"/>
      <c r="Q4214" s="1357"/>
      <c r="S4214" s="1420"/>
      <c r="T4214" s="1420"/>
      <c r="V4214" s="1357">
        <v>275</v>
      </c>
    </row>
    <row r="4215" spans="1:22" s="841" customFormat="1" ht="15" x14ac:dyDescent="0.25">
      <c r="A4215" s="841" t="s">
        <v>181</v>
      </c>
      <c r="E4215" s="1689" t="s">
        <v>3291</v>
      </c>
      <c r="F4215" s="1689"/>
      <c r="G4215" s="1689"/>
      <c r="H4215" s="1689"/>
      <c r="M4215" s="1357"/>
      <c r="Q4215" s="1357"/>
      <c r="S4215" s="1420"/>
      <c r="T4215" s="1420"/>
      <c r="V4215" s="1357">
        <v>142</v>
      </c>
    </row>
    <row r="4216" spans="1:22" s="841" customFormat="1" ht="15" x14ac:dyDescent="0.25">
      <c r="A4216" s="841" t="s">
        <v>181</v>
      </c>
      <c r="E4216" s="1690" t="s">
        <v>3176</v>
      </c>
      <c r="F4216" s="1690"/>
      <c r="G4216" s="397" t="s">
        <v>23</v>
      </c>
      <c r="H4216" s="391">
        <v>100</v>
      </c>
      <c r="M4216" s="1357"/>
      <c r="Q4216" s="1357"/>
      <c r="S4216" s="1420"/>
      <c r="T4216" s="1420"/>
      <c r="V4216" s="1357">
        <v>106</v>
      </c>
    </row>
    <row r="4217" spans="1:22" s="841" customFormat="1" ht="15" x14ac:dyDescent="0.25">
      <c r="A4217" s="841" t="s">
        <v>181</v>
      </c>
      <c r="E4217" s="1690" t="s">
        <v>5140</v>
      </c>
      <c r="F4217" s="1690"/>
      <c r="G4217" s="397" t="s">
        <v>23</v>
      </c>
      <c r="H4217" s="391">
        <v>20</v>
      </c>
      <c r="M4217" s="1357"/>
      <c r="Q4217" s="1357"/>
      <c r="S4217" s="1420"/>
      <c r="T4217" s="1420"/>
      <c r="V4217" s="1357">
        <v>34</v>
      </c>
    </row>
    <row r="4218" spans="1:22" s="841" customFormat="1" ht="15" x14ac:dyDescent="0.25">
      <c r="A4218" s="841" t="s">
        <v>181</v>
      </c>
      <c r="E4218" s="1690" t="s">
        <v>5141</v>
      </c>
      <c r="F4218" s="1690"/>
      <c r="G4218" s="397" t="s">
        <v>3179</v>
      </c>
      <c r="H4218" s="391">
        <v>0.5</v>
      </c>
      <c r="M4218" s="1357"/>
      <c r="Q4218" s="1357"/>
      <c r="S4218" s="1420"/>
      <c r="T4218" s="1420"/>
      <c r="V4218" s="1357">
        <v>51</v>
      </c>
    </row>
    <row r="4219" spans="1:22" s="841" customFormat="1" ht="15" x14ac:dyDescent="0.25">
      <c r="A4219" s="841" t="s">
        <v>181</v>
      </c>
      <c r="E4219" s="1690" t="s">
        <v>3180</v>
      </c>
      <c r="F4219" s="1690"/>
      <c r="G4219" s="397" t="s">
        <v>3179</v>
      </c>
      <c r="H4219" s="391">
        <v>0.3</v>
      </c>
      <c r="M4219" s="1357"/>
      <c r="Q4219" s="1357"/>
      <c r="S4219" s="1420"/>
      <c r="T4219" s="1420"/>
      <c r="V4219" s="1357">
        <v>75</v>
      </c>
    </row>
    <row r="4220" spans="1:22" s="841" customFormat="1" ht="15" x14ac:dyDescent="0.25">
      <c r="A4220" s="841" t="s">
        <v>181</v>
      </c>
      <c r="E4220" s="1690" t="s">
        <v>3181</v>
      </c>
      <c r="F4220" s="1690"/>
      <c r="G4220" s="397" t="s">
        <v>3179</v>
      </c>
      <c r="H4220" s="391">
        <v>-0.3</v>
      </c>
      <c r="M4220" s="1357"/>
      <c r="Q4220" s="1357"/>
      <c r="S4220" s="1420"/>
      <c r="T4220" s="1420"/>
      <c r="V4220" s="1357">
        <v>72</v>
      </c>
    </row>
    <row r="4221" spans="1:22" s="841" customFormat="1" ht="15" x14ac:dyDescent="0.25">
      <c r="A4221" s="841" t="s">
        <v>181</v>
      </c>
      <c r="E4221" s="1690" t="s">
        <v>3292</v>
      </c>
      <c r="F4221" s="1690"/>
      <c r="G4221" s="397"/>
      <c r="H4221" s="392"/>
      <c r="M4221" s="1357"/>
      <c r="Q4221" s="1357"/>
      <c r="S4221" s="1420"/>
      <c r="T4221" s="1420"/>
      <c r="V4221" s="1357">
        <v>34</v>
      </c>
    </row>
    <row r="4222" spans="1:22" s="841" customFormat="1" ht="15" x14ac:dyDescent="0.25">
      <c r="A4222" s="841" t="s">
        <v>181</v>
      </c>
      <c r="E4222" s="1691" t="s">
        <v>3183</v>
      </c>
      <c r="F4222" s="1691"/>
      <c r="G4222" s="397" t="s">
        <v>23</v>
      </c>
      <c r="H4222" s="391">
        <v>0.25</v>
      </c>
      <c r="M4222" s="1357"/>
      <c r="Q4222" s="1357"/>
      <c r="S4222" s="1420"/>
      <c r="T4222" s="1420"/>
      <c r="V4222" s="1357">
        <v>57</v>
      </c>
    </row>
    <row r="4223" spans="1:22" s="841" customFormat="1" ht="15" x14ac:dyDescent="0.25">
      <c r="A4223" s="841" t="s">
        <v>181</v>
      </c>
      <c r="E4223" s="1691" t="s">
        <v>3184</v>
      </c>
      <c r="F4223" s="1691"/>
      <c r="G4223" s="397" t="s">
        <v>23</v>
      </c>
      <c r="H4223" s="391">
        <v>0.5</v>
      </c>
      <c r="M4223" s="1357"/>
      <c r="Q4223" s="1357"/>
      <c r="S4223" s="1420"/>
      <c r="T4223" s="1420"/>
      <c r="V4223" s="1357">
        <v>60</v>
      </c>
    </row>
    <row r="4224" spans="1:22" s="841" customFormat="1" ht="15" x14ac:dyDescent="0.25">
      <c r="A4224" s="841" t="s">
        <v>181</v>
      </c>
      <c r="E4224" s="1690" t="s">
        <v>3185</v>
      </c>
      <c r="F4224" s="1690"/>
      <c r="G4224" s="397"/>
      <c r="H4224" s="392"/>
      <c r="M4224" s="1357"/>
      <c r="Q4224" s="1357"/>
      <c r="S4224" s="1420"/>
      <c r="T4224" s="1420"/>
      <c r="V4224" s="1357">
        <v>91</v>
      </c>
    </row>
    <row r="4225" spans="1:22" s="841" customFormat="1" ht="15" x14ac:dyDescent="0.25">
      <c r="A4225" s="841" t="s">
        <v>181</v>
      </c>
      <c r="E4225" s="1690" t="s">
        <v>3186</v>
      </c>
      <c r="F4225" s="1690"/>
      <c r="G4225" s="397"/>
      <c r="H4225" s="392"/>
      <c r="M4225" s="1357"/>
      <c r="Q4225" s="1357"/>
      <c r="S4225" s="1420"/>
      <c r="T4225" s="1420"/>
      <c r="V4225" s="1357">
        <v>96</v>
      </c>
    </row>
    <row r="4226" spans="1:22" s="841" customFormat="1" ht="15" x14ac:dyDescent="0.25">
      <c r="A4226" s="841" t="s">
        <v>181</v>
      </c>
      <c r="E4226" s="1690" t="s">
        <v>3293</v>
      </c>
      <c r="F4226" s="1690"/>
      <c r="G4226" s="397"/>
      <c r="H4226" s="392"/>
      <c r="M4226" s="1357"/>
      <c r="Q4226" s="1357"/>
      <c r="S4226" s="1420"/>
      <c r="T4226" s="1420"/>
      <c r="V4226" s="1357">
        <v>77</v>
      </c>
    </row>
    <row r="4227" spans="1:22" s="841" customFormat="1" ht="15" x14ac:dyDescent="0.25">
      <c r="A4227" s="841" t="s">
        <v>181</v>
      </c>
      <c r="E4227" s="1691" t="s">
        <v>3188</v>
      </c>
      <c r="F4227" s="1691"/>
      <c r="G4227" s="397" t="s">
        <v>23</v>
      </c>
      <c r="H4227" s="392" t="s">
        <v>3189</v>
      </c>
      <c r="M4227" s="1357"/>
      <c r="Q4227" s="1357"/>
      <c r="S4227" s="1420"/>
      <c r="T4227" s="1420"/>
      <c r="V4227" s="1357">
        <v>18</v>
      </c>
    </row>
    <row r="4228" spans="1:22" s="841" customFormat="1" ht="15" x14ac:dyDescent="0.25">
      <c r="A4228" s="841" t="s">
        <v>181</v>
      </c>
      <c r="E4228" s="1691" t="s">
        <v>3190</v>
      </c>
      <c r="F4228" s="1691"/>
      <c r="G4228" s="397" t="s">
        <v>23</v>
      </c>
      <c r="H4228" s="391">
        <v>2</v>
      </c>
      <c r="M4228" s="1357"/>
      <c r="Q4228" s="1357"/>
      <c r="S4228" s="1420"/>
      <c r="T4228" s="1420"/>
      <c r="V4228" s="1357">
        <v>69</v>
      </c>
    </row>
    <row r="4229" spans="1:22" s="841" customFormat="1" ht="18.75" x14ac:dyDescent="0.3">
      <c r="A4229" s="841" t="s">
        <v>181</v>
      </c>
      <c r="E4229" s="1374" t="s">
        <v>147</v>
      </c>
      <c r="F4229" s="657"/>
      <c r="G4229" s="657"/>
      <c r="H4229" s="658"/>
      <c r="K4229" s="841" t="s">
        <v>3805</v>
      </c>
      <c r="M4229" s="1357"/>
      <c r="Q4229" s="1357"/>
      <c r="S4229" s="1420"/>
      <c r="T4229" s="1420"/>
      <c r="V4229" s="1357">
        <v>12</v>
      </c>
    </row>
    <row r="4230" spans="1:22" s="841" customFormat="1" ht="15" x14ac:dyDescent="0.25">
      <c r="A4230" s="841" t="s">
        <v>181</v>
      </c>
      <c r="E4230" s="1704" t="s">
        <v>3192</v>
      </c>
      <c r="F4230" s="1704"/>
      <c r="G4230" s="1704"/>
      <c r="H4230" s="1704"/>
      <c r="M4230" s="1357"/>
      <c r="Q4230" s="1357"/>
      <c r="S4230" s="1420"/>
      <c r="T4230" s="1420"/>
      <c r="V4230" s="1357">
        <v>203</v>
      </c>
    </row>
    <row r="4231" spans="1:22" s="841" customFormat="1" ht="15" x14ac:dyDescent="0.25">
      <c r="A4231" s="841" t="s">
        <v>181</v>
      </c>
      <c r="E4231" s="1690" t="s">
        <v>3295</v>
      </c>
      <c r="F4231" s="1690"/>
      <c r="G4231" s="1408"/>
      <c r="H4231" s="393">
        <v>1.0469999999999999</v>
      </c>
      <c r="M4231" s="1357"/>
      <c r="Q4231" s="1357"/>
      <c r="S4231" s="1420"/>
      <c r="T4231" s="1420"/>
      <c r="V4231" s="1357">
        <v>57</v>
      </c>
    </row>
    <row r="4232" spans="1:22" s="841" customFormat="1" ht="15" x14ac:dyDescent="0.25">
      <c r="A4232" s="841" t="s">
        <v>181</v>
      </c>
      <c r="E4232" s="1690" t="s">
        <v>3297</v>
      </c>
      <c r="F4232" s="1690"/>
      <c r="G4232" s="1408"/>
      <c r="H4232" s="393">
        <v>1.0365</v>
      </c>
      <c r="J4232" s="841" t="s">
        <v>3806</v>
      </c>
      <c r="M4232" s="1357"/>
      <c r="Q4232" s="1357"/>
      <c r="S4232" s="1420"/>
      <c r="T4232" s="1420"/>
      <c r="V4232" s="1357">
        <v>55</v>
      </c>
    </row>
    <row r="4233" spans="1:22" s="841" customFormat="1" ht="23.25" x14ac:dyDescent="0.25">
      <c r="A4233" s="841" t="s">
        <v>625</v>
      </c>
      <c r="C4233" s="841" t="s">
        <v>3050</v>
      </c>
      <c r="E4233" s="2086" t="s">
        <v>625</v>
      </c>
      <c r="F4233" s="2086"/>
      <c r="G4233" s="2086"/>
      <c r="H4233" s="2086"/>
      <c r="I4233" s="841" t="s">
        <v>628</v>
      </c>
      <c r="J4233" s="841" t="s">
        <v>3807</v>
      </c>
      <c r="K4233" s="841" t="s">
        <v>625</v>
      </c>
      <c r="M4233" s="1357">
        <v>8</v>
      </c>
      <c r="Q4233" s="1357"/>
      <c r="S4233" s="1420"/>
      <c r="T4233" s="1420"/>
      <c r="V4233" s="1357">
        <v>26</v>
      </c>
    </row>
    <row r="4234" spans="1:22" s="841" customFormat="1" x14ac:dyDescent="0.25">
      <c r="A4234" s="841" t="s">
        <v>625</v>
      </c>
      <c r="C4234" s="841" t="s">
        <v>3052</v>
      </c>
      <c r="E4234" s="2001" t="s">
        <v>3053</v>
      </c>
      <c r="F4234" s="2001"/>
      <c r="G4234" s="2001"/>
      <c r="H4234" s="2001"/>
      <c r="M4234" s="1357"/>
      <c r="Q4234" s="1357"/>
      <c r="S4234" s="1420"/>
      <c r="T4234" s="1420"/>
      <c r="V4234" s="1357">
        <v>27</v>
      </c>
    </row>
    <row r="4235" spans="1:22" s="841" customFormat="1" ht="15.75" x14ac:dyDescent="0.25">
      <c r="A4235" s="841" t="s">
        <v>625</v>
      </c>
      <c r="C4235" s="841" t="s">
        <v>3054</v>
      </c>
      <c r="E4235" s="2087" t="s">
        <v>5101</v>
      </c>
      <c r="F4235" s="2087"/>
      <c r="G4235" s="2087"/>
      <c r="H4235" s="2087"/>
      <c r="M4235" s="1357"/>
      <c r="Q4235" s="1357"/>
      <c r="S4235" s="1420">
        <v>43101</v>
      </c>
      <c r="T4235" s="1420"/>
      <c r="V4235" s="1357">
        <v>49</v>
      </c>
    </row>
    <row r="4236" spans="1:22" s="841" customFormat="1" ht="15" x14ac:dyDescent="0.25">
      <c r="A4236" s="841" t="s">
        <v>625</v>
      </c>
      <c r="C4236" s="841" t="s">
        <v>3055</v>
      </c>
      <c r="E4236" s="2088" t="s">
        <v>3056</v>
      </c>
      <c r="F4236" s="2088"/>
      <c r="G4236" s="2088"/>
      <c r="H4236" s="2088"/>
      <c r="M4236" s="1357"/>
      <c r="Q4236" s="1357"/>
      <c r="S4236" s="1420"/>
      <c r="T4236" s="1420"/>
      <c r="V4236" s="1357">
        <v>52</v>
      </c>
    </row>
    <row r="4237" spans="1:22" s="841" customFormat="1" ht="15" x14ac:dyDescent="0.25">
      <c r="A4237" s="841" t="s">
        <v>625</v>
      </c>
      <c r="E4237" s="2088" t="s">
        <v>3057</v>
      </c>
      <c r="F4237" s="2088"/>
      <c r="G4237" s="2088"/>
      <c r="H4237" s="2088"/>
      <c r="M4237" s="1357"/>
      <c r="Q4237" s="1357"/>
      <c r="S4237" s="1420"/>
      <c r="T4237" s="1420"/>
      <c r="V4237" s="1357">
        <v>53</v>
      </c>
    </row>
    <row r="4238" spans="1:22" s="841" customFormat="1" ht="15" x14ac:dyDescent="0.25">
      <c r="A4238" s="841" t="s">
        <v>625</v>
      </c>
      <c r="E4238" s="2089" t="s">
        <v>5457</v>
      </c>
      <c r="F4238" s="2089"/>
      <c r="G4238" s="2089"/>
      <c r="H4238" s="2089"/>
      <c r="K4238" s="841" t="s">
        <v>5457</v>
      </c>
      <c r="M4238" s="1357"/>
      <c r="Q4238" s="1357"/>
      <c r="S4238" s="1420"/>
      <c r="T4238" s="1420"/>
      <c r="V4238" s="1357">
        <v>12</v>
      </c>
    </row>
    <row r="4239" spans="1:22" s="841" customFormat="1" ht="15" x14ac:dyDescent="0.25">
      <c r="A4239" s="841" t="s">
        <v>625</v>
      </c>
      <c r="E4239" s="1967" t="s">
        <v>438</v>
      </c>
      <c r="F4239" s="1977"/>
      <c r="G4239" s="1977"/>
      <c r="H4239" s="1977"/>
      <c r="K4239" s="841" t="s">
        <v>3197</v>
      </c>
      <c r="M4239" s="1357"/>
      <c r="Q4239" s="1357"/>
      <c r="S4239" s="1420"/>
      <c r="T4239" s="1420"/>
      <c r="V4239" s="1357">
        <v>34</v>
      </c>
    </row>
    <row r="4240" spans="1:22" s="841" customFormat="1" ht="15" x14ac:dyDescent="0.25">
      <c r="A4240" s="841" t="s">
        <v>625</v>
      </c>
      <c r="E4240" s="1939" t="s">
        <v>3808</v>
      </c>
      <c r="F4240" s="1939"/>
      <c r="G4240" s="1939"/>
      <c r="H4240" s="1939"/>
      <c r="K4240" s="841" t="s">
        <v>3197</v>
      </c>
      <c r="M4240" s="1357"/>
      <c r="Q4240" s="1357"/>
      <c r="S4240" s="1420"/>
      <c r="T4240" s="1420"/>
      <c r="V4240" s="1357">
        <v>718</v>
      </c>
    </row>
    <row r="4241" spans="1:22" s="841" customFormat="1" ht="15" x14ac:dyDescent="0.25">
      <c r="A4241" s="841" t="s">
        <v>625</v>
      </c>
      <c r="E4241" s="1935" t="s">
        <v>3061</v>
      </c>
      <c r="F4241" s="1697"/>
      <c r="G4241" s="1697"/>
      <c r="H4241" s="1697"/>
      <c r="K4241" s="841" t="s">
        <v>3062</v>
      </c>
      <c r="M4241" s="1357"/>
      <c r="Q4241" s="1357"/>
      <c r="S4241" s="1420"/>
      <c r="T4241" s="1420"/>
      <c r="V4241" s="1357">
        <v>11</v>
      </c>
    </row>
    <row r="4242" spans="1:22" s="841" customFormat="1" ht="15" x14ac:dyDescent="0.25">
      <c r="A4242" s="841" t="s">
        <v>625</v>
      </c>
      <c r="E4242" s="1939" t="s">
        <v>3063</v>
      </c>
      <c r="F4242" s="1939"/>
      <c r="G4242" s="1939"/>
      <c r="H4242" s="1939"/>
      <c r="K4242" s="841" t="s">
        <v>3197</v>
      </c>
      <c r="M4242" s="1357"/>
      <c r="Q4242" s="1357"/>
      <c r="S4242" s="1420"/>
      <c r="T4242" s="1420"/>
      <c r="V4242" s="1357">
        <v>280</v>
      </c>
    </row>
    <row r="4243" spans="1:22" s="841" customFormat="1" ht="15" x14ac:dyDescent="0.25">
      <c r="A4243" s="841" t="s">
        <v>625</v>
      </c>
      <c r="E4243" s="1939" t="s">
        <v>3064</v>
      </c>
      <c r="F4243" s="1939"/>
      <c r="G4243" s="1939"/>
      <c r="H4243" s="1939"/>
      <c r="K4243" s="841" t="s">
        <v>3197</v>
      </c>
      <c r="M4243" s="1357"/>
      <c r="Q4243" s="1357"/>
      <c r="S4243" s="1420"/>
      <c r="T4243" s="1420"/>
      <c r="V4243" s="1357">
        <v>411</v>
      </c>
    </row>
    <row r="4244" spans="1:22" s="841" customFormat="1" ht="15" x14ac:dyDescent="0.25">
      <c r="A4244" s="841" t="s">
        <v>625</v>
      </c>
      <c r="E4244" s="1939" t="s">
        <v>3809</v>
      </c>
      <c r="F4244" s="1939"/>
      <c r="G4244" s="1939"/>
      <c r="H4244" s="1939"/>
      <c r="K4244" s="841" t="s">
        <v>3197</v>
      </c>
      <c r="M4244" s="1357"/>
      <c r="Q4244" s="1357"/>
      <c r="S4244" s="1420"/>
      <c r="T4244" s="1420"/>
      <c r="V4244" s="1357">
        <v>385</v>
      </c>
    </row>
    <row r="4245" spans="1:22" s="841" customFormat="1" ht="15" x14ac:dyDescent="0.25">
      <c r="A4245" s="841" t="s">
        <v>625</v>
      </c>
      <c r="E4245" s="1939" t="s">
        <v>3810</v>
      </c>
      <c r="F4245" s="1939"/>
      <c r="G4245" s="1939"/>
      <c r="H4245" s="1939"/>
      <c r="K4245" s="841" t="s">
        <v>3197</v>
      </c>
      <c r="M4245" s="1357"/>
      <c r="Q4245" s="1357"/>
      <c r="S4245" s="1420"/>
      <c r="T4245" s="1420"/>
      <c r="V4245" s="1357">
        <v>246</v>
      </c>
    </row>
    <row r="4246" spans="1:22" s="841" customFormat="1" ht="15" x14ac:dyDescent="0.25">
      <c r="A4246" s="841" t="s">
        <v>625</v>
      </c>
      <c r="E4246" s="1930" t="s">
        <v>3067</v>
      </c>
      <c r="F4246" s="1693"/>
      <c r="G4246" s="1693"/>
      <c r="H4246" s="1693"/>
      <c r="K4246" s="841" t="s">
        <v>3068</v>
      </c>
      <c r="M4246" s="1357"/>
      <c r="Q4246" s="1357"/>
      <c r="S4246" s="1420"/>
      <c r="T4246" s="1420"/>
      <c r="V4246" s="1357">
        <v>46</v>
      </c>
    </row>
    <row r="4247" spans="1:22" s="841" customFormat="1" ht="15" x14ac:dyDescent="0.25">
      <c r="A4247" s="841" t="s">
        <v>625</v>
      </c>
      <c r="E4247" s="1934" t="s">
        <v>11</v>
      </c>
      <c r="F4247" s="1934"/>
      <c r="G4247" s="1064" t="s">
        <v>23</v>
      </c>
      <c r="H4247" s="600">
        <v>25.26</v>
      </c>
      <c r="K4247" s="841" t="s">
        <v>3197</v>
      </c>
      <c r="L4247" s="841" t="s">
        <v>442</v>
      </c>
      <c r="M4247" s="1357"/>
      <c r="P4247" s="841" t="s">
        <v>3201</v>
      </c>
      <c r="Q4247" s="1357"/>
      <c r="S4247" s="1420"/>
      <c r="T4247" s="1420"/>
      <c r="V4247" s="1357">
        <v>14</v>
      </c>
    </row>
    <row r="4248" spans="1:22" s="841" customFormat="1" ht="15" x14ac:dyDescent="0.25">
      <c r="A4248" s="841" t="s">
        <v>625</v>
      </c>
      <c r="E4248" s="1934" t="s">
        <v>423</v>
      </c>
      <c r="F4248" s="1934"/>
      <c r="G4248" s="1064" t="s">
        <v>23</v>
      </c>
      <c r="H4248" s="699">
        <v>0.79</v>
      </c>
      <c r="K4248" s="841" t="s">
        <v>3197</v>
      </c>
      <c r="L4248" s="841" t="s">
        <v>443</v>
      </c>
      <c r="M4248" s="1357"/>
      <c r="P4248" s="841" t="s">
        <v>3202</v>
      </c>
      <c r="Q4248" s="1357"/>
      <c r="S4248" s="1420"/>
      <c r="T4248" s="1420">
        <v>43404</v>
      </c>
      <c r="V4248" s="1357">
        <v>78</v>
      </c>
    </row>
    <row r="4249" spans="1:22" s="841" customFormat="1" ht="15" x14ac:dyDescent="0.25">
      <c r="A4249" s="841" t="s">
        <v>625</v>
      </c>
      <c r="E4249" s="1934" t="s">
        <v>84</v>
      </c>
      <c r="F4249" s="1934"/>
      <c r="G4249" s="1064" t="s">
        <v>24</v>
      </c>
      <c r="H4249" s="606">
        <v>3.3999999999999998E-3</v>
      </c>
      <c r="K4249" s="841" t="s">
        <v>3197</v>
      </c>
      <c r="L4249" s="841" t="s">
        <v>442</v>
      </c>
      <c r="M4249" s="1357"/>
      <c r="P4249" s="841" t="s">
        <v>3203</v>
      </c>
      <c r="Q4249" s="1357"/>
      <c r="S4249" s="1420"/>
      <c r="T4249" s="1420"/>
      <c r="V4249" s="1357">
        <v>28</v>
      </c>
    </row>
    <row r="4250" spans="1:22" s="841" customFormat="1" ht="15" x14ac:dyDescent="0.25">
      <c r="A4250" s="841" t="s">
        <v>625</v>
      </c>
      <c r="E4250" s="1934" t="s">
        <v>18</v>
      </c>
      <c r="F4250" s="1934"/>
      <c r="G4250" s="1064" t="s">
        <v>24</v>
      </c>
      <c r="H4250" s="606">
        <v>1E-3</v>
      </c>
      <c r="K4250" s="841" t="s">
        <v>3197</v>
      </c>
      <c r="L4250" s="841" t="s">
        <v>443</v>
      </c>
      <c r="M4250" s="1357"/>
      <c r="P4250" s="841" t="s">
        <v>3204</v>
      </c>
      <c r="Q4250" s="1357"/>
      <c r="S4250" s="1420"/>
      <c r="T4250" s="1420"/>
      <c r="V4250" s="1357">
        <v>24</v>
      </c>
    </row>
    <row r="4251" spans="1:22" s="841" customFormat="1" ht="15" x14ac:dyDescent="0.25">
      <c r="A4251" s="841" t="s">
        <v>625</v>
      </c>
      <c r="E4251" s="1934" t="s">
        <v>5143</v>
      </c>
      <c r="F4251" s="1962"/>
      <c r="G4251" s="1064" t="s">
        <v>24</v>
      </c>
      <c r="H4251" s="675">
        <v>-4.0000000000000002E-4</v>
      </c>
      <c r="K4251" s="841" t="s">
        <v>3197</v>
      </c>
      <c r="L4251" s="841" t="s">
        <v>443</v>
      </c>
      <c r="M4251" s="1357"/>
      <c r="P4251" s="841" t="s">
        <v>3205</v>
      </c>
      <c r="Q4251" s="1357"/>
      <c r="S4251" s="1420"/>
      <c r="T4251" s="1420">
        <v>43465</v>
      </c>
      <c r="V4251" s="1357">
        <v>142</v>
      </c>
    </row>
    <row r="4252" spans="1:22" s="841" customFormat="1" ht="15" x14ac:dyDescent="0.25">
      <c r="A4252" s="841" t="s">
        <v>625</v>
      </c>
      <c r="E4252" s="1934" t="s">
        <v>5144</v>
      </c>
      <c r="F4252" s="1962"/>
      <c r="G4252" s="1064" t="s">
        <v>24</v>
      </c>
      <c r="H4252" s="675">
        <v>2.3E-3</v>
      </c>
      <c r="K4252" s="841" t="s">
        <v>3197</v>
      </c>
      <c r="L4252" s="841" t="s">
        <v>443</v>
      </c>
      <c r="M4252" s="1357"/>
      <c r="P4252" s="841" t="s">
        <v>3207</v>
      </c>
      <c r="Q4252" s="1357"/>
      <c r="S4252" s="1420"/>
      <c r="T4252" s="1420">
        <v>43465</v>
      </c>
      <c r="V4252" s="1357">
        <v>99</v>
      </c>
    </row>
    <row r="4253" spans="1:22" s="841" customFormat="1" ht="15" x14ac:dyDescent="0.25">
      <c r="A4253" s="841" t="s">
        <v>625</v>
      </c>
      <c r="E4253" s="1934" t="s">
        <v>221</v>
      </c>
      <c r="F4253" s="1962"/>
      <c r="G4253" s="1064" t="s">
        <v>24</v>
      </c>
      <c r="H4253" s="675">
        <v>7.0000000000000001E-3</v>
      </c>
      <c r="K4253" s="841" t="s">
        <v>3197</v>
      </c>
      <c r="L4253" s="841" t="s">
        <v>444</v>
      </c>
      <c r="M4253" s="1357"/>
      <c r="P4253" s="841" t="s">
        <v>3208</v>
      </c>
      <c r="Q4253" s="1357"/>
      <c r="S4253" s="1420"/>
      <c r="T4253" s="1420"/>
      <c r="V4253" s="1357">
        <v>47</v>
      </c>
    </row>
    <row r="4254" spans="1:22" s="841" customFormat="1" ht="15" x14ac:dyDescent="0.25">
      <c r="A4254" s="841" t="s">
        <v>625</v>
      </c>
      <c r="E4254" s="1934" t="s">
        <v>217</v>
      </c>
      <c r="F4254" s="1962"/>
      <c r="G4254" s="1064" t="s">
        <v>24</v>
      </c>
      <c r="H4254" s="675">
        <v>3.5999999999999999E-3</v>
      </c>
      <c r="K4254" s="841" t="s">
        <v>3197</v>
      </c>
      <c r="L4254" s="841" t="s">
        <v>444</v>
      </c>
      <c r="M4254" s="1357"/>
      <c r="P4254" s="841" t="s">
        <v>3209</v>
      </c>
      <c r="Q4254" s="1357"/>
      <c r="S4254" s="1420"/>
      <c r="T4254" s="1420"/>
      <c r="V4254" s="1357">
        <v>74</v>
      </c>
    </row>
    <row r="4255" spans="1:22" s="841" customFormat="1" ht="15" x14ac:dyDescent="0.25">
      <c r="A4255" s="841" t="s">
        <v>625</v>
      </c>
      <c r="E4255" s="1919" t="s">
        <v>3079</v>
      </c>
      <c r="F4255" s="1690"/>
      <c r="G4255" s="679"/>
      <c r="H4255" s="1093"/>
      <c r="K4255" s="841" t="s">
        <v>3080</v>
      </c>
      <c r="M4255" s="1357"/>
      <c r="Q4255" s="1357"/>
      <c r="S4255" s="1420"/>
      <c r="T4255" s="1420"/>
      <c r="V4255" s="1357">
        <v>48</v>
      </c>
    </row>
    <row r="4256" spans="1:22" s="841" customFormat="1" ht="15" x14ac:dyDescent="0.25">
      <c r="A4256" s="841" t="s">
        <v>625</v>
      </c>
      <c r="E4256" s="1934" t="s">
        <v>2449</v>
      </c>
      <c r="F4256" s="1934"/>
      <c r="G4256" s="895" t="s">
        <v>24</v>
      </c>
      <c r="H4256" s="678">
        <v>3.2000000000000002E-3</v>
      </c>
      <c r="K4256" s="841" t="s">
        <v>3197</v>
      </c>
      <c r="L4256" s="841" t="s">
        <v>3046</v>
      </c>
      <c r="M4256" s="1357"/>
      <c r="P4256" s="841" t="s">
        <v>3210</v>
      </c>
      <c r="Q4256" s="1357"/>
      <c r="S4256" s="1420"/>
      <c r="T4256" s="1420"/>
      <c r="V4256" s="1357">
        <v>55</v>
      </c>
    </row>
    <row r="4257" spans="1:22" s="841" customFormat="1" ht="15" x14ac:dyDescent="0.25">
      <c r="A4257" s="841" t="s">
        <v>625</v>
      </c>
      <c r="E4257" s="1934" t="s">
        <v>2450</v>
      </c>
      <c r="F4257" s="1934"/>
      <c r="G4257" s="895" t="s">
        <v>24</v>
      </c>
      <c r="H4257" s="678">
        <v>4.0000000000000002E-4</v>
      </c>
      <c r="K4257" s="841" t="s">
        <v>3197</v>
      </c>
      <c r="L4257" s="841" t="s">
        <v>3046</v>
      </c>
      <c r="M4257" s="1357"/>
      <c r="P4257" s="841" t="s">
        <v>3210</v>
      </c>
      <c r="Q4257" s="1357"/>
      <c r="S4257" s="1420"/>
      <c r="T4257" s="1420"/>
      <c r="V4257" s="1357">
        <v>65</v>
      </c>
    </row>
    <row r="4258" spans="1:22" s="841" customFormat="1" ht="15" x14ac:dyDescent="0.25">
      <c r="A4258" s="841" t="s">
        <v>625</v>
      </c>
      <c r="E4258" s="1934" t="s">
        <v>439</v>
      </c>
      <c r="F4258" s="1934"/>
      <c r="G4258" s="895" t="s">
        <v>24</v>
      </c>
      <c r="H4258" s="678">
        <v>2.9999999999999997E-4</v>
      </c>
      <c r="K4258" s="841" t="s">
        <v>3197</v>
      </c>
      <c r="L4258" s="841" t="s">
        <v>3046</v>
      </c>
      <c r="M4258" s="1357"/>
      <c r="P4258" s="841" t="s">
        <v>3212</v>
      </c>
      <c r="Q4258" s="1357"/>
      <c r="S4258" s="1420"/>
      <c r="T4258" s="1420"/>
      <c r="V4258" s="1357">
        <v>57</v>
      </c>
    </row>
    <row r="4259" spans="1:22" s="841" customFormat="1" ht="15" x14ac:dyDescent="0.25">
      <c r="A4259" s="841" t="s">
        <v>625</v>
      </c>
      <c r="E4259" s="1934" t="s">
        <v>32</v>
      </c>
      <c r="F4259" s="1934"/>
      <c r="G4259" s="895" t="s">
        <v>23</v>
      </c>
      <c r="H4259" s="674">
        <v>0.25</v>
      </c>
      <c r="K4259" s="841" t="s">
        <v>3197</v>
      </c>
      <c r="L4259" s="841" t="s">
        <v>3046</v>
      </c>
      <c r="M4259" s="1357"/>
      <c r="P4259" s="841" t="s">
        <v>3213</v>
      </c>
      <c r="Q4259" s="1357"/>
      <c r="S4259" s="1420"/>
      <c r="T4259" s="1420"/>
      <c r="V4259" s="1357">
        <v>63</v>
      </c>
    </row>
    <row r="4260" spans="1:22" s="841" customFormat="1" x14ac:dyDescent="0.25">
      <c r="A4260" s="841" t="s">
        <v>625</v>
      </c>
      <c r="E4260" s="1909" t="s">
        <v>1709</v>
      </c>
      <c r="F4260" s="1909"/>
      <c r="G4260" s="1909"/>
      <c r="H4260" s="1909"/>
      <c r="K4260" s="841" t="s">
        <v>3302</v>
      </c>
      <c r="M4260" s="1357"/>
      <c r="Q4260" s="1357"/>
      <c r="S4260" s="1420"/>
      <c r="T4260" s="1420"/>
      <c r="V4260" s="1357">
        <v>46</v>
      </c>
    </row>
    <row r="4261" spans="1:22" s="841" customFormat="1" ht="15" x14ac:dyDescent="0.25">
      <c r="A4261" s="841" t="s">
        <v>625</v>
      </c>
      <c r="E4261" s="1689" t="s">
        <v>3097</v>
      </c>
      <c r="F4261" s="1689"/>
      <c r="G4261" s="1689"/>
      <c r="H4261" s="1689"/>
      <c r="K4261" s="841" t="s">
        <v>3302</v>
      </c>
      <c r="M4261" s="1357"/>
      <c r="Q4261" s="1357"/>
      <c r="S4261" s="1420"/>
      <c r="T4261" s="1420"/>
      <c r="V4261" s="1357">
        <v>158</v>
      </c>
    </row>
    <row r="4262" spans="1:22" s="841" customFormat="1" ht="15" x14ac:dyDescent="0.25">
      <c r="A4262" s="841" t="s">
        <v>625</v>
      </c>
      <c r="E4262" s="1916" t="s">
        <v>3061</v>
      </c>
      <c r="F4262" s="1926"/>
      <c r="G4262" s="1926"/>
      <c r="H4262" s="1926"/>
      <c r="K4262" s="841" t="s">
        <v>3086</v>
      </c>
      <c r="M4262" s="1357"/>
      <c r="Q4262" s="1357"/>
      <c r="S4262" s="1420"/>
      <c r="T4262" s="1420"/>
      <c r="V4262" s="1357">
        <v>11</v>
      </c>
    </row>
    <row r="4263" spans="1:22" s="841" customFormat="1" ht="15" x14ac:dyDescent="0.25">
      <c r="A4263" s="841" t="s">
        <v>625</v>
      </c>
      <c r="E4263" s="1689" t="s">
        <v>3303</v>
      </c>
      <c r="F4263" s="1689"/>
      <c r="G4263" s="1689"/>
      <c r="H4263" s="1689"/>
      <c r="K4263" s="841" t="s">
        <v>3302</v>
      </c>
      <c r="M4263" s="1357"/>
      <c r="Q4263" s="1357"/>
      <c r="S4263" s="1420"/>
      <c r="T4263" s="1420"/>
      <c r="V4263" s="1357">
        <v>156</v>
      </c>
    </row>
    <row r="4264" spans="1:22" s="841" customFormat="1" ht="15" x14ac:dyDescent="0.25">
      <c r="A4264" s="841" t="s">
        <v>625</v>
      </c>
      <c r="E4264" s="1689" t="s">
        <v>3304</v>
      </c>
      <c r="F4264" s="1689"/>
      <c r="G4264" s="1689"/>
      <c r="H4264" s="1689"/>
      <c r="K4264" s="841" t="s">
        <v>3302</v>
      </c>
      <c r="M4264" s="1357"/>
      <c r="Q4264" s="1357"/>
      <c r="S4264" s="1420"/>
      <c r="T4264" s="1420"/>
      <c r="V4264" s="1357">
        <v>270</v>
      </c>
    </row>
    <row r="4265" spans="1:22" s="841" customFormat="1" ht="15" x14ac:dyDescent="0.25">
      <c r="A4265" s="841" t="s">
        <v>625</v>
      </c>
      <c r="E4265" s="1689" t="s">
        <v>3495</v>
      </c>
      <c r="F4265" s="1689"/>
      <c r="G4265" s="1689"/>
      <c r="H4265" s="1689"/>
      <c r="K4265" s="841" t="s">
        <v>3302</v>
      </c>
      <c r="M4265" s="1357"/>
      <c r="Q4265" s="1357"/>
      <c r="S4265" s="1420"/>
      <c r="T4265" s="1420"/>
      <c r="V4265" s="1357">
        <v>932</v>
      </c>
    </row>
    <row r="4266" spans="1:22" s="841" customFormat="1" ht="15" x14ac:dyDescent="0.25">
      <c r="A4266" s="841" t="s">
        <v>625</v>
      </c>
      <c r="E4266" s="1906" t="s">
        <v>3100</v>
      </c>
      <c r="F4266" s="1906"/>
      <c r="G4266" s="1408"/>
      <c r="H4266" s="1408"/>
      <c r="K4266" s="841" t="s">
        <v>3302</v>
      </c>
      <c r="M4266" s="1357"/>
      <c r="Q4266" s="1357"/>
      <c r="S4266" s="1420"/>
      <c r="T4266" s="1420"/>
      <c r="V4266" s="1357">
        <v>7</v>
      </c>
    </row>
    <row r="4267" spans="1:22" s="841" customFormat="1" ht="15" x14ac:dyDescent="0.25">
      <c r="A4267" s="841" t="s">
        <v>625</v>
      </c>
      <c r="E4267" s="1690" t="s">
        <v>3617</v>
      </c>
      <c r="F4267" s="1690"/>
      <c r="G4267" s="1690"/>
      <c r="H4267" s="1690"/>
      <c r="K4267" s="841" t="s">
        <v>3302</v>
      </c>
      <c r="M4267" s="1357"/>
      <c r="Q4267" s="1357"/>
      <c r="S4267" s="1420"/>
      <c r="T4267" s="1420"/>
      <c r="V4267" s="1357">
        <v>512</v>
      </c>
    </row>
    <row r="4268" spans="1:22" s="841" customFormat="1" ht="15" x14ac:dyDescent="0.25">
      <c r="A4268" s="841" t="s">
        <v>625</v>
      </c>
      <c r="E4268" s="1690" t="s">
        <v>3101</v>
      </c>
      <c r="F4268" s="1690"/>
      <c r="G4268" s="1408" t="s">
        <v>23</v>
      </c>
      <c r="H4268" s="391">
        <v>-30</v>
      </c>
      <c r="K4268" s="841" t="s">
        <v>3302</v>
      </c>
      <c r="L4268" s="841" t="s">
        <v>3046</v>
      </c>
      <c r="M4268" s="1357"/>
      <c r="P4268" s="841" t="s">
        <v>3306</v>
      </c>
      <c r="Q4268" s="1357"/>
      <c r="S4268" s="1420"/>
      <c r="T4268" s="1420"/>
      <c r="V4268" s="1357">
        <v>11</v>
      </c>
    </row>
    <row r="4269" spans="1:22" s="841" customFormat="1" ht="15" x14ac:dyDescent="0.25">
      <c r="A4269" s="841" t="s">
        <v>625</v>
      </c>
      <c r="E4269" s="1906" t="s">
        <v>3102</v>
      </c>
      <c r="F4269" s="1906"/>
      <c r="G4269" s="1408"/>
      <c r="H4269" s="1408"/>
      <c r="K4269" s="841" t="s">
        <v>3302</v>
      </c>
      <c r="M4269" s="1357"/>
      <c r="Q4269" s="1357"/>
      <c r="S4269" s="1420"/>
      <c r="T4269" s="1420"/>
      <c r="V4269" s="1357">
        <v>7</v>
      </c>
    </row>
    <row r="4270" spans="1:22" s="841" customFormat="1" ht="15" x14ac:dyDescent="0.25">
      <c r="A4270" s="841" t="s">
        <v>625</v>
      </c>
      <c r="E4270" s="1690" t="s">
        <v>3618</v>
      </c>
      <c r="F4270" s="1690"/>
      <c r="G4270" s="1690"/>
      <c r="H4270" s="1690"/>
      <c r="K4270" s="841" t="s">
        <v>3302</v>
      </c>
      <c r="M4270" s="1357"/>
      <c r="Q4270" s="1357"/>
      <c r="S4270" s="1420"/>
      <c r="T4270" s="1420"/>
      <c r="V4270" s="1357">
        <v>378</v>
      </c>
    </row>
    <row r="4271" spans="1:22" s="841" customFormat="1" ht="15" x14ac:dyDescent="0.25">
      <c r="A4271" s="841" t="s">
        <v>625</v>
      </c>
      <c r="E4271" s="1690" t="s">
        <v>3101</v>
      </c>
      <c r="F4271" s="1690"/>
      <c r="G4271" s="1408" t="s">
        <v>23</v>
      </c>
      <c r="H4271" s="391">
        <v>-34</v>
      </c>
      <c r="K4271" s="841" t="s">
        <v>3302</v>
      </c>
      <c r="L4271" s="841" t="s">
        <v>3046</v>
      </c>
      <c r="M4271" s="1357"/>
      <c r="P4271" s="841" t="s">
        <v>3307</v>
      </c>
      <c r="Q4271" s="1357"/>
      <c r="S4271" s="1420"/>
      <c r="T4271" s="1420"/>
      <c r="V4271" s="1357">
        <v>11</v>
      </c>
    </row>
    <row r="4272" spans="1:22" s="841" customFormat="1" ht="15" x14ac:dyDescent="0.25">
      <c r="A4272" s="841" t="s">
        <v>625</v>
      </c>
      <c r="E4272" s="1906" t="s">
        <v>3103</v>
      </c>
      <c r="F4272" s="1906"/>
      <c r="G4272" s="1408"/>
      <c r="H4272" s="1408"/>
      <c r="K4272" s="841" t="s">
        <v>3302</v>
      </c>
      <c r="M4272" s="1357"/>
      <c r="Q4272" s="1357"/>
      <c r="S4272" s="1420"/>
      <c r="T4272" s="1420"/>
      <c r="V4272" s="1357">
        <v>7</v>
      </c>
    </row>
    <row r="4273" spans="1:22" s="841" customFormat="1" ht="15" x14ac:dyDescent="0.25">
      <c r="A4273" s="841" t="s">
        <v>625</v>
      </c>
      <c r="E4273" s="1690" t="s">
        <v>3619</v>
      </c>
      <c r="F4273" s="1690"/>
      <c r="G4273" s="1690"/>
      <c r="H4273" s="1690"/>
      <c r="K4273" s="841" t="s">
        <v>3302</v>
      </c>
      <c r="M4273" s="1357"/>
      <c r="Q4273" s="1357"/>
      <c r="S4273" s="1420"/>
      <c r="T4273" s="1420"/>
      <c r="V4273" s="1357">
        <v>387</v>
      </c>
    </row>
    <row r="4274" spans="1:22" s="841" customFormat="1" ht="15" x14ac:dyDescent="0.25">
      <c r="A4274" s="841" t="s">
        <v>625</v>
      </c>
      <c r="E4274" s="1690" t="s">
        <v>3101</v>
      </c>
      <c r="F4274" s="1690"/>
      <c r="G4274" s="1408" t="s">
        <v>23</v>
      </c>
      <c r="H4274" s="391">
        <v>-38</v>
      </c>
      <c r="K4274" s="841" t="s">
        <v>3302</v>
      </c>
      <c r="L4274" s="841" t="s">
        <v>3046</v>
      </c>
      <c r="M4274" s="1357"/>
      <c r="P4274" s="841" t="s">
        <v>3308</v>
      </c>
      <c r="Q4274" s="1357"/>
      <c r="S4274" s="1420"/>
      <c r="T4274" s="1420"/>
      <c r="V4274" s="1357">
        <v>11</v>
      </c>
    </row>
    <row r="4275" spans="1:22" s="841" customFormat="1" ht="15" x14ac:dyDescent="0.25">
      <c r="A4275" s="841" t="s">
        <v>625</v>
      </c>
      <c r="E4275" s="1906" t="s">
        <v>3309</v>
      </c>
      <c r="F4275" s="1906"/>
      <c r="G4275" s="1408"/>
      <c r="H4275" s="1408"/>
      <c r="K4275" s="841" t="s">
        <v>3302</v>
      </c>
      <c r="M4275" s="1357"/>
      <c r="Q4275" s="1357"/>
      <c r="S4275" s="1420"/>
      <c r="T4275" s="1420"/>
      <c r="V4275" s="1357">
        <v>7</v>
      </c>
    </row>
    <row r="4276" spans="1:22" s="841" customFormat="1" ht="15" x14ac:dyDescent="0.25">
      <c r="A4276" s="841" t="s">
        <v>625</v>
      </c>
      <c r="E4276" s="1690" t="s">
        <v>3620</v>
      </c>
      <c r="F4276" s="1690"/>
      <c r="G4276" s="1690"/>
      <c r="H4276" s="1690"/>
      <c r="K4276" s="841" t="s">
        <v>3302</v>
      </c>
      <c r="M4276" s="1357"/>
      <c r="Q4276" s="1357"/>
      <c r="S4276" s="1420"/>
      <c r="T4276" s="1420"/>
      <c r="V4276" s="1357">
        <v>267</v>
      </c>
    </row>
    <row r="4277" spans="1:22" s="841" customFormat="1" ht="15" x14ac:dyDescent="0.25">
      <c r="A4277" s="841" t="s">
        <v>625</v>
      </c>
      <c r="E4277" s="1690" t="s">
        <v>3101</v>
      </c>
      <c r="F4277" s="1690"/>
      <c r="G4277" s="1408" t="s">
        <v>23</v>
      </c>
      <c r="H4277" s="391">
        <v>-42</v>
      </c>
      <c r="K4277" s="841" t="s">
        <v>3302</v>
      </c>
      <c r="L4277" s="841" t="s">
        <v>3046</v>
      </c>
      <c r="M4277" s="1357"/>
      <c r="P4277" s="841" t="s">
        <v>3310</v>
      </c>
      <c r="Q4277" s="1357"/>
      <c r="S4277" s="1420"/>
      <c r="T4277" s="1420"/>
      <c r="V4277" s="1357">
        <v>11</v>
      </c>
    </row>
    <row r="4278" spans="1:22" s="841" customFormat="1" ht="15" x14ac:dyDescent="0.25">
      <c r="A4278" s="841" t="s">
        <v>625</v>
      </c>
      <c r="E4278" s="1906" t="s">
        <v>3311</v>
      </c>
      <c r="F4278" s="1906"/>
      <c r="G4278" s="1408"/>
      <c r="H4278" s="1408"/>
      <c r="K4278" s="841" t="s">
        <v>3302</v>
      </c>
      <c r="M4278" s="1357"/>
      <c r="Q4278" s="1357"/>
      <c r="S4278" s="1420"/>
      <c r="T4278" s="1420"/>
      <c r="V4278" s="1357">
        <v>7</v>
      </c>
    </row>
    <row r="4279" spans="1:22" s="841" customFormat="1" ht="15" x14ac:dyDescent="0.25">
      <c r="A4279" s="841" t="s">
        <v>625</v>
      </c>
      <c r="E4279" s="1690" t="s">
        <v>3496</v>
      </c>
      <c r="F4279" s="1690"/>
      <c r="G4279" s="1690"/>
      <c r="H4279" s="1690"/>
      <c r="K4279" s="841" t="s">
        <v>3302</v>
      </c>
      <c r="M4279" s="1357"/>
      <c r="Q4279" s="1357"/>
      <c r="S4279" s="1420"/>
      <c r="T4279" s="1420"/>
      <c r="V4279" s="1357">
        <v>523</v>
      </c>
    </row>
    <row r="4280" spans="1:22" s="841" customFormat="1" ht="15" x14ac:dyDescent="0.25">
      <c r="A4280" s="841" t="s">
        <v>625</v>
      </c>
      <c r="E4280" s="1690" t="s">
        <v>3101</v>
      </c>
      <c r="F4280" s="1690"/>
      <c r="G4280" s="1408" t="s">
        <v>23</v>
      </c>
      <c r="H4280" s="391">
        <v>-45</v>
      </c>
      <c r="K4280" s="841" t="s">
        <v>3302</v>
      </c>
      <c r="L4280" s="841" t="s">
        <v>3046</v>
      </c>
      <c r="M4280" s="1357"/>
      <c r="P4280" s="841" t="s">
        <v>3312</v>
      </c>
      <c r="Q4280" s="1357"/>
      <c r="S4280" s="1420"/>
      <c r="T4280" s="1420"/>
      <c r="V4280" s="1357">
        <v>11</v>
      </c>
    </row>
    <row r="4281" spans="1:22" s="841" customFormat="1" ht="15" x14ac:dyDescent="0.25">
      <c r="A4281" s="841" t="s">
        <v>625</v>
      </c>
      <c r="E4281" s="1906" t="s">
        <v>3313</v>
      </c>
      <c r="F4281" s="1906"/>
      <c r="G4281" s="1408"/>
      <c r="H4281" s="1408"/>
      <c r="K4281" s="841" t="s">
        <v>3302</v>
      </c>
      <c r="M4281" s="1357"/>
      <c r="Q4281" s="1357"/>
      <c r="S4281" s="1420"/>
      <c r="T4281" s="1420"/>
      <c r="V4281" s="1357">
        <v>7</v>
      </c>
    </row>
    <row r="4282" spans="1:22" s="841" customFormat="1" ht="15" x14ac:dyDescent="0.25">
      <c r="A4282" s="841" t="s">
        <v>625</v>
      </c>
      <c r="E4282" s="1690" t="s">
        <v>3314</v>
      </c>
      <c r="F4282" s="1690"/>
      <c r="G4282" s="1690"/>
      <c r="H4282" s="1690"/>
      <c r="K4282" s="841" t="s">
        <v>3302</v>
      </c>
      <c r="M4282" s="1357"/>
      <c r="Q4282" s="1357"/>
      <c r="S4282" s="1420"/>
      <c r="T4282" s="1420"/>
      <c r="V4282" s="1357">
        <v>368</v>
      </c>
    </row>
    <row r="4283" spans="1:22" s="841" customFormat="1" ht="15" x14ac:dyDescent="0.25">
      <c r="A4283" s="841" t="s">
        <v>625</v>
      </c>
      <c r="E4283" s="1688" t="s">
        <v>3365</v>
      </c>
      <c r="F4283" s="1688"/>
      <c r="G4283" s="1688"/>
      <c r="H4283" s="1688"/>
      <c r="K4283" s="841" t="s">
        <v>3302</v>
      </c>
      <c r="M4283" s="1357"/>
      <c r="Q4283" s="1357"/>
      <c r="S4283" s="1420"/>
      <c r="T4283" s="1420"/>
      <c r="V4283" s="1357">
        <v>374</v>
      </c>
    </row>
    <row r="4284" spans="1:22" s="841" customFormat="1" ht="15" x14ac:dyDescent="0.25">
      <c r="A4284" s="841" t="s">
        <v>625</v>
      </c>
      <c r="E4284" s="1690" t="s">
        <v>3101</v>
      </c>
      <c r="F4284" s="1690"/>
      <c r="G4284" s="1408" t="s">
        <v>23</v>
      </c>
      <c r="H4284" s="391">
        <v>-50</v>
      </c>
      <c r="K4284" s="841" t="s">
        <v>3302</v>
      </c>
      <c r="L4284" s="841" t="s">
        <v>3046</v>
      </c>
      <c r="M4284" s="1357"/>
      <c r="P4284" s="841" t="s">
        <v>3315</v>
      </c>
      <c r="Q4284" s="1357"/>
      <c r="S4284" s="1420"/>
      <c r="T4284" s="1420"/>
      <c r="V4284" s="1357">
        <v>11</v>
      </c>
    </row>
    <row r="4285" spans="1:22" s="841" customFormat="1" ht="15" x14ac:dyDescent="0.25">
      <c r="A4285" s="841" t="s">
        <v>625</v>
      </c>
      <c r="E4285" s="1906" t="s">
        <v>3104</v>
      </c>
      <c r="F4285" s="1906"/>
      <c r="G4285" s="1408"/>
      <c r="H4285" s="1408"/>
      <c r="K4285" s="841" t="s">
        <v>3302</v>
      </c>
      <c r="M4285" s="1357"/>
      <c r="Q4285" s="1357"/>
      <c r="S4285" s="1420"/>
      <c r="T4285" s="1420"/>
      <c r="V4285" s="1357">
        <v>7</v>
      </c>
    </row>
    <row r="4286" spans="1:22" s="841" customFormat="1" ht="15" x14ac:dyDescent="0.25">
      <c r="A4286" s="841" t="s">
        <v>625</v>
      </c>
      <c r="E4286" s="1690" t="s">
        <v>3621</v>
      </c>
      <c r="F4286" s="1690"/>
      <c r="G4286" s="1690"/>
      <c r="H4286" s="1690"/>
      <c r="K4286" s="841" t="s">
        <v>3302</v>
      </c>
      <c r="M4286" s="1357"/>
      <c r="Q4286" s="1357"/>
      <c r="S4286" s="1420"/>
      <c r="T4286" s="1420"/>
      <c r="V4286" s="1357">
        <v>523</v>
      </c>
    </row>
    <row r="4287" spans="1:22" s="841" customFormat="1" ht="15" x14ac:dyDescent="0.25">
      <c r="A4287" s="841" t="s">
        <v>625</v>
      </c>
      <c r="E4287" s="1690" t="s">
        <v>3101</v>
      </c>
      <c r="F4287" s="1690"/>
      <c r="G4287" s="1408" t="s">
        <v>23</v>
      </c>
      <c r="H4287" s="391">
        <v>-55</v>
      </c>
      <c r="K4287" s="841" t="s">
        <v>3302</v>
      </c>
      <c r="L4287" s="841" t="s">
        <v>3046</v>
      </c>
      <c r="M4287" s="1357"/>
      <c r="P4287" s="841" t="s">
        <v>3316</v>
      </c>
      <c r="Q4287" s="1357"/>
      <c r="S4287" s="1420"/>
      <c r="T4287" s="1420"/>
      <c r="V4287" s="1357">
        <v>11</v>
      </c>
    </row>
    <row r="4288" spans="1:22" s="841" customFormat="1" ht="15" x14ac:dyDescent="0.25">
      <c r="A4288" s="841" t="s">
        <v>625</v>
      </c>
      <c r="E4288" s="1906" t="s">
        <v>3105</v>
      </c>
      <c r="F4288" s="1906"/>
      <c r="G4288" s="1408"/>
      <c r="H4288" s="1408"/>
      <c r="K4288" s="841" t="s">
        <v>3302</v>
      </c>
      <c r="M4288" s="1357"/>
      <c r="Q4288" s="1357"/>
      <c r="S4288" s="1420"/>
      <c r="T4288" s="1420"/>
      <c r="V4288" s="1357">
        <v>7</v>
      </c>
    </row>
    <row r="4289" spans="1:22" s="841" customFormat="1" ht="15" x14ac:dyDescent="0.25">
      <c r="A4289" s="841" t="s">
        <v>625</v>
      </c>
      <c r="E4289" s="1690" t="s">
        <v>3622</v>
      </c>
      <c r="F4289" s="1690"/>
      <c r="G4289" s="1690"/>
      <c r="H4289" s="1690"/>
      <c r="K4289" s="841" t="s">
        <v>3302</v>
      </c>
      <c r="M4289" s="1357"/>
      <c r="Q4289" s="1357"/>
      <c r="S4289" s="1420"/>
      <c r="T4289" s="1420"/>
      <c r="V4289" s="1357">
        <v>524</v>
      </c>
    </row>
    <row r="4290" spans="1:22" s="841" customFormat="1" ht="15" x14ac:dyDescent="0.25">
      <c r="A4290" s="841" t="s">
        <v>625</v>
      </c>
      <c r="E4290" s="1690" t="s">
        <v>3101</v>
      </c>
      <c r="F4290" s="1690"/>
      <c r="G4290" s="1408" t="s">
        <v>23</v>
      </c>
      <c r="H4290" s="391">
        <v>-60</v>
      </c>
      <c r="K4290" s="841" t="s">
        <v>3302</v>
      </c>
      <c r="L4290" s="841" t="s">
        <v>3046</v>
      </c>
      <c r="M4290" s="1357"/>
      <c r="P4290" s="841" t="s">
        <v>3317</v>
      </c>
      <c r="Q4290" s="1357"/>
      <c r="S4290" s="1420"/>
      <c r="T4290" s="1420"/>
      <c r="V4290" s="1357">
        <v>11</v>
      </c>
    </row>
    <row r="4291" spans="1:22" s="841" customFormat="1" ht="15" x14ac:dyDescent="0.25">
      <c r="A4291" s="841" t="s">
        <v>625</v>
      </c>
      <c r="E4291" s="1906" t="s">
        <v>3318</v>
      </c>
      <c r="F4291" s="1906"/>
      <c r="G4291" s="1408"/>
      <c r="H4291" s="1408"/>
      <c r="K4291" s="841" t="s">
        <v>3302</v>
      </c>
      <c r="M4291" s="1357"/>
      <c r="Q4291" s="1357"/>
      <c r="S4291" s="1420"/>
      <c r="T4291" s="1420"/>
      <c r="V4291" s="1357">
        <v>7</v>
      </c>
    </row>
    <row r="4292" spans="1:22" s="841" customFormat="1" ht="15" x14ac:dyDescent="0.25">
      <c r="A4292" s="841" t="s">
        <v>625</v>
      </c>
      <c r="E4292" s="1690" t="s">
        <v>3623</v>
      </c>
      <c r="F4292" s="1690"/>
      <c r="G4292" s="1690"/>
      <c r="H4292" s="1690"/>
      <c r="K4292" s="841" t="s">
        <v>3302</v>
      </c>
      <c r="M4292" s="1357"/>
      <c r="Q4292" s="1357"/>
      <c r="S4292" s="1420"/>
      <c r="T4292" s="1420"/>
      <c r="V4292" s="1357">
        <v>548</v>
      </c>
    </row>
    <row r="4293" spans="1:22" s="841" customFormat="1" ht="15" x14ac:dyDescent="0.25">
      <c r="A4293" s="841" t="s">
        <v>625</v>
      </c>
      <c r="E4293" s="1690" t="s">
        <v>3101</v>
      </c>
      <c r="F4293" s="1690"/>
      <c r="G4293" s="1408" t="s">
        <v>23</v>
      </c>
      <c r="H4293" s="391">
        <v>-75</v>
      </c>
      <c r="K4293" s="841" t="s">
        <v>3302</v>
      </c>
      <c r="L4293" s="841" t="s">
        <v>3046</v>
      </c>
      <c r="M4293" s="1357"/>
      <c r="P4293" s="841" t="s">
        <v>3319</v>
      </c>
      <c r="Q4293" s="1357"/>
      <c r="S4293" s="1420"/>
      <c r="T4293" s="1420"/>
      <c r="V4293" s="1357">
        <v>11</v>
      </c>
    </row>
    <row r="4294" spans="1:22" s="841" customFormat="1" x14ac:dyDescent="0.25">
      <c r="A4294" s="841" t="s">
        <v>625</v>
      </c>
      <c r="E4294" s="1967" t="s">
        <v>3214</v>
      </c>
      <c r="F4294" s="1967"/>
      <c r="G4294" s="1967"/>
      <c r="H4294" s="1967"/>
      <c r="K4294" s="841" t="s">
        <v>5426</v>
      </c>
      <c r="M4294" s="1357"/>
      <c r="Q4294" s="1357"/>
      <c r="S4294" s="1420"/>
      <c r="T4294" s="1420"/>
      <c r="V4294" s="1357">
        <v>54</v>
      </c>
    </row>
    <row r="4295" spans="1:22" s="841" customFormat="1" ht="15" x14ac:dyDescent="0.25">
      <c r="A4295" s="841" t="s">
        <v>625</v>
      </c>
      <c r="E4295" s="1939" t="s">
        <v>3811</v>
      </c>
      <c r="F4295" s="1939"/>
      <c r="G4295" s="1939"/>
      <c r="H4295" s="1939"/>
      <c r="K4295" s="841" t="s">
        <v>5426</v>
      </c>
      <c r="M4295" s="1357"/>
      <c r="Q4295" s="1357"/>
      <c r="S4295" s="1420"/>
      <c r="T4295" s="1420"/>
      <c r="V4295" s="1357">
        <v>335</v>
      </c>
    </row>
    <row r="4296" spans="1:22" s="841" customFormat="1" ht="15" x14ac:dyDescent="0.25">
      <c r="A4296" s="841" t="s">
        <v>625</v>
      </c>
      <c r="E4296" s="1935" t="s">
        <v>3061</v>
      </c>
      <c r="F4296" s="1697"/>
      <c r="G4296" s="1697"/>
      <c r="H4296" s="1697"/>
      <c r="K4296" s="841" t="s">
        <v>3098</v>
      </c>
      <c r="M4296" s="1357"/>
      <c r="Q4296" s="1357"/>
      <c r="S4296" s="1420"/>
      <c r="T4296" s="1420"/>
      <c r="V4296" s="1357">
        <v>11</v>
      </c>
    </row>
    <row r="4297" spans="1:22" s="841" customFormat="1" ht="15" x14ac:dyDescent="0.25">
      <c r="A4297" s="841" t="s">
        <v>625</v>
      </c>
      <c r="E4297" s="1939" t="s">
        <v>3063</v>
      </c>
      <c r="F4297" s="1939"/>
      <c r="G4297" s="1939"/>
      <c r="H4297" s="1939"/>
      <c r="K4297" s="841" t="s">
        <v>5426</v>
      </c>
      <c r="M4297" s="1357"/>
      <c r="Q4297" s="1357"/>
      <c r="S4297" s="1420"/>
      <c r="T4297" s="1420"/>
      <c r="V4297" s="1357">
        <v>280</v>
      </c>
    </row>
    <row r="4298" spans="1:22" s="841" customFormat="1" ht="15" x14ac:dyDescent="0.25">
      <c r="A4298" s="841" t="s">
        <v>625</v>
      </c>
      <c r="E4298" s="1939" t="s">
        <v>3064</v>
      </c>
      <c r="F4298" s="1939"/>
      <c r="G4298" s="1939"/>
      <c r="H4298" s="1939"/>
      <c r="K4298" s="841" t="s">
        <v>5426</v>
      </c>
      <c r="M4298" s="1357"/>
      <c r="Q4298" s="1357"/>
      <c r="S4298" s="1420"/>
      <c r="T4298" s="1420"/>
      <c r="V4298" s="1357">
        <v>411</v>
      </c>
    </row>
    <row r="4299" spans="1:22" s="841" customFormat="1" ht="15" x14ac:dyDescent="0.25">
      <c r="A4299" s="841" t="s">
        <v>625</v>
      </c>
      <c r="E4299" s="1939" t="s">
        <v>3809</v>
      </c>
      <c r="F4299" s="1939"/>
      <c r="G4299" s="1939"/>
      <c r="H4299" s="1939"/>
      <c r="K4299" s="841" t="s">
        <v>5426</v>
      </c>
      <c r="M4299" s="1357"/>
      <c r="Q4299" s="1357"/>
      <c r="S4299" s="1420"/>
      <c r="T4299" s="1420"/>
      <c r="V4299" s="1357">
        <v>385</v>
      </c>
    </row>
    <row r="4300" spans="1:22" s="841" customFormat="1" ht="15" x14ac:dyDescent="0.25">
      <c r="A4300" s="841" t="s">
        <v>625</v>
      </c>
      <c r="E4300" s="1939" t="s">
        <v>3810</v>
      </c>
      <c r="F4300" s="1939"/>
      <c r="G4300" s="1939"/>
      <c r="H4300" s="1939"/>
      <c r="K4300" s="841" t="s">
        <v>5426</v>
      </c>
      <c r="M4300" s="1357"/>
      <c r="Q4300" s="1357"/>
      <c r="S4300" s="1420"/>
      <c r="T4300" s="1420"/>
      <c r="V4300" s="1357">
        <v>246</v>
      </c>
    </row>
    <row r="4301" spans="1:22" s="841" customFormat="1" ht="15" x14ac:dyDescent="0.25">
      <c r="A4301" s="841" t="s">
        <v>625</v>
      </c>
      <c r="E4301" s="1930" t="s">
        <v>3067</v>
      </c>
      <c r="F4301" s="1693"/>
      <c r="G4301" s="1693"/>
      <c r="H4301" s="1693"/>
      <c r="K4301" s="841" t="s">
        <v>3099</v>
      </c>
      <c r="M4301" s="1357"/>
      <c r="Q4301" s="1357"/>
      <c r="S4301" s="1420"/>
      <c r="T4301" s="1420"/>
      <c r="V4301" s="1357">
        <v>46</v>
      </c>
    </row>
    <row r="4302" spans="1:22" s="841" customFormat="1" ht="15" x14ac:dyDescent="0.25">
      <c r="A4302" s="841" t="s">
        <v>625</v>
      </c>
      <c r="E4302" s="1934" t="s">
        <v>11</v>
      </c>
      <c r="F4302" s="1934"/>
      <c r="G4302" s="1064" t="s">
        <v>23</v>
      </c>
      <c r="H4302" s="600">
        <v>25.01</v>
      </c>
      <c r="K4302" s="841" t="s">
        <v>5426</v>
      </c>
      <c r="L4302" s="841" t="s">
        <v>442</v>
      </c>
      <c r="M4302" s="1357"/>
      <c r="P4302" s="841" t="s">
        <v>5427</v>
      </c>
      <c r="Q4302" s="1357"/>
      <c r="S4302" s="1420"/>
      <c r="T4302" s="1420"/>
      <c r="V4302" s="1357">
        <v>14</v>
      </c>
    </row>
    <row r="4303" spans="1:22" s="841" customFormat="1" ht="15" x14ac:dyDescent="0.25">
      <c r="A4303" s="841" t="s">
        <v>625</v>
      </c>
      <c r="E4303" s="1934" t="s">
        <v>423</v>
      </c>
      <c r="F4303" s="1934"/>
      <c r="G4303" s="1064" t="s">
        <v>23</v>
      </c>
      <c r="H4303" s="673">
        <v>0.79</v>
      </c>
      <c r="K4303" s="841" t="s">
        <v>5426</v>
      </c>
      <c r="L4303" s="841" t="s">
        <v>443</v>
      </c>
      <c r="M4303" s="1357"/>
      <c r="P4303" s="841" t="s">
        <v>5428</v>
      </c>
      <c r="Q4303" s="1357"/>
      <c r="S4303" s="1420"/>
      <c r="T4303" s="1420">
        <v>43404</v>
      </c>
      <c r="V4303" s="1357">
        <v>78</v>
      </c>
    </row>
    <row r="4304" spans="1:22" s="841" customFormat="1" ht="15" x14ac:dyDescent="0.25">
      <c r="A4304" s="841" t="s">
        <v>625</v>
      </c>
      <c r="E4304" s="1934" t="s">
        <v>84</v>
      </c>
      <c r="F4304" s="1934"/>
      <c r="G4304" s="1064" t="s">
        <v>24</v>
      </c>
      <c r="H4304" s="606">
        <v>1.9199999999999998E-2</v>
      </c>
      <c r="K4304" s="841" t="s">
        <v>5426</v>
      </c>
      <c r="L4304" s="841" t="s">
        <v>442</v>
      </c>
      <c r="M4304" s="1357"/>
      <c r="P4304" s="841" t="s">
        <v>5429</v>
      </c>
      <c r="Q4304" s="1357"/>
      <c r="S4304" s="1420"/>
      <c r="T4304" s="1420"/>
      <c r="V4304" s="1357">
        <v>28</v>
      </c>
    </row>
    <row r="4305" spans="1:22" s="841" customFormat="1" ht="15" x14ac:dyDescent="0.25">
      <c r="A4305" s="841" t="s">
        <v>625</v>
      </c>
      <c r="E4305" s="1934" t="s">
        <v>18</v>
      </c>
      <c r="F4305" s="1934"/>
      <c r="G4305" s="1064" t="s">
        <v>24</v>
      </c>
      <c r="H4305" s="675">
        <v>8.9999999999999998E-4</v>
      </c>
      <c r="K4305" s="841" t="s">
        <v>5426</v>
      </c>
      <c r="L4305" s="841" t="s">
        <v>443</v>
      </c>
      <c r="M4305" s="1357"/>
      <c r="P4305" s="841" t="s">
        <v>5430</v>
      </c>
      <c r="Q4305" s="1357"/>
      <c r="S4305" s="1420"/>
      <c r="T4305" s="1420"/>
      <c r="V4305" s="1357">
        <v>24</v>
      </c>
    </row>
    <row r="4306" spans="1:22" s="841" customFormat="1" ht="15" x14ac:dyDescent="0.25">
      <c r="A4306" s="841" t="s">
        <v>625</v>
      </c>
      <c r="E4306" s="1934" t="s">
        <v>5143</v>
      </c>
      <c r="F4306" s="1962"/>
      <c r="G4306" s="1064" t="s">
        <v>24</v>
      </c>
      <c r="H4306" s="675">
        <v>-4.0000000000000002E-4</v>
      </c>
      <c r="K4306" s="841" t="s">
        <v>5426</v>
      </c>
      <c r="L4306" s="841" t="s">
        <v>443</v>
      </c>
      <c r="M4306" s="1357"/>
      <c r="P4306" s="841" t="s">
        <v>5431</v>
      </c>
      <c r="Q4306" s="1357"/>
      <c r="S4306" s="1420"/>
      <c r="T4306" s="1420">
        <v>43465</v>
      </c>
      <c r="V4306" s="1357">
        <v>142</v>
      </c>
    </row>
    <row r="4307" spans="1:22" s="841" customFormat="1" ht="15" x14ac:dyDescent="0.25">
      <c r="A4307" s="841" t="s">
        <v>625</v>
      </c>
      <c r="E4307" s="1934" t="s">
        <v>5144</v>
      </c>
      <c r="F4307" s="1962"/>
      <c r="G4307" s="1064" t="s">
        <v>24</v>
      </c>
      <c r="H4307" s="675">
        <v>2.3E-3</v>
      </c>
      <c r="K4307" s="841" t="s">
        <v>5426</v>
      </c>
      <c r="L4307" s="841" t="s">
        <v>443</v>
      </c>
      <c r="M4307" s="1357"/>
      <c r="P4307" s="841" t="s">
        <v>5432</v>
      </c>
      <c r="Q4307" s="1357"/>
      <c r="S4307" s="1420"/>
      <c r="T4307" s="1420">
        <v>43465</v>
      </c>
      <c r="V4307" s="1357">
        <v>99</v>
      </c>
    </row>
    <row r="4308" spans="1:22" s="841" customFormat="1" ht="15" x14ac:dyDescent="0.25">
      <c r="A4308" s="841" t="s">
        <v>625</v>
      </c>
      <c r="E4308" s="1934" t="s">
        <v>221</v>
      </c>
      <c r="F4308" s="1962"/>
      <c r="G4308" s="1064" t="s">
        <v>24</v>
      </c>
      <c r="H4308" s="675">
        <v>6.4999999999999997E-3</v>
      </c>
      <c r="K4308" s="841" t="s">
        <v>5426</v>
      </c>
      <c r="L4308" s="841" t="s">
        <v>444</v>
      </c>
      <c r="M4308" s="1357"/>
      <c r="P4308" s="841" t="s">
        <v>5434</v>
      </c>
      <c r="Q4308" s="1357"/>
      <c r="S4308" s="1420"/>
      <c r="T4308" s="1420"/>
      <c r="V4308" s="1357">
        <v>47</v>
      </c>
    </row>
    <row r="4309" spans="1:22" s="841" customFormat="1" ht="15" x14ac:dyDescent="0.25">
      <c r="A4309" s="841" t="s">
        <v>625</v>
      </c>
      <c r="E4309" s="1934" t="s">
        <v>217</v>
      </c>
      <c r="F4309" s="1962"/>
      <c r="G4309" s="1064" t="s">
        <v>24</v>
      </c>
      <c r="H4309" s="675">
        <v>3.2000000000000002E-3</v>
      </c>
      <c r="K4309" s="841" t="s">
        <v>5426</v>
      </c>
      <c r="L4309" s="841" t="s">
        <v>444</v>
      </c>
      <c r="M4309" s="1357"/>
      <c r="P4309" s="841" t="s">
        <v>5435</v>
      </c>
      <c r="Q4309" s="1357"/>
      <c r="S4309" s="1420"/>
      <c r="T4309" s="1420"/>
      <c r="V4309" s="1357">
        <v>74</v>
      </c>
    </row>
    <row r="4310" spans="1:22" s="841" customFormat="1" ht="15" x14ac:dyDescent="0.25">
      <c r="A4310" s="841" t="s">
        <v>625</v>
      </c>
      <c r="E4310" s="1919" t="s">
        <v>3079</v>
      </c>
      <c r="F4310" s="1690"/>
      <c r="G4310" s="679"/>
      <c r="H4310" s="1093"/>
      <c r="K4310" s="841" t="s">
        <v>3218</v>
      </c>
      <c r="M4310" s="1357"/>
      <c r="Q4310" s="1357"/>
      <c r="S4310" s="1420"/>
      <c r="T4310" s="1420"/>
      <c r="V4310" s="1357">
        <v>48</v>
      </c>
    </row>
    <row r="4311" spans="1:22" s="841" customFormat="1" ht="15" x14ac:dyDescent="0.25">
      <c r="A4311" s="841" t="s">
        <v>625</v>
      </c>
      <c r="E4311" s="1934" t="s">
        <v>2449</v>
      </c>
      <c r="F4311" s="1934"/>
      <c r="G4311" s="895" t="s">
        <v>24</v>
      </c>
      <c r="H4311" s="678">
        <v>3.2000000000000002E-3</v>
      </c>
      <c r="K4311" s="841" t="s">
        <v>5426</v>
      </c>
      <c r="L4311" s="841" t="s">
        <v>3046</v>
      </c>
      <c r="M4311" s="1357"/>
      <c r="P4311" s="841" t="s">
        <v>5436</v>
      </c>
      <c r="Q4311" s="1357"/>
      <c r="S4311" s="1420"/>
      <c r="T4311" s="1420"/>
      <c r="V4311" s="1357">
        <v>55</v>
      </c>
    </row>
    <row r="4312" spans="1:22" s="841" customFormat="1" ht="15" x14ac:dyDescent="0.25">
      <c r="A4312" s="841" t="s">
        <v>625</v>
      </c>
      <c r="E4312" s="1934" t="s">
        <v>2450</v>
      </c>
      <c r="F4312" s="1934"/>
      <c r="G4312" s="895" t="s">
        <v>24</v>
      </c>
      <c r="H4312" s="678">
        <v>4.0000000000000002E-4</v>
      </c>
      <c r="K4312" s="841" t="s">
        <v>5426</v>
      </c>
      <c r="L4312" s="841" t="s">
        <v>3046</v>
      </c>
      <c r="M4312" s="1357"/>
      <c r="P4312" s="841" t="s">
        <v>5436</v>
      </c>
      <c r="Q4312" s="1357"/>
      <c r="S4312" s="1420"/>
      <c r="T4312" s="1420"/>
      <c r="V4312" s="1357">
        <v>65</v>
      </c>
    </row>
    <row r="4313" spans="1:22" s="841" customFormat="1" ht="15" x14ac:dyDescent="0.25">
      <c r="A4313" s="841" t="s">
        <v>625</v>
      </c>
      <c r="E4313" s="1934" t="s">
        <v>439</v>
      </c>
      <c r="F4313" s="1934"/>
      <c r="G4313" s="895" t="s">
        <v>24</v>
      </c>
      <c r="H4313" s="678">
        <v>2.9999999999999997E-4</v>
      </c>
      <c r="K4313" s="841" t="s">
        <v>5426</v>
      </c>
      <c r="L4313" s="841" t="s">
        <v>3046</v>
      </c>
      <c r="M4313" s="1357"/>
      <c r="P4313" s="841" t="s">
        <v>5437</v>
      </c>
      <c r="Q4313" s="1357"/>
      <c r="S4313" s="1420"/>
      <c r="T4313" s="1420"/>
      <c r="V4313" s="1357">
        <v>57</v>
      </c>
    </row>
    <row r="4314" spans="1:22" s="841" customFormat="1" ht="15" x14ac:dyDescent="0.25">
      <c r="A4314" s="841" t="s">
        <v>625</v>
      </c>
      <c r="E4314" s="1934" t="s">
        <v>32</v>
      </c>
      <c r="F4314" s="1934"/>
      <c r="G4314" s="895" t="s">
        <v>23</v>
      </c>
      <c r="H4314" s="674">
        <v>0.25</v>
      </c>
      <c r="K4314" s="841" t="s">
        <v>5426</v>
      </c>
      <c r="L4314" s="841" t="s">
        <v>3046</v>
      </c>
      <c r="M4314" s="1357"/>
      <c r="P4314" s="841" t="s">
        <v>5438</v>
      </c>
      <c r="Q4314" s="1357"/>
      <c r="S4314" s="1420"/>
      <c r="T4314" s="1420"/>
      <c r="V4314" s="1357">
        <v>63</v>
      </c>
    </row>
    <row r="4315" spans="1:22" s="841" customFormat="1" x14ac:dyDescent="0.25">
      <c r="A4315" s="841" t="s">
        <v>625</v>
      </c>
      <c r="E4315" s="1967" t="s">
        <v>616</v>
      </c>
      <c r="F4315" s="1967"/>
      <c r="G4315" s="1967"/>
      <c r="H4315" s="1967"/>
      <c r="K4315" s="841" t="s">
        <v>6229</v>
      </c>
      <c r="M4315" s="1357"/>
      <c r="Q4315" s="1357"/>
      <c r="S4315" s="1420"/>
      <c r="T4315" s="1420"/>
      <c r="V4315" s="1357">
        <v>53</v>
      </c>
    </row>
    <row r="4316" spans="1:22" s="841" customFormat="1" ht="15" x14ac:dyDescent="0.25">
      <c r="A4316" s="841" t="s">
        <v>625</v>
      </c>
      <c r="E4316" s="1939" t="s">
        <v>3812</v>
      </c>
      <c r="F4316" s="1939"/>
      <c r="G4316" s="1939"/>
      <c r="H4316" s="1939"/>
      <c r="K4316" s="841" t="s">
        <v>6229</v>
      </c>
      <c r="M4316" s="1357"/>
      <c r="Q4316" s="1357"/>
      <c r="S4316" s="1420"/>
      <c r="T4316" s="1420"/>
      <c r="V4316" s="1357">
        <v>345</v>
      </c>
    </row>
    <row r="4317" spans="1:22" s="841" customFormat="1" ht="15" x14ac:dyDescent="0.25">
      <c r="A4317" s="841" t="s">
        <v>625</v>
      </c>
      <c r="E4317" s="1935" t="s">
        <v>3061</v>
      </c>
      <c r="F4317" s="1697"/>
      <c r="G4317" s="1697"/>
      <c r="H4317" s="1697"/>
      <c r="K4317" s="841" t="s">
        <v>3221</v>
      </c>
      <c r="M4317" s="1357"/>
      <c r="Q4317" s="1357"/>
      <c r="S4317" s="1420"/>
      <c r="T4317" s="1420"/>
      <c r="V4317" s="1357">
        <v>11</v>
      </c>
    </row>
    <row r="4318" spans="1:22" s="841" customFormat="1" ht="15" x14ac:dyDescent="0.25">
      <c r="A4318" s="841" t="s">
        <v>625</v>
      </c>
      <c r="E4318" s="1939" t="s">
        <v>3063</v>
      </c>
      <c r="F4318" s="1939"/>
      <c r="G4318" s="1939"/>
      <c r="H4318" s="1939"/>
      <c r="K4318" s="841" t="s">
        <v>6229</v>
      </c>
      <c r="M4318" s="1357"/>
      <c r="Q4318" s="1357"/>
      <c r="S4318" s="1420"/>
      <c r="T4318" s="1420"/>
      <c r="V4318" s="1357">
        <v>280</v>
      </c>
    </row>
    <row r="4319" spans="1:22" s="841" customFormat="1" ht="15" x14ac:dyDescent="0.25">
      <c r="A4319" s="841" t="s">
        <v>625</v>
      </c>
      <c r="E4319" s="1939" t="s">
        <v>3064</v>
      </c>
      <c r="F4319" s="1939"/>
      <c r="G4319" s="1939"/>
      <c r="H4319" s="1939"/>
      <c r="K4319" s="841" t="s">
        <v>6229</v>
      </c>
      <c r="M4319" s="1357"/>
      <c r="Q4319" s="1357"/>
      <c r="S4319" s="1420"/>
      <c r="T4319" s="1420"/>
      <c r="V4319" s="1357">
        <v>411</v>
      </c>
    </row>
    <row r="4320" spans="1:22" s="841" customFormat="1" ht="15" x14ac:dyDescent="0.25">
      <c r="A4320" s="841" t="s">
        <v>625</v>
      </c>
      <c r="E4320" s="1939" t="s">
        <v>3809</v>
      </c>
      <c r="F4320" s="1939"/>
      <c r="G4320" s="1939"/>
      <c r="H4320" s="1939"/>
      <c r="K4320" s="841" t="s">
        <v>6229</v>
      </c>
      <c r="M4320" s="1357"/>
      <c r="Q4320" s="1357"/>
      <c r="S4320" s="1420"/>
      <c r="T4320" s="1420"/>
      <c r="V4320" s="1357">
        <v>385</v>
      </c>
    </row>
    <row r="4321" spans="1:22" s="841" customFormat="1" ht="15" x14ac:dyDescent="0.25">
      <c r="A4321" s="841" t="s">
        <v>625</v>
      </c>
      <c r="E4321" s="1689" t="s">
        <v>3223</v>
      </c>
      <c r="F4321" s="1689"/>
      <c r="G4321" s="1689"/>
      <c r="H4321" s="1689"/>
      <c r="K4321" s="841" t="s">
        <v>6229</v>
      </c>
      <c r="M4321" s="1357"/>
      <c r="Q4321" s="1357"/>
      <c r="S4321" s="1420"/>
      <c r="T4321" s="1420"/>
      <c r="V4321" s="1357">
        <v>626</v>
      </c>
    </row>
    <row r="4322" spans="1:22" s="841" customFormat="1" ht="15" x14ac:dyDescent="0.25">
      <c r="A4322" s="841" t="s">
        <v>625</v>
      </c>
      <c r="E4322" s="1939" t="s">
        <v>3810</v>
      </c>
      <c r="F4322" s="1939"/>
      <c r="G4322" s="1939"/>
      <c r="H4322" s="1939"/>
      <c r="K4322" s="841" t="s">
        <v>6229</v>
      </c>
      <c r="M4322" s="1357"/>
      <c r="Q4322" s="1357"/>
      <c r="S4322" s="1420"/>
      <c r="T4322" s="1420"/>
      <c r="V4322" s="1357">
        <v>246</v>
      </c>
    </row>
    <row r="4323" spans="1:22" s="841" customFormat="1" ht="15" x14ac:dyDescent="0.25">
      <c r="A4323" s="841" t="s">
        <v>625</v>
      </c>
      <c r="E4323" s="1930" t="s">
        <v>3067</v>
      </c>
      <c r="F4323" s="1693"/>
      <c r="G4323" s="1693"/>
      <c r="H4323" s="1693"/>
      <c r="K4323" s="841" t="s">
        <v>3224</v>
      </c>
      <c r="M4323" s="1357"/>
      <c r="Q4323" s="1357"/>
      <c r="S4323" s="1420"/>
      <c r="T4323" s="1420"/>
      <c r="V4323" s="1357">
        <v>46</v>
      </c>
    </row>
    <row r="4324" spans="1:22" s="841" customFormat="1" ht="15" x14ac:dyDescent="0.25">
      <c r="A4324" s="841" t="s">
        <v>625</v>
      </c>
      <c r="E4324" s="1934" t="s">
        <v>11</v>
      </c>
      <c r="F4324" s="1934"/>
      <c r="G4324" s="1064" t="s">
        <v>23</v>
      </c>
      <c r="H4324" s="600">
        <v>207.7</v>
      </c>
      <c r="K4324" s="841" t="s">
        <v>6229</v>
      </c>
      <c r="L4324" s="841" t="s">
        <v>442</v>
      </c>
      <c r="M4324" s="1357"/>
      <c r="P4324" s="841" t="s">
        <v>6230</v>
      </c>
      <c r="Q4324" s="1357"/>
      <c r="S4324" s="1420"/>
      <c r="T4324" s="1420"/>
      <c r="V4324" s="1357">
        <v>14</v>
      </c>
    </row>
    <row r="4325" spans="1:22" s="841" customFormat="1" ht="15" x14ac:dyDescent="0.25">
      <c r="A4325" s="841" t="s">
        <v>625</v>
      </c>
      <c r="E4325" s="1064" t="s">
        <v>84</v>
      </c>
      <c r="F4325" s="1064"/>
      <c r="G4325" s="1064" t="s">
        <v>33</v>
      </c>
      <c r="H4325" s="606">
        <v>3.0373000000000001</v>
      </c>
      <c r="K4325" s="841" t="s">
        <v>6229</v>
      </c>
      <c r="L4325" s="841" t="s">
        <v>442</v>
      </c>
      <c r="M4325" s="1357"/>
      <c r="P4325" s="841" t="s">
        <v>6231</v>
      </c>
      <c r="Q4325" s="1357"/>
      <c r="S4325" s="1420"/>
      <c r="T4325" s="1420"/>
      <c r="V4325" s="1357">
        <v>28</v>
      </c>
    </row>
    <row r="4326" spans="1:22" s="841" customFormat="1" ht="15" x14ac:dyDescent="0.25">
      <c r="A4326" s="841" t="s">
        <v>625</v>
      </c>
      <c r="E4326" s="1934" t="s">
        <v>18</v>
      </c>
      <c r="F4326" s="1934"/>
      <c r="G4326" s="1064" t="s">
        <v>33</v>
      </c>
      <c r="H4326" s="675">
        <v>0.36230000000000001</v>
      </c>
      <c r="K4326" s="841" t="s">
        <v>6229</v>
      </c>
      <c r="L4326" s="841" t="s">
        <v>443</v>
      </c>
      <c r="M4326" s="1357"/>
      <c r="P4326" s="841" t="s">
        <v>6232</v>
      </c>
      <c r="Q4326" s="1357"/>
      <c r="S4326" s="1420"/>
      <c r="T4326" s="1420"/>
      <c r="V4326" s="1357">
        <v>24</v>
      </c>
    </row>
    <row r="4327" spans="1:22" s="841" customFormat="1" ht="15" x14ac:dyDescent="0.25">
      <c r="A4327" s="841" t="s">
        <v>625</v>
      </c>
      <c r="E4327" s="1934" t="s">
        <v>5143</v>
      </c>
      <c r="F4327" s="1962"/>
      <c r="G4327" s="1064" t="s">
        <v>24</v>
      </c>
      <c r="H4327" s="675">
        <v>-4.0000000000000002E-4</v>
      </c>
      <c r="K4327" s="841" t="s">
        <v>6229</v>
      </c>
      <c r="L4327" s="841" t="s">
        <v>443</v>
      </c>
      <c r="M4327" s="1357"/>
      <c r="P4327" s="841" t="s">
        <v>6233</v>
      </c>
      <c r="Q4327" s="1357"/>
      <c r="S4327" s="1420"/>
      <c r="T4327" s="1420">
        <v>43465</v>
      </c>
      <c r="V4327" s="1357">
        <v>142</v>
      </c>
    </row>
    <row r="4328" spans="1:22" s="841" customFormat="1" ht="15" x14ac:dyDescent="0.25">
      <c r="A4328" s="841" t="s">
        <v>625</v>
      </c>
      <c r="E4328" s="1934" t="s">
        <v>5450</v>
      </c>
      <c r="F4328" s="1962"/>
      <c r="G4328" s="1064" t="s">
        <v>33</v>
      </c>
      <c r="H4328" s="675">
        <v>8.5500000000000007E-2</v>
      </c>
      <c r="K4328" s="841" t="s">
        <v>6229</v>
      </c>
      <c r="L4328" s="841" t="s">
        <v>443</v>
      </c>
      <c r="M4328" s="1357"/>
      <c r="P4328" s="841" t="s">
        <v>6234</v>
      </c>
      <c r="Q4328" s="1357"/>
      <c r="S4328" s="1420"/>
      <c r="T4328" s="1420">
        <v>43465</v>
      </c>
      <c r="V4328" s="1357">
        <v>159</v>
      </c>
    </row>
    <row r="4329" spans="1:22" s="841" customFormat="1" ht="15" x14ac:dyDescent="0.25">
      <c r="A4329" s="841" t="s">
        <v>625</v>
      </c>
      <c r="E4329" s="1934" t="s">
        <v>5144</v>
      </c>
      <c r="F4329" s="1962"/>
      <c r="G4329" s="1064" t="s">
        <v>33</v>
      </c>
      <c r="H4329" s="675">
        <v>0.72870000000000001</v>
      </c>
      <c r="K4329" s="841" t="s">
        <v>6229</v>
      </c>
      <c r="L4329" s="841" t="s">
        <v>443</v>
      </c>
      <c r="M4329" s="1357"/>
      <c r="P4329" s="841" t="s">
        <v>6234</v>
      </c>
      <c r="Q4329" s="1357"/>
      <c r="S4329" s="1420"/>
      <c r="T4329" s="1420">
        <v>43465</v>
      </c>
      <c r="V4329" s="1357">
        <v>99</v>
      </c>
    </row>
    <row r="4330" spans="1:22" s="841" customFormat="1" ht="15" x14ac:dyDescent="0.25">
      <c r="A4330" s="841" t="s">
        <v>625</v>
      </c>
      <c r="E4330" s="1934" t="s">
        <v>221</v>
      </c>
      <c r="F4330" s="1962"/>
      <c r="G4330" s="1064" t="s">
        <v>33</v>
      </c>
      <c r="H4330" s="606">
        <v>2.5668000000000002</v>
      </c>
      <c r="K4330" s="841" t="s">
        <v>6229</v>
      </c>
      <c r="L4330" s="841" t="s">
        <v>444</v>
      </c>
      <c r="M4330" s="1357"/>
      <c r="P4330" s="841" t="s">
        <v>6235</v>
      </c>
      <c r="Q4330" s="1357"/>
      <c r="S4330" s="1420"/>
      <c r="T4330" s="1420"/>
      <c r="V4330" s="1357">
        <v>47</v>
      </c>
    </row>
    <row r="4331" spans="1:22" s="841" customFormat="1" ht="15" x14ac:dyDescent="0.25">
      <c r="A4331" s="841" t="s">
        <v>625</v>
      </c>
      <c r="E4331" s="1934" t="s">
        <v>217</v>
      </c>
      <c r="F4331" s="1962"/>
      <c r="G4331" s="1064" t="s">
        <v>33</v>
      </c>
      <c r="H4331" s="606">
        <v>1.3051999999999999</v>
      </c>
      <c r="K4331" s="841" t="s">
        <v>6229</v>
      </c>
      <c r="L4331" s="841" t="s">
        <v>444</v>
      </c>
      <c r="M4331" s="1357"/>
      <c r="P4331" s="841" t="s">
        <v>6236</v>
      </c>
      <c r="Q4331" s="1357"/>
      <c r="S4331" s="1420"/>
      <c r="T4331" s="1420"/>
      <c r="V4331" s="1357">
        <v>74</v>
      </c>
    </row>
    <row r="4332" spans="1:22" s="841" customFormat="1" ht="15" x14ac:dyDescent="0.25">
      <c r="A4332" s="841" t="s">
        <v>625</v>
      </c>
      <c r="E4332" s="1934" t="s">
        <v>223</v>
      </c>
      <c r="F4332" s="1962"/>
      <c r="G4332" s="1064" t="s">
        <v>33</v>
      </c>
      <c r="H4332" s="606">
        <v>2.5996999999999999</v>
      </c>
      <c r="K4332" s="841" t="s">
        <v>6229</v>
      </c>
      <c r="L4332" s="841" t="s">
        <v>444</v>
      </c>
      <c r="M4332" s="1357"/>
      <c r="P4332" s="841" t="s">
        <v>6237</v>
      </c>
      <c r="Q4332" s="1357"/>
      <c r="S4332" s="1420"/>
      <c r="T4332" s="1420"/>
      <c r="V4332" s="1357">
        <v>66</v>
      </c>
    </row>
    <row r="4333" spans="1:22" s="841" customFormat="1" ht="15" x14ac:dyDescent="0.25">
      <c r="A4333" s="841" t="s">
        <v>625</v>
      </c>
      <c r="E4333" s="1934" t="s">
        <v>219</v>
      </c>
      <c r="F4333" s="1962"/>
      <c r="G4333" s="1064" t="s">
        <v>33</v>
      </c>
      <c r="H4333" s="606">
        <v>1.3755999999999999</v>
      </c>
      <c r="K4333" s="841" t="s">
        <v>6229</v>
      </c>
      <c r="L4333" s="841" t="s">
        <v>444</v>
      </c>
      <c r="M4333" s="1357"/>
      <c r="P4333" s="841" t="s">
        <v>6238</v>
      </c>
      <c r="Q4333" s="1357"/>
      <c r="S4333" s="1420"/>
      <c r="T4333" s="1420"/>
      <c r="V4333" s="1357">
        <v>93</v>
      </c>
    </row>
    <row r="4334" spans="1:22" s="841" customFormat="1" ht="15" x14ac:dyDescent="0.25">
      <c r="A4334" s="841" t="s">
        <v>625</v>
      </c>
      <c r="E4334" s="1919" t="s">
        <v>3079</v>
      </c>
      <c r="F4334" s="1690"/>
      <c r="G4334" s="679"/>
      <c r="H4334" s="1093"/>
      <c r="K4334" s="841" t="s">
        <v>3225</v>
      </c>
      <c r="M4334" s="1357"/>
      <c r="Q4334" s="1357"/>
      <c r="S4334" s="1420"/>
      <c r="T4334" s="1420"/>
      <c r="V4334" s="1357">
        <v>48</v>
      </c>
    </row>
    <row r="4335" spans="1:22" s="841" customFormat="1" ht="15" x14ac:dyDescent="0.25">
      <c r="A4335" s="841" t="s">
        <v>625</v>
      </c>
      <c r="E4335" s="1918" t="s">
        <v>2449</v>
      </c>
      <c r="F4335" s="1918"/>
      <c r="G4335" s="1064" t="s">
        <v>24</v>
      </c>
      <c r="H4335" s="678">
        <v>3.2000000000000002E-3</v>
      </c>
      <c r="K4335" s="841" t="s">
        <v>6229</v>
      </c>
      <c r="L4335" s="841" t="s">
        <v>3046</v>
      </c>
      <c r="M4335" s="1357"/>
      <c r="P4335" s="841" t="s">
        <v>6239</v>
      </c>
      <c r="Q4335" s="1357"/>
      <c r="S4335" s="1420"/>
      <c r="T4335" s="1420"/>
      <c r="V4335" s="1357">
        <v>55</v>
      </c>
    </row>
    <row r="4336" spans="1:22" s="841" customFormat="1" ht="15" x14ac:dyDescent="0.25">
      <c r="A4336" s="841" t="s">
        <v>625</v>
      </c>
      <c r="E4336" s="1690" t="s">
        <v>2450</v>
      </c>
      <c r="F4336" s="1690"/>
      <c r="G4336" s="1064" t="s">
        <v>24</v>
      </c>
      <c r="H4336" s="678">
        <v>4.0000000000000002E-4</v>
      </c>
      <c r="K4336" s="841" t="s">
        <v>6229</v>
      </c>
      <c r="L4336" s="841" t="s">
        <v>3046</v>
      </c>
      <c r="M4336" s="1357"/>
      <c r="P4336" s="841" t="s">
        <v>6239</v>
      </c>
      <c r="Q4336" s="1357"/>
      <c r="S4336" s="1420"/>
      <c r="T4336" s="1420"/>
      <c r="V4336" s="1357">
        <v>65</v>
      </c>
    </row>
    <row r="4337" spans="1:22" s="841" customFormat="1" ht="15" x14ac:dyDescent="0.25">
      <c r="A4337" s="841" t="s">
        <v>625</v>
      </c>
      <c r="E4337" s="1918" t="s">
        <v>439</v>
      </c>
      <c r="F4337" s="1918"/>
      <c r="G4337" s="1064" t="s">
        <v>24</v>
      </c>
      <c r="H4337" s="678">
        <v>2.9999999999999997E-4</v>
      </c>
      <c r="K4337" s="841" t="s">
        <v>6229</v>
      </c>
      <c r="L4337" s="841" t="s">
        <v>3046</v>
      </c>
      <c r="M4337" s="1357"/>
      <c r="P4337" s="841" t="s">
        <v>6240</v>
      </c>
      <c r="Q4337" s="1357"/>
      <c r="S4337" s="1420"/>
      <c r="T4337" s="1420"/>
      <c r="V4337" s="1357">
        <v>57</v>
      </c>
    </row>
    <row r="4338" spans="1:22" s="841" customFormat="1" ht="15" x14ac:dyDescent="0.25">
      <c r="A4338" s="841" t="s">
        <v>625</v>
      </c>
      <c r="E4338" s="1918" t="s">
        <v>32</v>
      </c>
      <c r="F4338" s="1918"/>
      <c r="G4338" s="1064" t="s">
        <v>23</v>
      </c>
      <c r="H4338" s="674">
        <v>0.25</v>
      </c>
      <c r="K4338" s="841" t="s">
        <v>6229</v>
      </c>
      <c r="L4338" s="841" t="s">
        <v>3046</v>
      </c>
      <c r="M4338" s="1357"/>
      <c r="P4338" s="841" t="s">
        <v>6241</v>
      </c>
      <c r="Q4338" s="1357"/>
      <c r="S4338" s="1420"/>
      <c r="T4338" s="1420"/>
      <c r="V4338" s="1357">
        <v>63</v>
      </c>
    </row>
    <row r="4339" spans="1:22" s="841" customFormat="1" x14ac:dyDescent="0.25">
      <c r="A4339" s="841" t="s">
        <v>625</v>
      </c>
      <c r="E4339" s="1967" t="s">
        <v>617</v>
      </c>
      <c r="F4339" s="1967"/>
      <c r="G4339" s="1967"/>
      <c r="H4339" s="1968"/>
      <c r="K4339" s="841" t="s">
        <v>3457</v>
      </c>
      <c r="M4339" s="1357"/>
      <c r="Q4339" s="1357"/>
      <c r="S4339" s="1420"/>
      <c r="T4339" s="1420"/>
      <c r="V4339" s="1357">
        <v>47</v>
      </c>
    </row>
    <row r="4340" spans="1:22" s="841" customFormat="1" ht="15" x14ac:dyDescent="0.25">
      <c r="A4340" s="841" t="s">
        <v>625</v>
      </c>
      <c r="E4340" s="1939" t="s">
        <v>3813</v>
      </c>
      <c r="F4340" s="1939"/>
      <c r="G4340" s="1939"/>
      <c r="H4340" s="1940"/>
      <c r="K4340" s="841" t="s">
        <v>3457</v>
      </c>
      <c r="M4340" s="1357"/>
      <c r="Q4340" s="1357"/>
      <c r="S4340" s="1420"/>
      <c r="T4340" s="1420"/>
      <c r="V4340" s="1357">
        <v>446</v>
      </c>
    </row>
    <row r="4341" spans="1:22" s="841" customFormat="1" ht="15" x14ac:dyDescent="0.25">
      <c r="A4341" s="841" t="s">
        <v>625</v>
      </c>
      <c r="E4341" s="1935" t="s">
        <v>3061</v>
      </c>
      <c r="F4341" s="1697"/>
      <c r="G4341" s="1697"/>
      <c r="H4341" s="1697"/>
      <c r="K4341" s="841" t="s">
        <v>3107</v>
      </c>
      <c r="M4341" s="1357"/>
      <c r="Q4341" s="1357"/>
      <c r="S4341" s="1420"/>
      <c r="T4341" s="1420"/>
      <c r="V4341" s="1357">
        <v>11</v>
      </c>
    </row>
    <row r="4342" spans="1:22" s="841" customFormat="1" ht="15" x14ac:dyDescent="0.25">
      <c r="A4342" s="841" t="s">
        <v>625</v>
      </c>
      <c r="E4342" s="1939" t="s">
        <v>3063</v>
      </c>
      <c r="F4342" s="1939"/>
      <c r="G4342" s="1939"/>
      <c r="H4342" s="1939"/>
      <c r="K4342" s="841" t="s">
        <v>3457</v>
      </c>
      <c r="M4342" s="1357"/>
      <c r="Q4342" s="1357"/>
      <c r="S4342" s="1420"/>
      <c r="T4342" s="1420"/>
      <c r="V4342" s="1357">
        <v>280</v>
      </c>
    </row>
    <row r="4343" spans="1:22" s="841" customFormat="1" ht="15" x14ac:dyDescent="0.25">
      <c r="A4343" s="841" t="s">
        <v>625</v>
      </c>
      <c r="E4343" s="1939" t="s">
        <v>3064</v>
      </c>
      <c r="F4343" s="1939"/>
      <c r="G4343" s="1939"/>
      <c r="H4343" s="1939"/>
      <c r="K4343" s="841" t="s">
        <v>3457</v>
      </c>
      <c r="M4343" s="1357"/>
      <c r="Q4343" s="1357"/>
      <c r="S4343" s="1420"/>
      <c r="T4343" s="1420"/>
      <c r="V4343" s="1357">
        <v>411</v>
      </c>
    </row>
    <row r="4344" spans="1:22" s="841" customFormat="1" ht="15" x14ac:dyDescent="0.25">
      <c r="A4344" s="841" t="s">
        <v>625</v>
      </c>
      <c r="E4344" s="1939" t="s">
        <v>3809</v>
      </c>
      <c r="F4344" s="1939"/>
      <c r="G4344" s="1939"/>
      <c r="H4344" s="1939"/>
      <c r="K4344" s="841" t="s">
        <v>3457</v>
      </c>
      <c r="M4344" s="1357"/>
      <c r="Q4344" s="1357"/>
      <c r="S4344" s="1420"/>
      <c r="T4344" s="1420"/>
      <c r="V4344" s="1357">
        <v>385</v>
      </c>
    </row>
    <row r="4345" spans="1:22" s="841" customFormat="1" ht="15" x14ac:dyDescent="0.25">
      <c r="A4345" s="841" t="s">
        <v>625</v>
      </c>
      <c r="E4345" s="1939" t="s">
        <v>3810</v>
      </c>
      <c r="F4345" s="1939"/>
      <c r="G4345" s="1939"/>
      <c r="H4345" s="1939"/>
      <c r="K4345" s="841" t="s">
        <v>3457</v>
      </c>
      <c r="M4345" s="1357"/>
      <c r="Q4345" s="1357"/>
      <c r="S4345" s="1420"/>
      <c r="T4345" s="1420"/>
      <c r="V4345" s="1357">
        <v>246</v>
      </c>
    </row>
    <row r="4346" spans="1:22" s="841" customFormat="1" ht="15" x14ac:dyDescent="0.25">
      <c r="A4346" s="841" t="s">
        <v>625</v>
      </c>
      <c r="E4346" s="1930" t="s">
        <v>3067</v>
      </c>
      <c r="F4346" s="1693"/>
      <c r="G4346" s="1693"/>
      <c r="H4346" s="1693"/>
      <c r="K4346" s="841" t="s">
        <v>3108</v>
      </c>
      <c r="M4346" s="1357"/>
      <c r="Q4346" s="1357"/>
      <c r="S4346" s="1420"/>
      <c r="T4346" s="1420"/>
      <c r="V4346" s="1357">
        <v>46</v>
      </c>
    </row>
    <row r="4347" spans="1:22" s="841" customFormat="1" ht="15" x14ac:dyDescent="0.25">
      <c r="A4347" s="841" t="s">
        <v>625</v>
      </c>
      <c r="E4347" s="1934" t="s">
        <v>12</v>
      </c>
      <c r="F4347" s="1934"/>
      <c r="G4347" s="1064" t="s">
        <v>23</v>
      </c>
      <c r="H4347" s="600">
        <v>36.82</v>
      </c>
      <c r="K4347" s="841" t="s">
        <v>3457</v>
      </c>
      <c r="L4347" s="841" t="s">
        <v>442</v>
      </c>
      <c r="M4347" s="1357"/>
      <c r="P4347" s="841" t="s">
        <v>3458</v>
      </c>
      <c r="Q4347" s="1357"/>
      <c r="S4347" s="1420"/>
      <c r="T4347" s="1420"/>
      <c r="V4347" s="1357">
        <v>31</v>
      </c>
    </row>
    <row r="4348" spans="1:22" s="841" customFormat="1" ht="15" x14ac:dyDescent="0.25">
      <c r="A4348" s="841" t="s">
        <v>625</v>
      </c>
      <c r="E4348" s="1934" t="s">
        <v>84</v>
      </c>
      <c r="F4348" s="1934"/>
      <c r="G4348" s="1064" t="s">
        <v>24</v>
      </c>
      <c r="H4348" s="606">
        <v>2.3099999999999999E-2</v>
      </c>
      <c r="K4348" s="841" t="s">
        <v>3457</v>
      </c>
      <c r="L4348" s="841" t="s">
        <v>442</v>
      </c>
      <c r="M4348" s="1357"/>
      <c r="P4348" s="841" t="s">
        <v>3459</v>
      </c>
      <c r="Q4348" s="1357"/>
      <c r="S4348" s="1420"/>
      <c r="T4348" s="1420"/>
      <c r="V4348" s="1357">
        <v>28</v>
      </c>
    </row>
    <row r="4349" spans="1:22" s="841" customFormat="1" ht="15" x14ac:dyDescent="0.25">
      <c r="A4349" s="841" t="s">
        <v>625</v>
      </c>
      <c r="E4349" s="1934" t="s">
        <v>18</v>
      </c>
      <c r="F4349" s="1934"/>
      <c r="G4349" s="1064" t="s">
        <v>24</v>
      </c>
      <c r="H4349" s="675">
        <v>8.9999999999999998E-4</v>
      </c>
      <c r="K4349" s="841" t="s">
        <v>3457</v>
      </c>
      <c r="L4349" s="841" t="s">
        <v>443</v>
      </c>
      <c r="M4349" s="1357"/>
      <c r="P4349" s="841" t="s">
        <v>3460</v>
      </c>
      <c r="Q4349" s="1357"/>
      <c r="S4349" s="1420"/>
      <c r="T4349" s="1420"/>
      <c r="V4349" s="1357">
        <v>24</v>
      </c>
    </row>
    <row r="4350" spans="1:22" s="841" customFormat="1" ht="15" x14ac:dyDescent="0.25">
      <c r="A4350" s="841" t="s">
        <v>625</v>
      </c>
      <c r="E4350" s="1934" t="s">
        <v>5143</v>
      </c>
      <c r="F4350" s="1962"/>
      <c r="G4350" s="1064" t="s">
        <v>24</v>
      </c>
      <c r="H4350" s="675">
        <v>-4.0000000000000002E-4</v>
      </c>
      <c r="K4350" s="841" t="s">
        <v>3457</v>
      </c>
      <c r="L4350" s="841" t="s">
        <v>443</v>
      </c>
      <c r="M4350" s="1357"/>
      <c r="P4350" s="841" t="s">
        <v>3526</v>
      </c>
      <c r="Q4350" s="1357"/>
      <c r="S4350" s="1420"/>
      <c r="T4350" s="1420">
        <v>43465</v>
      </c>
      <c r="V4350" s="1357">
        <v>142</v>
      </c>
    </row>
    <row r="4351" spans="1:22" s="841" customFormat="1" ht="15" x14ac:dyDescent="0.25">
      <c r="A4351" s="841" t="s">
        <v>625</v>
      </c>
      <c r="E4351" s="1934" t="s">
        <v>5144</v>
      </c>
      <c r="F4351" s="1962"/>
      <c r="G4351" s="1064" t="s">
        <v>24</v>
      </c>
      <c r="H4351" s="675">
        <v>2.3E-3</v>
      </c>
      <c r="K4351" s="841" t="s">
        <v>3457</v>
      </c>
      <c r="L4351" s="841" t="s">
        <v>443</v>
      </c>
      <c r="M4351" s="1357"/>
      <c r="P4351" s="841" t="s">
        <v>3527</v>
      </c>
      <c r="Q4351" s="1357"/>
      <c r="S4351" s="1420"/>
      <c r="T4351" s="1420">
        <v>43465</v>
      </c>
      <c r="V4351" s="1357">
        <v>99</v>
      </c>
    </row>
    <row r="4352" spans="1:22" s="841" customFormat="1" ht="15" x14ac:dyDescent="0.25">
      <c r="A4352" s="841" t="s">
        <v>625</v>
      </c>
      <c r="E4352" s="1934" t="s">
        <v>221</v>
      </c>
      <c r="F4352" s="1934"/>
      <c r="G4352" s="1064" t="s">
        <v>24</v>
      </c>
      <c r="H4352" s="606">
        <v>6.4999999999999997E-3</v>
      </c>
      <c r="K4352" s="841" t="s">
        <v>3457</v>
      </c>
      <c r="L4352" s="841" t="s">
        <v>444</v>
      </c>
      <c r="M4352" s="1357"/>
      <c r="P4352" s="841" t="s">
        <v>3462</v>
      </c>
      <c r="Q4352" s="1357"/>
      <c r="S4352" s="1420"/>
      <c r="T4352" s="1420"/>
      <c r="V4352" s="1357">
        <v>47</v>
      </c>
    </row>
    <row r="4353" spans="1:22" s="841" customFormat="1" ht="15" x14ac:dyDescent="0.25">
      <c r="A4353" s="841" t="s">
        <v>625</v>
      </c>
      <c r="E4353" s="1934" t="s">
        <v>217</v>
      </c>
      <c r="F4353" s="1934"/>
      <c r="G4353" s="1064" t="s">
        <v>24</v>
      </c>
      <c r="H4353" s="606">
        <v>3.2000000000000002E-3</v>
      </c>
      <c r="K4353" s="841" t="s">
        <v>3457</v>
      </c>
      <c r="L4353" s="841" t="s">
        <v>444</v>
      </c>
      <c r="M4353" s="1357"/>
      <c r="P4353" s="841" t="s">
        <v>3463</v>
      </c>
      <c r="Q4353" s="1357"/>
      <c r="S4353" s="1420"/>
      <c r="T4353" s="1420"/>
      <c r="V4353" s="1357">
        <v>74</v>
      </c>
    </row>
    <row r="4354" spans="1:22" s="841" customFormat="1" ht="15" x14ac:dyDescent="0.25">
      <c r="A4354" s="841" t="s">
        <v>625</v>
      </c>
      <c r="E4354" s="1919" t="s">
        <v>3079</v>
      </c>
      <c r="F4354" s="1690"/>
      <c r="G4354" s="679"/>
      <c r="H4354" s="1093"/>
      <c r="K4354" s="841" t="s">
        <v>3111</v>
      </c>
      <c r="M4354" s="1357"/>
      <c r="Q4354" s="1357"/>
      <c r="S4354" s="1420"/>
      <c r="T4354" s="1420"/>
      <c r="V4354" s="1357">
        <v>48</v>
      </c>
    </row>
    <row r="4355" spans="1:22" s="841" customFormat="1" ht="15" x14ac:dyDescent="0.25">
      <c r="A4355" s="841" t="s">
        <v>625</v>
      </c>
      <c r="E4355" s="1934" t="s">
        <v>2449</v>
      </c>
      <c r="F4355" s="1934"/>
      <c r="G4355" s="895" t="s">
        <v>24</v>
      </c>
      <c r="H4355" s="678">
        <v>3.2000000000000002E-3</v>
      </c>
      <c r="K4355" s="841" t="s">
        <v>3457</v>
      </c>
      <c r="L4355" s="841" t="s">
        <v>3046</v>
      </c>
      <c r="M4355" s="1357"/>
      <c r="P4355" s="841" t="s">
        <v>3464</v>
      </c>
      <c r="Q4355" s="1357"/>
      <c r="S4355" s="1420"/>
      <c r="T4355" s="1420"/>
      <c r="V4355" s="1357">
        <v>55</v>
      </c>
    </row>
    <row r="4356" spans="1:22" s="841" customFormat="1" ht="15" x14ac:dyDescent="0.25">
      <c r="A4356" s="841" t="s">
        <v>625</v>
      </c>
      <c r="E4356" s="1904" t="s">
        <v>2450</v>
      </c>
      <c r="F4356" s="1904"/>
      <c r="G4356" s="895" t="s">
        <v>24</v>
      </c>
      <c r="H4356" s="678">
        <v>4.0000000000000002E-4</v>
      </c>
      <c r="K4356" s="841" t="s">
        <v>3457</v>
      </c>
      <c r="L4356" s="841" t="s">
        <v>3046</v>
      </c>
      <c r="M4356" s="1357"/>
      <c r="P4356" s="841" t="s">
        <v>3464</v>
      </c>
      <c r="Q4356" s="1357"/>
      <c r="S4356" s="1420"/>
      <c r="T4356" s="1420"/>
      <c r="V4356" s="1357">
        <v>65</v>
      </c>
    </row>
    <row r="4357" spans="1:22" s="841" customFormat="1" ht="15" x14ac:dyDescent="0.25">
      <c r="A4357" s="841" t="s">
        <v>625</v>
      </c>
      <c r="E4357" s="1934" t="s">
        <v>439</v>
      </c>
      <c r="F4357" s="1934"/>
      <c r="G4357" s="895" t="s">
        <v>24</v>
      </c>
      <c r="H4357" s="678">
        <v>2.9999999999999997E-4</v>
      </c>
      <c r="K4357" s="841" t="s">
        <v>3457</v>
      </c>
      <c r="L4357" s="841" t="s">
        <v>3046</v>
      </c>
      <c r="M4357" s="1357"/>
      <c r="P4357" s="841" t="s">
        <v>3465</v>
      </c>
      <c r="Q4357" s="1357"/>
      <c r="S4357" s="1420"/>
      <c r="T4357" s="1420"/>
      <c r="V4357" s="1357">
        <v>57</v>
      </c>
    </row>
    <row r="4358" spans="1:22" s="841" customFormat="1" ht="15" x14ac:dyDescent="0.25">
      <c r="A4358" s="841" t="s">
        <v>625</v>
      </c>
      <c r="E4358" s="1934" t="s">
        <v>32</v>
      </c>
      <c r="F4358" s="1934"/>
      <c r="G4358" s="895" t="s">
        <v>23</v>
      </c>
      <c r="H4358" s="674">
        <v>0.25</v>
      </c>
      <c r="K4358" s="841" t="s">
        <v>3457</v>
      </c>
      <c r="L4358" s="841" t="s">
        <v>3046</v>
      </c>
      <c r="M4358" s="1357"/>
      <c r="P4358" s="841" t="s">
        <v>3466</v>
      </c>
      <c r="Q4358" s="1357"/>
      <c r="S4358" s="1420"/>
      <c r="T4358" s="1420"/>
      <c r="V4358" s="1357">
        <v>63</v>
      </c>
    </row>
    <row r="4359" spans="1:22" s="841" customFormat="1" x14ac:dyDescent="0.25">
      <c r="A4359" s="841" t="s">
        <v>625</v>
      </c>
      <c r="E4359" s="1967" t="s">
        <v>615</v>
      </c>
      <c r="F4359" s="1967"/>
      <c r="G4359" s="1967"/>
      <c r="H4359" s="1968"/>
      <c r="K4359" s="841" t="s">
        <v>3112</v>
      </c>
      <c r="M4359" s="1357"/>
      <c r="Q4359" s="1357"/>
      <c r="S4359" s="1420"/>
      <c r="T4359" s="1420"/>
      <c r="V4359" s="1357">
        <v>38</v>
      </c>
    </row>
    <row r="4360" spans="1:22" s="841" customFormat="1" ht="15" x14ac:dyDescent="0.25">
      <c r="A4360" s="841" t="s">
        <v>625</v>
      </c>
      <c r="E4360" s="1939" t="s">
        <v>3814</v>
      </c>
      <c r="F4360" s="1939"/>
      <c r="G4360" s="1939"/>
      <c r="H4360" s="1940"/>
      <c r="K4360" s="841" t="s">
        <v>3112</v>
      </c>
      <c r="M4360" s="1357"/>
      <c r="Q4360" s="1357"/>
      <c r="S4360" s="1420"/>
      <c r="T4360" s="1420"/>
      <c r="V4360" s="1357">
        <v>395</v>
      </c>
    </row>
    <row r="4361" spans="1:22" s="841" customFormat="1" ht="15" x14ac:dyDescent="0.25">
      <c r="A4361" s="841" t="s">
        <v>625</v>
      </c>
      <c r="E4361" s="1935" t="s">
        <v>3061</v>
      </c>
      <c r="F4361" s="1697"/>
      <c r="G4361" s="1697"/>
      <c r="H4361" s="1697"/>
      <c r="K4361" s="841" t="s">
        <v>3114</v>
      </c>
      <c r="M4361" s="1357"/>
      <c r="Q4361" s="1357"/>
      <c r="S4361" s="1420"/>
      <c r="T4361" s="1420"/>
      <c r="V4361" s="1357">
        <v>11</v>
      </c>
    </row>
    <row r="4362" spans="1:22" s="841" customFormat="1" ht="15" x14ac:dyDescent="0.25">
      <c r="A4362" s="841" t="s">
        <v>625</v>
      </c>
      <c r="E4362" s="1939" t="s">
        <v>3063</v>
      </c>
      <c r="F4362" s="1939"/>
      <c r="G4362" s="1939"/>
      <c r="H4362" s="1939"/>
      <c r="K4362" s="841" t="s">
        <v>3112</v>
      </c>
      <c r="M4362" s="1357"/>
      <c r="Q4362" s="1357"/>
      <c r="S4362" s="1420"/>
      <c r="T4362" s="1420"/>
      <c r="V4362" s="1357">
        <v>280</v>
      </c>
    </row>
    <row r="4363" spans="1:22" s="841" customFormat="1" ht="15" x14ac:dyDescent="0.25">
      <c r="A4363" s="841" t="s">
        <v>625</v>
      </c>
      <c r="E4363" s="1939" t="s">
        <v>3064</v>
      </c>
      <c r="F4363" s="1939"/>
      <c r="G4363" s="1939"/>
      <c r="H4363" s="1939"/>
      <c r="K4363" s="841" t="s">
        <v>3112</v>
      </c>
      <c r="M4363" s="1357"/>
      <c r="Q4363" s="1357"/>
      <c r="S4363" s="1420"/>
      <c r="T4363" s="1420"/>
      <c r="V4363" s="1357">
        <v>411</v>
      </c>
    </row>
    <row r="4364" spans="1:22" s="841" customFormat="1" ht="15" x14ac:dyDescent="0.25">
      <c r="A4364" s="841" t="s">
        <v>625</v>
      </c>
      <c r="E4364" s="1939" t="s">
        <v>3809</v>
      </c>
      <c r="F4364" s="1939"/>
      <c r="G4364" s="1939"/>
      <c r="H4364" s="1939"/>
      <c r="K4364" s="841" t="s">
        <v>3112</v>
      </c>
      <c r="M4364" s="1357"/>
      <c r="Q4364" s="1357"/>
      <c r="S4364" s="1420"/>
      <c r="T4364" s="1420"/>
      <c r="V4364" s="1357">
        <v>385</v>
      </c>
    </row>
    <row r="4365" spans="1:22" s="841" customFormat="1" ht="15" x14ac:dyDescent="0.25">
      <c r="A4365" s="841" t="s">
        <v>625</v>
      </c>
      <c r="E4365" s="1939" t="s">
        <v>3810</v>
      </c>
      <c r="F4365" s="1939"/>
      <c r="G4365" s="1939"/>
      <c r="H4365" s="1939"/>
      <c r="K4365" s="841" t="s">
        <v>3112</v>
      </c>
      <c r="M4365" s="1357"/>
      <c r="Q4365" s="1357"/>
      <c r="S4365" s="1420"/>
      <c r="T4365" s="1420"/>
      <c r="V4365" s="1357">
        <v>246</v>
      </c>
    </row>
    <row r="4366" spans="1:22" s="841" customFormat="1" ht="15" x14ac:dyDescent="0.25">
      <c r="A4366" s="841" t="s">
        <v>625</v>
      </c>
      <c r="E4366" s="1930" t="s">
        <v>3067</v>
      </c>
      <c r="F4366" s="1693"/>
      <c r="G4366" s="1693"/>
      <c r="H4366" s="1693"/>
      <c r="K4366" s="841" t="s">
        <v>3115</v>
      </c>
      <c r="M4366" s="1357"/>
      <c r="Q4366" s="1357"/>
      <c r="S4366" s="1420"/>
      <c r="T4366" s="1420"/>
      <c r="V4366" s="1357">
        <v>46</v>
      </c>
    </row>
    <row r="4367" spans="1:22" s="841" customFormat="1" ht="15" x14ac:dyDescent="0.25">
      <c r="A4367" s="841" t="s">
        <v>625</v>
      </c>
      <c r="E4367" s="1934" t="s">
        <v>12</v>
      </c>
      <c r="F4367" s="1934"/>
      <c r="G4367" s="1064" t="s">
        <v>23</v>
      </c>
      <c r="H4367" s="600">
        <v>2.3199999999999998</v>
      </c>
      <c r="K4367" s="841" t="s">
        <v>3112</v>
      </c>
      <c r="L4367" s="841" t="s">
        <v>442</v>
      </c>
      <c r="M4367" s="1357"/>
      <c r="P4367" s="841" t="s">
        <v>3116</v>
      </c>
      <c r="Q4367" s="1357"/>
      <c r="S4367" s="1420"/>
      <c r="T4367" s="1420"/>
      <c r="V4367" s="1357">
        <v>31</v>
      </c>
    </row>
    <row r="4368" spans="1:22" s="841" customFormat="1" ht="15" x14ac:dyDescent="0.25">
      <c r="A4368" s="841" t="s">
        <v>625</v>
      </c>
      <c r="E4368" s="1934" t="s">
        <v>84</v>
      </c>
      <c r="F4368" s="1934"/>
      <c r="G4368" s="1064" t="s">
        <v>33</v>
      </c>
      <c r="H4368" s="606">
        <v>5.7839</v>
      </c>
      <c r="K4368" s="841" t="s">
        <v>3112</v>
      </c>
      <c r="L4368" s="841" t="s">
        <v>442</v>
      </c>
      <c r="M4368" s="1357"/>
      <c r="P4368" s="841" t="s">
        <v>3117</v>
      </c>
      <c r="Q4368" s="1357"/>
      <c r="S4368" s="1420"/>
      <c r="T4368" s="1420"/>
      <c r="V4368" s="1357">
        <v>28</v>
      </c>
    </row>
    <row r="4369" spans="1:22" s="841" customFormat="1" ht="15" x14ac:dyDescent="0.25">
      <c r="A4369" s="841" t="s">
        <v>625</v>
      </c>
      <c r="E4369" s="1934" t="s">
        <v>18</v>
      </c>
      <c r="F4369" s="1934"/>
      <c r="G4369" s="1064" t="s">
        <v>33</v>
      </c>
      <c r="H4369" s="675">
        <v>0.26569999999999999</v>
      </c>
      <c r="K4369" s="841" t="s">
        <v>3112</v>
      </c>
      <c r="L4369" s="841" t="s">
        <v>443</v>
      </c>
      <c r="M4369" s="1357"/>
      <c r="P4369" s="841" t="s">
        <v>3497</v>
      </c>
      <c r="Q4369" s="1357"/>
      <c r="S4369" s="1420"/>
      <c r="T4369" s="1420"/>
      <c r="V4369" s="1357">
        <v>24</v>
      </c>
    </row>
    <row r="4370" spans="1:22" s="841" customFormat="1" ht="15" x14ac:dyDescent="0.25">
      <c r="A4370" s="841" t="s">
        <v>625</v>
      </c>
      <c r="E4370" s="1934" t="s">
        <v>5143</v>
      </c>
      <c r="F4370" s="1962"/>
      <c r="G4370" s="1064" t="s">
        <v>24</v>
      </c>
      <c r="H4370" s="675">
        <v>-4.0000000000000002E-4</v>
      </c>
      <c r="K4370" s="841" t="s">
        <v>3112</v>
      </c>
      <c r="L4370" s="841" t="s">
        <v>443</v>
      </c>
      <c r="M4370" s="1357"/>
      <c r="P4370" s="841" t="s">
        <v>3119</v>
      </c>
      <c r="Q4370" s="1357"/>
      <c r="S4370" s="1420"/>
      <c r="T4370" s="1420">
        <v>43465</v>
      </c>
      <c r="V4370" s="1357">
        <v>142</v>
      </c>
    </row>
    <row r="4371" spans="1:22" s="841" customFormat="1" ht="15" x14ac:dyDescent="0.25">
      <c r="A4371" s="841" t="s">
        <v>625</v>
      </c>
      <c r="E4371" s="1934" t="s">
        <v>5144</v>
      </c>
      <c r="F4371" s="1962"/>
      <c r="G4371" s="1064" t="s">
        <v>33</v>
      </c>
      <c r="H4371" s="675">
        <v>0.82320000000000004</v>
      </c>
      <c r="K4371" s="841" t="s">
        <v>3112</v>
      </c>
      <c r="L4371" s="841" t="s">
        <v>443</v>
      </c>
      <c r="M4371" s="1357"/>
      <c r="P4371" s="841" t="s">
        <v>3118</v>
      </c>
      <c r="Q4371" s="1357"/>
      <c r="S4371" s="1420"/>
      <c r="T4371" s="1420">
        <v>43465</v>
      </c>
      <c r="V4371" s="1357">
        <v>99</v>
      </c>
    </row>
    <row r="4372" spans="1:22" s="841" customFormat="1" ht="15" x14ac:dyDescent="0.25">
      <c r="A4372" s="841" t="s">
        <v>625</v>
      </c>
      <c r="E4372" s="1934" t="s">
        <v>221</v>
      </c>
      <c r="F4372" s="1934"/>
      <c r="G4372" s="1064" t="s">
        <v>33</v>
      </c>
      <c r="H4372" s="606">
        <v>1.9359</v>
      </c>
      <c r="K4372" s="841" t="s">
        <v>3112</v>
      </c>
      <c r="L4372" s="841" t="s">
        <v>444</v>
      </c>
      <c r="M4372" s="1357"/>
      <c r="P4372" s="841" t="s">
        <v>3120</v>
      </c>
      <c r="Q4372" s="1357"/>
      <c r="S4372" s="1420"/>
      <c r="T4372" s="1420"/>
      <c r="V4372" s="1357">
        <v>47</v>
      </c>
    </row>
    <row r="4373" spans="1:22" s="841" customFormat="1" ht="15" x14ac:dyDescent="0.25">
      <c r="A4373" s="841" t="s">
        <v>625</v>
      </c>
      <c r="E4373" s="1934" t="s">
        <v>217</v>
      </c>
      <c r="F4373" s="1934"/>
      <c r="G4373" s="1064" t="s">
        <v>33</v>
      </c>
      <c r="H4373" s="606">
        <v>1.0088999999999999</v>
      </c>
      <c r="K4373" s="841" t="s">
        <v>3112</v>
      </c>
      <c r="L4373" s="841" t="s">
        <v>444</v>
      </c>
      <c r="M4373" s="1357"/>
      <c r="P4373" s="841" t="s">
        <v>3121</v>
      </c>
      <c r="Q4373" s="1357"/>
      <c r="S4373" s="1420"/>
      <c r="T4373" s="1420"/>
      <c r="V4373" s="1357">
        <v>74</v>
      </c>
    </row>
    <row r="4374" spans="1:22" s="841" customFormat="1" ht="15" x14ac:dyDescent="0.25">
      <c r="A4374" s="841" t="s">
        <v>625</v>
      </c>
      <c r="E4374" s="1919" t="s">
        <v>3079</v>
      </c>
      <c r="F4374" s="1690"/>
      <c r="G4374" s="679"/>
      <c r="H4374" s="1093"/>
      <c r="K4374" s="841" t="s">
        <v>3122</v>
      </c>
      <c r="M4374" s="1357"/>
      <c r="Q4374" s="1357"/>
      <c r="S4374" s="1420"/>
      <c r="T4374" s="1420"/>
      <c r="V4374" s="1357">
        <v>48</v>
      </c>
    </row>
    <row r="4375" spans="1:22" s="841" customFormat="1" ht="15" x14ac:dyDescent="0.25">
      <c r="A4375" s="841" t="s">
        <v>625</v>
      </c>
      <c r="E4375" s="1934" t="s">
        <v>2449</v>
      </c>
      <c r="F4375" s="1934"/>
      <c r="G4375" s="895" t="s">
        <v>24</v>
      </c>
      <c r="H4375" s="678">
        <v>3.2000000000000002E-3</v>
      </c>
      <c r="K4375" s="841" t="s">
        <v>3112</v>
      </c>
      <c r="L4375" s="841" t="s">
        <v>3046</v>
      </c>
      <c r="M4375" s="1357"/>
      <c r="P4375" s="841" t="s">
        <v>3123</v>
      </c>
      <c r="Q4375" s="1357"/>
      <c r="S4375" s="1420"/>
      <c r="T4375" s="1420"/>
      <c r="V4375" s="1357">
        <v>55</v>
      </c>
    </row>
    <row r="4376" spans="1:22" s="841" customFormat="1" ht="15" x14ac:dyDescent="0.25">
      <c r="A4376" s="841" t="s">
        <v>625</v>
      </c>
      <c r="E4376" s="1904" t="s">
        <v>2450</v>
      </c>
      <c r="F4376" s="1904"/>
      <c r="G4376" s="895" t="s">
        <v>24</v>
      </c>
      <c r="H4376" s="678">
        <v>4.0000000000000002E-4</v>
      </c>
      <c r="K4376" s="841" t="s">
        <v>3112</v>
      </c>
      <c r="L4376" s="841" t="s">
        <v>3046</v>
      </c>
      <c r="M4376" s="1357"/>
      <c r="P4376" s="841" t="s">
        <v>3123</v>
      </c>
      <c r="Q4376" s="1357"/>
      <c r="S4376" s="1420"/>
      <c r="T4376" s="1420"/>
      <c r="V4376" s="1357">
        <v>65</v>
      </c>
    </row>
    <row r="4377" spans="1:22" s="841" customFormat="1" ht="15" x14ac:dyDescent="0.25">
      <c r="A4377" s="841" t="s">
        <v>625</v>
      </c>
      <c r="E4377" s="1934" t="s">
        <v>439</v>
      </c>
      <c r="F4377" s="1934"/>
      <c r="G4377" s="895" t="s">
        <v>24</v>
      </c>
      <c r="H4377" s="678">
        <v>2.9999999999999997E-4</v>
      </c>
      <c r="K4377" s="841" t="s">
        <v>3112</v>
      </c>
      <c r="L4377" s="841" t="s">
        <v>3046</v>
      </c>
      <c r="M4377" s="1357"/>
      <c r="P4377" s="841" t="s">
        <v>3124</v>
      </c>
      <c r="Q4377" s="1357"/>
      <c r="S4377" s="1420"/>
      <c r="T4377" s="1420"/>
      <c r="V4377" s="1357">
        <v>57</v>
      </c>
    </row>
    <row r="4378" spans="1:22" s="841" customFormat="1" ht="15" x14ac:dyDescent="0.25">
      <c r="A4378" s="841" t="s">
        <v>625</v>
      </c>
      <c r="E4378" s="1934" t="s">
        <v>32</v>
      </c>
      <c r="F4378" s="1934"/>
      <c r="G4378" s="895" t="s">
        <v>23</v>
      </c>
      <c r="H4378" s="674">
        <v>0.25</v>
      </c>
      <c r="K4378" s="841" t="s">
        <v>3112</v>
      </c>
      <c r="L4378" s="841" t="s">
        <v>3046</v>
      </c>
      <c r="M4378" s="1357"/>
      <c r="P4378" s="841" t="s">
        <v>3125</v>
      </c>
      <c r="Q4378" s="1357"/>
      <c r="S4378" s="1420"/>
      <c r="T4378" s="1420"/>
      <c r="V4378" s="1357">
        <v>63</v>
      </c>
    </row>
    <row r="4379" spans="1:22" s="841" customFormat="1" x14ac:dyDescent="0.25">
      <c r="A4379" s="841" t="s">
        <v>625</v>
      </c>
      <c r="E4379" s="1967" t="s">
        <v>622</v>
      </c>
      <c r="F4379" s="1967"/>
      <c r="G4379" s="1967"/>
      <c r="H4379" s="1968"/>
      <c r="K4379" s="841" t="s">
        <v>3815</v>
      </c>
      <c r="M4379" s="1357"/>
      <c r="Q4379" s="1357"/>
      <c r="S4379" s="1420"/>
      <c r="T4379" s="1420"/>
      <c r="V4379" s="1357">
        <v>43</v>
      </c>
    </row>
    <row r="4380" spans="1:22" s="841" customFormat="1" ht="15" x14ac:dyDescent="0.25">
      <c r="A4380" s="841" t="s">
        <v>625</v>
      </c>
      <c r="E4380" s="1939" t="s">
        <v>3816</v>
      </c>
      <c r="F4380" s="1939"/>
      <c r="G4380" s="1939"/>
      <c r="H4380" s="1940"/>
      <c r="K4380" s="841" t="s">
        <v>3815</v>
      </c>
      <c r="M4380" s="1357"/>
      <c r="Q4380" s="1357"/>
      <c r="S4380" s="1420"/>
      <c r="T4380" s="1420"/>
      <c r="V4380" s="1357">
        <v>282</v>
      </c>
    </row>
    <row r="4381" spans="1:22" s="841" customFormat="1" ht="15" x14ac:dyDescent="0.25">
      <c r="A4381" s="841" t="s">
        <v>625</v>
      </c>
      <c r="E4381" s="1935" t="s">
        <v>3061</v>
      </c>
      <c r="F4381" s="1697"/>
      <c r="G4381" s="1697"/>
      <c r="H4381" s="1697"/>
      <c r="K4381" s="841" t="s">
        <v>3128</v>
      </c>
      <c r="M4381" s="1357"/>
      <c r="Q4381" s="1357"/>
      <c r="S4381" s="1420"/>
      <c r="T4381" s="1420"/>
      <c r="V4381" s="1357">
        <v>11</v>
      </c>
    </row>
    <row r="4382" spans="1:22" s="841" customFormat="1" ht="15" x14ac:dyDescent="0.25">
      <c r="A4382" s="841" t="s">
        <v>625</v>
      </c>
      <c r="E4382" s="1939" t="s">
        <v>3063</v>
      </c>
      <c r="F4382" s="1939"/>
      <c r="G4382" s="1939"/>
      <c r="H4382" s="1939"/>
      <c r="K4382" s="841" t="s">
        <v>3815</v>
      </c>
      <c r="M4382" s="1357"/>
      <c r="Q4382" s="1357"/>
      <c r="S4382" s="1420"/>
      <c r="T4382" s="1420"/>
      <c r="V4382" s="1357">
        <v>280</v>
      </c>
    </row>
    <row r="4383" spans="1:22" s="841" customFormat="1" ht="15" x14ac:dyDescent="0.25">
      <c r="A4383" s="841" t="s">
        <v>625</v>
      </c>
      <c r="E4383" s="1939" t="s">
        <v>3064</v>
      </c>
      <c r="F4383" s="1939"/>
      <c r="G4383" s="1939"/>
      <c r="H4383" s="1939"/>
      <c r="K4383" s="841" t="s">
        <v>3815</v>
      </c>
      <c r="M4383" s="1357"/>
      <c r="Q4383" s="1357"/>
      <c r="S4383" s="1420"/>
      <c r="T4383" s="1420"/>
      <c r="V4383" s="1357">
        <v>411</v>
      </c>
    </row>
    <row r="4384" spans="1:22" s="841" customFormat="1" ht="15" x14ac:dyDescent="0.25">
      <c r="A4384" s="841" t="s">
        <v>625</v>
      </c>
      <c r="E4384" s="1939" t="s">
        <v>3129</v>
      </c>
      <c r="F4384" s="1939"/>
      <c r="G4384" s="1939"/>
      <c r="H4384" s="1939"/>
      <c r="K4384" s="841" t="s">
        <v>3815</v>
      </c>
      <c r="M4384" s="1357"/>
      <c r="Q4384" s="1357"/>
      <c r="S4384" s="1420"/>
      <c r="T4384" s="1420"/>
      <c r="V4384" s="1357">
        <v>211</v>
      </c>
    </row>
    <row r="4385" spans="1:22" s="841" customFormat="1" ht="15" x14ac:dyDescent="0.25">
      <c r="A4385" s="841" t="s">
        <v>625</v>
      </c>
      <c r="E4385" s="1939" t="s">
        <v>3810</v>
      </c>
      <c r="F4385" s="1939"/>
      <c r="G4385" s="1939"/>
      <c r="H4385" s="1939"/>
      <c r="K4385" s="841" t="s">
        <v>3815</v>
      </c>
      <c r="M4385" s="1357"/>
      <c r="Q4385" s="1357"/>
      <c r="S4385" s="1420"/>
      <c r="T4385" s="1420"/>
      <c r="V4385" s="1357">
        <v>246</v>
      </c>
    </row>
    <row r="4386" spans="1:22" s="841" customFormat="1" ht="15" x14ac:dyDescent="0.25">
      <c r="A4386" s="841" t="s">
        <v>625</v>
      </c>
      <c r="E4386" s="1930" t="s">
        <v>3067</v>
      </c>
      <c r="F4386" s="1693"/>
      <c r="G4386" s="1693"/>
      <c r="H4386" s="1693"/>
      <c r="K4386" s="841" t="s">
        <v>3130</v>
      </c>
      <c r="M4386" s="1357"/>
      <c r="Q4386" s="1357"/>
      <c r="S4386" s="1420"/>
      <c r="T4386" s="1420"/>
      <c r="V4386" s="1357">
        <v>46</v>
      </c>
    </row>
    <row r="4387" spans="1:22" s="841" customFormat="1" ht="15" x14ac:dyDescent="0.25">
      <c r="A4387" s="841" t="s">
        <v>625</v>
      </c>
      <c r="E4387" s="1934" t="s">
        <v>11</v>
      </c>
      <c r="F4387" s="1934"/>
      <c r="G4387" s="1064" t="s">
        <v>23</v>
      </c>
      <c r="H4387" s="600">
        <v>16430.8</v>
      </c>
      <c r="K4387" s="841" t="s">
        <v>3815</v>
      </c>
      <c r="L4387" s="841" t="s">
        <v>442</v>
      </c>
      <c r="M4387" s="1357"/>
      <c r="P4387" s="841" t="s">
        <v>3817</v>
      </c>
      <c r="Q4387" s="1357"/>
      <c r="S4387" s="1420"/>
      <c r="T4387" s="1420"/>
      <c r="V4387" s="1357">
        <v>14</v>
      </c>
    </row>
    <row r="4388" spans="1:22" s="841" customFormat="1" ht="15" x14ac:dyDescent="0.25">
      <c r="A4388" s="841" t="s">
        <v>625</v>
      </c>
      <c r="E4388" s="1934" t="s">
        <v>84</v>
      </c>
      <c r="F4388" s="1934"/>
      <c r="G4388" s="1064" t="s">
        <v>33</v>
      </c>
      <c r="H4388" s="606">
        <v>1.4156</v>
      </c>
      <c r="K4388" s="841" t="s">
        <v>3815</v>
      </c>
      <c r="L4388" s="841" t="s">
        <v>442</v>
      </c>
      <c r="M4388" s="1357"/>
      <c r="P4388" s="841" t="s">
        <v>3818</v>
      </c>
      <c r="Q4388" s="1357"/>
      <c r="S4388" s="1420"/>
      <c r="T4388" s="1420"/>
      <c r="V4388" s="1357">
        <v>28</v>
      </c>
    </row>
    <row r="4389" spans="1:22" s="841" customFormat="1" ht="15" x14ac:dyDescent="0.25">
      <c r="A4389" s="841" t="s">
        <v>625</v>
      </c>
      <c r="E4389" s="1934" t="s">
        <v>221</v>
      </c>
      <c r="F4389" s="1934"/>
      <c r="G4389" s="1064" t="s">
        <v>33</v>
      </c>
      <c r="H4389" s="606">
        <v>3.4386999999999999</v>
      </c>
      <c r="K4389" s="841" t="s">
        <v>3815</v>
      </c>
      <c r="L4389" s="841" t="s">
        <v>444</v>
      </c>
      <c r="M4389" s="1357"/>
      <c r="P4389" s="841" t="s">
        <v>5316</v>
      </c>
      <c r="Q4389" s="1357"/>
      <c r="S4389" s="1420"/>
      <c r="T4389" s="1420"/>
      <c r="V4389" s="1357">
        <v>47</v>
      </c>
    </row>
    <row r="4390" spans="1:22" s="841" customFormat="1" ht="15" x14ac:dyDescent="0.25">
      <c r="A4390" s="841" t="s">
        <v>625</v>
      </c>
      <c r="E4390" s="1934" t="s">
        <v>217</v>
      </c>
      <c r="F4390" s="1934"/>
      <c r="G4390" s="1064" t="s">
        <v>33</v>
      </c>
      <c r="H4390" s="606">
        <v>0.5575</v>
      </c>
      <c r="K4390" s="841" t="s">
        <v>3815</v>
      </c>
      <c r="L4390" s="841" t="s">
        <v>444</v>
      </c>
      <c r="M4390" s="1357"/>
      <c r="P4390" s="841" t="s">
        <v>3819</v>
      </c>
      <c r="Q4390" s="1357"/>
      <c r="S4390" s="1420"/>
      <c r="T4390" s="1420"/>
      <c r="V4390" s="1357">
        <v>74</v>
      </c>
    </row>
    <row r="4391" spans="1:22" s="841" customFormat="1" x14ac:dyDescent="0.25">
      <c r="A4391" s="841" t="s">
        <v>625</v>
      </c>
      <c r="E4391" s="1967" t="s">
        <v>618</v>
      </c>
      <c r="F4391" s="1967"/>
      <c r="G4391" s="1967"/>
      <c r="H4391" s="1968"/>
      <c r="K4391" s="841" t="s">
        <v>3487</v>
      </c>
      <c r="M4391" s="1357"/>
      <c r="Q4391" s="1357"/>
      <c r="S4391" s="1420"/>
      <c r="T4391" s="1420"/>
      <c r="V4391" s="1357">
        <v>31</v>
      </c>
    </row>
    <row r="4392" spans="1:22" s="841" customFormat="1" ht="15" x14ac:dyDescent="0.25">
      <c r="A4392" s="841" t="s">
        <v>625</v>
      </c>
      <c r="E4392" s="1939" t="s">
        <v>3820</v>
      </c>
      <c r="F4392" s="1939"/>
      <c r="G4392" s="1939"/>
      <c r="H4392" s="1940"/>
      <c r="K4392" s="841" t="s">
        <v>3487</v>
      </c>
      <c r="M4392" s="1357"/>
      <c r="Q4392" s="1357"/>
      <c r="S4392" s="1420"/>
      <c r="T4392" s="1420"/>
      <c r="V4392" s="1357">
        <v>287</v>
      </c>
    </row>
    <row r="4393" spans="1:22" s="841" customFormat="1" ht="15" x14ac:dyDescent="0.25">
      <c r="A4393" s="841" t="s">
        <v>625</v>
      </c>
      <c r="E4393" s="1935" t="s">
        <v>3061</v>
      </c>
      <c r="F4393" s="1697"/>
      <c r="G4393" s="1697"/>
      <c r="H4393" s="1697"/>
      <c r="K4393" s="841" t="s">
        <v>3266</v>
      </c>
      <c r="M4393" s="1357"/>
      <c r="Q4393" s="1357"/>
      <c r="S4393" s="1420"/>
      <c r="T4393" s="1420"/>
      <c r="V4393" s="1357">
        <v>11</v>
      </c>
    </row>
    <row r="4394" spans="1:22" s="841" customFormat="1" ht="15" x14ac:dyDescent="0.25">
      <c r="A4394" s="841" t="s">
        <v>625</v>
      </c>
      <c r="E4394" s="1939" t="s">
        <v>3063</v>
      </c>
      <c r="F4394" s="1939"/>
      <c r="G4394" s="1939"/>
      <c r="H4394" s="1939"/>
      <c r="K4394" s="841" t="s">
        <v>3487</v>
      </c>
      <c r="M4394" s="1357"/>
      <c r="Q4394" s="1357"/>
      <c r="S4394" s="1420"/>
      <c r="T4394" s="1420"/>
      <c r="V4394" s="1357">
        <v>280</v>
      </c>
    </row>
    <row r="4395" spans="1:22" s="841" customFormat="1" ht="15" x14ac:dyDescent="0.25">
      <c r="A4395" s="841" t="s">
        <v>625</v>
      </c>
      <c r="E4395" s="1939" t="s">
        <v>3064</v>
      </c>
      <c r="F4395" s="1939"/>
      <c r="G4395" s="1939"/>
      <c r="H4395" s="1939"/>
      <c r="K4395" s="841" t="s">
        <v>3487</v>
      </c>
      <c r="M4395" s="1357"/>
      <c r="Q4395" s="1357"/>
      <c r="S4395" s="1420"/>
      <c r="T4395" s="1420"/>
      <c r="V4395" s="1357">
        <v>411</v>
      </c>
    </row>
    <row r="4396" spans="1:22" s="841" customFormat="1" ht="15" x14ac:dyDescent="0.25">
      <c r="A4396" s="841" t="s">
        <v>625</v>
      </c>
      <c r="E4396" s="1939" t="s">
        <v>3129</v>
      </c>
      <c r="F4396" s="1939"/>
      <c r="G4396" s="1939"/>
      <c r="H4396" s="1939"/>
      <c r="K4396" s="841" t="s">
        <v>3487</v>
      </c>
      <c r="M4396" s="1357"/>
      <c r="Q4396" s="1357"/>
      <c r="S4396" s="1420"/>
      <c r="T4396" s="1420"/>
      <c r="V4396" s="1357">
        <v>211</v>
      </c>
    </row>
    <row r="4397" spans="1:22" s="841" customFormat="1" ht="15" x14ac:dyDescent="0.25">
      <c r="A4397" s="841" t="s">
        <v>625</v>
      </c>
      <c r="E4397" s="1939" t="s">
        <v>3821</v>
      </c>
      <c r="F4397" s="1939"/>
      <c r="G4397" s="1939"/>
      <c r="H4397" s="1939"/>
      <c r="K4397" s="841" t="s">
        <v>3487</v>
      </c>
      <c r="M4397" s="1357"/>
      <c r="Q4397" s="1357"/>
      <c r="S4397" s="1420"/>
      <c r="T4397" s="1420"/>
      <c r="V4397" s="1357">
        <v>247</v>
      </c>
    </row>
    <row r="4398" spans="1:22" s="841" customFormat="1" ht="15" x14ac:dyDescent="0.25">
      <c r="A4398" s="841" t="s">
        <v>625</v>
      </c>
      <c r="E4398" s="1930" t="s">
        <v>3067</v>
      </c>
      <c r="F4398" s="1693"/>
      <c r="G4398" s="1693"/>
      <c r="H4398" s="1693"/>
      <c r="K4398" s="841" t="s">
        <v>3267</v>
      </c>
      <c r="M4398" s="1357"/>
      <c r="Q4398" s="1357"/>
      <c r="S4398" s="1420"/>
      <c r="T4398" s="1420"/>
      <c r="V4398" s="1357">
        <v>46</v>
      </c>
    </row>
    <row r="4399" spans="1:22" s="841" customFormat="1" ht="15" x14ac:dyDescent="0.25">
      <c r="A4399" s="841" t="s">
        <v>625</v>
      </c>
      <c r="E4399" s="1934" t="s">
        <v>11</v>
      </c>
      <c r="F4399" s="1934"/>
      <c r="G4399" s="1064" t="s">
        <v>23</v>
      </c>
      <c r="H4399" s="600">
        <v>5.4</v>
      </c>
      <c r="K4399" s="841" t="s">
        <v>3487</v>
      </c>
      <c r="L4399" s="841" t="s">
        <v>442</v>
      </c>
      <c r="M4399" s="1357"/>
      <c r="P4399" s="841" t="s">
        <v>3488</v>
      </c>
      <c r="Q4399" s="1357"/>
      <c r="S4399" s="1420"/>
      <c r="T4399" s="1420"/>
      <c r="V4399" s="1357">
        <v>14</v>
      </c>
    </row>
    <row r="4400" spans="1:22" s="841" customFormat="1" x14ac:dyDescent="0.25">
      <c r="A4400" s="841" t="s">
        <v>625</v>
      </c>
      <c r="E4400" s="702" t="s">
        <v>85</v>
      </c>
      <c r="F4400" s="703"/>
      <c r="G4400" s="703"/>
      <c r="H4400" s="704"/>
      <c r="K4400" s="841" t="s">
        <v>3822</v>
      </c>
      <c r="M4400" s="1357"/>
      <c r="Q4400" s="1357"/>
      <c r="S4400" s="1420"/>
      <c r="T4400" s="1420"/>
      <c r="V4400" s="1357">
        <v>10</v>
      </c>
    </row>
    <row r="4401" spans="1:22" s="841" customFormat="1" ht="15" x14ac:dyDescent="0.25">
      <c r="A4401" s="841" t="s">
        <v>625</v>
      </c>
      <c r="E4401" s="1904" t="s">
        <v>3133</v>
      </c>
      <c r="F4401" s="1904"/>
      <c r="G4401" s="1189" t="s">
        <v>33</v>
      </c>
      <c r="H4401" s="1190">
        <v>-0.6</v>
      </c>
      <c r="M4401" s="1357"/>
      <c r="Q4401" s="1357"/>
      <c r="S4401" s="1420"/>
      <c r="T4401" s="1420"/>
      <c r="V4401" s="1357">
        <v>68</v>
      </c>
    </row>
    <row r="4402" spans="1:22" s="841" customFormat="1" ht="15" x14ac:dyDescent="0.25">
      <c r="A4402" s="841" t="s">
        <v>625</v>
      </c>
      <c r="E4402" s="1934" t="s">
        <v>3134</v>
      </c>
      <c r="F4402" s="1934"/>
      <c r="G4402" s="1189" t="s">
        <v>86</v>
      </c>
      <c r="H4402" s="715">
        <v>-1</v>
      </c>
      <c r="M4402" s="1357"/>
      <c r="Q4402" s="1357"/>
      <c r="S4402" s="1420"/>
      <c r="T4402" s="1420"/>
      <c r="V4402" s="1357">
        <v>87</v>
      </c>
    </row>
    <row r="4403" spans="1:22" s="841" customFormat="1" x14ac:dyDescent="0.25">
      <c r="A4403" s="841" t="s">
        <v>625</v>
      </c>
      <c r="E4403" s="702" t="s">
        <v>87</v>
      </c>
      <c r="F4403" s="707"/>
      <c r="G4403" s="707"/>
      <c r="H4403" s="708"/>
      <c r="K4403" s="841" t="s">
        <v>3823</v>
      </c>
      <c r="M4403" s="1357"/>
      <c r="Q4403" s="1357"/>
      <c r="S4403" s="1420"/>
      <c r="T4403" s="1420"/>
      <c r="V4403" s="1357">
        <v>24</v>
      </c>
    </row>
    <row r="4404" spans="1:22" s="841" customFormat="1" ht="15" x14ac:dyDescent="0.25">
      <c r="A4404" s="841" t="s">
        <v>625</v>
      </c>
      <c r="E4404" s="1979" t="s">
        <v>3061</v>
      </c>
      <c r="F4404" s="1689"/>
      <c r="G4404" s="1689"/>
      <c r="H4404" s="1689"/>
      <c r="M4404" s="1357"/>
      <c r="Q4404" s="1357"/>
      <c r="S4404" s="1420"/>
      <c r="T4404" s="1420"/>
      <c r="V4404" s="1357">
        <v>11</v>
      </c>
    </row>
    <row r="4405" spans="1:22" s="841" customFormat="1" ht="15" x14ac:dyDescent="0.25">
      <c r="A4405" s="841" t="s">
        <v>625</v>
      </c>
      <c r="E4405" s="1939" t="s">
        <v>3063</v>
      </c>
      <c r="F4405" s="1939"/>
      <c r="G4405" s="1939"/>
      <c r="H4405" s="1939"/>
      <c r="M4405" s="1357"/>
      <c r="Q4405" s="1357"/>
      <c r="S4405" s="1420"/>
      <c r="T4405" s="1420"/>
      <c r="V4405" s="1357">
        <v>280</v>
      </c>
    </row>
    <row r="4406" spans="1:22" s="841" customFormat="1" ht="15" x14ac:dyDescent="0.25">
      <c r="A4406" s="841" t="s">
        <v>625</v>
      </c>
      <c r="E4406" s="1939" t="s">
        <v>3064</v>
      </c>
      <c r="F4406" s="1939"/>
      <c r="G4406" s="1939"/>
      <c r="H4406" s="1939"/>
      <c r="M4406" s="1357"/>
      <c r="Q4406" s="1357"/>
      <c r="S4406" s="1420"/>
      <c r="T4406" s="1420"/>
      <c r="V4406" s="1357">
        <v>411</v>
      </c>
    </row>
    <row r="4407" spans="1:22" s="841" customFormat="1" ht="15" x14ac:dyDescent="0.25">
      <c r="A4407" s="841" t="s">
        <v>625</v>
      </c>
      <c r="E4407" s="2004" t="s">
        <v>3810</v>
      </c>
      <c r="F4407" s="2004"/>
      <c r="G4407" s="2004"/>
      <c r="H4407" s="2004"/>
      <c r="M4407" s="1357"/>
      <c r="Q4407" s="1357"/>
      <c r="S4407" s="1420"/>
      <c r="T4407" s="1420"/>
      <c r="V4407" s="1357">
        <v>246</v>
      </c>
    </row>
    <row r="4408" spans="1:22" s="841" customFormat="1" ht="15" x14ac:dyDescent="0.25">
      <c r="A4408" s="841" t="s">
        <v>625</v>
      </c>
      <c r="E4408" s="709" t="s">
        <v>3137</v>
      </c>
      <c r="F4408" s="710"/>
      <c r="G4408" s="710"/>
      <c r="H4408" s="711"/>
      <c r="K4408" s="841" t="s">
        <v>3824</v>
      </c>
      <c r="M4408" s="1357"/>
      <c r="Q4408" s="1357"/>
      <c r="S4408" s="1420"/>
      <c r="T4408" s="1420"/>
      <c r="V4408" s="1357">
        <v>23</v>
      </c>
    </row>
    <row r="4409" spans="1:22" s="841" customFormat="1" ht="15" x14ac:dyDescent="0.25">
      <c r="A4409" s="841" t="s">
        <v>625</v>
      </c>
      <c r="E4409" s="1934" t="s">
        <v>3825</v>
      </c>
      <c r="F4409" s="1934"/>
      <c r="G4409" s="1064" t="s">
        <v>23</v>
      </c>
      <c r="H4409" s="715">
        <v>15</v>
      </c>
      <c r="M4409" s="1357"/>
      <c r="Q4409" s="1357"/>
      <c r="S4409" s="1420"/>
      <c r="T4409" s="1420"/>
      <c r="V4409" s="1357">
        <v>24</v>
      </c>
    </row>
    <row r="4410" spans="1:22" s="841" customFormat="1" ht="15" x14ac:dyDescent="0.25">
      <c r="A4410" s="841" t="s">
        <v>625</v>
      </c>
      <c r="E4410" s="1934" t="s">
        <v>3826</v>
      </c>
      <c r="F4410" s="1934"/>
      <c r="G4410" s="1064" t="s">
        <v>23</v>
      </c>
      <c r="H4410" s="715">
        <v>15</v>
      </c>
      <c r="M4410" s="1357"/>
      <c r="Q4410" s="1357"/>
      <c r="S4410" s="1420"/>
      <c r="T4410" s="1420"/>
      <c r="V4410" s="1357">
        <v>25</v>
      </c>
    </row>
    <row r="4411" spans="1:22" s="841" customFormat="1" ht="15" x14ac:dyDescent="0.25">
      <c r="A4411" s="841" t="s">
        <v>625</v>
      </c>
      <c r="E4411" s="1934" t="s">
        <v>3827</v>
      </c>
      <c r="F4411" s="1934"/>
      <c r="G4411" s="1064" t="s">
        <v>23</v>
      </c>
      <c r="H4411" s="715">
        <v>15</v>
      </c>
      <c r="M4411" s="1357"/>
      <c r="Q4411" s="1357"/>
      <c r="S4411" s="1420"/>
      <c r="T4411" s="1420"/>
      <c r="V4411" s="1357">
        <v>31</v>
      </c>
    </row>
    <row r="4412" spans="1:22" s="841" customFormat="1" ht="15" x14ac:dyDescent="0.25">
      <c r="A4412" s="841" t="s">
        <v>625</v>
      </c>
      <c r="E4412" s="1934" t="s">
        <v>3828</v>
      </c>
      <c r="F4412" s="1934"/>
      <c r="G4412" s="1064" t="s">
        <v>23</v>
      </c>
      <c r="H4412" s="715">
        <v>15</v>
      </c>
      <c r="M4412" s="1357"/>
      <c r="Q4412" s="1357"/>
      <c r="S4412" s="1420"/>
      <c r="T4412" s="1420"/>
      <c r="V4412" s="1357">
        <v>44</v>
      </c>
    </row>
    <row r="4413" spans="1:22" s="841" customFormat="1" ht="15" x14ac:dyDescent="0.25">
      <c r="A4413" s="841" t="s">
        <v>625</v>
      </c>
      <c r="E4413" s="1934" t="s">
        <v>3829</v>
      </c>
      <c r="F4413" s="1934"/>
      <c r="G4413" s="1064" t="s">
        <v>23</v>
      </c>
      <c r="H4413" s="715">
        <v>15</v>
      </c>
      <c r="M4413" s="1357"/>
      <c r="Q4413" s="1357"/>
      <c r="S4413" s="1420"/>
      <c r="T4413" s="1420"/>
      <c r="V4413" s="1357">
        <v>20</v>
      </c>
    </row>
    <row r="4414" spans="1:22" s="841" customFormat="1" ht="15" x14ac:dyDescent="0.25">
      <c r="A4414" s="841" t="s">
        <v>625</v>
      </c>
      <c r="E4414" s="2025" t="s">
        <v>3830</v>
      </c>
      <c r="F4414" s="2025"/>
      <c r="G4414" s="1064" t="s">
        <v>23</v>
      </c>
      <c r="H4414" s="715">
        <v>15</v>
      </c>
      <c r="M4414" s="1357"/>
      <c r="Q4414" s="1357"/>
      <c r="S4414" s="1420"/>
      <c r="T4414" s="1420"/>
      <c r="V4414" s="1357">
        <v>20</v>
      </c>
    </row>
    <row r="4415" spans="1:22" s="841" customFormat="1" ht="15" x14ac:dyDescent="0.25">
      <c r="A4415" s="841" t="s">
        <v>625</v>
      </c>
      <c r="E4415" s="2025" t="s">
        <v>3831</v>
      </c>
      <c r="F4415" s="2025"/>
      <c r="G4415" s="1064" t="s">
        <v>23</v>
      </c>
      <c r="H4415" s="715">
        <v>15</v>
      </c>
      <c r="M4415" s="1357"/>
      <c r="Q4415" s="1357"/>
      <c r="S4415" s="1420"/>
      <c r="T4415" s="1420"/>
      <c r="V4415" s="1357">
        <v>61</v>
      </c>
    </row>
    <row r="4416" spans="1:22" s="841" customFormat="1" ht="15" x14ac:dyDescent="0.25">
      <c r="A4416" s="841" t="s">
        <v>625</v>
      </c>
      <c r="E4416" s="2025" t="s">
        <v>3832</v>
      </c>
      <c r="F4416" s="2025"/>
      <c r="G4416" s="1064" t="s">
        <v>23</v>
      </c>
      <c r="H4416" s="715">
        <v>15</v>
      </c>
      <c r="M4416" s="1357"/>
      <c r="Q4416" s="1357"/>
      <c r="S4416" s="1420"/>
      <c r="T4416" s="1420"/>
      <c r="V4416" s="1357">
        <v>47</v>
      </c>
    </row>
    <row r="4417" spans="1:22" s="841" customFormat="1" ht="15" x14ac:dyDescent="0.25">
      <c r="A4417" s="841" t="s">
        <v>625</v>
      </c>
      <c r="E4417" s="2025" t="s">
        <v>3833</v>
      </c>
      <c r="F4417" s="2025"/>
      <c r="G4417" s="1064" t="s">
        <v>23</v>
      </c>
      <c r="H4417" s="715">
        <v>15</v>
      </c>
      <c r="M4417" s="1357"/>
      <c r="Q4417" s="1357"/>
      <c r="S4417" s="1420"/>
      <c r="T4417" s="1420"/>
      <c r="V4417" s="1357">
        <v>29</v>
      </c>
    </row>
    <row r="4418" spans="1:22" s="841" customFormat="1" ht="15" x14ac:dyDescent="0.25">
      <c r="A4418" s="841" t="s">
        <v>625</v>
      </c>
      <c r="E4418" s="2025" t="s">
        <v>3834</v>
      </c>
      <c r="F4418" s="2025"/>
      <c r="G4418" s="1064" t="s">
        <v>23</v>
      </c>
      <c r="H4418" s="715">
        <v>15</v>
      </c>
      <c r="M4418" s="1357"/>
      <c r="Q4418" s="1357"/>
      <c r="S4418" s="1420"/>
      <c r="T4418" s="1420"/>
      <c r="V4418" s="1357">
        <v>24</v>
      </c>
    </row>
    <row r="4419" spans="1:22" s="841" customFormat="1" ht="15" x14ac:dyDescent="0.25">
      <c r="A4419" s="841" t="s">
        <v>625</v>
      </c>
      <c r="E4419" s="2025" t="s">
        <v>3835</v>
      </c>
      <c r="F4419" s="2025"/>
      <c r="G4419" s="1064" t="s">
        <v>23</v>
      </c>
      <c r="H4419" s="715">
        <v>30</v>
      </c>
      <c r="M4419" s="1357"/>
      <c r="Q4419" s="1357"/>
      <c r="S4419" s="1420"/>
      <c r="T4419" s="1420"/>
      <c r="V4419" s="1357">
        <v>94</v>
      </c>
    </row>
    <row r="4420" spans="1:22" s="841" customFormat="1" ht="15" x14ac:dyDescent="0.25">
      <c r="A4420" s="841" t="s">
        <v>625</v>
      </c>
      <c r="E4420" s="2025" t="s">
        <v>3836</v>
      </c>
      <c r="F4420" s="2025"/>
      <c r="G4420" s="1064" t="s">
        <v>23</v>
      </c>
      <c r="H4420" s="715">
        <v>30</v>
      </c>
      <c r="M4420" s="1357"/>
      <c r="Q4420" s="1357"/>
      <c r="S4420" s="1420"/>
      <c r="T4420" s="1420"/>
      <c r="V4420" s="1357">
        <v>24</v>
      </c>
    </row>
    <row r="4421" spans="1:22" s="841" customFormat="1" ht="15" x14ac:dyDescent="0.25">
      <c r="A4421" s="841" t="s">
        <v>625</v>
      </c>
      <c r="E4421" s="2025" t="s">
        <v>3837</v>
      </c>
      <c r="F4421" s="2025"/>
      <c r="G4421" s="1064" t="s">
        <v>23</v>
      </c>
      <c r="H4421" s="715">
        <v>30</v>
      </c>
      <c r="M4421" s="1357"/>
      <c r="Q4421" s="1357"/>
      <c r="S4421" s="1420"/>
      <c r="T4421" s="1420"/>
      <c r="V4421" s="1357">
        <v>79</v>
      </c>
    </row>
    <row r="4422" spans="1:22" s="841" customFormat="1" ht="15" x14ac:dyDescent="0.25">
      <c r="A4422" s="841" t="s">
        <v>625</v>
      </c>
      <c r="E4422" s="2025" t="s">
        <v>3838</v>
      </c>
      <c r="F4422" s="2025"/>
      <c r="G4422" s="1064" t="s">
        <v>23</v>
      </c>
      <c r="H4422" s="715">
        <v>20</v>
      </c>
      <c r="M4422" s="1357"/>
      <c r="Q4422" s="1357"/>
      <c r="S4422" s="1420"/>
      <c r="T4422" s="1420"/>
      <c r="V4422" s="1357">
        <v>33</v>
      </c>
    </row>
    <row r="4423" spans="1:22" s="841" customFormat="1" ht="15" x14ac:dyDescent="0.25">
      <c r="A4423" s="841" t="s">
        <v>625</v>
      </c>
      <c r="E4423" s="709" t="s">
        <v>3152</v>
      </c>
      <c r="F4423" s="712"/>
      <c r="G4423" s="677"/>
      <c r="H4423" s="713"/>
      <c r="K4423" s="841" t="s">
        <v>3839</v>
      </c>
      <c r="M4423" s="1357"/>
      <c r="Q4423" s="1357"/>
      <c r="S4423" s="1420"/>
      <c r="T4423" s="1420"/>
      <c r="V4423" s="1357">
        <v>22</v>
      </c>
    </row>
    <row r="4424" spans="1:22" s="841" customFormat="1" ht="15" x14ac:dyDescent="0.25">
      <c r="A4424" s="841" t="s">
        <v>625</v>
      </c>
      <c r="E4424" s="2025" t="s">
        <v>5458</v>
      </c>
      <c r="F4424" s="2025"/>
      <c r="G4424" s="1064" t="s">
        <v>86</v>
      </c>
      <c r="H4424" s="715">
        <v>1.5</v>
      </c>
      <c r="M4424" s="1357"/>
      <c r="Q4424" s="1357"/>
      <c r="S4424" s="1420"/>
      <c r="T4424" s="1420"/>
      <c r="V4424" s="1357">
        <v>29</v>
      </c>
    </row>
    <row r="4425" spans="1:22" s="841" customFormat="1" ht="15" x14ac:dyDescent="0.25">
      <c r="A4425" s="841" t="s">
        <v>625</v>
      </c>
      <c r="E4425" s="2025" t="s">
        <v>3840</v>
      </c>
      <c r="F4425" s="2025"/>
      <c r="G4425" s="1064" t="s">
        <v>86</v>
      </c>
      <c r="H4425" s="715">
        <v>19.559999999999999</v>
      </c>
      <c r="M4425" s="1357"/>
      <c r="Q4425" s="1357"/>
      <c r="S4425" s="1420"/>
      <c r="T4425" s="1420"/>
      <c r="V4425" s="1357">
        <v>29</v>
      </c>
    </row>
    <row r="4426" spans="1:22" s="841" customFormat="1" ht="15" x14ac:dyDescent="0.25">
      <c r="A4426" s="841" t="s">
        <v>625</v>
      </c>
      <c r="E4426" s="2025" t="s">
        <v>3841</v>
      </c>
      <c r="F4426" s="2025"/>
      <c r="G4426" s="1064" t="s">
        <v>23</v>
      </c>
      <c r="H4426" s="715">
        <v>30</v>
      </c>
      <c r="M4426" s="1357"/>
      <c r="Q4426" s="1357"/>
      <c r="S4426" s="1420"/>
      <c r="T4426" s="1420"/>
      <c r="V4426" s="1357">
        <v>52</v>
      </c>
    </row>
    <row r="4427" spans="1:22" s="841" customFormat="1" ht="15" x14ac:dyDescent="0.25">
      <c r="A4427" s="841" t="s">
        <v>625</v>
      </c>
      <c r="E4427" s="2025" t="s">
        <v>3842</v>
      </c>
      <c r="F4427" s="2025"/>
      <c r="G4427" s="1064" t="s">
        <v>23</v>
      </c>
      <c r="H4427" s="715">
        <v>165</v>
      </c>
      <c r="M4427" s="1357"/>
      <c r="Q4427" s="1357"/>
      <c r="S4427" s="1420"/>
      <c r="T4427" s="1420"/>
      <c r="V4427" s="1357">
        <v>74</v>
      </c>
    </row>
    <row r="4428" spans="1:22" s="841" customFormat="1" ht="15" x14ac:dyDescent="0.25">
      <c r="A4428" s="841" t="s">
        <v>625</v>
      </c>
      <c r="E4428" s="2025" t="s">
        <v>3843</v>
      </c>
      <c r="F4428" s="2025"/>
      <c r="G4428" s="1064" t="s">
        <v>23</v>
      </c>
      <c r="H4428" s="715">
        <v>65</v>
      </c>
      <c r="M4428" s="1357"/>
      <c r="Q4428" s="1357"/>
      <c r="S4428" s="1420"/>
      <c r="T4428" s="1420"/>
      <c r="V4428" s="1357">
        <v>65</v>
      </c>
    </row>
    <row r="4429" spans="1:22" s="841" customFormat="1" ht="15" x14ac:dyDescent="0.25">
      <c r="A4429" s="841" t="s">
        <v>625</v>
      </c>
      <c r="E4429" s="2025" t="s">
        <v>3844</v>
      </c>
      <c r="F4429" s="2025"/>
      <c r="G4429" s="1064" t="s">
        <v>23</v>
      </c>
      <c r="H4429" s="715">
        <v>185</v>
      </c>
      <c r="M4429" s="1357"/>
      <c r="Q4429" s="1357"/>
      <c r="S4429" s="1420"/>
      <c r="T4429" s="1420"/>
      <c r="V4429" s="1357">
        <v>64</v>
      </c>
    </row>
    <row r="4430" spans="1:22" s="841" customFormat="1" ht="15" x14ac:dyDescent="0.25">
      <c r="A4430" s="841" t="s">
        <v>625</v>
      </c>
      <c r="E4430" s="2025" t="s">
        <v>3845</v>
      </c>
      <c r="F4430" s="2025"/>
      <c r="G4430" s="1064" t="s">
        <v>23</v>
      </c>
      <c r="H4430" s="715">
        <v>185</v>
      </c>
      <c r="M4430" s="1357"/>
      <c r="Q4430" s="1357"/>
      <c r="S4430" s="1420"/>
      <c r="T4430" s="1420"/>
      <c r="V4430" s="1357">
        <v>64</v>
      </c>
    </row>
    <row r="4431" spans="1:22" s="841" customFormat="1" ht="15" x14ac:dyDescent="0.25">
      <c r="A4431" s="841" t="s">
        <v>625</v>
      </c>
      <c r="E4431" s="2025" t="s">
        <v>3846</v>
      </c>
      <c r="F4431" s="2025"/>
      <c r="G4431" s="1064" t="s">
        <v>23</v>
      </c>
      <c r="H4431" s="715">
        <v>415</v>
      </c>
      <c r="M4431" s="1357"/>
      <c r="Q4431" s="1357"/>
      <c r="S4431" s="1420"/>
      <c r="T4431" s="1420"/>
      <c r="V4431" s="1357">
        <v>63</v>
      </c>
    </row>
    <row r="4432" spans="1:22" s="841" customFormat="1" ht="15" x14ac:dyDescent="0.25">
      <c r="A4432" s="841" t="s">
        <v>625</v>
      </c>
      <c r="E4432" s="2025" t="s">
        <v>3847</v>
      </c>
      <c r="F4432" s="2025"/>
      <c r="G4432" s="1064" t="s">
        <v>23</v>
      </c>
      <c r="H4432" s="715">
        <v>65</v>
      </c>
      <c r="M4432" s="1357"/>
      <c r="Q4432" s="1357"/>
      <c r="S4432" s="1420"/>
      <c r="T4432" s="1420"/>
      <c r="V4432" s="1357">
        <v>62</v>
      </c>
    </row>
    <row r="4433" spans="1:22" s="841" customFormat="1" ht="15" x14ac:dyDescent="0.25">
      <c r="A4433" s="841" t="s">
        <v>625</v>
      </c>
      <c r="E4433" s="2025" t="s">
        <v>3848</v>
      </c>
      <c r="F4433" s="2025"/>
      <c r="G4433" s="1064" t="s">
        <v>23</v>
      </c>
      <c r="H4433" s="715">
        <v>185</v>
      </c>
      <c r="M4433" s="1357"/>
      <c r="Q4433" s="1357"/>
      <c r="S4433" s="1420"/>
      <c r="T4433" s="1420"/>
      <c r="V4433" s="1357">
        <v>61</v>
      </c>
    </row>
    <row r="4434" spans="1:22" s="841" customFormat="1" ht="15" x14ac:dyDescent="0.25">
      <c r="A4434" s="841" t="s">
        <v>625</v>
      </c>
      <c r="E4434" s="709" t="s">
        <v>3164</v>
      </c>
      <c r="F4434" s="712"/>
      <c r="G4434" s="677"/>
      <c r="H4434" s="713"/>
      <c r="M4434" s="1357"/>
      <c r="Q4434" s="1357"/>
      <c r="S4434" s="1420"/>
      <c r="T4434" s="1420"/>
      <c r="V4434" s="1357">
        <v>5</v>
      </c>
    </row>
    <row r="4435" spans="1:22" s="841" customFormat="1" ht="15" x14ac:dyDescent="0.25">
      <c r="A4435" s="841" t="s">
        <v>625</v>
      </c>
      <c r="E4435" s="2025" t="s">
        <v>3849</v>
      </c>
      <c r="F4435" s="2025"/>
      <c r="G4435" s="1064" t="s">
        <v>23</v>
      </c>
      <c r="H4435" s="715">
        <v>30</v>
      </c>
      <c r="M4435" s="1357"/>
      <c r="Q4435" s="1357"/>
      <c r="S4435" s="1420"/>
      <c r="T4435" s="1420"/>
      <c r="V4435" s="1357">
        <v>44</v>
      </c>
    </row>
    <row r="4436" spans="1:22" s="841" customFormat="1" ht="15" x14ac:dyDescent="0.25">
      <c r="A4436" s="841" t="s">
        <v>625</v>
      </c>
      <c r="E4436" s="2025" t="s">
        <v>3850</v>
      </c>
      <c r="F4436" s="2025"/>
      <c r="G4436" s="1064" t="s">
        <v>23</v>
      </c>
      <c r="H4436" s="715">
        <v>165</v>
      </c>
      <c r="M4436" s="1357"/>
      <c r="Q4436" s="1357"/>
      <c r="S4436" s="1420"/>
      <c r="T4436" s="1420"/>
      <c r="V4436" s="1357">
        <v>66</v>
      </c>
    </row>
    <row r="4437" spans="1:22" s="841" customFormat="1" ht="15" x14ac:dyDescent="0.25">
      <c r="A4437" s="841" t="s">
        <v>625</v>
      </c>
      <c r="E4437" s="2025" t="s">
        <v>3851</v>
      </c>
      <c r="F4437" s="2025"/>
      <c r="G4437" s="1064" t="s">
        <v>23</v>
      </c>
      <c r="H4437" s="715">
        <v>500</v>
      </c>
      <c r="M4437" s="1357"/>
      <c r="Q4437" s="1357"/>
      <c r="S4437" s="1420"/>
      <c r="T4437" s="1420"/>
      <c r="V4437" s="1357">
        <v>67</v>
      </c>
    </row>
    <row r="4438" spans="1:22" s="841" customFormat="1" ht="15" x14ac:dyDescent="0.25">
      <c r="A4438" s="841" t="s">
        <v>625</v>
      </c>
      <c r="E4438" s="2025" t="s">
        <v>3852</v>
      </c>
      <c r="F4438" s="2025"/>
      <c r="G4438" s="1064" t="s">
        <v>23</v>
      </c>
      <c r="H4438" s="715">
        <v>300</v>
      </c>
      <c r="M4438" s="1357"/>
      <c r="Q4438" s="1357"/>
      <c r="S4438" s="1420"/>
      <c r="T4438" s="1420"/>
      <c r="V4438" s="1357">
        <v>70</v>
      </c>
    </row>
    <row r="4439" spans="1:22" s="841" customFormat="1" ht="15" x14ac:dyDescent="0.25">
      <c r="A4439" s="841" t="s">
        <v>625</v>
      </c>
      <c r="E4439" s="2025" t="s">
        <v>3853</v>
      </c>
      <c r="F4439" s="2025"/>
      <c r="G4439" s="1064" t="s">
        <v>23</v>
      </c>
      <c r="H4439" s="1191">
        <v>1000</v>
      </c>
      <c r="M4439" s="1357"/>
      <c r="Q4439" s="1357"/>
      <c r="S4439" s="1420"/>
      <c r="T4439" s="1420"/>
      <c r="V4439" s="1357">
        <v>69</v>
      </c>
    </row>
    <row r="4440" spans="1:22" s="841" customFormat="1" ht="15" x14ac:dyDescent="0.25">
      <c r="A4440" s="841" t="s">
        <v>625</v>
      </c>
      <c r="E4440" s="2025" t="s">
        <v>3854</v>
      </c>
      <c r="F4440" s="2025"/>
      <c r="G4440" s="1064"/>
      <c r="H4440" s="1192"/>
      <c r="M4440" s="1357"/>
      <c r="Q4440" s="1357"/>
      <c r="S4440" s="1420"/>
      <c r="T4440" s="1420"/>
      <c r="V4440" s="1357">
        <v>64</v>
      </c>
    </row>
    <row r="4441" spans="1:22" s="841" customFormat="1" ht="15" x14ac:dyDescent="0.25">
      <c r="A4441" s="841" t="s">
        <v>625</v>
      </c>
      <c r="E4441" s="2025" t="s">
        <v>3855</v>
      </c>
      <c r="F4441" s="2025"/>
      <c r="G4441" s="1064" t="s">
        <v>23</v>
      </c>
      <c r="H4441" s="715">
        <v>22.35</v>
      </c>
      <c r="M4441" s="1357"/>
      <c r="Q4441" s="1357"/>
      <c r="S4441" s="1420"/>
      <c r="T4441" s="1420"/>
      <c r="V4441" s="1357">
        <v>49</v>
      </c>
    </row>
    <row r="4442" spans="1:22" s="841" customFormat="1" x14ac:dyDescent="0.25">
      <c r="A4442" s="841" t="s">
        <v>625</v>
      </c>
      <c r="E4442" s="702" t="s">
        <v>77</v>
      </c>
      <c r="F4442" s="707"/>
      <c r="G4442" s="707"/>
      <c r="H4442" s="708"/>
      <c r="K4442" s="841" t="s">
        <v>3856</v>
      </c>
      <c r="M4442" s="1357"/>
      <c r="Q4442" s="1357"/>
      <c r="S4442" s="1420"/>
      <c r="T4442" s="1420"/>
      <c r="V4442" s="1357">
        <v>38</v>
      </c>
    </row>
    <row r="4443" spans="1:22" s="841" customFormat="1" ht="15" x14ac:dyDescent="0.25">
      <c r="A4443" s="841" t="s">
        <v>625</v>
      </c>
      <c r="E4443" s="1939" t="s">
        <v>3063</v>
      </c>
      <c r="F4443" s="1939"/>
      <c r="G4443" s="1939"/>
      <c r="H4443" s="1939"/>
      <c r="M4443" s="1357"/>
      <c r="Q4443" s="1357"/>
      <c r="S4443" s="1420"/>
      <c r="T4443" s="1420"/>
      <c r="V4443" s="1357">
        <v>280</v>
      </c>
    </row>
    <row r="4444" spans="1:22" s="841" customFormat="1" ht="15" x14ac:dyDescent="0.25">
      <c r="A4444" s="841" t="s">
        <v>625</v>
      </c>
      <c r="E4444" s="1939" t="s">
        <v>3064</v>
      </c>
      <c r="F4444" s="1939"/>
      <c r="G4444" s="1939"/>
      <c r="H4444" s="1939"/>
      <c r="M4444" s="1357"/>
      <c r="Q4444" s="1357"/>
      <c r="S4444" s="1420"/>
      <c r="T4444" s="1420"/>
      <c r="V4444" s="1357">
        <v>411</v>
      </c>
    </row>
    <row r="4445" spans="1:22" s="841" customFormat="1" ht="15" x14ac:dyDescent="0.25">
      <c r="A4445" s="841" t="s">
        <v>625</v>
      </c>
      <c r="E4445" s="1945" t="s">
        <v>3129</v>
      </c>
      <c r="F4445" s="1945"/>
      <c r="G4445" s="1945"/>
      <c r="H4445" s="1946"/>
      <c r="M4445" s="1357"/>
      <c r="Q4445" s="1357"/>
      <c r="S4445" s="1420"/>
      <c r="T4445" s="1420"/>
      <c r="V4445" s="1357">
        <v>211</v>
      </c>
    </row>
    <row r="4446" spans="1:22" s="841" customFormat="1" ht="15" x14ac:dyDescent="0.25">
      <c r="A4446" s="841" t="s">
        <v>625</v>
      </c>
      <c r="E4446" s="1939" t="s">
        <v>3821</v>
      </c>
      <c r="F4446" s="1939"/>
      <c r="G4446" s="1939"/>
      <c r="H4446" s="1939"/>
      <c r="M4446" s="1357"/>
      <c r="Q4446" s="1357"/>
      <c r="S4446" s="1420"/>
      <c r="T4446" s="1420"/>
      <c r="V4446" s="1357">
        <v>247</v>
      </c>
    </row>
    <row r="4447" spans="1:22" s="841" customFormat="1" ht="15" x14ac:dyDescent="0.25">
      <c r="A4447" s="841" t="s">
        <v>625</v>
      </c>
      <c r="E4447" s="1945" t="s">
        <v>3291</v>
      </c>
      <c r="F4447" s="1945"/>
      <c r="G4447" s="1945"/>
      <c r="H4447" s="1946"/>
      <c r="M4447" s="1357"/>
      <c r="Q4447" s="1357"/>
      <c r="S4447" s="1420"/>
      <c r="T4447" s="1420"/>
      <c r="V4447" s="1357">
        <v>142</v>
      </c>
    </row>
    <row r="4448" spans="1:22" s="841" customFormat="1" ht="15" x14ac:dyDescent="0.25">
      <c r="A4448" s="841" t="s">
        <v>625</v>
      </c>
      <c r="E4448" s="1934" t="s">
        <v>3857</v>
      </c>
      <c r="F4448" s="1934"/>
      <c r="G4448" s="714" t="s">
        <v>23</v>
      </c>
      <c r="H4448" s="715">
        <v>100</v>
      </c>
      <c r="M4448" s="1357"/>
      <c r="Q4448" s="1357"/>
      <c r="S4448" s="1420"/>
      <c r="T4448" s="1420"/>
      <c r="V4448" s="1357">
        <v>111</v>
      </c>
    </row>
    <row r="4449" spans="1:22" s="841" customFormat="1" ht="15" x14ac:dyDescent="0.25">
      <c r="A4449" s="841" t="s">
        <v>625</v>
      </c>
      <c r="E4449" s="1934" t="s">
        <v>3858</v>
      </c>
      <c r="F4449" s="1934"/>
      <c r="G4449" s="714" t="s">
        <v>23</v>
      </c>
      <c r="H4449" s="715">
        <v>20</v>
      </c>
      <c r="M4449" s="1357"/>
      <c r="Q4449" s="1357"/>
      <c r="S4449" s="1420"/>
      <c r="T4449" s="1420"/>
      <c r="V4449" s="1357">
        <v>39</v>
      </c>
    </row>
    <row r="4450" spans="1:22" s="841" customFormat="1" ht="15" x14ac:dyDescent="0.25">
      <c r="A4450" s="841" t="s">
        <v>625</v>
      </c>
      <c r="E4450" s="1934" t="s">
        <v>3859</v>
      </c>
      <c r="F4450" s="1934"/>
      <c r="G4450" s="714" t="s">
        <v>3179</v>
      </c>
      <c r="H4450" s="715">
        <v>0.5</v>
      </c>
      <c r="M4450" s="1357"/>
      <c r="Q4450" s="1357"/>
      <c r="S4450" s="1420"/>
      <c r="T4450" s="1420"/>
      <c r="V4450" s="1357">
        <v>56</v>
      </c>
    </row>
    <row r="4451" spans="1:22" s="841" customFormat="1" ht="15" x14ac:dyDescent="0.25">
      <c r="A4451" s="841" t="s">
        <v>625</v>
      </c>
      <c r="E4451" s="1934" t="s">
        <v>3860</v>
      </c>
      <c r="F4451" s="1934"/>
      <c r="G4451" s="714" t="s">
        <v>3179</v>
      </c>
      <c r="H4451" s="715">
        <v>0.3</v>
      </c>
      <c r="M4451" s="1357"/>
      <c r="Q4451" s="1357"/>
      <c r="S4451" s="1420"/>
      <c r="T4451" s="1420"/>
      <c r="V4451" s="1357">
        <v>80</v>
      </c>
    </row>
    <row r="4452" spans="1:22" s="841" customFormat="1" ht="15" x14ac:dyDescent="0.25">
      <c r="A4452" s="841" t="s">
        <v>625</v>
      </c>
      <c r="E4452" s="1934" t="s">
        <v>3861</v>
      </c>
      <c r="F4452" s="1934"/>
      <c r="G4452" s="714" t="s">
        <v>3179</v>
      </c>
      <c r="H4452" s="715">
        <v>-0.3</v>
      </c>
      <c r="M4452" s="1357"/>
      <c r="Q4452" s="1357"/>
      <c r="S4452" s="1420"/>
      <c r="T4452" s="1420"/>
      <c r="V4452" s="1357">
        <v>77</v>
      </c>
    </row>
    <row r="4453" spans="1:22" s="841" customFormat="1" ht="15" x14ac:dyDescent="0.25">
      <c r="A4453" s="841" t="s">
        <v>625</v>
      </c>
      <c r="E4453" s="1934" t="s">
        <v>3862</v>
      </c>
      <c r="F4453" s="1934"/>
      <c r="G4453" s="716"/>
      <c r="H4453" s="717"/>
      <c r="M4453" s="1357"/>
      <c r="Q4453" s="1357"/>
      <c r="S4453" s="1420"/>
      <c r="T4453" s="1420"/>
      <c r="V4453" s="1357">
        <v>40</v>
      </c>
    </row>
    <row r="4454" spans="1:22" s="841" customFormat="1" ht="15" x14ac:dyDescent="0.25">
      <c r="A4454" s="841" t="s">
        <v>625</v>
      </c>
      <c r="E4454" s="1934" t="s">
        <v>3863</v>
      </c>
      <c r="F4454" s="1934"/>
      <c r="G4454" s="714" t="s">
        <v>23</v>
      </c>
      <c r="H4454" s="715">
        <v>0.25</v>
      </c>
      <c r="M4454" s="1357"/>
      <c r="Q4454" s="1357"/>
      <c r="S4454" s="1420"/>
      <c r="T4454" s="1420"/>
      <c r="V4454" s="1357">
        <v>67</v>
      </c>
    </row>
    <row r="4455" spans="1:22" s="841" customFormat="1" ht="15" x14ac:dyDescent="0.25">
      <c r="A4455" s="841" t="s">
        <v>625</v>
      </c>
      <c r="E4455" s="1934" t="s">
        <v>3864</v>
      </c>
      <c r="F4455" s="1934"/>
      <c r="G4455" s="714" t="s">
        <v>23</v>
      </c>
      <c r="H4455" s="715">
        <v>0.5</v>
      </c>
      <c r="M4455" s="1357"/>
      <c r="Q4455" s="1357"/>
      <c r="S4455" s="1420"/>
      <c r="T4455" s="1420"/>
      <c r="V4455" s="1357">
        <v>70</v>
      </c>
    </row>
    <row r="4456" spans="1:22" s="841" customFormat="1" ht="15" x14ac:dyDescent="0.25">
      <c r="A4456" s="841" t="s">
        <v>625</v>
      </c>
      <c r="E4456" s="1934" t="s">
        <v>3865</v>
      </c>
      <c r="F4456" s="1934"/>
      <c r="G4456" s="716"/>
      <c r="H4456" s="717"/>
      <c r="M4456" s="1357"/>
      <c r="Q4456" s="1357"/>
      <c r="S4456" s="1420"/>
      <c r="T4456" s="1420"/>
      <c r="V4456" s="1357">
        <v>96</v>
      </c>
    </row>
    <row r="4457" spans="1:22" s="841" customFormat="1" ht="15" x14ac:dyDescent="0.25">
      <c r="A4457" s="841" t="s">
        <v>625</v>
      </c>
      <c r="E4457" s="1934" t="s">
        <v>3866</v>
      </c>
      <c r="F4457" s="1934"/>
      <c r="G4457" s="716"/>
      <c r="H4457" s="717"/>
      <c r="M4457" s="1357"/>
      <c r="Q4457" s="1357"/>
      <c r="S4457" s="1420"/>
      <c r="T4457" s="1420"/>
      <c r="V4457" s="1357">
        <v>101</v>
      </c>
    </row>
    <row r="4458" spans="1:22" s="841" customFormat="1" ht="15" x14ac:dyDescent="0.25">
      <c r="A4458" s="841" t="s">
        <v>625</v>
      </c>
      <c r="E4458" s="1934" t="s">
        <v>3867</v>
      </c>
      <c r="F4458" s="1934"/>
      <c r="G4458" s="716"/>
      <c r="H4458" s="717"/>
      <c r="M4458" s="1357"/>
      <c r="Q4458" s="1357"/>
      <c r="S4458" s="1420"/>
      <c r="T4458" s="1420"/>
      <c r="V4458" s="1357">
        <v>83</v>
      </c>
    </row>
    <row r="4459" spans="1:22" s="841" customFormat="1" ht="15" x14ac:dyDescent="0.25">
      <c r="A4459" s="841" t="s">
        <v>625</v>
      </c>
      <c r="E4459" s="1934" t="s">
        <v>3868</v>
      </c>
      <c r="F4459" s="1934"/>
      <c r="G4459" s="714" t="s">
        <v>23</v>
      </c>
      <c r="H4459" s="715" t="s">
        <v>3189</v>
      </c>
      <c r="M4459" s="1357"/>
      <c r="Q4459" s="1357"/>
      <c r="S4459" s="1420"/>
      <c r="T4459" s="1420"/>
      <c r="V4459" s="1357">
        <v>28</v>
      </c>
    </row>
    <row r="4460" spans="1:22" s="841" customFormat="1" ht="15" x14ac:dyDescent="0.25">
      <c r="A4460" s="841" t="s">
        <v>625</v>
      </c>
      <c r="E4460" s="1934" t="s">
        <v>3869</v>
      </c>
      <c r="F4460" s="1934"/>
      <c r="G4460" s="714" t="s">
        <v>23</v>
      </c>
      <c r="H4460" s="715">
        <v>2</v>
      </c>
      <c r="M4460" s="1357"/>
      <c r="Q4460" s="1357"/>
      <c r="S4460" s="1420"/>
      <c r="T4460" s="1420"/>
      <c r="V4460" s="1357">
        <v>79</v>
      </c>
    </row>
    <row r="4461" spans="1:22" s="841" customFormat="1" x14ac:dyDescent="0.25">
      <c r="A4461" s="841" t="s">
        <v>625</v>
      </c>
      <c r="E4461" s="702" t="s">
        <v>147</v>
      </c>
      <c r="F4461" s="707"/>
      <c r="G4461" s="707"/>
      <c r="H4461" s="708"/>
      <c r="K4461" s="841" t="s">
        <v>3870</v>
      </c>
      <c r="M4461" s="1357"/>
      <c r="Q4461" s="1357"/>
      <c r="S4461" s="1420"/>
      <c r="T4461" s="1420"/>
      <c r="V4461" s="1357">
        <v>12</v>
      </c>
    </row>
    <row r="4462" spans="1:22" s="841" customFormat="1" ht="15" x14ac:dyDescent="0.25">
      <c r="A4462" s="841" t="s">
        <v>625</v>
      </c>
      <c r="E4462" s="1938" t="s">
        <v>3192</v>
      </c>
      <c r="F4462" s="1938"/>
      <c r="G4462" s="1938"/>
      <c r="H4462" s="2105"/>
      <c r="M4462" s="1357"/>
      <c r="Q4462" s="1357"/>
      <c r="S4462" s="1420"/>
      <c r="T4462" s="1420"/>
      <c r="V4462" s="1357">
        <v>203</v>
      </c>
    </row>
    <row r="4463" spans="1:22" s="841" customFormat="1" ht="15" x14ac:dyDescent="0.25">
      <c r="A4463" s="841" t="s">
        <v>625</v>
      </c>
      <c r="E4463" s="1934" t="s">
        <v>3295</v>
      </c>
      <c r="F4463" s="1934"/>
      <c r="G4463" s="895"/>
      <c r="H4463" s="675">
        <v>1.0457000000000001</v>
      </c>
      <c r="M4463" s="1357"/>
      <c r="Q4463" s="1357"/>
      <c r="S4463" s="1420"/>
      <c r="T4463" s="1420"/>
      <c r="V4463" s="1357">
        <v>57</v>
      </c>
    </row>
    <row r="4464" spans="1:22" s="841" customFormat="1" ht="15" x14ac:dyDescent="0.25">
      <c r="A4464" s="841" t="s">
        <v>625</v>
      </c>
      <c r="E4464" s="1934" t="s">
        <v>3297</v>
      </c>
      <c r="F4464" s="1934"/>
      <c r="G4464" s="895"/>
      <c r="H4464" s="675">
        <v>1.0351999999999999</v>
      </c>
      <c r="J4464" s="841" t="s">
        <v>3871</v>
      </c>
      <c r="M4464" s="1357"/>
      <c r="Q4464" s="1357"/>
      <c r="S4464" s="1420"/>
      <c r="T4464" s="1420"/>
      <c r="V4464" s="1357">
        <v>55</v>
      </c>
    </row>
    <row r="4465" spans="1:22" s="841" customFormat="1" ht="23.25" x14ac:dyDescent="0.25">
      <c r="A4465" s="841" t="s">
        <v>202</v>
      </c>
      <c r="C4465" s="841" t="s">
        <v>3050</v>
      </c>
      <c r="E4465" s="1911" t="s">
        <v>202</v>
      </c>
      <c r="F4465" s="1911"/>
      <c r="G4465" s="1911"/>
      <c r="H4465" s="1911"/>
      <c r="I4465" s="841" t="s">
        <v>628</v>
      </c>
      <c r="J4465" s="841" t="s">
        <v>4493</v>
      </c>
      <c r="K4465" s="841" t="s">
        <v>202</v>
      </c>
      <c r="M4465" s="1357">
        <v>10</v>
      </c>
      <c r="Q4465" s="1357"/>
      <c r="S4465" s="1420"/>
      <c r="T4465" s="1420"/>
      <c r="V4465" s="1357">
        <v>34</v>
      </c>
    </row>
    <row r="4466" spans="1:22" s="841" customFormat="1" x14ac:dyDescent="0.25">
      <c r="A4466" s="841" t="s">
        <v>202</v>
      </c>
      <c r="C4466" s="841" t="s">
        <v>3052</v>
      </c>
      <c r="E4466" s="1912" t="s">
        <v>3053</v>
      </c>
      <c r="F4466" s="1912"/>
      <c r="G4466" s="1912"/>
      <c r="H4466" s="1912"/>
      <c r="M4466" s="1357"/>
      <c r="Q4466" s="1357"/>
      <c r="S4466" s="1420"/>
      <c r="T4466" s="1420"/>
      <c r="V4466" s="1357">
        <v>27</v>
      </c>
    </row>
    <row r="4467" spans="1:22" s="841" customFormat="1" ht="15.75" x14ac:dyDescent="0.25">
      <c r="A4467" s="841" t="s">
        <v>202</v>
      </c>
      <c r="C4467" s="841" t="s">
        <v>3054</v>
      </c>
      <c r="E4467" s="1913" t="s">
        <v>5101</v>
      </c>
      <c r="F4467" s="1913"/>
      <c r="G4467" s="1913"/>
      <c r="H4467" s="1913"/>
      <c r="M4467" s="1357"/>
      <c r="Q4467" s="1357"/>
      <c r="S4467" s="1420">
        <v>43101</v>
      </c>
      <c r="T4467" s="1420"/>
      <c r="V4467" s="1357">
        <v>49</v>
      </c>
    </row>
    <row r="4468" spans="1:22" s="841" customFormat="1" ht="15" x14ac:dyDescent="0.25">
      <c r="A4468" s="841" t="s">
        <v>202</v>
      </c>
      <c r="C4468" s="841" t="s">
        <v>3055</v>
      </c>
      <c r="E4468" s="1914" t="s">
        <v>3616</v>
      </c>
      <c r="F4468" s="1914"/>
      <c r="G4468" s="1914"/>
      <c r="H4468" s="1914"/>
      <c r="M4468" s="1357"/>
      <c r="Q4468" s="1357"/>
      <c r="S4468" s="1420"/>
      <c r="T4468" s="1420"/>
      <c r="V4468" s="1357">
        <v>53</v>
      </c>
    </row>
    <row r="4469" spans="1:22" s="841" customFormat="1" ht="15" x14ac:dyDescent="0.25">
      <c r="A4469" s="841" t="s">
        <v>202</v>
      </c>
      <c r="E4469" s="1914" t="s">
        <v>3057</v>
      </c>
      <c r="F4469" s="1914"/>
      <c r="G4469" s="1914"/>
      <c r="H4469" s="1914"/>
      <c r="M4469" s="1357"/>
      <c r="Q4469" s="1357"/>
      <c r="S4469" s="1420"/>
      <c r="T4469" s="1420"/>
      <c r="V4469" s="1357">
        <v>53</v>
      </c>
    </row>
    <row r="4470" spans="1:22" s="841" customFormat="1" ht="15" x14ac:dyDescent="0.25">
      <c r="A4470" s="841" t="s">
        <v>202</v>
      </c>
      <c r="E4470" s="1925" t="s">
        <v>5459</v>
      </c>
      <c r="F4470" s="1925"/>
      <c r="G4470" s="1925"/>
      <c r="H4470" s="1925"/>
      <c r="K4470" s="841" t="s">
        <v>5459</v>
      </c>
      <c r="M4470" s="1357"/>
      <c r="Q4470" s="1357"/>
      <c r="S4470" s="1420"/>
      <c r="T4470" s="1420"/>
      <c r="V4470" s="1357">
        <v>12</v>
      </c>
    </row>
    <row r="4471" spans="1:22" s="841" customFormat="1" ht="15" x14ac:dyDescent="0.25">
      <c r="A4471" s="841" t="s">
        <v>202</v>
      </c>
      <c r="E4471" s="1936" t="s">
        <v>438</v>
      </c>
      <c r="F4471" s="1689"/>
      <c r="G4471" s="1689"/>
      <c r="H4471" s="1689"/>
      <c r="K4471" s="841" t="s">
        <v>3197</v>
      </c>
      <c r="M4471" s="1357"/>
      <c r="Q4471" s="1357"/>
      <c r="S4471" s="1420"/>
      <c r="T4471" s="1420"/>
      <c r="V4471" s="1357">
        <v>34</v>
      </c>
    </row>
    <row r="4472" spans="1:22" s="841" customFormat="1" ht="15" x14ac:dyDescent="0.25">
      <c r="A4472" s="841" t="s">
        <v>202</v>
      </c>
      <c r="E4472" s="1689" t="s">
        <v>4494</v>
      </c>
      <c r="F4472" s="1689"/>
      <c r="G4472" s="1689"/>
      <c r="H4472" s="1689"/>
      <c r="K4472" s="841" t="s">
        <v>3197</v>
      </c>
      <c r="M4472" s="1357"/>
      <c r="Q4472" s="1357"/>
      <c r="S4472" s="1420"/>
      <c r="T4472" s="1420"/>
      <c r="V4472" s="1357">
        <v>618</v>
      </c>
    </row>
    <row r="4473" spans="1:22" s="841" customFormat="1" ht="15" x14ac:dyDescent="0.25">
      <c r="A4473" s="841" t="s">
        <v>202</v>
      </c>
      <c r="E4473" s="1916" t="s">
        <v>3061</v>
      </c>
      <c r="F4473" s="1689"/>
      <c r="G4473" s="1689"/>
      <c r="H4473" s="1689"/>
      <c r="K4473" s="841" t="s">
        <v>3062</v>
      </c>
      <c r="M4473" s="1357"/>
      <c r="Q4473" s="1357"/>
      <c r="S4473" s="1420"/>
      <c r="T4473" s="1420"/>
      <c r="V4473" s="1357">
        <v>11</v>
      </c>
    </row>
    <row r="4474" spans="1:22" s="841" customFormat="1" ht="15" x14ac:dyDescent="0.25">
      <c r="A4474" s="841" t="s">
        <v>202</v>
      </c>
      <c r="E4474" s="1689" t="s">
        <v>3063</v>
      </c>
      <c r="F4474" s="1689"/>
      <c r="G4474" s="1689"/>
      <c r="H4474" s="1689"/>
      <c r="K4474" s="841" t="s">
        <v>3197</v>
      </c>
      <c r="M4474" s="1357"/>
      <c r="Q4474" s="1357"/>
      <c r="S4474" s="1420"/>
      <c r="T4474" s="1420"/>
      <c r="V4474" s="1357">
        <v>280</v>
      </c>
    </row>
    <row r="4475" spans="1:22" s="841" customFormat="1" ht="15" x14ac:dyDescent="0.25">
      <c r="A4475" s="841" t="s">
        <v>202</v>
      </c>
      <c r="E4475" s="1689" t="s">
        <v>3064</v>
      </c>
      <c r="F4475" s="1689"/>
      <c r="G4475" s="1689"/>
      <c r="H4475" s="1689"/>
      <c r="K4475" s="841" t="s">
        <v>3197</v>
      </c>
      <c r="M4475" s="1357"/>
      <c r="Q4475" s="1357"/>
      <c r="S4475" s="1420"/>
      <c r="T4475" s="1420"/>
      <c r="V4475" s="1357">
        <v>411</v>
      </c>
    </row>
    <row r="4476" spans="1:22" s="841" customFormat="1" ht="15" x14ac:dyDescent="0.25">
      <c r="A4476" s="841" t="s">
        <v>202</v>
      </c>
      <c r="E4476" s="1689" t="s">
        <v>3065</v>
      </c>
      <c r="F4476" s="1689"/>
      <c r="G4476" s="1689"/>
      <c r="H4476" s="1689"/>
      <c r="K4476" s="841" t="s">
        <v>3197</v>
      </c>
      <c r="M4476" s="1357"/>
      <c r="Q4476" s="1357"/>
      <c r="S4476" s="1420"/>
      <c r="T4476" s="1420"/>
      <c r="V4476" s="1357">
        <v>387</v>
      </c>
    </row>
    <row r="4477" spans="1:22" s="841" customFormat="1" ht="15" x14ac:dyDescent="0.25">
      <c r="A4477" s="841" t="s">
        <v>202</v>
      </c>
      <c r="E4477" s="1689" t="s">
        <v>3390</v>
      </c>
      <c r="F4477" s="1689"/>
      <c r="G4477" s="1689"/>
      <c r="H4477" s="1689"/>
      <c r="K4477" s="841" t="s">
        <v>3197</v>
      </c>
      <c r="M4477" s="1357"/>
      <c r="Q4477" s="1357"/>
      <c r="S4477" s="1420"/>
      <c r="T4477" s="1420"/>
      <c r="V4477" s="1357">
        <v>274</v>
      </c>
    </row>
    <row r="4478" spans="1:22" s="841" customFormat="1" ht="15" x14ac:dyDescent="0.25">
      <c r="A4478" s="841" t="s">
        <v>202</v>
      </c>
      <c r="E4478" s="1694" t="s">
        <v>3067</v>
      </c>
      <c r="F4478" s="1907"/>
      <c r="G4478" s="1907"/>
      <c r="H4478" s="1907"/>
      <c r="K4478" s="841" t="s">
        <v>3068</v>
      </c>
      <c r="M4478" s="1357"/>
      <c r="Q4478" s="1357"/>
      <c r="S4478" s="1420"/>
      <c r="T4478" s="1420"/>
      <c r="V4478" s="1357">
        <v>46</v>
      </c>
    </row>
    <row r="4479" spans="1:22" s="841" customFormat="1" ht="15" x14ac:dyDescent="0.25">
      <c r="A4479" s="841" t="s">
        <v>202</v>
      </c>
      <c r="E4479" s="1920" t="s">
        <v>11</v>
      </c>
      <c r="F4479" s="1690"/>
      <c r="G4479" s="695" t="s">
        <v>23</v>
      </c>
      <c r="H4479" s="391">
        <v>25.73</v>
      </c>
      <c r="K4479" s="841" t="s">
        <v>3197</v>
      </c>
      <c r="L4479" s="841" t="s">
        <v>442</v>
      </c>
      <c r="M4479" s="1357"/>
      <c r="P4479" s="841" t="s">
        <v>3201</v>
      </c>
      <c r="Q4479" s="1357"/>
      <c r="S4479" s="1420"/>
      <c r="T4479" s="1420"/>
      <c r="V4479" s="1357">
        <v>14</v>
      </c>
    </row>
    <row r="4480" spans="1:22" s="841" customFormat="1" ht="15" x14ac:dyDescent="0.25">
      <c r="A4480" s="841" t="s">
        <v>202</v>
      </c>
      <c r="E4480" s="1920" t="s">
        <v>398</v>
      </c>
      <c r="F4480" s="1690"/>
      <c r="G4480" s="695" t="s">
        <v>23</v>
      </c>
      <c r="H4480" s="696">
        <v>-0.18</v>
      </c>
      <c r="K4480" s="841" t="s">
        <v>3197</v>
      </c>
      <c r="L4480" s="841" t="s">
        <v>442</v>
      </c>
      <c r="M4480" s="1357"/>
      <c r="P4480" s="841" t="s">
        <v>6242</v>
      </c>
      <c r="Q4480" s="1357"/>
      <c r="S4480" s="1420"/>
      <c r="T4480" s="1420">
        <v>45747</v>
      </c>
      <c r="V4480" s="1357">
        <v>93</v>
      </c>
    </row>
    <row r="4481" spans="1:22" s="841" customFormat="1" ht="15" x14ac:dyDescent="0.25">
      <c r="A4481" s="841" t="s">
        <v>202</v>
      </c>
      <c r="E4481" s="1920" t="s">
        <v>423</v>
      </c>
      <c r="F4481" s="1690"/>
      <c r="G4481" s="695" t="s">
        <v>23</v>
      </c>
      <c r="H4481" s="696">
        <v>0.79</v>
      </c>
      <c r="K4481" s="841" t="s">
        <v>3197</v>
      </c>
      <c r="L4481" s="841" t="s">
        <v>443</v>
      </c>
      <c r="M4481" s="1357"/>
      <c r="P4481" s="841" t="s">
        <v>3202</v>
      </c>
      <c r="Q4481" s="1357"/>
      <c r="S4481" s="1420"/>
      <c r="T4481" s="1420">
        <v>43404</v>
      </c>
      <c r="V4481" s="1357">
        <v>78</v>
      </c>
    </row>
    <row r="4482" spans="1:22" s="841" customFormat="1" ht="15" x14ac:dyDescent="0.25">
      <c r="A4482" s="841" t="s">
        <v>202</v>
      </c>
      <c r="E4482" s="1920" t="s">
        <v>84</v>
      </c>
      <c r="F4482" s="1690"/>
      <c r="G4482" s="695" t="s">
        <v>24</v>
      </c>
      <c r="H4482" s="393">
        <v>4.8999999999999998E-3</v>
      </c>
      <c r="K4482" s="841" t="s">
        <v>3197</v>
      </c>
      <c r="L4482" s="841" t="s">
        <v>442</v>
      </c>
      <c r="M4482" s="1357"/>
      <c r="P4482" s="841" t="s">
        <v>3203</v>
      </c>
      <c r="Q4482" s="1357"/>
      <c r="S4482" s="1420"/>
      <c r="T4482" s="1420"/>
      <c r="V4482" s="1357">
        <v>28</v>
      </c>
    </row>
    <row r="4483" spans="1:22" s="841" customFormat="1" ht="15" x14ac:dyDescent="0.25">
      <c r="A4483" s="841" t="s">
        <v>202</v>
      </c>
      <c r="E4483" s="1920" t="s">
        <v>5143</v>
      </c>
      <c r="F4483" s="1908"/>
      <c r="G4483" s="695" t="s">
        <v>24</v>
      </c>
      <c r="H4483" s="393">
        <v>4.4999999999999997E-3</v>
      </c>
      <c r="K4483" s="841" t="s">
        <v>3197</v>
      </c>
      <c r="L4483" s="841" t="s">
        <v>443</v>
      </c>
      <c r="M4483" s="1357"/>
      <c r="P4483" s="841" t="s">
        <v>3205</v>
      </c>
      <c r="Q4483" s="1357"/>
      <c r="S4483" s="1420"/>
      <c r="T4483" s="1420">
        <v>43465</v>
      </c>
      <c r="V4483" s="1357">
        <v>142</v>
      </c>
    </row>
    <row r="4484" spans="1:22" s="841" customFormat="1" ht="15" x14ac:dyDescent="0.25">
      <c r="A4484" s="841" t="s">
        <v>202</v>
      </c>
      <c r="E4484" s="1920" t="s">
        <v>5460</v>
      </c>
      <c r="F4484" s="1908"/>
      <c r="G4484" s="695" t="s">
        <v>24</v>
      </c>
      <c r="H4484" s="393">
        <v>2.0000000000000001E-4</v>
      </c>
      <c r="K4484" s="841" t="s">
        <v>3197</v>
      </c>
      <c r="L4484" s="841" t="s">
        <v>442</v>
      </c>
      <c r="M4484" s="1357"/>
      <c r="P4484" s="841" t="s">
        <v>3206</v>
      </c>
      <c r="Q4484" s="1357"/>
      <c r="S4484" s="1420"/>
      <c r="T4484" s="1420">
        <v>43465</v>
      </c>
      <c r="V4484" s="1357">
        <v>132</v>
      </c>
    </row>
    <row r="4485" spans="1:22" s="841" customFormat="1" ht="15" x14ac:dyDescent="0.25">
      <c r="A4485" s="841" t="s">
        <v>202</v>
      </c>
      <c r="E4485" s="1920" t="s">
        <v>5144</v>
      </c>
      <c r="F4485" s="1908"/>
      <c r="G4485" s="695" t="s">
        <v>24</v>
      </c>
      <c r="H4485" s="393">
        <v>-2.3E-3</v>
      </c>
      <c r="K4485" s="841" t="s">
        <v>3197</v>
      </c>
      <c r="L4485" s="841" t="s">
        <v>443</v>
      </c>
      <c r="M4485" s="1357"/>
      <c r="P4485" s="841" t="s">
        <v>3207</v>
      </c>
      <c r="Q4485" s="1357"/>
      <c r="S4485" s="1420"/>
      <c r="T4485" s="1420">
        <v>43465</v>
      </c>
      <c r="V4485" s="1357">
        <v>99</v>
      </c>
    </row>
    <row r="4486" spans="1:22" s="841" customFormat="1" ht="15" x14ac:dyDescent="0.25">
      <c r="A4486" s="841" t="s">
        <v>202</v>
      </c>
      <c r="E4486" s="1920" t="s">
        <v>5145</v>
      </c>
      <c r="F4486" s="1908"/>
      <c r="G4486" s="695" t="s">
        <v>24</v>
      </c>
      <c r="H4486" s="393">
        <v>-1E-4</v>
      </c>
      <c r="K4486" s="841" t="s">
        <v>3197</v>
      </c>
      <c r="L4486" s="841" t="s">
        <v>443</v>
      </c>
      <c r="M4486" s="1357"/>
      <c r="P4486" s="841" t="s">
        <v>5103</v>
      </c>
      <c r="Q4486" s="1357"/>
      <c r="S4486" s="1420"/>
      <c r="T4486" s="1420">
        <v>43465</v>
      </c>
      <c r="V4486" s="1357">
        <v>148</v>
      </c>
    </row>
    <row r="4487" spans="1:22" s="841" customFormat="1" ht="15" x14ac:dyDescent="0.25">
      <c r="A4487" s="841" t="s">
        <v>202</v>
      </c>
      <c r="E4487" s="1920" t="s">
        <v>221</v>
      </c>
      <c r="F4487" s="1690"/>
      <c r="G4487" s="695" t="s">
        <v>24</v>
      </c>
      <c r="H4487" s="393">
        <v>6.7999999999999996E-3</v>
      </c>
      <c r="K4487" s="841" t="s">
        <v>3197</v>
      </c>
      <c r="L4487" s="841" t="s">
        <v>444</v>
      </c>
      <c r="M4487" s="1357"/>
      <c r="P4487" s="841" t="s">
        <v>3208</v>
      </c>
      <c r="Q4487" s="1357"/>
      <c r="S4487" s="1420"/>
      <c r="T4487" s="1420"/>
      <c r="V4487" s="1357">
        <v>47</v>
      </c>
    </row>
    <row r="4488" spans="1:22" s="841" customFormat="1" ht="15" x14ac:dyDescent="0.25">
      <c r="A4488" s="841" t="s">
        <v>202</v>
      </c>
      <c r="E4488" s="1920" t="s">
        <v>217</v>
      </c>
      <c r="F4488" s="1690"/>
      <c r="G4488" s="695" t="s">
        <v>24</v>
      </c>
      <c r="H4488" s="393">
        <v>5.8999999999999999E-3</v>
      </c>
      <c r="K4488" s="841" t="s">
        <v>3197</v>
      </c>
      <c r="L4488" s="841" t="s">
        <v>444</v>
      </c>
      <c r="M4488" s="1357"/>
      <c r="P4488" s="841" t="s">
        <v>3209</v>
      </c>
      <c r="Q4488" s="1357"/>
      <c r="S4488" s="1420"/>
      <c r="T4488" s="1420"/>
      <c r="V4488" s="1357">
        <v>74</v>
      </c>
    </row>
    <row r="4489" spans="1:22" s="841" customFormat="1" ht="15" x14ac:dyDescent="0.25">
      <c r="A4489" s="841" t="s">
        <v>202</v>
      </c>
      <c r="E4489" s="1694" t="s">
        <v>3079</v>
      </c>
      <c r="F4489" s="1690"/>
      <c r="G4489" s="1690"/>
      <c r="H4489" s="1690"/>
      <c r="K4489" s="841" t="s">
        <v>3080</v>
      </c>
      <c r="M4489" s="1357"/>
      <c r="Q4489" s="1357"/>
      <c r="S4489" s="1420"/>
      <c r="T4489" s="1420"/>
      <c r="V4489" s="1357">
        <v>48</v>
      </c>
    </row>
    <row r="4490" spans="1:22" s="841" customFormat="1" ht="15" x14ac:dyDescent="0.25">
      <c r="A4490" s="841" t="s">
        <v>202</v>
      </c>
      <c r="E4490" s="1920" t="s">
        <v>2449</v>
      </c>
      <c r="F4490" s="1690"/>
      <c r="G4490" s="695" t="s">
        <v>24</v>
      </c>
      <c r="H4490" s="697">
        <v>3.2000000000000002E-3</v>
      </c>
      <c r="K4490" s="841" t="s">
        <v>3197</v>
      </c>
      <c r="L4490" s="841" t="s">
        <v>3046</v>
      </c>
      <c r="M4490" s="1357"/>
      <c r="P4490" s="841" t="s">
        <v>3210</v>
      </c>
      <c r="Q4490" s="1357"/>
      <c r="S4490" s="1420"/>
      <c r="T4490" s="1420"/>
      <c r="V4490" s="1357">
        <v>55</v>
      </c>
    </row>
    <row r="4491" spans="1:22" s="841" customFormat="1" ht="15" x14ac:dyDescent="0.25">
      <c r="A4491" s="841" t="s">
        <v>202</v>
      </c>
      <c r="E4491" s="1920" t="s">
        <v>2450</v>
      </c>
      <c r="F4491" s="1690"/>
      <c r="G4491" s="695" t="s">
        <v>24</v>
      </c>
      <c r="H4491" s="697">
        <v>4.0000000000000002E-4</v>
      </c>
      <c r="K4491" s="841" t="s">
        <v>3197</v>
      </c>
      <c r="L4491" s="841" t="s">
        <v>3046</v>
      </c>
      <c r="M4491" s="1357"/>
      <c r="P4491" s="841" t="s">
        <v>3210</v>
      </c>
      <c r="Q4491" s="1357"/>
      <c r="S4491" s="1420"/>
      <c r="T4491" s="1420"/>
      <c r="V4491" s="1357">
        <v>65</v>
      </c>
    </row>
    <row r="4492" spans="1:22" s="841" customFormat="1" ht="15" x14ac:dyDescent="0.25">
      <c r="A4492" s="841" t="s">
        <v>202</v>
      </c>
      <c r="E4492" s="1920" t="s">
        <v>439</v>
      </c>
      <c r="F4492" s="1690"/>
      <c r="G4492" s="695" t="s">
        <v>24</v>
      </c>
      <c r="H4492" s="697">
        <v>2.9999999999999997E-4</v>
      </c>
      <c r="K4492" s="841" t="s">
        <v>3197</v>
      </c>
      <c r="L4492" s="841" t="s">
        <v>3046</v>
      </c>
      <c r="M4492" s="1357"/>
      <c r="P4492" s="841" t="s">
        <v>3212</v>
      </c>
      <c r="Q4492" s="1357"/>
      <c r="S4492" s="1420"/>
      <c r="T4492" s="1420"/>
      <c r="V4492" s="1357">
        <v>57</v>
      </c>
    </row>
    <row r="4493" spans="1:22" s="841" customFormat="1" ht="15" x14ac:dyDescent="0.25">
      <c r="A4493" s="841" t="s">
        <v>202</v>
      </c>
      <c r="E4493" s="1920" t="s">
        <v>32</v>
      </c>
      <c r="F4493" s="1690"/>
      <c r="G4493" s="695" t="s">
        <v>23</v>
      </c>
      <c r="H4493" s="696">
        <v>0.25</v>
      </c>
      <c r="K4493" s="841" t="s">
        <v>3197</v>
      </c>
      <c r="L4493" s="841" t="s">
        <v>3046</v>
      </c>
      <c r="M4493" s="1357"/>
      <c r="P4493" s="841" t="s">
        <v>3213</v>
      </c>
      <c r="Q4493" s="1357"/>
      <c r="S4493" s="1420"/>
      <c r="T4493" s="1420"/>
      <c r="V4493" s="1357">
        <v>63</v>
      </c>
    </row>
    <row r="4494" spans="1:22" s="841" customFormat="1" x14ac:dyDescent="0.25">
      <c r="A4494" s="841" t="s">
        <v>202</v>
      </c>
      <c r="E4494" s="1936" t="s">
        <v>3214</v>
      </c>
      <c r="F4494" s="1923"/>
      <c r="G4494" s="1923"/>
      <c r="H4494" s="1923"/>
      <c r="K4494" s="841" t="s">
        <v>5110</v>
      </c>
      <c r="M4494" s="1357"/>
      <c r="Q4494" s="1357"/>
      <c r="S4494" s="1420"/>
      <c r="T4494" s="1420"/>
      <c r="V4494" s="1357">
        <v>54</v>
      </c>
    </row>
    <row r="4495" spans="1:22" s="841" customFormat="1" ht="15" x14ac:dyDescent="0.25">
      <c r="A4495" s="841" t="s">
        <v>202</v>
      </c>
      <c r="E4495" s="1689" t="s">
        <v>4495</v>
      </c>
      <c r="F4495" s="1689"/>
      <c r="G4495" s="1689"/>
      <c r="H4495" s="1689"/>
      <c r="K4495" s="841" t="s">
        <v>5110</v>
      </c>
      <c r="M4495" s="1357"/>
      <c r="Q4495" s="1357"/>
      <c r="S4495" s="1420"/>
      <c r="T4495" s="1420"/>
      <c r="V4495" s="1357">
        <v>331</v>
      </c>
    </row>
    <row r="4496" spans="1:22" s="841" customFormat="1" ht="15" x14ac:dyDescent="0.25">
      <c r="A4496" s="841" t="s">
        <v>202</v>
      </c>
      <c r="E4496" s="1916" t="s">
        <v>3061</v>
      </c>
      <c r="F4496" s="1689"/>
      <c r="G4496" s="1689"/>
      <c r="H4496" s="1689"/>
      <c r="K4496" s="841" t="s">
        <v>3086</v>
      </c>
      <c r="M4496" s="1357"/>
      <c r="Q4496" s="1357"/>
      <c r="S4496" s="1420"/>
      <c r="T4496" s="1420"/>
      <c r="V4496" s="1357">
        <v>11</v>
      </c>
    </row>
    <row r="4497" spans="1:22" s="841" customFormat="1" ht="15" x14ac:dyDescent="0.25">
      <c r="A4497" s="841" t="s">
        <v>202</v>
      </c>
      <c r="E4497" s="1689" t="s">
        <v>3063</v>
      </c>
      <c r="F4497" s="1689"/>
      <c r="G4497" s="1689"/>
      <c r="H4497" s="1689"/>
      <c r="K4497" s="841" t="s">
        <v>5110</v>
      </c>
      <c r="M4497" s="1357"/>
      <c r="Q4497" s="1357"/>
      <c r="S4497" s="1420"/>
      <c r="T4497" s="1420"/>
      <c r="V4497" s="1357">
        <v>280</v>
      </c>
    </row>
    <row r="4498" spans="1:22" s="841" customFormat="1" ht="15" x14ac:dyDescent="0.25">
      <c r="A4498" s="841" t="s">
        <v>202</v>
      </c>
      <c r="E4498" s="1689" t="s">
        <v>3064</v>
      </c>
      <c r="F4498" s="1689"/>
      <c r="G4498" s="1689"/>
      <c r="H4498" s="1689"/>
      <c r="K4498" s="841" t="s">
        <v>5110</v>
      </c>
      <c r="M4498" s="1357"/>
      <c r="Q4498" s="1357"/>
      <c r="S4498" s="1420"/>
      <c r="T4498" s="1420"/>
      <c r="V4498" s="1357">
        <v>411</v>
      </c>
    </row>
    <row r="4499" spans="1:22" s="841" customFormat="1" ht="15" x14ac:dyDescent="0.25">
      <c r="A4499" s="841" t="s">
        <v>202</v>
      </c>
      <c r="E4499" s="1689" t="s">
        <v>3065</v>
      </c>
      <c r="F4499" s="1689"/>
      <c r="G4499" s="1689"/>
      <c r="H4499" s="1689"/>
      <c r="K4499" s="841" t="s">
        <v>5110</v>
      </c>
      <c r="M4499" s="1357"/>
      <c r="Q4499" s="1357"/>
      <c r="S4499" s="1420"/>
      <c r="T4499" s="1420"/>
      <c r="V4499" s="1357">
        <v>387</v>
      </c>
    </row>
    <row r="4500" spans="1:22" s="841" customFormat="1" ht="15" x14ac:dyDescent="0.25">
      <c r="A4500" s="841" t="s">
        <v>202</v>
      </c>
      <c r="E4500" s="1689" t="s">
        <v>3390</v>
      </c>
      <c r="F4500" s="1689"/>
      <c r="G4500" s="1689"/>
      <c r="H4500" s="1689"/>
      <c r="K4500" s="841" t="s">
        <v>5110</v>
      </c>
      <c r="M4500" s="1357"/>
      <c r="Q4500" s="1357"/>
      <c r="S4500" s="1420"/>
      <c r="T4500" s="1420"/>
      <c r="V4500" s="1357">
        <v>274</v>
      </c>
    </row>
    <row r="4501" spans="1:22" s="841" customFormat="1" ht="15" x14ac:dyDescent="0.25">
      <c r="A4501" s="841" t="s">
        <v>202</v>
      </c>
      <c r="E4501" s="1694" t="s">
        <v>3067</v>
      </c>
      <c r="F4501" s="1907"/>
      <c r="G4501" s="1907"/>
      <c r="H4501" s="1907"/>
      <c r="K4501" s="841" t="s">
        <v>3087</v>
      </c>
      <c r="M4501" s="1357"/>
      <c r="Q4501" s="1357"/>
      <c r="S4501" s="1420"/>
      <c r="T4501" s="1420"/>
      <c r="V4501" s="1357">
        <v>46</v>
      </c>
    </row>
    <row r="4502" spans="1:22" s="841" customFormat="1" ht="15" x14ac:dyDescent="0.25">
      <c r="A4502" s="841" t="s">
        <v>202</v>
      </c>
      <c r="E4502" s="1920" t="s">
        <v>11</v>
      </c>
      <c r="F4502" s="1690"/>
      <c r="G4502" s="695" t="s">
        <v>23</v>
      </c>
      <c r="H4502" s="391">
        <v>16.739999999999998</v>
      </c>
      <c r="K4502" s="841" t="s">
        <v>5110</v>
      </c>
      <c r="L4502" s="841" t="s">
        <v>442</v>
      </c>
      <c r="M4502" s="1357"/>
      <c r="P4502" s="841" t="s">
        <v>5111</v>
      </c>
      <c r="Q4502" s="1357"/>
      <c r="S4502" s="1420"/>
      <c r="T4502" s="1420"/>
      <c r="V4502" s="1357">
        <v>14</v>
      </c>
    </row>
    <row r="4503" spans="1:22" s="841" customFormat="1" ht="15" x14ac:dyDescent="0.25">
      <c r="A4503" s="841" t="s">
        <v>202</v>
      </c>
      <c r="E4503" s="1920" t="s">
        <v>398</v>
      </c>
      <c r="F4503" s="1690"/>
      <c r="G4503" s="1366" t="s">
        <v>23</v>
      </c>
      <c r="H4503" s="696">
        <v>-0.5</v>
      </c>
      <c r="K4503" s="841" t="s">
        <v>5110</v>
      </c>
      <c r="L4503" s="841" t="s">
        <v>442</v>
      </c>
      <c r="M4503" s="1357"/>
      <c r="P4503" s="841" t="s">
        <v>6243</v>
      </c>
      <c r="Q4503" s="1357"/>
      <c r="S4503" s="1420"/>
      <c r="T4503" s="1420">
        <v>45747</v>
      </c>
      <c r="V4503" s="1357">
        <v>93</v>
      </c>
    </row>
    <row r="4504" spans="1:22" s="841" customFormat="1" ht="15" x14ac:dyDescent="0.25">
      <c r="A4504" s="841" t="s">
        <v>202</v>
      </c>
      <c r="E4504" s="1920" t="s">
        <v>423</v>
      </c>
      <c r="F4504" s="1690"/>
      <c r="G4504" s="695" t="s">
        <v>23</v>
      </c>
      <c r="H4504" s="696">
        <v>0.79</v>
      </c>
      <c r="K4504" s="841" t="s">
        <v>5110</v>
      </c>
      <c r="L4504" s="841" t="s">
        <v>443</v>
      </c>
      <c r="M4504" s="1357"/>
      <c r="P4504" s="841" t="s">
        <v>5112</v>
      </c>
      <c r="Q4504" s="1357"/>
      <c r="S4504" s="1420"/>
      <c r="T4504" s="1420">
        <v>43404</v>
      </c>
      <c r="V4504" s="1357">
        <v>78</v>
      </c>
    </row>
    <row r="4505" spans="1:22" s="841" customFormat="1" ht="15" x14ac:dyDescent="0.25">
      <c r="A4505" s="841" t="s">
        <v>202</v>
      </c>
      <c r="E4505" s="1920" t="s">
        <v>84</v>
      </c>
      <c r="F4505" s="1690"/>
      <c r="G4505" s="695" t="s">
        <v>24</v>
      </c>
      <c r="H4505" s="393">
        <v>1.4E-2</v>
      </c>
      <c r="K4505" s="841" t="s">
        <v>5110</v>
      </c>
      <c r="L4505" s="841" t="s">
        <v>442</v>
      </c>
      <c r="M4505" s="1357"/>
      <c r="P4505" s="841" t="s">
        <v>5113</v>
      </c>
      <c r="Q4505" s="1357"/>
      <c r="S4505" s="1420"/>
      <c r="T4505" s="1420"/>
      <c r="V4505" s="1357">
        <v>28</v>
      </c>
    </row>
    <row r="4506" spans="1:22" s="841" customFormat="1" ht="15" x14ac:dyDescent="0.25">
      <c r="A4506" s="841" t="s">
        <v>202</v>
      </c>
      <c r="E4506" s="1920" t="s">
        <v>5143</v>
      </c>
      <c r="F4506" s="1908"/>
      <c r="G4506" s="695" t="s">
        <v>24</v>
      </c>
      <c r="H4506" s="393">
        <v>4.4999999999999997E-3</v>
      </c>
      <c r="K4506" s="841" t="s">
        <v>5110</v>
      </c>
      <c r="L4506" s="841" t="s">
        <v>443</v>
      </c>
      <c r="M4506" s="1357"/>
      <c r="P4506" s="841" t="s">
        <v>4818</v>
      </c>
      <c r="Q4506" s="1357"/>
      <c r="S4506" s="1420"/>
      <c r="T4506" s="1420">
        <v>43465</v>
      </c>
      <c r="V4506" s="1357">
        <v>142</v>
      </c>
    </row>
    <row r="4507" spans="1:22" s="841" customFormat="1" ht="15" x14ac:dyDescent="0.25">
      <c r="A4507" s="841" t="s">
        <v>202</v>
      </c>
      <c r="E4507" s="1920" t="s">
        <v>5460</v>
      </c>
      <c r="F4507" s="1908"/>
      <c r="G4507" s="695" t="s">
        <v>24</v>
      </c>
      <c r="H4507" s="393">
        <v>2.9999999999999997E-4</v>
      </c>
      <c r="K4507" s="841" t="s">
        <v>5110</v>
      </c>
      <c r="L4507" s="841" t="s">
        <v>442</v>
      </c>
      <c r="M4507" s="1357"/>
      <c r="P4507" s="841" t="s">
        <v>5285</v>
      </c>
      <c r="Q4507" s="1357"/>
      <c r="S4507" s="1420"/>
      <c r="T4507" s="1420">
        <v>43465</v>
      </c>
      <c r="V4507" s="1357">
        <v>132</v>
      </c>
    </row>
    <row r="4508" spans="1:22" s="841" customFormat="1" ht="15" x14ac:dyDescent="0.25">
      <c r="A4508" s="841" t="s">
        <v>202</v>
      </c>
      <c r="E4508" s="1920" t="s">
        <v>5144</v>
      </c>
      <c r="F4508" s="1908"/>
      <c r="G4508" s="695" t="s">
        <v>24</v>
      </c>
      <c r="H4508" s="393">
        <v>-2.2000000000000001E-3</v>
      </c>
      <c r="K4508" s="841" t="s">
        <v>5110</v>
      </c>
      <c r="L4508" s="841" t="s">
        <v>443</v>
      </c>
      <c r="M4508" s="1357"/>
      <c r="P4508" s="841" t="s">
        <v>5124</v>
      </c>
      <c r="Q4508" s="1357"/>
      <c r="S4508" s="1420"/>
      <c r="T4508" s="1420">
        <v>43465</v>
      </c>
      <c r="V4508" s="1357">
        <v>99</v>
      </c>
    </row>
    <row r="4509" spans="1:22" s="841" customFormat="1" ht="15" x14ac:dyDescent="0.25">
      <c r="A4509" s="841" t="s">
        <v>202</v>
      </c>
      <c r="E4509" s="1920" t="s">
        <v>5145</v>
      </c>
      <c r="F4509" s="1908"/>
      <c r="G4509" s="695" t="s">
        <v>24</v>
      </c>
      <c r="H4509" s="393">
        <v>-1E-4</v>
      </c>
      <c r="K4509" s="841" t="s">
        <v>5110</v>
      </c>
      <c r="L4509" s="841" t="s">
        <v>443</v>
      </c>
      <c r="M4509" s="1357"/>
      <c r="P4509" s="841" t="s">
        <v>5287</v>
      </c>
      <c r="Q4509" s="1357"/>
      <c r="S4509" s="1420"/>
      <c r="T4509" s="1420">
        <v>43465</v>
      </c>
      <c r="V4509" s="1357">
        <v>148</v>
      </c>
    </row>
    <row r="4510" spans="1:22" s="841" customFormat="1" ht="15" x14ac:dyDescent="0.25">
      <c r="A4510" s="841" t="s">
        <v>202</v>
      </c>
      <c r="E4510" s="1920" t="s">
        <v>221</v>
      </c>
      <c r="F4510" s="1690"/>
      <c r="G4510" s="695" t="s">
        <v>24</v>
      </c>
      <c r="H4510" s="393">
        <v>6.1999999999999998E-3</v>
      </c>
      <c r="K4510" s="841" t="s">
        <v>5110</v>
      </c>
      <c r="L4510" s="841" t="s">
        <v>444</v>
      </c>
      <c r="M4510" s="1357"/>
      <c r="P4510" s="841" t="s">
        <v>5115</v>
      </c>
      <c r="Q4510" s="1357"/>
      <c r="S4510" s="1420"/>
      <c r="T4510" s="1420"/>
      <c r="V4510" s="1357">
        <v>47</v>
      </c>
    </row>
    <row r="4511" spans="1:22" s="841" customFormat="1" ht="15" x14ac:dyDescent="0.25">
      <c r="A4511" s="841" t="s">
        <v>202</v>
      </c>
      <c r="E4511" s="1920" t="s">
        <v>217</v>
      </c>
      <c r="F4511" s="1690"/>
      <c r="G4511" s="695" t="s">
        <v>24</v>
      </c>
      <c r="H4511" s="393">
        <v>5.1999999999999998E-3</v>
      </c>
      <c r="K4511" s="841" t="s">
        <v>5110</v>
      </c>
      <c r="L4511" s="841" t="s">
        <v>444</v>
      </c>
      <c r="M4511" s="1357"/>
      <c r="P4511" s="841" t="s">
        <v>5116</v>
      </c>
      <c r="Q4511" s="1357"/>
      <c r="S4511" s="1420"/>
      <c r="T4511" s="1420"/>
      <c r="V4511" s="1357">
        <v>74</v>
      </c>
    </row>
    <row r="4512" spans="1:22" s="841" customFormat="1" ht="15" x14ac:dyDescent="0.25">
      <c r="A4512" s="841" t="s">
        <v>202</v>
      </c>
      <c r="E4512" s="1694" t="s">
        <v>3079</v>
      </c>
      <c r="F4512" s="1690"/>
      <c r="G4512" s="1690"/>
      <c r="H4512" s="1690"/>
      <c r="K4512" s="841" t="s">
        <v>3093</v>
      </c>
      <c r="M4512" s="1357"/>
      <c r="Q4512" s="1357"/>
      <c r="S4512" s="1420"/>
      <c r="T4512" s="1420"/>
      <c r="V4512" s="1357">
        <v>48</v>
      </c>
    </row>
    <row r="4513" spans="1:22" s="841" customFormat="1" ht="15" x14ac:dyDescent="0.25">
      <c r="A4513" s="841" t="s">
        <v>202</v>
      </c>
      <c r="E4513" s="1920" t="s">
        <v>2449</v>
      </c>
      <c r="F4513" s="1690"/>
      <c r="G4513" s="695" t="s">
        <v>24</v>
      </c>
      <c r="H4513" s="697">
        <v>3.2000000000000002E-3</v>
      </c>
      <c r="K4513" s="841" t="s">
        <v>5110</v>
      </c>
      <c r="L4513" s="841" t="s">
        <v>3046</v>
      </c>
      <c r="M4513" s="1357"/>
      <c r="P4513" s="841" t="s">
        <v>5117</v>
      </c>
      <c r="Q4513" s="1357"/>
      <c r="S4513" s="1420"/>
      <c r="T4513" s="1420"/>
      <c r="V4513" s="1357">
        <v>55</v>
      </c>
    </row>
    <row r="4514" spans="1:22" s="841" customFormat="1" ht="15" x14ac:dyDescent="0.25">
      <c r="A4514" s="841" t="s">
        <v>202</v>
      </c>
      <c r="E4514" s="1920" t="s">
        <v>2450</v>
      </c>
      <c r="F4514" s="1690"/>
      <c r="G4514" s="695" t="s">
        <v>24</v>
      </c>
      <c r="H4514" s="697">
        <v>4.0000000000000002E-4</v>
      </c>
      <c r="K4514" s="841" t="s">
        <v>5110</v>
      </c>
      <c r="L4514" s="841" t="s">
        <v>3046</v>
      </c>
      <c r="M4514" s="1357"/>
      <c r="P4514" s="841" t="s">
        <v>5117</v>
      </c>
      <c r="Q4514" s="1357"/>
      <c r="S4514" s="1420"/>
      <c r="T4514" s="1420"/>
      <c r="V4514" s="1357">
        <v>65</v>
      </c>
    </row>
    <row r="4515" spans="1:22" s="841" customFormat="1" ht="15" x14ac:dyDescent="0.25">
      <c r="A4515" s="841" t="s">
        <v>202</v>
      </c>
      <c r="E4515" s="1920" t="s">
        <v>439</v>
      </c>
      <c r="F4515" s="1690"/>
      <c r="G4515" s="695" t="s">
        <v>24</v>
      </c>
      <c r="H4515" s="697">
        <v>2.9999999999999997E-4</v>
      </c>
      <c r="K4515" s="841" t="s">
        <v>5110</v>
      </c>
      <c r="L4515" s="841" t="s">
        <v>3046</v>
      </c>
      <c r="M4515" s="1357"/>
      <c r="P4515" s="841" t="s">
        <v>5118</v>
      </c>
      <c r="Q4515" s="1357"/>
      <c r="S4515" s="1420"/>
      <c r="T4515" s="1420"/>
      <c r="V4515" s="1357">
        <v>57</v>
      </c>
    </row>
    <row r="4516" spans="1:22" s="841" customFormat="1" ht="15" x14ac:dyDescent="0.25">
      <c r="A4516" s="841" t="s">
        <v>202</v>
      </c>
      <c r="E4516" s="1920" t="s">
        <v>32</v>
      </c>
      <c r="F4516" s="1690"/>
      <c r="G4516" s="695" t="s">
        <v>23</v>
      </c>
      <c r="H4516" s="696">
        <v>0.25</v>
      </c>
      <c r="K4516" s="841" t="s">
        <v>5110</v>
      </c>
      <c r="L4516" s="841" t="s">
        <v>3046</v>
      </c>
      <c r="M4516" s="1357"/>
      <c r="P4516" s="841" t="s">
        <v>5119</v>
      </c>
      <c r="Q4516" s="1357"/>
      <c r="S4516" s="1420"/>
      <c r="T4516" s="1420"/>
      <c r="V4516" s="1357">
        <v>63</v>
      </c>
    </row>
    <row r="4517" spans="1:22" s="841" customFormat="1" x14ac:dyDescent="0.25">
      <c r="A4517" s="841" t="s">
        <v>202</v>
      </c>
      <c r="E4517" s="1936" t="s">
        <v>3216</v>
      </c>
      <c r="F4517" s="1923"/>
      <c r="G4517" s="1923"/>
      <c r="H4517" s="1923"/>
      <c r="K4517" s="841" t="s">
        <v>5180</v>
      </c>
      <c r="M4517" s="1357"/>
      <c r="Q4517" s="1357"/>
      <c r="S4517" s="1420"/>
      <c r="T4517" s="1420"/>
      <c r="V4517" s="1357">
        <v>51</v>
      </c>
    </row>
    <row r="4518" spans="1:22" s="841" customFormat="1" ht="15" x14ac:dyDescent="0.25">
      <c r="A4518" s="841" t="s">
        <v>202</v>
      </c>
      <c r="E4518" s="1689" t="s">
        <v>4496</v>
      </c>
      <c r="F4518" s="1689"/>
      <c r="G4518" s="1689"/>
      <c r="H4518" s="1689"/>
      <c r="K4518" s="841" t="s">
        <v>5180</v>
      </c>
      <c r="M4518" s="1357"/>
      <c r="Q4518" s="1357"/>
      <c r="S4518" s="1420"/>
      <c r="T4518" s="1420"/>
      <c r="V4518" s="1357">
        <v>656</v>
      </c>
    </row>
    <row r="4519" spans="1:22" s="841" customFormat="1" ht="15" x14ac:dyDescent="0.25">
      <c r="A4519" s="841" t="s">
        <v>202</v>
      </c>
      <c r="E4519" s="1916" t="s">
        <v>3061</v>
      </c>
      <c r="F4519" s="1689"/>
      <c r="G4519" s="1689"/>
      <c r="H4519" s="1689"/>
      <c r="K4519" s="841" t="s">
        <v>3098</v>
      </c>
      <c r="M4519" s="1357"/>
      <c r="Q4519" s="1357"/>
      <c r="S4519" s="1420"/>
      <c r="T4519" s="1420"/>
      <c r="V4519" s="1357">
        <v>11</v>
      </c>
    </row>
    <row r="4520" spans="1:22" s="841" customFormat="1" ht="15" x14ac:dyDescent="0.25">
      <c r="A4520" s="841" t="s">
        <v>202</v>
      </c>
      <c r="E4520" s="1689" t="s">
        <v>3063</v>
      </c>
      <c r="F4520" s="1689"/>
      <c r="G4520" s="1689"/>
      <c r="H4520" s="1689"/>
      <c r="K4520" s="841" t="s">
        <v>5180</v>
      </c>
      <c r="M4520" s="1357"/>
      <c r="Q4520" s="1357"/>
      <c r="S4520" s="1420"/>
      <c r="T4520" s="1420"/>
      <c r="V4520" s="1357">
        <v>280</v>
      </c>
    </row>
    <row r="4521" spans="1:22" s="841" customFormat="1" ht="15" x14ac:dyDescent="0.25">
      <c r="A4521" s="841" t="s">
        <v>202</v>
      </c>
      <c r="E4521" s="1689" t="s">
        <v>3064</v>
      </c>
      <c r="F4521" s="1689"/>
      <c r="G4521" s="1689"/>
      <c r="H4521" s="1689"/>
      <c r="K4521" s="841" t="s">
        <v>5180</v>
      </c>
      <c r="M4521" s="1357"/>
      <c r="Q4521" s="1357"/>
      <c r="S4521" s="1420"/>
      <c r="T4521" s="1420"/>
      <c r="V4521" s="1357">
        <v>411</v>
      </c>
    </row>
    <row r="4522" spans="1:22" s="841" customFormat="1" ht="15" x14ac:dyDescent="0.25">
      <c r="A4522" s="841" t="s">
        <v>202</v>
      </c>
      <c r="E4522" s="1689" t="s">
        <v>3065</v>
      </c>
      <c r="F4522" s="1689"/>
      <c r="G4522" s="1689"/>
      <c r="H4522" s="1689"/>
      <c r="K4522" s="841" t="s">
        <v>5180</v>
      </c>
      <c r="M4522" s="1357"/>
      <c r="Q4522" s="1357"/>
      <c r="S4522" s="1420"/>
      <c r="T4522" s="1420"/>
      <c r="V4522" s="1357">
        <v>387</v>
      </c>
    </row>
    <row r="4523" spans="1:22" s="841" customFormat="1" ht="15" x14ac:dyDescent="0.25">
      <c r="A4523" s="841" t="s">
        <v>202</v>
      </c>
      <c r="E4523" s="1689" t="s">
        <v>3390</v>
      </c>
      <c r="F4523" s="1689"/>
      <c r="G4523" s="1689"/>
      <c r="H4523" s="1689"/>
      <c r="K4523" s="841" t="s">
        <v>5180</v>
      </c>
      <c r="M4523" s="1357"/>
      <c r="Q4523" s="1357"/>
      <c r="S4523" s="1420"/>
      <c r="T4523" s="1420"/>
      <c r="V4523" s="1357">
        <v>274</v>
      </c>
    </row>
    <row r="4524" spans="1:22" s="841" customFormat="1" ht="15" x14ac:dyDescent="0.25">
      <c r="A4524" s="841" t="s">
        <v>202</v>
      </c>
      <c r="E4524" s="1694" t="s">
        <v>3067</v>
      </c>
      <c r="F4524" s="1907"/>
      <c r="G4524" s="1907"/>
      <c r="H4524" s="1907"/>
      <c r="K4524" s="841" t="s">
        <v>3099</v>
      </c>
      <c r="M4524" s="1357"/>
      <c r="Q4524" s="1357"/>
      <c r="S4524" s="1420"/>
      <c r="T4524" s="1420"/>
      <c r="V4524" s="1357">
        <v>46</v>
      </c>
    </row>
    <row r="4525" spans="1:22" s="841" customFormat="1" ht="15" x14ac:dyDescent="0.25">
      <c r="A4525" s="841" t="s">
        <v>202</v>
      </c>
      <c r="E4525" s="1920" t="s">
        <v>11</v>
      </c>
      <c r="F4525" s="1690"/>
      <c r="G4525" s="695" t="s">
        <v>23</v>
      </c>
      <c r="H4525" s="391">
        <v>181.48</v>
      </c>
      <c r="K4525" s="841" t="s">
        <v>5180</v>
      </c>
      <c r="L4525" s="841" t="s">
        <v>442</v>
      </c>
      <c r="M4525" s="1357"/>
      <c r="P4525" s="841" t="s">
        <v>5181</v>
      </c>
      <c r="Q4525" s="1357"/>
      <c r="S4525" s="1420"/>
      <c r="T4525" s="1420"/>
      <c r="V4525" s="1357">
        <v>14</v>
      </c>
    </row>
    <row r="4526" spans="1:22" s="841" customFormat="1" ht="15" x14ac:dyDescent="0.25">
      <c r="A4526" s="841" t="s">
        <v>202</v>
      </c>
      <c r="E4526" s="1920" t="s">
        <v>398</v>
      </c>
      <c r="F4526" s="1690"/>
      <c r="G4526" s="1366" t="s">
        <v>23</v>
      </c>
      <c r="H4526" s="696">
        <v>-3.8</v>
      </c>
      <c r="K4526" s="841" t="s">
        <v>5180</v>
      </c>
      <c r="L4526" s="841" t="s">
        <v>442</v>
      </c>
      <c r="M4526" s="1357"/>
      <c r="P4526" s="841" t="s">
        <v>6244</v>
      </c>
      <c r="Q4526" s="1357"/>
      <c r="S4526" s="1420"/>
      <c r="T4526" s="1420">
        <v>45747</v>
      </c>
      <c r="V4526" s="1357">
        <v>93</v>
      </c>
    </row>
    <row r="4527" spans="1:22" s="841" customFormat="1" ht="15" x14ac:dyDescent="0.25">
      <c r="A4527" s="841" t="s">
        <v>202</v>
      </c>
      <c r="E4527" s="1920" t="s">
        <v>84</v>
      </c>
      <c r="F4527" s="1690"/>
      <c r="G4527" s="695" t="s">
        <v>33</v>
      </c>
      <c r="H4527" s="393">
        <v>2.7650000000000001</v>
      </c>
      <c r="K4527" s="841" t="s">
        <v>5180</v>
      </c>
      <c r="L4527" s="841" t="s">
        <v>442</v>
      </c>
      <c r="M4527" s="1357"/>
      <c r="P4527" s="841" t="s">
        <v>5182</v>
      </c>
      <c r="Q4527" s="1357"/>
      <c r="S4527" s="1420"/>
      <c r="T4527" s="1420"/>
      <c r="V4527" s="1357">
        <v>28</v>
      </c>
    </row>
    <row r="4528" spans="1:22" s="841" customFormat="1" ht="15" x14ac:dyDescent="0.25">
      <c r="A4528" s="841" t="s">
        <v>202</v>
      </c>
      <c r="E4528" s="1920" t="s">
        <v>18</v>
      </c>
      <c r="F4528" s="1920"/>
      <c r="G4528" s="695" t="s">
        <v>33</v>
      </c>
      <c r="H4528" s="697">
        <v>1.21E-2</v>
      </c>
      <c r="K4528" s="841" t="s">
        <v>5180</v>
      </c>
      <c r="L4528" s="841" t="s">
        <v>443</v>
      </c>
      <c r="M4528" s="1357"/>
      <c r="P4528" s="841" t="s">
        <v>5183</v>
      </c>
      <c r="Q4528" s="1357"/>
      <c r="S4528" s="1420"/>
      <c r="T4528" s="1420"/>
      <c r="V4528" s="1357">
        <v>24</v>
      </c>
    </row>
    <row r="4529" spans="1:22" s="841" customFormat="1" ht="15" x14ac:dyDescent="0.25">
      <c r="A4529" s="841" t="s">
        <v>202</v>
      </c>
      <c r="E4529" s="1920" t="s">
        <v>5143</v>
      </c>
      <c r="F4529" s="1908"/>
      <c r="G4529" s="695" t="s">
        <v>24</v>
      </c>
      <c r="H4529" s="697">
        <v>4.4999999999999997E-3</v>
      </c>
      <c r="K4529" s="841" t="s">
        <v>5180</v>
      </c>
      <c r="L4529" s="841" t="s">
        <v>443</v>
      </c>
      <c r="M4529" s="1357"/>
      <c r="P4529" s="841" t="s">
        <v>5461</v>
      </c>
      <c r="Q4529" s="1357"/>
      <c r="S4529" s="1420"/>
      <c r="T4529" s="1420">
        <v>43465</v>
      </c>
      <c r="V4529" s="1357">
        <v>142</v>
      </c>
    </row>
    <row r="4530" spans="1:22" s="841" customFormat="1" ht="15" x14ac:dyDescent="0.25">
      <c r="A4530" s="841" t="s">
        <v>202</v>
      </c>
      <c r="E4530" s="1920" t="s">
        <v>5460</v>
      </c>
      <c r="F4530" s="1908"/>
      <c r="G4530" s="695" t="s">
        <v>33</v>
      </c>
      <c r="H4530" s="697">
        <v>2.18E-2</v>
      </c>
      <c r="K4530" s="841" t="s">
        <v>5180</v>
      </c>
      <c r="L4530" s="841" t="s">
        <v>442</v>
      </c>
      <c r="M4530" s="1357"/>
      <c r="P4530" s="841" t="s">
        <v>5462</v>
      </c>
      <c r="Q4530" s="1357"/>
      <c r="S4530" s="1420"/>
      <c r="T4530" s="1420">
        <v>43465</v>
      </c>
      <c r="V4530" s="1357">
        <v>132</v>
      </c>
    </row>
    <row r="4531" spans="1:22" s="841" customFormat="1" ht="15" x14ac:dyDescent="0.25">
      <c r="A4531" s="841" t="s">
        <v>202</v>
      </c>
      <c r="E4531" s="1920" t="s">
        <v>5450</v>
      </c>
      <c r="F4531" s="1908"/>
      <c r="G4531" s="695" t="s">
        <v>33</v>
      </c>
      <c r="H4531" s="697">
        <v>-0.5958</v>
      </c>
      <c r="K4531" s="841" t="s">
        <v>5180</v>
      </c>
      <c r="L4531" s="841" t="s">
        <v>443</v>
      </c>
      <c r="M4531" s="1357"/>
      <c r="P4531" s="841" t="s">
        <v>5463</v>
      </c>
      <c r="Q4531" s="1357"/>
      <c r="S4531" s="1420"/>
      <c r="T4531" s="1420">
        <v>43465</v>
      </c>
      <c r="V4531" s="1357">
        <v>159</v>
      </c>
    </row>
    <row r="4532" spans="1:22" s="841" customFormat="1" ht="15" x14ac:dyDescent="0.25">
      <c r="A4532" s="841" t="s">
        <v>202</v>
      </c>
      <c r="E4532" s="1920" t="s">
        <v>5144</v>
      </c>
      <c r="F4532" s="1908"/>
      <c r="G4532" s="695" t="s">
        <v>33</v>
      </c>
      <c r="H4532" s="697">
        <v>-0.2077</v>
      </c>
      <c r="K4532" s="841" t="s">
        <v>5180</v>
      </c>
      <c r="L4532" s="841" t="s">
        <v>443</v>
      </c>
      <c r="M4532" s="1357"/>
      <c r="P4532" s="841" t="s">
        <v>5463</v>
      </c>
      <c r="Q4532" s="1357"/>
      <c r="S4532" s="1420"/>
      <c r="T4532" s="1420">
        <v>43465</v>
      </c>
      <c r="V4532" s="1357">
        <v>99</v>
      </c>
    </row>
    <row r="4533" spans="1:22" s="841" customFormat="1" ht="15" x14ac:dyDescent="0.25">
      <c r="A4533" s="841" t="s">
        <v>202</v>
      </c>
      <c r="E4533" s="1920" t="s">
        <v>5145</v>
      </c>
      <c r="F4533" s="1908"/>
      <c r="G4533" s="695" t="s">
        <v>33</v>
      </c>
      <c r="H4533" s="697">
        <v>-1.83E-2</v>
      </c>
      <c r="K4533" s="841" t="s">
        <v>5180</v>
      </c>
      <c r="L4533" s="841" t="s">
        <v>443</v>
      </c>
      <c r="M4533" s="1357"/>
      <c r="P4533" s="841" t="s">
        <v>5464</v>
      </c>
      <c r="Q4533" s="1357"/>
      <c r="S4533" s="1420"/>
      <c r="T4533" s="1420">
        <v>43465</v>
      </c>
      <c r="V4533" s="1357">
        <v>148</v>
      </c>
    </row>
    <row r="4534" spans="1:22" s="841" customFormat="1" ht="15" x14ac:dyDescent="0.25">
      <c r="A4534" s="841" t="s">
        <v>202</v>
      </c>
      <c r="E4534" s="1920" t="s">
        <v>221</v>
      </c>
      <c r="F4534" s="1690"/>
      <c r="G4534" s="695" t="s">
        <v>33</v>
      </c>
      <c r="H4534" s="393">
        <v>2.6095000000000002</v>
      </c>
      <c r="K4534" s="841" t="s">
        <v>5180</v>
      </c>
      <c r="L4534" s="841" t="s">
        <v>444</v>
      </c>
      <c r="M4534" s="1357"/>
      <c r="P4534" s="841" t="s">
        <v>5184</v>
      </c>
      <c r="Q4534" s="1357"/>
      <c r="S4534" s="1420"/>
      <c r="T4534" s="1420"/>
      <c r="V4534" s="1357">
        <v>47</v>
      </c>
    </row>
    <row r="4535" spans="1:22" s="841" customFormat="1" ht="15" x14ac:dyDescent="0.25">
      <c r="A4535" s="841" t="s">
        <v>202</v>
      </c>
      <c r="E4535" s="1920" t="s">
        <v>223</v>
      </c>
      <c r="F4535" s="1690"/>
      <c r="G4535" s="695" t="s">
        <v>33</v>
      </c>
      <c r="H4535" s="393">
        <v>2.7067000000000001</v>
      </c>
      <c r="K4535" s="841" t="s">
        <v>5180</v>
      </c>
      <c r="L4535" s="841" t="s">
        <v>444</v>
      </c>
      <c r="M4535" s="1357"/>
      <c r="P4535" s="841" t="s">
        <v>5465</v>
      </c>
      <c r="Q4535" s="1357"/>
      <c r="S4535" s="1420"/>
      <c r="T4535" s="1420"/>
      <c r="V4535" s="1357">
        <v>66</v>
      </c>
    </row>
    <row r="4536" spans="1:22" s="841" customFormat="1" ht="15" x14ac:dyDescent="0.25">
      <c r="A4536" s="841" t="s">
        <v>202</v>
      </c>
      <c r="E4536" s="1920" t="s">
        <v>217</v>
      </c>
      <c r="F4536" s="1690"/>
      <c r="G4536" s="695" t="s">
        <v>33</v>
      </c>
      <c r="H4536" s="393">
        <v>2.1983000000000001</v>
      </c>
      <c r="K4536" s="841" t="s">
        <v>5180</v>
      </c>
      <c r="L4536" s="841" t="s">
        <v>444</v>
      </c>
      <c r="M4536" s="1357"/>
      <c r="P4536" s="841" t="s">
        <v>5185</v>
      </c>
      <c r="Q4536" s="1357"/>
      <c r="S4536" s="1420"/>
      <c r="T4536" s="1420"/>
      <c r="V4536" s="1357">
        <v>74</v>
      </c>
    </row>
    <row r="4537" spans="1:22" s="841" customFormat="1" ht="15" x14ac:dyDescent="0.25">
      <c r="A4537" s="841" t="s">
        <v>202</v>
      </c>
      <c r="E4537" s="1920" t="s">
        <v>219</v>
      </c>
      <c r="F4537" s="1690"/>
      <c r="G4537" s="695" t="s">
        <v>33</v>
      </c>
      <c r="H4537" s="393">
        <v>2.2808000000000002</v>
      </c>
      <c r="K4537" s="841" t="s">
        <v>5180</v>
      </c>
      <c r="L4537" s="841" t="s">
        <v>444</v>
      </c>
      <c r="M4537" s="1357"/>
      <c r="P4537" s="841" t="s">
        <v>5466</v>
      </c>
      <c r="Q4537" s="1357"/>
      <c r="S4537" s="1420"/>
      <c r="T4537" s="1420"/>
      <c r="V4537" s="1357">
        <v>93</v>
      </c>
    </row>
    <row r="4538" spans="1:22" s="841" customFormat="1" ht="15" x14ac:dyDescent="0.25">
      <c r="A4538" s="841" t="s">
        <v>202</v>
      </c>
      <c r="E4538" s="1694" t="s">
        <v>3079</v>
      </c>
      <c r="F4538" s="1690"/>
      <c r="G4538" s="1690"/>
      <c r="H4538" s="1690"/>
      <c r="K4538" s="841" t="s">
        <v>3218</v>
      </c>
      <c r="M4538" s="1357"/>
      <c r="Q4538" s="1357"/>
      <c r="S4538" s="1420"/>
      <c r="T4538" s="1420"/>
      <c r="V4538" s="1357">
        <v>48</v>
      </c>
    </row>
    <row r="4539" spans="1:22" s="841" customFormat="1" ht="15" x14ac:dyDescent="0.25">
      <c r="A4539" s="841" t="s">
        <v>202</v>
      </c>
      <c r="E4539" s="1920" t="s">
        <v>2449</v>
      </c>
      <c r="F4539" s="1690"/>
      <c r="G4539" s="695" t="s">
        <v>24</v>
      </c>
      <c r="H4539" s="697">
        <v>3.2000000000000002E-3</v>
      </c>
      <c r="K4539" s="841" t="s">
        <v>5180</v>
      </c>
      <c r="L4539" s="841" t="s">
        <v>3046</v>
      </c>
      <c r="M4539" s="1357"/>
      <c r="P4539" s="841" t="s">
        <v>5186</v>
      </c>
      <c r="Q4539" s="1357"/>
      <c r="S4539" s="1420"/>
      <c r="T4539" s="1420"/>
      <c r="V4539" s="1357">
        <v>55</v>
      </c>
    </row>
    <row r="4540" spans="1:22" s="841" customFormat="1" ht="15" x14ac:dyDescent="0.25">
      <c r="A4540" s="841" t="s">
        <v>202</v>
      </c>
      <c r="E4540" s="1920" t="s">
        <v>2450</v>
      </c>
      <c r="F4540" s="1690"/>
      <c r="G4540" s="695" t="s">
        <v>24</v>
      </c>
      <c r="H4540" s="697">
        <v>4.0000000000000002E-4</v>
      </c>
      <c r="K4540" s="841" t="s">
        <v>5180</v>
      </c>
      <c r="L4540" s="841" t="s">
        <v>3046</v>
      </c>
      <c r="M4540" s="1357"/>
      <c r="P4540" s="841" t="s">
        <v>5186</v>
      </c>
      <c r="Q4540" s="1357"/>
      <c r="S4540" s="1420"/>
      <c r="T4540" s="1420"/>
      <c r="V4540" s="1357">
        <v>65</v>
      </c>
    </row>
    <row r="4541" spans="1:22" s="841" customFormat="1" ht="15" x14ac:dyDescent="0.25">
      <c r="A4541" s="841" t="s">
        <v>202</v>
      </c>
      <c r="E4541" s="1920" t="s">
        <v>439</v>
      </c>
      <c r="F4541" s="1690"/>
      <c r="G4541" s="695" t="s">
        <v>24</v>
      </c>
      <c r="H4541" s="697">
        <v>2.9999999999999997E-4</v>
      </c>
      <c r="K4541" s="841" t="s">
        <v>5180</v>
      </c>
      <c r="L4541" s="841" t="s">
        <v>3046</v>
      </c>
      <c r="M4541" s="1357"/>
      <c r="P4541" s="841" t="s">
        <v>5187</v>
      </c>
      <c r="Q4541" s="1357"/>
      <c r="S4541" s="1420"/>
      <c r="T4541" s="1420"/>
      <c r="V4541" s="1357">
        <v>57</v>
      </c>
    </row>
    <row r="4542" spans="1:22" s="841" customFormat="1" ht="15" x14ac:dyDescent="0.25">
      <c r="A4542" s="841" t="s">
        <v>202</v>
      </c>
      <c r="E4542" s="1920" t="s">
        <v>32</v>
      </c>
      <c r="F4542" s="1690"/>
      <c r="G4542" s="695" t="s">
        <v>23</v>
      </c>
      <c r="H4542" s="696">
        <v>0.25</v>
      </c>
      <c r="K4542" s="841" t="s">
        <v>5180</v>
      </c>
      <c r="L4542" s="841" t="s">
        <v>3046</v>
      </c>
      <c r="M4542" s="1357"/>
      <c r="P4542" s="841" t="s">
        <v>5188</v>
      </c>
      <c r="Q4542" s="1357"/>
      <c r="S4542" s="1420"/>
      <c r="T4542" s="1420"/>
      <c r="V4542" s="1357">
        <v>63</v>
      </c>
    </row>
    <row r="4543" spans="1:22" s="841" customFormat="1" x14ac:dyDescent="0.25">
      <c r="A4543" s="841" t="s">
        <v>202</v>
      </c>
      <c r="E4543" s="1936" t="s">
        <v>3219</v>
      </c>
      <c r="F4543" s="1923"/>
      <c r="G4543" s="1923"/>
      <c r="H4543" s="1923"/>
      <c r="K4543" s="841" t="s">
        <v>5189</v>
      </c>
      <c r="M4543" s="1357"/>
      <c r="Q4543" s="1357"/>
      <c r="S4543" s="1420"/>
      <c r="T4543" s="1420"/>
      <c r="V4543" s="1357">
        <v>56</v>
      </c>
    </row>
    <row r="4544" spans="1:22" s="841" customFormat="1" ht="15" x14ac:dyDescent="0.25">
      <c r="A4544" s="841" t="s">
        <v>202</v>
      </c>
      <c r="E4544" s="1689" t="s">
        <v>4497</v>
      </c>
      <c r="F4544" s="1689"/>
      <c r="G4544" s="1689"/>
      <c r="H4544" s="1689"/>
      <c r="K4544" s="841" t="s">
        <v>5189</v>
      </c>
      <c r="M4544" s="1357"/>
      <c r="Q4544" s="1357"/>
      <c r="S4544" s="1420"/>
      <c r="T4544" s="1420"/>
      <c r="V4544" s="1357">
        <v>358</v>
      </c>
    </row>
    <row r="4545" spans="1:22" s="841" customFormat="1" ht="15" x14ac:dyDescent="0.25">
      <c r="A4545" s="841" t="s">
        <v>202</v>
      </c>
      <c r="E4545" s="1916" t="s">
        <v>3061</v>
      </c>
      <c r="F4545" s="1689"/>
      <c r="G4545" s="1689"/>
      <c r="H4545" s="1689"/>
      <c r="K4545" s="841" t="s">
        <v>3221</v>
      </c>
      <c r="M4545" s="1357"/>
      <c r="Q4545" s="1357"/>
      <c r="S4545" s="1420"/>
      <c r="T4545" s="1420"/>
      <c r="V4545" s="1357">
        <v>11</v>
      </c>
    </row>
    <row r="4546" spans="1:22" s="841" customFormat="1" ht="15" x14ac:dyDescent="0.25">
      <c r="A4546" s="841" t="s">
        <v>202</v>
      </c>
      <c r="E4546" s="1689" t="s">
        <v>3063</v>
      </c>
      <c r="F4546" s="1689"/>
      <c r="G4546" s="1689"/>
      <c r="H4546" s="1689"/>
      <c r="K4546" s="841" t="s">
        <v>5189</v>
      </c>
      <c r="M4546" s="1357"/>
      <c r="Q4546" s="1357"/>
      <c r="S4546" s="1420"/>
      <c r="T4546" s="1420"/>
      <c r="V4546" s="1357">
        <v>280</v>
      </c>
    </row>
    <row r="4547" spans="1:22" s="841" customFormat="1" ht="15" x14ac:dyDescent="0.25">
      <c r="A4547" s="841" t="s">
        <v>202</v>
      </c>
      <c r="E4547" s="1689" t="s">
        <v>3064</v>
      </c>
      <c r="F4547" s="1689"/>
      <c r="G4547" s="1689"/>
      <c r="H4547" s="1689"/>
      <c r="K4547" s="841" t="s">
        <v>5189</v>
      </c>
      <c r="M4547" s="1357"/>
      <c r="Q4547" s="1357"/>
      <c r="S4547" s="1420"/>
      <c r="T4547" s="1420"/>
      <c r="V4547" s="1357">
        <v>411</v>
      </c>
    </row>
    <row r="4548" spans="1:22" s="841" customFormat="1" ht="15" x14ac:dyDescent="0.25">
      <c r="A4548" s="841" t="s">
        <v>202</v>
      </c>
      <c r="E4548" s="1689" t="s">
        <v>3065</v>
      </c>
      <c r="F4548" s="1689"/>
      <c r="G4548" s="1689"/>
      <c r="H4548" s="1689"/>
      <c r="K4548" s="841" t="s">
        <v>5189</v>
      </c>
      <c r="M4548" s="1357"/>
      <c r="Q4548" s="1357"/>
      <c r="S4548" s="1420"/>
      <c r="T4548" s="1420"/>
      <c r="V4548" s="1357">
        <v>387</v>
      </c>
    </row>
    <row r="4549" spans="1:22" s="841" customFormat="1" ht="15" x14ac:dyDescent="0.25">
      <c r="A4549" s="841" t="s">
        <v>202</v>
      </c>
      <c r="E4549" s="1689" t="s">
        <v>5288</v>
      </c>
      <c r="F4549" s="1689"/>
      <c r="G4549" s="1689"/>
      <c r="H4549" s="1689"/>
      <c r="K4549" s="841" t="s">
        <v>5189</v>
      </c>
      <c r="M4549" s="1357"/>
      <c r="Q4549" s="1357"/>
      <c r="S4549" s="1420"/>
      <c r="T4549" s="1420"/>
      <c r="V4549" s="1357">
        <v>610</v>
      </c>
    </row>
    <row r="4550" spans="1:22" s="841" customFormat="1" ht="15" x14ac:dyDescent="0.25">
      <c r="A4550" s="841" t="s">
        <v>202</v>
      </c>
      <c r="E4550" s="1689" t="s">
        <v>3223</v>
      </c>
      <c r="F4550" s="1689"/>
      <c r="G4550" s="1689"/>
      <c r="H4550" s="1689"/>
      <c r="K4550" s="841" t="s">
        <v>5189</v>
      </c>
      <c r="M4550" s="1357"/>
      <c r="Q4550" s="1357"/>
      <c r="S4550" s="1420"/>
      <c r="T4550" s="1420"/>
      <c r="V4550" s="1357">
        <v>626</v>
      </c>
    </row>
    <row r="4551" spans="1:22" s="841" customFormat="1" ht="15" x14ac:dyDescent="0.25">
      <c r="A4551" s="841" t="s">
        <v>202</v>
      </c>
      <c r="E4551" s="1907" t="s">
        <v>3390</v>
      </c>
      <c r="F4551" s="1907"/>
      <c r="G4551" s="1907"/>
      <c r="H4551" s="1907"/>
      <c r="K4551" s="841" t="s">
        <v>5189</v>
      </c>
      <c r="M4551" s="1357"/>
      <c r="Q4551" s="1357"/>
      <c r="S4551" s="1420"/>
      <c r="T4551" s="1420"/>
      <c r="V4551" s="1357">
        <v>274</v>
      </c>
    </row>
    <row r="4552" spans="1:22" s="841" customFormat="1" ht="15" x14ac:dyDescent="0.25">
      <c r="A4552" s="841" t="s">
        <v>202</v>
      </c>
      <c r="E4552" s="1694" t="s">
        <v>3067</v>
      </c>
      <c r="F4552" s="1907"/>
      <c r="G4552" s="1907"/>
      <c r="H4552" s="1907"/>
      <c r="K4552" s="841" t="s">
        <v>3224</v>
      </c>
      <c r="M4552" s="1357"/>
      <c r="Q4552" s="1357"/>
      <c r="S4552" s="1420"/>
      <c r="T4552" s="1420"/>
      <c r="V4552" s="1357">
        <v>46</v>
      </c>
    </row>
    <row r="4553" spans="1:22" s="841" customFormat="1" ht="15" x14ac:dyDescent="0.25">
      <c r="A4553" s="841" t="s">
        <v>202</v>
      </c>
      <c r="E4553" s="1920" t="s">
        <v>11</v>
      </c>
      <c r="F4553" s="1690"/>
      <c r="G4553" s="695" t="s">
        <v>23</v>
      </c>
      <c r="H4553" s="391">
        <v>574.08000000000004</v>
      </c>
      <c r="K4553" s="841" t="s">
        <v>5189</v>
      </c>
      <c r="L4553" s="841" t="s">
        <v>442</v>
      </c>
      <c r="M4553" s="1357"/>
      <c r="P4553" s="841" t="s">
        <v>5190</v>
      </c>
      <c r="Q4553" s="1357"/>
      <c r="S4553" s="1420"/>
      <c r="T4553" s="1420"/>
      <c r="V4553" s="1357">
        <v>14</v>
      </c>
    </row>
    <row r="4554" spans="1:22" s="841" customFormat="1" ht="15" x14ac:dyDescent="0.25">
      <c r="A4554" s="841" t="s">
        <v>202</v>
      </c>
      <c r="E4554" s="1920" t="s">
        <v>398</v>
      </c>
      <c r="F4554" s="1690"/>
      <c r="G4554" s="1366" t="s">
        <v>23</v>
      </c>
      <c r="H4554" s="696">
        <v>-46.33</v>
      </c>
      <c r="K4554" s="841" t="s">
        <v>5189</v>
      </c>
      <c r="L4554" s="841" t="s">
        <v>442</v>
      </c>
      <c r="M4554" s="1357"/>
      <c r="P4554" s="841" t="s">
        <v>6245</v>
      </c>
      <c r="Q4554" s="1357"/>
      <c r="S4554" s="1420"/>
      <c r="T4554" s="1420">
        <v>45747</v>
      </c>
      <c r="V4554" s="1357">
        <v>93</v>
      </c>
    </row>
    <row r="4555" spans="1:22" s="841" customFormat="1" ht="15" x14ac:dyDescent="0.25">
      <c r="A4555" s="841" t="s">
        <v>202</v>
      </c>
      <c r="E4555" s="1920" t="s">
        <v>84</v>
      </c>
      <c r="F4555" s="1690"/>
      <c r="G4555" s="695" t="s">
        <v>33</v>
      </c>
      <c r="H4555" s="393">
        <v>3.0695000000000001</v>
      </c>
      <c r="K4555" s="841" t="s">
        <v>5189</v>
      </c>
      <c r="L4555" s="841" t="s">
        <v>442</v>
      </c>
      <c r="M4555" s="1357"/>
      <c r="P4555" s="841" t="s">
        <v>5191</v>
      </c>
      <c r="Q4555" s="1357"/>
      <c r="S4555" s="1420"/>
      <c r="T4555" s="1420"/>
      <c r="V4555" s="1357">
        <v>28</v>
      </c>
    </row>
    <row r="4556" spans="1:22" s="841" customFormat="1" ht="15" x14ac:dyDescent="0.25">
      <c r="A4556" s="841" t="s">
        <v>202</v>
      </c>
      <c r="E4556" s="1920" t="s">
        <v>5143</v>
      </c>
      <c r="F4556" s="1908"/>
      <c r="G4556" s="695" t="s">
        <v>24</v>
      </c>
      <c r="H4556" s="393">
        <v>4.4999999999999997E-3</v>
      </c>
      <c r="K4556" s="841" t="s">
        <v>5189</v>
      </c>
      <c r="L4556" s="841" t="s">
        <v>443</v>
      </c>
      <c r="M4556" s="1357"/>
      <c r="P4556" s="841" t="s">
        <v>5467</v>
      </c>
      <c r="Q4556" s="1357"/>
      <c r="S4556" s="1420"/>
      <c r="T4556" s="1420">
        <v>43465</v>
      </c>
      <c r="V4556" s="1357">
        <v>142</v>
      </c>
    </row>
    <row r="4557" spans="1:22" s="841" customFormat="1" ht="15" x14ac:dyDescent="0.25">
      <c r="A4557" s="841" t="s">
        <v>202</v>
      </c>
      <c r="E4557" s="1920" t="s">
        <v>5447</v>
      </c>
      <c r="F4557" s="1908"/>
      <c r="G4557" s="695" t="s">
        <v>33</v>
      </c>
      <c r="H4557" s="393">
        <v>4.4200000000000003E-2</v>
      </c>
      <c r="K4557" s="841" t="s">
        <v>5189</v>
      </c>
      <c r="L4557" s="841" t="s">
        <v>442</v>
      </c>
      <c r="M4557" s="1357"/>
      <c r="P4557" s="841" t="s">
        <v>5468</v>
      </c>
      <c r="Q4557" s="1357"/>
      <c r="S4557" s="1420"/>
      <c r="T4557" s="1420">
        <v>43465</v>
      </c>
      <c r="V4557" s="1357">
        <v>138</v>
      </c>
    </row>
    <row r="4558" spans="1:22" s="841" customFormat="1" ht="15" x14ac:dyDescent="0.25">
      <c r="A4558" s="841" t="s">
        <v>202</v>
      </c>
      <c r="E4558" s="1920" t="s">
        <v>5144</v>
      </c>
      <c r="F4558" s="1908"/>
      <c r="G4558" s="695" t="s">
        <v>33</v>
      </c>
      <c r="H4558" s="393">
        <v>-1.0954999999999999</v>
      </c>
      <c r="K4558" s="841" t="s">
        <v>5189</v>
      </c>
      <c r="L4558" s="841" t="s">
        <v>443</v>
      </c>
      <c r="M4558" s="1357"/>
      <c r="P4558" s="841" t="s">
        <v>5469</v>
      </c>
      <c r="Q4558" s="1357"/>
      <c r="S4558" s="1420"/>
      <c r="T4558" s="1420">
        <v>43465</v>
      </c>
      <c r="V4558" s="1357">
        <v>99</v>
      </c>
    </row>
    <row r="4559" spans="1:22" s="841" customFormat="1" ht="15" x14ac:dyDescent="0.25">
      <c r="A4559" s="841" t="s">
        <v>202</v>
      </c>
      <c r="E4559" s="1920" t="s">
        <v>5145</v>
      </c>
      <c r="F4559" s="1908"/>
      <c r="G4559" s="695" t="s">
        <v>33</v>
      </c>
      <c r="H4559" s="393">
        <v>-2.4400000000000002E-2</v>
      </c>
      <c r="K4559" s="841" t="s">
        <v>5189</v>
      </c>
      <c r="L4559" s="841" t="s">
        <v>443</v>
      </c>
      <c r="M4559" s="1357"/>
      <c r="P4559" s="841" t="s">
        <v>5470</v>
      </c>
      <c r="Q4559" s="1357"/>
      <c r="S4559" s="1420"/>
      <c r="T4559" s="1420">
        <v>43465</v>
      </c>
      <c r="V4559" s="1357">
        <v>148</v>
      </c>
    </row>
    <row r="4560" spans="1:22" s="841" customFormat="1" ht="15" x14ac:dyDescent="0.25">
      <c r="A4560" s="841" t="s">
        <v>202</v>
      </c>
      <c r="E4560" s="1920" t="s">
        <v>223</v>
      </c>
      <c r="F4560" s="1690"/>
      <c r="G4560" s="695" t="s">
        <v>33</v>
      </c>
      <c r="H4560" s="393">
        <v>2.7067000000000001</v>
      </c>
      <c r="K4560" s="841" t="s">
        <v>5189</v>
      </c>
      <c r="L4560" s="841" t="s">
        <v>444</v>
      </c>
      <c r="M4560" s="1357"/>
      <c r="P4560" s="841" t="s">
        <v>5471</v>
      </c>
      <c r="Q4560" s="1357"/>
      <c r="S4560" s="1420"/>
      <c r="T4560" s="1420"/>
      <c r="V4560" s="1357">
        <v>66</v>
      </c>
    </row>
    <row r="4561" spans="1:22" s="841" customFormat="1" ht="15" x14ac:dyDescent="0.25">
      <c r="A4561" s="841" t="s">
        <v>202</v>
      </c>
      <c r="E4561" s="1920" t="s">
        <v>219</v>
      </c>
      <c r="F4561" s="1690"/>
      <c r="G4561" s="695" t="s">
        <v>33</v>
      </c>
      <c r="H4561" s="393">
        <v>2.2808000000000002</v>
      </c>
      <c r="K4561" s="841" t="s">
        <v>5189</v>
      </c>
      <c r="L4561" s="841" t="s">
        <v>444</v>
      </c>
      <c r="M4561" s="1357"/>
      <c r="P4561" s="841" t="s">
        <v>5472</v>
      </c>
      <c r="Q4561" s="1357"/>
      <c r="S4561" s="1420"/>
      <c r="T4561" s="1420"/>
      <c r="V4561" s="1357">
        <v>93</v>
      </c>
    </row>
    <row r="4562" spans="1:22" s="841" customFormat="1" ht="15" x14ac:dyDescent="0.25">
      <c r="A4562" s="841" t="s">
        <v>202</v>
      </c>
      <c r="E4562" s="1694" t="s">
        <v>3079</v>
      </c>
      <c r="F4562" s="1690"/>
      <c r="G4562" s="1690"/>
      <c r="H4562" s="1690"/>
      <c r="K4562" s="841" t="s">
        <v>3225</v>
      </c>
      <c r="M4562" s="1357"/>
      <c r="Q4562" s="1357"/>
      <c r="S4562" s="1420"/>
      <c r="T4562" s="1420"/>
      <c r="V4562" s="1357">
        <v>48</v>
      </c>
    </row>
    <row r="4563" spans="1:22" s="841" customFormat="1" ht="15" x14ac:dyDescent="0.25">
      <c r="A4563" s="841" t="s">
        <v>202</v>
      </c>
      <c r="E4563" s="1920" t="s">
        <v>2449</v>
      </c>
      <c r="F4563" s="1690"/>
      <c r="G4563" s="695" t="s">
        <v>24</v>
      </c>
      <c r="H4563" s="697">
        <v>3.2000000000000002E-3</v>
      </c>
      <c r="K4563" s="841" t="s">
        <v>5189</v>
      </c>
      <c r="L4563" s="841" t="s">
        <v>3046</v>
      </c>
      <c r="M4563" s="1357"/>
      <c r="P4563" s="841" t="s">
        <v>5195</v>
      </c>
      <c r="Q4563" s="1357"/>
      <c r="S4563" s="1420"/>
      <c r="T4563" s="1420"/>
      <c r="V4563" s="1357">
        <v>55</v>
      </c>
    </row>
    <row r="4564" spans="1:22" s="841" customFormat="1" ht="15" x14ac:dyDescent="0.25">
      <c r="A4564" s="841" t="s">
        <v>202</v>
      </c>
      <c r="E4564" s="1920" t="s">
        <v>2450</v>
      </c>
      <c r="F4564" s="1690"/>
      <c r="G4564" s="695" t="s">
        <v>24</v>
      </c>
      <c r="H4564" s="697">
        <v>4.0000000000000002E-4</v>
      </c>
      <c r="K4564" s="841" t="s">
        <v>5189</v>
      </c>
      <c r="L4564" s="841" t="s">
        <v>3046</v>
      </c>
      <c r="M4564" s="1357"/>
      <c r="P4564" s="841" t="s">
        <v>5195</v>
      </c>
      <c r="Q4564" s="1357"/>
      <c r="S4564" s="1420"/>
      <c r="T4564" s="1420"/>
      <c r="V4564" s="1357">
        <v>65</v>
      </c>
    </row>
    <row r="4565" spans="1:22" s="841" customFormat="1" ht="15" x14ac:dyDescent="0.25">
      <c r="A4565" s="841" t="s">
        <v>202</v>
      </c>
      <c r="E4565" s="1920" t="s">
        <v>439</v>
      </c>
      <c r="F4565" s="1690"/>
      <c r="G4565" s="695" t="s">
        <v>24</v>
      </c>
      <c r="H4565" s="697">
        <v>2.9999999999999997E-4</v>
      </c>
      <c r="K4565" s="841" t="s">
        <v>5189</v>
      </c>
      <c r="L4565" s="841" t="s">
        <v>3046</v>
      </c>
      <c r="M4565" s="1357"/>
      <c r="P4565" s="841" t="s">
        <v>5196</v>
      </c>
      <c r="Q4565" s="1357"/>
      <c r="S4565" s="1420"/>
      <c r="T4565" s="1420"/>
      <c r="V4565" s="1357">
        <v>57</v>
      </c>
    </row>
    <row r="4566" spans="1:22" s="841" customFormat="1" ht="15" x14ac:dyDescent="0.25">
      <c r="A4566" s="841" t="s">
        <v>202</v>
      </c>
      <c r="E4566" s="1920" t="s">
        <v>32</v>
      </c>
      <c r="F4566" s="1690"/>
      <c r="G4566" s="695" t="s">
        <v>23</v>
      </c>
      <c r="H4566" s="696">
        <v>0.25</v>
      </c>
      <c r="K4566" s="841" t="s">
        <v>5189</v>
      </c>
      <c r="L4566" s="841" t="s">
        <v>3046</v>
      </c>
      <c r="M4566" s="1357"/>
      <c r="P4566" s="841" t="s">
        <v>5197</v>
      </c>
      <c r="Q4566" s="1357"/>
      <c r="S4566" s="1420"/>
      <c r="T4566" s="1420"/>
      <c r="V4566" s="1357">
        <v>63</v>
      </c>
    </row>
    <row r="4567" spans="1:22" s="841" customFormat="1" x14ac:dyDescent="0.25">
      <c r="A4567" s="841" t="s">
        <v>202</v>
      </c>
      <c r="E4567" s="1936" t="s">
        <v>621</v>
      </c>
      <c r="F4567" s="1923"/>
      <c r="G4567" s="1923"/>
      <c r="H4567" s="1923"/>
      <c r="K4567" s="841" t="s">
        <v>3226</v>
      </c>
      <c r="M4567" s="1357"/>
      <c r="Q4567" s="1357"/>
      <c r="S4567" s="1420"/>
      <c r="T4567" s="1420"/>
      <c r="V4567" s="1357">
        <v>32</v>
      </c>
    </row>
    <row r="4568" spans="1:22" s="841" customFormat="1" ht="15" x14ac:dyDescent="0.25">
      <c r="A4568" s="841" t="s">
        <v>202</v>
      </c>
      <c r="E4568" s="1689" t="s">
        <v>4498</v>
      </c>
      <c r="F4568" s="1689"/>
      <c r="G4568" s="1689"/>
      <c r="H4568" s="1689"/>
      <c r="K4568" s="841" t="s">
        <v>3226</v>
      </c>
      <c r="M4568" s="1357"/>
      <c r="Q4568" s="1357"/>
      <c r="S4568" s="1420"/>
      <c r="T4568" s="1420"/>
      <c r="V4568" s="1357">
        <v>323</v>
      </c>
    </row>
    <row r="4569" spans="1:22" s="841" customFormat="1" ht="15" x14ac:dyDescent="0.25">
      <c r="A4569" s="841" t="s">
        <v>202</v>
      </c>
      <c r="E4569" s="1916" t="s">
        <v>3061</v>
      </c>
      <c r="F4569" s="1689"/>
      <c r="G4569" s="1689"/>
      <c r="H4569" s="1689"/>
      <c r="K4569" s="841" t="s">
        <v>3107</v>
      </c>
      <c r="M4569" s="1357"/>
      <c r="Q4569" s="1357"/>
      <c r="S4569" s="1420"/>
      <c r="T4569" s="1420"/>
      <c r="V4569" s="1357">
        <v>11</v>
      </c>
    </row>
    <row r="4570" spans="1:22" s="841" customFormat="1" ht="15" x14ac:dyDescent="0.25">
      <c r="A4570" s="841" t="s">
        <v>202</v>
      </c>
      <c r="E4570" s="1689" t="s">
        <v>3063</v>
      </c>
      <c r="F4570" s="1689"/>
      <c r="G4570" s="1689"/>
      <c r="H4570" s="1689"/>
      <c r="K4570" s="841" t="s">
        <v>3226</v>
      </c>
      <c r="M4570" s="1357"/>
      <c r="Q4570" s="1357"/>
      <c r="S4570" s="1420"/>
      <c r="T4570" s="1420"/>
      <c r="V4570" s="1357">
        <v>280</v>
      </c>
    </row>
    <row r="4571" spans="1:22" s="841" customFormat="1" ht="15" x14ac:dyDescent="0.25">
      <c r="A4571" s="841" t="s">
        <v>202</v>
      </c>
      <c r="E4571" s="1689" t="s">
        <v>3064</v>
      </c>
      <c r="F4571" s="1689"/>
      <c r="G4571" s="1689"/>
      <c r="H4571" s="1689"/>
      <c r="K4571" s="841" t="s">
        <v>3226</v>
      </c>
      <c r="M4571" s="1357"/>
      <c r="Q4571" s="1357"/>
      <c r="S4571" s="1420"/>
      <c r="T4571" s="1420"/>
      <c r="V4571" s="1357">
        <v>411</v>
      </c>
    </row>
    <row r="4572" spans="1:22" s="841" customFormat="1" ht="15" x14ac:dyDescent="0.25">
      <c r="A4572" s="841" t="s">
        <v>202</v>
      </c>
      <c r="E4572" s="1689" t="s">
        <v>3065</v>
      </c>
      <c r="F4572" s="1689"/>
      <c r="G4572" s="1689"/>
      <c r="H4572" s="1689"/>
      <c r="K4572" s="841" t="s">
        <v>3226</v>
      </c>
      <c r="M4572" s="1357"/>
      <c r="Q4572" s="1357"/>
      <c r="S4572" s="1420"/>
      <c r="T4572" s="1420"/>
      <c r="V4572" s="1357">
        <v>387</v>
      </c>
    </row>
    <row r="4573" spans="1:22" s="841" customFormat="1" ht="15" x14ac:dyDescent="0.25">
      <c r="A4573" s="841" t="s">
        <v>202</v>
      </c>
      <c r="E4573" s="1689" t="s">
        <v>3390</v>
      </c>
      <c r="F4573" s="1689"/>
      <c r="G4573" s="1689"/>
      <c r="H4573" s="1689"/>
      <c r="K4573" s="841" t="s">
        <v>3226</v>
      </c>
      <c r="M4573" s="1357"/>
      <c r="Q4573" s="1357"/>
      <c r="S4573" s="1420"/>
      <c r="T4573" s="1420"/>
      <c r="V4573" s="1357">
        <v>274</v>
      </c>
    </row>
    <row r="4574" spans="1:22" s="841" customFormat="1" ht="15" x14ac:dyDescent="0.25">
      <c r="A4574" s="841" t="s">
        <v>202</v>
      </c>
      <c r="E4574" s="1694" t="s">
        <v>3067</v>
      </c>
      <c r="F4574" s="1907"/>
      <c r="G4574" s="1907"/>
      <c r="H4574" s="1907"/>
      <c r="K4574" s="841" t="s">
        <v>3108</v>
      </c>
      <c r="M4574" s="1357"/>
      <c r="Q4574" s="1357"/>
      <c r="S4574" s="1420"/>
      <c r="T4574" s="1420"/>
      <c r="V4574" s="1357">
        <v>46</v>
      </c>
    </row>
    <row r="4575" spans="1:22" s="841" customFormat="1" ht="15" x14ac:dyDescent="0.25">
      <c r="A4575" s="841" t="s">
        <v>202</v>
      </c>
      <c r="E4575" s="1920" t="s">
        <v>11</v>
      </c>
      <c r="F4575" s="1690"/>
      <c r="G4575" s="695" t="s">
        <v>23</v>
      </c>
      <c r="H4575" s="391">
        <v>1103.5899999999999</v>
      </c>
      <c r="K4575" s="841" t="s">
        <v>3226</v>
      </c>
      <c r="L4575" s="841" t="s">
        <v>442</v>
      </c>
      <c r="M4575" s="1357"/>
      <c r="P4575" s="841" t="s">
        <v>3228</v>
      </c>
      <c r="Q4575" s="1357"/>
      <c r="S4575" s="1420"/>
      <c r="T4575" s="1420"/>
      <c r="V4575" s="1357">
        <v>14</v>
      </c>
    </row>
    <row r="4576" spans="1:22" s="841" customFormat="1" ht="15" x14ac:dyDescent="0.25">
      <c r="A4576" s="841" t="s">
        <v>202</v>
      </c>
      <c r="E4576" s="1920" t="s">
        <v>398</v>
      </c>
      <c r="F4576" s="1690"/>
      <c r="G4576" s="695" t="s">
        <v>23</v>
      </c>
      <c r="H4576" s="696">
        <v>-151.18</v>
      </c>
      <c r="K4576" s="841" t="s">
        <v>3226</v>
      </c>
      <c r="L4576" s="841" t="s">
        <v>442</v>
      </c>
      <c r="M4576" s="1357"/>
      <c r="P4576" s="841" t="s">
        <v>6246</v>
      </c>
      <c r="Q4576" s="1357"/>
      <c r="S4576" s="1420"/>
      <c r="T4576" s="1420">
        <v>45747</v>
      </c>
      <c r="V4576" s="1357">
        <v>93</v>
      </c>
    </row>
    <row r="4577" spans="1:22" s="841" customFormat="1" ht="15" x14ac:dyDescent="0.25">
      <c r="A4577" s="841" t="s">
        <v>202</v>
      </c>
      <c r="E4577" s="1920" t="s">
        <v>84</v>
      </c>
      <c r="F4577" s="1690"/>
      <c r="G4577" s="695" t="s">
        <v>33</v>
      </c>
      <c r="H4577" s="393">
        <v>2.7576999999999998</v>
      </c>
      <c r="K4577" s="841" t="s">
        <v>3226</v>
      </c>
      <c r="L4577" s="841" t="s">
        <v>442</v>
      </c>
      <c r="M4577" s="1357"/>
      <c r="P4577" s="841" t="s">
        <v>3229</v>
      </c>
      <c r="Q4577" s="1357"/>
      <c r="S4577" s="1420"/>
      <c r="T4577" s="1420"/>
      <c r="V4577" s="1357">
        <v>28</v>
      </c>
    </row>
    <row r="4578" spans="1:22" s="841" customFormat="1" ht="15" x14ac:dyDescent="0.25">
      <c r="A4578" s="841" t="s">
        <v>202</v>
      </c>
      <c r="E4578" s="1920" t="s">
        <v>5460</v>
      </c>
      <c r="F4578" s="1908"/>
      <c r="G4578" s="695" t="s">
        <v>33</v>
      </c>
      <c r="H4578" s="393">
        <v>0.47899999999999998</v>
      </c>
      <c r="K4578" s="841" t="s">
        <v>3226</v>
      </c>
      <c r="L4578" s="841" t="s">
        <v>442</v>
      </c>
      <c r="M4578" s="1357"/>
      <c r="P4578" s="841" t="s">
        <v>3231</v>
      </c>
      <c r="Q4578" s="1357"/>
      <c r="S4578" s="1420"/>
      <c r="T4578" s="1420">
        <v>43465</v>
      </c>
      <c r="V4578" s="1357">
        <v>132</v>
      </c>
    </row>
    <row r="4579" spans="1:22" s="841" customFormat="1" ht="15" x14ac:dyDescent="0.25">
      <c r="A4579" s="841" t="s">
        <v>202</v>
      </c>
      <c r="E4579" s="1920" t="s">
        <v>5144</v>
      </c>
      <c r="F4579" s="1908"/>
      <c r="G4579" s="695" t="s">
        <v>33</v>
      </c>
      <c r="H4579" s="393">
        <v>-0.96530000000000005</v>
      </c>
      <c r="K4579" s="841" t="s">
        <v>3226</v>
      </c>
      <c r="L4579" s="841" t="s">
        <v>443</v>
      </c>
      <c r="M4579" s="1357"/>
      <c r="P4579" s="841" t="s">
        <v>3232</v>
      </c>
      <c r="Q4579" s="1357"/>
      <c r="S4579" s="1420"/>
      <c r="T4579" s="1420">
        <v>43465</v>
      </c>
      <c r="V4579" s="1357">
        <v>99</v>
      </c>
    </row>
    <row r="4580" spans="1:22" s="841" customFormat="1" ht="15" x14ac:dyDescent="0.25">
      <c r="A4580" s="841" t="s">
        <v>202</v>
      </c>
      <c r="E4580" s="1920" t="s">
        <v>223</v>
      </c>
      <c r="F4580" s="1690"/>
      <c r="G4580" s="695" t="s">
        <v>33</v>
      </c>
      <c r="H4580" s="393">
        <v>3.2686999999999999</v>
      </c>
      <c r="K4580" s="841" t="s">
        <v>3226</v>
      </c>
      <c r="L4580" s="841" t="s">
        <v>444</v>
      </c>
      <c r="M4580" s="1357"/>
      <c r="P4580" s="841" t="s">
        <v>3233</v>
      </c>
      <c r="Q4580" s="1357"/>
      <c r="S4580" s="1420"/>
      <c r="T4580" s="1420"/>
      <c r="V4580" s="1357">
        <v>66</v>
      </c>
    </row>
    <row r="4581" spans="1:22" s="841" customFormat="1" ht="15" x14ac:dyDescent="0.25">
      <c r="A4581" s="841" t="s">
        <v>202</v>
      </c>
      <c r="E4581" s="1920" t="s">
        <v>219</v>
      </c>
      <c r="F4581" s="1690"/>
      <c r="G4581" s="695" t="s">
        <v>33</v>
      </c>
      <c r="H4581" s="393">
        <v>2.754</v>
      </c>
      <c r="K4581" s="841" t="s">
        <v>3226</v>
      </c>
      <c r="L4581" s="841" t="s">
        <v>444</v>
      </c>
      <c r="M4581" s="1357"/>
      <c r="P4581" s="841" t="s">
        <v>3234</v>
      </c>
      <c r="Q4581" s="1357"/>
      <c r="S4581" s="1420"/>
      <c r="T4581" s="1420"/>
      <c r="V4581" s="1357">
        <v>93</v>
      </c>
    </row>
    <row r="4582" spans="1:22" s="841" customFormat="1" ht="15" x14ac:dyDescent="0.25">
      <c r="A4582" s="841" t="s">
        <v>202</v>
      </c>
      <c r="E4582" s="1694" t="s">
        <v>3079</v>
      </c>
      <c r="F4582" s="1690"/>
      <c r="G4582" s="1690"/>
      <c r="H4582" s="1690"/>
      <c r="K4582" s="841" t="s">
        <v>3111</v>
      </c>
      <c r="M4582" s="1357"/>
      <c r="Q4582" s="1357"/>
      <c r="S4582" s="1420"/>
      <c r="T4582" s="1420"/>
      <c r="V4582" s="1357">
        <v>48</v>
      </c>
    </row>
    <row r="4583" spans="1:22" s="841" customFormat="1" ht="15" x14ac:dyDescent="0.25">
      <c r="A4583" s="841" t="s">
        <v>202</v>
      </c>
      <c r="E4583" s="1920" t="s">
        <v>2449</v>
      </c>
      <c r="F4583" s="1690"/>
      <c r="G4583" s="695" t="s">
        <v>24</v>
      </c>
      <c r="H4583" s="697">
        <v>3.2000000000000002E-3</v>
      </c>
      <c r="K4583" s="841" t="s">
        <v>3226</v>
      </c>
      <c r="L4583" s="841" t="s">
        <v>3046</v>
      </c>
      <c r="M4583" s="1357"/>
      <c r="P4583" s="841" t="s">
        <v>3235</v>
      </c>
      <c r="Q4583" s="1357"/>
      <c r="S4583" s="1420"/>
      <c r="T4583" s="1420"/>
      <c r="V4583" s="1357">
        <v>55</v>
      </c>
    </row>
    <row r="4584" spans="1:22" s="841" customFormat="1" ht="15" x14ac:dyDescent="0.25">
      <c r="A4584" s="841" t="s">
        <v>202</v>
      </c>
      <c r="E4584" s="1920" t="s">
        <v>2450</v>
      </c>
      <c r="F4584" s="1690"/>
      <c r="G4584" s="695" t="s">
        <v>24</v>
      </c>
      <c r="H4584" s="697">
        <v>4.0000000000000002E-4</v>
      </c>
      <c r="K4584" s="841" t="s">
        <v>3226</v>
      </c>
      <c r="L4584" s="841" t="s">
        <v>3046</v>
      </c>
      <c r="M4584" s="1357"/>
      <c r="P4584" s="841" t="s">
        <v>3235</v>
      </c>
      <c r="Q4584" s="1357"/>
      <c r="S4584" s="1420"/>
      <c r="T4584" s="1420"/>
      <c r="V4584" s="1357">
        <v>65</v>
      </c>
    </row>
    <row r="4585" spans="1:22" s="841" customFormat="1" ht="15" x14ac:dyDescent="0.25">
      <c r="A4585" s="841" t="s">
        <v>202</v>
      </c>
      <c r="E4585" s="1920" t="s">
        <v>439</v>
      </c>
      <c r="F4585" s="1690"/>
      <c r="G4585" s="695" t="s">
        <v>24</v>
      </c>
      <c r="H4585" s="697">
        <v>2.9999999999999997E-4</v>
      </c>
      <c r="K4585" s="841" t="s">
        <v>3226</v>
      </c>
      <c r="L4585" s="841" t="s">
        <v>3046</v>
      </c>
      <c r="M4585" s="1357"/>
      <c r="P4585" s="841" t="s">
        <v>3236</v>
      </c>
      <c r="Q4585" s="1357"/>
      <c r="S4585" s="1420"/>
      <c r="T4585" s="1420"/>
      <c r="V4585" s="1357">
        <v>57</v>
      </c>
    </row>
    <row r="4586" spans="1:22" s="841" customFormat="1" ht="15" x14ac:dyDescent="0.25">
      <c r="A4586" s="841" t="s">
        <v>202</v>
      </c>
      <c r="E4586" s="1920" t="s">
        <v>32</v>
      </c>
      <c r="F4586" s="1690"/>
      <c r="G4586" s="695" t="s">
        <v>23</v>
      </c>
      <c r="H4586" s="696">
        <v>0.25</v>
      </c>
      <c r="K4586" s="841" t="s">
        <v>3226</v>
      </c>
      <c r="L4586" s="841" t="s">
        <v>3046</v>
      </c>
      <c r="M4586" s="1357"/>
      <c r="P4586" s="841" t="s">
        <v>3237</v>
      </c>
      <c r="Q4586" s="1357"/>
      <c r="S4586" s="1420"/>
      <c r="T4586" s="1420"/>
      <c r="V4586" s="1357">
        <v>63</v>
      </c>
    </row>
    <row r="4587" spans="1:22" s="841" customFormat="1" x14ac:dyDescent="0.25">
      <c r="A4587" s="841" t="s">
        <v>202</v>
      </c>
      <c r="E4587" s="1936" t="s">
        <v>617</v>
      </c>
      <c r="F4587" s="1923"/>
      <c r="G4587" s="1923"/>
      <c r="H4587" s="1923"/>
      <c r="K4587" s="841" t="s">
        <v>3238</v>
      </c>
      <c r="M4587" s="1357"/>
      <c r="Q4587" s="1357"/>
      <c r="S4587" s="1420"/>
      <c r="T4587" s="1420"/>
      <c r="V4587" s="1357">
        <v>47</v>
      </c>
    </row>
    <row r="4588" spans="1:22" s="841" customFormat="1" ht="15" x14ac:dyDescent="0.25">
      <c r="A4588" s="841" t="s">
        <v>202</v>
      </c>
      <c r="E4588" s="1689" t="s">
        <v>4499</v>
      </c>
      <c r="F4588" s="1689"/>
      <c r="G4588" s="1689"/>
      <c r="H4588" s="1689"/>
      <c r="K4588" s="841" t="s">
        <v>3238</v>
      </c>
      <c r="M4588" s="1357"/>
      <c r="Q4588" s="1357"/>
      <c r="S4588" s="1420"/>
      <c r="T4588" s="1420"/>
      <c r="V4588" s="1357">
        <v>607</v>
      </c>
    </row>
    <row r="4589" spans="1:22" s="841" customFormat="1" ht="15" x14ac:dyDescent="0.25">
      <c r="A4589" s="841" t="s">
        <v>202</v>
      </c>
      <c r="E4589" s="1916" t="s">
        <v>3061</v>
      </c>
      <c r="F4589" s="1689"/>
      <c r="G4589" s="1689"/>
      <c r="H4589" s="1689"/>
      <c r="K4589" s="841" t="s">
        <v>3114</v>
      </c>
      <c r="M4589" s="1357"/>
      <c r="Q4589" s="1357"/>
      <c r="S4589" s="1420"/>
      <c r="T4589" s="1420"/>
      <c r="V4589" s="1357">
        <v>11</v>
      </c>
    </row>
    <row r="4590" spans="1:22" s="841" customFormat="1" ht="15" x14ac:dyDescent="0.25">
      <c r="A4590" s="841" t="s">
        <v>202</v>
      </c>
      <c r="E4590" s="1689" t="s">
        <v>3063</v>
      </c>
      <c r="F4590" s="1689"/>
      <c r="G4590" s="1689"/>
      <c r="H4590" s="1689"/>
      <c r="K4590" s="841" t="s">
        <v>3238</v>
      </c>
      <c r="M4590" s="1357"/>
      <c r="Q4590" s="1357"/>
      <c r="S4590" s="1420"/>
      <c r="T4590" s="1420"/>
      <c r="V4590" s="1357">
        <v>280</v>
      </c>
    </row>
    <row r="4591" spans="1:22" s="841" customFormat="1" ht="15" x14ac:dyDescent="0.25">
      <c r="A4591" s="841" t="s">
        <v>202</v>
      </c>
      <c r="E4591" s="1689" t="s">
        <v>3064</v>
      </c>
      <c r="F4591" s="1689"/>
      <c r="G4591" s="1689"/>
      <c r="H4591" s="1689"/>
      <c r="K4591" s="841" t="s">
        <v>3238</v>
      </c>
      <c r="M4591" s="1357"/>
      <c r="Q4591" s="1357"/>
      <c r="S4591" s="1420"/>
      <c r="T4591" s="1420"/>
      <c r="V4591" s="1357">
        <v>411</v>
      </c>
    </row>
    <row r="4592" spans="1:22" s="841" customFormat="1" ht="15" x14ac:dyDescent="0.25">
      <c r="A4592" s="841" t="s">
        <v>202</v>
      </c>
      <c r="E4592" s="1689" t="s">
        <v>3065</v>
      </c>
      <c r="F4592" s="1689"/>
      <c r="G4592" s="1689"/>
      <c r="H4592" s="1689"/>
      <c r="K4592" s="841" t="s">
        <v>3238</v>
      </c>
      <c r="M4592" s="1357"/>
      <c r="Q4592" s="1357"/>
      <c r="S4592" s="1420"/>
      <c r="T4592" s="1420"/>
      <c r="V4592" s="1357">
        <v>387</v>
      </c>
    </row>
    <row r="4593" spans="1:22" s="841" customFormat="1" ht="15" x14ac:dyDescent="0.25">
      <c r="A4593" s="841" t="s">
        <v>202</v>
      </c>
      <c r="E4593" s="1689" t="s">
        <v>3390</v>
      </c>
      <c r="F4593" s="1689"/>
      <c r="G4593" s="1689"/>
      <c r="H4593" s="1689"/>
      <c r="K4593" s="841" t="s">
        <v>3238</v>
      </c>
      <c r="M4593" s="1357"/>
      <c r="Q4593" s="1357"/>
      <c r="S4593" s="1420"/>
      <c r="T4593" s="1420"/>
      <c r="V4593" s="1357">
        <v>274</v>
      </c>
    </row>
    <row r="4594" spans="1:22" s="841" customFormat="1" ht="15" x14ac:dyDescent="0.25">
      <c r="A4594" s="841" t="s">
        <v>202</v>
      </c>
      <c r="E4594" s="1694" t="s">
        <v>3067</v>
      </c>
      <c r="F4594" s="1907"/>
      <c r="G4594" s="1907"/>
      <c r="H4594" s="1907"/>
      <c r="K4594" s="841" t="s">
        <v>3115</v>
      </c>
      <c r="M4594" s="1357"/>
      <c r="Q4594" s="1357"/>
      <c r="S4594" s="1420"/>
      <c r="T4594" s="1420"/>
      <c r="V4594" s="1357">
        <v>46</v>
      </c>
    </row>
    <row r="4595" spans="1:22" s="841" customFormat="1" ht="15" x14ac:dyDescent="0.25">
      <c r="A4595" s="841" t="s">
        <v>202</v>
      </c>
      <c r="E4595" s="1920" t="s">
        <v>12</v>
      </c>
      <c r="F4595" s="1690"/>
      <c r="G4595" s="695" t="s">
        <v>23</v>
      </c>
      <c r="H4595" s="391">
        <v>4.9000000000000004</v>
      </c>
      <c r="K4595" s="841" t="s">
        <v>3238</v>
      </c>
      <c r="L4595" s="841" t="s">
        <v>442</v>
      </c>
      <c r="M4595" s="1357"/>
      <c r="P4595" s="841" t="s">
        <v>3240</v>
      </c>
      <c r="Q4595" s="1357"/>
      <c r="S4595" s="1420"/>
      <c r="T4595" s="1420"/>
      <c r="V4595" s="1357">
        <v>31</v>
      </c>
    </row>
    <row r="4596" spans="1:22" s="841" customFormat="1" ht="15" x14ac:dyDescent="0.25">
      <c r="A4596" s="841" t="s">
        <v>202</v>
      </c>
      <c r="E4596" s="1920" t="s">
        <v>398</v>
      </c>
      <c r="F4596" s="1690"/>
      <c r="G4596" s="695" t="s">
        <v>23</v>
      </c>
      <c r="H4596" s="696">
        <v>-0.05</v>
      </c>
      <c r="K4596" s="841" t="s">
        <v>3238</v>
      </c>
      <c r="L4596" s="841" t="s">
        <v>442</v>
      </c>
      <c r="M4596" s="1357"/>
      <c r="P4596" s="841" t="s">
        <v>6247</v>
      </c>
      <c r="Q4596" s="1357"/>
      <c r="S4596" s="1420"/>
      <c r="T4596" s="1420">
        <v>45747</v>
      </c>
      <c r="V4596" s="1357">
        <v>93</v>
      </c>
    </row>
    <row r="4597" spans="1:22" s="841" customFormat="1" ht="15" x14ac:dyDescent="0.25">
      <c r="A4597" s="841" t="s">
        <v>202</v>
      </c>
      <c r="E4597" s="1920" t="s">
        <v>84</v>
      </c>
      <c r="F4597" s="1690"/>
      <c r="G4597" s="695" t="s">
        <v>24</v>
      </c>
      <c r="H4597" s="393">
        <v>2.23E-2</v>
      </c>
      <c r="K4597" s="841" t="s">
        <v>3238</v>
      </c>
      <c r="L4597" s="841" t="s">
        <v>442</v>
      </c>
      <c r="M4597" s="1357"/>
      <c r="P4597" s="841" t="s">
        <v>3241</v>
      </c>
      <c r="Q4597" s="1357"/>
      <c r="S4597" s="1420"/>
      <c r="T4597" s="1420"/>
      <c r="V4597" s="1357">
        <v>28</v>
      </c>
    </row>
    <row r="4598" spans="1:22" s="841" customFormat="1" ht="15" x14ac:dyDescent="0.25">
      <c r="A4598" s="841" t="s">
        <v>202</v>
      </c>
      <c r="E4598" s="1920" t="s">
        <v>5143</v>
      </c>
      <c r="F4598" s="1908"/>
      <c r="G4598" s="695" t="s">
        <v>24</v>
      </c>
      <c r="H4598" s="393">
        <v>4.4999999999999997E-3</v>
      </c>
      <c r="K4598" s="841" t="s">
        <v>3238</v>
      </c>
      <c r="L4598" s="841" t="s">
        <v>443</v>
      </c>
      <c r="M4598" s="1357"/>
      <c r="P4598" s="841" t="s">
        <v>3663</v>
      </c>
      <c r="Q4598" s="1357"/>
      <c r="S4598" s="1420"/>
      <c r="T4598" s="1420">
        <v>43465</v>
      </c>
      <c r="V4598" s="1357">
        <v>142</v>
      </c>
    </row>
    <row r="4599" spans="1:22" s="841" customFormat="1" ht="15" x14ac:dyDescent="0.25">
      <c r="A4599" s="841" t="s">
        <v>202</v>
      </c>
      <c r="E4599" s="1920" t="s">
        <v>5144</v>
      </c>
      <c r="F4599" s="1908"/>
      <c r="G4599" s="695" t="s">
        <v>24</v>
      </c>
      <c r="H4599" s="393">
        <v>-2.2000000000000001E-3</v>
      </c>
      <c r="K4599" s="841" t="s">
        <v>3238</v>
      </c>
      <c r="L4599" s="841" t="s">
        <v>443</v>
      </c>
      <c r="M4599" s="1357"/>
      <c r="P4599" s="841" t="s">
        <v>3244</v>
      </c>
      <c r="Q4599" s="1357"/>
      <c r="S4599" s="1420"/>
      <c r="T4599" s="1420">
        <v>43465</v>
      </c>
      <c r="V4599" s="1357">
        <v>99</v>
      </c>
    </row>
    <row r="4600" spans="1:22" s="841" customFormat="1" ht="15" x14ac:dyDescent="0.25">
      <c r="A4600" s="841" t="s">
        <v>202</v>
      </c>
      <c r="E4600" s="1920" t="s">
        <v>5145</v>
      </c>
      <c r="F4600" s="1908"/>
      <c r="G4600" s="695" t="s">
        <v>24</v>
      </c>
      <c r="H4600" s="393">
        <v>-1E-4</v>
      </c>
      <c r="K4600" s="841" t="s">
        <v>3238</v>
      </c>
      <c r="L4600" s="841" t="s">
        <v>443</v>
      </c>
      <c r="M4600" s="1357"/>
      <c r="P4600" s="841" t="s">
        <v>5365</v>
      </c>
      <c r="Q4600" s="1357"/>
      <c r="S4600" s="1420"/>
      <c r="T4600" s="1420">
        <v>43465</v>
      </c>
      <c r="V4600" s="1357">
        <v>148</v>
      </c>
    </row>
    <row r="4601" spans="1:22" s="841" customFormat="1" ht="15" x14ac:dyDescent="0.25">
      <c r="A4601" s="841" t="s">
        <v>202</v>
      </c>
      <c r="E4601" s="1920" t="s">
        <v>221</v>
      </c>
      <c r="F4601" s="1690"/>
      <c r="G4601" s="695" t="s">
        <v>24</v>
      </c>
      <c r="H4601" s="393">
        <v>6.1999999999999998E-3</v>
      </c>
      <c r="K4601" s="841" t="s">
        <v>3238</v>
      </c>
      <c r="L4601" s="841" t="s">
        <v>444</v>
      </c>
      <c r="M4601" s="1357"/>
      <c r="P4601" s="841" t="s">
        <v>3245</v>
      </c>
      <c r="Q4601" s="1357"/>
      <c r="S4601" s="1420"/>
      <c r="T4601" s="1420"/>
      <c r="V4601" s="1357">
        <v>47</v>
      </c>
    </row>
    <row r="4602" spans="1:22" s="841" customFormat="1" ht="15" x14ac:dyDescent="0.25">
      <c r="A4602" s="841" t="s">
        <v>202</v>
      </c>
      <c r="E4602" s="1920" t="s">
        <v>217</v>
      </c>
      <c r="F4602" s="1690"/>
      <c r="G4602" s="695" t="s">
        <v>24</v>
      </c>
      <c r="H4602" s="393">
        <v>5.1999999999999998E-3</v>
      </c>
      <c r="K4602" s="841" t="s">
        <v>3238</v>
      </c>
      <c r="L4602" s="841" t="s">
        <v>444</v>
      </c>
      <c r="M4602" s="1357"/>
      <c r="P4602" s="841" t="s">
        <v>3246</v>
      </c>
      <c r="Q4602" s="1357"/>
      <c r="S4602" s="1420"/>
      <c r="T4602" s="1420"/>
      <c r="V4602" s="1357">
        <v>74</v>
      </c>
    </row>
    <row r="4603" spans="1:22" s="841" customFormat="1" ht="15" x14ac:dyDescent="0.25">
      <c r="A4603" s="841" t="s">
        <v>202</v>
      </c>
      <c r="E4603" s="1694" t="s">
        <v>3079</v>
      </c>
      <c r="F4603" s="1690"/>
      <c r="G4603" s="1690"/>
      <c r="H4603" s="1690"/>
      <c r="K4603" s="841" t="s">
        <v>3122</v>
      </c>
      <c r="M4603" s="1357"/>
      <c r="Q4603" s="1357"/>
      <c r="S4603" s="1420"/>
      <c r="T4603" s="1420"/>
      <c r="V4603" s="1357">
        <v>48</v>
      </c>
    </row>
    <row r="4604" spans="1:22" s="841" customFormat="1" ht="15" x14ac:dyDescent="0.25">
      <c r="A4604" s="841" t="s">
        <v>202</v>
      </c>
      <c r="E4604" s="1920" t="s">
        <v>2449</v>
      </c>
      <c r="F4604" s="1690"/>
      <c r="G4604" s="695" t="s">
        <v>24</v>
      </c>
      <c r="H4604" s="697">
        <v>3.2000000000000002E-3</v>
      </c>
      <c r="K4604" s="841" t="s">
        <v>3238</v>
      </c>
      <c r="L4604" s="841" t="s">
        <v>3046</v>
      </c>
      <c r="M4604" s="1357"/>
      <c r="P4604" s="841" t="s">
        <v>3247</v>
      </c>
      <c r="Q4604" s="1357"/>
      <c r="S4604" s="1420"/>
      <c r="T4604" s="1420"/>
      <c r="V4604" s="1357">
        <v>55</v>
      </c>
    </row>
    <row r="4605" spans="1:22" s="841" customFormat="1" ht="15" x14ac:dyDescent="0.25">
      <c r="A4605" s="841" t="s">
        <v>202</v>
      </c>
      <c r="E4605" s="1920" t="s">
        <v>2450</v>
      </c>
      <c r="F4605" s="1690"/>
      <c r="G4605" s="695" t="s">
        <v>24</v>
      </c>
      <c r="H4605" s="697">
        <v>4.0000000000000002E-4</v>
      </c>
      <c r="K4605" s="841" t="s">
        <v>3238</v>
      </c>
      <c r="L4605" s="841" t="s">
        <v>3046</v>
      </c>
      <c r="M4605" s="1357"/>
      <c r="P4605" s="841" t="s">
        <v>3247</v>
      </c>
      <c r="Q4605" s="1357"/>
      <c r="S4605" s="1420"/>
      <c r="T4605" s="1420"/>
      <c r="V4605" s="1357">
        <v>65</v>
      </c>
    </row>
    <row r="4606" spans="1:22" s="841" customFormat="1" ht="15" x14ac:dyDescent="0.25">
      <c r="A4606" s="841" t="s">
        <v>202</v>
      </c>
      <c r="E4606" s="1920" t="s">
        <v>439</v>
      </c>
      <c r="F4606" s="1690"/>
      <c r="G4606" s="695" t="s">
        <v>24</v>
      </c>
      <c r="H4606" s="697">
        <v>2.9999999999999997E-4</v>
      </c>
      <c r="K4606" s="841" t="s">
        <v>3238</v>
      </c>
      <c r="L4606" s="841" t="s">
        <v>3046</v>
      </c>
      <c r="M4606" s="1357"/>
      <c r="P4606" s="841" t="s">
        <v>3248</v>
      </c>
      <c r="Q4606" s="1357"/>
      <c r="S4606" s="1420"/>
      <c r="T4606" s="1420"/>
      <c r="V4606" s="1357">
        <v>57</v>
      </c>
    </row>
    <row r="4607" spans="1:22" s="841" customFormat="1" ht="15" x14ac:dyDescent="0.25">
      <c r="A4607" s="841" t="s">
        <v>202</v>
      </c>
      <c r="E4607" s="1920" t="s">
        <v>32</v>
      </c>
      <c r="F4607" s="1690"/>
      <c r="G4607" s="695" t="s">
        <v>23</v>
      </c>
      <c r="H4607" s="696">
        <v>0.25</v>
      </c>
      <c r="K4607" s="841" t="s">
        <v>3238</v>
      </c>
      <c r="L4607" s="841" t="s">
        <v>3046</v>
      </c>
      <c r="M4607" s="1357"/>
      <c r="P4607" s="841" t="s">
        <v>3249</v>
      </c>
      <c r="Q4607" s="1357"/>
      <c r="S4607" s="1420"/>
      <c r="T4607" s="1420"/>
      <c r="V4607" s="1357">
        <v>63</v>
      </c>
    </row>
    <row r="4608" spans="1:22" s="841" customFormat="1" x14ac:dyDescent="0.25">
      <c r="A4608" s="841" t="s">
        <v>202</v>
      </c>
      <c r="E4608" s="1936" t="s">
        <v>1713</v>
      </c>
      <c r="F4608" s="1923"/>
      <c r="G4608" s="1923"/>
      <c r="H4608" s="1923"/>
      <c r="K4608" s="841" t="s">
        <v>4783</v>
      </c>
      <c r="M4608" s="1357"/>
      <c r="Q4608" s="1357"/>
      <c r="S4608" s="1420"/>
      <c r="T4608" s="1420"/>
      <c r="V4608" s="1357">
        <v>37</v>
      </c>
    </row>
    <row r="4609" spans="1:22" s="841" customFormat="1" ht="15" x14ac:dyDescent="0.25">
      <c r="A4609" s="841" t="s">
        <v>202</v>
      </c>
      <c r="E4609" s="1689" t="s">
        <v>3932</v>
      </c>
      <c r="F4609" s="1689"/>
      <c r="G4609" s="1689"/>
      <c r="H4609" s="1689"/>
      <c r="K4609" s="841" t="s">
        <v>4783</v>
      </c>
      <c r="M4609" s="1357"/>
      <c r="Q4609" s="1357"/>
      <c r="S4609" s="1420"/>
      <c r="T4609" s="1420"/>
      <c r="V4609" s="1357">
        <v>220</v>
      </c>
    </row>
    <row r="4610" spans="1:22" s="841" customFormat="1" ht="15" x14ac:dyDescent="0.25">
      <c r="A4610" s="841" t="s">
        <v>202</v>
      </c>
      <c r="E4610" s="1916" t="s">
        <v>3061</v>
      </c>
      <c r="F4610" s="1689"/>
      <c r="G4610" s="1689"/>
      <c r="H4610" s="1689"/>
      <c r="K4610" s="841" t="s">
        <v>3128</v>
      </c>
      <c r="M4610" s="1357"/>
      <c r="Q4610" s="1357"/>
      <c r="S4610" s="1420"/>
      <c r="T4610" s="1420"/>
      <c r="V4610" s="1357">
        <v>11</v>
      </c>
    </row>
    <row r="4611" spans="1:22" s="841" customFormat="1" ht="15" x14ac:dyDescent="0.25">
      <c r="A4611" s="841" t="s">
        <v>202</v>
      </c>
      <c r="E4611" s="1689" t="s">
        <v>3063</v>
      </c>
      <c r="F4611" s="1689"/>
      <c r="G4611" s="1689"/>
      <c r="H4611" s="1689"/>
      <c r="K4611" s="841" t="s">
        <v>4783</v>
      </c>
      <c r="M4611" s="1357"/>
      <c r="Q4611" s="1357"/>
      <c r="S4611" s="1420"/>
      <c r="T4611" s="1420"/>
      <c r="V4611" s="1357">
        <v>280</v>
      </c>
    </row>
    <row r="4612" spans="1:22" s="841" customFormat="1" ht="15" x14ac:dyDescent="0.25">
      <c r="A4612" s="841" t="s">
        <v>202</v>
      </c>
      <c r="E4612" s="1689" t="s">
        <v>3064</v>
      </c>
      <c r="F4612" s="1689"/>
      <c r="G4612" s="1689"/>
      <c r="H4612" s="1689"/>
      <c r="K4612" s="841" t="s">
        <v>4783</v>
      </c>
      <c r="M4612" s="1357"/>
      <c r="Q4612" s="1357"/>
      <c r="S4612" s="1420"/>
      <c r="T4612" s="1420"/>
      <c r="V4612" s="1357">
        <v>411</v>
      </c>
    </row>
    <row r="4613" spans="1:22" s="841" customFormat="1" ht="15" x14ac:dyDescent="0.25">
      <c r="A4613" s="841" t="s">
        <v>202</v>
      </c>
      <c r="E4613" s="1689" t="s">
        <v>3129</v>
      </c>
      <c r="F4613" s="1689"/>
      <c r="G4613" s="1689"/>
      <c r="H4613" s="1689"/>
      <c r="K4613" s="841" t="s">
        <v>4783</v>
      </c>
      <c r="M4613" s="1357"/>
      <c r="Q4613" s="1357"/>
      <c r="S4613" s="1420"/>
      <c r="T4613" s="1420"/>
      <c r="V4613" s="1357">
        <v>211</v>
      </c>
    </row>
    <row r="4614" spans="1:22" s="841" customFormat="1" ht="15" x14ac:dyDescent="0.25">
      <c r="A4614" s="841" t="s">
        <v>202</v>
      </c>
      <c r="E4614" s="1689" t="s">
        <v>3390</v>
      </c>
      <c r="F4614" s="1689"/>
      <c r="G4614" s="1689"/>
      <c r="H4614" s="1689"/>
      <c r="K4614" s="841" t="s">
        <v>4783</v>
      </c>
      <c r="M4614" s="1357"/>
      <c r="Q4614" s="1357"/>
      <c r="S4614" s="1420"/>
      <c r="T4614" s="1420"/>
      <c r="V4614" s="1357">
        <v>274</v>
      </c>
    </row>
    <row r="4615" spans="1:22" s="841" customFormat="1" ht="15" x14ac:dyDescent="0.25">
      <c r="A4615" s="841" t="s">
        <v>202</v>
      </c>
      <c r="E4615" s="1694" t="s">
        <v>3531</v>
      </c>
      <c r="F4615" s="1907"/>
      <c r="G4615" s="1907"/>
      <c r="H4615" s="1907"/>
      <c r="K4615" s="841" t="s">
        <v>3130</v>
      </c>
      <c r="M4615" s="1357"/>
      <c r="Q4615" s="1357"/>
      <c r="S4615" s="1420"/>
      <c r="T4615" s="1420"/>
      <c r="V4615" s="1357">
        <v>56</v>
      </c>
    </row>
    <row r="4616" spans="1:22" s="841" customFormat="1" ht="15" x14ac:dyDescent="0.25">
      <c r="A4616" s="841" t="s">
        <v>202</v>
      </c>
      <c r="E4616" s="2070" t="s">
        <v>4500</v>
      </c>
      <c r="F4616" s="1704"/>
      <c r="G4616" s="1704"/>
      <c r="H4616" s="1704"/>
      <c r="K4616" s="841" t="s">
        <v>4783</v>
      </c>
      <c r="M4616" s="1357"/>
      <c r="P4616" s="841" t="s">
        <v>6248</v>
      </c>
      <c r="Q4616" s="1357"/>
      <c r="S4616" s="1420"/>
      <c r="T4616" s="1420"/>
      <c r="V4616" s="1357">
        <v>318</v>
      </c>
    </row>
    <row r="4617" spans="1:22" s="841" customFormat="1" x14ac:dyDescent="0.25">
      <c r="A4617" s="841" t="s">
        <v>202</v>
      </c>
      <c r="E4617" s="1936" t="s">
        <v>629</v>
      </c>
      <c r="F4617" s="1923"/>
      <c r="G4617" s="1923"/>
      <c r="H4617" s="1923"/>
      <c r="K4617" s="841" t="s">
        <v>3767</v>
      </c>
      <c r="M4617" s="1357"/>
      <c r="Q4617" s="1357"/>
      <c r="S4617" s="1420"/>
      <c r="T4617" s="1420"/>
      <c r="V4617" s="1357">
        <v>40</v>
      </c>
    </row>
    <row r="4618" spans="1:22" s="841" customFormat="1" ht="15" x14ac:dyDescent="0.25">
      <c r="A4618" s="841" t="s">
        <v>202</v>
      </c>
      <c r="E4618" s="1689" t="s">
        <v>4501</v>
      </c>
      <c r="F4618" s="1689"/>
      <c r="G4618" s="1689"/>
      <c r="H4618" s="1689"/>
      <c r="K4618" s="841" t="s">
        <v>3767</v>
      </c>
      <c r="M4618" s="1357"/>
      <c r="Q4618" s="1357"/>
      <c r="S4618" s="1420"/>
      <c r="T4618" s="1420"/>
      <c r="V4618" s="1357">
        <v>255</v>
      </c>
    </row>
    <row r="4619" spans="1:22" s="841" customFormat="1" ht="15" x14ac:dyDescent="0.25">
      <c r="A4619" s="841" t="s">
        <v>202</v>
      </c>
      <c r="E4619" s="1916" t="s">
        <v>3061</v>
      </c>
      <c r="F4619" s="1689"/>
      <c r="G4619" s="1689"/>
      <c r="H4619" s="1689"/>
      <c r="K4619" s="841" t="s">
        <v>3266</v>
      </c>
      <c r="M4619" s="1357"/>
      <c r="Q4619" s="1357"/>
      <c r="S4619" s="1420"/>
      <c r="T4619" s="1420"/>
      <c r="V4619" s="1357">
        <v>11</v>
      </c>
    </row>
    <row r="4620" spans="1:22" s="841" customFormat="1" ht="15" x14ac:dyDescent="0.25">
      <c r="A4620" s="841" t="s">
        <v>202</v>
      </c>
      <c r="E4620" s="1689" t="s">
        <v>3063</v>
      </c>
      <c r="F4620" s="1689"/>
      <c r="G4620" s="1689"/>
      <c r="H4620" s="1689"/>
      <c r="K4620" s="841" t="s">
        <v>3767</v>
      </c>
      <c r="M4620" s="1357"/>
      <c r="Q4620" s="1357"/>
      <c r="S4620" s="1420"/>
      <c r="T4620" s="1420"/>
      <c r="V4620" s="1357">
        <v>280</v>
      </c>
    </row>
    <row r="4621" spans="1:22" s="841" customFormat="1" ht="15" x14ac:dyDescent="0.25">
      <c r="A4621" s="841" t="s">
        <v>202</v>
      </c>
      <c r="E4621" s="1689" t="s">
        <v>3064</v>
      </c>
      <c r="F4621" s="1689"/>
      <c r="G4621" s="1689"/>
      <c r="H4621" s="1689"/>
      <c r="K4621" s="841" t="s">
        <v>3767</v>
      </c>
      <c r="M4621" s="1357"/>
      <c r="Q4621" s="1357"/>
      <c r="S4621" s="1420"/>
      <c r="T4621" s="1420"/>
      <c r="V4621" s="1357">
        <v>411</v>
      </c>
    </row>
    <row r="4622" spans="1:22" s="841" customFormat="1" ht="15" x14ac:dyDescent="0.25">
      <c r="A4622" s="841" t="s">
        <v>202</v>
      </c>
      <c r="E4622" s="1689" t="s">
        <v>3065</v>
      </c>
      <c r="F4622" s="1689"/>
      <c r="G4622" s="1689"/>
      <c r="H4622" s="1689"/>
      <c r="K4622" s="841" t="s">
        <v>3767</v>
      </c>
      <c r="M4622" s="1357"/>
      <c r="Q4622" s="1357"/>
      <c r="S4622" s="1420"/>
      <c r="T4622" s="1420"/>
      <c r="V4622" s="1357">
        <v>387</v>
      </c>
    </row>
    <row r="4623" spans="1:22" s="841" customFormat="1" ht="15" x14ac:dyDescent="0.25">
      <c r="A4623" s="841" t="s">
        <v>202</v>
      </c>
      <c r="E4623" s="1689" t="s">
        <v>3390</v>
      </c>
      <c r="F4623" s="1689"/>
      <c r="G4623" s="1689"/>
      <c r="H4623" s="1689"/>
      <c r="K4623" s="841" t="s">
        <v>3767</v>
      </c>
      <c r="M4623" s="1357"/>
      <c r="Q4623" s="1357"/>
      <c r="S4623" s="1420"/>
      <c r="T4623" s="1420"/>
      <c r="V4623" s="1357">
        <v>274</v>
      </c>
    </row>
    <row r="4624" spans="1:22" s="841" customFormat="1" ht="15" x14ac:dyDescent="0.25">
      <c r="A4624" s="841" t="s">
        <v>202</v>
      </c>
      <c r="E4624" s="1694" t="s">
        <v>3067</v>
      </c>
      <c r="F4624" s="1907"/>
      <c r="G4624" s="1907"/>
      <c r="H4624" s="1907"/>
      <c r="K4624" s="841" t="s">
        <v>3267</v>
      </c>
      <c r="M4624" s="1357"/>
      <c r="Q4624" s="1357"/>
      <c r="S4624" s="1420"/>
      <c r="T4624" s="1420"/>
      <c r="V4624" s="1357">
        <v>46</v>
      </c>
    </row>
    <row r="4625" spans="1:22" s="841" customFormat="1" ht="15" x14ac:dyDescent="0.25">
      <c r="A4625" s="841" t="s">
        <v>202</v>
      </c>
      <c r="E4625" s="1920" t="s">
        <v>12</v>
      </c>
      <c r="F4625" s="1690"/>
      <c r="G4625" s="695" t="s">
        <v>23</v>
      </c>
      <c r="H4625" s="391">
        <v>7.58</v>
      </c>
      <c r="K4625" s="841" t="s">
        <v>3767</v>
      </c>
      <c r="L4625" s="841" t="s">
        <v>442</v>
      </c>
      <c r="M4625" s="1357"/>
      <c r="P4625" s="841" t="s">
        <v>3769</v>
      </c>
      <c r="Q4625" s="1357"/>
      <c r="S4625" s="1420"/>
      <c r="T4625" s="1420"/>
      <c r="V4625" s="1357">
        <v>31</v>
      </c>
    </row>
    <row r="4626" spans="1:22" s="841" customFormat="1" ht="15" x14ac:dyDescent="0.25">
      <c r="A4626" s="841" t="s">
        <v>202</v>
      </c>
      <c r="E4626" s="1920" t="s">
        <v>398</v>
      </c>
      <c r="F4626" s="1690"/>
      <c r="G4626" s="695" t="s">
        <v>23</v>
      </c>
      <c r="H4626" s="696">
        <v>-0.11</v>
      </c>
      <c r="K4626" s="841" t="s">
        <v>3767</v>
      </c>
      <c r="L4626" s="841" t="s">
        <v>442</v>
      </c>
      <c r="M4626" s="1357"/>
      <c r="P4626" s="841" t="s">
        <v>6249</v>
      </c>
      <c r="Q4626" s="1357"/>
      <c r="S4626" s="1420"/>
      <c r="T4626" s="1420">
        <v>45747</v>
      </c>
      <c r="V4626" s="1357">
        <v>93</v>
      </c>
    </row>
    <row r="4627" spans="1:22" s="841" customFormat="1" ht="15" x14ac:dyDescent="0.25">
      <c r="A4627" s="841" t="s">
        <v>202</v>
      </c>
      <c r="E4627" s="1920" t="s">
        <v>84</v>
      </c>
      <c r="F4627" s="1690"/>
      <c r="G4627" s="695" t="s">
        <v>33</v>
      </c>
      <c r="H4627" s="393">
        <v>8.3886000000000003</v>
      </c>
      <c r="K4627" s="841" t="s">
        <v>3767</v>
      </c>
      <c r="L4627" s="841" t="s">
        <v>442</v>
      </c>
      <c r="M4627" s="1357"/>
      <c r="P4627" s="841" t="s">
        <v>3770</v>
      </c>
      <c r="Q4627" s="1357"/>
      <c r="S4627" s="1420"/>
      <c r="T4627" s="1420"/>
      <c r="V4627" s="1357">
        <v>28</v>
      </c>
    </row>
    <row r="4628" spans="1:22" s="841" customFormat="1" ht="15" x14ac:dyDescent="0.25">
      <c r="A4628" s="841" t="s">
        <v>202</v>
      </c>
      <c r="E4628" s="1920" t="s">
        <v>18</v>
      </c>
      <c r="F4628" s="1690"/>
      <c r="G4628" s="695" t="s">
        <v>33</v>
      </c>
      <c r="H4628" s="697">
        <v>8.8999999999999999E-3</v>
      </c>
      <c r="K4628" s="841" t="s">
        <v>3767</v>
      </c>
      <c r="L4628" s="841" t="s">
        <v>443</v>
      </c>
      <c r="M4628" s="1357"/>
      <c r="P4628" s="841" t="s">
        <v>3771</v>
      </c>
      <c r="Q4628" s="1357"/>
      <c r="S4628" s="1420"/>
      <c r="T4628" s="1420"/>
      <c r="V4628" s="1357">
        <v>24</v>
      </c>
    </row>
    <row r="4629" spans="1:22" s="841" customFormat="1" ht="15" x14ac:dyDescent="0.25">
      <c r="A4629" s="841" t="s">
        <v>202</v>
      </c>
      <c r="E4629" s="1920" t="s">
        <v>5143</v>
      </c>
      <c r="F4629" s="1908"/>
      <c r="G4629" s="695" t="s">
        <v>24</v>
      </c>
      <c r="H4629" s="697">
        <v>4.4999999999999997E-3</v>
      </c>
      <c r="K4629" s="841" t="s">
        <v>3767</v>
      </c>
      <c r="L4629" s="841" t="s">
        <v>443</v>
      </c>
      <c r="M4629" s="1357"/>
      <c r="P4629" s="841" t="s">
        <v>3772</v>
      </c>
      <c r="Q4629" s="1357"/>
      <c r="S4629" s="1420"/>
      <c r="T4629" s="1420">
        <v>43465</v>
      </c>
      <c r="V4629" s="1357">
        <v>142</v>
      </c>
    </row>
    <row r="4630" spans="1:22" s="841" customFormat="1" ht="15" x14ac:dyDescent="0.25">
      <c r="A4630" s="841" t="s">
        <v>202</v>
      </c>
      <c r="E4630" s="1920" t="s">
        <v>5144</v>
      </c>
      <c r="F4630" s="1908"/>
      <c r="G4630" s="695" t="s">
        <v>33</v>
      </c>
      <c r="H4630" s="697">
        <v>-1.0821000000000001</v>
      </c>
      <c r="K4630" s="841" t="s">
        <v>3767</v>
      </c>
      <c r="L4630" s="841" t="s">
        <v>443</v>
      </c>
      <c r="M4630" s="1357"/>
      <c r="P4630" s="841" t="s">
        <v>3773</v>
      </c>
      <c r="Q4630" s="1357"/>
      <c r="S4630" s="1420"/>
      <c r="T4630" s="1420">
        <v>43465</v>
      </c>
      <c r="V4630" s="1357">
        <v>99</v>
      </c>
    </row>
    <row r="4631" spans="1:22" s="841" customFormat="1" ht="15" x14ac:dyDescent="0.25">
      <c r="A4631" s="841" t="s">
        <v>202</v>
      </c>
      <c r="E4631" s="1920" t="s">
        <v>5145</v>
      </c>
      <c r="F4631" s="1908"/>
      <c r="G4631" s="695" t="s">
        <v>33</v>
      </c>
      <c r="H4631" s="697">
        <v>-1.7899999999999999E-2</v>
      </c>
      <c r="K4631" s="841" t="s">
        <v>3767</v>
      </c>
      <c r="L4631" s="841" t="s">
        <v>443</v>
      </c>
      <c r="M4631" s="1357"/>
      <c r="P4631" s="841" t="s">
        <v>5444</v>
      </c>
      <c r="Q4631" s="1357"/>
      <c r="S4631" s="1420"/>
      <c r="T4631" s="1420">
        <v>43465</v>
      </c>
      <c r="V4631" s="1357">
        <v>148</v>
      </c>
    </row>
    <row r="4632" spans="1:22" s="841" customFormat="1" ht="15" x14ac:dyDescent="0.25">
      <c r="A4632" s="841" t="s">
        <v>202</v>
      </c>
      <c r="E4632" s="1920" t="s">
        <v>221</v>
      </c>
      <c r="F4632" s="1690"/>
      <c r="G4632" s="695" t="s">
        <v>33</v>
      </c>
      <c r="H4632" s="393">
        <v>1.9979</v>
      </c>
      <c r="K4632" s="841" t="s">
        <v>3767</v>
      </c>
      <c r="L4632" s="841" t="s">
        <v>444</v>
      </c>
      <c r="M4632" s="1357"/>
      <c r="P4632" s="841" t="s">
        <v>3774</v>
      </c>
      <c r="Q4632" s="1357"/>
      <c r="S4632" s="1420"/>
      <c r="T4632" s="1420"/>
      <c r="V4632" s="1357">
        <v>47</v>
      </c>
    </row>
    <row r="4633" spans="1:22" s="841" customFormat="1" ht="15" x14ac:dyDescent="0.25">
      <c r="A4633" s="841" t="s">
        <v>202</v>
      </c>
      <c r="E4633" s="1920" t="s">
        <v>217</v>
      </c>
      <c r="F4633" s="1690"/>
      <c r="G4633" s="695" t="s">
        <v>33</v>
      </c>
      <c r="H4633" s="393">
        <v>1.6831</v>
      </c>
      <c r="K4633" s="841" t="s">
        <v>3767</v>
      </c>
      <c r="L4633" s="841" t="s">
        <v>444</v>
      </c>
      <c r="M4633" s="1357"/>
      <c r="P4633" s="841" t="s">
        <v>3775</v>
      </c>
      <c r="Q4633" s="1357"/>
      <c r="S4633" s="1420"/>
      <c r="T4633" s="1420"/>
      <c r="V4633" s="1357">
        <v>74</v>
      </c>
    </row>
    <row r="4634" spans="1:22" s="841" customFormat="1" ht="15" x14ac:dyDescent="0.25">
      <c r="A4634" s="841" t="s">
        <v>202</v>
      </c>
      <c r="E4634" s="1694" t="s">
        <v>3079</v>
      </c>
      <c r="F4634" s="1690"/>
      <c r="G4634" s="1690"/>
      <c r="H4634" s="1690"/>
      <c r="K4634" s="841" t="s">
        <v>3276</v>
      </c>
      <c r="M4634" s="1357"/>
      <c r="Q4634" s="1357"/>
      <c r="S4634" s="1420"/>
      <c r="T4634" s="1420"/>
      <c r="V4634" s="1357">
        <v>48</v>
      </c>
    </row>
    <row r="4635" spans="1:22" s="841" customFormat="1" ht="15" x14ac:dyDescent="0.25">
      <c r="A4635" s="841" t="s">
        <v>202</v>
      </c>
      <c r="E4635" s="1920" t="s">
        <v>2449</v>
      </c>
      <c r="F4635" s="1690"/>
      <c r="G4635" s="695" t="s">
        <v>24</v>
      </c>
      <c r="H4635" s="697">
        <v>3.2000000000000002E-3</v>
      </c>
      <c r="K4635" s="841" t="s">
        <v>3767</v>
      </c>
      <c r="L4635" s="841" t="s">
        <v>3046</v>
      </c>
      <c r="M4635" s="1357"/>
      <c r="P4635" s="841" t="s">
        <v>3776</v>
      </c>
      <c r="Q4635" s="1357"/>
      <c r="S4635" s="1420"/>
      <c r="T4635" s="1420"/>
      <c r="V4635" s="1357">
        <v>55</v>
      </c>
    </row>
    <row r="4636" spans="1:22" s="841" customFormat="1" ht="15" x14ac:dyDescent="0.25">
      <c r="A4636" s="841" t="s">
        <v>202</v>
      </c>
      <c r="E4636" s="1920" t="s">
        <v>2450</v>
      </c>
      <c r="F4636" s="1690"/>
      <c r="G4636" s="695" t="s">
        <v>24</v>
      </c>
      <c r="H4636" s="697">
        <v>4.0000000000000002E-4</v>
      </c>
      <c r="K4636" s="841" t="s">
        <v>3767</v>
      </c>
      <c r="L4636" s="841" t="s">
        <v>3046</v>
      </c>
      <c r="M4636" s="1357"/>
      <c r="P4636" s="841" t="s">
        <v>3776</v>
      </c>
      <c r="Q4636" s="1357"/>
      <c r="S4636" s="1420"/>
      <c r="T4636" s="1420"/>
      <c r="V4636" s="1357">
        <v>65</v>
      </c>
    </row>
    <row r="4637" spans="1:22" s="841" customFormat="1" ht="15" x14ac:dyDescent="0.25">
      <c r="A4637" s="841" t="s">
        <v>202</v>
      </c>
      <c r="E4637" s="1920" t="s">
        <v>439</v>
      </c>
      <c r="F4637" s="1690"/>
      <c r="G4637" s="695" t="s">
        <v>24</v>
      </c>
      <c r="H4637" s="697">
        <v>2.9999999999999997E-4</v>
      </c>
      <c r="K4637" s="841" t="s">
        <v>3767</v>
      </c>
      <c r="L4637" s="841" t="s">
        <v>3046</v>
      </c>
      <c r="M4637" s="1357"/>
      <c r="P4637" s="841" t="s">
        <v>3777</v>
      </c>
      <c r="Q4637" s="1357"/>
      <c r="S4637" s="1420"/>
      <c r="T4637" s="1420"/>
      <c r="V4637" s="1357">
        <v>57</v>
      </c>
    </row>
    <row r="4638" spans="1:22" s="841" customFormat="1" ht="15" x14ac:dyDescent="0.25">
      <c r="A4638" s="841" t="s">
        <v>202</v>
      </c>
      <c r="E4638" s="1920" t="s">
        <v>32</v>
      </c>
      <c r="F4638" s="1690"/>
      <c r="G4638" s="695" t="s">
        <v>23</v>
      </c>
      <c r="H4638" s="696">
        <v>0.25</v>
      </c>
      <c r="K4638" s="841" t="s">
        <v>3767</v>
      </c>
      <c r="L4638" s="841" t="s">
        <v>3046</v>
      </c>
      <c r="M4638" s="1357"/>
      <c r="P4638" s="841" t="s">
        <v>3778</v>
      </c>
      <c r="Q4638" s="1357"/>
      <c r="S4638" s="1420"/>
      <c r="T4638" s="1420"/>
      <c r="V4638" s="1357">
        <v>63</v>
      </c>
    </row>
    <row r="4639" spans="1:22" s="841" customFormat="1" x14ac:dyDescent="0.25">
      <c r="A4639" s="841" t="s">
        <v>202</v>
      </c>
      <c r="E4639" s="1936" t="s">
        <v>615</v>
      </c>
      <c r="F4639" s="1923"/>
      <c r="G4639" s="1923"/>
      <c r="H4639" s="1923"/>
      <c r="K4639" s="841" t="s">
        <v>3644</v>
      </c>
      <c r="M4639" s="1357"/>
      <c r="Q4639" s="1357"/>
      <c r="S4639" s="1420"/>
      <c r="T4639" s="1420"/>
      <c r="V4639" s="1357">
        <v>38</v>
      </c>
    </row>
    <row r="4640" spans="1:22" s="841" customFormat="1" ht="15" x14ac:dyDescent="0.25">
      <c r="A4640" s="841" t="s">
        <v>202</v>
      </c>
      <c r="E4640" s="1689" t="s">
        <v>4502</v>
      </c>
      <c r="F4640" s="1689"/>
      <c r="G4640" s="1689"/>
      <c r="H4640" s="1689"/>
      <c r="K4640" s="841" t="s">
        <v>3644</v>
      </c>
      <c r="M4640" s="1357"/>
      <c r="Q4640" s="1357"/>
      <c r="S4640" s="1420"/>
      <c r="T4640" s="1420"/>
      <c r="V4640" s="1357">
        <v>414</v>
      </c>
    </row>
    <row r="4641" spans="1:22" s="841" customFormat="1" ht="15" x14ac:dyDescent="0.25">
      <c r="A4641" s="841" t="s">
        <v>202</v>
      </c>
      <c r="E4641" s="1916" t="s">
        <v>3061</v>
      </c>
      <c r="F4641" s="1689"/>
      <c r="G4641" s="1689"/>
      <c r="H4641" s="1689"/>
      <c r="K4641" s="841" t="s">
        <v>3281</v>
      </c>
      <c r="M4641" s="1357"/>
      <c r="Q4641" s="1357"/>
      <c r="S4641" s="1420"/>
      <c r="T4641" s="1420"/>
      <c r="V4641" s="1357">
        <v>11</v>
      </c>
    </row>
    <row r="4642" spans="1:22" s="841" customFormat="1" ht="15" x14ac:dyDescent="0.25">
      <c r="A4642" s="841" t="s">
        <v>202</v>
      </c>
      <c r="E4642" s="1689" t="s">
        <v>3063</v>
      </c>
      <c r="F4642" s="1689"/>
      <c r="G4642" s="1689"/>
      <c r="H4642" s="1689"/>
      <c r="K4642" s="841" t="s">
        <v>3644</v>
      </c>
      <c r="M4642" s="1357"/>
      <c r="Q4642" s="1357"/>
      <c r="S4642" s="1420"/>
      <c r="T4642" s="1420"/>
      <c r="V4642" s="1357">
        <v>280</v>
      </c>
    </row>
    <row r="4643" spans="1:22" s="841" customFormat="1" ht="15" x14ac:dyDescent="0.25">
      <c r="A4643" s="841" t="s">
        <v>202</v>
      </c>
      <c r="E4643" s="1689" t="s">
        <v>3064</v>
      </c>
      <c r="F4643" s="1689"/>
      <c r="G4643" s="1689"/>
      <c r="H4643" s="1689"/>
      <c r="K4643" s="841" t="s">
        <v>3644</v>
      </c>
      <c r="M4643" s="1357"/>
      <c r="Q4643" s="1357"/>
      <c r="S4643" s="1420"/>
      <c r="T4643" s="1420"/>
      <c r="V4643" s="1357">
        <v>411</v>
      </c>
    </row>
    <row r="4644" spans="1:22" s="841" customFormat="1" ht="15" x14ac:dyDescent="0.25">
      <c r="A4644" s="841" t="s">
        <v>202</v>
      </c>
      <c r="E4644" s="1689" t="s">
        <v>3065</v>
      </c>
      <c r="F4644" s="1689"/>
      <c r="G4644" s="1689"/>
      <c r="H4644" s="1689"/>
      <c r="K4644" s="841" t="s">
        <v>3644</v>
      </c>
      <c r="M4644" s="1357"/>
      <c r="Q4644" s="1357"/>
      <c r="S4644" s="1420"/>
      <c r="T4644" s="1420"/>
      <c r="V4644" s="1357">
        <v>387</v>
      </c>
    </row>
    <row r="4645" spans="1:22" s="841" customFormat="1" ht="15" x14ac:dyDescent="0.25">
      <c r="A4645" s="841" t="s">
        <v>202</v>
      </c>
      <c r="E4645" s="1689" t="s">
        <v>3390</v>
      </c>
      <c r="F4645" s="1689"/>
      <c r="G4645" s="1689"/>
      <c r="H4645" s="1689"/>
      <c r="K4645" s="841" t="s">
        <v>3644</v>
      </c>
      <c r="M4645" s="1357"/>
      <c r="Q4645" s="1357"/>
      <c r="S4645" s="1420"/>
      <c r="T4645" s="1420"/>
      <c r="V4645" s="1357">
        <v>274</v>
      </c>
    </row>
    <row r="4646" spans="1:22" s="841" customFormat="1" ht="15" x14ac:dyDescent="0.25">
      <c r="A4646" s="841" t="s">
        <v>202</v>
      </c>
      <c r="E4646" s="1694" t="s">
        <v>3067</v>
      </c>
      <c r="F4646" s="1907"/>
      <c r="G4646" s="1907"/>
      <c r="H4646" s="1907"/>
      <c r="K4646" s="841" t="s">
        <v>3282</v>
      </c>
      <c r="M4646" s="1357"/>
      <c r="Q4646" s="1357"/>
      <c r="S4646" s="1420"/>
      <c r="T4646" s="1420"/>
      <c r="V4646" s="1357">
        <v>46</v>
      </c>
    </row>
    <row r="4647" spans="1:22" s="841" customFormat="1" ht="15" x14ac:dyDescent="0.25">
      <c r="A4647" s="841" t="s">
        <v>202</v>
      </c>
      <c r="E4647" s="1920" t="s">
        <v>12</v>
      </c>
      <c r="F4647" s="1690"/>
      <c r="G4647" s="695" t="s">
        <v>23</v>
      </c>
      <c r="H4647" s="391">
        <v>0.43</v>
      </c>
      <c r="K4647" s="841" t="s">
        <v>3644</v>
      </c>
      <c r="L4647" s="841" t="s">
        <v>442</v>
      </c>
      <c r="M4647" s="1357"/>
      <c r="P4647" s="841" t="s">
        <v>3646</v>
      </c>
      <c r="Q4647" s="1357"/>
      <c r="S4647" s="1420"/>
      <c r="T4647" s="1420"/>
      <c r="V4647" s="1357">
        <v>31</v>
      </c>
    </row>
    <row r="4648" spans="1:22" s="841" customFormat="1" ht="15" x14ac:dyDescent="0.25">
      <c r="A4648" s="841" t="s">
        <v>202</v>
      </c>
      <c r="E4648" s="1920" t="s">
        <v>398</v>
      </c>
      <c r="F4648" s="1690"/>
      <c r="G4648" s="695" t="s">
        <v>23</v>
      </c>
      <c r="H4648" s="696">
        <v>-0.01</v>
      </c>
      <c r="K4648" s="841" t="s">
        <v>3644</v>
      </c>
      <c r="L4648" s="841" t="s">
        <v>442</v>
      </c>
      <c r="M4648" s="1357"/>
      <c r="P4648" s="841" t="s">
        <v>6250</v>
      </c>
      <c r="Q4648" s="1357"/>
      <c r="S4648" s="1420"/>
      <c r="T4648" s="1420">
        <v>45747</v>
      </c>
      <c r="V4648" s="1357">
        <v>93</v>
      </c>
    </row>
    <row r="4649" spans="1:22" s="841" customFormat="1" ht="15" x14ac:dyDescent="0.25">
      <c r="A4649" s="841" t="s">
        <v>202</v>
      </c>
      <c r="E4649" s="1920" t="s">
        <v>84</v>
      </c>
      <c r="F4649" s="1690"/>
      <c r="G4649" s="695" t="s">
        <v>33</v>
      </c>
      <c r="H4649" s="393">
        <v>10.284599999999999</v>
      </c>
      <c r="K4649" s="841" t="s">
        <v>3644</v>
      </c>
      <c r="L4649" s="841" t="s">
        <v>442</v>
      </c>
      <c r="M4649" s="1357"/>
      <c r="P4649" s="841" t="s">
        <v>3647</v>
      </c>
      <c r="Q4649" s="1357"/>
      <c r="S4649" s="1420"/>
      <c r="T4649" s="1420"/>
      <c r="V4649" s="1357">
        <v>28</v>
      </c>
    </row>
    <row r="4650" spans="1:22" s="841" customFormat="1" ht="15" x14ac:dyDescent="0.25">
      <c r="A4650" s="841" t="s">
        <v>202</v>
      </c>
      <c r="E4650" s="1920" t="s">
        <v>18</v>
      </c>
      <c r="F4650" s="1690"/>
      <c r="G4650" s="695" t="s">
        <v>33</v>
      </c>
      <c r="H4650" s="697">
        <v>1.0699999999999999E-2</v>
      </c>
      <c r="K4650" s="841" t="s">
        <v>3644</v>
      </c>
      <c r="L4650" s="841" t="s">
        <v>443</v>
      </c>
      <c r="M4650" s="1357"/>
      <c r="P4650" s="841" t="s">
        <v>3648</v>
      </c>
      <c r="Q4650" s="1357"/>
      <c r="S4650" s="1420"/>
      <c r="T4650" s="1420"/>
      <c r="V4650" s="1357">
        <v>24</v>
      </c>
    </row>
    <row r="4651" spans="1:22" s="841" customFormat="1" ht="15" x14ac:dyDescent="0.25">
      <c r="A4651" s="841" t="s">
        <v>202</v>
      </c>
      <c r="E4651" s="1920" t="s">
        <v>5143</v>
      </c>
      <c r="F4651" s="1908"/>
      <c r="G4651" s="695" t="s">
        <v>24</v>
      </c>
      <c r="H4651" s="697">
        <v>4.4999999999999997E-3</v>
      </c>
      <c r="K4651" s="841" t="s">
        <v>3644</v>
      </c>
      <c r="L4651" s="841" t="s">
        <v>443</v>
      </c>
      <c r="M4651" s="1357"/>
      <c r="P4651" s="841" t="s">
        <v>3649</v>
      </c>
      <c r="Q4651" s="1357"/>
      <c r="S4651" s="1420"/>
      <c r="T4651" s="1420">
        <v>43465</v>
      </c>
      <c r="V4651" s="1357">
        <v>142</v>
      </c>
    </row>
    <row r="4652" spans="1:22" s="841" customFormat="1" ht="15" x14ac:dyDescent="0.25">
      <c r="A4652" s="841" t="s">
        <v>202</v>
      </c>
      <c r="E4652" s="1920" t="s">
        <v>5460</v>
      </c>
      <c r="F4652" s="1908"/>
      <c r="G4652" s="695" t="s">
        <v>33</v>
      </c>
      <c r="H4652" s="697">
        <v>-0.84319999999999995</v>
      </c>
      <c r="K4652" s="841" t="s">
        <v>3644</v>
      </c>
      <c r="L4652" s="841" t="s">
        <v>442</v>
      </c>
      <c r="M4652" s="1357"/>
      <c r="P4652" s="841" t="s">
        <v>3780</v>
      </c>
      <c r="Q4652" s="1357"/>
      <c r="S4652" s="1420"/>
      <c r="T4652" s="1420">
        <v>43465</v>
      </c>
      <c r="V4652" s="1357">
        <v>132</v>
      </c>
    </row>
    <row r="4653" spans="1:22" s="841" customFormat="1" ht="15" x14ac:dyDescent="0.25">
      <c r="A4653" s="841" t="s">
        <v>202</v>
      </c>
      <c r="E4653" s="1920" t="s">
        <v>5144</v>
      </c>
      <c r="F4653" s="1908"/>
      <c r="G4653" s="695" t="s">
        <v>33</v>
      </c>
      <c r="H4653" s="697">
        <v>-0.77590000000000003</v>
      </c>
      <c r="K4653" s="841" t="s">
        <v>3644</v>
      </c>
      <c r="L4653" s="841" t="s">
        <v>443</v>
      </c>
      <c r="M4653" s="1357"/>
      <c r="P4653" s="841" t="s">
        <v>3650</v>
      </c>
      <c r="Q4653" s="1357"/>
      <c r="S4653" s="1420"/>
      <c r="T4653" s="1420">
        <v>43465</v>
      </c>
      <c r="V4653" s="1357">
        <v>99</v>
      </c>
    </row>
    <row r="4654" spans="1:22" s="841" customFormat="1" ht="15" x14ac:dyDescent="0.25">
      <c r="A4654" s="841" t="s">
        <v>202</v>
      </c>
      <c r="E4654" s="1920" t="s">
        <v>5145</v>
      </c>
      <c r="F4654" s="1908"/>
      <c r="G4654" s="695" t="s">
        <v>33</v>
      </c>
      <c r="H4654" s="697">
        <v>-1.7999999999999999E-2</v>
      </c>
      <c r="K4654" s="841" t="s">
        <v>3644</v>
      </c>
      <c r="L4654" s="841" t="s">
        <v>443</v>
      </c>
      <c r="M4654" s="1357"/>
      <c r="P4654" s="841" t="s">
        <v>5445</v>
      </c>
      <c r="Q4654" s="1357"/>
      <c r="S4654" s="1420"/>
      <c r="T4654" s="1420">
        <v>43465</v>
      </c>
      <c r="V4654" s="1357">
        <v>148</v>
      </c>
    </row>
    <row r="4655" spans="1:22" s="841" customFormat="1" ht="15" x14ac:dyDescent="0.25">
      <c r="A4655" s="841" t="s">
        <v>202</v>
      </c>
      <c r="E4655" s="1920" t="s">
        <v>221</v>
      </c>
      <c r="F4655" s="1690"/>
      <c r="G4655" s="695" t="s">
        <v>33</v>
      </c>
      <c r="H4655" s="393">
        <v>2.4039999999999999</v>
      </c>
      <c r="K4655" s="841" t="s">
        <v>3644</v>
      </c>
      <c r="L4655" s="841" t="s">
        <v>444</v>
      </c>
      <c r="M4655" s="1357"/>
      <c r="P4655" s="841" t="s">
        <v>3651</v>
      </c>
      <c r="Q4655" s="1357"/>
      <c r="S4655" s="1420"/>
      <c r="T4655" s="1420"/>
      <c r="V4655" s="1357">
        <v>47</v>
      </c>
    </row>
    <row r="4656" spans="1:22" s="841" customFormat="1" ht="15" x14ac:dyDescent="0.25">
      <c r="A4656" s="841" t="s">
        <v>202</v>
      </c>
      <c r="E4656" s="1920" t="s">
        <v>217</v>
      </c>
      <c r="F4656" s="1690"/>
      <c r="G4656" s="695" t="s">
        <v>33</v>
      </c>
      <c r="H4656" s="393">
        <v>2.0253000000000001</v>
      </c>
      <c r="K4656" s="841" t="s">
        <v>3644</v>
      </c>
      <c r="L4656" s="841" t="s">
        <v>444</v>
      </c>
      <c r="M4656" s="1357"/>
      <c r="P4656" s="841" t="s">
        <v>3652</v>
      </c>
      <c r="Q4656" s="1357"/>
      <c r="S4656" s="1420"/>
      <c r="T4656" s="1420"/>
      <c r="V4656" s="1357">
        <v>74</v>
      </c>
    </row>
    <row r="4657" spans="1:22" s="841" customFormat="1" ht="15" x14ac:dyDescent="0.25">
      <c r="A4657" s="841" t="s">
        <v>202</v>
      </c>
      <c r="E4657" s="1694" t="s">
        <v>3079</v>
      </c>
      <c r="F4657" s="1690"/>
      <c r="G4657" s="1690"/>
      <c r="H4657" s="1690"/>
      <c r="K4657" s="841" t="s">
        <v>3383</v>
      </c>
      <c r="M4657" s="1357"/>
      <c r="Q4657" s="1357"/>
      <c r="S4657" s="1420"/>
      <c r="T4657" s="1420"/>
      <c r="V4657" s="1357">
        <v>48</v>
      </c>
    </row>
    <row r="4658" spans="1:22" s="841" customFormat="1" ht="15" x14ac:dyDescent="0.25">
      <c r="A4658" s="841" t="s">
        <v>202</v>
      </c>
      <c r="E4658" s="1920" t="s">
        <v>2449</v>
      </c>
      <c r="F4658" s="1690"/>
      <c r="G4658" s="695" t="s">
        <v>24</v>
      </c>
      <c r="H4658" s="697">
        <v>3.2000000000000002E-3</v>
      </c>
      <c r="K4658" s="841" t="s">
        <v>3644</v>
      </c>
      <c r="L4658" s="841" t="s">
        <v>3046</v>
      </c>
      <c r="M4658" s="1357"/>
      <c r="P4658" s="841" t="s">
        <v>3653</v>
      </c>
      <c r="Q4658" s="1357"/>
      <c r="S4658" s="1420"/>
      <c r="T4658" s="1420"/>
      <c r="V4658" s="1357">
        <v>55</v>
      </c>
    </row>
    <row r="4659" spans="1:22" s="841" customFormat="1" ht="15" x14ac:dyDescent="0.25">
      <c r="A4659" s="841" t="s">
        <v>202</v>
      </c>
      <c r="E4659" s="1920" t="s">
        <v>2450</v>
      </c>
      <c r="F4659" s="1690"/>
      <c r="G4659" s="695" t="s">
        <v>24</v>
      </c>
      <c r="H4659" s="697">
        <v>4.0000000000000002E-4</v>
      </c>
      <c r="K4659" s="841" t="s">
        <v>3644</v>
      </c>
      <c r="L4659" s="841" t="s">
        <v>3046</v>
      </c>
      <c r="M4659" s="1357"/>
      <c r="P4659" s="841" t="s">
        <v>3653</v>
      </c>
      <c r="Q4659" s="1357"/>
      <c r="S4659" s="1420"/>
      <c r="T4659" s="1420"/>
      <c r="V4659" s="1357">
        <v>65</v>
      </c>
    </row>
    <row r="4660" spans="1:22" s="841" customFormat="1" ht="15" x14ac:dyDescent="0.25">
      <c r="A4660" s="841" t="s">
        <v>202</v>
      </c>
      <c r="E4660" s="1920" t="s">
        <v>439</v>
      </c>
      <c r="F4660" s="1690"/>
      <c r="G4660" s="695" t="s">
        <v>24</v>
      </c>
      <c r="H4660" s="697">
        <v>2.9999999999999997E-4</v>
      </c>
      <c r="K4660" s="841" t="s">
        <v>3644</v>
      </c>
      <c r="L4660" s="841" t="s">
        <v>3046</v>
      </c>
      <c r="M4660" s="1357"/>
      <c r="P4660" s="841" t="s">
        <v>3654</v>
      </c>
      <c r="Q4660" s="1357"/>
      <c r="S4660" s="1420"/>
      <c r="T4660" s="1420"/>
      <c r="V4660" s="1357">
        <v>57</v>
      </c>
    </row>
    <row r="4661" spans="1:22" s="841" customFormat="1" ht="15" x14ac:dyDescent="0.25">
      <c r="A4661" s="841" t="s">
        <v>202</v>
      </c>
      <c r="E4661" s="1920" t="s">
        <v>32</v>
      </c>
      <c r="F4661" s="1690"/>
      <c r="G4661" s="695" t="s">
        <v>23</v>
      </c>
      <c r="H4661" s="696">
        <v>0.25</v>
      </c>
      <c r="K4661" s="841" t="s">
        <v>3644</v>
      </c>
      <c r="L4661" s="841" t="s">
        <v>3046</v>
      </c>
      <c r="M4661" s="1357"/>
      <c r="P4661" s="841" t="s">
        <v>3655</v>
      </c>
      <c r="Q4661" s="1357"/>
      <c r="S4661" s="1420"/>
      <c r="T4661" s="1420"/>
      <c r="V4661" s="1357">
        <v>63</v>
      </c>
    </row>
    <row r="4662" spans="1:22" s="841" customFormat="1" x14ac:dyDescent="0.25">
      <c r="A4662" s="841" t="s">
        <v>202</v>
      </c>
      <c r="E4662" s="1909" t="s">
        <v>618</v>
      </c>
      <c r="F4662" s="1923"/>
      <c r="G4662" s="1923"/>
      <c r="H4662" s="1923"/>
      <c r="K4662" s="841" t="s">
        <v>3656</v>
      </c>
      <c r="M4662" s="1357"/>
      <c r="Q4662" s="1357"/>
      <c r="S4662" s="1420"/>
      <c r="T4662" s="1420"/>
      <c r="V4662" s="1357">
        <v>31</v>
      </c>
    </row>
    <row r="4663" spans="1:22" s="841" customFormat="1" ht="15" x14ac:dyDescent="0.25">
      <c r="A4663" s="841" t="s">
        <v>202</v>
      </c>
      <c r="E4663" s="1689" t="s">
        <v>3127</v>
      </c>
      <c r="F4663" s="1689"/>
      <c r="G4663" s="1689"/>
      <c r="H4663" s="1689"/>
      <c r="K4663" s="841" t="s">
        <v>3656</v>
      </c>
      <c r="M4663" s="1357"/>
      <c r="Q4663" s="1357"/>
      <c r="S4663" s="1420"/>
      <c r="T4663" s="1420"/>
      <c r="V4663" s="1357">
        <v>286</v>
      </c>
    </row>
    <row r="4664" spans="1:22" s="841" customFormat="1" ht="15" x14ac:dyDescent="0.25">
      <c r="A4664" s="841" t="s">
        <v>202</v>
      </c>
      <c r="E4664" s="1916" t="s">
        <v>3061</v>
      </c>
      <c r="F4664" s="1689"/>
      <c r="G4664" s="1689"/>
      <c r="H4664" s="1689"/>
      <c r="K4664" s="841" t="s">
        <v>3345</v>
      </c>
      <c r="M4664" s="1357"/>
      <c r="Q4664" s="1357"/>
      <c r="S4664" s="1420"/>
      <c r="T4664" s="1420"/>
      <c r="V4664" s="1357">
        <v>11</v>
      </c>
    </row>
    <row r="4665" spans="1:22" s="841" customFormat="1" ht="15" x14ac:dyDescent="0.25">
      <c r="A4665" s="841" t="s">
        <v>202</v>
      </c>
      <c r="E4665" s="1689" t="s">
        <v>3063</v>
      </c>
      <c r="F4665" s="1689"/>
      <c r="G4665" s="1689"/>
      <c r="H4665" s="1689"/>
      <c r="K4665" s="841" t="s">
        <v>3656</v>
      </c>
      <c r="M4665" s="1357"/>
      <c r="Q4665" s="1357"/>
      <c r="S4665" s="1420"/>
      <c r="T4665" s="1420"/>
      <c r="V4665" s="1357">
        <v>280</v>
      </c>
    </row>
    <row r="4666" spans="1:22" s="841" customFormat="1" ht="15" x14ac:dyDescent="0.25">
      <c r="A4666" s="841" t="s">
        <v>202</v>
      </c>
      <c r="E4666" s="1689" t="s">
        <v>3064</v>
      </c>
      <c r="F4666" s="1689"/>
      <c r="G4666" s="1689"/>
      <c r="H4666" s="1689"/>
      <c r="K4666" s="841" t="s">
        <v>3656</v>
      </c>
      <c r="M4666" s="1357"/>
      <c r="Q4666" s="1357"/>
      <c r="S4666" s="1420"/>
      <c r="T4666" s="1420"/>
      <c r="V4666" s="1357">
        <v>411</v>
      </c>
    </row>
    <row r="4667" spans="1:22" s="841" customFormat="1" ht="15" x14ac:dyDescent="0.25">
      <c r="A4667" s="841" t="s">
        <v>202</v>
      </c>
      <c r="E4667" s="1689" t="s">
        <v>3129</v>
      </c>
      <c r="F4667" s="1689"/>
      <c r="G4667" s="1689"/>
      <c r="H4667" s="1689"/>
      <c r="K4667" s="841" t="s">
        <v>3656</v>
      </c>
      <c r="M4667" s="1357"/>
      <c r="Q4667" s="1357"/>
      <c r="S4667" s="1420"/>
      <c r="T4667" s="1420"/>
      <c r="V4667" s="1357">
        <v>211</v>
      </c>
    </row>
    <row r="4668" spans="1:22" s="841" customFormat="1" ht="15" x14ac:dyDescent="0.25">
      <c r="A4668" s="841" t="s">
        <v>202</v>
      </c>
      <c r="E4668" s="1689" t="s">
        <v>4503</v>
      </c>
      <c r="F4668" s="1689"/>
      <c r="G4668" s="1689"/>
      <c r="H4668" s="1689"/>
      <c r="K4668" s="841" t="s">
        <v>3656</v>
      </c>
      <c r="M4668" s="1357"/>
      <c r="Q4668" s="1357"/>
      <c r="S4668" s="1420"/>
      <c r="T4668" s="1420"/>
      <c r="V4668" s="1357">
        <v>275</v>
      </c>
    </row>
    <row r="4669" spans="1:22" s="841" customFormat="1" ht="15" x14ac:dyDescent="0.25">
      <c r="A4669" s="841" t="s">
        <v>202</v>
      </c>
      <c r="E4669" s="1694" t="s">
        <v>3632</v>
      </c>
      <c r="F4669" s="1907"/>
      <c r="G4669" s="1907"/>
      <c r="H4669" s="1907"/>
      <c r="K4669" s="841" t="s">
        <v>3346</v>
      </c>
      <c r="M4669" s="1357"/>
      <c r="Q4669" s="1357"/>
      <c r="S4669" s="1420"/>
      <c r="T4669" s="1420"/>
      <c r="V4669" s="1357">
        <v>47</v>
      </c>
    </row>
    <row r="4670" spans="1:22" s="841" customFormat="1" ht="15" x14ac:dyDescent="0.25">
      <c r="A4670" s="841" t="s">
        <v>202</v>
      </c>
      <c r="E4670" s="1920" t="s">
        <v>11</v>
      </c>
      <c r="F4670" s="1690"/>
      <c r="G4670" s="695" t="s">
        <v>23</v>
      </c>
      <c r="H4670" s="391">
        <v>5.4</v>
      </c>
      <c r="K4670" s="841" t="s">
        <v>3656</v>
      </c>
      <c r="L4670" s="841" t="s">
        <v>442</v>
      </c>
      <c r="M4670" s="1357"/>
      <c r="P4670" s="841" t="s">
        <v>3657</v>
      </c>
      <c r="Q4670" s="1357"/>
      <c r="S4670" s="1420"/>
      <c r="T4670" s="1420"/>
      <c r="V4670" s="1357">
        <v>14</v>
      </c>
    </row>
    <row r="4671" spans="1:22" s="841" customFormat="1" ht="18.75" x14ac:dyDescent="0.3">
      <c r="A4671" s="841" t="s">
        <v>202</v>
      </c>
      <c r="E4671" s="1931" t="s">
        <v>85</v>
      </c>
      <c r="F4671" s="1964"/>
      <c r="G4671" s="1964"/>
      <c r="H4671" s="1964"/>
      <c r="K4671" s="841" t="s">
        <v>4504</v>
      </c>
      <c r="M4671" s="1357"/>
      <c r="Q4671" s="1357"/>
      <c r="S4671" s="1420"/>
      <c r="T4671" s="1420"/>
      <c r="V4671" s="1357">
        <v>10</v>
      </c>
    </row>
    <row r="4672" spans="1:22" s="841" customFormat="1" ht="15" x14ac:dyDescent="0.25">
      <c r="A4672" s="841" t="s">
        <v>202</v>
      </c>
      <c r="E4672" s="1704" t="s">
        <v>4505</v>
      </c>
      <c r="F4672" s="1704"/>
      <c r="G4672" s="1407" t="s">
        <v>33</v>
      </c>
      <c r="H4672" s="606">
        <v>-0.72</v>
      </c>
      <c r="M4672" s="1357"/>
      <c r="Q4672" s="1357"/>
      <c r="S4672" s="1420"/>
      <c r="T4672" s="1420"/>
      <c r="V4672" s="1357">
        <v>110</v>
      </c>
    </row>
    <row r="4673" spans="1:22" s="841" customFormat="1" ht="15" x14ac:dyDescent="0.25">
      <c r="A4673" s="841" t="s">
        <v>202</v>
      </c>
      <c r="E4673" s="1690" t="s">
        <v>3134</v>
      </c>
      <c r="F4673" s="1690"/>
      <c r="G4673" s="1408" t="s">
        <v>86</v>
      </c>
      <c r="H4673" s="391">
        <v>-1</v>
      </c>
      <c r="M4673" s="1357"/>
      <c r="Q4673" s="1357"/>
      <c r="S4673" s="1420"/>
      <c r="T4673" s="1420"/>
      <c r="V4673" s="1357">
        <v>87</v>
      </c>
    </row>
    <row r="4674" spans="1:22" s="841" customFormat="1" ht="18.75" x14ac:dyDescent="0.3">
      <c r="A4674" s="841" t="s">
        <v>202</v>
      </c>
      <c r="E4674" s="1963" t="s">
        <v>87</v>
      </c>
      <c r="F4674" s="1964"/>
      <c r="G4674" s="1964"/>
      <c r="H4674" s="1964"/>
      <c r="K4674" s="841" t="s">
        <v>4506</v>
      </c>
      <c r="M4674" s="1357"/>
      <c r="Q4674" s="1357"/>
      <c r="S4674" s="1420"/>
      <c r="T4674" s="1420"/>
      <c r="V4674" s="1357">
        <v>24</v>
      </c>
    </row>
    <row r="4675" spans="1:22" s="841" customFormat="1" ht="15" x14ac:dyDescent="0.25">
      <c r="A4675" s="841" t="s">
        <v>202</v>
      </c>
      <c r="E4675" s="1926" t="s">
        <v>3061</v>
      </c>
      <c r="F4675" s="1689"/>
      <c r="G4675" s="1689"/>
      <c r="H4675" s="1689"/>
      <c r="M4675" s="1357"/>
      <c r="Q4675" s="1357"/>
      <c r="S4675" s="1420"/>
      <c r="T4675" s="1420"/>
      <c r="V4675" s="1357">
        <v>11</v>
      </c>
    </row>
    <row r="4676" spans="1:22" s="841" customFormat="1" ht="15" x14ac:dyDescent="0.25">
      <c r="A4676" s="841" t="s">
        <v>202</v>
      </c>
      <c r="E4676" s="1689" t="s">
        <v>3063</v>
      </c>
      <c r="F4676" s="1689"/>
      <c r="G4676" s="1689"/>
      <c r="H4676" s="1689"/>
      <c r="M4676" s="1357"/>
      <c r="Q4676" s="1357"/>
      <c r="S4676" s="1420"/>
      <c r="T4676" s="1420"/>
      <c r="V4676" s="1357">
        <v>280</v>
      </c>
    </row>
    <row r="4677" spans="1:22" s="841" customFormat="1" ht="15" x14ac:dyDescent="0.25">
      <c r="A4677" s="841" t="s">
        <v>202</v>
      </c>
      <c r="E4677" s="1689" t="s">
        <v>3136</v>
      </c>
      <c r="F4677" s="1689"/>
      <c r="G4677" s="1689"/>
      <c r="H4677" s="1689"/>
      <c r="M4677" s="1357"/>
      <c r="Q4677" s="1357"/>
      <c r="S4677" s="1420"/>
      <c r="T4677" s="1420"/>
      <c r="V4677" s="1357">
        <v>353</v>
      </c>
    </row>
    <row r="4678" spans="1:22" s="841" customFormat="1" ht="15" x14ac:dyDescent="0.25">
      <c r="A4678" s="841" t="s">
        <v>202</v>
      </c>
      <c r="E4678" s="1689" t="s">
        <v>3066</v>
      </c>
      <c r="F4678" s="1959"/>
      <c r="G4678" s="1959"/>
      <c r="H4678" s="1959"/>
      <c r="M4678" s="1357"/>
      <c r="Q4678" s="1357"/>
      <c r="S4678" s="1420"/>
      <c r="T4678" s="1420"/>
      <c r="V4678" s="1357">
        <v>275</v>
      </c>
    </row>
    <row r="4679" spans="1:22" s="841" customFormat="1" ht="15" x14ac:dyDescent="0.25">
      <c r="A4679" s="841" t="s">
        <v>202</v>
      </c>
      <c r="E4679" s="1694" t="s">
        <v>3137</v>
      </c>
      <c r="F4679" s="1908"/>
      <c r="G4679" s="1908"/>
      <c r="H4679" s="1908"/>
      <c r="K4679" s="841" t="s">
        <v>4507</v>
      </c>
      <c r="M4679" s="1357"/>
      <c r="Q4679" s="1357"/>
      <c r="S4679" s="1420"/>
      <c r="T4679" s="1420"/>
      <c r="V4679" s="1357">
        <v>23</v>
      </c>
    </row>
    <row r="4680" spans="1:22" s="841" customFormat="1" ht="15" x14ac:dyDescent="0.25">
      <c r="A4680" s="841" t="s">
        <v>202</v>
      </c>
      <c r="E4680" s="1688" t="s">
        <v>3355</v>
      </c>
      <c r="F4680" s="1688"/>
      <c r="G4680" s="1408" t="s">
        <v>23</v>
      </c>
      <c r="H4680" s="391">
        <v>15</v>
      </c>
      <c r="M4680" s="1357"/>
      <c r="Q4680" s="1357"/>
      <c r="S4680" s="1420"/>
      <c r="T4680" s="1420"/>
      <c r="V4680" s="1357">
        <v>19</v>
      </c>
    </row>
    <row r="4681" spans="1:22" s="841" customFormat="1" ht="15" x14ac:dyDescent="0.25">
      <c r="A4681" s="841" t="s">
        <v>202</v>
      </c>
      <c r="E4681" s="1688" t="s">
        <v>123</v>
      </c>
      <c r="F4681" s="1688"/>
      <c r="G4681" s="1408" t="s">
        <v>23</v>
      </c>
      <c r="H4681" s="391">
        <v>8.5500000000000007</v>
      </c>
      <c r="M4681" s="1357"/>
      <c r="Q4681" s="1357"/>
      <c r="S4681" s="1420"/>
      <c r="T4681" s="1420"/>
      <c r="V4681" s="1357">
        <v>35</v>
      </c>
    </row>
    <row r="4682" spans="1:22" s="841" customFormat="1" ht="15" x14ac:dyDescent="0.25">
      <c r="A4682" s="841" t="s">
        <v>202</v>
      </c>
      <c r="E4682" s="1688" t="s">
        <v>4508</v>
      </c>
      <c r="F4682" s="1688"/>
      <c r="G4682" s="1408" t="s">
        <v>23</v>
      </c>
      <c r="H4682" s="391">
        <v>8.75</v>
      </c>
      <c r="M4682" s="1357"/>
      <c r="Q4682" s="1357"/>
      <c r="S4682" s="1420"/>
      <c r="T4682" s="1420"/>
      <c r="V4682" s="1357">
        <v>88</v>
      </c>
    </row>
    <row r="4683" spans="1:22" s="841" customFormat="1" ht="15" x14ac:dyDescent="0.25">
      <c r="A4683" s="841" t="s">
        <v>202</v>
      </c>
      <c r="E4683" s="1688" t="s">
        <v>92</v>
      </c>
      <c r="F4683" s="1688"/>
      <c r="G4683" s="1408" t="s">
        <v>23</v>
      </c>
      <c r="H4683" s="391">
        <v>10</v>
      </c>
      <c r="M4683" s="1357"/>
      <c r="Q4683" s="1357"/>
      <c r="S4683" s="1420"/>
      <c r="T4683" s="1420"/>
      <c r="V4683" s="1357">
        <v>74</v>
      </c>
    </row>
    <row r="4684" spans="1:22" s="841" customFormat="1" ht="15" x14ac:dyDescent="0.25">
      <c r="A4684" s="841" t="s">
        <v>202</v>
      </c>
      <c r="E4684" s="1688" t="s">
        <v>4509</v>
      </c>
      <c r="F4684" s="1688"/>
      <c r="G4684" s="1408" t="s">
        <v>23</v>
      </c>
      <c r="H4684" s="391">
        <v>-10</v>
      </c>
      <c r="L4684" s="841" t="s">
        <v>442</v>
      </c>
      <c r="M4684" s="1357"/>
      <c r="Q4684" s="1357"/>
      <c r="S4684" s="1420"/>
      <c r="T4684" s="1420"/>
      <c r="V4684" s="1357">
        <v>40</v>
      </c>
    </row>
    <row r="4685" spans="1:22" s="841" customFormat="1" ht="15" x14ac:dyDescent="0.25">
      <c r="A4685" s="841" t="s">
        <v>202</v>
      </c>
      <c r="E4685" s="1694" t="s">
        <v>3152</v>
      </c>
      <c r="F4685" s="1908"/>
      <c r="G4685" s="1908"/>
      <c r="H4685" s="1908"/>
      <c r="K4685" s="841" t="s">
        <v>4510</v>
      </c>
      <c r="M4685" s="1357"/>
      <c r="Q4685" s="1357"/>
      <c r="S4685" s="1420"/>
      <c r="T4685" s="1420"/>
      <c r="V4685" s="1357">
        <v>22</v>
      </c>
    </row>
    <row r="4686" spans="1:22" s="841" customFormat="1" ht="15" x14ac:dyDescent="0.25">
      <c r="A4686" s="841" t="s">
        <v>202</v>
      </c>
      <c r="E4686" s="1688" t="s">
        <v>5137</v>
      </c>
      <c r="F4686" s="1688"/>
      <c r="G4686" s="1408" t="s">
        <v>86</v>
      </c>
      <c r="H4686" s="391">
        <v>1.5</v>
      </c>
      <c r="M4686" s="1357"/>
      <c r="Q4686" s="1357"/>
      <c r="S4686" s="1420"/>
      <c r="T4686" s="1420"/>
      <c r="V4686" s="1357">
        <v>24</v>
      </c>
    </row>
    <row r="4687" spans="1:22" s="841" customFormat="1" ht="15" x14ac:dyDescent="0.25">
      <c r="A4687" s="841" t="s">
        <v>202</v>
      </c>
      <c r="E4687" s="1688" t="s">
        <v>4772</v>
      </c>
      <c r="F4687" s="1688"/>
      <c r="G4687" s="1408" t="s">
        <v>86</v>
      </c>
      <c r="H4687" s="391">
        <v>19.559999999999999</v>
      </c>
      <c r="M4687" s="1357"/>
      <c r="Q4687" s="1357"/>
      <c r="S4687" s="1420"/>
      <c r="T4687" s="1420"/>
      <c r="V4687" s="1357">
        <v>24</v>
      </c>
    </row>
    <row r="4688" spans="1:22" s="841" customFormat="1" ht="15" x14ac:dyDescent="0.25">
      <c r="A4688" s="841" t="s">
        <v>202</v>
      </c>
      <c r="E4688" s="1688" t="s">
        <v>3288</v>
      </c>
      <c r="F4688" s="1688"/>
      <c r="G4688" s="1408" t="s">
        <v>23</v>
      </c>
      <c r="H4688" s="391">
        <v>9</v>
      </c>
      <c r="M4688" s="1357"/>
      <c r="Q4688" s="1357"/>
      <c r="S4688" s="1420"/>
      <c r="T4688" s="1420"/>
      <c r="V4688" s="1357">
        <v>47</v>
      </c>
    </row>
    <row r="4689" spans="1:22" s="841" customFormat="1" ht="15" x14ac:dyDescent="0.25">
      <c r="A4689" s="841" t="s">
        <v>202</v>
      </c>
      <c r="E4689" s="1688" t="s">
        <v>4773</v>
      </c>
      <c r="F4689" s="1688"/>
      <c r="G4689" s="1408" t="s">
        <v>23</v>
      </c>
      <c r="H4689" s="391">
        <v>20</v>
      </c>
      <c r="M4689" s="1357"/>
      <c r="Q4689" s="1357"/>
      <c r="S4689" s="1420"/>
      <c r="T4689" s="1420"/>
      <c r="V4689" s="1357">
        <v>52</v>
      </c>
    </row>
    <row r="4690" spans="1:22" s="841" customFormat="1" ht="15" x14ac:dyDescent="0.25">
      <c r="A4690" s="841" t="s">
        <v>202</v>
      </c>
      <c r="E4690" s="1688" t="s">
        <v>4774</v>
      </c>
      <c r="F4690" s="1688"/>
      <c r="G4690" s="1408" t="s">
        <v>23</v>
      </c>
      <c r="H4690" s="391">
        <v>50</v>
      </c>
      <c r="M4690" s="1357"/>
      <c r="Q4690" s="1357"/>
      <c r="S4690" s="1420"/>
      <c r="T4690" s="1420"/>
      <c r="V4690" s="1357">
        <v>51</v>
      </c>
    </row>
    <row r="4691" spans="1:22" s="841" customFormat="1" ht="15" x14ac:dyDescent="0.25">
      <c r="A4691" s="841" t="s">
        <v>202</v>
      </c>
      <c r="E4691" s="1688" t="s">
        <v>4775</v>
      </c>
      <c r="F4691" s="1688"/>
      <c r="G4691" s="1408" t="s">
        <v>23</v>
      </c>
      <c r="H4691" s="391">
        <v>50</v>
      </c>
      <c r="M4691" s="1357"/>
      <c r="Q4691" s="1357"/>
      <c r="S4691" s="1420"/>
      <c r="T4691" s="1420"/>
      <c r="V4691" s="1357">
        <v>51</v>
      </c>
    </row>
    <row r="4692" spans="1:22" s="841" customFormat="1" ht="15" x14ac:dyDescent="0.25">
      <c r="A4692" s="841" t="s">
        <v>202</v>
      </c>
      <c r="E4692" s="1688" t="s">
        <v>4776</v>
      </c>
      <c r="F4692" s="1688"/>
      <c r="G4692" s="1408" t="s">
        <v>23</v>
      </c>
      <c r="H4692" s="391">
        <v>95</v>
      </c>
      <c r="M4692" s="1357"/>
      <c r="Q4692" s="1357"/>
      <c r="S4692" s="1420"/>
      <c r="T4692" s="1420"/>
      <c r="V4692" s="1357">
        <v>50</v>
      </c>
    </row>
    <row r="4693" spans="1:22" s="841" customFormat="1" ht="15" x14ac:dyDescent="0.25">
      <c r="A4693" s="841" t="s">
        <v>202</v>
      </c>
      <c r="E4693" s="1694" t="s">
        <v>3164</v>
      </c>
      <c r="F4693" s="1908"/>
      <c r="G4693" s="1908"/>
      <c r="H4693" s="1908"/>
      <c r="M4693" s="1357"/>
      <c r="Q4693" s="1357"/>
      <c r="S4693" s="1420"/>
      <c r="T4693" s="1420"/>
      <c r="V4693" s="1357">
        <v>5</v>
      </c>
    </row>
    <row r="4694" spans="1:22" s="841" customFormat="1" ht="15" x14ac:dyDescent="0.25">
      <c r="A4694" s="841" t="s">
        <v>202</v>
      </c>
      <c r="E4694" s="1688" t="s">
        <v>3167</v>
      </c>
      <c r="F4694" s="1688"/>
      <c r="G4694" s="1408" t="s">
        <v>23</v>
      </c>
      <c r="H4694" s="391">
        <v>17.5</v>
      </c>
      <c r="M4694" s="1357"/>
      <c r="Q4694" s="1357"/>
      <c r="S4694" s="1420"/>
      <c r="T4694" s="1420"/>
      <c r="V4694" s="1357">
        <v>39</v>
      </c>
    </row>
    <row r="4695" spans="1:22" s="841" customFormat="1" ht="15" x14ac:dyDescent="0.25">
      <c r="A4695" s="841" t="s">
        <v>202</v>
      </c>
      <c r="E4695" s="1688" t="s">
        <v>3168</v>
      </c>
      <c r="F4695" s="1688"/>
      <c r="G4695" s="1408" t="s">
        <v>23</v>
      </c>
      <c r="H4695" s="391">
        <v>95</v>
      </c>
      <c r="M4695" s="1357"/>
      <c r="Q4695" s="1357"/>
      <c r="S4695" s="1420"/>
      <c r="T4695" s="1420"/>
      <c r="V4695" s="1357">
        <v>34</v>
      </c>
    </row>
    <row r="4696" spans="1:22" s="841" customFormat="1" ht="15" x14ac:dyDescent="0.25">
      <c r="A4696" s="841" t="s">
        <v>202</v>
      </c>
      <c r="E4696" s="1688" t="s">
        <v>3502</v>
      </c>
      <c r="F4696" s="1688"/>
      <c r="G4696" s="1408" t="s">
        <v>23</v>
      </c>
      <c r="H4696" s="391">
        <v>22.35</v>
      </c>
      <c r="M4696" s="1357"/>
      <c r="Q4696" s="1357"/>
      <c r="S4696" s="1420"/>
      <c r="T4696" s="1420"/>
      <c r="V4696" s="1357">
        <v>104</v>
      </c>
    </row>
    <row r="4697" spans="1:22" s="841" customFormat="1" ht="15" x14ac:dyDescent="0.25">
      <c r="A4697" s="841" t="s">
        <v>202</v>
      </c>
      <c r="E4697" s="1688" t="s">
        <v>4511</v>
      </c>
      <c r="F4697" s="1688"/>
      <c r="G4697" s="1408" t="s">
        <v>23</v>
      </c>
      <c r="H4697" s="391">
        <v>105</v>
      </c>
      <c r="M4697" s="1357"/>
      <c r="Q4697" s="1357"/>
      <c r="S4697" s="1420"/>
      <c r="T4697" s="1420"/>
      <c r="V4697" s="1357">
        <v>41</v>
      </c>
    </row>
    <row r="4698" spans="1:22" s="841" customFormat="1" ht="15" x14ac:dyDescent="0.25">
      <c r="A4698" s="841" t="s">
        <v>202</v>
      </c>
      <c r="E4698" s="1688" t="s">
        <v>4512</v>
      </c>
      <c r="F4698" s="1688"/>
      <c r="G4698" s="1408" t="s">
        <v>23</v>
      </c>
      <c r="H4698" s="391">
        <v>100</v>
      </c>
      <c r="M4698" s="1357"/>
      <c r="Q4698" s="1357"/>
      <c r="S4698" s="1420"/>
      <c r="T4698" s="1420"/>
      <c r="V4698" s="1357">
        <v>44</v>
      </c>
    </row>
    <row r="4699" spans="1:22" s="841" customFormat="1" ht="18.75" x14ac:dyDescent="0.3">
      <c r="A4699" s="841" t="s">
        <v>202</v>
      </c>
      <c r="E4699" s="1931" t="s">
        <v>77</v>
      </c>
      <c r="F4699" s="1964"/>
      <c r="G4699" s="1964"/>
      <c r="H4699" s="1964"/>
      <c r="K4699" s="841" t="s">
        <v>4513</v>
      </c>
      <c r="M4699" s="1357"/>
      <c r="Q4699" s="1357"/>
      <c r="S4699" s="1420"/>
      <c r="T4699" s="1420"/>
      <c r="V4699" s="1357">
        <v>38</v>
      </c>
    </row>
    <row r="4700" spans="1:22" s="841" customFormat="1" ht="15" x14ac:dyDescent="0.25">
      <c r="A4700" s="841" t="s">
        <v>202</v>
      </c>
      <c r="E4700" s="1926" t="s">
        <v>3061</v>
      </c>
      <c r="F4700" s="1689"/>
      <c r="G4700" s="1689"/>
      <c r="H4700" s="1689"/>
      <c r="K4700" s="841" t="s">
        <v>3345</v>
      </c>
      <c r="M4700" s="1357"/>
      <c r="Q4700" s="1357"/>
      <c r="S4700" s="1420"/>
      <c r="T4700" s="1420"/>
      <c r="V4700" s="1357">
        <v>11</v>
      </c>
    </row>
    <row r="4701" spans="1:22" s="841" customFormat="1" ht="15" x14ac:dyDescent="0.25">
      <c r="A4701" s="841" t="s">
        <v>202</v>
      </c>
      <c r="E4701" s="1689" t="s">
        <v>3063</v>
      </c>
      <c r="F4701" s="1689"/>
      <c r="G4701" s="1689"/>
      <c r="H4701" s="1689"/>
      <c r="M4701" s="1357"/>
      <c r="Q4701" s="1357"/>
      <c r="S4701" s="1420"/>
      <c r="T4701" s="1420"/>
      <c r="V4701" s="1357">
        <v>280</v>
      </c>
    </row>
    <row r="4702" spans="1:22" s="841" customFormat="1" ht="15" x14ac:dyDescent="0.25">
      <c r="A4702" s="841" t="s">
        <v>202</v>
      </c>
      <c r="E4702" s="1689" t="s">
        <v>3064</v>
      </c>
      <c r="F4702" s="1689"/>
      <c r="G4702" s="1689"/>
      <c r="H4702" s="1689"/>
      <c r="M4702" s="1357"/>
      <c r="Q4702" s="1357"/>
      <c r="S4702" s="1420"/>
      <c r="T4702" s="1420"/>
      <c r="V4702" s="1357">
        <v>411</v>
      </c>
    </row>
    <row r="4703" spans="1:22" s="841" customFormat="1" ht="15" x14ac:dyDescent="0.25">
      <c r="A4703" s="841" t="s">
        <v>202</v>
      </c>
      <c r="E4703" s="1689" t="s">
        <v>3129</v>
      </c>
      <c r="F4703" s="1689"/>
      <c r="G4703" s="1689"/>
      <c r="H4703" s="1689"/>
      <c r="M4703" s="1357"/>
      <c r="Q4703" s="1357"/>
      <c r="S4703" s="1420"/>
      <c r="T4703" s="1420"/>
      <c r="V4703" s="1357">
        <v>211</v>
      </c>
    </row>
    <row r="4704" spans="1:22" s="841" customFormat="1" ht="15" x14ac:dyDescent="0.25">
      <c r="A4704" s="841" t="s">
        <v>202</v>
      </c>
      <c r="E4704" s="1689" t="s">
        <v>3066</v>
      </c>
      <c r="F4704" s="1689"/>
      <c r="G4704" s="1689"/>
      <c r="H4704" s="1689"/>
      <c r="M4704" s="1357"/>
      <c r="Q4704" s="1357"/>
      <c r="S4704" s="1420"/>
      <c r="T4704" s="1420"/>
      <c r="V4704" s="1357">
        <v>275</v>
      </c>
    </row>
    <row r="4705" spans="1:22" s="841" customFormat="1" ht="15" x14ac:dyDescent="0.25">
      <c r="A4705" s="841" t="s">
        <v>202</v>
      </c>
      <c r="E4705" s="1690" t="s">
        <v>3659</v>
      </c>
      <c r="F4705" s="1690"/>
      <c r="G4705" s="1908"/>
      <c r="H4705" s="1908"/>
      <c r="M4705" s="1357"/>
      <c r="Q4705" s="1357"/>
      <c r="S4705" s="1420"/>
      <c r="T4705" s="1420"/>
      <c r="V4705" s="1357">
        <v>117</v>
      </c>
    </row>
    <row r="4706" spans="1:22" s="841" customFormat="1" ht="15" x14ac:dyDescent="0.25">
      <c r="A4706" s="841" t="s">
        <v>202</v>
      </c>
      <c r="E4706" s="1690" t="s">
        <v>3660</v>
      </c>
      <c r="F4706" s="1690"/>
      <c r="G4706" s="1908"/>
      <c r="H4706" s="1908"/>
      <c r="M4706" s="1357"/>
      <c r="Q4706" s="1357"/>
      <c r="S4706" s="1420"/>
      <c r="T4706" s="1420"/>
      <c r="V4706" s="1357">
        <v>23</v>
      </c>
    </row>
    <row r="4707" spans="1:22" s="841" customFormat="1" ht="15" x14ac:dyDescent="0.25">
      <c r="A4707" s="841" t="s">
        <v>202</v>
      </c>
      <c r="E4707" s="1690" t="s">
        <v>3176</v>
      </c>
      <c r="F4707" s="1690"/>
      <c r="G4707" s="1403" t="s">
        <v>23</v>
      </c>
      <c r="H4707" s="600">
        <v>100</v>
      </c>
      <c r="M4707" s="1357"/>
      <c r="Q4707" s="1357"/>
      <c r="S4707" s="1420"/>
      <c r="T4707" s="1420"/>
      <c r="V4707" s="1357">
        <v>106</v>
      </c>
    </row>
    <row r="4708" spans="1:22" s="841" customFormat="1" ht="15" x14ac:dyDescent="0.25">
      <c r="A4708" s="841" t="s">
        <v>202</v>
      </c>
      <c r="E4708" s="1690" t="s">
        <v>3177</v>
      </c>
      <c r="F4708" s="1690"/>
      <c r="G4708" s="1403" t="s">
        <v>23</v>
      </c>
      <c r="H4708" s="600">
        <v>20</v>
      </c>
      <c r="M4708" s="1357"/>
      <c r="Q4708" s="1357"/>
      <c r="S4708" s="1420"/>
      <c r="T4708" s="1420"/>
      <c r="V4708" s="1357">
        <v>34</v>
      </c>
    </row>
    <row r="4709" spans="1:22" s="841" customFormat="1" ht="15" x14ac:dyDescent="0.25">
      <c r="A4709" s="841" t="s">
        <v>202</v>
      </c>
      <c r="E4709" s="1690" t="s">
        <v>3178</v>
      </c>
      <c r="F4709" s="1690"/>
      <c r="G4709" s="1403" t="s">
        <v>3179</v>
      </c>
      <c r="H4709" s="600">
        <v>0.5</v>
      </c>
      <c r="M4709" s="1357"/>
      <c r="Q4709" s="1357"/>
      <c r="S4709" s="1420"/>
      <c r="T4709" s="1420"/>
      <c r="V4709" s="1357">
        <v>51</v>
      </c>
    </row>
    <row r="4710" spans="1:22" s="841" customFormat="1" ht="15" x14ac:dyDescent="0.25">
      <c r="A4710" s="841" t="s">
        <v>202</v>
      </c>
      <c r="E4710" s="1690" t="s">
        <v>3180</v>
      </c>
      <c r="F4710" s="1690"/>
      <c r="G4710" s="1403" t="s">
        <v>3179</v>
      </c>
      <c r="H4710" s="600">
        <v>0.3</v>
      </c>
      <c r="M4710" s="1357"/>
      <c r="Q4710" s="1357"/>
      <c r="S4710" s="1420"/>
      <c r="T4710" s="1420"/>
      <c r="V4710" s="1357">
        <v>75</v>
      </c>
    </row>
    <row r="4711" spans="1:22" s="841" customFormat="1" ht="15" x14ac:dyDescent="0.25">
      <c r="A4711" s="841" t="s">
        <v>202</v>
      </c>
      <c r="E4711" s="1691" t="s">
        <v>3181</v>
      </c>
      <c r="F4711" s="1691"/>
      <c r="G4711" s="1403" t="s">
        <v>3179</v>
      </c>
      <c r="H4711" s="600">
        <v>-0.3</v>
      </c>
      <c r="M4711" s="1357"/>
      <c r="Q4711" s="1357"/>
      <c r="S4711" s="1420"/>
      <c r="T4711" s="1420"/>
      <c r="V4711" s="1357">
        <v>72</v>
      </c>
    </row>
    <row r="4712" spans="1:22" s="841" customFormat="1" ht="15" x14ac:dyDescent="0.25">
      <c r="A4712" s="841" t="s">
        <v>202</v>
      </c>
      <c r="E4712" s="1691" t="s">
        <v>3292</v>
      </c>
      <c r="F4712" s="1691"/>
      <c r="G4712" s="1690"/>
      <c r="H4712" s="1690"/>
      <c r="M4712" s="1357"/>
      <c r="Q4712" s="1357"/>
      <c r="S4712" s="1420"/>
      <c r="T4712" s="1420"/>
      <c r="V4712" s="1357">
        <v>34</v>
      </c>
    </row>
    <row r="4713" spans="1:22" s="841" customFormat="1" ht="15" x14ac:dyDescent="0.25">
      <c r="A4713" s="841" t="s">
        <v>202</v>
      </c>
      <c r="E4713" s="1691" t="s">
        <v>3183</v>
      </c>
      <c r="F4713" s="1691"/>
      <c r="G4713" s="1407" t="s">
        <v>23</v>
      </c>
      <c r="H4713" s="600">
        <v>0.25</v>
      </c>
      <c r="M4713" s="1357"/>
      <c r="Q4713" s="1357"/>
      <c r="S4713" s="1420"/>
      <c r="T4713" s="1420"/>
      <c r="V4713" s="1357">
        <v>57</v>
      </c>
    </row>
    <row r="4714" spans="1:22" s="841" customFormat="1" ht="15" x14ac:dyDescent="0.25">
      <c r="A4714" s="841" t="s">
        <v>202</v>
      </c>
      <c r="E4714" s="1691" t="s">
        <v>3184</v>
      </c>
      <c r="F4714" s="1691"/>
      <c r="G4714" s="1407" t="s">
        <v>23</v>
      </c>
      <c r="H4714" s="600">
        <v>0.5</v>
      </c>
      <c r="M4714" s="1357"/>
      <c r="Q4714" s="1357"/>
      <c r="S4714" s="1420"/>
      <c r="T4714" s="1420"/>
      <c r="V4714" s="1357">
        <v>60</v>
      </c>
    </row>
    <row r="4715" spans="1:22" s="841" customFormat="1" ht="15" x14ac:dyDescent="0.25">
      <c r="A4715" s="841" t="s">
        <v>202</v>
      </c>
      <c r="E4715" s="1690" t="s">
        <v>3661</v>
      </c>
      <c r="F4715" s="1690"/>
      <c r="G4715" s="1908"/>
      <c r="H4715" s="1908"/>
      <c r="M4715" s="1357"/>
      <c r="Q4715" s="1357"/>
      <c r="S4715" s="1420"/>
      <c r="T4715" s="1420"/>
      <c r="V4715" s="1357">
        <v>92</v>
      </c>
    </row>
    <row r="4716" spans="1:22" s="841" customFormat="1" ht="15" x14ac:dyDescent="0.25">
      <c r="A4716" s="841" t="s">
        <v>202</v>
      </c>
      <c r="E4716" s="1691" t="s">
        <v>3662</v>
      </c>
      <c r="F4716" s="1691"/>
      <c r="G4716" s="2067"/>
      <c r="H4716" s="2067"/>
      <c r="M4716" s="1357"/>
      <c r="Q4716" s="1357"/>
      <c r="S4716" s="1420"/>
      <c r="T4716" s="1420"/>
      <c r="V4716" s="1357">
        <v>97</v>
      </c>
    </row>
    <row r="4717" spans="1:22" s="841" customFormat="1" ht="15" x14ac:dyDescent="0.25">
      <c r="A4717" s="841" t="s">
        <v>202</v>
      </c>
      <c r="E4717" s="1691" t="s">
        <v>3293</v>
      </c>
      <c r="F4717" s="1691"/>
      <c r="G4717" s="2067"/>
      <c r="H4717" s="2067"/>
      <c r="M4717" s="1357"/>
      <c r="Q4717" s="1357"/>
      <c r="S4717" s="1420"/>
      <c r="T4717" s="1420"/>
      <c r="V4717" s="1357">
        <v>77</v>
      </c>
    </row>
    <row r="4718" spans="1:22" s="841" customFormat="1" ht="15" x14ac:dyDescent="0.25">
      <c r="A4718" s="841" t="s">
        <v>202</v>
      </c>
      <c r="E4718" s="1691" t="s">
        <v>3188</v>
      </c>
      <c r="F4718" s="1691"/>
      <c r="G4718" s="1384"/>
      <c r="H4718" s="734" t="s">
        <v>3189</v>
      </c>
      <c r="M4718" s="1357"/>
      <c r="Q4718" s="1357"/>
      <c r="S4718" s="1420"/>
      <c r="T4718" s="1420"/>
      <c r="V4718" s="1357">
        <v>18</v>
      </c>
    </row>
    <row r="4719" spans="1:22" s="841" customFormat="1" ht="15" x14ac:dyDescent="0.25">
      <c r="A4719" s="841" t="s">
        <v>202</v>
      </c>
      <c r="E4719" s="1691" t="s">
        <v>3190</v>
      </c>
      <c r="F4719" s="1691"/>
      <c r="G4719" s="1407" t="s">
        <v>23</v>
      </c>
      <c r="H4719" s="600">
        <v>2</v>
      </c>
      <c r="M4719" s="1357"/>
      <c r="Q4719" s="1357"/>
      <c r="S4719" s="1420"/>
      <c r="T4719" s="1420"/>
      <c r="V4719" s="1357">
        <v>69</v>
      </c>
    </row>
    <row r="4720" spans="1:22" s="841" customFormat="1" ht="18.75" x14ac:dyDescent="0.3">
      <c r="A4720" s="841" t="s">
        <v>202</v>
      </c>
      <c r="E4720" s="1931" t="s">
        <v>147</v>
      </c>
      <c r="F4720" s="1964"/>
      <c r="G4720" s="1964"/>
      <c r="H4720" s="1964"/>
      <c r="K4720" s="841" t="s">
        <v>4514</v>
      </c>
      <c r="M4720" s="1357"/>
      <c r="Q4720" s="1357"/>
      <c r="S4720" s="1420"/>
      <c r="T4720" s="1420"/>
      <c r="V4720" s="1357">
        <v>12</v>
      </c>
    </row>
    <row r="4721" spans="1:22" s="841" customFormat="1" ht="15" x14ac:dyDescent="0.25">
      <c r="A4721" s="841" t="s">
        <v>202</v>
      </c>
      <c r="E4721" s="1704" t="s">
        <v>3192</v>
      </c>
      <c r="F4721" s="1704"/>
      <c r="G4721" s="1704"/>
      <c r="H4721" s="1704"/>
      <c r="M4721" s="1357"/>
      <c r="Q4721" s="1357"/>
      <c r="S4721" s="1420"/>
      <c r="T4721" s="1420"/>
      <c r="V4721" s="1357">
        <v>203</v>
      </c>
    </row>
    <row r="4722" spans="1:22" s="841" customFormat="1" ht="15" x14ac:dyDescent="0.25">
      <c r="A4722" s="841" t="s">
        <v>202</v>
      </c>
      <c r="E4722" s="1690" t="s">
        <v>3295</v>
      </c>
      <c r="F4722" s="1690"/>
      <c r="G4722" s="1408"/>
      <c r="H4722" s="721">
        <v>1.026</v>
      </c>
      <c r="M4722" s="1357"/>
      <c r="Q4722" s="1357"/>
      <c r="S4722" s="1420"/>
      <c r="T4722" s="1420"/>
      <c r="V4722" s="1357">
        <v>57</v>
      </c>
    </row>
    <row r="4723" spans="1:22" s="841" customFormat="1" ht="15" x14ac:dyDescent="0.25">
      <c r="A4723" s="841" t="s">
        <v>202</v>
      </c>
      <c r="E4723" s="1690" t="s">
        <v>3296</v>
      </c>
      <c r="F4723" s="1690"/>
      <c r="G4723" s="1408"/>
      <c r="H4723" s="1413">
        <v>1.0137</v>
      </c>
      <c r="M4723" s="1357"/>
      <c r="Q4723" s="1357"/>
      <c r="S4723" s="1420"/>
      <c r="T4723" s="1420"/>
      <c r="V4723" s="1357">
        <v>57</v>
      </c>
    </row>
    <row r="4724" spans="1:22" s="841" customFormat="1" ht="15" x14ac:dyDescent="0.25">
      <c r="A4724" s="841" t="s">
        <v>202</v>
      </c>
      <c r="E4724" s="1690" t="s">
        <v>3297</v>
      </c>
      <c r="F4724" s="1690"/>
      <c r="G4724" s="1408"/>
      <c r="H4724" s="1413">
        <v>1.0157</v>
      </c>
      <c r="M4724" s="1357"/>
      <c r="Q4724" s="1357"/>
      <c r="S4724" s="1420"/>
      <c r="T4724" s="1420"/>
      <c r="V4724" s="1357">
        <v>55</v>
      </c>
    </row>
    <row r="4725" spans="1:22" s="841" customFormat="1" ht="15" x14ac:dyDescent="0.25">
      <c r="A4725" s="841" t="s">
        <v>202</v>
      </c>
      <c r="E4725" s="1690" t="s">
        <v>3298</v>
      </c>
      <c r="F4725" s="1690"/>
      <c r="G4725" s="1408"/>
      <c r="H4725" s="1413">
        <v>1.0036</v>
      </c>
      <c r="J4725" s="841" t="s">
        <v>4515</v>
      </c>
      <c r="M4725" s="1357"/>
      <c r="Q4725" s="1357"/>
      <c r="S4725" s="1420"/>
      <c r="T4725" s="1420"/>
      <c r="V4725" s="1357">
        <v>55</v>
      </c>
    </row>
    <row r="4726" spans="1:22" s="841" customFormat="1" ht="23.25" x14ac:dyDescent="0.25">
      <c r="A4726" s="841" t="s">
        <v>211</v>
      </c>
      <c r="B4726" s="841" t="s">
        <v>3936</v>
      </c>
      <c r="C4726" s="841" t="s">
        <v>3050</v>
      </c>
      <c r="E4726" s="1911" t="s">
        <v>211</v>
      </c>
      <c r="F4726" s="1911"/>
      <c r="G4726" s="1911"/>
      <c r="H4726" s="1911"/>
      <c r="I4726" s="841" t="s">
        <v>628</v>
      </c>
      <c r="J4726" s="841" t="s">
        <v>3937</v>
      </c>
      <c r="K4726" s="841" t="s">
        <v>211</v>
      </c>
      <c r="M4726" s="1357">
        <v>8</v>
      </c>
      <c r="Q4726" s="1357"/>
      <c r="S4726" s="1420"/>
      <c r="T4726" s="1420"/>
      <c r="V4726" s="1357">
        <v>23</v>
      </c>
    </row>
    <row r="4727" spans="1:22" s="841" customFormat="1" x14ac:dyDescent="0.25">
      <c r="A4727" s="841" t="s">
        <v>211</v>
      </c>
      <c r="B4727" s="841" t="s">
        <v>3936</v>
      </c>
      <c r="C4727" s="841" t="s">
        <v>3052</v>
      </c>
      <c r="E4727" s="2135" t="s">
        <v>2460</v>
      </c>
      <c r="F4727" s="2135"/>
      <c r="G4727" s="2135"/>
      <c r="H4727" s="2135"/>
      <c r="M4727" s="1357"/>
      <c r="Q4727" s="1357"/>
      <c r="S4727" s="1420"/>
      <c r="T4727" s="1420"/>
      <c r="V4727" s="1357">
        <v>47</v>
      </c>
    </row>
    <row r="4728" spans="1:22" s="841" customFormat="1" x14ac:dyDescent="0.25">
      <c r="A4728" s="841" t="s">
        <v>211</v>
      </c>
      <c r="B4728" s="841" t="s">
        <v>3936</v>
      </c>
      <c r="C4728" s="841" t="s">
        <v>3054</v>
      </c>
      <c r="E4728" s="1912" t="s">
        <v>3053</v>
      </c>
      <c r="F4728" s="1912"/>
      <c r="G4728" s="1912"/>
      <c r="H4728" s="1912"/>
      <c r="M4728" s="1357"/>
      <c r="Q4728" s="1357"/>
      <c r="S4728" s="1420"/>
      <c r="T4728" s="1420"/>
      <c r="V4728" s="1357">
        <v>27</v>
      </c>
    </row>
    <row r="4729" spans="1:22" s="841" customFormat="1" ht="15.75" x14ac:dyDescent="0.25">
      <c r="A4729" s="841" t="s">
        <v>211</v>
      </c>
      <c r="B4729" s="841" t="s">
        <v>3936</v>
      </c>
      <c r="C4729" s="841" t="s">
        <v>3055</v>
      </c>
      <c r="E4729" s="1913" t="s">
        <v>5107</v>
      </c>
      <c r="F4729" s="1913"/>
      <c r="G4729" s="1913"/>
      <c r="H4729" s="1913"/>
      <c r="M4729" s="1357"/>
      <c r="Q4729" s="1357"/>
      <c r="S4729" s="1420">
        <v>43221</v>
      </c>
      <c r="T4729" s="1420"/>
      <c r="V4729" s="1357">
        <v>45</v>
      </c>
    </row>
    <row r="4730" spans="1:22" s="841" customFormat="1" ht="15" x14ac:dyDescent="0.25">
      <c r="A4730" s="841" t="s">
        <v>211</v>
      </c>
      <c r="B4730" s="841" t="s">
        <v>3936</v>
      </c>
      <c r="E4730" s="1914" t="s">
        <v>3056</v>
      </c>
      <c r="F4730" s="1914"/>
      <c r="G4730" s="1914"/>
      <c r="H4730" s="1914"/>
      <c r="M4730" s="1357"/>
      <c r="Q4730" s="1357"/>
      <c r="S4730" s="1420"/>
      <c r="T4730" s="1420"/>
      <c r="V4730" s="1357">
        <v>52</v>
      </c>
    </row>
    <row r="4731" spans="1:22" s="841" customFormat="1" ht="15" x14ac:dyDescent="0.25">
      <c r="A4731" s="841" t="s">
        <v>211</v>
      </c>
      <c r="B4731" s="841" t="s">
        <v>3936</v>
      </c>
      <c r="E4731" s="1914" t="s">
        <v>3057</v>
      </c>
      <c r="F4731" s="1914"/>
      <c r="G4731" s="1914"/>
      <c r="H4731" s="1914"/>
      <c r="M4731" s="1357"/>
      <c r="Q4731" s="1357"/>
      <c r="S4731" s="1420"/>
      <c r="T4731" s="1420"/>
      <c r="V4731" s="1357">
        <v>53</v>
      </c>
    </row>
    <row r="4732" spans="1:22" s="841" customFormat="1" ht="15" x14ac:dyDescent="0.25">
      <c r="A4732" s="841" t="s">
        <v>211</v>
      </c>
      <c r="B4732" s="841" t="s">
        <v>3936</v>
      </c>
      <c r="E4732" s="1925" t="s">
        <v>5473</v>
      </c>
      <c r="F4732" s="1925"/>
      <c r="G4732" s="1925"/>
      <c r="H4732" s="1925"/>
      <c r="K4732" s="841" t="s">
        <v>5473</v>
      </c>
      <c r="M4732" s="1357"/>
      <c r="Q4732" s="1357"/>
      <c r="S4732" s="1420"/>
      <c r="T4732" s="1420"/>
      <c r="V4732" s="1357">
        <v>12</v>
      </c>
    </row>
    <row r="4733" spans="1:22" s="841" customFormat="1" x14ac:dyDescent="0.25">
      <c r="A4733" s="841" t="s">
        <v>211</v>
      </c>
      <c r="B4733" s="841" t="s">
        <v>3936</v>
      </c>
      <c r="E4733" s="1936" t="s">
        <v>438</v>
      </c>
      <c r="F4733" s="1936"/>
      <c r="G4733" s="1936"/>
      <c r="H4733" s="1936"/>
      <c r="K4733" s="841" t="s">
        <v>3197</v>
      </c>
      <c r="M4733" s="1357"/>
      <c r="Q4733" s="1357"/>
      <c r="S4733" s="1420"/>
      <c r="T4733" s="1420"/>
      <c r="V4733" s="1357">
        <v>34</v>
      </c>
    </row>
    <row r="4734" spans="1:22" s="841" customFormat="1" ht="15" x14ac:dyDescent="0.25">
      <c r="A4734" s="841" t="s">
        <v>211</v>
      </c>
      <c r="B4734" s="841" t="s">
        <v>3936</v>
      </c>
      <c r="E4734" s="1689" t="s">
        <v>5474</v>
      </c>
      <c r="F4734" s="1689"/>
      <c r="G4734" s="1689"/>
      <c r="H4734" s="1689"/>
      <c r="K4734" s="841" t="s">
        <v>3197</v>
      </c>
      <c r="M4734" s="1357"/>
      <c r="Q4734" s="1357"/>
      <c r="S4734" s="1420"/>
      <c r="T4734" s="1420"/>
      <c r="V4734" s="1357">
        <v>799</v>
      </c>
    </row>
    <row r="4735" spans="1:22" s="841" customFormat="1" ht="15" x14ac:dyDescent="0.25">
      <c r="A4735" s="841" t="s">
        <v>211</v>
      </c>
      <c r="B4735" s="841" t="s">
        <v>3936</v>
      </c>
      <c r="E4735" s="1369" t="s">
        <v>2461</v>
      </c>
      <c r="F4735" s="1369"/>
      <c r="G4735" s="1369"/>
      <c r="H4735" s="1369"/>
      <c r="K4735" s="841" t="s">
        <v>3197</v>
      </c>
      <c r="M4735" s="1357"/>
      <c r="Q4735" s="1357"/>
      <c r="S4735" s="1420"/>
      <c r="T4735" s="1420"/>
      <c r="V4735" s="1357">
        <v>0</v>
      </c>
    </row>
    <row r="4736" spans="1:22" s="841" customFormat="1" ht="15" x14ac:dyDescent="0.25">
      <c r="A4736" s="841" t="s">
        <v>211</v>
      </c>
      <c r="B4736" s="841" t="s">
        <v>3936</v>
      </c>
      <c r="E4736" s="1916" t="s">
        <v>3061</v>
      </c>
      <c r="F4736" s="1916"/>
      <c r="G4736" s="1916"/>
      <c r="H4736" s="1916"/>
      <c r="K4736" s="841" t="s">
        <v>3062</v>
      </c>
      <c r="M4736" s="1357"/>
      <c r="Q4736" s="1357"/>
      <c r="S4736" s="1420"/>
      <c r="T4736" s="1420"/>
      <c r="V4736" s="1357">
        <v>11</v>
      </c>
    </row>
    <row r="4737" spans="1:22" s="841" customFormat="1" ht="15" x14ac:dyDescent="0.25">
      <c r="A4737" s="841" t="s">
        <v>211</v>
      </c>
      <c r="B4737" s="841" t="s">
        <v>3936</v>
      </c>
      <c r="E4737" s="1373" t="s">
        <v>2461</v>
      </c>
      <c r="F4737" s="1369"/>
      <c r="G4737" s="1369"/>
      <c r="H4737" s="1369"/>
      <c r="K4737" s="841" t="s">
        <v>3197</v>
      </c>
      <c r="M4737" s="1357"/>
      <c r="Q4737" s="1357"/>
      <c r="S4737" s="1420"/>
      <c r="T4737" s="1420"/>
      <c r="V4737" s="1357">
        <v>0</v>
      </c>
    </row>
    <row r="4738" spans="1:22" s="841" customFormat="1" ht="15" x14ac:dyDescent="0.25">
      <c r="A4738" s="841" t="s">
        <v>211</v>
      </c>
      <c r="B4738" s="841" t="s">
        <v>3936</v>
      </c>
      <c r="E4738" s="1689" t="s">
        <v>3063</v>
      </c>
      <c r="F4738" s="1689"/>
      <c r="G4738" s="1689"/>
      <c r="H4738" s="1689"/>
      <c r="K4738" s="841" t="s">
        <v>3197</v>
      </c>
      <c r="M4738" s="1357"/>
      <c r="Q4738" s="1357"/>
      <c r="S4738" s="1420"/>
      <c r="T4738" s="1420"/>
      <c r="V4738" s="1357">
        <v>280</v>
      </c>
    </row>
    <row r="4739" spans="1:22" s="841" customFormat="1" ht="15" x14ac:dyDescent="0.25">
      <c r="A4739" s="841" t="s">
        <v>211</v>
      </c>
      <c r="B4739" s="841" t="s">
        <v>3936</v>
      </c>
      <c r="E4739" s="1689" t="s">
        <v>3064</v>
      </c>
      <c r="F4739" s="1689"/>
      <c r="G4739" s="1689"/>
      <c r="H4739" s="1689"/>
      <c r="K4739" s="841" t="s">
        <v>3197</v>
      </c>
      <c r="M4739" s="1357"/>
      <c r="Q4739" s="1357"/>
      <c r="S4739" s="1420"/>
      <c r="T4739" s="1420"/>
      <c r="V4739" s="1357">
        <v>411</v>
      </c>
    </row>
    <row r="4740" spans="1:22" s="841" customFormat="1" ht="15" x14ac:dyDescent="0.25">
      <c r="A4740" s="841" t="s">
        <v>211</v>
      </c>
      <c r="B4740" s="841" t="s">
        <v>3936</v>
      </c>
      <c r="E4740" s="1369" t="s">
        <v>2461</v>
      </c>
      <c r="F4740" s="1369"/>
      <c r="G4740" s="1369"/>
      <c r="H4740" s="1369"/>
      <c r="K4740" s="841" t="s">
        <v>3197</v>
      </c>
      <c r="M4740" s="1357"/>
      <c r="Q4740" s="1357"/>
      <c r="S4740" s="1420"/>
      <c r="T4740" s="1420"/>
      <c r="V4740" s="1357">
        <v>0</v>
      </c>
    </row>
    <row r="4741" spans="1:22" s="841" customFormat="1" ht="15" x14ac:dyDescent="0.25">
      <c r="A4741" s="841" t="s">
        <v>211</v>
      </c>
      <c r="B4741" s="841" t="s">
        <v>3936</v>
      </c>
      <c r="E4741" s="1689" t="s">
        <v>3199</v>
      </c>
      <c r="F4741" s="1689"/>
      <c r="G4741" s="1689"/>
      <c r="H4741" s="1689"/>
      <c r="K4741" s="841" t="s">
        <v>3197</v>
      </c>
      <c r="M4741" s="1357"/>
      <c r="Q4741" s="1357"/>
      <c r="S4741" s="1420"/>
      <c r="T4741" s="1420"/>
      <c r="V4741" s="1357">
        <v>386</v>
      </c>
    </row>
    <row r="4742" spans="1:22" s="841" customFormat="1" ht="15" x14ac:dyDescent="0.25">
      <c r="A4742" s="841" t="s">
        <v>211</v>
      </c>
      <c r="B4742" s="841" t="s">
        <v>3936</v>
      </c>
      <c r="E4742" s="1369" t="s">
        <v>2461</v>
      </c>
      <c r="F4742" s="1369"/>
      <c r="G4742" s="1369"/>
      <c r="H4742" s="1369"/>
      <c r="K4742" s="841" t="s">
        <v>3197</v>
      </c>
      <c r="M4742" s="1357"/>
      <c r="Q4742" s="1357"/>
      <c r="S4742" s="1420"/>
      <c r="T4742" s="1420"/>
      <c r="V4742" s="1357">
        <v>0</v>
      </c>
    </row>
    <row r="4743" spans="1:22" s="841" customFormat="1" ht="15" x14ac:dyDescent="0.25">
      <c r="A4743" s="841" t="s">
        <v>211</v>
      </c>
      <c r="B4743" s="841" t="s">
        <v>3936</v>
      </c>
      <c r="E4743" s="1689" t="s">
        <v>3390</v>
      </c>
      <c r="F4743" s="1689"/>
      <c r="G4743" s="1689"/>
      <c r="H4743" s="1689"/>
      <c r="K4743" s="841" t="s">
        <v>3197</v>
      </c>
      <c r="M4743" s="1357"/>
      <c r="Q4743" s="1357"/>
      <c r="S4743" s="1420"/>
      <c r="T4743" s="1420"/>
      <c r="V4743" s="1357">
        <v>274</v>
      </c>
    </row>
    <row r="4744" spans="1:22" s="841" customFormat="1" ht="15" x14ac:dyDescent="0.25">
      <c r="A4744" s="841" t="s">
        <v>211</v>
      </c>
      <c r="B4744" s="841" t="s">
        <v>3936</v>
      </c>
      <c r="E4744" s="1369" t="s">
        <v>2461</v>
      </c>
      <c r="F4744" s="1369"/>
      <c r="G4744" s="1369"/>
      <c r="H4744" s="1369"/>
      <c r="K4744" s="841" t="s">
        <v>3197</v>
      </c>
      <c r="M4744" s="1357"/>
      <c r="Q4744" s="1357"/>
      <c r="S4744" s="1420"/>
      <c r="T4744" s="1420"/>
      <c r="V4744" s="1357">
        <v>0</v>
      </c>
    </row>
    <row r="4745" spans="1:22" s="841" customFormat="1" ht="15" x14ac:dyDescent="0.25">
      <c r="A4745" s="841" t="s">
        <v>211</v>
      </c>
      <c r="B4745" s="841" t="s">
        <v>3936</v>
      </c>
      <c r="E4745" s="1694" t="s">
        <v>3067</v>
      </c>
      <c r="F4745" s="1694"/>
      <c r="G4745" s="1694"/>
      <c r="H4745" s="1694"/>
      <c r="K4745" s="841" t="s">
        <v>3068</v>
      </c>
      <c r="M4745" s="1357"/>
      <c r="Q4745" s="1357"/>
      <c r="S4745" s="1420"/>
      <c r="T4745" s="1420"/>
      <c r="V4745" s="1357">
        <v>46</v>
      </c>
    </row>
    <row r="4746" spans="1:22" s="841" customFormat="1" ht="15" x14ac:dyDescent="0.25">
      <c r="A4746" s="841" t="s">
        <v>211</v>
      </c>
      <c r="B4746" s="841" t="s">
        <v>3936</v>
      </c>
      <c r="E4746" s="1690" t="s">
        <v>11</v>
      </c>
      <c r="F4746" s="1690"/>
      <c r="G4746" s="1366" t="s">
        <v>23</v>
      </c>
      <c r="H4746" s="1193">
        <v>28.2</v>
      </c>
      <c r="K4746" s="841" t="s">
        <v>3197</v>
      </c>
      <c r="L4746" s="841" t="s">
        <v>442</v>
      </c>
      <c r="M4746" s="1357"/>
      <c r="P4746" s="841" t="s">
        <v>3201</v>
      </c>
      <c r="Q4746" s="1357"/>
      <c r="S4746" s="1420"/>
      <c r="T4746" s="1420"/>
      <c r="V4746" s="1357">
        <v>14</v>
      </c>
    </row>
    <row r="4747" spans="1:22" s="841" customFormat="1" ht="15" x14ac:dyDescent="0.25">
      <c r="A4747" s="841" t="s">
        <v>211</v>
      </c>
      <c r="B4747" s="841" t="s">
        <v>3936</v>
      </c>
      <c r="E4747" s="1690" t="s">
        <v>5475</v>
      </c>
      <c r="F4747" s="1690"/>
      <c r="G4747" s="1366" t="s">
        <v>23</v>
      </c>
      <c r="H4747" s="391">
        <v>-0.28000000000000003</v>
      </c>
      <c r="K4747" s="841" t="s">
        <v>3197</v>
      </c>
      <c r="L4747" s="841" t="s">
        <v>442</v>
      </c>
      <c r="M4747" s="1357"/>
      <c r="P4747" s="841" t="s">
        <v>5497</v>
      </c>
      <c r="Q4747" s="1357"/>
      <c r="S4747" s="1420"/>
      <c r="T4747" s="1420">
        <v>44012</v>
      </c>
      <c r="V4747" s="1357">
        <v>88</v>
      </c>
    </row>
    <row r="4748" spans="1:22" s="841" customFormat="1" ht="15" x14ac:dyDescent="0.25">
      <c r="A4748" s="841" t="s">
        <v>211</v>
      </c>
      <c r="B4748" s="841" t="s">
        <v>3936</v>
      </c>
      <c r="E4748" s="1690" t="s">
        <v>5109</v>
      </c>
      <c r="F4748" s="1690"/>
      <c r="G4748" s="1366" t="s">
        <v>23</v>
      </c>
      <c r="H4748" s="733">
        <v>0.56999999999999995</v>
      </c>
      <c r="K4748" s="841" t="s">
        <v>3197</v>
      </c>
      <c r="L4748" s="841" t="s">
        <v>443</v>
      </c>
      <c r="M4748" s="1357"/>
      <c r="P4748" s="841" t="s">
        <v>3202</v>
      </c>
      <c r="Q4748" s="1357"/>
      <c r="S4748" s="1420"/>
      <c r="T4748" s="1420">
        <v>44926</v>
      </c>
      <c r="V4748" s="1357">
        <v>64</v>
      </c>
    </row>
    <row r="4749" spans="1:22" s="841" customFormat="1" ht="15" x14ac:dyDescent="0.25">
      <c r="A4749" s="841" t="s">
        <v>211</v>
      </c>
      <c r="B4749" s="841" t="s">
        <v>3936</v>
      </c>
      <c r="E4749" s="1690" t="s">
        <v>84</v>
      </c>
      <c r="F4749" s="1690"/>
      <c r="G4749" s="1366" t="s">
        <v>24</v>
      </c>
      <c r="H4749" s="1194">
        <v>9.9000000000000008E-3</v>
      </c>
      <c r="K4749" s="841" t="s">
        <v>3197</v>
      </c>
      <c r="L4749" s="841" t="s">
        <v>442</v>
      </c>
      <c r="M4749" s="1357"/>
      <c r="P4749" s="841" t="s">
        <v>3203</v>
      </c>
      <c r="Q4749" s="1357"/>
      <c r="S4749" s="1420"/>
      <c r="T4749" s="1420"/>
      <c r="V4749" s="1357">
        <v>28</v>
      </c>
    </row>
    <row r="4750" spans="1:22" s="841" customFormat="1" ht="15" x14ac:dyDescent="0.25">
      <c r="A4750" s="841" t="s">
        <v>211</v>
      </c>
      <c r="B4750" s="841" t="s">
        <v>3936</v>
      </c>
      <c r="E4750" s="1690" t="s">
        <v>18</v>
      </c>
      <c r="F4750" s="1690"/>
      <c r="G4750" s="1366" t="s">
        <v>24</v>
      </c>
      <c r="H4750" s="732">
        <v>4.0000000000000002E-4</v>
      </c>
      <c r="K4750" s="841" t="s">
        <v>3197</v>
      </c>
      <c r="L4750" s="841" t="s">
        <v>443</v>
      </c>
      <c r="M4750" s="1357"/>
      <c r="P4750" s="841" t="s">
        <v>3204</v>
      </c>
      <c r="Q4750" s="1357"/>
      <c r="S4750" s="1420"/>
      <c r="T4750" s="1420"/>
      <c r="V4750" s="1357">
        <v>24</v>
      </c>
    </row>
    <row r="4751" spans="1:22" s="841" customFormat="1" ht="15" x14ac:dyDescent="0.25">
      <c r="A4751" s="841" t="s">
        <v>211</v>
      </c>
      <c r="B4751" s="841" t="s">
        <v>3936</v>
      </c>
      <c r="E4751" s="1690" t="s">
        <v>5476</v>
      </c>
      <c r="F4751" s="1690"/>
      <c r="G4751" s="1366" t="s">
        <v>24</v>
      </c>
      <c r="H4751" s="732">
        <v>-1.5E-3</v>
      </c>
      <c r="K4751" s="841" t="s">
        <v>3197</v>
      </c>
      <c r="L4751" s="841" t="s">
        <v>442</v>
      </c>
      <c r="M4751" s="1357"/>
      <c r="P4751" s="841" t="s">
        <v>6251</v>
      </c>
      <c r="Q4751" s="1357"/>
      <c r="S4751" s="1420"/>
      <c r="T4751" s="1420">
        <v>43585</v>
      </c>
      <c r="V4751" s="1357">
        <v>87</v>
      </c>
    </row>
    <row r="4752" spans="1:22" s="841" customFormat="1" ht="15" x14ac:dyDescent="0.25">
      <c r="A4752" s="841" t="s">
        <v>211</v>
      </c>
      <c r="B4752" s="841" t="s">
        <v>3936</v>
      </c>
      <c r="E4752" s="1690" t="s">
        <v>5477</v>
      </c>
      <c r="F4752" s="1690"/>
      <c r="G4752" s="1366" t="s">
        <v>24</v>
      </c>
      <c r="H4752" s="732">
        <v>2.0000000000000001E-4</v>
      </c>
      <c r="K4752" s="841" t="s">
        <v>3197</v>
      </c>
      <c r="L4752" s="841" t="s">
        <v>442</v>
      </c>
      <c r="M4752" s="1357"/>
      <c r="P4752" s="841" t="s">
        <v>3939</v>
      </c>
      <c r="Q4752" s="1357"/>
      <c r="S4752" s="1420"/>
      <c r="T4752" s="1420"/>
      <c r="V4752" s="1357">
        <v>129</v>
      </c>
    </row>
    <row r="4753" spans="1:22" s="841" customFormat="1" ht="15" x14ac:dyDescent="0.25">
      <c r="A4753" s="841" t="s">
        <v>211</v>
      </c>
      <c r="B4753" s="841" t="s">
        <v>3936</v>
      </c>
      <c r="E4753" s="1690" t="s">
        <v>5475</v>
      </c>
      <c r="F4753" s="1690"/>
      <c r="G4753" s="1366" t="s">
        <v>24</v>
      </c>
      <c r="H4753" s="732">
        <v>-1E-4</v>
      </c>
      <c r="K4753" s="841" t="s">
        <v>3197</v>
      </c>
      <c r="L4753" s="841" t="s">
        <v>442</v>
      </c>
      <c r="M4753" s="1357"/>
      <c r="P4753" s="841" t="s">
        <v>6252</v>
      </c>
      <c r="Q4753" s="1357"/>
      <c r="S4753" s="1420"/>
      <c r="T4753" s="1420">
        <v>44012</v>
      </c>
      <c r="V4753" s="1357">
        <v>88</v>
      </c>
    </row>
    <row r="4754" spans="1:22" s="841" customFormat="1" ht="15" x14ac:dyDescent="0.25">
      <c r="A4754" s="841" t="s">
        <v>211</v>
      </c>
      <c r="B4754" s="841" t="s">
        <v>3936</v>
      </c>
      <c r="E4754" s="1690" t="s">
        <v>221</v>
      </c>
      <c r="F4754" s="1690"/>
      <c r="G4754" s="1366" t="s">
        <v>24</v>
      </c>
      <c r="H4754" s="1194">
        <v>6.4000000000000003E-3</v>
      </c>
      <c r="K4754" s="841" t="s">
        <v>3197</v>
      </c>
      <c r="L4754" s="841" t="s">
        <v>444</v>
      </c>
      <c r="M4754" s="1357"/>
      <c r="P4754" s="841" t="s">
        <v>3208</v>
      </c>
      <c r="Q4754" s="1357"/>
      <c r="S4754" s="1420"/>
      <c r="T4754" s="1420"/>
      <c r="V4754" s="1357">
        <v>47</v>
      </c>
    </row>
    <row r="4755" spans="1:22" s="841" customFormat="1" ht="15" x14ac:dyDescent="0.25">
      <c r="A4755" s="841" t="s">
        <v>211</v>
      </c>
      <c r="B4755" s="841" t="s">
        <v>3936</v>
      </c>
      <c r="E4755" s="1690" t="s">
        <v>217</v>
      </c>
      <c r="F4755" s="1690"/>
      <c r="G4755" s="1366" t="s">
        <v>24</v>
      </c>
      <c r="H4755" s="1194">
        <v>6.0000000000000001E-3</v>
      </c>
      <c r="K4755" s="841" t="s">
        <v>3197</v>
      </c>
      <c r="L4755" s="841" t="s">
        <v>444</v>
      </c>
      <c r="M4755" s="1357"/>
      <c r="P4755" s="841" t="s">
        <v>3209</v>
      </c>
      <c r="Q4755" s="1357"/>
      <c r="S4755" s="1420"/>
      <c r="T4755" s="1420"/>
      <c r="V4755" s="1357">
        <v>74</v>
      </c>
    </row>
    <row r="4756" spans="1:22" s="841" customFormat="1" ht="15" x14ac:dyDescent="0.25">
      <c r="A4756" s="841" t="s">
        <v>211</v>
      </c>
      <c r="B4756" s="841" t="s">
        <v>3936</v>
      </c>
      <c r="E4756" s="1365" t="s">
        <v>2461</v>
      </c>
      <c r="F4756" s="1365"/>
      <c r="G4756" s="1366"/>
      <c r="H4756" s="732"/>
      <c r="K4756" s="841" t="s">
        <v>3197</v>
      </c>
      <c r="M4756" s="1357"/>
      <c r="Q4756" s="1357"/>
      <c r="S4756" s="1420"/>
      <c r="T4756" s="1420"/>
      <c r="V4756" s="1357">
        <v>0</v>
      </c>
    </row>
    <row r="4757" spans="1:22" s="841" customFormat="1" ht="15" x14ac:dyDescent="0.25">
      <c r="A4757" s="841" t="s">
        <v>211</v>
      </c>
      <c r="B4757" s="841" t="s">
        <v>3936</v>
      </c>
      <c r="E4757" s="1694" t="s">
        <v>3079</v>
      </c>
      <c r="F4757" s="1694"/>
      <c r="G4757" s="1366"/>
      <c r="H4757" s="732" t="s">
        <v>2461</v>
      </c>
      <c r="K4757" s="841" t="s">
        <v>3080</v>
      </c>
      <c r="M4757" s="1357"/>
      <c r="Q4757" s="1357"/>
      <c r="S4757" s="1420"/>
      <c r="T4757" s="1420"/>
      <c r="V4757" s="1357">
        <v>48</v>
      </c>
    </row>
    <row r="4758" spans="1:22" s="841" customFormat="1" ht="15" x14ac:dyDescent="0.25">
      <c r="A4758" s="841" t="s">
        <v>211</v>
      </c>
      <c r="B4758" s="841" t="s">
        <v>3936</v>
      </c>
      <c r="E4758" s="1690" t="s">
        <v>2449</v>
      </c>
      <c r="F4758" s="1690"/>
      <c r="G4758" s="1366" t="s">
        <v>24</v>
      </c>
      <c r="H4758" s="732">
        <v>3.2000000000000002E-3</v>
      </c>
      <c r="K4758" s="841" t="s">
        <v>3197</v>
      </c>
      <c r="L4758" s="841" t="s">
        <v>3046</v>
      </c>
      <c r="M4758" s="1357"/>
      <c r="P4758" s="841" t="s">
        <v>3210</v>
      </c>
      <c r="Q4758" s="1357"/>
      <c r="S4758" s="1420"/>
      <c r="T4758" s="1420"/>
      <c r="V4758" s="1357">
        <v>55</v>
      </c>
    </row>
    <row r="4759" spans="1:22" s="841" customFormat="1" ht="15" x14ac:dyDescent="0.25">
      <c r="A4759" s="841" t="s">
        <v>211</v>
      </c>
      <c r="B4759" s="841" t="s">
        <v>3936</v>
      </c>
      <c r="E4759" s="1690" t="s">
        <v>3211</v>
      </c>
      <c r="F4759" s="1690"/>
      <c r="G4759" s="1366" t="s">
        <v>24</v>
      </c>
      <c r="H4759" s="732">
        <v>4.0000000000000002E-4</v>
      </c>
      <c r="K4759" s="841" t="s">
        <v>3197</v>
      </c>
      <c r="L4759" s="841" t="s">
        <v>3046</v>
      </c>
      <c r="M4759" s="1357"/>
      <c r="P4759" s="841" t="s">
        <v>3210</v>
      </c>
      <c r="Q4759" s="1357"/>
      <c r="S4759" s="1420"/>
      <c r="T4759" s="1420"/>
      <c r="V4759" s="1357">
        <v>64</v>
      </c>
    </row>
    <row r="4760" spans="1:22" s="841" customFormat="1" ht="15" x14ac:dyDescent="0.25">
      <c r="A4760" s="841" t="s">
        <v>211</v>
      </c>
      <c r="B4760" s="841" t="s">
        <v>3936</v>
      </c>
      <c r="E4760" s="1690" t="s">
        <v>439</v>
      </c>
      <c r="F4760" s="1690"/>
      <c r="G4760" s="1366" t="s">
        <v>24</v>
      </c>
      <c r="H4760" s="732">
        <v>2.9999999999999997E-4</v>
      </c>
      <c r="K4760" s="841" t="s">
        <v>3197</v>
      </c>
      <c r="L4760" s="841" t="s">
        <v>3046</v>
      </c>
      <c r="M4760" s="1357"/>
      <c r="P4760" s="841" t="s">
        <v>3212</v>
      </c>
      <c r="Q4760" s="1357"/>
      <c r="S4760" s="1420"/>
      <c r="T4760" s="1420"/>
      <c r="V4760" s="1357">
        <v>57</v>
      </c>
    </row>
    <row r="4761" spans="1:22" s="841" customFormat="1" ht="15" x14ac:dyDescent="0.25">
      <c r="A4761" s="841" t="s">
        <v>211</v>
      </c>
      <c r="B4761" s="841" t="s">
        <v>3936</v>
      </c>
      <c r="E4761" s="1690" t="s">
        <v>32</v>
      </c>
      <c r="F4761" s="1690"/>
      <c r="G4761" s="1366" t="s">
        <v>23</v>
      </c>
      <c r="H4761" s="732">
        <v>0.25</v>
      </c>
      <c r="K4761" s="841" t="s">
        <v>3197</v>
      </c>
      <c r="L4761" s="841" t="s">
        <v>3046</v>
      </c>
      <c r="M4761" s="1357"/>
      <c r="P4761" s="841" t="s">
        <v>3213</v>
      </c>
      <c r="Q4761" s="1357"/>
      <c r="S4761" s="1420"/>
      <c r="T4761" s="1420"/>
      <c r="V4761" s="1357">
        <v>63</v>
      </c>
    </row>
    <row r="4762" spans="1:22" s="841" customFormat="1" x14ac:dyDescent="0.25">
      <c r="A4762" s="841" t="s">
        <v>211</v>
      </c>
      <c r="B4762" s="841" t="s">
        <v>3936</v>
      </c>
      <c r="E4762" s="1909" t="s">
        <v>3214</v>
      </c>
      <c r="F4762" s="1909"/>
      <c r="G4762" s="1909"/>
      <c r="H4762" s="1909"/>
      <c r="K4762" s="841" t="s">
        <v>5110</v>
      </c>
      <c r="M4762" s="1357"/>
      <c r="Q4762" s="1357"/>
      <c r="S4762" s="1420"/>
      <c r="T4762" s="1420"/>
      <c r="V4762" s="1357">
        <v>54</v>
      </c>
    </row>
    <row r="4763" spans="1:22" s="841" customFormat="1" ht="15" x14ac:dyDescent="0.25">
      <c r="A4763" s="841" t="s">
        <v>211</v>
      </c>
      <c r="B4763" s="841" t="s">
        <v>3936</v>
      </c>
      <c r="E4763" s="1689" t="s">
        <v>5478</v>
      </c>
      <c r="F4763" s="1689"/>
      <c r="G4763" s="1689"/>
      <c r="H4763" s="1689"/>
      <c r="K4763" s="841" t="s">
        <v>5110</v>
      </c>
      <c r="M4763" s="1357"/>
      <c r="Q4763" s="1357"/>
      <c r="S4763" s="1420"/>
      <c r="T4763" s="1420"/>
      <c r="V4763" s="1357">
        <v>598</v>
      </c>
    </row>
    <row r="4764" spans="1:22" s="841" customFormat="1" ht="15" x14ac:dyDescent="0.25">
      <c r="A4764" s="841" t="s">
        <v>211</v>
      </c>
      <c r="B4764" s="841" t="s">
        <v>3936</v>
      </c>
      <c r="E4764" s="1369" t="s">
        <v>2461</v>
      </c>
      <c r="F4764" s="1369"/>
      <c r="G4764" s="1369"/>
      <c r="H4764" s="1369"/>
      <c r="K4764" s="841" t="s">
        <v>5110</v>
      </c>
      <c r="M4764" s="1357"/>
      <c r="Q4764" s="1357"/>
      <c r="S4764" s="1420"/>
      <c r="T4764" s="1420"/>
      <c r="V4764" s="1357">
        <v>0</v>
      </c>
    </row>
    <row r="4765" spans="1:22" s="841" customFormat="1" ht="15" x14ac:dyDescent="0.25">
      <c r="A4765" s="841" t="s">
        <v>211</v>
      </c>
      <c r="B4765" s="841" t="s">
        <v>3936</v>
      </c>
      <c r="E4765" s="1916" t="s">
        <v>3061</v>
      </c>
      <c r="F4765" s="1916"/>
      <c r="G4765" s="1916"/>
      <c r="H4765" s="1916"/>
      <c r="K4765" s="841" t="s">
        <v>3086</v>
      </c>
      <c r="M4765" s="1357"/>
      <c r="Q4765" s="1357"/>
      <c r="S4765" s="1420"/>
      <c r="T4765" s="1420"/>
      <c r="V4765" s="1357">
        <v>11</v>
      </c>
    </row>
    <row r="4766" spans="1:22" s="841" customFormat="1" ht="15" x14ac:dyDescent="0.25">
      <c r="A4766" s="841" t="s">
        <v>211</v>
      </c>
      <c r="B4766" s="841" t="s">
        <v>3936</v>
      </c>
      <c r="E4766" s="1373" t="s">
        <v>2461</v>
      </c>
      <c r="F4766" s="1369"/>
      <c r="G4766" s="1369"/>
      <c r="H4766" s="1369"/>
      <c r="K4766" s="841" t="s">
        <v>5110</v>
      </c>
      <c r="M4766" s="1357"/>
      <c r="Q4766" s="1357"/>
      <c r="S4766" s="1420"/>
      <c r="T4766" s="1420"/>
      <c r="V4766" s="1357">
        <v>0</v>
      </c>
    </row>
    <row r="4767" spans="1:22" s="841" customFormat="1" ht="15" x14ac:dyDescent="0.25">
      <c r="A4767" s="841" t="s">
        <v>211</v>
      </c>
      <c r="B4767" s="841" t="s">
        <v>3936</v>
      </c>
      <c r="E4767" s="1689" t="s">
        <v>3063</v>
      </c>
      <c r="F4767" s="1689"/>
      <c r="G4767" s="1689"/>
      <c r="H4767" s="1689"/>
      <c r="K4767" s="841" t="s">
        <v>5110</v>
      </c>
      <c r="M4767" s="1357"/>
      <c r="Q4767" s="1357"/>
      <c r="S4767" s="1420"/>
      <c r="T4767" s="1420"/>
      <c r="V4767" s="1357">
        <v>280</v>
      </c>
    </row>
    <row r="4768" spans="1:22" s="841" customFormat="1" ht="15" x14ac:dyDescent="0.25">
      <c r="A4768" s="841" t="s">
        <v>211</v>
      </c>
      <c r="B4768" s="841" t="s">
        <v>3936</v>
      </c>
      <c r="E4768" s="1369" t="s">
        <v>2461</v>
      </c>
      <c r="F4768" s="1369"/>
      <c r="G4768" s="1369"/>
      <c r="H4768" s="1369"/>
      <c r="K4768" s="841" t="s">
        <v>5110</v>
      </c>
      <c r="M4768" s="1357"/>
      <c r="Q4768" s="1357"/>
      <c r="S4768" s="1420"/>
      <c r="T4768" s="1420"/>
      <c r="V4768" s="1357">
        <v>0</v>
      </c>
    </row>
    <row r="4769" spans="1:22" s="841" customFormat="1" ht="15" x14ac:dyDescent="0.25">
      <c r="A4769" s="841" t="s">
        <v>211</v>
      </c>
      <c r="B4769" s="841" t="s">
        <v>3936</v>
      </c>
      <c r="E4769" s="1689" t="s">
        <v>3064</v>
      </c>
      <c r="F4769" s="1689"/>
      <c r="G4769" s="1689"/>
      <c r="H4769" s="1689"/>
      <c r="K4769" s="841" t="s">
        <v>5110</v>
      </c>
      <c r="M4769" s="1357"/>
      <c r="Q4769" s="1357"/>
      <c r="S4769" s="1420"/>
      <c r="T4769" s="1420"/>
      <c r="V4769" s="1357">
        <v>411</v>
      </c>
    </row>
    <row r="4770" spans="1:22" s="841" customFormat="1" ht="15" x14ac:dyDescent="0.25">
      <c r="A4770" s="841" t="s">
        <v>211</v>
      </c>
      <c r="B4770" s="841" t="s">
        <v>3936</v>
      </c>
      <c r="E4770" s="1369" t="s">
        <v>2461</v>
      </c>
      <c r="F4770" s="1369"/>
      <c r="G4770" s="1369"/>
      <c r="H4770" s="1369"/>
      <c r="K4770" s="841" t="s">
        <v>5110</v>
      </c>
      <c r="M4770" s="1357"/>
      <c r="Q4770" s="1357"/>
      <c r="S4770" s="1420"/>
      <c r="T4770" s="1420"/>
      <c r="V4770" s="1357">
        <v>0</v>
      </c>
    </row>
    <row r="4771" spans="1:22" s="841" customFormat="1" ht="15" x14ac:dyDescent="0.25">
      <c r="A4771" s="841" t="s">
        <v>211</v>
      </c>
      <c r="B4771" s="841" t="s">
        <v>3936</v>
      </c>
      <c r="E4771" s="1689" t="s">
        <v>3199</v>
      </c>
      <c r="F4771" s="1689"/>
      <c r="G4771" s="1689"/>
      <c r="H4771" s="1689"/>
      <c r="K4771" s="841" t="s">
        <v>5110</v>
      </c>
      <c r="M4771" s="1357"/>
      <c r="Q4771" s="1357"/>
      <c r="S4771" s="1420"/>
      <c r="T4771" s="1420"/>
      <c r="V4771" s="1357">
        <v>386</v>
      </c>
    </row>
    <row r="4772" spans="1:22" s="841" customFormat="1" ht="15" x14ac:dyDescent="0.25">
      <c r="A4772" s="841" t="s">
        <v>211</v>
      </c>
      <c r="B4772" s="841" t="s">
        <v>3936</v>
      </c>
      <c r="E4772" s="1689" t="s">
        <v>2461</v>
      </c>
      <c r="F4772" s="1689"/>
      <c r="G4772" s="1689"/>
      <c r="H4772" s="1689"/>
      <c r="K4772" s="841" t="s">
        <v>5110</v>
      </c>
      <c r="M4772" s="1357"/>
      <c r="Q4772" s="1357"/>
      <c r="S4772" s="1420"/>
      <c r="T4772" s="1420"/>
      <c r="V4772" s="1357">
        <v>0</v>
      </c>
    </row>
    <row r="4773" spans="1:22" s="841" customFormat="1" ht="15" x14ac:dyDescent="0.25">
      <c r="A4773" s="841" t="s">
        <v>211</v>
      </c>
      <c r="B4773" s="841" t="s">
        <v>3936</v>
      </c>
      <c r="E4773" s="1689" t="s">
        <v>3390</v>
      </c>
      <c r="F4773" s="1689"/>
      <c r="G4773" s="1689"/>
      <c r="H4773" s="1689"/>
      <c r="K4773" s="841" t="s">
        <v>5110</v>
      </c>
      <c r="M4773" s="1357"/>
      <c r="Q4773" s="1357"/>
      <c r="S4773" s="1420"/>
      <c r="T4773" s="1420"/>
      <c r="V4773" s="1357">
        <v>274</v>
      </c>
    </row>
    <row r="4774" spans="1:22" s="841" customFormat="1" ht="15" x14ac:dyDescent="0.25">
      <c r="A4774" s="841" t="s">
        <v>211</v>
      </c>
      <c r="B4774" s="841" t="s">
        <v>3936</v>
      </c>
      <c r="E4774" s="1369" t="s">
        <v>2461</v>
      </c>
      <c r="F4774" s="1369"/>
      <c r="G4774" s="1369"/>
      <c r="H4774" s="1369"/>
      <c r="K4774" s="841" t="s">
        <v>5110</v>
      </c>
      <c r="M4774" s="1357"/>
      <c r="Q4774" s="1357"/>
      <c r="S4774" s="1420"/>
      <c r="T4774" s="1420"/>
      <c r="V4774" s="1357">
        <v>0</v>
      </c>
    </row>
    <row r="4775" spans="1:22" s="841" customFormat="1" ht="15" x14ac:dyDescent="0.25">
      <c r="A4775" s="841" t="s">
        <v>211</v>
      </c>
      <c r="B4775" s="841" t="s">
        <v>3936</v>
      </c>
      <c r="E4775" s="1694" t="s">
        <v>3067</v>
      </c>
      <c r="F4775" s="1694"/>
      <c r="G4775" s="1694"/>
      <c r="H4775" s="1694"/>
      <c r="K4775" s="841" t="s">
        <v>3087</v>
      </c>
      <c r="M4775" s="1357"/>
      <c r="Q4775" s="1357"/>
      <c r="S4775" s="1420"/>
      <c r="T4775" s="1420"/>
      <c r="V4775" s="1357">
        <v>46</v>
      </c>
    </row>
    <row r="4776" spans="1:22" s="841" customFormat="1" ht="15" x14ac:dyDescent="0.25">
      <c r="A4776" s="841" t="s">
        <v>211</v>
      </c>
      <c r="B4776" s="841" t="s">
        <v>3936</v>
      </c>
      <c r="E4776" s="1370" t="s">
        <v>2461</v>
      </c>
      <c r="F4776" s="1367"/>
      <c r="G4776" s="1367"/>
      <c r="H4776" s="1367"/>
      <c r="K4776" s="841" t="s">
        <v>5110</v>
      </c>
      <c r="M4776" s="1357"/>
      <c r="Q4776" s="1357"/>
      <c r="S4776" s="1420"/>
      <c r="T4776" s="1420"/>
      <c r="V4776" s="1357">
        <v>0</v>
      </c>
    </row>
    <row r="4777" spans="1:22" s="841" customFormat="1" ht="15" x14ac:dyDescent="0.25">
      <c r="A4777" s="841" t="s">
        <v>211</v>
      </c>
      <c r="B4777" s="841" t="s">
        <v>3936</v>
      </c>
      <c r="E4777" s="1690" t="s">
        <v>11</v>
      </c>
      <c r="F4777" s="1690"/>
      <c r="G4777" s="1366" t="s">
        <v>23</v>
      </c>
      <c r="H4777" s="1193">
        <v>26.94</v>
      </c>
      <c r="K4777" s="841" t="s">
        <v>5110</v>
      </c>
      <c r="L4777" s="841" t="s">
        <v>442</v>
      </c>
      <c r="M4777" s="1357"/>
      <c r="P4777" s="841" t="s">
        <v>5111</v>
      </c>
      <c r="Q4777" s="1357"/>
      <c r="S4777" s="1420"/>
      <c r="T4777" s="1420"/>
      <c r="V4777" s="1357">
        <v>14</v>
      </c>
    </row>
    <row r="4778" spans="1:22" s="841" customFormat="1" ht="15" x14ac:dyDescent="0.25">
      <c r="A4778" s="841" t="s">
        <v>211</v>
      </c>
      <c r="B4778" s="841" t="s">
        <v>3936</v>
      </c>
      <c r="E4778" s="1690" t="s">
        <v>3938</v>
      </c>
      <c r="F4778" s="1690"/>
      <c r="G4778" s="1366" t="s">
        <v>23</v>
      </c>
      <c r="H4778" s="1195">
        <v>-0.27</v>
      </c>
      <c r="K4778" s="841" t="s">
        <v>5110</v>
      </c>
      <c r="L4778" s="841" t="s">
        <v>442</v>
      </c>
      <c r="M4778" s="1357"/>
      <c r="P4778" s="841" t="s">
        <v>6253</v>
      </c>
      <c r="Q4778" s="1357"/>
      <c r="S4778" s="1420"/>
      <c r="T4778" s="1420">
        <v>44012</v>
      </c>
      <c r="V4778" s="1357">
        <v>88</v>
      </c>
    </row>
    <row r="4779" spans="1:22" s="841" customFormat="1" ht="15" x14ac:dyDescent="0.25">
      <c r="A4779" s="841" t="s">
        <v>211</v>
      </c>
      <c r="B4779" s="841" t="s">
        <v>3936</v>
      </c>
      <c r="E4779" s="1690" t="s">
        <v>5109</v>
      </c>
      <c r="F4779" s="1690"/>
      <c r="G4779" s="1366" t="s">
        <v>23</v>
      </c>
      <c r="H4779" s="1195">
        <v>0.56999999999999995</v>
      </c>
      <c r="K4779" s="841" t="s">
        <v>5110</v>
      </c>
      <c r="L4779" s="841" t="s">
        <v>443</v>
      </c>
      <c r="M4779" s="1357"/>
      <c r="P4779" s="841" t="s">
        <v>5112</v>
      </c>
      <c r="Q4779" s="1357"/>
      <c r="S4779" s="1420"/>
      <c r="T4779" s="1420">
        <v>44926</v>
      </c>
      <c r="V4779" s="1357">
        <v>64</v>
      </c>
    </row>
    <row r="4780" spans="1:22" s="841" customFormat="1" ht="15" x14ac:dyDescent="0.25">
      <c r="A4780" s="841" t="s">
        <v>211</v>
      </c>
      <c r="B4780" s="841" t="s">
        <v>3936</v>
      </c>
      <c r="E4780" s="1690" t="s">
        <v>84</v>
      </c>
      <c r="F4780" s="1690"/>
      <c r="G4780" s="1366" t="s">
        <v>24</v>
      </c>
      <c r="H4780" s="1194">
        <v>1.9E-2</v>
      </c>
      <c r="K4780" s="841" t="s">
        <v>5110</v>
      </c>
      <c r="L4780" s="841" t="s">
        <v>442</v>
      </c>
      <c r="M4780" s="1357"/>
      <c r="P4780" s="841" t="s">
        <v>5113</v>
      </c>
      <c r="Q4780" s="1357"/>
      <c r="S4780" s="1420"/>
      <c r="T4780" s="1420"/>
      <c r="V4780" s="1357">
        <v>28</v>
      </c>
    </row>
    <row r="4781" spans="1:22" s="841" customFormat="1" ht="15" x14ac:dyDescent="0.25">
      <c r="A4781" s="841" t="s">
        <v>211</v>
      </c>
      <c r="B4781" s="841" t="s">
        <v>3936</v>
      </c>
      <c r="E4781" s="1690" t="s">
        <v>18</v>
      </c>
      <c r="F4781" s="1690"/>
      <c r="G4781" s="1366" t="s">
        <v>24</v>
      </c>
      <c r="H4781" s="1196">
        <v>4.0000000000000002E-4</v>
      </c>
      <c r="K4781" s="841" t="s">
        <v>5110</v>
      </c>
      <c r="L4781" s="841" t="s">
        <v>443</v>
      </c>
      <c r="M4781" s="1357"/>
      <c r="P4781" s="841" t="s">
        <v>5114</v>
      </c>
      <c r="Q4781" s="1357"/>
      <c r="S4781" s="1420"/>
      <c r="T4781" s="1420"/>
      <c r="V4781" s="1357">
        <v>24</v>
      </c>
    </row>
    <row r="4782" spans="1:22" s="841" customFormat="1" ht="15" x14ac:dyDescent="0.25">
      <c r="A4782" s="841" t="s">
        <v>211</v>
      </c>
      <c r="B4782" s="841" t="s">
        <v>3936</v>
      </c>
      <c r="E4782" s="1690" t="s">
        <v>3938</v>
      </c>
      <c r="F4782" s="1690"/>
      <c r="G4782" s="1366" t="s">
        <v>24</v>
      </c>
      <c r="H4782" s="1196">
        <v>-2.0000000000000001E-4</v>
      </c>
      <c r="K4782" s="841" t="s">
        <v>5110</v>
      </c>
      <c r="L4782" s="841" t="s">
        <v>442</v>
      </c>
      <c r="M4782" s="1357"/>
      <c r="P4782" s="841" t="s">
        <v>6254</v>
      </c>
      <c r="Q4782" s="1357"/>
      <c r="S4782" s="1420"/>
      <c r="T4782" s="1420">
        <v>44012</v>
      </c>
      <c r="V4782" s="1357">
        <v>88</v>
      </c>
    </row>
    <row r="4783" spans="1:22" s="841" customFormat="1" ht="15" x14ac:dyDescent="0.25">
      <c r="A4783" s="841" t="s">
        <v>211</v>
      </c>
      <c r="B4783" s="841" t="s">
        <v>3936</v>
      </c>
      <c r="E4783" s="1690" t="s">
        <v>5476</v>
      </c>
      <c r="F4783" s="1690"/>
      <c r="G4783" s="1366" t="s">
        <v>24</v>
      </c>
      <c r="H4783" s="1196">
        <v>-1E-3</v>
      </c>
      <c r="K4783" s="841" t="s">
        <v>5110</v>
      </c>
      <c r="L4783" s="841" t="s">
        <v>442</v>
      </c>
      <c r="M4783" s="1357"/>
      <c r="P4783" s="841" t="s">
        <v>6255</v>
      </c>
      <c r="Q4783" s="1357"/>
      <c r="S4783" s="1420"/>
      <c r="T4783" s="1420">
        <v>43585</v>
      </c>
      <c r="V4783" s="1357">
        <v>87</v>
      </c>
    </row>
    <row r="4784" spans="1:22" s="841" customFormat="1" ht="15" x14ac:dyDescent="0.25">
      <c r="A4784" s="841" t="s">
        <v>211</v>
      </c>
      <c r="B4784" s="841" t="s">
        <v>3936</v>
      </c>
      <c r="E4784" s="1690" t="s">
        <v>5479</v>
      </c>
      <c r="F4784" s="1690"/>
      <c r="G4784" s="1366" t="s">
        <v>24</v>
      </c>
      <c r="H4784" s="1196">
        <v>2.0000000000000001E-4</v>
      </c>
      <c r="K4784" s="841" t="s">
        <v>5110</v>
      </c>
      <c r="L4784" s="841" t="s">
        <v>442</v>
      </c>
      <c r="M4784" s="1357"/>
      <c r="P4784" s="841" t="s">
        <v>5480</v>
      </c>
      <c r="Q4784" s="1357"/>
      <c r="S4784" s="1420"/>
      <c r="T4784" s="1420"/>
      <c r="V4784" s="1357">
        <v>128</v>
      </c>
    </row>
    <row r="4785" spans="1:22" s="841" customFormat="1" ht="15" x14ac:dyDescent="0.25">
      <c r="A4785" s="841" t="s">
        <v>211</v>
      </c>
      <c r="B4785" s="841" t="s">
        <v>3936</v>
      </c>
      <c r="E4785" s="1690" t="s">
        <v>221</v>
      </c>
      <c r="F4785" s="1690"/>
      <c r="G4785" s="1366" t="s">
        <v>24</v>
      </c>
      <c r="H4785" s="1194">
        <v>5.7999999999999996E-3</v>
      </c>
      <c r="K4785" s="841" t="s">
        <v>5110</v>
      </c>
      <c r="L4785" s="841" t="s">
        <v>444</v>
      </c>
      <c r="M4785" s="1357"/>
      <c r="P4785" s="841" t="s">
        <v>5115</v>
      </c>
      <c r="Q4785" s="1357"/>
      <c r="S4785" s="1420"/>
      <c r="T4785" s="1420"/>
      <c r="V4785" s="1357">
        <v>47</v>
      </c>
    </row>
    <row r="4786" spans="1:22" s="841" customFormat="1" ht="15" x14ac:dyDescent="0.25">
      <c r="A4786" s="841" t="s">
        <v>211</v>
      </c>
      <c r="B4786" s="841" t="s">
        <v>3936</v>
      </c>
      <c r="E4786" s="1690" t="s">
        <v>217</v>
      </c>
      <c r="F4786" s="1690"/>
      <c r="G4786" s="1366" t="s">
        <v>24</v>
      </c>
      <c r="H4786" s="1194">
        <v>5.4999999999999997E-3</v>
      </c>
      <c r="K4786" s="841" t="s">
        <v>5110</v>
      </c>
      <c r="L4786" s="841" t="s">
        <v>444</v>
      </c>
      <c r="M4786" s="1357"/>
      <c r="P4786" s="841" t="s">
        <v>5116</v>
      </c>
      <c r="Q4786" s="1357"/>
      <c r="S4786" s="1420"/>
      <c r="T4786" s="1420"/>
      <c r="V4786" s="1357">
        <v>74</v>
      </c>
    </row>
    <row r="4787" spans="1:22" s="841" customFormat="1" ht="15" x14ac:dyDescent="0.25">
      <c r="A4787" s="841" t="s">
        <v>211</v>
      </c>
      <c r="B4787" s="841" t="s">
        <v>3936</v>
      </c>
      <c r="E4787" s="1365" t="s">
        <v>2461</v>
      </c>
      <c r="F4787" s="1365"/>
      <c r="G4787" s="1366"/>
      <c r="H4787" s="1196"/>
      <c r="K4787" s="841" t="s">
        <v>5110</v>
      </c>
      <c r="M4787" s="1357"/>
      <c r="Q4787" s="1357"/>
      <c r="S4787" s="1420"/>
      <c r="T4787" s="1420"/>
      <c r="V4787" s="1357">
        <v>0</v>
      </c>
    </row>
    <row r="4788" spans="1:22" s="841" customFormat="1" ht="15" x14ac:dyDescent="0.25">
      <c r="A4788" s="841" t="s">
        <v>211</v>
      </c>
      <c r="B4788" s="841" t="s">
        <v>3936</v>
      </c>
      <c r="E4788" s="1694" t="s">
        <v>3079</v>
      </c>
      <c r="F4788" s="1694"/>
      <c r="G4788" s="1366"/>
      <c r="H4788" s="1366"/>
      <c r="K4788" s="841" t="s">
        <v>3093</v>
      </c>
      <c r="M4788" s="1357"/>
      <c r="Q4788" s="1357"/>
      <c r="S4788" s="1420"/>
      <c r="T4788" s="1420"/>
      <c r="V4788" s="1357">
        <v>48</v>
      </c>
    </row>
    <row r="4789" spans="1:22" s="841" customFormat="1" ht="15" x14ac:dyDescent="0.25">
      <c r="A4789" s="841" t="s">
        <v>211</v>
      </c>
      <c r="B4789" s="841" t="s">
        <v>3936</v>
      </c>
      <c r="E4789" s="1370" t="s">
        <v>2461</v>
      </c>
      <c r="F4789" s="1365"/>
      <c r="G4789" s="1366"/>
      <c r="H4789" s="1366"/>
      <c r="K4789" s="841" t="s">
        <v>5110</v>
      </c>
      <c r="M4789" s="1357"/>
      <c r="Q4789" s="1357"/>
      <c r="S4789" s="1420"/>
      <c r="T4789" s="1420"/>
      <c r="V4789" s="1357">
        <v>0</v>
      </c>
    </row>
    <row r="4790" spans="1:22" s="841" customFormat="1" ht="15" x14ac:dyDescent="0.25">
      <c r="A4790" s="841" t="s">
        <v>211</v>
      </c>
      <c r="B4790" s="841" t="s">
        <v>3936</v>
      </c>
      <c r="E4790" s="1690" t="s">
        <v>2449</v>
      </c>
      <c r="F4790" s="1690"/>
      <c r="G4790" s="1366" t="s">
        <v>24</v>
      </c>
      <c r="H4790" s="1196">
        <v>3.2000000000000002E-3</v>
      </c>
      <c r="K4790" s="841" t="s">
        <v>5110</v>
      </c>
      <c r="L4790" s="841" t="s">
        <v>3046</v>
      </c>
      <c r="M4790" s="1357"/>
      <c r="P4790" s="841" t="s">
        <v>5117</v>
      </c>
      <c r="Q4790" s="1357"/>
      <c r="S4790" s="1420"/>
      <c r="T4790" s="1420"/>
      <c r="V4790" s="1357">
        <v>55</v>
      </c>
    </row>
    <row r="4791" spans="1:22" s="841" customFormat="1" ht="15" x14ac:dyDescent="0.25">
      <c r="A4791" s="841" t="s">
        <v>211</v>
      </c>
      <c r="B4791" s="841" t="s">
        <v>3936</v>
      </c>
      <c r="E4791" s="1690" t="s">
        <v>3211</v>
      </c>
      <c r="F4791" s="1690"/>
      <c r="G4791" s="1366" t="s">
        <v>24</v>
      </c>
      <c r="H4791" s="1196">
        <v>4.0000000000000002E-4</v>
      </c>
      <c r="K4791" s="841" t="s">
        <v>5110</v>
      </c>
      <c r="L4791" s="841" t="s">
        <v>3046</v>
      </c>
      <c r="M4791" s="1357"/>
      <c r="P4791" s="841" t="s">
        <v>5117</v>
      </c>
      <c r="Q4791" s="1357"/>
      <c r="S4791" s="1420"/>
      <c r="T4791" s="1420"/>
      <c r="V4791" s="1357">
        <v>64</v>
      </c>
    </row>
    <row r="4792" spans="1:22" s="841" customFormat="1" ht="15" x14ac:dyDescent="0.25">
      <c r="A4792" s="841" t="s">
        <v>211</v>
      </c>
      <c r="B4792" s="841" t="s">
        <v>3936</v>
      </c>
      <c r="E4792" s="1690" t="s">
        <v>439</v>
      </c>
      <c r="F4792" s="1690"/>
      <c r="G4792" s="1366" t="s">
        <v>24</v>
      </c>
      <c r="H4792" s="1196">
        <v>2.9999999999999997E-4</v>
      </c>
      <c r="K4792" s="841" t="s">
        <v>5110</v>
      </c>
      <c r="L4792" s="841" t="s">
        <v>3046</v>
      </c>
      <c r="M4792" s="1357"/>
      <c r="P4792" s="841" t="s">
        <v>5118</v>
      </c>
      <c r="Q4792" s="1357"/>
      <c r="S4792" s="1420"/>
      <c r="T4792" s="1420"/>
      <c r="V4792" s="1357">
        <v>57</v>
      </c>
    </row>
    <row r="4793" spans="1:22" s="841" customFormat="1" ht="15" x14ac:dyDescent="0.25">
      <c r="A4793" s="841" t="s">
        <v>211</v>
      </c>
      <c r="B4793" s="841" t="s">
        <v>3936</v>
      </c>
      <c r="E4793" s="1690" t="s">
        <v>32</v>
      </c>
      <c r="F4793" s="1690"/>
      <c r="G4793" s="1366" t="s">
        <v>23</v>
      </c>
      <c r="H4793" s="1196">
        <v>0.25</v>
      </c>
      <c r="K4793" s="841" t="s">
        <v>5110</v>
      </c>
      <c r="L4793" s="841" t="s">
        <v>3046</v>
      </c>
      <c r="M4793" s="1357"/>
      <c r="P4793" s="841" t="s">
        <v>5119</v>
      </c>
      <c r="Q4793" s="1357"/>
      <c r="S4793" s="1420"/>
      <c r="T4793" s="1420"/>
      <c r="V4793" s="1357">
        <v>63</v>
      </c>
    </row>
    <row r="4794" spans="1:22" s="841" customFormat="1" x14ac:dyDescent="0.25">
      <c r="A4794" s="841" t="s">
        <v>211</v>
      </c>
      <c r="B4794" s="841" t="s">
        <v>3936</v>
      </c>
      <c r="E4794" s="1909" t="s">
        <v>616</v>
      </c>
      <c r="F4794" s="1909"/>
      <c r="G4794" s="1909"/>
      <c r="H4794" s="1909"/>
      <c r="K4794" s="841" t="s">
        <v>6095</v>
      </c>
      <c r="M4794" s="1357"/>
      <c r="Q4794" s="1357"/>
      <c r="S4794" s="1420"/>
      <c r="T4794" s="1420"/>
      <c r="V4794" s="1357">
        <v>53</v>
      </c>
    </row>
    <row r="4795" spans="1:22" s="841" customFormat="1" ht="15" x14ac:dyDescent="0.25">
      <c r="A4795" s="841" t="s">
        <v>211</v>
      </c>
      <c r="B4795" s="841" t="s">
        <v>3936</v>
      </c>
      <c r="E4795" s="1689" t="s">
        <v>5481</v>
      </c>
      <c r="F4795" s="1689"/>
      <c r="G4795" s="1689"/>
      <c r="H4795" s="1689"/>
      <c r="K4795" s="841" t="s">
        <v>6095</v>
      </c>
      <c r="M4795" s="1357"/>
      <c r="Q4795" s="1357"/>
      <c r="S4795" s="1420"/>
      <c r="T4795" s="1420"/>
      <c r="V4795" s="1357">
        <v>689</v>
      </c>
    </row>
    <row r="4796" spans="1:22" s="841" customFormat="1" ht="15" x14ac:dyDescent="0.25">
      <c r="A4796" s="841" t="s">
        <v>211</v>
      </c>
      <c r="B4796" s="841" t="s">
        <v>3936</v>
      </c>
      <c r="E4796" s="1916" t="s">
        <v>3061</v>
      </c>
      <c r="F4796" s="1916"/>
      <c r="G4796" s="1916"/>
      <c r="H4796" s="1916"/>
      <c r="K4796" s="841" t="s">
        <v>3098</v>
      </c>
      <c r="M4796" s="1357"/>
      <c r="Q4796" s="1357"/>
      <c r="S4796" s="1420"/>
      <c r="T4796" s="1420"/>
      <c r="V4796" s="1357">
        <v>11</v>
      </c>
    </row>
    <row r="4797" spans="1:22" s="841" customFormat="1" ht="15" x14ac:dyDescent="0.25">
      <c r="A4797" s="841" t="s">
        <v>211</v>
      </c>
      <c r="B4797" s="841" t="s">
        <v>3936</v>
      </c>
      <c r="E4797" s="1373" t="s">
        <v>2461</v>
      </c>
      <c r="F4797" s="1369"/>
      <c r="G4797" s="1369"/>
      <c r="H4797" s="1369"/>
      <c r="K4797" s="841" t="s">
        <v>6095</v>
      </c>
      <c r="M4797" s="1357"/>
      <c r="Q4797" s="1357"/>
      <c r="S4797" s="1420"/>
      <c r="T4797" s="1420"/>
      <c r="V4797" s="1357">
        <v>0</v>
      </c>
    </row>
    <row r="4798" spans="1:22" s="841" customFormat="1" ht="15" x14ac:dyDescent="0.25">
      <c r="A4798" s="841" t="s">
        <v>211</v>
      </c>
      <c r="B4798" s="841" t="s">
        <v>3936</v>
      </c>
      <c r="E4798" s="1689" t="s">
        <v>3063</v>
      </c>
      <c r="F4798" s="1689"/>
      <c r="G4798" s="1689"/>
      <c r="H4798" s="1689"/>
      <c r="K4798" s="841" t="s">
        <v>6095</v>
      </c>
      <c r="M4798" s="1357"/>
      <c r="Q4798" s="1357"/>
      <c r="S4798" s="1420"/>
      <c r="T4798" s="1420"/>
      <c r="V4798" s="1357">
        <v>280</v>
      </c>
    </row>
    <row r="4799" spans="1:22" s="841" customFormat="1" ht="15" x14ac:dyDescent="0.25">
      <c r="A4799" s="841" t="s">
        <v>211</v>
      </c>
      <c r="B4799" s="841" t="s">
        <v>3936</v>
      </c>
      <c r="E4799" s="1369" t="s">
        <v>2461</v>
      </c>
      <c r="F4799" s="1369"/>
      <c r="G4799" s="1369"/>
      <c r="H4799" s="1369"/>
      <c r="K4799" s="841" t="s">
        <v>6095</v>
      </c>
      <c r="M4799" s="1357"/>
      <c r="Q4799" s="1357"/>
      <c r="S4799" s="1420"/>
      <c r="T4799" s="1420"/>
      <c r="V4799" s="1357">
        <v>0</v>
      </c>
    </row>
    <row r="4800" spans="1:22" s="841" customFormat="1" ht="15" x14ac:dyDescent="0.25">
      <c r="A4800" s="841" t="s">
        <v>211</v>
      </c>
      <c r="B4800" s="841" t="s">
        <v>3936</v>
      </c>
      <c r="E4800" s="1689" t="s">
        <v>3064</v>
      </c>
      <c r="F4800" s="1689"/>
      <c r="G4800" s="1689"/>
      <c r="H4800" s="1689"/>
      <c r="K4800" s="841" t="s">
        <v>6095</v>
      </c>
      <c r="M4800" s="1357"/>
      <c r="Q4800" s="1357"/>
      <c r="S4800" s="1420"/>
      <c r="T4800" s="1420"/>
      <c r="V4800" s="1357">
        <v>411</v>
      </c>
    </row>
    <row r="4801" spans="1:22" s="841" customFormat="1" ht="15" x14ac:dyDescent="0.25">
      <c r="A4801" s="841" t="s">
        <v>211</v>
      </c>
      <c r="B4801" s="841" t="s">
        <v>3936</v>
      </c>
      <c r="E4801" s="1369" t="s">
        <v>2461</v>
      </c>
      <c r="F4801" s="1369"/>
      <c r="G4801" s="1369"/>
      <c r="H4801" s="1369"/>
      <c r="K4801" s="841" t="s">
        <v>6095</v>
      </c>
      <c r="M4801" s="1357"/>
      <c r="Q4801" s="1357"/>
      <c r="S4801" s="1420"/>
      <c r="T4801" s="1420"/>
      <c r="V4801" s="1357">
        <v>0</v>
      </c>
    </row>
    <row r="4802" spans="1:22" s="841" customFormat="1" ht="15" x14ac:dyDescent="0.25">
      <c r="A4802" s="841" t="s">
        <v>211</v>
      </c>
      <c r="B4802" s="841" t="s">
        <v>3936</v>
      </c>
      <c r="E4802" s="1689" t="s">
        <v>3199</v>
      </c>
      <c r="F4802" s="1689"/>
      <c r="G4802" s="1689"/>
      <c r="H4802" s="1689"/>
      <c r="K4802" s="841" t="s">
        <v>6095</v>
      </c>
      <c r="M4802" s="1357"/>
      <c r="Q4802" s="1357"/>
      <c r="S4802" s="1420"/>
      <c r="T4802" s="1420"/>
      <c r="V4802" s="1357">
        <v>386</v>
      </c>
    </row>
    <row r="4803" spans="1:22" s="841" customFormat="1" ht="15" x14ac:dyDescent="0.25">
      <c r="A4803" s="841" t="s">
        <v>211</v>
      </c>
      <c r="B4803" s="841" t="s">
        <v>3936</v>
      </c>
      <c r="E4803" s="1689" t="s">
        <v>2461</v>
      </c>
      <c r="F4803" s="1689"/>
      <c r="G4803" s="1689"/>
      <c r="H4803" s="1689"/>
      <c r="K4803" s="841" t="s">
        <v>6095</v>
      </c>
      <c r="M4803" s="1357"/>
      <c r="Q4803" s="1357"/>
      <c r="S4803" s="1420"/>
      <c r="T4803" s="1420"/>
      <c r="V4803" s="1357">
        <v>0</v>
      </c>
    </row>
    <row r="4804" spans="1:22" s="841" customFormat="1" ht="15" x14ac:dyDescent="0.25">
      <c r="A4804" s="841" t="s">
        <v>211</v>
      </c>
      <c r="B4804" s="841" t="s">
        <v>3936</v>
      </c>
      <c r="E4804" s="1689" t="s">
        <v>5378</v>
      </c>
      <c r="F4804" s="1689"/>
      <c r="G4804" s="1689"/>
      <c r="H4804" s="1689"/>
      <c r="K4804" s="841" t="s">
        <v>6095</v>
      </c>
      <c r="M4804" s="1357"/>
      <c r="Q4804" s="1357"/>
      <c r="S4804" s="1420"/>
      <c r="T4804" s="1420"/>
      <c r="V4804" s="1357">
        <v>658</v>
      </c>
    </row>
    <row r="4805" spans="1:22" s="841" customFormat="1" ht="15" x14ac:dyDescent="0.25">
      <c r="A4805" s="841" t="s">
        <v>211</v>
      </c>
      <c r="B4805" s="841" t="s">
        <v>3936</v>
      </c>
      <c r="E4805" s="1689" t="s">
        <v>3390</v>
      </c>
      <c r="F4805" s="1689"/>
      <c r="G4805" s="1689"/>
      <c r="H4805" s="1689"/>
      <c r="K4805" s="841" t="s">
        <v>6095</v>
      </c>
      <c r="M4805" s="1357"/>
      <c r="Q4805" s="1357"/>
      <c r="S4805" s="1420"/>
      <c r="T4805" s="1420"/>
      <c r="V4805" s="1357">
        <v>274</v>
      </c>
    </row>
    <row r="4806" spans="1:22" s="841" customFormat="1" ht="15" x14ac:dyDescent="0.25">
      <c r="A4806" s="841" t="s">
        <v>211</v>
      </c>
      <c r="B4806" s="841" t="s">
        <v>3936</v>
      </c>
      <c r="E4806" s="1369" t="s">
        <v>2461</v>
      </c>
      <c r="F4806" s="1369"/>
      <c r="G4806" s="1369"/>
      <c r="H4806" s="1369"/>
      <c r="K4806" s="841" t="s">
        <v>6095</v>
      </c>
      <c r="M4806" s="1357"/>
      <c r="Q4806" s="1357"/>
      <c r="S4806" s="1420"/>
      <c r="T4806" s="1420"/>
      <c r="V4806" s="1357">
        <v>0</v>
      </c>
    </row>
    <row r="4807" spans="1:22" s="841" customFormat="1" ht="15" x14ac:dyDescent="0.25">
      <c r="A4807" s="841" t="s">
        <v>211</v>
      </c>
      <c r="B4807" s="841" t="s">
        <v>3936</v>
      </c>
      <c r="E4807" s="2069" t="s">
        <v>3067</v>
      </c>
      <c r="F4807" s="2069"/>
      <c r="G4807" s="2069"/>
      <c r="H4807" s="2069"/>
      <c r="K4807" s="841" t="s">
        <v>3099</v>
      </c>
      <c r="M4807" s="1357"/>
      <c r="Q4807" s="1357"/>
      <c r="S4807" s="1420"/>
      <c r="T4807" s="1420"/>
      <c r="V4807" s="1357">
        <v>46</v>
      </c>
    </row>
    <row r="4808" spans="1:22" s="841" customFormat="1" ht="15" x14ac:dyDescent="0.25">
      <c r="A4808" s="841" t="s">
        <v>211</v>
      </c>
      <c r="B4808" s="841" t="s">
        <v>3936</v>
      </c>
      <c r="E4808" s="1690" t="s">
        <v>11</v>
      </c>
      <c r="F4808" s="1690"/>
      <c r="G4808" s="1366" t="s">
        <v>23</v>
      </c>
      <c r="H4808" s="1193">
        <v>83.61</v>
      </c>
      <c r="K4808" s="841" t="s">
        <v>6095</v>
      </c>
      <c r="L4808" s="841" t="s">
        <v>442</v>
      </c>
      <c r="M4808" s="1357"/>
      <c r="P4808" s="841" t="s">
        <v>6096</v>
      </c>
      <c r="Q4808" s="1357"/>
      <c r="S4808" s="1420"/>
      <c r="T4808" s="1420"/>
      <c r="V4808" s="1357">
        <v>14</v>
      </c>
    </row>
    <row r="4809" spans="1:22" s="841" customFormat="1" ht="15" x14ac:dyDescent="0.25">
      <c r="A4809" s="841" t="s">
        <v>211</v>
      </c>
      <c r="B4809" s="841" t="s">
        <v>3936</v>
      </c>
      <c r="E4809" s="1690" t="s">
        <v>3938</v>
      </c>
      <c r="F4809" s="1690"/>
      <c r="G4809" s="1366" t="s">
        <v>23</v>
      </c>
      <c r="H4809" s="1195">
        <v>-0.84</v>
      </c>
      <c r="K4809" s="841" t="s">
        <v>6095</v>
      </c>
      <c r="L4809" s="841" t="s">
        <v>442</v>
      </c>
      <c r="M4809" s="1357"/>
      <c r="P4809" s="841" t="s">
        <v>6256</v>
      </c>
      <c r="Q4809" s="1357"/>
      <c r="S4809" s="1420"/>
      <c r="T4809" s="1420">
        <v>44012</v>
      </c>
      <c r="V4809" s="1357">
        <v>88</v>
      </c>
    </row>
    <row r="4810" spans="1:22" s="841" customFormat="1" ht="15" x14ac:dyDescent="0.25">
      <c r="A4810" s="841" t="s">
        <v>211</v>
      </c>
      <c r="B4810" s="841" t="s">
        <v>3936</v>
      </c>
      <c r="E4810" s="1690" t="s">
        <v>84</v>
      </c>
      <c r="F4810" s="1690"/>
      <c r="G4810" s="1366" t="s">
        <v>33</v>
      </c>
      <c r="H4810" s="1194">
        <v>3.9339</v>
      </c>
      <c r="K4810" s="841" t="s">
        <v>6095</v>
      </c>
      <c r="L4810" s="841" t="s">
        <v>442</v>
      </c>
      <c r="M4810" s="1357"/>
      <c r="P4810" s="841" t="s">
        <v>6097</v>
      </c>
      <c r="Q4810" s="1357"/>
      <c r="S4810" s="1420"/>
      <c r="T4810" s="1420"/>
      <c r="V4810" s="1357">
        <v>28</v>
      </c>
    </row>
    <row r="4811" spans="1:22" s="841" customFormat="1" ht="15" x14ac:dyDescent="0.25">
      <c r="A4811" s="841" t="s">
        <v>211</v>
      </c>
      <c r="B4811" s="841" t="s">
        <v>3936</v>
      </c>
      <c r="E4811" s="1690" t="s">
        <v>18</v>
      </c>
      <c r="F4811" s="1690"/>
      <c r="G4811" s="1366" t="s">
        <v>33</v>
      </c>
      <c r="H4811" s="1196">
        <v>0.155</v>
      </c>
      <c r="K4811" s="841" t="s">
        <v>6095</v>
      </c>
      <c r="L4811" s="841" t="s">
        <v>443</v>
      </c>
      <c r="M4811" s="1357"/>
      <c r="P4811" s="841" t="s">
        <v>6098</v>
      </c>
      <c r="Q4811" s="1357"/>
      <c r="S4811" s="1420"/>
      <c r="T4811" s="1420"/>
      <c r="V4811" s="1357">
        <v>24</v>
      </c>
    </row>
    <row r="4812" spans="1:22" s="841" customFormat="1" ht="15" x14ac:dyDescent="0.25">
      <c r="A4812" s="841" t="s">
        <v>211</v>
      </c>
      <c r="B4812" s="841" t="s">
        <v>3936</v>
      </c>
      <c r="E4812" s="1690" t="s">
        <v>3938</v>
      </c>
      <c r="F4812" s="1690"/>
      <c r="G4812" s="1366" t="s">
        <v>33</v>
      </c>
      <c r="H4812" s="1196">
        <v>-3.9300000000000002E-2</v>
      </c>
      <c r="K4812" s="841" t="s">
        <v>6095</v>
      </c>
      <c r="L4812" s="841" t="s">
        <v>442</v>
      </c>
      <c r="M4812" s="1357"/>
      <c r="P4812" s="841" t="s">
        <v>6257</v>
      </c>
      <c r="Q4812" s="1357"/>
      <c r="S4812" s="1420"/>
      <c r="T4812" s="1420">
        <v>44012</v>
      </c>
      <c r="V4812" s="1357">
        <v>88</v>
      </c>
    </row>
    <row r="4813" spans="1:22" s="841" customFormat="1" ht="15" x14ac:dyDescent="0.25">
      <c r="A4813" s="841" t="s">
        <v>211</v>
      </c>
      <c r="B4813" s="841" t="s">
        <v>3936</v>
      </c>
      <c r="E4813" s="1690" t="s">
        <v>5476</v>
      </c>
      <c r="F4813" s="1690"/>
      <c r="G4813" s="1366" t="s">
        <v>33</v>
      </c>
      <c r="H4813" s="1196">
        <v>-0.1394</v>
      </c>
      <c r="K4813" s="841" t="s">
        <v>6095</v>
      </c>
      <c r="L4813" s="841" t="s">
        <v>442</v>
      </c>
      <c r="M4813" s="1357"/>
      <c r="P4813" s="841" t="s">
        <v>6258</v>
      </c>
      <c r="Q4813" s="1357"/>
      <c r="S4813" s="1420"/>
      <c r="T4813" s="1420">
        <v>43585</v>
      </c>
      <c r="V4813" s="1357">
        <v>87</v>
      </c>
    </row>
    <row r="4814" spans="1:22" s="841" customFormat="1" ht="15" x14ac:dyDescent="0.25">
      <c r="A4814" s="841" t="s">
        <v>211</v>
      </c>
      <c r="B4814" s="841" t="s">
        <v>3936</v>
      </c>
      <c r="E4814" s="1690" t="s">
        <v>5479</v>
      </c>
      <c r="F4814" s="1690"/>
      <c r="G4814" s="1366" t="s">
        <v>33</v>
      </c>
      <c r="H4814" s="1196">
        <v>1.95E-2</v>
      </c>
      <c r="K4814" s="841" t="s">
        <v>6095</v>
      </c>
      <c r="L4814" s="841" t="s">
        <v>442</v>
      </c>
      <c r="M4814" s="1357"/>
      <c r="P4814" s="841" t="s">
        <v>6259</v>
      </c>
      <c r="Q4814" s="1357"/>
      <c r="S4814" s="1420"/>
      <c r="T4814" s="1420"/>
      <c r="V4814" s="1357">
        <v>128</v>
      </c>
    </row>
    <row r="4815" spans="1:22" s="841" customFormat="1" ht="15" x14ac:dyDescent="0.25">
      <c r="A4815" s="841" t="s">
        <v>211</v>
      </c>
      <c r="B4815" s="841" t="s">
        <v>3936</v>
      </c>
      <c r="E4815" s="1690" t="s">
        <v>221</v>
      </c>
      <c r="F4815" s="1690"/>
      <c r="G4815" s="1366" t="s">
        <v>33</v>
      </c>
      <c r="H4815" s="1194">
        <v>2.4546000000000001</v>
      </c>
      <c r="K4815" s="841" t="s">
        <v>6095</v>
      </c>
      <c r="L4815" s="841" t="s">
        <v>444</v>
      </c>
      <c r="M4815" s="1357"/>
      <c r="P4815" s="841" t="s">
        <v>6099</v>
      </c>
      <c r="Q4815" s="1357"/>
      <c r="S4815" s="1420"/>
      <c r="T4815" s="1420"/>
      <c r="V4815" s="1357">
        <v>47</v>
      </c>
    </row>
    <row r="4816" spans="1:22" s="841" customFormat="1" ht="15" x14ac:dyDescent="0.25">
      <c r="A4816" s="841" t="s">
        <v>211</v>
      </c>
      <c r="B4816" s="841" t="s">
        <v>3936</v>
      </c>
      <c r="E4816" s="1690" t="s">
        <v>217</v>
      </c>
      <c r="F4816" s="1690"/>
      <c r="G4816" s="1366" t="s">
        <v>33</v>
      </c>
      <c r="H4816" s="1194">
        <v>2.3357000000000001</v>
      </c>
      <c r="K4816" s="841" t="s">
        <v>6095</v>
      </c>
      <c r="L4816" s="841" t="s">
        <v>444</v>
      </c>
      <c r="M4816" s="1357"/>
      <c r="P4816" s="841" t="s">
        <v>6100</v>
      </c>
      <c r="Q4816" s="1357"/>
      <c r="S4816" s="1420"/>
      <c r="T4816" s="1420"/>
      <c r="V4816" s="1357">
        <v>74</v>
      </c>
    </row>
    <row r="4817" spans="1:22" s="841" customFormat="1" ht="15" x14ac:dyDescent="0.25">
      <c r="A4817" s="841" t="s">
        <v>211</v>
      </c>
      <c r="B4817" s="841" t="s">
        <v>3936</v>
      </c>
      <c r="E4817" s="1365" t="s">
        <v>2461</v>
      </c>
      <c r="F4817" s="1365"/>
      <c r="G4817" s="1366"/>
      <c r="H4817" s="1196"/>
      <c r="K4817" s="841" t="s">
        <v>6095</v>
      </c>
      <c r="M4817" s="1357"/>
      <c r="Q4817" s="1357"/>
      <c r="S4817" s="1420"/>
      <c r="T4817" s="1420"/>
      <c r="V4817" s="1357">
        <v>0</v>
      </c>
    </row>
    <row r="4818" spans="1:22" s="841" customFormat="1" ht="15" x14ac:dyDescent="0.25">
      <c r="A4818" s="841" t="s">
        <v>211</v>
      </c>
      <c r="B4818" s="841" t="s">
        <v>3936</v>
      </c>
      <c r="E4818" s="1694" t="s">
        <v>3079</v>
      </c>
      <c r="F4818" s="1694"/>
      <c r="G4818" s="1365"/>
      <c r="H4818" s="1365"/>
      <c r="K4818" s="841" t="s">
        <v>3218</v>
      </c>
      <c r="M4818" s="1357"/>
      <c r="Q4818" s="1357"/>
      <c r="S4818" s="1420"/>
      <c r="T4818" s="1420"/>
      <c r="V4818" s="1357">
        <v>48</v>
      </c>
    </row>
    <row r="4819" spans="1:22" s="841" customFormat="1" ht="15" x14ac:dyDescent="0.25">
      <c r="A4819" s="841" t="s">
        <v>211</v>
      </c>
      <c r="B4819" s="841" t="s">
        <v>3936</v>
      </c>
      <c r="E4819" s="1690" t="s">
        <v>2449</v>
      </c>
      <c r="F4819" s="1690"/>
      <c r="G4819" s="1366" t="s">
        <v>24</v>
      </c>
      <c r="H4819" s="1196">
        <v>3.2000000000000002E-3</v>
      </c>
      <c r="K4819" s="841" t="s">
        <v>6095</v>
      </c>
      <c r="L4819" s="841" t="s">
        <v>3046</v>
      </c>
      <c r="M4819" s="1357"/>
      <c r="P4819" s="841" t="s">
        <v>6101</v>
      </c>
      <c r="Q4819" s="1357"/>
      <c r="S4819" s="1420"/>
      <c r="T4819" s="1420"/>
      <c r="V4819" s="1357">
        <v>55</v>
      </c>
    </row>
    <row r="4820" spans="1:22" s="841" customFormat="1" ht="15" x14ac:dyDescent="0.25">
      <c r="A4820" s="841" t="s">
        <v>211</v>
      </c>
      <c r="B4820" s="841" t="s">
        <v>3936</v>
      </c>
      <c r="E4820" s="1918" t="s">
        <v>3211</v>
      </c>
      <c r="F4820" s="1918"/>
      <c r="G4820" s="1366" t="s">
        <v>24</v>
      </c>
      <c r="H4820" s="1196">
        <v>4.0000000000000002E-4</v>
      </c>
      <c r="K4820" s="841" t="s">
        <v>6095</v>
      </c>
      <c r="L4820" s="841" t="s">
        <v>3046</v>
      </c>
      <c r="M4820" s="1357"/>
      <c r="P4820" s="841" t="s">
        <v>6101</v>
      </c>
      <c r="Q4820" s="1357"/>
      <c r="S4820" s="1420"/>
      <c r="T4820" s="1420"/>
      <c r="V4820" s="1357">
        <v>64</v>
      </c>
    </row>
    <row r="4821" spans="1:22" s="841" customFormat="1" ht="15" x14ac:dyDescent="0.25">
      <c r="A4821" s="841" t="s">
        <v>211</v>
      </c>
      <c r="B4821" s="841" t="s">
        <v>3936</v>
      </c>
      <c r="E4821" s="1690" t="s">
        <v>439</v>
      </c>
      <c r="F4821" s="1690"/>
      <c r="G4821" s="1366" t="s">
        <v>24</v>
      </c>
      <c r="H4821" s="1196">
        <v>2.9999999999999997E-4</v>
      </c>
      <c r="K4821" s="841" t="s">
        <v>6095</v>
      </c>
      <c r="L4821" s="841" t="s">
        <v>3046</v>
      </c>
      <c r="M4821" s="1357"/>
      <c r="P4821" s="841" t="s">
        <v>6102</v>
      </c>
      <c r="Q4821" s="1357"/>
      <c r="S4821" s="1420"/>
      <c r="T4821" s="1420"/>
      <c r="V4821" s="1357">
        <v>57</v>
      </c>
    </row>
    <row r="4822" spans="1:22" s="841" customFormat="1" ht="15" x14ac:dyDescent="0.25">
      <c r="A4822" s="841" t="s">
        <v>211</v>
      </c>
      <c r="B4822" s="841" t="s">
        <v>3936</v>
      </c>
      <c r="E4822" s="1690" t="s">
        <v>32</v>
      </c>
      <c r="F4822" s="1690"/>
      <c r="G4822" s="1366" t="s">
        <v>23</v>
      </c>
      <c r="H4822" s="1196">
        <v>0.25</v>
      </c>
      <c r="K4822" s="841" t="s">
        <v>6095</v>
      </c>
      <c r="L4822" s="841" t="s">
        <v>3046</v>
      </c>
      <c r="M4822" s="1357"/>
      <c r="P4822" s="841" t="s">
        <v>6103</v>
      </c>
      <c r="Q4822" s="1357"/>
      <c r="S4822" s="1420"/>
      <c r="T4822" s="1420"/>
      <c r="V4822" s="1357">
        <v>63</v>
      </c>
    </row>
    <row r="4823" spans="1:22" s="841" customFormat="1" x14ac:dyDescent="0.25">
      <c r="A4823" s="841" t="s">
        <v>211</v>
      </c>
      <c r="B4823" s="841" t="s">
        <v>3936</v>
      </c>
      <c r="E4823" s="1909" t="s">
        <v>617</v>
      </c>
      <c r="F4823" s="1909"/>
      <c r="G4823" s="1909"/>
      <c r="H4823" s="1909"/>
      <c r="K4823" s="841" t="s">
        <v>3406</v>
      </c>
      <c r="M4823" s="1357"/>
      <c r="Q4823" s="1357"/>
      <c r="S4823" s="1420"/>
      <c r="T4823" s="1420"/>
      <c r="V4823" s="1357">
        <v>47</v>
      </c>
    </row>
    <row r="4824" spans="1:22" s="841" customFormat="1" ht="15" x14ac:dyDescent="0.25">
      <c r="A4824" s="841" t="s">
        <v>211</v>
      </c>
      <c r="B4824" s="841" t="s">
        <v>3936</v>
      </c>
      <c r="E4824" s="1689" t="s">
        <v>4063</v>
      </c>
      <c r="F4824" s="1689"/>
      <c r="G4824" s="1689"/>
      <c r="H4824" s="1689"/>
      <c r="K4824" s="841" t="s">
        <v>3406</v>
      </c>
      <c r="M4824" s="1357"/>
      <c r="Q4824" s="1357"/>
      <c r="S4824" s="1420"/>
      <c r="T4824" s="1420"/>
      <c r="V4824" s="1357">
        <v>720</v>
      </c>
    </row>
    <row r="4825" spans="1:22" s="841" customFormat="1" ht="15" x14ac:dyDescent="0.25">
      <c r="A4825" s="841" t="s">
        <v>211</v>
      </c>
      <c r="B4825" s="841" t="s">
        <v>3936</v>
      </c>
      <c r="E4825" s="1369" t="s">
        <v>2461</v>
      </c>
      <c r="F4825" s="1369"/>
      <c r="G4825" s="1369"/>
      <c r="H4825" s="1369"/>
      <c r="K4825" s="841" t="s">
        <v>3406</v>
      </c>
      <c r="M4825" s="1357"/>
      <c r="Q4825" s="1357"/>
      <c r="S4825" s="1420"/>
      <c r="T4825" s="1420"/>
      <c r="V4825" s="1357">
        <v>0</v>
      </c>
    </row>
    <row r="4826" spans="1:22" s="841" customFormat="1" ht="15" x14ac:dyDescent="0.25">
      <c r="A4826" s="841" t="s">
        <v>211</v>
      </c>
      <c r="B4826" s="841" t="s">
        <v>3936</v>
      </c>
      <c r="E4826" s="1916" t="s">
        <v>3061</v>
      </c>
      <c r="F4826" s="1916"/>
      <c r="G4826" s="1916"/>
      <c r="H4826" s="1916"/>
      <c r="K4826" s="841" t="s">
        <v>3221</v>
      </c>
      <c r="M4826" s="1357"/>
      <c r="Q4826" s="1357"/>
      <c r="S4826" s="1420"/>
      <c r="T4826" s="1420"/>
      <c r="V4826" s="1357">
        <v>11</v>
      </c>
    </row>
    <row r="4827" spans="1:22" s="841" customFormat="1" ht="15" x14ac:dyDescent="0.25">
      <c r="A4827" s="841" t="s">
        <v>211</v>
      </c>
      <c r="B4827" s="841" t="s">
        <v>3936</v>
      </c>
      <c r="E4827" s="1373" t="s">
        <v>2461</v>
      </c>
      <c r="F4827" s="1369"/>
      <c r="G4827" s="1369"/>
      <c r="H4827" s="1369"/>
      <c r="K4827" s="841" t="s">
        <v>3406</v>
      </c>
      <c r="M4827" s="1357"/>
      <c r="Q4827" s="1357"/>
      <c r="S4827" s="1420"/>
      <c r="T4827" s="1420"/>
      <c r="V4827" s="1357">
        <v>0</v>
      </c>
    </row>
    <row r="4828" spans="1:22" s="841" customFormat="1" ht="15" x14ac:dyDescent="0.25">
      <c r="A4828" s="841" t="s">
        <v>211</v>
      </c>
      <c r="B4828" s="841" t="s">
        <v>3936</v>
      </c>
      <c r="E4828" s="1689" t="s">
        <v>3063</v>
      </c>
      <c r="F4828" s="1689"/>
      <c r="G4828" s="1689"/>
      <c r="H4828" s="1689"/>
      <c r="K4828" s="841" t="s">
        <v>3406</v>
      </c>
      <c r="M4828" s="1357"/>
      <c r="Q4828" s="1357"/>
      <c r="S4828" s="1420"/>
      <c r="T4828" s="1420"/>
      <c r="V4828" s="1357">
        <v>280</v>
      </c>
    </row>
    <row r="4829" spans="1:22" s="841" customFormat="1" ht="15" x14ac:dyDescent="0.25">
      <c r="A4829" s="841" t="s">
        <v>211</v>
      </c>
      <c r="B4829" s="841" t="s">
        <v>3936</v>
      </c>
      <c r="E4829" s="1369" t="s">
        <v>2461</v>
      </c>
      <c r="F4829" s="1369"/>
      <c r="G4829" s="1369"/>
      <c r="H4829" s="1369"/>
      <c r="K4829" s="841" t="s">
        <v>3406</v>
      </c>
      <c r="M4829" s="1357"/>
      <c r="Q4829" s="1357"/>
      <c r="S4829" s="1420"/>
      <c r="T4829" s="1420"/>
      <c r="V4829" s="1357">
        <v>0</v>
      </c>
    </row>
    <row r="4830" spans="1:22" s="841" customFormat="1" ht="15" x14ac:dyDescent="0.25">
      <c r="A4830" s="841" t="s">
        <v>211</v>
      </c>
      <c r="B4830" s="841" t="s">
        <v>3936</v>
      </c>
      <c r="E4830" s="1689" t="s">
        <v>3064</v>
      </c>
      <c r="F4830" s="1689"/>
      <c r="G4830" s="1689"/>
      <c r="H4830" s="1689"/>
      <c r="K4830" s="841" t="s">
        <v>3406</v>
      </c>
      <c r="M4830" s="1357"/>
      <c r="Q4830" s="1357"/>
      <c r="S4830" s="1420"/>
      <c r="T4830" s="1420"/>
      <c r="V4830" s="1357">
        <v>411</v>
      </c>
    </row>
    <row r="4831" spans="1:22" s="841" customFormat="1" ht="15" x14ac:dyDescent="0.25">
      <c r="A4831" s="841" t="s">
        <v>211</v>
      </c>
      <c r="B4831" s="841" t="s">
        <v>3936</v>
      </c>
      <c r="E4831" s="1369" t="s">
        <v>2461</v>
      </c>
      <c r="F4831" s="1369"/>
      <c r="G4831" s="1369"/>
      <c r="H4831" s="1369"/>
      <c r="K4831" s="841" t="s">
        <v>3406</v>
      </c>
      <c r="M4831" s="1357"/>
      <c r="Q4831" s="1357"/>
      <c r="S4831" s="1420"/>
      <c r="T4831" s="1420"/>
      <c r="V4831" s="1357">
        <v>0</v>
      </c>
    </row>
    <row r="4832" spans="1:22" s="841" customFormat="1" ht="15" x14ac:dyDescent="0.25">
      <c r="A4832" s="841" t="s">
        <v>211</v>
      </c>
      <c r="B4832" s="841" t="s">
        <v>3936</v>
      </c>
      <c r="E4832" s="1689" t="s">
        <v>3199</v>
      </c>
      <c r="F4832" s="1689"/>
      <c r="G4832" s="1689"/>
      <c r="H4832" s="1689"/>
      <c r="K4832" s="841" t="s">
        <v>3406</v>
      </c>
      <c r="M4832" s="1357"/>
      <c r="Q4832" s="1357"/>
      <c r="S4832" s="1420"/>
      <c r="T4832" s="1420"/>
      <c r="V4832" s="1357">
        <v>386</v>
      </c>
    </row>
    <row r="4833" spans="1:22" s="841" customFormat="1" ht="15" x14ac:dyDescent="0.25">
      <c r="A4833" s="841" t="s">
        <v>211</v>
      </c>
      <c r="B4833" s="841" t="s">
        <v>3936</v>
      </c>
      <c r="E4833" s="1689" t="s">
        <v>2461</v>
      </c>
      <c r="F4833" s="1689"/>
      <c r="G4833" s="1689"/>
      <c r="H4833" s="1689"/>
      <c r="K4833" s="841" t="s">
        <v>3406</v>
      </c>
      <c r="M4833" s="1357"/>
      <c r="Q4833" s="1357"/>
      <c r="S4833" s="1420"/>
      <c r="T4833" s="1420"/>
      <c r="V4833" s="1357">
        <v>0</v>
      </c>
    </row>
    <row r="4834" spans="1:22" s="841" customFormat="1" ht="15" x14ac:dyDescent="0.25">
      <c r="A4834" s="841" t="s">
        <v>211</v>
      </c>
      <c r="B4834" s="841" t="s">
        <v>3936</v>
      </c>
      <c r="E4834" s="1689" t="s">
        <v>3390</v>
      </c>
      <c r="F4834" s="1689"/>
      <c r="G4834" s="1689"/>
      <c r="H4834" s="1689"/>
      <c r="K4834" s="841" t="s">
        <v>3406</v>
      </c>
      <c r="M4834" s="1357"/>
      <c r="Q4834" s="1357"/>
      <c r="S4834" s="1420"/>
      <c r="T4834" s="1420"/>
      <c r="V4834" s="1357">
        <v>274</v>
      </c>
    </row>
    <row r="4835" spans="1:22" s="841" customFormat="1" ht="15" x14ac:dyDescent="0.25">
      <c r="A4835" s="841" t="s">
        <v>211</v>
      </c>
      <c r="B4835" s="841" t="s">
        <v>3936</v>
      </c>
      <c r="E4835" s="1369" t="s">
        <v>2461</v>
      </c>
      <c r="F4835" s="1369"/>
      <c r="G4835" s="1369"/>
      <c r="H4835" s="1369"/>
      <c r="K4835" s="841" t="s">
        <v>3406</v>
      </c>
      <c r="M4835" s="1357"/>
      <c r="Q4835" s="1357"/>
      <c r="S4835" s="1420"/>
      <c r="T4835" s="1420"/>
      <c r="V4835" s="1357">
        <v>0</v>
      </c>
    </row>
    <row r="4836" spans="1:22" s="841" customFormat="1" ht="15" x14ac:dyDescent="0.25">
      <c r="A4836" s="841" t="s">
        <v>211</v>
      </c>
      <c r="B4836" s="841" t="s">
        <v>3936</v>
      </c>
      <c r="E4836" s="1694" t="s">
        <v>3067</v>
      </c>
      <c r="F4836" s="1694"/>
      <c r="G4836" s="1694"/>
      <c r="H4836" s="1694"/>
      <c r="K4836" s="841" t="s">
        <v>3224</v>
      </c>
      <c r="M4836" s="1357"/>
      <c r="Q4836" s="1357"/>
      <c r="S4836" s="1420"/>
      <c r="T4836" s="1420"/>
      <c r="V4836" s="1357">
        <v>46</v>
      </c>
    </row>
    <row r="4837" spans="1:22" s="841" customFormat="1" ht="15" x14ac:dyDescent="0.25">
      <c r="A4837" s="841" t="s">
        <v>211</v>
      </c>
      <c r="B4837" s="841" t="s">
        <v>3936</v>
      </c>
      <c r="E4837" s="1690" t="s">
        <v>12</v>
      </c>
      <c r="F4837" s="1690"/>
      <c r="G4837" s="1366" t="s">
        <v>23</v>
      </c>
      <c r="H4837" s="1193">
        <v>19.510000000000002</v>
      </c>
      <c r="K4837" s="841" t="s">
        <v>3406</v>
      </c>
      <c r="L4837" s="841" t="s">
        <v>442</v>
      </c>
      <c r="M4837" s="1357"/>
      <c r="P4837" s="841" t="s">
        <v>3408</v>
      </c>
      <c r="Q4837" s="1357"/>
      <c r="S4837" s="1420"/>
      <c r="T4837" s="1420"/>
      <c r="V4837" s="1357">
        <v>31</v>
      </c>
    </row>
    <row r="4838" spans="1:22" s="841" customFormat="1" ht="15" x14ac:dyDescent="0.25">
      <c r="A4838" s="841" t="s">
        <v>211</v>
      </c>
      <c r="B4838" s="841" t="s">
        <v>3936</v>
      </c>
      <c r="E4838" s="1690" t="s">
        <v>3940</v>
      </c>
      <c r="F4838" s="1690"/>
      <c r="G4838" s="1366" t="s">
        <v>23</v>
      </c>
      <c r="H4838" s="1195">
        <v>-0.2</v>
      </c>
      <c r="K4838" s="841" t="s">
        <v>3406</v>
      </c>
      <c r="L4838" s="841" t="s">
        <v>442</v>
      </c>
      <c r="M4838" s="1357"/>
      <c r="P4838" s="841" t="s">
        <v>6260</v>
      </c>
      <c r="Q4838" s="1357"/>
      <c r="S4838" s="1420"/>
      <c r="T4838" s="1420">
        <v>44012</v>
      </c>
      <c r="V4838" s="1357">
        <v>105</v>
      </c>
    </row>
    <row r="4839" spans="1:22" s="841" customFormat="1" ht="15" x14ac:dyDescent="0.25">
      <c r="A4839" s="841" t="s">
        <v>211</v>
      </c>
      <c r="B4839" s="841" t="s">
        <v>3936</v>
      </c>
      <c r="E4839" s="1690" t="s">
        <v>84</v>
      </c>
      <c r="F4839" s="1690"/>
      <c r="G4839" s="1366" t="s">
        <v>24</v>
      </c>
      <c r="H4839" s="1194">
        <v>2.5000000000000001E-3</v>
      </c>
      <c r="K4839" s="841" t="s">
        <v>3406</v>
      </c>
      <c r="L4839" s="841" t="s">
        <v>442</v>
      </c>
      <c r="M4839" s="1357"/>
      <c r="P4839" s="841" t="s">
        <v>3409</v>
      </c>
      <c r="Q4839" s="1357"/>
      <c r="S4839" s="1420"/>
      <c r="T4839" s="1420"/>
      <c r="V4839" s="1357">
        <v>28</v>
      </c>
    </row>
    <row r="4840" spans="1:22" s="841" customFormat="1" ht="15" x14ac:dyDescent="0.25">
      <c r="A4840" s="841" t="s">
        <v>211</v>
      </c>
      <c r="B4840" s="841" t="s">
        <v>3936</v>
      </c>
      <c r="E4840" s="1690" t="s">
        <v>18</v>
      </c>
      <c r="F4840" s="1690"/>
      <c r="G4840" s="1366" t="s">
        <v>24</v>
      </c>
      <c r="H4840" s="1196">
        <v>4.0000000000000002E-4</v>
      </c>
      <c r="K4840" s="841" t="s">
        <v>3406</v>
      </c>
      <c r="L4840" s="841" t="s">
        <v>443</v>
      </c>
      <c r="M4840" s="1357"/>
      <c r="P4840" s="841" t="s">
        <v>3549</v>
      </c>
      <c r="Q4840" s="1357"/>
      <c r="S4840" s="1420"/>
      <c r="T4840" s="1420"/>
      <c r="V4840" s="1357">
        <v>24</v>
      </c>
    </row>
    <row r="4841" spans="1:22" s="841" customFormat="1" ht="15" x14ac:dyDescent="0.25">
      <c r="A4841" s="841" t="s">
        <v>211</v>
      </c>
      <c r="B4841" s="841" t="s">
        <v>3936</v>
      </c>
      <c r="E4841" s="1690" t="s">
        <v>3938</v>
      </c>
      <c r="F4841" s="1690"/>
      <c r="G4841" s="1366" t="s">
        <v>24</v>
      </c>
      <c r="H4841" s="1197">
        <v>-3.0000000000000001E-5</v>
      </c>
      <c r="K4841" s="841" t="s">
        <v>3406</v>
      </c>
      <c r="L4841" s="841" t="s">
        <v>442</v>
      </c>
      <c r="M4841" s="1357"/>
      <c r="P4841" s="841" t="s">
        <v>6261</v>
      </c>
      <c r="Q4841" s="1357"/>
      <c r="S4841" s="1420"/>
      <c r="T4841" s="1420">
        <v>44012</v>
      </c>
      <c r="V4841" s="1357">
        <v>88</v>
      </c>
    </row>
    <row r="4842" spans="1:22" s="841" customFormat="1" ht="15" x14ac:dyDescent="0.25">
      <c r="A4842" s="841" t="s">
        <v>211</v>
      </c>
      <c r="B4842" s="841" t="s">
        <v>3936</v>
      </c>
      <c r="E4842" s="1690" t="s">
        <v>5476</v>
      </c>
      <c r="F4842" s="1690"/>
      <c r="G4842" s="1366" t="s">
        <v>24</v>
      </c>
      <c r="H4842" s="1196">
        <v>-1.5E-3</v>
      </c>
      <c r="K4842" s="841" t="s">
        <v>3406</v>
      </c>
      <c r="L4842" s="841" t="s">
        <v>442</v>
      </c>
      <c r="M4842" s="1357"/>
      <c r="P4842" s="841" t="s">
        <v>6262</v>
      </c>
      <c r="Q4842" s="1357"/>
      <c r="S4842" s="1420"/>
      <c r="T4842" s="1420">
        <v>43585</v>
      </c>
      <c r="V4842" s="1357">
        <v>87</v>
      </c>
    </row>
    <row r="4843" spans="1:22" s="841" customFormat="1" ht="15" x14ac:dyDescent="0.25">
      <c r="A4843" s="841" t="s">
        <v>211</v>
      </c>
      <c r="B4843" s="841" t="s">
        <v>3936</v>
      </c>
      <c r="E4843" s="1690" t="s">
        <v>5479</v>
      </c>
      <c r="F4843" s="1690"/>
      <c r="G4843" s="1366" t="s">
        <v>24</v>
      </c>
      <c r="H4843" s="1196">
        <v>2.0000000000000001E-4</v>
      </c>
      <c r="K4843" s="841" t="s">
        <v>3406</v>
      </c>
      <c r="L4843" s="841" t="s">
        <v>442</v>
      </c>
      <c r="M4843" s="1357"/>
      <c r="P4843" s="841" t="s">
        <v>5482</v>
      </c>
      <c r="Q4843" s="1357"/>
      <c r="S4843" s="1420"/>
      <c r="T4843" s="1420"/>
      <c r="V4843" s="1357">
        <v>128</v>
      </c>
    </row>
    <row r="4844" spans="1:22" s="841" customFormat="1" ht="15" x14ac:dyDescent="0.25">
      <c r="A4844" s="841" t="s">
        <v>211</v>
      </c>
      <c r="B4844" s="841" t="s">
        <v>3936</v>
      </c>
      <c r="E4844" s="1690" t="s">
        <v>221</v>
      </c>
      <c r="F4844" s="1690"/>
      <c r="G4844" s="1366" t="s">
        <v>24</v>
      </c>
      <c r="H4844" s="1194">
        <v>5.7999999999999996E-3</v>
      </c>
      <c r="K4844" s="841" t="s">
        <v>3406</v>
      </c>
      <c r="L4844" s="841" t="s">
        <v>444</v>
      </c>
      <c r="M4844" s="1357"/>
      <c r="P4844" s="841" t="s">
        <v>3412</v>
      </c>
      <c r="Q4844" s="1357"/>
      <c r="S4844" s="1420"/>
      <c r="T4844" s="1420"/>
      <c r="V4844" s="1357">
        <v>47</v>
      </c>
    </row>
    <row r="4845" spans="1:22" s="841" customFormat="1" ht="15" x14ac:dyDescent="0.25">
      <c r="A4845" s="841" t="s">
        <v>211</v>
      </c>
      <c r="B4845" s="841" t="s">
        <v>3936</v>
      </c>
      <c r="E4845" s="1690" t="s">
        <v>217</v>
      </c>
      <c r="F4845" s="1690"/>
      <c r="G4845" s="1366" t="s">
        <v>24</v>
      </c>
      <c r="H4845" s="1194">
        <v>5.4999999999999997E-3</v>
      </c>
      <c r="K4845" s="841" t="s">
        <v>3406</v>
      </c>
      <c r="L4845" s="841" t="s">
        <v>444</v>
      </c>
      <c r="M4845" s="1357"/>
      <c r="P4845" s="841" t="s">
        <v>3413</v>
      </c>
      <c r="Q4845" s="1357"/>
      <c r="S4845" s="1420"/>
      <c r="T4845" s="1420"/>
      <c r="V4845" s="1357">
        <v>74</v>
      </c>
    </row>
    <row r="4846" spans="1:22" s="841" customFormat="1" ht="15" x14ac:dyDescent="0.25">
      <c r="A4846" s="841" t="s">
        <v>211</v>
      </c>
      <c r="B4846" s="841" t="s">
        <v>3936</v>
      </c>
      <c r="E4846" s="1365" t="s">
        <v>2461</v>
      </c>
      <c r="F4846" s="1365"/>
      <c r="G4846" s="1366"/>
      <c r="H4846" s="1196"/>
      <c r="K4846" s="841" t="s">
        <v>3406</v>
      </c>
      <c r="M4846" s="1357"/>
      <c r="Q4846" s="1357"/>
      <c r="S4846" s="1420"/>
      <c r="T4846" s="1420"/>
      <c r="V4846" s="1357">
        <v>0</v>
      </c>
    </row>
    <row r="4847" spans="1:22" s="841" customFormat="1" ht="15" x14ac:dyDescent="0.25">
      <c r="A4847" s="841" t="s">
        <v>211</v>
      </c>
      <c r="B4847" s="841" t="s">
        <v>3936</v>
      </c>
      <c r="E4847" s="1694" t="s">
        <v>3079</v>
      </c>
      <c r="F4847" s="1694"/>
      <c r="G4847" s="1694"/>
      <c r="H4847" s="1694"/>
      <c r="K4847" s="841" t="s">
        <v>3225</v>
      </c>
      <c r="M4847" s="1357"/>
      <c r="Q4847" s="1357"/>
      <c r="S4847" s="1420"/>
      <c r="T4847" s="1420"/>
      <c r="V4847" s="1357">
        <v>48</v>
      </c>
    </row>
    <row r="4848" spans="1:22" s="841" customFormat="1" ht="15" x14ac:dyDescent="0.25">
      <c r="A4848" s="841" t="s">
        <v>211</v>
      </c>
      <c r="B4848" s="841" t="s">
        <v>3936</v>
      </c>
      <c r="E4848" s="1690" t="s">
        <v>2449</v>
      </c>
      <c r="F4848" s="1690"/>
      <c r="G4848" s="1366" t="s">
        <v>24</v>
      </c>
      <c r="H4848" s="1196">
        <v>3.2000000000000002E-3</v>
      </c>
      <c r="K4848" s="841" t="s">
        <v>3406</v>
      </c>
      <c r="L4848" s="841" t="s">
        <v>3046</v>
      </c>
      <c r="M4848" s="1357"/>
      <c r="P4848" s="841" t="s">
        <v>3414</v>
      </c>
      <c r="Q4848" s="1357"/>
      <c r="S4848" s="1420"/>
      <c r="T4848" s="1420"/>
      <c r="V4848" s="1357">
        <v>55</v>
      </c>
    </row>
    <row r="4849" spans="1:22" s="841" customFormat="1" ht="15" x14ac:dyDescent="0.25">
      <c r="A4849" s="841" t="s">
        <v>211</v>
      </c>
      <c r="B4849" s="841" t="s">
        <v>3936</v>
      </c>
      <c r="E4849" s="1690" t="s">
        <v>3211</v>
      </c>
      <c r="F4849" s="1690"/>
      <c r="G4849" s="1366" t="s">
        <v>24</v>
      </c>
      <c r="H4849" s="1196">
        <v>4.0000000000000002E-4</v>
      </c>
      <c r="K4849" s="841" t="s">
        <v>3406</v>
      </c>
      <c r="L4849" s="841" t="s">
        <v>3046</v>
      </c>
      <c r="M4849" s="1357"/>
      <c r="P4849" s="841" t="s">
        <v>3414</v>
      </c>
      <c r="Q4849" s="1357"/>
      <c r="S4849" s="1420"/>
      <c r="T4849" s="1420"/>
      <c r="V4849" s="1357">
        <v>64</v>
      </c>
    </row>
    <row r="4850" spans="1:22" s="841" customFormat="1" ht="15" x14ac:dyDescent="0.25">
      <c r="A4850" s="841" t="s">
        <v>211</v>
      </c>
      <c r="B4850" s="841" t="s">
        <v>3936</v>
      </c>
      <c r="E4850" s="1690" t="s">
        <v>439</v>
      </c>
      <c r="F4850" s="1690"/>
      <c r="G4850" s="1366" t="s">
        <v>24</v>
      </c>
      <c r="H4850" s="1196">
        <v>2.9999999999999997E-4</v>
      </c>
      <c r="K4850" s="841" t="s">
        <v>3406</v>
      </c>
      <c r="L4850" s="841" t="s">
        <v>3046</v>
      </c>
      <c r="M4850" s="1357"/>
      <c r="P4850" s="841" t="s">
        <v>3415</v>
      </c>
      <c r="Q4850" s="1357"/>
      <c r="S4850" s="1420"/>
      <c r="T4850" s="1420"/>
      <c r="V4850" s="1357">
        <v>57</v>
      </c>
    </row>
    <row r="4851" spans="1:22" s="841" customFormat="1" ht="15" x14ac:dyDescent="0.25">
      <c r="A4851" s="841" t="s">
        <v>211</v>
      </c>
      <c r="B4851" s="841" t="s">
        <v>3936</v>
      </c>
      <c r="E4851" s="1690" t="s">
        <v>32</v>
      </c>
      <c r="F4851" s="1690"/>
      <c r="G4851" s="1366" t="s">
        <v>23</v>
      </c>
      <c r="H4851" s="1196">
        <v>0.25</v>
      </c>
      <c r="K4851" s="841" t="s">
        <v>3406</v>
      </c>
      <c r="L4851" s="841" t="s">
        <v>3046</v>
      </c>
      <c r="M4851" s="1357"/>
      <c r="P4851" s="841" t="s">
        <v>3416</v>
      </c>
      <c r="Q4851" s="1357"/>
      <c r="S4851" s="1420"/>
      <c r="T4851" s="1420"/>
      <c r="V4851" s="1357">
        <v>63</v>
      </c>
    </row>
    <row r="4852" spans="1:22" s="841" customFormat="1" x14ac:dyDescent="0.25">
      <c r="A4852" s="841" t="s">
        <v>211</v>
      </c>
      <c r="B4852" s="841" t="s">
        <v>3936</v>
      </c>
      <c r="E4852" s="1909" t="s">
        <v>629</v>
      </c>
      <c r="F4852" s="1909"/>
      <c r="G4852" s="1909"/>
      <c r="H4852" s="1909"/>
      <c r="K4852" s="841" t="s">
        <v>3571</v>
      </c>
      <c r="M4852" s="1357"/>
      <c r="Q4852" s="1357"/>
      <c r="S4852" s="1420"/>
      <c r="T4852" s="1420"/>
      <c r="V4852" s="1357">
        <v>40</v>
      </c>
    </row>
    <row r="4853" spans="1:22" s="841" customFormat="1" ht="15" x14ac:dyDescent="0.25">
      <c r="A4853" s="841" t="s">
        <v>211</v>
      </c>
      <c r="B4853" s="841" t="s">
        <v>3936</v>
      </c>
      <c r="E4853" s="1689" t="s">
        <v>5483</v>
      </c>
      <c r="F4853" s="1689"/>
      <c r="G4853" s="1689"/>
      <c r="H4853" s="1689"/>
      <c r="K4853" s="841" t="s">
        <v>3571</v>
      </c>
      <c r="M4853" s="1357"/>
      <c r="Q4853" s="1357"/>
      <c r="S4853" s="1420"/>
      <c r="T4853" s="1420"/>
      <c r="V4853" s="1357">
        <v>462</v>
      </c>
    </row>
    <row r="4854" spans="1:22" s="841" customFormat="1" ht="15" x14ac:dyDescent="0.25">
      <c r="A4854" s="841" t="s">
        <v>211</v>
      </c>
      <c r="B4854" s="841" t="s">
        <v>3936</v>
      </c>
      <c r="E4854" s="1916" t="s">
        <v>3061</v>
      </c>
      <c r="F4854" s="1916"/>
      <c r="G4854" s="1916"/>
      <c r="H4854" s="1916"/>
      <c r="K4854" s="841" t="s">
        <v>3107</v>
      </c>
      <c r="M4854" s="1357"/>
      <c r="Q4854" s="1357"/>
      <c r="S4854" s="1420"/>
      <c r="T4854" s="1420"/>
      <c r="V4854" s="1357">
        <v>11</v>
      </c>
    </row>
    <row r="4855" spans="1:22" s="841" customFormat="1" ht="15" x14ac:dyDescent="0.25">
      <c r="A4855" s="841" t="s">
        <v>211</v>
      </c>
      <c r="B4855" s="841" t="s">
        <v>3936</v>
      </c>
      <c r="E4855" s="1373" t="s">
        <v>2461</v>
      </c>
      <c r="F4855" s="1369"/>
      <c r="G4855" s="1369"/>
      <c r="H4855" s="1369"/>
      <c r="K4855" s="841" t="s">
        <v>3571</v>
      </c>
      <c r="M4855" s="1357"/>
      <c r="Q4855" s="1357"/>
      <c r="S4855" s="1420"/>
      <c r="T4855" s="1420"/>
      <c r="V4855" s="1357">
        <v>0</v>
      </c>
    </row>
    <row r="4856" spans="1:22" s="841" customFormat="1" ht="15" x14ac:dyDescent="0.25">
      <c r="A4856" s="841" t="s">
        <v>211</v>
      </c>
      <c r="B4856" s="841" t="s">
        <v>3936</v>
      </c>
      <c r="E4856" s="1689" t="s">
        <v>3063</v>
      </c>
      <c r="F4856" s="1689"/>
      <c r="G4856" s="1689"/>
      <c r="H4856" s="1689"/>
      <c r="K4856" s="841" t="s">
        <v>3571</v>
      </c>
      <c r="M4856" s="1357"/>
      <c r="Q4856" s="1357"/>
      <c r="S4856" s="1420"/>
      <c r="T4856" s="1420"/>
      <c r="V4856" s="1357">
        <v>280</v>
      </c>
    </row>
    <row r="4857" spans="1:22" s="841" customFormat="1" ht="15" x14ac:dyDescent="0.25">
      <c r="A4857" s="841" t="s">
        <v>211</v>
      </c>
      <c r="B4857" s="841" t="s">
        <v>3936</v>
      </c>
      <c r="E4857" s="1369" t="s">
        <v>2461</v>
      </c>
      <c r="F4857" s="1369"/>
      <c r="G4857" s="1369"/>
      <c r="H4857" s="1369"/>
      <c r="K4857" s="841" t="s">
        <v>3571</v>
      </c>
      <c r="M4857" s="1357"/>
      <c r="Q4857" s="1357"/>
      <c r="S4857" s="1420"/>
      <c r="T4857" s="1420"/>
      <c r="V4857" s="1357">
        <v>0</v>
      </c>
    </row>
    <row r="4858" spans="1:22" s="841" customFormat="1" ht="15" x14ac:dyDescent="0.25">
      <c r="A4858" s="841" t="s">
        <v>211</v>
      </c>
      <c r="B4858" s="841" t="s">
        <v>3936</v>
      </c>
      <c r="E4858" s="1689" t="s">
        <v>3064</v>
      </c>
      <c r="F4858" s="1689"/>
      <c r="G4858" s="1689"/>
      <c r="H4858" s="1689"/>
      <c r="K4858" s="841" t="s">
        <v>3571</v>
      </c>
      <c r="M4858" s="1357"/>
      <c r="Q4858" s="1357"/>
      <c r="S4858" s="1420"/>
      <c r="T4858" s="1420"/>
      <c r="V4858" s="1357">
        <v>411</v>
      </c>
    </row>
    <row r="4859" spans="1:22" s="841" customFormat="1" ht="15" x14ac:dyDescent="0.25">
      <c r="A4859" s="841" t="s">
        <v>211</v>
      </c>
      <c r="B4859" s="841" t="s">
        <v>3936</v>
      </c>
      <c r="E4859" s="1369" t="s">
        <v>2461</v>
      </c>
      <c r="F4859" s="1369"/>
      <c r="G4859" s="1369"/>
      <c r="H4859" s="1369"/>
      <c r="K4859" s="841" t="s">
        <v>3571</v>
      </c>
      <c r="M4859" s="1357"/>
      <c r="Q4859" s="1357"/>
      <c r="S4859" s="1420"/>
      <c r="T4859" s="1420"/>
      <c r="V4859" s="1357">
        <v>0</v>
      </c>
    </row>
    <row r="4860" spans="1:22" s="841" customFormat="1" ht="15" x14ac:dyDescent="0.25">
      <c r="A4860" s="841" t="s">
        <v>211</v>
      </c>
      <c r="B4860" s="841" t="s">
        <v>3936</v>
      </c>
      <c r="E4860" s="1689" t="s">
        <v>3199</v>
      </c>
      <c r="F4860" s="1689"/>
      <c r="G4860" s="1689"/>
      <c r="H4860" s="1689"/>
      <c r="K4860" s="841" t="s">
        <v>3571</v>
      </c>
      <c r="M4860" s="1357"/>
      <c r="Q4860" s="1357"/>
      <c r="S4860" s="1420"/>
      <c r="T4860" s="1420"/>
      <c r="V4860" s="1357">
        <v>386</v>
      </c>
    </row>
    <row r="4861" spans="1:22" s="841" customFormat="1" ht="15" x14ac:dyDescent="0.25">
      <c r="A4861" s="841" t="s">
        <v>211</v>
      </c>
      <c r="B4861" s="841" t="s">
        <v>3936</v>
      </c>
      <c r="E4861" s="1689" t="s">
        <v>2461</v>
      </c>
      <c r="F4861" s="1689"/>
      <c r="G4861" s="1689"/>
      <c r="H4861" s="1689"/>
      <c r="K4861" s="841" t="s">
        <v>3571</v>
      </c>
      <c r="M4861" s="1357"/>
      <c r="Q4861" s="1357"/>
      <c r="S4861" s="1420"/>
      <c r="T4861" s="1420"/>
      <c r="V4861" s="1357">
        <v>0</v>
      </c>
    </row>
    <row r="4862" spans="1:22" s="841" customFormat="1" ht="15" x14ac:dyDescent="0.25">
      <c r="A4862" s="841" t="s">
        <v>211</v>
      </c>
      <c r="B4862" s="841" t="s">
        <v>3936</v>
      </c>
      <c r="E4862" s="1689" t="s">
        <v>3390</v>
      </c>
      <c r="F4862" s="1689"/>
      <c r="G4862" s="1689"/>
      <c r="H4862" s="1689"/>
      <c r="K4862" s="841" t="s">
        <v>3571</v>
      </c>
      <c r="M4862" s="1357"/>
      <c r="Q4862" s="1357"/>
      <c r="S4862" s="1420"/>
      <c r="T4862" s="1420"/>
      <c r="V4862" s="1357">
        <v>274</v>
      </c>
    </row>
    <row r="4863" spans="1:22" s="841" customFormat="1" ht="15" x14ac:dyDescent="0.25">
      <c r="A4863" s="841" t="s">
        <v>211</v>
      </c>
      <c r="B4863" s="841" t="s">
        <v>3936</v>
      </c>
      <c r="E4863" s="1369" t="s">
        <v>2461</v>
      </c>
      <c r="F4863" s="1369"/>
      <c r="G4863" s="1369"/>
      <c r="H4863" s="1369"/>
      <c r="K4863" s="841" t="s">
        <v>3571</v>
      </c>
      <c r="M4863" s="1357"/>
      <c r="Q4863" s="1357"/>
      <c r="S4863" s="1420"/>
      <c r="T4863" s="1420"/>
      <c r="V4863" s="1357">
        <v>0</v>
      </c>
    </row>
    <row r="4864" spans="1:22" s="841" customFormat="1" ht="15" x14ac:dyDescent="0.25">
      <c r="A4864" s="841" t="s">
        <v>211</v>
      </c>
      <c r="B4864" s="841" t="s">
        <v>3936</v>
      </c>
      <c r="E4864" s="1694" t="s">
        <v>3067</v>
      </c>
      <c r="F4864" s="1694"/>
      <c r="G4864" s="1694"/>
      <c r="H4864" s="1694"/>
      <c r="K4864" s="841" t="s">
        <v>3108</v>
      </c>
      <c r="M4864" s="1357"/>
      <c r="Q4864" s="1357"/>
      <c r="S4864" s="1420"/>
      <c r="T4864" s="1420"/>
      <c r="V4864" s="1357">
        <v>46</v>
      </c>
    </row>
    <row r="4865" spans="1:22" s="841" customFormat="1" ht="15" x14ac:dyDescent="0.25">
      <c r="A4865" s="841" t="s">
        <v>211</v>
      </c>
      <c r="B4865" s="841" t="s">
        <v>3936</v>
      </c>
      <c r="E4865" s="1690" t="s">
        <v>12</v>
      </c>
      <c r="F4865" s="1690"/>
      <c r="G4865" s="1366" t="s">
        <v>23</v>
      </c>
      <c r="H4865" s="1193">
        <v>14.23</v>
      </c>
      <c r="K4865" s="841" t="s">
        <v>3571</v>
      </c>
      <c r="L4865" s="841" t="s">
        <v>442</v>
      </c>
      <c r="M4865" s="1357"/>
      <c r="P4865" s="841" t="s">
        <v>3573</v>
      </c>
      <c r="Q4865" s="1357"/>
      <c r="S4865" s="1420"/>
      <c r="T4865" s="1420"/>
      <c r="V4865" s="1357">
        <v>31</v>
      </c>
    </row>
    <row r="4866" spans="1:22" s="841" customFormat="1" ht="15" x14ac:dyDescent="0.25">
      <c r="A4866" s="841" t="s">
        <v>211</v>
      </c>
      <c r="B4866" s="841" t="s">
        <v>3936</v>
      </c>
      <c r="E4866" s="1690" t="s">
        <v>3940</v>
      </c>
      <c r="F4866" s="1690"/>
      <c r="G4866" s="1366" t="s">
        <v>23</v>
      </c>
      <c r="H4866" s="1195">
        <v>-0.14000000000000001</v>
      </c>
      <c r="K4866" s="841" t="s">
        <v>3571</v>
      </c>
      <c r="L4866" s="841" t="s">
        <v>442</v>
      </c>
      <c r="M4866" s="1357"/>
      <c r="P4866" s="841" t="s">
        <v>6263</v>
      </c>
      <c r="Q4866" s="1357"/>
      <c r="S4866" s="1420"/>
      <c r="T4866" s="1420">
        <v>44012</v>
      </c>
      <c r="V4866" s="1357">
        <v>105</v>
      </c>
    </row>
    <row r="4867" spans="1:22" s="841" customFormat="1" ht="15" x14ac:dyDescent="0.25">
      <c r="A4867" s="841" t="s">
        <v>211</v>
      </c>
      <c r="B4867" s="841" t="s">
        <v>3936</v>
      </c>
      <c r="E4867" s="1690" t="s">
        <v>84</v>
      </c>
      <c r="F4867" s="1690"/>
      <c r="G4867" s="1366" t="s">
        <v>33</v>
      </c>
      <c r="H4867" s="1194">
        <v>36.726100000000002</v>
      </c>
      <c r="K4867" s="841" t="s">
        <v>3571</v>
      </c>
      <c r="L4867" s="841" t="s">
        <v>442</v>
      </c>
      <c r="M4867" s="1357"/>
      <c r="P4867" s="841" t="s">
        <v>3574</v>
      </c>
      <c r="Q4867" s="1357"/>
      <c r="S4867" s="1420"/>
      <c r="T4867" s="1420"/>
      <c r="V4867" s="1357">
        <v>28</v>
      </c>
    </row>
    <row r="4868" spans="1:22" s="841" customFormat="1" ht="15" x14ac:dyDescent="0.25">
      <c r="A4868" s="841" t="s">
        <v>211</v>
      </c>
      <c r="B4868" s="841" t="s">
        <v>3936</v>
      </c>
      <c r="E4868" s="1690" t="s">
        <v>18</v>
      </c>
      <c r="F4868" s="1690"/>
      <c r="G4868" s="1366" t="s">
        <v>33</v>
      </c>
      <c r="H4868" s="1196">
        <v>0.1099</v>
      </c>
      <c r="K4868" s="841" t="s">
        <v>3571</v>
      </c>
      <c r="L4868" s="841" t="s">
        <v>443</v>
      </c>
      <c r="M4868" s="1357"/>
      <c r="P4868" s="841" t="s">
        <v>3575</v>
      </c>
      <c r="Q4868" s="1357"/>
      <c r="S4868" s="1420"/>
      <c r="T4868" s="1420"/>
      <c r="V4868" s="1357">
        <v>24</v>
      </c>
    </row>
    <row r="4869" spans="1:22" s="841" customFormat="1" ht="15" x14ac:dyDescent="0.25">
      <c r="A4869" s="841" t="s">
        <v>211</v>
      </c>
      <c r="B4869" s="841" t="s">
        <v>3936</v>
      </c>
      <c r="E4869" s="1690" t="s">
        <v>3938</v>
      </c>
      <c r="F4869" s="1690"/>
      <c r="G4869" s="1366" t="s">
        <v>33</v>
      </c>
      <c r="H4869" s="1196">
        <v>-0.36730000000000002</v>
      </c>
      <c r="K4869" s="841" t="s">
        <v>3571</v>
      </c>
      <c r="L4869" s="841" t="s">
        <v>442</v>
      </c>
      <c r="M4869" s="1357"/>
      <c r="P4869" s="841" t="s">
        <v>6264</v>
      </c>
      <c r="Q4869" s="1357"/>
      <c r="S4869" s="1420"/>
      <c r="T4869" s="1420">
        <v>44012</v>
      </c>
      <c r="V4869" s="1357">
        <v>88</v>
      </c>
    </row>
    <row r="4870" spans="1:22" s="841" customFormat="1" ht="15" x14ac:dyDescent="0.25">
      <c r="A4870" s="841" t="s">
        <v>211</v>
      </c>
      <c r="B4870" s="841" t="s">
        <v>3936</v>
      </c>
      <c r="E4870" s="1690" t="s">
        <v>5476</v>
      </c>
      <c r="F4870" s="1690"/>
      <c r="G4870" s="1366" t="s">
        <v>33</v>
      </c>
      <c r="H4870" s="1196">
        <v>-4.1654999999999998</v>
      </c>
      <c r="K4870" s="841" t="s">
        <v>3571</v>
      </c>
      <c r="L4870" s="841" t="s">
        <v>442</v>
      </c>
      <c r="M4870" s="1357"/>
      <c r="P4870" s="841" t="s">
        <v>6265</v>
      </c>
      <c r="Q4870" s="1357"/>
      <c r="S4870" s="1420"/>
      <c r="T4870" s="1420">
        <v>43585</v>
      </c>
      <c r="V4870" s="1357">
        <v>87</v>
      </c>
    </row>
    <row r="4871" spans="1:22" s="841" customFormat="1" ht="15" x14ac:dyDescent="0.25">
      <c r="A4871" s="841" t="s">
        <v>211</v>
      </c>
      <c r="B4871" s="841" t="s">
        <v>3936</v>
      </c>
      <c r="E4871" s="1690" t="s">
        <v>5479</v>
      </c>
      <c r="F4871" s="1690"/>
      <c r="G4871" s="1366" t="s">
        <v>33</v>
      </c>
      <c r="H4871" s="1196">
        <v>0.62239999999999995</v>
      </c>
      <c r="K4871" s="841" t="s">
        <v>3571</v>
      </c>
      <c r="L4871" s="841" t="s">
        <v>442</v>
      </c>
      <c r="M4871" s="1357"/>
      <c r="P4871" s="841" t="s">
        <v>5484</v>
      </c>
      <c r="Q4871" s="1357"/>
      <c r="S4871" s="1420"/>
      <c r="T4871" s="1420"/>
      <c r="V4871" s="1357">
        <v>128</v>
      </c>
    </row>
    <row r="4872" spans="1:22" s="841" customFormat="1" ht="15" x14ac:dyDescent="0.25">
      <c r="A4872" s="841" t="s">
        <v>211</v>
      </c>
      <c r="B4872" s="841" t="s">
        <v>3936</v>
      </c>
      <c r="E4872" s="1690" t="s">
        <v>221</v>
      </c>
      <c r="F4872" s="1690"/>
      <c r="G4872" s="1366" t="s">
        <v>33</v>
      </c>
      <c r="H4872" s="1194">
        <v>1.7819</v>
      </c>
      <c r="K4872" s="841" t="s">
        <v>3571</v>
      </c>
      <c r="L4872" s="841" t="s">
        <v>444</v>
      </c>
      <c r="M4872" s="1357"/>
      <c r="P4872" s="841" t="s">
        <v>3576</v>
      </c>
      <c r="Q4872" s="1357"/>
      <c r="S4872" s="1420"/>
      <c r="T4872" s="1420"/>
      <c r="V4872" s="1357">
        <v>47</v>
      </c>
    </row>
    <row r="4873" spans="1:22" s="841" customFormat="1" ht="15" x14ac:dyDescent="0.25">
      <c r="A4873" s="841" t="s">
        <v>211</v>
      </c>
      <c r="B4873" s="841" t="s">
        <v>3936</v>
      </c>
      <c r="E4873" s="1690" t="s">
        <v>217</v>
      </c>
      <c r="F4873" s="1690"/>
      <c r="G4873" s="1366" t="s">
        <v>33</v>
      </c>
      <c r="H4873" s="1194">
        <v>1.7130000000000001</v>
      </c>
      <c r="K4873" s="841" t="s">
        <v>3571</v>
      </c>
      <c r="L4873" s="841" t="s">
        <v>444</v>
      </c>
      <c r="M4873" s="1357"/>
      <c r="P4873" s="841" t="s">
        <v>3577</v>
      </c>
      <c r="Q4873" s="1357"/>
      <c r="S4873" s="1420"/>
      <c r="T4873" s="1420"/>
      <c r="V4873" s="1357">
        <v>74</v>
      </c>
    </row>
    <row r="4874" spans="1:22" s="841" customFormat="1" ht="15" x14ac:dyDescent="0.25">
      <c r="A4874" s="841" t="s">
        <v>211</v>
      </c>
      <c r="B4874" s="841" t="s">
        <v>3936</v>
      </c>
      <c r="E4874" s="1365" t="s">
        <v>2461</v>
      </c>
      <c r="F4874" s="1365"/>
      <c r="G4874" s="1366"/>
      <c r="H4874" s="1196"/>
      <c r="K4874" s="841" t="s">
        <v>3571</v>
      </c>
      <c r="M4874" s="1357"/>
      <c r="Q4874" s="1357"/>
      <c r="S4874" s="1420"/>
      <c r="T4874" s="1420"/>
      <c r="V4874" s="1357">
        <v>0</v>
      </c>
    </row>
    <row r="4875" spans="1:22" s="841" customFormat="1" ht="15" x14ac:dyDescent="0.25">
      <c r="A4875" s="841" t="s">
        <v>211</v>
      </c>
      <c r="B4875" s="841" t="s">
        <v>3936</v>
      </c>
      <c r="E4875" s="1694" t="s">
        <v>3079</v>
      </c>
      <c r="F4875" s="1694"/>
      <c r="G4875" s="1366"/>
      <c r="H4875" s="1366"/>
      <c r="K4875" s="841" t="s">
        <v>3111</v>
      </c>
      <c r="M4875" s="1357"/>
      <c r="Q4875" s="1357"/>
      <c r="S4875" s="1420"/>
      <c r="T4875" s="1420"/>
      <c r="V4875" s="1357">
        <v>48</v>
      </c>
    </row>
    <row r="4876" spans="1:22" s="841" customFormat="1" ht="15" x14ac:dyDescent="0.25">
      <c r="A4876" s="841" t="s">
        <v>211</v>
      </c>
      <c r="B4876" s="841" t="s">
        <v>3936</v>
      </c>
      <c r="E4876" s="1690" t="s">
        <v>2449</v>
      </c>
      <c r="F4876" s="1690"/>
      <c r="G4876" s="1366" t="s">
        <v>24</v>
      </c>
      <c r="H4876" s="1196">
        <v>3.2000000000000002E-3</v>
      </c>
      <c r="K4876" s="841" t="s">
        <v>3571</v>
      </c>
      <c r="L4876" s="841" t="s">
        <v>3046</v>
      </c>
      <c r="M4876" s="1357"/>
      <c r="P4876" s="841" t="s">
        <v>3578</v>
      </c>
      <c r="Q4876" s="1357"/>
      <c r="S4876" s="1420"/>
      <c r="T4876" s="1420"/>
      <c r="V4876" s="1357">
        <v>55</v>
      </c>
    </row>
    <row r="4877" spans="1:22" s="841" customFormat="1" ht="15" x14ac:dyDescent="0.25">
      <c r="A4877" s="841" t="s">
        <v>211</v>
      </c>
      <c r="B4877" s="841" t="s">
        <v>3936</v>
      </c>
      <c r="E4877" s="1690" t="s">
        <v>3211</v>
      </c>
      <c r="F4877" s="1690"/>
      <c r="G4877" s="1366" t="s">
        <v>24</v>
      </c>
      <c r="H4877" s="1196">
        <v>4.0000000000000002E-4</v>
      </c>
      <c r="K4877" s="841" t="s">
        <v>3571</v>
      </c>
      <c r="L4877" s="841" t="s">
        <v>3046</v>
      </c>
      <c r="M4877" s="1357"/>
      <c r="P4877" s="841" t="s">
        <v>3578</v>
      </c>
      <c r="Q4877" s="1357"/>
      <c r="S4877" s="1420"/>
      <c r="T4877" s="1420"/>
      <c r="V4877" s="1357">
        <v>64</v>
      </c>
    </row>
    <row r="4878" spans="1:22" s="841" customFormat="1" ht="15" x14ac:dyDescent="0.25">
      <c r="A4878" s="841" t="s">
        <v>211</v>
      </c>
      <c r="B4878" s="841" t="s">
        <v>3936</v>
      </c>
      <c r="E4878" s="1690" t="s">
        <v>439</v>
      </c>
      <c r="F4878" s="1690"/>
      <c r="G4878" s="1366" t="s">
        <v>24</v>
      </c>
      <c r="H4878" s="1196">
        <v>2.9999999999999997E-4</v>
      </c>
      <c r="K4878" s="841" t="s">
        <v>3571</v>
      </c>
      <c r="L4878" s="841" t="s">
        <v>3046</v>
      </c>
      <c r="M4878" s="1357"/>
      <c r="P4878" s="841" t="s">
        <v>3579</v>
      </c>
      <c r="Q4878" s="1357"/>
      <c r="S4878" s="1420"/>
      <c r="T4878" s="1420"/>
      <c r="V4878" s="1357">
        <v>57</v>
      </c>
    </row>
    <row r="4879" spans="1:22" s="841" customFormat="1" ht="15" x14ac:dyDescent="0.25">
      <c r="A4879" s="841" t="s">
        <v>211</v>
      </c>
      <c r="B4879" s="841" t="s">
        <v>3936</v>
      </c>
      <c r="E4879" s="1690" t="s">
        <v>32</v>
      </c>
      <c r="F4879" s="1690"/>
      <c r="G4879" s="1366" t="s">
        <v>23</v>
      </c>
      <c r="H4879" s="1196">
        <v>0.25</v>
      </c>
      <c r="K4879" s="841" t="s">
        <v>3571</v>
      </c>
      <c r="L4879" s="841" t="s">
        <v>3046</v>
      </c>
      <c r="M4879" s="1357"/>
      <c r="P4879" s="841" t="s">
        <v>3580</v>
      </c>
      <c r="Q4879" s="1357"/>
      <c r="S4879" s="1420"/>
      <c r="T4879" s="1420"/>
      <c r="V4879" s="1357">
        <v>63</v>
      </c>
    </row>
    <row r="4880" spans="1:22" s="841" customFormat="1" x14ac:dyDescent="0.25">
      <c r="A4880" s="841" t="s">
        <v>211</v>
      </c>
      <c r="B4880" s="841" t="s">
        <v>3936</v>
      </c>
      <c r="E4880" s="1909" t="s">
        <v>615</v>
      </c>
      <c r="F4880" s="1909"/>
      <c r="G4880" s="1909"/>
      <c r="H4880" s="1909"/>
      <c r="K4880" s="841" t="s">
        <v>3112</v>
      </c>
      <c r="M4880" s="1357"/>
      <c r="Q4880" s="1357"/>
      <c r="S4880" s="1420"/>
      <c r="T4880" s="1420"/>
      <c r="V4880" s="1357">
        <v>38</v>
      </c>
    </row>
    <row r="4881" spans="1:22" s="841" customFormat="1" ht="15" x14ac:dyDescent="0.25">
      <c r="A4881" s="841" t="s">
        <v>211</v>
      </c>
      <c r="B4881" s="841" t="s">
        <v>3936</v>
      </c>
      <c r="E4881" s="1689" t="s">
        <v>4064</v>
      </c>
      <c r="F4881" s="1689"/>
      <c r="G4881" s="1689"/>
      <c r="H4881" s="1689"/>
      <c r="K4881" s="841" t="s">
        <v>3112</v>
      </c>
      <c r="M4881" s="1357"/>
      <c r="Q4881" s="1357"/>
      <c r="S4881" s="1420"/>
      <c r="T4881" s="1420"/>
      <c r="V4881" s="1357">
        <v>542</v>
      </c>
    </row>
    <row r="4882" spans="1:22" s="841" customFormat="1" ht="15" x14ac:dyDescent="0.25">
      <c r="A4882" s="841" t="s">
        <v>211</v>
      </c>
      <c r="B4882" s="841" t="s">
        <v>3936</v>
      </c>
      <c r="E4882" s="1369" t="s">
        <v>2461</v>
      </c>
      <c r="F4882" s="1369"/>
      <c r="G4882" s="1369"/>
      <c r="H4882" s="1369"/>
      <c r="K4882" s="841" t="s">
        <v>3112</v>
      </c>
      <c r="M4882" s="1357"/>
      <c r="Q4882" s="1357"/>
      <c r="S4882" s="1420"/>
      <c r="T4882" s="1420"/>
      <c r="V4882" s="1357">
        <v>0</v>
      </c>
    </row>
    <row r="4883" spans="1:22" s="841" customFormat="1" ht="15" x14ac:dyDescent="0.25">
      <c r="A4883" s="841" t="s">
        <v>211</v>
      </c>
      <c r="B4883" s="841" t="s">
        <v>3936</v>
      </c>
      <c r="E4883" s="1916" t="s">
        <v>3061</v>
      </c>
      <c r="F4883" s="1916"/>
      <c r="G4883" s="1916"/>
      <c r="H4883" s="1916"/>
      <c r="K4883" s="841" t="s">
        <v>3114</v>
      </c>
      <c r="M4883" s="1357"/>
      <c r="Q4883" s="1357"/>
      <c r="S4883" s="1420"/>
      <c r="T4883" s="1420"/>
      <c r="V4883" s="1357">
        <v>11</v>
      </c>
    </row>
    <row r="4884" spans="1:22" s="841" customFormat="1" ht="15" x14ac:dyDescent="0.25">
      <c r="A4884" s="841" t="s">
        <v>211</v>
      </c>
      <c r="B4884" s="841" t="s">
        <v>3936</v>
      </c>
      <c r="E4884" s="1373" t="s">
        <v>2461</v>
      </c>
      <c r="F4884" s="1369"/>
      <c r="G4884" s="1369"/>
      <c r="H4884" s="1369"/>
      <c r="K4884" s="841" t="s">
        <v>3112</v>
      </c>
      <c r="M4884" s="1357"/>
      <c r="Q4884" s="1357"/>
      <c r="S4884" s="1420"/>
      <c r="T4884" s="1420"/>
      <c r="V4884" s="1357">
        <v>0</v>
      </c>
    </row>
    <row r="4885" spans="1:22" s="841" customFormat="1" ht="15" x14ac:dyDescent="0.25">
      <c r="A4885" s="841" t="s">
        <v>211</v>
      </c>
      <c r="B4885" s="841" t="s">
        <v>3936</v>
      </c>
      <c r="E4885" s="1689" t="s">
        <v>3063</v>
      </c>
      <c r="F4885" s="1689"/>
      <c r="G4885" s="1689"/>
      <c r="H4885" s="1689"/>
      <c r="K4885" s="841" t="s">
        <v>3112</v>
      </c>
      <c r="M4885" s="1357"/>
      <c r="Q4885" s="1357"/>
      <c r="S4885" s="1420"/>
      <c r="T4885" s="1420"/>
      <c r="V4885" s="1357">
        <v>280</v>
      </c>
    </row>
    <row r="4886" spans="1:22" s="841" customFormat="1" ht="15" x14ac:dyDescent="0.25">
      <c r="A4886" s="841" t="s">
        <v>211</v>
      </c>
      <c r="B4886" s="841" t="s">
        <v>3936</v>
      </c>
      <c r="E4886" s="1369" t="s">
        <v>2461</v>
      </c>
      <c r="F4886" s="1369"/>
      <c r="G4886" s="1369"/>
      <c r="H4886" s="1369"/>
      <c r="K4886" s="841" t="s">
        <v>3112</v>
      </c>
      <c r="M4886" s="1357"/>
      <c r="Q4886" s="1357"/>
      <c r="S4886" s="1420"/>
      <c r="T4886" s="1420"/>
      <c r="V4886" s="1357">
        <v>0</v>
      </c>
    </row>
    <row r="4887" spans="1:22" s="841" customFormat="1" ht="15" x14ac:dyDescent="0.25">
      <c r="A4887" s="841" t="s">
        <v>211</v>
      </c>
      <c r="B4887" s="841" t="s">
        <v>3936</v>
      </c>
      <c r="E4887" s="1689" t="s">
        <v>3064</v>
      </c>
      <c r="F4887" s="1689"/>
      <c r="G4887" s="1689"/>
      <c r="H4887" s="1689"/>
      <c r="K4887" s="841" t="s">
        <v>3112</v>
      </c>
      <c r="M4887" s="1357"/>
      <c r="Q4887" s="1357"/>
      <c r="S4887" s="1420"/>
      <c r="T4887" s="1420"/>
      <c r="V4887" s="1357">
        <v>411</v>
      </c>
    </row>
    <row r="4888" spans="1:22" s="841" customFormat="1" ht="15" x14ac:dyDescent="0.25">
      <c r="A4888" s="841" t="s">
        <v>211</v>
      </c>
      <c r="B4888" s="841" t="s">
        <v>3936</v>
      </c>
      <c r="E4888" s="1369" t="s">
        <v>2461</v>
      </c>
      <c r="F4888" s="1369"/>
      <c r="G4888" s="1369"/>
      <c r="H4888" s="1369"/>
      <c r="K4888" s="841" t="s">
        <v>3112</v>
      </c>
      <c r="M4888" s="1357"/>
      <c r="Q4888" s="1357"/>
      <c r="S4888" s="1420"/>
      <c r="T4888" s="1420"/>
      <c r="V4888" s="1357">
        <v>0</v>
      </c>
    </row>
    <row r="4889" spans="1:22" s="841" customFormat="1" ht="15" x14ac:dyDescent="0.25">
      <c r="A4889" s="841" t="s">
        <v>211</v>
      </c>
      <c r="B4889" s="841" t="s">
        <v>3936</v>
      </c>
      <c r="E4889" s="1689" t="s">
        <v>3199</v>
      </c>
      <c r="F4889" s="1689"/>
      <c r="G4889" s="1689"/>
      <c r="H4889" s="1689"/>
      <c r="K4889" s="841" t="s">
        <v>3112</v>
      </c>
      <c r="M4889" s="1357"/>
      <c r="Q4889" s="1357"/>
      <c r="S4889" s="1420"/>
      <c r="T4889" s="1420"/>
      <c r="V4889" s="1357">
        <v>386</v>
      </c>
    </row>
    <row r="4890" spans="1:22" s="841" customFormat="1" ht="15" x14ac:dyDescent="0.25">
      <c r="A4890" s="841" t="s">
        <v>211</v>
      </c>
      <c r="B4890" s="841" t="s">
        <v>3936</v>
      </c>
      <c r="E4890" s="1689" t="s">
        <v>2461</v>
      </c>
      <c r="F4890" s="1689"/>
      <c r="G4890" s="1689"/>
      <c r="H4890" s="1689"/>
      <c r="K4890" s="841" t="s">
        <v>3112</v>
      </c>
      <c r="M4890" s="1357"/>
      <c r="Q4890" s="1357"/>
      <c r="S4890" s="1420"/>
      <c r="T4890" s="1420"/>
      <c r="V4890" s="1357">
        <v>0</v>
      </c>
    </row>
    <row r="4891" spans="1:22" s="841" customFormat="1" ht="15" x14ac:dyDescent="0.25">
      <c r="A4891" s="841" t="s">
        <v>211</v>
      </c>
      <c r="B4891" s="841" t="s">
        <v>3936</v>
      </c>
      <c r="E4891" s="1689" t="s">
        <v>3390</v>
      </c>
      <c r="F4891" s="1689"/>
      <c r="G4891" s="1689"/>
      <c r="H4891" s="1689"/>
      <c r="K4891" s="841" t="s">
        <v>3112</v>
      </c>
      <c r="M4891" s="1357"/>
      <c r="Q4891" s="1357"/>
      <c r="S4891" s="1420"/>
      <c r="T4891" s="1420"/>
      <c r="V4891" s="1357">
        <v>274</v>
      </c>
    </row>
    <row r="4892" spans="1:22" s="841" customFormat="1" ht="15" x14ac:dyDescent="0.25">
      <c r="A4892" s="841" t="s">
        <v>211</v>
      </c>
      <c r="B4892" s="841" t="s">
        <v>3936</v>
      </c>
      <c r="E4892" s="1369" t="s">
        <v>2461</v>
      </c>
      <c r="F4892" s="1369"/>
      <c r="G4892" s="1369"/>
      <c r="H4892" s="1369"/>
      <c r="K4892" s="841" t="s">
        <v>3112</v>
      </c>
      <c r="M4892" s="1357"/>
      <c r="Q4892" s="1357"/>
      <c r="S4892" s="1420"/>
      <c r="T4892" s="1420"/>
      <c r="V4892" s="1357">
        <v>0</v>
      </c>
    </row>
    <row r="4893" spans="1:22" s="841" customFormat="1" ht="15" x14ac:dyDescent="0.25">
      <c r="A4893" s="841" t="s">
        <v>211</v>
      </c>
      <c r="B4893" s="841" t="s">
        <v>3936</v>
      </c>
      <c r="E4893" s="1694" t="s">
        <v>3067</v>
      </c>
      <c r="F4893" s="1694"/>
      <c r="G4893" s="1694"/>
      <c r="H4893" s="1694"/>
      <c r="K4893" s="841" t="s">
        <v>3115</v>
      </c>
      <c r="M4893" s="1357"/>
      <c r="Q4893" s="1357"/>
      <c r="S4893" s="1420"/>
      <c r="T4893" s="1420"/>
      <c r="V4893" s="1357">
        <v>46</v>
      </c>
    </row>
    <row r="4894" spans="1:22" s="841" customFormat="1" ht="15" x14ac:dyDescent="0.25">
      <c r="A4894" s="841" t="s">
        <v>211</v>
      </c>
      <c r="B4894" s="841" t="s">
        <v>3936</v>
      </c>
      <c r="E4894" s="1690" t="s">
        <v>12</v>
      </c>
      <c r="F4894" s="1690"/>
      <c r="G4894" s="1366" t="s">
        <v>23</v>
      </c>
      <c r="H4894" s="1193">
        <v>5.7</v>
      </c>
      <c r="K4894" s="841" t="s">
        <v>3112</v>
      </c>
      <c r="L4894" s="841" t="s">
        <v>442</v>
      </c>
      <c r="M4894" s="1357"/>
      <c r="P4894" s="841" t="s">
        <v>3116</v>
      </c>
      <c r="Q4894" s="1357"/>
      <c r="S4894" s="1420"/>
      <c r="T4894" s="1420"/>
      <c r="V4894" s="1357">
        <v>31</v>
      </c>
    </row>
    <row r="4895" spans="1:22" s="841" customFormat="1" ht="15" x14ac:dyDescent="0.25">
      <c r="A4895" s="841" t="s">
        <v>211</v>
      </c>
      <c r="B4895" s="841" t="s">
        <v>3936</v>
      </c>
      <c r="E4895" s="1690" t="s">
        <v>3940</v>
      </c>
      <c r="F4895" s="1690"/>
      <c r="G4895" s="1366" t="s">
        <v>23</v>
      </c>
      <c r="H4895" s="1195">
        <v>-0.06</v>
      </c>
      <c r="K4895" s="841" t="s">
        <v>3112</v>
      </c>
      <c r="L4895" s="841" t="s">
        <v>442</v>
      </c>
      <c r="M4895" s="1357"/>
      <c r="P4895" s="841" t="s">
        <v>6266</v>
      </c>
      <c r="Q4895" s="1357"/>
      <c r="S4895" s="1420"/>
      <c r="T4895" s="1420">
        <v>44012</v>
      </c>
      <c r="V4895" s="1357">
        <v>105</v>
      </c>
    </row>
    <row r="4896" spans="1:22" s="841" customFormat="1" ht="15" x14ac:dyDescent="0.25">
      <c r="A4896" s="841" t="s">
        <v>211</v>
      </c>
      <c r="B4896" s="841" t="s">
        <v>3936</v>
      </c>
      <c r="E4896" s="1690" t="s">
        <v>84</v>
      </c>
      <c r="F4896" s="1690"/>
      <c r="G4896" s="1366" t="s">
        <v>33</v>
      </c>
      <c r="H4896" s="1194">
        <v>14.588200000000001</v>
      </c>
      <c r="K4896" s="841" t="s">
        <v>3112</v>
      </c>
      <c r="L4896" s="841" t="s">
        <v>442</v>
      </c>
      <c r="M4896" s="1357"/>
      <c r="P4896" s="841" t="s">
        <v>3117</v>
      </c>
      <c r="Q4896" s="1357"/>
      <c r="S4896" s="1420"/>
      <c r="T4896" s="1420"/>
      <c r="V4896" s="1357">
        <v>28</v>
      </c>
    </row>
    <row r="4897" spans="1:22" s="841" customFormat="1" ht="15" x14ac:dyDescent="0.25">
      <c r="A4897" s="841" t="s">
        <v>211</v>
      </c>
      <c r="B4897" s="841" t="s">
        <v>3936</v>
      </c>
      <c r="E4897" s="1690" t="s">
        <v>18</v>
      </c>
      <c r="F4897" s="1690"/>
      <c r="G4897" s="1366" t="s">
        <v>33</v>
      </c>
      <c r="H4897" s="1196">
        <v>0.113</v>
      </c>
      <c r="K4897" s="841" t="s">
        <v>3112</v>
      </c>
      <c r="L4897" s="841" t="s">
        <v>443</v>
      </c>
      <c r="M4897" s="1357"/>
      <c r="P4897" s="841" t="s">
        <v>3497</v>
      </c>
      <c r="Q4897" s="1357"/>
      <c r="S4897" s="1420"/>
      <c r="T4897" s="1420"/>
      <c r="V4897" s="1357">
        <v>24</v>
      </c>
    </row>
    <row r="4898" spans="1:22" s="841" customFormat="1" ht="15" x14ac:dyDescent="0.25">
      <c r="A4898" s="841" t="s">
        <v>211</v>
      </c>
      <c r="B4898" s="841" t="s">
        <v>3936</v>
      </c>
      <c r="E4898" s="1690" t="s">
        <v>3938</v>
      </c>
      <c r="F4898" s="1690"/>
      <c r="G4898" s="1366" t="s">
        <v>33</v>
      </c>
      <c r="H4898" s="1196">
        <v>-0.1459</v>
      </c>
      <c r="K4898" s="841" t="s">
        <v>3112</v>
      </c>
      <c r="L4898" s="841" t="s">
        <v>442</v>
      </c>
      <c r="M4898" s="1357"/>
      <c r="P4898" s="841" t="s">
        <v>6267</v>
      </c>
      <c r="Q4898" s="1357"/>
      <c r="S4898" s="1420"/>
      <c r="T4898" s="1420">
        <v>44012</v>
      </c>
      <c r="V4898" s="1357">
        <v>88</v>
      </c>
    </row>
    <row r="4899" spans="1:22" s="841" customFormat="1" ht="15" x14ac:dyDescent="0.25">
      <c r="A4899" s="841" t="s">
        <v>211</v>
      </c>
      <c r="B4899" s="841" t="s">
        <v>3936</v>
      </c>
      <c r="E4899" s="1690" t="s">
        <v>5476</v>
      </c>
      <c r="F4899" s="1690"/>
      <c r="G4899" s="1366" t="s">
        <v>33</v>
      </c>
      <c r="H4899" s="1196">
        <v>-1.4430000000000001</v>
      </c>
      <c r="K4899" s="841" t="s">
        <v>3112</v>
      </c>
      <c r="L4899" s="841" t="s">
        <v>442</v>
      </c>
      <c r="M4899" s="1357"/>
      <c r="P4899" s="841" t="s">
        <v>6268</v>
      </c>
      <c r="Q4899" s="1357"/>
      <c r="S4899" s="1420"/>
      <c r="T4899" s="1420">
        <v>43585</v>
      </c>
      <c r="V4899" s="1357">
        <v>87</v>
      </c>
    </row>
    <row r="4900" spans="1:22" s="841" customFormat="1" ht="15" x14ac:dyDescent="0.25">
      <c r="A4900" s="841" t="s">
        <v>211</v>
      </c>
      <c r="B4900" s="841" t="s">
        <v>3936</v>
      </c>
      <c r="E4900" s="1690" t="s">
        <v>5479</v>
      </c>
      <c r="F4900" s="1690"/>
      <c r="G4900" s="1366" t="s">
        <v>33</v>
      </c>
      <c r="H4900" s="1196">
        <v>0.2152</v>
      </c>
      <c r="K4900" s="841" t="s">
        <v>3112</v>
      </c>
      <c r="L4900" s="841" t="s">
        <v>442</v>
      </c>
      <c r="M4900" s="1357"/>
      <c r="P4900" s="841" t="s">
        <v>5485</v>
      </c>
      <c r="Q4900" s="1357"/>
      <c r="S4900" s="1420"/>
      <c r="T4900" s="1420"/>
      <c r="V4900" s="1357">
        <v>128</v>
      </c>
    </row>
    <row r="4901" spans="1:22" s="841" customFormat="1" ht="15" x14ac:dyDescent="0.25">
      <c r="A4901" s="841" t="s">
        <v>211</v>
      </c>
      <c r="B4901" s="841" t="s">
        <v>3936</v>
      </c>
      <c r="E4901" s="1690" t="s">
        <v>221</v>
      </c>
      <c r="F4901" s="1690"/>
      <c r="G4901" s="1366" t="s">
        <v>33</v>
      </c>
      <c r="H4901" s="1194">
        <v>1.7728999999999999</v>
      </c>
      <c r="K4901" s="841" t="s">
        <v>3112</v>
      </c>
      <c r="L4901" s="841" t="s">
        <v>444</v>
      </c>
      <c r="M4901" s="1357"/>
      <c r="P4901" s="841" t="s">
        <v>3120</v>
      </c>
      <c r="Q4901" s="1357"/>
      <c r="S4901" s="1420"/>
      <c r="T4901" s="1420"/>
      <c r="V4901" s="1357">
        <v>47</v>
      </c>
    </row>
    <row r="4902" spans="1:22" s="841" customFormat="1" ht="15" x14ac:dyDescent="0.25">
      <c r="A4902" s="841" t="s">
        <v>211</v>
      </c>
      <c r="B4902" s="841" t="s">
        <v>3936</v>
      </c>
      <c r="E4902" s="1690" t="s">
        <v>217</v>
      </c>
      <c r="F4902" s="1690"/>
      <c r="G4902" s="1366" t="s">
        <v>33</v>
      </c>
      <c r="H4902" s="1194">
        <v>1.6779999999999999</v>
      </c>
      <c r="K4902" s="841" t="s">
        <v>3112</v>
      </c>
      <c r="L4902" s="841" t="s">
        <v>444</v>
      </c>
      <c r="M4902" s="1357"/>
      <c r="P4902" s="841" t="s">
        <v>3121</v>
      </c>
      <c r="Q4902" s="1357"/>
      <c r="S4902" s="1420"/>
      <c r="T4902" s="1420"/>
      <c r="V4902" s="1357">
        <v>74</v>
      </c>
    </row>
    <row r="4903" spans="1:22" s="841" customFormat="1" ht="15" x14ac:dyDescent="0.25">
      <c r="A4903" s="841" t="s">
        <v>211</v>
      </c>
      <c r="B4903" s="841" t="s">
        <v>3936</v>
      </c>
      <c r="E4903" s="1365" t="s">
        <v>2461</v>
      </c>
      <c r="F4903" s="1365"/>
      <c r="G4903" s="1366"/>
      <c r="H4903" s="1196"/>
      <c r="K4903" s="841" t="s">
        <v>3112</v>
      </c>
      <c r="M4903" s="1357"/>
      <c r="Q4903" s="1357"/>
      <c r="S4903" s="1420"/>
      <c r="T4903" s="1420"/>
      <c r="V4903" s="1357">
        <v>0</v>
      </c>
    </row>
    <row r="4904" spans="1:22" s="841" customFormat="1" ht="15" x14ac:dyDescent="0.25">
      <c r="A4904" s="841" t="s">
        <v>211</v>
      </c>
      <c r="B4904" s="841" t="s">
        <v>3936</v>
      </c>
      <c r="E4904" s="1694" t="s">
        <v>3079</v>
      </c>
      <c r="F4904" s="1694"/>
      <c r="G4904" s="1366"/>
      <c r="H4904" s="1366"/>
      <c r="K4904" s="841" t="s">
        <v>3122</v>
      </c>
      <c r="M4904" s="1357"/>
      <c r="Q4904" s="1357"/>
      <c r="S4904" s="1420"/>
      <c r="T4904" s="1420"/>
      <c r="V4904" s="1357">
        <v>48</v>
      </c>
    </row>
    <row r="4905" spans="1:22" s="841" customFormat="1" ht="15" x14ac:dyDescent="0.25">
      <c r="A4905" s="841" t="s">
        <v>211</v>
      </c>
      <c r="B4905" s="841" t="s">
        <v>3936</v>
      </c>
      <c r="E4905" s="1690" t="s">
        <v>2449</v>
      </c>
      <c r="F4905" s="1690"/>
      <c r="G4905" s="1366" t="s">
        <v>24</v>
      </c>
      <c r="H4905" s="1196">
        <v>3.2000000000000002E-3</v>
      </c>
      <c r="K4905" s="841" t="s">
        <v>3112</v>
      </c>
      <c r="L4905" s="841" t="s">
        <v>3046</v>
      </c>
      <c r="M4905" s="1357"/>
      <c r="P4905" s="841" t="s">
        <v>3123</v>
      </c>
      <c r="Q4905" s="1357"/>
      <c r="S4905" s="1420"/>
      <c r="T4905" s="1420"/>
      <c r="V4905" s="1357">
        <v>55</v>
      </c>
    </row>
    <row r="4906" spans="1:22" s="841" customFormat="1" ht="15" x14ac:dyDescent="0.25">
      <c r="A4906" s="841" t="s">
        <v>211</v>
      </c>
      <c r="B4906" s="841" t="s">
        <v>3936</v>
      </c>
      <c r="E4906" s="1690" t="s">
        <v>3211</v>
      </c>
      <c r="F4906" s="1690"/>
      <c r="G4906" s="1366" t="s">
        <v>24</v>
      </c>
      <c r="H4906" s="1196">
        <v>4.0000000000000002E-4</v>
      </c>
      <c r="K4906" s="841" t="s">
        <v>3112</v>
      </c>
      <c r="L4906" s="841" t="s">
        <v>3046</v>
      </c>
      <c r="M4906" s="1357"/>
      <c r="P4906" s="841" t="s">
        <v>3123</v>
      </c>
      <c r="Q4906" s="1357"/>
      <c r="S4906" s="1420"/>
      <c r="T4906" s="1420"/>
      <c r="V4906" s="1357">
        <v>64</v>
      </c>
    </row>
    <row r="4907" spans="1:22" s="841" customFormat="1" ht="15" x14ac:dyDescent="0.25">
      <c r="A4907" s="841" t="s">
        <v>211</v>
      </c>
      <c r="B4907" s="841" t="s">
        <v>3936</v>
      </c>
      <c r="E4907" s="1690" t="s">
        <v>439</v>
      </c>
      <c r="F4907" s="1690"/>
      <c r="G4907" s="1366" t="s">
        <v>24</v>
      </c>
      <c r="H4907" s="1196">
        <v>2.9999999999999997E-4</v>
      </c>
      <c r="K4907" s="841" t="s">
        <v>3112</v>
      </c>
      <c r="L4907" s="841" t="s">
        <v>3046</v>
      </c>
      <c r="M4907" s="1357"/>
      <c r="P4907" s="841" t="s">
        <v>3124</v>
      </c>
      <c r="Q4907" s="1357"/>
      <c r="S4907" s="1420"/>
      <c r="T4907" s="1420"/>
      <c r="V4907" s="1357">
        <v>57</v>
      </c>
    </row>
    <row r="4908" spans="1:22" s="841" customFormat="1" ht="15" x14ac:dyDescent="0.25">
      <c r="A4908" s="841" t="s">
        <v>211</v>
      </c>
      <c r="B4908" s="841" t="s">
        <v>3936</v>
      </c>
      <c r="E4908" s="1690" t="s">
        <v>32</v>
      </c>
      <c r="F4908" s="1690"/>
      <c r="G4908" s="1366" t="s">
        <v>23</v>
      </c>
      <c r="H4908" s="1196">
        <v>0.25</v>
      </c>
      <c r="K4908" s="841" t="s">
        <v>3112</v>
      </c>
      <c r="L4908" s="841" t="s">
        <v>3046</v>
      </c>
      <c r="M4908" s="1357"/>
      <c r="P4908" s="841" t="s">
        <v>3125</v>
      </c>
      <c r="Q4908" s="1357"/>
      <c r="S4908" s="1420"/>
      <c r="T4908" s="1420"/>
      <c r="V4908" s="1357">
        <v>63</v>
      </c>
    </row>
    <row r="4909" spans="1:22" s="841" customFormat="1" x14ac:dyDescent="0.25">
      <c r="A4909" s="841" t="s">
        <v>211</v>
      </c>
      <c r="B4909" s="841" t="s">
        <v>3936</v>
      </c>
      <c r="E4909" s="1909" t="s">
        <v>3942</v>
      </c>
      <c r="F4909" s="1909"/>
      <c r="G4909" s="1909"/>
      <c r="H4909" s="1909"/>
      <c r="K4909" s="841" t="s">
        <v>5486</v>
      </c>
      <c r="M4909" s="1357"/>
      <c r="Q4909" s="1357"/>
      <c r="S4909" s="1420"/>
      <c r="T4909" s="1420"/>
      <c r="V4909" s="1357">
        <v>71</v>
      </c>
    </row>
    <row r="4910" spans="1:22" s="841" customFormat="1" ht="15" x14ac:dyDescent="0.25">
      <c r="A4910" s="841" t="s">
        <v>211</v>
      </c>
      <c r="B4910" s="841" t="s">
        <v>3936</v>
      </c>
      <c r="E4910" s="1689" t="s">
        <v>3943</v>
      </c>
      <c r="F4910" s="1689"/>
      <c r="G4910" s="1689"/>
      <c r="H4910" s="1689"/>
      <c r="K4910" s="841" t="s">
        <v>5486</v>
      </c>
      <c r="M4910" s="1357"/>
      <c r="Q4910" s="1357"/>
      <c r="S4910" s="1420"/>
      <c r="T4910" s="1420"/>
      <c r="V4910" s="1357">
        <v>361</v>
      </c>
    </row>
    <row r="4911" spans="1:22" s="841" customFormat="1" ht="15" x14ac:dyDescent="0.25">
      <c r="A4911" s="841" t="s">
        <v>211</v>
      </c>
      <c r="B4911" s="841" t="s">
        <v>3936</v>
      </c>
      <c r="E4911" s="1916" t="s">
        <v>3061</v>
      </c>
      <c r="F4911" s="1916"/>
      <c r="G4911" s="1916"/>
      <c r="H4911" s="1916"/>
      <c r="K4911" s="841" t="s">
        <v>3128</v>
      </c>
      <c r="M4911" s="1357"/>
      <c r="Q4911" s="1357"/>
      <c r="S4911" s="1420"/>
      <c r="T4911" s="1420"/>
      <c r="V4911" s="1357">
        <v>11</v>
      </c>
    </row>
    <row r="4912" spans="1:22" s="841" customFormat="1" ht="15" x14ac:dyDescent="0.25">
      <c r="A4912" s="841" t="s">
        <v>211</v>
      </c>
      <c r="B4912" s="841" t="s">
        <v>3936</v>
      </c>
      <c r="E4912" s="1689" t="s">
        <v>3063</v>
      </c>
      <c r="F4912" s="1689"/>
      <c r="G4912" s="1689"/>
      <c r="H4912" s="1689"/>
      <c r="K4912" s="841" t="s">
        <v>5486</v>
      </c>
      <c r="M4912" s="1357"/>
      <c r="Q4912" s="1357"/>
      <c r="S4912" s="1420"/>
      <c r="T4912" s="1420"/>
      <c r="V4912" s="1357">
        <v>280</v>
      </c>
    </row>
    <row r="4913" spans="1:22" s="841" customFormat="1" ht="15" x14ac:dyDescent="0.25">
      <c r="A4913" s="841" t="s">
        <v>211</v>
      </c>
      <c r="B4913" s="841" t="s">
        <v>3936</v>
      </c>
      <c r="E4913" s="1369" t="s">
        <v>2461</v>
      </c>
      <c r="F4913" s="1369"/>
      <c r="G4913" s="1369"/>
      <c r="H4913" s="1369"/>
      <c r="K4913" s="841" t="s">
        <v>5486</v>
      </c>
      <c r="M4913" s="1357"/>
      <c r="Q4913" s="1357"/>
      <c r="S4913" s="1420"/>
      <c r="T4913" s="1420"/>
      <c r="V4913" s="1357">
        <v>0</v>
      </c>
    </row>
    <row r="4914" spans="1:22" s="841" customFormat="1" ht="15" x14ac:dyDescent="0.25">
      <c r="A4914" s="841" t="s">
        <v>211</v>
      </c>
      <c r="B4914" s="841" t="s">
        <v>3936</v>
      </c>
      <c r="E4914" s="1689" t="s">
        <v>3064</v>
      </c>
      <c r="F4914" s="1689"/>
      <c r="G4914" s="1689"/>
      <c r="H4914" s="1689"/>
      <c r="K4914" s="841" t="s">
        <v>5486</v>
      </c>
      <c r="M4914" s="1357"/>
      <c r="Q4914" s="1357"/>
      <c r="S4914" s="1420"/>
      <c r="T4914" s="1420"/>
      <c r="V4914" s="1357">
        <v>411</v>
      </c>
    </row>
    <row r="4915" spans="1:22" s="841" customFormat="1" ht="15" x14ac:dyDescent="0.25">
      <c r="A4915" s="841" t="s">
        <v>211</v>
      </c>
      <c r="B4915" s="841" t="s">
        <v>3936</v>
      </c>
      <c r="E4915" s="1369" t="s">
        <v>2461</v>
      </c>
      <c r="F4915" s="1369"/>
      <c r="G4915" s="1369"/>
      <c r="H4915" s="1369"/>
      <c r="K4915" s="841" t="s">
        <v>5486</v>
      </c>
      <c r="M4915" s="1357"/>
      <c r="Q4915" s="1357"/>
      <c r="S4915" s="1420"/>
      <c r="T4915" s="1420"/>
      <c r="V4915" s="1357">
        <v>0</v>
      </c>
    </row>
    <row r="4916" spans="1:22" s="841" customFormat="1" ht="15" x14ac:dyDescent="0.25">
      <c r="A4916" s="841" t="s">
        <v>211</v>
      </c>
      <c r="B4916" s="841" t="s">
        <v>3936</v>
      </c>
      <c r="E4916" s="1689" t="s">
        <v>3199</v>
      </c>
      <c r="F4916" s="1689"/>
      <c r="G4916" s="1689"/>
      <c r="H4916" s="1689"/>
      <c r="K4916" s="841" t="s">
        <v>5486</v>
      </c>
      <c r="M4916" s="1357"/>
      <c r="Q4916" s="1357"/>
      <c r="S4916" s="1420"/>
      <c r="T4916" s="1420"/>
      <c r="V4916" s="1357">
        <v>386</v>
      </c>
    </row>
    <row r="4917" spans="1:22" s="841" customFormat="1" ht="15" x14ac:dyDescent="0.25">
      <c r="A4917" s="841" t="s">
        <v>211</v>
      </c>
      <c r="B4917" s="841" t="s">
        <v>3936</v>
      </c>
      <c r="E4917" s="1689" t="s">
        <v>2461</v>
      </c>
      <c r="F4917" s="1689"/>
      <c r="G4917" s="1689"/>
      <c r="H4917" s="1689"/>
      <c r="K4917" s="841" t="s">
        <v>5486</v>
      </c>
      <c r="M4917" s="1357"/>
      <c r="Q4917" s="1357"/>
      <c r="S4917" s="1420"/>
      <c r="T4917" s="1420"/>
      <c r="V4917" s="1357">
        <v>0</v>
      </c>
    </row>
    <row r="4918" spans="1:22" s="841" customFormat="1" ht="15" x14ac:dyDescent="0.25">
      <c r="A4918" s="841" t="s">
        <v>211</v>
      </c>
      <c r="B4918" s="841" t="s">
        <v>3936</v>
      </c>
      <c r="E4918" s="1689" t="s">
        <v>3390</v>
      </c>
      <c r="F4918" s="1689"/>
      <c r="G4918" s="1689"/>
      <c r="H4918" s="1689"/>
      <c r="K4918" s="841" t="s">
        <v>5486</v>
      </c>
      <c r="M4918" s="1357"/>
      <c r="Q4918" s="1357"/>
      <c r="S4918" s="1420"/>
      <c r="T4918" s="1420"/>
      <c r="V4918" s="1357">
        <v>274</v>
      </c>
    </row>
    <row r="4919" spans="1:22" s="841" customFormat="1" ht="15" x14ac:dyDescent="0.25">
      <c r="A4919" s="841" t="s">
        <v>211</v>
      </c>
      <c r="B4919" s="841" t="s">
        <v>3936</v>
      </c>
      <c r="E4919" s="1369" t="s">
        <v>2461</v>
      </c>
      <c r="F4919" s="1369"/>
      <c r="G4919" s="1369"/>
      <c r="H4919" s="1369"/>
      <c r="K4919" s="841" t="s">
        <v>5486</v>
      </c>
      <c r="M4919" s="1357"/>
      <c r="Q4919" s="1357"/>
      <c r="S4919" s="1420"/>
      <c r="T4919" s="1420"/>
      <c r="V4919" s="1357">
        <v>0</v>
      </c>
    </row>
    <row r="4920" spans="1:22" s="841" customFormat="1" ht="15" x14ac:dyDescent="0.25">
      <c r="A4920" s="841" t="s">
        <v>211</v>
      </c>
      <c r="B4920" s="841" t="s">
        <v>3936</v>
      </c>
      <c r="E4920" s="2069" t="s">
        <v>3067</v>
      </c>
      <c r="F4920" s="2069"/>
      <c r="G4920" s="2069"/>
      <c r="H4920" s="2069"/>
      <c r="K4920" s="841" t="s">
        <v>3130</v>
      </c>
      <c r="M4920" s="1357"/>
      <c r="Q4920" s="1357"/>
      <c r="S4920" s="1420"/>
      <c r="T4920" s="1420"/>
      <c r="V4920" s="1357">
        <v>46</v>
      </c>
    </row>
    <row r="4921" spans="1:22" s="841" customFormat="1" ht="15" x14ac:dyDescent="0.25">
      <c r="A4921" s="841" t="s">
        <v>211</v>
      </c>
      <c r="B4921" s="841" t="s">
        <v>3936</v>
      </c>
      <c r="E4921" s="1690" t="s">
        <v>11</v>
      </c>
      <c r="F4921" s="1690"/>
      <c r="G4921" s="1366" t="s">
        <v>23</v>
      </c>
      <c r="H4921" s="1193">
        <v>464.17</v>
      </c>
      <c r="K4921" s="841" t="s">
        <v>5486</v>
      </c>
      <c r="L4921" s="841" t="s">
        <v>442</v>
      </c>
      <c r="M4921" s="1357"/>
      <c r="P4921" s="841" t="s">
        <v>5487</v>
      </c>
      <c r="Q4921" s="1357"/>
      <c r="S4921" s="1420"/>
      <c r="T4921" s="1420"/>
      <c r="V4921" s="1357">
        <v>14</v>
      </c>
    </row>
    <row r="4922" spans="1:22" s="841" customFormat="1" ht="15" x14ac:dyDescent="0.25">
      <c r="A4922" s="841" t="s">
        <v>211</v>
      </c>
      <c r="B4922" s="841" t="s">
        <v>3936</v>
      </c>
      <c r="E4922" s="1690" t="s">
        <v>3938</v>
      </c>
      <c r="F4922" s="1690"/>
      <c r="G4922" s="1366" t="s">
        <v>23</v>
      </c>
      <c r="H4922" s="1195">
        <v>-4.6399999999999997</v>
      </c>
      <c r="K4922" s="841" t="s">
        <v>5486</v>
      </c>
      <c r="L4922" s="841" t="s">
        <v>442</v>
      </c>
      <c r="M4922" s="1357"/>
      <c r="P4922" s="841" t="s">
        <v>6269</v>
      </c>
      <c r="Q4922" s="1357"/>
      <c r="S4922" s="1420"/>
      <c r="T4922" s="1420">
        <v>44012</v>
      </c>
      <c r="V4922" s="1357">
        <v>88</v>
      </c>
    </row>
    <row r="4923" spans="1:22" s="841" customFormat="1" ht="15" x14ac:dyDescent="0.25">
      <c r="A4923" s="841" t="s">
        <v>211</v>
      </c>
      <c r="B4923" s="841" t="s">
        <v>3936</v>
      </c>
      <c r="E4923" s="1690" t="s">
        <v>372</v>
      </c>
      <c r="F4923" s="1690"/>
      <c r="G4923" s="1366" t="s">
        <v>33</v>
      </c>
      <c r="H4923" s="1198">
        <v>1.4303999999999999</v>
      </c>
      <c r="K4923" s="841" t="s">
        <v>5486</v>
      </c>
      <c r="L4923" s="841" t="s">
        <v>442</v>
      </c>
      <c r="M4923" s="1357"/>
      <c r="P4923" s="841" t="s">
        <v>5488</v>
      </c>
      <c r="Q4923" s="1357"/>
      <c r="S4923" s="1420"/>
      <c r="T4923" s="1420"/>
      <c r="V4923" s="1357">
        <v>34</v>
      </c>
    </row>
    <row r="4924" spans="1:22" s="841" customFormat="1" ht="15" x14ac:dyDescent="0.25">
      <c r="A4924" s="841" t="s">
        <v>211</v>
      </c>
      <c r="B4924" s="841" t="s">
        <v>3936</v>
      </c>
      <c r="E4924" s="1690" t="s">
        <v>3938</v>
      </c>
      <c r="F4924" s="1690"/>
      <c r="G4924" s="1366" t="s">
        <v>33</v>
      </c>
      <c r="H4924" s="1196">
        <v>-1.43E-2</v>
      </c>
      <c r="K4924" s="841" t="s">
        <v>5486</v>
      </c>
      <c r="L4924" s="841" t="s">
        <v>442</v>
      </c>
      <c r="M4924" s="1357"/>
      <c r="P4924" s="841" t="s">
        <v>6270</v>
      </c>
      <c r="Q4924" s="1357"/>
      <c r="S4924" s="1420"/>
      <c r="T4924" s="1420">
        <v>44012</v>
      </c>
      <c r="V4924" s="1357">
        <v>88</v>
      </c>
    </row>
    <row r="4925" spans="1:22" s="841" customFormat="1" ht="15" x14ac:dyDescent="0.25">
      <c r="A4925" s="841" t="s">
        <v>211</v>
      </c>
      <c r="B4925" s="841" t="s">
        <v>3936</v>
      </c>
      <c r="E4925" s="1690" t="s">
        <v>221</v>
      </c>
      <c r="F4925" s="1690"/>
      <c r="G4925" s="1366" t="s">
        <v>33</v>
      </c>
      <c r="H4925" s="1194">
        <v>2.9390999999999998</v>
      </c>
      <c r="K4925" s="841" t="s">
        <v>5486</v>
      </c>
      <c r="L4925" s="841" t="s">
        <v>444</v>
      </c>
      <c r="M4925" s="1357"/>
      <c r="P4925" s="841" t="s">
        <v>5489</v>
      </c>
      <c r="Q4925" s="1357"/>
      <c r="S4925" s="1420"/>
      <c r="T4925" s="1420"/>
      <c r="V4925" s="1357">
        <v>47</v>
      </c>
    </row>
    <row r="4926" spans="1:22" s="841" customFormat="1" ht="15" x14ac:dyDescent="0.25">
      <c r="A4926" s="841" t="s">
        <v>211</v>
      </c>
      <c r="B4926" s="841" t="s">
        <v>3936</v>
      </c>
      <c r="E4926" s="1690" t="s">
        <v>217</v>
      </c>
      <c r="F4926" s="1690"/>
      <c r="G4926" s="1366" t="s">
        <v>33</v>
      </c>
      <c r="H4926" s="1194">
        <v>2.9243999999999999</v>
      </c>
      <c r="K4926" s="841" t="s">
        <v>5486</v>
      </c>
      <c r="L4926" s="841" t="s">
        <v>444</v>
      </c>
      <c r="M4926" s="1357"/>
      <c r="P4926" s="841" t="s">
        <v>5490</v>
      </c>
      <c r="Q4926" s="1357"/>
      <c r="S4926" s="1420"/>
      <c r="T4926" s="1420"/>
      <c r="V4926" s="1357">
        <v>74</v>
      </c>
    </row>
    <row r="4927" spans="1:22" s="841" customFormat="1" ht="15" x14ac:dyDescent="0.25">
      <c r="A4927" s="841" t="s">
        <v>211</v>
      </c>
      <c r="B4927" s="841" t="s">
        <v>3936</v>
      </c>
      <c r="E4927" s="1365" t="s">
        <v>2461</v>
      </c>
      <c r="F4927" s="1365"/>
      <c r="G4927" s="1366"/>
      <c r="H4927" s="1196"/>
      <c r="K4927" s="841" t="s">
        <v>5486</v>
      </c>
      <c r="M4927" s="1357"/>
      <c r="Q4927" s="1357"/>
      <c r="S4927" s="1420"/>
      <c r="T4927" s="1420"/>
      <c r="V4927" s="1357">
        <v>0</v>
      </c>
    </row>
    <row r="4928" spans="1:22" s="841" customFormat="1" ht="15" x14ac:dyDescent="0.25">
      <c r="A4928" s="841" t="s">
        <v>211</v>
      </c>
      <c r="B4928" s="841" t="s">
        <v>3936</v>
      </c>
      <c r="E4928" s="1694" t="s">
        <v>3079</v>
      </c>
      <c r="F4928" s="1694"/>
      <c r="G4928" s="1366"/>
      <c r="H4928" s="1366"/>
      <c r="K4928" s="841" t="s">
        <v>3260</v>
      </c>
      <c r="M4928" s="1357"/>
      <c r="Q4928" s="1357"/>
      <c r="S4928" s="1420"/>
      <c r="T4928" s="1420"/>
      <c r="V4928" s="1357">
        <v>48</v>
      </c>
    </row>
    <row r="4929" spans="1:22" s="841" customFormat="1" ht="15" x14ac:dyDescent="0.25">
      <c r="A4929" s="841" t="s">
        <v>211</v>
      </c>
      <c r="B4929" s="841" t="s">
        <v>3936</v>
      </c>
      <c r="E4929" s="1690" t="s">
        <v>2449</v>
      </c>
      <c r="F4929" s="1690"/>
      <c r="G4929" s="1366" t="s">
        <v>24</v>
      </c>
      <c r="H4929" s="1196">
        <v>3.2000000000000002E-3</v>
      </c>
      <c r="K4929" s="841" t="s">
        <v>5486</v>
      </c>
      <c r="L4929" s="841" t="s">
        <v>3046</v>
      </c>
      <c r="M4929" s="1357"/>
      <c r="P4929" s="841" t="s">
        <v>5491</v>
      </c>
      <c r="Q4929" s="1357"/>
      <c r="S4929" s="1420"/>
      <c r="T4929" s="1420"/>
      <c r="V4929" s="1357">
        <v>55</v>
      </c>
    </row>
    <row r="4930" spans="1:22" s="841" customFormat="1" ht="15" x14ac:dyDescent="0.25">
      <c r="A4930" s="841" t="s">
        <v>211</v>
      </c>
      <c r="B4930" s="841" t="s">
        <v>3936</v>
      </c>
      <c r="E4930" s="1690" t="s">
        <v>3211</v>
      </c>
      <c r="F4930" s="1690"/>
      <c r="G4930" s="1366" t="s">
        <v>24</v>
      </c>
      <c r="H4930" s="1196">
        <v>4.0000000000000002E-4</v>
      </c>
      <c r="K4930" s="841" t="s">
        <v>5486</v>
      </c>
      <c r="L4930" s="841" t="s">
        <v>3046</v>
      </c>
      <c r="M4930" s="1357"/>
      <c r="P4930" s="841" t="s">
        <v>5491</v>
      </c>
      <c r="Q4930" s="1357"/>
      <c r="S4930" s="1420"/>
      <c r="T4930" s="1420"/>
      <c r="V4930" s="1357">
        <v>64</v>
      </c>
    </row>
    <row r="4931" spans="1:22" s="841" customFormat="1" ht="15" x14ac:dyDescent="0.25">
      <c r="A4931" s="841" t="s">
        <v>211</v>
      </c>
      <c r="B4931" s="841" t="s">
        <v>3936</v>
      </c>
      <c r="E4931" s="1690" t="s">
        <v>439</v>
      </c>
      <c r="F4931" s="1690"/>
      <c r="G4931" s="1366" t="s">
        <v>24</v>
      </c>
      <c r="H4931" s="1196">
        <v>2.9999999999999997E-4</v>
      </c>
      <c r="K4931" s="841" t="s">
        <v>5486</v>
      </c>
      <c r="L4931" s="841" t="s">
        <v>3046</v>
      </c>
      <c r="M4931" s="1357"/>
      <c r="P4931" s="841" t="s">
        <v>5492</v>
      </c>
      <c r="Q4931" s="1357"/>
      <c r="S4931" s="1420"/>
      <c r="T4931" s="1420"/>
      <c r="V4931" s="1357">
        <v>57</v>
      </c>
    </row>
    <row r="4932" spans="1:22" s="841" customFormat="1" ht="15" x14ac:dyDescent="0.25">
      <c r="A4932" s="841" t="s">
        <v>211</v>
      </c>
      <c r="B4932" s="841" t="s">
        <v>3936</v>
      </c>
      <c r="E4932" s="1690" t="s">
        <v>32</v>
      </c>
      <c r="F4932" s="1690"/>
      <c r="G4932" s="1366" t="s">
        <v>23</v>
      </c>
      <c r="H4932" s="1196">
        <v>0.25</v>
      </c>
      <c r="K4932" s="841" t="s">
        <v>5486</v>
      </c>
      <c r="L4932" s="841" t="s">
        <v>3046</v>
      </c>
      <c r="M4932" s="1357"/>
      <c r="P4932" s="841" t="s">
        <v>5493</v>
      </c>
      <c r="Q4932" s="1357"/>
      <c r="S4932" s="1420"/>
      <c r="T4932" s="1420"/>
      <c r="V4932" s="1357">
        <v>63</v>
      </c>
    </row>
    <row r="4933" spans="1:22" s="841" customFormat="1" x14ac:dyDescent="0.25">
      <c r="A4933" s="841" t="s">
        <v>211</v>
      </c>
      <c r="B4933" s="841" t="s">
        <v>3936</v>
      </c>
      <c r="E4933" s="1909" t="s">
        <v>618</v>
      </c>
      <c r="F4933" s="1909"/>
      <c r="G4933" s="1909"/>
      <c r="H4933" s="1909"/>
      <c r="K4933" s="841" t="s">
        <v>3487</v>
      </c>
      <c r="M4933" s="1357"/>
      <c r="Q4933" s="1357"/>
      <c r="S4933" s="1420"/>
      <c r="T4933" s="1420"/>
      <c r="V4933" s="1357">
        <v>31</v>
      </c>
    </row>
    <row r="4934" spans="1:22" s="841" customFormat="1" ht="15" x14ac:dyDescent="0.25">
      <c r="A4934" s="841" t="s">
        <v>211</v>
      </c>
      <c r="B4934" s="841" t="s">
        <v>3936</v>
      </c>
      <c r="E4934" s="1689" t="s">
        <v>3372</v>
      </c>
      <c r="F4934" s="1689"/>
      <c r="G4934" s="1689"/>
      <c r="H4934" s="1689"/>
      <c r="K4934" s="841" t="s">
        <v>3487</v>
      </c>
      <c r="M4934" s="1357"/>
      <c r="Q4934" s="1357"/>
      <c r="S4934" s="1420"/>
      <c r="T4934" s="1420"/>
      <c r="V4934" s="1357">
        <v>285</v>
      </c>
    </row>
    <row r="4935" spans="1:22" s="841" customFormat="1" ht="15" x14ac:dyDescent="0.25">
      <c r="A4935" s="841" t="s">
        <v>211</v>
      </c>
      <c r="B4935" s="841" t="s">
        <v>3936</v>
      </c>
      <c r="E4935" s="1369" t="s">
        <v>2461</v>
      </c>
      <c r="F4935" s="1369"/>
      <c r="G4935" s="1369"/>
      <c r="H4935" s="1369"/>
      <c r="K4935" s="841" t="s">
        <v>3487</v>
      </c>
      <c r="M4935" s="1357"/>
      <c r="Q4935" s="1357"/>
      <c r="S4935" s="1420"/>
      <c r="T4935" s="1420"/>
      <c r="V4935" s="1357">
        <v>0</v>
      </c>
    </row>
    <row r="4936" spans="1:22" s="841" customFormat="1" ht="15" x14ac:dyDescent="0.25">
      <c r="A4936" s="841" t="s">
        <v>211</v>
      </c>
      <c r="B4936" s="841" t="s">
        <v>3936</v>
      </c>
      <c r="E4936" s="1916" t="s">
        <v>3061</v>
      </c>
      <c r="F4936" s="1916"/>
      <c r="G4936" s="1916"/>
      <c r="H4936" s="1916"/>
      <c r="K4936" s="841" t="s">
        <v>3266</v>
      </c>
      <c r="M4936" s="1357"/>
      <c r="Q4936" s="1357"/>
      <c r="S4936" s="1420"/>
      <c r="T4936" s="1420"/>
      <c r="V4936" s="1357">
        <v>11</v>
      </c>
    </row>
    <row r="4937" spans="1:22" s="841" customFormat="1" ht="15" x14ac:dyDescent="0.25">
      <c r="A4937" s="841" t="s">
        <v>211</v>
      </c>
      <c r="B4937" s="841" t="s">
        <v>3936</v>
      </c>
      <c r="E4937" s="1373" t="s">
        <v>2461</v>
      </c>
      <c r="F4937" s="1369"/>
      <c r="G4937" s="1369"/>
      <c r="H4937" s="1369"/>
      <c r="K4937" s="841" t="s">
        <v>3487</v>
      </c>
      <c r="M4937" s="1357"/>
      <c r="Q4937" s="1357"/>
      <c r="S4937" s="1420"/>
      <c r="T4937" s="1420"/>
      <c r="V4937" s="1357">
        <v>0</v>
      </c>
    </row>
    <row r="4938" spans="1:22" s="841" customFormat="1" ht="15" x14ac:dyDescent="0.25">
      <c r="A4938" s="841" t="s">
        <v>211</v>
      </c>
      <c r="B4938" s="841" t="s">
        <v>3936</v>
      </c>
      <c r="E4938" s="1689" t="s">
        <v>3063</v>
      </c>
      <c r="F4938" s="1689"/>
      <c r="G4938" s="1689"/>
      <c r="H4938" s="1689"/>
      <c r="K4938" s="841" t="s">
        <v>3487</v>
      </c>
      <c r="M4938" s="1357"/>
      <c r="Q4938" s="1357"/>
      <c r="S4938" s="1420"/>
      <c r="T4938" s="1420"/>
      <c r="V4938" s="1357">
        <v>280</v>
      </c>
    </row>
    <row r="4939" spans="1:22" s="841" customFormat="1" ht="15" x14ac:dyDescent="0.25">
      <c r="A4939" s="841" t="s">
        <v>211</v>
      </c>
      <c r="B4939" s="841" t="s">
        <v>3936</v>
      </c>
      <c r="E4939" s="1369" t="s">
        <v>2461</v>
      </c>
      <c r="F4939" s="1369"/>
      <c r="G4939" s="1369"/>
      <c r="H4939" s="1369"/>
      <c r="K4939" s="841" t="s">
        <v>3487</v>
      </c>
      <c r="M4939" s="1357"/>
      <c r="Q4939" s="1357"/>
      <c r="S4939" s="1420"/>
      <c r="T4939" s="1420"/>
      <c r="V4939" s="1357">
        <v>0</v>
      </c>
    </row>
    <row r="4940" spans="1:22" s="841" customFormat="1" ht="15" x14ac:dyDescent="0.25">
      <c r="A4940" s="841" t="s">
        <v>211</v>
      </c>
      <c r="B4940" s="841" t="s">
        <v>3936</v>
      </c>
      <c r="E4940" s="1689" t="s">
        <v>3064</v>
      </c>
      <c r="F4940" s="1689"/>
      <c r="G4940" s="1689"/>
      <c r="H4940" s="1689"/>
      <c r="K4940" s="841" t="s">
        <v>3487</v>
      </c>
      <c r="M4940" s="1357"/>
      <c r="Q4940" s="1357"/>
      <c r="S4940" s="1420"/>
      <c r="T4940" s="1420"/>
      <c r="V4940" s="1357">
        <v>411</v>
      </c>
    </row>
    <row r="4941" spans="1:22" s="841" customFormat="1" ht="15" x14ac:dyDescent="0.25">
      <c r="A4941" s="841" t="s">
        <v>211</v>
      </c>
      <c r="B4941" s="841" t="s">
        <v>3936</v>
      </c>
      <c r="E4941" s="1369" t="s">
        <v>2461</v>
      </c>
      <c r="F4941" s="1369"/>
      <c r="G4941" s="1369"/>
      <c r="H4941" s="1369"/>
      <c r="K4941" s="841" t="s">
        <v>3487</v>
      </c>
      <c r="M4941" s="1357"/>
      <c r="Q4941" s="1357"/>
      <c r="S4941" s="1420"/>
      <c r="T4941" s="1420"/>
      <c r="V4941" s="1357">
        <v>0</v>
      </c>
    </row>
    <row r="4942" spans="1:22" s="841" customFormat="1" ht="15" x14ac:dyDescent="0.25">
      <c r="A4942" s="841" t="s">
        <v>211</v>
      </c>
      <c r="B4942" s="841" t="s">
        <v>3936</v>
      </c>
      <c r="E4942" s="1689" t="s">
        <v>3129</v>
      </c>
      <c r="F4942" s="1689"/>
      <c r="G4942" s="1689"/>
      <c r="H4942" s="1689"/>
      <c r="K4942" s="841" t="s">
        <v>3487</v>
      </c>
      <c r="M4942" s="1357"/>
      <c r="Q4942" s="1357"/>
      <c r="S4942" s="1420"/>
      <c r="T4942" s="1420"/>
      <c r="V4942" s="1357">
        <v>211</v>
      </c>
    </row>
    <row r="4943" spans="1:22" s="841" customFormat="1" ht="15" x14ac:dyDescent="0.25">
      <c r="A4943" s="841" t="s">
        <v>211</v>
      </c>
      <c r="B4943" s="841" t="s">
        <v>3936</v>
      </c>
      <c r="E4943" s="1689" t="s">
        <v>3390</v>
      </c>
      <c r="F4943" s="1689"/>
      <c r="G4943" s="1689"/>
      <c r="H4943" s="1689"/>
      <c r="K4943" s="841" t="s">
        <v>3487</v>
      </c>
      <c r="M4943" s="1357"/>
      <c r="Q4943" s="1357"/>
      <c r="S4943" s="1420"/>
      <c r="T4943" s="1420"/>
      <c r="V4943" s="1357">
        <v>274</v>
      </c>
    </row>
    <row r="4944" spans="1:22" s="841" customFormat="1" ht="15" x14ac:dyDescent="0.25">
      <c r="A4944" s="841" t="s">
        <v>211</v>
      </c>
      <c r="B4944" s="841" t="s">
        <v>3936</v>
      </c>
      <c r="E4944" s="1369" t="s">
        <v>2461</v>
      </c>
      <c r="F4944" s="1369"/>
      <c r="G4944" s="1369"/>
      <c r="H4944" s="1369"/>
      <c r="K4944" s="841" t="s">
        <v>3487</v>
      </c>
      <c r="M4944" s="1357"/>
      <c r="Q4944" s="1357"/>
      <c r="S4944" s="1420"/>
      <c r="T4944" s="1420"/>
      <c r="V4944" s="1357">
        <v>0</v>
      </c>
    </row>
    <row r="4945" spans="1:22" s="841" customFormat="1" ht="15" x14ac:dyDescent="0.25">
      <c r="A4945" s="841" t="s">
        <v>211</v>
      </c>
      <c r="B4945" s="841" t="s">
        <v>3936</v>
      </c>
      <c r="E4945" s="1694" t="s">
        <v>3067</v>
      </c>
      <c r="F4945" s="1694"/>
      <c r="G4945" s="1694"/>
      <c r="H4945" s="1694"/>
      <c r="K4945" s="841" t="s">
        <v>3267</v>
      </c>
      <c r="M4945" s="1357"/>
      <c r="Q4945" s="1357"/>
      <c r="S4945" s="1420"/>
      <c r="T4945" s="1420"/>
      <c r="V4945" s="1357">
        <v>46</v>
      </c>
    </row>
    <row r="4946" spans="1:22" s="841" customFormat="1" ht="15" x14ac:dyDescent="0.25">
      <c r="A4946" s="841" t="s">
        <v>211</v>
      </c>
      <c r="B4946" s="841" t="s">
        <v>3936</v>
      </c>
      <c r="E4946" s="1370" t="s">
        <v>2461</v>
      </c>
      <c r="F4946" s="1367"/>
      <c r="G4946" s="1367"/>
      <c r="H4946" s="1367"/>
      <c r="K4946" s="841" t="s">
        <v>3487</v>
      </c>
      <c r="M4946" s="1357"/>
      <c r="Q4946" s="1357"/>
      <c r="S4946" s="1420"/>
      <c r="T4946" s="1420"/>
      <c r="V4946" s="1357">
        <v>0</v>
      </c>
    </row>
    <row r="4947" spans="1:22" s="841" customFormat="1" ht="15" x14ac:dyDescent="0.25">
      <c r="A4947" s="841" t="s">
        <v>211</v>
      </c>
      <c r="B4947" s="841" t="s">
        <v>3936</v>
      </c>
      <c r="E4947" s="1690" t="s">
        <v>11</v>
      </c>
      <c r="F4947" s="1690"/>
      <c r="G4947" s="1366" t="s">
        <v>23</v>
      </c>
      <c r="H4947" s="1193">
        <v>5.4</v>
      </c>
      <c r="K4947" s="841" t="s">
        <v>3487</v>
      </c>
      <c r="L4947" s="841" t="s">
        <v>442</v>
      </c>
      <c r="M4947" s="1357"/>
      <c r="P4947" s="841" t="s">
        <v>3488</v>
      </c>
      <c r="Q4947" s="1357"/>
      <c r="S4947" s="1420"/>
      <c r="T4947" s="1420"/>
      <c r="V4947" s="1357">
        <v>14</v>
      </c>
    </row>
    <row r="4948" spans="1:22" s="841" customFormat="1" ht="15" x14ac:dyDescent="0.25">
      <c r="A4948" s="841" t="s">
        <v>211</v>
      </c>
      <c r="B4948" s="841" t="s">
        <v>3936</v>
      </c>
      <c r="E4948" s="1388" t="s">
        <v>2461</v>
      </c>
      <c r="F4948" s="1365"/>
      <c r="G4948" s="1366"/>
      <c r="H4948" s="1195"/>
      <c r="K4948" s="841" t="s">
        <v>3487</v>
      </c>
      <c r="M4948" s="1357"/>
      <c r="Q4948" s="1357"/>
      <c r="S4948" s="1420"/>
      <c r="T4948" s="1420"/>
      <c r="V4948" s="1357">
        <v>0</v>
      </c>
    </row>
    <row r="4949" spans="1:22" s="841" customFormat="1" x14ac:dyDescent="0.25">
      <c r="A4949" s="841" t="s">
        <v>211</v>
      </c>
      <c r="B4949" s="841" t="s">
        <v>3936</v>
      </c>
      <c r="E4949" s="1374" t="s">
        <v>85</v>
      </c>
      <c r="F4949" s="1374"/>
      <c r="G4949" s="1374"/>
      <c r="H4949" s="1374"/>
      <c r="K4949" s="841" t="s">
        <v>3970</v>
      </c>
      <c r="M4949" s="1357"/>
      <c r="Q4949" s="1357"/>
      <c r="S4949" s="1420"/>
      <c r="T4949" s="1420"/>
      <c r="V4949" s="1357">
        <v>10</v>
      </c>
    </row>
    <row r="4950" spans="1:22" s="841" customFormat="1" ht="15" x14ac:dyDescent="0.25">
      <c r="A4950" s="841" t="s">
        <v>211</v>
      </c>
      <c r="B4950" s="841" t="s">
        <v>3936</v>
      </c>
      <c r="E4950" s="1690" t="s">
        <v>3133</v>
      </c>
      <c r="F4950" s="1690"/>
      <c r="G4950" s="1365" t="s">
        <v>33</v>
      </c>
      <c r="H4950" s="733">
        <v>-0.6</v>
      </c>
      <c r="M4950" s="1357"/>
      <c r="Q4950" s="1357"/>
      <c r="S4950" s="1420"/>
      <c r="T4950" s="1420"/>
      <c r="V4950" s="1357">
        <v>68</v>
      </c>
    </row>
    <row r="4951" spans="1:22" s="841" customFormat="1" ht="15" x14ac:dyDescent="0.25">
      <c r="A4951" s="841" t="s">
        <v>211</v>
      </c>
      <c r="B4951" s="841" t="s">
        <v>3936</v>
      </c>
      <c r="E4951" s="1690" t="s">
        <v>3134</v>
      </c>
      <c r="F4951" s="1690"/>
      <c r="G4951" s="1365" t="s">
        <v>86</v>
      </c>
      <c r="H4951" s="733">
        <v>-1</v>
      </c>
      <c r="M4951" s="1357"/>
      <c r="Q4951" s="1357"/>
      <c r="S4951" s="1420"/>
      <c r="T4951" s="1420"/>
      <c r="V4951" s="1357">
        <v>87</v>
      </c>
    </row>
    <row r="4952" spans="1:22" s="841" customFormat="1" x14ac:dyDescent="0.25">
      <c r="A4952" s="841" t="s">
        <v>211</v>
      </c>
      <c r="B4952" s="841" t="s">
        <v>3936</v>
      </c>
      <c r="E4952" s="1931" t="s">
        <v>87</v>
      </c>
      <c r="F4952" s="1931"/>
      <c r="G4952" s="1931"/>
      <c r="H4952" s="1931"/>
      <c r="K4952" s="841" t="s">
        <v>3971</v>
      </c>
      <c r="M4952" s="1357"/>
      <c r="Q4952" s="1357"/>
      <c r="S4952" s="1420"/>
      <c r="T4952" s="1420"/>
      <c r="V4952" s="1357">
        <v>24</v>
      </c>
    </row>
    <row r="4953" spans="1:22" s="841" customFormat="1" x14ac:dyDescent="0.25">
      <c r="A4953" s="841" t="s">
        <v>211</v>
      </c>
      <c r="B4953" s="841" t="s">
        <v>3936</v>
      </c>
      <c r="E4953" s="1374" t="s">
        <v>2461</v>
      </c>
      <c r="F4953" s="1374"/>
      <c r="G4953" s="1374"/>
      <c r="H4953" s="1374"/>
      <c r="M4953" s="1357"/>
      <c r="Q4953" s="1357"/>
      <c r="S4953" s="1420"/>
      <c r="T4953" s="1420"/>
      <c r="V4953" s="1357">
        <v>0</v>
      </c>
    </row>
    <row r="4954" spans="1:22" s="841" customFormat="1" ht="15" x14ac:dyDescent="0.25">
      <c r="A4954" s="841" t="s">
        <v>211</v>
      </c>
      <c r="B4954" s="841" t="s">
        <v>3936</v>
      </c>
      <c r="E4954" s="1926" t="s">
        <v>3061</v>
      </c>
      <c r="F4954" s="1926"/>
      <c r="G4954" s="1926"/>
      <c r="H4954" s="1926"/>
      <c r="K4954" s="841" t="s">
        <v>3266</v>
      </c>
      <c r="M4954" s="1357"/>
      <c r="Q4954" s="1357"/>
      <c r="S4954" s="1420"/>
      <c r="T4954" s="1420"/>
      <c r="V4954" s="1357">
        <v>11</v>
      </c>
    </row>
    <row r="4955" spans="1:22" s="841" customFormat="1" ht="15" x14ac:dyDescent="0.25">
      <c r="A4955" s="841" t="s">
        <v>211</v>
      </c>
      <c r="B4955" s="841" t="s">
        <v>3936</v>
      </c>
      <c r="E4955" s="1394" t="s">
        <v>2461</v>
      </c>
      <c r="F4955" s="1369"/>
      <c r="G4955" s="1369"/>
      <c r="H4955" s="1369"/>
      <c r="M4955" s="1357"/>
      <c r="Q4955" s="1357"/>
      <c r="S4955" s="1420"/>
      <c r="T4955" s="1420"/>
      <c r="V4955" s="1357">
        <v>0</v>
      </c>
    </row>
    <row r="4956" spans="1:22" s="841" customFormat="1" ht="15" x14ac:dyDescent="0.25">
      <c r="A4956" s="841" t="s">
        <v>211</v>
      </c>
      <c r="B4956" s="841" t="s">
        <v>3936</v>
      </c>
      <c r="E4956" s="2072" t="s">
        <v>3063</v>
      </c>
      <c r="F4956" s="2072"/>
      <c r="G4956" s="2072"/>
      <c r="H4956" s="2072"/>
      <c r="M4956" s="1357"/>
      <c r="Q4956" s="1357"/>
      <c r="S4956" s="1420"/>
      <c r="T4956" s="1420"/>
      <c r="V4956" s="1357">
        <v>280</v>
      </c>
    </row>
    <row r="4957" spans="1:22" s="841" customFormat="1" ht="15" x14ac:dyDescent="0.25">
      <c r="A4957" s="841" t="s">
        <v>211</v>
      </c>
      <c r="B4957" s="841" t="s">
        <v>3936</v>
      </c>
      <c r="E4957" s="1398" t="s">
        <v>2461</v>
      </c>
      <c r="F4957" s="1398"/>
      <c r="G4957" s="1398"/>
      <c r="H4957" s="1398"/>
      <c r="M4957" s="1357"/>
      <c r="Q4957" s="1357"/>
      <c r="S4957" s="1420"/>
      <c r="T4957" s="1420"/>
      <c r="V4957" s="1357">
        <v>0</v>
      </c>
    </row>
    <row r="4958" spans="1:22" s="841" customFormat="1" ht="15" x14ac:dyDescent="0.25">
      <c r="A4958" s="841" t="s">
        <v>211</v>
      </c>
      <c r="B4958" s="841" t="s">
        <v>3936</v>
      </c>
      <c r="E4958" s="2072" t="s">
        <v>3136</v>
      </c>
      <c r="F4958" s="2072"/>
      <c r="G4958" s="2072"/>
      <c r="H4958" s="2072"/>
      <c r="M4958" s="1357"/>
      <c r="Q4958" s="1357"/>
      <c r="S4958" s="1420"/>
      <c r="T4958" s="1420"/>
      <c r="V4958" s="1357">
        <v>353</v>
      </c>
    </row>
    <row r="4959" spans="1:22" s="841" customFormat="1" ht="15" x14ac:dyDescent="0.25">
      <c r="A4959" s="841" t="s">
        <v>211</v>
      </c>
      <c r="B4959" s="841" t="s">
        <v>3936</v>
      </c>
      <c r="E4959" s="1398" t="s">
        <v>2461</v>
      </c>
      <c r="F4959" s="1398"/>
      <c r="G4959" s="1398"/>
      <c r="H4959" s="1398"/>
      <c r="M4959" s="1357"/>
      <c r="Q4959" s="1357"/>
      <c r="S4959" s="1420"/>
      <c r="T4959" s="1420"/>
      <c r="V4959" s="1357">
        <v>0</v>
      </c>
    </row>
    <row r="4960" spans="1:22" s="841" customFormat="1" ht="15" x14ac:dyDescent="0.25">
      <c r="A4960" s="841" t="s">
        <v>211</v>
      </c>
      <c r="B4960" s="841" t="s">
        <v>3936</v>
      </c>
      <c r="E4960" s="2071" t="s">
        <v>3390</v>
      </c>
      <c r="F4960" s="2071"/>
      <c r="G4960" s="2071"/>
      <c r="H4960" s="2071"/>
      <c r="M4960" s="1357"/>
      <c r="Q4960" s="1357"/>
      <c r="S4960" s="1420"/>
      <c r="T4960" s="1420"/>
      <c r="V4960" s="1357">
        <v>274</v>
      </c>
    </row>
    <row r="4961" spans="1:22" s="841" customFormat="1" ht="15" x14ac:dyDescent="0.25">
      <c r="A4961" s="841" t="s">
        <v>211</v>
      </c>
      <c r="B4961" s="841" t="s">
        <v>3936</v>
      </c>
      <c r="E4961" s="1399" t="s">
        <v>2461</v>
      </c>
      <c r="F4961" s="1399"/>
      <c r="G4961" s="1399"/>
      <c r="H4961" s="1399"/>
      <c r="M4961" s="1357"/>
      <c r="Q4961" s="1357"/>
      <c r="S4961" s="1420"/>
      <c r="T4961" s="1420"/>
      <c r="V4961" s="1357">
        <v>0</v>
      </c>
    </row>
    <row r="4962" spans="1:22" s="841" customFormat="1" ht="15" x14ac:dyDescent="0.25">
      <c r="A4962" s="841" t="s">
        <v>211</v>
      </c>
      <c r="B4962" s="841" t="s">
        <v>3936</v>
      </c>
      <c r="E4962" s="1694" t="s">
        <v>3137</v>
      </c>
      <c r="F4962" s="1694"/>
      <c r="G4962" s="1694"/>
      <c r="H4962" s="1694"/>
      <c r="K4962" s="841" t="s">
        <v>3972</v>
      </c>
      <c r="M4962" s="1357"/>
      <c r="Q4962" s="1357"/>
      <c r="S4962" s="1420"/>
      <c r="T4962" s="1420"/>
      <c r="V4962" s="1357">
        <v>23</v>
      </c>
    </row>
    <row r="4963" spans="1:22" s="841" customFormat="1" ht="15" x14ac:dyDescent="0.25">
      <c r="A4963" s="841" t="s">
        <v>211</v>
      </c>
      <c r="B4963" s="841" t="s">
        <v>3936</v>
      </c>
      <c r="E4963" s="1688" t="s">
        <v>3151</v>
      </c>
      <c r="F4963" s="1688"/>
      <c r="G4963" s="1365" t="s">
        <v>23</v>
      </c>
      <c r="H4963" s="733">
        <v>15</v>
      </c>
      <c r="M4963" s="1357"/>
      <c r="Q4963" s="1357"/>
      <c r="S4963" s="1420"/>
      <c r="T4963" s="1420"/>
      <c r="V4963" s="1357">
        <v>19</v>
      </c>
    </row>
    <row r="4964" spans="1:22" s="841" customFormat="1" ht="15" x14ac:dyDescent="0.25">
      <c r="A4964" s="841" t="s">
        <v>211</v>
      </c>
      <c r="B4964" s="841" t="s">
        <v>3936</v>
      </c>
      <c r="E4964" s="1688" t="s">
        <v>3148</v>
      </c>
      <c r="F4964" s="1688"/>
      <c r="G4964" s="1365" t="s">
        <v>23</v>
      </c>
      <c r="H4964" s="733">
        <v>15</v>
      </c>
      <c r="M4964" s="1357"/>
      <c r="Q4964" s="1357"/>
      <c r="S4964" s="1420"/>
      <c r="T4964" s="1420"/>
      <c r="V4964" s="1357">
        <v>56</v>
      </c>
    </row>
    <row r="4965" spans="1:22" s="841" customFormat="1" ht="15" x14ac:dyDescent="0.25">
      <c r="A4965" s="841" t="s">
        <v>211</v>
      </c>
      <c r="B4965" s="841" t="s">
        <v>3936</v>
      </c>
      <c r="E4965" s="1688" t="s">
        <v>123</v>
      </c>
      <c r="F4965" s="1688"/>
      <c r="G4965" s="1365" t="s">
        <v>23</v>
      </c>
      <c r="H4965" s="733">
        <v>15</v>
      </c>
      <c r="M4965" s="1357"/>
      <c r="Q4965" s="1357"/>
      <c r="S4965" s="1420"/>
      <c r="T4965" s="1420"/>
      <c r="V4965" s="1357">
        <v>35</v>
      </c>
    </row>
    <row r="4966" spans="1:22" s="841" customFormat="1" ht="15" x14ac:dyDescent="0.25">
      <c r="A4966" s="841" t="s">
        <v>211</v>
      </c>
      <c r="B4966" s="841" t="s">
        <v>3936</v>
      </c>
      <c r="E4966" s="1688" t="s">
        <v>88</v>
      </c>
      <c r="F4966" s="1688"/>
      <c r="G4966" s="1365" t="s">
        <v>23</v>
      </c>
      <c r="H4966" s="733">
        <v>30</v>
      </c>
      <c r="M4966" s="1357"/>
      <c r="Q4966" s="1357"/>
      <c r="S4966" s="1420"/>
      <c r="T4966" s="1420"/>
      <c r="V4966" s="1357">
        <v>89</v>
      </c>
    </row>
    <row r="4967" spans="1:22" s="841" customFormat="1" ht="15" x14ac:dyDescent="0.25">
      <c r="A4967" s="841" t="s">
        <v>211</v>
      </c>
      <c r="B4967" s="841" t="s">
        <v>3936</v>
      </c>
      <c r="E4967" s="1688" t="s">
        <v>92</v>
      </c>
      <c r="F4967" s="1688"/>
      <c r="G4967" s="1365" t="s">
        <v>23</v>
      </c>
      <c r="H4967" s="733">
        <v>30</v>
      </c>
      <c r="M4967" s="1357"/>
      <c r="Q4967" s="1357"/>
      <c r="S4967" s="1420"/>
      <c r="T4967" s="1420"/>
      <c r="V4967" s="1357">
        <v>74</v>
      </c>
    </row>
    <row r="4968" spans="1:22" s="841" customFormat="1" ht="15" x14ac:dyDescent="0.25">
      <c r="A4968" s="841" t="s">
        <v>211</v>
      </c>
      <c r="B4968" s="841" t="s">
        <v>3936</v>
      </c>
      <c r="E4968" s="1368" t="s">
        <v>2461</v>
      </c>
      <c r="F4968" s="1368"/>
      <c r="G4968" s="1365"/>
      <c r="H4968" s="733"/>
      <c r="M4968" s="1357"/>
      <c r="Q4968" s="1357"/>
      <c r="S4968" s="1420"/>
      <c r="T4968" s="1420"/>
      <c r="V4968" s="1357">
        <v>0</v>
      </c>
    </row>
    <row r="4969" spans="1:22" s="841" customFormat="1" ht="15" x14ac:dyDescent="0.25">
      <c r="A4969" s="841" t="s">
        <v>211</v>
      </c>
      <c r="B4969" s="841" t="s">
        <v>3936</v>
      </c>
      <c r="E4969" s="1694" t="s">
        <v>3152</v>
      </c>
      <c r="F4969" s="1694"/>
      <c r="G4969" s="1694"/>
      <c r="H4969" s="1694"/>
      <c r="K4969" s="841" t="s">
        <v>3973</v>
      </c>
      <c r="M4969" s="1357"/>
      <c r="Q4969" s="1357"/>
      <c r="S4969" s="1420"/>
      <c r="T4969" s="1420"/>
      <c r="V4969" s="1357">
        <v>22</v>
      </c>
    </row>
    <row r="4970" spans="1:22" s="841" customFormat="1" ht="15" x14ac:dyDescent="0.25">
      <c r="A4970" s="841" t="s">
        <v>211</v>
      </c>
      <c r="B4970" s="841" t="s">
        <v>3936</v>
      </c>
      <c r="E4970" s="1688" t="s">
        <v>5137</v>
      </c>
      <c r="F4970" s="1688"/>
      <c r="G4970" s="1365" t="s">
        <v>86</v>
      </c>
      <c r="H4970" s="733">
        <v>1.5</v>
      </c>
      <c r="M4970" s="1357"/>
      <c r="Q4970" s="1357"/>
      <c r="S4970" s="1420"/>
      <c r="T4970" s="1420"/>
      <c r="V4970" s="1357">
        <v>24</v>
      </c>
    </row>
    <row r="4971" spans="1:22" s="841" customFormat="1" ht="15" x14ac:dyDescent="0.25">
      <c r="A4971" s="841" t="s">
        <v>211</v>
      </c>
      <c r="B4971" s="841" t="s">
        <v>3936</v>
      </c>
      <c r="E4971" s="1688" t="s">
        <v>4772</v>
      </c>
      <c r="F4971" s="1688"/>
      <c r="G4971" s="1365" t="s">
        <v>86</v>
      </c>
      <c r="H4971" s="733">
        <v>19.559999999999999</v>
      </c>
      <c r="M4971" s="1357"/>
      <c r="Q4971" s="1357"/>
      <c r="S4971" s="1420"/>
      <c r="T4971" s="1420"/>
      <c r="V4971" s="1357">
        <v>24</v>
      </c>
    </row>
    <row r="4972" spans="1:22" s="841" customFormat="1" ht="15" x14ac:dyDescent="0.25">
      <c r="A4972" s="841" t="s">
        <v>211</v>
      </c>
      <c r="B4972" s="841" t="s">
        <v>3936</v>
      </c>
      <c r="E4972" s="1688" t="s">
        <v>3288</v>
      </c>
      <c r="F4972" s="1688"/>
      <c r="G4972" s="1365" t="s">
        <v>23</v>
      </c>
      <c r="H4972" s="733">
        <v>30</v>
      </c>
      <c r="M4972" s="1357"/>
      <c r="Q4972" s="1357"/>
      <c r="S4972" s="1420"/>
      <c r="T4972" s="1420"/>
      <c r="V4972" s="1357">
        <v>47</v>
      </c>
    </row>
    <row r="4973" spans="1:22" s="841" customFormat="1" ht="15" x14ac:dyDescent="0.25">
      <c r="A4973" s="841" t="s">
        <v>211</v>
      </c>
      <c r="B4973" s="841" t="s">
        <v>3936</v>
      </c>
      <c r="E4973" s="1688" t="s">
        <v>3944</v>
      </c>
      <c r="F4973" s="1688"/>
      <c r="G4973" s="1365" t="s">
        <v>23</v>
      </c>
      <c r="H4973" s="733">
        <v>65</v>
      </c>
      <c r="M4973" s="1357"/>
      <c r="Q4973" s="1357"/>
      <c r="S4973" s="1420"/>
      <c r="T4973" s="1420"/>
      <c r="V4973" s="1357">
        <v>59</v>
      </c>
    </row>
    <row r="4974" spans="1:22" s="841" customFormat="1" ht="15" x14ac:dyDescent="0.25">
      <c r="A4974" s="841" t="s">
        <v>211</v>
      </c>
      <c r="B4974" s="841" t="s">
        <v>3936</v>
      </c>
      <c r="E4974" s="1688" t="s">
        <v>3945</v>
      </c>
      <c r="F4974" s="1688"/>
      <c r="G4974" s="1365" t="s">
        <v>23</v>
      </c>
      <c r="H4974" s="733">
        <v>185</v>
      </c>
      <c r="M4974" s="1357"/>
      <c r="Q4974" s="1357"/>
      <c r="S4974" s="1420"/>
      <c r="T4974" s="1420"/>
      <c r="V4974" s="1357">
        <v>58</v>
      </c>
    </row>
    <row r="4975" spans="1:22" s="841" customFormat="1" ht="15" x14ac:dyDescent="0.25">
      <c r="A4975" s="841" t="s">
        <v>211</v>
      </c>
      <c r="B4975" s="841" t="s">
        <v>3936</v>
      </c>
      <c r="E4975" s="1688" t="s">
        <v>4775</v>
      </c>
      <c r="F4975" s="1688"/>
      <c r="G4975" s="1365" t="s">
        <v>23</v>
      </c>
      <c r="H4975" s="733">
        <v>185</v>
      </c>
      <c r="M4975" s="1357"/>
      <c r="Q4975" s="1357"/>
      <c r="S4975" s="1420"/>
      <c r="T4975" s="1420"/>
      <c r="V4975" s="1357">
        <v>51</v>
      </c>
    </row>
    <row r="4976" spans="1:22" s="841" customFormat="1" ht="15" x14ac:dyDescent="0.25">
      <c r="A4976" s="841" t="s">
        <v>211</v>
      </c>
      <c r="B4976" s="841" t="s">
        <v>3936</v>
      </c>
      <c r="E4976" s="1688" t="s">
        <v>4776</v>
      </c>
      <c r="F4976" s="1688"/>
      <c r="G4976" s="1365" t="s">
        <v>23</v>
      </c>
      <c r="H4976" s="733">
        <v>415</v>
      </c>
      <c r="M4976" s="1357"/>
      <c r="Q4976" s="1357"/>
      <c r="S4976" s="1420"/>
      <c r="T4976" s="1420"/>
      <c r="V4976" s="1357">
        <v>50</v>
      </c>
    </row>
    <row r="4977" spans="1:22" s="841" customFormat="1" ht="15" x14ac:dyDescent="0.25">
      <c r="A4977" s="841" t="s">
        <v>211</v>
      </c>
      <c r="B4977" s="841" t="s">
        <v>3936</v>
      </c>
      <c r="E4977" s="1688" t="s">
        <v>4777</v>
      </c>
      <c r="F4977" s="1688"/>
      <c r="G4977" s="1365" t="s">
        <v>23</v>
      </c>
      <c r="H4977" s="733">
        <v>65</v>
      </c>
      <c r="M4977" s="1357"/>
      <c r="Q4977" s="1357"/>
      <c r="S4977" s="1420"/>
      <c r="T4977" s="1420"/>
      <c r="V4977" s="1357">
        <v>57</v>
      </c>
    </row>
    <row r="4978" spans="1:22" s="841" customFormat="1" ht="15" x14ac:dyDescent="0.25">
      <c r="A4978" s="841" t="s">
        <v>211</v>
      </c>
      <c r="B4978" s="841" t="s">
        <v>3936</v>
      </c>
      <c r="E4978" s="1688" t="s">
        <v>4778</v>
      </c>
      <c r="F4978" s="1688"/>
      <c r="G4978" s="1365" t="s">
        <v>23</v>
      </c>
      <c r="H4978" s="733">
        <v>185</v>
      </c>
      <c r="M4978" s="1357"/>
      <c r="Q4978" s="1357"/>
      <c r="S4978" s="1420"/>
      <c r="T4978" s="1420"/>
      <c r="V4978" s="1357">
        <v>56</v>
      </c>
    </row>
    <row r="4979" spans="1:22" s="841" customFormat="1" ht="15" x14ac:dyDescent="0.25">
      <c r="A4979" s="841" t="s">
        <v>211</v>
      </c>
      <c r="B4979" s="841" t="s">
        <v>3936</v>
      </c>
      <c r="E4979" s="1368" t="s">
        <v>2461</v>
      </c>
      <c r="F4979" s="1368"/>
      <c r="G4979" s="1365"/>
      <c r="H4979" s="733"/>
      <c r="M4979" s="1357"/>
      <c r="Q4979" s="1357"/>
      <c r="S4979" s="1420"/>
      <c r="T4979" s="1420"/>
      <c r="V4979" s="1357">
        <v>0</v>
      </c>
    </row>
    <row r="4980" spans="1:22" s="841" customFormat="1" ht="15" x14ac:dyDescent="0.25">
      <c r="A4980" s="841" t="s">
        <v>211</v>
      </c>
      <c r="B4980" s="841" t="s">
        <v>3936</v>
      </c>
      <c r="E4980" s="1694" t="s">
        <v>3164</v>
      </c>
      <c r="F4980" s="1694"/>
      <c r="G4980" s="1694"/>
      <c r="H4980" s="1694"/>
      <c r="M4980" s="1357"/>
      <c r="Q4980" s="1357"/>
      <c r="S4980" s="1420"/>
      <c r="T4980" s="1420"/>
      <c r="V4980" s="1357">
        <v>5</v>
      </c>
    </row>
    <row r="4981" spans="1:22" s="841" customFormat="1" ht="15" x14ac:dyDescent="0.25">
      <c r="A4981" s="841" t="s">
        <v>211</v>
      </c>
      <c r="B4981" s="841" t="s">
        <v>3936</v>
      </c>
      <c r="E4981" s="1688" t="s">
        <v>3888</v>
      </c>
      <c r="F4981" s="1688"/>
      <c r="G4981" s="1365" t="s">
        <v>23</v>
      </c>
      <c r="H4981" s="733">
        <v>500</v>
      </c>
      <c r="M4981" s="1357"/>
      <c r="Q4981" s="1357"/>
      <c r="S4981" s="1420"/>
      <c r="T4981" s="1420"/>
      <c r="V4981" s="1357">
        <v>62</v>
      </c>
    </row>
    <row r="4982" spans="1:22" s="841" customFormat="1" ht="15" x14ac:dyDescent="0.25">
      <c r="A4982" s="841" t="s">
        <v>211</v>
      </c>
      <c r="B4982" s="841" t="s">
        <v>3936</v>
      </c>
      <c r="E4982" s="1688" t="s">
        <v>3502</v>
      </c>
      <c r="F4982" s="1688"/>
      <c r="G4982" s="1365" t="s">
        <v>23</v>
      </c>
      <c r="H4982" s="733">
        <v>22.35</v>
      </c>
      <c r="M4982" s="1357"/>
      <c r="Q4982" s="1357"/>
      <c r="S4982" s="1420"/>
      <c r="T4982" s="1420"/>
      <c r="V4982" s="1357">
        <v>104</v>
      </c>
    </row>
    <row r="4983" spans="1:22" s="841" customFormat="1" ht="15" x14ac:dyDescent="0.25">
      <c r="A4983" s="841" t="s">
        <v>211</v>
      </c>
      <c r="B4983" s="841" t="s">
        <v>3936</v>
      </c>
      <c r="E4983" s="1688" t="s">
        <v>96</v>
      </c>
      <c r="F4983" s="1688"/>
      <c r="G4983" s="1365" t="s">
        <v>23</v>
      </c>
      <c r="H4983" s="733">
        <v>18.079999999999998</v>
      </c>
      <c r="M4983" s="1357"/>
      <c r="Q4983" s="1357"/>
      <c r="S4983" s="1420"/>
      <c r="T4983" s="1420"/>
      <c r="V4983" s="1357">
        <v>24</v>
      </c>
    </row>
    <row r="4984" spans="1:22" s="841" customFormat="1" ht="15" x14ac:dyDescent="0.25">
      <c r="A4984" s="841" t="s">
        <v>211</v>
      </c>
      <c r="B4984" s="841" t="s">
        <v>3936</v>
      </c>
      <c r="E4984" s="1688" t="s">
        <v>3946</v>
      </c>
      <c r="F4984" s="1688"/>
      <c r="G4984" s="1365" t="s">
        <v>23</v>
      </c>
      <c r="H4984" s="733">
        <v>28.61</v>
      </c>
      <c r="M4984" s="1357"/>
      <c r="Q4984" s="1357"/>
      <c r="S4984" s="1420"/>
      <c r="T4984" s="1420"/>
      <c r="V4984" s="1357">
        <v>29</v>
      </c>
    </row>
    <row r="4985" spans="1:22" s="841" customFormat="1" x14ac:dyDescent="0.25">
      <c r="A4985" s="841" t="s">
        <v>211</v>
      </c>
      <c r="B4985" s="841" t="s">
        <v>3936</v>
      </c>
      <c r="E4985" s="1965" t="s">
        <v>77</v>
      </c>
      <c r="F4985" s="1965"/>
      <c r="G4985" s="1965"/>
      <c r="H4985" s="1965"/>
      <c r="K4985" s="841" t="s">
        <v>3974</v>
      </c>
      <c r="M4985" s="1357"/>
      <c r="Q4985" s="1357"/>
      <c r="S4985" s="1420"/>
      <c r="T4985" s="1420"/>
      <c r="V4985" s="1357">
        <v>38</v>
      </c>
    </row>
    <row r="4986" spans="1:22" s="841" customFormat="1" x14ac:dyDescent="0.25">
      <c r="A4986" s="841" t="s">
        <v>211</v>
      </c>
      <c r="B4986" s="841" t="s">
        <v>3936</v>
      </c>
      <c r="E4986" s="1374" t="s">
        <v>2461</v>
      </c>
      <c r="F4986" s="1088"/>
      <c r="G4986" s="1088"/>
      <c r="H4986" s="1088"/>
      <c r="M4986" s="1357"/>
      <c r="Q4986" s="1357"/>
      <c r="S4986" s="1420"/>
      <c r="T4986" s="1420"/>
      <c r="V4986" s="1357">
        <v>0</v>
      </c>
    </row>
    <row r="4987" spans="1:22" s="841" customFormat="1" ht="15" x14ac:dyDescent="0.25">
      <c r="A4987" s="841" t="s">
        <v>211</v>
      </c>
      <c r="B4987" s="841" t="s">
        <v>3936</v>
      </c>
      <c r="E4987" s="1926" t="s">
        <v>3061</v>
      </c>
      <c r="F4987" s="1926"/>
      <c r="G4987" s="1926"/>
      <c r="H4987" s="1926"/>
      <c r="K4987" s="841" t="s">
        <v>3266</v>
      </c>
      <c r="M4987" s="1357"/>
      <c r="Q4987" s="1357"/>
      <c r="S4987" s="1420"/>
      <c r="T4987" s="1420"/>
      <c r="V4987" s="1357">
        <v>11</v>
      </c>
    </row>
    <row r="4988" spans="1:22" s="841" customFormat="1" ht="15" x14ac:dyDescent="0.25">
      <c r="A4988" s="841" t="s">
        <v>211</v>
      </c>
      <c r="B4988" s="841" t="s">
        <v>3936</v>
      </c>
      <c r="E4988" s="1394" t="s">
        <v>2461</v>
      </c>
      <c r="F4988" s="1369"/>
      <c r="G4988" s="1369"/>
      <c r="H4988" s="1369"/>
      <c r="M4988" s="1357"/>
      <c r="Q4988" s="1357"/>
      <c r="S4988" s="1420"/>
      <c r="T4988" s="1420"/>
      <c r="V4988" s="1357">
        <v>0</v>
      </c>
    </row>
    <row r="4989" spans="1:22" s="841" customFormat="1" ht="15" x14ac:dyDescent="0.25">
      <c r="A4989" s="841" t="s">
        <v>211</v>
      </c>
      <c r="B4989" s="841" t="s">
        <v>3936</v>
      </c>
      <c r="E4989" s="2072" t="s">
        <v>3063</v>
      </c>
      <c r="F4989" s="2072"/>
      <c r="G4989" s="2072"/>
      <c r="H4989" s="2072"/>
      <c r="M4989" s="1357"/>
      <c r="Q4989" s="1357"/>
      <c r="S4989" s="1420"/>
      <c r="T4989" s="1420"/>
      <c r="V4989" s="1357">
        <v>280</v>
      </c>
    </row>
    <row r="4990" spans="1:22" s="841" customFormat="1" ht="15" x14ac:dyDescent="0.25">
      <c r="A4990" s="841" t="s">
        <v>211</v>
      </c>
      <c r="B4990" s="841" t="s">
        <v>3936</v>
      </c>
      <c r="E4990" s="1398" t="s">
        <v>2461</v>
      </c>
      <c r="F4990" s="1398"/>
      <c r="G4990" s="1398"/>
      <c r="H4990" s="1398"/>
      <c r="M4990" s="1357"/>
      <c r="Q4990" s="1357"/>
      <c r="S4990" s="1420"/>
      <c r="T4990" s="1420"/>
      <c r="V4990" s="1357">
        <v>0</v>
      </c>
    </row>
    <row r="4991" spans="1:22" s="841" customFormat="1" ht="15" x14ac:dyDescent="0.25">
      <c r="A4991" s="841" t="s">
        <v>211</v>
      </c>
      <c r="B4991" s="841" t="s">
        <v>3936</v>
      </c>
      <c r="E4991" s="2072" t="s">
        <v>3064</v>
      </c>
      <c r="F4991" s="2072"/>
      <c r="G4991" s="2072"/>
      <c r="H4991" s="2072"/>
      <c r="M4991" s="1357"/>
      <c r="Q4991" s="1357"/>
      <c r="S4991" s="1420"/>
      <c r="T4991" s="1420"/>
      <c r="V4991" s="1357">
        <v>411</v>
      </c>
    </row>
    <row r="4992" spans="1:22" s="841" customFormat="1" ht="15" x14ac:dyDescent="0.25">
      <c r="A4992" s="841" t="s">
        <v>211</v>
      </c>
      <c r="B4992" s="841" t="s">
        <v>3936</v>
      </c>
      <c r="E4992" s="1398" t="s">
        <v>2461</v>
      </c>
      <c r="F4992" s="1398"/>
      <c r="G4992" s="1398"/>
      <c r="H4992" s="1398"/>
      <c r="M4992" s="1357"/>
      <c r="Q4992" s="1357"/>
      <c r="S4992" s="1420"/>
      <c r="T4992" s="1420"/>
      <c r="V4992" s="1357">
        <v>0</v>
      </c>
    </row>
    <row r="4993" spans="1:22" s="841" customFormat="1" ht="15" x14ac:dyDescent="0.25">
      <c r="A4993" s="841" t="s">
        <v>211</v>
      </c>
      <c r="B4993" s="841" t="s">
        <v>3936</v>
      </c>
      <c r="E4993" s="2072" t="s">
        <v>3129</v>
      </c>
      <c r="F4993" s="2072"/>
      <c r="G4993" s="2072"/>
      <c r="H4993" s="2072"/>
      <c r="M4993" s="1357"/>
      <c r="Q4993" s="1357"/>
      <c r="S4993" s="1420"/>
      <c r="T4993" s="1420"/>
      <c r="V4993" s="1357">
        <v>211</v>
      </c>
    </row>
    <row r="4994" spans="1:22" s="841" customFormat="1" ht="15" x14ac:dyDescent="0.25">
      <c r="A4994" s="841" t="s">
        <v>211</v>
      </c>
      <c r="B4994" s="841" t="s">
        <v>3936</v>
      </c>
      <c r="E4994" s="1398" t="s">
        <v>2461</v>
      </c>
      <c r="F4994" s="1398"/>
      <c r="G4994" s="1398"/>
      <c r="H4994" s="1398"/>
      <c r="M4994" s="1357"/>
      <c r="Q4994" s="1357"/>
      <c r="S4994" s="1420"/>
      <c r="T4994" s="1420"/>
      <c r="V4994" s="1357">
        <v>0</v>
      </c>
    </row>
    <row r="4995" spans="1:22" s="841" customFormat="1" ht="15" x14ac:dyDescent="0.25">
      <c r="A4995" s="841" t="s">
        <v>211</v>
      </c>
      <c r="B4995" s="841" t="s">
        <v>3936</v>
      </c>
      <c r="E4995" s="2072" t="s">
        <v>3390</v>
      </c>
      <c r="F4995" s="2072"/>
      <c r="G4995" s="2072"/>
      <c r="H4995" s="2072"/>
      <c r="M4995" s="1357"/>
      <c r="Q4995" s="1357"/>
      <c r="S4995" s="1420"/>
      <c r="T4995" s="1420"/>
      <c r="V4995" s="1357">
        <v>274</v>
      </c>
    </row>
    <row r="4996" spans="1:22" s="841" customFormat="1" ht="15" x14ac:dyDescent="0.25">
      <c r="A4996" s="841" t="s">
        <v>211</v>
      </c>
      <c r="B4996" s="841" t="s">
        <v>3936</v>
      </c>
      <c r="E4996" s="1398" t="s">
        <v>2461</v>
      </c>
      <c r="F4996" s="1398"/>
      <c r="G4996" s="1398"/>
      <c r="H4996" s="1398"/>
      <c r="M4996" s="1357"/>
      <c r="Q4996" s="1357"/>
      <c r="S4996" s="1420"/>
      <c r="T4996" s="1420"/>
      <c r="V4996" s="1357">
        <v>0</v>
      </c>
    </row>
    <row r="4997" spans="1:22" s="841" customFormat="1" ht="15" x14ac:dyDescent="0.25">
      <c r="A4997" s="841" t="s">
        <v>211</v>
      </c>
      <c r="B4997" s="841" t="s">
        <v>3936</v>
      </c>
      <c r="E4997" s="1920" t="s">
        <v>3291</v>
      </c>
      <c r="F4997" s="1920"/>
      <c r="G4997" s="1920"/>
      <c r="H4997" s="1920"/>
      <c r="M4997" s="1357"/>
      <c r="Q4997" s="1357"/>
      <c r="S4997" s="1420"/>
      <c r="T4997" s="1420"/>
      <c r="V4997" s="1357">
        <v>142</v>
      </c>
    </row>
    <row r="4998" spans="1:22" s="841" customFormat="1" ht="15" x14ac:dyDescent="0.25">
      <c r="A4998" s="841" t="s">
        <v>211</v>
      </c>
      <c r="B4998" s="841" t="s">
        <v>3936</v>
      </c>
      <c r="E4998" s="1690" t="s">
        <v>3176</v>
      </c>
      <c r="F4998" s="1690"/>
      <c r="G4998" s="1199" t="s">
        <v>23</v>
      </c>
      <c r="H4998" s="1200">
        <v>100</v>
      </c>
      <c r="M4998" s="1357"/>
      <c r="Q4998" s="1357"/>
      <c r="S4998" s="1420"/>
      <c r="T4998" s="1420"/>
      <c r="V4998" s="1357">
        <v>106</v>
      </c>
    </row>
    <row r="4999" spans="1:22" s="841" customFormat="1" ht="15" x14ac:dyDescent="0.25">
      <c r="A4999" s="841" t="s">
        <v>211</v>
      </c>
      <c r="B4999" s="841" t="s">
        <v>3936</v>
      </c>
      <c r="E4999" s="1690" t="s">
        <v>3177</v>
      </c>
      <c r="F4999" s="1690"/>
      <c r="G4999" s="1199" t="s">
        <v>23</v>
      </c>
      <c r="H4999" s="1200">
        <v>20</v>
      </c>
      <c r="M4999" s="1357"/>
      <c r="Q4999" s="1357"/>
      <c r="S4999" s="1420"/>
      <c r="T4999" s="1420"/>
      <c r="V4999" s="1357">
        <v>34</v>
      </c>
    </row>
    <row r="5000" spans="1:22" s="841" customFormat="1" ht="15" x14ac:dyDescent="0.25">
      <c r="A5000" s="841" t="s">
        <v>211</v>
      </c>
      <c r="B5000" s="841" t="s">
        <v>3936</v>
      </c>
      <c r="E5000" s="1690" t="s">
        <v>3178</v>
      </c>
      <c r="F5000" s="1690"/>
      <c r="G5000" s="1199" t="s">
        <v>3179</v>
      </c>
      <c r="H5000" s="1200">
        <v>0.5</v>
      </c>
      <c r="M5000" s="1357"/>
      <c r="Q5000" s="1357"/>
      <c r="S5000" s="1420"/>
      <c r="T5000" s="1420"/>
      <c r="V5000" s="1357">
        <v>51</v>
      </c>
    </row>
    <row r="5001" spans="1:22" s="841" customFormat="1" ht="15" x14ac:dyDescent="0.25">
      <c r="A5001" s="841" t="s">
        <v>211</v>
      </c>
      <c r="B5001" s="841" t="s">
        <v>3936</v>
      </c>
      <c r="E5001" s="1690" t="s">
        <v>3180</v>
      </c>
      <c r="F5001" s="1690"/>
      <c r="G5001" s="1199" t="s">
        <v>3179</v>
      </c>
      <c r="H5001" s="1200">
        <v>0.3</v>
      </c>
      <c r="M5001" s="1357"/>
      <c r="Q5001" s="1357"/>
      <c r="S5001" s="1420"/>
      <c r="T5001" s="1420"/>
      <c r="V5001" s="1357">
        <v>75</v>
      </c>
    </row>
    <row r="5002" spans="1:22" s="841" customFormat="1" ht="15" x14ac:dyDescent="0.25">
      <c r="A5002" s="841" t="s">
        <v>211</v>
      </c>
      <c r="B5002" s="841" t="s">
        <v>3936</v>
      </c>
      <c r="E5002" s="1690" t="s">
        <v>3181</v>
      </c>
      <c r="F5002" s="1690"/>
      <c r="G5002" s="1199" t="s">
        <v>3179</v>
      </c>
      <c r="H5002" s="1200">
        <v>-0.3</v>
      </c>
      <c r="M5002" s="1357"/>
      <c r="Q5002" s="1357"/>
      <c r="S5002" s="1420"/>
      <c r="T5002" s="1420"/>
      <c r="V5002" s="1357">
        <v>72</v>
      </c>
    </row>
    <row r="5003" spans="1:22" s="841" customFormat="1" ht="15" x14ac:dyDescent="0.25">
      <c r="A5003" s="841" t="s">
        <v>211</v>
      </c>
      <c r="B5003" s="841" t="s">
        <v>3936</v>
      </c>
      <c r="E5003" s="1691" t="s">
        <v>3292</v>
      </c>
      <c r="F5003" s="1691"/>
      <c r="G5003" s="1088"/>
      <c r="H5003" s="1201"/>
      <c r="M5003" s="1357"/>
      <c r="Q5003" s="1357"/>
      <c r="S5003" s="1420"/>
      <c r="T5003" s="1420"/>
      <c r="V5003" s="1357">
        <v>34</v>
      </c>
    </row>
    <row r="5004" spans="1:22" s="841" customFormat="1" ht="15" x14ac:dyDescent="0.25">
      <c r="A5004" s="841" t="s">
        <v>211</v>
      </c>
      <c r="B5004" s="841" t="s">
        <v>3936</v>
      </c>
      <c r="E5004" s="1691" t="s">
        <v>3183</v>
      </c>
      <c r="F5004" s="1691"/>
      <c r="G5004" s="1199" t="s">
        <v>23</v>
      </c>
      <c r="H5004" s="1200">
        <v>0.25</v>
      </c>
      <c r="M5004" s="1357"/>
      <c r="Q5004" s="1357"/>
      <c r="S5004" s="1420"/>
      <c r="T5004" s="1420"/>
      <c r="V5004" s="1357">
        <v>57</v>
      </c>
    </row>
    <row r="5005" spans="1:22" s="841" customFormat="1" ht="15" x14ac:dyDescent="0.25">
      <c r="A5005" s="841" t="s">
        <v>211</v>
      </c>
      <c r="B5005" s="841" t="s">
        <v>3936</v>
      </c>
      <c r="E5005" s="1690" t="s">
        <v>3184</v>
      </c>
      <c r="F5005" s="1690"/>
      <c r="G5005" s="1199" t="s">
        <v>23</v>
      </c>
      <c r="H5005" s="1200">
        <v>0.5</v>
      </c>
      <c r="M5005" s="1357"/>
      <c r="Q5005" s="1357"/>
      <c r="S5005" s="1420"/>
      <c r="T5005" s="1420"/>
      <c r="V5005" s="1357">
        <v>60</v>
      </c>
    </row>
    <row r="5006" spans="1:22" s="841" customFormat="1" ht="15" x14ac:dyDescent="0.25">
      <c r="A5006" s="841" t="s">
        <v>211</v>
      </c>
      <c r="B5006" s="841" t="s">
        <v>3936</v>
      </c>
      <c r="E5006" s="1690" t="s">
        <v>3185</v>
      </c>
      <c r="F5006" s="1690"/>
      <c r="G5006" s="1088"/>
      <c r="H5006" s="1202"/>
      <c r="M5006" s="1357"/>
      <c r="Q5006" s="1357"/>
      <c r="S5006" s="1420"/>
      <c r="T5006" s="1420"/>
      <c r="V5006" s="1357">
        <v>91</v>
      </c>
    </row>
    <row r="5007" spans="1:22" s="841" customFormat="1" ht="15" x14ac:dyDescent="0.25">
      <c r="A5007" s="841" t="s">
        <v>211</v>
      </c>
      <c r="B5007" s="841" t="s">
        <v>3936</v>
      </c>
      <c r="E5007" s="1690" t="s">
        <v>3186</v>
      </c>
      <c r="F5007" s="1690"/>
      <c r="G5007" s="1088"/>
      <c r="H5007" s="1202"/>
      <c r="M5007" s="1357"/>
      <c r="Q5007" s="1357"/>
      <c r="S5007" s="1420"/>
      <c r="T5007" s="1420"/>
      <c r="V5007" s="1357">
        <v>96</v>
      </c>
    </row>
    <row r="5008" spans="1:22" s="841" customFormat="1" ht="15" x14ac:dyDescent="0.25">
      <c r="A5008" s="841" t="s">
        <v>211</v>
      </c>
      <c r="B5008" s="841" t="s">
        <v>3936</v>
      </c>
      <c r="E5008" s="1691" t="s">
        <v>3293</v>
      </c>
      <c r="F5008" s="1691"/>
      <c r="G5008" s="1088"/>
      <c r="H5008" s="1202"/>
      <c r="M5008" s="1357"/>
      <c r="Q5008" s="1357"/>
      <c r="S5008" s="1420"/>
      <c r="T5008" s="1420"/>
      <c r="V5008" s="1357">
        <v>77</v>
      </c>
    </row>
    <row r="5009" spans="1:22" s="841" customFormat="1" ht="15" x14ac:dyDescent="0.25">
      <c r="A5009" s="841" t="s">
        <v>211</v>
      </c>
      <c r="B5009" s="841" t="s">
        <v>3936</v>
      </c>
      <c r="E5009" s="1691" t="s">
        <v>3188</v>
      </c>
      <c r="F5009" s="1691"/>
      <c r="G5009" s="1088"/>
      <c r="H5009" s="1203" t="s">
        <v>3189</v>
      </c>
      <c r="M5009" s="1357"/>
      <c r="Q5009" s="1357"/>
      <c r="S5009" s="1420"/>
      <c r="T5009" s="1420"/>
      <c r="V5009" s="1357">
        <v>18</v>
      </c>
    </row>
    <row r="5010" spans="1:22" s="841" customFormat="1" ht="15" x14ac:dyDescent="0.25">
      <c r="A5010" s="841" t="s">
        <v>211</v>
      </c>
      <c r="B5010" s="841" t="s">
        <v>3936</v>
      </c>
      <c r="E5010" s="1904" t="s">
        <v>3190</v>
      </c>
      <c r="F5010" s="1904"/>
      <c r="G5010" s="1088" t="s">
        <v>23</v>
      </c>
      <c r="H5010" s="1200">
        <v>2</v>
      </c>
      <c r="M5010" s="1357"/>
      <c r="Q5010" s="1357"/>
      <c r="S5010" s="1420"/>
      <c r="T5010" s="1420"/>
      <c r="V5010" s="1357">
        <v>69</v>
      </c>
    </row>
    <row r="5011" spans="1:22" s="841" customFormat="1" ht="15" x14ac:dyDescent="0.25">
      <c r="A5011" s="841" t="s">
        <v>211</v>
      </c>
      <c r="B5011" s="841" t="s">
        <v>3936</v>
      </c>
      <c r="E5011" s="1371" t="s">
        <v>2461</v>
      </c>
      <c r="F5011" s="1371"/>
      <c r="G5011" s="1088"/>
      <c r="H5011" s="1200"/>
      <c r="M5011" s="1357"/>
      <c r="Q5011" s="1357"/>
      <c r="S5011" s="1420"/>
      <c r="T5011" s="1420"/>
      <c r="V5011" s="1357">
        <v>0</v>
      </c>
    </row>
    <row r="5012" spans="1:22" s="841" customFormat="1" ht="18.75" x14ac:dyDescent="0.3">
      <c r="A5012" s="841" t="s">
        <v>211</v>
      </c>
      <c r="B5012" s="841" t="s">
        <v>3936</v>
      </c>
      <c r="E5012" s="1374" t="s">
        <v>147</v>
      </c>
      <c r="F5012" s="1204"/>
      <c r="G5012" s="1204"/>
      <c r="H5012" s="1204"/>
      <c r="K5012" s="841" t="s">
        <v>3975</v>
      </c>
      <c r="M5012" s="1357"/>
      <c r="Q5012" s="1357"/>
      <c r="S5012" s="1420"/>
      <c r="T5012" s="1420"/>
      <c r="V5012" s="1357">
        <v>12</v>
      </c>
    </row>
    <row r="5013" spans="1:22" s="841" customFormat="1" x14ac:dyDescent="0.25">
      <c r="A5013" s="841" t="s">
        <v>211</v>
      </c>
      <c r="B5013" s="841" t="s">
        <v>3936</v>
      </c>
      <c r="E5013" s="1374" t="s">
        <v>2461</v>
      </c>
      <c r="F5013" s="1088"/>
      <c r="G5013" s="1088"/>
      <c r="H5013" s="1088"/>
      <c r="M5013" s="1357"/>
      <c r="Q5013" s="1357"/>
      <c r="S5013" s="1420"/>
      <c r="T5013" s="1420"/>
      <c r="V5013" s="1357">
        <v>0</v>
      </c>
    </row>
    <row r="5014" spans="1:22" s="841" customFormat="1" ht="15" x14ac:dyDescent="0.25">
      <c r="A5014" s="841" t="s">
        <v>211</v>
      </c>
      <c r="B5014" s="841" t="s">
        <v>3936</v>
      </c>
      <c r="E5014" s="2070" t="s">
        <v>3192</v>
      </c>
      <c r="F5014" s="2070"/>
      <c r="G5014" s="2070"/>
      <c r="H5014" s="2070"/>
      <c r="M5014" s="1357"/>
      <c r="Q5014" s="1357"/>
      <c r="S5014" s="1420"/>
      <c r="T5014" s="1420"/>
      <c r="V5014" s="1357">
        <v>203</v>
      </c>
    </row>
    <row r="5015" spans="1:22" s="841" customFormat="1" ht="15" x14ac:dyDescent="0.25">
      <c r="A5015" s="841" t="s">
        <v>211</v>
      </c>
      <c r="B5015" s="841" t="s">
        <v>3936</v>
      </c>
      <c r="E5015" s="1690" t="s">
        <v>3295</v>
      </c>
      <c r="F5015" s="1690"/>
      <c r="G5015" s="1365"/>
      <c r="H5015" s="1415">
        <v>1.0654999999999999</v>
      </c>
      <c r="M5015" s="1357"/>
      <c r="Q5015" s="1357"/>
      <c r="S5015" s="1420"/>
      <c r="T5015" s="1420"/>
      <c r="V5015" s="1357">
        <v>57</v>
      </c>
    </row>
    <row r="5016" spans="1:22" s="841" customFormat="1" ht="15" x14ac:dyDescent="0.25">
      <c r="A5016" s="841" t="s">
        <v>211</v>
      </c>
      <c r="B5016" s="841" t="s">
        <v>3936</v>
      </c>
      <c r="E5016" s="1690" t="s">
        <v>3297</v>
      </c>
      <c r="F5016" s="1690"/>
      <c r="G5016" s="1365"/>
      <c r="H5016" s="1415">
        <v>1.0548</v>
      </c>
      <c r="M5016" s="1357"/>
      <c r="Q5016" s="1357"/>
      <c r="S5016" s="1420"/>
      <c r="T5016" s="1420"/>
      <c r="V5016" s="1357">
        <v>55</v>
      </c>
    </row>
    <row r="5017" spans="1:22" s="841" customFormat="1" ht="15" x14ac:dyDescent="0.25">
      <c r="A5017" s="841" t="s">
        <v>211</v>
      </c>
      <c r="B5017" s="841" t="s">
        <v>3936</v>
      </c>
      <c r="E5017" s="1690" t="s">
        <v>3947</v>
      </c>
      <c r="F5017" s="1690"/>
      <c r="G5017" s="1365"/>
      <c r="H5017" s="1415">
        <v>1.0287999999999999</v>
      </c>
      <c r="J5017" s="841" t="s">
        <v>3948</v>
      </c>
      <c r="M5017" s="1357"/>
      <c r="Q5017" s="1357"/>
      <c r="S5017" s="1420"/>
      <c r="T5017" s="1420"/>
      <c r="V5017" s="1357">
        <v>66</v>
      </c>
    </row>
    <row r="5018" spans="1:22" s="841" customFormat="1" ht="23.25" x14ac:dyDescent="0.25">
      <c r="A5018" s="841" t="s">
        <v>203</v>
      </c>
      <c r="C5018" s="841" t="s">
        <v>3050</v>
      </c>
      <c r="E5018" s="1911" t="s">
        <v>203</v>
      </c>
      <c r="F5018" s="1911"/>
      <c r="G5018" s="1911"/>
      <c r="H5018" s="1911"/>
      <c r="I5018" s="841" t="s">
        <v>628</v>
      </c>
      <c r="J5018" s="841" t="s">
        <v>3872</v>
      </c>
      <c r="K5018" s="841" t="s">
        <v>203</v>
      </c>
      <c r="M5018" s="1357">
        <v>8</v>
      </c>
      <c r="Q5018" s="1357"/>
      <c r="S5018" s="1420"/>
      <c r="T5018" s="1420"/>
      <c r="V5018" s="1357">
        <v>23</v>
      </c>
    </row>
    <row r="5019" spans="1:22" s="841" customFormat="1" x14ac:dyDescent="0.25">
      <c r="A5019" s="841" t="s">
        <v>203</v>
      </c>
      <c r="C5019" s="841" t="s">
        <v>3052</v>
      </c>
      <c r="E5019" s="1912" t="s">
        <v>3053</v>
      </c>
      <c r="F5019" s="1912"/>
      <c r="G5019" s="1912"/>
      <c r="H5019" s="1912"/>
      <c r="M5019" s="1357"/>
      <c r="Q5019" s="1357"/>
      <c r="S5019" s="1420"/>
      <c r="T5019" s="1420"/>
      <c r="V5019" s="1357">
        <v>27</v>
      </c>
    </row>
    <row r="5020" spans="1:22" s="841" customFormat="1" ht="15.75" x14ac:dyDescent="0.25">
      <c r="A5020" s="841" t="s">
        <v>203</v>
      </c>
      <c r="C5020" s="841" t="s">
        <v>3054</v>
      </c>
      <c r="E5020" s="1913" t="s">
        <v>5107</v>
      </c>
      <c r="F5020" s="1913"/>
      <c r="G5020" s="1913"/>
      <c r="H5020" s="1913"/>
      <c r="M5020" s="1357"/>
      <c r="Q5020" s="1357"/>
      <c r="S5020" s="1420">
        <v>43221</v>
      </c>
      <c r="T5020" s="1420"/>
      <c r="V5020" s="1357">
        <v>45</v>
      </c>
    </row>
    <row r="5021" spans="1:22" s="841" customFormat="1" ht="15" x14ac:dyDescent="0.25">
      <c r="A5021" s="841" t="s">
        <v>203</v>
      </c>
      <c r="C5021" s="841" t="s">
        <v>3055</v>
      </c>
      <c r="E5021" s="1914" t="s">
        <v>3056</v>
      </c>
      <c r="F5021" s="1914"/>
      <c r="G5021" s="1914"/>
      <c r="H5021" s="1914"/>
      <c r="M5021" s="1357"/>
      <c r="Q5021" s="1357"/>
      <c r="S5021" s="1420"/>
      <c r="T5021" s="1420"/>
      <c r="V5021" s="1357">
        <v>52</v>
      </c>
    </row>
    <row r="5022" spans="1:22" s="841" customFormat="1" ht="15" x14ac:dyDescent="0.25">
      <c r="A5022" s="841" t="s">
        <v>203</v>
      </c>
      <c r="E5022" s="1914" t="s">
        <v>3057</v>
      </c>
      <c r="F5022" s="1914"/>
      <c r="G5022" s="1914"/>
      <c r="H5022" s="1914"/>
      <c r="M5022" s="1357"/>
      <c r="Q5022" s="1357"/>
      <c r="S5022" s="1420"/>
      <c r="T5022" s="1420"/>
      <c r="V5022" s="1357">
        <v>53</v>
      </c>
    </row>
    <row r="5023" spans="1:22" s="841" customFormat="1" ht="15" x14ac:dyDescent="0.25">
      <c r="A5023" s="841" t="s">
        <v>203</v>
      </c>
      <c r="E5023" s="1925" t="s">
        <v>5494</v>
      </c>
      <c r="F5023" s="1925"/>
      <c r="G5023" s="1925"/>
      <c r="H5023" s="1925"/>
      <c r="K5023" s="841" t="s">
        <v>5494</v>
      </c>
      <c r="M5023" s="1357"/>
      <c r="Q5023" s="1357"/>
      <c r="S5023" s="1420"/>
      <c r="T5023" s="1420"/>
      <c r="V5023" s="1357">
        <v>12</v>
      </c>
    </row>
    <row r="5024" spans="1:22" s="841" customFormat="1" ht="15" x14ac:dyDescent="0.25">
      <c r="A5024" s="841" t="s">
        <v>203</v>
      </c>
      <c r="E5024" s="1936" t="s">
        <v>438</v>
      </c>
      <c r="F5024" s="1689"/>
      <c r="G5024" s="1689"/>
      <c r="H5024" s="1689"/>
      <c r="K5024" s="841" t="s">
        <v>3197</v>
      </c>
      <c r="M5024" s="1357"/>
      <c r="Q5024" s="1357"/>
      <c r="S5024" s="1420"/>
      <c r="T5024" s="1420"/>
      <c r="V5024" s="1357">
        <v>34</v>
      </c>
    </row>
    <row r="5025" spans="1:22" s="841" customFormat="1" ht="15" x14ac:dyDescent="0.25">
      <c r="A5025" s="841" t="s">
        <v>203</v>
      </c>
      <c r="E5025" s="1689" t="s">
        <v>3873</v>
      </c>
      <c r="F5025" s="1689"/>
      <c r="G5025" s="1689"/>
      <c r="H5025" s="1689"/>
      <c r="K5025" s="841" t="s">
        <v>3197</v>
      </c>
      <c r="M5025" s="1357"/>
      <c r="Q5025" s="1357"/>
      <c r="S5025" s="1420"/>
      <c r="T5025" s="1420"/>
      <c r="V5025" s="1357">
        <v>680</v>
      </c>
    </row>
    <row r="5026" spans="1:22" s="841" customFormat="1" ht="15" x14ac:dyDescent="0.25">
      <c r="A5026" s="841" t="s">
        <v>203</v>
      </c>
      <c r="E5026" s="1916" t="s">
        <v>3061</v>
      </c>
      <c r="F5026" s="1689"/>
      <c r="G5026" s="1689"/>
      <c r="H5026" s="1689"/>
      <c r="K5026" s="841" t="s">
        <v>3062</v>
      </c>
      <c r="M5026" s="1357"/>
      <c r="Q5026" s="1357"/>
      <c r="S5026" s="1420"/>
      <c r="T5026" s="1420"/>
      <c r="V5026" s="1357">
        <v>11</v>
      </c>
    </row>
    <row r="5027" spans="1:22" s="841" customFormat="1" ht="15" x14ac:dyDescent="0.25">
      <c r="A5027" s="841" t="s">
        <v>203</v>
      </c>
      <c r="E5027" s="1921" t="s">
        <v>3063</v>
      </c>
      <c r="F5027" s="1921"/>
      <c r="G5027" s="1921"/>
      <c r="H5027" s="1921"/>
      <c r="K5027" s="841" t="s">
        <v>3197</v>
      </c>
      <c r="M5027" s="1357"/>
      <c r="Q5027" s="1357"/>
      <c r="S5027" s="1420"/>
      <c r="T5027" s="1420"/>
      <c r="V5027" s="1357">
        <v>280</v>
      </c>
    </row>
    <row r="5028" spans="1:22" s="841" customFormat="1" ht="15" x14ac:dyDescent="0.25">
      <c r="A5028" s="841" t="s">
        <v>203</v>
      </c>
      <c r="E5028" s="1921" t="s">
        <v>3064</v>
      </c>
      <c r="F5028" s="1921"/>
      <c r="G5028" s="1921"/>
      <c r="H5028" s="1921"/>
      <c r="K5028" s="841" t="s">
        <v>3197</v>
      </c>
      <c r="M5028" s="1357"/>
      <c r="Q5028" s="1357"/>
      <c r="S5028" s="1420"/>
      <c r="T5028" s="1420"/>
      <c r="V5028" s="1357">
        <v>411</v>
      </c>
    </row>
    <row r="5029" spans="1:22" s="841" customFormat="1" ht="15" x14ac:dyDescent="0.25">
      <c r="A5029" s="841" t="s">
        <v>203</v>
      </c>
      <c r="E5029" s="1921" t="s">
        <v>3065</v>
      </c>
      <c r="F5029" s="1921"/>
      <c r="G5029" s="1921"/>
      <c r="H5029" s="1921"/>
      <c r="K5029" s="841" t="s">
        <v>3197</v>
      </c>
      <c r="M5029" s="1357"/>
      <c r="Q5029" s="1357"/>
      <c r="S5029" s="1420"/>
      <c r="T5029" s="1420"/>
      <c r="V5029" s="1357">
        <v>387</v>
      </c>
    </row>
    <row r="5030" spans="1:22" s="841" customFormat="1" ht="15" x14ac:dyDescent="0.25">
      <c r="A5030" s="841" t="s">
        <v>203</v>
      </c>
      <c r="E5030" s="1921" t="s">
        <v>3390</v>
      </c>
      <c r="F5030" s="1921"/>
      <c r="G5030" s="1921"/>
      <c r="H5030" s="1921"/>
      <c r="K5030" s="841" t="s">
        <v>3197</v>
      </c>
      <c r="M5030" s="1357"/>
      <c r="Q5030" s="1357"/>
      <c r="S5030" s="1420"/>
      <c r="T5030" s="1420"/>
      <c r="V5030" s="1357">
        <v>274</v>
      </c>
    </row>
    <row r="5031" spans="1:22" s="841" customFormat="1" ht="15" x14ac:dyDescent="0.25">
      <c r="A5031" s="841" t="s">
        <v>203</v>
      </c>
      <c r="E5031" s="1961" t="s">
        <v>3067</v>
      </c>
      <c r="F5031" s="1921"/>
      <c r="G5031" s="1921"/>
      <c r="H5031" s="1921"/>
      <c r="K5031" s="841" t="s">
        <v>3068</v>
      </c>
      <c r="M5031" s="1357"/>
      <c r="Q5031" s="1357"/>
      <c r="S5031" s="1420"/>
      <c r="T5031" s="1420"/>
      <c r="V5031" s="1357">
        <v>46</v>
      </c>
    </row>
    <row r="5032" spans="1:22" s="841" customFormat="1" ht="15" x14ac:dyDescent="0.25">
      <c r="A5032" s="841" t="s">
        <v>203</v>
      </c>
      <c r="E5032" s="1960" t="s">
        <v>11</v>
      </c>
      <c r="F5032" s="1904"/>
      <c r="G5032" s="1205" t="s">
        <v>23</v>
      </c>
      <c r="H5032" s="600">
        <v>23.48</v>
      </c>
      <c r="K5032" s="841" t="s">
        <v>3197</v>
      </c>
      <c r="L5032" s="841" t="s">
        <v>442</v>
      </c>
      <c r="M5032" s="1357"/>
      <c r="P5032" s="841" t="s">
        <v>3201</v>
      </c>
      <c r="Q5032" s="1357"/>
      <c r="S5032" s="1420"/>
      <c r="T5032" s="1420"/>
      <c r="V5032" s="1357">
        <v>14</v>
      </c>
    </row>
    <row r="5033" spans="1:22" s="841" customFormat="1" ht="15" x14ac:dyDescent="0.25">
      <c r="A5033" s="841" t="s">
        <v>203</v>
      </c>
      <c r="E5033" s="1960" t="s">
        <v>5109</v>
      </c>
      <c r="F5033" s="1904"/>
      <c r="G5033" s="1205" t="s">
        <v>23</v>
      </c>
      <c r="H5033" s="1206">
        <v>0.56999999999999995</v>
      </c>
      <c r="K5033" s="841" t="s">
        <v>3197</v>
      </c>
      <c r="L5033" s="841" t="s">
        <v>443</v>
      </c>
      <c r="M5033" s="1357"/>
      <c r="P5033" s="841" t="s">
        <v>3202</v>
      </c>
      <c r="Q5033" s="1357"/>
      <c r="S5033" s="1420"/>
      <c r="T5033" s="1420">
        <v>44926</v>
      </c>
      <c r="V5033" s="1357">
        <v>64</v>
      </c>
    </row>
    <row r="5034" spans="1:22" s="841" customFormat="1" ht="15" x14ac:dyDescent="0.25">
      <c r="A5034" s="841" t="s">
        <v>203</v>
      </c>
      <c r="E5034" s="1960" t="s">
        <v>84</v>
      </c>
      <c r="F5034" s="1904"/>
      <c r="G5034" s="1205" t="s">
        <v>24</v>
      </c>
      <c r="H5034" s="606">
        <v>3.3999999999999998E-3</v>
      </c>
      <c r="K5034" s="841" t="s">
        <v>3197</v>
      </c>
      <c r="L5034" s="841" t="s">
        <v>442</v>
      </c>
      <c r="M5034" s="1357"/>
      <c r="P5034" s="841" t="s">
        <v>3203</v>
      </c>
      <c r="Q5034" s="1357"/>
      <c r="S5034" s="1420"/>
      <c r="T5034" s="1420"/>
      <c r="V5034" s="1357">
        <v>28</v>
      </c>
    </row>
    <row r="5035" spans="1:22" s="841" customFormat="1" ht="15" x14ac:dyDescent="0.25">
      <c r="A5035" s="841" t="s">
        <v>203</v>
      </c>
      <c r="E5035" s="1960" t="s">
        <v>18</v>
      </c>
      <c r="F5035" s="1904"/>
      <c r="G5035" s="1205" t="s">
        <v>24</v>
      </c>
      <c r="H5035" s="665">
        <v>2.5999999999999999E-3</v>
      </c>
      <c r="K5035" s="841" t="s">
        <v>3197</v>
      </c>
      <c r="L5035" s="841" t="s">
        <v>443</v>
      </c>
      <c r="M5035" s="1357"/>
      <c r="P5035" s="841" t="s">
        <v>3204</v>
      </c>
      <c r="Q5035" s="1357"/>
      <c r="S5035" s="1420"/>
      <c r="T5035" s="1420"/>
      <c r="V5035" s="1357">
        <v>24</v>
      </c>
    </row>
    <row r="5036" spans="1:22" s="841" customFormat="1" ht="15" x14ac:dyDescent="0.25">
      <c r="A5036" s="841" t="s">
        <v>203</v>
      </c>
      <c r="E5036" s="1960" t="s">
        <v>5129</v>
      </c>
      <c r="F5036" s="1962"/>
      <c r="G5036" s="1205" t="s">
        <v>24</v>
      </c>
      <c r="H5036" s="665">
        <v>-1E-3</v>
      </c>
      <c r="K5036" s="841" t="s">
        <v>3197</v>
      </c>
      <c r="L5036" s="841" t="s">
        <v>443</v>
      </c>
      <c r="M5036" s="1357"/>
      <c r="P5036" s="841" t="s">
        <v>3205</v>
      </c>
      <c r="Q5036" s="1357"/>
      <c r="S5036" s="1420"/>
      <c r="T5036" s="1420">
        <v>43585</v>
      </c>
      <c r="V5036" s="1357">
        <v>139</v>
      </c>
    </row>
    <row r="5037" spans="1:22" s="841" customFormat="1" ht="15" x14ac:dyDescent="0.25">
      <c r="A5037" s="841" t="s">
        <v>203</v>
      </c>
      <c r="E5037" s="1960" t="s">
        <v>5130</v>
      </c>
      <c r="F5037" s="1962"/>
      <c r="G5037" s="1205" t="s">
        <v>24</v>
      </c>
      <c r="H5037" s="665">
        <v>-1.4E-3</v>
      </c>
      <c r="K5037" s="841" t="s">
        <v>3197</v>
      </c>
      <c r="L5037" s="841" t="s">
        <v>443</v>
      </c>
      <c r="M5037" s="1357"/>
      <c r="P5037" s="841" t="s">
        <v>3207</v>
      </c>
      <c r="Q5037" s="1357"/>
      <c r="S5037" s="1420"/>
      <c r="T5037" s="1420">
        <v>43585</v>
      </c>
      <c r="V5037" s="1357">
        <v>96</v>
      </c>
    </row>
    <row r="5038" spans="1:22" s="841" customFormat="1" ht="15" x14ac:dyDescent="0.25">
      <c r="A5038" s="841" t="s">
        <v>203</v>
      </c>
      <c r="E5038" s="1960" t="s">
        <v>5495</v>
      </c>
      <c r="F5038" s="1962"/>
      <c r="G5038" s="695" t="s">
        <v>24</v>
      </c>
      <c r="H5038" s="697">
        <v>-1E-4</v>
      </c>
      <c r="K5038" s="841" t="s">
        <v>3197</v>
      </c>
      <c r="L5038" s="841" t="s">
        <v>443</v>
      </c>
      <c r="M5038" s="1357"/>
      <c r="P5038" s="841" t="s">
        <v>5103</v>
      </c>
      <c r="Q5038" s="1357"/>
      <c r="S5038" s="1420"/>
      <c r="T5038" s="1420">
        <v>43585</v>
      </c>
      <c r="V5038" s="1357">
        <v>139</v>
      </c>
    </row>
    <row r="5039" spans="1:22" s="841" customFormat="1" ht="15" x14ac:dyDescent="0.25">
      <c r="A5039" s="841" t="s">
        <v>203</v>
      </c>
      <c r="E5039" s="1960" t="s">
        <v>221</v>
      </c>
      <c r="F5039" s="1904"/>
      <c r="G5039" s="1205" t="s">
        <v>24</v>
      </c>
      <c r="H5039" s="606">
        <v>6.7999999999999996E-3</v>
      </c>
      <c r="K5039" s="841" t="s">
        <v>3197</v>
      </c>
      <c r="L5039" s="841" t="s">
        <v>444</v>
      </c>
      <c r="M5039" s="1357"/>
      <c r="P5039" s="841" t="s">
        <v>3208</v>
      </c>
      <c r="Q5039" s="1357"/>
      <c r="S5039" s="1420"/>
      <c r="T5039" s="1420"/>
      <c r="V5039" s="1357">
        <v>47</v>
      </c>
    </row>
    <row r="5040" spans="1:22" s="841" customFormat="1" ht="15" x14ac:dyDescent="0.25">
      <c r="A5040" s="841" t="s">
        <v>203</v>
      </c>
      <c r="E5040" s="1960" t="s">
        <v>217</v>
      </c>
      <c r="F5040" s="1904"/>
      <c r="G5040" s="1205" t="s">
        <v>24</v>
      </c>
      <c r="H5040" s="606">
        <v>5.5999999999999999E-3</v>
      </c>
      <c r="K5040" s="841" t="s">
        <v>3197</v>
      </c>
      <c r="L5040" s="841" t="s">
        <v>444</v>
      </c>
      <c r="M5040" s="1357"/>
      <c r="P5040" s="841" t="s">
        <v>3209</v>
      </c>
      <c r="Q5040" s="1357"/>
      <c r="S5040" s="1420"/>
      <c r="T5040" s="1420"/>
      <c r="V5040" s="1357">
        <v>74</v>
      </c>
    </row>
    <row r="5041" spans="1:22" s="841" customFormat="1" ht="15" x14ac:dyDescent="0.25">
      <c r="A5041" s="841" t="s">
        <v>203</v>
      </c>
      <c r="E5041" s="1961" t="s">
        <v>3079</v>
      </c>
      <c r="F5041" s="1904"/>
      <c r="G5041" s="1904"/>
      <c r="H5041" s="1904"/>
      <c r="K5041" s="841" t="s">
        <v>3080</v>
      </c>
      <c r="M5041" s="1357"/>
      <c r="Q5041" s="1357"/>
      <c r="S5041" s="1420"/>
      <c r="T5041" s="1420"/>
      <c r="V5041" s="1357">
        <v>48</v>
      </c>
    </row>
    <row r="5042" spans="1:22" s="841" customFormat="1" ht="15" x14ac:dyDescent="0.25">
      <c r="A5042" s="841" t="s">
        <v>203</v>
      </c>
      <c r="E5042" s="1934" t="s">
        <v>2449</v>
      </c>
      <c r="F5042" s="1934"/>
      <c r="G5042" s="895" t="s">
        <v>24</v>
      </c>
      <c r="H5042" s="678">
        <v>3.2000000000000002E-3</v>
      </c>
      <c r="K5042" s="841" t="s">
        <v>3197</v>
      </c>
      <c r="L5042" s="841" t="s">
        <v>3046</v>
      </c>
      <c r="M5042" s="1357"/>
      <c r="P5042" s="841" t="s">
        <v>3210</v>
      </c>
      <c r="Q5042" s="1357"/>
      <c r="S5042" s="1420"/>
      <c r="T5042" s="1420"/>
      <c r="V5042" s="1357">
        <v>55</v>
      </c>
    </row>
    <row r="5043" spans="1:22" s="841" customFormat="1" ht="15" x14ac:dyDescent="0.25">
      <c r="A5043" s="841" t="s">
        <v>203</v>
      </c>
      <c r="E5043" s="1934" t="s">
        <v>2450</v>
      </c>
      <c r="F5043" s="1934"/>
      <c r="G5043" s="895" t="s">
        <v>24</v>
      </c>
      <c r="H5043" s="678">
        <v>4.0000000000000002E-4</v>
      </c>
      <c r="K5043" s="841" t="s">
        <v>3197</v>
      </c>
      <c r="L5043" s="841" t="s">
        <v>3046</v>
      </c>
      <c r="M5043" s="1357"/>
      <c r="P5043" s="841" t="s">
        <v>3210</v>
      </c>
      <c r="Q5043" s="1357"/>
      <c r="S5043" s="1420"/>
      <c r="T5043" s="1420"/>
      <c r="V5043" s="1357">
        <v>65</v>
      </c>
    </row>
    <row r="5044" spans="1:22" s="841" customFormat="1" ht="15" x14ac:dyDescent="0.25">
      <c r="A5044" s="841" t="s">
        <v>203</v>
      </c>
      <c r="E5044" s="1960" t="s">
        <v>439</v>
      </c>
      <c r="F5044" s="1904"/>
      <c r="G5044" s="1205" t="s">
        <v>24</v>
      </c>
      <c r="H5044" s="665">
        <v>2.9999999999999997E-4</v>
      </c>
      <c r="K5044" s="841" t="s">
        <v>3197</v>
      </c>
      <c r="L5044" s="841" t="s">
        <v>3046</v>
      </c>
      <c r="M5044" s="1357"/>
      <c r="P5044" s="841" t="s">
        <v>3212</v>
      </c>
      <c r="Q5044" s="1357"/>
      <c r="S5044" s="1420"/>
      <c r="T5044" s="1420"/>
      <c r="V5044" s="1357">
        <v>57</v>
      </c>
    </row>
    <row r="5045" spans="1:22" s="841" customFormat="1" ht="15" x14ac:dyDescent="0.25">
      <c r="A5045" s="841" t="s">
        <v>203</v>
      </c>
      <c r="E5045" s="1960" t="s">
        <v>32</v>
      </c>
      <c r="F5045" s="1904"/>
      <c r="G5045" s="1205" t="s">
        <v>23</v>
      </c>
      <c r="H5045" s="1206">
        <v>0.25</v>
      </c>
      <c r="K5045" s="841" t="s">
        <v>3197</v>
      </c>
      <c r="L5045" s="841" t="s">
        <v>3046</v>
      </c>
      <c r="M5045" s="1357"/>
      <c r="P5045" s="841" t="s">
        <v>3213</v>
      </c>
      <c r="Q5045" s="1357"/>
      <c r="S5045" s="1420"/>
      <c r="T5045" s="1420"/>
      <c r="V5045" s="1357">
        <v>63</v>
      </c>
    </row>
    <row r="5046" spans="1:22" s="841" customFormat="1" x14ac:dyDescent="0.25">
      <c r="A5046" s="841" t="s">
        <v>203</v>
      </c>
      <c r="E5046" s="1936" t="s">
        <v>3214</v>
      </c>
      <c r="F5046" s="1923"/>
      <c r="G5046" s="1923"/>
      <c r="H5046" s="1923"/>
      <c r="K5046" s="841" t="s">
        <v>5110</v>
      </c>
      <c r="M5046" s="1357"/>
      <c r="Q5046" s="1357"/>
      <c r="S5046" s="1420"/>
      <c r="T5046" s="1420"/>
      <c r="V5046" s="1357">
        <v>54</v>
      </c>
    </row>
    <row r="5047" spans="1:22" s="841" customFormat="1" ht="15" x14ac:dyDescent="0.25">
      <c r="A5047" s="841" t="s">
        <v>203</v>
      </c>
      <c r="E5047" s="1921" t="s">
        <v>3874</v>
      </c>
      <c r="F5047" s="1921"/>
      <c r="G5047" s="1921"/>
      <c r="H5047" s="1921"/>
      <c r="K5047" s="841" t="s">
        <v>5110</v>
      </c>
      <c r="M5047" s="1357"/>
      <c r="Q5047" s="1357"/>
      <c r="S5047" s="1420"/>
      <c r="T5047" s="1420"/>
      <c r="V5047" s="1357">
        <v>337</v>
      </c>
    </row>
    <row r="5048" spans="1:22" s="841" customFormat="1" ht="15" x14ac:dyDescent="0.25">
      <c r="A5048" s="841" t="s">
        <v>203</v>
      </c>
      <c r="E5048" s="1916" t="s">
        <v>3061</v>
      </c>
      <c r="F5048" s="1689"/>
      <c r="G5048" s="1689"/>
      <c r="H5048" s="1689"/>
      <c r="K5048" s="841" t="s">
        <v>3086</v>
      </c>
      <c r="M5048" s="1357"/>
      <c r="Q5048" s="1357"/>
      <c r="S5048" s="1420"/>
      <c r="T5048" s="1420"/>
      <c r="V5048" s="1357">
        <v>11</v>
      </c>
    </row>
    <row r="5049" spans="1:22" s="841" customFormat="1" ht="15" x14ac:dyDescent="0.25">
      <c r="A5049" s="841" t="s">
        <v>203</v>
      </c>
      <c r="E5049" s="1921" t="s">
        <v>3063</v>
      </c>
      <c r="F5049" s="1921"/>
      <c r="G5049" s="1921"/>
      <c r="H5049" s="1921"/>
      <c r="K5049" s="841" t="s">
        <v>5110</v>
      </c>
      <c r="M5049" s="1357"/>
      <c r="Q5049" s="1357"/>
      <c r="S5049" s="1420"/>
      <c r="T5049" s="1420"/>
      <c r="V5049" s="1357">
        <v>280</v>
      </c>
    </row>
    <row r="5050" spans="1:22" s="841" customFormat="1" ht="15" x14ac:dyDescent="0.25">
      <c r="A5050" s="841" t="s">
        <v>203</v>
      </c>
      <c r="E5050" s="1921" t="s">
        <v>3064</v>
      </c>
      <c r="F5050" s="1921"/>
      <c r="G5050" s="1921"/>
      <c r="H5050" s="1921"/>
      <c r="K5050" s="841" t="s">
        <v>5110</v>
      </c>
      <c r="M5050" s="1357"/>
      <c r="Q5050" s="1357"/>
      <c r="S5050" s="1420"/>
      <c r="T5050" s="1420"/>
      <c r="V5050" s="1357">
        <v>411</v>
      </c>
    </row>
    <row r="5051" spans="1:22" s="841" customFormat="1" ht="15" x14ac:dyDescent="0.25">
      <c r="A5051" s="841" t="s">
        <v>203</v>
      </c>
      <c r="E5051" s="1921" t="s">
        <v>3065</v>
      </c>
      <c r="F5051" s="1921"/>
      <c r="G5051" s="1921"/>
      <c r="H5051" s="1921"/>
      <c r="K5051" s="841" t="s">
        <v>5110</v>
      </c>
      <c r="M5051" s="1357"/>
      <c r="Q5051" s="1357"/>
      <c r="S5051" s="1420"/>
      <c r="T5051" s="1420"/>
      <c r="V5051" s="1357">
        <v>387</v>
      </c>
    </row>
    <row r="5052" spans="1:22" s="841" customFormat="1" ht="15" x14ac:dyDescent="0.25">
      <c r="A5052" s="841" t="s">
        <v>203</v>
      </c>
      <c r="E5052" s="1921" t="s">
        <v>3390</v>
      </c>
      <c r="F5052" s="1921"/>
      <c r="G5052" s="1921"/>
      <c r="H5052" s="1921"/>
      <c r="K5052" s="841" t="s">
        <v>5110</v>
      </c>
      <c r="M5052" s="1357"/>
      <c r="Q5052" s="1357"/>
      <c r="S5052" s="1420"/>
      <c r="T5052" s="1420"/>
      <c r="V5052" s="1357">
        <v>274</v>
      </c>
    </row>
    <row r="5053" spans="1:22" s="841" customFormat="1" ht="15" x14ac:dyDescent="0.25">
      <c r="A5053" s="841" t="s">
        <v>203</v>
      </c>
      <c r="E5053" s="1961" t="s">
        <v>3067</v>
      </c>
      <c r="F5053" s="1921"/>
      <c r="G5053" s="1921"/>
      <c r="H5053" s="1921"/>
      <c r="K5053" s="841" t="s">
        <v>3087</v>
      </c>
      <c r="M5053" s="1357"/>
      <c r="Q5053" s="1357"/>
      <c r="S5053" s="1420"/>
      <c r="T5053" s="1420"/>
      <c r="V5053" s="1357">
        <v>46</v>
      </c>
    </row>
    <row r="5054" spans="1:22" s="841" customFormat="1" ht="15" x14ac:dyDescent="0.25">
      <c r="A5054" s="841" t="s">
        <v>203</v>
      </c>
      <c r="E5054" s="1960" t="s">
        <v>11</v>
      </c>
      <c r="F5054" s="1904"/>
      <c r="G5054" s="1205" t="s">
        <v>23</v>
      </c>
      <c r="H5054" s="600">
        <v>28.37</v>
      </c>
      <c r="K5054" s="841" t="s">
        <v>5110</v>
      </c>
      <c r="L5054" s="841" t="s">
        <v>442</v>
      </c>
      <c r="M5054" s="1357"/>
      <c r="P5054" s="841" t="s">
        <v>5111</v>
      </c>
      <c r="Q5054" s="1357"/>
      <c r="S5054" s="1420"/>
      <c r="T5054" s="1420"/>
      <c r="V5054" s="1357">
        <v>14</v>
      </c>
    </row>
    <row r="5055" spans="1:22" s="841" customFormat="1" ht="15" x14ac:dyDescent="0.25">
      <c r="A5055" s="841" t="s">
        <v>203</v>
      </c>
      <c r="E5055" s="1960" t="s">
        <v>5109</v>
      </c>
      <c r="F5055" s="1904"/>
      <c r="G5055" s="1205" t="s">
        <v>23</v>
      </c>
      <c r="H5055" s="1206">
        <v>0.56999999999999995</v>
      </c>
      <c r="K5055" s="841" t="s">
        <v>5110</v>
      </c>
      <c r="L5055" s="841" t="s">
        <v>443</v>
      </c>
      <c r="M5055" s="1357"/>
      <c r="P5055" s="841" t="s">
        <v>5112</v>
      </c>
      <c r="Q5055" s="1357"/>
      <c r="S5055" s="1420"/>
      <c r="T5055" s="1420">
        <v>44926</v>
      </c>
      <c r="V5055" s="1357">
        <v>64</v>
      </c>
    </row>
    <row r="5056" spans="1:22" s="841" customFormat="1" ht="15" x14ac:dyDescent="0.25">
      <c r="A5056" s="841" t="s">
        <v>203</v>
      </c>
      <c r="E5056" s="1960" t="s">
        <v>84</v>
      </c>
      <c r="F5056" s="1904"/>
      <c r="G5056" s="1205" t="s">
        <v>24</v>
      </c>
      <c r="H5056" s="606">
        <v>1.0200000000000001E-2</v>
      </c>
      <c r="K5056" s="841" t="s">
        <v>5110</v>
      </c>
      <c r="L5056" s="841" t="s">
        <v>442</v>
      </c>
      <c r="M5056" s="1357"/>
      <c r="P5056" s="841" t="s">
        <v>5113</v>
      </c>
      <c r="Q5056" s="1357"/>
      <c r="S5056" s="1420"/>
      <c r="T5056" s="1420"/>
      <c r="V5056" s="1357">
        <v>28</v>
      </c>
    </row>
    <row r="5057" spans="1:22" s="841" customFormat="1" ht="15" x14ac:dyDescent="0.25">
      <c r="A5057" s="841" t="s">
        <v>203</v>
      </c>
      <c r="E5057" s="1960" t="s">
        <v>18</v>
      </c>
      <c r="F5057" s="1904"/>
      <c r="G5057" s="1205" t="s">
        <v>24</v>
      </c>
      <c r="H5057" s="665">
        <v>2.3999999999999998E-3</v>
      </c>
      <c r="K5057" s="841" t="s">
        <v>5110</v>
      </c>
      <c r="L5057" s="841" t="s">
        <v>443</v>
      </c>
      <c r="M5057" s="1357"/>
      <c r="P5057" s="841" t="s">
        <v>5114</v>
      </c>
      <c r="Q5057" s="1357"/>
      <c r="S5057" s="1420"/>
      <c r="T5057" s="1420"/>
      <c r="V5057" s="1357">
        <v>24</v>
      </c>
    </row>
    <row r="5058" spans="1:22" s="841" customFormat="1" ht="15" x14ac:dyDescent="0.25">
      <c r="A5058" s="841" t="s">
        <v>203</v>
      </c>
      <c r="E5058" s="1960" t="s">
        <v>5129</v>
      </c>
      <c r="F5058" s="1962"/>
      <c r="G5058" s="695" t="s">
        <v>24</v>
      </c>
      <c r="H5058" s="697">
        <v>-1E-3</v>
      </c>
      <c r="K5058" s="841" t="s">
        <v>5110</v>
      </c>
      <c r="L5058" s="841" t="s">
        <v>443</v>
      </c>
      <c r="M5058" s="1357"/>
      <c r="P5058" s="841" t="s">
        <v>4818</v>
      </c>
      <c r="Q5058" s="1357"/>
      <c r="S5058" s="1420"/>
      <c r="T5058" s="1420">
        <v>43585</v>
      </c>
      <c r="V5058" s="1357">
        <v>139</v>
      </c>
    </row>
    <row r="5059" spans="1:22" s="841" customFormat="1" ht="15" x14ac:dyDescent="0.25">
      <c r="A5059" s="841" t="s">
        <v>203</v>
      </c>
      <c r="E5059" s="1960" t="s">
        <v>5130</v>
      </c>
      <c r="F5059" s="1962"/>
      <c r="G5059" s="1205" t="s">
        <v>24</v>
      </c>
      <c r="H5059" s="665">
        <v>-1.4E-3</v>
      </c>
      <c r="K5059" s="841" t="s">
        <v>5110</v>
      </c>
      <c r="L5059" s="841" t="s">
        <v>443</v>
      </c>
      <c r="M5059" s="1357"/>
      <c r="P5059" s="841" t="s">
        <v>5124</v>
      </c>
      <c r="Q5059" s="1357"/>
      <c r="S5059" s="1420"/>
      <c r="T5059" s="1420">
        <v>43585</v>
      </c>
      <c r="V5059" s="1357">
        <v>96</v>
      </c>
    </row>
    <row r="5060" spans="1:22" s="841" customFormat="1" ht="15" x14ac:dyDescent="0.25">
      <c r="A5060" s="841" t="s">
        <v>203</v>
      </c>
      <c r="E5060" s="1960" t="s">
        <v>5495</v>
      </c>
      <c r="F5060" s="1962"/>
      <c r="G5060" s="695" t="s">
        <v>24</v>
      </c>
      <c r="H5060" s="697">
        <v>-1E-4</v>
      </c>
      <c r="K5060" s="841" t="s">
        <v>5110</v>
      </c>
      <c r="L5060" s="841" t="s">
        <v>443</v>
      </c>
      <c r="M5060" s="1357"/>
      <c r="P5060" s="841" t="s">
        <v>5287</v>
      </c>
      <c r="Q5060" s="1357"/>
      <c r="S5060" s="1420"/>
      <c r="T5060" s="1420">
        <v>43585</v>
      </c>
      <c r="V5060" s="1357">
        <v>139</v>
      </c>
    </row>
    <row r="5061" spans="1:22" s="841" customFormat="1" ht="15" x14ac:dyDescent="0.25">
      <c r="A5061" s="841" t="s">
        <v>203</v>
      </c>
      <c r="E5061" s="1960" t="s">
        <v>221</v>
      </c>
      <c r="F5061" s="1904"/>
      <c r="G5061" s="1205" t="s">
        <v>24</v>
      </c>
      <c r="H5061" s="606">
        <v>6.0000000000000001E-3</v>
      </c>
      <c r="K5061" s="841" t="s">
        <v>5110</v>
      </c>
      <c r="L5061" s="841" t="s">
        <v>444</v>
      </c>
      <c r="M5061" s="1357"/>
      <c r="P5061" s="841" t="s">
        <v>5115</v>
      </c>
      <c r="Q5061" s="1357"/>
      <c r="S5061" s="1420"/>
      <c r="T5061" s="1420"/>
      <c r="V5061" s="1357">
        <v>47</v>
      </c>
    </row>
    <row r="5062" spans="1:22" s="841" customFormat="1" ht="15" x14ac:dyDescent="0.25">
      <c r="A5062" s="841" t="s">
        <v>203</v>
      </c>
      <c r="E5062" s="1960" t="s">
        <v>217</v>
      </c>
      <c r="F5062" s="1904"/>
      <c r="G5062" s="1205" t="s">
        <v>24</v>
      </c>
      <c r="H5062" s="606">
        <v>5.3E-3</v>
      </c>
      <c r="K5062" s="841" t="s">
        <v>5110</v>
      </c>
      <c r="L5062" s="841" t="s">
        <v>444</v>
      </c>
      <c r="M5062" s="1357"/>
      <c r="P5062" s="841" t="s">
        <v>5116</v>
      </c>
      <c r="Q5062" s="1357"/>
      <c r="S5062" s="1420"/>
      <c r="T5062" s="1420"/>
      <c r="V5062" s="1357">
        <v>74</v>
      </c>
    </row>
    <row r="5063" spans="1:22" s="841" customFormat="1" ht="15" x14ac:dyDescent="0.25">
      <c r="A5063" s="841" t="s">
        <v>203</v>
      </c>
      <c r="E5063" s="1961" t="s">
        <v>3079</v>
      </c>
      <c r="F5063" s="1904"/>
      <c r="G5063" s="1904"/>
      <c r="H5063" s="1904"/>
      <c r="K5063" s="841" t="s">
        <v>3093</v>
      </c>
      <c r="M5063" s="1357"/>
      <c r="Q5063" s="1357"/>
      <c r="S5063" s="1420"/>
      <c r="T5063" s="1420"/>
      <c r="V5063" s="1357">
        <v>48</v>
      </c>
    </row>
    <row r="5064" spans="1:22" s="841" customFormat="1" ht="15" x14ac:dyDescent="0.25">
      <c r="A5064" s="841" t="s">
        <v>203</v>
      </c>
      <c r="E5064" s="1934" t="s">
        <v>2449</v>
      </c>
      <c r="F5064" s="1934"/>
      <c r="G5064" s="895" t="s">
        <v>24</v>
      </c>
      <c r="H5064" s="678">
        <v>3.2000000000000002E-3</v>
      </c>
      <c r="K5064" s="841" t="s">
        <v>5110</v>
      </c>
      <c r="L5064" s="841" t="s">
        <v>3046</v>
      </c>
      <c r="M5064" s="1357"/>
      <c r="P5064" s="841" t="s">
        <v>5117</v>
      </c>
      <c r="Q5064" s="1357"/>
      <c r="S5064" s="1420"/>
      <c r="T5064" s="1420"/>
      <c r="V5064" s="1357">
        <v>55</v>
      </c>
    </row>
    <row r="5065" spans="1:22" s="841" customFormat="1" ht="15" x14ac:dyDescent="0.25">
      <c r="A5065" s="841" t="s">
        <v>203</v>
      </c>
      <c r="E5065" s="1934" t="s">
        <v>2450</v>
      </c>
      <c r="F5065" s="1934"/>
      <c r="G5065" s="895" t="s">
        <v>24</v>
      </c>
      <c r="H5065" s="678">
        <v>4.0000000000000002E-4</v>
      </c>
      <c r="K5065" s="841" t="s">
        <v>5110</v>
      </c>
      <c r="L5065" s="841" t="s">
        <v>3046</v>
      </c>
      <c r="M5065" s="1357"/>
      <c r="P5065" s="841" t="s">
        <v>5117</v>
      </c>
      <c r="Q5065" s="1357"/>
      <c r="S5065" s="1420"/>
      <c r="T5065" s="1420"/>
      <c r="V5065" s="1357">
        <v>65</v>
      </c>
    </row>
    <row r="5066" spans="1:22" s="841" customFormat="1" ht="15" x14ac:dyDescent="0.25">
      <c r="A5066" s="841" t="s">
        <v>203</v>
      </c>
      <c r="E5066" s="1960" t="s">
        <v>439</v>
      </c>
      <c r="F5066" s="1904"/>
      <c r="G5066" s="1205" t="s">
        <v>24</v>
      </c>
      <c r="H5066" s="665">
        <v>2.9999999999999997E-4</v>
      </c>
      <c r="K5066" s="841" t="s">
        <v>5110</v>
      </c>
      <c r="L5066" s="841" t="s">
        <v>3046</v>
      </c>
      <c r="M5066" s="1357"/>
      <c r="P5066" s="841" t="s">
        <v>5118</v>
      </c>
      <c r="Q5066" s="1357"/>
      <c r="S5066" s="1420"/>
      <c r="T5066" s="1420"/>
      <c r="V5066" s="1357">
        <v>57</v>
      </c>
    </row>
    <row r="5067" spans="1:22" s="841" customFormat="1" ht="15" x14ac:dyDescent="0.25">
      <c r="A5067" s="841" t="s">
        <v>203</v>
      </c>
      <c r="E5067" s="1960" t="s">
        <v>32</v>
      </c>
      <c r="F5067" s="1904"/>
      <c r="G5067" s="1205" t="s">
        <v>23</v>
      </c>
      <c r="H5067" s="1206">
        <v>0.25</v>
      </c>
      <c r="K5067" s="841" t="s">
        <v>5110</v>
      </c>
      <c r="L5067" s="841" t="s">
        <v>3046</v>
      </c>
      <c r="M5067" s="1357"/>
      <c r="P5067" s="841" t="s">
        <v>5119</v>
      </c>
      <c r="Q5067" s="1357"/>
      <c r="S5067" s="1420"/>
      <c r="T5067" s="1420"/>
      <c r="V5067" s="1357">
        <v>63</v>
      </c>
    </row>
    <row r="5068" spans="1:22" s="841" customFormat="1" x14ac:dyDescent="0.25">
      <c r="A5068" s="841" t="s">
        <v>203</v>
      </c>
      <c r="E5068" s="1936" t="s">
        <v>3216</v>
      </c>
      <c r="F5068" s="1923"/>
      <c r="G5068" s="1923"/>
      <c r="H5068" s="1923"/>
      <c r="K5068" s="841" t="s">
        <v>5180</v>
      </c>
      <c r="M5068" s="1357"/>
      <c r="Q5068" s="1357"/>
      <c r="S5068" s="1420"/>
      <c r="T5068" s="1420"/>
      <c r="V5068" s="1357">
        <v>51</v>
      </c>
    </row>
    <row r="5069" spans="1:22" s="841" customFormat="1" ht="15" x14ac:dyDescent="0.25">
      <c r="A5069" s="841" t="s">
        <v>203</v>
      </c>
      <c r="E5069" s="1921" t="s">
        <v>3875</v>
      </c>
      <c r="F5069" s="1921"/>
      <c r="G5069" s="1921"/>
      <c r="H5069" s="1921"/>
      <c r="K5069" s="841" t="s">
        <v>5180</v>
      </c>
      <c r="M5069" s="1357"/>
      <c r="Q5069" s="1357"/>
      <c r="S5069" s="1420"/>
      <c r="T5069" s="1420"/>
      <c r="V5069" s="1357">
        <v>511</v>
      </c>
    </row>
    <row r="5070" spans="1:22" s="841" customFormat="1" ht="15" x14ac:dyDescent="0.25">
      <c r="A5070" s="841" t="s">
        <v>203</v>
      </c>
      <c r="E5070" s="1916" t="s">
        <v>3061</v>
      </c>
      <c r="F5070" s="1689"/>
      <c r="G5070" s="1689"/>
      <c r="H5070" s="1689"/>
      <c r="K5070" s="841" t="s">
        <v>3098</v>
      </c>
      <c r="M5070" s="1357"/>
      <c r="Q5070" s="1357"/>
      <c r="S5070" s="1420"/>
      <c r="T5070" s="1420"/>
      <c r="V5070" s="1357">
        <v>11</v>
      </c>
    </row>
    <row r="5071" spans="1:22" s="841" customFormat="1" ht="15" x14ac:dyDescent="0.25">
      <c r="A5071" s="841" t="s">
        <v>203</v>
      </c>
      <c r="E5071" s="1921" t="s">
        <v>3063</v>
      </c>
      <c r="F5071" s="1921"/>
      <c r="G5071" s="1921"/>
      <c r="H5071" s="1921"/>
      <c r="K5071" s="841" t="s">
        <v>5180</v>
      </c>
      <c r="M5071" s="1357"/>
      <c r="Q5071" s="1357"/>
      <c r="S5071" s="1420"/>
      <c r="T5071" s="1420"/>
      <c r="V5071" s="1357">
        <v>280</v>
      </c>
    </row>
    <row r="5072" spans="1:22" s="841" customFormat="1" ht="15" x14ac:dyDescent="0.25">
      <c r="A5072" s="841" t="s">
        <v>203</v>
      </c>
      <c r="E5072" s="1921" t="s">
        <v>3064</v>
      </c>
      <c r="F5072" s="1921"/>
      <c r="G5072" s="1921"/>
      <c r="H5072" s="1921"/>
      <c r="K5072" s="841" t="s">
        <v>5180</v>
      </c>
      <c r="M5072" s="1357"/>
      <c r="Q5072" s="1357"/>
      <c r="S5072" s="1420"/>
      <c r="T5072" s="1420"/>
      <c r="V5072" s="1357">
        <v>411</v>
      </c>
    </row>
    <row r="5073" spans="1:22" s="841" customFormat="1" ht="15" x14ac:dyDescent="0.25">
      <c r="A5073" s="841" t="s">
        <v>203</v>
      </c>
      <c r="E5073" s="1921" t="s">
        <v>3065</v>
      </c>
      <c r="F5073" s="1921"/>
      <c r="G5073" s="1921"/>
      <c r="H5073" s="1921"/>
      <c r="K5073" s="841" t="s">
        <v>5180</v>
      </c>
      <c r="M5073" s="1357"/>
      <c r="Q5073" s="1357"/>
      <c r="S5073" s="1420"/>
      <c r="T5073" s="1420"/>
      <c r="V5073" s="1357">
        <v>387</v>
      </c>
    </row>
    <row r="5074" spans="1:22" s="841" customFormat="1" ht="15" x14ac:dyDescent="0.25">
      <c r="A5074" s="841" t="s">
        <v>203</v>
      </c>
      <c r="E5074" s="1921" t="s">
        <v>3390</v>
      </c>
      <c r="F5074" s="1921"/>
      <c r="G5074" s="1921"/>
      <c r="H5074" s="1921"/>
      <c r="K5074" s="841" t="s">
        <v>5180</v>
      </c>
      <c r="M5074" s="1357"/>
      <c r="Q5074" s="1357"/>
      <c r="S5074" s="1420"/>
      <c r="T5074" s="1420"/>
      <c r="V5074" s="1357">
        <v>274</v>
      </c>
    </row>
    <row r="5075" spans="1:22" s="841" customFormat="1" ht="15" x14ac:dyDescent="0.25">
      <c r="A5075" s="841" t="s">
        <v>203</v>
      </c>
      <c r="E5075" s="1921" t="s">
        <v>3876</v>
      </c>
      <c r="F5075" s="1921"/>
      <c r="G5075" s="1921"/>
      <c r="H5075" s="1921"/>
      <c r="K5075" s="841" t="s">
        <v>5180</v>
      </c>
      <c r="M5075" s="1357"/>
      <c r="Q5075" s="1357"/>
      <c r="S5075" s="1420"/>
      <c r="T5075" s="1420"/>
      <c r="V5075" s="1357">
        <v>202</v>
      </c>
    </row>
    <row r="5076" spans="1:22" s="841" customFormat="1" ht="15" x14ac:dyDescent="0.25">
      <c r="A5076" s="841" t="s">
        <v>203</v>
      </c>
      <c r="E5076" s="1961" t="s">
        <v>3067</v>
      </c>
      <c r="F5076" s="1921"/>
      <c r="G5076" s="1921"/>
      <c r="H5076" s="1921"/>
      <c r="K5076" s="841" t="s">
        <v>3099</v>
      </c>
      <c r="M5076" s="1357"/>
      <c r="Q5076" s="1357"/>
      <c r="S5076" s="1420"/>
      <c r="T5076" s="1420"/>
      <c r="V5076" s="1357">
        <v>46</v>
      </c>
    </row>
    <row r="5077" spans="1:22" s="841" customFormat="1" ht="15" x14ac:dyDescent="0.25">
      <c r="A5077" s="841" t="s">
        <v>203</v>
      </c>
      <c r="E5077" s="1960" t="s">
        <v>11</v>
      </c>
      <c r="F5077" s="1904"/>
      <c r="G5077" s="1205" t="s">
        <v>23</v>
      </c>
      <c r="H5077" s="600">
        <v>86.83</v>
      </c>
      <c r="K5077" s="841" t="s">
        <v>5180</v>
      </c>
      <c r="L5077" s="841" t="s">
        <v>442</v>
      </c>
      <c r="M5077" s="1357"/>
      <c r="P5077" s="841" t="s">
        <v>5181</v>
      </c>
      <c r="Q5077" s="1357"/>
      <c r="S5077" s="1420"/>
      <c r="T5077" s="1420"/>
      <c r="V5077" s="1357">
        <v>14</v>
      </c>
    </row>
    <row r="5078" spans="1:22" s="841" customFormat="1" ht="15" x14ac:dyDescent="0.25">
      <c r="A5078" s="841" t="s">
        <v>203</v>
      </c>
      <c r="E5078" s="1960" t="s">
        <v>84</v>
      </c>
      <c r="F5078" s="1904"/>
      <c r="G5078" s="1205" t="s">
        <v>33</v>
      </c>
      <c r="H5078" s="606">
        <v>3.8580000000000001</v>
      </c>
      <c r="K5078" s="841" t="s">
        <v>5180</v>
      </c>
      <c r="L5078" s="841" t="s">
        <v>442</v>
      </c>
      <c r="M5078" s="1357"/>
      <c r="P5078" s="841" t="s">
        <v>5182</v>
      </c>
      <c r="Q5078" s="1357"/>
      <c r="S5078" s="1420"/>
      <c r="T5078" s="1420"/>
      <c r="V5078" s="1357">
        <v>28</v>
      </c>
    </row>
    <row r="5079" spans="1:22" s="841" customFormat="1" ht="15" x14ac:dyDescent="0.25">
      <c r="A5079" s="841" t="s">
        <v>203</v>
      </c>
      <c r="E5079" s="1960" t="s">
        <v>18</v>
      </c>
      <c r="F5079" s="1904"/>
      <c r="G5079" s="1205" t="s">
        <v>33</v>
      </c>
      <c r="H5079" s="665">
        <v>1.0483</v>
      </c>
      <c r="K5079" s="841" t="s">
        <v>5180</v>
      </c>
      <c r="L5079" s="841" t="s">
        <v>443</v>
      </c>
      <c r="M5079" s="1357"/>
      <c r="P5079" s="841" t="s">
        <v>5183</v>
      </c>
      <c r="Q5079" s="1357"/>
      <c r="S5079" s="1420"/>
      <c r="T5079" s="1420"/>
      <c r="V5079" s="1357">
        <v>24</v>
      </c>
    </row>
    <row r="5080" spans="1:22" s="841" customFormat="1" ht="15" x14ac:dyDescent="0.25">
      <c r="A5080" s="841" t="s">
        <v>203</v>
      </c>
      <c r="E5080" s="1960" t="s">
        <v>5129</v>
      </c>
      <c r="F5080" s="1962"/>
      <c r="G5080" s="695" t="s">
        <v>24</v>
      </c>
      <c r="H5080" s="697">
        <v>-1E-3</v>
      </c>
      <c r="K5080" s="841" t="s">
        <v>5180</v>
      </c>
      <c r="L5080" s="841" t="s">
        <v>443</v>
      </c>
      <c r="M5080" s="1357"/>
      <c r="P5080" s="841" t="s">
        <v>5461</v>
      </c>
      <c r="Q5080" s="1357"/>
      <c r="S5080" s="1420"/>
      <c r="T5080" s="1420">
        <v>43585</v>
      </c>
      <c r="V5080" s="1357">
        <v>139</v>
      </c>
    </row>
    <row r="5081" spans="1:22" s="841" customFormat="1" ht="15" x14ac:dyDescent="0.25">
      <c r="A5081" s="841" t="s">
        <v>203</v>
      </c>
      <c r="E5081" s="1960" t="s">
        <v>5305</v>
      </c>
      <c r="F5081" s="1962"/>
      <c r="G5081" s="695" t="s">
        <v>33</v>
      </c>
      <c r="H5081" s="697">
        <v>-1.2172000000000001</v>
      </c>
      <c r="K5081" s="841" t="s">
        <v>5180</v>
      </c>
      <c r="L5081" s="841" t="s">
        <v>443</v>
      </c>
      <c r="M5081" s="1357"/>
      <c r="P5081" s="841" t="s">
        <v>5463</v>
      </c>
      <c r="Q5081" s="1357"/>
      <c r="S5081" s="1420"/>
      <c r="T5081" s="1420">
        <v>43585</v>
      </c>
      <c r="V5081" s="1357">
        <v>156</v>
      </c>
    </row>
    <row r="5082" spans="1:22" s="841" customFormat="1" ht="15" x14ac:dyDescent="0.25">
      <c r="A5082" s="841" t="s">
        <v>203</v>
      </c>
      <c r="E5082" s="1960" t="s">
        <v>5130</v>
      </c>
      <c r="F5082" s="1962"/>
      <c r="G5082" s="1205" t="s">
        <v>33</v>
      </c>
      <c r="H5082" s="665">
        <v>0.51070000000000004</v>
      </c>
      <c r="K5082" s="841" t="s">
        <v>5180</v>
      </c>
      <c r="L5082" s="841" t="s">
        <v>443</v>
      </c>
      <c r="M5082" s="1357"/>
      <c r="P5082" s="841" t="s">
        <v>5463</v>
      </c>
      <c r="Q5082" s="1357"/>
      <c r="S5082" s="1420"/>
      <c r="T5082" s="1420">
        <v>43585</v>
      </c>
      <c r="V5082" s="1357">
        <v>96</v>
      </c>
    </row>
    <row r="5083" spans="1:22" s="841" customFormat="1" ht="15" x14ac:dyDescent="0.25">
      <c r="A5083" s="841" t="s">
        <v>203</v>
      </c>
      <c r="E5083" s="1960" t="s">
        <v>5495</v>
      </c>
      <c r="F5083" s="1962"/>
      <c r="G5083" s="695" t="s">
        <v>33</v>
      </c>
      <c r="H5083" s="697">
        <v>-2.76E-2</v>
      </c>
      <c r="K5083" s="841" t="s">
        <v>5180</v>
      </c>
      <c r="L5083" s="841" t="s">
        <v>443</v>
      </c>
      <c r="M5083" s="1357"/>
      <c r="P5083" s="841" t="s">
        <v>5464</v>
      </c>
      <c r="Q5083" s="1357"/>
      <c r="S5083" s="1420"/>
      <c r="T5083" s="1420">
        <v>43585</v>
      </c>
      <c r="V5083" s="1357">
        <v>139</v>
      </c>
    </row>
    <row r="5084" spans="1:22" s="841" customFormat="1" ht="15" x14ac:dyDescent="0.25">
      <c r="A5084" s="841" t="s">
        <v>203</v>
      </c>
      <c r="E5084" s="1960" t="s">
        <v>221</v>
      </c>
      <c r="F5084" s="1904"/>
      <c r="G5084" s="1205" t="s">
        <v>33</v>
      </c>
      <c r="H5084" s="606">
        <v>2.6217000000000001</v>
      </c>
      <c r="K5084" s="841" t="s">
        <v>5180</v>
      </c>
      <c r="L5084" s="841" t="s">
        <v>444</v>
      </c>
      <c r="M5084" s="1357"/>
      <c r="P5084" s="841" t="s">
        <v>5184</v>
      </c>
      <c r="Q5084" s="1357"/>
      <c r="S5084" s="1420"/>
      <c r="T5084" s="1420"/>
      <c r="V5084" s="1357">
        <v>47</v>
      </c>
    </row>
    <row r="5085" spans="1:22" s="841" customFormat="1" ht="15" x14ac:dyDescent="0.25">
      <c r="A5085" s="841" t="s">
        <v>203</v>
      </c>
      <c r="E5085" s="1960" t="s">
        <v>217</v>
      </c>
      <c r="F5085" s="1904"/>
      <c r="G5085" s="1205" t="s">
        <v>33</v>
      </c>
      <c r="H5085" s="606">
        <v>2.2145999999999999</v>
      </c>
      <c r="K5085" s="841" t="s">
        <v>5180</v>
      </c>
      <c r="L5085" s="841" t="s">
        <v>444</v>
      </c>
      <c r="M5085" s="1357"/>
      <c r="P5085" s="841" t="s">
        <v>5185</v>
      </c>
      <c r="Q5085" s="1357"/>
      <c r="S5085" s="1420"/>
      <c r="T5085" s="1420"/>
      <c r="V5085" s="1357">
        <v>74</v>
      </c>
    </row>
    <row r="5086" spans="1:22" s="841" customFormat="1" ht="15" x14ac:dyDescent="0.25">
      <c r="A5086" s="841" t="s">
        <v>203</v>
      </c>
      <c r="E5086" s="1961" t="s">
        <v>3079</v>
      </c>
      <c r="F5086" s="1904"/>
      <c r="G5086" s="1904"/>
      <c r="H5086" s="1904"/>
      <c r="K5086" s="841" t="s">
        <v>3218</v>
      </c>
      <c r="M5086" s="1357"/>
      <c r="Q5086" s="1357"/>
      <c r="S5086" s="1420"/>
      <c r="T5086" s="1420"/>
      <c r="V5086" s="1357">
        <v>48</v>
      </c>
    </row>
    <row r="5087" spans="1:22" s="841" customFormat="1" ht="15" x14ac:dyDescent="0.25">
      <c r="A5087" s="841" t="s">
        <v>203</v>
      </c>
      <c r="E5087" s="1934" t="s">
        <v>2449</v>
      </c>
      <c r="F5087" s="1934"/>
      <c r="G5087" s="895" t="s">
        <v>24</v>
      </c>
      <c r="H5087" s="678">
        <v>3.2000000000000002E-3</v>
      </c>
      <c r="K5087" s="841" t="s">
        <v>5180</v>
      </c>
      <c r="L5087" s="841" t="s">
        <v>3046</v>
      </c>
      <c r="M5087" s="1357"/>
      <c r="P5087" s="841" t="s">
        <v>5186</v>
      </c>
      <c r="Q5087" s="1357"/>
      <c r="S5087" s="1420"/>
      <c r="T5087" s="1420"/>
      <c r="V5087" s="1357">
        <v>55</v>
      </c>
    </row>
    <row r="5088" spans="1:22" s="841" customFormat="1" ht="15" x14ac:dyDescent="0.25">
      <c r="A5088" s="841" t="s">
        <v>203</v>
      </c>
      <c r="E5088" s="1934" t="s">
        <v>2450</v>
      </c>
      <c r="F5088" s="1934"/>
      <c r="G5088" s="895" t="s">
        <v>24</v>
      </c>
      <c r="H5088" s="678">
        <v>4.0000000000000002E-4</v>
      </c>
      <c r="K5088" s="841" t="s">
        <v>5180</v>
      </c>
      <c r="L5088" s="841" t="s">
        <v>3046</v>
      </c>
      <c r="M5088" s="1357"/>
      <c r="P5088" s="841" t="s">
        <v>5186</v>
      </c>
      <c r="Q5088" s="1357"/>
      <c r="S5088" s="1420"/>
      <c r="T5088" s="1420"/>
      <c r="V5088" s="1357">
        <v>65</v>
      </c>
    </row>
    <row r="5089" spans="1:22" s="841" customFormat="1" ht="15" x14ac:dyDescent="0.25">
      <c r="A5089" s="841" t="s">
        <v>203</v>
      </c>
      <c r="E5089" s="1960" t="s">
        <v>439</v>
      </c>
      <c r="F5089" s="1904"/>
      <c r="G5089" s="1205" t="s">
        <v>24</v>
      </c>
      <c r="H5089" s="665">
        <v>2.9999999999999997E-4</v>
      </c>
      <c r="K5089" s="841" t="s">
        <v>5180</v>
      </c>
      <c r="L5089" s="841" t="s">
        <v>3046</v>
      </c>
      <c r="M5089" s="1357"/>
      <c r="P5089" s="841" t="s">
        <v>5187</v>
      </c>
      <c r="Q5089" s="1357"/>
      <c r="S5089" s="1420"/>
      <c r="T5089" s="1420"/>
      <c r="V5089" s="1357">
        <v>57</v>
      </c>
    </row>
    <row r="5090" spans="1:22" s="841" customFormat="1" ht="15" x14ac:dyDescent="0.25">
      <c r="A5090" s="841" t="s">
        <v>203</v>
      </c>
      <c r="E5090" s="1960" t="s">
        <v>32</v>
      </c>
      <c r="F5090" s="1904"/>
      <c r="G5090" s="1205" t="s">
        <v>23</v>
      </c>
      <c r="H5090" s="1206">
        <v>0.25</v>
      </c>
      <c r="K5090" s="841" t="s">
        <v>5180</v>
      </c>
      <c r="L5090" s="841" t="s">
        <v>3046</v>
      </c>
      <c r="M5090" s="1357"/>
      <c r="P5090" s="841" t="s">
        <v>5188</v>
      </c>
      <c r="Q5090" s="1357"/>
      <c r="S5090" s="1420"/>
      <c r="T5090" s="1420"/>
      <c r="V5090" s="1357">
        <v>63</v>
      </c>
    </row>
    <row r="5091" spans="1:22" s="841" customFormat="1" x14ac:dyDescent="0.25">
      <c r="A5091" s="841" t="s">
        <v>203</v>
      </c>
      <c r="E5091" s="1936" t="s">
        <v>3219</v>
      </c>
      <c r="F5091" s="1923"/>
      <c r="G5091" s="1923"/>
      <c r="H5091" s="1923"/>
      <c r="K5091" s="841" t="s">
        <v>5189</v>
      </c>
      <c r="M5091" s="1357"/>
      <c r="Q5091" s="1357"/>
      <c r="S5091" s="1420"/>
      <c r="T5091" s="1420"/>
      <c r="V5091" s="1357">
        <v>56</v>
      </c>
    </row>
    <row r="5092" spans="1:22" s="841" customFormat="1" ht="15" x14ac:dyDescent="0.25">
      <c r="A5092" s="841" t="s">
        <v>203</v>
      </c>
      <c r="E5092" s="1921" t="s">
        <v>3877</v>
      </c>
      <c r="F5092" s="1921"/>
      <c r="G5092" s="1921"/>
      <c r="H5092" s="1921"/>
      <c r="K5092" s="841" t="s">
        <v>5189</v>
      </c>
      <c r="M5092" s="1357"/>
      <c r="Q5092" s="1357"/>
      <c r="S5092" s="1420"/>
      <c r="T5092" s="1420"/>
      <c r="V5092" s="1357">
        <v>508</v>
      </c>
    </row>
    <row r="5093" spans="1:22" s="841" customFormat="1" ht="15" x14ac:dyDescent="0.25">
      <c r="A5093" s="841" t="s">
        <v>203</v>
      </c>
      <c r="E5093" s="1916" t="s">
        <v>3061</v>
      </c>
      <c r="F5093" s="1689"/>
      <c r="G5093" s="1689"/>
      <c r="H5093" s="1689"/>
      <c r="K5093" s="841" t="s">
        <v>3221</v>
      </c>
      <c r="M5093" s="1357"/>
      <c r="Q5093" s="1357"/>
      <c r="S5093" s="1420"/>
      <c r="T5093" s="1420"/>
      <c r="V5093" s="1357">
        <v>11</v>
      </c>
    </row>
    <row r="5094" spans="1:22" s="841" customFormat="1" ht="15" x14ac:dyDescent="0.25">
      <c r="A5094" s="841" t="s">
        <v>203</v>
      </c>
      <c r="E5094" s="1921" t="s">
        <v>3063</v>
      </c>
      <c r="F5094" s="1921"/>
      <c r="G5094" s="1921"/>
      <c r="H5094" s="1921"/>
      <c r="K5094" s="841" t="s">
        <v>5189</v>
      </c>
      <c r="M5094" s="1357"/>
      <c r="Q5094" s="1357"/>
      <c r="S5094" s="1420"/>
      <c r="T5094" s="1420"/>
      <c r="V5094" s="1357">
        <v>280</v>
      </c>
    </row>
    <row r="5095" spans="1:22" s="841" customFormat="1" ht="15" x14ac:dyDescent="0.25">
      <c r="A5095" s="841" t="s">
        <v>203</v>
      </c>
      <c r="E5095" s="1921" t="s">
        <v>3064</v>
      </c>
      <c r="F5095" s="1921"/>
      <c r="G5095" s="1921"/>
      <c r="H5095" s="1921"/>
      <c r="K5095" s="841" t="s">
        <v>5189</v>
      </c>
      <c r="M5095" s="1357"/>
      <c r="Q5095" s="1357"/>
      <c r="S5095" s="1420"/>
      <c r="T5095" s="1420"/>
      <c r="V5095" s="1357">
        <v>411</v>
      </c>
    </row>
    <row r="5096" spans="1:22" s="841" customFormat="1" ht="15" x14ac:dyDescent="0.25">
      <c r="A5096" s="841" t="s">
        <v>203</v>
      </c>
      <c r="E5096" s="1921" t="s">
        <v>3065</v>
      </c>
      <c r="F5096" s="1921"/>
      <c r="G5096" s="1921"/>
      <c r="H5096" s="1921"/>
      <c r="K5096" s="841" t="s">
        <v>5189</v>
      </c>
      <c r="M5096" s="1357"/>
      <c r="Q5096" s="1357"/>
      <c r="S5096" s="1420"/>
      <c r="T5096" s="1420"/>
      <c r="V5096" s="1357">
        <v>387</v>
      </c>
    </row>
    <row r="5097" spans="1:22" s="841" customFormat="1" ht="15" x14ac:dyDescent="0.25">
      <c r="A5097" s="841" t="s">
        <v>203</v>
      </c>
      <c r="E5097" s="1921" t="s">
        <v>3222</v>
      </c>
      <c r="F5097" s="1921"/>
      <c r="G5097" s="1921"/>
      <c r="H5097" s="1921"/>
      <c r="K5097" s="841" t="s">
        <v>5189</v>
      </c>
      <c r="M5097" s="1357"/>
      <c r="Q5097" s="1357"/>
      <c r="S5097" s="1420"/>
      <c r="T5097" s="1420"/>
      <c r="V5097" s="1357">
        <v>610</v>
      </c>
    </row>
    <row r="5098" spans="1:22" s="841" customFormat="1" ht="15" x14ac:dyDescent="0.25">
      <c r="A5098" s="841" t="s">
        <v>203</v>
      </c>
      <c r="E5098" s="1921" t="s">
        <v>3223</v>
      </c>
      <c r="F5098" s="1921"/>
      <c r="G5098" s="1921"/>
      <c r="H5098" s="1921"/>
      <c r="K5098" s="841" t="s">
        <v>5189</v>
      </c>
      <c r="M5098" s="1357"/>
      <c r="Q5098" s="1357"/>
      <c r="S5098" s="1420"/>
      <c r="T5098" s="1420"/>
      <c r="V5098" s="1357">
        <v>626</v>
      </c>
    </row>
    <row r="5099" spans="1:22" s="841" customFormat="1" ht="15" x14ac:dyDescent="0.25">
      <c r="A5099" s="841" t="s">
        <v>203</v>
      </c>
      <c r="E5099" s="1921" t="s">
        <v>3390</v>
      </c>
      <c r="F5099" s="1921"/>
      <c r="G5099" s="1921"/>
      <c r="H5099" s="1921"/>
      <c r="K5099" s="841" t="s">
        <v>5189</v>
      </c>
      <c r="M5099" s="1357"/>
      <c r="Q5099" s="1357"/>
      <c r="S5099" s="1420"/>
      <c r="T5099" s="1420"/>
      <c r="V5099" s="1357">
        <v>274</v>
      </c>
    </row>
    <row r="5100" spans="1:22" s="841" customFormat="1" ht="15" x14ac:dyDescent="0.25">
      <c r="A5100" s="841" t="s">
        <v>203</v>
      </c>
      <c r="E5100" s="1921" t="s">
        <v>3876</v>
      </c>
      <c r="F5100" s="1921"/>
      <c r="G5100" s="1921"/>
      <c r="H5100" s="1921"/>
      <c r="K5100" s="841" t="s">
        <v>5189</v>
      </c>
      <c r="M5100" s="1357"/>
      <c r="Q5100" s="1357"/>
      <c r="S5100" s="1420"/>
      <c r="T5100" s="1420"/>
      <c r="V5100" s="1357">
        <v>202</v>
      </c>
    </row>
    <row r="5101" spans="1:22" s="841" customFormat="1" ht="15" x14ac:dyDescent="0.25">
      <c r="A5101" s="841" t="s">
        <v>203</v>
      </c>
      <c r="E5101" s="1961" t="s">
        <v>3067</v>
      </c>
      <c r="F5101" s="1921"/>
      <c r="G5101" s="1921"/>
      <c r="H5101" s="1921"/>
      <c r="K5101" s="841" t="s">
        <v>3224</v>
      </c>
      <c r="M5101" s="1357"/>
      <c r="Q5101" s="1357"/>
      <c r="S5101" s="1420"/>
      <c r="T5101" s="1420"/>
      <c r="V5101" s="1357">
        <v>46</v>
      </c>
    </row>
    <row r="5102" spans="1:22" s="841" customFormat="1" ht="15" x14ac:dyDescent="0.25">
      <c r="A5102" s="841" t="s">
        <v>203</v>
      </c>
      <c r="E5102" s="1960" t="s">
        <v>11</v>
      </c>
      <c r="F5102" s="1904"/>
      <c r="G5102" s="1205" t="s">
        <v>23</v>
      </c>
      <c r="H5102" s="600">
        <v>185.55</v>
      </c>
      <c r="K5102" s="841" t="s">
        <v>5189</v>
      </c>
      <c r="L5102" s="841" t="s">
        <v>442</v>
      </c>
      <c r="M5102" s="1357"/>
      <c r="P5102" s="841" t="s">
        <v>5190</v>
      </c>
      <c r="Q5102" s="1357"/>
      <c r="S5102" s="1420"/>
      <c r="T5102" s="1420"/>
      <c r="V5102" s="1357">
        <v>14</v>
      </c>
    </row>
    <row r="5103" spans="1:22" s="841" customFormat="1" ht="15" x14ac:dyDescent="0.25">
      <c r="A5103" s="841" t="s">
        <v>203</v>
      </c>
      <c r="E5103" s="1960" t="s">
        <v>84</v>
      </c>
      <c r="F5103" s="1904"/>
      <c r="G5103" s="1205" t="s">
        <v>33</v>
      </c>
      <c r="H5103" s="606">
        <v>3.4704999999999999</v>
      </c>
      <c r="K5103" s="841" t="s">
        <v>5189</v>
      </c>
      <c r="L5103" s="841" t="s">
        <v>442</v>
      </c>
      <c r="M5103" s="1357"/>
      <c r="P5103" s="841" t="s">
        <v>5191</v>
      </c>
      <c r="Q5103" s="1357"/>
      <c r="S5103" s="1420"/>
      <c r="T5103" s="1420"/>
      <c r="V5103" s="1357">
        <v>28</v>
      </c>
    </row>
    <row r="5104" spans="1:22" s="841" customFormat="1" ht="15" x14ac:dyDescent="0.25">
      <c r="A5104" s="841" t="s">
        <v>203</v>
      </c>
      <c r="E5104" s="1960" t="s">
        <v>18</v>
      </c>
      <c r="F5104" s="1904"/>
      <c r="G5104" s="1205" t="s">
        <v>33</v>
      </c>
      <c r="H5104" s="665">
        <v>1.0483</v>
      </c>
      <c r="K5104" s="841" t="s">
        <v>5189</v>
      </c>
      <c r="L5104" s="841" t="s">
        <v>443</v>
      </c>
      <c r="M5104" s="1357"/>
      <c r="P5104" s="841" t="s">
        <v>5192</v>
      </c>
      <c r="Q5104" s="1357"/>
      <c r="S5104" s="1420"/>
      <c r="T5104" s="1420"/>
      <c r="V5104" s="1357">
        <v>24</v>
      </c>
    </row>
    <row r="5105" spans="1:22" s="841" customFormat="1" ht="15" x14ac:dyDescent="0.25">
      <c r="A5105" s="841" t="s">
        <v>203</v>
      </c>
      <c r="E5105" s="1960" t="s">
        <v>5129</v>
      </c>
      <c r="F5105" s="1962"/>
      <c r="G5105" s="695" t="s">
        <v>24</v>
      </c>
      <c r="H5105" s="697">
        <v>-1E-3</v>
      </c>
      <c r="K5105" s="841" t="s">
        <v>5189</v>
      </c>
      <c r="L5105" s="841" t="s">
        <v>443</v>
      </c>
      <c r="M5105" s="1357"/>
      <c r="P5105" s="841" t="s">
        <v>5467</v>
      </c>
      <c r="Q5105" s="1357"/>
      <c r="S5105" s="1420"/>
      <c r="T5105" s="1420">
        <v>43585</v>
      </c>
      <c r="V5105" s="1357">
        <v>139</v>
      </c>
    </row>
    <row r="5106" spans="1:22" s="841" customFormat="1" ht="15" x14ac:dyDescent="0.25">
      <c r="A5106" s="841" t="s">
        <v>203</v>
      </c>
      <c r="E5106" s="1960" t="s">
        <v>5130</v>
      </c>
      <c r="F5106" s="1962"/>
      <c r="G5106" s="1205" t="s">
        <v>33</v>
      </c>
      <c r="H5106" s="665">
        <v>-0.93979999999999997</v>
      </c>
      <c r="K5106" s="841" t="s">
        <v>5189</v>
      </c>
      <c r="L5106" s="841" t="s">
        <v>443</v>
      </c>
      <c r="M5106" s="1357"/>
      <c r="P5106" s="841" t="s">
        <v>5469</v>
      </c>
      <c r="Q5106" s="1357"/>
      <c r="S5106" s="1420"/>
      <c r="T5106" s="1420">
        <v>43585</v>
      </c>
      <c r="V5106" s="1357">
        <v>96</v>
      </c>
    </row>
    <row r="5107" spans="1:22" s="841" customFormat="1" ht="15" x14ac:dyDescent="0.25">
      <c r="A5107" s="841" t="s">
        <v>203</v>
      </c>
      <c r="E5107" s="1960" t="s">
        <v>5495</v>
      </c>
      <c r="F5107" s="1962"/>
      <c r="G5107" s="695" t="s">
        <v>33</v>
      </c>
      <c r="H5107" s="697">
        <v>-3.4099999999999998E-2</v>
      </c>
      <c r="K5107" s="841" t="s">
        <v>5189</v>
      </c>
      <c r="L5107" s="841" t="s">
        <v>443</v>
      </c>
      <c r="M5107" s="1357"/>
      <c r="P5107" s="841" t="s">
        <v>5470</v>
      </c>
      <c r="Q5107" s="1357"/>
      <c r="S5107" s="1420"/>
      <c r="T5107" s="1420">
        <v>43585</v>
      </c>
      <c r="V5107" s="1357">
        <v>139</v>
      </c>
    </row>
    <row r="5108" spans="1:22" s="841" customFormat="1" ht="15" x14ac:dyDescent="0.25">
      <c r="A5108" s="841" t="s">
        <v>203</v>
      </c>
      <c r="E5108" s="1960" t="s">
        <v>221</v>
      </c>
      <c r="F5108" s="1904"/>
      <c r="G5108" s="1205" t="s">
        <v>33</v>
      </c>
      <c r="H5108" s="606">
        <v>2.6217000000000001</v>
      </c>
      <c r="K5108" s="841" t="s">
        <v>5189</v>
      </c>
      <c r="L5108" s="841" t="s">
        <v>444</v>
      </c>
      <c r="M5108" s="1357"/>
      <c r="P5108" s="841" t="s">
        <v>5193</v>
      </c>
      <c r="Q5108" s="1357"/>
      <c r="S5108" s="1420"/>
      <c r="T5108" s="1420"/>
      <c r="V5108" s="1357">
        <v>47</v>
      </c>
    </row>
    <row r="5109" spans="1:22" s="841" customFormat="1" ht="15" x14ac:dyDescent="0.25">
      <c r="A5109" s="841" t="s">
        <v>203</v>
      </c>
      <c r="E5109" s="1960" t="s">
        <v>217</v>
      </c>
      <c r="F5109" s="1904"/>
      <c r="G5109" s="1205" t="s">
        <v>33</v>
      </c>
      <c r="H5109" s="606">
        <v>2.2145999999999999</v>
      </c>
      <c r="K5109" s="841" t="s">
        <v>5189</v>
      </c>
      <c r="L5109" s="841" t="s">
        <v>444</v>
      </c>
      <c r="M5109" s="1357"/>
      <c r="P5109" s="841" t="s">
        <v>5194</v>
      </c>
      <c r="Q5109" s="1357"/>
      <c r="S5109" s="1420"/>
      <c r="T5109" s="1420"/>
      <c r="V5109" s="1357">
        <v>74</v>
      </c>
    </row>
    <row r="5110" spans="1:22" s="841" customFormat="1" ht="15" x14ac:dyDescent="0.25">
      <c r="A5110" s="841" t="s">
        <v>203</v>
      </c>
      <c r="E5110" s="1961" t="s">
        <v>3079</v>
      </c>
      <c r="F5110" s="1904"/>
      <c r="G5110" s="1904"/>
      <c r="H5110" s="1904"/>
      <c r="K5110" s="841" t="s">
        <v>3225</v>
      </c>
      <c r="M5110" s="1357"/>
      <c r="Q5110" s="1357"/>
      <c r="S5110" s="1420"/>
      <c r="T5110" s="1420"/>
      <c r="V5110" s="1357">
        <v>48</v>
      </c>
    </row>
    <row r="5111" spans="1:22" s="841" customFormat="1" ht="15" x14ac:dyDescent="0.25">
      <c r="A5111" s="841" t="s">
        <v>203</v>
      </c>
      <c r="E5111" s="1934" t="s">
        <v>2449</v>
      </c>
      <c r="F5111" s="1934"/>
      <c r="G5111" s="895" t="s">
        <v>24</v>
      </c>
      <c r="H5111" s="678">
        <v>3.2000000000000002E-3</v>
      </c>
      <c r="K5111" s="841" t="s">
        <v>5189</v>
      </c>
      <c r="L5111" s="841" t="s">
        <v>3046</v>
      </c>
      <c r="M5111" s="1357"/>
      <c r="P5111" s="841" t="s">
        <v>5195</v>
      </c>
      <c r="Q5111" s="1357"/>
      <c r="S5111" s="1420"/>
      <c r="T5111" s="1420"/>
      <c r="V5111" s="1357">
        <v>55</v>
      </c>
    </row>
    <row r="5112" spans="1:22" s="841" customFormat="1" ht="15" x14ac:dyDescent="0.25">
      <c r="A5112" s="841" t="s">
        <v>203</v>
      </c>
      <c r="E5112" s="1934" t="s">
        <v>2450</v>
      </c>
      <c r="F5112" s="1934"/>
      <c r="G5112" s="895" t="s">
        <v>24</v>
      </c>
      <c r="H5112" s="678">
        <v>4.0000000000000002E-4</v>
      </c>
      <c r="K5112" s="841" t="s">
        <v>5189</v>
      </c>
      <c r="L5112" s="841" t="s">
        <v>3046</v>
      </c>
      <c r="M5112" s="1357"/>
      <c r="P5112" s="841" t="s">
        <v>5195</v>
      </c>
      <c r="Q5112" s="1357"/>
      <c r="S5112" s="1420"/>
      <c r="T5112" s="1420"/>
      <c r="V5112" s="1357">
        <v>65</v>
      </c>
    </row>
    <row r="5113" spans="1:22" s="841" customFormat="1" ht="15" x14ac:dyDescent="0.25">
      <c r="A5113" s="841" t="s">
        <v>203</v>
      </c>
      <c r="E5113" s="1960" t="s">
        <v>439</v>
      </c>
      <c r="F5113" s="1904"/>
      <c r="G5113" s="1205" t="s">
        <v>24</v>
      </c>
      <c r="H5113" s="665">
        <v>2.9999999999999997E-4</v>
      </c>
      <c r="K5113" s="841" t="s">
        <v>5189</v>
      </c>
      <c r="L5113" s="841" t="s">
        <v>3046</v>
      </c>
      <c r="M5113" s="1357"/>
      <c r="P5113" s="841" t="s">
        <v>5196</v>
      </c>
      <c r="Q5113" s="1357"/>
      <c r="S5113" s="1420"/>
      <c r="T5113" s="1420"/>
      <c r="V5113" s="1357">
        <v>57</v>
      </c>
    </row>
    <row r="5114" spans="1:22" s="841" customFormat="1" ht="15" x14ac:dyDescent="0.25">
      <c r="A5114" s="841" t="s">
        <v>203</v>
      </c>
      <c r="E5114" s="1960" t="s">
        <v>32</v>
      </c>
      <c r="F5114" s="1904"/>
      <c r="G5114" s="1205" t="s">
        <v>23</v>
      </c>
      <c r="H5114" s="1206">
        <v>0.25</v>
      </c>
      <c r="K5114" s="841" t="s">
        <v>5189</v>
      </c>
      <c r="L5114" s="841" t="s">
        <v>3046</v>
      </c>
      <c r="M5114" s="1357"/>
      <c r="P5114" s="841" t="s">
        <v>5197</v>
      </c>
      <c r="Q5114" s="1357"/>
      <c r="S5114" s="1420"/>
      <c r="T5114" s="1420"/>
      <c r="V5114" s="1357">
        <v>63</v>
      </c>
    </row>
    <row r="5115" spans="1:22" s="841" customFormat="1" x14ac:dyDescent="0.25">
      <c r="A5115" s="841" t="s">
        <v>203</v>
      </c>
      <c r="E5115" s="1936" t="s">
        <v>617</v>
      </c>
      <c r="F5115" s="1923"/>
      <c r="G5115" s="1923"/>
      <c r="H5115" s="1923"/>
      <c r="K5115" s="841" t="s">
        <v>3457</v>
      </c>
      <c r="M5115" s="1357"/>
      <c r="Q5115" s="1357"/>
      <c r="S5115" s="1420"/>
      <c r="T5115" s="1420"/>
      <c r="V5115" s="1357">
        <v>47</v>
      </c>
    </row>
    <row r="5116" spans="1:22" s="841" customFormat="1" ht="15" x14ac:dyDescent="0.25">
      <c r="A5116" s="841" t="s">
        <v>203</v>
      </c>
      <c r="E5116" s="1921" t="s">
        <v>3878</v>
      </c>
      <c r="F5116" s="1921"/>
      <c r="G5116" s="1921"/>
      <c r="H5116" s="1921"/>
      <c r="K5116" s="841" t="s">
        <v>3457</v>
      </c>
      <c r="M5116" s="1357"/>
      <c r="Q5116" s="1357"/>
      <c r="S5116" s="1420"/>
      <c r="T5116" s="1420"/>
      <c r="V5116" s="1357">
        <v>757</v>
      </c>
    </row>
    <row r="5117" spans="1:22" s="841" customFormat="1" ht="15" x14ac:dyDescent="0.25">
      <c r="A5117" s="841" t="s">
        <v>203</v>
      </c>
      <c r="E5117" s="1916" t="s">
        <v>3061</v>
      </c>
      <c r="F5117" s="1689"/>
      <c r="G5117" s="1689"/>
      <c r="H5117" s="1689"/>
      <c r="K5117" s="841" t="s">
        <v>3107</v>
      </c>
      <c r="M5117" s="1357"/>
      <c r="Q5117" s="1357"/>
      <c r="S5117" s="1420"/>
      <c r="T5117" s="1420"/>
      <c r="V5117" s="1357">
        <v>11</v>
      </c>
    </row>
    <row r="5118" spans="1:22" s="841" customFormat="1" ht="15" x14ac:dyDescent="0.25">
      <c r="A5118" s="841" t="s">
        <v>203</v>
      </c>
      <c r="E5118" s="1921" t="s">
        <v>3063</v>
      </c>
      <c r="F5118" s="1921"/>
      <c r="G5118" s="1921"/>
      <c r="H5118" s="1921"/>
      <c r="K5118" s="841" t="s">
        <v>3457</v>
      </c>
      <c r="M5118" s="1357"/>
      <c r="Q5118" s="1357"/>
      <c r="S5118" s="1420"/>
      <c r="T5118" s="1420"/>
      <c r="V5118" s="1357">
        <v>280</v>
      </c>
    </row>
    <row r="5119" spans="1:22" s="841" customFormat="1" ht="15" x14ac:dyDescent="0.25">
      <c r="A5119" s="841" t="s">
        <v>203</v>
      </c>
      <c r="E5119" s="1921" t="s">
        <v>3064</v>
      </c>
      <c r="F5119" s="1921"/>
      <c r="G5119" s="1921"/>
      <c r="H5119" s="1921"/>
      <c r="K5119" s="841" t="s">
        <v>3457</v>
      </c>
      <c r="M5119" s="1357"/>
      <c r="Q5119" s="1357"/>
      <c r="S5119" s="1420"/>
      <c r="T5119" s="1420"/>
      <c r="V5119" s="1357">
        <v>411</v>
      </c>
    </row>
    <row r="5120" spans="1:22" s="841" customFormat="1" ht="15" x14ac:dyDescent="0.25">
      <c r="A5120" s="841" t="s">
        <v>203</v>
      </c>
      <c r="E5120" s="1921" t="s">
        <v>3065</v>
      </c>
      <c r="F5120" s="1921"/>
      <c r="G5120" s="1921"/>
      <c r="H5120" s="1921"/>
      <c r="K5120" s="841" t="s">
        <v>3457</v>
      </c>
      <c r="M5120" s="1357"/>
      <c r="Q5120" s="1357"/>
      <c r="S5120" s="1420"/>
      <c r="T5120" s="1420"/>
      <c r="V5120" s="1357">
        <v>387</v>
      </c>
    </row>
    <row r="5121" spans="1:22" s="841" customFormat="1" ht="15" x14ac:dyDescent="0.25">
      <c r="A5121" s="841" t="s">
        <v>203</v>
      </c>
      <c r="E5121" s="1921" t="s">
        <v>3390</v>
      </c>
      <c r="F5121" s="1921"/>
      <c r="G5121" s="1921"/>
      <c r="H5121" s="1921"/>
      <c r="K5121" s="841" t="s">
        <v>3457</v>
      </c>
      <c r="M5121" s="1357"/>
      <c r="Q5121" s="1357"/>
      <c r="S5121" s="1420"/>
      <c r="T5121" s="1420"/>
      <c r="V5121" s="1357">
        <v>274</v>
      </c>
    </row>
    <row r="5122" spans="1:22" s="841" customFormat="1" ht="15" x14ac:dyDescent="0.25">
      <c r="A5122" s="841" t="s">
        <v>203</v>
      </c>
      <c r="E5122" s="1961" t="s">
        <v>3067</v>
      </c>
      <c r="F5122" s="1921"/>
      <c r="G5122" s="1921"/>
      <c r="H5122" s="1921"/>
      <c r="K5122" s="841" t="s">
        <v>3108</v>
      </c>
      <c r="M5122" s="1357"/>
      <c r="Q5122" s="1357"/>
      <c r="S5122" s="1420"/>
      <c r="T5122" s="1420"/>
      <c r="V5122" s="1357">
        <v>46</v>
      </c>
    </row>
    <row r="5123" spans="1:22" s="841" customFormat="1" ht="15" x14ac:dyDescent="0.25">
      <c r="A5123" s="841" t="s">
        <v>203</v>
      </c>
      <c r="E5123" s="1960" t="s">
        <v>12</v>
      </c>
      <c r="F5123" s="1904"/>
      <c r="G5123" s="1205" t="s">
        <v>23</v>
      </c>
      <c r="H5123" s="600">
        <v>7.97</v>
      </c>
      <c r="K5123" s="841" t="s">
        <v>3457</v>
      </c>
      <c r="L5123" s="841" t="s">
        <v>442</v>
      </c>
      <c r="M5123" s="1357"/>
      <c r="P5123" s="841" t="s">
        <v>3458</v>
      </c>
      <c r="Q5123" s="1357"/>
      <c r="S5123" s="1420"/>
      <c r="T5123" s="1420"/>
      <c r="V5123" s="1357">
        <v>31</v>
      </c>
    </row>
    <row r="5124" spans="1:22" s="841" customFormat="1" ht="15" x14ac:dyDescent="0.25">
      <c r="A5124" s="841" t="s">
        <v>203</v>
      </c>
      <c r="E5124" s="1960" t="s">
        <v>84</v>
      </c>
      <c r="F5124" s="1904"/>
      <c r="G5124" s="1205" t="s">
        <v>24</v>
      </c>
      <c r="H5124" s="606">
        <v>5.4000000000000003E-3</v>
      </c>
      <c r="K5124" s="841" t="s">
        <v>3457</v>
      </c>
      <c r="L5124" s="841" t="s">
        <v>442</v>
      </c>
      <c r="M5124" s="1357"/>
      <c r="P5124" s="841" t="s">
        <v>3459</v>
      </c>
      <c r="Q5124" s="1357"/>
      <c r="S5124" s="1420"/>
      <c r="T5124" s="1420"/>
      <c r="V5124" s="1357">
        <v>28</v>
      </c>
    </row>
    <row r="5125" spans="1:22" s="841" customFormat="1" ht="15" x14ac:dyDescent="0.25">
      <c r="A5125" s="841" t="s">
        <v>203</v>
      </c>
      <c r="E5125" s="1960" t="s">
        <v>18</v>
      </c>
      <c r="F5125" s="1904"/>
      <c r="G5125" s="1205" t="s">
        <v>24</v>
      </c>
      <c r="H5125" s="665">
        <v>2.3999999999999998E-3</v>
      </c>
      <c r="K5125" s="841" t="s">
        <v>3457</v>
      </c>
      <c r="L5125" s="841" t="s">
        <v>443</v>
      </c>
      <c r="M5125" s="1357"/>
      <c r="P5125" s="841" t="s">
        <v>3460</v>
      </c>
      <c r="Q5125" s="1357"/>
      <c r="S5125" s="1420"/>
      <c r="T5125" s="1420"/>
      <c r="V5125" s="1357">
        <v>24</v>
      </c>
    </row>
    <row r="5126" spans="1:22" s="841" customFormat="1" ht="15" x14ac:dyDescent="0.25">
      <c r="A5126" s="841" t="s">
        <v>203</v>
      </c>
      <c r="E5126" s="1960" t="s">
        <v>5129</v>
      </c>
      <c r="F5126" s="1962"/>
      <c r="G5126" s="695" t="s">
        <v>24</v>
      </c>
      <c r="H5126" s="697">
        <v>-1E-3</v>
      </c>
      <c r="K5126" s="841" t="s">
        <v>3457</v>
      </c>
      <c r="L5126" s="841" t="s">
        <v>443</v>
      </c>
      <c r="M5126" s="1357"/>
      <c r="P5126" s="841" t="s">
        <v>3526</v>
      </c>
      <c r="Q5126" s="1357"/>
      <c r="S5126" s="1420"/>
      <c r="T5126" s="1420">
        <v>43585</v>
      </c>
      <c r="V5126" s="1357">
        <v>139</v>
      </c>
    </row>
    <row r="5127" spans="1:22" s="841" customFormat="1" ht="15" x14ac:dyDescent="0.25">
      <c r="A5127" s="841" t="s">
        <v>203</v>
      </c>
      <c r="E5127" s="1960" t="s">
        <v>5130</v>
      </c>
      <c r="F5127" s="1962"/>
      <c r="G5127" s="1205" t="s">
        <v>24</v>
      </c>
      <c r="H5127" s="665">
        <v>-1.1999999999999999E-3</v>
      </c>
      <c r="K5127" s="841" t="s">
        <v>3457</v>
      </c>
      <c r="L5127" s="841" t="s">
        <v>443</v>
      </c>
      <c r="M5127" s="1357"/>
      <c r="P5127" s="841" t="s">
        <v>3527</v>
      </c>
      <c r="Q5127" s="1357"/>
      <c r="S5127" s="1420"/>
      <c r="T5127" s="1420">
        <v>43585</v>
      </c>
      <c r="V5127" s="1357">
        <v>96</v>
      </c>
    </row>
    <row r="5128" spans="1:22" s="841" customFormat="1" ht="15" x14ac:dyDescent="0.25">
      <c r="A5128" s="841" t="s">
        <v>203</v>
      </c>
      <c r="E5128" s="1960" t="s">
        <v>5495</v>
      </c>
      <c r="F5128" s="1962"/>
      <c r="G5128" s="695" t="s">
        <v>24</v>
      </c>
      <c r="H5128" s="697">
        <v>-1E-4</v>
      </c>
      <c r="K5128" s="841" t="s">
        <v>3457</v>
      </c>
      <c r="L5128" s="841" t="s">
        <v>443</v>
      </c>
      <c r="M5128" s="1357"/>
      <c r="P5128" s="841" t="s">
        <v>5292</v>
      </c>
      <c r="Q5128" s="1357"/>
      <c r="S5128" s="1420"/>
      <c r="T5128" s="1420">
        <v>43585</v>
      </c>
      <c r="V5128" s="1357">
        <v>139</v>
      </c>
    </row>
    <row r="5129" spans="1:22" s="841" customFormat="1" ht="15" x14ac:dyDescent="0.25">
      <c r="A5129" s="841" t="s">
        <v>203</v>
      </c>
      <c r="E5129" s="1960" t="s">
        <v>221</v>
      </c>
      <c r="F5129" s="1904"/>
      <c r="G5129" s="1205" t="s">
        <v>24</v>
      </c>
      <c r="H5129" s="606">
        <v>6.0000000000000001E-3</v>
      </c>
      <c r="K5129" s="841" t="s">
        <v>3457</v>
      </c>
      <c r="L5129" s="841" t="s">
        <v>444</v>
      </c>
      <c r="M5129" s="1357"/>
      <c r="P5129" s="841" t="s">
        <v>3462</v>
      </c>
      <c r="Q5129" s="1357"/>
      <c r="S5129" s="1420"/>
      <c r="T5129" s="1420"/>
      <c r="V5129" s="1357">
        <v>47</v>
      </c>
    </row>
    <row r="5130" spans="1:22" s="841" customFormat="1" ht="15" x14ac:dyDescent="0.25">
      <c r="A5130" s="841" t="s">
        <v>203</v>
      </c>
      <c r="E5130" s="1960" t="s">
        <v>217</v>
      </c>
      <c r="F5130" s="1904"/>
      <c r="G5130" s="1205" t="s">
        <v>24</v>
      </c>
      <c r="H5130" s="606">
        <v>5.3E-3</v>
      </c>
      <c r="K5130" s="841" t="s">
        <v>3457</v>
      </c>
      <c r="L5130" s="841" t="s">
        <v>444</v>
      </c>
      <c r="M5130" s="1357"/>
      <c r="P5130" s="841" t="s">
        <v>3463</v>
      </c>
      <c r="Q5130" s="1357"/>
      <c r="S5130" s="1420"/>
      <c r="T5130" s="1420"/>
      <c r="V5130" s="1357">
        <v>74</v>
      </c>
    </row>
    <row r="5131" spans="1:22" s="841" customFormat="1" ht="15" x14ac:dyDescent="0.25">
      <c r="A5131" s="841" t="s">
        <v>203</v>
      </c>
      <c r="E5131" s="1961" t="s">
        <v>3079</v>
      </c>
      <c r="F5131" s="1904"/>
      <c r="G5131" s="1904"/>
      <c r="H5131" s="1904"/>
      <c r="K5131" s="841" t="s">
        <v>3111</v>
      </c>
      <c r="M5131" s="1357"/>
      <c r="Q5131" s="1357"/>
      <c r="S5131" s="1420"/>
      <c r="T5131" s="1420"/>
      <c r="V5131" s="1357">
        <v>48</v>
      </c>
    </row>
    <row r="5132" spans="1:22" s="841" customFormat="1" ht="15" x14ac:dyDescent="0.25">
      <c r="A5132" s="841" t="s">
        <v>203</v>
      </c>
      <c r="E5132" s="1934" t="s">
        <v>2449</v>
      </c>
      <c r="F5132" s="1934"/>
      <c r="G5132" s="895" t="s">
        <v>24</v>
      </c>
      <c r="H5132" s="678">
        <v>3.2000000000000002E-3</v>
      </c>
      <c r="K5132" s="841" t="s">
        <v>3457</v>
      </c>
      <c r="L5132" s="841" t="s">
        <v>3046</v>
      </c>
      <c r="M5132" s="1357"/>
      <c r="P5132" s="841" t="s">
        <v>3464</v>
      </c>
      <c r="Q5132" s="1357"/>
      <c r="S5132" s="1420"/>
      <c r="T5132" s="1420"/>
      <c r="V5132" s="1357">
        <v>55</v>
      </c>
    </row>
    <row r="5133" spans="1:22" s="841" customFormat="1" ht="15" x14ac:dyDescent="0.25">
      <c r="A5133" s="841" t="s">
        <v>203</v>
      </c>
      <c r="E5133" s="1934" t="s">
        <v>2450</v>
      </c>
      <c r="F5133" s="1934"/>
      <c r="G5133" s="895" t="s">
        <v>24</v>
      </c>
      <c r="H5133" s="678">
        <v>4.0000000000000002E-4</v>
      </c>
      <c r="K5133" s="841" t="s">
        <v>3457</v>
      </c>
      <c r="L5133" s="841" t="s">
        <v>3046</v>
      </c>
      <c r="M5133" s="1357"/>
      <c r="P5133" s="841" t="s">
        <v>3464</v>
      </c>
      <c r="Q5133" s="1357"/>
      <c r="S5133" s="1420"/>
      <c r="T5133" s="1420"/>
      <c r="V5133" s="1357">
        <v>65</v>
      </c>
    </row>
    <row r="5134" spans="1:22" s="841" customFormat="1" ht="15" x14ac:dyDescent="0.25">
      <c r="A5134" s="841" t="s">
        <v>203</v>
      </c>
      <c r="E5134" s="1960" t="s">
        <v>439</v>
      </c>
      <c r="F5134" s="1904"/>
      <c r="G5134" s="1205" t="s">
        <v>24</v>
      </c>
      <c r="H5134" s="665">
        <v>2.9999999999999997E-4</v>
      </c>
      <c r="K5134" s="841" t="s">
        <v>3457</v>
      </c>
      <c r="L5134" s="841" t="s">
        <v>3046</v>
      </c>
      <c r="M5134" s="1357"/>
      <c r="P5134" s="841" t="s">
        <v>3465</v>
      </c>
      <c r="Q5134" s="1357"/>
      <c r="S5134" s="1420"/>
      <c r="T5134" s="1420"/>
      <c r="V5134" s="1357">
        <v>57</v>
      </c>
    </row>
    <row r="5135" spans="1:22" s="841" customFormat="1" ht="15" x14ac:dyDescent="0.25">
      <c r="A5135" s="841" t="s">
        <v>203</v>
      </c>
      <c r="E5135" s="1960" t="s">
        <v>32</v>
      </c>
      <c r="F5135" s="1904"/>
      <c r="G5135" s="1205" t="s">
        <v>23</v>
      </c>
      <c r="H5135" s="1206">
        <v>0.25</v>
      </c>
      <c r="K5135" s="841" t="s">
        <v>3457</v>
      </c>
      <c r="L5135" s="841" t="s">
        <v>3046</v>
      </c>
      <c r="M5135" s="1357"/>
      <c r="P5135" s="841" t="s">
        <v>3466</v>
      </c>
      <c r="Q5135" s="1357"/>
      <c r="S5135" s="1420"/>
      <c r="T5135" s="1420"/>
      <c r="V5135" s="1357">
        <v>63</v>
      </c>
    </row>
    <row r="5136" spans="1:22" s="841" customFormat="1" x14ac:dyDescent="0.25">
      <c r="A5136" s="841" t="s">
        <v>203</v>
      </c>
      <c r="E5136" s="1936" t="s">
        <v>629</v>
      </c>
      <c r="F5136" s="1923"/>
      <c r="G5136" s="1923"/>
      <c r="H5136" s="1923"/>
      <c r="K5136" s="841" t="s">
        <v>3467</v>
      </c>
      <c r="M5136" s="1357"/>
      <c r="Q5136" s="1357"/>
      <c r="S5136" s="1420"/>
      <c r="T5136" s="1420"/>
      <c r="V5136" s="1357">
        <v>40</v>
      </c>
    </row>
    <row r="5137" spans="1:22" s="841" customFormat="1" ht="15" x14ac:dyDescent="0.25">
      <c r="A5137" s="841" t="s">
        <v>203</v>
      </c>
      <c r="E5137" s="1921" t="s">
        <v>3879</v>
      </c>
      <c r="F5137" s="1921"/>
      <c r="G5137" s="1921"/>
      <c r="H5137" s="1921"/>
      <c r="K5137" s="841" t="s">
        <v>3467</v>
      </c>
      <c r="M5137" s="1357"/>
      <c r="Q5137" s="1357"/>
      <c r="S5137" s="1420"/>
      <c r="T5137" s="1420"/>
      <c r="V5137" s="1357">
        <v>254</v>
      </c>
    </row>
    <row r="5138" spans="1:22" s="841" customFormat="1" ht="15" x14ac:dyDescent="0.25">
      <c r="A5138" s="841" t="s">
        <v>203</v>
      </c>
      <c r="E5138" s="1916" t="s">
        <v>3061</v>
      </c>
      <c r="F5138" s="1689"/>
      <c r="G5138" s="1689"/>
      <c r="H5138" s="1689"/>
      <c r="K5138" s="841" t="s">
        <v>3114</v>
      </c>
      <c r="M5138" s="1357"/>
      <c r="Q5138" s="1357"/>
      <c r="S5138" s="1420"/>
      <c r="T5138" s="1420"/>
      <c r="V5138" s="1357">
        <v>11</v>
      </c>
    </row>
    <row r="5139" spans="1:22" s="841" customFormat="1" ht="15" x14ac:dyDescent="0.25">
      <c r="A5139" s="841" t="s">
        <v>203</v>
      </c>
      <c r="E5139" s="1921" t="s">
        <v>3063</v>
      </c>
      <c r="F5139" s="1921"/>
      <c r="G5139" s="1921"/>
      <c r="H5139" s="1921"/>
      <c r="K5139" s="841" t="s">
        <v>3467</v>
      </c>
      <c r="M5139" s="1357"/>
      <c r="Q5139" s="1357"/>
      <c r="S5139" s="1420"/>
      <c r="T5139" s="1420"/>
      <c r="V5139" s="1357">
        <v>280</v>
      </c>
    </row>
    <row r="5140" spans="1:22" s="841" customFormat="1" ht="15" x14ac:dyDescent="0.25">
      <c r="A5140" s="841" t="s">
        <v>203</v>
      </c>
      <c r="E5140" s="1921" t="s">
        <v>3064</v>
      </c>
      <c r="F5140" s="1921"/>
      <c r="G5140" s="1921"/>
      <c r="H5140" s="1921"/>
      <c r="K5140" s="841" t="s">
        <v>3467</v>
      </c>
      <c r="M5140" s="1357"/>
      <c r="Q5140" s="1357"/>
      <c r="S5140" s="1420"/>
      <c r="T5140" s="1420"/>
      <c r="V5140" s="1357">
        <v>411</v>
      </c>
    </row>
    <row r="5141" spans="1:22" s="841" customFormat="1" ht="15" x14ac:dyDescent="0.25">
      <c r="A5141" s="841" t="s">
        <v>203</v>
      </c>
      <c r="E5141" s="1921" t="s">
        <v>3065</v>
      </c>
      <c r="F5141" s="1921"/>
      <c r="G5141" s="1921"/>
      <c r="H5141" s="1921"/>
      <c r="K5141" s="841" t="s">
        <v>3467</v>
      </c>
      <c r="M5141" s="1357"/>
      <c r="Q5141" s="1357"/>
      <c r="S5141" s="1420"/>
      <c r="T5141" s="1420"/>
      <c r="V5141" s="1357">
        <v>387</v>
      </c>
    </row>
    <row r="5142" spans="1:22" s="841" customFormat="1" ht="15" x14ac:dyDescent="0.25">
      <c r="A5142" s="841" t="s">
        <v>203</v>
      </c>
      <c r="E5142" s="1921" t="s">
        <v>3390</v>
      </c>
      <c r="F5142" s="1921"/>
      <c r="G5142" s="1921"/>
      <c r="H5142" s="1921"/>
      <c r="K5142" s="841" t="s">
        <v>3467</v>
      </c>
      <c r="M5142" s="1357"/>
      <c r="Q5142" s="1357"/>
      <c r="S5142" s="1420"/>
      <c r="T5142" s="1420"/>
      <c r="V5142" s="1357">
        <v>274</v>
      </c>
    </row>
    <row r="5143" spans="1:22" s="841" customFormat="1" ht="15" x14ac:dyDescent="0.25">
      <c r="A5143" s="841" t="s">
        <v>203</v>
      </c>
      <c r="E5143" s="1961" t="s">
        <v>3067</v>
      </c>
      <c r="F5143" s="1921"/>
      <c r="G5143" s="1921"/>
      <c r="H5143" s="1921"/>
      <c r="K5143" s="841" t="s">
        <v>3115</v>
      </c>
      <c r="M5143" s="1357"/>
      <c r="Q5143" s="1357"/>
      <c r="S5143" s="1420"/>
      <c r="T5143" s="1420"/>
      <c r="V5143" s="1357">
        <v>46</v>
      </c>
    </row>
    <row r="5144" spans="1:22" s="841" customFormat="1" ht="15" x14ac:dyDescent="0.25">
      <c r="A5144" s="841" t="s">
        <v>203</v>
      </c>
      <c r="E5144" s="1960" t="s">
        <v>12</v>
      </c>
      <c r="F5144" s="1904"/>
      <c r="G5144" s="1205" t="s">
        <v>23</v>
      </c>
      <c r="H5144" s="600">
        <v>9.4700000000000006</v>
      </c>
      <c r="K5144" s="841" t="s">
        <v>3467</v>
      </c>
      <c r="L5144" s="841" t="s">
        <v>442</v>
      </c>
      <c r="M5144" s="1357"/>
      <c r="P5144" s="841" t="s">
        <v>3468</v>
      </c>
      <c r="Q5144" s="1357"/>
      <c r="S5144" s="1420"/>
      <c r="T5144" s="1420"/>
      <c r="V5144" s="1357">
        <v>31</v>
      </c>
    </row>
    <row r="5145" spans="1:22" s="841" customFormat="1" ht="15" x14ac:dyDescent="0.25">
      <c r="A5145" s="841" t="s">
        <v>203</v>
      </c>
      <c r="E5145" s="1960" t="s">
        <v>84</v>
      </c>
      <c r="F5145" s="1904"/>
      <c r="G5145" s="1205" t="s">
        <v>33</v>
      </c>
      <c r="H5145" s="606">
        <v>35.905000000000001</v>
      </c>
      <c r="K5145" s="841" t="s">
        <v>3467</v>
      </c>
      <c r="L5145" s="841" t="s">
        <v>442</v>
      </c>
      <c r="M5145" s="1357"/>
      <c r="P5145" s="841" t="s">
        <v>3469</v>
      </c>
      <c r="Q5145" s="1357"/>
      <c r="S5145" s="1420"/>
      <c r="T5145" s="1420"/>
      <c r="V5145" s="1357">
        <v>28</v>
      </c>
    </row>
    <row r="5146" spans="1:22" s="841" customFormat="1" ht="15" x14ac:dyDescent="0.25">
      <c r="A5146" s="841" t="s">
        <v>203</v>
      </c>
      <c r="E5146" s="1960" t="s">
        <v>18</v>
      </c>
      <c r="F5146" s="1904"/>
      <c r="G5146" s="1205" t="s">
        <v>33</v>
      </c>
      <c r="H5146" s="665">
        <v>0.75470000000000004</v>
      </c>
      <c r="K5146" s="841" t="s">
        <v>3467</v>
      </c>
      <c r="L5146" s="841" t="s">
        <v>443</v>
      </c>
      <c r="M5146" s="1357"/>
      <c r="P5146" s="841" t="s">
        <v>3470</v>
      </c>
      <c r="Q5146" s="1357"/>
      <c r="S5146" s="1420"/>
      <c r="T5146" s="1420"/>
      <c r="V5146" s="1357">
        <v>24</v>
      </c>
    </row>
    <row r="5147" spans="1:22" s="841" customFormat="1" ht="15" x14ac:dyDescent="0.25">
      <c r="A5147" s="841" t="s">
        <v>203</v>
      </c>
      <c r="E5147" s="1960" t="s">
        <v>5129</v>
      </c>
      <c r="F5147" s="1962"/>
      <c r="G5147" s="695" t="s">
        <v>24</v>
      </c>
      <c r="H5147" s="697">
        <v>-1E-3</v>
      </c>
      <c r="K5147" s="841" t="s">
        <v>3467</v>
      </c>
      <c r="L5147" s="841" t="s">
        <v>443</v>
      </c>
      <c r="M5147" s="1357"/>
      <c r="P5147" s="841" t="s">
        <v>4194</v>
      </c>
      <c r="Q5147" s="1357"/>
      <c r="S5147" s="1420"/>
      <c r="T5147" s="1420">
        <v>43585</v>
      </c>
      <c r="V5147" s="1357">
        <v>139</v>
      </c>
    </row>
    <row r="5148" spans="1:22" s="841" customFormat="1" ht="15" x14ac:dyDescent="0.25">
      <c r="A5148" s="841" t="s">
        <v>203</v>
      </c>
      <c r="E5148" s="1960" t="s">
        <v>5130</v>
      </c>
      <c r="F5148" s="1962"/>
      <c r="G5148" s="1205" t="s">
        <v>33</v>
      </c>
      <c r="H5148" s="665">
        <v>-0.47110000000000002</v>
      </c>
      <c r="K5148" s="841" t="s">
        <v>3467</v>
      </c>
      <c r="L5148" s="841" t="s">
        <v>443</v>
      </c>
      <c r="M5148" s="1357"/>
      <c r="P5148" s="841" t="s">
        <v>3880</v>
      </c>
      <c r="Q5148" s="1357"/>
      <c r="S5148" s="1420"/>
      <c r="T5148" s="1420">
        <v>43585</v>
      </c>
      <c r="V5148" s="1357">
        <v>96</v>
      </c>
    </row>
    <row r="5149" spans="1:22" s="841" customFormat="1" ht="15" x14ac:dyDescent="0.25">
      <c r="A5149" s="841" t="s">
        <v>203</v>
      </c>
      <c r="E5149" s="1960" t="s">
        <v>5495</v>
      </c>
      <c r="F5149" s="1962"/>
      <c r="G5149" s="695" t="s">
        <v>33</v>
      </c>
      <c r="H5149" s="697">
        <v>-2.98E-2</v>
      </c>
      <c r="K5149" s="841" t="s">
        <v>3467</v>
      </c>
      <c r="L5149" s="841" t="s">
        <v>443</v>
      </c>
      <c r="M5149" s="1357"/>
      <c r="P5149" s="841" t="s">
        <v>5454</v>
      </c>
      <c r="Q5149" s="1357"/>
      <c r="S5149" s="1420"/>
      <c r="T5149" s="1420">
        <v>43585</v>
      </c>
      <c r="V5149" s="1357">
        <v>139</v>
      </c>
    </row>
    <row r="5150" spans="1:22" s="841" customFormat="1" ht="15" x14ac:dyDescent="0.25">
      <c r="A5150" s="841" t="s">
        <v>203</v>
      </c>
      <c r="E5150" s="1960" t="s">
        <v>221</v>
      </c>
      <c r="F5150" s="1904"/>
      <c r="G5150" s="1205" t="s">
        <v>33</v>
      </c>
      <c r="H5150" s="606">
        <v>1.8704000000000001</v>
      </c>
      <c r="K5150" s="841" t="s">
        <v>3467</v>
      </c>
      <c r="L5150" s="841" t="s">
        <v>444</v>
      </c>
      <c r="M5150" s="1357"/>
      <c r="P5150" s="841" t="s">
        <v>3472</v>
      </c>
      <c r="Q5150" s="1357"/>
      <c r="S5150" s="1420"/>
      <c r="T5150" s="1420"/>
      <c r="V5150" s="1357">
        <v>47</v>
      </c>
    </row>
    <row r="5151" spans="1:22" s="841" customFormat="1" ht="15" x14ac:dyDescent="0.25">
      <c r="A5151" s="841" t="s">
        <v>203</v>
      </c>
      <c r="E5151" s="1960" t="s">
        <v>217</v>
      </c>
      <c r="F5151" s="1904"/>
      <c r="G5151" s="1205" t="s">
        <v>33</v>
      </c>
      <c r="H5151" s="606">
        <v>1.5942000000000001</v>
      </c>
      <c r="K5151" s="841" t="s">
        <v>3467</v>
      </c>
      <c r="L5151" s="841" t="s">
        <v>444</v>
      </c>
      <c r="M5151" s="1357"/>
      <c r="P5151" s="841" t="s">
        <v>3473</v>
      </c>
      <c r="Q5151" s="1357"/>
      <c r="S5151" s="1420"/>
      <c r="T5151" s="1420"/>
      <c r="V5151" s="1357">
        <v>74</v>
      </c>
    </row>
    <row r="5152" spans="1:22" s="841" customFormat="1" ht="15" x14ac:dyDescent="0.25">
      <c r="A5152" s="841" t="s">
        <v>203</v>
      </c>
      <c r="E5152" s="1961" t="s">
        <v>3079</v>
      </c>
      <c r="F5152" s="1904"/>
      <c r="G5152" s="1904"/>
      <c r="H5152" s="1904"/>
      <c r="K5152" s="841" t="s">
        <v>3122</v>
      </c>
      <c r="M5152" s="1357"/>
      <c r="Q5152" s="1357"/>
      <c r="S5152" s="1420"/>
      <c r="T5152" s="1420"/>
      <c r="V5152" s="1357">
        <v>48</v>
      </c>
    </row>
    <row r="5153" spans="1:22" s="841" customFormat="1" ht="15" x14ac:dyDescent="0.25">
      <c r="A5153" s="841" t="s">
        <v>203</v>
      </c>
      <c r="E5153" s="1934" t="s">
        <v>2449</v>
      </c>
      <c r="F5153" s="1934"/>
      <c r="G5153" s="895" t="s">
        <v>24</v>
      </c>
      <c r="H5153" s="678">
        <v>3.2000000000000002E-3</v>
      </c>
      <c r="K5153" s="841" t="s">
        <v>3467</v>
      </c>
      <c r="L5153" s="841" t="s">
        <v>3046</v>
      </c>
      <c r="M5153" s="1357"/>
      <c r="P5153" s="841" t="s">
        <v>3474</v>
      </c>
      <c r="Q5153" s="1357"/>
      <c r="S5153" s="1420"/>
      <c r="T5153" s="1420"/>
      <c r="V5153" s="1357">
        <v>55</v>
      </c>
    </row>
    <row r="5154" spans="1:22" s="841" customFormat="1" ht="15" x14ac:dyDescent="0.25">
      <c r="A5154" s="841" t="s">
        <v>203</v>
      </c>
      <c r="E5154" s="1934" t="s">
        <v>2450</v>
      </c>
      <c r="F5154" s="1934"/>
      <c r="G5154" s="895" t="s">
        <v>24</v>
      </c>
      <c r="H5154" s="678">
        <v>4.0000000000000002E-4</v>
      </c>
      <c r="K5154" s="841" t="s">
        <v>3467</v>
      </c>
      <c r="L5154" s="841" t="s">
        <v>3046</v>
      </c>
      <c r="M5154" s="1357"/>
      <c r="P5154" s="841" t="s">
        <v>3474</v>
      </c>
      <c r="Q5154" s="1357"/>
      <c r="S5154" s="1420"/>
      <c r="T5154" s="1420"/>
      <c r="V5154" s="1357">
        <v>65</v>
      </c>
    </row>
    <row r="5155" spans="1:22" s="841" customFormat="1" ht="15" x14ac:dyDescent="0.25">
      <c r="A5155" s="841" t="s">
        <v>203</v>
      </c>
      <c r="E5155" s="1960" t="s">
        <v>439</v>
      </c>
      <c r="F5155" s="1904"/>
      <c r="G5155" s="1205" t="s">
        <v>24</v>
      </c>
      <c r="H5155" s="665">
        <v>2.9999999999999997E-4</v>
      </c>
      <c r="K5155" s="841" t="s">
        <v>3467</v>
      </c>
      <c r="L5155" s="841" t="s">
        <v>3046</v>
      </c>
      <c r="M5155" s="1357"/>
      <c r="P5155" s="841" t="s">
        <v>3475</v>
      </c>
      <c r="Q5155" s="1357"/>
      <c r="S5155" s="1420"/>
      <c r="T5155" s="1420"/>
      <c r="V5155" s="1357">
        <v>57</v>
      </c>
    </row>
    <row r="5156" spans="1:22" s="841" customFormat="1" ht="15" x14ac:dyDescent="0.25">
      <c r="A5156" s="841" t="s">
        <v>203</v>
      </c>
      <c r="E5156" s="1960" t="s">
        <v>32</v>
      </c>
      <c r="F5156" s="1904"/>
      <c r="G5156" s="1205" t="s">
        <v>23</v>
      </c>
      <c r="H5156" s="1206">
        <v>0.25</v>
      </c>
      <c r="K5156" s="841" t="s">
        <v>3467</v>
      </c>
      <c r="L5156" s="841" t="s">
        <v>3046</v>
      </c>
      <c r="M5156" s="1357"/>
      <c r="P5156" s="841" t="s">
        <v>3476</v>
      </c>
      <c r="Q5156" s="1357"/>
      <c r="S5156" s="1420"/>
      <c r="T5156" s="1420"/>
      <c r="V5156" s="1357">
        <v>63</v>
      </c>
    </row>
    <row r="5157" spans="1:22" s="841" customFormat="1" x14ac:dyDescent="0.25">
      <c r="A5157" s="841" t="s">
        <v>203</v>
      </c>
      <c r="E5157" s="1936" t="s">
        <v>615</v>
      </c>
      <c r="F5157" s="1923"/>
      <c r="G5157" s="1923"/>
      <c r="H5157" s="1923"/>
      <c r="K5157" s="841" t="s">
        <v>3477</v>
      </c>
      <c r="M5157" s="1357"/>
      <c r="Q5157" s="1357"/>
      <c r="S5157" s="1420"/>
      <c r="T5157" s="1420"/>
      <c r="V5157" s="1357">
        <v>38</v>
      </c>
    </row>
    <row r="5158" spans="1:22" s="841" customFormat="1" ht="15" x14ac:dyDescent="0.25">
      <c r="A5158" s="841" t="s">
        <v>203</v>
      </c>
      <c r="E5158" s="1921" t="s">
        <v>3881</v>
      </c>
      <c r="F5158" s="1921"/>
      <c r="G5158" s="1921"/>
      <c r="H5158" s="1921"/>
      <c r="K5158" s="841" t="s">
        <v>3477</v>
      </c>
      <c r="M5158" s="1357"/>
      <c r="Q5158" s="1357"/>
      <c r="S5158" s="1420"/>
      <c r="T5158" s="1420"/>
      <c r="V5158" s="1357">
        <v>505</v>
      </c>
    </row>
    <row r="5159" spans="1:22" s="841" customFormat="1" ht="15" x14ac:dyDescent="0.25">
      <c r="A5159" s="841" t="s">
        <v>203</v>
      </c>
      <c r="E5159" s="1916" t="s">
        <v>3061</v>
      </c>
      <c r="F5159" s="1689"/>
      <c r="G5159" s="1689"/>
      <c r="H5159" s="1689"/>
      <c r="K5159" s="841" t="s">
        <v>3128</v>
      </c>
      <c r="M5159" s="1357"/>
      <c r="Q5159" s="1357"/>
      <c r="S5159" s="1420"/>
      <c r="T5159" s="1420"/>
      <c r="V5159" s="1357">
        <v>11</v>
      </c>
    </row>
    <row r="5160" spans="1:22" s="841" customFormat="1" ht="15" x14ac:dyDescent="0.25">
      <c r="A5160" s="841" t="s">
        <v>203</v>
      </c>
      <c r="E5160" s="1921" t="s">
        <v>3063</v>
      </c>
      <c r="F5160" s="1921"/>
      <c r="G5160" s="1921"/>
      <c r="H5160" s="1921"/>
      <c r="K5160" s="841" t="s">
        <v>3477</v>
      </c>
      <c r="M5160" s="1357"/>
      <c r="Q5160" s="1357"/>
      <c r="S5160" s="1420"/>
      <c r="T5160" s="1420"/>
      <c r="V5160" s="1357">
        <v>280</v>
      </c>
    </row>
    <row r="5161" spans="1:22" s="841" customFormat="1" ht="15" x14ac:dyDescent="0.25">
      <c r="A5161" s="841" t="s">
        <v>203</v>
      </c>
      <c r="E5161" s="1921" t="s">
        <v>3064</v>
      </c>
      <c r="F5161" s="1921"/>
      <c r="G5161" s="1921"/>
      <c r="H5161" s="1921"/>
      <c r="K5161" s="841" t="s">
        <v>3477</v>
      </c>
      <c r="M5161" s="1357"/>
      <c r="Q5161" s="1357"/>
      <c r="S5161" s="1420"/>
      <c r="T5161" s="1420"/>
      <c r="V5161" s="1357">
        <v>411</v>
      </c>
    </row>
    <row r="5162" spans="1:22" s="841" customFormat="1" ht="15" x14ac:dyDescent="0.25">
      <c r="A5162" s="841" t="s">
        <v>203</v>
      </c>
      <c r="E5162" s="1921" t="s">
        <v>3065</v>
      </c>
      <c r="F5162" s="1921"/>
      <c r="G5162" s="1921"/>
      <c r="H5162" s="1921"/>
      <c r="K5162" s="841" t="s">
        <v>3477</v>
      </c>
      <c r="M5162" s="1357"/>
      <c r="Q5162" s="1357"/>
      <c r="S5162" s="1420"/>
      <c r="T5162" s="1420"/>
      <c r="V5162" s="1357">
        <v>387</v>
      </c>
    </row>
    <row r="5163" spans="1:22" s="841" customFormat="1" ht="15" x14ac:dyDescent="0.25">
      <c r="A5163" s="841" t="s">
        <v>203</v>
      </c>
      <c r="E5163" s="1921" t="s">
        <v>3390</v>
      </c>
      <c r="F5163" s="1921"/>
      <c r="G5163" s="1921"/>
      <c r="H5163" s="1921"/>
      <c r="K5163" s="841" t="s">
        <v>3477</v>
      </c>
      <c r="M5163" s="1357"/>
      <c r="Q5163" s="1357"/>
      <c r="S5163" s="1420"/>
      <c r="T5163" s="1420"/>
      <c r="V5163" s="1357">
        <v>274</v>
      </c>
    </row>
    <row r="5164" spans="1:22" s="841" customFormat="1" ht="15" x14ac:dyDescent="0.25">
      <c r="A5164" s="841" t="s">
        <v>203</v>
      </c>
      <c r="E5164" s="1961" t="s">
        <v>3067</v>
      </c>
      <c r="F5164" s="1921"/>
      <c r="G5164" s="1921"/>
      <c r="H5164" s="1921"/>
      <c r="K5164" s="841" t="s">
        <v>3130</v>
      </c>
      <c r="M5164" s="1357"/>
      <c r="Q5164" s="1357"/>
      <c r="S5164" s="1420"/>
      <c r="T5164" s="1420"/>
      <c r="V5164" s="1357">
        <v>46</v>
      </c>
    </row>
    <row r="5165" spans="1:22" s="841" customFormat="1" ht="15" x14ac:dyDescent="0.25">
      <c r="A5165" s="841" t="s">
        <v>203</v>
      </c>
      <c r="E5165" s="1960" t="s">
        <v>12</v>
      </c>
      <c r="F5165" s="1904"/>
      <c r="G5165" s="1205" t="s">
        <v>23</v>
      </c>
      <c r="H5165" s="600">
        <v>2.2999999999999998</v>
      </c>
      <c r="K5165" s="841" t="s">
        <v>3477</v>
      </c>
      <c r="L5165" s="841" t="s">
        <v>442</v>
      </c>
      <c r="M5165" s="1357"/>
      <c r="P5165" s="841" t="s">
        <v>3478</v>
      </c>
      <c r="Q5165" s="1357"/>
      <c r="S5165" s="1420"/>
      <c r="T5165" s="1420"/>
      <c r="V5165" s="1357">
        <v>31</v>
      </c>
    </row>
    <row r="5166" spans="1:22" s="841" customFormat="1" ht="15" x14ac:dyDescent="0.25">
      <c r="A5166" s="841" t="s">
        <v>203</v>
      </c>
      <c r="E5166" s="1960" t="s">
        <v>84</v>
      </c>
      <c r="F5166" s="1904"/>
      <c r="G5166" s="1205" t="s">
        <v>33</v>
      </c>
      <c r="H5166" s="606">
        <v>1.5523</v>
      </c>
      <c r="K5166" s="841" t="s">
        <v>3477</v>
      </c>
      <c r="L5166" s="841" t="s">
        <v>442</v>
      </c>
      <c r="M5166" s="1357"/>
      <c r="P5166" s="841" t="s">
        <v>3479</v>
      </c>
      <c r="Q5166" s="1357"/>
      <c r="S5166" s="1420"/>
      <c r="T5166" s="1420"/>
      <c r="V5166" s="1357">
        <v>28</v>
      </c>
    </row>
    <row r="5167" spans="1:22" s="841" customFormat="1" ht="15" x14ac:dyDescent="0.25">
      <c r="A5167" s="841" t="s">
        <v>203</v>
      </c>
      <c r="E5167" s="1960" t="s">
        <v>18</v>
      </c>
      <c r="F5167" s="1904"/>
      <c r="G5167" s="1205" t="s">
        <v>33</v>
      </c>
      <c r="H5167" s="665">
        <v>0.73929999999999996</v>
      </c>
      <c r="K5167" s="841" t="s">
        <v>3477</v>
      </c>
      <c r="L5167" s="841" t="s">
        <v>443</v>
      </c>
      <c r="M5167" s="1357"/>
      <c r="P5167" s="841" t="s">
        <v>3480</v>
      </c>
      <c r="Q5167" s="1357"/>
      <c r="S5167" s="1420"/>
      <c r="T5167" s="1420"/>
      <c r="V5167" s="1357">
        <v>24</v>
      </c>
    </row>
    <row r="5168" spans="1:22" s="841" customFormat="1" ht="15" x14ac:dyDescent="0.25">
      <c r="A5168" s="841" t="s">
        <v>203</v>
      </c>
      <c r="E5168" s="1960" t="s">
        <v>5129</v>
      </c>
      <c r="F5168" s="1962"/>
      <c r="G5168" s="695" t="s">
        <v>24</v>
      </c>
      <c r="H5168" s="697">
        <v>-1E-3</v>
      </c>
      <c r="K5168" s="841" t="s">
        <v>3477</v>
      </c>
      <c r="L5168" s="841" t="s">
        <v>443</v>
      </c>
      <c r="M5168" s="1357"/>
      <c r="P5168" s="841" t="s">
        <v>4196</v>
      </c>
      <c r="Q5168" s="1357"/>
      <c r="S5168" s="1420"/>
      <c r="T5168" s="1420">
        <v>43585</v>
      </c>
      <c r="V5168" s="1357">
        <v>139</v>
      </c>
    </row>
    <row r="5169" spans="1:22" s="841" customFormat="1" ht="15" x14ac:dyDescent="0.25">
      <c r="A5169" s="841" t="s">
        <v>203</v>
      </c>
      <c r="E5169" s="1960" t="s">
        <v>5130</v>
      </c>
      <c r="F5169" s="1962"/>
      <c r="G5169" s="1205" t="s">
        <v>33</v>
      </c>
      <c r="H5169" s="665">
        <v>-0.97850000000000004</v>
      </c>
      <c r="K5169" s="841" t="s">
        <v>3477</v>
      </c>
      <c r="L5169" s="841" t="s">
        <v>443</v>
      </c>
      <c r="M5169" s="1357"/>
      <c r="P5169" s="841" t="s">
        <v>3882</v>
      </c>
      <c r="Q5169" s="1357"/>
      <c r="S5169" s="1420"/>
      <c r="T5169" s="1420">
        <v>43585</v>
      </c>
      <c r="V5169" s="1357">
        <v>96</v>
      </c>
    </row>
    <row r="5170" spans="1:22" s="841" customFormat="1" ht="15" x14ac:dyDescent="0.25">
      <c r="A5170" s="841" t="s">
        <v>203</v>
      </c>
      <c r="E5170" s="1960" t="s">
        <v>5495</v>
      </c>
      <c r="F5170" s="1962"/>
      <c r="G5170" s="695" t="s">
        <v>33</v>
      </c>
      <c r="H5170" s="697">
        <v>-2.8500000000000001E-2</v>
      </c>
      <c r="K5170" s="841" t="s">
        <v>3477</v>
      </c>
      <c r="L5170" s="841" t="s">
        <v>443</v>
      </c>
      <c r="M5170" s="1357"/>
      <c r="P5170" s="841" t="s">
        <v>5367</v>
      </c>
      <c r="Q5170" s="1357"/>
      <c r="S5170" s="1420"/>
      <c r="T5170" s="1420">
        <v>43585</v>
      </c>
      <c r="V5170" s="1357">
        <v>139</v>
      </c>
    </row>
    <row r="5171" spans="1:22" s="841" customFormat="1" ht="15" x14ac:dyDescent="0.25">
      <c r="A5171" s="841" t="s">
        <v>203</v>
      </c>
      <c r="E5171" s="1960" t="s">
        <v>221</v>
      </c>
      <c r="F5171" s="1904"/>
      <c r="G5171" s="1205" t="s">
        <v>33</v>
      </c>
      <c r="H5171" s="606">
        <v>1.8616999999999999</v>
      </c>
      <c r="K5171" s="841" t="s">
        <v>3477</v>
      </c>
      <c r="L5171" s="841" t="s">
        <v>444</v>
      </c>
      <c r="M5171" s="1357"/>
      <c r="P5171" s="841" t="s">
        <v>3482</v>
      </c>
      <c r="Q5171" s="1357"/>
      <c r="S5171" s="1420"/>
      <c r="T5171" s="1420"/>
      <c r="V5171" s="1357">
        <v>47</v>
      </c>
    </row>
    <row r="5172" spans="1:22" s="841" customFormat="1" ht="15" x14ac:dyDescent="0.25">
      <c r="A5172" s="841" t="s">
        <v>203</v>
      </c>
      <c r="E5172" s="1960" t="s">
        <v>217</v>
      </c>
      <c r="F5172" s="1904"/>
      <c r="G5172" s="1205" t="s">
        <v>33</v>
      </c>
      <c r="H5172" s="606">
        <v>1.5617000000000001</v>
      </c>
      <c r="K5172" s="841" t="s">
        <v>3477</v>
      </c>
      <c r="L5172" s="841" t="s">
        <v>444</v>
      </c>
      <c r="M5172" s="1357"/>
      <c r="P5172" s="841" t="s">
        <v>3483</v>
      </c>
      <c r="Q5172" s="1357"/>
      <c r="S5172" s="1420"/>
      <c r="T5172" s="1420"/>
      <c r="V5172" s="1357">
        <v>74</v>
      </c>
    </row>
    <row r="5173" spans="1:22" s="841" customFormat="1" ht="15" x14ac:dyDescent="0.25">
      <c r="A5173" s="841" t="s">
        <v>203</v>
      </c>
      <c r="E5173" s="1961" t="s">
        <v>3079</v>
      </c>
      <c r="F5173" s="1904"/>
      <c r="G5173" s="1904"/>
      <c r="H5173" s="1904"/>
      <c r="K5173" s="841" t="s">
        <v>3260</v>
      </c>
      <c r="M5173" s="1357"/>
      <c r="Q5173" s="1357"/>
      <c r="S5173" s="1420"/>
      <c r="T5173" s="1420"/>
      <c r="V5173" s="1357">
        <v>48</v>
      </c>
    </row>
    <row r="5174" spans="1:22" s="841" customFormat="1" ht="15" x14ac:dyDescent="0.25">
      <c r="A5174" s="841" t="s">
        <v>203</v>
      </c>
      <c r="E5174" s="1934" t="s">
        <v>2449</v>
      </c>
      <c r="F5174" s="1934"/>
      <c r="G5174" s="895" t="s">
        <v>24</v>
      </c>
      <c r="H5174" s="678">
        <v>3.2000000000000002E-3</v>
      </c>
      <c r="K5174" s="841" t="s">
        <v>3477</v>
      </c>
      <c r="L5174" s="841" t="s">
        <v>3046</v>
      </c>
      <c r="M5174" s="1357"/>
      <c r="P5174" s="841" t="s">
        <v>3484</v>
      </c>
      <c r="Q5174" s="1357"/>
      <c r="S5174" s="1420"/>
      <c r="T5174" s="1420"/>
      <c r="V5174" s="1357">
        <v>55</v>
      </c>
    </row>
    <row r="5175" spans="1:22" s="841" customFormat="1" ht="15" x14ac:dyDescent="0.25">
      <c r="A5175" s="841" t="s">
        <v>203</v>
      </c>
      <c r="E5175" s="1934" t="s">
        <v>2450</v>
      </c>
      <c r="F5175" s="1934"/>
      <c r="G5175" s="895" t="s">
        <v>24</v>
      </c>
      <c r="H5175" s="678">
        <v>4.0000000000000002E-4</v>
      </c>
      <c r="K5175" s="841" t="s">
        <v>3477</v>
      </c>
      <c r="L5175" s="841" t="s">
        <v>3046</v>
      </c>
      <c r="M5175" s="1357"/>
      <c r="P5175" s="841" t="s">
        <v>3484</v>
      </c>
      <c r="Q5175" s="1357"/>
      <c r="S5175" s="1420"/>
      <c r="T5175" s="1420"/>
      <c r="V5175" s="1357">
        <v>65</v>
      </c>
    </row>
    <row r="5176" spans="1:22" s="841" customFormat="1" ht="15" x14ac:dyDescent="0.25">
      <c r="A5176" s="841" t="s">
        <v>203</v>
      </c>
      <c r="E5176" s="1960" t="s">
        <v>439</v>
      </c>
      <c r="F5176" s="1904"/>
      <c r="G5176" s="1205" t="s">
        <v>24</v>
      </c>
      <c r="H5176" s="665">
        <v>2.9999999999999997E-4</v>
      </c>
      <c r="K5176" s="841" t="s">
        <v>3477</v>
      </c>
      <c r="L5176" s="841" t="s">
        <v>3046</v>
      </c>
      <c r="M5176" s="1357"/>
      <c r="P5176" s="841" t="s">
        <v>3485</v>
      </c>
      <c r="Q5176" s="1357"/>
      <c r="S5176" s="1420"/>
      <c r="T5176" s="1420"/>
      <c r="V5176" s="1357">
        <v>57</v>
      </c>
    </row>
    <row r="5177" spans="1:22" s="841" customFormat="1" ht="15" x14ac:dyDescent="0.25">
      <c r="A5177" s="841" t="s">
        <v>203</v>
      </c>
      <c r="E5177" s="1960" t="s">
        <v>32</v>
      </c>
      <c r="F5177" s="1904"/>
      <c r="G5177" s="1205" t="s">
        <v>23</v>
      </c>
      <c r="H5177" s="1206">
        <v>0.25</v>
      </c>
      <c r="K5177" s="841" t="s">
        <v>3477</v>
      </c>
      <c r="L5177" s="841" t="s">
        <v>3046</v>
      </c>
      <c r="M5177" s="1357"/>
      <c r="P5177" s="841" t="s">
        <v>3486</v>
      </c>
      <c r="Q5177" s="1357"/>
      <c r="S5177" s="1420"/>
      <c r="T5177" s="1420"/>
      <c r="V5177" s="1357">
        <v>63</v>
      </c>
    </row>
    <row r="5178" spans="1:22" s="841" customFormat="1" x14ac:dyDescent="0.25">
      <c r="A5178" s="841" t="s">
        <v>203</v>
      </c>
      <c r="E5178" s="1909" t="s">
        <v>618</v>
      </c>
      <c r="F5178" s="1923"/>
      <c r="G5178" s="1923"/>
      <c r="H5178" s="1923"/>
      <c r="K5178" s="841" t="s">
        <v>3487</v>
      </c>
      <c r="M5178" s="1357"/>
      <c r="Q5178" s="1357"/>
      <c r="S5178" s="1420"/>
      <c r="T5178" s="1420"/>
      <c r="V5178" s="1357">
        <v>31</v>
      </c>
    </row>
    <row r="5179" spans="1:22" s="841" customFormat="1" ht="15" x14ac:dyDescent="0.25">
      <c r="A5179" s="841" t="s">
        <v>203</v>
      </c>
      <c r="E5179" s="1921" t="s">
        <v>3127</v>
      </c>
      <c r="F5179" s="1921"/>
      <c r="G5179" s="1921"/>
      <c r="H5179" s="1921"/>
      <c r="K5179" s="841" t="s">
        <v>3487</v>
      </c>
      <c r="M5179" s="1357"/>
      <c r="Q5179" s="1357"/>
      <c r="S5179" s="1420"/>
      <c r="T5179" s="1420"/>
      <c r="V5179" s="1357">
        <v>286</v>
      </c>
    </row>
    <row r="5180" spans="1:22" s="841" customFormat="1" ht="15" x14ac:dyDescent="0.25">
      <c r="A5180" s="841" t="s">
        <v>203</v>
      </c>
      <c r="E5180" s="1916" t="s">
        <v>3061</v>
      </c>
      <c r="F5180" s="1689"/>
      <c r="G5180" s="1689"/>
      <c r="H5180" s="1689"/>
      <c r="K5180" s="841" t="s">
        <v>3266</v>
      </c>
      <c r="M5180" s="1357"/>
      <c r="Q5180" s="1357"/>
      <c r="S5180" s="1420"/>
      <c r="T5180" s="1420"/>
      <c r="V5180" s="1357">
        <v>11</v>
      </c>
    </row>
    <row r="5181" spans="1:22" s="841" customFormat="1" ht="15" x14ac:dyDescent="0.25">
      <c r="A5181" s="841" t="s">
        <v>203</v>
      </c>
      <c r="E5181" s="1921" t="s">
        <v>3063</v>
      </c>
      <c r="F5181" s="1921"/>
      <c r="G5181" s="1921"/>
      <c r="H5181" s="1921"/>
      <c r="K5181" s="841" t="s">
        <v>3487</v>
      </c>
      <c r="M5181" s="1357"/>
      <c r="Q5181" s="1357"/>
      <c r="S5181" s="1420"/>
      <c r="T5181" s="1420"/>
      <c r="V5181" s="1357">
        <v>280</v>
      </c>
    </row>
    <row r="5182" spans="1:22" s="841" customFormat="1" ht="15" x14ac:dyDescent="0.25">
      <c r="A5182" s="841" t="s">
        <v>203</v>
      </c>
      <c r="E5182" s="1921" t="s">
        <v>3064</v>
      </c>
      <c r="F5182" s="1921"/>
      <c r="G5182" s="1921"/>
      <c r="H5182" s="1921"/>
      <c r="K5182" s="841" t="s">
        <v>3487</v>
      </c>
      <c r="M5182" s="1357"/>
      <c r="Q5182" s="1357"/>
      <c r="S5182" s="1420"/>
      <c r="T5182" s="1420"/>
      <c r="V5182" s="1357">
        <v>411</v>
      </c>
    </row>
    <row r="5183" spans="1:22" s="841" customFormat="1" ht="15" x14ac:dyDescent="0.25">
      <c r="A5183" s="841" t="s">
        <v>203</v>
      </c>
      <c r="E5183" s="1921" t="s">
        <v>3129</v>
      </c>
      <c r="F5183" s="1921"/>
      <c r="G5183" s="1921"/>
      <c r="H5183" s="1921"/>
      <c r="K5183" s="841" t="s">
        <v>3487</v>
      </c>
      <c r="M5183" s="1357"/>
      <c r="Q5183" s="1357"/>
      <c r="S5183" s="1420"/>
      <c r="T5183" s="1420"/>
      <c r="V5183" s="1357">
        <v>211</v>
      </c>
    </row>
    <row r="5184" spans="1:22" s="841" customFormat="1" ht="15" x14ac:dyDescent="0.25">
      <c r="A5184" s="841" t="s">
        <v>203</v>
      </c>
      <c r="E5184" s="1921" t="s">
        <v>3390</v>
      </c>
      <c r="F5184" s="1921"/>
      <c r="G5184" s="1921"/>
      <c r="H5184" s="1921"/>
      <c r="K5184" s="841" t="s">
        <v>3487</v>
      </c>
      <c r="M5184" s="1357"/>
      <c r="Q5184" s="1357"/>
      <c r="S5184" s="1420"/>
      <c r="T5184" s="1420"/>
      <c r="V5184" s="1357">
        <v>274</v>
      </c>
    </row>
    <row r="5185" spans="1:22" s="841" customFormat="1" ht="15" x14ac:dyDescent="0.25">
      <c r="A5185" s="841" t="s">
        <v>203</v>
      </c>
      <c r="E5185" s="1961" t="s">
        <v>3632</v>
      </c>
      <c r="F5185" s="1921"/>
      <c r="G5185" s="1921"/>
      <c r="H5185" s="1921"/>
      <c r="K5185" s="841" t="s">
        <v>3267</v>
      </c>
      <c r="M5185" s="1357"/>
      <c r="Q5185" s="1357"/>
      <c r="S5185" s="1420"/>
      <c r="T5185" s="1420"/>
      <c r="V5185" s="1357">
        <v>47</v>
      </c>
    </row>
    <row r="5186" spans="1:22" s="841" customFormat="1" ht="15" x14ac:dyDescent="0.25">
      <c r="A5186" s="841" t="s">
        <v>203</v>
      </c>
      <c r="E5186" s="1960" t="s">
        <v>11</v>
      </c>
      <c r="F5186" s="1904"/>
      <c r="G5186" s="1205" t="s">
        <v>23</v>
      </c>
      <c r="H5186" s="600">
        <v>5.4</v>
      </c>
      <c r="K5186" s="841" t="s">
        <v>3487</v>
      </c>
      <c r="L5186" s="841" t="s">
        <v>442</v>
      </c>
      <c r="M5186" s="1357"/>
      <c r="P5186" s="841" t="s">
        <v>3488</v>
      </c>
      <c r="Q5186" s="1357"/>
      <c r="S5186" s="1420"/>
      <c r="T5186" s="1420"/>
      <c r="V5186" s="1357">
        <v>14</v>
      </c>
    </row>
    <row r="5187" spans="1:22" s="841" customFormat="1" x14ac:dyDescent="0.25">
      <c r="A5187" s="841" t="s">
        <v>203</v>
      </c>
      <c r="E5187" s="1965" t="s">
        <v>85</v>
      </c>
      <c r="F5187" s="1933"/>
      <c r="G5187" s="1933"/>
      <c r="H5187" s="1933"/>
      <c r="K5187" s="841" t="s">
        <v>3883</v>
      </c>
      <c r="M5187" s="1357"/>
      <c r="Q5187" s="1357"/>
      <c r="S5187" s="1420"/>
      <c r="T5187" s="1420"/>
      <c r="V5187" s="1357">
        <v>10</v>
      </c>
    </row>
    <row r="5188" spans="1:22" s="841" customFormat="1" ht="15" x14ac:dyDescent="0.25">
      <c r="A5188" s="841" t="s">
        <v>203</v>
      </c>
      <c r="E5188" s="1904" t="s">
        <v>3133</v>
      </c>
      <c r="F5188" s="1904"/>
      <c r="G5188" s="1407" t="s">
        <v>33</v>
      </c>
      <c r="H5188" s="606">
        <v>-0.6</v>
      </c>
      <c r="M5188" s="1357"/>
      <c r="Q5188" s="1357"/>
      <c r="S5188" s="1420"/>
      <c r="T5188" s="1420"/>
      <c r="V5188" s="1357">
        <v>68</v>
      </c>
    </row>
    <row r="5189" spans="1:22" s="841" customFormat="1" ht="15" x14ac:dyDescent="0.25">
      <c r="A5189" s="841" t="s">
        <v>203</v>
      </c>
      <c r="E5189" s="1904" t="s">
        <v>3134</v>
      </c>
      <c r="F5189" s="1904"/>
      <c r="G5189" s="1407" t="s">
        <v>86</v>
      </c>
      <c r="H5189" s="600">
        <v>-1</v>
      </c>
      <c r="M5189" s="1357"/>
      <c r="Q5189" s="1357"/>
      <c r="S5189" s="1420"/>
      <c r="T5189" s="1420"/>
      <c r="V5189" s="1357">
        <v>87</v>
      </c>
    </row>
    <row r="5190" spans="1:22" s="841" customFormat="1" x14ac:dyDescent="0.25">
      <c r="A5190" s="841" t="s">
        <v>203</v>
      </c>
      <c r="E5190" s="1980" t="s">
        <v>87</v>
      </c>
      <c r="F5190" s="1933"/>
      <c r="G5190" s="1933"/>
      <c r="H5190" s="1933"/>
      <c r="K5190" s="841" t="s">
        <v>3884</v>
      </c>
      <c r="M5190" s="1357"/>
      <c r="Q5190" s="1357"/>
      <c r="S5190" s="1420"/>
      <c r="T5190" s="1420"/>
      <c r="V5190" s="1357">
        <v>24</v>
      </c>
    </row>
    <row r="5191" spans="1:22" s="841" customFormat="1" ht="15" x14ac:dyDescent="0.25">
      <c r="A5191" s="841" t="s">
        <v>203</v>
      </c>
      <c r="E5191" s="1926" t="s">
        <v>3061</v>
      </c>
      <c r="F5191" s="1689"/>
      <c r="G5191" s="1689"/>
      <c r="H5191" s="1689"/>
      <c r="M5191" s="1357"/>
      <c r="Q5191" s="1357"/>
      <c r="S5191" s="1420"/>
      <c r="T5191" s="1420"/>
      <c r="V5191" s="1357">
        <v>11</v>
      </c>
    </row>
    <row r="5192" spans="1:22" s="841" customFormat="1" ht="15" x14ac:dyDescent="0.25">
      <c r="A5192" s="841" t="s">
        <v>203</v>
      </c>
      <c r="E5192" s="1921" t="s">
        <v>3063</v>
      </c>
      <c r="F5192" s="1921"/>
      <c r="G5192" s="1921"/>
      <c r="H5192" s="1921"/>
      <c r="M5192" s="1357"/>
      <c r="Q5192" s="1357"/>
      <c r="S5192" s="1420"/>
      <c r="T5192" s="1420"/>
      <c r="V5192" s="1357">
        <v>280</v>
      </c>
    </row>
    <row r="5193" spans="1:22" s="841" customFormat="1" ht="15" x14ac:dyDescent="0.25">
      <c r="A5193" s="841" t="s">
        <v>203</v>
      </c>
      <c r="E5193" s="1921" t="s">
        <v>3136</v>
      </c>
      <c r="F5193" s="1921"/>
      <c r="G5193" s="1921"/>
      <c r="H5193" s="1921"/>
      <c r="M5193" s="1357"/>
      <c r="Q5193" s="1357"/>
      <c r="S5193" s="1420"/>
      <c r="T5193" s="1420"/>
      <c r="V5193" s="1357">
        <v>353</v>
      </c>
    </row>
    <row r="5194" spans="1:22" s="841" customFormat="1" ht="15" x14ac:dyDescent="0.25">
      <c r="A5194" s="841" t="s">
        <v>203</v>
      </c>
      <c r="E5194" s="1921" t="s">
        <v>3390</v>
      </c>
      <c r="F5194" s="1981"/>
      <c r="G5194" s="1981"/>
      <c r="H5194" s="1981"/>
      <c r="M5194" s="1357"/>
      <c r="Q5194" s="1357"/>
      <c r="S5194" s="1420"/>
      <c r="T5194" s="1420"/>
      <c r="V5194" s="1357">
        <v>274</v>
      </c>
    </row>
    <row r="5195" spans="1:22" s="841" customFormat="1" ht="15" x14ac:dyDescent="0.25">
      <c r="A5195" s="841" t="s">
        <v>203</v>
      </c>
      <c r="E5195" s="1961" t="s">
        <v>3137</v>
      </c>
      <c r="F5195" s="1981"/>
      <c r="G5195" s="1981"/>
      <c r="H5195" s="1981"/>
      <c r="K5195" s="841" t="s">
        <v>3885</v>
      </c>
      <c r="M5195" s="1357"/>
      <c r="Q5195" s="1357"/>
      <c r="S5195" s="1420"/>
      <c r="T5195" s="1420"/>
      <c r="V5195" s="1357">
        <v>23</v>
      </c>
    </row>
    <row r="5196" spans="1:22" s="841" customFormat="1" ht="15" x14ac:dyDescent="0.25">
      <c r="A5196" s="841" t="s">
        <v>203</v>
      </c>
      <c r="E5196" s="1904" t="s">
        <v>3355</v>
      </c>
      <c r="F5196" s="1904"/>
      <c r="G5196" s="1371" t="s">
        <v>23</v>
      </c>
      <c r="H5196" s="600">
        <v>15</v>
      </c>
      <c r="M5196" s="1357"/>
      <c r="Q5196" s="1357"/>
      <c r="S5196" s="1420"/>
      <c r="T5196" s="1420"/>
      <c r="V5196" s="1357">
        <v>19</v>
      </c>
    </row>
    <row r="5197" spans="1:22" s="841" customFormat="1" ht="15" x14ac:dyDescent="0.25">
      <c r="A5197" s="841" t="s">
        <v>203</v>
      </c>
      <c r="E5197" s="1904" t="s">
        <v>3140</v>
      </c>
      <c r="F5197" s="1904"/>
      <c r="G5197" s="1407" t="s">
        <v>23</v>
      </c>
      <c r="H5197" s="600">
        <v>15</v>
      </c>
      <c r="M5197" s="1357"/>
      <c r="Q5197" s="1357"/>
      <c r="S5197" s="1420"/>
      <c r="T5197" s="1420"/>
      <c r="V5197" s="1357">
        <v>20</v>
      </c>
    </row>
    <row r="5198" spans="1:22" s="841" customFormat="1" ht="15" x14ac:dyDescent="0.25">
      <c r="A5198" s="841" t="s">
        <v>203</v>
      </c>
      <c r="E5198" s="1904" t="s">
        <v>3141</v>
      </c>
      <c r="F5198" s="1904"/>
      <c r="G5198" s="1407" t="s">
        <v>23</v>
      </c>
      <c r="H5198" s="600">
        <v>15</v>
      </c>
      <c r="M5198" s="1357"/>
      <c r="Q5198" s="1357"/>
      <c r="S5198" s="1420"/>
      <c r="T5198" s="1420"/>
      <c r="V5198" s="1357">
        <v>26</v>
      </c>
    </row>
    <row r="5199" spans="1:22" s="841" customFormat="1" ht="15" x14ac:dyDescent="0.25">
      <c r="A5199" s="841" t="s">
        <v>203</v>
      </c>
      <c r="E5199" s="1904" t="s">
        <v>3142</v>
      </c>
      <c r="F5199" s="1904"/>
      <c r="G5199" s="1407" t="s">
        <v>23</v>
      </c>
      <c r="H5199" s="600">
        <v>15</v>
      </c>
      <c r="M5199" s="1357"/>
      <c r="Q5199" s="1357"/>
      <c r="S5199" s="1420"/>
      <c r="T5199" s="1420"/>
      <c r="V5199" s="1357">
        <v>39</v>
      </c>
    </row>
    <row r="5200" spans="1:22" s="841" customFormat="1" ht="15" x14ac:dyDescent="0.25">
      <c r="A5200" s="841" t="s">
        <v>203</v>
      </c>
      <c r="E5200" s="1904" t="s">
        <v>3143</v>
      </c>
      <c r="F5200" s="1904"/>
      <c r="G5200" s="1407" t="s">
        <v>23</v>
      </c>
      <c r="H5200" s="600">
        <v>15</v>
      </c>
      <c r="M5200" s="1357"/>
      <c r="Q5200" s="1357"/>
      <c r="S5200" s="1420"/>
      <c r="T5200" s="1420"/>
      <c r="V5200" s="1357">
        <v>37</v>
      </c>
    </row>
    <row r="5201" spans="1:22" s="841" customFormat="1" ht="15" x14ac:dyDescent="0.25">
      <c r="A5201" s="841" t="s">
        <v>203</v>
      </c>
      <c r="E5201" s="1904" t="s">
        <v>3144</v>
      </c>
      <c r="F5201" s="1904"/>
      <c r="G5201" s="1407" t="s">
        <v>23</v>
      </c>
      <c r="H5201" s="600">
        <v>15</v>
      </c>
      <c r="M5201" s="1357"/>
      <c r="Q5201" s="1357"/>
      <c r="S5201" s="1420"/>
      <c r="T5201" s="1420"/>
      <c r="V5201" s="1357">
        <v>15</v>
      </c>
    </row>
    <row r="5202" spans="1:22" s="841" customFormat="1" ht="15" x14ac:dyDescent="0.25">
      <c r="A5202" s="841" t="s">
        <v>203</v>
      </c>
      <c r="E5202" s="1904" t="s">
        <v>3145</v>
      </c>
      <c r="F5202" s="1904"/>
      <c r="G5202" s="1407" t="s">
        <v>23</v>
      </c>
      <c r="H5202" s="600">
        <v>15</v>
      </c>
      <c r="M5202" s="1357"/>
      <c r="Q5202" s="1357"/>
      <c r="S5202" s="1420"/>
      <c r="T5202" s="1420"/>
      <c r="V5202" s="1357">
        <v>17</v>
      </c>
    </row>
    <row r="5203" spans="1:22" s="841" customFormat="1" ht="15" x14ac:dyDescent="0.25">
      <c r="A5203" s="841" t="s">
        <v>203</v>
      </c>
      <c r="E5203" s="1904" t="s">
        <v>3146</v>
      </c>
      <c r="F5203" s="1904"/>
      <c r="G5203" s="1407" t="s">
        <v>23</v>
      </c>
      <c r="H5203" s="600">
        <v>15</v>
      </c>
      <c r="M5203" s="1357"/>
      <c r="Q5203" s="1357"/>
      <c r="S5203" s="1420"/>
      <c r="T5203" s="1420"/>
      <c r="V5203" s="1357">
        <v>19</v>
      </c>
    </row>
    <row r="5204" spans="1:22" s="841" customFormat="1" ht="15" x14ac:dyDescent="0.25">
      <c r="A5204" s="841" t="s">
        <v>203</v>
      </c>
      <c r="E5204" s="1904" t="s">
        <v>3147</v>
      </c>
      <c r="F5204" s="1904"/>
      <c r="G5204" s="1407" t="s">
        <v>23</v>
      </c>
      <c r="H5204" s="600">
        <v>15</v>
      </c>
      <c r="M5204" s="1357"/>
      <c r="Q5204" s="1357"/>
      <c r="S5204" s="1420"/>
      <c r="T5204" s="1420"/>
      <c r="V5204" s="1357">
        <v>15</v>
      </c>
    </row>
    <row r="5205" spans="1:22" s="841" customFormat="1" ht="15" x14ac:dyDescent="0.25">
      <c r="A5205" s="841" t="s">
        <v>203</v>
      </c>
      <c r="E5205" s="1904" t="s">
        <v>3148</v>
      </c>
      <c r="F5205" s="1904"/>
      <c r="G5205" s="1407" t="s">
        <v>23</v>
      </c>
      <c r="H5205" s="600">
        <v>15</v>
      </c>
      <c r="M5205" s="1357"/>
      <c r="Q5205" s="1357"/>
      <c r="S5205" s="1420"/>
      <c r="T5205" s="1420"/>
      <c r="V5205" s="1357">
        <v>56</v>
      </c>
    </row>
    <row r="5206" spans="1:22" s="841" customFormat="1" ht="15" x14ac:dyDescent="0.25">
      <c r="A5206" s="841" t="s">
        <v>203</v>
      </c>
      <c r="E5206" s="1904" t="s">
        <v>3149</v>
      </c>
      <c r="F5206" s="1904"/>
      <c r="G5206" s="1407" t="s">
        <v>23</v>
      </c>
      <c r="H5206" s="600">
        <v>15</v>
      </c>
      <c r="M5206" s="1357"/>
      <c r="Q5206" s="1357"/>
      <c r="S5206" s="1420"/>
      <c r="T5206" s="1420"/>
      <c r="V5206" s="1357">
        <v>35</v>
      </c>
    </row>
    <row r="5207" spans="1:22" s="841" customFormat="1" ht="15" x14ac:dyDescent="0.25">
      <c r="A5207" s="841" t="s">
        <v>203</v>
      </c>
      <c r="E5207" s="1904" t="s">
        <v>3150</v>
      </c>
      <c r="F5207" s="1904"/>
      <c r="G5207" s="1407" t="s">
        <v>23</v>
      </c>
      <c r="H5207" s="600">
        <v>15</v>
      </c>
      <c r="M5207" s="1357"/>
      <c r="Q5207" s="1357"/>
      <c r="S5207" s="1420"/>
      <c r="T5207" s="1420"/>
      <c r="V5207" s="1357">
        <v>24</v>
      </c>
    </row>
    <row r="5208" spans="1:22" s="841" customFormat="1" ht="15" x14ac:dyDescent="0.25">
      <c r="A5208" s="841" t="s">
        <v>203</v>
      </c>
      <c r="E5208" s="1904" t="s">
        <v>3151</v>
      </c>
      <c r="F5208" s="1904"/>
      <c r="G5208" s="1407" t="s">
        <v>23</v>
      </c>
      <c r="H5208" s="600">
        <v>15</v>
      </c>
      <c r="M5208" s="1357"/>
      <c r="Q5208" s="1357"/>
      <c r="S5208" s="1420"/>
      <c r="T5208" s="1420"/>
      <c r="V5208" s="1357">
        <v>19</v>
      </c>
    </row>
    <row r="5209" spans="1:22" s="841" customFormat="1" ht="15" x14ac:dyDescent="0.25">
      <c r="A5209" s="841" t="s">
        <v>203</v>
      </c>
      <c r="E5209" s="1904" t="s">
        <v>88</v>
      </c>
      <c r="F5209" s="1904"/>
      <c r="G5209" s="1407" t="s">
        <v>23</v>
      </c>
      <c r="H5209" s="600">
        <v>30</v>
      </c>
      <c r="M5209" s="1357"/>
      <c r="Q5209" s="1357"/>
      <c r="S5209" s="1420"/>
      <c r="T5209" s="1420"/>
      <c r="V5209" s="1357">
        <v>89</v>
      </c>
    </row>
    <row r="5210" spans="1:22" s="841" customFormat="1" ht="15" x14ac:dyDescent="0.25">
      <c r="A5210" s="841" t="s">
        <v>203</v>
      </c>
      <c r="E5210" s="1904" t="s">
        <v>94</v>
      </c>
      <c r="F5210" s="1904"/>
      <c r="G5210" s="1407" t="s">
        <v>23</v>
      </c>
      <c r="H5210" s="600">
        <v>30</v>
      </c>
      <c r="M5210" s="1357"/>
      <c r="Q5210" s="1357"/>
      <c r="S5210" s="1420"/>
      <c r="T5210" s="1420"/>
      <c r="V5210" s="1357">
        <v>19</v>
      </c>
    </row>
    <row r="5211" spans="1:22" s="841" customFormat="1" ht="15" x14ac:dyDescent="0.25">
      <c r="A5211" s="841" t="s">
        <v>203</v>
      </c>
      <c r="E5211" s="1904" t="s">
        <v>92</v>
      </c>
      <c r="F5211" s="1904"/>
      <c r="G5211" s="1407" t="s">
        <v>23</v>
      </c>
      <c r="H5211" s="600">
        <v>30</v>
      </c>
      <c r="M5211" s="1357"/>
      <c r="Q5211" s="1357"/>
      <c r="S5211" s="1420"/>
      <c r="T5211" s="1420"/>
      <c r="V5211" s="1357">
        <v>74</v>
      </c>
    </row>
    <row r="5212" spans="1:22" s="841" customFormat="1" ht="15" x14ac:dyDescent="0.25">
      <c r="A5212" s="841" t="s">
        <v>203</v>
      </c>
      <c r="E5212" s="1961" t="s">
        <v>3152</v>
      </c>
      <c r="F5212" s="1981"/>
      <c r="G5212" s="1981"/>
      <c r="H5212" s="1981"/>
      <c r="K5212" s="841" t="s">
        <v>3886</v>
      </c>
      <c r="M5212" s="1357"/>
      <c r="Q5212" s="1357"/>
      <c r="S5212" s="1420"/>
      <c r="T5212" s="1420"/>
      <c r="V5212" s="1357">
        <v>22</v>
      </c>
    </row>
    <row r="5213" spans="1:22" s="841" customFormat="1" ht="15" x14ac:dyDescent="0.25">
      <c r="A5213" s="841" t="s">
        <v>203</v>
      </c>
      <c r="E5213" s="1904" t="s">
        <v>3154</v>
      </c>
      <c r="F5213" s="1981"/>
      <c r="G5213" s="718" t="s">
        <v>86</v>
      </c>
      <c r="H5213" s="600">
        <v>1.5</v>
      </c>
      <c r="M5213" s="1357"/>
      <c r="Q5213" s="1357"/>
      <c r="S5213" s="1420"/>
      <c r="T5213" s="1420"/>
      <c r="V5213" s="1357">
        <v>24</v>
      </c>
    </row>
    <row r="5214" spans="1:22" s="841" customFormat="1" ht="15" x14ac:dyDescent="0.25">
      <c r="A5214" s="841" t="s">
        <v>203</v>
      </c>
      <c r="E5214" s="1904" t="s">
        <v>3155</v>
      </c>
      <c r="F5214" s="1981"/>
      <c r="G5214" s="718" t="s">
        <v>86</v>
      </c>
      <c r="H5214" s="600">
        <v>19.559999999999999</v>
      </c>
      <c r="M5214" s="1357"/>
      <c r="Q5214" s="1357"/>
      <c r="S5214" s="1420"/>
      <c r="T5214" s="1420"/>
      <c r="V5214" s="1357">
        <v>24</v>
      </c>
    </row>
    <row r="5215" spans="1:22" s="841" customFormat="1" ht="15" x14ac:dyDescent="0.25">
      <c r="A5215" s="841" t="s">
        <v>203</v>
      </c>
      <c r="E5215" s="1904" t="s">
        <v>3288</v>
      </c>
      <c r="F5215" s="1981"/>
      <c r="G5215" s="718" t="s">
        <v>23</v>
      </c>
      <c r="H5215" s="600">
        <v>30</v>
      </c>
      <c r="M5215" s="1357"/>
      <c r="Q5215" s="1357"/>
      <c r="S5215" s="1420"/>
      <c r="T5215" s="1420"/>
      <c r="V5215" s="1357">
        <v>47</v>
      </c>
    </row>
    <row r="5216" spans="1:22" s="841" customFormat="1" ht="15" x14ac:dyDescent="0.25">
      <c r="A5216" s="841" t="s">
        <v>203</v>
      </c>
      <c r="E5216" s="1904" t="s">
        <v>3157</v>
      </c>
      <c r="F5216" s="1981"/>
      <c r="G5216" s="718" t="s">
        <v>23</v>
      </c>
      <c r="H5216" s="600">
        <v>165</v>
      </c>
      <c r="M5216" s="1357"/>
      <c r="Q5216" s="1357"/>
      <c r="S5216" s="1420"/>
      <c r="T5216" s="1420"/>
      <c r="V5216" s="1357">
        <v>69</v>
      </c>
    </row>
    <row r="5217" spans="1:22" s="841" customFormat="1" ht="15" x14ac:dyDescent="0.25">
      <c r="A5217" s="841" t="s">
        <v>203</v>
      </c>
      <c r="E5217" s="1904" t="s">
        <v>3158</v>
      </c>
      <c r="F5217" s="1981"/>
      <c r="G5217" s="718" t="s">
        <v>23</v>
      </c>
      <c r="H5217" s="600">
        <v>65</v>
      </c>
      <c r="M5217" s="1357"/>
      <c r="Q5217" s="1357"/>
      <c r="S5217" s="1420"/>
      <c r="T5217" s="1420"/>
      <c r="V5217" s="1357">
        <v>52</v>
      </c>
    </row>
    <row r="5218" spans="1:22" s="841" customFormat="1" ht="15" x14ac:dyDescent="0.25">
      <c r="A5218" s="841" t="s">
        <v>203</v>
      </c>
      <c r="E5218" s="1904" t="s">
        <v>3159</v>
      </c>
      <c r="F5218" s="1981"/>
      <c r="G5218" s="718" t="s">
        <v>23</v>
      </c>
      <c r="H5218" s="600">
        <v>185</v>
      </c>
      <c r="M5218" s="1357"/>
      <c r="Q5218" s="1357"/>
      <c r="S5218" s="1420"/>
      <c r="T5218" s="1420"/>
      <c r="V5218" s="1357">
        <v>51</v>
      </c>
    </row>
    <row r="5219" spans="1:22" s="841" customFormat="1" ht="15" x14ac:dyDescent="0.25">
      <c r="A5219" s="841" t="s">
        <v>203</v>
      </c>
      <c r="E5219" s="1904" t="s">
        <v>3160</v>
      </c>
      <c r="F5219" s="1981"/>
      <c r="G5219" s="718" t="s">
        <v>23</v>
      </c>
      <c r="H5219" s="600">
        <v>185</v>
      </c>
      <c r="M5219" s="1357"/>
      <c r="Q5219" s="1357"/>
      <c r="S5219" s="1420"/>
      <c r="T5219" s="1420"/>
      <c r="V5219" s="1357">
        <v>51</v>
      </c>
    </row>
    <row r="5220" spans="1:22" s="841" customFormat="1" ht="15" x14ac:dyDescent="0.25">
      <c r="A5220" s="841" t="s">
        <v>203</v>
      </c>
      <c r="E5220" s="1904" t="s">
        <v>3161</v>
      </c>
      <c r="F5220" s="1981"/>
      <c r="G5220" s="718" t="s">
        <v>23</v>
      </c>
      <c r="H5220" s="600">
        <v>415</v>
      </c>
      <c r="M5220" s="1357"/>
      <c r="Q5220" s="1357"/>
      <c r="S5220" s="1420"/>
      <c r="T5220" s="1420"/>
      <c r="V5220" s="1357">
        <v>50</v>
      </c>
    </row>
    <row r="5221" spans="1:22" s="841" customFormat="1" ht="15" x14ac:dyDescent="0.25">
      <c r="A5221" s="841" t="s">
        <v>203</v>
      </c>
      <c r="E5221" s="1904" t="s">
        <v>3162</v>
      </c>
      <c r="F5221" s="1981"/>
      <c r="G5221" s="718" t="s">
        <v>23</v>
      </c>
      <c r="H5221" s="600">
        <v>65</v>
      </c>
      <c r="M5221" s="1357"/>
      <c r="Q5221" s="1357"/>
      <c r="S5221" s="1420"/>
      <c r="T5221" s="1420"/>
      <c r="V5221" s="1357">
        <v>57</v>
      </c>
    </row>
    <row r="5222" spans="1:22" s="841" customFormat="1" ht="15" x14ac:dyDescent="0.25">
      <c r="A5222" s="841" t="s">
        <v>203</v>
      </c>
      <c r="E5222" s="1904" t="s">
        <v>3163</v>
      </c>
      <c r="F5222" s="1981"/>
      <c r="G5222" s="718" t="s">
        <v>23</v>
      </c>
      <c r="H5222" s="600">
        <v>185</v>
      </c>
      <c r="M5222" s="1357"/>
      <c r="Q5222" s="1357"/>
      <c r="S5222" s="1420"/>
      <c r="T5222" s="1420"/>
      <c r="V5222" s="1357">
        <v>56</v>
      </c>
    </row>
    <row r="5223" spans="1:22" s="841" customFormat="1" ht="15" x14ac:dyDescent="0.25">
      <c r="A5223" s="841" t="s">
        <v>203</v>
      </c>
      <c r="E5223" s="1961" t="s">
        <v>3887</v>
      </c>
      <c r="F5223" s="2063"/>
      <c r="G5223" s="2063"/>
      <c r="H5223" s="2063"/>
      <c r="M5223" s="1357"/>
      <c r="Q5223" s="1357"/>
      <c r="S5223" s="1420"/>
      <c r="T5223" s="1420"/>
      <c r="V5223" s="1357">
        <v>6</v>
      </c>
    </row>
    <row r="5224" spans="1:22" s="841" customFormat="1" ht="15" x14ac:dyDescent="0.25">
      <c r="A5224" s="841" t="s">
        <v>203</v>
      </c>
      <c r="E5224" s="1904" t="s">
        <v>3167</v>
      </c>
      <c r="F5224" s="1981"/>
      <c r="G5224" s="718" t="s">
        <v>23</v>
      </c>
      <c r="H5224" s="600">
        <v>30</v>
      </c>
      <c r="M5224" s="1357"/>
      <c r="Q5224" s="1357"/>
      <c r="S5224" s="1420"/>
      <c r="T5224" s="1420"/>
      <c r="V5224" s="1357">
        <v>39</v>
      </c>
    </row>
    <row r="5225" spans="1:22" s="841" customFormat="1" ht="15" x14ac:dyDescent="0.25">
      <c r="A5225" s="841" t="s">
        <v>203</v>
      </c>
      <c r="E5225" s="1904" t="s">
        <v>3168</v>
      </c>
      <c r="F5225" s="1981"/>
      <c r="G5225" s="718" t="s">
        <v>23</v>
      </c>
      <c r="H5225" s="600">
        <v>165</v>
      </c>
      <c r="M5225" s="1357"/>
      <c r="Q5225" s="1357"/>
      <c r="S5225" s="1420"/>
      <c r="T5225" s="1420"/>
      <c r="V5225" s="1357">
        <v>34</v>
      </c>
    </row>
    <row r="5226" spans="1:22" s="841" customFormat="1" ht="15" x14ac:dyDescent="0.25">
      <c r="A5226" s="841" t="s">
        <v>203</v>
      </c>
      <c r="E5226" s="1904" t="s">
        <v>3888</v>
      </c>
      <c r="F5226" s="1981"/>
      <c r="G5226" s="718" t="s">
        <v>23</v>
      </c>
      <c r="H5226" s="600">
        <v>500</v>
      </c>
      <c r="M5226" s="1357"/>
      <c r="Q5226" s="1357"/>
      <c r="S5226" s="1420"/>
      <c r="T5226" s="1420"/>
      <c r="V5226" s="1357">
        <v>62</v>
      </c>
    </row>
    <row r="5227" spans="1:22" s="841" customFormat="1" ht="15" x14ac:dyDescent="0.25">
      <c r="A5227" s="841" t="s">
        <v>203</v>
      </c>
      <c r="E5227" s="1904" t="s">
        <v>3170</v>
      </c>
      <c r="F5227" s="1981"/>
      <c r="G5227" s="718" t="s">
        <v>23</v>
      </c>
      <c r="H5227" s="600">
        <v>300</v>
      </c>
      <c r="M5227" s="1357"/>
      <c r="Q5227" s="1357"/>
      <c r="S5227" s="1420"/>
      <c r="T5227" s="1420"/>
      <c r="V5227" s="1357">
        <v>65</v>
      </c>
    </row>
    <row r="5228" spans="1:22" s="841" customFormat="1" ht="15" x14ac:dyDescent="0.25">
      <c r="A5228" s="841" t="s">
        <v>203</v>
      </c>
      <c r="E5228" s="1704" t="s">
        <v>3171</v>
      </c>
      <c r="F5228" s="2074"/>
      <c r="G5228" s="1407" t="s">
        <v>23</v>
      </c>
      <c r="H5228" s="600">
        <v>1000</v>
      </c>
      <c r="M5228" s="1357"/>
      <c r="Q5228" s="1357"/>
      <c r="S5228" s="1420"/>
      <c r="T5228" s="1420"/>
      <c r="V5228" s="1357">
        <v>64</v>
      </c>
    </row>
    <row r="5229" spans="1:22" s="841" customFormat="1" ht="15" x14ac:dyDescent="0.25">
      <c r="A5229" s="841" t="s">
        <v>203</v>
      </c>
      <c r="E5229" s="1704" t="s">
        <v>3491</v>
      </c>
      <c r="F5229" s="2074"/>
      <c r="G5229" s="1407" t="s">
        <v>23</v>
      </c>
      <c r="H5229" s="600">
        <v>22.35</v>
      </c>
      <c r="M5229" s="1357"/>
      <c r="Q5229" s="1357"/>
      <c r="S5229" s="1420"/>
      <c r="T5229" s="1420"/>
      <c r="V5229" s="1357">
        <v>59</v>
      </c>
    </row>
    <row r="5230" spans="1:22" s="841" customFormat="1" ht="15" x14ac:dyDescent="0.25">
      <c r="A5230" s="841" t="s">
        <v>203</v>
      </c>
      <c r="E5230" s="1704" t="s">
        <v>3166</v>
      </c>
      <c r="F5230" s="2074"/>
      <c r="G5230" s="2074"/>
      <c r="H5230" s="2074"/>
      <c r="M5230" s="1357"/>
      <c r="Q5230" s="1357"/>
      <c r="S5230" s="1420"/>
      <c r="T5230" s="1420"/>
      <c r="V5230" s="1357">
        <v>44</v>
      </c>
    </row>
    <row r="5231" spans="1:22" s="841" customFormat="1" ht="15" x14ac:dyDescent="0.25">
      <c r="A5231" s="841" t="s">
        <v>203</v>
      </c>
      <c r="E5231" s="1704" t="s">
        <v>3889</v>
      </c>
      <c r="F5231" s="2074"/>
      <c r="G5231" s="1407" t="s">
        <v>23</v>
      </c>
      <c r="H5231" s="600">
        <v>20</v>
      </c>
      <c r="M5231" s="1357"/>
      <c r="Q5231" s="1357"/>
      <c r="S5231" s="1420"/>
      <c r="T5231" s="1420"/>
      <c r="V5231" s="1357">
        <v>21</v>
      </c>
    </row>
    <row r="5232" spans="1:22" s="841" customFormat="1" x14ac:dyDescent="0.25">
      <c r="A5232" s="841" t="s">
        <v>203</v>
      </c>
      <c r="E5232" s="1931" t="s">
        <v>77</v>
      </c>
      <c r="F5232" s="1932"/>
      <c r="G5232" s="1932"/>
      <c r="H5232" s="1932"/>
      <c r="K5232" s="841" t="s">
        <v>3890</v>
      </c>
      <c r="M5232" s="1357"/>
      <c r="Q5232" s="1357"/>
      <c r="S5232" s="1420"/>
      <c r="T5232" s="1420"/>
      <c r="V5232" s="1357">
        <v>38</v>
      </c>
    </row>
    <row r="5233" spans="1:22" s="841" customFormat="1" ht="15" x14ac:dyDescent="0.25">
      <c r="A5233" s="841" t="s">
        <v>203</v>
      </c>
      <c r="E5233" s="1926" t="s">
        <v>3061</v>
      </c>
      <c r="F5233" s="1689"/>
      <c r="G5233" s="1689"/>
      <c r="H5233" s="1689"/>
      <c r="K5233" s="841" t="s">
        <v>3266</v>
      </c>
      <c r="M5233" s="1357"/>
      <c r="Q5233" s="1357"/>
      <c r="S5233" s="1420"/>
      <c r="T5233" s="1420"/>
      <c r="V5233" s="1357">
        <v>11</v>
      </c>
    </row>
    <row r="5234" spans="1:22" s="841" customFormat="1" ht="15" x14ac:dyDescent="0.25">
      <c r="A5234" s="841" t="s">
        <v>203</v>
      </c>
      <c r="E5234" s="1921" t="s">
        <v>3063</v>
      </c>
      <c r="F5234" s="1921"/>
      <c r="G5234" s="1921"/>
      <c r="H5234" s="1921"/>
      <c r="M5234" s="1357"/>
      <c r="Q5234" s="1357"/>
      <c r="S5234" s="1420"/>
      <c r="T5234" s="1420"/>
      <c r="V5234" s="1357">
        <v>280</v>
      </c>
    </row>
    <row r="5235" spans="1:22" s="841" customFormat="1" ht="15" x14ac:dyDescent="0.25">
      <c r="A5235" s="841" t="s">
        <v>203</v>
      </c>
      <c r="E5235" s="1921" t="s">
        <v>3064</v>
      </c>
      <c r="F5235" s="1921"/>
      <c r="G5235" s="1921"/>
      <c r="H5235" s="1921"/>
      <c r="M5235" s="1357"/>
      <c r="Q5235" s="1357"/>
      <c r="S5235" s="1420"/>
      <c r="T5235" s="1420"/>
      <c r="V5235" s="1357">
        <v>411</v>
      </c>
    </row>
    <row r="5236" spans="1:22" s="841" customFormat="1" ht="15" x14ac:dyDescent="0.25">
      <c r="A5236" s="841" t="s">
        <v>203</v>
      </c>
      <c r="E5236" s="1921" t="s">
        <v>3129</v>
      </c>
      <c r="F5236" s="1921"/>
      <c r="G5236" s="1921"/>
      <c r="H5236" s="1921"/>
      <c r="M5236" s="1357"/>
      <c r="Q5236" s="1357"/>
      <c r="S5236" s="1420"/>
      <c r="T5236" s="1420"/>
      <c r="V5236" s="1357">
        <v>211</v>
      </c>
    </row>
    <row r="5237" spans="1:22" s="841" customFormat="1" ht="15" x14ac:dyDescent="0.25">
      <c r="A5237" s="841" t="s">
        <v>203</v>
      </c>
      <c r="E5237" s="1921" t="s">
        <v>3390</v>
      </c>
      <c r="F5237" s="1921"/>
      <c r="G5237" s="1921"/>
      <c r="H5237" s="1921"/>
      <c r="M5237" s="1357"/>
      <c r="Q5237" s="1357"/>
      <c r="S5237" s="1420"/>
      <c r="T5237" s="1420"/>
      <c r="V5237" s="1357">
        <v>274</v>
      </c>
    </row>
    <row r="5238" spans="1:22" s="841" customFormat="1" ht="15" x14ac:dyDescent="0.25">
      <c r="A5238" s="841" t="s">
        <v>203</v>
      </c>
      <c r="E5238" s="1690" t="s">
        <v>3291</v>
      </c>
      <c r="F5238" s="1690"/>
      <c r="G5238" s="1982"/>
      <c r="H5238" s="1982"/>
      <c r="M5238" s="1357"/>
      <c r="Q5238" s="1357"/>
      <c r="S5238" s="1420"/>
      <c r="T5238" s="1420"/>
      <c r="V5238" s="1357">
        <v>142</v>
      </c>
    </row>
    <row r="5239" spans="1:22" s="841" customFormat="1" ht="15" x14ac:dyDescent="0.25">
      <c r="A5239" s="841" t="s">
        <v>203</v>
      </c>
      <c r="E5239" s="2136" t="s">
        <v>3176</v>
      </c>
      <c r="F5239" s="2136"/>
      <c r="G5239" s="718" t="s">
        <v>23</v>
      </c>
      <c r="H5239" s="600">
        <v>100</v>
      </c>
      <c r="M5239" s="1357"/>
      <c r="Q5239" s="1357"/>
      <c r="S5239" s="1420"/>
      <c r="T5239" s="1420"/>
      <c r="V5239" s="1357">
        <v>106</v>
      </c>
    </row>
    <row r="5240" spans="1:22" s="841" customFormat="1" ht="15" x14ac:dyDescent="0.25">
      <c r="A5240" s="841" t="s">
        <v>203</v>
      </c>
      <c r="E5240" s="1690" t="s">
        <v>3177</v>
      </c>
      <c r="F5240" s="1690"/>
      <c r="G5240" s="718" t="s">
        <v>23</v>
      </c>
      <c r="H5240" s="600">
        <v>20</v>
      </c>
      <c r="M5240" s="1357"/>
      <c r="Q5240" s="1357"/>
      <c r="S5240" s="1420"/>
      <c r="T5240" s="1420"/>
      <c r="V5240" s="1357">
        <v>34</v>
      </c>
    </row>
    <row r="5241" spans="1:22" s="841" customFormat="1" ht="15" x14ac:dyDescent="0.25">
      <c r="A5241" s="841" t="s">
        <v>203</v>
      </c>
      <c r="E5241" s="2136" t="s">
        <v>3178</v>
      </c>
      <c r="F5241" s="2136"/>
      <c r="G5241" s="718" t="s">
        <v>3179</v>
      </c>
      <c r="H5241" s="600">
        <v>0.5</v>
      </c>
      <c r="M5241" s="1357"/>
      <c r="Q5241" s="1357"/>
      <c r="S5241" s="1420"/>
      <c r="T5241" s="1420"/>
      <c r="V5241" s="1357">
        <v>51</v>
      </c>
    </row>
    <row r="5242" spans="1:22" s="841" customFormat="1" ht="15" x14ac:dyDescent="0.25">
      <c r="A5242" s="841" t="s">
        <v>203</v>
      </c>
      <c r="E5242" s="1690" t="s">
        <v>3180</v>
      </c>
      <c r="F5242" s="1690"/>
      <c r="G5242" s="718" t="s">
        <v>3179</v>
      </c>
      <c r="H5242" s="600">
        <v>0.3</v>
      </c>
      <c r="M5242" s="1357"/>
      <c r="Q5242" s="1357"/>
      <c r="S5242" s="1420"/>
      <c r="T5242" s="1420"/>
      <c r="V5242" s="1357">
        <v>75</v>
      </c>
    </row>
    <row r="5243" spans="1:22" s="841" customFormat="1" ht="15" x14ac:dyDescent="0.25">
      <c r="A5243" s="841" t="s">
        <v>203</v>
      </c>
      <c r="E5243" s="1691" t="s">
        <v>3181</v>
      </c>
      <c r="F5243" s="1691"/>
      <c r="G5243" s="718" t="s">
        <v>3179</v>
      </c>
      <c r="H5243" s="600">
        <v>-0.3</v>
      </c>
      <c r="M5243" s="1357"/>
      <c r="Q5243" s="1357"/>
      <c r="S5243" s="1420"/>
      <c r="T5243" s="1420"/>
      <c r="V5243" s="1357">
        <v>72</v>
      </c>
    </row>
    <row r="5244" spans="1:22" s="841" customFormat="1" ht="15" x14ac:dyDescent="0.25">
      <c r="A5244" s="841" t="s">
        <v>203</v>
      </c>
      <c r="E5244" s="1691" t="s">
        <v>3292</v>
      </c>
      <c r="F5244" s="1691"/>
      <c r="G5244" s="2075"/>
      <c r="H5244" s="2075"/>
      <c r="M5244" s="1357"/>
      <c r="Q5244" s="1357"/>
      <c r="S5244" s="1420"/>
      <c r="T5244" s="1420"/>
      <c r="V5244" s="1357">
        <v>34</v>
      </c>
    </row>
    <row r="5245" spans="1:22" s="841" customFormat="1" ht="15" x14ac:dyDescent="0.25">
      <c r="A5245" s="841" t="s">
        <v>203</v>
      </c>
      <c r="E5245" s="1690" t="s">
        <v>3183</v>
      </c>
      <c r="F5245" s="1690"/>
      <c r="G5245" s="718" t="s">
        <v>23</v>
      </c>
      <c r="H5245" s="600">
        <v>0.25</v>
      </c>
      <c r="M5245" s="1357"/>
      <c r="Q5245" s="1357"/>
      <c r="S5245" s="1420"/>
      <c r="T5245" s="1420"/>
      <c r="V5245" s="1357">
        <v>57</v>
      </c>
    </row>
    <row r="5246" spans="1:22" s="841" customFormat="1" ht="15" x14ac:dyDescent="0.25">
      <c r="A5246" s="841" t="s">
        <v>203</v>
      </c>
      <c r="E5246" s="1690" t="s">
        <v>3184</v>
      </c>
      <c r="F5246" s="1690"/>
      <c r="G5246" s="718" t="s">
        <v>23</v>
      </c>
      <c r="H5246" s="600">
        <v>0.5</v>
      </c>
      <c r="M5246" s="1357"/>
      <c r="Q5246" s="1357"/>
      <c r="S5246" s="1420"/>
      <c r="T5246" s="1420"/>
      <c r="V5246" s="1357">
        <v>60</v>
      </c>
    </row>
    <row r="5247" spans="1:22" s="841" customFormat="1" ht="15" x14ac:dyDescent="0.25">
      <c r="A5247" s="841" t="s">
        <v>203</v>
      </c>
      <c r="E5247" s="1690" t="s">
        <v>3661</v>
      </c>
      <c r="F5247" s="1690"/>
      <c r="G5247" s="1982"/>
      <c r="H5247" s="1982"/>
      <c r="M5247" s="1357"/>
      <c r="Q5247" s="1357"/>
      <c r="S5247" s="1420"/>
      <c r="T5247" s="1420"/>
      <c r="V5247" s="1357">
        <v>92</v>
      </c>
    </row>
    <row r="5248" spans="1:22" s="841" customFormat="1" ht="15" x14ac:dyDescent="0.25">
      <c r="A5248" s="841" t="s">
        <v>203</v>
      </c>
      <c r="E5248" s="1691" t="s">
        <v>3662</v>
      </c>
      <c r="F5248" s="1691"/>
      <c r="G5248" s="2075"/>
      <c r="H5248" s="2075"/>
      <c r="M5248" s="1357"/>
      <c r="Q5248" s="1357"/>
      <c r="S5248" s="1420"/>
      <c r="T5248" s="1420"/>
      <c r="V5248" s="1357">
        <v>97</v>
      </c>
    </row>
    <row r="5249" spans="1:22" s="841" customFormat="1" ht="15" x14ac:dyDescent="0.25">
      <c r="A5249" s="841" t="s">
        <v>203</v>
      </c>
      <c r="E5249" s="1691" t="s">
        <v>3293</v>
      </c>
      <c r="F5249" s="1691"/>
      <c r="G5249" s="2075"/>
      <c r="H5249" s="2075"/>
      <c r="M5249" s="1357"/>
      <c r="Q5249" s="1357"/>
      <c r="S5249" s="1420"/>
      <c r="T5249" s="1420"/>
      <c r="V5249" s="1357">
        <v>77</v>
      </c>
    </row>
    <row r="5250" spans="1:22" s="841" customFormat="1" ht="15" x14ac:dyDescent="0.25">
      <c r="A5250" s="841" t="s">
        <v>203</v>
      </c>
      <c r="E5250" s="1704" t="s">
        <v>3188</v>
      </c>
      <c r="F5250" s="2074"/>
      <c r="G5250" s="719"/>
      <c r="H5250" s="720" t="s">
        <v>3189</v>
      </c>
      <c r="M5250" s="1357"/>
      <c r="Q5250" s="1357"/>
      <c r="S5250" s="1420"/>
      <c r="T5250" s="1420"/>
      <c r="V5250" s="1357">
        <v>18</v>
      </c>
    </row>
    <row r="5251" spans="1:22" s="841" customFormat="1" ht="15" x14ac:dyDescent="0.25">
      <c r="A5251" s="841" t="s">
        <v>203</v>
      </c>
      <c r="E5251" s="1704" t="s">
        <v>3190</v>
      </c>
      <c r="F5251" s="2074"/>
      <c r="G5251" s="718" t="s">
        <v>23</v>
      </c>
      <c r="H5251" s="600">
        <v>2</v>
      </c>
      <c r="M5251" s="1357"/>
      <c r="Q5251" s="1357"/>
      <c r="S5251" s="1420"/>
      <c r="T5251" s="1420"/>
      <c r="V5251" s="1357">
        <v>69</v>
      </c>
    </row>
    <row r="5252" spans="1:22" s="841" customFormat="1" x14ac:dyDescent="0.25">
      <c r="A5252" s="841" t="s">
        <v>203</v>
      </c>
      <c r="E5252" s="1965" t="s">
        <v>147</v>
      </c>
      <c r="F5252" s="1933"/>
      <c r="G5252" s="1933"/>
      <c r="H5252" s="1933"/>
      <c r="K5252" s="841" t="s">
        <v>3891</v>
      </c>
      <c r="M5252" s="1357"/>
      <c r="Q5252" s="1357"/>
      <c r="S5252" s="1420"/>
      <c r="T5252" s="1420"/>
      <c r="V5252" s="1357">
        <v>12</v>
      </c>
    </row>
    <row r="5253" spans="1:22" s="841" customFormat="1" ht="15" x14ac:dyDescent="0.25">
      <c r="A5253" s="841" t="s">
        <v>203</v>
      </c>
      <c r="E5253" s="1904" t="s">
        <v>3192</v>
      </c>
      <c r="F5253" s="1904"/>
      <c r="G5253" s="1904"/>
      <c r="H5253" s="1904"/>
      <c r="M5253" s="1357"/>
      <c r="Q5253" s="1357"/>
      <c r="S5253" s="1420"/>
      <c r="T5253" s="1420"/>
      <c r="V5253" s="1357">
        <v>203</v>
      </c>
    </row>
    <row r="5254" spans="1:22" s="841" customFormat="1" ht="15" x14ac:dyDescent="0.25">
      <c r="A5254" s="841" t="s">
        <v>203</v>
      </c>
      <c r="E5254" s="1904" t="s">
        <v>3295</v>
      </c>
      <c r="F5254" s="1904"/>
      <c r="G5254" s="1407"/>
      <c r="H5254" s="1207">
        <v>1.056</v>
      </c>
      <c r="M5254" s="1357"/>
      <c r="Q5254" s="1357"/>
      <c r="S5254" s="1420"/>
      <c r="T5254" s="1420"/>
      <c r="V5254" s="1357">
        <v>57</v>
      </c>
    </row>
    <row r="5255" spans="1:22" s="841" customFormat="1" ht="15" x14ac:dyDescent="0.25">
      <c r="A5255" s="841" t="s">
        <v>203</v>
      </c>
      <c r="E5255" s="1904" t="s">
        <v>3297</v>
      </c>
      <c r="F5255" s="1904"/>
      <c r="G5255" s="1407"/>
      <c r="H5255" s="1207">
        <v>1.0455000000000001</v>
      </c>
      <c r="J5255" s="841" t="s">
        <v>3892</v>
      </c>
      <c r="M5255" s="1357"/>
      <c r="Q5255" s="1357"/>
      <c r="S5255" s="1420"/>
      <c r="T5255" s="1420"/>
      <c r="V5255" s="1357">
        <v>55</v>
      </c>
    </row>
    <row r="5256" spans="1:22" s="841" customFormat="1" ht="23.25" x14ac:dyDescent="0.25">
      <c r="A5256" s="841" t="s">
        <v>2277</v>
      </c>
      <c r="C5256" s="841" t="s">
        <v>3050</v>
      </c>
      <c r="E5256" s="1911" t="s">
        <v>2277</v>
      </c>
      <c r="F5256" s="1911"/>
      <c r="G5256" s="1911"/>
      <c r="H5256" s="1911"/>
      <c r="I5256" s="841" t="s">
        <v>628</v>
      </c>
      <c r="J5256" s="841" t="s">
        <v>3893</v>
      </c>
      <c r="K5256" s="841" t="s">
        <v>2277</v>
      </c>
      <c r="M5256" s="1357">
        <v>7</v>
      </c>
      <c r="Q5256" s="1357"/>
      <c r="S5256" s="1420"/>
      <c r="T5256" s="1420"/>
      <c r="V5256" s="1357">
        <v>38</v>
      </c>
    </row>
    <row r="5257" spans="1:22" s="841" customFormat="1" x14ac:dyDescent="0.25">
      <c r="A5257" s="841" t="s">
        <v>2277</v>
      </c>
      <c r="C5257" s="841" t="s">
        <v>3052</v>
      </c>
      <c r="E5257" s="1912" t="s">
        <v>3053</v>
      </c>
      <c r="F5257" s="1912"/>
      <c r="G5257" s="1912"/>
      <c r="H5257" s="1912"/>
      <c r="M5257" s="1357"/>
      <c r="Q5257" s="1357"/>
      <c r="S5257" s="1420"/>
      <c r="T5257" s="1420"/>
      <c r="V5257" s="1357">
        <v>27</v>
      </c>
    </row>
    <row r="5258" spans="1:22" s="841" customFormat="1" ht="15.75" x14ac:dyDescent="0.25">
      <c r="A5258" s="841" t="s">
        <v>2277</v>
      </c>
      <c r="C5258" s="841" t="s">
        <v>3054</v>
      </c>
      <c r="E5258" s="1913" t="s">
        <v>5107</v>
      </c>
      <c r="F5258" s="1913"/>
      <c r="G5258" s="1913"/>
      <c r="H5258" s="1913"/>
      <c r="M5258" s="1357"/>
      <c r="Q5258" s="1357"/>
      <c r="S5258" s="1420">
        <v>43221</v>
      </c>
      <c r="T5258" s="1420"/>
      <c r="V5258" s="1357">
        <v>45</v>
      </c>
    </row>
    <row r="5259" spans="1:22" s="841" customFormat="1" ht="15" x14ac:dyDescent="0.25">
      <c r="A5259" s="841" t="s">
        <v>2277</v>
      </c>
      <c r="C5259" s="841" t="s">
        <v>3055</v>
      </c>
      <c r="E5259" s="1914" t="s">
        <v>3616</v>
      </c>
      <c r="F5259" s="1914"/>
      <c r="G5259" s="1914"/>
      <c r="H5259" s="1914"/>
      <c r="M5259" s="1357"/>
      <c r="Q5259" s="1357"/>
      <c r="S5259" s="1420"/>
      <c r="T5259" s="1420"/>
      <c r="V5259" s="1357">
        <v>53</v>
      </c>
    </row>
    <row r="5260" spans="1:22" s="841" customFormat="1" ht="15" x14ac:dyDescent="0.25">
      <c r="A5260" s="841" t="s">
        <v>2277</v>
      </c>
      <c r="E5260" s="1914" t="s">
        <v>3057</v>
      </c>
      <c r="F5260" s="1914"/>
      <c r="G5260" s="1914"/>
      <c r="H5260" s="1914"/>
      <c r="M5260" s="1357"/>
      <c r="Q5260" s="1357"/>
      <c r="S5260" s="1420"/>
      <c r="T5260" s="1420"/>
      <c r="V5260" s="1357">
        <v>53</v>
      </c>
    </row>
    <row r="5261" spans="1:22" s="841" customFormat="1" ht="15" x14ac:dyDescent="0.25">
      <c r="A5261" s="841" t="s">
        <v>2277</v>
      </c>
      <c r="E5261" s="1925" t="s">
        <v>5496</v>
      </c>
      <c r="F5261" s="1925"/>
      <c r="G5261" s="1925"/>
      <c r="H5261" s="1925"/>
      <c r="K5261" s="841" t="s">
        <v>5496</v>
      </c>
      <c r="M5261" s="1357"/>
      <c r="Q5261" s="1357"/>
      <c r="S5261" s="1420"/>
      <c r="T5261" s="1420"/>
      <c r="V5261" s="1357">
        <v>12</v>
      </c>
    </row>
    <row r="5262" spans="1:22" s="841" customFormat="1" ht="15" x14ac:dyDescent="0.25">
      <c r="A5262" s="841" t="s">
        <v>2277</v>
      </c>
      <c r="E5262" s="1936" t="s">
        <v>438</v>
      </c>
      <c r="F5262" s="1689"/>
      <c r="G5262" s="1689"/>
      <c r="H5262" s="1689"/>
      <c r="K5262" s="841" t="s">
        <v>3197</v>
      </c>
      <c r="M5262" s="1357"/>
      <c r="Q5262" s="1357"/>
      <c r="S5262" s="1420"/>
      <c r="T5262" s="1420"/>
      <c r="V5262" s="1357">
        <v>34</v>
      </c>
    </row>
    <row r="5263" spans="1:22" s="841" customFormat="1" ht="15" x14ac:dyDescent="0.25">
      <c r="A5263" s="841" t="s">
        <v>2277</v>
      </c>
      <c r="E5263" s="1689" t="s">
        <v>3894</v>
      </c>
      <c r="F5263" s="1689"/>
      <c r="G5263" s="1689"/>
      <c r="H5263" s="1689"/>
      <c r="K5263" s="841" t="s">
        <v>3197</v>
      </c>
      <c r="M5263" s="1357"/>
      <c r="Q5263" s="1357"/>
      <c r="S5263" s="1420"/>
      <c r="T5263" s="1420"/>
      <c r="V5263" s="1357">
        <v>361</v>
      </c>
    </row>
    <row r="5264" spans="1:22" s="841" customFormat="1" ht="15" x14ac:dyDescent="0.25">
      <c r="A5264" s="841" t="s">
        <v>2277</v>
      </c>
      <c r="E5264" s="1916" t="s">
        <v>3061</v>
      </c>
      <c r="F5264" s="1689"/>
      <c r="G5264" s="1689"/>
      <c r="H5264" s="1689"/>
      <c r="K5264" s="841" t="s">
        <v>3062</v>
      </c>
      <c r="M5264" s="1357"/>
      <c r="Q5264" s="1357"/>
      <c r="S5264" s="1420"/>
      <c r="T5264" s="1420"/>
      <c r="V5264" s="1357">
        <v>11</v>
      </c>
    </row>
    <row r="5265" spans="1:22" s="841" customFormat="1" ht="15" x14ac:dyDescent="0.25">
      <c r="A5265" s="841" t="s">
        <v>2277</v>
      </c>
      <c r="E5265" s="1689" t="s">
        <v>3063</v>
      </c>
      <c r="F5265" s="1689"/>
      <c r="G5265" s="1689"/>
      <c r="H5265" s="1689"/>
      <c r="K5265" s="841" t="s">
        <v>3197</v>
      </c>
      <c r="M5265" s="1357"/>
      <c r="Q5265" s="1357"/>
      <c r="S5265" s="1420"/>
      <c r="T5265" s="1420"/>
      <c r="V5265" s="1357">
        <v>280</v>
      </c>
    </row>
    <row r="5266" spans="1:22" s="841" customFormat="1" ht="15" x14ac:dyDescent="0.25">
      <c r="A5266" s="841" t="s">
        <v>2277</v>
      </c>
      <c r="E5266" s="1689" t="s">
        <v>3064</v>
      </c>
      <c r="F5266" s="1689"/>
      <c r="G5266" s="1689"/>
      <c r="H5266" s="1689"/>
      <c r="K5266" s="841" t="s">
        <v>3197</v>
      </c>
      <c r="M5266" s="1357"/>
      <c r="Q5266" s="1357"/>
      <c r="S5266" s="1420"/>
      <c r="T5266" s="1420"/>
      <c r="V5266" s="1357">
        <v>411</v>
      </c>
    </row>
    <row r="5267" spans="1:22" s="841" customFormat="1" ht="15" x14ac:dyDescent="0.25">
      <c r="A5267" s="841" t="s">
        <v>2277</v>
      </c>
      <c r="E5267" s="1689" t="s">
        <v>3065</v>
      </c>
      <c r="F5267" s="1689"/>
      <c r="G5267" s="1689"/>
      <c r="H5267" s="1689"/>
      <c r="K5267" s="841" t="s">
        <v>3197</v>
      </c>
      <c r="M5267" s="1357"/>
      <c r="Q5267" s="1357"/>
      <c r="S5267" s="1420"/>
      <c r="T5267" s="1420"/>
      <c r="V5267" s="1357">
        <v>387</v>
      </c>
    </row>
    <row r="5268" spans="1:22" s="841" customFormat="1" ht="15" x14ac:dyDescent="0.25">
      <c r="A5268" s="841" t="s">
        <v>2277</v>
      </c>
      <c r="E5268" s="1689" t="s">
        <v>3390</v>
      </c>
      <c r="F5268" s="1689"/>
      <c r="G5268" s="1689"/>
      <c r="H5268" s="1689"/>
      <c r="K5268" s="841" t="s">
        <v>3197</v>
      </c>
      <c r="M5268" s="1357"/>
      <c r="Q5268" s="1357"/>
      <c r="S5268" s="1420"/>
      <c r="T5268" s="1420"/>
      <c r="V5268" s="1357">
        <v>274</v>
      </c>
    </row>
    <row r="5269" spans="1:22" s="841" customFormat="1" ht="15" x14ac:dyDescent="0.25">
      <c r="A5269" s="841" t="s">
        <v>2277</v>
      </c>
      <c r="E5269" s="1694" t="s">
        <v>3067</v>
      </c>
      <c r="F5269" s="1907"/>
      <c r="G5269" s="1907"/>
      <c r="H5269" s="1907"/>
      <c r="K5269" s="841" t="s">
        <v>3068</v>
      </c>
      <c r="M5269" s="1357"/>
      <c r="Q5269" s="1357"/>
      <c r="S5269" s="1420"/>
      <c r="T5269" s="1420"/>
      <c r="V5269" s="1357">
        <v>46</v>
      </c>
    </row>
    <row r="5270" spans="1:22" s="841" customFormat="1" ht="15" x14ac:dyDescent="0.25">
      <c r="A5270" s="841" t="s">
        <v>2277</v>
      </c>
      <c r="E5270" s="1920" t="s">
        <v>11</v>
      </c>
      <c r="F5270" s="1690"/>
      <c r="G5270" s="695" t="s">
        <v>23</v>
      </c>
      <c r="H5270" s="391">
        <v>20.07</v>
      </c>
      <c r="K5270" s="841" t="s">
        <v>3197</v>
      </c>
      <c r="L5270" s="841" t="s">
        <v>442</v>
      </c>
      <c r="M5270" s="1357"/>
      <c r="P5270" s="841" t="s">
        <v>3201</v>
      </c>
      <c r="Q5270" s="1357"/>
      <c r="S5270" s="1420"/>
      <c r="T5270" s="1420"/>
      <c r="V5270" s="1357">
        <v>14</v>
      </c>
    </row>
    <row r="5271" spans="1:22" s="841" customFormat="1" ht="15" x14ac:dyDescent="0.25">
      <c r="A5271" s="841" t="s">
        <v>2277</v>
      </c>
      <c r="E5271" s="1920" t="s">
        <v>5109</v>
      </c>
      <c r="F5271" s="1690"/>
      <c r="G5271" s="695" t="s">
        <v>23</v>
      </c>
      <c r="H5271" s="696">
        <v>0.56999999999999995</v>
      </c>
      <c r="K5271" s="841" t="s">
        <v>3197</v>
      </c>
      <c r="L5271" s="841" t="s">
        <v>443</v>
      </c>
      <c r="M5271" s="1357"/>
      <c r="P5271" s="841" t="s">
        <v>3202</v>
      </c>
      <c r="Q5271" s="1357"/>
      <c r="S5271" s="1420"/>
      <c r="T5271" s="1420">
        <v>44926</v>
      </c>
      <c r="V5271" s="1357">
        <v>64</v>
      </c>
    </row>
    <row r="5272" spans="1:22" s="841" customFormat="1" ht="15" x14ac:dyDescent="0.25">
      <c r="A5272" s="841" t="s">
        <v>2277</v>
      </c>
      <c r="E5272" s="1920" t="s">
        <v>3895</v>
      </c>
      <c r="F5272" s="1690"/>
      <c r="G5272" s="695" t="s">
        <v>23</v>
      </c>
      <c r="H5272" s="696">
        <v>3.48</v>
      </c>
      <c r="K5272" s="841" t="s">
        <v>3197</v>
      </c>
      <c r="L5272" s="841" t="s">
        <v>442</v>
      </c>
      <c r="M5272" s="1357"/>
      <c r="P5272" s="841" t="s">
        <v>5519</v>
      </c>
      <c r="Q5272" s="1357"/>
      <c r="S5272" s="1420"/>
      <c r="T5272" s="1420">
        <v>43830</v>
      </c>
      <c r="V5272" s="1357">
        <v>103</v>
      </c>
    </row>
    <row r="5273" spans="1:22" s="841" customFormat="1" ht="15" x14ac:dyDescent="0.25">
      <c r="A5273" s="841" t="s">
        <v>2277</v>
      </c>
      <c r="E5273" s="1920" t="s">
        <v>3896</v>
      </c>
      <c r="F5273" s="1690"/>
      <c r="G5273" s="695" t="s">
        <v>23</v>
      </c>
      <c r="H5273" s="696">
        <v>0.24</v>
      </c>
      <c r="K5273" s="841" t="s">
        <v>3197</v>
      </c>
      <c r="L5273" s="841" t="s">
        <v>442</v>
      </c>
      <c r="M5273" s="1357"/>
      <c r="P5273" s="841" t="s">
        <v>3364</v>
      </c>
      <c r="Q5273" s="1357"/>
      <c r="S5273" s="1420"/>
      <c r="T5273" s="1420">
        <v>43830</v>
      </c>
      <c r="V5273" s="1357">
        <v>84</v>
      </c>
    </row>
    <row r="5274" spans="1:22" s="841" customFormat="1" ht="15" x14ac:dyDescent="0.25">
      <c r="A5274" s="841" t="s">
        <v>2277</v>
      </c>
      <c r="E5274" s="1920" t="s">
        <v>84</v>
      </c>
      <c r="F5274" s="1690"/>
      <c r="G5274" s="695" t="s">
        <v>24</v>
      </c>
      <c r="H5274" s="393">
        <v>4.3E-3</v>
      </c>
      <c r="K5274" s="841" t="s">
        <v>3197</v>
      </c>
      <c r="L5274" s="841" t="s">
        <v>442</v>
      </c>
      <c r="M5274" s="1357"/>
      <c r="P5274" s="841" t="s">
        <v>3203</v>
      </c>
      <c r="Q5274" s="1357"/>
      <c r="S5274" s="1420"/>
      <c r="T5274" s="1420"/>
      <c r="V5274" s="1357">
        <v>28</v>
      </c>
    </row>
    <row r="5275" spans="1:22" s="841" customFormat="1" ht="15" x14ac:dyDescent="0.25">
      <c r="A5275" s="841" t="s">
        <v>2277</v>
      </c>
      <c r="E5275" s="1920" t="s">
        <v>18</v>
      </c>
      <c r="F5275" s="1690"/>
      <c r="G5275" s="695" t="s">
        <v>24</v>
      </c>
      <c r="H5275" s="697">
        <v>6.9999999999999999E-4</v>
      </c>
      <c r="K5275" s="841" t="s">
        <v>3197</v>
      </c>
      <c r="L5275" s="841" t="s">
        <v>443</v>
      </c>
      <c r="M5275" s="1357"/>
      <c r="P5275" s="841" t="s">
        <v>3204</v>
      </c>
      <c r="Q5275" s="1357"/>
      <c r="S5275" s="1420"/>
      <c r="T5275" s="1420"/>
      <c r="V5275" s="1357">
        <v>24</v>
      </c>
    </row>
    <row r="5276" spans="1:22" s="841" customFormat="1" ht="15" x14ac:dyDescent="0.25">
      <c r="A5276" s="841" t="s">
        <v>2277</v>
      </c>
      <c r="E5276" s="1920" t="s">
        <v>5129</v>
      </c>
      <c r="F5276" s="1908"/>
      <c r="G5276" s="695" t="s">
        <v>24</v>
      </c>
      <c r="H5276" s="697">
        <v>-5.9999999999999995E-4</v>
      </c>
      <c r="K5276" s="841" t="s">
        <v>3197</v>
      </c>
      <c r="L5276" s="841" t="s">
        <v>443</v>
      </c>
      <c r="M5276" s="1357"/>
      <c r="P5276" s="841" t="s">
        <v>3205</v>
      </c>
      <c r="Q5276" s="1357"/>
      <c r="S5276" s="1420"/>
      <c r="T5276" s="1420">
        <v>43585</v>
      </c>
      <c r="V5276" s="1357">
        <v>139</v>
      </c>
    </row>
    <row r="5277" spans="1:22" s="841" customFormat="1" ht="15" x14ac:dyDescent="0.25">
      <c r="A5277" s="841" t="s">
        <v>2277</v>
      </c>
      <c r="E5277" s="1920" t="s">
        <v>5130</v>
      </c>
      <c r="F5277" s="1908"/>
      <c r="G5277" s="695" t="s">
        <v>24</v>
      </c>
      <c r="H5277" s="697">
        <v>1.6000000000000001E-3</v>
      </c>
      <c r="K5277" s="841" t="s">
        <v>3197</v>
      </c>
      <c r="L5277" s="841" t="s">
        <v>443</v>
      </c>
      <c r="M5277" s="1357"/>
      <c r="P5277" s="841" t="s">
        <v>3207</v>
      </c>
      <c r="Q5277" s="1357"/>
      <c r="S5277" s="1420"/>
      <c r="T5277" s="1420">
        <v>43585</v>
      </c>
      <c r="V5277" s="1357">
        <v>96</v>
      </c>
    </row>
    <row r="5278" spans="1:22" s="841" customFormat="1" ht="15" x14ac:dyDescent="0.25">
      <c r="A5278" s="841" t="s">
        <v>2277</v>
      </c>
      <c r="E5278" s="1920" t="s">
        <v>221</v>
      </c>
      <c r="F5278" s="1690"/>
      <c r="G5278" s="695" t="s">
        <v>24</v>
      </c>
      <c r="H5278" s="393">
        <v>5.8999999999999999E-3</v>
      </c>
      <c r="K5278" s="841" t="s">
        <v>3197</v>
      </c>
      <c r="L5278" s="841" t="s">
        <v>444</v>
      </c>
      <c r="M5278" s="1357"/>
      <c r="P5278" s="841" t="s">
        <v>3208</v>
      </c>
      <c r="Q5278" s="1357"/>
      <c r="S5278" s="1420"/>
      <c r="T5278" s="1420"/>
      <c r="V5278" s="1357">
        <v>47</v>
      </c>
    </row>
    <row r="5279" spans="1:22" s="841" customFormat="1" ht="15" x14ac:dyDescent="0.25">
      <c r="A5279" s="841" t="s">
        <v>2277</v>
      </c>
      <c r="E5279" s="1920" t="s">
        <v>217</v>
      </c>
      <c r="F5279" s="1690"/>
      <c r="G5279" s="695" t="s">
        <v>24</v>
      </c>
      <c r="H5279" s="393">
        <v>5.4999999999999997E-3</v>
      </c>
      <c r="K5279" s="841" t="s">
        <v>3197</v>
      </c>
      <c r="L5279" s="841" t="s">
        <v>444</v>
      </c>
      <c r="M5279" s="1357"/>
      <c r="P5279" s="841" t="s">
        <v>3209</v>
      </c>
      <c r="Q5279" s="1357"/>
      <c r="S5279" s="1420"/>
      <c r="T5279" s="1420"/>
      <c r="V5279" s="1357">
        <v>74</v>
      </c>
    </row>
    <row r="5280" spans="1:22" s="841" customFormat="1" ht="15" x14ac:dyDescent="0.25">
      <c r="A5280" s="841" t="s">
        <v>2277</v>
      </c>
      <c r="E5280" s="1694" t="s">
        <v>3079</v>
      </c>
      <c r="F5280" s="1690"/>
      <c r="G5280" s="1690"/>
      <c r="H5280" s="1690"/>
      <c r="K5280" s="841" t="s">
        <v>3080</v>
      </c>
      <c r="M5280" s="1357"/>
      <c r="Q5280" s="1357"/>
      <c r="S5280" s="1420"/>
      <c r="T5280" s="1420"/>
      <c r="V5280" s="1357">
        <v>48</v>
      </c>
    </row>
    <row r="5281" spans="1:22" s="841" customFormat="1" ht="15" x14ac:dyDescent="0.25">
      <c r="A5281" s="841" t="s">
        <v>2277</v>
      </c>
      <c r="E5281" s="1690" t="s">
        <v>2449</v>
      </c>
      <c r="F5281" s="1690"/>
      <c r="G5281" s="695" t="s">
        <v>24</v>
      </c>
      <c r="H5281" s="697">
        <v>3.2000000000000002E-3</v>
      </c>
      <c r="K5281" s="841" t="s">
        <v>3197</v>
      </c>
      <c r="L5281" s="841" t="s">
        <v>3046</v>
      </c>
      <c r="M5281" s="1357"/>
      <c r="P5281" s="841" t="s">
        <v>3210</v>
      </c>
      <c r="Q5281" s="1357"/>
      <c r="S5281" s="1420"/>
      <c r="T5281" s="1420"/>
      <c r="V5281" s="1357">
        <v>55</v>
      </c>
    </row>
    <row r="5282" spans="1:22" s="841" customFormat="1" ht="15" x14ac:dyDescent="0.25">
      <c r="A5282" s="841" t="s">
        <v>2277</v>
      </c>
      <c r="E5282" s="1690" t="s">
        <v>2450</v>
      </c>
      <c r="F5282" s="1690"/>
      <c r="G5282" s="1408" t="s">
        <v>24</v>
      </c>
      <c r="H5282" s="393">
        <v>4.0000000000000002E-4</v>
      </c>
      <c r="K5282" s="841" t="s">
        <v>3197</v>
      </c>
      <c r="L5282" s="841" t="s">
        <v>3046</v>
      </c>
      <c r="M5282" s="1357"/>
      <c r="P5282" s="841" t="s">
        <v>3210</v>
      </c>
      <c r="Q5282" s="1357"/>
      <c r="S5282" s="1420"/>
      <c r="T5282" s="1420"/>
      <c r="V5282" s="1357">
        <v>65</v>
      </c>
    </row>
    <row r="5283" spans="1:22" s="841" customFormat="1" ht="15" x14ac:dyDescent="0.25">
      <c r="A5283" s="841" t="s">
        <v>2277</v>
      </c>
      <c r="E5283" s="1920" t="s">
        <v>439</v>
      </c>
      <c r="F5283" s="1690"/>
      <c r="G5283" s="695" t="s">
        <v>24</v>
      </c>
      <c r="H5283" s="697">
        <v>2.9999999999999997E-4</v>
      </c>
      <c r="K5283" s="841" t="s">
        <v>3197</v>
      </c>
      <c r="L5283" s="841" t="s">
        <v>3046</v>
      </c>
      <c r="M5283" s="1357"/>
      <c r="P5283" s="841" t="s">
        <v>3212</v>
      </c>
      <c r="Q5283" s="1357"/>
      <c r="S5283" s="1420"/>
      <c r="T5283" s="1420"/>
      <c r="V5283" s="1357">
        <v>57</v>
      </c>
    </row>
    <row r="5284" spans="1:22" s="841" customFormat="1" ht="15" x14ac:dyDescent="0.25">
      <c r="A5284" s="841" t="s">
        <v>2277</v>
      </c>
      <c r="E5284" s="1920" t="s">
        <v>32</v>
      </c>
      <c r="F5284" s="1690"/>
      <c r="G5284" s="695" t="s">
        <v>23</v>
      </c>
      <c r="H5284" s="696">
        <v>0.25</v>
      </c>
      <c r="K5284" s="841" t="s">
        <v>3197</v>
      </c>
      <c r="L5284" s="841" t="s">
        <v>3046</v>
      </c>
      <c r="M5284" s="1357"/>
      <c r="P5284" s="841" t="s">
        <v>3213</v>
      </c>
      <c r="Q5284" s="1357"/>
      <c r="S5284" s="1420"/>
      <c r="T5284" s="1420"/>
      <c r="V5284" s="1357">
        <v>63</v>
      </c>
    </row>
    <row r="5285" spans="1:22" s="841" customFormat="1" x14ac:dyDescent="0.25">
      <c r="A5285" s="841" t="s">
        <v>2277</v>
      </c>
      <c r="E5285" s="1936" t="s">
        <v>3214</v>
      </c>
      <c r="F5285" s="1923"/>
      <c r="G5285" s="1923"/>
      <c r="H5285" s="1923"/>
      <c r="K5285" s="841" t="s">
        <v>5110</v>
      </c>
      <c r="M5285" s="1357"/>
      <c r="Q5285" s="1357"/>
      <c r="S5285" s="1420"/>
      <c r="T5285" s="1420"/>
      <c r="V5285" s="1357">
        <v>54</v>
      </c>
    </row>
    <row r="5286" spans="1:22" s="841" customFormat="1" ht="15" x14ac:dyDescent="0.25">
      <c r="A5286" s="841" t="s">
        <v>2277</v>
      </c>
      <c r="E5286" s="1689" t="s">
        <v>3897</v>
      </c>
      <c r="F5286" s="1689"/>
      <c r="G5286" s="1689"/>
      <c r="H5286" s="1689"/>
      <c r="K5286" s="841" t="s">
        <v>5110</v>
      </c>
      <c r="M5286" s="1357"/>
      <c r="Q5286" s="1357"/>
      <c r="S5286" s="1420"/>
      <c r="T5286" s="1420"/>
      <c r="V5286" s="1357">
        <v>314</v>
      </c>
    </row>
    <row r="5287" spans="1:22" s="841" customFormat="1" ht="15" x14ac:dyDescent="0.25">
      <c r="A5287" s="841" t="s">
        <v>2277</v>
      </c>
      <c r="E5287" s="1916" t="s">
        <v>3061</v>
      </c>
      <c r="F5287" s="1689"/>
      <c r="G5287" s="1689"/>
      <c r="H5287" s="1689"/>
      <c r="K5287" s="841" t="s">
        <v>3086</v>
      </c>
      <c r="M5287" s="1357"/>
      <c r="Q5287" s="1357"/>
      <c r="S5287" s="1420"/>
      <c r="T5287" s="1420"/>
      <c r="V5287" s="1357">
        <v>11</v>
      </c>
    </row>
    <row r="5288" spans="1:22" s="841" customFormat="1" ht="15" x14ac:dyDescent="0.25">
      <c r="A5288" s="841" t="s">
        <v>2277</v>
      </c>
      <c r="E5288" s="1689" t="s">
        <v>3063</v>
      </c>
      <c r="F5288" s="1689"/>
      <c r="G5288" s="1689"/>
      <c r="H5288" s="1689"/>
      <c r="K5288" s="841" t="s">
        <v>5110</v>
      </c>
      <c r="M5288" s="1357"/>
      <c r="Q5288" s="1357"/>
      <c r="S5288" s="1420"/>
      <c r="T5288" s="1420"/>
      <c r="V5288" s="1357">
        <v>280</v>
      </c>
    </row>
    <row r="5289" spans="1:22" s="841" customFormat="1" ht="15" x14ac:dyDescent="0.25">
      <c r="A5289" s="841" t="s">
        <v>2277</v>
      </c>
      <c r="E5289" s="1689" t="s">
        <v>3064</v>
      </c>
      <c r="F5289" s="1689"/>
      <c r="G5289" s="1689"/>
      <c r="H5289" s="1689"/>
      <c r="K5289" s="841" t="s">
        <v>5110</v>
      </c>
      <c r="M5289" s="1357"/>
      <c r="Q5289" s="1357"/>
      <c r="S5289" s="1420"/>
      <c r="T5289" s="1420"/>
      <c r="V5289" s="1357">
        <v>411</v>
      </c>
    </row>
    <row r="5290" spans="1:22" s="841" customFormat="1" ht="15" x14ac:dyDescent="0.25">
      <c r="A5290" s="841" t="s">
        <v>2277</v>
      </c>
      <c r="E5290" s="1689" t="s">
        <v>3065</v>
      </c>
      <c r="F5290" s="1689"/>
      <c r="G5290" s="1689"/>
      <c r="H5290" s="1689"/>
      <c r="K5290" s="841" t="s">
        <v>5110</v>
      </c>
      <c r="M5290" s="1357"/>
      <c r="Q5290" s="1357"/>
      <c r="S5290" s="1420"/>
      <c r="T5290" s="1420"/>
      <c r="V5290" s="1357">
        <v>387</v>
      </c>
    </row>
    <row r="5291" spans="1:22" s="841" customFormat="1" ht="15" x14ac:dyDescent="0.25">
      <c r="A5291" s="841" t="s">
        <v>2277</v>
      </c>
      <c r="E5291" s="1689" t="s">
        <v>3390</v>
      </c>
      <c r="F5291" s="1689"/>
      <c r="G5291" s="1689"/>
      <c r="H5291" s="1689"/>
      <c r="K5291" s="841" t="s">
        <v>5110</v>
      </c>
      <c r="M5291" s="1357"/>
      <c r="Q5291" s="1357"/>
      <c r="S5291" s="1420"/>
      <c r="T5291" s="1420"/>
      <c r="V5291" s="1357">
        <v>274</v>
      </c>
    </row>
    <row r="5292" spans="1:22" s="841" customFormat="1" ht="15" x14ac:dyDescent="0.25">
      <c r="A5292" s="841" t="s">
        <v>2277</v>
      </c>
      <c r="E5292" s="1694" t="s">
        <v>3067</v>
      </c>
      <c r="F5292" s="1907"/>
      <c r="G5292" s="1907"/>
      <c r="H5292" s="1907"/>
      <c r="K5292" s="841" t="s">
        <v>3087</v>
      </c>
      <c r="M5292" s="1357"/>
      <c r="Q5292" s="1357"/>
      <c r="S5292" s="1420"/>
      <c r="T5292" s="1420"/>
      <c r="V5292" s="1357">
        <v>46</v>
      </c>
    </row>
    <row r="5293" spans="1:22" s="841" customFormat="1" ht="15" x14ac:dyDescent="0.25">
      <c r="A5293" s="841" t="s">
        <v>2277</v>
      </c>
      <c r="E5293" s="1920" t="s">
        <v>11</v>
      </c>
      <c r="F5293" s="1690"/>
      <c r="G5293" s="695" t="s">
        <v>23</v>
      </c>
      <c r="H5293" s="391">
        <v>18.82</v>
      </c>
      <c r="K5293" s="841" t="s">
        <v>5110</v>
      </c>
      <c r="L5293" s="841" t="s">
        <v>442</v>
      </c>
      <c r="M5293" s="1357"/>
      <c r="P5293" s="841" t="s">
        <v>5111</v>
      </c>
      <c r="Q5293" s="1357"/>
      <c r="S5293" s="1420"/>
      <c r="T5293" s="1420"/>
      <c r="V5293" s="1357">
        <v>14</v>
      </c>
    </row>
    <row r="5294" spans="1:22" s="841" customFormat="1" ht="15" x14ac:dyDescent="0.25">
      <c r="A5294" s="841" t="s">
        <v>2277</v>
      </c>
      <c r="E5294" s="1920" t="s">
        <v>5109</v>
      </c>
      <c r="F5294" s="1690"/>
      <c r="G5294" s="695" t="s">
        <v>23</v>
      </c>
      <c r="H5294" s="696">
        <v>0.56999999999999995</v>
      </c>
      <c r="K5294" s="841" t="s">
        <v>5110</v>
      </c>
      <c r="L5294" s="841" t="s">
        <v>443</v>
      </c>
      <c r="M5294" s="1357"/>
      <c r="P5294" s="841" t="s">
        <v>5112</v>
      </c>
      <c r="Q5294" s="1357"/>
      <c r="S5294" s="1420"/>
      <c r="T5294" s="1420">
        <v>44926</v>
      </c>
      <c r="V5294" s="1357">
        <v>64</v>
      </c>
    </row>
    <row r="5295" spans="1:22" s="841" customFormat="1" ht="15" x14ac:dyDescent="0.25">
      <c r="A5295" s="841" t="s">
        <v>2277</v>
      </c>
      <c r="E5295" s="1920" t="s">
        <v>3895</v>
      </c>
      <c r="F5295" s="1690"/>
      <c r="G5295" s="695" t="s">
        <v>23</v>
      </c>
      <c r="H5295" s="696">
        <v>5.1100000000000003</v>
      </c>
      <c r="K5295" s="841" t="s">
        <v>5110</v>
      </c>
      <c r="L5295" s="841" t="s">
        <v>442</v>
      </c>
      <c r="M5295" s="1357"/>
      <c r="P5295" s="841" t="s">
        <v>5524</v>
      </c>
      <c r="Q5295" s="1357"/>
      <c r="S5295" s="1420"/>
      <c r="T5295" s="1420">
        <v>43830</v>
      </c>
      <c r="V5295" s="1357">
        <v>103</v>
      </c>
    </row>
    <row r="5296" spans="1:22" s="841" customFormat="1" ht="15" x14ac:dyDescent="0.25">
      <c r="A5296" s="841" t="s">
        <v>2277</v>
      </c>
      <c r="E5296" s="1920" t="s">
        <v>3896</v>
      </c>
      <c r="F5296" s="1690"/>
      <c r="G5296" s="695" t="s">
        <v>23</v>
      </c>
      <c r="H5296" s="696">
        <v>0.62</v>
      </c>
      <c r="K5296" s="841" t="s">
        <v>5110</v>
      </c>
      <c r="L5296" s="841" t="s">
        <v>442</v>
      </c>
      <c r="M5296" s="1357"/>
      <c r="P5296" s="841" t="s">
        <v>5388</v>
      </c>
      <c r="Q5296" s="1357"/>
      <c r="S5296" s="1420"/>
      <c r="T5296" s="1420">
        <v>43830</v>
      </c>
      <c r="V5296" s="1357">
        <v>84</v>
      </c>
    </row>
    <row r="5297" spans="1:22" s="841" customFormat="1" ht="15" x14ac:dyDescent="0.25">
      <c r="A5297" s="841" t="s">
        <v>2277</v>
      </c>
      <c r="E5297" s="1920" t="s">
        <v>84</v>
      </c>
      <c r="F5297" s="1690"/>
      <c r="G5297" s="695" t="s">
        <v>24</v>
      </c>
      <c r="H5297" s="393">
        <v>6.4000000000000003E-3</v>
      </c>
      <c r="K5297" s="841" t="s">
        <v>5110</v>
      </c>
      <c r="L5297" s="841" t="s">
        <v>442</v>
      </c>
      <c r="M5297" s="1357"/>
      <c r="P5297" s="841" t="s">
        <v>5113</v>
      </c>
      <c r="Q5297" s="1357"/>
      <c r="S5297" s="1420"/>
      <c r="T5297" s="1420"/>
      <c r="V5297" s="1357">
        <v>28</v>
      </c>
    </row>
    <row r="5298" spans="1:22" s="841" customFormat="1" ht="15" x14ac:dyDescent="0.25">
      <c r="A5298" s="841" t="s">
        <v>2277</v>
      </c>
      <c r="E5298" s="1920" t="s">
        <v>18</v>
      </c>
      <c r="F5298" s="1690"/>
      <c r="G5298" s="695" t="s">
        <v>24</v>
      </c>
      <c r="H5298" s="697">
        <v>5.9999999999999995E-4</v>
      </c>
      <c r="K5298" s="841" t="s">
        <v>5110</v>
      </c>
      <c r="L5298" s="841" t="s">
        <v>443</v>
      </c>
      <c r="M5298" s="1357"/>
      <c r="P5298" s="841" t="s">
        <v>5114</v>
      </c>
      <c r="Q5298" s="1357"/>
      <c r="S5298" s="1420"/>
      <c r="T5298" s="1420"/>
      <c r="V5298" s="1357">
        <v>24</v>
      </c>
    </row>
    <row r="5299" spans="1:22" s="841" customFormat="1" ht="15" x14ac:dyDescent="0.25">
      <c r="A5299" s="841" t="s">
        <v>2277</v>
      </c>
      <c r="E5299" s="1920" t="s">
        <v>5129</v>
      </c>
      <c r="F5299" s="1908"/>
      <c r="G5299" s="695" t="s">
        <v>24</v>
      </c>
      <c r="H5299" s="697">
        <v>-5.9999999999999995E-4</v>
      </c>
      <c r="K5299" s="841" t="s">
        <v>5110</v>
      </c>
      <c r="L5299" s="841" t="s">
        <v>443</v>
      </c>
      <c r="M5299" s="1357"/>
      <c r="P5299" s="841" t="s">
        <v>4818</v>
      </c>
      <c r="Q5299" s="1357"/>
      <c r="S5299" s="1420"/>
      <c r="T5299" s="1420">
        <v>43585</v>
      </c>
      <c r="V5299" s="1357">
        <v>139</v>
      </c>
    </row>
    <row r="5300" spans="1:22" s="841" customFormat="1" ht="15" x14ac:dyDescent="0.25">
      <c r="A5300" s="841" t="s">
        <v>2277</v>
      </c>
      <c r="E5300" s="1920" t="s">
        <v>5130</v>
      </c>
      <c r="F5300" s="1908"/>
      <c r="G5300" s="695" t="s">
        <v>24</v>
      </c>
      <c r="H5300" s="697">
        <v>1.6000000000000001E-3</v>
      </c>
      <c r="K5300" s="841" t="s">
        <v>5110</v>
      </c>
      <c r="L5300" s="841" t="s">
        <v>443</v>
      </c>
      <c r="M5300" s="1357"/>
      <c r="P5300" s="841" t="s">
        <v>5124</v>
      </c>
      <c r="Q5300" s="1357"/>
      <c r="S5300" s="1420"/>
      <c r="T5300" s="1420">
        <v>43585</v>
      </c>
      <c r="V5300" s="1357">
        <v>96</v>
      </c>
    </row>
    <row r="5301" spans="1:22" s="841" customFormat="1" ht="15" x14ac:dyDescent="0.25">
      <c r="A5301" s="841" t="s">
        <v>2277</v>
      </c>
      <c r="E5301" s="1920" t="s">
        <v>221</v>
      </c>
      <c r="F5301" s="1690"/>
      <c r="G5301" s="695" t="s">
        <v>24</v>
      </c>
      <c r="H5301" s="393">
        <v>5.4999999999999997E-3</v>
      </c>
      <c r="K5301" s="841" t="s">
        <v>5110</v>
      </c>
      <c r="L5301" s="841" t="s">
        <v>444</v>
      </c>
      <c r="M5301" s="1357"/>
      <c r="P5301" s="841" t="s">
        <v>5115</v>
      </c>
      <c r="Q5301" s="1357"/>
      <c r="S5301" s="1420"/>
      <c r="T5301" s="1420"/>
      <c r="V5301" s="1357">
        <v>47</v>
      </c>
    </row>
    <row r="5302" spans="1:22" s="841" customFormat="1" ht="15" x14ac:dyDescent="0.25">
      <c r="A5302" s="841" t="s">
        <v>2277</v>
      </c>
      <c r="E5302" s="1920" t="s">
        <v>217</v>
      </c>
      <c r="F5302" s="1690"/>
      <c r="G5302" s="695" t="s">
        <v>24</v>
      </c>
      <c r="H5302" s="393">
        <v>4.8999999999999998E-3</v>
      </c>
      <c r="K5302" s="841" t="s">
        <v>5110</v>
      </c>
      <c r="L5302" s="841" t="s">
        <v>444</v>
      </c>
      <c r="M5302" s="1357"/>
      <c r="P5302" s="841" t="s">
        <v>5116</v>
      </c>
      <c r="Q5302" s="1357"/>
      <c r="S5302" s="1420"/>
      <c r="T5302" s="1420"/>
      <c r="V5302" s="1357">
        <v>74</v>
      </c>
    </row>
    <row r="5303" spans="1:22" s="841" customFormat="1" ht="15" x14ac:dyDescent="0.25">
      <c r="A5303" s="841" t="s">
        <v>2277</v>
      </c>
      <c r="E5303" s="1694" t="s">
        <v>3079</v>
      </c>
      <c r="F5303" s="1690"/>
      <c r="G5303" s="1690"/>
      <c r="H5303" s="1690"/>
      <c r="K5303" s="841" t="s">
        <v>3093</v>
      </c>
      <c r="M5303" s="1357"/>
      <c r="Q5303" s="1357"/>
      <c r="S5303" s="1420"/>
      <c r="T5303" s="1420"/>
      <c r="V5303" s="1357">
        <v>48</v>
      </c>
    </row>
    <row r="5304" spans="1:22" s="841" customFormat="1" ht="15" x14ac:dyDescent="0.25">
      <c r="A5304" s="841" t="s">
        <v>2277</v>
      </c>
      <c r="E5304" s="1690" t="s">
        <v>2449</v>
      </c>
      <c r="F5304" s="1690"/>
      <c r="G5304" s="695" t="s">
        <v>24</v>
      </c>
      <c r="H5304" s="697">
        <v>3.2000000000000002E-3</v>
      </c>
      <c r="K5304" s="841" t="s">
        <v>5110</v>
      </c>
      <c r="L5304" s="841" t="s">
        <v>3046</v>
      </c>
      <c r="M5304" s="1357"/>
      <c r="P5304" s="841" t="s">
        <v>5117</v>
      </c>
      <c r="Q5304" s="1357"/>
      <c r="S5304" s="1420"/>
      <c r="T5304" s="1420"/>
      <c r="V5304" s="1357">
        <v>55</v>
      </c>
    </row>
    <row r="5305" spans="1:22" s="841" customFormat="1" ht="15" x14ac:dyDescent="0.25">
      <c r="A5305" s="841" t="s">
        <v>2277</v>
      </c>
      <c r="E5305" s="1690" t="s">
        <v>2450</v>
      </c>
      <c r="F5305" s="1690"/>
      <c r="G5305" s="1408" t="s">
        <v>24</v>
      </c>
      <c r="H5305" s="393">
        <v>4.0000000000000002E-4</v>
      </c>
      <c r="K5305" s="841" t="s">
        <v>5110</v>
      </c>
      <c r="L5305" s="841" t="s">
        <v>3046</v>
      </c>
      <c r="M5305" s="1357"/>
      <c r="P5305" s="841" t="s">
        <v>5117</v>
      </c>
      <c r="Q5305" s="1357"/>
      <c r="S5305" s="1420"/>
      <c r="T5305" s="1420"/>
      <c r="V5305" s="1357">
        <v>65</v>
      </c>
    </row>
    <row r="5306" spans="1:22" s="841" customFormat="1" ht="15" x14ac:dyDescent="0.25">
      <c r="A5306" s="841" t="s">
        <v>2277</v>
      </c>
      <c r="E5306" s="1920" t="s">
        <v>439</v>
      </c>
      <c r="F5306" s="1690"/>
      <c r="G5306" s="695" t="s">
        <v>24</v>
      </c>
      <c r="H5306" s="697">
        <v>2.9999999999999997E-4</v>
      </c>
      <c r="K5306" s="841" t="s">
        <v>5110</v>
      </c>
      <c r="L5306" s="841" t="s">
        <v>3046</v>
      </c>
      <c r="M5306" s="1357"/>
      <c r="P5306" s="841" t="s">
        <v>5118</v>
      </c>
      <c r="Q5306" s="1357"/>
      <c r="S5306" s="1420"/>
      <c r="T5306" s="1420"/>
      <c r="V5306" s="1357">
        <v>57</v>
      </c>
    </row>
    <row r="5307" spans="1:22" s="841" customFormat="1" ht="15" x14ac:dyDescent="0.25">
      <c r="A5307" s="841" t="s">
        <v>2277</v>
      </c>
      <c r="E5307" s="1920" t="s">
        <v>32</v>
      </c>
      <c r="F5307" s="1690"/>
      <c r="G5307" s="695" t="s">
        <v>23</v>
      </c>
      <c r="H5307" s="696">
        <v>0.25</v>
      </c>
      <c r="K5307" s="841" t="s">
        <v>5110</v>
      </c>
      <c r="L5307" s="841" t="s">
        <v>3046</v>
      </c>
      <c r="M5307" s="1357"/>
      <c r="P5307" s="841" t="s">
        <v>5119</v>
      </c>
      <c r="Q5307" s="1357"/>
      <c r="S5307" s="1420"/>
      <c r="T5307" s="1420"/>
      <c r="V5307" s="1357">
        <v>63</v>
      </c>
    </row>
    <row r="5308" spans="1:22" s="841" customFormat="1" x14ac:dyDescent="0.25">
      <c r="A5308" s="841" t="s">
        <v>2277</v>
      </c>
      <c r="E5308" s="1936" t="s">
        <v>3898</v>
      </c>
      <c r="F5308" s="1923"/>
      <c r="G5308" s="1923"/>
      <c r="H5308" s="1923"/>
      <c r="K5308" s="841" t="s">
        <v>5498</v>
      </c>
      <c r="M5308" s="1357"/>
      <c r="Q5308" s="1357"/>
      <c r="S5308" s="1420"/>
      <c r="T5308" s="1420"/>
      <c r="V5308" s="1357">
        <v>53</v>
      </c>
    </row>
    <row r="5309" spans="1:22" s="841" customFormat="1" ht="15" x14ac:dyDescent="0.25">
      <c r="A5309" s="841" t="s">
        <v>2277</v>
      </c>
      <c r="E5309" s="1689" t="s">
        <v>3899</v>
      </c>
      <c r="F5309" s="1689"/>
      <c r="G5309" s="1689"/>
      <c r="H5309" s="1689"/>
      <c r="K5309" s="841" t="s">
        <v>5498</v>
      </c>
      <c r="M5309" s="1357"/>
      <c r="Q5309" s="1357"/>
      <c r="S5309" s="1420"/>
      <c r="T5309" s="1420"/>
      <c r="V5309" s="1357">
        <v>346</v>
      </c>
    </row>
    <row r="5310" spans="1:22" s="841" customFormat="1" ht="15" x14ac:dyDescent="0.25">
      <c r="A5310" s="841" t="s">
        <v>2277</v>
      </c>
      <c r="E5310" s="1916" t="s">
        <v>3061</v>
      </c>
      <c r="F5310" s="1689"/>
      <c r="G5310" s="1689"/>
      <c r="H5310" s="1689"/>
      <c r="K5310" s="841" t="s">
        <v>3098</v>
      </c>
      <c r="M5310" s="1357"/>
      <c r="Q5310" s="1357"/>
      <c r="S5310" s="1420"/>
      <c r="T5310" s="1420"/>
      <c r="V5310" s="1357">
        <v>11</v>
      </c>
    </row>
    <row r="5311" spans="1:22" s="841" customFormat="1" ht="15" x14ac:dyDescent="0.25">
      <c r="A5311" s="841" t="s">
        <v>2277</v>
      </c>
      <c r="E5311" s="1689" t="s">
        <v>3063</v>
      </c>
      <c r="F5311" s="1689"/>
      <c r="G5311" s="1689"/>
      <c r="H5311" s="1689"/>
      <c r="K5311" s="841" t="s">
        <v>5498</v>
      </c>
      <c r="M5311" s="1357"/>
      <c r="Q5311" s="1357"/>
      <c r="S5311" s="1420"/>
      <c r="T5311" s="1420"/>
      <c r="V5311" s="1357">
        <v>280</v>
      </c>
    </row>
    <row r="5312" spans="1:22" s="841" customFormat="1" ht="15" x14ac:dyDescent="0.25">
      <c r="A5312" s="841" t="s">
        <v>2277</v>
      </c>
      <c r="E5312" s="1689" t="s">
        <v>3064</v>
      </c>
      <c r="F5312" s="1689"/>
      <c r="G5312" s="1689"/>
      <c r="H5312" s="1689"/>
      <c r="K5312" s="841" t="s">
        <v>5498</v>
      </c>
      <c r="M5312" s="1357"/>
      <c r="Q5312" s="1357"/>
      <c r="S5312" s="1420"/>
      <c r="T5312" s="1420"/>
      <c r="V5312" s="1357">
        <v>411</v>
      </c>
    </row>
    <row r="5313" spans="1:22" s="841" customFormat="1" ht="15" x14ac:dyDescent="0.25">
      <c r="A5313" s="841" t="s">
        <v>2277</v>
      </c>
      <c r="E5313" s="1689" t="s">
        <v>3065</v>
      </c>
      <c r="F5313" s="1689"/>
      <c r="G5313" s="1689"/>
      <c r="H5313" s="1689"/>
      <c r="K5313" s="841" t="s">
        <v>5498</v>
      </c>
      <c r="M5313" s="1357"/>
      <c r="Q5313" s="1357"/>
      <c r="S5313" s="1420"/>
      <c r="T5313" s="1420"/>
      <c r="V5313" s="1357">
        <v>387</v>
      </c>
    </row>
    <row r="5314" spans="1:22" s="841" customFormat="1" ht="15" x14ac:dyDescent="0.25">
      <c r="A5314" s="841" t="s">
        <v>2277</v>
      </c>
      <c r="E5314" s="1689" t="s">
        <v>5132</v>
      </c>
      <c r="F5314" s="1689"/>
      <c r="G5314" s="1689"/>
      <c r="H5314" s="1689"/>
      <c r="K5314" s="841" t="s">
        <v>5498</v>
      </c>
      <c r="M5314" s="1357"/>
      <c r="Q5314" s="1357"/>
      <c r="S5314" s="1420"/>
      <c r="T5314" s="1420"/>
      <c r="V5314" s="1357">
        <v>658</v>
      </c>
    </row>
    <row r="5315" spans="1:22" s="841" customFormat="1" ht="15" x14ac:dyDescent="0.25">
      <c r="A5315" s="841" t="s">
        <v>2277</v>
      </c>
      <c r="E5315" s="1689" t="s">
        <v>3390</v>
      </c>
      <c r="F5315" s="1689"/>
      <c r="G5315" s="1689"/>
      <c r="H5315" s="1689"/>
      <c r="K5315" s="841" t="s">
        <v>5498</v>
      </c>
      <c r="M5315" s="1357"/>
      <c r="Q5315" s="1357"/>
      <c r="S5315" s="1420"/>
      <c r="T5315" s="1420"/>
      <c r="V5315" s="1357">
        <v>274</v>
      </c>
    </row>
    <row r="5316" spans="1:22" s="841" customFormat="1" ht="15" x14ac:dyDescent="0.25">
      <c r="A5316" s="841" t="s">
        <v>2277</v>
      </c>
      <c r="E5316" s="1694" t="s">
        <v>3067</v>
      </c>
      <c r="F5316" s="1907"/>
      <c r="G5316" s="1907"/>
      <c r="H5316" s="1907"/>
      <c r="K5316" s="841" t="s">
        <v>3099</v>
      </c>
      <c r="M5316" s="1357"/>
      <c r="Q5316" s="1357"/>
      <c r="S5316" s="1420"/>
      <c r="T5316" s="1420"/>
      <c r="V5316" s="1357">
        <v>46</v>
      </c>
    </row>
    <row r="5317" spans="1:22" s="841" customFormat="1" ht="15" x14ac:dyDescent="0.25">
      <c r="A5317" s="841" t="s">
        <v>2277</v>
      </c>
      <c r="E5317" s="1920" t="s">
        <v>11</v>
      </c>
      <c r="F5317" s="1690"/>
      <c r="G5317" s="695" t="s">
        <v>23</v>
      </c>
      <c r="H5317" s="391">
        <v>56.37</v>
      </c>
      <c r="K5317" s="841" t="s">
        <v>5498</v>
      </c>
      <c r="L5317" s="841" t="s">
        <v>442</v>
      </c>
      <c r="M5317" s="1357"/>
      <c r="P5317" s="841" t="s">
        <v>5499</v>
      </c>
      <c r="Q5317" s="1357"/>
      <c r="S5317" s="1420"/>
      <c r="T5317" s="1420"/>
      <c r="V5317" s="1357">
        <v>14</v>
      </c>
    </row>
    <row r="5318" spans="1:22" s="841" customFormat="1" ht="15" x14ac:dyDescent="0.25">
      <c r="A5318" s="841" t="s">
        <v>2277</v>
      </c>
      <c r="E5318" s="1920" t="s">
        <v>3895</v>
      </c>
      <c r="F5318" s="1690"/>
      <c r="G5318" s="695" t="s">
        <v>23</v>
      </c>
      <c r="H5318" s="391">
        <v>8.36</v>
      </c>
      <c r="K5318" s="841" t="s">
        <v>5498</v>
      </c>
      <c r="L5318" s="841" t="s">
        <v>442</v>
      </c>
      <c r="M5318" s="1357"/>
      <c r="P5318" s="841" t="s">
        <v>6271</v>
      </c>
      <c r="Q5318" s="1357"/>
      <c r="S5318" s="1420"/>
      <c r="T5318" s="1420">
        <v>43830</v>
      </c>
      <c r="V5318" s="1357">
        <v>103</v>
      </c>
    </row>
    <row r="5319" spans="1:22" s="841" customFormat="1" ht="15" x14ac:dyDescent="0.25">
      <c r="A5319" s="841" t="s">
        <v>2277</v>
      </c>
      <c r="E5319" s="1920" t="s">
        <v>3896</v>
      </c>
      <c r="F5319" s="1690"/>
      <c r="G5319" s="695" t="s">
        <v>23</v>
      </c>
      <c r="H5319" s="696">
        <v>4.55</v>
      </c>
      <c r="K5319" s="841" t="s">
        <v>5498</v>
      </c>
      <c r="L5319" s="841" t="s">
        <v>442</v>
      </c>
      <c r="M5319" s="1357"/>
      <c r="P5319" s="841" t="s">
        <v>5500</v>
      </c>
      <c r="Q5319" s="1357"/>
      <c r="S5319" s="1420"/>
      <c r="T5319" s="1420">
        <v>43830</v>
      </c>
      <c r="V5319" s="1357">
        <v>84</v>
      </c>
    </row>
    <row r="5320" spans="1:22" s="841" customFormat="1" ht="15" x14ac:dyDescent="0.25">
      <c r="A5320" s="841" t="s">
        <v>2277</v>
      </c>
      <c r="E5320" s="1920" t="s">
        <v>84</v>
      </c>
      <c r="F5320" s="1690"/>
      <c r="G5320" s="695" t="s">
        <v>33</v>
      </c>
      <c r="H5320" s="393">
        <v>1.7738</v>
      </c>
      <c r="K5320" s="841" t="s">
        <v>5498</v>
      </c>
      <c r="L5320" s="841" t="s">
        <v>442</v>
      </c>
      <c r="M5320" s="1357"/>
      <c r="P5320" s="841" t="s">
        <v>5501</v>
      </c>
      <c r="Q5320" s="1357"/>
      <c r="S5320" s="1420"/>
      <c r="T5320" s="1420"/>
      <c r="V5320" s="1357">
        <v>28</v>
      </c>
    </row>
    <row r="5321" spans="1:22" s="841" customFormat="1" ht="15" x14ac:dyDescent="0.25">
      <c r="A5321" s="841" t="s">
        <v>2277</v>
      </c>
      <c r="E5321" s="1920" t="s">
        <v>18</v>
      </c>
      <c r="F5321" s="1690"/>
      <c r="G5321" s="695" t="s">
        <v>33</v>
      </c>
      <c r="H5321" s="697">
        <v>0.2296</v>
      </c>
      <c r="K5321" s="841" t="s">
        <v>5498</v>
      </c>
      <c r="L5321" s="841" t="s">
        <v>443</v>
      </c>
      <c r="M5321" s="1357"/>
      <c r="P5321" s="841" t="s">
        <v>5502</v>
      </c>
      <c r="Q5321" s="1357"/>
      <c r="S5321" s="1420"/>
      <c r="T5321" s="1420"/>
      <c r="V5321" s="1357">
        <v>24</v>
      </c>
    </row>
    <row r="5322" spans="1:22" s="841" customFormat="1" ht="15" x14ac:dyDescent="0.25">
      <c r="A5322" s="841" t="s">
        <v>2277</v>
      </c>
      <c r="E5322" s="1920" t="s">
        <v>5129</v>
      </c>
      <c r="F5322" s="1908"/>
      <c r="G5322" s="695" t="s">
        <v>24</v>
      </c>
      <c r="H5322" s="697">
        <v>-5.9999999999999995E-4</v>
      </c>
      <c r="K5322" s="841" t="s">
        <v>5498</v>
      </c>
      <c r="L5322" s="841" t="s">
        <v>443</v>
      </c>
      <c r="M5322" s="1357"/>
      <c r="P5322" s="841" t="s">
        <v>5503</v>
      </c>
      <c r="Q5322" s="1357"/>
      <c r="S5322" s="1420"/>
      <c r="T5322" s="1420">
        <v>43585</v>
      </c>
      <c r="V5322" s="1357">
        <v>139</v>
      </c>
    </row>
    <row r="5323" spans="1:22" s="841" customFormat="1" ht="15" x14ac:dyDescent="0.25">
      <c r="A5323" s="841" t="s">
        <v>2277</v>
      </c>
      <c r="E5323" s="1920" t="s">
        <v>5130</v>
      </c>
      <c r="F5323" s="1908"/>
      <c r="G5323" s="695" t="s">
        <v>33</v>
      </c>
      <c r="H5323" s="697">
        <v>0.52</v>
      </c>
      <c r="K5323" s="841" t="s">
        <v>5498</v>
      </c>
      <c r="L5323" s="841" t="s">
        <v>443</v>
      </c>
      <c r="M5323" s="1357"/>
      <c r="P5323" s="841" t="s">
        <v>5504</v>
      </c>
      <c r="Q5323" s="1357"/>
      <c r="S5323" s="1420"/>
      <c r="T5323" s="1420">
        <v>43585</v>
      </c>
      <c r="V5323" s="1357">
        <v>96</v>
      </c>
    </row>
    <row r="5324" spans="1:22" s="841" customFormat="1" ht="15" x14ac:dyDescent="0.25">
      <c r="A5324" s="841" t="s">
        <v>2277</v>
      </c>
      <c r="E5324" s="1920" t="s">
        <v>221</v>
      </c>
      <c r="F5324" s="1690"/>
      <c r="G5324" s="695" t="s">
        <v>33</v>
      </c>
      <c r="H5324" s="393">
        <v>2.2709000000000001</v>
      </c>
      <c r="K5324" s="841" t="s">
        <v>5498</v>
      </c>
      <c r="L5324" s="841" t="s">
        <v>444</v>
      </c>
      <c r="M5324" s="1357"/>
      <c r="P5324" s="841" t="s">
        <v>5505</v>
      </c>
      <c r="Q5324" s="1357"/>
      <c r="S5324" s="1420"/>
      <c r="T5324" s="1420"/>
      <c r="V5324" s="1357">
        <v>47</v>
      </c>
    </row>
    <row r="5325" spans="1:22" s="841" customFormat="1" ht="15" x14ac:dyDescent="0.25">
      <c r="A5325" s="841" t="s">
        <v>2277</v>
      </c>
      <c r="E5325" s="1920" t="s">
        <v>3628</v>
      </c>
      <c r="F5325" s="1690"/>
      <c r="G5325" s="695" t="s">
        <v>33</v>
      </c>
      <c r="H5325" s="393">
        <v>1.9694</v>
      </c>
      <c r="K5325" s="841" t="s">
        <v>5498</v>
      </c>
      <c r="L5325" s="841" t="s">
        <v>444</v>
      </c>
      <c r="M5325" s="1357"/>
      <c r="P5325" s="841" t="s">
        <v>5506</v>
      </c>
      <c r="Q5325" s="1357"/>
      <c r="S5325" s="1420"/>
      <c r="T5325" s="1420"/>
      <c r="V5325" s="1357">
        <v>75</v>
      </c>
    </row>
    <row r="5326" spans="1:22" s="841" customFormat="1" ht="15" x14ac:dyDescent="0.25">
      <c r="A5326" s="841" t="s">
        <v>2277</v>
      </c>
      <c r="E5326" s="1694" t="s">
        <v>3079</v>
      </c>
      <c r="F5326" s="1690"/>
      <c r="G5326" s="1690"/>
      <c r="H5326" s="1690"/>
      <c r="K5326" s="841" t="s">
        <v>3218</v>
      </c>
      <c r="M5326" s="1357"/>
      <c r="Q5326" s="1357"/>
      <c r="S5326" s="1420"/>
      <c r="T5326" s="1420"/>
      <c r="V5326" s="1357">
        <v>48</v>
      </c>
    </row>
    <row r="5327" spans="1:22" s="841" customFormat="1" ht="15" x14ac:dyDescent="0.25">
      <c r="A5327" s="841" t="s">
        <v>2277</v>
      </c>
      <c r="E5327" s="1690" t="s">
        <v>2449</v>
      </c>
      <c r="F5327" s="1690"/>
      <c r="G5327" s="695" t="s">
        <v>24</v>
      </c>
      <c r="H5327" s="697">
        <v>3.2000000000000002E-3</v>
      </c>
      <c r="K5327" s="841" t="s">
        <v>5498</v>
      </c>
      <c r="L5327" s="841" t="s">
        <v>3046</v>
      </c>
      <c r="M5327" s="1357"/>
      <c r="P5327" s="841" t="s">
        <v>5507</v>
      </c>
      <c r="Q5327" s="1357"/>
      <c r="S5327" s="1420"/>
      <c r="T5327" s="1420"/>
      <c r="V5327" s="1357">
        <v>55</v>
      </c>
    </row>
    <row r="5328" spans="1:22" s="841" customFormat="1" ht="15" x14ac:dyDescent="0.25">
      <c r="A5328" s="841" t="s">
        <v>2277</v>
      </c>
      <c r="E5328" s="1690" t="s">
        <v>2450</v>
      </c>
      <c r="F5328" s="1690"/>
      <c r="G5328" s="1408" t="s">
        <v>24</v>
      </c>
      <c r="H5328" s="393">
        <v>4.0000000000000002E-4</v>
      </c>
      <c r="K5328" s="841" t="s">
        <v>5498</v>
      </c>
      <c r="L5328" s="841" t="s">
        <v>3046</v>
      </c>
      <c r="M5328" s="1357"/>
      <c r="P5328" s="841" t="s">
        <v>5507</v>
      </c>
      <c r="Q5328" s="1357"/>
      <c r="S5328" s="1420"/>
      <c r="T5328" s="1420"/>
      <c r="V5328" s="1357">
        <v>65</v>
      </c>
    </row>
    <row r="5329" spans="1:22" s="841" customFormat="1" ht="15" x14ac:dyDescent="0.25">
      <c r="A5329" s="841" t="s">
        <v>2277</v>
      </c>
      <c r="E5329" s="1920" t="s">
        <v>439</v>
      </c>
      <c r="F5329" s="1690"/>
      <c r="G5329" s="695" t="s">
        <v>24</v>
      </c>
      <c r="H5329" s="697">
        <v>2.9999999999999997E-4</v>
      </c>
      <c r="K5329" s="841" t="s">
        <v>5498</v>
      </c>
      <c r="L5329" s="841" t="s">
        <v>3046</v>
      </c>
      <c r="M5329" s="1357"/>
      <c r="P5329" s="841" t="s">
        <v>5508</v>
      </c>
      <c r="Q5329" s="1357"/>
      <c r="S5329" s="1420"/>
      <c r="T5329" s="1420"/>
      <c r="V5329" s="1357">
        <v>57</v>
      </c>
    </row>
    <row r="5330" spans="1:22" s="841" customFormat="1" ht="15" x14ac:dyDescent="0.25">
      <c r="A5330" s="841" t="s">
        <v>2277</v>
      </c>
      <c r="E5330" s="1920" t="s">
        <v>32</v>
      </c>
      <c r="F5330" s="1690"/>
      <c r="G5330" s="695" t="s">
        <v>23</v>
      </c>
      <c r="H5330" s="696">
        <v>0.25</v>
      </c>
      <c r="K5330" s="841" t="s">
        <v>5498</v>
      </c>
      <c r="L5330" s="841" t="s">
        <v>3046</v>
      </c>
      <c r="M5330" s="1357"/>
      <c r="P5330" s="841" t="s">
        <v>5509</v>
      </c>
      <c r="Q5330" s="1357"/>
      <c r="S5330" s="1420"/>
      <c r="T5330" s="1420"/>
      <c r="V5330" s="1357">
        <v>63</v>
      </c>
    </row>
    <row r="5331" spans="1:22" s="841" customFormat="1" x14ac:dyDescent="0.25">
      <c r="A5331" s="841" t="s">
        <v>2277</v>
      </c>
      <c r="E5331" s="1936" t="s">
        <v>1714</v>
      </c>
      <c r="F5331" s="1923"/>
      <c r="G5331" s="1923"/>
      <c r="H5331" s="1923"/>
      <c r="K5331" s="841" t="s">
        <v>3900</v>
      </c>
      <c r="M5331" s="1357"/>
      <c r="Q5331" s="1357"/>
      <c r="S5331" s="1420"/>
      <c r="T5331" s="1420"/>
      <c r="V5331" s="1357">
        <v>40</v>
      </c>
    </row>
    <row r="5332" spans="1:22" s="841" customFormat="1" ht="15" x14ac:dyDescent="0.25">
      <c r="A5332" s="841" t="s">
        <v>2277</v>
      </c>
      <c r="E5332" s="1689" t="s">
        <v>3901</v>
      </c>
      <c r="F5332" s="1689"/>
      <c r="G5332" s="1689"/>
      <c r="H5332" s="1689"/>
      <c r="K5332" s="841" t="s">
        <v>3900</v>
      </c>
      <c r="M5332" s="1357"/>
      <c r="Q5332" s="1357"/>
      <c r="S5332" s="1420"/>
      <c r="T5332" s="1420"/>
      <c r="V5332" s="1357">
        <v>348</v>
      </c>
    </row>
    <row r="5333" spans="1:22" s="841" customFormat="1" ht="15" x14ac:dyDescent="0.25">
      <c r="A5333" s="841" t="s">
        <v>2277</v>
      </c>
      <c r="E5333" s="1916" t="s">
        <v>3061</v>
      </c>
      <c r="F5333" s="1689"/>
      <c r="G5333" s="1689"/>
      <c r="H5333" s="1689"/>
      <c r="K5333" s="841" t="s">
        <v>3221</v>
      </c>
      <c r="M5333" s="1357"/>
      <c r="Q5333" s="1357"/>
      <c r="S5333" s="1420"/>
      <c r="T5333" s="1420"/>
      <c r="V5333" s="1357">
        <v>11</v>
      </c>
    </row>
    <row r="5334" spans="1:22" s="841" customFormat="1" ht="15" x14ac:dyDescent="0.25">
      <c r="A5334" s="841" t="s">
        <v>2277</v>
      </c>
      <c r="E5334" s="1689" t="s">
        <v>3063</v>
      </c>
      <c r="F5334" s="1689"/>
      <c r="G5334" s="1689"/>
      <c r="H5334" s="1689"/>
      <c r="K5334" s="841" t="s">
        <v>3900</v>
      </c>
      <c r="M5334" s="1357"/>
      <c r="Q5334" s="1357"/>
      <c r="S5334" s="1420"/>
      <c r="T5334" s="1420"/>
      <c r="V5334" s="1357">
        <v>280</v>
      </c>
    </row>
    <row r="5335" spans="1:22" s="841" customFormat="1" ht="15" x14ac:dyDescent="0.25">
      <c r="A5335" s="841" t="s">
        <v>2277</v>
      </c>
      <c r="E5335" s="1689" t="s">
        <v>3064</v>
      </c>
      <c r="F5335" s="1689"/>
      <c r="G5335" s="1689"/>
      <c r="H5335" s="1689"/>
      <c r="K5335" s="841" t="s">
        <v>3900</v>
      </c>
      <c r="M5335" s="1357"/>
      <c r="Q5335" s="1357"/>
      <c r="S5335" s="1420"/>
      <c r="T5335" s="1420"/>
      <c r="V5335" s="1357">
        <v>411</v>
      </c>
    </row>
    <row r="5336" spans="1:22" s="841" customFormat="1" ht="15" x14ac:dyDescent="0.25">
      <c r="A5336" s="841" t="s">
        <v>2277</v>
      </c>
      <c r="E5336" s="1689" t="s">
        <v>3065</v>
      </c>
      <c r="F5336" s="1689"/>
      <c r="G5336" s="1689"/>
      <c r="H5336" s="1689"/>
      <c r="K5336" s="841" t="s">
        <v>3900</v>
      </c>
      <c r="M5336" s="1357"/>
      <c r="Q5336" s="1357"/>
      <c r="S5336" s="1420"/>
      <c r="T5336" s="1420"/>
      <c r="V5336" s="1357">
        <v>387</v>
      </c>
    </row>
    <row r="5337" spans="1:22" s="841" customFormat="1" ht="15" x14ac:dyDescent="0.25">
      <c r="A5337" s="841" t="s">
        <v>2277</v>
      </c>
      <c r="E5337" s="1689" t="s">
        <v>5132</v>
      </c>
      <c r="F5337" s="1689"/>
      <c r="G5337" s="1689"/>
      <c r="H5337" s="1689"/>
      <c r="K5337" s="841" t="s">
        <v>3900</v>
      </c>
      <c r="M5337" s="1357"/>
      <c r="Q5337" s="1357"/>
      <c r="S5337" s="1420"/>
      <c r="T5337" s="1420"/>
      <c r="V5337" s="1357">
        <v>658</v>
      </c>
    </row>
    <row r="5338" spans="1:22" s="841" customFormat="1" ht="15" x14ac:dyDescent="0.25">
      <c r="A5338" s="841" t="s">
        <v>2277</v>
      </c>
      <c r="E5338" s="1689" t="s">
        <v>3390</v>
      </c>
      <c r="F5338" s="1689"/>
      <c r="G5338" s="1689"/>
      <c r="H5338" s="1689"/>
      <c r="K5338" s="841" t="s">
        <v>3900</v>
      </c>
      <c r="M5338" s="1357"/>
      <c r="Q5338" s="1357"/>
      <c r="S5338" s="1420"/>
      <c r="T5338" s="1420"/>
      <c r="V5338" s="1357">
        <v>274</v>
      </c>
    </row>
    <row r="5339" spans="1:22" s="841" customFormat="1" ht="15" x14ac:dyDescent="0.25">
      <c r="A5339" s="841" t="s">
        <v>2277</v>
      </c>
      <c r="E5339" s="1694" t="s">
        <v>3067</v>
      </c>
      <c r="F5339" s="1907"/>
      <c r="G5339" s="1907"/>
      <c r="H5339" s="1907"/>
      <c r="K5339" s="841" t="s">
        <v>3224</v>
      </c>
      <c r="M5339" s="1357"/>
      <c r="Q5339" s="1357"/>
      <c r="S5339" s="1420"/>
      <c r="T5339" s="1420"/>
      <c r="V5339" s="1357">
        <v>46</v>
      </c>
    </row>
    <row r="5340" spans="1:22" s="841" customFormat="1" ht="15" x14ac:dyDescent="0.25">
      <c r="A5340" s="841" t="s">
        <v>2277</v>
      </c>
      <c r="E5340" s="1920" t="s">
        <v>11</v>
      </c>
      <c r="F5340" s="1690"/>
      <c r="G5340" s="695" t="s">
        <v>23</v>
      </c>
      <c r="H5340" s="391">
        <v>229.29</v>
      </c>
      <c r="K5340" s="841" t="s">
        <v>3900</v>
      </c>
      <c r="L5340" s="841" t="s">
        <v>442</v>
      </c>
      <c r="M5340" s="1357"/>
      <c r="P5340" s="841" t="s">
        <v>3902</v>
      </c>
      <c r="Q5340" s="1357"/>
      <c r="S5340" s="1420"/>
      <c r="T5340" s="1420"/>
      <c r="V5340" s="1357">
        <v>14</v>
      </c>
    </row>
    <row r="5341" spans="1:22" s="841" customFormat="1" ht="15" x14ac:dyDescent="0.25">
      <c r="A5341" s="841" t="s">
        <v>2277</v>
      </c>
      <c r="E5341" s="1920" t="s">
        <v>3895</v>
      </c>
      <c r="F5341" s="1690"/>
      <c r="G5341" s="695" t="s">
        <v>23</v>
      </c>
      <c r="H5341" s="696">
        <v>9.4600000000000009</v>
      </c>
      <c r="K5341" s="841" t="s">
        <v>3900</v>
      </c>
      <c r="L5341" s="841" t="s">
        <v>442</v>
      </c>
      <c r="M5341" s="1357"/>
      <c r="P5341" s="841" t="s">
        <v>6272</v>
      </c>
      <c r="Q5341" s="1357"/>
      <c r="S5341" s="1420"/>
      <c r="T5341" s="1420">
        <v>43830</v>
      </c>
      <c r="V5341" s="1357">
        <v>103</v>
      </c>
    </row>
    <row r="5342" spans="1:22" s="841" customFormat="1" ht="15" x14ac:dyDescent="0.25">
      <c r="A5342" s="841" t="s">
        <v>2277</v>
      </c>
      <c r="E5342" s="1920" t="s">
        <v>3896</v>
      </c>
      <c r="F5342" s="1690"/>
      <c r="G5342" s="695" t="s">
        <v>23</v>
      </c>
      <c r="H5342" s="696">
        <v>71.36</v>
      </c>
      <c r="K5342" s="841" t="s">
        <v>3900</v>
      </c>
      <c r="L5342" s="841" t="s">
        <v>442</v>
      </c>
      <c r="M5342" s="1357"/>
      <c r="P5342" s="841" t="s">
        <v>3903</v>
      </c>
      <c r="Q5342" s="1357"/>
      <c r="S5342" s="1420"/>
      <c r="T5342" s="1420">
        <v>43830</v>
      </c>
      <c r="V5342" s="1357">
        <v>84</v>
      </c>
    </row>
    <row r="5343" spans="1:22" s="841" customFormat="1" ht="15" x14ac:dyDescent="0.25">
      <c r="A5343" s="841" t="s">
        <v>2277</v>
      </c>
      <c r="E5343" s="1920" t="s">
        <v>84</v>
      </c>
      <c r="F5343" s="1690"/>
      <c r="G5343" s="695" t="s">
        <v>33</v>
      </c>
      <c r="H5343" s="393">
        <v>1.1783999999999999</v>
      </c>
      <c r="K5343" s="841" t="s">
        <v>3900</v>
      </c>
      <c r="L5343" s="841" t="s">
        <v>442</v>
      </c>
      <c r="M5343" s="1357"/>
      <c r="P5343" s="841" t="s">
        <v>3904</v>
      </c>
      <c r="Q5343" s="1357"/>
      <c r="S5343" s="1420"/>
      <c r="T5343" s="1420"/>
      <c r="V5343" s="1357">
        <v>28</v>
      </c>
    </row>
    <row r="5344" spans="1:22" s="841" customFormat="1" ht="15" x14ac:dyDescent="0.25">
      <c r="A5344" s="841" t="s">
        <v>2277</v>
      </c>
      <c r="E5344" s="1920" t="s">
        <v>18</v>
      </c>
      <c r="F5344" s="1690"/>
      <c r="G5344" s="695" t="s">
        <v>33</v>
      </c>
      <c r="H5344" s="697">
        <v>0.27079999999999999</v>
      </c>
      <c r="K5344" s="841" t="s">
        <v>3900</v>
      </c>
      <c r="L5344" s="841" t="s">
        <v>443</v>
      </c>
      <c r="M5344" s="1357"/>
      <c r="P5344" s="841" t="s">
        <v>3905</v>
      </c>
      <c r="Q5344" s="1357"/>
      <c r="S5344" s="1420"/>
      <c r="T5344" s="1420"/>
      <c r="V5344" s="1357">
        <v>24</v>
      </c>
    </row>
    <row r="5345" spans="1:22" s="841" customFormat="1" ht="15" x14ac:dyDescent="0.25">
      <c r="A5345" s="841" t="s">
        <v>2277</v>
      </c>
      <c r="E5345" s="1920" t="s">
        <v>5129</v>
      </c>
      <c r="F5345" s="1908"/>
      <c r="G5345" s="695" t="s">
        <v>24</v>
      </c>
      <c r="H5345" s="697">
        <v>-5.9999999999999995E-4</v>
      </c>
      <c r="K5345" s="841" t="s">
        <v>3900</v>
      </c>
      <c r="L5345" s="841" t="s">
        <v>443</v>
      </c>
      <c r="M5345" s="1357"/>
      <c r="P5345" s="841" t="s">
        <v>3906</v>
      </c>
      <c r="Q5345" s="1357"/>
      <c r="S5345" s="1420"/>
      <c r="T5345" s="1420">
        <v>43585</v>
      </c>
      <c r="V5345" s="1357">
        <v>139</v>
      </c>
    </row>
    <row r="5346" spans="1:22" s="841" customFormat="1" ht="15" x14ac:dyDescent="0.25">
      <c r="A5346" s="841" t="s">
        <v>2277</v>
      </c>
      <c r="E5346" s="1920" t="s">
        <v>5130</v>
      </c>
      <c r="F5346" s="1908"/>
      <c r="G5346" s="695" t="s">
        <v>33</v>
      </c>
      <c r="H5346" s="697">
        <v>0.53349999999999997</v>
      </c>
      <c r="K5346" s="841" t="s">
        <v>3900</v>
      </c>
      <c r="L5346" s="841" t="s">
        <v>443</v>
      </c>
      <c r="M5346" s="1357"/>
      <c r="P5346" s="841" t="s">
        <v>3907</v>
      </c>
      <c r="Q5346" s="1357"/>
      <c r="S5346" s="1420"/>
      <c r="T5346" s="1420">
        <v>43585</v>
      </c>
      <c r="V5346" s="1357">
        <v>96</v>
      </c>
    </row>
    <row r="5347" spans="1:22" s="841" customFormat="1" ht="15" x14ac:dyDescent="0.25">
      <c r="A5347" s="841" t="s">
        <v>2277</v>
      </c>
      <c r="E5347" s="1920" t="s">
        <v>221</v>
      </c>
      <c r="F5347" s="1690"/>
      <c r="G5347" s="695" t="s">
        <v>33</v>
      </c>
      <c r="H5347" s="393">
        <v>2.5398999999999998</v>
      </c>
      <c r="K5347" s="841" t="s">
        <v>3900</v>
      </c>
      <c r="L5347" s="841" t="s">
        <v>444</v>
      </c>
      <c r="M5347" s="1357"/>
      <c r="P5347" s="841" t="s">
        <v>5510</v>
      </c>
      <c r="Q5347" s="1357"/>
      <c r="S5347" s="1420"/>
      <c r="T5347" s="1420"/>
      <c r="V5347" s="1357">
        <v>47</v>
      </c>
    </row>
    <row r="5348" spans="1:22" s="841" customFormat="1" ht="15" x14ac:dyDescent="0.25">
      <c r="A5348" s="841" t="s">
        <v>2277</v>
      </c>
      <c r="E5348" s="1920" t="s">
        <v>217</v>
      </c>
      <c r="F5348" s="1690"/>
      <c r="G5348" s="695" t="s">
        <v>33</v>
      </c>
      <c r="H5348" s="393">
        <v>2.3229000000000002</v>
      </c>
      <c r="K5348" s="841" t="s">
        <v>3900</v>
      </c>
      <c r="L5348" s="841" t="s">
        <v>444</v>
      </c>
      <c r="M5348" s="1357"/>
      <c r="P5348" s="841" t="s">
        <v>5511</v>
      </c>
      <c r="Q5348" s="1357"/>
      <c r="S5348" s="1420"/>
      <c r="T5348" s="1420"/>
      <c r="V5348" s="1357">
        <v>74</v>
      </c>
    </row>
    <row r="5349" spans="1:22" s="841" customFormat="1" ht="15" x14ac:dyDescent="0.25">
      <c r="A5349" s="841" t="s">
        <v>2277</v>
      </c>
      <c r="E5349" s="1694" t="s">
        <v>3079</v>
      </c>
      <c r="F5349" s="1690"/>
      <c r="G5349" s="1690"/>
      <c r="H5349" s="1690"/>
      <c r="K5349" s="841" t="s">
        <v>3225</v>
      </c>
      <c r="M5349" s="1357"/>
      <c r="Q5349" s="1357"/>
      <c r="S5349" s="1420"/>
      <c r="T5349" s="1420"/>
      <c r="V5349" s="1357">
        <v>48</v>
      </c>
    </row>
    <row r="5350" spans="1:22" s="841" customFormat="1" ht="15" x14ac:dyDescent="0.25">
      <c r="A5350" s="841" t="s">
        <v>2277</v>
      </c>
      <c r="E5350" s="1690" t="s">
        <v>2449</v>
      </c>
      <c r="F5350" s="1690"/>
      <c r="G5350" s="695" t="s">
        <v>24</v>
      </c>
      <c r="H5350" s="697">
        <v>3.2000000000000002E-3</v>
      </c>
      <c r="K5350" s="841" t="s">
        <v>3900</v>
      </c>
      <c r="L5350" s="841" t="s">
        <v>3046</v>
      </c>
      <c r="M5350" s="1357"/>
      <c r="P5350" s="841" t="s">
        <v>3908</v>
      </c>
      <c r="Q5350" s="1357"/>
      <c r="S5350" s="1420"/>
      <c r="T5350" s="1420"/>
      <c r="V5350" s="1357">
        <v>55</v>
      </c>
    </row>
    <row r="5351" spans="1:22" s="841" customFormat="1" ht="15" x14ac:dyDescent="0.25">
      <c r="A5351" s="841" t="s">
        <v>2277</v>
      </c>
      <c r="E5351" s="1690" t="s">
        <v>2450</v>
      </c>
      <c r="F5351" s="1690"/>
      <c r="G5351" s="1408" t="s">
        <v>24</v>
      </c>
      <c r="H5351" s="393">
        <v>4.0000000000000002E-4</v>
      </c>
      <c r="K5351" s="841" t="s">
        <v>3900</v>
      </c>
      <c r="L5351" s="841" t="s">
        <v>3046</v>
      </c>
      <c r="M5351" s="1357"/>
      <c r="P5351" s="841" t="s">
        <v>3908</v>
      </c>
      <c r="Q5351" s="1357"/>
      <c r="S5351" s="1420"/>
      <c r="T5351" s="1420"/>
      <c r="V5351" s="1357">
        <v>65</v>
      </c>
    </row>
    <row r="5352" spans="1:22" s="841" customFormat="1" ht="15" x14ac:dyDescent="0.25">
      <c r="A5352" s="841" t="s">
        <v>2277</v>
      </c>
      <c r="E5352" s="1920" t="s">
        <v>439</v>
      </c>
      <c r="F5352" s="1690"/>
      <c r="G5352" s="695" t="s">
        <v>24</v>
      </c>
      <c r="H5352" s="697">
        <v>2.9999999999999997E-4</v>
      </c>
      <c r="K5352" s="841" t="s">
        <v>3900</v>
      </c>
      <c r="L5352" s="841" t="s">
        <v>3046</v>
      </c>
      <c r="M5352" s="1357"/>
      <c r="P5352" s="841" t="s">
        <v>3909</v>
      </c>
      <c r="Q5352" s="1357"/>
      <c r="S5352" s="1420"/>
      <c r="T5352" s="1420"/>
      <c r="V5352" s="1357">
        <v>57</v>
      </c>
    </row>
    <row r="5353" spans="1:22" s="841" customFormat="1" ht="15" x14ac:dyDescent="0.25">
      <c r="A5353" s="841" t="s">
        <v>2277</v>
      </c>
      <c r="E5353" s="1920" t="s">
        <v>32</v>
      </c>
      <c r="F5353" s="1690"/>
      <c r="G5353" s="695" t="s">
        <v>23</v>
      </c>
      <c r="H5353" s="696">
        <v>0.25</v>
      </c>
      <c r="K5353" s="841" t="s">
        <v>3900</v>
      </c>
      <c r="L5353" s="841" t="s">
        <v>3046</v>
      </c>
      <c r="M5353" s="1357"/>
      <c r="P5353" s="841" t="s">
        <v>3910</v>
      </c>
      <c r="Q5353" s="1357"/>
      <c r="S5353" s="1420"/>
      <c r="T5353" s="1420"/>
      <c r="V5353" s="1357">
        <v>63</v>
      </c>
    </row>
    <row r="5354" spans="1:22" s="841" customFormat="1" x14ac:dyDescent="0.25">
      <c r="A5354" s="841" t="s">
        <v>2277</v>
      </c>
      <c r="E5354" s="1936" t="s">
        <v>629</v>
      </c>
      <c r="F5354" s="1923"/>
      <c r="G5354" s="1923"/>
      <c r="H5354" s="1923"/>
      <c r="K5354" s="841" t="s">
        <v>3571</v>
      </c>
      <c r="M5354" s="1357"/>
      <c r="Q5354" s="1357"/>
      <c r="S5354" s="1420"/>
      <c r="T5354" s="1420"/>
      <c r="V5354" s="1357">
        <v>40</v>
      </c>
    </row>
    <row r="5355" spans="1:22" s="841" customFormat="1" ht="15" x14ac:dyDescent="0.25">
      <c r="A5355" s="841" t="s">
        <v>2277</v>
      </c>
      <c r="E5355" s="1689" t="s">
        <v>3911</v>
      </c>
      <c r="F5355" s="1689"/>
      <c r="G5355" s="1689"/>
      <c r="H5355" s="1689"/>
      <c r="K5355" s="841" t="s">
        <v>3571</v>
      </c>
      <c r="M5355" s="1357"/>
      <c r="Q5355" s="1357"/>
      <c r="S5355" s="1420"/>
      <c r="T5355" s="1420"/>
      <c r="V5355" s="1357">
        <v>281</v>
      </c>
    </row>
    <row r="5356" spans="1:22" s="841" customFormat="1" ht="15" x14ac:dyDescent="0.25">
      <c r="A5356" s="841" t="s">
        <v>2277</v>
      </c>
      <c r="E5356" s="1916" t="s">
        <v>3061</v>
      </c>
      <c r="F5356" s="1689"/>
      <c r="G5356" s="1689"/>
      <c r="H5356" s="1689"/>
      <c r="K5356" s="841" t="s">
        <v>3107</v>
      </c>
      <c r="M5356" s="1357"/>
      <c r="Q5356" s="1357"/>
      <c r="S5356" s="1420"/>
      <c r="T5356" s="1420"/>
      <c r="V5356" s="1357">
        <v>11</v>
      </c>
    </row>
    <row r="5357" spans="1:22" s="841" customFormat="1" ht="15" x14ac:dyDescent="0.25">
      <c r="A5357" s="841" t="s">
        <v>2277</v>
      </c>
      <c r="E5357" s="1689" t="s">
        <v>3063</v>
      </c>
      <c r="F5357" s="1689"/>
      <c r="G5357" s="1689"/>
      <c r="H5357" s="1689"/>
      <c r="K5357" s="841" t="s">
        <v>3571</v>
      </c>
      <c r="M5357" s="1357"/>
      <c r="Q5357" s="1357"/>
      <c r="S5357" s="1420"/>
      <c r="T5357" s="1420"/>
      <c r="V5357" s="1357">
        <v>280</v>
      </c>
    </row>
    <row r="5358" spans="1:22" s="841" customFormat="1" ht="15" x14ac:dyDescent="0.25">
      <c r="A5358" s="841" t="s">
        <v>2277</v>
      </c>
      <c r="E5358" s="1689" t="s">
        <v>3064</v>
      </c>
      <c r="F5358" s="1689"/>
      <c r="G5358" s="1689"/>
      <c r="H5358" s="1689"/>
      <c r="K5358" s="841" t="s">
        <v>3571</v>
      </c>
      <c r="M5358" s="1357"/>
      <c r="Q5358" s="1357"/>
      <c r="S5358" s="1420"/>
      <c r="T5358" s="1420"/>
      <c r="V5358" s="1357">
        <v>411</v>
      </c>
    </row>
    <row r="5359" spans="1:22" s="841" customFormat="1" ht="15" x14ac:dyDescent="0.25">
      <c r="A5359" s="841" t="s">
        <v>2277</v>
      </c>
      <c r="E5359" s="1689" t="s">
        <v>3065</v>
      </c>
      <c r="F5359" s="1689"/>
      <c r="G5359" s="1689"/>
      <c r="H5359" s="1689"/>
      <c r="K5359" s="841" t="s">
        <v>3571</v>
      </c>
      <c r="M5359" s="1357"/>
      <c r="Q5359" s="1357"/>
      <c r="S5359" s="1420"/>
      <c r="T5359" s="1420"/>
      <c r="V5359" s="1357">
        <v>387</v>
      </c>
    </row>
    <row r="5360" spans="1:22" s="841" customFormat="1" ht="15" x14ac:dyDescent="0.25">
      <c r="A5360" s="841" t="s">
        <v>2277</v>
      </c>
      <c r="E5360" s="1689" t="s">
        <v>3390</v>
      </c>
      <c r="F5360" s="1689"/>
      <c r="G5360" s="1689"/>
      <c r="H5360" s="1689"/>
      <c r="K5360" s="841" t="s">
        <v>3571</v>
      </c>
      <c r="M5360" s="1357"/>
      <c r="Q5360" s="1357"/>
      <c r="S5360" s="1420"/>
      <c r="T5360" s="1420"/>
      <c r="V5360" s="1357">
        <v>274</v>
      </c>
    </row>
    <row r="5361" spans="1:22" s="841" customFormat="1" ht="15" x14ac:dyDescent="0.25">
      <c r="A5361" s="841" t="s">
        <v>2277</v>
      </c>
      <c r="E5361" s="1694" t="s">
        <v>3067</v>
      </c>
      <c r="F5361" s="1907"/>
      <c r="G5361" s="1907"/>
      <c r="H5361" s="1907"/>
      <c r="K5361" s="841" t="s">
        <v>3108</v>
      </c>
      <c r="M5361" s="1357"/>
      <c r="Q5361" s="1357"/>
      <c r="S5361" s="1420"/>
      <c r="T5361" s="1420"/>
      <c r="V5361" s="1357">
        <v>46</v>
      </c>
    </row>
    <row r="5362" spans="1:22" s="841" customFormat="1" ht="15" x14ac:dyDescent="0.25">
      <c r="A5362" s="841" t="s">
        <v>2277</v>
      </c>
      <c r="E5362" s="1920" t="s">
        <v>12</v>
      </c>
      <c r="F5362" s="1690"/>
      <c r="G5362" s="695" t="s">
        <v>23</v>
      </c>
      <c r="H5362" s="391">
        <v>7.71</v>
      </c>
      <c r="K5362" s="841" t="s">
        <v>3571</v>
      </c>
      <c r="L5362" s="841" t="s">
        <v>442</v>
      </c>
      <c r="M5362" s="1357"/>
      <c r="P5362" s="841" t="s">
        <v>3573</v>
      </c>
      <c r="Q5362" s="1357"/>
      <c r="S5362" s="1420"/>
      <c r="T5362" s="1420"/>
      <c r="V5362" s="1357">
        <v>31</v>
      </c>
    </row>
    <row r="5363" spans="1:22" s="841" customFormat="1" ht="15" x14ac:dyDescent="0.25">
      <c r="A5363" s="841" t="s">
        <v>2277</v>
      </c>
      <c r="E5363" s="1920" t="s">
        <v>84</v>
      </c>
      <c r="F5363" s="1690"/>
      <c r="G5363" s="695" t="s">
        <v>33</v>
      </c>
      <c r="H5363" s="393">
        <v>8.2345000000000006</v>
      </c>
      <c r="K5363" s="841" t="s">
        <v>3571</v>
      </c>
      <c r="L5363" s="841" t="s">
        <v>442</v>
      </c>
      <c r="M5363" s="1357"/>
      <c r="P5363" s="841" t="s">
        <v>3574</v>
      </c>
      <c r="Q5363" s="1357"/>
      <c r="S5363" s="1420"/>
      <c r="T5363" s="1420"/>
      <c r="V5363" s="1357">
        <v>28</v>
      </c>
    </row>
    <row r="5364" spans="1:22" s="841" customFormat="1" ht="15" x14ac:dyDescent="0.25">
      <c r="A5364" s="841" t="s">
        <v>2277</v>
      </c>
      <c r="E5364" s="1920" t="s">
        <v>18</v>
      </c>
      <c r="F5364" s="1690"/>
      <c r="G5364" s="695" t="s">
        <v>33</v>
      </c>
      <c r="H5364" s="697">
        <v>0.17949999999999999</v>
      </c>
      <c r="K5364" s="841" t="s">
        <v>3571</v>
      </c>
      <c r="L5364" s="841" t="s">
        <v>443</v>
      </c>
      <c r="M5364" s="1357"/>
      <c r="P5364" s="841" t="s">
        <v>3575</v>
      </c>
      <c r="Q5364" s="1357"/>
      <c r="S5364" s="1420"/>
      <c r="T5364" s="1420"/>
      <c r="V5364" s="1357">
        <v>24</v>
      </c>
    </row>
    <row r="5365" spans="1:22" s="841" customFormat="1" ht="15" x14ac:dyDescent="0.25">
      <c r="A5365" s="841" t="s">
        <v>2277</v>
      </c>
      <c r="E5365" s="1920" t="s">
        <v>5129</v>
      </c>
      <c r="F5365" s="1908"/>
      <c r="G5365" s="695" t="s">
        <v>24</v>
      </c>
      <c r="H5365" s="697">
        <v>-5.0000000000000001E-4</v>
      </c>
      <c r="K5365" s="841" t="s">
        <v>3571</v>
      </c>
      <c r="L5365" s="841" t="s">
        <v>443</v>
      </c>
      <c r="M5365" s="1357"/>
      <c r="P5365" s="841" t="s">
        <v>3717</v>
      </c>
      <c r="Q5365" s="1357"/>
      <c r="S5365" s="1420"/>
      <c r="T5365" s="1420">
        <v>43585</v>
      </c>
      <c r="V5365" s="1357">
        <v>139</v>
      </c>
    </row>
    <row r="5366" spans="1:22" s="841" customFormat="1" ht="15" x14ac:dyDescent="0.25">
      <c r="A5366" s="841" t="s">
        <v>2277</v>
      </c>
      <c r="E5366" s="1920" t="s">
        <v>5130</v>
      </c>
      <c r="F5366" s="1908"/>
      <c r="G5366" s="695" t="s">
        <v>33</v>
      </c>
      <c r="H5366" s="697">
        <v>9.4500000000000001E-2</v>
      </c>
      <c r="K5366" s="841" t="s">
        <v>3571</v>
      </c>
      <c r="L5366" s="841" t="s">
        <v>443</v>
      </c>
      <c r="M5366" s="1357"/>
      <c r="P5366" s="841" t="s">
        <v>3718</v>
      </c>
      <c r="Q5366" s="1357"/>
      <c r="S5366" s="1420"/>
      <c r="T5366" s="1420">
        <v>43585</v>
      </c>
      <c r="V5366" s="1357">
        <v>96</v>
      </c>
    </row>
    <row r="5367" spans="1:22" s="841" customFormat="1" ht="15" x14ac:dyDescent="0.25">
      <c r="A5367" s="841" t="s">
        <v>2277</v>
      </c>
      <c r="E5367" s="1920" t="s">
        <v>221</v>
      </c>
      <c r="F5367" s="1690"/>
      <c r="G5367" s="695" t="s">
        <v>33</v>
      </c>
      <c r="H5367" s="393">
        <v>1.7212000000000001</v>
      </c>
      <c r="K5367" s="841" t="s">
        <v>3571</v>
      </c>
      <c r="L5367" s="841" t="s">
        <v>444</v>
      </c>
      <c r="M5367" s="1357"/>
      <c r="P5367" s="841" t="s">
        <v>3576</v>
      </c>
      <c r="Q5367" s="1357"/>
      <c r="S5367" s="1420"/>
      <c r="T5367" s="1420"/>
      <c r="V5367" s="1357">
        <v>47</v>
      </c>
    </row>
    <row r="5368" spans="1:22" s="841" customFormat="1" ht="15" x14ac:dyDescent="0.25">
      <c r="A5368" s="841" t="s">
        <v>2277</v>
      </c>
      <c r="E5368" s="1920" t="s">
        <v>217</v>
      </c>
      <c r="F5368" s="1690"/>
      <c r="G5368" s="695" t="s">
        <v>33</v>
      </c>
      <c r="H5368" s="393">
        <v>1.54</v>
      </c>
      <c r="K5368" s="841" t="s">
        <v>3571</v>
      </c>
      <c r="L5368" s="841" t="s">
        <v>444</v>
      </c>
      <c r="M5368" s="1357"/>
      <c r="P5368" s="841" t="s">
        <v>3577</v>
      </c>
      <c r="Q5368" s="1357"/>
      <c r="S5368" s="1420"/>
      <c r="T5368" s="1420"/>
      <c r="V5368" s="1357">
        <v>74</v>
      </c>
    </row>
    <row r="5369" spans="1:22" s="841" customFormat="1" ht="15" x14ac:dyDescent="0.25">
      <c r="A5369" s="841" t="s">
        <v>2277</v>
      </c>
      <c r="E5369" s="1694" t="s">
        <v>3079</v>
      </c>
      <c r="F5369" s="1690"/>
      <c r="G5369" s="1690"/>
      <c r="H5369" s="1690"/>
      <c r="K5369" s="841" t="s">
        <v>3111</v>
      </c>
      <c r="M5369" s="1357"/>
      <c r="Q5369" s="1357"/>
      <c r="S5369" s="1420"/>
      <c r="T5369" s="1420"/>
      <c r="V5369" s="1357">
        <v>48</v>
      </c>
    </row>
    <row r="5370" spans="1:22" s="841" customFormat="1" ht="15" x14ac:dyDescent="0.25">
      <c r="A5370" s="841" t="s">
        <v>2277</v>
      </c>
      <c r="E5370" s="1690" t="s">
        <v>2449</v>
      </c>
      <c r="F5370" s="1690"/>
      <c r="G5370" s="695" t="s">
        <v>24</v>
      </c>
      <c r="H5370" s="697">
        <v>3.2000000000000002E-3</v>
      </c>
      <c r="K5370" s="841" t="s">
        <v>3571</v>
      </c>
      <c r="L5370" s="841" t="s">
        <v>3046</v>
      </c>
      <c r="M5370" s="1357"/>
      <c r="P5370" s="841" t="s">
        <v>3578</v>
      </c>
      <c r="Q5370" s="1357"/>
      <c r="S5370" s="1420"/>
      <c r="T5370" s="1420"/>
      <c r="V5370" s="1357">
        <v>55</v>
      </c>
    </row>
    <row r="5371" spans="1:22" s="841" customFormat="1" ht="15" x14ac:dyDescent="0.25">
      <c r="A5371" s="841" t="s">
        <v>2277</v>
      </c>
      <c r="E5371" s="1690" t="s">
        <v>2450</v>
      </c>
      <c r="F5371" s="1690"/>
      <c r="G5371" s="1408" t="s">
        <v>24</v>
      </c>
      <c r="H5371" s="393">
        <v>4.0000000000000002E-4</v>
      </c>
      <c r="K5371" s="841" t="s">
        <v>3571</v>
      </c>
      <c r="L5371" s="841" t="s">
        <v>3046</v>
      </c>
      <c r="M5371" s="1357"/>
      <c r="P5371" s="841" t="s">
        <v>3578</v>
      </c>
      <c r="Q5371" s="1357"/>
      <c r="S5371" s="1420"/>
      <c r="T5371" s="1420"/>
      <c r="V5371" s="1357">
        <v>65</v>
      </c>
    </row>
    <row r="5372" spans="1:22" s="841" customFormat="1" ht="15" x14ac:dyDescent="0.25">
      <c r="A5372" s="841" t="s">
        <v>2277</v>
      </c>
      <c r="E5372" s="1920" t="s">
        <v>439</v>
      </c>
      <c r="F5372" s="1690"/>
      <c r="G5372" s="695" t="s">
        <v>24</v>
      </c>
      <c r="H5372" s="697">
        <v>2.9999999999999997E-4</v>
      </c>
      <c r="K5372" s="841" t="s">
        <v>3571</v>
      </c>
      <c r="L5372" s="841" t="s">
        <v>3046</v>
      </c>
      <c r="M5372" s="1357"/>
      <c r="P5372" s="841" t="s">
        <v>3579</v>
      </c>
      <c r="Q5372" s="1357"/>
      <c r="S5372" s="1420"/>
      <c r="T5372" s="1420"/>
      <c r="V5372" s="1357">
        <v>57</v>
      </c>
    </row>
    <row r="5373" spans="1:22" s="841" customFormat="1" ht="15" x14ac:dyDescent="0.25">
      <c r="A5373" s="841" t="s">
        <v>2277</v>
      </c>
      <c r="E5373" s="1920" t="s">
        <v>32</v>
      </c>
      <c r="F5373" s="1690"/>
      <c r="G5373" s="695" t="s">
        <v>23</v>
      </c>
      <c r="H5373" s="696">
        <v>0.25</v>
      </c>
      <c r="K5373" s="841" t="s">
        <v>3571</v>
      </c>
      <c r="L5373" s="841" t="s">
        <v>3046</v>
      </c>
      <c r="M5373" s="1357"/>
      <c r="P5373" s="841" t="s">
        <v>3580</v>
      </c>
      <c r="Q5373" s="1357"/>
      <c r="S5373" s="1420"/>
      <c r="T5373" s="1420"/>
      <c r="V5373" s="1357">
        <v>63</v>
      </c>
    </row>
    <row r="5374" spans="1:22" s="841" customFormat="1" x14ac:dyDescent="0.25">
      <c r="A5374" s="841" t="s">
        <v>2277</v>
      </c>
      <c r="E5374" s="1936" t="s">
        <v>615</v>
      </c>
      <c r="F5374" s="1923"/>
      <c r="G5374" s="1923"/>
      <c r="H5374" s="1923"/>
      <c r="K5374" s="841" t="s">
        <v>3112</v>
      </c>
      <c r="M5374" s="1357"/>
      <c r="Q5374" s="1357"/>
      <c r="S5374" s="1420"/>
      <c r="T5374" s="1420"/>
      <c r="V5374" s="1357">
        <v>38</v>
      </c>
    </row>
    <row r="5375" spans="1:22" s="841" customFormat="1" ht="15" x14ac:dyDescent="0.25">
      <c r="A5375" s="841" t="s">
        <v>2277</v>
      </c>
      <c r="E5375" s="1689" t="s">
        <v>3912</v>
      </c>
      <c r="F5375" s="1689"/>
      <c r="G5375" s="1689"/>
      <c r="H5375" s="1689"/>
      <c r="K5375" s="841" t="s">
        <v>3112</v>
      </c>
      <c r="M5375" s="1357"/>
      <c r="Q5375" s="1357"/>
      <c r="S5375" s="1420"/>
      <c r="T5375" s="1420"/>
      <c r="V5375" s="1357">
        <v>474</v>
      </c>
    </row>
    <row r="5376" spans="1:22" s="841" customFormat="1" ht="15" x14ac:dyDescent="0.25">
      <c r="A5376" s="841" t="s">
        <v>2277</v>
      </c>
      <c r="E5376" s="1916" t="s">
        <v>3061</v>
      </c>
      <c r="F5376" s="1689"/>
      <c r="G5376" s="1689"/>
      <c r="H5376" s="1689"/>
      <c r="K5376" s="841" t="s">
        <v>3114</v>
      </c>
      <c r="M5376" s="1357"/>
      <c r="Q5376" s="1357"/>
      <c r="S5376" s="1420"/>
      <c r="T5376" s="1420"/>
      <c r="V5376" s="1357">
        <v>11</v>
      </c>
    </row>
    <row r="5377" spans="1:22" s="841" customFormat="1" ht="15" x14ac:dyDescent="0.25">
      <c r="A5377" s="841" t="s">
        <v>2277</v>
      </c>
      <c r="E5377" s="1689" t="s">
        <v>3063</v>
      </c>
      <c r="F5377" s="1689"/>
      <c r="G5377" s="1689"/>
      <c r="H5377" s="1689"/>
      <c r="K5377" s="841" t="s">
        <v>3112</v>
      </c>
      <c r="M5377" s="1357"/>
      <c r="Q5377" s="1357"/>
      <c r="S5377" s="1420"/>
      <c r="T5377" s="1420"/>
      <c r="V5377" s="1357">
        <v>280</v>
      </c>
    </row>
    <row r="5378" spans="1:22" s="841" customFormat="1" ht="15" x14ac:dyDescent="0.25">
      <c r="A5378" s="841" t="s">
        <v>2277</v>
      </c>
      <c r="E5378" s="1689" t="s">
        <v>3064</v>
      </c>
      <c r="F5378" s="1689"/>
      <c r="G5378" s="1689"/>
      <c r="H5378" s="1689"/>
      <c r="K5378" s="841" t="s">
        <v>3112</v>
      </c>
      <c r="M5378" s="1357"/>
      <c r="Q5378" s="1357"/>
      <c r="S5378" s="1420"/>
      <c r="T5378" s="1420"/>
      <c r="V5378" s="1357">
        <v>411</v>
      </c>
    </row>
    <row r="5379" spans="1:22" s="841" customFormat="1" ht="15" x14ac:dyDescent="0.25">
      <c r="A5379" s="841" t="s">
        <v>2277</v>
      </c>
      <c r="E5379" s="1689" t="s">
        <v>3065</v>
      </c>
      <c r="F5379" s="1689"/>
      <c r="G5379" s="1689"/>
      <c r="H5379" s="1689"/>
      <c r="K5379" s="841" t="s">
        <v>3112</v>
      </c>
      <c r="M5379" s="1357"/>
      <c r="Q5379" s="1357"/>
      <c r="S5379" s="1420"/>
      <c r="T5379" s="1420"/>
      <c r="V5379" s="1357">
        <v>387</v>
      </c>
    </row>
    <row r="5380" spans="1:22" s="841" customFormat="1" ht="15" x14ac:dyDescent="0.25">
      <c r="A5380" s="841" t="s">
        <v>2277</v>
      </c>
      <c r="E5380" s="1689" t="s">
        <v>3390</v>
      </c>
      <c r="F5380" s="1689"/>
      <c r="G5380" s="1689"/>
      <c r="H5380" s="1689"/>
      <c r="K5380" s="841" t="s">
        <v>3112</v>
      </c>
      <c r="M5380" s="1357"/>
      <c r="Q5380" s="1357"/>
      <c r="S5380" s="1420"/>
      <c r="T5380" s="1420"/>
      <c r="V5380" s="1357">
        <v>274</v>
      </c>
    </row>
    <row r="5381" spans="1:22" s="841" customFormat="1" ht="15" x14ac:dyDescent="0.25">
      <c r="A5381" s="841" t="s">
        <v>2277</v>
      </c>
      <c r="E5381" s="1694" t="s">
        <v>3067</v>
      </c>
      <c r="F5381" s="1907"/>
      <c r="G5381" s="1907"/>
      <c r="H5381" s="1907"/>
      <c r="K5381" s="841" t="s">
        <v>3115</v>
      </c>
      <c r="M5381" s="1357"/>
      <c r="Q5381" s="1357"/>
      <c r="S5381" s="1420"/>
      <c r="T5381" s="1420"/>
      <c r="V5381" s="1357">
        <v>46</v>
      </c>
    </row>
    <row r="5382" spans="1:22" s="841" customFormat="1" ht="15" x14ac:dyDescent="0.25">
      <c r="A5382" s="841" t="s">
        <v>2277</v>
      </c>
      <c r="E5382" s="1920" t="s">
        <v>12</v>
      </c>
      <c r="F5382" s="1690"/>
      <c r="G5382" s="695" t="s">
        <v>23</v>
      </c>
      <c r="H5382" s="391">
        <v>4.6900000000000004</v>
      </c>
      <c r="K5382" s="841" t="s">
        <v>3112</v>
      </c>
      <c r="L5382" s="841" t="s">
        <v>442</v>
      </c>
      <c r="M5382" s="1357"/>
      <c r="P5382" s="841" t="s">
        <v>3116</v>
      </c>
      <c r="Q5382" s="1357"/>
      <c r="S5382" s="1420"/>
      <c r="T5382" s="1420"/>
      <c r="V5382" s="1357">
        <v>31</v>
      </c>
    </row>
    <row r="5383" spans="1:22" s="841" customFormat="1" ht="15" x14ac:dyDescent="0.25">
      <c r="A5383" s="841" t="s">
        <v>2277</v>
      </c>
      <c r="E5383" s="1920" t="s">
        <v>84</v>
      </c>
      <c r="F5383" s="1690"/>
      <c r="G5383" s="695" t="s">
        <v>33</v>
      </c>
      <c r="H5383" s="393">
        <v>2.5973000000000002</v>
      </c>
      <c r="K5383" s="841" t="s">
        <v>3112</v>
      </c>
      <c r="L5383" s="841" t="s">
        <v>442</v>
      </c>
      <c r="M5383" s="1357"/>
      <c r="P5383" s="841" t="s">
        <v>3117</v>
      </c>
      <c r="Q5383" s="1357"/>
      <c r="S5383" s="1420"/>
      <c r="T5383" s="1420"/>
      <c r="V5383" s="1357">
        <v>28</v>
      </c>
    </row>
    <row r="5384" spans="1:22" s="841" customFormat="1" ht="15" x14ac:dyDescent="0.25">
      <c r="A5384" s="841" t="s">
        <v>2277</v>
      </c>
      <c r="E5384" s="1920" t="s">
        <v>18</v>
      </c>
      <c r="F5384" s="1690"/>
      <c r="G5384" s="695" t="s">
        <v>33</v>
      </c>
      <c r="H5384" s="697">
        <v>0.1759</v>
      </c>
      <c r="K5384" s="841" t="s">
        <v>3112</v>
      </c>
      <c r="L5384" s="841" t="s">
        <v>443</v>
      </c>
      <c r="M5384" s="1357"/>
      <c r="P5384" s="841" t="s">
        <v>3497</v>
      </c>
      <c r="Q5384" s="1357"/>
      <c r="S5384" s="1420"/>
      <c r="T5384" s="1420"/>
      <c r="V5384" s="1357">
        <v>24</v>
      </c>
    </row>
    <row r="5385" spans="1:22" s="841" customFormat="1" ht="15" x14ac:dyDescent="0.25">
      <c r="A5385" s="841" t="s">
        <v>2277</v>
      </c>
      <c r="E5385" s="1920" t="s">
        <v>5129</v>
      </c>
      <c r="F5385" s="1908"/>
      <c r="G5385" s="695" t="s">
        <v>24</v>
      </c>
      <c r="H5385" s="697">
        <v>-5.9999999999999995E-4</v>
      </c>
      <c r="K5385" s="841" t="s">
        <v>3112</v>
      </c>
      <c r="L5385" s="841" t="s">
        <v>443</v>
      </c>
      <c r="M5385" s="1357"/>
      <c r="P5385" s="841" t="s">
        <v>3119</v>
      </c>
      <c r="Q5385" s="1357"/>
      <c r="S5385" s="1420"/>
      <c r="T5385" s="1420">
        <v>43585</v>
      </c>
      <c r="V5385" s="1357">
        <v>139</v>
      </c>
    </row>
    <row r="5386" spans="1:22" s="841" customFormat="1" ht="15" x14ac:dyDescent="0.25">
      <c r="A5386" s="841" t="s">
        <v>2277</v>
      </c>
      <c r="E5386" s="1920" t="s">
        <v>5130</v>
      </c>
      <c r="F5386" s="1908"/>
      <c r="G5386" s="695" t="s">
        <v>33</v>
      </c>
      <c r="H5386" s="697">
        <v>0.66759999999999997</v>
      </c>
      <c r="K5386" s="841" t="s">
        <v>3112</v>
      </c>
      <c r="L5386" s="841" t="s">
        <v>443</v>
      </c>
      <c r="M5386" s="1357"/>
      <c r="P5386" s="841" t="s">
        <v>3118</v>
      </c>
      <c r="Q5386" s="1357"/>
      <c r="S5386" s="1420"/>
      <c r="T5386" s="1420">
        <v>43585</v>
      </c>
      <c r="V5386" s="1357">
        <v>96</v>
      </c>
    </row>
    <row r="5387" spans="1:22" s="841" customFormat="1" ht="15" x14ac:dyDescent="0.25">
      <c r="A5387" s="841" t="s">
        <v>2277</v>
      </c>
      <c r="E5387" s="1920" t="s">
        <v>221</v>
      </c>
      <c r="F5387" s="1690"/>
      <c r="G5387" s="695" t="s">
        <v>33</v>
      </c>
      <c r="H5387" s="393">
        <v>1.7125999999999999</v>
      </c>
      <c r="K5387" s="841" t="s">
        <v>3112</v>
      </c>
      <c r="L5387" s="841" t="s">
        <v>444</v>
      </c>
      <c r="M5387" s="1357"/>
      <c r="P5387" s="841" t="s">
        <v>3120</v>
      </c>
      <c r="Q5387" s="1357"/>
      <c r="S5387" s="1420"/>
      <c r="T5387" s="1420"/>
      <c r="V5387" s="1357">
        <v>47</v>
      </c>
    </row>
    <row r="5388" spans="1:22" s="841" customFormat="1" ht="15" x14ac:dyDescent="0.25">
      <c r="A5388" s="841" t="s">
        <v>2277</v>
      </c>
      <c r="E5388" s="1920" t="s">
        <v>217</v>
      </c>
      <c r="F5388" s="1690"/>
      <c r="G5388" s="695" t="s">
        <v>33</v>
      </c>
      <c r="H5388" s="393">
        <v>1.5087999999999999</v>
      </c>
      <c r="K5388" s="841" t="s">
        <v>3112</v>
      </c>
      <c r="L5388" s="841" t="s">
        <v>444</v>
      </c>
      <c r="M5388" s="1357"/>
      <c r="P5388" s="841" t="s">
        <v>3121</v>
      </c>
      <c r="Q5388" s="1357"/>
      <c r="S5388" s="1420"/>
      <c r="T5388" s="1420"/>
      <c r="V5388" s="1357">
        <v>74</v>
      </c>
    </row>
    <row r="5389" spans="1:22" s="841" customFormat="1" ht="15" x14ac:dyDescent="0.25">
      <c r="A5389" s="841" t="s">
        <v>2277</v>
      </c>
      <c r="E5389" s="1694" t="s">
        <v>3079</v>
      </c>
      <c r="F5389" s="1690"/>
      <c r="G5389" s="1690"/>
      <c r="H5389" s="1690"/>
      <c r="K5389" s="841" t="s">
        <v>3122</v>
      </c>
      <c r="M5389" s="1357"/>
      <c r="Q5389" s="1357"/>
      <c r="S5389" s="1420"/>
      <c r="T5389" s="1420"/>
      <c r="V5389" s="1357">
        <v>48</v>
      </c>
    </row>
    <row r="5390" spans="1:22" s="841" customFormat="1" ht="15" x14ac:dyDescent="0.25">
      <c r="A5390" s="841" t="s">
        <v>2277</v>
      </c>
      <c r="E5390" s="1690" t="s">
        <v>2449</v>
      </c>
      <c r="F5390" s="1690"/>
      <c r="G5390" s="695" t="s">
        <v>24</v>
      </c>
      <c r="H5390" s="697">
        <v>3.2000000000000002E-3</v>
      </c>
      <c r="K5390" s="841" t="s">
        <v>3112</v>
      </c>
      <c r="L5390" s="841" t="s">
        <v>3046</v>
      </c>
      <c r="M5390" s="1357"/>
      <c r="P5390" s="841" t="s">
        <v>3123</v>
      </c>
      <c r="Q5390" s="1357"/>
      <c r="S5390" s="1420"/>
      <c r="T5390" s="1420"/>
      <c r="V5390" s="1357">
        <v>55</v>
      </c>
    </row>
    <row r="5391" spans="1:22" s="841" customFormat="1" ht="15" x14ac:dyDescent="0.25">
      <c r="A5391" s="841" t="s">
        <v>2277</v>
      </c>
      <c r="E5391" s="1690" t="s">
        <v>2450</v>
      </c>
      <c r="F5391" s="1690"/>
      <c r="G5391" s="1408" t="s">
        <v>24</v>
      </c>
      <c r="H5391" s="393">
        <v>4.0000000000000002E-4</v>
      </c>
      <c r="K5391" s="841" t="s">
        <v>3112</v>
      </c>
      <c r="L5391" s="841" t="s">
        <v>3046</v>
      </c>
      <c r="M5391" s="1357"/>
      <c r="P5391" s="841" t="s">
        <v>3123</v>
      </c>
      <c r="Q5391" s="1357"/>
      <c r="S5391" s="1420"/>
      <c r="T5391" s="1420"/>
      <c r="V5391" s="1357">
        <v>65</v>
      </c>
    </row>
    <row r="5392" spans="1:22" s="841" customFormat="1" ht="15" x14ac:dyDescent="0.25">
      <c r="A5392" s="841" t="s">
        <v>2277</v>
      </c>
      <c r="E5392" s="1920" t="s">
        <v>439</v>
      </c>
      <c r="F5392" s="1690"/>
      <c r="G5392" s="695" t="s">
        <v>24</v>
      </c>
      <c r="H5392" s="697">
        <v>2.9999999999999997E-4</v>
      </c>
      <c r="K5392" s="841" t="s">
        <v>3112</v>
      </c>
      <c r="L5392" s="841" t="s">
        <v>3046</v>
      </c>
      <c r="M5392" s="1357"/>
      <c r="P5392" s="841" t="s">
        <v>3124</v>
      </c>
      <c r="Q5392" s="1357"/>
      <c r="S5392" s="1420"/>
      <c r="T5392" s="1420"/>
      <c r="V5392" s="1357">
        <v>57</v>
      </c>
    </row>
    <row r="5393" spans="1:22" s="841" customFormat="1" ht="15" x14ac:dyDescent="0.25">
      <c r="A5393" s="841" t="s">
        <v>2277</v>
      </c>
      <c r="E5393" s="1920" t="s">
        <v>32</v>
      </c>
      <c r="F5393" s="1690"/>
      <c r="G5393" s="695" t="s">
        <v>23</v>
      </c>
      <c r="H5393" s="696">
        <v>0.25</v>
      </c>
      <c r="K5393" s="841" t="s">
        <v>3112</v>
      </c>
      <c r="L5393" s="841" t="s">
        <v>3046</v>
      </c>
      <c r="M5393" s="1357"/>
      <c r="P5393" s="841" t="s">
        <v>3125</v>
      </c>
      <c r="Q5393" s="1357"/>
      <c r="S5393" s="1420"/>
      <c r="T5393" s="1420"/>
      <c r="V5393" s="1357">
        <v>63</v>
      </c>
    </row>
    <row r="5394" spans="1:22" s="841" customFormat="1" x14ac:dyDescent="0.25">
      <c r="A5394" s="841" t="s">
        <v>2277</v>
      </c>
      <c r="E5394" s="1909" t="s">
        <v>618</v>
      </c>
      <c r="F5394" s="1923"/>
      <c r="G5394" s="1923"/>
      <c r="H5394" s="1923"/>
      <c r="K5394" s="841" t="s">
        <v>3126</v>
      </c>
      <c r="M5394" s="1357"/>
      <c r="Q5394" s="1357"/>
      <c r="S5394" s="1420"/>
      <c r="T5394" s="1420"/>
      <c r="V5394" s="1357">
        <v>31</v>
      </c>
    </row>
    <row r="5395" spans="1:22" s="841" customFormat="1" ht="15" x14ac:dyDescent="0.25">
      <c r="A5395" s="841" t="s">
        <v>2277</v>
      </c>
      <c r="E5395" s="1689" t="s">
        <v>3913</v>
      </c>
      <c r="F5395" s="1689"/>
      <c r="G5395" s="1689"/>
      <c r="H5395" s="1689"/>
      <c r="K5395" s="841" t="s">
        <v>3126</v>
      </c>
      <c r="M5395" s="1357"/>
      <c r="Q5395" s="1357"/>
      <c r="S5395" s="1420"/>
      <c r="T5395" s="1420"/>
      <c r="V5395" s="1357">
        <v>281</v>
      </c>
    </row>
    <row r="5396" spans="1:22" s="841" customFormat="1" ht="15" x14ac:dyDescent="0.25">
      <c r="A5396" s="841" t="s">
        <v>2277</v>
      </c>
      <c r="E5396" s="1916" t="s">
        <v>3061</v>
      </c>
      <c r="F5396" s="1689"/>
      <c r="G5396" s="1689"/>
      <c r="H5396" s="1689"/>
      <c r="K5396" s="841" t="s">
        <v>3128</v>
      </c>
      <c r="M5396" s="1357"/>
      <c r="Q5396" s="1357"/>
      <c r="S5396" s="1420"/>
      <c r="T5396" s="1420"/>
      <c r="V5396" s="1357">
        <v>11</v>
      </c>
    </row>
    <row r="5397" spans="1:22" s="841" customFormat="1" ht="15" x14ac:dyDescent="0.25">
      <c r="A5397" s="841" t="s">
        <v>2277</v>
      </c>
      <c r="E5397" s="1689" t="s">
        <v>3063</v>
      </c>
      <c r="F5397" s="1689"/>
      <c r="G5397" s="1689"/>
      <c r="H5397" s="1689"/>
      <c r="K5397" s="841" t="s">
        <v>3126</v>
      </c>
      <c r="M5397" s="1357"/>
      <c r="Q5397" s="1357"/>
      <c r="S5397" s="1420"/>
      <c r="T5397" s="1420"/>
      <c r="V5397" s="1357">
        <v>280</v>
      </c>
    </row>
    <row r="5398" spans="1:22" s="841" customFormat="1" ht="15" x14ac:dyDescent="0.25">
      <c r="A5398" s="841" t="s">
        <v>2277</v>
      </c>
      <c r="E5398" s="1689" t="s">
        <v>3064</v>
      </c>
      <c r="F5398" s="1689"/>
      <c r="G5398" s="1689"/>
      <c r="H5398" s="1689"/>
      <c r="K5398" s="841" t="s">
        <v>3126</v>
      </c>
      <c r="M5398" s="1357"/>
      <c r="Q5398" s="1357"/>
      <c r="S5398" s="1420"/>
      <c r="T5398" s="1420"/>
      <c r="V5398" s="1357">
        <v>411</v>
      </c>
    </row>
    <row r="5399" spans="1:22" s="841" customFormat="1" ht="15" x14ac:dyDescent="0.25">
      <c r="A5399" s="841" t="s">
        <v>2277</v>
      </c>
      <c r="E5399" s="1689" t="s">
        <v>3129</v>
      </c>
      <c r="F5399" s="1689"/>
      <c r="G5399" s="1689"/>
      <c r="H5399" s="1689"/>
      <c r="K5399" s="841" t="s">
        <v>3126</v>
      </c>
      <c r="M5399" s="1357"/>
      <c r="Q5399" s="1357"/>
      <c r="S5399" s="1420"/>
      <c r="T5399" s="1420"/>
      <c r="V5399" s="1357">
        <v>211</v>
      </c>
    </row>
    <row r="5400" spans="1:22" s="841" customFormat="1" ht="15" x14ac:dyDescent="0.25">
      <c r="A5400" s="841" t="s">
        <v>2277</v>
      </c>
      <c r="E5400" s="1689" t="s">
        <v>3390</v>
      </c>
      <c r="F5400" s="1689"/>
      <c r="G5400" s="1689"/>
      <c r="H5400" s="1689"/>
      <c r="K5400" s="841" t="s">
        <v>3126</v>
      </c>
      <c r="M5400" s="1357"/>
      <c r="Q5400" s="1357"/>
      <c r="S5400" s="1420"/>
      <c r="T5400" s="1420"/>
      <c r="V5400" s="1357">
        <v>274</v>
      </c>
    </row>
    <row r="5401" spans="1:22" s="841" customFormat="1" ht="15" x14ac:dyDescent="0.25">
      <c r="A5401" s="841" t="s">
        <v>2277</v>
      </c>
      <c r="E5401" s="1694" t="s">
        <v>3632</v>
      </c>
      <c r="F5401" s="1907"/>
      <c r="G5401" s="1907"/>
      <c r="H5401" s="1907"/>
      <c r="K5401" s="841" t="s">
        <v>3130</v>
      </c>
      <c r="M5401" s="1357"/>
      <c r="Q5401" s="1357"/>
      <c r="S5401" s="1420"/>
      <c r="T5401" s="1420"/>
      <c r="V5401" s="1357">
        <v>47</v>
      </c>
    </row>
    <row r="5402" spans="1:22" s="841" customFormat="1" ht="15" x14ac:dyDescent="0.25">
      <c r="A5402" s="841" t="s">
        <v>2277</v>
      </c>
      <c r="E5402" s="1920" t="s">
        <v>11</v>
      </c>
      <c r="F5402" s="1690"/>
      <c r="G5402" s="695" t="s">
        <v>23</v>
      </c>
      <c r="H5402" s="391">
        <v>5.4</v>
      </c>
      <c r="K5402" s="841" t="s">
        <v>3126</v>
      </c>
      <c r="L5402" s="841" t="s">
        <v>442</v>
      </c>
      <c r="M5402" s="1357"/>
      <c r="P5402" s="841" t="s">
        <v>3131</v>
      </c>
      <c r="Q5402" s="1357"/>
      <c r="S5402" s="1420"/>
      <c r="T5402" s="1420"/>
      <c r="V5402" s="1357">
        <v>14</v>
      </c>
    </row>
    <row r="5403" spans="1:22" s="841" customFormat="1" ht="18.75" x14ac:dyDescent="0.3">
      <c r="A5403" s="841" t="s">
        <v>2277</v>
      </c>
      <c r="E5403" s="1931" t="s">
        <v>85</v>
      </c>
      <c r="F5403" s="1964"/>
      <c r="G5403" s="1964"/>
      <c r="H5403" s="1964"/>
      <c r="K5403" s="841" t="s">
        <v>3914</v>
      </c>
      <c r="M5403" s="1357"/>
      <c r="Q5403" s="1357"/>
      <c r="S5403" s="1420"/>
      <c r="T5403" s="1420"/>
      <c r="V5403" s="1357">
        <v>10</v>
      </c>
    </row>
    <row r="5404" spans="1:22" s="841" customFormat="1" ht="15" x14ac:dyDescent="0.25">
      <c r="A5404" s="841" t="s">
        <v>2277</v>
      </c>
      <c r="E5404" s="1690" t="s">
        <v>3133</v>
      </c>
      <c r="F5404" s="1690"/>
      <c r="G5404" s="1408" t="s">
        <v>33</v>
      </c>
      <c r="H5404" s="393">
        <v>-0.45</v>
      </c>
      <c r="M5404" s="1357"/>
      <c r="Q5404" s="1357"/>
      <c r="S5404" s="1420"/>
      <c r="T5404" s="1420"/>
      <c r="V5404" s="1357">
        <v>68</v>
      </c>
    </row>
    <row r="5405" spans="1:22" s="841" customFormat="1" ht="15" x14ac:dyDescent="0.25">
      <c r="A5405" s="841" t="s">
        <v>2277</v>
      </c>
      <c r="E5405" s="1690" t="s">
        <v>3134</v>
      </c>
      <c r="F5405" s="1690"/>
      <c r="G5405" s="1408" t="s">
        <v>86</v>
      </c>
      <c r="H5405" s="391">
        <v>-1</v>
      </c>
      <c r="M5405" s="1357"/>
      <c r="Q5405" s="1357"/>
      <c r="S5405" s="1420"/>
      <c r="T5405" s="1420"/>
      <c r="V5405" s="1357">
        <v>87</v>
      </c>
    </row>
    <row r="5406" spans="1:22" s="841" customFormat="1" ht="18.75" x14ac:dyDescent="0.3">
      <c r="A5406" s="841" t="s">
        <v>2277</v>
      </c>
      <c r="E5406" s="1963" t="s">
        <v>87</v>
      </c>
      <c r="F5406" s="1964"/>
      <c r="G5406" s="1964"/>
      <c r="H5406" s="1964"/>
      <c r="K5406" s="841" t="s">
        <v>3915</v>
      </c>
      <c r="M5406" s="1357"/>
      <c r="Q5406" s="1357"/>
      <c r="S5406" s="1420"/>
      <c r="T5406" s="1420"/>
      <c r="V5406" s="1357">
        <v>24</v>
      </c>
    </row>
    <row r="5407" spans="1:22" s="841" customFormat="1" ht="15" x14ac:dyDescent="0.25">
      <c r="A5407" s="841" t="s">
        <v>2277</v>
      </c>
      <c r="E5407" s="1926" t="s">
        <v>3061</v>
      </c>
      <c r="F5407" s="1689"/>
      <c r="G5407" s="1689"/>
      <c r="H5407" s="1689"/>
      <c r="M5407" s="1357"/>
      <c r="Q5407" s="1357"/>
      <c r="S5407" s="1420"/>
      <c r="T5407" s="1420"/>
      <c r="V5407" s="1357">
        <v>11</v>
      </c>
    </row>
    <row r="5408" spans="1:22" s="841" customFormat="1" ht="15" x14ac:dyDescent="0.25">
      <c r="A5408" s="841" t="s">
        <v>2277</v>
      </c>
      <c r="E5408" s="1689" t="s">
        <v>3063</v>
      </c>
      <c r="F5408" s="1689"/>
      <c r="G5408" s="1689"/>
      <c r="H5408" s="1689"/>
      <c r="M5408" s="1357"/>
      <c r="Q5408" s="1357"/>
      <c r="S5408" s="1420"/>
      <c r="T5408" s="1420"/>
      <c r="V5408" s="1357">
        <v>280</v>
      </c>
    </row>
    <row r="5409" spans="1:22" s="841" customFormat="1" ht="15" x14ac:dyDescent="0.25">
      <c r="A5409" s="841" t="s">
        <v>2277</v>
      </c>
      <c r="E5409" s="1689" t="s">
        <v>3136</v>
      </c>
      <c r="F5409" s="1689"/>
      <c r="G5409" s="1689"/>
      <c r="H5409" s="1689"/>
      <c r="M5409" s="1357"/>
      <c r="Q5409" s="1357"/>
      <c r="S5409" s="1420"/>
      <c r="T5409" s="1420"/>
      <c r="V5409" s="1357">
        <v>353</v>
      </c>
    </row>
    <row r="5410" spans="1:22" s="841" customFormat="1" ht="15" x14ac:dyDescent="0.25">
      <c r="A5410" s="841" t="s">
        <v>2277</v>
      </c>
      <c r="E5410" s="2068" t="s">
        <v>3390</v>
      </c>
      <c r="F5410" s="2137"/>
      <c r="G5410" s="2137"/>
      <c r="H5410" s="2137"/>
      <c r="M5410" s="1357"/>
      <c r="Q5410" s="1357"/>
      <c r="S5410" s="1420"/>
      <c r="T5410" s="1420"/>
      <c r="V5410" s="1357">
        <v>274</v>
      </c>
    </row>
    <row r="5411" spans="1:22" s="841" customFormat="1" ht="15" x14ac:dyDescent="0.25">
      <c r="A5411" s="841" t="s">
        <v>2277</v>
      </c>
      <c r="E5411" s="1694" t="s">
        <v>3137</v>
      </c>
      <c r="F5411" s="1908"/>
      <c r="G5411" s="1908"/>
      <c r="H5411" s="1908"/>
      <c r="K5411" s="841" t="s">
        <v>3916</v>
      </c>
      <c r="M5411" s="1357"/>
      <c r="Q5411" s="1357"/>
      <c r="S5411" s="1420"/>
      <c r="T5411" s="1420"/>
      <c r="V5411" s="1357">
        <v>23</v>
      </c>
    </row>
    <row r="5412" spans="1:22" s="841" customFormat="1" ht="15" x14ac:dyDescent="0.25">
      <c r="A5412" s="841" t="s">
        <v>2277</v>
      </c>
      <c r="E5412" s="1688" t="s">
        <v>3355</v>
      </c>
      <c r="F5412" s="1688"/>
      <c r="G5412" s="1408" t="s">
        <v>23</v>
      </c>
      <c r="H5412" s="391">
        <v>15</v>
      </c>
      <c r="M5412" s="1357"/>
      <c r="Q5412" s="1357"/>
      <c r="S5412" s="1420"/>
      <c r="T5412" s="1420"/>
      <c r="V5412" s="1357">
        <v>19</v>
      </c>
    </row>
    <row r="5413" spans="1:22" s="841" customFormat="1" ht="15" x14ac:dyDescent="0.25">
      <c r="A5413" s="841" t="s">
        <v>2277</v>
      </c>
      <c r="E5413" s="1688" t="s">
        <v>4770</v>
      </c>
      <c r="F5413" s="1688"/>
      <c r="G5413" s="1408" t="s">
        <v>23</v>
      </c>
      <c r="H5413" s="391">
        <v>15</v>
      </c>
      <c r="M5413" s="1357"/>
      <c r="Q5413" s="1357"/>
      <c r="S5413" s="1420"/>
      <c r="T5413" s="1420"/>
      <c r="V5413" s="1357">
        <v>15</v>
      </c>
    </row>
    <row r="5414" spans="1:22" s="841" customFormat="1" ht="15" x14ac:dyDescent="0.25">
      <c r="A5414" s="841" t="s">
        <v>2277</v>
      </c>
      <c r="E5414" s="1688" t="s">
        <v>3148</v>
      </c>
      <c r="F5414" s="1688"/>
      <c r="G5414" s="1408" t="s">
        <v>23</v>
      </c>
      <c r="H5414" s="391">
        <v>15</v>
      </c>
      <c r="M5414" s="1357"/>
      <c r="Q5414" s="1357"/>
      <c r="S5414" s="1420"/>
      <c r="T5414" s="1420"/>
      <c r="V5414" s="1357">
        <v>56</v>
      </c>
    </row>
    <row r="5415" spans="1:22" s="841" customFormat="1" ht="15" x14ac:dyDescent="0.25">
      <c r="A5415" s="841" t="s">
        <v>2277</v>
      </c>
      <c r="E5415" s="1688" t="s">
        <v>123</v>
      </c>
      <c r="F5415" s="1688"/>
      <c r="G5415" s="1408" t="s">
        <v>23</v>
      </c>
      <c r="H5415" s="391">
        <v>15</v>
      </c>
      <c r="M5415" s="1357"/>
      <c r="Q5415" s="1357"/>
      <c r="S5415" s="1420"/>
      <c r="T5415" s="1420"/>
      <c r="V5415" s="1357">
        <v>35</v>
      </c>
    </row>
    <row r="5416" spans="1:22" s="841" customFormat="1" ht="15" x14ac:dyDescent="0.25">
      <c r="A5416" s="841" t="s">
        <v>2277</v>
      </c>
      <c r="E5416" s="1688" t="s">
        <v>88</v>
      </c>
      <c r="F5416" s="1688"/>
      <c r="G5416" s="1408" t="s">
        <v>23</v>
      </c>
      <c r="H5416" s="391">
        <v>30</v>
      </c>
      <c r="M5416" s="1357"/>
      <c r="Q5416" s="1357"/>
      <c r="S5416" s="1420"/>
      <c r="T5416" s="1420"/>
      <c r="V5416" s="1357">
        <v>89</v>
      </c>
    </row>
    <row r="5417" spans="1:22" s="841" customFormat="1" ht="15" x14ac:dyDescent="0.25">
      <c r="A5417" s="841" t="s">
        <v>2277</v>
      </c>
      <c r="E5417" s="1688" t="s">
        <v>92</v>
      </c>
      <c r="F5417" s="1688"/>
      <c r="G5417" s="1408" t="s">
        <v>23</v>
      </c>
      <c r="H5417" s="391">
        <v>30</v>
      </c>
      <c r="M5417" s="1357"/>
      <c r="Q5417" s="1357"/>
      <c r="S5417" s="1420"/>
      <c r="T5417" s="1420"/>
      <c r="V5417" s="1357">
        <v>74</v>
      </c>
    </row>
    <row r="5418" spans="1:22" s="841" customFormat="1" ht="15" x14ac:dyDescent="0.25">
      <c r="A5418" s="841" t="s">
        <v>2277</v>
      </c>
      <c r="E5418" s="1688" t="s">
        <v>94</v>
      </c>
      <c r="F5418" s="1688"/>
      <c r="G5418" s="1408" t="s">
        <v>23</v>
      </c>
      <c r="H5418" s="391">
        <v>30</v>
      </c>
      <c r="M5418" s="1357"/>
      <c r="Q5418" s="1357"/>
      <c r="S5418" s="1420"/>
      <c r="T5418" s="1420"/>
      <c r="V5418" s="1357">
        <v>19</v>
      </c>
    </row>
    <row r="5419" spans="1:22" s="841" customFormat="1" ht="15" x14ac:dyDescent="0.25">
      <c r="A5419" s="841" t="s">
        <v>2277</v>
      </c>
      <c r="E5419" s="1694" t="s">
        <v>3152</v>
      </c>
      <c r="F5419" s="1908"/>
      <c r="G5419" s="1908"/>
      <c r="H5419" s="1908"/>
      <c r="K5419" s="841" t="s">
        <v>3917</v>
      </c>
      <c r="M5419" s="1357"/>
      <c r="Q5419" s="1357"/>
      <c r="S5419" s="1420"/>
      <c r="T5419" s="1420"/>
      <c r="V5419" s="1357">
        <v>22</v>
      </c>
    </row>
    <row r="5420" spans="1:22" s="841" customFormat="1" ht="15" x14ac:dyDescent="0.25">
      <c r="A5420" s="841" t="s">
        <v>2277</v>
      </c>
      <c r="E5420" s="1688" t="s">
        <v>5137</v>
      </c>
      <c r="F5420" s="1688"/>
      <c r="G5420" s="1408" t="s">
        <v>86</v>
      </c>
      <c r="H5420" s="391">
        <v>1.5</v>
      </c>
      <c r="M5420" s="1357"/>
      <c r="Q5420" s="1357"/>
      <c r="S5420" s="1420"/>
      <c r="T5420" s="1420"/>
      <c r="V5420" s="1357">
        <v>24</v>
      </c>
    </row>
    <row r="5421" spans="1:22" s="841" customFormat="1" ht="15" x14ac:dyDescent="0.25">
      <c r="A5421" s="841" t="s">
        <v>2277</v>
      </c>
      <c r="E5421" s="1688" t="s">
        <v>4772</v>
      </c>
      <c r="F5421" s="1688"/>
      <c r="G5421" s="1408" t="s">
        <v>86</v>
      </c>
      <c r="H5421" s="391">
        <v>19.559999999999999</v>
      </c>
      <c r="M5421" s="1357"/>
      <c r="Q5421" s="1357"/>
      <c r="S5421" s="1420"/>
      <c r="T5421" s="1420"/>
      <c r="V5421" s="1357">
        <v>24</v>
      </c>
    </row>
    <row r="5422" spans="1:22" s="841" customFormat="1" ht="15" x14ac:dyDescent="0.25">
      <c r="A5422" s="841" t="s">
        <v>2277</v>
      </c>
      <c r="E5422" s="1688" t="s">
        <v>3288</v>
      </c>
      <c r="F5422" s="1688"/>
      <c r="G5422" s="1408" t="s">
        <v>23</v>
      </c>
      <c r="H5422" s="391">
        <v>30</v>
      </c>
      <c r="M5422" s="1357"/>
      <c r="Q5422" s="1357"/>
      <c r="S5422" s="1420"/>
      <c r="T5422" s="1420"/>
      <c r="V5422" s="1357">
        <v>47</v>
      </c>
    </row>
    <row r="5423" spans="1:22" s="841" customFormat="1" ht="15" x14ac:dyDescent="0.25">
      <c r="A5423" s="841" t="s">
        <v>2277</v>
      </c>
      <c r="E5423" s="1688" t="s">
        <v>3158</v>
      </c>
      <c r="F5423" s="1688"/>
      <c r="G5423" s="1408" t="s">
        <v>23</v>
      </c>
      <c r="H5423" s="391">
        <v>40</v>
      </c>
      <c r="M5423" s="1357"/>
      <c r="Q5423" s="1357"/>
      <c r="S5423" s="1420"/>
      <c r="T5423" s="1420"/>
      <c r="V5423" s="1357">
        <v>52</v>
      </c>
    </row>
    <row r="5424" spans="1:22" s="841" customFormat="1" ht="15" x14ac:dyDescent="0.25">
      <c r="A5424" s="841" t="s">
        <v>2277</v>
      </c>
      <c r="E5424" s="1688" t="s">
        <v>3918</v>
      </c>
      <c r="F5424" s="1688"/>
      <c r="G5424" s="1408"/>
      <c r="H5424" s="393" t="s">
        <v>3919</v>
      </c>
      <c r="M5424" s="1357"/>
      <c r="Q5424" s="1357"/>
      <c r="S5424" s="1420"/>
      <c r="T5424" s="1420"/>
      <c r="V5424" s="1357">
        <v>52</v>
      </c>
    </row>
    <row r="5425" spans="1:22" s="841" customFormat="1" ht="15" x14ac:dyDescent="0.25">
      <c r="A5425" s="841" t="s">
        <v>2277</v>
      </c>
      <c r="E5425" s="1688" t="s">
        <v>3162</v>
      </c>
      <c r="F5425" s="1688"/>
      <c r="G5425" s="1408" t="s">
        <v>23</v>
      </c>
      <c r="H5425" s="391">
        <v>40</v>
      </c>
      <c r="M5425" s="1357"/>
      <c r="Q5425" s="1357"/>
      <c r="S5425" s="1420"/>
      <c r="T5425" s="1420"/>
      <c r="V5425" s="1357">
        <v>57</v>
      </c>
    </row>
    <row r="5426" spans="1:22" s="841" customFormat="1" ht="15" x14ac:dyDescent="0.25">
      <c r="A5426" s="841" t="s">
        <v>2277</v>
      </c>
      <c r="E5426" s="1694" t="s">
        <v>3164</v>
      </c>
      <c r="F5426" s="1908"/>
      <c r="G5426" s="1908"/>
      <c r="H5426" s="1908"/>
      <c r="M5426" s="1357"/>
      <c r="Q5426" s="1357"/>
      <c r="S5426" s="1420"/>
      <c r="T5426" s="1420"/>
      <c r="V5426" s="1357">
        <v>5</v>
      </c>
    </row>
    <row r="5427" spans="1:22" s="841" customFormat="1" ht="15" x14ac:dyDescent="0.25">
      <c r="A5427" s="841" t="s">
        <v>2277</v>
      </c>
      <c r="E5427" s="1688" t="s">
        <v>3920</v>
      </c>
      <c r="F5427" s="1688"/>
      <c r="G5427" s="1408"/>
      <c r="H5427" s="393" t="s">
        <v>3919</v>
      </c>
      <c r="M5427" s="1357"/>
      <c r="Q5427" s="1357"/>
      <c r="S5427" s="1420"/>
      <c r="T5427" s="1420"/>
      <c r="V5427" s="1357">
        <v>65</v>
      </c>
    </row>
    <row r="5428" spans="1:22" s="841" customFormat="1" ht="15" x14ac:dyDescent="0.25">
      <c r="A5428" s="841" t="s">
        <v>2277</v>
      </c>
      <c r="E5428" s="1688" t="s">
        <v>3921</v>
      </c>
      <c r="F5428" s="1688"/>
      <c r="G5428" s="1408"/>
      <c r="H5428" s="393" t="s">
        <v>3919</v>
      </c>
      <c r="M5428" s="1357"/>
      <c r="Q5428" s="1357"/>
      <c r="S5428" s="1420"/>
      <c r="T5428" s="1420"/>
      <c r="V5428" s="1357">
        <v>67</v>
      </c>
    </row>
    <row r="5429" spans="1:22" s="841" customFormat="1" ht="15" x14ac:dyDescent="0.25">
      <c r="A5429" s="841" t="s">
        <v>2277</v>
      </c>
      <c r="E5429" s="1688" t="s">
        <v>5512</v>
      </c>
      <c r="F5429" s="1688"/>
      <c r="G5429" s="1408" t="s">
        <v>23</v>
      </c>
      <c r="H5429" s="391">
        <v>22.35</v>
      </c>
      <c r="M5429" s="1357"/>
      <c r="Q5429" s="1357"/>
      <c r="S5429" s="1420"/>
      <c r="T5429" s="1420"/>
      <c r="V5429" s="1357">
        <v>106</v>
      </c>
    </row>
    <row r="5430" spans="1:22" s="841" customFormat="1" x14ac:dyDescent="0.25">
      <c r="A5430" s="841" t="s">
        <v>2277</v>
      </c>
      <c r="E5430" s="1931" t="s">
        <v>77</v>
      </c>
      <c r="F5430" s="1931"/>
      <c r="G5430" s="1931"/>
      <c r="H5430" s="1931"/>
      <c r="K5430" s="841" t="s">
        <v>3922</v>
      </c>
      <c r="M5430" s="1357"/>
      <c r="Q5430" s="1357"/>
      <c r="S5430" s="1420"/>
      <c r="T5430" s="1420"/>
      <c r="V5430" s="1357">
        <v>38</v>
      </c>
    </row>
    <row r="5431" spans="1:22" s="841" customFormat="1" ht="15" x14ac:dyDescent="0.25">
      <c r="A5431" s="841" t="s">
        <v>2277</v>
      </c>
      <c r="E5431" s="1926" t="s">
        <v>3061</v>
      </c>
      <c r="F5431" s="1689"/>
      <c r="G5431" s="1689"/>
      <c r="H5431" s="1689"/>
      <c r="K5431" s="841" t="s">
        <v>3128</v>
      </c>
      <c r="M5431" s="1357"/>
      <c r="Q5431" s="1357"/>
      <c r="S5431" s="1420"/>
      <c r="T5431" s="1420"/>
      <c r="V5431" s="1357">
        <v>11</v>
      </c>
    </row>
    <row r="5432" spans="1:22" s="841" customFormat="1" ht="15" x14ac:dyDescent="0.25">
      <c r="A5432" s="841" t="s">
        <v>2277</v>
      </c>
      <c r="E5432" s="1689" t="s">
        <v>3063</v>
      </c>
      <c r="F5432" s="1689"/>
      <c r="G5432" s="1689"/>
      <c r="H5432" s="1689"/>
      <c r="M5432" s="1357"/>
      <c r="Q5432" s="1357"/>
      <c r="S5432" s="1420"/>
      <c r="T5432" s="1420"/>
      <c r="V5432" s="1357">
        <v>280</v>
      </c>
    </row>
    <row r="5433" spans="1:22" s="841" customFormat="1" ht="15" x14ac:dyDescent="0.25">
      <c r="A5433" s="841" t="s">
        <v>2277</v>
      </c>
      <c r="E5433" s="1689" t="s">
        <v>3064</v>
      </c>
      <c r="F5433" s="1689"/>
      <c r="G5433" s="1689"/>
      <c r="H5433" s="1689"/>
      <c r="M5433" s="1357"/>
      <c r="Q5433" s="1357"/>
      <c r="S5433" s="1420"/>
      <c r="T5433" s="1420"/>
      <c r="V5433" s="1357">
        <v>411</v>
      </c>
    </row>
    <row r="5434" spans="1:22" s="841" customFormat="1" ht="15" x14ac:dyDescent="0.25">
      <c r="A5434" s="841" t="s">
        <v>2277</v>
      </c>
      <c r="E5434" s="1689" t="s">
        <v>3129</v>
      </c>
      <c r="F5434" s="1689"/>
      <c r="G5434" s="1689"/>
      <c r="H5434" s="1689"/>
      <c r="M5434" s="1357"/>
      <c r="Q5434" s="1357"/>
      <c r="S5434" s="1420"/>
      <c r="T5434" s="1420"/>
      <c r="V5434" s="1357">
        <v>211</v>
      </c>
    </row>
    <row r="5435" spans="1:22" s="841" customFormat="1" ht="15" x14ac:dyDescent="0.25">
      <c r="A5435" s="841" t="s">
        <v>2277</v>
      </c>
      <c r="E5435" s="1689" t="s">
        <v>3390</v>
      </c>
      <c r="F5435" s="1689"/>
      <c r="G5435" s="1689"/>
      <c r="H5435" s="1689"/>
      <c r="M5435" s="1357"/>
      <c r="Q5435" s="1357"/>
      <c r="S5435" s="1420"/>
      <c r="T5435" s="1420"/>
      <c r="V5435" s="1357">
        <v>274</v>
      </c>
    </row>
    <row r="5436" spans="1:22" s="841" customFormat="1" ht="15" x14ac:dyDescent="0.25">
      <c r="A5436" s="841" t="s">
        <v>2277</v>
      </c>
      <c r="E5436" s="1690" t="s">
        <v>3659</v>
      </c>
      <c r="F5436" s="1690"/>
      <c r="G5436" s="1908"/>
      <c r="H5436" s="1908"/>
      <c r="M5436" s="1357"/>
      <c r="Q5436" s="1357"/>
      <c r="S5436" s="1420"/>
      <c r="T5436" s="1420"/>
      <c r="V5436" s="1357">
        <v>117</v>
      </c>
    </row>
    <row r="5437" spans="1:22" s="841" customFormat="1" ht="15" x14ac:dyDescent="0.25">
      <c r="A5437" s="841" t="s">
        <v>2277</v>
      </c>
      <c r="E5437" s="1690" t="s">
        <v>3660</v>
      </c>
      <c r="F5437" s="1690"/>
      <c r="G5437" s="1908"/>
      <c r="H5437" s="1908"/>
      <c r="M5437" s="1357"/>
      <c r="Q5437" s="1357"/>
      <c r="S5437" s="1420"/>
      <c r="T5437" s="1420"/>
      <c r="V5437" s="1357">
        <v>23</v>
      </c>
    </row>
    <row r="5438" spans="1:22" s="841" customFormat="1" ht="15" x14ac:dyDescent="0.25">
      <c r="A5438" s="841" t="s">
        <v>2277</v>
      </c>
      <c r="E5438" s="1690" t="s">
        <v>3176</v>
      </c>
      <c r="F5438" s="1690"/>
      <c r="G5438" s="502" t="s">
        <v>23</v>
      </c>
      <c r="H5438" s="395">
        <v>100</v>
      </c>
      <c r="M5438" s="1357"/>
      <c r="Q5438" s="1357"/>
      <c r="S5438" s="1420"/>
      <c r="T5438" s="1420"/>
      <c r="V5438" s="1357">
        <v>106</v>
      </c>
    </row>
    <row r="5439" spans="1:22" s="841" customFormat="1" ht="15" x14ac:dyDescent="0.25">
      <c r="A5439" s="841" t="s">
        <v>2277</v>
      </c>
      <c r="E5439" s="1690" t="s">
        <v>3177</v>
      </c>
      <c r="F5439" s="1690"/>
      <c r="G5439" s="502" t="s">
        <v>23</v>
      </c>
      <c r="H5439" s="395">
        <v>20</v>
      </c>
      <c r="M5439" s="1357"/>
      <c r="Q5439" s="1357"/>
      <c r="S5439" s="1420"/>
      <c r="T5439" s="1420"/>
      <c r="V5439" s="1357">
        <v>34</v>
      </c>
    </row>
    <row r="5440" spans="1:22" s="841" customFormat="1" ht="15" x14ac:dyDescent="0.25">
      <c r="A5440" s="841" t="s">
        <v>2277</v>
      </c>
      <c r="E5440" s="1690" t="s">
        <v>3178</v>
      </c>
      <c r="F5440" s="1690"/>
      <c r="G5440" s="502" t="s">
        <v>3179</v>
      </c>
      <c r="H5440" s="395">
        <v>0.5</v>
      </c>
      <c r="M5440" s="1357"/>
      <c r="Q5440" s="1357"/>
      <c r="S5440" s="1420"/>
      <c r="T5440" s="1420"/>
      <c r="V5440" s="1357">
        <v>51</v>
      </c>
    </row>
    <row r="5441" spans="1:22" s="841" customFormat="1" ht="15" x14ac:dyDescent="0.25">
      <c r="A5441" s="841" t="s">
        <v>2277</v>
      </c>
      <c r="E5441" s="1690" t="s">
        <v>3180</v>
      </c>
      <c r="F5441" s="1690"/>
      <c r="G5441" s="502" t="s">
        <v>3179</v>
      </c>
      <c r="H5441" s="395">
        <v>0.3</v>
      </c>
      <c r="M5441" s="1357"/>
      <c r="Q5441" s="1357"/>
      <c r="S5441" s="1420"/>
      <c r="T5441" s="1420"/>
      <c r="V5441" s="1357">
        <v>75</v>
      </c>
    </row>
    <row r="5442" spans="1:22" s="841" customFormat="1" ht="15" x14ac:dyDescent="0.25">
      <c r="A5442" s="841" t="s">
        <v>2277</v>
      </c>
      <c r="E5442" s="1691" t="s">
        <v>3181</v>
      </c>
      <c r="F5442" s="1691"/>
      <c r="G5442" s="502" t="s">
        <v>3179</v>
      </c>
      <c r="H5442" s="395">
        <v>-0.3</v>
      </c>
      <c r="M5442" s="1357"/>
      <c r="Q5442" s="1357"/>
      <c r="S5442" s="1420"/>
      <c r="T5442" s="1420"/>
      <c r="V5442" s="1357">
        <v>72</v>
      </c>
    </row>
    <row r="5443" spans="1:22" s="841" customFormat="1" ht="15" x14ac:dyDescent="0.25">
      <c r="A5443" s="841" t="s">
        <v>2277</v>
      </c>
      <c r="E5443" s="1691" t="s">
        <v>3292</v>
      </c>
      <c r="F5443" s="1691"/>
      <c r="G5443" s="2067"/>
      <c r="H5443" s="2067"/>
      <c r="M5443" s="1357"/>
      <c r="Q5443" s="1357"/>
      <c r="S5443" s="1420"/>
      <c r="T5443" s="1420"/>
      <c r="V5443" s="1357">
        <v>34</v>
      </c>
    </row>
    <row r="5444" spans="1:22" s="841" customFormat="1" ht="15" x14ac:dyDescent="0.25">
      <c r="A5444" s="841" t="s">
        <v>2277</v>
      </c>
      <c r="E5444" s="1690" t="s">
        <v>3183</v>
      </c>
      <c r="F5444" s="1690"/>
      <c r="G5444" s="718" t="s">
        <v>23</v>
      </c>
      <c r="H5444" s="395">
        <v>0.25</v>
      </c>
      <c r="M5444" s="1357"/>
      <c r="Q5444" s="1357"/>
      <c r="S5444" s="1420"/>
      <c r="T5444" s="1420"/>
      <c r="V5444" s="1357">
        <v>57</v>
      </c>
    </row>
    <row r="5445" spans="1:22" s="841" customFormat="1" ht="15" x14ac:dyDescent="0.25">
      <c r="A5445" s="841" t="s">
        <v>2277</v>
      </c>
      <c r="E5445" s="1690" t="s">
        <v>3184</v>
      </c>
      <c r="F5445" s="1690"/>
      <c r="G5445" s="718" t="s">
        <v>23</v>
      </c>
      <c r="H5445" s="395">
        <v>0.5</v>
      </c>
      <c r="M5445" s="1357"/>
      <c r="Q5445" s="1357"/>
      <c r="S5445" s="1420"/>
      <c r="T5445" s="1420"/>
      <c r="V5445" s="1357">
        <v>60</v>
      </c>
    </row>
    <row r="5446" spans="1:22" s="841" customFormat="1" ht="15" x14ac:dyDescent="0.25">
      <c r="A5446" s="841" t="s">
        <v>2277</v>
      </c>
      <c r="E5446" s="1690" t="s">
        <v>3661</v>
      </c>
      <c r="F5446" s="1690"/>
      <c r="G5446" s="1908"/>
      <c r="H5446" s="1908"/>
      <c r="M5446" s="1357"/>
      <c r="Q5446" s="1357"/>
      <c r="S5446" s="1420"/>
      <c r="T5446" s="1420"/>
      <c r="V5446" s="1357">
        <v>92</v>
      </c>
    </row>
    <row r="5447" spans="1:22" s="841" customFormat="1" ht="15" x14ac:dyDescent="0.25">
      <c r="A5447" s="841" t="s">
        <v>2277</v>
      </c>
      <c r="E5447" s="1691" t="s">
        <v>3662</v>
      </c>
      <c r="F5447" s="1691"/>
      <c r="G5447" s="2067"/>
      <c r="H5447" s="2067"/>
      <c r="M5447" s="1357"/>
      <c r="Q5447" s="1357"/>
      <c r="S5447" s="1420"/>
      <c r="T5447" s="1420"/>
      <c r="V5447" s="1357">
        <v>97</v>
      </c>
    </row>
    <row r="5448" spans="1:22" s="841" customFormat="1" ht="15" x14ac:dyDescent="0.25">
      <c r="A5448" s="841" t="s">
        <v>2277</v>
      </c>
      <c r="E5448" s="1691" t="s">
        <v>3293</v>
      </c>
      <c r="F5448" s="1691"/>
      <c r="G5448" s="2067"/>
      <c r="H5448" s="2067"/>
      <c r="M5448" s="1357"/>
      <c r="Q5448" s="1357"/>
      <c r="S5448" s="1420"/>
      <c r="T5448" s="1420"/>
      <c r="V5448" s="1357">
        <v>77</v>
      </c>
    </row>
    <row r="5449" spans="1:22" s="841" customFormat="1" ht="15" x14ac:dyDescent="0.25">
      <c r="A5449" s="841" t="s">
        <v>2277</v>
      </c>
      <c r="E5449" s="502" t="s">
        <v>3188</v>
      </c>
      <c r="F5449" s="3"/>
      <c r="G5449" s="718" t="s">
        <v>23</v>
      </c>
      <c r="H5449" s="722" t="s">
        <v>3189</v>
      </c>
      <c r="M5449" s="1357"/>
      <c r="Q5449" s="1357"/>
      <c r="S5449" s="1420"/>
      <c r="T5449" s="1420"/>
      <c r="V5449" s="1357">
        <v>18</v>
      </c>
    </row>
    <row r="5450" spans="1:22" s="841" customFormat="1" ht="15" x14ac:dyDescent="0.25">
      <c r="A5450" s="841" t="s">
        <v>2277</v>
      </c>
      <c r="E5450" s="502" t="s">
        <v>3190</v>
      </c>
      <c r="F5450" s="3"/>
      <c r="G5450" s="718" t="s">
        <v>23</v>
      </c>
      <c r="H5450" s="395">
        <v>2</v>
      </c>
      <c r="M5450" s="1357"/>
      <c r="Q5450" s="1357"/>
      <c r="S5450" s="1420"/>
      <c r="T5450" s="1420"/>
      <c r="V5450" s="1357">
        <v>69</v>
      </c>
    </row>
    <row r="5451" spans="1:22" s="841" customFormat="1" ht="18.75" x14ac:dyDescent="0.3">
      <c r="A5451" s="841" t="s">
        <v>2277</v>
      </c>
      <c r="E5451" s="1931" t="s">
        <v>147</v>
      </c>
      <c r="F5451" s="1964"/>
      <c r="G5451" s="1964"/>
      <c r="H5451" s="1964"/>
      <c r="K5451" s="841" t="s">
        <v>3923</v>
      </c>
      <c r="M5451" s="1357"/>
      <c r="Q5451" s="1357"/>
      <c r="S5451" s="1420"/>
      <c r="T5451" s="1420"/>
      <c r="V5451" s="1357">
        <v>12</v>
      </c>
    </row>
    <row r="5452" spans="1:22" s="841" customFormat="1" ht="15" x14ac:dyDescent="0.25">
      <c r="A5452" s="841" t="s">
        <v>2277</v>
      </c>
      <c r="E5452" s="1704" t="s">
        <v>3192</v>
      </c>
      <c r="F5452" s="1704"/>
      <c r="G5452" s="1704"/>
      <c r="H5452" s="1704"/>
      <c r="M5452" s="1357"/>
      <c r="Q5452" s="1357"/>
      <c r="S5452" s="1420"/>
      <c r="T5452" s="1420"/>
      <c r="V5452" s="1357">
        <v>203</v>
      </c>
    </row>
    <row r="5453" spans="1:22" s="841" customFormat="1" ht="15" x14ac:dyDescent="0.25">
      <c r="A5453" s="841" t="s">
        <v>2277</v>
      </c>
      <c r="E5453" s="1690" t="s">
        <v>3295</v>
      </c>
      <c r="F5453" s="1690"/>
      <c r="G5453" s="1408"/>
      <c r="H5453" s="1413">
        <v>1.0414000000000001</v>
      </c>
      <c r="M5453" s="1357"/>
      <c r="Q5453" s="1357"/>
      <c r="S5453" s="1420"/>
      <c r="T5453" s="1420"/>
      <c r="V5453" s="1357">
        <v>57</v>
      </c>
    </row>
    <row r="5454" spans="1:22" s="841" customFormat="1" ht="15" x14ac:dyDescent="0.25">
      <c r="A5454" s="841" t="s">
        <v>2277</v>
      </c>
      <c r="E5454" s="1690" t="s">
        <v>3297</v>
      </c>
      <c r="F5454" s="1690"/>
      <c r="G5454" s="1408"/>
      <c r="H5454" s="721">
        <v>1.0309999999999999</v>
      </c>
      <c r="J5454" s="841" t="s">
        <v>3924</v>
      </c>
      <c r="M5454" s="1357"/>
      <c r="Q5454" s="1357"/>
      <c r="S5454" s="1420"/>
      <c r="T5454" s="1420"/>
      <c r="V5454" s="1357">
        <v>55</v>
      </c>
    </row>
    <row r="5455" spans="1:22" s="841" customFormat="1" ht="23.25" x14ac:dyDescent="0.25">
      <c r="A5455" s="841" t="s">
        <v>4874</v>
      </c>
      <c r="B5455" s="841" t="s">
        <v>5513</v>
      </c>
      <c r="C5455" s="841" t="s">
        <v>3050</v>
      </c>
      <c r="E5455" s="2076" t="s">
        <v>4874</v>
      </c>
      <c r="F5455" s="2076"/>
      <c r="G5455" s="2076"/>
      <c r="H5455" s="2076"/>
      <c r="I5455" s="841" t="s">
        <v>628</v>
      </c>
      <c r="J5455" s="841" t="s">
        <v>5514</v>
      </c>
      <c r="K5455" s="841" t="s">
        <v>4874</v>
      </c>
      <c r="M5455" s="1357">
        <v>10</v>
      </c>
      <c r="Q5455" s="1357"/>
      <c r="S5455" s="1420"/>
      <c r="T5455" s="1420"/>
      <c r="V5455" s="1357">
        <v>29</v>
      </c>
    </row>
    <row r="5456" spans="1:22" s="841" customFormat="1" ht="23.25" x14ac:dyDescent="0.25">
      <c r="A5456" s="841" t="s">
        <v>4874</v>
      </c>
      <c r="B5456" s="841" t="s">
        <v>5513</v>
      </c>
      <c r="C5456" s="841" t="s">
        <v>3052</v>
      </c>
      <c r="E5456" s="2076" t="s">
        <v>5099</v>
      </c>
      <c r="F5456" s="2076"/>
      <c r="G5456" s="2076"/>
      <c r="H5456" s="2076"/>
      <c r="M5456" s="1357"/>
      <c r="Q5456" s="1357"/>
      <c r="S5456" s="1420"/>
      <c r="T5456" s="1420"/>
      <c r="V5456" s="1357">
        <v>17</v>
      </c>
    </row>
    <row r="5457" spans="1:22" s="841" customFormat="1" x14ac:dyDescent="0.25">
      <c r="A5457" s="841" t="s">
        <v>4874</v>
      </c>
      <c r="B5457" s="841" t="s">
        <v>5513</v>
      </c>
      <c r="C5457" s="841" t="s">
        <v>3054</v>
      </c>
      <c r="E5457" s="2077" t="s">
        <v>3053</v>
      </c>
      <c r="F5457" s="2077"/>
      <c r="G5457" s="2077"/>
      <c r="H5457" s="2077"/>
      <c r="M5457" s="1357"/>
      <c r="Q5457" s="1357"/>
      <c r="S5457" s="1420"/>
      <c r="T5457" s="1420"/>
      <c r="V5457" s="1357">
        <v>27</v>
      </c>
    </row>
    <row r="5458" spans="1:22" s="841" customFormat="1" ht="15.75" x14ac:dyDescent="0.25">
      <c r="A5458" s="841" t="s">
        <v>4874</v>
      </c>
      <c r="B5458" s="841" t="s">
        <v>5513</v>
      </c>
      <c r="C5458" s="841" t="s">
        <v>3055</v>
      </c>
      <c r="E5458" s="2078" t="s">
        <v>5200</v>
      </c>
      <c r="F5458" s="2078"/>
      <c r="G5458" s="2078"/>
      <c r="H5458" s="2078"/>
      <c r="M5458" s="1357"/>
      <c r="Q5458" s="1357"/>
      <c r="R5458" s="841">
        <v>43101</v>
      </c>
      <c r="S5458" s="1420"/>
      <c r="T5458" s="1420"/>
      <c r="V5458" s="1357">
        <v>30</v>
      </c>
    </row>
    <row r="5459" spans="1:22" s="841" customFormat="1" ht="15.75" x14ac:dyDescent="0.25">
      <c r="A5459" s="841" t="s">
        <v>4874</v>
      </c>
      <c r="B5459" s="841" t="s">
        <v>5513</v>
      </c>
      <c r="E5459" s="2078" t="s">
        <v>5201</v>
      </c>
      <c r="F5459" s="2078"/>
      <c r="G5459" s="2078"/>
      <c r="H5459" s="2078"/>
      <c r="M5459" s="1357"/>
      <c r="Q5459" s="1357"/>
      <c r="S5459" s="1420">
        <v>43221</v>
      </c>
      <c r="T5459" s="1420"/>
      <c r="V5459" s="1357">
        <v>31</v>
      </c>
    </row>
    <row r="5460" spans="1:22" s="841" customFormat="1" ht="15" x14ac:dyDescent="0.25">
      <c r="A5460" s="841" t="s">
        <v>4874</v>
      </c>
      <c r="B5460" s="841" t="s">
        <v>5513</v>
      </c>
      <c r="E5460" s="2079" t="s">
        <v>3616</v>
      </c>
      <c r="F5460" s="2079"/>
      <c r="G5460" s="2079"/>
      <c r="H5460" s="2079"/>
      <c r="M5460" s="1357"/>
      <c r="Q5460" s="1357"/>
      <c r="S5460" s="1420"/>
      <c r="T5460" s="1420"/>
      <c r="V5460" s="1357">
        <v>53</v>
      </c>
    </row>
    <row r="5461" spans="1:22" s="841" customFormat="1" ht="15" x14ac:dyDescent="0.25">
      <c r="A5461" s="841" t="s">
        <v>4874</v>
      </c>
      <c r="B5461" s="841" t="s">
        <v>5513</v>
      </c>
      <c r="E5461" s="2079" t="s">
        <v>3057</v>
      </c>
      <c r="F5461" s="2079"/>
      <c r="G5461" s="2079"/>
      <c r="H5461" s="2079"/>
      <c r="M5461" s="1357"/>
      <c r="Q5461" s="1357"/>
      <c r="S5461" s="1420"/>
      <c r="T5461" s="1420"/>
      <c r="V5461" s="1357">
        <v>53</v>
      </c>
    </row>
    <row r="5462" spans="1:22" s="841" customFormat="1" x14ac:dyDescent="0.25">
      <c r="A5462" s="841" t="s">
        <v>4874</v>
      </c>
      <c r="B5462" s="841" t="s">
        <v>5513</v>
      </c>
      <c r="E5462" s="2080" t="s">
        <v>438</v>
      </c>
      <c r="F5462" s="2080"/>
      <c r="G5462" s="2080"/>
      <c r="H5462" s="2080"/>
      <c r="K5462" s="841" t="s">
        <v>3197</v>
      </c>
      <c r="M5462" s="1357"/>
      <c r="Q5462" s="1357"/>
      <c r="S5462" s="1420"/>
      <c r="T5462" s="1420"/>
      <c r="V5462" s="1357">
        <v>34</v>
      </c>
    </row>
    <row r="5463" spans="1:22" s="841" customFormat="1" ht="15" x14ac:dyDescent="0.25">
      <c r="A5463" s="841" t="s">
        <v>4874</v>
      </c>
      <c r="B5463" s="841" t="s">
        <v>5513</v>
      </c>
      <c r="E5463" s="2073" t="s">
        <v>5515</v>
      </c>
      <c r="F5463" s="2073"/>
      <c r="G5463" s="2073"/>
      <c r="H5463" s="2073"/>
      <c r="K5463" s="841" t="s">
        <v>3197</v>
      </c>
      <c r="M5463" s="1357"/>
      <c r="Q5463" s="1357"/>
      <c r="S5463" s="1420"/>
      <c r="T5463" s="1420"/>
      <c r="V5463" s="1357">
        <v>655</v>
      </c>
    </row>
    <row r="5464" spans="1:22" s="841" customFormat="1" ht="15" x14ac:dyDescent="0.25">
      <c r="A5464" s="841" t="s">
        <v>4874</v>
      </c>
      <c r="B5464" s="841" t="s">
        <v>5513</v>
      </c>
      <c r="E5464" s="2081" t="s">
        <v>3061</v>
      </c>
      <c r="F5464" s="2081"/>
      <c r="G5464" s="2073"/>
      <c r="H5464" s="2073"/>
      <c r="K5464" s="841" t="s">
        <v>3062</v>
      </c>
      <c r="M5464" s="1357"/>
      <c r="Q5464" s="1357"/>
      <c r="S5464" s="1420"/>
      <c r="T5464" s="1420"/>
      <c r="V5464" s="1357">
        <v>11</v>
      </c>
    </row>
    <row r="5465" spans="1:22" s="841" customFormat="1" ht="15" x14ac:dyDescent="0.25">
      <c r="A5465" s="841" t="s">
        <v>4874</v>
      </c>
      <c r="B5465" s="841" t="s">
        <v>5513</v>
      </c>
      <c r="E5465" s="2073" t="s">
        <v>3063</v>
      </c>
      <c r="F5465" s="2073"/>
      <c r="G5465" s="2073"/>
      <c r="H5465" s="2073"/>
      <c r="K5465" s="841" t="s">
        <v>3197</v>
      </c>
      <c r="M5465" s="1357"/>
      <c r="Q5465" s="1357"/>
      <c r="S5465" s="1420"/>
      <c r="T5465" s="1420"/>
      <c r="V5465" s="1357">
        <v>280</v>
      </c>
    </row>
    <row r="5466" spans="1:22" s="841" customFormat="1" ht="15" x14ac:dyDescent="0.25">
      <c r="A5466" s="841" t="s">
        <v>4874</v>
      </c>
      <c r="B5466" s="841" t="s">
        <v>5513</v>
      </c>
      <c r="E5466" s="2073" t="s">
        <v>3064</v>
      </c>
      <c r="F5466" s="2073"/>
      <c r="G5466" s="2073"/>
      <c r="H5466" s="2073"/>
      <c r="K5466" s="841" t="s">
        <v>3197</v>
      </c>
      <c r="M5466" s="1357"/>
      <c r="Q5466" s="1357"/>
      <c r="S5466" s="1420"/>
      <c r="T5466" s="1420"/>
      <c r="V5466" s="1357">
        <v>411</v>
      </c>
    </row>
    <row r="5467" spans="1:22" s="841" customFormat="1" ht="15" x14ac:dyDescent="0.25">
      <c r="A5467" s="841" t="s">
        <v>4874</v>
      </c>
      <c r="B5467" s="841" t="s">
        <v>5513</v>
      </c>
      <c r="E5467" s="2073" t="s">
        <v>5516</v>
      </c>
      <c r="F5467" s="2073"/>
      <c r="G5467" s="2073"/>
      <c r="H5467" s="2073"/>
      <c r="K5467" s="841" t="s">
        <v>3197</v>
      </c>
      <c r="M5467" s="1357"/>
      <c r="Q5467" s="1357"/>
      <c r="S5467" s="1420"/>
      <c r="T5467" s="1420"/>
      <c r="V5467" s="1357">
        <v>387</v>
      </c>
    </row>
    <row r="5468" spans="1:22" s="841" customFormat="1" ht="15" x14ac:dyDescent="0.25">
      <c r="A5468" s="841" t="s">
        <v>4874</v>
      </c>
      <c r="B5468" s="841" t="s">
        <v>5513</v>
      </c>
      <c r="E5468" s="2073" t="s">
        <v>3390</v>
      </c>
      <c r="F5468" s="2073"/>
      <c r="G5468" s="2073"/>
      <c r="H5468" s="2073"/>
      <c r="K5468" s="841" t="s">
        <v>3197</v>
      </c>
      <c r="M5468" s="1357"/>
      <c r="Q5468" s="1357"/>
      <c r="S5468" s="1420"/>
      <c r="T5468" s="1420"/>
      <c r="V5468" s="1357">
        <v>274</v>
      </c>
    </row>
    <row r="5469" spans="1:22" s="841" customFormat="1" ht="15" x14ac:dyDescent="0.25">
      <c r="A5469" s="841" t="s">
        <v>4874</v>
      </c>
      <c r="B5469" s="841" t="s">
        <v>5513</v>
      </c>
      <c r="E5469" s="919" t="s">
        <v>5517</v>
      </c>
      <c r="F5469" s="919"/>
      <c r="G5469" s="1208"/>
      <c r="H5469" s="433"/>
      <c r="K5469" s="841" t="s">
        <v>3068</v>
      </c>
      <c r="M5469" s="1357"/>
      <c r="Q5469" s="1357"/>
      <c r="S5469" s="1420"/>
      <c r="T5469" s="1420"/>
      <c r="V5469" s="1357">
        <v>46</v>
      </c>
    </row>
    <row r="5470" spans="1:22" s="841" customFormat="1" ht="15" x14ac:dyDescent="0.25">
      <c r="A5470" s="841" t="s">
        <v>4874</v>
      </c>
      <c r="B5470" s="841" t="s">
        <v>5513</v>
      </c>
      <c r="E5470" s="433" t="s">
        <v>11</v>
      </c>
      <c r="F5470" s="433"/>
      <c r="G5470" s="1208" t="s">
        <v>23</v>
      </c>
      <c r="H5470" s="1209">
        <v>23.67</v>
      </c>
      <c r="K5470" s="841" t="s">
        <v>3197</v>
      </c>
      <c r="L5470" s="841" t="s">
        <v>442</v>
      </c>
      <c r="M5470" s="1357"/>
      <c r="P5470" s="841" t="s">
        <v>3201</v>
      </c>
      <c r="Q5470" s="1357"/>
      <c r="S5470" s="1420"/>
      <c r="T5470" s="1420"/>
      <c r="V5470" s="1357">
        <v>14</v>
      </c>
    </row>
    <row r="5471" spans="1:22" s="841" customFormat="1" ht="15" x14ac:dyDescent="0.25">
      <c r="A5471" s="841" t="s">
        <v>4874</v>
      </c>
      <c r="B5471" s="841" t="s">
        <v>5513</v>
      </c>
      <c r="E5471" s="433" t="s">
        <v>5109</v>
      </c>
      <c r="F5471" s="433"/>
      <c r="G5471" s="1208" t="s">
        <v>23</v>
      </c>
      <c r="H5471" s="1209">
        <v>0.56999999999999995</v>
      </c>
      <c r="K5471" s="841" t="s">
        <v>3197</v>
      </c>
      <c r="L5471" s="841" t="s">
        <v>443</v>
      </c>
      <c r="M5471" s="1357"/>
      <c r="P5471" s="841" t="s">
        <v>3202</v>
      </c>
      <c r="Q5471" s="1357"/>
      <c r="S5471" s="1420"/>
      <c r="T5471" s="1420">
        <v>44926</v>
      </c>
      <c r="V5471" s="1357">
        <v>64</v>
      </c>
    </row>
    <row r="5472" spans="1:22" s="841" customFormat="1" ht="15" x14ac:dyDescent="0.25">
      <c r="A5472" s="841" t="s">
        <v>4874</v>
      </c>
      <c r="B5472" s="841" t="s">
        <v>5513</v>
      </c>
      <c r="E5472" s="433" t="s">
        <v>5518</v>
      </c>
      <c r="F5472" s="433"/>
      <c r="G5472" s="1208" t="s">
        <v>23</v>
      </c>
      <c r="H5472" s="1209">
        <v>-0.16</v>
      </c>
      <c r="K5472" s="841" t="s">
        <v>3197</v>
      </c>
      <c r="L5472" s="841" t="s">
        <v>442</v>
      </c>
      <c r="M5472" s="1357"/>
      <c r="P5472" s="841" t="s">
        <v>6273</v>
      </c>
      <c r="Q5472" s="1357"/>
      <c r="S5472" s="1420"/>
      <c r="T5472" s="1420"/>
      <c r="V5472" s="1357">
        <v>97</v>
      </c>
    </row>
    <row r="5473" spans="1:22" s="841" customFormat="1" ht="15" x14ac:dyDescent="0.25">
      <c r="A5473" s="841" t="s">
        <v>4874</v>
      </c>
      <c r="B5473" s="841" t="s">
        <v>5513</v>
      </c>
      <c r="E5473" s="599" t="s">
        <v>5204</v>
      </c>
      <c r="F5473" s="599"/>
      <c r="G5473" s="1210" t="s">
        <v>23</v>
      </c>
      <c r="H5473" s="1209">
        <v>0.03</v>
      </c>
      <c r="K5473" s="841" t="s">
        <v>3197</v>
      </c>
      <c r="L5473" s="841" t="s">
        <v>442</v>
      </c>
      <c r="M5473" s="1357"/>
      <c r="P5473" s="841" t="s">
        <v>6274</v>
      </c>
      <c r="Q5473" s="1357"/>
      <c r="S5473" s="1420"/>
      <c r="T5473" s="1420">
        <v>43465</v>
      </c>
      <c r="V5473" s="1357">
        <v>96</v>
      </c>
    </row>
    <row r="5474" spans="1:22" s="841" customFormat="1" ht="15" x14ac:dyDescent="0.25">
      <c r="A5474" s="841" t="s">
        <v>4874</v>
      </c>
      <c r="B5474" s="841" t="s">
        <v>5513</v>
      </c>
      <c r="E5474" s="433" t="s">
        <v>84</v>
      </c>
      <c r="F5474" s="433"/>
      <c r="G5474" s="1208" t="s">
        <v>24</v>
      </c>
      <c r="H5474" s="1211">
        <v>4.0000000000000001E-3</v>
      </c>
      <c r="K5474" s="841" t="s">
        <v>3197</v>
      </c>
      <c r="L5474" s="841" t="s">
        <v>442</v>
      </c>
      <c r="M5474" s="1357"/>
      <c r="P5474" s="841" t="s">
        <v>3203</v>
      </c>
      <c r="Q5474" s="1357"/>
      <c r="S5474" s="1420"/>
      <c r="T5474" s="1420"/>
      <c r="V5474" s="1357">
        <v>28</v>
      </c>
    </row>
    <row r="5475" spans="1:22" s="841" customFormat="1" ht="15" x14ac:dyDescent="0.25">
      <c r="A5475" s="841" t="s">
        <v>4874</v>
      </c>
      <c r="B5475" s="841" t="s">
        <v>5513</v>
      </c>
      <c r="E5475" s="433" t="s">
        <v>18</v>
      </c>
      <c r="F5475" s="433"/>
      <c r="G5475" s="1208" t="s">
        <v>24</v>
      </c>
      <c r="H5475" s="1212">
        <v>6.0000000000000002E-5</v>
      </c>
      <c r="K5475" s="841" t="s">
        <v>3197</v>
      </c>
      <c r="L5475" s="841" t="s">
        <v>443</v>
      </c>
      <c r="M5475" s="1357"/>
      <c r="P5475" s="841" t="s">
        <v>3204</v>
      </c>
      <c r="Q5475" s="1357"/>
      <c r="S5475" s="1420"/>
      <c r="T5475" s="1420"/>
      <c r="V5475" s="1357">
        <v>24</v>
      </c>
    </row>
    <row r="5476" spans="1:22" s="841" customFormat="1" ht="45.75" x14ac:dyDescent="0.25">
      <c r="A5476" s="841" t="s">
        <v>4874</v>
      </c>
      <c r="B5476" s="841" t="s">
        <v>5513</v>
      </c>
      <c r="E5476" s="1091" t="s">
        <v>5325</v>
      </c>
      <c r="F5476" s="1091"/>
      <c r="G5476" s="1213" t="s">
        <v>24</v>
      </c>
      <c r="H5476" s="1211">
        <v>-2.8999999999999998E-3</v>
      </c>
      <c r="K5476" s="841" t="s">
        <v>3197</v>
      </c>
      <c r="L5476" s="841" t="s">
        <v>443</v>
      </c>
      <c r="M5476" s="1357"/>
      <c r="P5476" s="841" t="s">
        <v>3205</v>
      </c>
      <c r="Q5476" s="1357"/>
      <c r="S5476" s="1420"/>
      <c r="T5476" s="1420">
        <v>43585</v>
      </c>
      <c r="V5476" s="1357">
        <v>154</v>
      </c>
    </row>
    <row r="5477" spans="1:22" s="841" customFormat="1" ht="15" x14ac:dyDescent="0.25">
      <c r="A5477" s="841" t="s">
        <v>4874</v>
      </c>
      <c r="B5477" s="841" t="s">
        <v>5513</v>
      </c>
      <c r="E5477" s="433" t="s">
        <v>5210</v>
      </c>
      <c r="F5477" s="433"/>
      <c r="G5477" s="1208" t="s">
        <v>24</v>
      </c>
      <c r="H5477" s="1211">
        <v>-5.5745441166673779E-4</v>
      </c>
      <c r="K5477" s="841" t="s">
        <v>3197</v>
      </c>
      <c r="L5477" s="841" t="s">
        <v>443</v>
      </c>
      <c r="M5477" s="1357"/>
      <c r="P5477" s="841" t="s">
        <v>3207</v>
      </c>
      <c r="Q5477" s="1357"/>
      <c r="S5477" s="1420"/>
      <c r="T5477" s="1420">
        <v>43585</v>
      </c>
      <c r="V5477" s="1357">
        <v>108</v>
      </c>
    </row>
    <row r="5478" spans="1:22" s="841" customFormat="1" ht="45" x14ac:dyDescent="0.25">
      <c r="A5478" s="841" t="s">
        <v>4874</v>
      </c>
      <c r="B5478" s="841" t="s">
        <v>5513</v>
      </c>
      <c r="E5478" s="726" t="s">
        <v>5520</v>
      </c>
      <c r="F5478" s="726"/>
      <c r="G5478" s="1213" t="s">
        <v>24</v>
      </c>
      <c r="H5478" s="1212">
        <v>-4.8022178426240039E-5</v>
      </c>
      <c r="K5478" s="841" t="s">
        <v>3197</v>
      </c>
      <c r="L5478" s="841" t="s">
        <v>443</v>
      </c>
      <c r="M5478" s="1357"/>
      <c r="P5478" s="841" t="s">
        <v>5103</v>
      </c>
      <c r="Q5478" s="1357"/>
      <c r="S5478" s="1420"/>
      <c r="T5478" s="1420"/>
      <c r="V5478" s="1357">
        <v>162</v>
      </c>
    </row>
    <row r="5479" spans="1:22" s="841" customFormat="1" ht="45.75" x14ac:dyDescent="0.25">
      <c r="A5479" s="841" t="s">
        <v>4874</v>
      </c>
      <c r="B5479" s="841" t="s">
        <v>5513</v>
      </c>
      <c r="E5479" s="1091" t="s">
        <v>5521</v>
      </c>
      <c r="F5479" s="1091"/>
      <c r="G5479" s="1213" t="s">
        <v>24</v>
      </c>
      <c r="H5479" s="1211">
        <v>3.4235840736918192E-4</v>
      </c>
      <c r="K5479" s="841" t="s">
        <v>3197</v>
      </c>
      <c r="L5479" s="841" t="s">
        <v>442</v>
      </c>
      <c r="M5479" s="1357"/>
      <c r="P5479" s="841" t="s">
        <v>3206</v>
      </c>
      <c r="Q5479" s="1357"/>
      <c r="S5479" s="1420"/>
      <c r="T5479" s="1420">
        <v>43585</v>
      </c>
      <c r="V5479" s="1357">
        <v>152</v>
      </c>
    </row>
    <row r="5480" spans="1:22" s="841" customFormat="1" ht="15" x14ac:dyDescent="0.25">
      <c r="A5480" s="841" t="s">
        <v>4874</v>
      </c>
      <c r="B5480" s="841" t="s">
        <v>5513</v>
      </c>
      <c r="E5480" s="433" t="s">
        <v>221</v>
      </c>
      <c r="F5480" s="433"/>
      <c r="G5480" s="1208" t="s">
        <v>24</v>
      </c>
      <c r="H5480" s="1211">
        <v>7.4425597040001842E-3</v>
      </c>
      <c r="K5480" s="841" t="s">
        <v>3197</v>
      </c>
      <c r="L5480" s="841" t="s">
        <v>444</v>
      </c>
      <c r="M5480" s="1357"/>
      <c r="P5480" s="841" t="s">
        <v>3208</v>
      </c>
      <c r="Q5480" s="1357"/>
      <c r="S5480" s="1420"/>
      <c r="T5480" s="1420"/>
      <c r="V5480" s="1357">
        <v>47</v>
      </c>
    </row>
    <row r="5481" spans="1:22" s="841" customFormat="1" ht="15" x14ac:dyDescent="0.25">
      <c r="A5481" s="841" t="s">
        <v>4874</v>
      </c>
      <c r="B5481" s="841" t="s">
        <v>5513</v>
      </c>
      <c r="E5481" s="433" t="s">
        <v>217</v>
      </c>
      <c r="F5481" s="433"/>
      <c r="G5481" s="1208" t="s">
        <v>24</v>
      </c>
      <c r="H5481" s="1211">
        <v>6.8243139315473864E-3</v>
      </c>
      <c r="K5481" s="841" t="s">
        <v>3197</v>
      </c>
      <c r="L5481" s="841" t="s">
        <v>444</v>
      </c>
      <c r="M5481" s="1357"/>
      <c r="P5481" s="841" t="s">
        <v>3209</v>
      </c>
      <c r="Q5481" s="1357"/>
      <c r="S5481" s="1420"/>
      <c r="T5481" s="1420"/>
      <c r="V5481" s="1357">
        <v>74</v>
      </c>
    </row>
    <row r="5482" spans="1:22" s="841" customFormat="1" ht="15" x14ac:dyDescent="0.25">
      <c r="A5482" s="841" t="s">
        <v>4874</v>
      </c>
      <c r="B5482" s="841" t="s">
        <v>5513</v>
      </c>
      <c r="E5482" s="919" t="s">
        <v>5522</v>
      </c>
      <c r="F5482" s="919"/>
      <c r="G5482" s="1208"/>
      <c r="H5482" s="1211"/>
      <c r="K5482" s="841" t="s">
        <v>3080</v>
      </c>
      <c r="M5482" s="1357"/>
      <c r="Q5482" s="1357"/>
      <c r="S5482" s="1420"/>
      <c r="T5482" s="1420"/>
      <c r="V5482" s="1357">
        <v>48</v>
      </c>
    </row>
    <row r="5483" spans="1:22" s="841" customFormat="1" ht="15" x14ac:dyDescent="0.25">
      <c r="A5483" s="841" t="s">
        <v>4874</v>
      </c>
      <c r="B5483" s="841" t="s">
        <v>5513</v>
      </c>
      <c r="E5483" s="1690" t="s">
        <v>2449</v>
      </c>
      <c r="F5483" s="1690"/>
      <c r="G5483" s="1214" t="s">
        <v>24</v>
      </c>
      <c r="H5483" s="1215">
        <v>3.2000000000000002E-3</v>
      </c>
      <c r="K5483" s="841" t="s">
        <v>3197</v>
      </c>
      <c r="L5483" s="841" t="s">
        <v>3046</v>
      </c>
      <c r="M5483" s="1357"/>
      <c r="P5483" s="841" t="s">
        <v>3210</v>
      </c>
      <c r="Q5483" s="1357"/>
      <c r="S5483" s="1420"/>
      <c r="T5483" s="1420"/>
      <c r="V5483" s="1357">
        <v>55</v>
      </c>
    </row>
    <row r="5484" spans="1:22" s="841" customFormat="1" ht="15" x14ac:dyDescent="0.25">
      <c r="A5484" s="841" t="s">
        <v>4874</v>
      </c>
      <c r="B5484" s="841" t="s">
        <v>5513</v>
      </c>
      <c r="E5484" s="1379" t="s">
        <v>2450</v>
      </c>
      <c r="F5484" s="1379"/>
      <c r="G5484" s="1214" t="s">
        <v>24</v>
      </c>
      <c r="H5484" s="1215">
        <v>4.0000000000000002E-4</v>
      </c>
      <c r="K5484" s="841" t="s">
        <v>3197</v>
      </c>
      <c r="L5484" s="841" t="s">
        <v>3046</v>
      </c>
      <c r="M5484" s="1357"/>
      <c r="P5484" s="841" t="s">
        <v>3210</v>
      </c>
      <c r="Q5484" s="1357"/>
      <c r="S5484" s="1420"/>
      <c r="T5484" s="1420"/>
      <c r="V5484" s="1357">
        <v>65</v>
      </c>
    </row>
    <row r="5485" spans="1:22" s="841" customFormat="1" ht="15" x14ac:dyDescent="0.25">
      <c r="A5485" s="841" t="s">
        <v>4874</v>
      </c>
      <c r="B5485" s="841" t="s">
        <v>5513</v>
      </c>
      <c r="E5485" s="1379" t="s">
        <v>439</v>
      </c>
      <c r="F5485" s="1379"/>
      <c r="G5485" s="1214" t="s">
        <v>24</v>
      </c>
      <c r="H5485" s="1215">
        <v>2.9999999999999997E-4</v>
      </c>
      <c r="K5485" s="841" t="s">
        <v>3197</v>
      </c>
      <c r="L5485" s="841" t="s">
        <v>3046</v>
      </c>
      <c r="M5485" s="1357"/>
      <c r="P5485" s="841" t="s">
        <v>3212</v>
      </c>
      <c r="Q5485" s="1357"/>
      <c r="S5485" s="1420"/>
      <c r="T5485" s="1420"/>
      <c r="V5485" s="1357">
        <v>57</v>
      </c>
    </row>
    <row r="5486" spans="1:22" s="841" customFormat="1" ht="15" x14ac:dyDescent="0.25">
      <c r="A5486" s="841" t="s">
        <v>4874</v>
      </c>
      <c r="B5486" s="841" t="s">
        <v>5513</v>
      </c>
      <c r="E5486" s="1379" t="s">
        <v>32</v>
      </c>
      <c r="F5486" s="1379"/>
      <c r="G5486" s="1214" t="s">
        <v>23</v>
      </c>
      <c r="H5486" s="1216">
        <v>0.25</v>
      </c>
      <c r="K5486" s="841" t="s">
        <v>3197</v>
      </c>
      <c r="L5486" s="841" t="s">
        <v>3046</v>
      </c>
      <c r="M5486" s="1357"/>
      <c r="P5486" s="841" t="s">
        <v>3213</v>
      </c>
      <c r="Q5486" s="1357"/>
      <c r="S5486" s="1420"/>
      <c r="T5486" s="1420"/>
      <c r="V5486" s="1357">
        <v>63</v>
      </c>
    </row>
    <row r="5487" spans="1:22" s="841" customFormat="1" ht="54" x14ac:dyDescent="0.25">
      <c r="A5487" s="841" t="s">
        <v>4874</v>
      </c>
      <c r="B5487" s="841" t="s">
        <v>5513</v>
      </c>
      <c r="E5487" s="1400" t="s">
        <v>632</v>
      </c>
      <c r="F5487" s="1400"/>
      <c r="G5487" s="1217"/>
      <c r="H5487" s="1218"/>
      <c r="K5487" s="841" t="s">
        <v>5110</v>
      </c>
      <c r="M5487" s="1357"/>
      <c r="Q5487" s="1357"/>
      <c r="S5487" s="1420"/>
      <c r="T5487" s="1420"/>
      <c r="V5487" s="1357">
        <v>54</v>
      </c>
    </row>
    <row r="5488" spans="1:22" s="841" customFormat="1" ht="15" x14ac:dyDescent="0.25">
      <c r="A5488" s="841" t="s">
        <v>4874</v>
      </c>
      <c r="B5488" s="841" t="s">
        <v>5513</v>
      </c>
      <c r="E5488" s="2073" t="s">
        <v>5523</v>
      </c>
      <c r="F5488" s="2073"/>
      <c r="G5488" s="2073"/>
      <c r="H5488" s="2073"/>
      <c r="K5488" s="841" t="s">
        <v>5110</v>
      </c>
      <c r="M5488" s="1357"/>
      <c r="Q5488" s="1357"/>
      <c r="S5488" s="1420"/>
      <c r="T5488" s="1420"/>
      <c r="V5488" s="1357">
        <v>337</v>
      </c>
    </row>
    <row r="5489" spans="1:22" s="841" customFormat="1" ht="15" x14ac:dyDescent="0.25">
      <c r="A5489" s="841" t="s">
        <v>4874</v>
      </c>
      <c r="B5489" s="841" t="s">
        <v>5513</v>
      </c>
      <c r="E5489" s="1089" t="s">
        <v>3061</v>
      </c>
      <c r="F5489" s="1089"/>
      <c r="G5489" s="1219"/>
      <c r="H5489" s="1090"/>
      <c r="K5489" s="841" t="s">
        <v>3086</v>
      </c>
      <c r="M5489" s="1357"/>
      <c r="Q5489" s="1357"/>
      <c r="S5489" s="1420"/>
      <c r="T5489" s="1420"/>
      <c r="V5489" s="1357">
        <v>11</v>
      </c>
    </row>
    <row r="5490" spans="1:22" s="841" customFormat="1" ht="15" x14ac:dyDescent="0.25">
      <c r="A5490" s="841" t="s">
        <v>4874</v>
      </c>
      <c r="B5490" s="841" t="s">
        <v>5513</v>
      </c>
      <c r="E5490" s="2073" t="s">
        <v>3063</v>
      </c>
      <c r="F5490" s="2073"/>
      <c r="G5490" s="2073"/>
      <c r="H5490" s="2073"/>
      <c r="K5490" s="841" t="s">
        <v>5110</v>
      </c>
      <c r="M5490" s="1357"/>
      <c r="Q5490" s="1357"/>
      <c r="S5490" s="1420"/>
      <c r="T5490" s="1420"/>
      <c r="V5490" s="1357">
        <v>280</v>
      </c>
    </row>
    <row r="5491" spans="1:22" s="841" customFormat="1" ht="15" x14ac:dyDescent="0.25">
      <c r="A5491" s="841" t="s">
        <v>4874</v>
      </c>
      <c r="B5491" s="841" t="s">
        <v>5513</v>
      </c>
      <c r="E5491" s="2073" t="s">
        <v>3064</v>
      </c>
      <c r="F5491" s="2073"/>
      <c r="G5491" s="2073"/>
      <c r="H5491" s="2073"/>
      <c r="K5491" s="841" t="s">
        <v>5110</v>
      </c>
      <c r="M5491" s="1357"/>
      <c r="Q5491" s="1357"/>
      <c r="S5491" s="1420"/>
      <c r="T5491" s="1420"/>
      <c r="V5491" s="1357">
        <v>411</v>
      </c>
    </row>
    <row r="5492" spans="1:22" s="841" customFormat="1" ht="15" x14ac:dyDescent="0.25">
      <c r="A5492" s="841" t="s">
        <v>4874</v>
      </c>
      <c r="B5492" s="841" t="s">
        <v>5513</v>
      </c>
      <c r="E5492" s="2073" t="s">
        <v>5516</v>
      </c>
      <c r="F5492" s="2073"/>
      <c r="G5492" s="2073"/>
      <c r="H5492" s="2073"/>
      <c r="K5492" s="841" t="s">
        <v>5110</v>
      </c>
      <c r="M5492" s="1357"/>
      <c r="Q5492" s="1357"/>
      <c r="S5492" s="1420"/>
      <c r="T5492" s="1420"/>
      <c r="V5492" s="1357">
        <v>387</v>
      </c>
    </row>
    <row r="5493" spans="1:22" s="841" customFormat="1" ht="15" x14ac:dyDescent="0.25">
      <c r="A5493" s="841" t="s">
        <v>4874</v>
      </c>
      <c r="B5493" s="841" t="s">
        <v>5513</v>
      </c>
      <c r="E5493" s="2073" t="s">
        <v>3390</v>
      </c>
      <c r="F5493" s="2073"/>
      <c r="G5493" s="2073"/>
      <c r="H5493" s="2073"/>
      <c r="K5493" s="841" t="s">
        <v>5110</v>
      </c>
      <c r="M5493" s="1357"/>
      <c r="Q5493" s="1357"/>
      <c r="S5493" s="1420"/>
      <c r="T5493" s="1420"/>
      <c r="V5493" s="1357">
        <v>274</v>
      </c>
    </row>
    <row r="5494" spans="1:22" s="841" customFormat="1" ht="15" x14ac:dyDescent="0.25">
      <c r="A5494" s="841" t="s">
        <v>4874</v>
      </c>
      <c r="B5494" s="841" t="s">
        <v>5513</v>
      </c>
      <c r="E5494" s="698" t="s">
        <v>5517</v>
      </c>
      <c r="F5494" s="698"/>
      <c r="G5494" s="1208"/>
      <c r="H5494" s="433"/>
      <c r="K5494" s="841" t="s">
        <v>3087</v>
      </c>
      <c r="M5494" s="1357"/>
      <c r="Q5494" s="1357"/>
      <c r="S5494" s="1420"/>
      <c r="T5494" s="1420"/>
      <c r="V5494" s="1357">
        <v>46</v>
      </c>
    </row>
    <row r="5495" spans="1:22" s="841" customFormat="1" ht="15" x14ac:dyDescent="0.25">
      <c r="A5495" s="841" t="s">
        <v>4874</v>
      </c>
      <c r="B5495" s="841" t="s">
        <v>5513</v>
      </c>
      <c r="E5495" s="599" t="s">
        <v>11</v>
      </c>
      <c r="F5495" s="599"/>
      <c r="G5495" s="1210" t="s">
        <v>23</v>
      </c>
      <c r="H5495" s="1209">
        <v>41.22</v>
      </c>
      <c r="K5495" s="841" t="s">
        <v>5110</v>
      </c>
      <c r="L5495" s="841" t="s">
        <v>442</v>
      </c>
      <c r="M5495" s="1357"/>
      <c r="P5495" s="841" t="s">
        <v>5111</v>
      </c>
      <c r="Q5495" s="1357"/>
      <c r="S5495" s="1420"/>
      <c r="T5495" s="1420"/>
      <c r="V5495" s="1357">
        <v>14</v>
      </c>
    </row>
    <row r="5496" spans="1:22" s="841" customFormat="1" ht="15" x14ac:dyDescent="0.25">
      <c r="A5496" s="841" t="s">
        <v>4874</v>
      </c>
      <c r="B5496" s="841" t="s">
        <v>5513</v>
      </c>
      <c r="E5496" s="599" t="s">
        <v>5109</v>
      </c>
      <c r="F5496" s="599"/>
      <c r="G5496" s="1210" t="s">
        <v>23</v>
      </c>
      <c r="H5496" s="1209">
        <v>0.56999999999999995</v>
      </c>
      <c r="K5496" s="841" t="s">
        <v>5110</v>
      </c>
      <c r="L5496" s="841" t="s">
        <v>443</v>
      </c>
      <c r="M5496" s="1357"/>
      <c r="P5496" s="841" t="s">
        <v>5112</v>
      </c>
      <c r="Q5496" s="1357"/>
      <c r="S5496" s="1420"/>
      <c r="T5496" s="1420">
        <v>44926</v>
      </c>
      <c r="V5496" s="1357">
        <v>64</v>
      </c>
    </row>
    <row r="5497" spans="1:22" s="841" customFormat="1" ht="15" x14ac:dyDescent="0.25">
      <c r="A5497" s="841" t="s">
        <v>4874</v>
      </c>
      <c r="B5497" s="841" t="s">
        <v>5513</v>
      </c>
      <c r="E5497" s="599" t="s">
        <v>5518</v>
      </c>
      <c r="F5497" s="599"/>
      <c r="G5497" s="1210" t="s">
        <v>23</v>
      </c>
      <c r="H5497" s="1209">
        <v>-0.25</v>
      </c>
      <c r="K5497" s="841" t="s">
        <v>5110</v>
      </c>
      <c r="L5497" s="841" t="s">
        <v>442</v>
      </c>
      <c r="M5497" s="1357"/>
      <c r="P5497" s="841" t="s">
        <v>6275</v>
      </c>
      <c r="Q5497" s="1357"/>
      <c r="S5497" s="1420"/>
      <c r="T5497" s="1420"/>
      <c r="V5497" s="1357">
        <v>97</v>
      </c>
    </row>
    <row r="5498" spans="1:22" s="841" customFormat="1" ht="15" x14ac:dyDescent="0.25">
      <c r="A5498" s="841" t="s">
        <v>4874</v>
      </c>
      <c r="B5498" s="841" t="s">
        <v>5513</v>
      </c>
      <c r="E5498" s="599" t="s">
        <v>5204</v>
      </c>
      <c r="F5498" s="599"/>
      <c r="G5498" s="1210" t="s">
        <v>23</v>
      </c>
      <c r="H5498" s="1209">
        <v>-0.23</v>
      </c>
      <c r="K5498" s="841" t="s">
        <v>5110</v>
      </c>
      <c r="L5498" s="841" t="s">
        <v>442</v>
      </c>
      <c r="M5498" s="1357"/>
      <c r="P5498" s="841" t="s">
        <v>6276</v>
      </c>
      <c r="Q5498" s="1357"/>
      <c r="S5498" s="1420"/>
      <c r="T5498" s="1420">
        <v>43465</v>
      </c>
      <c r="V5498" s="1357">
        <v>96</v>
      </c>
    </row>
    <row r="5499" spans="1:22" s="841" customFormat="1" ht="15" x14ac:dyDescent="0.25">
      <c r="A5499" s="841" t="s">
        <v>4874</v>
      </c>
      <c r="B5499" s="841" t="s">
        <v>5513</v>
      </c>
      <c r="E5499" s="433" t="s">
        <v>84</v>
      </c>
      <c r="F5499" s="433"/>
      <c r="G5499" s="1208" t="s">
        <v>24</v>
      </c>
      <c r="H5499" s="1211">
        <v>1.06E-2</v>
      </c>
      <c r="K5499" s="841" t="s">
        <v>5110</v>
      </c>
      <c r="L5499" s="841" t="s">
        <v>442</v>
      </c>
      <c r="M5499" s="1357"/>
      <c r="P5499" s="841" t="s">
        <v>5113</v>
      </c>
      <c r="Q5499" s="1357"/>
      <c r="S5499" s="1420"/>
      <c r="T5499" s="1420"/>
      <c r="V5499" s="1357">
        <v>28</v>
      </c>
    </row>
    <row r="5500" spans="1:22" s="841" customFormat="1" ht="15" x14ac:dyDescent="0.25">
      <c r="A5500" s="841" t="s">
        <v>4874</v>
      </c>
      <c r="B5500" s="841" t="s">
        <v>5513</v>
      </c>
      <c r="E5500" s="433" t="s">
        <v>18</v>
      </c>
      <c r="F5500" s="433"/>
      <c r="G5500" s="1208" t="s">
        <v>24</v>
      </c>
      <c r="H5500" s="1212">
        <v>6.0000000000000002E-5</v>
      </c>
      <c r="K5500" s="841" t="s">
        <v>5110</v>
      </c>
      <c r="L5500" s="841" t="s">
        <v>443</v>
      </c>
      <c r="M5500" s="1357"/>
      <c r="P5500" s="841" t="s">
        <v>5114</v>
      </c>
      <c r="Q5500" s="1357"/>
      <c r="S5500" s="1420"/>
      <c r="T5500" s="1420"/>
      <c r="V5500" s="1357">
        <v>24</v>
      </c>
    </row>
    <row r="5501" spans="1:22" s="841" customFormat="1" ht="45" x14ac:dyDescent="0.25">
      <c r="A5501" s="841" t="s">
        <v>4874</v>
      </c>
      <c r="B5501" s="841" t="s">
        <v>5513</v>
      </c>
      <c r="E5501" s="726" t="s">
        <v>5325</v>
      </c>
      <c r="F5501" s="726"/>
      <c r="G5501" s="1213" t="s">
        <v>24</v>
      </c>
      <c r="H5501" s="1211">
        <v>-2.8999999999999998E-3</v>
      </c>
      <c r="K5501" s="841" t="s">
        <v>5110</v>
      </c>
      <c r="L5501" s="841" t="s">
        <v>443</v>
      </c>
      <c r="M5501" s="1357"/>
      <c r="P5501" s="841" t="s">
        <v>4818</v>
      </c>
      <c r="Q5501" s="1357"/>
      <c r="S5501" s="1420"/>
      <c r="T5501" s="1420">
        <v>43585</v>
      </c>
      <c r="V5501" s="1357">
        <v>154</v>
      </c>
    </row>
    <row r="5502" spans="1:22" s="841" customFormat="1" ht="15" x14ac:dyDescent="0.25">
      <c r="A5502" s="841" t="s">
        <v>4874</v>
      </c>
      <c r="B5502" s="841" t="s">
        <v>5513</v>
      </c>
      <c r="E5502" s="433" t="s">
        <v>5210</v>
      </c>
      <c r="F5502" s="433"/>
      <c r="G5502" s="1208" t="s">
        <v>24</v>
      </c>
      <c r="H5502" s="1211">
        <v>-5.4706058984850081E-4</v>
      </c>
      <c r="K5502" s="841" t="s">
        <v>5110</v>
      </c>
      <c r="L5502" s="841" t="s">
        <v>443</v>
      </c>
      <c r="M5502" s="1357"/>
      <c r="P5502" s="841" t="s">
        <v>5124</v>
      </c>
      <c r="Q5502" s="1357"/>
      <c r="S5502" s="1420"/>
      <c r="T5502" s="1420">
        <v>43585</v>
      </c>
      <c r="V5502" s="1357">
        <v>108</v>
      </c>
    </row>
    <row r="5503" spans="1:22" s="841" customFormat="1" ht="45.75" x14ac:dyDescent="0.25">
      <c r="A5503" s="841" t="s">
        <v>4874</v>
      </c>
      <c r="B5503" s="841" t="s">
        <v>5513</v>
      </c>
      <c r="E5503" s="1091" t="s">
        <v>5525</v>
      </c>
      <c r="F5503" s="1091"/>
      <c r="G5503" s="1213" t="s">
        <v>24</v>
      </c>
      <c r="H5503" s="1212">
        <v>-4.8022178426240046E-5</v>
      </c>
      <c r="K5503" s="841" t="s">
        <v>5110</v>
      </c>
      <c r="L5503" s="841" t="s">
        <v>443</v>
      </c>
      <c r="M5503" s="1357"/>
      <c r="P5503" s="841" t="s">
        <v>5287</v>
      </c>
      <c r="Q5503" s="1357"/>
      <c r="S5503" s="1420"/>
      <c r="T5503" s="1420"/>
      <c r="V5503" s="1357">
        <v>162</v>
      </c>
    </row>
    <row r="5504" spans="1:22" s="841" customFormat="1" ht="15" x14ac:dyDescent="0.25">
      <c r="A5504" s="841" t="s">
        <v>4874</v>
      </c>
      <c r="B5504" s="841" t="s">
        <v>5513</v>
      </c>
      <c r="E5504" s="433" t="s">
        <v>5518</v>
      </c>
      <c r="F5504" s="433"/>
      <c r="G5504" s="1208" t="s">
        <v>24</v>
      </c>
      <c r="H5504" s="1211">
        <v>-1E-4</v>
      </c>
      <c r="K5504" s="841" t="s">
        <v>5110</v>
      </c>
      <c r="L5504" s="841" t="s">
        <v>442</v>
      </c>
      <c r="M5504" s="1357"/>
      <c r="P5504" s="841" t="s">
        <v>6277</v>
      </c>
      <c r="Q5504" s="1357"/>
      <c r="S5504" s="1420"/>
      <c r="T5504" s="1420"/>
      <c r="V5504" s="1357">
        <v>97</v>
      </c>
    </row>
    <row r="5505" spans="1:22" s="841" customFormat="1" ht="45.75" x14ac:dyDescent="0.25">
      <c r="A5505" s="841" t="s">
        <v>4874</v>
      </c>
      <c r="B5505" s="841" t="s">
        <v>5513</v>
      </c>
      <c r="E5505" s="1091" t="s">
        <v>5521</v>
      </c>
      <c r="F5505" s="1091"/>
      <c r="G5505" s="1213" t="s">
        <v>24</v>
      </c>
      <c r="H5505" s="1211">
        <v>5.0610849164547402E-4</v>
      </c>
      <c r="K5505" s="841" t="s">
        <v>5110</v>
      </c>
      <c r="L5505" s="841" t="s">
        <v>442</v>
      </c>
      <c r="M5505" s="1357"/>
      <c r="P5505" s="841" t="s">
        <v>5285</v>
      </c>
      <c r="Q5505" s="1357"/>
      <c r="S5505" s="1420"/>
      <c r="T5505" s="1420">
        <v>43585</v>
      </c>
      <c r="V5505" s="1357">
        <v>152</v>
      </c>
    </row>
    <row r="5506" spans="1:22" s="841" customFormat="1" ht="15" x14ac:dyDescent="0.25">
      <c r="A5506" s="841" t="s">
        <v>4874</v>
      </c>
      <c r="B5506" s="841" t="s">
        <v>5513</v>
      </c>
      <c r="E5506" s="433" t="s">
        <v>221</v>
      </c>
      <c r="F5506" s="433"/>
      <c r="G5506" s="1208" t="s">
        <v>24</v>
      </c>
      <c r="H5506" s="1211">
        <v>6.537383520847216E-3</v>
      </c>
      <c r="K5506" s="841" t="s">
        <v>5110</v>
      </c>
      <c r="L5506" s="841" t="s">
        <v>444</v>
      </c>
      <c r="M5506" s="1357"/>
      <c r="P5506" s="841" t="s">
        <v>5115</v>
      </c>
      <c r="Q5506" s="1357"/>
      <c r="S5506" s="1420"/>
      <c r="T5506" s="1420"/>
      <c r="V5506" s="1357">
        <v>47</v>
      </c>
    </row>
    <row r="5507" spans="1:22" s="841" customFormat="1" ht="15" x14ac:dyDescent="0.25">
      <c r="A5507" s="841" t="s">
        <v>4874</v>
      </c>
      <c r="B5507" s="841" t="s">
        <v>5513</v>
      </c>
      <c r="E5507" s="433" t="s">
        <v>217</v>
      </c>
      <c r="F5507" s="433"/>
      <c r="G5507" s="1208" t="s">
        <v>24</v>
      </c>
      <c r="H5507" s="1211">
        <v>6.1303158981366483E-3</v>
      </c>
      <c r="K5507" s="841" t="s">
        <v>5110</v>
      </c>
      <c r="L5507" s="841" t="s">
        <v>444</v>
      </c>
      <c r="M5507" s="1357"/>
      <c r="P5507" s="841" t="s">
        <v>5116</v>
      </c>
      <c r="Q5507" s="1357"/>
      <c r="S5507" s="1420"/>
      <c r="T5507" s="1420"/>
      <c r="V5507" s="1357">
        <v>74</v>
      </c>
    </row>
    <row r="5508" spans="1:22" s="841" customFormat="1" ht="15" x14ac:dyDescent="0.25">
      <c r="A5508" s="841" t="s">
        <v>4874</v>
      </c>
      <c r="B5508" s="841" t="s">
        <v>5513</v>
      </c>
      <c r="E5508" s="698" t="s">
        <v>5522</v>
      </c>
      <c r="F5508" s="698"/>
      <c r="G5508" s="1208"/>
      <c r="H5508" s="1211"/>
      <c r="K5508" s="841" t="s">
        <v>3093</v>
      </c>
      <c r="M5508" s="1357"/>
      <c r="Q5508" s="1357"/>
      <c r="S5508" s="1420"/>
      <c r="T5508" s="1420"/>
      <c r="V5508" s="1357">
        <v>48</v>
      </c>
    </row>
    <row r="5509" spans="1:22" s="841" customFormat="1" ht="15" x14ac:dyDescent="0.25">
      <c r="A5509" s="841" t="s">
        <v>4874</v>
      </c>
      <c r="B5509" s="841" t="s">
        <v>5513</v>
      </c>
      <c r="E5509" s="1690" t="s">
        <v>2449</v>
      </c>
      <c r="F5509" s="1690"/>
      <c r="G5509" s="1214" t="s">
        <v>24</v>
      </c>
      <c r="H5509" s="1215">
        <v>3.2000000000000002E-3</v>
      </c>
      <c r="K5509" s="841" t="s">
        <v>5110</v>
      </c>
      <c r="L5509" s="841" t="s">
        <v>3046</v>
      </c>
      <c r="M5509" s="1357"/>
      <c r="P5509" s="841" t="s">
        <v>5117</v>
      </c>
      <c r="Q5509" s="1357"/>
      <c r="S5509" s="1420"/>
      <c r="T5509" s="1420"/>
      <c r="V5509" s="1357">
        <v>55</v>
      </c>
    </row>
    <row r="5510" spans="1:22" s="841" customFormat="1" ht="15" x14ac:dyDescent="0.25">
      <c r="A5510" s="841" t="s">
        <v>4874</v>
      </c>
      <c r="B5510" s="841" t="s">
        <v>5513</v>
      </c>
      <c r="E5510" s="1379" t="s">
        <v>2450</v>
      </c>
      <c r="F5510" s="1379"/>
      <c r="G5510" s="1214" t="s">
        <v>24</v>
      </c>
      <c r="H5510" s="1215">
        <v>4.0000000000000002E-4</v>
      </c>
      <c r="K5510" s="841" t="s">
        <v>5110</v>
      </c>
      <c r="L5510" s="841" t="s">
        <v>3046</v>
      </c>
      <c r="M5510" s="1357"/>
      <c r="P5510" s="841" t="s">
        <v>5117</v>
      </c>
      <c r="Q5510" s="1357"/>
      <c r="S5510" s="1420"/>
      <c r="T5510" s="1420"/>
      <c r="V5510" s="1357">
        <v>65</v>
      </c>
    </row>
    <row r="5511" spans="1:22" s="841" customFormat="1" ht="15" x14ac:dyDescent="0.25">
      <c r="A5511" s="841" t="s">
        <v>4874</v>
      </c>
      <c r="B5511" s="841" t="s">
        <v>5513</v>
      </c>
      <c r="E5511" s="1379" t="s">
        <v>439</v>
      </c>
      <c r="F5511" s="1379"/>
      <c r="G5511" s="1214" t="s">
        <v>24</v>
      </c>
      <c r="H5511" s="1215">
        <v>2.9999999999999997E-4</v>
      </c>
      <c r="K5511" s="841" t="s">
        <v>5110</v>
      </c>
      <c r="L5511" s="841" t="s">
        <v>3046</v>
      </c>
      <c r="M5511" s="1357"/>
      <c r="P5511" s="841" t="s">
        <v>5118</v>
      </c>
      <c r="Q5511" s="1357"/>
      <c r="S5511" s="1420"/>
      <c r="T5511" s="1420"/>
      <c r="V5511" s="1357">
        <v>57</v>
      </c>
    </row>
    <row r="5512" spans="1:22" s="841" customFormat="1" ht="15" x14ac:dyDescent="0.25">
      <c r="A5512" s="841" t="s">
        <v>4874</v>
      </c>
      <c r="B5512" s="841" t="s">
        <v>5513</v>
      </c>
      <c r="E5512" s="1379" t="s">
        <v>32</v>
      </c>
      <c r="F5512" s="1379"/>
      <c r="G5512" s="1214" t="s">
        <v>23</v>
      </c>
      <c r="H5512" s="1216">
        <v>0.25</v>
      </c>
      <c r="K5512" s="841" t="s">
        <v>5110</v>
      </c>
      <c r="L5512" s="841" t="s">
        <v>3046</v>
      </c>
      <c r="M5512" s="1357"/>
      <c r="P5512" s="841" t="s">
        <v>5119</v>
      </c>
      <c r="Q5512" s="1357"/>
      <c r="S5512" s="1420"/>
      <c r="T5512" s="1420"/>
      <c r="V5512" s="1357">
        <v>63</v>
      </c>
    </row>
    <row r="5513" spans="1:22" s="841" customFormat="1" ht="54" x14ac:dyDescent="0.25">
      <c r="A5513" s="841" t="s">
        <v>4874</v>
      </c>
      <c r="B5513" s="841" t="s">
        <v>5513</v>
      </c>
      <c r="E5513" s="1400" t="s">
        <v>4819</v>
      </c>
      <c r="F5513" s="1400"/>
      <c r="G5513" s="1217"/>
      <c r="H5513" s="1218"/>
      <c r="K5513" s="841" t="s">
        <v>6095</v>
      </c>
      <c r="M5513" s="1357"/>
      <c r="Q5513" s="1357"/>
      <c r="S5513" s="1420"/>
      <c r="T5513" s="1420"/>
      <c r="V5513" s="1357">
        <v>53</v>
      </c>
    </row>
    <row r="5514" spans="1:22" s="841" customFormat="1" ht="15" x14ac:dyDescent="0.25">
      <c r="A5514" s="841" t="s">
        <v>4874</v>
      </c>
      <c r="B5514" s="841" t="s">
        <v>5513</v>
      </c>
      <c r="E5514" s="2073" t="s">
        <v>5526</v>
      </c>
      <c r="F5514" s="2073"/>
      <c r="G5514" s="2073"/>
      <c r="H5514" s="2073"/>
      <c r="K5514" s="841" t="s">
        <v>6095</v>
      </c>
      <c r="M5514" s="1357"/>
      <c r="Q5514" s="1357"/>
      <c r="S5514" s="1420"/>
      <c r="T5514" s="1420"/>
      <c r="V5514" s="1357">
        <v>388</v>
      </c>
    </row>
    <row r="5515" spans="1:22" s="841" customFormat="1" ht="15" x14ac:dyDescent="0.25">
      <c r="A5515" s="841" t="s">
        <v>4874</v>
      </c>
      <c r="B5515" s="841" t="s">
        <v>5513</v>
      </c>
      <c r="E5515" s="1401" t="s">
        <v>3061</v>
      </c>
      <c r="F5515" s="1401"/>
      <c r="G5515" s="1219"/>
      <c r="H5515" s="1402"/>
      <c r="K5515" s="841" t="s">
        <v>3098</v>
      </c>
      <c r="M5515" s="1357"/>
      <c r="Q5515" s="1357"/>
      <c r="S5515" s="1420"/>
      <c r="T5515" s="1420"/>
      <c r="V5515" s="1357">
        <v>11</v>
      </c>
    </row>
    <row r="5516" spans="1:22" s="841" customFormat="1" ht="15" x14ac:dyDescent="0.25">
      <c r="A5516" s="841" t="s">
        <v>4874</v>
      </c>
      <c r="B5516" s="841" t="s">
        <v>5513</v>
      </c>
      <c r="E5516" s="2073" t="s">
        <v>3063</v>
      </c>
      <c r="F5516" s="2073"/>
      <c r="G5516" s="2073"/>
      <c r="H5516" s="2073"/>
      <c r="K5516" s="841" t="s">
        <v>6095</v>
      </c>
      <c r="M5516" s="1357"/>
      <c r="Q5516" s="1357"/>
      <c r="S5516" s="1420"/>
      <c r="T5516" s="1420"/>
      <c r="V5516" s="1357">
        <v>280</v>
      </c>
    </row>
    <row r="5517" spans="1:22" s="841" customFormat="1" ht="15" x14ac:dyDescent="0.25">
      <c r="A5517" s="841" t="s">
        <v>4874</v>
      </c>
      <c r="B5517" s="841" t="s">
        <v>5513</v>
      </c>
      <c r="E5517" s="2073" t="s">
        <v>3064</v>
      </c>
      <c r="F5517" s="2073"/>
      <c r="G5517" s="2073"/>
      <c r="H5517" s="2073"/>
      <c r="K5517" s="841" t="s">
        <v>6095</v>
      </c>
      <c r="M5517" s="1357"/>
      <c r="Q5517" s="1357"/>
      <c r="S5517" s="1420"/>
      <c r="T5517" s="1420"/>
      <c r="V5517" s="1357">
        <v>411</v>
      </c>
    </row>
    <row r="5518" spans="1:22" s="841" customFormat="1" ht="15" x14ac:dyDescent="0.25">
      <c r="A5518" s="841" t="s">
        <v>4874</v>
      </c>
      <c r="B5518" s="841" t="s">
        <v>5513</v>
      </c>
      <c r="E5518" s="2073" t="s">
        <v>5516</v>
      </c>
      <c r="F5518" s="2073"/>
      <c r="G5518" s="2073"/>
      <c r="H5518" s="2073"/>
      <c r="K5518" s="841" t="s">
        <v>6095</v>
      </c>
      <c r="M5518" s="1357"/>
      <c r="Q5518" s="1357"/>
      <c r="S5518" s="1420"/>
      <c r="T5518" s="1420"/>
      <c r="V5518" s="1357">
        <v>387</v>
      </c>
    </row>
    <row r="5519" spans="1:22" s="841" customFormat="1" ht="204" x14ac:dyDescent="0.25">
      <c r="A5519" s="841" t="s">
        <v>4874</v>
      </c>
      <c r="B5519" s="841" t="s">
        <v>5513</v>
      </c>
      <c r="E5519" s="1369" t="s">
        <v>5527</v>
      </c>
      <c r="F5519" s="1369"/>
      <c r="G5519" s="1369"/>
      <c r="H5519" s="1369"/>
      <c r="K5519" s="841" t="s">
        <v>6095</v>
      </c>
      <c r="M5519" s="1357"/>
      <c r="Q5519" s="1357"/>
      <c r="S5519" s="1420"/>
      <c r="T5519" s="1420"/>
      <c r="V5519" s="1357">
        <v>613</v>
      </c>
    </row>
    <row r="5520" spans="1:22" s="841" customFormat="1" ht="144" x14ac:dyDescent="0.25">
      <c r="A5520" s="841" t="s">
        <v>4874</v>
      </c>
      <c r="B5520" s="841" t="s">
        <v>5513</v>
      </c>
      <c r="E5520" s="1375" t="s">
        <v>5528</v>
      </c>
      <c r="F5520" s="1375"/>
      <c r="G5520" s="1375"/>
      <c r="H5520" s="1376"/>
      <c r="K5520" s="841" t="s">
        <v>6095</v>
      </c>
      <c r="M5520" s="1357"/>
      <c r="Q5520" s="1357"/>
      <c r="S5520" s="1420"/>
      <c r="T5520" s="1420"/>
      <c r="V5520" s="1357">
        <v>510</v>
      </c>
    </row>
    <row r="5521" spans="1:22" s="841" customFormat="1" ht="15" x14ac:dyDescent="0.25">
      <c r="A5521" s="841" t="s">
        <v>4874</v>
      </c>
      <c r="B5521" s="841" t="s">
        <v>5513</v>
      </c>
      <c r="E5521" s="2073" t="s">
        <v>3390</v>
      </c>
      <c r="F5521" s="2073"/>
      <c r="G5521" s="2073"/>
      <c r="H5521" s="2073"/>
      <c r="K5521" s="841" t="s">
        <v>6095</v>
      </c>
      <c r="M5521" s="1357"/>
      <c r="Q5521" s="1357"/>
      <c r="S5521" s="1420"/>
      <c r="T5521" s="1420"/>
      <c r="V5521" s="1357">
        <v>274</v>
      </c>
    </row>
    <row r="5522" spans="1:22" s="841" customFormat="1" ht="15" x14ac:dyDescent="0.25">
      <c r="A5522" s="841" t="s">
        <v>4874</v>
      </c>
      <c r="B5522" s="841" t="s">
        <v>5513</v>
      </c>
      <c r="E5522" s="919" t="s">
        <v>5517</v>
      </c>
      <c r="F5522" s="919"/>
      <c r="G5522" s="1208"/>
      <c r="H5522" s="433"/>
      <c r="K5522" s="841" t="s">
        <v>3099</v>
      </c>
      <c r="M5522" s="1357"/>
      <c r="Q5522" s="1357"/>
      <c r="S5522" s="1420"/>
      <c r="T5522" s="1420"/>
      <c r="V5522" s="1357">
        <v>46</v>
      </c>
    </row>
    <row r="5523" spans="1:22" s="841" customFormat="1" ht="15" x14ac:dyDescent="0.25">
      <c r="A5523" s="841" t="s">
        <v>4874</v>
      </c>
      <c r="B5523" s="841" t="s">
        <v>5513</v>
      </c>
      <c r="E5523" s="599" t="s">
        <v>11</v>
      </c>
      <c r="F5523" s="599"/>
      <c r="G5523" s="1210" t="s">
        <v>23</v>
      </c>
      <c r="H5523" s="1209">
        <v>379.54</v>
      </c>
      <c r="K5523" s="841" t="s">
        <v>6095</v>
      </c>
      <c r="L5523" s="841" t="s">
        <v>442</v>
      </c>
      <c r="M5523" s="1357"/>
      <c r="P5523" s="841" t="s">
        <v>6096</v>
      </c>
      <c r="Q5523" s="1357"/>
      <c r="S5523" s="1420"/>
      <c r="T5523" s="1420"/>
      <c r="V5523" s="1357">
        <v>14</v>
      </c>
    </row>
    <row r="5524" spans="1:22" s="841" customFormat="1" ht="15" x14ac:dyDescent="0.25">
      <c r="A5524" s="841" t="s">
        <v>4874</v>
      </c>
      <c r="B5524" s="841" t="s">
        <v>5513</v>
      </c>
      <c r="E5524" s="599" t="s">
        <v>5518</v>
      </c>
      <c r="F5524" s="599"/>
      <c r="G5524" s="1210" t="s">
        <v>23</v>
      </c>
      <c r="H5524" s="1209">
        <v>-2.27</v>
      </c>
      <c r="K5524" s="841" t="s">
        <v>6095</v>
      </c>
      <c r="L5524" s="841" t="s">
        <v>442</v>
      </c>
      <c r="M5524" s="1357"/>
      <c r="P5524" s="841" t="s">
        <v>6278</v>
      </c>
      <c r="Q5524" s="1357"/>
      <c r="S5524" s="1420"/>
      <c r="T5524" s="1420"/>
      <c r="V5524" s="1357">
        <v>97</v>
      </c>
    </row>
    <row r="5525" spans="1:22" s="841" customFormat="1" ht="15" x14ac:dyDescent="0.25">
      <c r="A5525" s="841" t="s">
        <v>4874</v>
      </c>
      <c r="B5525" s="841" t="s">
        <v>5513</v>
      </c>
      <c r="E5525" s="599" t="s">
        <v>5204</v>
      </c>
      <c r="F5525" s="599"/>
      <c r="G5525" s="1210" t="s">
        <v>23</v>
      </c>
      <c r="H5525" s="1209">
        <v>0.7</v>
      </c>
      <c r="K5525" s="841" t="s">
        <v>6095</v>
      </c>
      <c r="L5525" s="841" t="s">
        <v>442</v>
      </c>
      <c r="M5525" s="1357"/>
      <c r="P5525" s="841" t="s">
        <v>6279</v>
      </c>
      <c r="Q5525" s="1357"/>
      <c r="S5525" s="1420"/>
      <c r="T5525" s="1420">
        <v>43465</v>
      </c>
      <c r="V5525" s="1357">
        <v>96</v>
      </c>
    </row>
    <row r="5526" spans="1:22" s="841" customFormat="1" ht="15" x14ac:dyDescent="0.25">
      <c r="A5526" s="841" t="s">
        <v>4874</v>
      </c>
      <c r="B5526" s="841" t="s">
        <v>5513</v>
      </c>
      <c r="E5526" s="433" t="s">
        <v>84</v>
      </c>
      <c r="F5526" s="433"/>
      <c r="G5526" s="1208" t="s">
        <v>33</v>
      </c>
      <c r="H5526" s="1211">
        <v>2.5565000000000002</v>
      </c>
      <c r="K5526" s="841" t="s">
        <v>6095</v>
      </c>
      <c r="L5526" s="841" t="s">
        <v>442</v>
      </c>
      <c r="M5526" s="1357"/>
      <c r="P5526" s="841" t="s">
        <v>6097</v>
      </c>
      <c r="Q5526" s="1357"/>
      <c r="S5526" s="1420"/>
      <c r="T5526" s="1420"/>
      <c r="V5526" s="1357">
        <v>28</v>
      </c>
    </row>
    <row r="5527" spans="1:22" s="841" customFormat="1" ht="15" x14ac:dyDescent="0.25">
      <c r="A5527" s="841" t="s">
        <v>4874</v>
      </c>
      <c r="B5527" s="841" t="s">
        <v>5513</v>
      </c>
      <c r="E5527" s="433" t="s">
        <v>18</v>
      </c>
      <c r="F5527" s="433"/>
      <c r="G5527" s="1208" t="s">
        <v>33</v>
      </c>
      <c r="H5527" s="1212">
        <v>2.1690000000000001E-2</v>
      </c>
      <c r="K5527" s="841" t="s">
        <v>6095</v>
      </c>
      <c r="L5527" s="841" t="s">
        <v>443</v>
      </c>
      <c r="M5527" s="1357"/>
      <c r="P5527" s="841" t="s">
        <v>6098</v>
      </c>
      <c r="Q5527" s="1357"/>
      <c r="S5527" s="1420"/>
      <c r="T5527" s="1420"/>
      <c r="V5527" s="1357">
        <v>24</v>
      </c>
    </row>
    <row r="5528" spans="1:22" s="841" customFormat="1" ht="45" x14ac:dyDescent="0.25">
      <c r="A5528" s="841" t="s">
        <v>4874</v>
      </c>
      <c r="B5528" s="841" t="s">
        <v>5513</v>
      </c>
      <c r="E5528" s="726" t="s">
        <v>5325</v>
      </c>
      <c r="F5528" s="726"/>
      <c r="G5528" s="1213" t="s">
        <v>24</v>
      </c>
      <c r="H5528" s="1211">
        <v>-2.8999999999999998E-3</v>
      </c>
      <c r="K5528" s="841" t="s">
        <v>6095</v>
      </c>
      <c r="L5528" s="841" t="s">
        <v>443</v>
      </c>
      <c r="M5528" s="1357"/>
      <c r="P5528" s="841" t="s">
        <v>6104</v>
      </c>
      <c r="Q5528" s="1357"/>
      <c r="S5528" s="1420"/>
      <c r="T5528" s="1420">
        <v>43585</v>
      </c>
      <c r="V5528" s="1357">
        <v>154</v>
      </c>
    </row>
    <row r="5529" spans="1:22" s="841" customFormat="1" ht="15" x14ac:dyDescent="0.25">
      <c r="A5529" s="841" t="s">
        <v>4874</v>
      </c>
      <c r="B5529" s="841" t="s">
        <v>5513</v>
      </c>
      <c r="E5529" s="433" t="s">
        <v>5210</v>
      </c>
      <c r="F5529" s="433"/>
      <c r="G5529" s="1208" t="s">
        <v>33</v>
      </c>
      <c r="H5529" s="1211">
        <v>0.10803942087013488</v>
      </c>
      <c r="K5529" s="841" t="s">
        <v>6095</v>
      </c>
      <c r="L5529" s="841" t="s">
        <v>443</v>
      </c>
      <c r="M5529" s="1357"/>
      <c r="P5529" s="841" t="s">
        <v>6105</v>
      </c>
      <c r="Q5529" s="1357"/>
      <c r="S5529" s="1420"/>
      <c r="T5529" s="1420">
        <v>43585</v>
      </c>
      <c r="V5529" s="1357">
        <v>108</v>
      </c>
    </row>
    <row r="5530" spans="1:22" s="841" customFormat="1" ht="56.25" x14ac:dyDescent="0.25">
      <c r="A5530" s="841" t="s">
        <v>4874</v>
      </c>
      <c r="B5530" s="841" t="s">
        <v>5513</v>
      </c>
      <c r="E5530" s="726" t="s">
        <v>5220</v>
      </c>
      <c r="F5530" s="726"/>
      <c r="G5530" s="1213" t="s">
        <v>33</v>
      </c>
      <c r="H5530" s="1211">
        <v>-0.30862626888555439</v>
      </c>
      <c r="K5530" s="841" t="s">
        <v>6095</v>
      </c>
      <c r="L5530" s="841" t="s">
        <v>443</v>
      </c>
      <c r="M5530" s="1357"/>
      <c r="P5530" s="841" t="s">
        <v>6105</v>
      </c>
      <c r="Q5530" s="1357"/>
      <c r="S5530" s="1420"/>
      <c r="T5530" s="1420">
        <v>43585</v>
      </c>
      <c r="V5530" s="1357">
        <v>171</v>
      </c>
    </row>
    <row r="5531" spans="1:22" s="841" customFormat="1" ht="45" x14ac:dyDescent="0.25">
      <c r="A5531" s="841" t="s">
        <v>4874</v>
      </c>
      <c r="B5531" s="841" t="s">
        <v>5513</v>
      </c>
      <c r="E5531" s="726" t="s">
        <v>5520</v>
      </c>
      <c r="F5531" s="726"/>
      <c r="G5531" s="1213" t="s">
        <v>33</v>
      </c>
      <c r="H5531" s="1212">
        <v>-1.7299155182803644E-2</v>
      </c>
      <c r="K5531" s="841" t="s">
        <v>6095</v>
      </c>
      <c r="L5531" s="841" t="s">
        <v>443</v>
      </c>
      <c r="M5531" s="1357"/>
      <c r="P5531" s="841" t="s">
        <v>6112</v>
      </c>
      <c r="Q5531" s="1357"/>
      <c r="S5531" s="1420"/>
      <c r="T5531" s="1420"/>
      <c r="V5531" s="1357">
        <v>162</v>
      </c>
    </row>
    <row r="5532" spans="1:22" s="841" customFormat="1" ht="45.75" x14ac:dyDescent="0.25">
      <c r="A5532" s="841" t="s">
        <v>4874</v>
      </c>
      <c r="B5532" s="841" t="s">
        <v>5513</v>
      </c>
      <c r="E5532" s="1091" t="s">
        <v>5521</v>
      </c>
      <c r="F5532" s="1091"/>
      <c r="G5532" s="1213" t="s">
        <v>33</v>
      </c>
      <c r="H5532" s="1211">
        <v>5.7537917038263421E-2</v>
      </c>
      <c r="K5532" s="841" t="s">
        <v>6095</v>
      </c>
      <c r="L5532" s="841" t="s">
        <v>442</v>
      </c>
      <c r="M5532" s="1357"/>
      <c r="P5532" s="841" t="s">
        <v>6111</v>
      </c>
      <c r="Q5532" s="1357"/>
      <c r="S5532" s="1420"/>
      <c r="T5532" s="1420">
        <v>43585</v>
      </c>
      <c r="V5532" s="1357">
        <v>152</v>
      </c>
    </row>
    <row r="5533" spans="1:22" s="841" customFormat="1" ht="15" x14ac:dyDescent="0.25">
      <c r="A5533" s="841" t="s">
        <v>4874</v>
      </c>
      <c r="B5533" s="841" t="s">
        <v>5513</v>
      </c>
      <c r="E5533" s="433" t="s">
        <v>5518</v>
      </c>
      <c r="F5533" s="433"/>
      <c r="G5533" s="1208" t="s">
        <v>33</v>
      </c>
      <c r="H5533" s="1211">
        <v>-1.5299999999999999E-2</v>
      </c>
      <c r="K5533" s="841" t="s">
        <v>6095</v>
      </c>
      <c r="L5533" s="841" t="s">
        <v>442</v>
      </c>
      <c r="M5533" s="1357"/>
      <c r="P5533" s="841" t="s">
        <v>6280</v>
      </c>
      <c r="Q5533" s="1357"/>
      <c r="S5533" s="1420"/>
      <c r="T5533" s="1420"/>
      <c r="V5533" s="1357">
        <v>97</v>
      </c>
    </row>
    <row r="5534" spans="1:22" s="841" customFormat="1" ht="15" x14ac:dyDescent="0.25">
      <c r="A5534" s="841" t="s">
        <v>4874</v>
      </c>
      <c r="B5534" s="841" t="s">
        <v>5513</v>
      </c>
      <c r="E5534" s="433" t="s">
        <v>221</v>
      </c>
      <c r="F5534" s="433"/>
      <c r="G5534" s="1208" t="s">
        <v>33</v>
      </c>
      <c r="H5534" s="1211">
        <v>2.5868929487130066</v>
      </c>
      <c r="K5534" s="841" t="s">
        <v>6095</v>
      </c>
      <c r="L5534" s="841" t="s">
        <v>444</v>
      </c>
      <c r="M5534" s="1357"/>
      <c r="P5534" s="841" t="s">
        <v>6099</v>
      </c>
      <c r="Q5534" s="1357"/>
      <c r="S5534" s="1420"/>
      <c r="T5534" s="1420"/>
      <c r="V5534" s="1357">
        <v>47</v>
      </c>
    </row>
    <row r="5535" spans="1:22" s="841" customFormat="1" ht="15" x14ac:dyDescent="0.25">
      <c r="A5535" s="841" t="s">
        <v>4874</v>
      </c>
      <c r="B5535" s="841" t="s">
        <v>5513</v>
      </c>
      <c r="E5535" s="433" t="s">
        <v>217</v>
      </c>
      <c r="F5535" s="433"/>
      <c r="G5535" s="1208" t="s">
        <v>33</v>
      </c>
      <c r="H5535" s="1211">
        <v>2.4536300225786776</v>
      </c>
      <c r="K5535" s="841" t="s">
        <v>6095</v>
      </c>
      <c r="L5535" s="841" t="s">
        <v>444</v>
      </c>
      <c r="M5535" s="1357"/>
      <c r="P5535" s="841" t="s">
        <v>6100</v>
      </c>
      <c r="Q5535" s="1357"/>
      <c r="S5535" s="1420"/>
      <c r="T5535" s="1420"/>
      <c r="V5535" s="1357">
        <v>74</v>
      </c>
    </row>
    <row r="5536" spans="1:22" s="841" customFormat="1" ht="15" x14ac:dyDescent="0.25">
      <c r="A5536" s="841" t="s">
        <v>4874</v>
      </c>
      <c r="B5536" s="841" t="s">
        <v>5513</v>
      </c>
      <c r="E5536" s="698" t="s">
        <v>5522</v>
      </c>
      <c r="F5536" s="698"/>
      <c r="G5536" s="1208"/>
      <c r="H5536" s="1211"/>
      <c r="K5536" s="841" t="s">
        <v>3218</v>
      </c>
      <c r="M5536" s="1357"/>
      <c r="Q5536" s="1357"/>
      <c r="S5536" s="1420"/>
      <c r="T5536" s="1420"/>
      <c r="V5536" s="1357">
        <v>48</v>
      </c>
    </row>
    <row r="5537" spans="1:22" s="841" customFormat="1" ht="15" x14ac:dyDescent="0.25">
      <c r="A5537" s="841" t="s">
        <v>4874</v>
      </c>
      <c r="B5537" s="841" t="s">
        <v>5513</v>
      </c>
      <c r="E5537" s="1690" t="s">
        <v>2449</v>
      </c>
      <c r="F5537" s="1690"/>
      <c r="G5537" s="1214" t="s">
        <v>24</v>
      </c>
      <c r="H5537" s="1215">
        <v>3.2000000000000002E-3</v>
      </c>
      <c r="K5537" s="841" t="s">
        <v>6095</v>
      </c>
      <c r="L5537" s="841" t="s">
        <v>3046</v>
      </c>
      <c r="M5537" s="1357"/>
      <c r="P5537" s="841" t="s">
        <v>6101</v>
      </c>
      <c r="Q5537" s="1357"/>
      <c r="S5537" s="1420"/>
      <c r="T5537" s="1420"/>
      <c r="V5537" s="1357">
        <v>55</v>
      </c>
    </row>
    <row r="5538" spans="1:22" s="841" customFormat="1" ht="15" x14ac:dyDescent="0.25">
      <c r="A5538" s="841" t="s">
        <v>4874</v>
      </c>
      <c r="B5538" s="841" t="s">
        <v>5513</v>
      </c>
      <c r="E5538" s="1379" t="s">
        <v>2450</v>
      </c>
      <c r="F5538" s="1379"/>
      <c r="G5538" s="1214" t="s">
        <v>24</v>
      </c>
      <c r="H5538" s="1215">
        <v>4.0000000000000002E-4</v>
      </c>
      <c r="K5538" s="841" t="s">
        <v>6095</v>
      </c>
      <c r="L5538" s="841" t="s">
        <v>3046</v>
      </c>
      <c r="M5538" s="1357"/>
      <c r="P5538" s="841" t="s">
        <v>6101</v>
      </c>
      <c r="Q5538" s="1357"/>
      <c r="S5538" s="1420"/>
      <c r="T5538" s="1420"/>
      <c r="V5538" s="1357">
        <v>65</v>
      </c>
    </row>
    <row r="5539" spans="1:22" s="841" customFormat="1" ht="15" x14ac:dyDescent="0.25">
      <c r="A5539" s="841" t="s">
        <v>4874</v>
      </c>
      <c r="B5539" s="841" t="s">
        <v>5513</v>
      </c>
      <c r="E5539" s="1379" t="s">
        <v>439</v>
      </c>
      <c r="F5539" s="1379"/>
      <c r="G5539" s="1214" t="s">
        <v>24</v>
      </c>
      <c r="H5539" s="1215">
        <v>2.9999999999999997E-4</v>
      </c>
      <c r="K5539" s="841" t="s">
        <v>6095</v>
      </c>
      <c r="L5539" s="841" t="s">
        <v>3046</v>
      </c>
      <c r="M5539" s="1357"/>
      <c r="P5539" s="841" t="s">
        <v>6102</v>
      </c>
      <c r="Q5539" s="1357"/>
      <c r="S5539" s="1420"/>
      <c r="T5539" s="1420"/>
      <c r="V5539" s="1357">
        <v>57</v>
      </c>
    </row>
    <row r="5540" spans="1:22" s="841" customFormat="1" ht="15" x14ac:dyDescent="0.25">
      <c r="A5540" s="841" t="s">
        <v>4874</v>
      </c>
      <c r="B5540" s="841" t="s">
        <v>5513</v>
      </c>
      <c r="E5540" s="1379" t="s">
        <v>32</v>
      </c>
      <c r="F5540" s="1379"/>
      <c r="G5540" s="1214" t="s">
        <v>23</v>
      </c>
      <c r="H5540" s="1216">
        <v>0.25</v>
      </c>
      <c r="K5540" s="841" t="s">
        <v>6095</v>
      </c>
      <c r="L5540" s="841" t="s">
        <v>3046</v>
      </c>
      <c r="M5540" s="1357"/>
      <c r="P5540" s="841" t="s">
        <v>6103</v>
      </c>
      <c r="Q5540" s="1357"/>
      <c r="S5540" s="1420"/>
      <c r="T5540" s="1420"/>
      <c r="V5540" s="1357">
        <v>63</v>
      </c>
    </row>
    <row r="5541" spans="1:22" s="841" customFormat="1" ht="36" x14ac:dyDescent="0.25">
      <c r="A5541" s="841" t="s">
        <v>4874</v>
      </c>
      <c r="B5541" s="841" t="s">
        <v>5513</v>
      </c>
      <c r="E5541" s="1400" t="s">
        <v>621</v>
      </c>
      <c r="F5541" s="1400"/>
      <c r="G5541" s="1217"/>
      <c r="H5541" s="1218"/>
      <c r="K5541" s="841" t="s">
        <v>4394</v>
      </c>
      <c r="M5541" s="1357"/>
      <c r="Q5541" s="1357"/>
      <c r="S5541" s="1420"/>
      <c r="T5541" s="1420"/>
      <c r="V5541" s="1357">
        <v>32</v>
      </c>
    </row>
    <row r="5542" spans="1:22" s="841" customFormat="1" ht="15" x14ac:dyDescent="0.25">
      <c r="A5542" s="841" t="s">
        <v>4874</v>
      </c>
      <c r="B5542" s="841" t="s">
        <v>5513</v>
      </c>
      <c r="E5542" s="2073" t="s">
        <v>5529</v>
      </c>
      <c r="F5542" s="2073"/>
      <c r="G5542" s="2073"/>
      <c r="H5542" s="2073"/>
      <c r="K5542" s="841" t="s">
        <v>4394</v>
      </c>
      <c r="M5542" s="1357"/>
      <c r="Q5542" s="1357"/>
      <c r="S5542" s="1420"/>
      <c r="T5542" s="1420"/>
      <c r="V5542" s="1357">
        <v>353</v>
      </c>
    </row>
    <row r="5543" spans="1:22" s="841" customFormat="1" ht="15" x14ac:dyDescent="0.25">
      <c r="A5543" s="841" t="s">
        <v>4874</v>
      </c>
      <c r="B5543" s="841" t="s">
        <v>5513</v>
      </c>
      <c r="E5543" s="1089" t="s">
        <v>3061</v>
      </c>
      <c r="F5543" s="1089"/>
      <c r="G5543" s="1219"/>
      <c r="H5543" s="1090"/>
      <c r="K5543" s="841" t="s">
        <v>3221</v>
      </c>
      <c r="M5543" s="1357"/>
      <c r="Q5543" s="1357"/>
      <c r="S5543" s="1420"/>
      <c r="T5543" s="1420"/>
      <c r="V5543" s="1357">
        <v>11</v>
      </c>
    </row>
    <row r="5544" spans="1:22" s="841" customFormat="1" ht="15" x14ac:dyDescent="0.25">
      <c r="A5544" s="841" t="s">
        <v>4874</v>
      </c>
      <c r="B5544" s="841" t="s">
        <v>5513</v>
      </c>
      <c r="E5544" s="2073" t="s">
        <v>3063</v>
      </c>
      <c r="F5544" s="2073"/>
      <c r="G5544" s="2073"/>
      <c r="H5544" s="2073"/>
      <c r="K5544" s="841" t="s">
        <v>4394</v>
      </c>
      <c r="M5544" s="1357"/>
      <c r="Q5544" s="1357"/>
      <c r="S5544" s="1420"/>
      <c r="T5544" s="1420"/>
      <c r="V5544" s="1357">
        <v>280</v>
      </c>
    </row>
    <row r="5545" spans="1:22" s="841" customFormat="1" ht="15" x14ac:dyDescent="0.25">
      <c r="A5545" s="841" t="s">
        <v>4874</v>
      </c>
      <c r="B5545" s="841" t="s">
        <v>5513</v>
      </c>
      <c r="E5545" s="2073" t="s">
        <v>3064</v>
      </c>
      <c r="F5545" s="2073"/>
      <c r="G5545" s="2073"/>
      <c r="H5545" s="2073"/>
      <c r="K5545" s="841" t="s">
        <v>4394</v>
      </c>
      <c r="M5545" s="1357"/>
      <c r="Q5545" s="1357"/>
      <c r="S5545" s="1420"/>
      <c r="T5545" s="1420"/>
      <c r="V5545" s="1357">
        <v>411</v>
      </c>
    </row>
    <row r="5546" spans="1:22" s="841" customFormat="1" ht="15" x14ac:dyDescent="0.25">
      <c r="A5546" s="841" t="s">
        <v>4874</v>
      </c>
      <c r="B5546" s="841" t="s">
        <v>5513</v>
      </c>
      <c r="E5546" s="2073" t="s">
        <v>5516</v>
      </c>
      <c r="F5546" s="2073"/>
      <c r="G5546" s="2073"/>
      <c r="H5546" s="2073"/>
      <c r="K5546" s="841" t="s">
        <v>4394</v>
      </c>
      <c r="M5546" s="1357"/>
      <c r="Q5546" s="1357"/>
      <c r="S5546" s="1420"/>
      <c r="T5546" s="1420"/>
      <c r="V5546" s="1357">
        <v>387</v>
      </c>
    </row>
    <row r="5547" spans="1:22" s="841" customFormat="1" ht="204" x14ac:dyDescent="0.25">
      <c r="A5547" s="841" t="s">
        <v>4874</v>
      </c>
      <c r="B5547" s="841" t="s">
        <v>5513</v>
      </c>
      <c r="E5547" s="1397" t="s">
        <v>5527</v>
      </c>
      <c r="F5547" s="1397"/>
      <c r="G5547" s="1397"/>
      <c r="H5547" s="1397"/>
      <c r="K5547" s="841" t="s">
        <v>4394</v>
      </c>
      <c r="M5547" s="1357"/>
      <c r="Q5547" s="1357"/>
      <c r="S5547" s="1420"/>
      <c r="T5547" s="1420"/>
      <c r="V5547" s="1357">
        <v>613</v>
      </c>
    </row>
    <row r="5548" spans="1:22" s="841" customFormat="1" ht="144" x14ac:dyDescent="0.25">
      <c r="A5548" s="841" t="s">
        <v>4874</v>
      </c>
      <c r="B5548" s="841" t="s">
        <v>5513</v>
      </c>
      <c r="E5548" s="1220" t="s">
        <v>5528</v>
      </c>
      <c r="F5548" s="1220"/>
      <c r="G5548" s="1220"/>
      <c r="H5548" s="1221"/>
      <c r="K5548" s="841" t="s">
        <v>4394</v>
      </c>
      <c r="M5548" s="1357"/>
      <c r="Q5548" s="1357"/>
      <c r="S5548" s="1420"/>
      <c r="T5548" s="1420"/>
      <c r="V5548" s="1357">
        <v>510</v>
      </c>
    </row>
    <row r="5549" spans="1:22" s="841" customFormat="1" ht="15" x14ac:dyDescent="0.25">
      <c r="A5549" s="841" t="s">
        <v>4874</v>
      </c>
      <c r="B5549" s="841" t="s">
        <v>5513</v>
      </c>
      <c r="E5549" s="2073" t="s">
        <v>3390</v>
      </c>
      <c r="F5549" s="2073"/>
      <c r="G5549" s="2073"/>
      <c r="H5549" s="2073"/>
      <c r="K5549" s="841" t="s">
        <v>4394</v>
      </c>
      <c r="M5549" s="1357"/>
      <c r="Q5549" s="1357"/>
      <c r="S5549" s="1420"/>
      <c r="T5549" s="1420"/>
      <c r="V5549" s="1357">
        <v>274</v>
      </c>
    </row>
    <row r="5550" spans="1:22" s="841" customFormat="1" ht="15" x14ac:dyDescent="0.25">
      <c r="A5550" s="841" t="s">
        <v>4874</v>
      </c>
      <c r="B5550" s="841" t="s">
        <v>5513</v>
      </c>
      <c r="E5550" s="698" t="s">
        <v>5517</v>
      </c>
      <c r="F5550" s="698"/>
      <c r="G5550" s="1208"/>
      <c r="H5550" s="433"/>
      <c r="K5550" s="841" t="s">
        <v>3224</v>
      </c>
      <c r="M5550" s="1357"/>
      <c r="Q5550" s="1357"/>
      <c r="S5550" s="1420"/>
      <c r="T5550" s="1420"/>
      <c r="V5550" s="1357">
        <v>46</v>
      </c>
    </row>
    <row r="5551" spans="1:22" s="841" customFormat="1" ht="15" x14ac:dyDescent="0.25">
      <c r="A5551" s="841" t="s">
        <v>4874</v>
      </c>
      <c r="B5551" s="841" t="s">
        <v>5513</v>
      </c>
      <c r="E5551" s="599" t="s">
        <v>11</v>
      </c>
      <c r="F5551" s="599"/>
      <c r="G5551" s="1210" t="s">
        <v>23</v>
      </c>
      <c r="H5551" s="1209">
        <v>23720.06</v>
      </c>
      <c r="K5551" s="841" t="s">
        <v>4394</v>
      </c>
      <c r="L5551" s="841" t="s">
        <v>442</v>
      </c>
      <c r="M5551" s="1357"/>
      <c r="P5551" s="841" t="s">
        <v>4396</v>
      </c>
      <c r="Q5551" s="1357"/>
      <c r="S5551" s="1420"/>
      <c r="T5551" s="1420"/>
      <c r="V5551" s="1357">
        <v>14</v>
      </c>
    </row>
    <row r="5552" spans="1:22" s="841" customFormat="1" ht="15" x14ac:dyDescent="0.25">
      <c r="A5552" s="841" t="s">
        <v>4874</v>
      </c>
      <c r="B5552" s="841" t="s">
        <v>5513</v>
      </c>
      <c r="E5552" s="599" t="s">
        <v>5530</v>
      </c>
      <c r="F5552" s="599"/>
      <c r="G5552" s="1210" t="s">
        <v>23</v>
      </c>
      <c r="H5552" s="1209">
        <v>-142.57</v>
      </c>
      <c r="K5552" s="841" t="s">
        <v>4394</v>
      </c>
      <c r="L5552" s="841" t="s">
        <v>442</v>
      </c>
      <c r="M5552" s="1357"/>
      <c r="P5552" s="841" t="s">
        <v>6281</v>
      </c>
      <c r="Q5552" s="1357"/>
      <c r="S5552" s="1420"/>
      <c r="T5552" s="1420">
        <v>43585</v>
      </c>
      <c r="V5552" s="1357">
        <v>96</v>
      </c>
    </row>
    <row r="5553" spans="1:22" s="841" customFormat="1" ht="15" x14ac:dyDescent="0.25">
      <c r="A5553" s="841" t="s">
        <v>4874</v>
      </c>
      <c r="B5553" s="841" t="s">
        <v>5513</v>
      </c>
      <c r="E5553" s="599" t="s">
        <v>5204</v>
      </c>
      <c r="F5553" s="599"/>
      <c r="G5553" s="1210" t="s">
        <v>23</v>
      </c>
      <c r="H5553" s="1209">
        <v>-55.64</v>
      </c>
      <c r="K5553" s="841" t="s">
        <v>4394</v>
      </c>
      <c r="L5553" s="841" t="s">
        <v>442</v>
      </c>
      <c r="M5553" s="1357"/>
      <c r="P5553" s="841" t="s">
        <v>6282</v>
      </c>
      <c r="Q5553" s="1357"/>
      <c r="S5553" s="1420"/>
      <c r="T5553" s="1420">
        <v>43465</v>
      </c>
      <c r="V5553" s="1357">
        <v>96</v>
      </c>
    </row>
    <row r="5554" spans="1:22" s="841" customFormat="1" ht="15" x14ac:dyDescent="0.25">
      <c r="A5554" s="841" t="s">
        <v>4874</v>
      </c>
      <c r="B5554" s="841" t="s">
        <v>5513</v>
      </c>
      <c r="E5554" s="433" t="s">
        <v>84</v>
      </c>
      <c r="F5554" s="433"/>
      <c r="G5554" s="1208" t="s">
        <v>33</v>
      </c>
      <c r="H5554" s="1211">
        <v>1.3995</v>
      </c>
      <c r="K5554" s="841" t="s">
        <v>4394</v>
      </c>
      <c r="L5554" s="841" t="s">
        <v>442</v>
      </c>
      <c r="M5554" s="1357"/>
      <c r="P5554" s="841" t="s">
        <v>4397</v>
      </c>
      <c r="Q5554" s="1357"/>
      <c r="S5554" s="1420"/>
      <c r="T5554" s="1420"/>
      <c r="V5554" s="1357">
        <v>28</v>
      </c>
    </row>
    <row r="5555" spans="1:22" s="841" customFormat="1" ht="15" x14ac:dyDescent="0.25">
      <c r="A5555" s="841" t="s">
        <v>4874</v>
      </c>
      <c r="B5555" s="841" t="s">
        <v>5513</v>
      </c>
      <c r="E5555" s="433" t="s">
        <v>18</v>
      </c>
      <c r="F5555" s="433"/>
      <c r="G5555" s="1208" t="s">
        <v>33</v>
      </c>
      <c r="H5555" s="1212">
        <v>2.4920000000000001E-2</v>
      </c>
      <c r="K5555" s="841" t="s">
        <v>4394</v>
      </c>
      <c r="L5555" s="841" t="s">
        <v>443</v>
      </c>
      <c r="M5555" s="1357"/>
      <c r="P5555" s="841" t="s">
        <v>4398</v>
      </c>
      <c r="Q5555" s="1357"/>
      <c r="S5555" s="1420"/>
      <c r="T5555" s="1420"/>
      <c r="V5555" s="1357">
        <v>24</v>
      </c>
    </row>
    <row r="5556" spans="1:22" s="841" customFormat="1" ht="45" x14ac:dyDescent="0.25">
      <c r="A5556" s="841" t="s">
        <v>4874</v>
      </c>
      <c r="B5556" s="841" t="s">
        <v>5513</v>
      </c>
      <c r="E5556" s="726" t="s">
        <v>5206</v>
      </c>
      <c r="F5556" s="726"/>
      <c r="G5556" s="1213" t="s">
        <v>24</v>
      </c>
      <c r="H5556" s="1211">
        <v>-2.8999999999999998E-3</v>
      </c>
      <c r="K5556" s="841" t="s">
        <v>4394</v>
      </c>
      <c r="L5556" s="841" t="s">
        <v>443</v>
      </c>
      <c r="M5556" s="1357"/>
      <c r="P5556" s="841" t="s">
        <v>5379</v>
      </c>
      <c r="Q5556" s="1357"/>
      <c r="S5556" s="1420"/>
      <c r="T5556" s="1420">
        <v>43585</v>
      </c>
      <c r="V5556" s="1357">
        <v>153</v>
      </c>
    </row>
    <row r="5557" spans="1:22" s="841" customFormat="1" ht="15" x14ac:dyDescent="0.25">
      <c r="A5557" s="841" t="s">
        <v>4874</v>
      </c>
      <c r="B5557" s="841" t="s">
        <v>5513</v>
      </c>
      <c r="E5557" s="433" t="s">
        <v>5210</v>
      </c>
      <c r="F5557" s="433"/>
      <c r="G5557" s="1208" t="s">
        <v>33</v>
      </c>
      <c r="H5557" s="1211">
        <v>0.14180892035803405</v>
      </c>
      <c r="K5557" s="841" t="s">
        <v>4394</v>
      </c>
      <c r="L5557" s="841" t="s">
        <v>443</v>
      </c>
      <c r="M5557" s="1357"/>
      <c r="P5557" s="841" t="s">
        <v>4400</v>
      </c>
      <c r="Q5557" s="1357"/>
      <c r="S5557" s="1420"/>
      <c r="T5557" s="1420">
        <v>43585</v>
      </c>
      <c r="V5557" s="1357">
        <v>108</v>
      </c>
    </row>
    <row r="5558" spans="1:22" s="841" customFormat="1" ht="56.25" x14ac:dyDescent="0.25">
      <c r="A5558" s="841" t="s">
        <v>4874</v>
      </c>
      <c r="B5558" s="841" t="s">
        <v>5513</v>
      </c>
      <c r="E5558" s="726" t="s">
        <v>5220</v>
      </c>
      <c r="F5558" s="726"/>
      <c r="G5558" s="1213" t="s">
        <v>33</v>
      </c>
      <c r="H5558" s="1211">
        <v>-0.45688189384518907</v>
      </c>
      <c r="K5558" s="841" t="s">
        <v>4394</v>
      </c>
      <c r="L5558" s="841" t="s">
        <v>443</v>
      </c>
      <c r="M5558" s="1357"/>
      <c r="P5558" s="841" t="s">
        <v>4400</v>
      </c>
      <c r="Q5558" s="1357"/>
      <c r="S5558" s="1420"/>
      <c r="T5558" s="1420">
        <v>43585</v>
      </c>
      <c r="V5558" s="1357">
        <v>171</v>
      </c>
    </row>
    <row r="5559" spans="1:22" s="841" customFormat="1" ht="45" x14ac:dyDescent="0.25">
      <c r="A5559" s="841" t="s">
        <v>4874</v>
      </c>
      <c r="B5559" s="841" t="s">
        <v>5513</v>
      </c>
      <c r="E5559" s="726" t="s">
        <v>5531</v>
      </c>
      <c r="F5559" s="726"/>
      <c r="G5559" s="1213" t="s">
        <v>33</v>
      </c>
      <c r="H5559" s="1212">
        <v>-2.6110678750415294E-2</v>
      </c>
      <c r="K5559" s="841" t="s">
        <v>4394</v>
      </c>
      <c r="L5559" s="841" t="s">
        <v>443</v>
      </c>
      <c r="M5559" s="1357"/>
      <c r="P5559" s="841" t="s">
        <v>5452</v>
      </c>
      <c r="Q5559" s="1357"/>
      <c r="S5559" s="1420"/>
      <c r="T5559" s="1420">
        <v>43585</v>
      </c>
      <c r="V5559" s="1357">
        <v>161</v>
      </c>
    </row>
    <row r="5560" spans="1:22" s="841" customFormat="1" ht="45.75" x14ac:dyDescent="0.25">
      <c r="A5560" s="841" t="s">
        <v>4874</v>
      </c>
      <c r="B5560" s="841" t="s">
        <v>5513</v>
      </c>
      <c r="E5560" s="1091" t="s">
        <v>5521</v>
      </c>
      <c r="F5560" s="1091"/>
      <c r="G5560" s="1213" t="s">
        <v>33</v>
      </c>
      <c r="H5560" s="1211">
        <v>0.23377358072180496</v>
      </c>
      <c r="K5560" s="841" t="s">
        <v>4394</v>
      </c>
      <c r="L5560" s="841" t="s">
        <v>442</v>
      </c>
      <c r="M5560" s="1357"/>
      <c r="P5560" s="841" t="s">
        <v>4399</v>
      </c>
      <c r="Q5560" s="1357"/>
      <c r="S5560" s="1420"/>
      <c r="T5560" s="1420">
        <v>43585</v>
      </c>
      <c r="V5560" s="1357">
        <v>152</v>
      </c>
    </row>
    <row r="5561" spans="1:22" s="841" customFormat="1" ht="15" x14ac:dyDescent="0.25">
      <c r="A5561" s="841" t="s">
        <v>4874</v>
      </c>
      <c r="B5561" s="841" t="s">
        <v>5513</v>
      </c>
      <c r="E5561" s="433" t="s">
        <v>5518</v>
      </c>
      <c r="F5561" s="433"/>
      <c r="G5561" s="1208" t="s">
        <v>33</v>
      </c>
      <c r="H5561" s="1211">
        <v>-8.3999999999999995E-3</v>
      </c>
      <c r="K5561" s="841" t="s">
        <v>4394</v>
      </c>
      <c r="L5561" s="841" t="s">
        <v>442</v>
      </c>
      <c r="M5561" s="1357"/>
      <c r="P5561" s="841" t="s">
        <v>6283</v>
      </c>
      <c r="Q5561" s="1357"/>
      <c r="S5561" s="1420"/>
      <c r="T5561" s="1420"/>
      <c r="V5561" s="1357">
        <v>97</v>
      </c>
    </row>
    <row r="5562" spans="1:22" s="841" customFormat="1" ht="15" x14ac:dyDescent="0.25">
      <c r="A5562" s="841" t="s">
        <v>4874</v>
      </c>
      <c r="B5562" s="841" t="s">
        <v>5513</v>
      </c>
      <c r="E5562" s="433" t="s">
        <v>221</v>
      </c>
      <c r="F5562" s="433"/>
      <c r="G5562" s="1208" t="s">
        <v>33</v>
      </c>
      <c r="H5562" s="1211">
        <v>2.9550984920611532</v>
      </c>
      <c r="K5562" s="841" t="s">
        <v>4394</v>
      </c>
      <c r="L5562" s="841" t="s">
        <v>444</v>
      </c>
      <c r="M5562" s="1357"/>
      <c r="P5562" s="841" t="s">
        <v>4401</v>
      </c>
      <c r="Q5562" s="1357"/>
      <c r="S5562" s="1420"/>
      <c r="T5562" s="1420"/>
      <c r="V5562" s="1357">
        <v>47</v>
      </c>
    </row>
    <row r="5563" spans="1:22" s="841" customFormat="1" ht="15" x14ac:dyDescent="0.25">
      <c r="A5563" s="841" t="s">
        <v>4874</v>
      </c>
      <c r="B5563" s="841" t="s">
        <v>5513</v>
      </c>
      <c r="E5563" s="433" t="s">
        <v>217</v>
      </c>
      <c r="F5563" s="433"/>
      <c r="G5563" s="1208" t="s">
        <v>33</v>
      </c>
      <c r="H5563" s="1211">
        <v>2.81948265332663</v>
      </c>
      <c r="K5563" s="841" t="s">
        <v>4394</v>
      </c>
      <c r="L5563" s="841" t="s">
        <v>444</v>
      </c>
      <c r="M5563" s="1357"/>
      <c r="P5563" s="841" t="s">
        <v>5532</v>
      </c>
      <c r="Q5563" s="1357"/>
      <c r="S5563" s="1420"/>
      <c r="T5563" s="1420"/>
      <c r="V5563" s="1357">
        <v>74</v>
      </c>
    </row>
    <row r="5564" spans="1:22" s="841" customFormat="1" ht="15" x14ac:dyDescent="0.25">
      <c r="A5564" s="841" t="s">
        <v>4874</v>
      </c>
      <c r="B5564" s="841" t="s">
        <v>5513</v>
      </c>
      <c r="E5564" s="698" t="s">
        <v>5522</v>
      </c>
      <c r="F5564" s="698"/>
      <c r="G5564" s="1222"/>
      <c r="H5564" s="1211"/>
      <c r="K5564" s="841" t="s">
        <v>3225</v>
      </c>
      <c r="M5564" s="1357"/>
      <c r="Q5564" s="1357"/>
      <c r="S5564" s="1420"/>
      <c r="T5564" s="1420"/>
      <c r="V5564" s="1357">
        <v>48</v>
      </c>
    </row>
    <row r="5565" spans="1:22" s="841" customFormat="1" ht="15" x14ac:dyDescent="0.25">
      <c r="A5565" s="841" t="s">
        <v>4874</v>
      </c>
      <c r="B5565" s="841" t="s">
        <v>5513</v>
      </c>
      <c r="E5565" s="1690" t="s">
        <v>2449</v>
      </c>
      <c r="F5565" s="1690"/>
      <c r="G5565" s="1214" t="s">
        <v>24</v>
      </c>
      <c r="H5565" s="1215">
        <v>3.2000000000000002E-3</v>
      </c>
      <c r="K5565" s="841" t="s">
        <v>4394</v>
      </c>
      <c r="L5565" s="841" t="s">
        <v>3046</v>
      </c>
      <c r="M5565" s="1357"/>
      <c r="P5565" s="841" t="s">
        <v>4403</v>
      </c>
      <c r="Q5565" s="1357"/>
      <c r="S5565" s="1420"/>
      <c r="T5565" s="1420"/>
      <c r="V5565" s="1357">
        <v>55</v>
      </c>
    </row>
    <row r="5566" spans="1:22" s="841" customFormat="1" ht="15" x14ac:dyDescent="0.25">
      <c r="A5566" s="841" t="s">
        <v>4874</v>
      </c>
      <c r="B5566" s="841" t="s">
        <v>5513</v>
      </c>
      <c r="E5566" s="1379" t="s">
        <v>2450</v>
      </c>
      <c r="F5566" s="1379"/>
      <c r="G5566" s="1214" t="s">
        <v>24</v>
      </c>
      <c r="H5566" s="1215">
        <v>4.0000000000000002E-4</v>
      </c>
      <c r="K5566" s="841" t="s">
        <v>4394</v>
      </c>
      <c r="L5566" s="841" t="s">
        <v>3046</v>
      </c>
      <c r="M5566" s="1357"/>
      <c r="P5566" s="841" t="s">
        <v>4403</v>
      </c>
      <c r="Q5566" s="1357"/>
      <c r="S5566" s="1420"/>
      <c r="T5566" s="1420"/>
      <c r="V5566" s="1357">
        <v>65</v>
      </c>
    </row>
    <row r="5567" spans="1:22" s="841" customFormat="1" ht="15" x14ac:dyDescent="0.25">
      <c r="A5567" s="841" t="s">
        <v>4874</v>
      </c>
      <c r="B5567" s="841" t="s">
        <v>5513</v>
      </c>
      <c r="E5567" s="1379" t="s">
        <v>439</v>
      </c>
      <c r="F5567" s="1379"/>
      <c r="G5567" s="1214" t="s">
        <v>24</v>
      </c>
      <c r="H5567" s="1215">
        <v>2.9999999999999997E-4</v>
      </c>
      <c r="K5567" s="841" t="s">
        <v>4394</v>
      </c>
      <c r="L5567" s="841" t="s">
        <v>3046</v>
      </c>
      <c r="M5567" s="1357"/>
      <c r="P5567" s="841" t="s">
        <v>4404</v>
      </c>
      <c r="Q5567" s="1357"/>
      <c r="S5567" s="1420"/>
      <c r="T5567" s="1420"/>
      <c r="V5567" s="1357">
        <v>57</v>
      </c>
    </row>
    <row r="5568" spans="1:22" s="841" customFormat="1" ht="15" x14ac:dyDescent="0.25">
      <c r="A5568" s="841" t="s">
        <v>4874</v>
      </c>
      <c r="B5568" s="841" t="s">
        <v>5513</v>
      </c>
      <c r="E5568" s="1379" t="s">
        <v>32</v>
      </c>
      <c r="F5568" s="1379"/>
      <c r="G5568" s="1214" t="s">
        <v>23</v>
      </c>
      <c r="H5568" s="1216">
        <v>0.25</v>
      </c>
      <c r="K5568" s="841" t="s">
        <v>4394</v>
      </c>
      <c r="L5568" s="841" t="s">
        <v>3046</v>
      </c>
      <c r="M5568" s="1357"/>
      <c r="P5568" s="841" t="s">
        <v>4405</v>
      </c>
      <c r="Q5568" s="1357"/>
      <c r="S5568" s="1420"/>
      <c r="T5568" s="1420"/>
      <c r="V5568" s="1357">
        <v>63</v>
      </c>
    </row>
    <row r="5569" spans="1:22" s="841" customFormat="1" ht="54" x14ac:dyDescent="0.25">
      <c r="A5569" s="841" t="s">
        <v>4874</v>
      </c>
      <c r="B5569" s="841" t="s">
        <v>5513</v>
      </c>
      <c r="E5569" s="1218" t="s">
        <v>1715</v>
      </c>
      <c r="F5569" s="1218"/>
      <c r="G5569" s="1217"/>
      <c r="H5569" s="1218"/>
      <c r="K5569" s="841" t="s">
        <v>5533</v>
      </c>
      <c r="M5569" s="1357"/>
      <c r="Q5569" s="1357"/>
      <c r="S5569" s="1420"/>
      <c r="T5569" s="1420"/>
      <c r="V5569" s="1357">
        <v>54</v>
      </c>
    </row>
    <row r="5570" spans="1:22" s="841" customFormat="1" ht="15" x14ac:dyDescent="0.25">
      <c r="A5570" s="841" t="s">
        <v>4874</v>
      </c>
      <c r="B5570" s="841" t="s">
        <v>5513</v>
      </c>
      <c r="E5570" s="2073" t="s">
        <v>5534</v>
      </c>
      <c r="F5570" s="2073"/>
      <c r="G5570" s="2073"/>
      <c r="H5570" s="2073"/>
      <c r="K5570" s="841" t="s">
        <v>5533</v>
      </c>
      <c r="M5570" s="1357"/>
      <c r="Q5570" s="1357"/>
      <c r="S5570" s="1420"/>
      <c r="T5570" s="1420"/>
      <c r="V5570" s="1357">
        <v>380</v>
      </c>
    </row>
    <row r="5571" spans="1:22" s="841" customFormat="1" ht="15" x14ac:dyDescent="0.25">
      <c r="A5571" s="841" t="s">
        <v>4874</v>
      </c>
      <c r="B5571" s="841" t="s">
        <v>5513</v>
      </c>
      <c r="E5571" s="1089" t="s">
        <v>3061</v>
      </c>
      <c r="F5571" s="1089"/>
      <c r="G5571" s="1219"/>
      <c r="H5571" s="1090"/>
      <c r="K5571" s="841" t="s">
        <v>3107</v>
      </c>
      <c r="M5571" s="1357"/>
      <c r="Q5571" s="1357"/>
      <c r="S5571" s="1420"/>
      <c r="T5571" s="1420"/>
      <c r="V5571" s="1357">
        <v>11</v>
      </c>
    </row>
    <row r="5572" spans="1:22" s="841" customFormat="1" ht="15" x14ac:dyDescent="0.25">
      <c r="A5572" s="841" t="s">
        <v>4874</v>
      </c>
      <c r="B5572" s="841" t="s">
        <v>5513</v>
      </c>
      <c r="E5572" s="2073" t="s">
        <v>3063</v>
      </c>
      <c r="F5572" s="2073"/>
      <c r="G5572" s="2073"/>
      <c r="H5572" s="2073"/>
      <c r="K5572" s="841" t="s">
        <v>5533</v>
      </c>
      <c r="M5572" s="1357"/>
      <c r="Q5572" s="1357"/>
      <c r="S5572" s="1420"/>
      <c r="T5572" s="1420"/>
      <c r="V5572" s="1357">
        <v>280</v>
      </c>
    </row>
    <row r="5573" spans="1:22" s="841" customFormat="1" ht="15" x14ac:dyDescent="0.25">
      <c r="A5573" s="841" t="s">
        <v>4874</v>
      </c>
      <c r="B5573" s="841" t="s">
        <v>5513</v>
      </c>
      <c r="E5573" s="2073" t="s">
        <v>3064</v>
      </c>
      <c r="F5573" s="2073"/>
      <c r="G5573" s="2073"/>
      <c r="H5573" s="2073"/>
      <c r="K5573" s="841" t="s">
        <v>5533</v>
      </c>
      <c r="M5573" s="1357"/>
      <c r="Q5573" s="1357"/>
      <c r="S5573" s="1420"/>
      <c r="T5573" s="1420"/>
      <c r="V5573" s="1357">
        <v>411</v>
      </c>
    </row>
    <row r="5574" spans="1:22" s="841" customFormat="1" ht="15" x14ac:dyDescent="0.25">
      <c r="A5574" s="841" t="s">
        <v>4874</v>
      </c>
      <c r="B5574" s="841" t="s">
        <v>5513</v>
      </c>
      <c r="E5574" s="2073" t="s">
        <v>5516</v>
      </c>
      <c r="F5574" s="2073"/>
      <c r="G5574" s="2073"/>
      <c r="H5574" s="2073"/>
      <c r="K5574" s="841" t="s">
        <v>5533</v>
      </c>
      <c r="M5574" s="1357"/>
      <c r="Q5574" s="1357"/>
      <c r="S5574" s="1420"/>
      <c r="T5574" s="1420"/>
      <c r="V5574" s="1357">
        <v>387</v>
      </c>
    </row>
    <row r="5575" spans="1:22" s="841" customFormat="1" ht="15" x14ac:dyDescent="0.25">
      <c r="A5575" s="841" t="s">
        <v>4874</v>
      </c>
      <c r="B5575" s="841" t="s">
        <v>5513</v>
      </c>
      <c r="E5575" s="2073" t="s">
        <v>3390</v>
      </c>
      <c r="F5575" s="2073"/>
      <c r="G5575" s="2073"/>
      <c r="H5575" s="2073"/>
      <c r="K5575" s="841" t="s">
        <v>5533</v>
      </c>
      <c r="M5575" s="1357"/>
      <c r="Q5575" s="1357"/>
      <c r="S5575" s="1420"/>
      <c r="T5575" s="1420"/>
      <c r="V5575" s="1357">
        <v>274</v>
      </c>
    </row>
    <row r="5576" spans="1:22" s="841" customFormat="1" ht="15" x14ac:dyDescent="0.25">
      <c r="A5576" s="841" t="s">
        <v>4874</v>
      </c>
      <c r="B5576" s="841" t="s">
        <v>5513</v>
      </c>
      <c r="E5576" s="698" t="s">
        <v>5517</v>
      </c>
      <c r="F5576" s="698"/>
      <c r="G5576" s="1208"/>
      <c r="H5576" s="433"/>
      <c r="K5576" s="841" t="s">
        <v>3108</v>
      </c>
      <c r="M5576" s="1357"/>
      <c r="Q5576" s="1357"/>
      <c r="S5576" s="1420"/>
      <c r="T5576" s="1420"/>
      <c r="V5576" s="1357">
        <v>46</v>
      </c>
    </row>
    <row r="5577" spans="1:22" s="841" customFormat="1" ht="15" x14ac:dyDescent="0.25">
      <c r="A5577" s="841" t="s">
        <v>4874</v>
      </c>
      <c r="B5577" s="841" t="s">
        <v>5513</v>
      </c>
      <c r="E5577" s="599" t="s">
        <v>11</v>
      </c>
      <c r="F5577" s="599"/>
      <c r="G5577" s="1210" t="s">
        <v>23</v>
      </c>
      <c r="H5577" s="1209">
        <v>5610.14</v>
      </c>
      <c r="K5577" s="841" t="s">
        <v>5533</v>
      </c>
      <c r="L5577" s="841" t="s">
        <v>442</v>
      </c>
      <c r="M5577" s="1357"/>
      <c r="P5577" s="841" t="s">
        <v>5535</v>
      </c>
      <c r="Q5577" s="1357"/>
      <c r="S5577" s="1420"/>
      <c r="T5577" s="1420"/>
      <c r="V5577" s="1357">
        <v>14</v>
      </c>
    </row>
    <row r="5578" spans="1:22" s="841" customFormat="1" ht="15" x14ac:dyDescent="0.25">
      <c r="A5578" s="841" t="s">
        <v>4874</v>
      </c>
      <c r="B5578" s="841" t="s">
        <v>5513</v>
      </c>
      <c r="E5578" s="599" t="s">
        <v>5530</v>
      </c>
      <c r="F5578" s="599"/>
      <c r="G5578" s="1210" t="s">
        <v>23</v>
      </c>
      <c r="H5578" s="1209">
        <v>-33.549999999999997</v>
      </c>
      <c r="K5578" s="841" t="s">
        <v>5533</v>
      </c>
      <c r="L5578" s="841" t="s">
        <v>442</v>
      </c>
      <c r="M5578" s="1357"/>
      <c r="P5578" s="841" t="s">
        <v>6284</v>
      </c>
      <c r="Q5578" s="1357"/>
      <c r="S5578" s="1420"/>
      <c r="T5578" s="1420">
        <v>43585</v>
      </c>
      <c r="V5578" s="1357">
        <v>96</v>
      </c>
    </row>
    <row r="5579" spans="1:22" s="841" customFormat="1" ht="15" x14ac:dyDescent="0.25">
      <c r="A5579" s="841" t="s">
        <v>4874</v>
      </c>
      <c r="B5579" s="841" t="s">
        <v>5513</v>
      </c>
      <c r="E5579" s="599" t="s">
        <v>5204</v>
      </c>
      <c r="F5579" s="599"/>
      <c r="G5579" s="1210" t="s">
        <v>23</v>
      </c>
      <c r="H5579" s="1209">
        <v>12.64</v>
      </c>
      <c r="K5579" s="841" t="s">
        <v>5533</v>
      </c>
      <c r="L5579" s="841" t="s">
        <v>442</v>
      </c>
      <c r="M5579" s="1357"/>
      <c r="P5579" s="841" t="s">
        <v>6285</v>
      </c>
      <c r="Q5579" s="1357"/>
      <c r="S5579" s="1420"/>
      <c r="T5579" s="1420">
        <v>43465</v>
      </c>
      <c r="V5579" s="1357">
        <v>96</v>
      </c>
    </row>
    <row r="5580" spans="1:22" s="841" customFormat="1" ht="15" x14ac:dyDescent="0.25">
      <c r="A5580" s="841" t="s">
        <v>4874</v>
      </c>
      <c r="B5580" s="841" t="s">
        <v>5513</v>
      </c>
      <c r="E5580" s="433" t="s">
        <v>84</v>
      </c>
      <c r="F5580" s="433"/>
      <c r="G5580" s="1208" t="s">
        <v>33</v>
      </c>
      <c r="H5580" s="1211">
        <v>0.33100000000000002</v>
      </c>
      <c r="K5580" s="841" t="s">
        <v>5533</v>
      </c>
      <c r="L5580" s="841" t="s">
        <v>442</v>
      </c>
      <c r="M5580" s="1357"/>
      <c r="P5580" s="841" t="s">
        <v>5536</v>
      </c>
      <c r="Q5580" s="1357"/>
      <c r="S5580" s="1420"/>
      <c r="T5580" s="1420"/>
      <c r="V5580" s="1357">
        <v>28</v>
      </c>
    </row>
    <row r="5581" spans="1:22" s="841" customFormat="1" ht="15" x14ac:dyDescent="0.25">
      <c r="A5581" s="841" t="s">
        <v>4874</v>
      </c>
      <c r="B5581" s="841" t="s">
        <v>5513</v>
      </c>
      <c r="E5581" s="433" t="s">
        <v>18</v>
      </c>
      <c r="F5581" s="433"/>
      <c r="G5581" s="1208" t="s">
        <v>33</v>
      </c>
      <c r="H5581" s="1212">
        <v>2.4920000000000001E-2</v>
      </c>
      <c r="K5581" s="841" t="s">
        <v>5533</v>
      </c>
      <c r="L5581" s="841" t="s">
        <v>443</v>
      </c>
      <c r="M5581" s="1357"/>
      <c r="P5581" s="841" t="s">
        <v>5537</v>
      </c>
      <c r="Q5581" s="1357"/>
      <c r="S5581" s="1420"/>
      <c r="T5581" s="1420"/>
      <c r="V5581" s="1357">
        <v>24</v>
      </c>
    </row>
    <row r="5582" spans="1:22" s="841" customFormat="1" ht="15" x14ac:dyDescent="0.25">
      <c r="A5582" s="841" t="s">
        <v>4874</v>
      </c>
      <c r="B5582" s="841" t="s">
        <v>5513</v>
      </c>
      <c r="E5582" s="433" t="s">
        <v>5210</v>
      </c>
      <c r="F5582" s="433"/>
      <c r="G5582" s="1208" t="s">
        <v>33</v>
      </c>
      <c r="H5582" s="1211">
        <v>0.1635188668956736</v>
      </c>
      <c r="K5582" s="841" t="s">
        <v>5533</v>
      </c>
      <c r="L5582" s="841" t="s">
        <v>443</v>
      </c>
      <c r="M5582" s="1357"/>
      <c r="P5582" s="841" t="s">
        <v>5538</v>
      </c>
      <c r="Q5582" s="1357"/>
      <c r="S5582" s="1420"/>
      <c r="T5582" s="1420">
        <v>43585</v>
      </c>
      <c r="V5582" s="1357">
        <v>108</v>
      </c>
    </row>
    <row r="5583" spans="1:22" s="841" customFormat="1" ht="56.25" x14ac:dyDescent="0.25">
      <c r="A5583" s="841" t="s">
        <v>4874</v>
      </c>
      <c r="B5583" s="841" t="s">
        <v>5513</v>
      </c>
      <c r="E5583" s="726" t="s">
        <v>5220</v>
      </c>
      <c r="F5583" s="726"/>
      <c r="G5583" s="1213" t="s">
        <v>33</v>
      </c>
      <c r="H5583" s="1211">
        <v>-0.37612801064374535</v>
      </c>
      <c r="K5583" s="841" t="s">
        <v>5533</v>
      </c>
      <c r="L5583" s="841" t="s">
        <v>443</v>
      </c>
      <c r="M5583" s="1357"/>
      <c r="P5583" s="841" t="s">
        <v>5538</v>
      </c>
      <c r="Q5583" s="1357"/>
      <c r="S5583" s="1420"/>
      <c r="T5583" s="1420">
        <v>43585</v>
      </c>
      <c r="V5583" s="1357">
        <v>171</v>
      </c>
    </row>
    <row r="5584" spans="1:22" s="841" customFormat="1" ht="15" x14ac:dyDescent="0.25">
      <c r="A5584" s="841" t="s">
        <v>4874</v>
      </c>
      <c r="B5584" s="841" t="s">
        <v>5513</v>
      </c>
      <c r="E5584" s="433" t="s">
        <v>5530</v>
      </c>
      <c r="F5584" s="433"/>
      <c r="G5584" s="1208" t="s">
        <v>33</v>
      </c>
      <c r="H5584" s="1211">
        <v>-2E-3</v>
      </c>
      <c r="K5584" s="841" t="s">
        <v>5533</v>
      </c>
      <c r="L5584" s="841" t="s">
        <v>442</v>
      </c>
      <c r="M5584" s="1357"/>
      <c r="P5584" s="841" t="s">
        <v>6286</v>
      </c>
      <c r="Q5584" s="1357"/>
      <c r="S5584" s="1420"/>
      <c r="T5584" s="1420">
        <v>43585</v>
      </c>
      <c r="V5584" s="1357">
        <v>96</v>
      </c>
    </row>
    <row r="5585" spans="1:22" s="841" customFormat="1" ht="45.75" x14ac:dyDescent="0.25">
      <c r="A5585" s="841" t="s">
        <v>4874</v>
      </c>
      <c r="B5585" s="841" t="s">
        <v>5513</v>
      </c>
      <c r="E5585" s="1091" t="s">
        <v>5521</v>
      </c>
      <c r="F5585" s="1091"/>
      <c r="G5585" s="1213" t="s">
        <v>33</v>
      </c>
      <c r="H5585" s="1211">
        <v>4.8796173553799956E-3</v>
      </c>
      <c r="K5585" s="841" t="s">
        <v>5533</v>
      </c>
      <c r="L5585" s="841" t="s">
        <v>442</v>
      </c>
      <c r="M5585" s="1357"/>
      <c r="P5585" s="841" t="s">
        <v>5539</v>
      </c>
      <c r="Q5585" s="1357"/>
      <c r="S5585" s="1420"/>
      <c r="T5585" s="1420">
        <v>43585</v>
      </c>
      <c r="V5585" s="1357">
        <v>152</v>
      </c>
    </row>
    <row r="5586" spans="1:22" s="841" customFormat="1" ht="15" x14ac:dyDescent="0.25">
      <c r="A5586" s="841" t="s">
        <v>4874</v>
      </c>
      <c r="B5586" s="841" t="s">
        <v>5513</v>
      </c>
      <c r="E5586" s="433" t="s">
        <v>221</v>
      </c>
      <c r="F5586" s="433"/>
      <c r="G5586" s="1208" t="s">
        <v>33</v>
      </c>
      <c r="H5586" s="1211">
        <v>2.9550985078335339</v>
      </c>
      <c r="K5586" s="841" t="s">
        <v>5533</v>
      </c>
      <c r="L5586" s="841" t="s">
        <v>444</v>
      </c>
      <c r="M5586" s="1357"/>
      <c r="P5586" s="841" t="s">
        <v>5540</v>
      </c>
      <c r="Q5586" s="1357"/>
      <c r="S5586" s="1420"/>
      <c r="T5586" s="1420"/>
      <c r="V5586" s="1357">
        <v>47</v>
      </c>
    </row>
    <row r="5587" spans="1:22" s="841" customFormat="1" ht="15" x14ac:dyDescent="0.25">
      <c r="A5587" s="841" t="s">
        <v>4874</v>
      </c>
      <c r="B5587" s="841" t="s">
        <v>5513</v>
      </c>
      <c r="E5587" s="433" t="s">
        <v>217</v>
      </c>
      <c r="F5587" s="433"/>
      <c r="G5587" s="1208" t="s">
        <v>33</v>
      </c>
      <c r="H5587" s="1211">
        <v>2.8194826506260351</v>
      </c>
      <c r="K5587" s="841" t="s">
        <v>5533</v>
      </c>
      <c r="L5587" s="841" t="s">
        <v>444</v>
      </c>
      <c r="M5587" s="1357"/>
      <c r="P5587" s="841" t="s">
        <v>5541</v>
      </c>
      <c r="Q5587" s="1357"/>
      <c r="S5587" s="1420"/>
      <c r="T5587" s="1420"/>
      <c r="V5587" s="1357">
        <v>74</v>
      </c>
    </row>
    <row r="5588" spans="1:22" s="841" customFormat="1" ht="15" x14ac:dyDescent="0.25">
      <c r="A5588" s="841" t="s">
        <v>4874</v>
      </c>
      <c r="B5588" s="841" t="s">
        <v>5513</v>
      </c>
      <c r="E5588" s="919" t="s">
        <v>5522</v>
      </c>
      <c r="F5588" s="919"/>
      <c r="G5588" s="1222"/>
      <c r="H5588" s="1211"/>
      <c r="K5588" s="841" t="s">
        <v>3111</v>
      </c>
      <c r="M5588" s="1357"/>
      <c r="Q5588" s="1357"/>
      <c r="S5588" s="1420"/>
      <c r="T5588" s="1420"/>
      <c r="V5588" s="1357">
        <v>48</v>
      </c>
    </row>
    <row r="5589" spans="1:22" s="841" customFormat="1" ht="15" x14ac:dyDescent="0.25">
      <c r="A5589" s="841" t="s">
        <v>4874</v>
      </c>
      <c r="B5589" s="841" t="s">
        <v>5513</v>
      </c>
      <c r="E5589" s="1690" t="s">
        <v>2449</v>
      </c>
      <c r="F5589" s="1690"/>
      <c r="G5589" s="1214" t="s">
        <v>24</v>
      </c>
      <c r="H5589" s="1215">
        <v>3.2000000000000002E-3</v>
      </c>
      <c r="K5589" s="841" t="s">
        <v>5533</v>
      </c>
      <c r="L5589" s="841" t="s">
        <v>3046</v>
      </c>
      <c r="M5589" s="1357"/>
      <c r="P5589" s="841" t="s">
        <v>5542</v>
      </c>
      <c r="Q5589" s="1357"/>
      <c r="S5589" s="1420"/>
      <c r="T5589" s="1420"/>
      <c r="V5589" s="1357">
        <v>55</v>
      </c>
    </row>
    <row r="5590" spans="1:22" s="841" customFormat="1" ht="15" x14ac:dyDescent="0.25">
      <c r="A5590" s="841" t="s">
        <v>4874</v>
      </c>
      <c r="B5590" s="841" t="s">
        <v>5513</v>
      </c>
      <c r="E5590" s="1379" t="s">
        <v>2450</v>
      </c>
      <c r="F5590" s="1379"/>
      <c r="G5590" s="1214" t="s">
        <v>24</v>
      </c>
      <c r="H5590" s="1215">
        <v>4.0000000000000002E-4</v>
      </c>
      <c r="K5590" s="841" t="s">
        <v>5533</v>
      </c>
      <c r="L5590" s="841" t="s">
        <v>3046</v>
      </c>
      <c r="M5590" s="1357"/>
      <c r="P5590" s="841" t="s">
        <v>5542</v>
      </c>
      <c r="Q5590" s="1357"/>
      <c r="S5590" s="1420"/>
      <c r="T5590" s="1420"/>
      <c r="V5590" s="1357">
        <v>65</v>
      </c>
    </row>
    <row r="5591" spans="1:22" s="841" customFormat="1" ht="15" x14ac:dyDescent="0.25">
      <c r="A5591" s="841" t="s">
        <v>4874</v>
      </c>
      <c r="B5591" s="841" t="s">
        <v>5513</v>
      </c>
      <c r="E5591" s="1379" t="s">
        <v>439</v>
      </c>
      <c r="F5591" s="1379"/>
      <c r="G5591" s="1214" t="s">
        <v>24</v>
      </c>
      <c r="H5591" s="1215">
        <v>2.9999999999999997E-4</v>
      </c>
      <c r="K5591" s="841" t="s">
        <v>5533</v>
      </c>
      <c r="L5591" s="841" t="s">
        <v>3046</v>
      </c>
      <c r="M5591" s="1357"/>
      <c r="P5591" s="841" t="s">
        <v>5543</v>
      </c>
      <c r="Q5591" s="1357"/>
      <c r="S5591" s="1420"/>
      <c r="T5591" s="1420"/>
      <c r="V5591" s="1357">
        <v>57</v>
      </c>
    </row>
    <row r="5592" spans="1:22" s="841" customFormat="1" ht="15" x14ac:dyDescent="0.25">
      <c r="A5592" s="841" t="s">
        <v>4874</v>
      </c>
      <c r="B5592" s="841" t="s">
        <v>5513</v>
      </c>
      <c r="E5592" s="1379" t="s">
        <v>32</v>
      </c>
      <c r="F5592" s="1379"/>
      <c r="G5592" s="1214" t="s">
        <v>23</v>
      </c>
      <c r="H5592" s="1216">
        <v>0.25</v>
      </c>
      <c r="K5592" s="841" t="s">
        <v>5533</v>
      </c>
      <c r="L5592" s="841" t="s">
        <v>3046</v>
      </c>
      <c r="M5592" s="1357"/>
      <c r="P5592" s="841" t="s">
        <v>5544</v>
      </c>
      <c r="Q5592" s="1357"/>
      <c r="S5592" s="1420"/>
      <c r="T5592" s="1420"/>
      <c r="V5592" s="1357">
        <v>63</v>
      </c>
    </row>
    <row r="5593" spans="1:22" s="841" customFormat="1" ht="36" x14ac:dyDescent="0.25">
      <c r="A5593" s="841" t="s">
        <v>4874</v>
      </c>
      <c r="B5593" s="841" t="s">
        <v>5513</v>
      </c>
      <c r="E5593" s="1400" t="s">
        <v>1713</v>
      </c>
      <c r="F5593" s="1400"/>
      <c r="G5593" s="1217"/>
      <c r="H5593" s="1218"/>
      <c r="K5593" s="841" t="s">
        <v>5545</v>
      </c>
      <c r="M5593" s="1357"/>
      <c r="Q5593" s="1357"/>
      <c r="S5593" s="1420"/>
      <c r="T5593" s="1420"/>
      <c r="V5593" s="1357">
        <v>37</v>
      </c>
    </row>
    <row r="5594" spans="1:22" s="841" customFormat="1" ht="15" x14ac:dyDescent="0.25">
      <c r="A5594" s="841" t="s">
        <v>4874</v>
      </c>
      <c r="B5594" s="841" t="s">
        <v>5513</v>
      </c>
      <c r="E5594" s="2073" t="s">
        <v>3932</v>
      </c>
      <c r="F5594" s="2073"/>
      <c r="G5594" s="2073"/>
      <c r="H5594" s="2073"/>
      <c r="K5594" s="841" t="s">
        <v>5545</v>
      </c>
      <c r="M5594" s="1357"/>
      <c r="Q5594" s="1357"/>
      <c r="S5594" s="1420"/>
      <c r="T5594" s="1420"/>
      <c r="V5594" s="1357">
        <v>220</v>
      </c>
    </row>
    <row r="5595" spans="1:22" s="841" customFormat="1" ht="15" x14ac:dyDescent="0.25">
      <c r="A5595" s="841" t="s">
        <v>4874</v>
      </c>
      <c r="B5595" s="841" t="s">
        <v>5513</v>
      </c>
      <c r="E5595" s="1089" t="s">
        <v>3061</v>
      </c>
      <c r="F5595" s="1089"/>
      <c r="G5595" s="1219"/>
      <c r="H5595" s="1090"/>
      <c r="K5595" s="841" t="s">
        <v>3114</v>
      </c>
      <c r="M5595" s="1357"/>
      <c r="Q5595" s="1357"/>
      <c r="S5595" s="1420"/>
      <c r="T5595" s="1420"/>
      <c r="V5595" s="1357">
        <v>11</v>
      </c>
    </row>
    <row r="5596" spans="1:22" s="841" customFormat="1" ht="15" x14ac:dyDescent="0.25">
      <c r="A5596" s="841" t="s">
        <v>4874</v>
      </c>
      <c r="B5596" s="841" t="s">
        <v>5513</v>
      </c>
      <c r="E5596" s="2073" t="s">
        <v>3063</v>
      </c>
      <c r="F5596" s="2073"/>
      <c r="G5596" s="2073"/>
      <c r="H5596" s="2073"/>
      <c r="K5596" s="841" t="s">
        <v>5545</v>
      </c>
      <c r="M5596" s="1357"/>
      <c r="Q5596" s="1357"/>
      <c r="S5596" s="1420"/>
      <c r="T5596" s="1420"/>
      <c r="V5596" s="1357">
        <v>280</v>
      </c>
    </row>
    <row r="5597" spans="1:22" s="841" customFormat="1" ht="15" x14ac:dyDescent="0.25">
      <c r="A5597" s="841" t="s">
        <v>4874</v>
      </c>
      <c r="B5597" s="841" t="s">
        <v>5513</v>
      </c>
      <c r="E5597" s="2073" t="s">
        <v>3064</v>
      </c>
      <c r="F5597" s="2073"/>
      <c r="G5597" s="2073"/>
      <c r="H5597" s="2073"/>
      <c r="K5597" s="841" t="s">
        <v>5545</v>
      </c>
      <c r="M5597" s="1357"/>
      <c r="Q5597" s="1357"/>
      <c r="S5597" s="1420"/>
      <c r="T5597" s="1420"/>
      <c r="V5597" s="1357">
        <v>411</v>
      </c>
    </row>
    <row r="5598" spans="1:22" s="841" customFormat="1" ht="15" x14ac:dyDescent="0.25">
      <c r="A5598" s="841" t="s">
        <v>4874</v>
      </c>
      <c r="B5598" s="841" t="s">
        <v>5513</v>
      </c>
      <c r="E5598" s="2073" t="s">
        <v>3129</v>
      </c>
      <c r="F5598" s="2073"/>
      <c r="G5598" s="2073"/>
      <c r="H5598" s="2073"/>
      <c r="K5598" s="841" t="s">
        <v>5545</v>
      </c>
      <c r="M5598" s="1357"/>
      <c r="Q5598" s="1357"/>
      <c r="S5598" s="1420"/>
      <c r="T5598" s="1420"/>
      <c r="V5598" s="1357">
        <v>211</v>
      </c>
    </row>
    <row r="5599" spans="1:22" s="841" customFormat="1" ht="15" x14ac:dyDescent="0.25">
      <c r="A5599" s="841" t="s">
        <v>4874</v>
      </c>
      <c r="B5599" s="841" t="s">
        <v>5513</v>
      </c>
      <c r="E5599" s="2073" t="s">
        <v>3390</v>
      </c>
      <c r="F5599" s="2073"/>
      <c r="G5599" s="2073"/>
      <c r="H5599" s="2073"/>
      <c r="K5599" s="841" t="s">
        <v>5545</v>
      </c>
      <c r="M5599" s="1357"/>
      <c r="Q5599" s="1357"/>
      <c r="S5599" s="1420"/>
      <c r="T5599" s="1420"/>
      <c r="V5599" s="1357">
        <v>274</v>
      </c>
    </row>
    <row r="5600" spans="1:22" s="841" customFormat="1" ht="15" x14ac:dyDescent="0.25">
      <c r="A5600" s="841" t="s">
        <v>4874</v>
      </c>
      <c r="B5600" s="841" t="s">
        <v>5513</v>
      </c>
      <c r="E5600" s="698" t="s">
        <v>5546</v>
      </c>
      <c r="F5600" s="698"/>
      <c r="G5600" s="1208"/>
      <c r="H5600" s="433"/>
      <c r="K5600" s="841" t="s">
        <v>3115</v>
      </c>
      <c r="M5600" s="1357"/>
      <c r="Q5600" s="1357"/>
      <c r="S5600" s="1420"/>
      <c r="T5600" s="1420"/>
      <c r="V5600" s="1357">
        <v>77</v>
      </c>
    </row>
    <row r="5601" spans="1:22" s="841" customFormat="1" ht="57" x14ac:dyDescent="0.25">
      <c r="A5601" s="841" t="s">
        <v>4874</v>
      </c>
      <c r="B5601" s="841" t="s">
        <v>5513</v>
      </c>
      <c r="E5601" s="1091" t="s">
        <v>5547</v>
      </c>
      <c r="F5601" s="1091"/>
      <c r="G5601" s="1213" t="s">
        <v>33</v>
      </c>
      <c r="H5601" s="1215">
        <v>2.5565000000000002</v>
      </c>
      <c r="K5601" s="841" t="s">
        <v>5545</v>
      </c>
      <c r="L5601" s="841" t="s">
        <v>442</v>
      </c>
      <c r="M5601" s="1357"/>
      <c r="P5601" s="841" t="s">
        <v>6287</v>
      </c>
      <c r="Q5601" s="1357"/>
      <c r="S5601" s="1420"/>
      <c r="T5601" s="1420"/>
      <c r="V5601" s="1357">
        <v>225</v>
      </c>
    </row>
    <row r="5602" spans="1:22" s="841" customFormat="1" ht="57" x14ac:dyDescent="0.25">
      <c r="A5602" s="841" t="s">
        <v>4874</v>
      </c>
      <c r="B5602" s="841" t="s">
        <v>5513</v>
      </c>
      <c r="E5602" s="1091" t="s">
        <v>5548</v>
      </c>
      <c r="F5602" s="1091"/>
      <c r="G5602" s="1213" t="s">
        <v>33</v>
      </c>
      <c r="H5602" s="1215">
        <v>1.3995</v>
      </c>
      <c r="K5602" s="841" t="s">
        <v>5545</v>
      </c>
      <c r="L5602" s="841" t="s">
        <v>442</v>
      </c>
      <c r="M5602" s="1357"/>
      <c r="P5602" s="841" t="s">
        <v>6287</v>
      </c>
      <c r="Q5602" s="1357"/>
      <c r="S5602" s="1420"/>
      <c r="T5602" s="1420"/>
      <c r="V5602" s="1357">
        <v>229</v>
      </c>
    </row>
    <row r="5603" spans="1:22" s="841" customFormat="1" ht="57" x14ac:dyDescent="0.25">
      <c r="A5603" s="841" t="s">
        <v>4874</v>
      </c>
      <c r="B5603" s="841" t="s">
        <v>5513</v>
      </c>
      <c r="E5603" s="1091" t="s">
        <v>5549</v>
      </c>
      <c r="F5603" s="1091"/>
      <c r="G5603" s="1213" t="s">
        <v>33</v>
      </c>
      <c r="H5603" s="1215">
        <v>0.33100000000000002</v>
      </c>
      <c r="K5603" s="841" t="s">
        <v>5545</v>
      </c>
      <c r="L5603" s="841" t="s">
        <v>442</v>
      </c>
      <c r="M5603" s="1357"/>
      <c r="P5603" s="841" t="s">
        <v>6287</v>
      </c>
      <c r="Q5603" s="1357"/>
      <c r="S5603" s="1420"/>
      <c r="T5603" s="1420"/>
      <c r="V5603" s="1357">
        <v>251</v>
      </c>
    </row>
    <row r="5604" spans="1:22" s="841" customFormat="1" ht="54" x14ac:dyDescent="0.25">
      <c r="A5604" s="841" t="s">
        <v>4874</v>
      </c>
      <c r="B5604" s="841" t="s">
        <v>5513</v>
      </c>
      <c r="E5604" s="1218" t="s">
        <v>617</v>
      </c>
      <c r="F5604" s="1218"/>
      <c r="G5604" s="1217"/>
      <c r="H5604" s="1218"/>
      <c r="K5604" s="841" t="s">
        <v>3332</v>
      </c>
      <c r="M5604" s="1357"/>
      <c r="Q5604" s="1357"/>
      <c r="S5604" s="1420"/>
      <c r="T5604" s="1420"/>
      <c r="V5604" s="1357">
        <v>47</v>
      </c>
    </row>
    <row r="5605" spans="1:22" s="841" customFormat="1" ht="15" x14ac:dyDescent="0.25">
      <c r="A5605" s="841" t="s">
        <v>4874</v>
      </c>
      <c r="B5605" s="841" t="s">
        <v>5513</v>
      </c>
      <c r="E5605" s="2073" t="s">
        <v>5550</v>
      </c>
      <c r="F5605" s="2073"/>
      <c r="G5605" s="2073"/>
      <c r="H5605" s="2073"/>
      <c r="K5605" s="841" t="s">
        <v>3332</v>
      </c>
      <c r="M5605" s="1357"/>
      <c r="Q5605" s="1357"/>
      <c r="S5605" s="1420"/>
      <c r="T5605" s="1420"/>
      <c r="V5605" s="1357">
        <v>723</v>
      </c>
    </row>
    <row r="5606" spans="1:22" s="841" customFormat="1" ht="15" x14ac:dyDescent="0.25">
      <c r="A5606" s="841" t="s">
        <v>4874</v>
      </c>
      <c r="B5606" s="841" t="s">
        <v>5513</v>
      </c>
      <c r="E5606" s="1089" t="s">
        <v>3061</v>
      </c>
      <c r="F5606" s="1089"/>
      <c r="G5606" s="1219"/>
      <c r="H5606" s="1090"/>
      <c r="K5606" s="841" t="s">
        <v>3128</v>
      </c>
      <c r="M5606" s="1357"/>
      <c r="Q5606" s="1357"/>
      <c r="S5606" s="1420"/>
      <c r="T5606" s="1420"/>
      <c r="V5606" s="1357">
        <v>11</v>
      </c>
    </row>
    <row r="5607" spans="1:22" s="841" customFormat="1" ht="15" x14ac:dyDescent="0.25">
      <c r="A5607" s="841" t="s">
        <v>4874</v>
      </c>
      <c r="B5607" s="841" t="s">
        <v>5513</v>
      </c>
      <c r="E5607" s="2073" t="s">
        <v>3063</v>
      </c>
      <c r="F5607" s="2073"/>
      <c r="G5607" s="2073"/>
      <c r="H5607" s="2073"/>
      <c r="K5607" s="841" t="s">
        <v>3332</v>
      </c>
      <c r="M5607" s="1357"/>
      <c r="Q5607" s="1357"/>
      <c r="S5607" s="1420"/>
      <c r="T5607" s="1420"/>
      <c r="V5607" s="1357">
        <v>280</v>
      </c>
    </row>
    <row r="5608" spans="1:22" s="841" customFormat="1" ht="15" x14ac:dyDescent="0.25">
      <c r="A5608" s="841" t="s">
        <v>4874</v>
      </c>
      <c r="B5608" s="841" t="s">
        <v>5513</v>
      </c>
      <c r="E5608" s="2073" t="s">
        <v>3064</v>
      </c>
      <c r="F5608" s="2073"/>
      <c r="G5608" s="2073"/>
      <c r="H5608" s="2073"/>
      <c r="K5608" s="841" t="s">
        <v>3332</v>
      </c>
      <c r="M5608" s="1357"/>
      <c r="Q5608" s="1357"/>
      <c r="S5608" s="1420"/>
      <c r="T5608" s="1420"/>
      <c r="V5608" s="1357">
        <v>411</v>
      </c>
    </row>
    <row r="5609" spans="1:22" s="841" customFormat="1" ht="15" x14ac:dyDescent="0.25">
      <c r="A5609" s="841" t="s">
        <v>4874</v>
      </c>
      <c r="B5609" s="841" t="s">
        <v>5513</v>
      </c>
      <c r="E5609" s="2073" t="s">
        <v>5516</v>
      </c>
      <c r="F5609" s="2073"/>
      <c r="G5609" s="2073"/>
      <c r="H5609" s="2073"/>
      <c r="K5609" s="841" t="s">
        <v>3332</v>
      </c>
      <c r="M5609" s="1357"/>
      <c r="Q5609" s="1357"/>
      <c r="S5609" s="1420"/>
      <c r="T5609" s="1420"/>
      <c r="V5609" s="1357">
        <v>387</v>
      </c>
    </row>
    <row r="5610" spans="1:22" s="841" customFormat="1" ht="15" x14ac:dyDescent="0.25">
      <c r="A5610" s="841" t="s">
        <v>4874</v>
      </c>
      <c r="B5610" s="841" t="s">
        <v>5513</v>
      </c>
      <c r="E5610" s="2073" t="s">
        <v>3390</v>
      </c>
      <c r="F5610" s="2073"/>
      <c r="G5610" s="2073"/>
      <c r="H5610" s="2073"/>
      <c r="K5610" s="841" t="s">
        <v>3332</v>
      </c>
      <c r="M5610" s="1357"/>
      <c r="Q5610" s="1357"/>
      <c r="S5610" s="1420"/>
      <c r="T5610" s="1420"/>
      <c r="V5610" s="1357">
        <v>274</v>
      </c>
    </row>
    <row r="5611" spans="1:22" s="841" customFormat="1" ht="15" x14ac:dyDescent="0.25">
      <c r="A5611" s="841" t="s">
        <v>4874</v>
      </c>
      <c r="B5611" s="841" t="s">
        <v>5513</v>
      </c>
      <c r="E5611" s="919" t="s">
        <v>5517</v>
      </c>
      <c r="F5611" s="919"/>
      <c r="G5611" s="1208"/>
      <c r="H5611" s="433"/>
      <c r="K5611" s="841" t="s">
        <v>3130</v>
      </c>
      <c r="M5611" s="1357"/>
      <c r="Q5611" s="1357"/>
      <c r="S5611" s="1420"/>
      <c r="T5611" s="1420"/>
      <c r="V5611" s="1357">
        <v>46</v>
      </c>
    </row>
    <row r="5612" spans="1:22" s="841" customFormat="1" ht="15" x14ac:dyDescent="0.25">
      <c r="A5612" s="841" t="s">
        <v>4874</v>
      </c>
      <c r="B5612" s="841" t="s">
        <v>5513</v>
      </c>
      <c r="E5612" s="599" t="s">
        <v>11</v>
      </c>
      <c r="F5612" s="599"/>
      <c r="G5612" s="1210" t="s">
        <v>23</v>
      </c>
      <c r="H5612" s="1209">
        <v>8.43</v>
      </c>
      <c r="K5612" s="841" t="s">
        <v>3332</v>
      </c>
      <c r="L5612" s="841" t="s">
        <v>442</v>
      </c>
      <c r="M5612" s="1357"/>
      <c r="P5612" s="841" t="s">
        <v>3333</v>
      </c>
      <c r="Q5612" s="1357"/>
      <c r="S5612" s="1420"/>
      <c r="T5612" s="1420"/>
      <c r="V5612" s="1357">
        <v>14</v>
      </c>
    </row>
    <row r="5613" spans="1:22" s="841" customFormat="1" ht="15" x14ac:dyDescent="0.25">
      <c r="A5613" s="841" t="s">
        <v>4874</v>
      </c>
      <c r="B5613" s="841" t="s">
        <v>5513</v>
      </c>
      <c r="E5613" s="599" t="s">
        <v>5530</v>
      </c>
      <c r="F5613" s="599"/>
      <c r="G5613" s="1210" t="s">
        <v>23</v>
      </c>
      <c r="H5613" s="1209">
        <v>-0.05</v>
      </c>
      <c r="K5613" s="841" t="s">
        <v>3332</v>
      </c>
      <c r="L5613" s="841" t="s">
        <v>442</v>
      </c>
      <c r="M5613" s="1357"/>
      <c r="P5613" s="841" t="s">
        <v>6288</v>
      </c>
      <c r="Q5613" s="1357"/>
      <c r="S5613" s="1420"/>
      <c r="T5613" s="1420">
        <v>43585</v>
      </c>
      <c r="V5613" s="1357">
        <v>96</v>
      </c>
    </row>
    <row r="5614" spans="1:22" s="841" customFormat="1" ht="15" x14ac:dyDescent="0.25">
      <c r="A5614" s="841" t="s">
        <v>4874</v>
      </c>
      <c r="B5614" s="841" t="s">
        <v>5513</v>
      </c>
      <c r="E5614" s="599" t="s">
        <v>5204</v>
      </c>
      <c r="F5614" s="599"/>
      <c r="G5614" s="1210" t="s">
        <v>23</v>
      </c>
      <c r="H5614" s="1209">
        <v>-0.04</v>
      </c>
      <c r="K5614" s="841" t="s">
        <v>3332</v>
      </c>
      <c r="L5614" s="841" t="s">
        <v>442</v>
      </c>
      <c r="M5614" s="1357"/>
      <c r="P5614" s="841" t="s">
        <v>6289</v>
      </c>
      <c r="Q5614" s="1357"/>
      <c r="S5614" s="1420"/>
      <c r="T5614" s="1420">
        <v>43465</v>
      </c>
      <c r="V5614" s="1357">
        <v>96</v>
      </c>
    </row>
    <row r="5615" spans="1:22" s="841" customFormat="1" ht="15" x14ac:dyDescent="0.25">
      <c r="A5615" s="841" t="s">
        <v>4874</v>
      </c>
      <c r="B5615" s="841" t="s">
        <v>5513</v>
      </c>
      <c r="E5615" s="433" t="s">
        <v>84</v>
      </c>
      <c r="F5615" s="433"/>
      <c r="G5615" s="1208" t="s">
        <v>24</v>
      </c>
      <c r="H5615" s="1211">
        <v>1.3100000000000001E-2</v>
      </c>
      <c r="K5615" s="841" t="s">
        <v>3332</v>
      </c>
      <c r="L5615" s="841" t="s">
        <v>442</v>
      </c>
      <c r="M5615" s="1357"/>
      <c r="P5615" s="841" t="s">
        <v>3334</v>
      </c>
      <c r="Q5615" s="1357"/>
      <c r="S5615" s="1420"/>
      <c r="T5615" s="1420"/>
      <c r="V5615" s="1357">
        <v>28</v>
      </c>
    </row>
    <row r="5616" spans="1:22" s="841" customFormat="1" ht="15" x14ac:dyDescent="0.25">
      <c r="A5616" s="841" t="s">
        <v>4874</v>
      </c>
      <c r="B5616" s="841" t="s">
        <v>5513</v>
      </c>
      <c r="E5616" s="433" t="s">
        <v>18</v>
      </c>
      <c r="F5616" s="433"/>
      <c r="G5616" s="1208" t="s">
        <v>24</v>
      </c>
      <c r="H5616" s="1212">
        <v>6.0000000000000002E-5</v>
      </c>
      <c r="K5616" s="841" t="s">
        <v>3332</v>
      </c>
      <c r="L5616" s="841" t="s">
        <v>443</v>
      </c>
      <c r="M5616" s="1357"/>
      <c r="P5616" s="841" t="s">
        <v>3766</v>
      </c>
      <c r="Q5616" s="1357"/>
      <c r="S5616" s="1420"/>
      <c r="T5616" s="1420"/>
      <c r="V5616" s="1357">
        <v>24</v>
      </c>
    </row>
    <row r="5617" spans="1:22" s="841" customFormat="1" ht="45" x14ac:dyDescent="0.25">
      <c r="A5617" s="841" t="s">
        <v>4874</v>
      </c>
      <c r="B5617" s="841" t="s">
        <v>5513</v>
      </c>
      <c r="E5617" s="726" t="s">
        <v>5206</v>
      </c>
      <c r="F5617" s="726"/>
      <c r="G5617" s="1213" t="s">
        <v>24</v>
      </c>
      <c r="H5617" s="1211">
        <v>-2.8999999999999998E-3</v>
      </c>
      <c r="K5617" s="841" t="s">
        <v>3332</v>
      </c>
      <c r="L5617" s="841" t="s">
        <v>443</v>
      </c>
      <c r="M5617" s="1357"/>
      <c r="P5617" s="841" t="s">
        <v>3335</v>
      </c>
      <c r="Q5617" s="1357"/>
      <c r="S5617" s="1420"/>
      <c r="T5617" s="1420">
        <v>43585</v>
      </c>
      <c r="V5617" s="1357">
        <v>153</v>
      </c>
    </row>
    <row r="5618" spans="1:22" s="841" customFormat="1" ht="15" x14ac:dyDescent="0.25">
      <c r="A5618" s="841" t="s">
        <v>4874</v>
      </c>
      <c r="B5618" s="841" t="s">
        <v>5513</v>
      </c>
      <c r="E5618" s="433" t="s">
        <v>5210</v>
      </c>
      <c r="F5618" s="433"/>
      <c r="G5618" s="1208" t="s">
        <v>24</v>
      </c>
      <c r="H5618" s="1211">
        <v>-5.4390720962791707E-4</v>
      </c>
      <c r="K5618" s="841" t="s">
        <v>3332</v>
      </c>
      <c r="L5618" s="841" t="s">
        <v>443</v>
      </c>
      <c r="M5618" s="1357"/>
      <c r="P5618" s="841" t="s">
        <v>3336</v>
      </c>
      <c r="Q5618" s="1357"/>
      <c r="S5618" s="1420"/>
      <c r="T5618" s="1420">
        <v>43585</v>
      </c>
      <c r="V5618" s="1357">
        <v>108</v>
      </c>
    </row>
    <row r="5619" spans="1:22" s="841" customFormat="1" ht="45" x14ac:dyDescent="0.25">
      <c r="A5619" s="841" t="s">
        <v>4874</v>
      </c>
      <c r="B5619" s="841" t="s">
        <v>5513</v>
      </c>
      <c r="E5619" s="726" t="s">
        <v>5531</v>
      </c>
      <c r="F5619" s="726"/>
      <c r="G5619" s="1213" t="s">
        <v>24</v>
      </c>
      <c r="H5619" s="1212">
        <v>-4.8022178426240053E-5</v>
      </c>
      <c r="K5619" s="841" t="s">
        <v>3332</v>
      </c>
      <c r="L5619" s="841" t="s">
        <v>443</v>
      </c>
      <c r="M5619" s="1357"/>
      <c r="P5619" s="841" t="s">
        <v>5443</v>
      </c>
      <c r="Q5619" s="1357"/>
      <c r="S5619" s="1420"/>
      <c r="T5619" s="1420">
        <v>43585</v>
      </c>
      <c r="V5619" s="1357">
        <v>161</v>
      </c>
    </row>
    <row r="5620" spans="1:22" s="841" customFormat="1" ht="15" x14ac:dyDescent="0.25">
      <c r="A5620" s="841" t="s">
        <v>4874</v>
      </c>
      <c r="B5620" s="841" t="s">
        <v>5513</v>
      </c>
      <c r="E5620" s="433" t="s">
        <v>5530</v>
      </c>
      <c r="F5620" s="433"/>
      <c r="G5620" s="1208" t="s">
        <v>24</v>
      </c>
      <c r="H5620" s="1211">
        <v>-1E-4</v>
      </c>
      <c r="K5620" s="841" t="s">
        <v>3332</v>
      </c>
      <c r="L5620" s="841" t="s">
        <v>442</v>
      </c>
      <c r="M5620" s="1357"/>
      <c r="P5620" s="841" t="s">
        <v>6290</v>
      </c>
      <c r="Q5620" s="1357"/>
      <c r="S5620" s="1420"/>
      <c r="T5620" s="1420">
        <v>43585</v>
      </c>
      <c r="V5620" s="1357">
        <v>96</v>
      </c>
    </row>
    <row r="5621" spans="1:22" s="841" customFormat="1" ht="15" x14ac:dyDescent="0.25">
      <c r="A5621" s="841" t="s">
        <v>4874</v>
      </c>
      <c r="B5621" s="841" t="s">
        <v>5513</v>
      </c>
      <c r="E5621" s="433" t="s">
        <v>221</v>
      </c>
      <c r="F5621" s="433"/>
      <c r="G5621" s="1208" t="s">
        <v>24</v>
      </c>
      <c r="H5621" s="1211">
        <v>6.6379581276943449E-3</v>
      </c>
      <c r="K5621" s="841" t="s">
        <v>3332</v>
      </c>
      <c r="L5621" s="841" t="s">
        <v>444</v>
      </c>
      <c r="M5621" s="1357"/>
      <c r="P5621" s="841" t="s">
        <v>3337</v>
      </c>
      <c r="Q5621" s="1357"/>
      <c r="S5621" s="1420"/>
      <c r="T5621" s="1420"/>
      <c r="V5621" s="1357">
        <v>47</v>
      </c>
    </row>
    <row r="5622" spans="1:22" s="841" customFormat="1" ht="15" x14ac:dyDescent="0.25">
      <c r="A5622" s="841" t="s">
        <v>4874</v>
      </c>
      <c r="B5622" s="841" t="s">
        <v>5513</v>
      </c>
      <c r="E5622" s="433" t="s">
        <v>217</v>
      </c>
      <c r="F5622" s="433"/>
      <c r="G5622" s="1208" t="s">
        <v>24</v>
      </c>
      <c r="H5622" s="1211">
        <v>6.2459821580141111E-3</v>
      </c>
      <c r="K5622" s="841" t="s">
        <v>3332</v>
      </c>
      <c r="L5622" s="841" t="s">
        <v>444</v>
      </c>
      <c r="M5622" s="1357"/>
      <c r="P5622" s="841" t="s">
        <v>3338</v>
      </c>
      <c r="Q5622" s="1357"/>
      <c r="S5622" s="1420"/>
      <c r="T5622" s="1420"/>
      <c r="V5622" s="1357">
        <v>74</v>
      </c>
    </row>
    <row r="5623" spans="1:22" s="841" customFormat="1" ht="15" x14ac:dyDescent="0.25">
      <c r="A5623" s="841" t="s">
        <v>4874</v>
      </c>
      <c r="B5623" s="841" t="s">
        <v>5513</v>
      </c>
      <c r="E5623" s="919" t="s">
        <v>5522</v>
      </c>
      <c r="F5623" s="919"/>
      <c r="G5623" s="1222"/>
      <c r="H5623" s="1211"/>
      <c r="K5623" s="841" t="s">
        <v>3260</v>
      </c>
      <c r="M5623" s="1357"/>
      <c r="Q5623" s="1357"/>
      <c r="S5623" s="1420"/>
      <c r="T5623" s="1420"/>
      <c r="V5623" s="1357">
        <v>48</v>
      </c>
    </row>
    <row r="5624" spans="1:22" s="841" customFormat="1" ht="15" x14ac:dyDescent="0.25">
      <c r="A5624" s="841" t="s">
        <v>4874</v>
      </c>
      <c r="B5624" s="841" t="s">
        <v>5513</v>
      </c>
      <c r="E5624" s="1690" t="s">
        <v>2449</v>
      </c>
      <c r="F5624" s="1690"/>
      <c r="G5624" s="1214" t="s">
        <v>24</v>
      </c>
      <c r="H5624" s="1215">
        <v>3.2000000000000002E-3</v>
      </c>
      <c r="K5624" s="841" t="s">
        <v>3332</v>
      </c>
      <c r="L5624" s="841" t="s">
        <v>3046</v>
      </c>
      <c r="M5624" s="1357"/>
      <c r="P5624" s="841" t="s">
        <v>3339</v>
      </c>
      <c r="Q5624" s="1357"/>
      <c r="S5624" s="1420"/>
      <c r="T5624" s="1420"/>
      <c r="V5624" s="1357">
        <v>55</v>
      </c>
    </row>
    <row r="5625" spans="1:22" s="841" customFormat="1" ht="15" x14ac:dyDescent="0.25">
      <c r="A5625" s="841" t="s">
        <v>4874</v>
      </c>
      <c r="B5625" s="841" t="s">
        <v>5513</v>
      </c>
      <c r="E5625" s="1379" t="s">
        <v>2450</v>
      </c>
      <c r="F5625" s="1379"/>
      <c r="G5625" s="1214" t="s">
        <v>24</v>
      </c>
      <c r="H5625" s="1215">
        <v>4.0000000000000002E-4</v>
      </c>
      <c r="K5625" s="841" t="s">
        <v>3332</v>
      </c>
      <c r="L5625" s="841" t="s">
        <v>3046</v>
      </c>
      <c r="M5625" s="1357"/>
      <c r="P5625" s="841" t="s">
        <v>3339</v>
      </c>
      <c r="Q5625" s="1357"/>
      <c r="S5625" s="1420"/>
      <c r="T5625" s="1420"/>
      <c r="V5625" s="1357">
        <v>65</v>
      </c>
    </row>
    <row r="5626" spans="1:22" s="841" customFormat="1" ht="15" x14ac:dyDescent="0.25">
      <c r="A5626" s="841" t="s">
        <v>4874</v>
      </c>
      <c r="B5626" s="841" t="s">
        <v>5513</v>
      </c>
      <c r="E5626" s="1379" t="s">
        <v>439</v>
      </c>
      <c r="F5626" s="1379"/>
      <c r="G5626" s="1214" t="s">
        <v>24</v>
      </c>
      <c r="H5626" s="1215">
        <v>2.9999999999999997E-4</v>
      </c>
      <c r="K5626" s="841" t="s">
        <v>3332</v>
      </c>
      <c r="L5626" s="841" t="s">
        <v>3046</v>
      </c>
      <c r="M5626" s="1357"/>
      <c r="P5626" s="841" t="s">
        <v>3340</v>
      </c>
      <c r="Q5626" s="1357"/>
      <c r="S5626" s="1420"/>
      <c r="T5626" s="1420"/>
      <c r="V5626" s="1357">
        <v>57</v>
      </c>
    </row>
    <row r="5627" spans="1:22" s="841" customFormat="1" ht="15" x14ac:dyDescent="0.25">
      <c r="A5627" s="841" t="s">
        <v>4874</v>
      </c>
      <c r="B5627" s="841" t="s">
        <v>5513</v>
      </c>
      <c r="E5627" s="1379" t="s">
        <v>32</v>
      </c>
      <c r="F5627" s="1379"/>
      <c r="G5627" s="1214" t="s">
        <v>23</v>
      </c>
      <c r="H5627" s="1216">
        <v>0.25</v>
      </c>
      <c r="K5627" s="841" t="s">
        <v>3332</v>
      </c>
      <c r="L5627" s="841" t="s">
        <v>3046</v>
      </c>
      <c r="M5627" s="1357"/>
      <c r="P5627" s="841" t="s">
        <v>3341</v>
      </c>
      <c r="Q5627" s="1357"/>
      <c r="S5627" s="1420"/>
      <c r="T5627" s="1420"/>
      <c r="V5627" s="1357">
        <v>63</v>
      </c>
    </row>
    <row r="5628" spans="1:22" s="841" customFormat="1" ht="36" x14ac:dyDescent="0.25">
      <c r="A5628" s="841" t="s">
        <v>4874</v>
      </c>
      <c r="B5628" s="841" t="s">
        <v>5513</v>
      </c>
      <c r="E5628" s="1218" t="s">
        <v>629</v>
      </c>
      <c r="F5628" s="1218"/>
      <c r="G5628" s="1217"/>
      <c r="H5628" s="1218"/>
      <c r="K5628" s="841" t="s">
        <v>3767</v>
      </c>
      <c r="M5628" s="1357"/>
      <c r="Q5628" s="1357"/>
      <c r="S5628" s="1420"/>
      <c r="T5628" s="1420"/>
      <c r="V5628" s="1357">
        <v>40</v>
      </c>
    </row>
    <row r="5629" spans="1:22" s="841" customFormat="1" ht="15" x14ac:dyDescent="0.25">
      <c r="A5629" s="841" t="s">
        <v>4874</v>
      </c>
      <c r="B5629" s="841" t="s">
        <v>5513</v>
      </c>
      <c r="E5629" s="2073" t="s">
        <v>5551</v>
      </c>
      <c r="F5629" s="2073"/>
      <c r="G5629" s="2073"/>
      <c r="H5629" s="2073"/>
      <c r="K5629" s="841" t="s">
        <v>3767</v>
      </c>
      <c r="M5629" s="1357"/>
      <c r="Q5629" s="1357"/>
      <c r="S5629" s="1420"/>
      <c r="T5629" s="1420"/>
      <c r="V5629" s="1357">
        <v>407</v>
      </c>
    </row>
    <row r="5630" spans="1:22" s="841" customFormat="1" ht="15" x14ac:dyDescent="0.25">
      <c r="A5630" s="841" t="s">
        <v>4874</v>
      </c>
      <c r="B5630" s="841" t="s">
        <v>5513</v>
      </c>
      <c r="E5630" s="1223" t="s">
        <v>3061</v>
      </c>
      <c r="F5630" s="1223"/>
      <c r="G5630" s="1219"/>
      <c r="H5630" s="1090"/>
      <c r="K5630" s="841" t="s">
        <v>3266</v>
      </c>
      <c r="M5630" s="1357"/>
      <c r="Q5630" s="1357"/>
      <c r="S5630" s="1420"/>
      <c r="T5630" s="1420"/>
      <c r="V5630" s="1357">
        <v>11</v>
      </c>
    </row>
    <row r="5631" spans="1:22" s="841" customFormat="1" ht="15" x14ac:dyDescent="0.25">
      <c r="A5631" s="841" t="s">
        <v>4874</v>
      </c>
      <c r="B5631" s="841" t="s">
        <v>5513</v>
      </c>
      <c r="E5631" s="2073" t="s">
        <v>3063</v>
      </c>
      <c r="F5631" s="2073"/>
      <c r="G5631" s="2073"/>
      <c r="H5631" s="2073"/>
      <c r="K5631" s="841" t="s">
        <v>3767</v>
      </c>
      <c r="M5631" s="1357"/>
      <c r="Q5631" s="1357"/>
      <c r="S5631" s="1420"/>
      <c r="T5631" s="1420"/>
      <c r="V5631" s="1357">
        <v>280</v>
      </c>
    </row>
    <row r="5632" spans="1:22" s="841" customFormat="1" ht="15" x14ac:dyDescent="0.25">
      <c r="A5632" s="841" t="s">
        <v>4874</v>
      </c>
      <c r="B5632" s="841" t="s">
        <v>5513</v>
      </c>
      <c r="E5632" s="2073" t="s">
        <v>3064</v>
      </c>
      <c r="F5632" s="2073"/>
      <c r="G5632" s="2073"/>
      <c r="H5632" s="2073"/>
      <c r="K5632" s="841" t="s">
        <v>3767</v>
      </c>
      <c r="M5632" s="1357"/>
      <c r="Q5632" s="1357"/>
      <c r="S5632" s="1420"/>
      <c r="T5632" s="1420"/>
      <c r="V5632" s="1357">
        <v>411</v>
      </c>
    </row>
    <row r="5633" spans="1:22" s="841" customFormat="1" ht="15" x14ac:dyDescent="0.25">
      <c r="A5633" s="841" t="s">
        <v>4874</v>
      </c>
      <c r="B5633" s="841" t="s">
        <v>5513</v>
      </c>
      <c r="E5633" s="2073" t="s">
        <v>5516</v>
      </c>
      <c r="F5633" s="2073"/>
      <c r="G5633" s="2073"/>
      <c r="H5633" s="2073"/>
      <c r="K5633" s="841" t="s">
        <v>3767</v>
      </c>
      <c r="M5633" s="1357"/>
      <c r="Q5633" s="1357"/>
      <c r="S5633" s="1420"/>
      <c r="T5633" s="1420"/>
      <c r="V5633" s="1357">
        <v>387</v>
      </c>
    </row>
    <row r="5634" spans="1:22" s="841" customFormat="1" ht="15" x14ac:dyDescent="0.25">
      <c r="A5634" s="841" t="s">
        <v>4874</v>
      </c>
      <c r="B5634" s="841" t="s">
        <v>5513</v>
      </c>
      <c r="E5634" s="2073" t="s">
        <v>3390</v>
      </c>
      <c r="F5634" s="2073"/>
      <c r="G5634" s="2073"/>
      <c r="H5634" s="2073"/>
      <c r="K5634" s="841" t="s">
        <v>3767</v>
      </c>
      <c r="M5634" s="1357"/>
      <c r="Q5634" s="1357"/>
      <c r="S5634" s="1420"/>
      <c r="T5634" s="1420"/>
      <c r="V5634" s="1357">
        <v>274</v>
      </c>
    </row>
    <row r="5635" spans="1:22" s="841" customFormat="1" ht="15" x14ac:dyDescent="0.25">
      <c r="A5635" s="841" t="s">
        <v>4874</v>
      </c>
      <c r="B5635" s="841" t="s">
        <v>5513</v>
      </c>
      <c r="E5635" s="919" t="s">
        <v>5517</v>
      </c>
      <c r="F5635" s="919"/>
      <c r="G5635" s="1208"/>
      <c r="H5635" s="433"/>
      <c r="K5635" s="841" t="s">
        <v>3267</v>
      </c>
      <c r="M5635" s="1357"/>
      <c r="Q5635" s="1357"/>
      <c r="S5635" s="1420"/>
      <c r="T5635" s="1420"/>
      <c r="V5635" s="1357">
        <v>46</v>
      </c>
    </row>
    <row r="5636" spans="1:22" s="841" customFormat="1" ht="15" x14ac:dyDescent="0.25">
      <c r="A5636" s="841" t="s">
        <v>4874</v>
      </c>
      <c r="B5636" s="841" t="s">
        <v>5513</v>
      </c>
      <c r="E5636" s="599" t="s">
        <v>5552</v>
      </c>
      <c r="F5636" s="599"/>
      <c r="G5636" s="1210" t="s">
        <v>23</v>
      </c>
      <c r="H5636" s="1209">
        <v>5.49</v>
      </c>
      <c r="K5636" s="841" t="s">
        <v>3767</v>
      </c>
      <c r="L5636" s="841" t="s">
        <v>442</v>
      </c>
      <c r="M5636" s="1357"/>
      <c r="P5636" s="841" t="s">
        <v>3769</v>
      </c>
      <c r="Q5636" s="1357"/>
      <c r="S5636" s="1420"/>
      <c r="T5636" s="1420"/>
      <c r="V5636" s="1357">
        <v>31</v>
      </c>
    </row>
    <row r="5637" spans="1:22" s="841" customFormat="1" ht="15" x14ac:dyDescent="0.25">
      <c r="A5637" s="841" t="s">
        <v>4874</v>
      </c>
      <c r="B5637" s="841" t="s">
        <v>5513</v>
      </c>
      <c r="E5637" s="599" t="s">
        <v>5530</v>
      </c>
      <c r="F5637" s="599"/>
      <c r="G5637" s="1210" t="s">
        <v>23</v>
      </c>
      <c r="H5637" s="1209">
        <v>-0.03</v>
      </c>
      <c r="K5637" s="841" t="s">
        <v>3767</v>
      </c>
      <c r="L5637" s="841" t="s">
        <v>442</v>
      </c>
      <c r="M5637" s="1357"/>
      <c r="P5637" s="841" t="s">
        <v>6291</v>
      </c>
      <c r="Q5637" s="1357"/>
      <c r="S5637" s="1420"/>
      <c r="T5637" s="1420">
        <v>43585</v>
      </c>
      <c r="V5637" s="1357">
        <v>96</v>
      </c>
    </row>
    <row r="5638" spans="1:22" s="841" customFormat="1" ht="15" x14ac:dyDescent="0.25">
      <c r="A5638" s="841" t="s">
        <v>4874</v>
      </c>
      <c r="B5638" s="841" t="s">
        <v>5513</v>
      </c>
      <c r="E5638" s="599" t="s">
        <v>5204</v>
      </c>
      <c r="F5638" s="599"/>
      <c r="G5638" s="1210" t="s">
        <v>23</v>
      </c>
      <c r="H5638" s="1209">
        <v>0.01</v>
      </c>
      <c r="K5638" s="841" t="s">
        <v>3767</v>
      </c>
      <c r="L5638" s="841" t="s">
        <v>442</v>
      </c>
      <c r="M5638" s="1357"/>
      <c r="P5638" s="841" t="s">
        <v>6292</v>
      </c>
      <c r="Q5638" s="1357"/>
      <c r="S5638" s="1420"/>
      <c r="T5638" s="1420">
        <v>43465</v>
      </c>
      <c r="V5638" s="1357">
        <v>96</v>
      </c>
    </row>
    <row r="5639" spans="1:22" s="841" customFormat="1" ht="15" x14ac:dyDescent="0.25">
      <c r="A5639" s="841" t="s">
        <v>4874</v>
      </c>
      <c r="B5639" s="841" t="s">
        <v>5513</v>
      </c>
      <c r="E5639" s="433" t="s">
        <v>84</v>
      </c>
      <c r="F5639" s="433"/>
      <c r="G5639" s="1208" t="s">
        <v>33</v>
      </c>
      <c r="H5639" s="1211">
        <v>15.050700000000001</v>
      </c>
      <c r="K5639" s="841" t="s">
        <v>3767</v>
      </c>
      <c r="L5639" s="841" t="s">
        <v>442</v>
      </c>
      <c r="M5639" s="1357"/>
      <c r="P5639" s="841" t="s">
        <v>3770</v>
      </c>
      <c r="Q5639" s="1357"/>
      <c r="S5639" s="1420"/>
      <c r="T5639" s="1420"/>
      <c r="V5639" s="1357">
        <v>28</v>
      </c>
    </row>
    <row r="5640" spans="1:22" s="841" customFormat="1" ht="15" x14ac:dyDescent="0.25">
      <c r="A5640" s="841" t="s">
        <v>4874</v>
      </c>
      <c r="B5640" s="841" t="s">
        <v>5513</v>
      </c>
      <c r="E5640" s="433" t="s">
        <v>18</v>
      </c>
      <c r="F5640" s="433"/>
      <c r="G5640" s="1208" t="s">
        <v>33</v>
      </c>
      <c r="H5640" s="1212">
        <v>1.745E-2</v>
      </c>
      <c r="K5640" s="841" t="s">
        <v>3767</v>
      </c>
      <c r="L5640" s="841" t="s">
        <v>443</v>
      </c>
      <c r="M5640" s="1357"/>
      <c r="P5640" s="841" t="s">
        <v>3771</v>
      </c>
      <c r="Q5640" s="1357"/>
      <c r="S5640" s="1420"/>
      <c r="T5640" s="1420"/>
      <c r="V5640" s="1357">
        <v>24</v>
      </c>
    </row>
    <row r="5641" spans="1:22" s="841" customFormat="1" ht="45" x14ac:dyDescent="0.25">
      <c r="A5641" s="841" t="s">
        <v>4874</v>
      </c>
      <c r="B5641" s="841" t="s">
        <v>5513</v>
      </c>
      <c r="E5641" s="726" t="s">
        <v>5206</v>
      </c>
      <c r="F5641" s="726"/>
      <c r="G5641" s="1213" t="s">
        <v>24</v>
      </c>
      <c r="H5641" s="1211">
        <v>-2.8999999999999998E-3</v>
      </c>
      <c r="K5641" s="841" t="s">
        <v>3767</v>
      </c>
      <c r="L5641" s="841" t="s">
        <v>443</v>
      </c>
      <c r="M5641" s="1357"/>
      <c r="P5641" s="841" t="s">
        <v>3772</v>
      </c>
      <c r="Q5641" s="1357"/>
      <c r="S5641" s="1420"/>
      <c r="T5641" s="1420">
        <v>43585</v>
      </c>
      <c r="V5641" s="1357">
        <v>153</v>
      </c>
    </row>
    <row r="5642" spans="1:22" s="841" customFormat="1" ht="15" x14ac:dyDescent="0.25">
      <c r="A5642" s="841" t="s">
        <v>4874</v>
      </c>
      <c r="B5642" s="841" t="s">
        <v>5513</v>
      </c>
      <c r="E5642" s="433" t="s">
        <v>5210</v>
      </c>
      <c r="F5642" s="433"/>
      <c r="G5642" s="1208" t="s">
        <v>33</v>
      </c>
      <c r="H5642" s="1211">
        <v>-0.19677136515638091</v>
      </c>
      <c r="K5642" s="841" t="s">
        <v>3767</v>
      </c>
      <c r="L5642" s="841" t="s">
        <v>443</v>
      </c>
      <c r="M5642" s="1357"/>
      <c r="P5642" s="841" t="s">
        <v>3773</v>
      </c>
      <c r="Q5642" s="1357"/>
      <c r="S5642" s="1420"/>
      <c r="T5642" s="1420">
        <v>43585</v>
      </c>
      <c r="V5642" s="1357">
        <v>108</v>
      </c>
    </row>
    <row r="5643" spans="1:22" s="841" customFormat="1" ht="45" x14ac:dyDescent="0.25">
      <c r="A5643" s="841" t="s">
        <v>4874</v>
      </c>
      <c r="B5643" s="841" t="s">
        <v>5513</v>
      </c>
      <c r="E5643" s="726" t="s">
        <v>5531</v>
      </c>
      <c r="F5643" s="726"/>
      <c r="G5643" s="1213" t="s">
        <v>33</v>
      </c>
      <c r="H5643" s="1212">
        <v>-1.7373164832984681E-2</v>
      </c>
      <c r="K5643" s="841" t="s">
        <v>3767</v>
      </c>
      <c r="L5643" s="841" t="s">
        <v>443</v>
      </c>
      <c r="M5643" s="1357"/>
      <c r="P5643" s="841" t="s">
        <v>5444</v>
      </c>
      <c r="Q5643" s="1357"/>
      <c r="S5643" s="1420"/>
      <c r="T5643" s="1420">
        <v>43585</v>
      </c>
      <c r="V5643" s="1357">
        <v>161</v>
      </c>
    </row>
    <row r="5644" spans="1:22" s="841" customFormat="1" ht="15" x14ac:dyDescent="0.25">
      <c r="A5644" s="841" t="s">
        <v>4874</v>
      </c>
      <c r="B5644" s="841" t="s">
        <v>5513</v>
      </c>
      <c r="E5644" s="433" t="s">
        <v>5530</v>
      </c>
      <c r="F5644" s="433"/>
      <c r="G5644" s="1208" t="s">
        <v>33</v>
      </c>
      <c r="H5644" s="1211">
        <v>-0.09</v>
      </c>
      <c r="K5644" s="841" t="s">
        <v>3767</v>
      </c>
      <c r="L5644" s="841" t="s">
        <v>442</v>
      </c>
      <c r="M5644" s="1357"/>
      <c r="P5644" s="841" t="s">
        <v>6293</v>
      </c>
      <c r="Q5644" s="1357"/>
      <c r="S5644" s="1420"/>
      <c r="T5644" s="1420">
        <v>43585</v>
      </c>
      <c r="V5644" s="1357">
        <v>96</v>
      </c>
    </row>
    <row r="5645" spans="1:22" s="841" customFormat="1" ht="15" x14ac:dyDescent="0.25">
      <c r="A5645" s="841" t="s">
        <v>4874</v>
      </c>
      <c r="B5645" s="841" t="s">
        <v>5513</v>
      </c>
      <c r="E5645" s="433" t="s">
        <v>221</v>
      </c>
      <c r="F5645" s="433"/>
      <c r="G5645" s="1208" t="s">
        <v>33</v>
      </c>
      <c r="H5645" s="1211">
        <v>2.1495920504363379</v>
      </c>
      <c r="K5645" s="841" t="s">
        <v>3767</v>
      </c>
      <c r="L5645" s="841" t="s">
        <v>444</v>
      </c>
      <c r="M5645" s="1357"/>
      <c r="P5645" s="841" t="s">
        <v>3774</v>
      </c>
      <c r="Q5645" s="1357"/>
      <c r="S5645" s="1420"/>
      <c r="T5645" s="1420"/>
      <c r="V5645" s="1357">
        <v>47</v>
      </c>
    </row>
    <row r="5646" spans="1:22" s="841" customFormat="1" ht="15" x14ac:dyDescent="0.25">
      <c r="A5646" s="841" t="s">
        <v>4874</v>
      </c>
      <c r="B5646" s="841" t="s">
        <v>5513</v>
      </c>
      <c r="E5646" s="433" t="s">
        <v>217</v>
      </c>
      <c r="F5646" s="433"/>
      <c r="G5646" s="1208" t="s">
        <v>33</v>
      </c>
      <c r="H5646" s="1211">
        <v>1.9743078621429782</v>
      </c>
      <c r="K5646" s="841" t="s">
        <v>3767</v>
      </c>
      <c r="L5646" s="841" t="s">
        <v>444</v>
      </c>
      <c r="M5646" s="1357"/>
      <c r="P5646" s="841" t="s">
        <v>3775</v>
      </c>
      <c r="Q5646" s="1357"/>
      <c r="S5646" s="1420"/>
      <c r="T5646" s="1420"/>
      <c r="V5646" s="1357">
        <v>74</v>
      </c>
    </row>
    <row r="5647" spans="1:22" s="841" customFormat="1" ht="15" x14ac:dyDescent="0.25">
      <c r="A5647" s="841" t="s">
        <v>4874</v>
      </c>
      <c r="B5647" s="841" t="s">
        <v>5513</v>
      </c>
      <c r="E5647" s="919" t="s">
        <v>5522</v>
      </c>
      <c r="F5647" s="919"/>
      <c r="G5647" s="1222"/>
      <c r="H5647" s="1211"/>
      <c r="K5647" s="841" t="s">
        <v>3276</v>
      </c>
      <c r="M5647" s="1357"/>
      <c r="Q5647" s="1357"/>
      <c r="S5647" s="1420"/>
      <c r="T5647" s="1420"/>
      <c r="V5647" s="1357">
        <v>48</v>
      </c>
    </row>
    <row r="5648" spans="1:22" s="841" customFormat="1" ht="15" x14ac:dyDescent="0.25">
      <c r="A5648" s="841" t="s">
        <v>4874</v>
      </c>
      <c r="B5648" s="841" t="s">
        <v>5513</v>
      </c>
      <c r="E5648" s="1690" t="s">
        <v>2449</v>
      </c>
      <c r="F5648" s="1690"/>
      <c r="G5648" s="1214" t="s">
        <v>24</v>
      </c>
      <c r="H5648" s="1215">
        <v>3.2000000000000002E-3</v>
      </c>
      <c r="K5648" s="841" t="s">
        <v>3767</v>
      </c>
      <c r="L5648" s="841" t="s">
        <v>3046</v>
      </c>
      <c r="M5648" s="1357"/>
      <c r="P5648" s="841" t="s">
        <v>3776</v>
      </c>
      <c r="Q5648" s="1357"/>
      <c r="S5648" s="1420"/>
      <c r="T5648" s="1420"/>
      <c r="V5648" s="1357">
        <v>55</v>
      </c>
    </row>
    <row r="5649" spans="1:22" s="841" customFormat="1" ht="15" x14ac:dyDescent="0.25">
      <c r="A5649" s="841" t="s">
        <v>4874</v>
      </c>
      <c r="B5649" s="841" t="s">
        <v>5513</v>
      </c>
      <c r="E5649" s="1379" t="s">
        <v>2450</v>
      </c>
      <c r="F5649" s="1379"/>
      <c r="G5649" s="1214" t="s">
        <v>24</v>
      </c>
      <c r="H5649" s="1215">
        <v>4.0000000000000002E-4</v>
      </c>
      <c r="K5649" s="841" t="s">
        <v>3767</v>
      </c>
      <c r="L5649" s="841" t="s">
        <v>3046</v>
      </c>
      <c r="M5649" s="1357"/>
      <c r="P5649" s="841" t="s">
        <v>3776</v>
      </c>
      <c r="Q5649" s="1357"/>
      <c r="S5649" s="1420"/>
      <c r="T5649" s="1420"/>
      <c r="V5649" s="1357">
        <v>65</v>
      </c>
    </row>
    <row r="5650" spans="1:22" s="841" customFormat="1" ht="15" x14ac:dyDescent="0.25">
      <c r="A5650" s="841" t="s">
        <v>4874</v>
      </c>
      <c r="B5650" s="841" t="s">
        <v>5513</v>
      </c>
      <c r="E5650" s="1379" t="s">
        <v>439</v>
      </c>
      <c r="F5650" s="1379"/>
      <c r="G5650" s="1214" t="s">
        <v>24</v>
      </c>
      <c r="H5650" s="1215">
        <v>2.9999999999999997E-4</v>
      </c>
      <c r="K5650" s="841" t="s">
        <v>3767</v>
      </c>
      <c r="L5650" s="841" t="s">
        <v>3046</v>
      </c>
      <c r="M5650" s="1357"/>
      <c r="P5650" s="841" t="s">
        <v>3777</v>
      </c>
      <c r="Q5650" s="1357"/>
      <c r="S5650" s="1420"/>
      <c r="T5650" s="1420"/>
      <c r="V5650" s="1357">
        <v>57</v>
      </c>
    </row>
    <row r="5651" spans="1:22" s="841" customFormat="1" ht="15" x14ac:dyDescent="0.25">
      <c r="A5651" s="841" t="s">
        <v>4874</v>
      </c>
      <c r="B5651" s="841" t="s">
        <v>5513</v>
      </c>
      <c r="E5651" s="1379" t="s">
        <v>32</v>
      </c>
      <c r="F5651" s="1379"/>
      <c r="G5651" s="1214" t="s">
        <v>23</v>
      </c>
      <c r="H5651" s="1216">
        <v>0.25</v>
      </c>
      <c r="K5651" s="841" t="s">
        <v>3767</v>
      </c>
      <c r="L5651" s="841" t="s">
        <v>3046</v>
      </c>
      <c r="M5651" s="1357"/>
      <c r="P5651" s="841" t="s">
        <v>3778</v>
      </c>
      <c r="Q5651" s="1357"/>
      <c r="S5651" s="1420"/>
      <c r="T5651" s="1420"/>
      <c r="V5651" s="1357">
        <v>63</v>
      </c>
    </row>
    <row r="5652" spans="1:22" s="841" customFormat="1" ht="36" x14ac:dyDescent="0.25">
      <c r="A5652" s="841" t="s">
        <v>4874</v>
      </c>
      <c r="B5652" s="841" t="s">
        <v>5513</v>
      </c>
      <c r="E5652" s="1218" t="s">
        <v>615</v>
      </c>
      <c r="F5652" s="1218"/>
      <c r="G5652" s="1217"/>
      <c r="H5652" s="1218"/>
      <c r="K5652" s="841" t="s">
        <v>3644</v>
      </c>
      <c r="M5652" s="1357"/>
      <c r="Q5652" s="1357"/>
      <c r="S5652" s="1420"/>
      <c r="T5652" s="1420"/>
      <c r="V5652" s="1357">
        <v>38</v>
      </c>
    </row>
    <row r="5653" spans="1:22" s="841" customFormat="1" ht="15" x14ac:dyDescent="0.25">
      <c r="A5653" s="841" t="s">
        <v>4874</v>
      </c>
      <c r="B5653" s="841" t="s">
        <v>5513</v>
      </c>
      <c r="E5653" s="2073" t="s">
        <v>5553</v>
      </c>
      <c r="F5653" s="2073"/>
      <c r="G5653" s="2073"/>
      <c r="H5653" s="2073"/>
      <c r="K5653" s="841" t="s">
        <v>3644</v>
      </c>
      <c r="M5653" s="1357"/>
      <c r="Q5653" s="1357"/>
      <c r="S5653" s="1420"/>
      <c r="T5653" s="1420"/>
      <c r="V5653" s="1357">
        <v>546</v>
      </c>
    </row>
    <row r="5654" spans="1:22" s="841" customFormat="1" ht="15" x14ac:dyDescent="0.25">
      <c r="A5654" s="841" t="s">
        <v>4874</v>
      </c>
      <c r="B5654" s="841" t="s">
        <v>5513</v>
      </c>
      <c r="E5654" s="1223" t="s">
        <v>3061</v>
      </c>
      <c r="F5654" s="1223"/>
      <c r="G5654" s="1219"/>
      <c r="H5654" s="1090"/>
      <c r="K5654" s="841" t="s">
        <v>3281</v>
      </c>
      <c r="M5654" s="1357"/>
      <c r="Q5654" s="1357"/>
      <c r="S5654" s="1420"/>
      <c r="T5654" s="1420"/>
      <c r="V5654" s="1357">
        <v>11</v>
      </c>
    </row>
    <row r="5655" spans="1:22" s="841" customFormat="1" ht="15" x14ac:dyDescent="0.25">
      <c r="A5655" s="841" t="s">
        <v>4874</v>
      </c>
      <c r="B5655" s="841" t="s">
        <v>5513</v>
      </c>
      <c r="E5655" s="2073" t="s">
        <v>3063</v>
      </c>
      <c r="F5655" s="2073"/>
      <c r="G5655" s="2073"/>
      <c r="H5655" s="2073"/>
      <c r="K5655" s="841" t="s">
        <v>3644</v>
      </c>
      <c r="M5655" s="1357"/>
      <c r="Q5655" s="1357"/>
      <c r="S5655" s="1420"/>
      <c r="T5655" s="1420"/>
      <c r="V5655" s="1357">
        <v>280</v>
      </c>
    </row>
    <row r="5656" spans="1:22" s="841" customFormat="1" ht="15" x14ac:dyDescent="0.25">
      <c r="A5656" s="841" t="s">
        <v>4874</v>
      </c>
      <c r="B5656" s="841" t="s">
        <v>5513</v>
      </c>
      <c r="E5656" s="2073" t="s">
        <v>3064</v>
      </c>
      <c r="F5656" s="2073"/>
      <c r="G5656" s="2073"/>
      <c r="H5656" s="2073"/>
      <c r="K5656" s="841" t="s">
        <v>3644</v>
      </c>
      <c r="M5656" s="1357"/>
      <c r="Q5656" s="1357"/>
      <c r="S5656" s="1420"/>
      <c r="T5656" s="1420"/>
      <c r="V5656" s="1357">
        <v>411</v>
      </c>
    </row>
    <row r="5657" spans="1:22" s="841" customFormat="1" ht="15" x14ac:dyDescent="0.25">
      <c r="A5657" s="841" t="s">
        <v>4874</v>
      </c>
      <c r="B5657" s="841" t="s">
        <v>5513</v>
      </c>
      <c r="E5657" s="2073" t="s">
        <v>5516</v>
      </c>
      <c r="F5657" s="2073"/>
      <c r="G5657" s="2073"/>
      <c r="H5657" s="2073"/>
      <c r="K5657" s="841" t="s">
        <v>3644</v>
      </c>
      <c r="M5657" s="1357"/>
      <c r="Q5657" s="1357"/>
      <c r="S5657" s="1420"/>
      <c r="T5657" s="1420"/>
      <c r="V5657" s="1357">
        <v>387</v>
      </c>
    </row>
    <row r="5658" spans="1:22" s="841" customFormat="1" ht="15" x14ac:dyDescent="0.25">
      <c r="A5658" s="841" t="s">
        <v>4874</v>
      </c>
      <c r="B5658" s="841" t="s">
        <v>5513</v>
      </c>
      <c r="E5658" s="2073" t="s">
        <v>3390</v>
      </c>
      <c r="F5658" s="2073"/>
      <c r="G5658" s="2073"/>
      <c r="H5658" s="2073"/>
      <c r="K5658" s="841" t="s">
        <v>3644</v>
      </c>
      <c r="M5658" s="1357"/>
      <c r="Q5658" s="1357"/>
      <c r="S5658" s="1420"/>
      <c r="T5658" s="1420"/>
      <c r="V5658" s="1357">
        <v>274</v>
      </c>
    </row>
    <row r="5659" spans="1:22" s="841" customFormat="1" ht="15" x14ac:dyDescent="0.25">
      <c r="A5659" s="841" t="s">
        <v>4874</v>
      </c>
      <c r="B5659" s="841" t="s">
        <v>5513</v>
      </c>
      <c r="E5659" s="919" t="s">
        <v>5517</v>
      </c>
      <c r="F5659" s="919"/>
      <c r="G5659" s="1208"/>
      <c r="H5659" s="433"/>
      <c r="K5659" s="841" t="s">
        <v>3282</v>
      </c>
      <c r="M5659" s="1357"/>
      <c r="Q5659" s="1357"/>
      <c r="S5659" s="1420"/>
      <c r="T5659" s="1420"/>
      <c r="V5659" s="1357">
        <v>46</v>
      </c>
    </row>
    <row r="5660" spans="1:22" s="841" customFormat="1" ht="15" x14ac:dyDescent="0.25">
      <c r="A5660" s="841" t="s">
        <v>4874</v>
      </c>
      <c r="B5660" s="841" t="s">
        <v>5513</v>
      </c>
      <c r="E5660" s="599" t="s">
        <v>5554</v>
      </c>
      <c r="F5660" s="599"/>
      <c r="G5660" s="1210" t="s">
        <v>23</v>
      </c>
      <c r="H5660" s="1209">
        <v>2</v>
      </c>
      <c r="K5660" s="841" t="s">
        <v>3644</v>
      </c>
      <c r="L5660" s="841" t="s">
        <v>442</v>
      </c>
      <c r="M5660" s="1357"/>
      <c r="P5660" s="841" t="s">
        <v>3646</v>
      </c>
      <c r="Q5660" s="1357"/>
      <c r="S5660" s="1420"/>
      <c r="T5660" s="1420"/>
      <c r="V5660" s="1357">
        <v>32</v>
      </c>
    </row>
    <row r="5661" spans="1:22" s="841" customFormat="1" ht="15" x14ac:dyDescent="0.25">
      <c r="A5661" s="841" t="s">
        <v>4874</v>
      </c>
      <c r="B5661" s="841" t="s">
        <v>5513</v>
      </c>
      <c r="E5661" s="599" t="s">
        <v>5518</v>
      </c>
      <c r="F5661" s="599"/>
      <c r="G5661" s="1210" t="s">
        <v>23</v>
      </c>
      <c r="H5661" s="1209">
        <v>-0.01</v>
      </c>
      <c r="K5661" s="841" t="s">
        <v>3644</v>
      </c>
      <c r="L5661" s="841" t="s">
        <v>442</v>
      </c>
      <c r="M5661" s="1357"/>
      <c r="P5661" s="841" t="s">
        <v>6294</v>
      </c>
      <c r="Q5661" s="1357"/>
      <c r="S5661" s="1420"/>
      <c r="T5661" s="1420"/>
      <c r="V5661" s="1357">
        <v>97</v>
      </c>
    </row>
    <row r="5662" spans="1:22" s="841" customFormat="1" ht="15" x14ac:dyDescent="0.25">
      <c r="A5662" s="841" t="s">
        <v>4874</v>
      </c>
      <c r="B5662" s="841" t="s">
        <v>5513</v>
      </c>
      <c r="E5662" s="599" t="s">
        <v>5204</v>
      </c>
      <c r="F5662" s="599"/>
      <c r="G5662" s="1210" t="s">
        <v>23</v>
      </c>
      <c r="H5662" s="1209">
        <v>-0.1</v>
      </c>
      <c r="K5662" s="841" t="s">
        <v>3644</v>
      </c>
      <c r="L5662" s="841" t="s">
        <v>442</v>
      </c>
      <c r="M5662" s="1357"/>
      <c r="P5662" s="841" t="s">
        <v>6295</v>
      </c>
      <c r="Q5662" s="1357"/>
      <c r="S5662" s="1420"/>
      <c r="T5662" s="1420">
        <v>43465</v>
      </c>
      <c r="V5662" s="1357">
        <v>96</v>
      </c>
    </row>
    <row r="5663" spans="1:22" s="841" customFormat="1" ht="15" x14ac:dyDescent="0.25">
      <c r="A5663" s="841" t="s">
        <v>4874</v>
      </c>
      <c r="B5663" s="841" t="s">
        <v>5513</v>
      </c>
      <c r="E5663" s="433" t="s">
        <v>84</v>
      </c>
      <c r="F5663" s="433"/>
      <c r="G5663" s="1208" t="s">
        <v>33</v>
      </c>
      <c r="H5663" s="1211">
        <v>5.3152999999999997</v>
      </c>
      <c r="K5663" s="841" t="s">
        <v>3644</v>
      </c>
      <c r="L5663" s="841" t="s">
        <v>442</v>
      </c>
      <c r="M5663" s="1357"/>
      <c r="P5663" s="841" t="s">
        <v>3647</v>
      </c>
      <c r="Q5663" s="1357"/>
      <c r="S5663" s="1420"/>
      <c r="T5663" s="1420"/>
      <c r="V5663" s="1357">
        <v>28</v>
      </c>
    </row>
    <row r="5664" spans="1:22" s="841" customFormat="1" ht="15" x14ac:dyDescent="0.25">
      <c r="A5664" s="841" t="s">
        <v>4874</v>
      </c>
      <c r="B5664" s="841" t="s">
        <v>5513</v>
      </c>
      <c r="E5664" s="433" t="s">
        <v>18</v>
      </c>
      <c r="F5664" s="433"/>
      <c r="G5664" s="1208" t="s">
        <v>33</v>
      </c>
      <c r="H5664" s="1212">
        <v>1.702E-2</v>
      </c>
      <c r="K5664" s="841" t="s">
        <v>3644</v>
      </c>
      <c r="L5664" s="841" t="s">
        <v>443</v>
      </c>
      <c r="M5664" s="1357"/>
      <c r="P5664" s="841" t="s">
        <v>3648</v>
      </c>
      <c r="Q5664" s="1357"/>
      <c r="S5664" s="1420"/>
      <c r="T5664" s="1420"/>
      <c r="V5664" s="1357">
        <v>24</v>
      </c>
    </row>
    <row r="5665" spans="1:22" s="841" customFormat="1" ht="45" x14ac:dyDescent="0.25">
      <c r="A5665" s="841" t="s">
        <v>4874</v>
      </c>
      <c r="B5665" s="841" t="s">
        <v>5513</v>
      </c>
      <c r="E5665" s="726" t="s">
        <v>5325</v>
      </c>
      <c r="F5665" s="726"/>
      <c r="G5665" s="1213" t="s">
        <v>24</v>
      </c>
      <c r="H5665" s="1211">
        <v>-2.8999999999999998E-3</v>
      </c>
      <c r="K5665" s="841" t="s">
        <v>3644</v>
      </c>
      <c r="L5665" s="841" t="s">
        <v>443</v>
      </c>
      <c r="M5665" s="1357"/>
      <c r="P5665" s="841" t="s">
        <v>3649</v>
      </c>
      <c r="Q5665" s="1357"/>
      <c r="S5665" s="1420"/>
      <c r="T5665" s="1420">
        <v>43585</v>
      </c>
      <c r="V5665" s="1357">
        <v>154</v>
      </c>
    </row>
    <row r="5666" spans="1:22" s="841" customFormat="1" ht="15" x14ac:dyDescent="0.25">
      <c r="A5666" s="841" t="s">
        <v>4874</v>
      </c>
      <c r="B5666" s="841" t="s">
        <v>5513</v>
      </c>
      <c r="E5666" s="433" t="s">
        <v>5210</v>
      </c>
      <c r="F5666" s="433"/>
      <c r="G5666" s="1208" t="s">
        <v>33</v>
      </c>
      <c r="H5666" s="1211">
        <v>-0.19546788923692912</v>
      </c>
      <c r="K5666" s="841" t="s">
        <v>3644</v>
      </c>
      <c r="L5666" s="841" t="s">
        <v>443</v>
      </c>
      <c r="M5666" s="1357"/>
      <c r="P5666" s="841" t="s">
        <v>3650</v>
      </c>
      <c r="Q5666" s="1357"/>
      <c r="S5666" s="1420"/>
      <c r="T5666" s="1420">
        <v>43585</v>
      </c>
      <c r="V5666" s="1357">
        <v>108</v>
      </c>
    </row>
    <row r="5667" spans="1:22" s="841" customFormat="1" ht="45" x14ac:dyDescent="0.25">
      <c r="A5667" s="841" t="s">
        <v>4874</v>
      </c>
      <c r="B5667" s="841" t="s">
        <v>5513</v>
      </c>
      <c r="E5667" s="1224" t="s">
        <v>5531</v>
      </c>
      <c r="F5667" s="1224"/>
      <c r="G5667" s="1213" t="s">
        <v>33</v>
      </c>
      <c r="H5667" s="1212">
        <v>-1.7258079480060168E-2</v>
      </c>
      <c r="K5667" s="841" t="s">
        <v>3644</v>
      </c>
      <c r="L5667" s="841" t="s">
        <v>443</v>
      </c>
      <c r="M5667" s="1357"/>
      <c r="P5667" s="841" t="s">
        <v>5445</v>
      </c>
      <c r="Q5667" s="1357"/>
      <c r="S5667" s="1420"/>
      <c r="T5667" s="1420">
        <v>43585</v>
      </c>
      <c r="V5667" s="1357">
        <v>161</v>
      </c>
    </row>
    <row r="5668" spans="1:22" s="841" customFormat="1" ht="15" x14ac:dyDescent="0.25">
      <c r="A5668" s="841" t="s">
        <v>4874</v>
      </c>
      <c r="B5668" s="841" t="s">
        <v>5513</v>
      </c>
      <c r="E5668" s="433" t="s">
        <v>5518</v>
      </c>
      <c r="F5668" s="433"/>
      <c r="G5668" s="1208" t="s">
        <v>33</v>
      </c>
      <c r="H5668" s="1211">
        <v>-3.4299999999999997E-2</v>
      </c>
      <c r="K5668" s="841" t="s">
        <v>3644</v>
      </c>
      <c r="L5668" s="841" t="s">
        <v>442</v>
      </c>
      <c r="M5668" s="1357"/>
      <c r="P5668" s="841" t="s">
        <v>6296</v>
      </c>
      <c r="Q5668" s="1357"/>
      <c r="S5668" s="1420"/>
      <c r="T5668" s="1420"/>
      <c r="V5668" s="1357">
        <v>97</v>
      </c>
    </row>
    <row r="5669" spans="1:22" s="841" customFormat="1" ht="45" x14ac:dyDescent="0.25">
      <c r="A5669" s="841" t="s">
        <v>4874</v>
      </c>
      <c r="B5669" s="841" t="s">
        <v>5513</v>
      </c>
      <c r="E5669" s="1224" t="s">
        <v>5555</v>
      </c>
      <c r="F5669" s="1224"/>
      <c r="G5669" s="1213" t="s">
        <v>33</v>
      </c>
      <c r="H5669" s="1211">
        <v>0.76136237725995137</v>
      </c>
      <c r="K5669" s="841" t="s">
        <v>3644</v>
      </c>
      <c r="L5669" s="841" t="s">
        <v>442</v>
      </c>
      <c r="M5669" s="1357"/>
      <c r="P5669" s="841" t="s">
        <v>3780</v>
      </c>
      <c r="Q5669" s="1357"/>
      <c r="S5669" s="1420"/>
      <c r="T5669" s="1420">
        <v>43585</v>
      </c>
      <c r="V5669" s="1357">
        <v>150</v>
      </c>
    </row>
    <row r="5670" spans="1:22" s="841" customFormat="1" ht="15" x14ac:dyDescent="0.25">
      <c r="A5670" s="841" t="s">
        <v>4874</v>
      </c>
      <c r="B5670" s="841" t="s">
        <v>5513</v>
      </c>
      <c r="E5670" s="433" t="s">
        <v>221</v>
      </c>
      <c r="F5670" s="433"/>
      <c r="G5670" s="1208" t="s">
        <v>33</v>
      </c>
      <c r="H5670" s="1211">
        <v>2.036445282114038</v>
      </c>
      <c r="K5670" s="841" t="s">
        <v>3644</v>
      </c>
      <c r="L5670" s="841" t="s">
        <v>444</v>
      </c>
      <c r="M5670" s="1357"/>
      <c r="P5670" s="841" t="s">
        <v>3651</v>
      </c>
      <c r="Q5670" s="1357"/>
      <c r="S5670" s="1420"/>
      <c r="T5670" s="1420"/>
      <c r="V5670" s="1357">
        <v>47</v>
      </c>
    </row>
    <row r="5671" spans="1:22" s="841" customFormat="1" ht="15" x14ac:dyDescent="0.25">
      <c r="A5671" s="841" t="s">
        <v>4874</v>
      </c>
      <c r="B5671" s="841" t="s">
        <v>5513</v>
      </c>
      <c r="E5671" s="433" t="s">
        <v>217</v>
      </c>
      <c r="F5671" s="433"/>
      <c r="G5671" s="1208" t="s">
        <v>33</v>
      </c>
      <c r="H5671" s="1211">
        <v>1.9249192420558441</v>
      </c>
      <c r="K5671" s="841" t="s">
        <v>3644</v>
      </c>
      <c r="L5671" s="841" t="s">
        <v>444</v>
      </c>
      <c r="M5671" s="1357"/>
      <c r="P5671" s="841" t="s">
        <v>3652</v>
      </c>
      <c r="Q5671" s="1357"/>
      <c r="S5671" s="1420"/>
      <c r="T5671" s="1420"/>
      <c r="V5671" s="1357">
        <v>74</v>
      </c>
    </row>
    <row r="5672" spans="1:22" s="841" customFormat="1" ht="15" x14ac:dyDescent="0.25">
      <c r="A5672" s="841" t="s">
        <v>4874</v>
      </c>
      <c r="B5672" s="841" t="s">
        <v>5513</v>
      </c>
      <c r="E5672" s="919" t="s">
        <v>5522</v>
      </c>
      <c r="F5672" s="919"/>
      <c r="G5672" s="1222"/>
      <c r="H5672" s="1211"/>
      <c r="K5672" s="841" t="s">
        <v>3383</v>
      </c>
      <c r="M5672" s="1357"/>
      <c r="Q5672" s="1357"/>
      <c r="S5672" s="1420"/>
      <c r="T5672" s="1420"/>
      <c r="V5672" s="1357">
        <v>48</v>
      </c>
    </row>
    <row r="5673" spans="1:22" s="841" customFormat="1" ht="15" x14ac:dyDescent="0.25">
      <c r="A5673" s="841" t="s">
        <v>4874</v>
      </c>
      <c r="B5673" s="841" t="s">
        <v>5513</v>
      </c>
      <c r="E5673" s="1690" t="s">
        <v>2449</v>
      </c>
      <c r="F5673" s="1690"/>
      <c r="G5673" s="1214" t="s">
        <v>24</v>
      </c>
      <c r="H5673" s="1215">
        <v>3.2000000000000002E-3</v>
      </c>
      <c r="K5673" s="841" t="s">
        <v>3644</v>
      </c>
      <c r="L5673" s="841" t="s">
        <v>3046</v>
      </c>
      <c r="M5673" s="1357"/>
      <c r="P5673" s="841" t="s">
        <v>3653</v>
      </c>
      <c r="Q5673" s="1357"/>
      <c r="S5673" s="1420"/>
      <c r="T5673" s="1420"/>
      <c r="V5673" s="1357">
        <v>55</v>
      </c>
    </row>
    <row r="5674" spans="1:22" s="841" customFormat="1" ht="15" x14ac:dyDescent="0.25">
      <c r="A5674" s="841" t="s">
        <v>4874</v>
      </c>
      <c r="B5674" s="841" t="s">
        <v>5513</v>
      </c>
      <c r="E5674" s="1379" t="s">
        <v>2450</v>
      </c>
      <c r="F5674" s="1379"/>
      <c r="G5674" s="1214" t="s">
        <v>24</v>
      </c>
      <c r="H5674" s="1215">
        <v>4.0000000000000002E-4</v>
      </c>
      <c r="K5674" s="841" t="s">
        <v>3644</v>
      </c>
      <c r="L5674" s="841" t="s">
        <v>3046</v>
      </c>
      <c r="M5674" s="1357"/>
      <c r="P5674" s="841" t="s">
        <v>3653</v>
      </c>
      <c r="Q5674" s="1357"/>
      <c r="S5674" s="1420"/>
      <c r="T5674" s="1420"/>
      <c r="V5674" s="1357">
        <v>65</v>
      </c>
    </row>
    <row r="5675" spans="1:22" s="841" customFormat="1" ht="15" x14ac:dyDescent="0.25">
      <c r="A5675" s="841" t="s">
        <v>4874</v>
      </c>
      <c r="B5675" s="841" t="s">
        <v>5513</v>
      </c>
      <c r="E5675" s="1379" t="s">
        <v>439</v>
      </c>
      <c r="F5675" s="1379"/>
      <c r="G5675" s="1214" t="s">
        <v>24</v>
      </c>
      <c r="H5675" s="1215">
        <v>2.9999999999999997E-4</v>
      </c>
      <c r="K5675" s="841" t="s">
        <v>3644</v>
      </c>
      <c r="L5675" s="841" t="s">
        <v>3046</v>
      </c>
      <c r="M5675" s="1357"/>
      <c r="P5675" s="841" t="s">
        <v>3654</v>
      </c>
      <c r="Q5675" s="1357"/>
      <c r="S5675" s="1420"/>
      <c r="T5675" s="1420"/>
      <c r="V5675" s="1357">
        <v>57</v>
      </c>
    </row>
    <row r="5676" spans="1:22" s="841" customFormat="1" ht="15" x14ac:dyDescent="0.25">
      <c r="A5676" s="841" t="s">
        <v>4874</v>
      </c>
      <c r="B5676" s="841" t="s">
        <v>5513</v>
      </c>
      <c r="E5676" s="1379" t="s">
        <v>32</v>
      </c>
      <c r="F5676" s="1379"/>
      <c r="G5676" s="1214" t="s">
        <v>23</v>
      </c>
      <c r="H5676" s="1216">
        <v>0.25</v>
      </c>
      <c r="K5676" s="841" t="s">
        <v>3644</v>
      </c>
      <c r="L5676" s="841" t="s">
        <v>3046</v>
      </c>
      <c r="M5676" s="1357"/>
      <c r="P5676" s="841" t="s">
        <v>3655</v>
      </c>
      <c r="Q5676" s="1357"/>
      <c r="S5676" s="1420"/>
      <c r="T5676" s="1420"/>
      <c r="V5676" s="1357">
        <v>63</v>
      </c>
    </row>
    <row r="5677" spans="1:22" s="841" customFormat="1" x14ac:dyDescent="0.25">
      <c r="A5677" s="841" t="s">
        <v>4874</v>
      </c>
      <c r="B5677" s="841" t="s">
        <v>5513</v>
      </c>
      <c r="E5677" s="1082" t="s">
        <v>5556</v>
      </c>
      <c r="F5677" s="1082"/>
      <c r="G5677" s="1208"/>
      <c r="H5677" s="433"/>
      <c r="K5677" s="841" t="s">
        <v>3656</v>
      </c>
      <c r="M5677" s="1357"/>
      <c r="Q5677" s="1357"/>
      <c r="S5677" s="1420"/>
      <c r="T5677" s="1420"/>
      <c r="V5677" s="1357">
        <v>31</v>
      </c>
    </row>
    <row r="5678" spans="1:22" s="841" customFormat="1" ht="15" x14ac:dyDescent="0.25">
      <c r="A5678" s="841" t="s">
        <v>4874</v>
      </c>
      <c r="B5678" s="841" t="s">
        <v>5513</v>
      </c>
      <c r="E5678" s="2083" t="s">
        <v>3127</v>
      </c>
      <c r="F5678" s="2083"/>
      <c r="G5678" s="2083"/>
      <c r="H5678" s="2083"/>
      <c r="K5678" s="841" t="s">
        <v>3656</v>
      </c>
      <c r="M5678" s="1357"/>
      <c r="Q5678" s="1357"/>
      <c r="S5678" s="1420"/>
      <c r="T5678" s="1420"/>
      <c r="V5678" s="1357">
        <v>286</v>
      </c>
    </row>
    <row r="5679" spans="1:22" s="841" customFormat="1" ht="15" x14ac:dyDescent="0.25">
      <c r="A5679" s="841" t="s">
        <v>4874</v>
      </c>
      <c r="B5679" s="841" t="s">
        <v>5513</v>
      </c>
      <c r="E5679" s="1223" t="s">
        <v>3061</v>
      </c>
      <c r="F5679" s="1223"/>
      <c r="G5679" s="1219"/>
      <c r="H5679" s="1090"/>
      <c r="K5679" s="841" t="s">
        <v>3345</v>
      </c>
      <c r="M5679" s="1357"/>
      <c r="Q5679" s="1357"/>
      <c r="S5679" s="1420"/>
      <c r="T5679" s="1420"/>
      <c r="V5679" s="1357">
        <v>11</v>
      </c>
    </row>
    <row r="5680" spans="1:22" s="841" customFormat="1" ht="15" x14ac:dyDescent="0.25">
      <c r="A5680" s="841" t="s">
        <v>4874</v>
      </c>
      <c r="B5680" s="841" t="s">
        <v>5513</v>
      </c>
      <c r="E5680" s="2073" t="s">
        <v>3063</v>
      </c>
      <c r="F5680" s="2073"/>
      <c r="G5680" s="2073"/>
      <c r="H5680" s="2073"/>
      <c r="K5680" s="841" t="s">
        <v>3656</v>
      </c>
      <c r="M5680" s="1357"/>
      <c r="Q5680" s="1357"/>
      <c r="S5680" s="1420"/>
      <c r="T5680" s="1420"/>
      <c r="V5680" s="1357">
        <v>280</v>
      </c>
    </row>
    <row r="5681" spans="1:22" s="841" customFormat="1" ht="15" x14ac:dyDescent="0.25">
      <c r="A5681" s="841" t="s">
        <v>4874</v>
      </c>
      <c r="B5681" s="841" t="s">
        <v>5513</v>
      </c>
      <c r="E5681" s="2073" t="s">
        <v>3064</v>
      </c>
      <c r="F5681" s="2073"/>
      <c r="G5681" s="2073"/>
      <c r="H5681" s="2073"/>
      <c r="K5681" s="841" t="s">
        <v>3656</v>
      </c>
      <c r="M5681" s="1357"/>
      <c r="Q5681" s="1357"/>
      <c r="S5681" s="1420"/>
      <c r="T5681" s="1420"/>
      <c r="V5681" s="1357">
        <v>411</v>
      </c>
    </row>
    <row r="5682" spans="1:22" s="841" customFormat="1" ht="15" x14ac:dyDescent="0.25">
      <c r="A5682" s="841" t="s">
        <v>4874</v>
      </c>
      <c r="B5682" s="841" t="s">
        <v>5513</v>
      </c>
      <c r="E5682" s="2073" t="s">
        <v>5516</v>
      </c>
      <c r="F5682" s="2073"/>
      <c r="G5682" s="2073"/>
      <c r="H5682" s="2073"/>
      <c r="K5682" s="841" t="s">
        <v>3656</v>
      </c>
      <c r="M5682" s="1357"/>
      <c r="Q5682" s="1357"/>
      <c r="S5682" s="1420"/>
      <c r="T5682" s="1420"/>
      <c r="V5682" s="1357">
        <v>387</v>
      </c>
    </row>
    <row r="5683" spans="1:22" s="841" customFormat="1" ht="15" x14ac:dyDescent="0.25">
      <c r="A5683" s="841" t="s">
        <v>4874</v>
      </c>
      <c r="B5683" s="841" t="s">
        <v>5513</v>
      </c>
      <c r="E5683" s="2073" t="s">
        <v>4503</v>
      </c>
      <c r="F5683" s="2073"/>
      <c r="G5683" s="2073"/>
      <c r="H5683" s="2073"/>
      <c r="K5683" s="841" t="s">
        <v>3656</v>
      </c>
      <c r="M5683" s="1357"/>
      <c r="Q5683" s="1357"/>
      <c r="S5683" s="1420"/>
      <c r="T5683" s="1420"/>
      <c r="V5683" s="1357">
        <v>275</v>
      </c>
    </row>
    <row r="5684" spans="1:22" s="841" customFormat="1" ht="15" x14ac:dyDescent="0.25">
      <c r="A5684" s="841" t="s">
        <v>4874</v>
      </c>
      <c r="B5684" s="841" t="s">
        <v>5513</v>
      </c>
      <c r="E5684" s="2082" t="s">
        <v>5369</v>
      </c>
      <c r="F5684" s="1852"/>
      <c r="G5684" s="1852"/>
      <c r="H5684" s="1852"/>
      <c r="K5684" s="841" t="s">
        <v>3346</v>
      </c>
      <c r="M5684" s="1357"/>
      <c r="Q5684" s="1357"/>
      <c r="S5684" s="1420"/>
      <c r="T5684" s="1420"/>
      <c r="V5684" s="1357">
        <v>47</v>
      </c>
    </row>
    <row r="5685" spans="1:22" s="841" customFormat="1" ht="15" x14ac:dyDescent="0.25">
      <c r="A5685" s="841" t="s">
        <v>4874</v>
      </c>
      <c r="B5685" s="841" t="s">
        <v>5513</v>
      </c>
      <c r="E5685" s="599" t="s">
        <v>11</v>
      </c>
      <c r="F5685" s="599"/>
      <c r="G5685" s="1210" t="s">
        <v>23</v>
      </c>
      <c r="H5685" s="599">
        <v>5.4</v>
      </c>
      <c r="K5685" s="841" t="s">
        <v>3656</v>
      </c>
      <c r="L5685" s="841" t="s">
        <v>442</v>
      </c>
      <c r="M5685" s="1357"/>
      <c r="P5685" s="841" t="s">
        <v>3657</v>
      </c>
      <c r="Q5685" s="1357"/>
      <c r="S5685" s="1420"/>
      <c r="T5685" s="1420"/>
      <c r="V5685" s="1357">
        <v>14</v>
      </c>
    </row>
    <row r="5686" spans="1:22" s="841" customFormat="1" x14ac:dyDescent="0.25">
      <c r="A5686" s="841" t="s">
        <v>4874</v>
      </c>
      <c r="B5686" s="841" t="s">
        <v>5513</v>
      </c>
      <c r="E5686" s="622" t="s">
        <v>85</v>
      </c>
      <c r="F5686" s="622"/>
      <c r="G5686" s="623"/>
      <c r="H5686" s="1225"/>
      <c r="K5686" s="841" t="s">
        <v>5270</v>
      </c>
      <c r="M5686" s="1357"/>
      <c r="Q5686" s="1357"/>
      <c r="S5686" s="1420"/>
      <c r="T5686" s="1420"/>
      <c r="V5686" s="1357">
        <v>10</v>
      </c>
    </row>
    <row r="5687" spans="1:22" s="841" customFormat="1" ht="15" x14ac:dyDescent="0.25">
      <c r="A5687" s="841" t="s">
        <v>4874</v>
      </c>
      <c r="B5687" s="841" t="s">
        <v>5513</v>
      </c>
      <c r="E5687" s="1379" t="s">
        <v>5557</v>
      </c>
      <c r="F5687" s="1379"/>
      <c r="G5687" s="1214" t="s">
        <v>33</v>
      </c>
      <c r="H5687" s="1226">
        <v>-0.73</v>
      </c>
      <c r="M5687" s="1357"/>
      <c r="Q5687" s="1357"/>
      <c r="S5687" s="1420"/>
      <c r="T5687" s="1420"/>
      <c r="V5687" s="1357">
        <v>62</v>
      </c>
    </row>
    <row r="5688" spans="1:22" s="841" customFormat="1" ht="15" x14ac:dyDescent="0.25">
      <c r="A5688" s="841" t="s">
        <v>4874</v>
      </c>
      <c r="B5688" s="841" t="s">
        <v>5513</v>
      </c>
      <c r="E5688" s="1379" t="s">
        <v>3134</v>
      </c>
      <c r="F5688" s="1379"/>
      <c r="G5688" s="1145" t="s">
        <v>86</v>
      </c>
      <c r="H5688" s="1226">
        <v>-1</v>
      </c>
      <c r="M5688" s="1357"/>
      <c r="Q5688" s="1357"/>
      <c r="S5688" s="1420"/>
      <c r="T5688" s="1420"/>
      <c r="V5688" s="1357">
        <v>87</v>
      </c>
    </row>
    <row r="5689" spans="1:22" s="841" customFormat="1" x14ac:dyDescent="0.25">
      <c r="A5689" s="841" t="s">
        <v>4874</v>
      </c>
      <c r="B5689" s="841" t="s">
        <v>5513</v>
      </c>
      <c r="E5689" s="1227" t="s">
        <v>87</v>
      </c>
      <c r="F5689" s="1227"/>
      <c r="G5689" s="623"/>
      <c r="H5689" s="624"/>
      <c r="K5689" s="841" t="s">
        <v>5274</v>
      </c>
      <c r="M5689" s="1357"/>
      <c r="Q5689" s="1357"/>
      <c r="S5689" s="1420"/>
      <c r="T5689" s="1420"/>
      <c r="V5689" s="1357">
        <v>24</v>
      </c>
    </row>
    <row r="5690" spans="1:22" s="841" customFormat="1" ht="15" x14ac:dyDescent="0.25">
      <c r="A5690" s="841" t="s">
        <v>4874</v>
      </c>
      <c r="B5690" s="841" t="s">
        <v>5513</v>
      </c>
      <c r="E5690" s="1228" t="s">
        <v>3061</v>
      </c>
      <c r="F5690" s="623"/>
      <c r="G5690" s="623"/>
      <c r="H5690" s="624"/>
      <c r="M5690" s="1357"/>
      <c r="Q5690" s="1357"/>
      <c r="S5690" s="1420"/>
      <c r="T5690" s="1420"/>
      <c r="V5690" s="1357">
        <v>11</v>
      </c>
    </row>
    <row r="5691" spans="1:22" s="841" customFormat="1" ht="15" x14ac:dyDescent="0.25">
      <c r="A5691" s="841" t="s">
        <v>4874</v>
      </c>
      <c r="B5691" s="841" t="s">
        <v>5513</v>
      </c>
      <c r="E5691" s="2085" t="s">
        <v>3063</v>
      </c>
      <c r="F5691" s="2085"/>
      <c r="G5691" s="2085"/>
      <c r="H5691" s="2085"/>
      <c r="M5691" s="1357"/>
      <c r="Q5691" s="1357"/>
      <c r="S5691" s="1420"/>
      <c r="T5691" s="1420"/>
      <c r="V5691" s="1357">
        <v>280</v>
      </c>
    </row>
    <row r="5692" spans="1:22" s="841" customFormat="1" ht="15" customHeight="1" x14ac:dyDescent="0.25">
      <c r="A5692" s="841" t="s">
        <v>4874</v>
      </c>
      <c r="B5692" s="841" t="s">
        <v>5513</v>
      </c>
      <c r="E5692" s="2085" t="s">
        <v>3136</v>
      </c>
      <c r="F5692" s="2085"/>
      <c r="G5692" s="2085"/>
      <c r="H5692" s="2085"/>
      <c r="M5692" s="1357"/>
      <c r="Q5692" s="1357"/>
      <c r="S5692" s="1420"/>
      <c r="T5692" s="1420"/>
      <c r="V5692" s="1357">
        <v>353</v>
      </c>
    </row>
    <row r="5693" spans="1:22" s="841" customFormat="1" ht="15" customHeight="1" x14ac:dyDescent="0.25">
      <c r="A5693" s="841" t="s">
        <v>4874</v>
      </c>
      <c r="B5693" s="841" t="s">
        <v>5513</v>
      </c>
      <c r="E5693" s="2085" t="s">
        <v>3810</v>
      </c>
      <c r="F5693" s="2085"/>
      <c r="G5693" s="2085"/>
      <c r="H5693" s="2085"/>
      <c r="M5693" s="1357"/>
      <c r="Q5693" s="1357"/>
      <c r="S5693" s="1420"/>
      <c r="T5693" s="1420"/>
      <c r="V5693" s="1357">
        <v>246</v>
      </c>
    </row>
    <row r="5694" spans="1:22" s="841" customFormat="1" ht="15" x14ac:dyDescent="0.25">
      <c r="A5694" s="841" t="s">
        <v>4874</v>
      </c>
      <c r="B5694" s="841" t="s">
        <v>5513</v>
      </c>
      <c r="E5694" s="1228" t="s">
        <v>3137</v>
      </c>
      <c r="F5694" s="1228"/>
      <c r="G5694" s="623"/>
      <c r="H5694" s="624"/>
      <c r="K5694" s="841" t="s">
        <v>5275</v>
      </c>
      <c r="M5694" s="1357"/>
      <c r="Q5694" s="1357"/>
      <c r="S5694" s="1420"/>
      <c r="T5694" s="1420"/>
      <c r="V5694" s="1357">
        <v>23</v>
      </c>
    </row>
    <row r="5695" spans="1:22" s="841" customFormat="1" ht="15" x14ac:dyDescent="0.25">
      <c r="A5695" s="841" t="s">
        <v>4874</v>
      </c>
      <c r="B5695" s="841" t="s">
        <v>5513</v>
      </c>
      <c r="E5695" s="1083" t="s">
        <v>3825</v>
      </c>
      <c r="F5695" s="1083"/>
      <c r="G5695" s="1145" t="s">
        <v>23</v>
      </c>
      <c r="H5695" s="1146">
        <v>15</v>
      </c>
      <c r="M5695" s="1357"/>
      <c r="Q5695" s="1357"/>
      <c r="S5695" s="1420"/>
      <c r="T5695" s="1420"/>
      <c r="V5695" s="1357">
        <v>24</v>
      </c>
    </row>
    <row r="5696" spans="1:22" s="841" customFormat="1" ht="15" x14ac:dyDescent="0.25">
      <c r="A5696" s="841" t="s">
        <v>4874</v>
      </c>
      <c r="B5696" s="841" t="s">
        <v>5513</v>
      </c>
      <c r="E5696" s="1083" t="s">
        <v>3826</v>
      </c>
      <c r="F5696" s="1083"/>
      <c r="G5696" s="1145" t="s">
        <v>23</v>
      </c>
      <c r="H5696" s="1146">
        <v>15</v>
      </c>
      <c r="M5696" s="1357"/>
      <c r="Q5696" s="1357"/>
      <c r="S5696" s="1420"/>
      <c r="T5696" s="1420"/>
      <c r="V5696" s="1357">
        <v>25</v>
      </c>
    </row>
    <row r="5697" spans="1:22" s="841" customFormat="1" ht="15" x14ac:dyDescent="0.25">
      <c r="A5697" s="841" t="s">
        <v>4874</v>
      </c>
      <c r="B5697" s="841" t="s">
        <v>5513</v>
      </c>
      <c r="E5697" s="1083" t="s">
        <v>5558</v>
      </c>
      <c r="F5697" s="1083"/>
      <c r="G5697" s="1145" t="s">
        <v>23</v>
      </c>
      <c r="H5697" s="1146">
        <v>15</v>
      </c>
      <c r="M5697" s="1357"/>
      <c r="Q5697" s="1357"/>
      <c r="S5697" s="1420"/>
      <c r="T5697" s="1420"/>
      <c r="V5697" s="1357">
        <v>34</v>
      </c>
    </row>
    <row r="5698" spans="1:22" s="841" customFormat="1" ht="15" x14ac:dyDescent="0.25">
      <c r="A5698" s="841" t="s">
        <v>4874</v>
      </c>
      <c r="B5698" s="841" t="s">
        <v>5513</v>
      </c>
      <c r="E5698" s="1083" t="s">
        <v>5559</v>
      </c>
      <c r="F5698" s="1083"/>
      <c r="G5698" s="1145" t="s">
        <v>23</v>
      </c>
      <c r="H5698" s="1146">
        <v>15</v>
      </c>
      <c r="M5698" s="1357"/>
      <c r="Q5698" s="1357"/>
      <c r="S5698" s="1420"/>
      <c r="T5698" s="1420"/>
      <c r="V5698" s="1357">
        <v>45</v>
      </c>
    </row>
    <row r="5699" spans="1:22" s="841" customFormat="1" ht="15" x14ac:dyDescent="0.25">
      <c r="A5699" s="841" t="s">
        <v>4874</v>
      </c>
      <c r="B5699" s="841" t="s">
        <v>5513</v>
      </c>
      <c r="E5699" s="1083" t="s">
        <v>4053</v>
      </c>
      <c r="F5699" s="1083"/>
      <c r="G5699" s="1145" t="s">
        <v>23</v>
      </c>
      <c r="H5699" s="1146">
        <v>15</v>
      </c>
      <c r="M5699" s="1357"/>
      <c r="Q5699" s="1357"/>
      <c r="S5699" s="1420"/>
      <c r="T5699" s="1420"/>
      <c r="V5699" s="1357">
        <v>42</v>
      </c>
    </row>
    <row r="5700" spans="1:22" s="841" customFormat="1" ht="15" x14ac:dyDescent="0.25">
      <c r="A5700" s="841" t="s">
        <v>4874</v>
      </c>
      <c r="B5700" s="841" t="s">
        <v>5513</v>
      </c>
      <c r="E5700" s="1083" t="s">
        <v>3829</v>
      </c>
      <c r="F5700" s="1083"/>
      <c r="G5700" s="1145" t="s">
        <v>23</v>
      </c>
      <c r="H5700" s="1146">
        <v>15</v>
      </c>
      <c r="M5700" s="1357"/>
      <c r="Q5700" s="1357"/>
      <c r="S5700" s="1420"/>
      <c r="T5700" s="1420"/>
      <c r="V5700" s="1357">
        <v>20</v>
      </c>
    </row>
    <row r="5701" spans="1:22" s="841" customFormat="1" ht="15" x14ac:dyDescent="0.25">
      <c r="A5701" s="841" t="s">
        <v>4874</v>
      </c>
      <c r="B5701" s="841" t="s">
        <v>5513</v>
      </c>
      <c r="E5701" s="1083" t="s">
        <v>5560</v>
      </c>
      <c r="F5701" s="1083"/>
      <c r="G5701" s="1145" t="s">
        <v>23</v>
      </c>
      <c r="H5701" s="1146">
        <v>15</v>
      </c>
      <c r="M5701" s="1357"/>
      <c r="Q5701" s="1357"/>
      <c r="S5701" s="1420"/>
      <c r="T5701" s="1420"/>
      <c r="V5701" s="1357">
        <v>22</v>
      </c>
    </row>
    <row r="5702" spans="1:22" s="841" customFormat="1" ht="15" x14ac:dyDescent="0.25">
      <c r="A5702" s="841" t="s">
        <v>4874</v>
      </c>
      <c r="B5702" s="841" t="s">
        <v>5513</v>
      </c>
      <c r="E5702" s="1083" t="s">
        <v>5561</v>
      </c>
      <c r="F5702" s="1083"/>
      <c r="G5702" s="1145" t="s">
        <v>23</v>
      </c>
      <c r="H5702" s="1146">
        <v>15</v>
      </c>
      <c r="M5702" s="1357"/>
      <c r="Q5702" s="1357"/>
      <c r="S5702" s="1420"/>
      <c r="T5702" s="1420"/>
      <c r="V5702" s="1357">
        <v>24</v>
      </c>
    </row>
    <row r="5703" spans="1:22" s="841" customFormat="1" ht="15" x14ac:dyDescent="0.25">
      <c r="A5703" s="841" t="s">
        <v>4874</v>
      </c>
      <c r="B5703" s="841" t="s">
        <v>5513</v>
      </c>
      <c r="E5703" s="1083" t="s">
        <v>3830</v>
      </c>
      <c r="F5703" s="1083"/>
      <c r="G5703" s="1145" t="s">
        <v>23</v>
      </c>
      <c r="H5703" s="1146">
        <v>15</v>
      </c>
      <c r="M5703" s="1357"/>
      <c r="Q5703" s="1357"/>
      <c r="S5703" s="1420"/>
      <c r="T5703" s="1420"/>
      <c r="V5703" s="1357">
        <v>20</v>
      </c>
    </row>
    <row r="5704" spans="1:22" s="841" customFormat="1" ht="15" x14ac:dyDescent="0.25">
      <c r="A5704" s="841" t="s">
        <v>4874</v>
      </c>
      <c r="B5704" s="841" t="s">
        <v>5513</v>
      </c>
      <c r="E5704" s="1083" t="s">
        <v>3832</v>
      </c>
      <c r="F5704" s="1083"/>
      <c r="G5704" s="1145" t="s">
        <v>23</v>
      </c>
      <c r="H5704" s="1146">
        <v>15</v>
      </c>
      <c r="M5704" s="1357"/>
      <c r="Q5704" s="1357"/>
      <c r="S5704" s="1420"/>
      <c r="T5704" s="1420"/>
      <c r="V5704" s="1357">
        <v>47</v>
      </c>
    </row>
    <row r="5705" spans="1:22" s="841" customFormat="1" ht="15" x14ac:dyDescent="0.25">
      <c r="A5705" s="841" t="s">
        <v>4874</v>
      </c>
      <c r="B5705" s="841" t="s">
        <v>5513</v>
      </c>
      <c r="E5705" s="1083" t="s">
        <v>3833</v>
      </c>
      <c r="F5705" s="1083"/>
      <c r="G5705" s="1145" t="s">
        <v>23</v>
      </c>
      <c r="H5705" s="1146">
        <v>15</v>
      </c>
      <c r="M5705" s="1357"/>
      <c r="Q5705" s="1357"/>
      <c r="S5705" s="1420"/>
      <c r="T5705" s="1420"/>
      <c r="V5705" s="1357">
        <v>29</v>
      </c>
    </row>
    <row r="5706" spans="1:22" s="841" customFormat="1" ht="15" x14ac:dyDescent="0.25">
      <c r="A5706" s="841" t="s">
        <v>4874</v>
      </c>
      <c r="B5706" s="841" t="s">
        <v>5513</v>
      </c>
      <c r="E5706" s="1083" t="s">
        <v>3834</v>
      </c>
      <c r="F5706" s="1083"/>
      <c r="G5706" s="1145" t="s">
        <v>23</v>
      </c>
      <c r="H5706" s="1146">
        <v>15</v>
      </c>
      <c r="M5706" s="1357"/>
      <c r="Q5706" s="1357"/>
      <c r="S5706" s="1420"/>
      <c r="T5706" s="1420"/>
      <c r="V5706" s="1357">
        <v>24</v>
      </c>
    </row>
    <row r="5707" spans="1:22" s="841" customFormat="1" ht="15" x14ac:dyDescent="0.25">
      <c r="A5707" s="841" t="s">
        <v>4874</v>
      </c>
      <c r="B5707" s="841" t="s">
        <v>5513</v>
      </c>
      <c r="E5707" s="1083" t="s">
        <v>3835</v>
      </c>
      <c r="F5707" s="1083"/>
      <c r="G5707" s="1145" t="s">
        <v>23</v>
      </c>
      <c r="H5707" s="1146">
        <v>30</v>
      </c>
      <c r="M5707" s="1357"/>
      <c r="Q5707" s="1357"/>
      <c r="S5707" s="1420"/>
      <c r="T5707" s="1420"/>
      <c r="V5707" s="1357">
        <v>94</v>
      </c>
    </row>
    <row r="5708" spans="1:22" s="841" customFormat="1" ht="15" x14ac:dyDescent="0.25">
      <c r="A5708" s="841" t="s">
        <v>4874</v>
      </c>
      <c r="B5708" s="841" t="s">
        <v>5513</v>
      </c>
      <c r="E5708" s="1083" t="s">
        <v>3836</v>
      </c>
      <c r="F5708" s="1083"/>
      <c r="G5708" s="1145" t="s">
        <v>23</v>
      </c>
      <c r="H5708" s="1146">
        <v>30</v>
      </c>
      <c r="M5708" s="1357"/>
      <c r="Q5708" s="1357"/>
      <c r="S5708" s="1420"/>
      <c r="T5708" s="1420"/>
      <c r="V5708" s="1357">
        <v>24</v>
      </c>
    </row>
    <row r="5709" spans="1:22" s="841" customFormat="1" ht="15" x14ac:dyDescent="0.25">
      <c r="A5709" s="841" t="s">
        <v>4874</v>
      </c>
      <c r="B5709" s="841" t="s">
        <v>5513</v>
      </c>
      <c r="E5709" s="1083" t="s">
        <v>3837</v>
      </c>
      <c r="F5709" s="1083"/>
      <c r="G5709" s="1145" t="s">
        <v>23</v>
      </c>
      <c r="H5709" s="1146">
        <v>30</v>
      </c>
      <c r="M5709" s="1357"/>
      <c r="Q5709" s="1357"/>
      <c r="S5709" s="1420"/>
      <c r="T5709" s="1420"/>
      <c r="V5709" s="1357">
        <v>79</v>
      </c>
    </row>
    <row r="5710" spans="1:22" s="841" customFormat="1" ht="15" x14ac:dyDescent="0.25">
      <c r="A5710" s="841" t="s">
        <v>4874</v>
      </c>
      <c r="B5710" s="841" t="s">
        <v>5513</v>
      </c>
      <c r="E5710" s="1083" t="s">
        <v>5562</v>
      </c>
      <c r="F5710" s="1083"/>
      <c r="G5710" s="1145" t="s">
        <v>23</v>
      </c>
      <c r="H5710" s="1146">
        <v>15</v>
      </c>
      <c r="M5710" s="1357"/>
      <c r="Q5710" s="1357"/>
      <c r="S5710" s="1420"/>
      <c r="T5710" s="1420"/>
      <c r="V5710" s="1357">
        <v>35</v>
      </c>
    </row>
    <row r="5711" spans="1:22" s="841" customFormat="1" ht="15" x14ac:dyDescent="0.25">
      <c r="A5711" s="841" t="s">
        <v>4874</v>
      </c>
      <c r="B5711" s="841" t="s">
        <v>5513</v>
      </c>
      <c r="E5711" s="1083" t="s">
        <v>5563</v>
      </c>
      <c r="F5711" s="1083"/>
      <c r="G5711" s="1145" t="s">
        <v>23</v>
      </c>
      <c r="H5711" s="1146">
        <v>15</v>
      </c>
      <c r="M5711" s="1357"/>
      <c r="Q5711" s="1357"/>
      <c r="S5711" s="1420"/>
      <c r="T5711" s="1420"/>
      <c r="V5711" s="1357">
        <v>44</v>
      </c>
    </row>
    <row r="5712" spans="1:22" s="841" customFormat="1" ht="15" x14ac:dyDescent="0.25">
      <c r="A5712" s="841" t="s">
        <v>4874</v>
      </c>
      <c r="B5712" s="841" t="s">
        <v>5513</v>
      </c>
      <c r="E5712" s="1228" t="s">
        <v>3152</v>
      </c>
      <c r="F5712" s="1228"/>
      <c r="G5712" s="623"/>
      <c r="H5712" s="624"/>
      <c r="K5712" s="841" t="s">
        <v>5276</v>
      </c>
      <c r="M5712" s="1357"/>
      <c r="Q5712" s="1357"/>
      <c r="S5712" s="1420"/>
      <c r="T5712" s="1420"/>
      <c r="V5712" s="1357">
        <v>22</v>
      </c>
    </row>
    <row r="5713" spans="1:22" s="841" customFormat="1" ht="15" x14ac:dyDescent="0.25">
      <c r="A5713" s="841" t="s">
        <v>4874</v>
      </c>
      <c r="B5713" s="841" t="s">
        <v>5513</v>
      </c>
      <c r="E5713" s="1084" t="s">
        <v>5564</v>
      </c>
      <c r="F5713" s="1084"/>
      <c r="G5713" s="1145" t="s">
        <v>86</v>
      </c>
      <c r="H5713" s="1146">
        <v>1.5</v>
      </c>
      <c r="M5713" s="1357"/>
      <c r="Q5713" s="1357"/>
      <c r="S5713" s="1420"/>
      <c r="T5713" s="1420"/>
      <c r="V5713" s="1357">
        <v>29</v>
      </c>
    </row>
    <row r="5714" spans="1:22" s="841" customFormat="1" ht="15" x14ac:dyDescent="0.25">
      <c r="A5714" s="841" t="s">
        <v>4874</v>
      </c>
      <c r="B5714" s="841" t="s">
        <v>5513</v>
      </c>
      <c r="E5714" s="1084" t="s">
        <v>5565</v>
      </c>
      <c r="F5714" s="1084"/>
      <c r="G5714" s="1145" t="s">
        <v>86</v>
      </c>
      <c r="H5714" s="1146">
        <v>19.559999999999999</v>
      </c>
      <c r="M5714" s="1357"/>
      <c r="Q5714" s="1357"/>
      <c r="S5714" s="1420"/>
      <c r="T5714" s="1420"/>
      <c r="V5714" s="1357">
        <v>29</v>
      </c>
    </row>
    <row r="5715" spans="1:22" s="841" customFormat="1" ht="15" x14ac:dyDescent="0.25">
      <c r="A5715" s="841" t="s">
        <v>4874</v>
      </c>
      <c r="B5715" s="841" t="s">
        <v>5513</v>
      </c>
      <c r="E5715" s="1084" t="s">
        <v>5566</v>
      </c>
      <c r="F5715" s="1084"/>
      <c r="G5715" s="1145" t="s">
        <v>23</v>
      </c>
      <c r="H5715" s="1146">
        <v>30</v>
      </c>
      <c r="M5715" s="1357"/>
      <c r="Q5715" s="1357"/>
      <c r="S5715" s="1420"/>
      <c r="T5715" s="1420"/>
      <c r="V5715" s="1357">
        <v>52</v>
      </c>
    </row>
    <row r="5716" spans="1:22" s="841" customFormat="1" ht="15" x14ac:dyDescent="0.25">
      <c r="A5716" s="841" t="s">
        <v>4874</v>
      </c>
      <c r="B5716" s="841" t="s">
        <v>5513</v>
      </c>
      <c r="E5716" s="1084" t="s">
        <v>5567</v>
      </c>
      <c r="F5716" s="1084"/>
      <c r="G5716" s="1145" t="s">
        <v>23</v>
      </c>
      <c r="H5716" s="1146">
        <v>165</v>
      </c>
      <c r="M5716" s="1357"/>
      <c r="Q5716" s="1357"/>
      <c r="S5716" s="1420"/>
      <c r="T5716" s="1420"/>
      <c r="V5716" s="1357">
        <v>74</v>
      </c>
    </row>
    <row r="5717" spans="1:22" s="841" customFormat="1" ht="15" x14ac:dyDescent="0.25">
      <c r="A5717" s="841" t="s">
        <v>4874</v>
      </c>
      <c r="B5717" s="841" t="s">
        <v>5513</v>
      </c>
      <c r="E5717" s="1084" t="s">
        <v>5568</v>
      </c>
      <c r="F5717" s="1084"/>
      <c r="G5717" s="1145" t="s">
        <v>23</v>
      </c>
      <c r="H5717" s="1146">
        <v>65</v>
      </c>
      <c r="M5717" s="1357"/>
      <c r="Q5717" s="1357"/>
      <c r="S5717" s="1420"/>
      <c r="T5717" s="1420"/>
      <c r="V5717" s="1357">
        <v>57</v>
      </c>
    </row>
    <row r="5718" spans="1:22" s="841" customFormat="1" ht="15" x14ac:dyDescent="0.25">
      <c r="A5718" s="841" t="s">
        <v>4874</v>
      </c>
      <c r="B5718" s="841" t="s">
        <v>5513</v>
      </c>
      <c r="E5718" s="1084" t="s">
        <v>5569</v>
      </c>
      <c r="F5718" s="1084"/>
      <c r="G5718" s="1145" t="s">
        <v>23</v>
      </c>
      <c r="H5718" s="1146">
        <v>185</v>
      </c>
      <c r="M5718" s="1357"/>
      <c r="Q5718" s="1357"/>
      <c r="S5718" s="1420"/>
      <c r="T5718" s="1420"/>
      <c r="V5718" s="1357">
        <v>56</v>
      </c>
    </row>
    <row r="5719" spans="1:22" s="841" customFormat="1" ht="15" x14ac:dyDescent="0.25">
      <c r="A5719" s="841" t="s">
        <v>4874</v>
      </c>
      <c r="B5719" s="841" t="s">
        <v>5513</v>
      </c>
      <c r="E5719" s="1084" t="s">
        <v>5570</v>
      </c>
      <c r="F5719" s="1084"/>
      <c r="G5719" s="1145" t="s">
        <v>23</v>
      </c>
      <c r="H5719" s="1146">
        <v>185</v>
      </c>
      <c r="M5719" s="1357"/>
      <c r="Q5719" s="1357"/>
      <c r="S5719" s="1420"/>
      <c r="T5719" s="1420"/>
      <c r="V5719" s="1357">
        <v>56</v>
      </c>
    </row>
    <row r="5720" spans="1:22" s="841" customFormat="1" ht="15" x14ac:dyDescent="0.25">
      <c r="A5720" s="841" t="s">
        <v>4874</v>
      </c>
      <c r="B5720" s="841" t="s">
        <v>5513</v>
      </c>
      <c r="E5720" s="1084" t="s">
        <v>5571</v>
      </c>
      <c r="F5720" s="1084"/>
      <c r="G5720" s="1145" t="s">
        <v>23</v>
      </c>
      <c r="H5720" s="1146">
        <v>415</v>
      </c>
      <c r="M5720" s="1357"/>
      <c r="Q5720" s="1357"/>
      <c r="S5720" s="1420"/>
      <c r="T5720" s="1420"/>
      <c r="V5720" s="1357">
        <v>55</v>
      </c>
    </row>
    <row r="5721" spans="1:22" s="841" customFormat="1" ht="15" x14ac:dyDescent="0.25">
      <c r="A5721" s="841" t="s">
        <v>4874</v>
      </c>
      <c r="B5721" s="841" t="s">
        <v>5513</v>
      </c>
      <c r="E5721" s="1084" t="s">
        <v>5572</v>
      </c>
      <c r="F5721" s="1084"/>
      <c r="G5721" s="1145" t="s">
        <v>23</v>
      </c>
      <c r="H5721" s="1146">
        <v>65</v>
      </c>
      <c r="M5721" s="1357"/>
      <c r="Q5721" s="1357"/>
      <c r="S5721" s="1420"/>
      <c r="T5721" s="1420"/>
      <c r="V5721" s="1357">
        <v>62</v>
      </c>
    </row>
    <row r="5722" spans="1:22" s="841" customFormat="1" ht="15" x14ac:dyDescent="0.25">
      <c r="A5722" s="841" t="s">
        <v>4874</v>
      </c>
      <c r="B5722" s="841" t="s">
        <v>5513</v>
      </c>
      <c r="E5722" s="1084" t="s">
        <v>5573</v>
      </c>
      <c r="F5722" s="1084"/>
      <c r="G5722" s="1145" t="s">
        <v>23</v>
      </c>
      <c r="H5722" s="1146">
        <v>185</v>
      </c>
      <c r="M5722" s="1357"/>
      <c r="Q5722" s="1357"/>
      <c r="S5722" s="1420"/>
      <c r="T5722" s="1420"/>
      <c r="V5722" s="1357">
        <v>61</v>
      </c>
    </row>
    <row r="5723" spans="1:22" s="841" customFormat="1" ht="15" x14ac:dyDescent="0.25">
      <c r="A5723" s="841" t="s">
        <v>4874</v>
      </c>
      <c r="B5723" s="841" t="s">
        <v>5513</v>
      </c>
      <c r="E5723" s="1228" t="s">
        <v>3164</v>
      </c>
      <c r="F5723" s="1228"/>
      <c r="G5723" s="623"/>
      <c r="H5723" s="624"/>
      <c r="M5723" s="1357"/>
      <c r="Q5723" s="1357"/>
      <c r="S5723" s="1420"/>
      <c r="T5723" s="1420"/>
      <c r="V5723" s="1357">
        <v>5</v>
      </c>
    </row>
    <row r="5724" spans="1:22" s="841" customFormat="1" ht="15" x14ac:dyDescent="0.25">
      <c r="A5724" s="841" t="s">
        <v>4874</v>
      </c>
      <c r="B5724" s="841" t="s">
        <v>5513</v>
      </c>
      <c r="E5724" s="1229" t="s">
        <v>3167</v>
      </c>
      <c r="F5724" s="1229"/>
      <c r="G5724" s="1145" t="s">
        <v>23</v>
      </c>
      <c r="H5724" s="1146">
        <v>30</v>
      </c>
      <c r="M5724" s="1357"/>
      <c r="Q5724" s="1357"/>
      <c r="S5724" s="1420"/>
      <c r="T5724" s="1420"/>
      <c r="V5724" s="1357">
        <v>39</v>
      </c>
    </row>
    <row r="5725" spans="1:22" s="841" customFormat="1" ht="15" x14ac:dyDescent="0.25">
      <c r="A5725" s="841" t="s">
        <v>4874</v>
      </c>
      <c r="B5725" s="841" t="s">
        <v>5513</v>
      </c>
      <c r="E5725" s="1229" t="s">
        <v>3168</v>
      </c>
      <c r="F5725" s="1229"/>
      <c r="G5725" s="1145" t="s">
        <v>23</v>
      </c>
      <c r="H5725" s="1146">
        <v>165</v>
      </c>
      <c r="M5725" s="1357"/>
      <c r="Q5725" s="1357"/>
      <c r="S5725" s="1420"/>
      <c r="T5725" s="1420"/>
      <c r="V5725" s="1357">
        <v>34</v>
      </c>
    </row>
    <row r="5726" spans="1:22" s="841" customFormat="1" ht="15" x14ac:dyDescent="0.25">
      <c r="A5726" s="841" t="s">
        <v>4874</v>
      </c>
      <c r="B5726" s="841" t="s">
        <v>5513</v>
      </c>
      <c r="E5726" s="1229" t="s">
        <v>5574</v>
      </c>
      <c r="F5726" s="1229"/>
      <c r="G5726" s="1145" t="s">
        <v>23</v>
      </c>
      <c r="H5726" s="1146">
        <v>500</v>
      </c>
      <c r="M5726" s="1357"/>
      <c r="Q5726" s="1357"/>
      <c r="S5726" s="1420"/>
      <c r="T5726" s="1420"/>
      <c r="V5726" s="1357">
        <v>66</v>
      </c>
    </row>
    <row r="5727" spans="1:22" s="841" customFormat="1" ht="15" x14ac:dyDescent="0.25">
      <c r="A5727" s="841" t="s">
        <v>4874</v>
      </c>
      <c r="B5727" s="841" t="s">
        <v>5513</v>
      </c>
      <c r="E5727" s="1229" t="s">
        <v>3934</v>
      </c>
      <c r="F5727" s="1229"/>
      <c r="G5727" s="1145" t="s">
        <v>23</v>
      </c>
      <c r="H5727" s="1146">
        <v>300</v>
      </c>
      <c r="M5727" s="1357"/>
      <c r="Q5727" s="1357"/>
      <c r="S5727" s="1420"/>
      <c r="T5727" s="1420"/>
      <c r="V5727" s="1357">
        <v>69</v>
      </c>
    </row>
    <row r="5728" spans="1:22" s="841" customFormat="1" ht="15" x14ac:dyDescent="0.25">
      <c r="A5728" s="841" t="s">
        <v>4874</v>
      </c>
      <c r="B5728" s="841" t="s">
        <v>5513</v>
      </c>
      <c r="E5728" s="1229" t="s">
        <v>3935</v>
      </c>
      <c r="F5728" s="1229"/>
      <c r="G5728" s="1145" t="s">
        <v>23</v>
      </c>
      <c r="H5728" s="1146">
        <v>1000</v>
      </c>
      <c r="M5728" s="1357"/>
      <c r="Q5728" s="1357"/>
      <c r="S5728" s="1420"/>
      <c r="T5728" s="1420"/>
      <c r="V5728" s="1357">
        <v>68</v>
      </c>
    </row>
    <row r="5729" spans="1:22" s="841" customFormat="1" ht="33.75" x14ac:dyDescent="0.25">
      <c r="A5729" s="841" t="s">
        <v>4874</v>
      </c>
      <c r="B5729" s="841" t="s">
        <v>5513</v>
      </c>
      <c r="E5729" s="1230" t="s">
        <v>5575</v>
      </c>
      <c r="F5729" s="1230"/>
      <c r="G5729" s="1145" t="s">
        <v>23</v>
      </c>
      <c r="H5729" s="1146">
        <v>22.35</v>
      </c>
      <c r="M5729" s="1357"/>
      <c r="Q5729" s="1357"/>
      <c r="S5729" s="1420"/>
      <c r="T5729" s="1420">
        <v>43343</v>
      </c>
      <c r="V5729" s="1357">
        <v>138</v>
      </c>
    </row>
    <row r="5730" spans="1:22" s="841" customFormat="1" ht="56.25" x14ac:dyDescent="0.25">
      <c r="A5730" s="841" t="s">
        <v>4874</v>
      </c>
      <c r="B5730" s="841" t="s">
        <v>5513</v>
      </c>
      <c r="E5730" s="1230" t="s">
        <v>5278</v>
      </c>
      <c r="F5730" s="1230"/>
      <c r="G5730" s="1147" t="s">
        <v>23</v>
      </c>
      <c r="H5730" s="1148">
        <v>28.09</v>
      </c>
      <c r="M5730" s="1357"/>
      <c r="Q5730" s="1357"/>
      <c r="S5730" s="1420"/>
      <c r="T5730" s="1420">
        <v>43465</v>
      </c>
      <c r="V5730" s="1357">
        <v>164</v>
      </c>
    </row>
    <row r="5731" spans="1:22" s="841" customFormat="1" ht="15" x14ac:dyDescent="0.25">
      <c r="A5731" s="841" t="s">
        <v>4874</v>
      </c>
      <c r="B5731" s="841" t="s">
        <v>5513</v>
      </c>
      <c r="E5731" s="1231" t="s">
        <v>5576</v>
      </c>
      <c r="F5731" s="1231"/>
      <c r="G5731" s="1147" t="s">
        <v>23</v>
      </c>
      <c r="H5731" s="1148">
        <v>43.63</v>
      </c>
      <c r="M5731" s="1357"/>
      <c r="Q5731" s="1357"/>
      <c r="S5731" s="1420"/>
      <c r="T5731" s="1420"/>
      <c r="V5731" s="1357">
        <v>137</v>
      </c>
    </row>
    <row r="5732" spans="1:22" s="841" customFormat="1" ht="15" x14ac:dyDescent="0.25">
      <c r="A5732" s="841" t="s">
        <v>4874</v>
      </c>
      <c r="B5732" s="841" t="s">
        <v>5513</v>
      </c>
      <c r="E5732" s="1229" t="s">
        <v>58</v>
      </c>
      <c r="F5732" s="1229"/>
      <c r="G5732" s="1145" t="s">
        <v>23</v>
      </c>
      <c r="H5732" s="1146">
        <v>150</v>
      </c>
      <c r="M5732" s="1357"/>
      <c r="Q5732" s="1357"/>
      <c r="S5732" s="1420"/>
      <c r="T5732" s="1420"/>
      <c r="V5732" s="1357">
        <v>29</v>
      </c>
    </row>
    <row r="5733" spans="1:22" s="841" customFormat="1" x14ac:dyDescent="0.25">
      <c r="A5733" s="841" t="s">
        <v>4874</v>
      </c>
      <c r="B5733" s="841" t="s">
        <v>5513</v>
      </c>
      <c r="E5733" s="622" t="s">
        <v>77</v>
      </c>
      <c r="F5733" s="622"/>
      <c r="G5733" s="623"/>
      <c r="H5733" s="624"/>
      <c r="K5733" s="841" t="s">
        <v>5280</v>
      </c>
      <c r="M5733" s="1357"/>
      <c r="Q5733" s="1357"/>
      <c r="S5733" s="1420"/>
      <c r="T5733" s="1420"/>
      <c r="V5733" s="1357">
        <v>38</v>
      </c>
    </row>
    <row r="5734" spans="1:22" s="841" customFormat="1" ht="84" x14ac:dyDescent="0.25">
      <c r="A5734" s="841" t="s">
        <v>4874</v>
      </c>
      <c r="B5734" s="841" t="s">
        <v>5513</v>
      </c>
      <c r="E5734" s="1380" t="s">
        <v>3063</v>
      </c>
      <c r="F5734" s="1380"/>
      <c r="G5734" s="1380"/>
      <c r="H5734" s="1381"/>
      <c r="M5734" s="1357"/>
      <c r="Q5734" s="1357"/>
      <c r="S5734" s="1420"/>
      <c r="T5734" s="1420"/>
      <c r="V5734" s="1357">
        <v>280</v>
      </c>
    </row>
    <row r="5735" spans="1:22" s="841" customFormat="1" ht="108" x14ac:dyDescent="0.25">
      <c r="A5735" s="841" t="s">
        <v>4874</v>
      </c>
      <c r="B5735" s="841" t="s">
        <v>5513</v>
      </c>
      <c r="E5735" s="1380" t="s">
        <v>3064</v>
      </c>
      <c r="F5735" s="1380"/>
      <c r="G5735" s="1380"/>
      <c r="H5735" s="1381"/>
      <c r="M5735" s="1357"/>
      <c r="Q5735" s="1357"/>
      <c r="S5735" s="1420"/>
      <c r="T5735" s="1420"/>
      <c r="V5735" s="1357">
        <v>411</v>
      </c>
    </row>
    <row r="5736" spans="1:22" s="841" customFormat="1" ht="60" x14ac:dyDescent="0.25">
      <c r="A5736" s="841" t="s">
        <v>4874</v>
      </c>
      <c r="B5736" s="841" t="s">
        <v>5513</v>
      </c>
      <c r="E5736" s="1380" t="s">
        <v>3129</v>
      </c>
      <c r="F5736" s="1380"/>
      <c r="G5736" s="1380"/>
      <c r="H5736" s="1381"/>
      <c r="M5736" s="1357"/>
      <c r="Q5736" s="1357"/>
      <c r="S5736" s="1420"/>
      <c r="T5736" s="1420"/>
      <c r="V5736" s="1357">
        <v>211</v>
      </c>
    </row>
    <row r="5737" spans="1:22" s="841" customFormat="1" ht="72" x14ac:dyDescent="0.25">
      <c r="A5737" s="841" t="s">
        <v>4874</v>
      </c>
      <c r="B5737" s="841" t="s">
        <v>5513</v>
      </c>
      <c r="E5737" s="1375" t="s">
        <v>3810</v>
      </c>
      <c r="F5737" s="1375"/>
      <c r="G5737" s="1375"/>
      <c r="H5737" s="1376"/>
      <c r="M5737" s="1357"/>
      <c r="Q5737" s="1357"/>
      <c r="S5737" s="1420"/>
      <c r="T5737" s="1420"/>
      <c r="V5737" s="1357">
        <v>246</v>
      </c>
    </row>
    <row r="5738" spans="1:22" s="841" customFormat="1" ht="48" x14ac:dyDescent="0.25">
      <c r="A5738" s="841" t="s">
        <v>4874</v>
      </c>
      <c r="B5738" s="841" t="s">
        <v>5513</v>
      </c>
      <c r="E5738" s="1380" t="s">
        <v>3291</v>
      </c>
      <c r="F5738" s="1380"/>
      <c r="G5738" s="1380"/>
      <c r="H5738" s="1381"/>
      <c r="M5738" s="1357"/>
      <c r="Q5738" s="1357"/>
      <c r="S5738" s="1420"/>
      <c r="T5738" s="1420"/>
      <c r="V5738" s="1357">
        <v>142</v>
      </c>
    </row>
    <row r="5739" spans="1:22" s="841" customFormat="1" ht="15" x14ac:dyDescent="0.25">
      <c r="A5739" s="841" t="s">
        <v>4874</v>
      </c>
      <c r="B5739" s="841" t="s">
        <v>5513</v>
      </c>
      <c r="E5739" s="1377" t="s">
        <v>3176</v>
      </c>
      <c r="F5739" s="1377"/>
      <c r="G5739" s="1232" t="s">
        <v>23</v>
      </c>
      <c r="H5739" s="513">
        <v>100</v>
      </c>
      <c r="M5739" s="1357"/>
      <c r="Q5739" s="1357"/>
      <c r="S5739" s="1420"/>
      <c r="T5739" s="1420"/>
      <c r="V5739" s="1357">
        <v>106</v>
      </c>
    </row>
    <row r="5740" spans="1:22" s="841" customFormat="1" ht="15" x14ac:dyDescent="0.25">
      <c r="A5740" s="841" t="s">
        <v>4874</v>
      </c>
      <c r="B5740" s="841" t="s">
        <v>5513</v>
      </c>
      <c r="E5740" s="1377" t="s">
        <v>3177</v>
      </c>
      <c r="F5740" s="1377"/>
      <c r="G5740" s="1232" t="s">
        <v>23</v>
      </c>
      <c r="H5740" s="513">
        <v>20</v>
      </c>
      <c r="M5740" s="1357"/>
      <c r="Q5740" s="1357"/>
      <c r="S5740" s="1420"/>
      <c r="T5740" s="1420"/>
      <c r="V5740" s="1357">
        <v>34</v>
      </c>
    </row>
    <row r="5741" spans="1:22" s="841" customFormat="1" ht="15" x14ac:dyDescent="0.25">
      <c r="A5741" s="841" t="s">
        <v>4874</v>
      </c>
      <c r="B5741" s="841" t="s">
        <v>5513</v>
      </c>
      <c r="E5741" s="1377" t="s">
        <v>3178</v>
      </c>
      <c r="F5741" s="1377"/>
      <c r="G5741" s="1232" t="s">
        <v>3179</v>
      </c>
      <c r="H5741" s="513">
        <v>0.5</v>
      </c>
      <c r="M5741" s="1357"/>
      <c r="Q5741" s="1357"/>
      <c r="S5741" s="1420"/>
      <c r="T5741" s="1420"/>
      <c r="V5741" s="1357">
        <v>51</v>
      </c>
    </row>
    <row r="5742" spans="1:22" s="841" customFormat="1" ht="15" x14ac:dyDescent="0.25">
      <c r="A5742" s="841" t="s">
        <v>4874</v>
      </c>
      <c r="B5742" s="841" t="s">
        <v>5513</v>
      </c>
      <c r="E5742" s="1377" t="s">
        <v>3180</v>
      </c>
      <c r="F5742" s="1377"/>
      <c r="G5742" s="1232" t="s">
        <v>3179</v>
      </c>
      <c r="H5742" s="513">
        <v>0.3</v>
      </c>
      <c r="M5742" s="1357"/>
      <c r="Q5742" s="1357"/>
      <c r="S5742" s="1420"/>
      <c r="T5742" s="1420"/>
      <c r="V5742" s="1357">
        <v>75</v>
      </c>
    </row>
    <row r="5743" spans="1:22" s="841" customFormat="1" ht="15" x14ac:dyDescent="0.25">
      <c r="A5743" s="841" t="s">
        <v>4874</v>
      </c>
      <c r="B5743" s="841" t="s">
        <v>5513</v>
      </c>
      <c r="E5743" s="1377" t="s">
        <v>3181</v>
      </c>
      <c r="F5743" s="1377"/>
      <c r="G5743" s="1232" t="s">
        <v>3179</v>
      </c>
      <c r="H5743" s="513">
        <v>-0.3</v>
      </c>
      <c r="M5743" s="1357"/>
      <c r="Q5743" s="1357"/>
      <c r="S5743" s="1420"/>
      <c r="T5743" s="1420"/>
      <c r="V5743" s="1357">
        <v>72</v>
      </c>
    </row>
    <row r="5744" spans="1:22" s="841" customFormat="1" ht="15" x14ac:dyDescent="0.25">
      <c r="A5744" s="841" t="s">
        <v>4874</v>
      </c>
      <c r="B5744" s="841" t="s">
        <v>5513</v>
      </c>
      <c r="E5744" s="1377" t="s">
        <v>3182</v>
      </c>
      <c r="F5744" s="1377"/>
      <c r="G5744" s="1147"/>
      <c r="H5744" s="1233"/>
      <c r="M5744" s="1357"/>
      <c r="Q5744" s="1357"/>
      <c r="S5744" s="1420"/>
      <c r="T5744" s="1420"/>
      <c r="V5744" s="1357">
        <v>35</v>
      </c>
    </row>
    <row r="5745" spans="1:22" s="841" customFormat="1" ht="15" x14ac:dyDescent="0.25">
      <c r="A5745" s="841" t="s">
        <v>4874</v>
      </c>
      <c r="B5745" s="841" t="s">
        <v>5513</v>
      </c>
      <c r="E5745" s="1378" t="s">
        <v>3183</v>
      </c>
      <c r="F5745" s="1378"/>
      <c r="G5745" s="1232" t="s">
        <v>23</v>
      </c>
      <c r="H5745" s="513">
        <v>0.25</v>
      </c>
      <c r="M5745" s="1357"/>
      <c r="Q5745" s="1357"/>
      <c r="S5745" s="1420"/>
      <c r="T5745" s="1420"/>
      <c r="V5745" s="1357">
        <v>57</v>
      </c>
    </row>
    <row r="5746" spans="1:22" s="841" customFormat="1" ht="15" x14ac:dyDescent="0.25">
      <c r="A5746" s="841" t="s">
        <v>4874</v>
      </c>
      <c r="B5746" s="841" t="s">
        <v>5513</v>
      </c>
      <c r="E5746" s="1378" t="s">
        <v>3184</v>
      </c>
      <c r="F5746" s="1378"/>
      <c r="G5746" s="1232" t="s">
        <v>23</v>
      </c>
      <c r="H5746" s="513">
        <v>0.5</v>
      </c>
      <c r="M5746" s="1357"/>
      <c r="Q5746" s="1357"/>
      <c r="S5746" s="1420"/>
      <c r="T5746" s="1420"/>
      <c r="V5746" s="1357">
        <v>60</v>
      </c>
    </row>
    <row r="5747" spans="1:22" s="841" customFormat="1" ht="15" x14ac:dyDescent="0.25">
      <c r="A5747" s="841" t="s">
        <v>4874</v>
      </c>
      <c r="B5747" s="841" t="s">
        <v>5513</v>
      </c>
      <c r="E5747" s="1377" t="s">
        <v>3185</v>
      </c>
      <c r="F5747" s="1377"/>
      <c r="G5747" s="1147"/>
      <c r="H5747" s="1234"/>
      <c r="M5747" s="1357"/>
      <c r="Q5747" s="1357"/>
      <c r="S5747" s="1420"/>
      <c r="T5747" s="1420"/>
      <c r="V5747" s="1357">
        <v>91</v>
      </c>
    </row>
    <row r="5748" spans="1:22" s="841" customFormat="1" ht="15" x14ac:dyDescent="0.25">
      <c r="A5748" s="841" t="s">
        <v>4874</v>
      </c>
      <c r="B5748" s="841" t="s">
        <v>5513</v>
      </c>
      <c r="E5748" s="1377" t="s">
        <v>3186</v>
      </c>
      <c r="F5748" s="1377"/>
      <c r="G5748" s="1147"/>
      <c r="H5748" s="1234"/>
      <c r="M5748" s="1357"/>
      <c r="Q5748" s="1357"/>
      <c r="S5748" s="1420"/>
      <c r="T5748" s="1420"/>
      <c r="V5748" s="1357">
        <v>96</v>
      </c>
    </row>
    <row r="5749" spans="1:22" s="841" customFormat="1" ht="15" x14ac:dyDescent="0.25">
      <c r="A5749" s="841" t="s">
        <v>4874</v>
      </c>
      <c r="B5749" s="841" t="s">
        <v>5513</v>
      </c>
      <c r="E5749" s="1377" t="s">
        <v>3187</v>
      </c>
      <c r="F5749" s="1377"/>
      <c r="G5749" s="1147"/>
      <c r="H5749" s="1234"/>
      <c r="M5749" s="1357"/>
      <c r="Q5749" s="1357"/>
      <c r="S5749" s="1420"/>
      <c r="T5749" s="1420"/>
      <c r="V5749" s="1357">
        <v>78</v>
      </c>
    </row>
    <row r="5750" spans="1:22" s="841" customFormat="1" ht="15" x14ac:dyDescent="0.25">
      <c r="A5750" s="841" t="s">
        <v>4874</v>
      </c>
      <c r="B5750" s="841" t="s">
        <v>5513</v>
      </c>
      <c r="E5750" s="1378" t="s">
        <v>3188</v>
      </c>
      <c r="F5750" s="1378"/>
      <c r="G5750" s="1232" t="s">
        <v>23</v>
      </c>
      <c r="H5750" s="513" t="s">
        <v>3189</v>
      </c>
      <c r="M5750" s="1357"/>
      <c r="Q5750" s="1357"/>
      <c r="S5750" s="1420"/>
      <c r="T5750" s="1420"/>
      <c r="V5750" s="1357">
        <v>18</v>
      </c>
    </row>
    <row r="5751" spans="1:22" s="841" customFormat="1" ht="15" x14ac:dyDescent="0.25">
      <c r="A5751" s="841" t="s">
        <v>4874</v>
      </c>
      <c r="B5751" s="841" t="s">
        <v>5513</v>
      </c>
      <c r="E5751" s="1378" t="s">
        <v>3190</v>
      </c>
      <c r="F5751" s="1378"/>
      <c r="G5751" s="1232" t="s">
        <v>23</v>
      </c>
      <c r="H5751" s="513">
        <v>2</v>
      </c>
      <c r="M5751" s="1357"/>
      <c r="Q5751" s="1357"/>
      <c r="S5751" s="1420"/>
      <c r="T5751" s="1420"/>
      <c r="V5751" s="1357">
        <v>69</v>
      </c>
    </row>
    <row r="5752" spans="1:22" s="841" customFormat="1" ht="18.75" x14ac:dyDescent="0.3">
      <c r="A5752" s="841" t="s">
        <v>4874</v>
      </c>
      <c r="B5752" s="841" t="s">
        <v>5513</v>
      </c>
      <c r="E5752" s="1296" t="s">
        <v>147</v>
      </c>
      <c r="F5752" s="1296"/>
      <c r="G5752" s="1297"/>
      <c r="H5752" s="1298"/>
      <c r="K5752" s="841" t="s">
        <v>5281</v>
      </c>
      <c r="M5752" s="1357"/>
      <c r="Q5752" s="1357"/>
      <c r="S5752" s="1420"/>
      <c r="T5752" s="1420"/>
      <c r="V5752" s="1357">
        <v>12</v>
      </c>
    </row>
    <row r="5753" spans="1:22" s="841" customFormat="1" ht="15" x14ac:dyDescent="0.25">
      <c r="A5753" s="841" t="s">
        <v>4874</v>
      </c>
      <c r="B5753" s="841" t="s">
        <v>5513</v>
      </c>
      <c r="E5753" s="2000" t="s">
        <v>3192</v>
      </c>
      <c r="F5753" s="2000"/>
      <c r="G5753" s="2000"/>
      <c r="H5753" s="2000"/>
      <c r="M5753" s="1357"/>
      <c r="Q5753" s="1357"/>
      <c r="S5753" s="1420"/>
      <c r="T5753" s="1420"/>
      <c r="V5753" s="1357">
        <v>203</v>
      </c>
    </row>
    <row r="5754" spans="1:22" s="841" customFormat="1" ht="15" x14ac:dyDescent="0.25">
      <c r="A5754" s="841" t="s">
        <v>4874</v>
      </c>
      <c r="B5754" s="841" t="s">
        <v>5513</v>
      </c>
      <c r="E5754" s="2084" t="s">
        <v>3295</v>
      </c>
      <c r="F5754" s="2084"/>
      <c r="G5754" s="2084"/>
      <c r="H5754" s="1236">
        <v>1.0379</v>
      </c>
      <c r="M5754" s="1357"/>
      <c r="Q5754" s="1357"/>
      <c r="S5754" s="1420"/>
      <c r="T5754" s="1420"/>
      <c r="V5754" s="1357">
        <v>57</v>
      </c>
    </row>
    <row r="5755" spans="1:22" s="841" customFormat="1" ht="15" x14ac:dyDescent="0.25">
      <c r="A5755" s="841" t="s">
        <v>4874</v>
      </c>
      <c r="B5755" s="841" t="s">
        <v>5513</v>
      </c>
      <c r="E5755" s="2084" t="s">
        <v>3296</v>
      </c>
      <c r="F5755" s="2084"/>
      <c r="G5755" s="2084"/>
      <c r="H5755" s="1236">
        <v>1.016</v>
      </c>
      <c r="M5755" s="1357"/>
      <c r="Q5755" s="1357"/>
      <c r="S5755" s="1420"/>
      <c r="T5755" s="1420"/>
      <c r="V5755" s="1357">
        <v>57</v>
      </c>
    </row>
    <row r="5756" spans="1:22" s="841" customFormat="1" ht="15" x14ac:dyDescent="0.25">
      <c r="A5756" s="841" t="s">
        <v>4874</v>
      </c>
      <c r="B5756" s="841" t="s">
        <v>5513</v>
      </c>
      <c r="E5756" s="2084" t="s">
        <v>3297</v>
      </c>
      <c r="F5756" s="2084"/>
      <c r="G5756" s="2084"/>
      <c r="H5756" s="1236">
        <v>1.0276000000000001</v>
      </c>
      <c r="M5756" s="1357"/>
      <c r="Q5756" s="1357"/>
      <c r="S5756" s="1420"/>
      <c r="T5756" s="1420"/>
      <c r="V5756" s="1357">
        <v>55</v>
      </c>
    </row>
    <row r="5757" spans="1:22" s="841" customFormat="1" ht="15" x14ac:dyDescent="0.25">
      <c r="A5757" s="841" t="s">
        <v>4874</v>
      </c>
      <c r="B5757" s="841" t="s">
        <v>5513</v>
      </c>
      <c r="E5757" s="2084" t="s">
        <v>3298</v>
      </c>
      <c r="F5757" s="2084"/>
      <c r="G5757" s="2084"/>
      <c r="H5757" s="1236">
        <v>1.006</v>
      </c>
      <c r="J5757" s="841" t="s">
        <v>5577</v>
      </c>
      <c r="M5757" s="1357"/>
      <c r="Q5757" s="1357"/>
      <c r="S5757" s="1420"/>
      <c r="T5757" s="1420"/>
      <c r="V5757" s="1357">
        <v>55</v>
      </c>
    </row>
    <row r="5758" spans="1:22" s="841" customFormat="1" ht="23.25" x14ac:dyDescent="0.25">
      <c r="A5758" s="841" t="s">
        <v>183</v>
      </c>
      <c r="C5758" s="841" t="s">
        <v>3050</v>
      </c>
      <c r="E5758" s="1911" t="s">
        <v>183</v>
      </c>
      <c r="F5758" s="1911"/>
      <c r="G5758" s="1911"/>
      <c r="H5758" s="1911"/>
      <c r="I5758" s="841" t="s">
        <v>628</v>
      </c>
      <c r="J5758" s="841" t="s">
        <v>4709</v>
      </c>
      <c r="K5758" s="841" t="s">
        <v>183</v>
      </c>
      <c r="M5758" s="1357">
        <v>7</v>
      </c>
      <c r="Q5758" s="1357"/>
      <c r="S5758" s="1420"/>
      <c r="T5758" s="1420"/>
      <c r="V5758" s="1357">
        <v>21</v>
      </c>
    </row>
    <row r="5759" spans="1:22" s="841" customFormat="1" x14ac:dyDescent="0.25">
      <c r="A5759" s="841" t="s">
        <v>183</v>
      </c>
      <c r="C5759" s="841" t="s">
        <v>3052</v>
      </c>
      <c r="E5759" s="1912" t="s">
        <v>3053</v>
      </c>
      <c r="F5759" s="1912"/>
      <c r="G5759" s="1912"/>
      <c r="H5759" s="1912"/>
      <c r="M5759" s="1357"/>
      <c r="Q5759" s="1357"/>
      <c r="S5759" s="1420"/>
      <c r="T5759" s="1420"/>
      <c r="V5759" s="1357">
        <v>27</v>
      </c>
    </row>
    <row r="5760" spans="1:22" s="841" customFormat="1" ht="15.75" x14ac:dyDescent="0.25">
      <c r="A5760" s="841" t="s">
        <v>183</v>
      </c>
      <c r="C5760" s="841" t="s">
        <v>3054</v>
      </c>
      <c r="E5760" s="1913" t="s">
        <v>5200</v>
      </c>
      <c r="F5760" s="1913"/>
      <c r="G5760" s="1913"/>
      <c r="H5760" s="1913"/>
      <c r="M5760" s="1357"/>
      <c r="Q5760" s="1357"/>
      <c r="R5760" s="841">
        <v>43101</v>
      </c>
      <c r="S5760" s="1420"/>
      <c r="T5760" s="1420"/>
      <c r="V5760" s="1357">
        <v>30</v>
      </c>
    </row>
    <row r="5761" spans="1:22" s="841" customFormat="1" ht="15.75" x14ac:dyDescent="0.25">
      <c r="A5761" s="841" t="s">
        <v>183</v>
      </c>
      <c r="C5761" s="841" t="s">
        <v>3055</v>
      </c>
      <c r="E5761" s="1913" t="s">
        <v>5578</v>
      </c>
      <c r="F5761" s="1913"/>
      <c r="G5761" s="1913"/>
      <c r="H5761" s="1913"/>
      <c r="M5761" s="1357"/>
      <c r="Q5761" s="1357"/>
      <c r="S5761" s="1420">
        <v>43160</v>
      </c>
      <c r="T5761" s="1420"/>
      <c r="V5761" s="1357">
        <v>33</v>
      </c>
    </row>
    <row r="5762" spans="1:22" s="841" customFormat="1" ht="15" x14ac:dyDescent="0.25">
      <c r="A5762" s="841" t="s">
        <v>183</v>
      </c>
      <c r="E5762" s="1914" t="s">
        <v>3056</v>
      </c>
      <c r="F5762" s="1914"/>
      <c r="G5762" s="1914"/>
      <c r="H5762" s="1914"/>
      <c r="M5762" s="1357"/>
      <c r="Q5762" s="1357"/>
      <c r="S5762" s="1420"/>
      <c r="T5762" s="1420"/>
      <c r="V5762" s="1357">
        <v>52</v>
      </c>
    </row>
    <row r="5763" spans="1:22" s="841" customFormat="1" ht="15" x14ac:dyDescent="0.25">
      <c r="A5763" s="841" t="s">
        <v>183</v>
      </c>
      <c r="E5763" s="1914" t="s">
        <v>3057</v>
      </c>
      <c r="F5763" s="1914"/>
      <c r="G5763" s="1914"/>
      <c r="H5763" s="1914"/>
      <c r="M5763" s="1357"/>
      <c r="Q5763" s="1357"/>
      <c r="S5763" s="1420"/>
      <c r="T5763" s="1420"/>
      <c r="V5763" s="1357">
        <v>53</v>
      </c>
    </row>
    <row r="5764" spans="1:22" s="841" customFormat="1" ht="15" x14ac:dyDescent="0.25">
      <c r="A5764" s="841" t="s">
        <v>183</v>
      </c>
      <c r="E5764" s="1925" t="s">
        <v>5579</v>
      </c>
      <c r="F5764" s="1925"/>
      <c r="G5764" s="1925"/>
      <c r="H5764" s="1925"/>
      <c r="K5764" s="841" t="s">
        <v>5579</v>
      </c>
      <c r="M5764" s="1357"/>
      <c r="Q5764" s="1357"/>
      <c r="S5764" s="1420"/>
      <c r="T5764" s="1420"/>
      <c r="V5764" s="1357">
        <v>12</v>
      </c>
    </row>
    <row r="5765" spans="1:22" s="841" customFormat="1" ht="15" x14ac:dyDescent="0.25">
      <c r="A5765" s="841" t="s">
        <v>183</v>
      </c>
      <c r="E5765" s="1909" t="s">
        <v>438</v>
      </c>
      <c r="F5765" s="1697"/>
      <c r="G5765" s="1697"/>
      <c r="H5765" s="1697"/>
      <c r="K5765" s="841" t="s">
        <v>3197</v>
      </c>
      <c r="M5765" s="1357"/>
      <c r="Q5765" s="1357"/>
      <c r="S5765" s="1420"/>
      <c r="T5765" s="1420"/>
      <c r="V5765" s="1357">
        <v>34</v>
      </c>
    </row>
    <row r="5766" spans="1:22" s="841" customFormat="1" ht="15" x14ac:dyDescent="0.25">
      <c r="A5766" s="841" t="s">
        <v>183</v>
      </c>
      <c r="E5766" s="1689" t="s">
        <v>4710</v>
      </c>
      <c r="F5766" s="1689"/>
      <c r="G5766" s="1689"/>
      <c r="H5766" s="1689"/>
      <c r="K5766" s="841" t="s">
        <v>3197</v>
      </c>
      <c r="M5766" s="1357"/>
      <c r="Q5766" s="1357"/>
      <c r="S5766" s="1420"/>
      <c r="T5766" s="1420"/>
      <c r="V5766" s="1357">
        <v>620</v>
      </c>
    </row>
    <row r="5767" spans="1:22" s="841" customFormat="1" ht="15" x14ac:dyDescent="0.25">
      <c r="A5767" s="841" t="s">
        <v>183</v>
      </c>
      <c r="E5767" s="1916" t="s">
        <v>3061</v>
      </c>
      <c r="F5767" s="1697"/>
      <c r="G5767" s="1697"/>
      <c r="H5767" s="1697"/>
      <c r="K5767" s="841" t="s">
        <v>3062</v>
      </c>
      <c r="M5767" s="1357"/>
      <c r="Q5767" s="1357"/>
      <c r="S5767" s="1420"/>
      <c r="T5767" s="1420"/>
      <c r="V5767" s="1357">
        <v>11</v>
      </c>
    </row>
    <row r="5768" spans="1:22" s="841" customFormat="1" ht="15" x14ac:dyDescent="0.25">
      <c r="A5768" s="841" t="s">
        <v>183</v>
      </c>
      <c r="E5768" s="1921" t="s">
        <v>3063</v>
      </c>
      <c r="F5768" s="1921"/>
      <c r="G5768" s="1921"/>
      <c r="H5768" s="1921"/>
      <c r="K5768" s="841" t="s">
        <v>3197</v>
      </c>
      <c r="M5768" s="1357"/>
      <c r="Q5768" s="1357"/>
      <c r="S5768" s="1420"/>
      <c r="T5768" s="1420"/>
      <c r="V5768" s="1357">
        <v>280</v>
      </c>
    </row>
    <row r="5769" spans="1:22" s="841" customFormat="1" ht="15" x14ac:dyDescent="0.25">
      <c r="A5769" s="841" t="s">
        <v>183</v>
      </c>
      <c r="E5769" s="1921" t="s">
        <v>3064</v>
      </c>
      <c r="F5769" s="1921"/>
      <c r="G5769" s="1921"/>
      <c r="H5769" s="1921"/>
      <c r="K5769" s="841" t="s">
        <v>3197</v>
      </c>
      <c r="M5769" s="1357"/>
      <c r="Q5769" s="1357"/>
      <c r="S5769" s="1420"/>
      <c r="T5769" s="1420"/>
      <c r="V5769" s="1357">
        <v>411</v>
      </c>
    </row>
    <row r="5770" spans="1:22" s="841" customFormat="1" ht="15" x14ac:dyDescent="0.25">
      <c r="A5770" s="841" t="s">
        <v>183</v>
      </c>
      <c r="E5770" s="1921" t="s">
        <v>3065</v>
      </c>
      <c r="F5770" s="1921"/>
      <c r="G5770" s="1921"/>
      <c r="H5770" s="1921"/>
      <c r="K5770" s="841" t="s">
        <v>3197</v>
      </c>
      <c r="M5770" s="1357"/>
      <c r="Q5770" s="1357"/>
      <c r="S5770" s="1420"/>
      <c r="T5770" s="1420"/>
      <c r="V5770" s="1357">
        <v>387</v>
      </c>
    </row>
    <row r="5771" spans="1:22" s="841" customFormat="1" ht="15" x14ac:dyDescent="0.25">
      <c r="A5771" s="841" t="s">
        <v>183</v>
      </c>
      <c r="E5771" s="1921" t="s">
        <v>3200</v>
      </c>
      <c r="F5771" s="1921"/>
      <c r="G5771" s="1921"/>
      <c r="H5771" s="1921"/>
      <c r="K5771" s="841" t="s">
        <v>3197</v>
      </c>
      <c r="M5771" s="1357"/>
      <c r="Q5771" s="1357"/>
      <c r="S5771" s="1420"/>
      <c r="T5771" s="1420"/>
      <c r="V5771" s="1357">
        <v>275</v>
      </c>
    </row>
    <row r="5772" spans="1:22" s="841" customFormat="1" ht="15" x14ac:dyDescent="0.25">
      <c r="A5772" s="841" t="s">
        <v>183</v>
      </c>
      <c r="E5772" s="1694" t="s">
        <v>3067</v>
      </c>
      <c r="F5772" s="1907"/>
      <c r="G5772" s="1907"/>
      <c r="H5772" s="1907"/>
      <c r="K5772" s="841" t="s">
        <v>3068</v>
      </c>
      <c r="M5772" s="1357"/>
      <c r="Q5772" s="1357"/>
      <c r="S5772" s="1420"/>
      <c r="T5772" s="1420"/>
      <c r="V5772" s="1357">
        <v>46</v>
      </c>
    </row>
    <row r="5773" spans="1:22" s="841" customFormat="1" ht="15" x14ac:dyDescent="0.25">
      <c r="A5773" s="841" t="s">
        <v>183</v>
      </c>
      <c r="E5773" s="1690" t="s">
        <v>4810</v>
      </c>
      <c r="F5773" s="1690"/>
      <c r="G5773" s="1408" t="s">
        <v>23</v>
      </c>
      <c r="H5773" s="391">
        <v>15.15</v>
      </c>
      <c r="K5773" s="841" t="s">
        <v>3197</v>
      </c>
      <c r="L5773" s="841" t="s">
        <v>442</v>
      </c>
      <c r="M5773" s="1357"/>
      <c r="P5773" s="841" t="s">
        <v>3201</v>
      </c>
      <c r="Q5773" s="1357"/>
      <c r="S5773" s="1420"/>
      <c r="T5773" s="1420"/>
      <c r="V5773" s="1357">
        <v>15</v>
      </c>
    </row>
    <row r="5774" spans="1:22" s="841" customFormat="1" ht="15" x14ac:dyDescent="0.25">
      <c r="A5774" s="841" t="s">
        <v>183</v>
      </c>
      <c r="E5774" s="1690" t="s">
        <v>5109</v>
      </c>
      <c r="F5774" s="1690"/>
      <c r="G5774" s="1408" t="s">
        <v>23</v>
      </c>
      <c r="H5774" s="391">
        <v>0.56999999999999995</v>
      </c>
      <c r="K5774" s="841" t="s">
        <v>3197</v>
      </c>
      <c r="L5774" s="841" t="s">
        <v>443</v>
      </c>
      <c r="M5774" s="1357"/>
      <c r="P5774" s="841" t="s">
        <v>3202</v>
      </c>
      <c r="Q5774" s="1357"/>
      <c r="S5774" s="1420"/>
      <c r="T5774" s="1420">
        <v>44926</v>
      </c>
      <c r="V5774" s="1357">
        <v>64</v>
      </c>
    </row>
    <row r="5775" spans="1:22" s="841" customFormat="1" ht="15" x14ac:dyDescent="0.25">
      <c r="A5775" s="841" t="s">
        <v>183</v>
      </c>
      <c r="E5775" s="1690" t="s">
        <v>5580</v>
      </c>
      <c r="F5775" s="1690"/>
      <c r="G5775" s="1408" t="s">
        <v>23</v>
      </c>
      <c r="H5775" s="391">
        <v>0.26</v>
      </c>
      <c r="K5775" s="841" t="s">
        <v>3197</v>
      </c>
      <c r="L5775" s="841" t="s">
        <v>442</v>
      </c>
      <c r="M5775" s="1357"/>
      <c r="P5775" s="841" t="s">
        <v>3207</v>
      </c>
      <c r="Q5775" s="1357"/>
      <c r="S5775" s="1420"/>
      <c r="T5775" s="1420">
        <v>43524</v>
      </c>
      <c r="V5775" s="1357">
        <v>100</v>
      </c>
    </row>
    <row r="5776" spans="1:22" s="841" customFormat="1" ht="15" x14ac:dyDescent="0.25">
      <c r="A5776" s="841" t="s">
        <v>183</v>
      </c>
      <c r="E5776" s="1690" t="s">
        <v>6297</v>
      </c>
      <c r="F5776" s="1690"/>
      <c r="G5776" s="1408" t="s">
        <v>23</v>
      </c>
      <c r="H5776" s="391">
        <v>-21.6</v>
      </c>
      <c r="K5776" s="841" t="s">
        <v>3197</v>
      </c>
      <c r="L5776" s="841" t="s">
        <v>442</v>
      </c>
      <c r="M5776" s="1357"/>
      <c r="P5776" s="841" t="s">
        <v>5613</v>
      </c>
      <c r="Q5776" s="1357"/>
      <c r="S5776" s="1420"/>
      <c r="T5776" s="1420">
        <v>43190</v>
      </c>
      <c r="V5776" s="1357">
        <v>77</v>
      </c>
    </row>
    <row r="5777" spans="1:22" s="841" customFormat="1" ht="15" x14ac:dyDescent="0.25">
      <c r="A5777" s="841" t="s">
        <v>183</v>
      </c>
      <c r="E5777" s="1690" t="s">
        <v>5582</v>
      </c>
      <c r="F5777" s="1690"/>
      <c r="G5777" s="1408" t="s">
        <v>23</v>
      </c>
      <c r="H5777" s="391">
        <v>0.24</v>
      </c>
      <c r="K5777" s="841" t="s">
        <v>3197</v>
      </c>
      <c r="L5777" s="841" t="s">
        <v>442</v>
      </c>
      <c r="M5777" s="1357"/>
      <c r="P5777" s="841" t="s">
        <v>6298</v>
      </c>
      <c r="Q5777" s="1357"/>
      <c r="S5777" s="1420"/>
      <c r="T5777" s="1420">
        <v>43465</v>
      </c>
      <c r="V5777" s="1357">
        <v>79</v>
      </c>
    </row>
    <row r="5778" spans="1:22" s="841" customFormat="1" ht="15" x14ac:dyDescent="0.25">
      <c r="A5778" s="841" t="s">
        <v>183</v>
      </c>
      <c r="E5778" s="1690" t="s">
        <v>84</v>
      </c>
      <c r="F5778" s="1690"/>
      <c r="G5778" s="1408" t="s">
        <v>24</v>
      </c>
      <c r="H5778" s="393">
        <v>2.7000000000000001E-3</v>
      </c>
      <c r="K5778" s="841" t="s">
        <v>3197</v>
      </c>
      <c r="L5778" s="841" t="s">
        <v>442</v>
      </c>
      <c r="M5778" s="1357"/>
      <c r="P5778" s="841" t="s">
        <v>3203</v>
      </c>
      <c r="Q5778" s="1357"/>
      <c r="S5778" s="1420"/>
      <c r="T5778" s="1420"/>
      <c r="V5778" s="1357">
        <v>28</v>
      </c>
    </row>
    <row r="5779" spans="1:22" s="841" customFormat="1" ht="15" x14ac:dyDescent="0.25">
      <c r="A5779" s="841" t="s">
        <v>183</v>
      </c>
      <c r="E5779" s="1690" t="s">
        <v>18</v>
      </c>
      <c r="F5779" s="1690"/>
      <c r="G5779" s="1408" t="s">
        <v>24</v>
      </c>
      <c r="H5779" s="393">
        <v>1.4E-3</v>
      </c>
      <c r="K5779" s="841" t="s">
        <v>3197</v>
      </c>
      <c r="L5779" s="841" t="s">
        <v>443</v>
      </c>
      <c r="M5779" s="1357"/>
      <c r="P5779" s="841" t="s">
        <v>3204</v>
      </c>
      <c r="Q5779" s="1357"/>
      <c r="S5779" s="1420"/>
      <c r="T5779" s="1420"/>
      <c r="V5779" s="1357">
        <v>24</v>
      </c>
    </row>
    <row r="5780" spans="1:22" s="841" customFormat="1" ht="15" x14ac:dyDescent="0.25">
      <c r="A5780" s="841" t="s">
        <v>183</v>
      </c>
      <c r="E5780" s="1904" t="s">
        <v>6299</v>
      </c>
      <c r="F5780" s="1962"/>
      <c r="G5780" s="631" t="s">
        <v>24</v>
      </c>
      <c r="H5780" s="627">
        <v>3.8999999999999998E-3</v>
      </c>
      <c r="K5780" s="841" t="s">
        <v>3197</v>
      </c>
      <c r="L5780" s="841" t="s">
        <v>443</v>
      </c>
      <c r="M5780" s="1357"/>
      <c r="P5780" s="841" t="s">
        <v>3205</v>
      </c>
      <c r="Q5780" s="1357"/>
      <c r="S5780" s="1420"/>
      <c r="T5780" s="1420">
        <v>43524</v>
      </c>
      <c r="V5780" s="1357">
        <v>142</v>
      </c>
    </row>
    <row r="5781" spans="1:22" s="841" customFormat="1" ht="15" x14ac:dyDescent="0.25">
      <c r="A5781" s="841" t="s">
        <v>183</v>
      </c>
      <c r="E5781" s="1904" t="s">
        <v>5583</v>
      </c>
      <c r="F5781" s="1962"/>
      <c r="G5781" s="1008" t="s">
        <v>24</v>
      </c>
      <c r="H5781" s="627">
        <v>3.3999999999999998E-3</v>
      </c>
      <c r="K5781" s="841" t="s">
        <v>3197</v>
      </c>
      <c r="L5781" s="841" t="s">
        <v>443</v>
      </c>
      <c r="M5781" s="1357"/>
      <c r="P5781" s="841" t="s">
        <v>3207</v>
      </c>
      <c r="Q5781" s="1357"/>
      <c r="S5781" s="1420"/>
      <c r="T5781" s="1420">
        <v>43524</v>
      </c>
      <c r="V5781" s="1357">
        <v>99</v>
      </c>
    </row>
    <row r="5782" spans="1:22" s="841" customFormat="1" ht="15" x14ac:dyDescent="0.25">
      <c r="A5782" s="841" t="s">
        <v>183</v>
      </c>
      <c r="E5782" s="1904" t="s">
        <v>6300</v>
      </c>
      <c r="F5782" s="1962"/>
      <c r="G5782" s="631" t="s">
        <v>24</v>
      </c>
      <c r="H5782" s="393">
        <v>-8.2000000000000007E-3</v>
      </c>
      <c r="K5782" s="841" t="s">
        <v>3197</v>
      </c>
      <c r="L5782" s="841" t="s">
        <v>443</v>
      </c>
      <c r="M5782" s="1357"/>
      <c r="P5782" s="841" t="s">
        <v>3207</v>
      </c>
      <c r="Q5782" s="1357"/>
      <c r="S5782" s="1420"/>
      <c r="T5782" s="1420">
        <v>43524</v>
      </c>
      <c r="V5782" s="1357">
        <v>161</v>
      </c>
    </row>
    <row r="5783" spans="1:22" s="841" customFormat="1" ht="15" x14ac:dyDescent="0.25">
      <c r="A5783" s="841" t="s">
        <v>183</v>
      </c>
      <c r="E5783" s="1904" t="s">
        <v>6301</v>
      </c>
      <c r="F5783" s="1904"/>
      <c r="G5783" s="631" t="s">
        <v>24</v>
      </c>
      <c r="H5783" s="393">
        <v>-1E-4</v>
      </c>
      <c r="K5783" s="841" t="s">
        <v>3197</v>
      </c>
      <c r="L5783" s="841" t="s">
        <v>442</v>
      </c>
      <c r="M5783" s="1357"/>
      <c r="P5783" s="841" t="s">
        <v>3206</v>
      </c>
      <c r="Q5783" s="1357"/>
      <c r="S5783" s="1420"/>
      <c r="T5783" s="1420">
        <v>43524</v>
      </c>
      <c r="V5783" s="1357">
        <v>135</v>
      </c>
    </row>
    <row r="5784" spans="1:22" s="841" customFormat="1" ht="15" x14ac:dyDescent="0.25">
      <c r="A5784" s="841" t="s">
        <v>183</v>
      </c>
      <c r="E5784" s="1690" t="s">
        <v>221</v>
      </c>
      <c r="F5784" s="1690"/>
      <c r="G5784" s="1408" t="s">
        <v>24</v>
      </c>
      <c r="H5784" s="917">
        <v>7.4000000000000003E-3</v>
      </c>
      <c r="K5784" s="841" t="s">
        <v>3197</v>
      </c>
      <c r="L5784" s="841" t="s">
        <v>444</v>
      </c>
      <c r="M5784" s="1357"/>
      <c r="P5784" s="841" t="s">
        <v>3208</v>
      </c>
      <c r="Q5784" s="1357"/>
      <c r="S5784" s="1420"/>
      <c r="T5784" s="1420"/>
      <c r="V5784" s="1357">
        <v>47</v>
      </c>
    </row>
    <row r="5785" spans="1:22" s="841" customFormat="1" ht="15" x14ac:dyDescent="0.25">
      <c r="A5785" s="841" t="s">
        <v>183</v>
      </c>
      <c r="E5785" s="1690" t="s">
        <v>217</v>
      </c>
      <c r="F5785" s="1690"/>
      <c r="G5785" s="1408" t="s">
        <v>24</v>
      </c>
      <c r="H5785" s="917">
        <v>4.1000000000000003E-3</v>
      </c>
      <c r="K5785" s="841" t="s">
        <v>3197</v>
      </c>
      <c r="L5785" s="841" t="s">
        <v>444</v>
      </c>
      <c r="M5785" s="1357"/>
      <c r="P5785" s="841" t="s">
        <v>3209</v>
      </c>
      <c r="Q5785" s="1357"/>
      <c r="S5785" s="1420"/>
      <c r="T5785" s="1420"/>
      <c r="V5785" s="1357">
        <v>74</v>
      </c>
    </row>
    <row r="5786" spans="1:22" s="841" customFormat="1" ht="15" x14ac:dyDescent="0.25">
      <c r="A5786" s="841" t="s">
        <v>183</v>
      </c>
      <c r="E5786" s="1694" t="s">
        <v>3079</v>
      </c>
      <c r="F5786" s="1690"/>
      <c r="G5786" s="1408"/>
      <c r="H5786" s="394"/>
      <c r="K5786" s="841" t="s">
        <v>3080</v>
      </c>
      <c r="M5786" s="1357"/>
      <c r="Q5786" s="1357"/>
      <c r="S5786" s="1420"/>
      <c r="T5786" s="1420"/>
      <c r="V5786" s="1357">
        <v>48</v>
      </c>
    </row>
    <row r="5787" spans="1:22" s="841" customFormat="1" ht="15" x14ac:dyDescent="0.25">
      <c r="A5787" s="841" t="s">
        <v>183</v>
      </c>
      <c r="E5787" s="1690" t="s">
        <v>2449</v>
      </c>
      <c r="F5787" s="1690"/>
      <c r="G5787" s="1008" t="s">
        <v>24</v>
      </c>
      <c r="H5787" s="393">
        <v>3.2000000000000002E-3</v>
      </c>
      <c r="K5787" s="841" t="s">
        <v>3197</v>
      </c>
      <c r="L5787" s="841" t="s">
        <v>3046</v>
      </c>
      <c r="M5787" s="1357"/>
      <c r="P5787" s="841" t="s">
        <v>3210</v>
      </c>
      <c r="Q5787" s="1357"/>
      <c r="S5787" s="1420"/>
      <c r="T5787" s="1420"/>
      <c r="V5787" s="1357">
        <v>55</v>
      </c>
    </row>
    <row r="5788" spans="1:22" s="841" customFormat="1" ht="15" x14ac:dyDescent="0.25">
      <c r="A5788" s="841" t="s">
        <v>183</v>
      </c>
      <c r="E5788" s="1690" t="s">
        <v>2450</v>
      </c>
      <c r="F5788" s="1690"/>
      <c r="G5788" s="1008" t="s">
        <v>24</v>
      </c>
      <c r="H5788" s="393">
        <v>4.0000000000000002E-4</v>
      </c>
      <c r="K5788" s="841" t="s">
        <v>3197</v>
      </c>
      <c r="L5788" s="841" t="s">
        <v>3046</v>
      </c>
      <c r="M5788" s="1357"/>
      <c r="P5788" s="841" t="s">
        <v>3210</v>
      </c>
      <c r="Q5788" s="1357"/>
      <c r="S5788" s="1420"/>
      <c r="T5788" s="1420"/>
      <c r="V5788" s="1357">
        <v>65</v>
      </c>
    </row>
    <row r="5789" spans="1:22" s="841" customFormat="1" ht="15" x14ac:dyDescent="0.25">
      <c r="A5789" s="841" t="s">
        <v>183</v>
      </c>
      <c r="E5789" s="1690" t="s">
        <v>439</v>
      </c>
      <c r="F5789" s="1690"/>
      <c r="G5789" s="1008" t="s">
        <v>24</v>
      </c>
      <c r="H5789" s="393">
        <v>2.9999999999999997E-4</v>
      </c>
      <c r="K5789" s="841" t="s">
        <v>3197</v>
      </c>
      <c r="L5789" s="841" t="s">
        <v>3046</v>
      </c>
      <c r="M5789" s="1357"/>
      <c r="P5789" s="841" t="s">
        <v>3212</v>
      </c>
      <c r="Q5789" s="1357"/>
      <c r="S5789" s="1420"/>
      <c r="T5789" s="1420"/>
      <c r="V5789" s="1357">
        <v>57</v>
      </c>
    </row>
    <row r="5790" spans="1:22" s="841" customFormat="1" ht="15" x14ac:dyDescent="0.25">
      <c r="A5790" s="841" t="s">
        <v>183</v>
      </c>
      <c r="E5790" s="1690" t="s">
        <v>32</v>
      </c>
      <c r="F5790" s="1690"/>
      <c r="G5790" s="1008" t="s">
        <v>23</v>
      </c>
      <c r="H5790" s="391">
        <v>0.25</v>
      </c>
      <c r="K5790" s="841" t="s">
        <v>3197</v>
      </c>
      <c r="L5790" s="841" t="s">
        <v>3046</v>
      </c>
      <c r="M5790" s="1357"/>
      <c r="P5790" s="841" t="s">
        <v>3213</v>
      </c>
      <c r="Q5790" s="1357"/>
      <c r="S5790" s="1420"/>
      <c r="T5790" s="1420"/>
      <c r="V5790" s="1357">
        <v>63</v>
      </c>
    </row>
    <row r="5791" spans="1:22" s="841" customFormat="1" x14ac:dyDescent="0.25">
      <c r="A5791" s="841" t="s">
        <v>183</v>
      </c>
      <c r="E5791" s="1909" t="s">
        <v>3214</v>
      </c>
      <c r="F5791" s="1915"/>
      <c r="G5791" s="1915"/>
      <c r="H5791" s="1915"/>
      <c r="K5791" s="841" t="s">
        <v>5110</v>
      </c>
      <c r="M5791" s="1357"/>
      <c r="Q5791" s="1357"/>
      <c r="S5791" s="1420"/>
      <c r="T5791" s="1420"/>
      <c r="V5791" s="1357">
        <v>54</v>
      </c>
    </row>
    <row r="5792" spans="1:22" s="841" customFormat="1" ht="15" x14ac:dyDescent="0.25">
      <c r="A5792" s="841" t="s">
        <v>183</v>
      </c>
      <c r="E5792" s="1689" t="s">
        <v>4143</v>
      </c>
      <c r="F5792" s="1689"/>
      <c r="G5792" s="1689"/>
      <c r="H5792" s="1689"/>
      <c r="K5792" s="841" t="s">
        <v>5110</v>
      </c>
      <c r="M5792" s="1357"/>
      <c r="Q5792" s="1357"/>
      <c r="S5792" s="1420"/>
      <c r="T5792" s="1420"/>
      <c r="V5792" s="1357">
        <v>402</v>
      </c>
    </row>
    <row r="5793" spans="1:22" s="841" customFormat="1" ht="15" x14ac:dyDescent="0.25">
      <c r="A5793" s="841" t="s">
        <v>183</v>
      </c>
      <c r="E5793" s="1916" t="s">
        <v>3061</v>
      </c>
      <c r="F5793" s="1697"/>
      <c r="G5793" s="1697"/>
      <c r="H5793" s="1697"/>
      <c r="K5793" s="841" t="s">
        <v>3086</v>
      </c>
      <c r="M5793" s="1357"/>
      <c r="Q5793" s="1357"/>
      <c r="S5793" s="1420"/>
      <c r="T5793" s="1420"/>
      <c r="V5793" s="1357">
        <v>11</v>
      </c>
    </row>
    <row r="5794" spans="1:22" s="841" customFormat="1" ht="15" x14ac:dyDescent="0.25">
      <c r="A5794" s="841" t="s">
        <v>183</v>
      </c>
      <c r="E5794" s="1689" t="s">
        <v>3063</v>
      </c>
      <c r="F5794" s="1689"/>
      <c r="G5794" s="1689"/>
      <c r="H5794" s="1689"/>
      <c r="K5794" s="841" t="s">
        <v>5110</v>
      </c>
      <c r="M5794" s="1357"/>
      <c r="Q5794" s="1357"/>
      <c r="S5794" s="1420"/>
      <c r="T5794" s="1420"/>
      <c r="V5794" s="1357">
        <v>280</v>
      </c>
    </row>
    <row r="5795" spans="1:22" s="841" customFormat="1" ht="15" x14ac:dyDescent="0.25">
      <c r="A5795" s="841" t="s">
        <v>183</v>
      </c>
      <c r="E5795" s="1689" t="s">
        <v>3064</v>
      </c>
      <c r="F5795" s="1689"/>
      <c r="G5795" s="1689"/>
      <c r="H5795" s="1689"/>
      <c r="K5795" s="841" t="s">
        <v>5110</v>
      </c>
      <c r="M5795" s="1357"/>
      <c r="Q5795" s="1357"/>
      <c r="S5795" s="1420"/>
      <c r="T5795" s="1420"/>
      <c r="V5795" s="1357">
        <v>411</v>
      </c>
    </row>
    <row r="5796" spans="1:22" s="841" customFormat="1" ht="15" x14ac:dyDescent="0.25">
      <c r="A5796" s="841" t="s">
        <v>183</v>
      </c>
      <c r="E5796" s="1689" t="s">
        <v>3065</v>
      </c>
      <c r="F5796" s="1689"/>
      <c r="G5796" s="1689"/>
      <c r="H5796" s="1689"/>
      <c r="K5796" s="841" t="s">
        <v>5110</v>
      </c>
      <c r="M5796" s="1357"/>
      <c r="Q5796" s="1357"/>
      <c r="S5796" s="1420"/>
      <c r="T5796" s="1420"/>
      <c r="V5796" s="1357">
        <v>387</v>
      </c>
    </row>
    <row r="5797" spans="1:22" s="841" customFormat="1" ht="15" x14ac:dyDescent="0.25">
      <c r="A5797" s="841" t="s">
        <v>183</v>
      </c>
      <c r="E5797" s="1689" t="s">
        <v>3200</v>
      </c>
      <c r="F5797" s="1689"/>
      <c r="G5797" s="1689"/>
      <c r="H5797" s="1689"/>
      <c r="K5797" s="841" t="s">
        <v>5110</v>
      </c>
      <c r="M5797" s="1357"/>
      <c r="Q5797" s="1357"/>
      <c r="S5797" s="1420"/>
      <c r="T5797" s="1420"/>
      <c r="V5797" s="1357">
        <v>275</v>
      </c>
    </row>
    <row r="5798" spans="1:22" s="841" customFormat="1" ht="15" x14ac:dyDescent="0.25">
      <c r="A5798" s="841" t="s">
        <v>183</v>
      </c>
      <c r="E5798" s="1694" t="s">
        <v>3067</v>
      </c>
      <c r="F5798" s="1907"/>
      <c r="G5798" s="1907"/>
      <c r="H5798" s="1907"/>
      <c r="K5798" s="841" t="s">
        <v>3087</v>
      </c>
      <c r="M5798" s="1357"/>
      <c r="Q5798" s="1357"/>
      <c r="S5798" s="1420"/>
      <c r="T5798" s="1420"/>
      <c r="V5798" s="1357">
        <v>46</v>
      </c>
    </row>
    <row r="5799" spans="1:22" s="841" customFormat="1" ht="15" x14ac:dyDescent="0.25">
      <c r="A5799" s="841" t="s">
        <v>183</v>
      </c>
      <c r="E5799" s="1690" t="s">
        <v>4810</v>
      </c>
      <c r="F5799" s="1690"/>
      <c r="G5799" s="1408" t="s">
        <v>23</v>
      </c>
      <c r="H5799" s="916">
        <v>15.47</v>
      </c>
      <c r="K5799" s="841" t="s">
        <v>5110</v>
      </c>
      <c r="L5799" s="841" t="s">
        <v>442</v>
      </c>
      <c r="M5799" s="1357"/>
      <c r="P5799" s="841" t="s">
        <v>5111</v>
      </c>
      <c r="Q5799" s="1357"/>
      <c r="S5799" s="1420"/>
      <c r="T5799" s="1420"/>
      <c r="V5799" s="1357">
        <v>15</v>
      </c>
    </row>
    <row r="5800" spans="1:22" s="841" customFormat="1" ht="15" x14ac:dyDescent="0.25">
      <c r="A5800" s="841" t="s">
        <v>183</v>
      </c>
      <c r="E5800" s="1690" t="s">
        <v>5109</v>
      </c>
      <c r="F5800" s="1690"/>
      <c r="G5800" s="1408" t="s">
        <v>23</v>
      </c>
      <c r="H5800" s="391">
        <v>0.56999999999999995</v>
      </c>
      <c r="K5800" s="841" t="s">
        <v>5110</v>
      </c>
      <c r="L5800" s="841" t="s">
        <v>443</v>
      </c>
      <c r="M5800" s="1357"/>
      <c r="P5800" s="841" t="s">
        <v>5112</v>
      </c>
      <c r="Q5800" s="1357"/>
      <c r="S5800" s="1420"/>
      <c r="T5800" s="1420">
        <v>44926</v>
      </c>
      <c r="V5800" s="1357">
        <v>64</v>
      </c>
    </row>
    <row r="5801" spans="1:22" s="841" customFormat="1" ht="15" x14ac:dyDescent="0.25">
      <c r="A5801" s="841" t="s">
        <v>183</v>
      </c>
      <c r="E5801" s="1690" t="s">
        <v>3109</v>
      </c>
      <c r="F5801" s="1690"/>
      <c r="G5801" s="1408" t="s">
        <v>24</v>
      </c>
      <c r="H5801" s="917">
        <v>7.1000000000000004E-3</v>
      </c>
      <c r="K5801" s="841" t="s">
        <v>5110</v>
      </c>
      <c r="L5801" s="841" t="s">
        <v>442</v>
      </c>
      <c r="M5801" s="1357"/>
      <c r="P5801" s="841" t="s">
        <v>5113</v>
      </c>
      <c r="Q5801" s="1357"/>
      <c r="S5801" s="1420"/>
      <c r="T5801" s="1420"/>
      <c r="V5801" s="1357">
        <v>29</v>
      </c>
    </row>
    <row r="5802" spans="1:22" s="841" customFormat="1" ht="15" x14ac:dyDescent="0.25">
      <c r="A5802" s="841" t="s">
        <v>183</v>
      </c>
      <c r="E5802" s="1690" t="s">
        <v>18</v>
      </c>
      <c r="F5802" s="1690"/>
      <c r="G5802" s="1408" t="s">
        <v>24</v>
      </c>
      <c r="H5802" s="393">
        <v>1.2999999999999999E-3</v>
      </c>
      <c r="K5802" s="841" t="s">
        <v>5110</v>
      </c>
      <c r="L5802" s="841" t="s">
        <v>443</v>
      </c>
      <c r="M5802" s="1357"/>
      <c r="P5802" s="841" t="s">
        <v>5114</v>
      </c>
      <c r="Q5802" s="1357"/>
      <c r="S5802" s="1420"/>
      <c r="T5802" s="1420"/>
      <c r="V5802" s="1357">
        <v>24</v>
      </c>
    </row>
    <row r="5803" spans="1:22" s="841" customFormat="1" ht="15" x14ac:dyDescent="0.25">
      <c r="A5803" s="841" t="s">
        <v>183</v>
      </c>
      <c r="E5803" s="1904" t="s">
        <v>6302</v>
      </c>
      <c r="F5803" s="1962"/>
      <c r="G5803" s="631" t="s">
        <v>24</v>
      </c>
      <c r="H5803" s="627">
        <v>3.8999999999999998E-3</v>
      </c>
      <c r="K5803" s="841" t="s">
        <v>5110</v>
      </c>
      <c r="L5803" s="841" t="s">
        <v>443</v>
      </c>
      <c r="M5803" s="1357"/>
      <c r="P5803" s="841" t="s">
        <v>4818</v>
      </c>
      <c r="Q5803" s="1357"/>
      <c r="S5803" s="1420"/>
      <c r="T5803" s="1420">
        <v>43524</v>
      </c>
      <c r="V5803" s="1357">
        <v>141</v>
      </c>
    </row>
    <row r="5804" spans="1:22" s="841" customFormat="1" ht="15" x14ac:dyDescent="0.25">
      <c r="A5804" s="841" t="s">
        <v>183</v>
      </c>
      <c r="E5804" s="1904" t="s">
        <v>5583</v>
      </c>
      <c r="F5804" s="1962"/>
      <c r="G5804" s="1008" t="s">
        <v>24</v>
      </c>
      <c r="H5804" s="627">
        <v>3.3999999999999998E-3</v>
      </c>
      <c r="K5804" s="841" t="s">
        <v>5110</v>
      </c>
      <c r="L5804" s="841" t="s">
        <v>443</v>
      </c>
      <c r="M5804" s="1357"/>
      <c r="P5804" s="841" t="s">
        <v>5124</v>
      </c>
      <c r="Q5804" s="1357"/>
      <c r="S5804" s="1420"/>
      <c r="T5804" s="1420">
        <v>43524</v>
      </c>
      <c r="V5804" s="1357">
        <v>99</v>
      </c>
    </row>
    <row r="5805" spans="1:22" s="841" customFormat="1" ht="15" x14ac:dyDescent="0.25">
      <c r="A5805" s="841" t="s">
        <v>183</v>
      </c>
      <c r="E5805" s="1904" t="s">
        <v>6303</v>
      </c>
      <c r="F5805" s="1962"/>
      <c r="G5805" s="631" t="s">
        <v>24</v>
      </c>
      <c r="H5805" s="393">
        <v>-8.2000000000000007E-3</v>
      </c>
      <c r="K5805" s="841" t="s">
        <v>5110</v>
      </c>
      <c r="L5805" s="841" t="s">
        <v>443</v>
      </c>
      <c r="M5805" s="1357"/>
      <c r="P5805" s="841" t="s">
        <v>5124</v>
      </c>
      <c r="Q5805" s="1357"/>
      <c r="S5805" s="1420"/>
      <c r="T5805" s="1420">
        <v>43524</v>
      </c>
      <c r="V5805" s="1357">
        <v>160</v>
      </c>
    </row>
    <row r="5806" spans="1:22" s="841" customFormat="1" ht="15" x14ac:dyDescent="0.25">
      <c r="A5806" s="841" t="s">
        <v>183</v>
      </c>
      <c r="E5806" s="1690" t="s">
        <v>5580</v>
      </c>
      <c r="F5806" s="1690"/>
      <c r="G5806" s="1408" t="s">
        <v>24</v>
      </c>
      <c r="H5806" s="393">
        <v>2.9999999999999997E-4</v>
      </c>
      <c r="K5806" s="841" t="s">
        <v>5110</v>
      </c>
      <c r="L5806" s="841" t="s">
        <v>442</v>
      </c>
      <c r="M5806" s="1357"/>
      <c r="P5806" s="841" t="s">
        <v>5124</v>
      </c>
      <c r="Q5806" s="1357"/>
      <c r="S5806" s="1420"/>
      <c r="T5806" s="1420">
        <v>43524</v>
      </c>
      <c r="V5806" s="1357">
        <v>100</v>
      </c>
    </row>
    <row r="5807" spans="1:22" s="841" customFormat="1" ht="15" x14ac:dyDescent="0.25">
      <c r="A5807" s="841" t="s">
        <v>183</v>
      </c>
      <c r="E5807" s="1690" t="s">
        <v>5581</v>
      </c>
      <c r="F5807" s="1690"/>
      <c r="G5807" s="1408" t="s">
        <v>24</v>
      </c>
      <c r="H5807" s="393">
        <v>-1.8E-3</v>
      </c>
      <c r="K5807" s="841" t="s">
        <v>5110</v>
      </c>
      <c r="L5807" s="841" t="s">
        <v>442</v>
      </c>
      <c r="M5807" s="1357"/>
      <c r="P5807" s="841" t="s">
        <v>6304</v>
      </c>
      <c r="Q5807" s="1357"/>
      <c r="S5807" s="1420"/>
      <c r="T5807" s="1420">
        <v>43524</v>
      </c>
      <c r="V5807" s="1357">
        <v>80</v>
      </c>
    </row>
    <row r="5808" spans="1:22" s="841" customFormat="1" ht="15" x14ac:dyDescent="0.25">
      <c r="A5808" s="841" t="s">
        <v>183</v>
      </c>
      <c r="E5808" s="1904" t="s">
        <v>6305</v>
      </c>
      <c r="F5808" s="1904"/>
      <c r="G5808" s="631" t="s">
        <v>24</v>
      </c>
      <c r="H5808" s="393">
        <v>2.0999999999999999E-3</v>
      </c>
      <c r="K5808" s="841" t="s">
        <v>5110</v>
      </c>
      <c r="L5808" s="841" t="s">
        <v>442</v>
      </c>
      <c r="M5808" s="1357"/>
      <c r="P5808" s="841" t="s">
        <v>5285</v>
      </c>
      <c r="Q5808" s="1357"/>
      <c r="S5808" s="1420"/>
      <c r="T5808" s="1420">
        <v>43524</v>
      </c>
      <c r="V5808" s="1357">
        <v>136</v>
      </c>
    </row>
    <row r="5809" spans="1:22" s="841" customFormat="1" ht="15" x14ac:dyDescent="0.25">
      <c r="A5809" s="841" t="s">
        <v>183</v>
      </c>
      <c r="E5809" s="1690" t="s">
        <v>5582</v>
      </c>
      <c r="F5809" s="1690"/>
      <c r="G5809" s="1408" t="s">
        <v>24</v>
      </c>
      <c r="H5809" s="393">
        <v>2.0000000000000001E-4</v>
      </c>
      <c r="K5809" s="841" t="s">
        <v>5110</v>
      </c>
      <c r="L5809" s="841" t="s">
        <v>442</v>
      </c>
      <c r="M5809" s="1357"/>
      <c r="P5809" s="841" t="s">
        <v>6306</v>
      </c>
      <c r="Q5809" s="1357"/>
      <c r="S5809" s="1420"/>
      <c r="T5809" s="1420">
        <v>43465</v>
      </c>
      <c r="V5809" s="1357">
        <v>79</v>
      </c>
    </row>
    <row r="5810" spans="1:22" s="841" customFormat="1" ht="15" x14ac:dyDescent="0.25">
      <c r="A5810" s="841" t="s">
        <v>183</v>
      </c>
      <c r="E5810" s="1690" t="s">
        <v>221</v>
      </c>
      <c r="F5810" s="1690"/>
      <c r="G5810" s="1408" t="s">
        <v>24</v>
      </c>
      <c r="H5810" s="917">
        <v>6.7999999999999996E-3</v>
      </c>
      <c r="K5810" s="841" t="s">
        <v>5110</v>
      </c>
      <c r="L5810" s="841" t="s">
        <v>444</v>
      </c>
      <c r="M5810" s="1357"/>
      <c r="P5810" s="841" t="s">
        <v>5115</v>
      </c>
      <c r="Q5810" s="1357"/>
      <c r="S5810" s="1420"/>
      <c r="T5810" s="1420"/>
      <c r="V5810" s="1357">
        <v>47</v>
      </c>
    </row>
    <row r="5811" spans="1:22" s="841" customFormat="1" ht="15" x14ac:dyDescent="0.25">
      <c r="A5811" s="841" t="s">
        <v>183</v>
      </c>
      <c r="E5811" s="1690" t="s">
        <v>217</v>
      </c>
      <c r="F5811" s="1690"/>
      <c r="G5811" s="1408" t="s">
        <v>24</v>
      </c>
      <c r="H5811" s="917">
        <v>3.5999999999999999E-3</v>
      </c>
      <c r="K5811" s="841" t="s">
        <v>5110</v>
      </c>
      <c r="L5811" s="841" t="s">
        <v>444</v>
      </c>
      <c r="M5811" s="1357"/>
      <c r="P5811" s="841" t="s">
        <v>5116</v>
      </c>
      <c r="Q5811" s="1357"/>
      <c r="S5811" s="1420"/>
      <c r="T5811" s="1420"/>
      <c r="V5811" s="1357">
        <v>74</v>
      </c>
    </row>
    <row r="5812" spans="1:22" s="841" customFormat="1" ht="15" x14ac:dyDescent="0.25">
      <c r="A5812" s="841" t="s">
        <v>183</v>
      </c>
      <c r="E5812" s="1694" t="s">
        <v>3079</v>
      </c>
      <c r="F5812" s="1690"/>
      <c r="G5812" s="1408"/>
      <c r="H5812" s="394"/>
      <c r="K5812" s="841" t="s">
        <v>3093</v>
      </c>
      <c r="M5812" s="1357"/>
      <c r="Q5812" s="1357"/>
      <c r="S5812" s="1420"/>
      <c r="T5812" s="1420"/>
      <c r="V5812" s="1357">
        <v>48</v>
      </c>
    </row>
    <row r="5813" spans="1:22" s="841" customFormat="1" ht="15" x14ac:dyDescent="0.25">
      <c r="A5813" s="841" t="s">
        <v>183</v>
      </c>
      <c r="E5813" s="1690" t="s">
        <v>2449</v>
      </c>
      <c r="F5813" s="1690"/>
      <c r="G5813" s="1008" t="s">
        <v>24</v>
      </c>
      <c r="H5813" s="393">
        <v>3.2000000000000002E-3</v>
      </c>
      <c r="K5813" s="841" t="s">
        <v>5110</v>
      </c>
      <c r="L5813" s="841" t="s">
        <v>3046</v>
      </c>
      <c r="M5813" s="1357"/>
      <c r="P5813" s="841" t="s">
        <v>5117</v>
      </c>
      <c r="Q5813" s="1357"/>
      <c r="S5813" s="1420"/>
      <c r="T5813" s="1420"/>
      <c r="V5813" s="1357">
        <v>55</v>
      </c>
    </row>
    <row r="5814" spans="1:22" s="841" customFormat="1" ht="15" x14ac:dyDescent="0.25">
      <c r="A5814" s="841" t="s">
        <v>183</v>
      </c>
      <c r="E5814" s="1690" t="s">
        <v>2450</v>
      </c>
      <c r="F5814" s="1690"/>
      <c r="G5814" s="1008" t="s">
        <v>24</v>
      </c>
      <c r="H5814" s="393">
        <v>4.0000000000000002E-4</v>
      </c>
      <c r="K5814" s="841" t="s">
        <v>5110</v>
      </c>
      <c r="L5814" s="841" t="s">
        <v>3046</v>
      </c>
      <c r="M5814" s="1357"/>
      <c r="P5814" s="841" t="s">
        <v>5117</v>
      </c>
      <c r="Q5814" s="1357"/>
      <c r="S5814" s="1420"/>
      <c r="T5814" s="1420"/>
      <c r="V5814" s="1357">
        <v>65</v>
      </c>
    </row>
    <row r="5815" spans="1:22" s="841" customFormat="1" ht="15" x14ac:dyDescent="0.25">
      <c r="A5815" s="841" t="s">
        <v>183</v>
      </c>
      <c r="E5815" s="1690" t="s">
        <v>439</v>
      </c>
      <c r="F5815" s="1690"/>
      <c r="G5815" s="1008" t="s">
        <v>24</v>
      </c>
      <c r="H5815" s="393">
        <v>2.9999999999999997E-4</v>
      </c>
      <c r="K5815" s="841" t="s">
        <v>5110</v>
      </c>
      <c r="L5815" s="841" t="s">
        <v>3046</v>
      </c>
      <c r="M5815" s="1357"/>
      <c r="P5815" s="841" t="s">
        <v>5118</v>
      </c>
      <c r="Q5815" s="1357"/>
      <c r="S5815" s="1420"/>
      <c r="T5815" s="1420"/>
      <c r="V5815" s="1357">
        <v>57</v>
      </c>
    </row>
    <row r="5816" spans="1:22" s="841" customFormat="1" ht="15" x14ac:dyDescent="0.25">
      <c r="A5816" s="841" t="s">
        <v>183</v>
      </c>
      <c r="E5816" s="1690" t="s">
        <v>32</v>
      </c>
      <c r="F5816" s="1690"/>
      <c r="G5816" s="1008" t="s">
        <v>23</v>
      </c>
      <c r="H5816" s="391">
        <v>0.25</v>
      </c>
      <c r="K5816" s="841" t="s">
        <v>5110</v>
      </c>
      <c r="L5816" s="841" t="s">
        <v>3046</v>
      </c>
      <c r="M5816" s="1357"/>
      <c r="P5816" s="841" t="s">
        <v>5119</v>
      </c>
      <c r="Q5816" s="1357"/>
      <c r="S5816" s="1420"/>
      <c r="T5816" s="1420"/>
      <c r="V5816" s="1357">
        <v>63</v>
      </c>
    </row>
    <row r="5817" spans="1:22" s="841" customFormat="1" x14ac:dyDescent="0.25">
      <c r="A5817" s="841" t="s">
        <v>183</v>
      </c>
      <c r="E5817" s="1909" t="s">
        <v>616</v>
      </c>
      <c r="F5817" s="1915"/>
      <c r="G5817" s="1915"/>
      <c r="H5817" s="1915"/>
      <c r="K5817" s="841" t="s">
        <v>6095</v>
      </c>
      <c r="M5817" s="1357"/>
      <c r="Q5817" s="1357"/>
      <c r="S5817" s="1420"/>
      <c r="T5817" s="1420"/>
      <c r="V5817" s="1357">
        <v>53</v>
      </c>
    </row>
    <row r="5818" spans="1:22" s="841" customFormat="1" ht="15" x14ac:dyDescent="0.25">
      <c r="A5818" s="841" t="s">
        <v>183</v>
      </c>
      <c r="E5818" s="1689" t="s">
        <v>4711</v>
      </c>
      <c r="F5818" s="1689"/>
      <c r="G5818" s="1689"/>
      <c r="H5818" s="1689"/>
      <c r="K5818" s="841" t="s">
        <v>6095</v>
      </c>
      <c r="M5818" s="1357"/>
      <c r="Q5818" s="1357"/>
      <c r="S5818" s="1420"/>
      <c r="T5818" s="1420"/>
      <c r="V5818" s="1357">
        <v>755</v>
      </c>
    </row>
    <row r="5819" spans="1:22" s="841" customFormat="1" ht="15" x14ac:dyDescent="0.25">
      <c r="A5819" s="841" t="s">
        <v>183</v>
      </c>
      <c r="E5819" s="1916" t="s">
        <v>3061</v>
      </c>
      <c r="F5819" s="1697"/>
      <c r="G5819" s="1697"/>
      <c r="H5819" s="1697"/>
      <c r="K5819" s="841" t="s">
        <v>3098</v>
      </c>
      <c r="M5819" s="1357"/>
      <c r="Q5819" s="1357"/>
      <c r="S5819" s="1420"/>
      <c r="T5819" s="1420"/>
      <c r="V5819" s="1357">
        <v>11</v>
      </c>
    </row>
    <row r="5820" spans="1:22" s="841" customFormat="1" ht="15" x14ac:dyDescent="0.25">
      <c r="A5820" s="841" t="s">
        <v>183</v>
      </c>
      <c r="E5820" s="1689" t="s">
        <v>3063</v>
      </c>
      <c r="F5820" s="1689"/>
      <c r="G5820" s="1689"/>
      <c r="H5820" s="1689"/>
      <c r="K5820" s="841" t="s">
        <v>6095</v>
      </c>
      <c r="M5820" s="1357"/>
      <c r="Q5820" s="1357"/>
      <c r="S5820" s="1420"/>
      <c r="T5820" s="1420"/>
      <c r="V5820" s="1357">
        <v>280</v>
      </c>
    </row>
    <row r="5821" spans="1:22" s="841" customFormat="1" ht="15" x14ac:dyDescent="0.25">
      <c r="A5821" s="841" t="s">
        <v>183</v>
      </c>
      <c r="E5821" s="1689" t="s">
        <v>3064</v>
      </c>
      <c r="F5821" s="1689"/>
      <c r="G5821" s="1689"/>
      <c r="H5821" s="1689"/>
      <c r="K5821" s="841" t="s">
        <v>6095</v>
      </c>
      <c r="M5821" s="1357"/>
      <c r="Q5821" s="1357"/>
      <c r="S5821" s="1420"/>
      <c r="T5821" s="1420"/>
      <c r="V5821" s="1357">
        <v>411</v>
      </c>
    </row>
    <row r="5822" spans="1:22" s="841" customFormat="1" ht="15" x14ac:dyDescent="0.25">
      <c r="A5822" s="841" t="s">
        <v>183</v>
      </c>
      <c r="E5822" s="1689" t="s">
        <v>4538</v>
      </c>
      <c r="F5822" s="1689"/>
      <c r="G5822" s="1689"/>
      <c r="H5822" s="1689"/>
      <c r="K5822" s="841" t="s">
        <v>6095</v>
      </c>
      <c r="M5822" s="1357"/>
      <c r="Q5822" s="1357"/>
      <c r="S5822" s="1420"/>
      <c r="T5822" s="1420"/>
      <c r="V5822" s="1357">
        <v>385</v>
      </c>
    </row>
    <row r="5823" spans="1:22" s="841" customFormat="1" ht="15" x14ac:dyDescent="0.25">
      <c r="A5823" s="841" t="s">
        <v>183</v>
      </c>
      <c r="E5823" s="1689" t="s">
        <v>5132</v>
      </c>
      <c r="F5823" s="1689"/>
      <c r="G5823" s="1689"/>
      <c r="H5823" s="1689"/>
      <c r="K5823" s="841" t="s">
        <v>6095</v>
      </c>
      <c r="M5823" s="1357"/>
      <c r="Q5823" s="1357"/>
      <c r="S5823" s="1420"/>
      <c r="T5823" s="1420"/>
      <c r="V5823" s="1357">
        <v>658</v>
      </c>
    </row>
    <row r="5824" spans="1:22" s="841" customFormat="1" ht="15" x14ac:dyDescent="0.25">
      <c r="A5824" s="841" t="s">
        <v>183</v>
      </c>
      <c r="E5824" s="1689" t="s">
        <v>3200</v>
      </c>
      <c r="F5824" s="1689"/>
      <c r="G5824" s="1689"/>
      <c r="H5824" s="1689"/>
      <c r="K5824" s="841" t="s">
        <v>6095</v>
      </c>
      <c r="M5824" s="1357"/>
      <c r="Q5824" s="1357"/>
      <c r="S5824" s="1420"/>
      <c r="T5824" s="1420"/>
      <c r="V5824" s="1357">
        <v>275</v>
      </c>
    </row>
    <row r="5825" spans="1:22" s="841" customFormat="1" ht="15" x14ac:dyDescent="0.25">
      <c r="A5825" s="841" t="s">
        <v>183</v>
      </c>
      <c r="E5825" s="1694" t="s">
        <v>3067</v>
      </c>
      <c r="F5825" s="1907"/>
      <c r="G5825" s="1907"/>
      <c r="H5825" s="1907"/>
      <c r="K5825" s="841" t="s">
        <v>3099</v>
      </c>
      <c r="M5825" s="1357"/>
      <c r="Q5825" s="1357"/>
      <c r="S5825" s="1420"/>
      <c r="T5825" s="1420"/>
      <c r="V5825" s="1357">
        <v>46</v>
      </c>
    </row>
    <row r="5826" spans="1:22" s="841" customFormat="1" ht="15" x14ac:dyDescent="0.25">
      <c r="A5826" s="841" t="s">
        <v>183</v>
      </c>
      <c r="E5826" s="1690" t="s">
        <v>11</v>
      </c>
      <c r="F5826" s="1690"/>
      <c r="G5826" s="1408" t="s">
        <v>23</v>
      </c>
      <c r="H5826" s="916">
        <v>100.99</v>
      </c>
      <c r="K5826" s="841" t="s">
        <v>6095</v>
      </c>
      <c r="L5826" s="841" t="s">
        <v>442</v>
      </c>
      <c r="M5826" s="1357"/>
      <c r="P5826" s="841" t="s">
        <v>6096</v>
      </c>
      <c r="Q5826" s="1357"/>
      <c r="S5826" s="1420"/>
      <c r="T5826" s="1420"/>
      <c r="V5826" s="1357">
        <v>14</v>
      </c>
    </row>
    <row r="5827" spans="1:22" s="841" customFormat="1" ht="15" x14ac:dyDescent="0.25">
      <c r="A5827" s="841" t="s">
        <v>183</v>
      </c>
      <c r="E5827" s="1690" t="s">
        <v>3109</v>
      </c>
      <c r="F5827" s="1690"/>
      <c r="G5827" s="1408" t="s">
        <v>33</v>
      </c>
      <c r="H5827" s="917">
        <v>2.1023000000000001</v>
      </c>
      <c r="K5827" s="841" t="s">
        <v>6095</v>
      </c>
      <c r="L5827" s="841" t="s">
        <v>442</v>
      </c>
      <c r="M5827" s="1357"/>
      <c r="P5827" s="841" t="s">
        <v>6097</v>
      </c>
      <c r="Q5827" s="1357"/>
      <c r="S5827" s="1420"/>
      <c r="T5827" s="1420"/>
      <c r="V5827" s="1357">
        <v>29</v>
      </c>
    </row>
    <row r="5828" spans="1:22" s="841" customFormat="1" ht="15" x14ac:dyDescent="0.25">
      <c r="A5828" s="841" t="s">
        <v>183</v>
      </c>
      <c r="E5828" s="1690" t="s">
        <v>18</v>
      </c>
      <c r="F5828" s="1690"/>
      <c r="G5828" s="1408" t="s">
        <v>33</v>
      </c>
      <c r="H5828" s="393">
        <v>0.51839999999999997</v>
      </c>
      <c r="K5828" s="841" t="s">
        <v>6095</v>
      </c>
      <c r="L5828" s="841" t="s">
        <v>443</v>
      </c>
      <c r="M5828" s="1357"/>
      <c r="P5828" s="841" t="s">
        <v>6098</v>
      </c>
      <c r="Q5828" s="1357"/>
      <c r="S5828" s="1420"/>
      <c r="T5828" s="1420"/>
      <c r="V5828" s="1357">
        <v>24</v>
      </c>
    </row>
    <row r="5829" spans="1:22" s="841" customFormat="1" ht="15" x14ac:dyDescent="0.25">
      <c r="A5829" s="841" t="s">
        <v>183</v>
      </c>
      <c r="E5829" s="1904" t="s">
        <v>6307</v>
      </c>
      <c r="F5829" s="1962"/>
      <c r="G5829" s="631" t="s">
        <v>24</v>
      </c>
      <c r="H5829" s="627">
        <v>3.8999999999999998E-3</v>
      </c>
      <c r="K5829" s="841" t="s">
        <v>6095</v>
      </c>
      <c r="L5829" s="841" t="s">
        <v>443</v>
      </c>
      <c r="M5829" s="1357"/>
      <c r="P5829" s="841" t="s">
        <v>6104</v>
      </c>
      <c r="Q5829" s="1357"/>
      <c r="S5829" s="1420"/>
      <c r="T5829" s="1420">
        <v>43524</v>
      </c>
      <c r="V5829" s="1357">
        <v>143</v>
      </c>
    </row>
    <row r="5830" spans="1:22" s="841" customFormat="1" ht="15" x14ac:dyDescent="0.25">
      <c r="A5830" s="841" t="s">
        <v>183</v>
      </c>
      <c r="E5830" s="1904" t="s">
        <v>5583</v>
      </c>
      <c r="F5830" s="1962"/>
      <c r="G5830" s="1008" t="s">
        <v>33</v>
      </c>
      <c r="H5830" s="627">
        <v>1.3106</v>
      </c>
      <c r="K5830" s="841" t="s">
        <v>6095</v>
      </c>
      <c r="L5830" s="841" t="s">
        <v>443</v>
      </c>
      <c r="M5830" s="1357"/>
      <c r="P5830" s="841" t="s">
        <v>6105</v>
      </c>
      <c r="Q5830" s="1357"/>
      <c r="S5830" s="1420"/>
      <c r="T5830" s="1420">
        <v>43524</v>
      </c>
      <c r="V5830" s="1357">
        <v>99</v>
      </c>
    </row>
    <row r="5831" spans="1:22" s="841" customFormat="1" ht="15" x14ac:dyDescent="0.25">
      <c r="A5831" s="841" t="s">
        <v>183</v>
      </c>
      <c r="E5831" s="1904" t="s">
        <v>6300</v>
      </c>
      <c r="F5831" s="1962"/>
      <c r="G5831" s="631" t="s">
        <v>33</v>
      </c>
      <c r="H5831" s="393">
        <v>-3.1528</v>
      </c>
      <c r="K5831" s="841" t="s">
        <v>6095</v>
      </c>
      <c r="L5831" s="841" t="s">
        <v>443</v>
      </c>
      <c r="M5831" s="1357"/>
      <c r="P5831" s="841" t="s">
        <v>6105</v>
      </c>
      <c r="Q5831" s="1357"/>
      <c r="S5831" s="1420"/>
      <c r="T5831" s="1420">
        <v>43524</v>
      </c>
      <c r="V5831" s="1357">
        <v>161</v>
      </c>
    </row>
    <row r="5832" spans="1:22" s="841" customFormat="1" ht="15" x14ac:dyDescent="0.25">
      <c r="A5832" s="841" t="s">
        <v>183</v>
      </c>
      <c r="E5832" s="1690" t="s">
        <v>5580</v>
      </c>
      <c r="F5832" s="1690"/>
      <c r="G5832" s="1408" t="s">
        <v>33</v>
      </c>
      <c r="H5832" s="393">
        <v>0.1144</v>
      </c>
      <c r="K5832" s="841" t="s">
        <v>6095</v>
      </c>
      <c r="L5832" s="841" t="s">
        <v>442</v>
      </c>
      <c r="M5832" s="1357"/>
      <c r="P5832" s="841" t="s">
        <v>6105</v>
      </c>
      <c r="Q5832" s="1357"/>
      <c r="S5832" s="1420"/>
      <c r="T5832" s="1420">
        <v>43524</v>
      </c>
      <c r="V5832" s="1357">
        <v>100</v>
      </c>
    </row>
    <row r="5833" spans="1:22" s="841" customFormat="1" ht="15" x14ac:dyDescent="0.25">
      <c r="A5833" s="841" t="s">
        <v>183</v>
      </c>
      <c r="E5833" s="1690" t="s">
        <v>5581</v>
      </c>
      <c r="F5833" s="1690"/>
      <c r="G5833" s="1408" t="s">
        <v>33</v>
      </c>
      <c r="H5833" s="393">
        <v>-0.75080000000000002</v>
      </c>
      <c r="K5833" s="841" t="s">
        <v>6095</v>
      </c>
      <c r="L5833" s="841" t="s">
        <v>442</v>
      </c>
      <c r="M5833" s="1357"/>
      <c r="P5833" s="841" t="s">
        <v>6308</v>
      </c>
      <c r="Q5833" s="1357"/>
      <c r="S5833" s="1420"/>
      <c r="T5833" s="1420">
        <v>43524</v>
      </c>
      <c r="V5833" s="1357">
        <v>80</v>
      </c>
    </row>
    <row r="5834" spans="1:22" s="841" customFormat="1" ht="15" x14ac:dyDescent="0.25">
      <c r="A5834" s="841" t="s">
        <v>183</v>
      </c>
      <c r="E5834" s="1904" t="s">
        <v>6309</v>
      </c>
      <c r="F5834" s="1904"/>
      <c r="G5834" s="631" t="s">
        <v>33</v>
      </c>
      <c r="H5834" s="393">
        <v>-0.1052</v>
      </c>
      <c r="K5834" s="841" t="s">
        <v>6095</v>
      </c>
      <c r="L5834" s="841" t="s">
        <v>442</v>
      </c>
      <c r="M5834" s="1357"/>
      <c r="P5834" s="841" t="s">
        <v>6111</v>
      </c>
      <c r="Q5834" s="1357"/>
      <c r="S5834" s="1420"/>
      <c r="T5834" s="1420">
        <v>43524</v>
      </c>
      <c r="V5834" s="1357">
        <v>137</v>
      </c>
    </row>
    <row r="5835" spans="1:22" s="841" customFormat="1" ht="15" x14ac:dyDescent="0.25">
      <c r="A5835" s="841" t="s">
        <v>183</v>
      </c>
      <c r="E5835" s="1690" t="s">
        <v>5582</v>
      </c>
      <c r="F5835" s="1690"/>
      <c r="G5835" s="1408" t="s">
        <v>33</v>
      </c>
      <c r="H5835" s="393">
        <v>1.11E-2</v>
      </c>
      <c r="K5835" s="841" t="s">
        <v>6095</v>
      </c>
      <c r="L5835" s="841" t="s">
        <v>442</v>
      </c>
      <c r="M5835" s="1357"/>
      <c r="P5835" s="841" t="s">
        <v>6310</v>
      </c>
      <c r="Q5835" s="1357"/>
      <c r="S5835" s="1420"/>
      <c r="T5835" s="1420">
        <v>43465</v>
      </c>
      <c r="V5835" s="1357">
        <v>79</v>
      </c>
    </row>
    <row r="5836" spans="1:22" s="841" customFormat="1" ht="15" x14ac:dyDescent="0.25">
      <c r="A5836" s="841" t="s">
        <v>183</v>
      </c>
      <c r="E5836" s="1690" t="s">
        <v>221</v>
      </c>
      <c r="F5836" s="1690"/>
      <c r="G5836" s="1408" t="s">
        <v>33</v>
      </c>
      <c r="H5836" s="917">
        <v>2.7786</v>
      </c>
      <c r="K5836" s="841" t="s">
        <v>6095</v>
      </c>
      <c r="L5836" s="841" t="s">
        <v>444</v>
      </c>
      <c r="M5836" s="1357"/>
      <c r="P5836" s="841" t="s">
        <v>6099</v>
      </c>
      <c r="Q5836" s="1357"/>
      <c r="S5836" s="1420"/>
      <c r="T5836" s="1420"/>
      <c r="V5836" s="1357">
        <v>47</v>
      </c>
    </row>
    <row r="5837" spans="1:22" s="841" customFormat="1" ht="15" x14ac:dyDescent="0.25">
      <c r="A5837" s="841" t="s">
        <v>183</v>
      </c>
      <c r="E5837" s="1690" t="s">
        <v>217</v>
      </c>
      <c r="F5837" s="1690"/>
      <c r="G5837" s="1408" t="s">
        <v>33</v>
      </c>
      <c r="H5837" s="917">
        <v>1.4736</v>
      </c>
      <c r="K5837" s="841" t="s">
        <v>6095</v>
      </c>
      <c r="L5837" s="841" t="s">
        <v>444</v>
      </c>
      <c r="M5837" s="1357"/>
      <c r="P5837" s="841" t="s">
        <v>6100</v>
      </c>
      <c r="Q5837" s="1357"/>
      <c r="S5837" s="1420"/>
      <c r="T5837" s="1420"/>
      <c r="V5837" s="1357">
        <v>74</v>
      </c>
    </row>
    <row r="5838" spans="1:22" s="841" customFormat="1" ht="15" x14ac:dyDescent="0.25">
      <c r="A5838" s="841" t="s">
        <v>183</v>
      </c>
      <c r="E5838" s="1694" t="s">
        <v>3079</v>
      </c>
      <c r="F5838" s="1690"/>
      <c r="G5838" s="1408"/>
      <c r="H5838" s="394"/>
      <c r="K5838" s="841" t="s">
        <v>3218</v>
      </c>
      <c r="M5838" s="1357"/>
      <c r="Q5838" s="1357"/>
      <c r="S5838" s="1420"/>
      <c r="T5838" s="1420"/>
      <c r="V5838" s="1357">
        <v>48</v>
      </c>
    </row>
    <row r="5839" spans="1:22" s="841" customFormat="1" ht="15" x14ac:dyDescent="0.25">
      <c r="A5839" s="841" t="s">
        <v>183</v>
      </c>
      <c r="E5839" s="1690" t="s">
        <v>2449</v>
      </c>
      <c r="F5839" s="1690"/>
      <c r="G5839" s="1008" t="s">
        <v>24</v>
      </c>
      <c r="H5839" s="393">
        <v>3.2000000000000002E-3</v>
      </c>
      <c r="K5839" s="841" t="s">
        <v>6095</v>
      </c>
      <c r="L5839" s="841" t="s">
        <v>3046</v>
      </c>
      <c r="M5839" s="1357"/>
      <c r="P5839" s="841" t="s">
        <v>6101</v>
      </c>
      <c r="Q5839" s="1357"/>
      <c r="S5839" s="1420"/>
      <c r="T5839" s="1420"/>
      <c r="V5839" s="1357">
        <v>55</v>
      </c>
    </row>
    <row r="5840" spans="1:22" s="841" customFormat="1" ht="15" x14ac:dyDescent="0.25">
      <c r="A5840" s="841" t="s">
        <v>183</v>
      </c>
      <c r="E5840" s="1690" t="s">
        <v>2450</v>
      </c>
      <c r="F5840" s="1690"/>
      <c r="G5840" s="1008" t="s">
        <v>24</v>
      </c>
      <c r="H5840" s="393">
        <v>4.0000000000000002E-4</v>
      </c>
      <c r="K5840" s="841" t="s">
        <v>6095</v>
      </c>
      <c r="L5840" s="841" t="s">
        <v>3046</v>
      </c>
      <c r="M5840" s="1357"/>
      <c r="P5840" s="841" t="s">
        <v>6101</v>
      </c>
      <c r="Q5840" s="1357"/>
      <c r="S5840" s="1420"/>
      <c r="T5840" s="1420"/>
      <c r="V5840" s="1357">
        <v>65</v>
      </c>
    </row>
    <row r="5841" spans="1:22" s="841" customFormat="1" ht="15" x14ac:dyDescent="0.25">
      <c r="A5841" s="841" t="s">
        <v>183</v>
      </c>
      <c r="E5841" s="1690" t="s">
        <v>439</v>
      </c>
      <c r="F5841" s="1690"/>
      <c r="G5841" s="1008" t="s">
        <v>24</v>
      </c>
      <c r="H5841" s="393">
        <v>2.9999999999999997E-4</v>
      </c>
      <c r="K5841" s="841" t="s">
        <v>6095</v>
      </c>
      <c r="L5841" s="841" t="s">
        <v>3046</v>
      </c>
      <c r="M5841" s="1357"/>
      <c r="P5841" s="841" t="s">
        <v>6102</v>
      </c>
      <c r="Q5841" s="1357"/>
      <c r="S5841" s="1420"/>
      <c r="T5841" s="1420"/>
      <c r="V5841" s="1357">
        <v>57</v>
      </c>
    </row>
    <row r="5842" spans="1:22" s="841" customFormat="1" ht="15" x14ac:dyDescent="0.25">
      <c r="A5842" s="841" t="s">
        <v>183</v>
      </c>
      <c r="E5842" s="1690" t="s">
        <v>32</v>
      </c>
      <c r="F5842" s="1690"/>
      <c r="G5842" s="1008" t="s">
        <v>23</v>
      </c>
      <c r="H5842" s="391">
        <v>0.25</v>
      </c>
      <c r="K5842" s="841" t="s">
        <v>6095</v>
      </c>
      <c r="L5842" s="841" t="s">
        <v>3046</v>
      </c>
      <c r="M5842" s="1357"/>
      <c r="P5842" s="841" t="s">
        <v>6103</v>
      </c>
      <c r="Q5842" s="1357"/>
      <c r="S5842" s="1420"/>
      <c r="T5842" s="1420"/>
      <c r="V5842" s="1357">
        <v>63</v>
      </c>
    </row>
    <row r="5843" spans="1:22" s="841" customFormat="1" x14ac:dyDescent="0.25">
      <c r="A5843" s="841" t="s">
        <v>183</v>
      </c>
      <c r="E5843" s="1909" t="s">
        <v>617</v>
      </c>
      <c r="F5843" s="1915"/>
      <c r="G5843" s="1915"/>
      <c r="H5843" s="1915"/>
      <c r="K5843" s="841" t="s">
        <v>3406</v>
      </c>
      <c r="M5843" s="1357"/>
      <c r="Q5843" s="1357"/>
      <c r="S5843" s="1420"/>
      <c r="T5843" s="1420"/>
      <c r="V5843" s="1357">
        <v>47</v>
      </c>
    </row>
    <row r="5844" spans="1:22" s="841" customFormat="1" ht="15" x14ac:dyDescent="0.25">
      <c r="A5844" s="841" t="s">
        <v>183</v>
      </c>
      <c r="E5844" s="1921" t="s">
        <v>4712</v>
      </c>
      <c r="F5844" s="1921"/>
      <c r="G5844" s="1921"/>
      <c r="H5844" s="1921"/>
      <c r="K5844" s="841" t="s">
        <v>3406</v>
      </c>
      <c r="M5844" s="1357"/>
      <c r="Q5844" s="1357"/>
      <c r="S5844" s="1420"/>
      <c r="T5844" s="1420"/>
      <c r="V5844" s="1357">
        <v>721</v>
      </c>
    </row>
    <row r="5845" spans="1:22" s="841" customFormat="1" ht="15" x14ac:dyDescent="0.25">
      <c r="A5845" s="841" t="s">
        <v>183</v>
      </c>
      <c r="E5845" s="1916" t="s">
        <v>3061</v>
      </c>
      <c r="F5845" s="1697"/>
      <c r="G5845" s="1697"/>
      <c r="H5845" s="1697"/>
      <c r="K5845" s="841" t="s">
        <v>3221</v>
      </c>
      <c r="M5845" s="1357"/>
      <c r="Q5845" s="1357"/>
      <c r="S5845" s="1420"/>
      <c r="T5845" s="1420"/>
      <c r="V5845" s="1357">
        <v>11</v>
      </c>
    </row>
    <row r="5846" spans="1:22" s="841" customFormat="1" ht="15" x14ac:dyDescent="0.25">
      <c r="A5846" s="841" t="s">
        <v>183</v>
      </c>
      <c r="E5846" s="1689" t="s">
        <v>3063</v>
      </c>
      <c r="F5846" s="1689"/>
      <c r="G5846" s="1689"/>
      <c r="H5846" s="1689"/>
      <c r="K5846" s="841" t="s">
        <v>3406</v>
      </c>
      <c r="M5846" s="1357"/>
      <c r="Q5846" s="1357"/>
      <c r="S5846" s="1420"/>
      <c r="T5846" s="1420"/>
      <c r="V5846" s="1357">
        <v>280</v>
      </c>
    </row>
    <row r="5847" spans="1:22" s="841" customFormat="1" ht="15" x14ac:dyDescent="0.25">
      <c r="A5847" s="841" t="s">
        <v>183</v>
      </c>
      <c r="E5847" s="1689" t="s">
        <v>3064</v>
      </c>
      <c r="F5847" s="1689"/>
      <c r="G5847" s="1689"/>
      <c r="H5847" s="1689"/>
      <c r="K5847" s="841" t="s">
        <v>3406</v>
      </c>
      <c r="M5847" s="1357"/>
      <c r="Q5847" s="1357"/>
      <c r="S5847" s="1420"/>
      <c r="T5847" s="1420"/>
      <c r="V5847" s="1357">
        <v>411</v>
      </c>
    </row>
    <row r="5848" spans="1:22" s="841" customFormat="1" ht="15" x14ac:dyDescent="0.25">
      <c r="A5848" s="841" t="s">
        <v>183</v>
      </c>
      <c r="E5848" s="1689" t="s">
        <v>3065</v>
      </c>
      <c r="F5848" s="1689"/>
      <c r="G5848" s="1689"/>
      <c r="H5848" s="1689"/>
      <c r="K5848" s="841" t="s">
        <v>3406</v>
      </c>
      <c r="M5848" s="1357"/>
      <c r="Q5848" s="1357"/>
      <c r="S5848" s="1420"/>
      <c r="T5848" s="1420"/>
      <c r="V5848" s="1357">
        <v>387</v>
      </c>
    </row>
    <row r="5849" spans="1:22" s="841" customFormat="1" ht="15" x14ac:dyDescent="0.25">
      <c r="A5849" s="841" t="s">
        <v>183</v>
      </c>
      <c r="E5849" s="1689" t="s">
        <v>3200</v>
      </c>
      <c r="F5849" s="1689"/>
      <c r="G5849" s="1689"/>
      <c r="H5849" s="1689"/>
      <c r="K5849" s="841" t="s">
        <v>3406</v>
      </c>
      <c r="M5849" s="1357"/>
      <c r="Q5849" s="1357"/>
      <c r="S5849" s="1420"/>
      <c r="T5849" s="1420"/>
      <c r="V5849" s="1357">
        <v>275</v>
      </c>
    </row>
    <row r="5850" spans="1:22" s="841" customFormat="1" ht="15" x14ac:dyDescent="0.25">
      <c r="A5850" s="841" t="s">
        <v>183</v>
      </c>
      <c r="E5850" s="1694" t="s">
        <v>3067</v>
      </c>
      <c r="F5850" s="1907"/>
      <c r="G5850" s="1907"/>
      <c r="H5850" s="1907"/>
      <c r="K5850" s="841" t="s">
        <v>3224</v>
      </c>
      <c r="M5850" s="1357"/>
      <c r="Q5850" s="1357"/>
      <c r="S5850" s="1420"/>
      <c r="T5850" s="1420"/>
      <c r="V5850" s="1357">
        <v>46</v>
      </c>
    </row>
    <row r="5851" spans="1:22" s="841" customFormat="1" ht="15" x14ac:dyDescent="0.25">
      <c r="A5851" s="841" t="s">
        <v>183</v>
      </c>
      <c r="E5851" s="1690" t="s">
        <v>4823</v>
      </c>
      <c r="F5851" s="1690"/>
      <c r="G5851" s="1408" t="s">
        <v>23</v>
      </c>
      <c r="H5851" s="916">
        <v>7.12</v>
      </c>
      <c r="K5851" s="841" t="s">
        <v>3406</v>
      </c>
      <c r="L5851" s="841" t="s">
        <v>442</v>
      </c>
      <c r="M5851" s="1357"/>
      <c r="P5851" s="841" t="s">
        <v>3408</v>
      </c>
      <c r="Q5851" s="1357"/>
      <c r="S5851" s="1420"/>
      <c r="T5851" s="1420"/>
      <c r="V5851" s="1357">
        <v>30</v>
      </c>
    </row>
    <row r="5852" spans="1:22" s="841" customFormat="1" ht="15" x14ac:dyDescent="0.25">
      <c r="A5852" s="841" t="s">
        <v>183</v>
      </c>
      <c r="E5852" s="1690" t="s">
        <v>5582</v>
      </c>
      <c r="F5852" s="1690"/>
      <c r="G5852" s="1408" t="s">
        <v>23</v>
      </c>
      <c r="H5852" s="391">
        <v>0.1</v>
      </c>
      <c r="K5852" s="841" t="s">
        <v>3406</v>
      </c>
      <c r="L5852" s="841" t="s">
        <v>442</v>
      </c>
      <c r="M5852" s="1357"/>
      <c r="P5852" s="841" t="s">
        <v>6311</v>
      </c>
      <c r="Q5852" s="1357"/>
      <c r="S5852" s="1420"/>
      <c r="T5852" s="1420">
        <v>43465</v>
      </c>
      <c r="V5852" s="1357">
        <v>79</v>
      </c>
    </row>
    <row r="5853" spans="1:22" s="841" customFormat="1" ht="15" x14ac:dyDescent="0.25">
      <c r="A5853" s="841" t="s">
        <v>183</v>
      </c>
      <c r="E5853" s="1690" t="s">
        <v>3109</v>
      </c>
      <c r="F5853" s="1690"/>
      <c r="G5853" s="1408" t="s">
        <v>24</v>
      </c>
      <c r="H5853" s="917">
        <v>4.1999999999999997E-3</v>
      </c>
      <c r="K5853" s="841" t="s">
        <v>3406</v>
      </c>
      <c r="L5853" s="841" t="s">
        <v>442</v>
      </c>
      <c r="M5853" s="1357"/>
      <c r="P5853" s="841" t="s">
        <v>3409</v>
      </c>
      <c r="Q5853" s="1357"/>
      <c r="S5853" s="1420"/>
      <c r="T5853" s="1420"/>
      <c r="V5853" s="1357">
        <v>29</v>
      </c>
    </row>
    <row r="5854" spans="1:22" s="841" customFormat="1" ht="15" x14ac:dyDescent="0.25">
      <c r="A5854" s="841" t="s">
        <v>183</v>
      </c>
      <c r="E5854" s="1690" t="s">
        <v>18</v>
      </c>
      <c r="F5854" s="1690"/>
      <c r="G5854" s="1408" t="s">
        <v>24</v>
      </c>
      <c r="H5854" s="393">
        <v>1.2999999999999999E-3</v>
      </c>
      <c r="K5854" s="841" t="s">
        <v>3406</v>
      </c>
      <c r="L5854" s="841" t="s">
        <v>443</v>
      </c>
      <c r="M5854" s="1357"/>
      <c r="P5854" s="841" t="s">
        <v>3549</v>
      </c>
      <c r="Q5854" s="1357"/>
      <c r="S5854" s="1420"/>
      <c r="T5854" s="1420"/>
      <c r="V5854" s="1357">
        <v>24</v>
      </c>
    </row>
    <row r="5855" spans="1:22" s="841" customFormat="1" ht="15" x14ac:dyDescent="0.25">
      <c r="A5855" s="841" t="s">
        <v>183</v>
      </c>
      <c r="E5855" s="1904" t="s">
        <v>5583</v>
      </c>
      <c r="F5855" s="1962"/>
      <c r="G5855" s="1008" t="s">
        <v>24</v>
      </c>
      <c r="H5855" s="627">
        <v>3.3999999999999998E-3</v>
      </c>
      <c r="K5855" s="841" t="s">
        <v>3406</v>
      </c>
      <c r="L5855" s="841" t="s">
        <v>443</v>
      </c>
      <c r="M5855" s="1357"/>
      <c r="P5855" s="841" t="s">
        <v>3411</v>
      </c>
      <c r="Q5855" s="1357"/>
      <c r="S5855" s="1420"/>
      <c r="T5855" s="1420">
        <v>43524</v>
      </c>
      <c r="V5855" s="1357">
        <v>99</v>
      </c>
    </row>
    <row r="5856" spans="1:22" s="841" customFormat="1" ht="15" x14ac:dyDescent="0.25">
      <c r="A5856" s="841" t="s">
        <v>183</v>
      </c>
      <c r="E5856" s="1904" t="s">
        <v>6300</v>
      </c>
      <c r="F5856" s="1962"/>
      <c r="G5856" s="631" t="s">
        <v>24</v>
      </c>
      <c r="H5856" s="393">
        <v>-8.2000000000000007E-3</v>
      </c>
      <c r="K5856" s="841" t="s">
        <v>3406</v>
      </c>
      <c r="L5856" s="841" t="s">
        <v>443</v>
      </c>
      <c r="M5856" s="1357"/>
      <c r="P5856" s="841" t="s">
        <v>3411</v>
      </c>
      <c r="Q5856" s="1357"/>
      <c r="S5856" s="1420"/>
      <c r="T5856" s="1420">
        <v>43524</v>
      </c>
      <c r="V5856" s="1357">
        <v>161</v>
      </c>
    </row>
    <row r="5857" spans="1:22" s="841" customFormat="1" ht="15" x14ac:dyDescent="0.25">
      <c r="A5857" s="841" t="s">
        <v>183</v>
      </c>
      <c r="E5857" s="1690" t="s">
        <v>5580</v>
      </c>
      <c r="F5857" s="1690"/>
      <c r="G5857" s="1408" t="s">
        <v>24</v>
      </c>
      <c r="H5857" s="393">
        <v>2.9999999999999997E-4</v>
      </c>
      <c r="K5857" s="841" t="s">
        <v>3406</v>
      </c>
      <c r="L5857" s="841" t="s">
        <v>442</v>
      </c>
      <c r="M5857" s="1357"/>
      <c r="P5857" s="841" t="s">
        <v>3411</v>
      </c>
      <c r="Q5857" s="1357"/>
      <c r="S5857" s="1420"/>
      <c r="T5857" s="1420">
        <v>43524</v>
      </c>
      <c r="V5857" s="1357">
        <v>100</v>
      </c>
    </row>
    <row r="5858" spans="1:22" s="841" customFormat="1" ht="15" x14ac:dyDescent="0.25">
      <c r="A5858" s="841" t="s">
        <v>183</v>
      </c>
      <c r="E5858" s="1690" t="s">
        <v>5581</v>
      </c>
      <c r="F5858" s="1690"/>
      <c r="G5858" s="1408" t="s">
        <v>24</v>
      </c>
      <c r="H5858" s="393">
        <v>-1.8E-3</v>
      </c>
      <c r="K5858" s="841" t="s">
        <v>3406</v>
      </c>
      <c r="L5858" s="841" t="s">
        <v>442</v>
      </c>
      <c r="M5858" s="1357"/>
      <c r="P5858" s="841" t="s">
        <v>6312</v>
      </c>
      <c r="Q5858" s="1357"/>
      <c r="S5858" s="1420"/>
      <c r="T5858" s="1420">
        <v>43524</v>
      </c>
      <c r="V5858" s="1357">
        <v>80</v>
      </c>
    </row>
    <row r="5859" spans="1:22" s="841" customFormat="1" ht="15" x14ac:dyDescent="0.25">
      <c r="A5859" s="841" t="s">
        <v>183</v>
      </c>
      <c r="E5859" s="1904" t="s">
        <v>6309</v>
      </c>
      <c r="F5859" s="1904"/>
      <c r="G5859" s="631" t="s">
        <v>24</v>
      </c>
      <c r="H5859" s="393">
        <v>-1E-4</v>
      </c>
      <c r="K5859" s="841" t="s">
        <v>3406</v>
      </c>
      <c r="L5859" s="841" t="s">
        <v>442</v>
      </c>
      <c r="M5859" s="1357"/>
      <c r="P5859" s="841" t="s">
        <v>3410</v>
      </c>
      <c r="Q5859" s="1357"/>
      <c r="S5859" s="1420"/>
      <c r="T5859" s="1420">
        <v>43524</v>
      </c>
      <c r="V5859" s="1357">
        <v>137</v>
      </c>
    </row>
    <row r="5860" spans="1:22" s="841" customFormat="1" ht="22.5" x14ac:dyDescent="0.25">
      <c r="A5860" s="841" t="s">
        <v>183</v>
      </c>
      <c r="E5860" s="1371" t="s">
        <v>5582</v>
      </c>
      <c r="F5860" s="1371"/>
      <c r="G5860" s="631" t="s">
        <v>24</v>
      </c>
      <c r="H5860" s="393">
        <v>1E-4</v>
      </c>
      <c r="K5860" s="841" t="s">
        <v>3406</v>
      </c>
      <c r="L5860" s="841" t="s">
        <v>442</v>
      </c>
      <c r="M5860" s="1357"/>
      <c r="P5860" s="841" t="s">
        <v>6313</v>
      </c>
      <c r="Q5860" s="1357"/>
      <c r="S5860" s="1420"/>
      <c r="T5860" s="1420">
        <v>43465</v>
      </c>
      <c r="V5860" s="1357">
        <v>79</v>
      </c>
    </row>
    <row r="5861" spans="1:22" s="841" customFormat="1" ht="15" x14ac:dyDescent="0.25">
      <c r="A5861" s="841" t="s">
        <v>183</v>
      </c>
      <c r="E5861" s="1690" t="s">
        <v>221</v>
      </c>
      <c r="F5861" s="1690"/>
      <c r="G5861" s="1408" t="s">
        <v>24</v>
      </c>
      <c r="H5861" s="917">
        <v>6.7999999999999996E-3</v>
      </c>
      <c r="K5861" s="841" t="s">
        <v>3406</v>
      </c>
      <c r="L5861" s="841" t="s">
        <v>444</v>
      </c>
      <c r="M5861" s="1357"/>
      <c r="P5861" s="841" t="s">
        <v>3412</v>
      </c>
      <c r="Q5861" s="1357"/>
      <c r="S5861" s="1420"/>
      <c r="T5861" s="1420"/>
      <c r="V5861" s="1357">
        <v>47</v>
      </c>
    </row>
    <row r="5862" spans="1:22" s="841" customFormat="1" ht="15" x14ac:dyDescent="0.25">
      <c r="A5862" s="841" t="s">
        <v>183</v>
      </c>
      <c r="E5862" s="1690" t="s">
        <v>217</v>
      </c>
      <c r="F5862" s="1690"/>
      <c r="G5862" s="1408" t="s">
        <v>24</v>
      </c>
      <c r="H5862" s="917">
        <v>3.5999999999999999E-3</v>
      </c>
      <c r="K5862" s="841" t="s">
        <v>3406</v>
      </c>
      <c r="L5862" s="841" t="s">
        <v>444</v>
      </c>
      <c r="M5862" s="1357"/>
      <c r="P5862" s="841" t="s">
        <v>3413</v>
      </c>
      <c r="Q5862" s="1357"/>
      <c r="S5862" s="1420"/>
      <c r="T5862" s="1420"/>
      <c r="V5862" s="1357">
        <v>74</v>
      </c>
    </row>
    <row r="5863" spans="1:22" s="841" customFormat="1" ht="15" x14ac:dyDescent="0.25">
      <c r="A5863" s="841" t="s">
        <v>183</v>
      </c>
      <c r="E5863" s="1694" t="s">
        <v>3079</v>
      </c>
      <c r="F5863" s="1690"/>
      <c r="G5863" s="1408"/>
      <c r="H5863" s="394"/>
      <c r="K5863" s="841" t="s">
        <v>3225</v>
      </c>
      <c r="M5863" s="1357"/>
      <c r="Q5863" s="1357"/>
      <c r="S5863" s="1420"/>
      <c r="T5863" s="1420"/>
      <c r="V5863" s="1357">
        <v>48</v>
      </c>
    </row>
    <row r="5864" spans="1:22" s="841" customFormat="1" ht="15" x14ac:dyDescent="0.25">
      <c r="A5864" s="841" t="s">
        <v>183</v>
      </c>
      <c r="E5864" s="1690" t="s">
        <v>2449</v>
      </c>
      <c r="F5864" s="1690"/>
      <c r="G5864" s="1008" t="s">
        <v>24</v>
      </c>
      <c r="H5864" s="393">
        <v>3.2000000000000002E-3</v>
      </c>
      <c r="K5864" s="841" t="s">
        <v>3406</v>
      </c>
      <c r="L5864" s="841" t="s">
        <v>3046</v>
      </c>
      <c r="M5864" s="1357"/>
      <c r="P5864" s="841" t="s">
        <v>3414</v>
      </c>
      <c r="Q5864" s="1357"/>
      <c r="S5864" s="1420"/>
      <c r="T5864" s="1420"/>
      <c r="V5864" s="1357">
        <v>55</v>
      </c>
    </row>
    <row r="5865" spans="1:22" s="841" customFormat="1" ht="15" x14ac:dyDescent="0.25">
      <c r="A5865" s="841" t="s">
        <v>183</v>
      </c>
      <c r="E5865" s="1690" t="s">
        <v>2450</v>
      </c>
      <c r="F5865" s="1690"/>
      <c r="G5865" s="1008" t="s">
        <v>24</v>
      </c>
      <c r="H5865" s="393">
        <v>4.0000000000000002E-4</v>
      </c>
      <c r="K5865" s="841" t="s">
        <v>3406</v>
      </c>
      <c r="L5865" s="841" t="s">
        <v>3046</v>
      </c>
      <c r="M5865" s="1357"/>
      <c r="P5865" s="841" t="s">
        <v>3414</v>
      </c>
      <c r="Q5865" s="1357"/>
      <c r="S5865" s="1420"/>
      <c r="T5865" s="1420"/>
      <c r="V5865" s="1357">
        <v>65</v>
      </c>
    </row>
    <row r="5866" spans="1:22" s="841" customFormat="1" ht="15" x14ac:dyDescent="0.25">
      <c r="A5866" s="841" t="s">
        <v>183</v>
      </c>
      <c r="E5866" s="1690" t="s">
        <v>439</v>
      </c>
      <c r="F5866" s="1690"/>
      <c r="G5866" s="1008" t="s">
        <v>24</v>
      </c>
      <c r="H5866" s="393">
        <v>2.9999999999999997E-4</v>
      </c>
      <c r="K5866" s="841" t="s">
        <v>3406</v>
      </c>
      <c r="L5866" s="841" t="s">
        <v>3046</v>
      </c>
      <c r="M5866" s="1357"/>
      <c r="P5866" s="841" t="s">
        <v>3415</v>
      </c>
      <c r="Q5866" s="1357"/>
      <c r="S5866" s="1420"/>
      <c r="T5866" s="1420"/>
      <c r="V5866" s="1357">
        <v>57</v>
      </c>
    </row>
    <row r="5867" spans="1:22" s="841" customFormat="1" ht="15" x14ac:dyDescent="0.25">
      <c r="A5867" s="841" t="s">
        <v>183</v>
      </c>
      <c r="E5867" s="1690" t="s">
        <v>32</v>
      </c>
      <c r="F5867" s="1690"/>
      <c r="G5867" s="1008" t="s">
        <v>23</v>
      </c>
      <c r="H5867" s="391">
        <v>0.25</v>
      </c>
      <c r="K5867" s="841" t="s">
        <v>3406</v>
      </c>
      <c r="L5867" s="841" t="s">
        <v>3046</v>
      </c>
      <c r="M5867" s="1357"/>
      <c r="P5867" s="841" t="s">
        <v>3416</v>
      </c>
      <c r="Q5867" s="1357"/>
      <c r="S5867" s="1420"/>
      <c r="T5867" s="1420"/>
      <c r="V5867" s="1357">
        <v>63</v>
      </c>
    </row>
    <row r="5868" spans="1:22" s="841" customFormat="1" x14ac:dyDescent="0.25">
      <c r="A5868" s="841" t="s">
        <v>183</v>
      </c>
      <c r="E5868" s="1909" t="s">
        <v>629</v>
      </c>
      <c r="F5868" s="1915"/>
      <c r="G5868" s="1915"/>
      <c r="H5868" s="1915"/>
      <c r="K5868" s="841" t="s">
        <v>3571</v>
      </c>
      <c r="M5868" s="1357"/>
      <c r="Q5868" s="1357"/>
      <c r="S5868" s="1420"/>
      <c r="T5868" s="1420"/>
      <c r="V5868" s="1357">
        <v>40</v>
      </c>
    </row>
    <row r="5869" spans="1:22" s="841" customFormat="1" ht="15" x14ac:dyDescent="0.25">
      <c r="A5869" s="841" t="s">
        <v>183</v>
      </c>
      <c r="E5869" s="1689" t="s">
        <v>4713</v>
      </c>
      <c r="F5869" s="1689"/>
      <c r="G5869" s="1689"/>
      <c r="H5869" s="1689"/>
      <c r="K5869" s="841" t="s">
        <v>3571</v>
      </c>
      <c r="M5869" s="1357"/>
      <c r="Q5869" s="1357"/>
      <c r="S5869" s="1420"/>
      <c r="T5869" s="1420"/>
      <c r="V5869" s="1357">
        <v>324</v>
      </c>
    </row>
    <row r="5870" spans="1:22" s="841" customFormat="1" ht="15" x14ac:dyDescent="0.25">
      <c r="A5870" s="841" t="s">
        <v>183</v>
      </c>
      <c r="E5870" s="1916" t="s">
        <v>3061</v>
      </c>
      <c r="F5870" s="1697"/>
      <c r="G5870" s="1697"/>
      <c r="H5870" s="1697"/>
      <c r="K5870" s="841" t="s">
        <v>3107</v>
      </c>
      <c r="M5870" s="1357"/>
      <c r="Q5870" s="1357"/>
      <c r="S5870" s="1420"/>
      <c r="T5870" s="1420"/>
      <c r="V5870" s="1357">
        <v>11</v>
      </c>
    </row>
    <row r="5871" spans="1:22" s="841" customFormat="1" ht="15" x14ac:dyDescent="0.25">
      <c r="A5871" s="841" t="s">
        <v>183</v>
      </c>
      <c r="E5871" s="1689" t="s">
        <v>3063</v>
      </c>
      <c r="F5871" s="1689"/>
      <c r="G5871" s="1689"/>
      <c r="H5871" s="1689"/>
      <c r="K5871" s="841" t="s">
        <v>3571</v>
      </c>
      <c r="M5871" s="1357"/>
      <c r="Q5871" s="1357"/>
      <c r="S5871" s="1420"/>
      <c r="T5871" s="1420"/>
      <c r="V5871" s="1357">
        <v>280</v>
      </c>
    </row>
    <row r="5872" spans="1:22" s="841" customFormat="1" ht="15" x14ac:dyDescent="0.25">
      <c r="A5872" s="841" t="s">
        <v>183</v>
      </c>
      <c r="E5872" s="1689" t="s">
        <v>3064</v>
      </c>
      <c r="F5872" s="1689"/>
      <c r="G5872" s="1689"/>
      <c r="H5872" s="1689"/>
      <c r="K5872" s="841" t="s">
        <v>3571</v>
      </c>
      <c r="M5872" s="1357"/>
      <c r="Q5872" s="1357"/>
      <c r="S5872" s="1420"/>
      <c r="T5872" s="1420"/>
      <c r="V5872" s="1357">
        <v>411</v>
      </c>
    </row>
    <row r="5873" spans="1:22" s="841" customFormat="1" ht="15" x14ac:dyDescent="0.25">
      <c r="A5873" s="841" t="s">
        <v>183</v>
      </c>
      <c r="E5873" s="1689" t="s">
        <v>3065</v>
      </c>
      <c r="F5873" s="1689"/>
      <c r="G5873" s="1689"/>
      <c r="H5873" s="1689"/>
      <c r="K5873" s="841" t="s">
        <v>3571</v>
      </c>
      <c r="M5873" s="1357"/>
      <c r="Q5873" s="1357"/>
      <c r="S5873" s="1420"/>
      <c r="T5873" s="1420"/>
      <c r="V5873" s="1357">
        <v>387</v>
      </c>
    </row>
    <row r="5874" spans="1:22" s="841" customFormat="1" ht="15" x14ac:dyDescent="0.25">
      <c r="A5874" s="841" t="s">
        <v>183</v>
      </c>
      <c r="E5874" s="1689" t="s">
        <v>3200</v>
      </c>
      <c r="F5874" s="1689"/>
      <c r="G5874" s="1689"/>
      <c r="H5874" s="1689"/>
      <c r="K5874" s="841" t="s">
        <v>3571</v>
      </c>
      <c r="M5874" s="1357"/>
      <c r="Q5874" s="1357"/>
      <c r="S5874" s="1420"/>
      <c r="T5874" s="1420"/>
      <c r="V5874" s="1357">
        <v>275</v>
      </c>
    </row>
    <row r="5875" spans="1:22" s="841" customFormat="1" ht="15" x14ac:dyDescent="0.25">
      <c r="A5875" s="841" t="s">
        <v>183</v>
      </c>
      <c r="E5875" s="1694" t="s">
        <v>3067</v>
      </c>
      <c r="F5875" s="1907"/>
      <c r="G5875" s="1907"/>
      <c r="H5875" s="1907"/>
      <c r="K5875" s="841" t="s">
        <v>3108</v>
      </c>
      <c r="M5875" s="1357"/>
      <c r="Q5875" s="1357"/>
      <c r="S5875" s="1420"/>
      <c r="T5875" s="1420"/>
      <c r="V5875" s="1357">
        <v>46</v>
      </c>
    </row>
    <row r="5876" spans="1:22" s="841" customFormat="1" ht="15" x14ac:dyDescent="0.25">
      <c r="A5876" s="841" t="s">
        <v>183</v>
      </c>
      <c r="E5876" s="1690" t="s">
        <v>4827</v>
      </c>
      <c r="F5876" s="1690"/>
      <c r="G5876" s="1408" t="s">
        <v>23</v>
      </c>
      <c r="H5876" s="916">
        <v>1.66</v>
      </c>
      <c r="K5876" s="841" t="s">
        <v>3571</v>
      </c>
      <c r="L5876" s="841" t="s">
        <v>442</v>
      </c>
      <c r="M5876" s="1357"/>
      <c r="P5876" s="841" t="s">
        <v>3573</v>
      </c>
      <c r="Q5876" s="1357"/>
      <c r="S5876" s="1420"/>
      <c r="T5876" s="1420"/>
      <c r="V5876" s="1357">
        <v>32</v>
      </c>
    </row>
    <row r="5877" spans="1:22" s="841" customFormat="1" ht="15" x14ac:dyDescent="0.25">
      <c r="A5877" s="841" t="s">
        <v>183</v>
      </c>
      <c r="E5877" s="1690" t="s">
        <v>3109</v>
      </c>
      <c r="F5877" s="1690"/>
      <c r="G5877" s="1408" t="s">
        <v>33</v>
      </c>
      <c r="H5877" s="917">
        <v>3.8961000000000001</v>
      </c>
      <c r="K5877" s="841" t="s">
        <v>3571</v>
      </c>
      <c r="L5877" s="841" t="s">
        <v>442</v>
      </c>
      <c r="M5877" s="1357"/>
      <c r="P5877" s="841" t="s">
        <v>3574</v>
      </c>
      <c r="Q5877" s="1357"/>
      <c r="S5877" s="1420"/>
      <c r="T5877" s="1420"/>
      <c r="V5877" s="1357">
        <v>29</v>
      </c>
    </row>
    <row r="5878" spans="1:22" s="841" customFormat="1" ht="15" x14ac:dyDescent="0.25">
      <c r="A5878" s="841" t="s">
        <v>183</v>
      </c>
      <c r="E5878" s="1690" t="s">
        <v>18</v>
      </c>
      <c r="F5878" s="1690"/>
      <c r="G5878" s="1408" t="s">
        <v>33</v>
      </c>
      <c r="H5878" s="393">
        <v>0.81830000000000003</v>
      </c>
      <c r="K5878" s="841" t="s">
        <v>3571</v>
      </c>
      <c r="L5878" s="841" t="s">
        <v>443</v>
      </c>
      <c r="M5878" s="1357"/>
      <c r="P5878" s="841" t="s">
        <v>3575</v>
      </c>
      <c r="Q5878" s="1357"/>
      <c r="S5878" s="1420"/>
      <c r="T5878" s="1420"/>
      <c r="V5878" s="1357">
        <v>24</v>
      </c>
    </row>
    <row r="5879" spans="1:22" s="841" customFormat="1" ht="15" x14ac:dyDescent="0.25">
      <c r="A5879" s="841" t="s">
        <v>183</v>
      </c>
      <c r="E5879" s="1904" t="s">
        <v>6314</v>
      </c>
      <c r="F5879" s="1962"/>
      <c r="G5879" s="631" t="s">
        <v>24</v>
      </c>
      <c r="H5879" s="627">
        <v>3.8999999999999998E-3</v>
      </c>
      <c r="K5879" s="841" t="s">
        <v>3571</v>
      </c>
      <c r="L5879" s="841" t="s">
        <v>443</v>
      </c>
      <c r="M5879" s="1357"/>
      <c r="P5879" s="841" t="s">
        <v>3717</v>
      </c>
      <c r="Q5879" s="1357"/>
      <c r="S5879" s="1420"/>
      <c r="T5879" s="1420">
        <v>43524</v>
      </c>
      <c r="V5879" s="1357">
        <v>143</v>
      </c>
    </row>
    <row r="5880" spans="1:22" s="841" customFormat="1" ht="15" x14ac:dyDescent="0.25">
      <c r="A5880" s="841" t="s">
        <v>183</v>
      </c>
      <c r="E5880" s="1904" t="s">
        <v>5583</v>
      </c>
      <c r="F5880" s="1962"/>
      <c r="G5880" s="1008" t="s">
        <v>33</v>
      </c>
      <c r="H5880" s="627">
        <v>1.2037</v>
      </c>
      <c r="K5880" s="841" t="s">
        <v>3571</v>
      </c>
      <c r="L5880" s="841" t="s">
        <v>443</v>
      </c>
      <c r="M5880" s="1357"/>
      <c r="P5880" s="841" t="s">
        <v>3718</v>
      </c>
      <c r="Q5880" s="1357"/>
      <c r="S5880" s="1420"/>
      <c r="T5880" s="1420">
        <v>43524</v>
      </c>
      <c r="V5880" s="1357">
        <v>99</v>
      </c>
    </row>
    <row r="5881" spans="1:22" s="841" customFormat="1" ht="15" x14ac:dyDescent="0.25">
      <c r="A5881" s="841" t="s">
        <v>183</v>
      </c>
      <c r="E5881" s="1904" t="s">
        <v>6300</v>
      </c>
      <c r="F5881" s="1962"/>
      <c r="G5881" s="631" t="s">
        <v>33</v>
      </c>
      <c r="H5881" s="393">
        <v>-2.8957999999999999</v>
      </c>
      <c r="K5881" s="841" t="s">
        <v>3571</v>
      </c>
      <c r="L5881" s="841" t="s">
        <v>443</v>
      </c>
      <c r="M5881" s="1357"/>
      <c r="P5881" s="841" t="s">
        <v>3718</v>
      </c>
      <c r="Q5881" s="1357"/>
      <c r="S5881" s="1420"/>
      <c r="T5881" s="1420">
        <v>43524</v>
      </c>
      <c r="V5881" s="1357">
        <v>161</v>
      </c>
    </row>
    <row r="5882" spans="1:22" s="841" customFormat="1" ht="15" x14ac:dyDescent="0.25">
      <c r="A5882" s="841" t="s">
        <v>183</v>
      </c>
      <c r="E5882" s="1690" t="s">
        <v>5580</v>
      </c>
      <c r="F5882" s="1690"/>
      <c r="G5882" s="1408" t="s">
        <v>33</v>
      </c>
      <c r="H5882" s="393">
        <v>0.1051</v>
      </c>
      <c r="K5882" s="841" t="s">
        <v>3571</v>
      </c>
      <c r="L5882" s="841" t="s">
        <v>442</v>
      </c>
      <c r="M5882" s="1357"/>
      <c r="P5882" s="841" t="s">
        <v>3718</v>
      </c>
      <c r="Q5882" s="1357"/>
      <c r="S5882" s="1420"/>
      <c r="T5882" s="1420">
        <v>43524</v>
      </c>
      <c r="V5882" s="1357">
        <v>100</v>
      </c>
    </row>
    <row r="5883" spans="1:22" s="841" customFormat="1" ht="15" x14ac:dyDescent="0.25">
      <c r="A5883" s="841" t="s">
        <v>183</v>
      </c>
      <c r="E5883" s="1690" t="s">
        <v>5581</v>
      </c>
      <c r="F5883" s="1690"/>
      <c r="G5883" s="1408" t="s">
        <v>33</v>
      </c>
      <c r="H5883" s="393">
        <v>-1.1852</v>
      </c>
      <c r="K5883" s="841" t="s">
        <v>3571</v>
      </c>
      <c r="L5883" s="841" t="s">
        <v>442</v>
      </c>
      <c r="M5883" s="1357"/>
      <c r="P5883" s="841" t="s">
        <v>6315</v>
      </c>
      <c r="Q5883" s="1357"/>
      <c r="S5883" s="1420"/>
      <c r="T5883" s="1420">
        <v>43524</v>
      </c>
      <c r="V5883" s="1357">
        <v>80</v>
      </c>
    </row>
    <row r="5884" spans="1:22" s="841" customFormat="1" ht="15" x14ac:dyDescent="0.25">
      <c r="A5884" s="841" t="s">
        <v>183</v>
      </c>
      <c r="E5884" s="1904" t="s">
        <v>6309</v>
      </c>
      <c r="F5884" s="1904"/>
      <c r="G5884" s="631" t="s">
        <v>33</v>
      </c>
      <c r="H5884" s="393">
        <v>-0.221</v>
      </c>
      <c r="K5884" s="841" t="s">
        <v>3571</v>
      </c>
      <c r="L5884" s="841" t="s">
        <v>442</v>
      </c>
      <c r="M5884" s="1357"/>
      <c r="P5884" s="841" t="s">
        <v>4293</v>
      </c>
      <c r="Q5884" s="1357"/>
      <c r="S5884" s="1420"/>
      <c r="T5884" s="1420">
        <v>43524</v>
      </c>
      <c r="V5884" s="1357">
        <v>137</v>
      </c>
    </row>
    <row r="5885" spans="1:22" s="841" customFormat="1" ht="15" x14ac:dyDescent="0.25">
      <c r="A5885" s="841" t="s">
        <v>183</v>
      </c>
      <c r="E5885" s="1690" t="s">
        <v>5582</v>
      </c>
      <c r="F5885" s="1690"/>
      <c r="G5885" s="1408" t="s">
        <v>33</v>
      </c>
      <c r="H5885" s="393">
        <v>0.12039999999999999</v>
      </c>
      <c r="K5885" s="841" t="s">
        <v>3571</v>
      </c>
      <c r="L5885" s="841" t="s">
        <v>442</v>
      </c>
      <c r="M5885" s="1357"/>
      <c r="P5885" s="841" t="s">
        <v>6316</v>
      </c>
      <c r="Q5885" s="1357"/>
      <c r="S5885" s="1420"/>
      <c r="T5885" s="1420">
        <v>43465</v>
      </c>
      <c r="V5885" s="1357">
        <v>79</v>
      </c>
    </row>
    <row r="5886" spans="1:22" s="841" customFormat="1" ht="15" x14ac:dyDescent="0.25">
      <c r="A5886" s="841" t="s">
        <v>183</v>
      </c>
      <c r="E5886" s="1690" t="s">
        <v>221</v>
      </c>
      <c r="F5886" s="1690"/>
      <c r="G5886" s="1408" t="s">
        <v>33</v>
      </c>
      <c r="H5886" s="917">
        <v>2.0962999999999998</v>
      </c>
      <c r="K5886" s="841" t="s">
        <v>3571</v>
      </c>
      <c r="L5886" s="841" t="s">
        <v>444</v>
      </c>
      <c r="M5886" s="1357"/>
      <c r="P5886" s="841" t="s">
        <v>3576</v>
      </c>
      <c r="Q5886" s="1357"/>
      <c r="S5886" s="1420"/>
      <c r="T5886" s="1420"/>
      <c r="V5886" s="1357">
        <v>47</v>
      </c>
    </row>
    <row r="5887" spans="1:22" s="841" customFormat="1" ht="15" x14ac:dyDescent="0.25">
      <c r="A5887" s="841" t="s">
        <v>183</v>
      </c>
      <c r="E5887" s="1690" t="s">
        <v>217</v>
      </c>
      <c r="F5887" s="1690"/>
      <c r="G5887" s="1408" t="s">
        <v>33</v>
      </c>
      <c r="H5887" s="917">
        <v>2.3260000000000001</v>
      </c>
      <c r="K5887" s="841" t="s">
        <v>3571</v>
      </c>
      <c r="L5887" s="841" t="s">
        <v>444</v>
      </c>
      <c r="M5887" s="1357"/>
      <c r="P5887" s="841" t="s">
        <v>3577</v>
      </c>
      <c r="Q5887" s="1357"/>
      <c r="S5887" s="1420"/>
      <c r="T5887" s="1420"/>
      <c r="V5887" s="1357">
        <v>74</v>
      </c>
    </row>
    <row r="5888" spans="1:22" s="841" customFormat="1" ht="15" x14ac:dyDescent="0.25">
      <c r="A5888" s="841" t="s">
        <v>183</v>
      </c>
      <c r="E5888" s="1694" t="s">
        <v>3079</v>
      </c>
      <c r="F5888" s="1690"/>
      <c r="G5888" s="1408"/>
      <c r="H5888" s="394"/>
      <c r="K5888" s="841" t="s">
        <v>3111</v>
      </c>
      <c r="M5888" s="1357"/>
      <c r="Q5888" s="1357"/>
      <c r="S5888" s="1420"/>
      <c r="T5888" s="1420"/>
      <c r="V5888" s="1357">
        <v>48</v>
      </c>
    </row>
    <row r="5889" spans="1:22" s="841" customFormat="1" ht="15" x14ac:dyDescent="0.25">
      <c r="A5889" s="841" t="s">
        <v>183</v>
      </c>
      <c r="E5889" s="1690" t="s">
        <v>2449</v>
      </c>
      <c r="F5889" s="1690"/>
      <c r="G5889" s="1008" t="s">
        <v>24</v>
      </c>
      <c r="H5889" s="393">
        <v>3.2000000000000002E-3</v>
      </c>
      <c r="K5889" s="841" t="s">
        <v>3571</v>
      </c>
      <c r="L5889" s="841" t="s">
        <v>3046</v>
      </c>
      <c r="M5889" s="1357"/>
      <c r="P5889" s="841" t="s">
        <v>3578</v>
      </c>
      <c r="Q5889" s="1357"/>
      <c r="S5889" s="1420"/>
      <c r="T5889" s="1420"/>
      <c r="V5889" s="1357">
        <v>55</v>
      </c>
    </row>
    <row r="5890" spans="1:22" s="841" customFormat="1" ht="15" x14ac:dyDescent="0.25">
      <c r="A5890" s="841" t="s">
        <v>183</v>
      </c>
      <c r="E5890" s="1690" t="s">
        <v>2450</v>
      </c>
      <c r="F5890" s="1690"/>
      <c r="G5890" s="1008" t="s">
        <v>24</v>
      </c>
      <c r="H5890" s="393">
        <v>4.0000000000000002E-4</v>
      </c>
      <c r="K5890" s="841" t="s">
        <v>3571</v>
      </c>
      <c r="L5890" s="841" t="s">
        <v>3046</v>
      </c>
      <c r="M5890" s="1357"/>
      <c r="P5890" s="841" t="s">
        <v>3578</v>
      </c>
      <c r="Q5890" s="1357"/>
      <c r="S5890" s="1420"/>
      <c r="T5890" s="1420"/>
      <c r="V5890" s="1357">
        <v>65</v>
      </c>
    </row>
    <row r="5891" spans="1:22" s="841" customFormat="1" ht="15" x14ac:dyDescent="0.25">
      <c r="A5891" s="841" t="s">
        <v>183</v>
      </c>
      <c r="E5891" s="1690" t="s">
        <v>439</v>
      </c>
      <c r="F5891" s="1690"/>
      <c r="G5891" s="1008" t="s">
        <v>24</v>
      </c>
      <c r="H5891" s="393">
        <v>2.9999999999999997E-4</v>
      </c>
      <c r="K5891" s="841" t="s">
        <v>3571</v>
      </c>
      <c r="L5891" s="841" t="s">
        <v>3046</v>
      </c>
      <c r="M5891" s="1357"/>
      <c r="P5891" s="841" t="s">
        <v>3579</v>
      </c>
      <c r="Q5891" s="1357"/>
      <c r="S5891" s="1420"/>
      <c r="T5891" s="1420"/>
      <c r="V5891" s="1357">
        <v>57</v>
      </c>
    </row>
    <row r="5892" spans="1:22" s="841" customFormat="1" ht="15" x14ac:dyDescent="0.25">
      <c r="A5892" s="841" t="s">
        <v>183</v>
      </c>
      <c r="E5892" s="1690" t="s">
        <v>32</v>
      </c>
      <c r="F5892" s="1690"/>
      <c r="G5892" s="1008" t="s">
        <v>23</v>
      </c>
      <c r="H5892" s="391">
        <v>0.25</v>
      </c>
      <c r="K5892" s="841" t="s">
        <v>3571</v>
      </c>
      <c r="L5892" s="841" t="s">
        <v>3046</v>
      </c>
      <c r="M5892" s="1357"/>
      <c r="P5892" s="841" t="s">
        <v>3580</v>
      </c>
      <c r="Q5892" s="1357"/>
      <c r="S5892" s="1420"/>
      <c r="T5892" s="1420"/>
      <c r="V5892" s="1357">
        <v>63</v>
      </c>
    </row>
    <row r="5893" spans="1:22" s="841" customFormat="1" x14ac:dyDescent="0.25">
      <c r="A5893" s="841" t="s">
        <v>183</v>
      </c>
      <c r="E5893" s="1909" t="s">
        <v>615</v>
      </c>
      <c r="F5893" s="1915"/>
      <c r="G5893" s="1915"/>
      <c r="H5893" s="1915"/>
      <c r="K5893" s="841" t="s">
        <v>3112</v>
      </c>
      <c r="M5893" s="1357"/>
      <c r="Q5893" s="1357"/>
      <c r="S5893" s="1420"/>
      <c r="T5893" s="1420"/>
      <c r="V5893" s="1357">
        <v>38</v>
      </c>
    </row>
    <row r="5894" spans="1:22" s="841" customFormat="1" ht="15" x14ac:dyDescent="0.25">
      <c r="A5894" s="841" t="s">
        <v>183</v>
      </c>
      <c r="E5894" s="1689" t="s">
        <v>4714</v>
      </c>
      <c r="F5894" s="1689"/>
      <c r="G5894" s="1689"/>
      <c r="H5894" s="1689"/>
      <c r="K5894" s="841" t="s">
        <v>3112</v>
      </c>
      <c r="M5894" s="1357"/>
      <c r="Q5894" s="1357"/>
      <c r="S5894" s="1420"/>
      <c r="T5894" s="1420"/>
      <c r="V5894" s="1357">
        <v>334</v>
      </c>
    </row>
    <row r="5895" spans="1:22" s="841" customFormat="1" ht="15" x14ac:dyDescent="0.25">
      <c r="A5895" s="841" t="s">
        <v>183</v>
      </c>
      <c r="E5895" s="1916" t="s">
        <v>3061</v>
      </c>
      <c r="F5895" s="1697"/>
      <c r="G5895" s="1697"/>
      <c r="H5895" s="1697"/>
      <c r="K5895" s="841" t="s">
        <v>3114</v>
      </c>
      <c r="M5895" s="1357"/>
      <c r="Q5895" s="1357"/>
      <c r="S5895" s="1420"/>
      <c r="T5895" s="1420"/>
      <c r="V5895" s="1357">
        <v>11</v>
      </c>
    </row>
    <row r="5896" spans="1:22" s="841" customFormat="1" ht="15" x14ac:dyDescent="0.25">
      <c r="A5896" s="841" t="s">
        <v>183</v>
      </c>
      <c r="E5896" s="1689" t="s">
        <v>3063</v>
      </c>
      <c r="F5896" s="1689"/>
      <c r="G5896" s="1689"/>
      <c r="H5896" s="1689"/>
      <c r="K5896" s="841" t="s">
        <v>3112</v>
      </c>
      <c r="M5896" s="1357"/>
      <c r="Q5896" s="1357"/>
      <c r="S5896" s="1420"/>
      <c r="T5896" s="1420"/>
      <c r="V5896" s="1357">
        <v>280</v>
      </c>
    </row>
    <row r="5897" spans="1:22" s="841" customFormat="1" ht="15" x14ac:dyDescent="0.25">
      <c r="A5897" s="841" t="s">
        <v>183</v>
      </c>
      <c r="E5897" s="1689" t="s">
        <v>3064</v>
      </c>
      <c r="F5897" s="1689"/>
      <c r="G5897" s="1689"/>
      <c r="H5897" s="1689"/>
      <c r="K5897" s="841" t="s">
        <v>3112</v>
      </c>
      <c r="M5897" s="1357"/>
      <c r="Q5897" s="1357"/>
      <c r="S5897" s="1420"/>
      <c r="T5897" s="1420"/>
      <c r="V5897" s="1357">
        <v>411</v>
      </c>
    </row>
    <row r="5898" spans="1:22" s="841" customFormat="1" ht="15" x14ac:dyDescent="0.25">
      <c r="A5898" s="841" t="s">
        <v>183</v>
      </c>
      <c r="E5898" s="1689" t="s">
        <v>3065</v>
      </c>
      <c r="F5898" s="1689"/>
      <c r="G5898" s="1689"/>
      <c r="H5898" s="1689"/>
      <c r="K5898" s="841" t="s">
        <v>3112</v>
      </c>
      <c r="M5898" s="1357"/>
      <c r="Q5898" s="1357"/>
      <c r="S5898" s="1420"/>
      <c r="T5898" s="1420"/>
      <c r="V5898" s="1357">
        <v>387</v>
      </c>
    </row>
    <row r="5899" spans="1:22" s="841" customFormat="1" ht="15" x14ac:dyDescent="0.25">
      <c r="A5899" s="841" t="s">
        <v>183</v>
      </c>
      <c r="E5899" s="1689" t="s">
        <v>3200</v>
      </c>
      <c r="F5899" s="1689"/>
      <c r="G5899" s="1689"/>
      <c r="H5899" s="1689"/>
      <c r="K5899" s="841" t="s">
        <v>3112</v>
      </c>
      <c r="M5899" s="1357"/>
      <c r="Q5899" s="1357"/>
      <c r="S5899" s="1420"/>
      <c r="T5899" s="1420"/>
      <c r="V5899" s="1357">
        <v>275</v>
      </c>
    </row>
    <row r="5900" spans="1:22" s="841" customFormat="1" ht="15" x14ac:dyDescent="0.25">
      <c r="A5900" s="841" t="s">
        <v>183</v>
      </c>
      <c r="E5900" s="1694" t="s">
        <v>3067</v>
      </c>
      <c r="F5900" s="1907"/>
      <c r="G5900" s="1907"/>
      <c r="H5900" s="1907"/>
      <c r="K5900" s="841" t="s">
        <v>3115</v>
      </c>
      <c r="M5900" s="1357"/>
      <c r="Q5900" s="1357"/>
      <c r="S5900" s="1420"/>
      <c r="T5900" s="1420"/>
      <c r="V5900" s="1357">
        <v>46</v>
      </c>
    </row>
    <row r="5901" spans="1:22" s="841" customFormat="1" ht="15" x14ac:dyDescent="0.25">
      <c r="A5901" s="841" t="s">
        <v>183</v>
      </c>
      <c r="E5901" s="1690" t="s">
        <v>4827</v>
      </c>
      <c r="F5901" s="1690"/>
      <c r="G5901" s="1408" t="s">
        <v>23</v>
      </c>
      <c r="H5901" s="916">
        <v>0.59</v>
      </c>
      <c r="K5901" s="841" t="s">
        <v>3112</v>
      </c>
      <c r="L5901" s="841" t="s">
        <v>442</v>
      </c>
      <c r="M5901" s="1357"/>
      <c r="P5901" s="841" t="s">
        <v>3116</v>
      </c>
      <c r="Q5901" s="1357"/>
      <c r="S5901" s="1420"/>
      <c r="T5901" s="1420"/>
      <c r="V5901" s="1357">
        <v>32</v>
      </c>
    </row>
    <row r="5902" spans="1:22" s="841" customFormat="1" ht="15" x14ac:dyDescent="0.25">
      <c r="A5902" s="841" t="s">
        <v>183</v>
      </c>
      <c r="E5902" s="1690" t="s">
        <v>5582</v>
      </c>
      <c r="F5902" s="1690"/>
      <c r="G5902" s="1408" t="s">
        <v>23</v>
      </c>
      <c r="H5902" s="916">
        <v>0.01</v>
      </c>
      <c r="K5902" s="841" t="s">
        <v>3112</v>
      </c>
      <c r="L5902" s="841" t="s">
        <v>442</v>
      </c>
      <c r="M5902" s="1357"/>
      <c r="P5902" s="841" t="s">
        <v>6317</v>
      </c>
      <c r="Q5902" s="1357"/>
      <c r="S5902" s="1420"/>
      <c r="T5902" s="1420">
        <v>43465</v>
      </c>
      <c r="V5902" s="1357">
        <v>79</v>
      </c>
    </row>
    <row r="5903" spans="1:22" s="841" customFormat="1" ht="15" x14ac:dyDescent="0.25">
      <c r="A5903" s="841" t="s">
        <v>183</v>
      </c>
      <c r="E5903" s="1690" t="s">
        <v>3109</v>
      </c>
      <c r="F5903" s="1690"/>
      <c r="G5903" s="1408" t="s">
        <v>33</v>
      </c>
      <c r="H5903" s="917">
        <v>6.4020000000000001</v>
      </c>
      <c r="K5903" s="841" t="s">
        <v>3112</v>
      </c>
      <c r="L5903" s="841" t="s">
        <v>442</v>
      </c>
      <c r="M5903" s="1357"/>
      <c r="P5903" s="841" t="s">
        <v>3117</v>
      </c>
      <c r="Q5903" s="1357"/>
      <c r="S5903" s="1420"/>
      <c r="T5903" s="1420"/>
      <c r="V5903" s="1357">
        <v>29</v>
      </c>
    </row>
    <row r="5904" spans="1:22" s="841" customFormat="1" ht="15" x14ac:dyDescent="0.25">
      <c r="A5904" s="841" t="s">
        <v>183</v>
      </c>
      <c r="E5904" s="1690" t="s">
        <v>18</v>
      </c>
      <c r="F5904" s="1690"/>
      <c r="G5904" s="1408" t="s">
        <v>33</v>
      </c>
      <c r="H5904" s="393">
        <v>0.4007</v>
      </c>
      <c r="K5904" s="841" t="s">
        <v>3112</v>
      </c>
      <c r="L5904" s="841" t="s">
        <v>443</v>
      </c>
      <c r="M5904" s="1357"/>
      <c r="P5904" s="841" t="s">
        <v>3497</v>
      </c>
      <c r="Q5904" s="1357"/>
      <c r="S5904" s="1420"/>
      <c r="T5904" s="1420"/>
      <c r="V5904" s="1357">
        <v>24</v>
      </c>
    </row>
    <row r="5905" spans="1:22" s="841" customFormat="1" ht="15" x14ac:dyDescent="0.25">
      <c r="A5905" s="841" t="s">
        <v>183</v>
      </c>
      <c r="E5905" s="1904" t="s">
        <v>6299</v>
      </c>
      <c r="F5905" s="1962"/>
      <c r="G5905" s="631" t="s">
        <v>24</v>
      </c>
      <c r="H5905" s="627">
        <v>3.8999999999999998E-3</v>
      </c>
      <c r="K5905" s="841" t="s">
        <v>3112</v>
      </c>
      <c r="L5905" s="841" t="s">
        <v>443</v>
      </c>
      <c r="M5905" s="1357"/>
      <c r="P5905" s="841" t="s">
        <v>3119</v>
      </c>
      <c r="Q5905" s="1357"/>
      <c r="S5905" s="1420"/>
      <c r="T5905" s="1420">
        <v>43524</v>
      </c>
      <c r="V5905" s="1357">
        <v>142</v>
      </c>
    </row>
    <row r="5906" spans="1:22" s="841" customFormat="1" ht="15" x14ac:dyDescent="0.25">
      <c r="A5906" s="841" t="s">
        <v>183</v>
      </c>
      <c r="E5906" s="1904" t="s">
        <v>5583</v>
      </c>
      <c r="F5906" s="1962"/>
      <c r="G5906" s="1008" t="s">
        <v>33</v>
      </c>
      <c r="H5906" s="627">
        <v>1.1884999999999999</v>
      </c>
      <c r="K5906" s="841" t="s">
        <v>3112</v>
      </c>
      <c r="L5906" s="841" t="s">
        <v>443</v>
      </c>
      <c r="M5906" s="1357"/>
      <c r="P5906" s="841" t="s">
        <v>3118</v>
      </c>
      <c r="Q5906" s="1357"/>
      <c r="S5906" s="1420"/>
      <c r="T5906" s="1420">
        <v>43524</v>
      </c>
      <c r="V5906" s="1357">
        <v>99</v>
      </c>
    </row>
    <row r="5907" spans="1:22" s="841" customFormat="1" ht="15" x14ac:dyDescent="0.25">
      <c r="A5907" s="841" t="s">
        <v>183</v>
      </c>
      <c r="E5907" s="1904" t="s">
        <v>6300</v>
      </c>
      <c r="F5907" s="1962"/>
      <c r="G5907" s="631" t="s">
        <v>33</v>
      </c>
      <c r="H5907" s="393">
        <v>-2.8592</v>
      </c>
      <c r="K5907" s="841" t="s">
        <v>3112</v>
      </c>
      <c r="L5907" s="841" t="s">
        <v>443</v>
      </c>
      <c r="M5907" s="1357"/>
      <c r="P5907" s="841" t="s">
        <v>3118</v>
      </c>
      <c r="Q5907" s="1357"/>
      <c r="S5907" s="1420"/>
      <c r="T5907" s="1420">
        <v>43524</v>
      </c>
      <c r="V5907" s="1357">
        <v>161</v>
      </c>
    </row>
    <row r="5908" spans="1:22" s="841" customFormat="1" ht="15" x14ac:dyDescent="0.25">
      <c r="A5908" s="841" t="s">
        <v>183</v>
      </c>
      <c r="E5908" s="1690" t="s">
        <v>5580</v>
      </c>
      <c r="F5908" s="1690"/>
      <c r="G5908" s="1408" t="s">
        <v>33</v>
      </c>
      <c r="H5908" s="393">
        <v>0.1038</v>
      </c>
      <c r="K5908" s="841" t="s">
        <v>3112</v>
      </c>
      <c r="L5908" s="841" t="s">
        <v>442</v>
      </c>
      <c r="M5908" s="1357"/>
      <c r="P5908" s="841" t="s">
        <v>3118</v>
      </c>
      <c r="Q5908" s="1357"/>
      <c r="S5908" s="1420"/>
      <c r="T5908" s="1420">
        <v>43524</v>
      </c>
      <c r="V5908" s="1357">
        <v>100</v>
      </c>
    </row>
    <row r="5909" spans="1:22" s="841" customFormat="1" ht="15" x14ac:dyDescent="0.25">
      <c r="A5909" s="841" t="s">
        <v>183</v>
      </c>
      <c r="E5909" s="1690" t="s">
        <v>5581</v>
      </c>
      <c r="F5909" s="1690"/>
      <c r="G5909" s="1408" t="s">
        <v>33</v>
      </c>
      <c r="H5909" s="393">
        <v>-0.58040000000000003</v>
      </c>
      <c r="K5909" s="841" t="s">
        <v>3112</v>
      </c>
      <c r="L5909" s="841" t="s">
        <v>442</v>
      </c>
      <c r="M5909" s="1357"/>
      <c r="P5909" s="841" t="s">
        <v>6318</v>
      </c>
      <c r="Q5909" s="1357"/>
      <c r="S5909" s="1420"/>
      <c r="T5909" s="1420">
        <v>43524</v>
      </c>
      <c r="V5909" s="1357">
        <v>80</v>
      </c>
    </row>
    <row r="5910" spans="1:22" s="841" customFormat="1" ht="15" x14ac:dyDescent="0.25">
      <c r="A5910" s="841" t="s">
        <v>183</v>
      </c>
      <c r="E5910" s="1904" t="s">
        <v>6309</v>
      </c>
      <c r="F5910" s="1904"/>
      <c r="G5910" s="631" t="s">
        <v>33</v>
      </c>
      <c r="H5910" s="393">
        <v>-0.58240000000000003</v>
      </c>
      <c r="K5910" s="841" t="s">
        <v>3112</v>
      </c>
      <c r="L5910" s="841" t="s">
        <v>442</v>
      </c>
      <c r="M5910" s="1357"/>
      <c r="P5910" s="841" t="s">
        <v>4294</v>
      </c>
      <c r="Q5910" s="1357"/>
      <c r="S5910" s="1420"/>
      <c r="T5910" s="1420">
        <v>43524</v>
      </c>
      <c r="V5910" s="1357">
        <v>137</v>
      </c>
    </row>
    <row r="5911" spans="1:22" s="841" customFormat="1" ht="15" x14ac:dyDescent="0.25">
      <c r="A5911" s="841" t="s">
        <v>183</v>
      </c>
      <c r="E5911" s="1690" t="s">
        <v>5582</v>
      </c>
      <c r="F5911" s="1690"/>
      <c r="G5911" s="1408" t="s">
        <v>33</v>
      </c>
      <c r="H5911" s="393">
        <v>8.7400000000000005E-2</v>
      </c>
      <c r="K5911" s="841" t="s">
        <v>3112</v>
      </c>
      <c r="L5911" s="841" t="s">
        <v>442</v>
      </c>
      <c r="M5911" s="1357"/>
      <c r="P5911" s="841" t="s">
        <v>6319</v>
      </c>
      <c r="Q5911" s="1357"/>
      <c r="S5911" s="1420"/>
      <c r="T5911" s="1420">
        <v>43465</v>
      </c>
      <c r="V5911" s="1357">
        <v>79</v>
      </c>
    </row>
    <row r="5912" spans="1:22" s="841" customFormat="1" ht="15" x14ac:dyDescent="0.25">
      <c r="A5912" s="841" t="s">
        <v>183</v>
      </c>
      <c r="E5912" s="1690" t="s">
        <v>221</v>
      </c>
      <c r="F5912" s="1690"/>
      <c r="G5912" s="1408" t="s">
        <v>33</v>
      </c>
      <c r="H5912" s="917">
        <v>2.0956999999999999</v>
      </c>
      <c r="K5912" s="841" t="s">
        <v>3112</v>
      </c>
      <c r="L5912" s="841" t="s">
        <v>444</v>
      </c>
      <c r="M5912" s="1357"/>
      <c r="P5912" s="841" t="s">
        <v>3120</v>
      </c>
      <c r="Q5912" s="1357"/>
      <c r="S5912" s="1420"/>
      <c r="T5912" s="1420"/>
      <c r="V5912" s="1357">
        <v>47</v>
      </c>
    </row>
    <row r="5913" spans="1:22" s="841" customFormat="1" ht="15" x14ac:dyDescent="0.25">
      <c r="A5913" s="841" t="s">
        <v>183</v>
      </c>
      <c r="E5913" s="1690" t="s">
        <v>217</v>
      </c>
      <c r="F5913" s="1690"/>
      <c r="G5913" s="1408" t="s">
        <v>33</v>
      </c>
      <c r="H5913" s="917">
        <v>1.1391</v>
      </c>
      <c r="K5913" s="841" t="s">
        <v>3112</v>
      </c>
      <c r="L5913" s="841" t="s">
        <v>444</v>
      </c>
      <c r="M5913" s="1357"/>
      <c r="P5913" s="841" t="s">
        <v>3121</v>
      </c>
      <c r="Q5913" s="1357"/>
      <c r="S5913" s="1420"/>
      <c r="T5913" s="1420"/>
      <c r="V5913" s="1357">
        <v>74</v>
      </c>
    </row>
    <row r="5914" spans="1:22" s="841" customFormat="1" ht="15" x14ac:dyDescent="0.25">
      <c r="A5914" s="841" t="s">
        <v>183</v>
      </c>
      <c r="E5914" s="1694" t="s">
        <v>3079</v>
      </c>
      <c r="F5914" s="1690"/>
      <c r="G5914" s="1408"/>
      <c r="H5914" s="394"/>
      <c r="K5914" s="841" t="s">
        <v>3122</v>
      </c>
      <c r="M5914" s="1357"/>
      <c r="Q5914" s="1357"/>
      <c r="S5914" s="1420"/>
      <c r="T5914" s="1420"/>
      <c r="V5914" s="1357">
        <v>48</v>
      </c>
    </row>
    <row r="5915" spans="1:22" s="841" customFormat="1" ht="15" x14ac:dyDescent="0.25">
      <c r="A5915" s="841" t="s">
        <v>183</v>
      </c>
      <c r="E5915" s="1690" t="s">
        <v>2449</v>
      </c>
      <c r="F5915" s="1690"/>
      <c r="G5915" s="1008" t="s">
        <v>24</v>
      </c>
      <c r="H5915" s="393">
        <v>3.2000000000000002E-3</v>
      </c>
      <c r="K5915" s="841" t="s">
        <v>3112</v>
      </c>
      <c r="L5915" s="841" t="s">
        <v>3046</v>
      </c>
      <c r="M5915" s="1357"/>
      <c r="P5915" s="841" t="s">
        <v>3123</v>
      </c>
      <c r="Q5915" s="1357"/>
      <c r="S5915" s="1420"/>
      <c r="T5915" s="1420"/>
      <c r="V5915" s="1357">
        <v>55</v>
      </c>
    </row>
    <row r="5916" spans="1:22" s="841" customFormat="1" ht="15" x14ac:dyDescent="0.25">
      <c r="A5916" s="841" t="s">
        <v>183</v>
      </c>
      <c r="E5916" s="1690" t="s">
        <v>2450</v>
      </c>
      <c r="F5916" s="1690"/>
      <c r="G5916" s="1008" t="s">
        <v>24</v>
      </c>
      <c r="H5916" s="393">
        <v>4.0000000000000002E-4</v>
      </c>
      <c r="K5916" s="841" t="s">
        <v>3112</v>
      </c>
      <c r="L5916" s="841" t="s">
        <v>3046</v>
      </c>
      <c r="M5916" s="1357"/>
      <c r="P5916" s="841" t="s">
        <v>3123</v>
      </c>
      <c r="Q5916" s="1357"/>
      <c r="S5916" s="1420"/>
      <c r="T5916" s="1420"/>
      <c r="V5916" s="1357">
        <v>65</v>
      </c>
    </row>
    <row r="5917" spans="1:22" s="841" customFormat="1" ht="15" x14ac:dyDescent="0.25">
      <c r="A5917" s="841" t="s">
        <v>183</v>
      </c>
      <c r="E5917" s="1690" t="s">
        <v>439</v>
      </c>
      <c r="F5917" s="1690"/>
      <c r="G5917" s="1008" t="s">
        <v>24</v>
      </c>
      <c r="H5917" s="393">
        <v>2.9999999999999997E-4</v>
      </c>
      <c r="K5917" s="841" t="s">
        <v>3112</v>
      </c>
      <c r="L5917" s="841" t="s">
        <v>3046</v>
      </c>
      <c r="M5917" s="1357"/>
      <c r="P5917" s="841" t="s">
        <v>3124</v>
      </c>
      <c r="Q5917" s="1357"/>
      <c r="S5917" s="1420"/>
      <c r="T5917" s="1420"/>
      <c r="V5917" s="1357">
        <v>57</v>
      </c>
    </row>
    <row r="5918" spans="1:22" s="841" customFormat="1" ht="15" x14ac:dyDescent="0.25">
      <c r="A5918" s="841" t="s">
        <v>183</v>
      </c>
      <c r="E5918" s="1690" t="s">
        <v>32</v>
      </c>
      <c r="F5918" s="1690"/>
      <c r="G5918" s="1008" t="s">
        <v>23</v>
      </c>
      <c r="H5918" s="391">
        <v>0.25</v>
      </c>
      <c r="K5918" s="841" t="s">
        <v>3112</v>
      </c>
      <c r="L5918" s="841" t="s">
        <v>3046</v>
      </c>
      <c r="M5918" s="1357"/>
      <c r="P5918" s="841" t="s">
        <v>3125</v>
      </c>
      <c r="Q5918" s="1357"/>
      <c r="S5918" s="1420"/>
      <c r="T5918" s="1420"/>
      <c r="V5918" s="1357">
        <v>63</v>
      </c>
    </row>
    <row r="5919" spans="1:22" s="841" customFormat="1" x14ac:dyDescent="0.25">
      <c r="A5919" s="841" t="s">
        <v>183</v>
      </c>
      <c r="E5919" s="1909" t="s">
        <v>618</v>
      </c>
      <c r="F5919" s="1915"/>
      <c r="G5919" s="1915"/>
      <c r="H5919" s="1915"/>
      <c r="K5919" s="841" t="s">
        <v>3126</v>
      </c>
      <c r="M5919" s="1357"/>
      <c r="Q5919" s="1357"/>
      <c r="S5919" s="1420"/>
      <c r="T5919" s="1420"/>
      <c r="V5919" s="1357">
        <v>31</v>
      </c>
    </row>
    <row r="5920" spans="1:22" s="841" customFormat="1" ht="15" x14ac:dyDescent="0.25">
      <c r="A5920" s="841" t="s">
        <v>183</v>
      </c>
      <c r="E5920" s="1689" t="s">
        <v>3429</v>
      </c>
      <c r="F5920" s="1689"/>
      <c r="G5920" s="1689"/>
      <c r="H5920" s="1689"/>
      <c r="K5920" s="841" t="s">
        <v>3126</v>
      </c>
      <c r="M5920" s="1357"/>
      <c r="Q5920" s="1357"/>
      <c r="S5920" s="1420"/>
      <c r="T5920" s="1420"/>
      <c r="V5920" s="1357">
        <v>285</v>
      </c>
    </row>
    <row r="5921" spans="1:22" s="841" customFormat="1" ht="15" x14ac:dyDescent="0.25">
      <c r="A5921" s="841" t="s">
        <v>183</v>
      </c>
      <c r="E5921" s="1916" t="s">
        <v>3061</v>
      </c>
      <c r="F5921" s="1697"/>
      <c r="G5921" s="1697"/>
      <c r="H5921" s="1697"/>
      <c r="K5921" s="841" t="s">
        <v>3128</v>
      </c>
      <c r="M5921" s="1357"/>
      <c r="Q5921" s="1357"/>
      <c r="S5921" s="1420"/>
      <c r="T5921" s="1420"/>
      <c r="V5921" s="1357">
        <v>11</v>
      </c>
    </row>
    <row r="5922" spans="1:22" s="841" customFormat="1" ht="15" x14ac:dyDescent="0.25">
      <c r="A5922" s="841" t="s">
        <v>183</v>
      </c>
      <c r="E5922" s="1689" t="s">
        <v>3063</v>
      </c>
      <c r="F5922" s="1689"/>
      <c r="G5922" s="1689"/>
      <c r="H5922" s="1689"/>
      <c r="K5922" s="841" t="s">
        <v>3126</v>
      </c>
      <c r="M5922" s="1357"/>
      <c r="Q5922" s="1357"/>
      <c r="S5922" s="1420"/>
      <c r="T5922" s="1420"/>
      <c r="V5922" s="1357">
        <v>280</v>
      </c>
    </row>
    <row r="5923" spans="1:22" s="841" customFormat="1" ht="15" x14ac:dyDescent="0.25">
      <c r="A5923" s="841" t="s">
        <v>183</v>
      </c>
      <c r="E5923" s="1689" t="s">
        <v>3064</v>
      </c>
      <c r="F5923" s="1689"/>
      <c r="G5923" s="1689"/>
      <c r="H5923" s="1689"/>
      <c r="K5923" s="841" t="s">
        <v>3126</v>
      </c>
      <c r="M5923" s="1357"/>
      <c r="Q5923" s="1357"/>
      <c r="S5923" s="1420"/>
      <c r="T5923" s="1420"/>
      <c r="V5923" s="1357">
        <v>411</v>
      </c>
    </row>
    <row r="5924" spans="1:22" s="841" customFormat="1" ht="15" x14ac:dyDescent="0.25">
      <c r="A5924" s="841" t="s">
        <v>183</v>
      </c>
      <c r="E5924" s="1689" t="s">
        <v>3199</v>
      </c>
      <c r="F5924" s="1689"/>
      <c r="G5924" s="1689"/>
      <c r="H5924" s="1689"/>
      <c r="K5924" s="841" t="s">
        <v>3126</v>
      </c>
      <c r="M5924" s="1357"/>
      <c r="Q5924" s="1357"/>
      <c r="S5924" s="1420"/>
      <c r="T5924" s="1420"/>
      <c r="V5924" s="1357">
        <v>386</v>
      </c>
    </row>
    <row r="5925" spans="1:22" s="841" customFormat="1" ht="15" x14ac:dyDescent="0.25">
      <c r="A5925" s="841" t="s">
        <v>183</v>
      </c>
      <c r="E5925" s="1689" t="s">
        <v>3200</v>
      </c>
      <c r="F5925" s="1689"/>
      <c r="G5925" s="1689"/>
      <c r="H5925" s="1689"/>
      <c r="K5925" s="841" t="s">
        <v>3126</v>
      </c>
      <c r="M5925" s="1357"/>
      <c r="Q5925" s="1357"/>
      <c r="S5925" s="1420"/>
      <c r="T5925" s="1420"/>
      <c r="V5925" s="1357">
        <v>275</v>
      </c>
    </row>
    <row r="5926" spans="1:22" s="841" customFormat="1" ht="15" x14ac:dyDescent="0.25">
      <c r="A5926" s="841" t="s">
        <v>183</v>
      </c>
      <c r="E5926" s="1694" t="s">
        <v>3067</v>
      </c>
      <c r="F5926" s="1907"/>
      <c r="G5926" s="1907"/>
      <c r="H5926" s="1907"/>
      <c r="K5926" s="841" t="s">
        <v>3130</v>
      </c>
      <c r="M5926" s="1357"/>
      <c r="Q5926" s="1357"/>
      <c r="S5926" s="1420"/>
      <c r="T5926" s="1420"/>
      <c r="V5926" s="1357">
        <v>46</v>
      </c>
    </row>
    <row r="5927" spans="1:22" s="841" customFormat="1" ht="15" x14ac:dyDescent="0.25">
      <c r="A5927" s="841" t="s">
        <v>183</v>
      </c>
      <c r="E5927" s="1690" t="s">
        <v>11</v>
      </c>
      <c r="F5927" s="1690"/>
      <c r="G5927" s="1408" t="s">
        <v>23</v>
      </c>
      <c r="H5927" s="916">
        <v>10</v>
      </c>
      <c r="K5927" s="841" t="s">
        <v>3126</v>
      </c>
      <c r="L5927" s="841" t="s">
        <v>442</v>
      </c>
      <c r="M5927" s="1357"/>
      <c r="P5927" s="841" t="s">
        <v>3131</v>
      </c>
      <c r="Q5927" s="1357"/>
      <c r="S5927" s="1420"/>
      <c r="T5927" s="1420"/>
      <c r="V5927" s="1357">
        <v>14</v>
      </c>
    </row>
    <row r="5928" spans="1:22" s="841" customFormat="1" ht="18.75" x14ac:dyDescent="0.3">
      <c r="A5928" s="841" t="s">
        <v>183</v>
      </c>
      <c r="E5928" s="1374" t="s">
        <v>85</v>
      </c>
      <c r="F5928" s="657"/>
      <c r="G5928" s="657"/>
      <c r="H5928" s="658"/>
      <c r="K5928" s="841" t="s">
        <v>4715</v>
      </c>
      <c r="M5928" s="1357"/>
      <c r="Q5928" s="1357"/>
      <c r="S5928" s="1420"/>
      <c r="T5928" s="1420"/>
      <c r="V5928" s="1357">
        <v>10</v>
      </c>
    </row>
    <row r="5929" spans="1:22" s="841" customFormat="1" ht="15" x14ac:dyDescent="0.25">
      <c r="A5929" s="841" t="s">
        <v>183</v>
      </c>
      <c r="E5929" s="1690" t="s">
        <v>3133</v>
      </c>
      <c r="F5929" s="1690"/>
      <c r="G5929" s="1408" t="s">
        <v>33</v>
      </c>
      <c r="H5929" s="393">
        <v>-0.6</v>
      </c>
      <c r="M5929" s="1357"/>
      <c r="Q5929" s="1357"/>
      <c r="S5929" s="1420"/>
      <c r="T5929" s="1420"/>
      <c r="V5929" s="1357">
        <v>68</v>
      </c>
    </row>
    <row r="5930" spans="1:22" s="841" customFormat="1" ht="15" x14ac:dyDescent="0.25">
      <c r="A5930" s="841" t="s">
        <v>183</v>
      </c>
      <c r="E5930" s="1690" t="s">
        <v>5273</v>
      </c>
      <c r="F5930" s="1690"/>
      <c r="G5930" s="1408" t="s">
        <v>86</v>
      </c>
      <c r="H5930" s="391">
        <v>-1</v>
      </c>
      <c r="M5930" s="1357"/>
      <c r="Q5930" s="1357"/>
      <c r="S5930" s="1420"/>
      <c r="T5930" s="1420"/>
      <c r="V5930" s="1357">
        <v>89</v>
      </c>
    </row>
    <row r="5931" spans="1:22" s="841" customFormat="1" ht="36.75" x14ac:dyDescent="0.3">
      <c r="A5931" s="841" t="s">
        <v>183</v>
      </c>
      <c r="E5931" s="1374" t="s">
        <v>87</v>
      </c>
      <c r="F5931" s="657"/>
      <c r="G5931" s="657"/>
      <c r="H5931" s="658"/>
      <c r="K5931" s="841" t="s">
        <v>4716</v>
      </c>
      <c r="M5931" s="1357"/>
      <c r="Q5931" s="1357"/>
      <c r="S5931" s="1420"/>
      <c r="T5931" s="1420"/>
      <c r="V5931" s="1357">
        <v>24</v>
      </c>
    </row>
    <row r="5932" spans="1:22" s="841" customFormat="1" ht="15" x14ac:dyDescent="0.25">
      <c r="A5932" s="841" t="s">
        <v>183</v>
      </c>
      <c r="E5932" s="1689" t="s">
        <v>3063</v>
      </c>
      <c r="F5932" s="1689"/>
      <c r="G5932" s="1689"/>
      <c r="H5932" s="1689"/>
      <c r="M5932" s="1357"/>
      <c r="Q5932" s="1357"/>
      <c r="S5932" s="1420"/>
      <c r="T5932" s="1420"/>
      <c r="V5932" s="1357">
        <v>280</v>
      </c>
    </row>
    <row r="5933" spans="1:22" s="841" customFormat="1" ht="15" x14ac:dyDescent="0.25">
      <c r="A5933" s="841" t="s">
        <v>183</v>
      </c>
      <c r="E5933" s="1689" t="s">
        <v>3136</v>
      </c>
      <c r="F5933" s="1689"/>
      <c r="G5933" s="1689"/>
      <c r="H5933" s="1689"/>
      <c r="M5933" s="1357"/>
      <c r="Q5933" s="1357"/>
      <c r="S5933" s="1420"/>
      <c r="T5933" s="1420"/>
      <c r="V5933" s="1357">
        <v>353</v>
      </c>
    </row>
    <row r="5934" spans="1:22" s="841" customFormat="1" ht="15" x14ac:dyDescent="0.25">
      <c r="A5934" s="841" t="s">
        <v>183</v>
      </c>
      <c r="E5934" s="1689" t="s">
        <v>3200</v>
      </c>
      <c r="F5934" s="1689"/>
      <c r="G5934" s="1689"/>
      <c r="H5934" s="1689"/>
      <c r="M5934" s="1357"/>
      <c r="Q5934" s="1357"/>
      <c r="S5934" s="1420"/>
      <c r="T5934" s="1420"/>
      <c r="V5934" s="1357">
        <v>275</v>
      </c>
    </row>
    <row r="5935" spans="1:22" s="841" customFormat="1" ht="15" x14ac:dyDescent="0.25">
      <c r="A5935" s="841" t="s">
        <v>183</v>
      </c>
      <c r="E5935" s="1370" t="s">
        <v>3137</v>
      </c>
      <c r="F5935" s="3"/>
      <c r="G5935" s="3"/>
      <c r="H5935" s="398"/>
      <c r="K5935" s="841" t="s">
        <v>4717</v>
      </c>
      <c r="M5935" s="1357"/>
      <c r="Q5935" s="1357"/>
      <c r="S5935" s="1420"/>
      <c r="T5935" s="1420"/>
      <c r="V5935" s="1357">
        <v>23</v>
      </c>
    </row>
    <row r="5936" spans="1:22" s="841" customFormat="1" ht="15" x14ac:dyDescent="0.25">
      <c r="A5936" s="841" t="s">
        <v>183</v>
      </c>
      <c r="E5936" s="1688" t="s">
        <v>3355</v>
      </c>
      <c r="F5936" s="1688"/>
      <c r="G5936" s="1408" t="s">
        <v>23</v>
      </c>
      <c r="H5936" s="391">
        <v>15</v>
      </c>
      <c r="M5936" s="1357"/>
      <c r="Q5936" s="1357"/>
      <c r="S5936" s="1420"/>
      <c r="T5936" s="1420"/>
      <c r="V5936" s="1357">
        <v>19</v>
      </c>
    </row>
    <row r="5937" spans="1:22" s="841" customFormat="1" ht="15" x14ac:dyDescent="0.25">
      <c r="A5937" s="841" t="s">
        <v>183</v>
      </c>
      <c r="E5937" s="1688" t="s">
        <v>3140</v>
      </c>
      <c r="F5937" s="1688"/>
      <c r="G5937" s="1408" t="s">
        <v>23</v>
      </c>
      <c r="H5937" s="391">
        <v>15</v>
      </c>
      <c r="M5937" s="1357"/>
      <c r="Q5937" s="1357"/>
      <c r="S5937" s="1420"/>
      <c r="T5937" s="1420"/>
      <c r="V5937" s="1357">
        <v>20</v>
      </c>
    </row>
    <row r="5938" spans="1:22" s="841" customFormat="1" ht="15" x14ac:dyDescent="0.25">
      <c r="A5938" s="841" t="s">
        <v>183</v>
      </c>
      <c r="E5938" s="1688" t="s">
        <v>3142</v>
      </c>
      <c r="F5938" s="1688"/>
      <c r="G5938" s="1408" t="s">
        <v>23</v>
      </c>
      <c r="H5938" s="391">
        <v>15</v>
      </c>
      <c r="M5938" s="1357"/>
      <c r="Q5938" s="1357"/>
      <c r="S5938" s="1420"/>
      <c r="T5938" s="1420"/>
      <c r="V5938" s="1357">
        <v>39</v>
      </c>
    </row>
    <row r="5939" spans="1:22" s="841" customFormat="1" ht="15" x14ac:dyDescent="0.25">
      <c r="A5939" s="841" t="s">
        <v>183</v>
      </c>
      <c r="E5939" s="1688" t="s">
        <v>3148</v>
      </c>
      <c r="F5939" s="1688"/>
      <c r="G5939" s="1408" t="s">
        <v>23</v>
      </c>
      <c r="H5939" s="391">
        <v>15</v>
      </c>
      <c r="M5939" s="1357"/>
      <c r="Q5939" s="1357"/>
      <c r="S5939" s="1420"/>
      <c r="T5939" s="1420"/>
      <c r="V5939" s="1357">
        <v>56</v>
      </c>
    </row>
    <row r="5940" spans="1:22" s="841" customFormat="1" ht="15" x14ac:dyDescent="0.25">
      <c r="A5940" s="841" t="s">
        <v>183</v>
      </c>
      <c r="E5940" s="1688" t="s">
        <v>123</v>
      </c>
      <c r="F5940" s="1688"/>
      <c r="G5940" s="1408" t="s">
        <v>23</v>
      </c>
      <c r="H5940" s="391">
        <v>20</v>
      </c>
      <c r="M5940" s="1357"/>
      <c r="Q5940" s="1357"/>
      <c r="S5940" s="1420"/>
      <c r="T5940" s="1420"/>
      <c r="V5940" s="1357">
        <v>35</v>
      </c>
    </row>
    <row r="5941" spans="1:22" s="841" customFormat="1" ht="15" x14ac:dyDescent="0.25">
      <c r="A5941" s="841" t="s">
        <v>183</v>
      </c>
      <c r="E5941" s="1688" t="s">
        <v>88</v>
      </c>
      <c r="F5941" s="1688"/>
      <c r="G5941" s="1408" t="s">
        <v>23</v>
      </c>
      <c r="H5941" s="391">
        <v>40</v>
      </c>
      <c r="M5941" s="1357"/>
      <c r="Q5941" s="1357"/>
      <c r="S5941" s="1420"/>
      <c r="T5941" s="1420"/>
      <c r="V5941" s="1357">
        <v>89</v>
      </c>
    </row>
    <row r="5942" spans="1:22" s="841" customFormat="1" ht="15" x14ac:dyDescent="0.25">
      <c r="A5942" s="841" t="s">
        <v>183</v>
      </c>
      <c r="E5942" s="1688" t="s">
        <v>92</v>
      </c>
      <c r="F5942" s="1688"/>
      <c r="G5942" s="1408" t="s">
        <v>23</v>
      </c>
      <c r="H5942" s="391">
        <v>30</v>
      </c>
      <c r="M5942" s="1357"/>
      <c r="Q5942" s="1357"/>
      <c r="S5942" s="1420"/>
      <c r="T5942" s="1420"/>
      <c r="V5942" s="1357">
        <v>74</v>
      </c>
    </row>
    <row r="5943" spans="1:22" s="841" customFormat="1" ht="15" x14ac:dyDescent="0.25">
      <c r="A5943" s="841" t="s">
        <v>183</v>
      </c>
      <c r="E5943" s="1370" t="s">
        <v>4718</v>
      </c>
      <c r="F5943" s="3"/>
      <c r="G5943" s="3"/>
      <c r="H5943" s="398"/>
      <c r="K5943" s="841" t="s">
        <v>4719</v>
      </c>
      <c r="M5943" s="1357"/>
      <c r="Q5943" s="1357"/>
      <c r="S5943" s="1420"/>
      <c r="T5943" s="1420"/>
      <c r="V5943" s="1357">
        <v>22</v>
      </c>
    </row>
    <row r="5944" spans="1:22" s="841" customFormat="1" ht="15" x14ac:dyDescent="0.25">
      <c r="A5944" s="841" t="s">
        <v>183</v>
      </c>
      <c r="E5944" s="1688" t="s">
        <v>5137</v>
      </c>
      <c r="F5944" s="1688"/>
      <c r="G5944" s="1408" t="s">
        <v>86</v>
      </c>
      <c r="H5944" s="391">
        <v>1.5</v>
      </c>
      <c r="M5944" s="1357"/>
      <c r="Q5944" s="1357"/>
      <c r="S5944" s="1420"/>
      <c r="T5944" s="1420"/>
      <c r="V5944" s="1357">
        <v>24</v>
      </c>
    </row>
    <row r="5945" spans="1:22" s="841" customFormat="1" ht="15" x14ac:dyDescent="0.25">
      <c r="A5945" s="841" t="s">
        <v>183</v>
      </c>
      <c r="E5945" s="1688" t="s">
        <v>4772</v>
      </c>
      <c r="F5945" s="1688"/>
      <c r="G5945" s="1408" t="s">
        <v>86</v>
      </c>
      <c r="H5945" s="391">
        <v>19.559999999999999</v>
      </c>
      <c r="M5945" s="1357"/>
      <c r="Q5945" s="1357"/>
      <c r="S5945" s="1420"/>
      <c r="T5945" s="1420"/>
      <c r="V5945" s="1357">
        <v>24</v>
      </c>
    </row>
    <row r="5946" spans="1:22" s="841" customFormat="1" ht="15" x14ac:dyDescent="0.25">
      <c r="A5946" s="841" t="s">
        <v>183</v>
      </c>
      <c r="E5946" s="1688" t="s">
        <v>3288</v>
      </c>
      <c r="F5946" s="1688"/>
      <c r="G5946" s="1408" t="s">
        <v>23</v>
      </c>
      <c r="H5946" s="391">
        <v>15</v>
      </c>
      <c r="M5946" s="1357"/>
      <c r="Q5946" s="1357"/>
      <c r="S5946" s="1420"/>
      <c r="T5946" s="1420"/>
      <c r="V5946" s="1357">
        <v>47</v>
      </c>
    </row>
    <row r="5947" spans="1:22" s="841" customFormat="1" ht="15" x14ac:dyDescent="0.25">
      <c r="A5947" s="841" t="s">
        <v>183</v>
      </c>
      <c r="E5947" s="1688" t="s">
        <v>4773</v>
      </c>
      <c r="F5947" s="1688"/>
      <c r="G5947" s="1408" t="s">
        <v>23</v>
      </c>
      <c r="H5947" s="391">
        <v>30</v>
      </c>
      <c r="M5947" s="1357"/>
      <c r="Q5947" s="1357"/>
      <c r="S5947" s="1420"/>
      <c r="T5947" s="1420"/>
      <c r="V5947" s="1357">
        <v>52</v>
      </c>
    </row>
    <row r="5948" spans="1:22" s="841" customFormat="1" ht="15" x14ac:dyDescent="0.25">
      <c r="A5948" s="841" t="s">
        <v>183</v>
      </c>
      <c r="E5948" s="1688" t="s">
        <v>4774</v>
      </c>
      <c r="F5948" s="1688"/>
      <c r="G5948" s="1408" t="s">
        <v>23</v>
      </c>
      <c r="H5948" s="391">
        <v>165</v>
      </c>
      <c r="M5948" s="1357"/>
      <c r="Q5948" s="1357"/>
      <c r="S5948" s="1420"/>
      <c r="T5948" s="1420"/>
      <c r="V5948" s="1357">
        <v>51</v>
      </c>
    </row>
    <row r="5949" spans="1:22" s="841" customFormat="1" ht="15" x14ac:dyDescent="0.25">
      <c r="A5949" s="841" t="s">
        <v>183</v>
      </c>
      <c r="E5949" s="1688" t="s">
        <v>4775</v>
      </c>
      <c r="F5949" s="1688"/>
      <c r="G5949" s="1408" t="s">
        <v>23</v>
      </c>
      <c r="H5949" s="391">
        <v>100</v>
      </c>
      <c r="M5949" s="1357"/>
      <c r="Q5949" s="1357"/>
      <c r="S5949" s="1420"/>
      <c r="T5949" s="1420"/>
      <c r="V5949" s="1357">
        <v>51</v>
      </c>
    </row>
    <row r="5950" spans="1:22" s="841" customFormat="1" ht="15" x14ac:dyDescent="0.25">
      <c r="A5950" s="841" t="s">
        <v>183</v>
      </c>
      <c r="E5950" s="1688" t="s">
        <v>4776</v>
      </c>
      <c r="F5950" s="1688"/>
      <c r="G5950" s="1408" t="s">
        <v>23</v>
      </c>
      <c r="H5950" s="391">
        <v>300</v>
      </c>
      <c r="M5950" s="1357"/>
      <c r="Q5950" s="1357"/>
      <c r="S5950" s="1420"/>
      <c r="T5950" s="1420"/>
      <c r="V5950" s="1357">
        <v>50</v>
      </c>
    </row>
    <row r="5951" spans="1:22" s="841" customFormat="1" ht="15" x14ac:dyDescent="0.25">
      <c r="A5951" s="841" t="s">
        <v>183</v>
      </c>
      <c r="E5951" s="1688" t="s">
        <v>4777</v>
      </c>
      <c r="F5951" s="1688"/>
      <c r="G5951" s="1408" t="s">
        <v>23</v>
      </c>
      <c r="H5951" s="391">
        <v>30</v>
      </c>
      <c r="M5951" s="1357"/>
      <c r="Q5951" s="1357"/>
      <c r="S5951" s="1420"/>
      <c r="T5951" s="1420"/>
      <c r="V5951" s="1357">
        <v>57</v>
      </c>
    </row>
    <row r="5952" spans="1:22" s="841" customFormat="1" ht="15" x14ac:dyDescent="0.25">
      <c r="A5952" s="841" t="s">
        <v>183</v>
      </c>
      <c r="E5952" s="1688" t="s">
        <v>4778</v>
      </c>
      <c r="F5952" s="1688"/>
      <c r="G5952" s="1408" t="s">
        <v>23</v>
      </c>
      <c r="H5952" s="391">
        <v>165</v>
      </c>
      <c r="M5952" s="1357"/>
      <c r="Q5952" s="1357"/>
      <c r="S5952" s="1420"/>
      <c r="T5952" s="1420"/>
      <c r="V5952" s="1357">
        <v>56</v>
      </c>
    </row>
    <row r="5953" spans="1:22" s="841" customFormat="1" ht="15" x14ac:dyDescent="0.25">
      <c r="A5953" s="841" t="s">
        <v>183</v>
      </c>
      <c r="E5953" s="1370" t="s">
        <v>3164</v>
      </c>
      <c r="F5953" s="507"/>
      <c r="G5953" s="397"/>
      <c r="H5953" s="391"/>
      <c r="M5953" s="1357"/>
      <c r="Q5953" s="1357"/>
      <c r="S5953" s="1420"/>
      <c r="T5953" s="1420"/>
      <c r="V5953" s="1357">
        <v>5</v>
      </c>
    </row>
    <row r="5954" spans="1:22" s="841" customFormat="1" ht="15" x14ac:dyDescent="0.25">
      <c r="A5954" s="841" t="s">
        <v>183</v>
      </c>
      <c r="E5954" s="1688" t="s">
        <v>3168</v>
      </c>
      <c r="F5954" s="1688"/>
      <c r="G5954" s="1408" t="s">
        <v>23</v>
      </c>
      <c r="H5954" s="391">
        <v>165</v>
      </c>
      <c r="M5954" s="1357"/>
      <c r="Q5954" s="1357"/>
      <c r="S5954" s="1420"/>
      <c r="T5954" s="1420"/>
      <c r="V5954" s="1357">
        <v>34</v>
      </c>
    </row>
    <row r="5955" spans="1:22" s="841" customFormat="1" ht="15" x14ac:dyDescent="0.25">
      <c r="A5955" s="841" t="s">
        <v>183</v>
      </c>
      <c r="E5955" s="1688" t="s">
        <v>3434</v>
      </c>
      <c r="F5955" s="1688"/>
      <c r="G5955" s="1408" t="s">
        <v>23</v>
      </c>
      <c r="H5955" s="391">
        <v>500</v>
      </c>
      <c r="M5955" s="1357"/>
      <c r="Q5955" s="1357"/>
      <c r="S5955" s="1420"/>
      <c r="T5955" s="1420"/>
      <c r="V5955" s="1357">
        <v>64</v>
      </c>
    </row>
    <row r="5956" spans="1:22" s="841" customFormat="1" ht="15" x14ac:dyDescent="0.25">
      <c r="A5956" s="841" t="s">
        <v>183</v>
      </c>
      <c r="E5956" s="1688" t="s">
        <v>3490</v>
      </c>
      <c r="F5956" s="1688"/>
      <c r="G5956" s="1408" t="s">
        <v>23</v>
      </c>
      <c r="H5956" s="391">
        <v>1000</v>
      </c>
      <c r="M5956" s="1357"/>
      <c r="Q5956" s="1357"/>
      <c r="S5956" s="1420"/>
      <c r="T5956" s="1420"/>
      <c r="V5956" s="1357">
        <v>66</v>
      </c>
    </row>
    <row r="5957" spans="1:22" s="841" customFormat="1" ht="34.5" x14ac:dyDescent="0.25">
      <c r="A5957" s="841" t="s">
        <v>183</v>
      </c>
      <c r="E5957" s="1368" t="s">
        <v>5584</v>
      </c>
      <c r="F5957" s="1368"/>
      <c r="G5957" s="669" t="s">
        <v>23</v>
      </c>
      <c r="H5957" s="671">
        <v>22.35</v>
      </c>
      <c r="M5957" s="1357"/>
      <c r="Q5957" s="1357"/>
      <c r="S5957" s="1420"/>
      <c r="T5957" s="1420"/>
      <c r="V5957" s="1357">
        <v>180</v>
      </c>
    </row>
    <row r="5958" spans="1:22" s="841" customFormat="1" ht="36.75" x14ac:dyDescent="0.3">
      <c r="A5958" s="841" t="s">
        <v>183</v>
      </c>
      <c r="E5958" s="1374" t="s">
        <v>77</v>
      </c>
      <c r="F5958" s="657"/>
      <c r="G5958" s="657"/>
      <c r="H5958" s="658"/>
      <c r="K5958" s="841" t="s">
        <v>4720</v>
      </c>
      <c r="M5958" s="1357"/>
      <c r="Q5958" s="1357"/>
      <c r="S5958" s="1420"/>
      <c r="T5958" s="1420"/>
      <c r="V5958" s="1357">
        <v>38</v>
      </c>
    </row>
    <row r="5959" spans="1:22" s="841" customFormat="1" ht="15" x14ac:dyDescent="0.25">
      <c r="A5959" s="841" t="s">
        <v>183</v>
      </c>
      <c r="E5959" s="1689" t="s">
        <v>3063</v>
      </c>
      <c r="F5959" s="1689"/>
      <c r="G5959" s="1689"/>
      <c r="H5959" s="1689"/>
      <c r="M5959" s="1357"/>
      <c r="Q5959" s="1357"/>
      <c r="S5959" s="1420"/>
      <c r="T5959" s="1420"/>
      <c r="V5959" s="1357">
        <v>280</v>
      </c>
    </row>
    <row r="5960" spans="1:22" s="841" customFormat="1" ht="15" x14ac:dyDescent="0.25">
      <c r="A5960" s="841" t="s">
        <v>183</v>
      </c>
      <c r="E5960" s="1689" t="s">
        <v>3064</v>
      </c>
      <c r="F5960" s="1689"/>
      <c r="G5960" s="1689"/>
      <c r="H5960" s="1689"/>
      <c r="M5960" s="1357"/>
      <c r="Q5960" s="1357"/>
      <c r="S5960" s="1420"/>
      <c r="T5960" s="1420"/>
      <c r="V5960" s="1357">
        <v>411</v>
      </c>
    </row>
    <row r="5961" spans="1:22" s="841" customFormat="1" ht="15" x14ac:dyDescent="0.25">
      <c r="A5961" s="841" t="s">
        <v>183</v>
      </c>
      <c r="E5961" s="1689" t="s">
        <v>3129</v>
      </c>
      <c r="F5961" s="1689"/>
      <c r="G5961" s="1689"/>
      <c r="H5961" s="1689"/>
      <c r="M5961" s="1357"/>
      <c r="Q5961" s="1357"/>
      <c r="S5961" s="1420"/>
      <c r="T5961" s="1420"/>
      <c r="V5961" s="1357">
        <v>211</v>
      </c>
    </row>
    <row r="5962" spans="1:22" s="841" customFormat="1" ht="15" x14ac:dyDescent="0.25">
      <c r="A5962" s="841" t="s">
        <v>183</v>
      </c>
      <c r="E5962" s="1689" t="s">
        <v>3200</v>
      </c>
      <c r="F5962" s="1689"/>
      <c r="G5962" s="1689"/>
      <c r="H5962" s="1689"/>
      <c r="M5962" s="1357"/>
      <c r="Q5962" s="1357"/>
      <c r="S5962" s="1420"/>
      <c r="T5962" s="1420"/>
      <c r="V5962" s="1357">
        <v>275</v>
      </c>
    </row>
    <row r="5963" spans="1:22" s="841" customFormat="1" ht="15" x14ac:dyDescent="0.25">
      <c r="A5963" s="841" t="s">
        <v>183</v>
      </c>
      <c r="E5963" s="1689" t="s">
        <v>3291</v>
      </c>
      <c r="F5963" s="1689"/>
      <c r="G5963" s="1689"/>
      <c r="H5963" s="1689"/>
      <c r="M5963" s="1357"/>
      <c r="Q5963" s="1357"/>
      <c r="S5963" s="1420"/>
      <c r="T5963" s="1420"/>
      <c r="V5963" s="1357">
        <v>142</v>
      </c>
    </row>
    <row r="5964" spans="1:22" s="841" customFormat="1" ht="15" x14ac:dyDescent="0.25">
      <c r="A5964" s="841" t="s">
        <v>183</v>
      </c>
      <c r="E5964" s="1690" t="s">
        <v>3176</v>
      </c>
      <c r="F5964" s="1690"/>
      <c r="G5964" s="397" t="s">
        <v>23</v>
      </c>
      <c r="H5964" s="391">
        <v>100</v>
      </c>
      <c r="M5964" s="1357"/>
      <c r="Q5964" s="1357"/>
      <c r="S5964" s="1420"/>
      <c r="T5964" s="1420"/>
      <c r="V5964" s="1357">
        <v>106</v>
      </c>
    </row>
    <row r="5965" spans="1:22" s="841" customFormat="1" ht="15" x14ac:dyDescent="0.25">
      <c r="A5965" s="841" t="s">
        <v>183</v>
      </c>
      <c r="E5965" s="1690" t="s">
        <v>3177</v>
      </c>
      <c r="F5965" s="1690"/>
      <c r="G5965" s="397" t="s">
        <v>23</v>
      </c>
      <c r="H5965" s="391">
        <v>20</v>
      </c>
      <c r="M5965" s="1357"/>
      <c r="Q5965" s="1357"/>
      <c r="S5965" s="1420"/>
      <c r="T5965" s="1420"/>
      <c r="V5965" s="1357">
        <v>34</v>
      </c>
    </row>
    <row r="5966" spans="1:22" s="841" customFormat="1" ht="15" x14ac:dyDescent="0.25">
      <c r="A5966" s="841" t="s">
        <v>183</v>
      </c>
      <c r="E5966" s="1690" t="s">
        <v>3178</v>
      </c>
      <c r="F5966" s="1690"/>
      <c r="G5966" s="397" t="s">
        <v>3179</v>
      </c>
      <c r="H5966" s="391">
        <v>0.5</v>
      </c>
      <c r="M5966" s="1357"/>
      <c r="Q5966" s="1357"/>
      <c r="S5966" s="1420"/>
      <c r="T5966" s="1420"/>
      <c r="V5966" s="1357">
        <v>51</v>
      </c>
    </row>
    <row r="5967" spans="1:22" s="841" customFormat="1" ht="15" x14ac:dyDescent="0.25">
      <c r="A5967" s="841" t="s">
        <v>183</v>
      </c>
      <c r="E5967" s="1690" t="s">
        <v>3180</v>
      </c>
      <c r="F5967" s="1690"/>
      <c r="G5967" s="397" t="s">
        <v>3179</v>
      </c>
      <c r="H5967" s="391">
        <v>0.3</v>
      </c>
      <c r="M5967" s="1357"/>
      <c r="Q5967" s="1357"/>
      <c r="S5967" s="1420"/>
      <c r="T5967" s="1420"/>
      <c r="V5967" s="1357">
        <v>75</v>
      </c>
    </row>
    <row r="5968" spans="1:22" s="841" customFormat="1" ht="15" x14ac:dyDescent="0.25">
      <c r="A5968" s="841" t="s">
        <v>183</v>
      </c>
      <c r="E5968" s="1690" t="s">
        <v>3181</v>
      </c>
      <c r="F5968" s="1690"/>
      <c r="G5968" s="397" t="s">
        <v>3179</v>
      </c>
      <c r="H5968" s="391">
        <v>-0.3</v>
      </c>
      <c r="M5968" s="1357"/>
      <c r="Q5968" s="1357"/>
      <c r="S5968" s="1420"/>
      <c r="T5968" s="1420"/>
      <c r="V5968" s="1357">
        <v>72</v>
      </c>
    </row>
    <row r="5969" spans="1:22" s="841" customFormat="1" ht="15" x14ac:dyDescent="0.25">
      <c r="A5969" s="841" t="s">
        <v>183</v>
      </c>
      <c r="E5969" s="1690" t="s">
        <v>3292</v>
      </c>
      <c r="F5969" s="1690"/>
      <c r="G5969" s="397"/>
      <c r="H5969" s="392"/>
      <c r="M5969" s="1357"/>
      <c r="Q5969" s="1357"/>
      <c r="S5969" s="1420"/>
      <c r="T5969" s="1420"/>
      <c r="V5969" s="1357">
        <v>34</v>
      </c>
    </row>
    <row r="5970" spans="1:22" s="841" customFormat="1" ht="15" x14ac:dyDescent="0.25">
      <c r="A5970" s="841" t="s">
        <v>183</v>
      </c>
      <c r="E5970" s="1691" t="s">
        <v>3183</v>
      </c>
      <c r="F5970" s="1691"/>
      <c r="G5970" s="397" t="s">
        <v>23</v>
      </c>
      <c r="H5970" s="391">
        <v>0.25</v>
      </c>
      <c r="M5970" s="1357"/>
      <c r="Q5970" s="1357"/>
      <c r="S5970" s="1420"/>
      <c r="T5970" s="1420"/>
      <c r="V5970" s="1357">
        <v>57</v>
      </c>
    </row>
    <row r="5971" spans="1:22" s="841" customFormat="1" ht="15" x14ac:dyDescent="0.25">
      <c r="A5971" s="841" t="s">
        <v>183</v>
      </c>
      <c r="E5971" s="1691" t="s">
        <v>3184</v>
      </c>
      <c r="F5971" s="1691"/>
      <c r="G5971" s="397" t="s">
        <v>23</v>
      </c>
      <c r="H5971" s="391">
        <v>0.5</v>
      </c>
      <c r="M5971" s="1357"/>
      <c r="Q5971" s="1357"/>
      <c r="S5971" s="1420"/>
      <c r="T5971" s="1420"/>
      <c r="V5971" s="1357">
        <v>60</v>
      </c>
    </row>
    <row r="5972" spans="1:22" s="841" customFormat="1" ht="15" x14ac:dyDescent="0.25">
      <c r="A5972" s="841" t="s">
        <v>183</v>
      </c>
      <c r="E5972" s="1690" t="s">
        <v>3185</v>
      </c>
      <c r="F5972" s="1690"/>
      <c r="G5972" s="397"/>
      <c r="H5972" s="392"/>
      <c r="M5972" s="1357"/>
      <c r="Q5972" s="1357"/>
      <c r="S5972" s="1420"/>
      <c r="T5972" s="1420"/>
      <c r="V5972" s="1357">
        <v>91</v>
      </c>
    </row>
    <row r="5973" spans="1:22" s="841" customFormat="1" ht="15" x14ac:dyDescent="0.25">
      <c r="A5973" s="841" t="s">
        <v>183</v>
      </c>
      <c r="E5973" s="1690" t="s">
        <v>3186</v>
      </c>
      <c r="F5973" s="1690"/>
      <c r="G5973" s="397"/>
      <c r="H5973" s="392"/>
      <c r="M5973" s="1357"/>
      <c r="Q5973" s="1357"/>
      <c r="S5973" s="1420"/>
      <c r="T5973" s="1420"/>
      <c r="V5973" s="1357">
        <v>96</v>
      </c>
    </row>
    <row r="5974" spans="1:22" s="841" customFormat="1" ht="15" x14ac:dyDescent="0.25">
      <c r="A5974" s="841" t="s">
        <v>183</v>
      </c>
      <c r="E5974" s="1690" t="s">
        <v>3293</v>
      </c>
      <c r="F5974" s="1690"/>
      <c r="G5974" s="397"/>
      <c r="H5974" s="392"/>
      <c r="M5974" s="1357"/>
      <c r="Q5974" s="1357"/>
      <c r="S5974" s="1420"/>
      <c r="T5974" s="1420"/>
      <c r="V5974" s="1357">
        <v>77</v>
      </c>
    </row>
    <row r="5975" spans="1:22" s="841" customFormat="1" ht="15" x14ac:dyDescent="0.25">
      <c r="A5975" s="841" t="s">
        <v>183</v>
      </c>
      <c r="E5975" s="1691" t="s">
        <v>3188</v>
      </c>
      <c r="F5975" s="1691"/>
      <c r="G5975" s="397" t="s">
        <v>23</v>
      </c>
      <c r="H5975" s="392" t="s">
        <v>3189</v>
      </c>
      <c r="M5975" s="1357"/>
      <c r="Q5975" s="1357"/>
      <c r="S5975" s="1420"/>
      <c r="T5975" s="1420"/>
      <c r="V5975" s="1357">
        <v>18</v>
      </c>
    </row>
    <row r="5976" spans="1:22" s="841" customFormat="1" ht="15" x14ac:dyDescent="0.25">
      <c r="A5976" s="841" t="s">
        <v>183</v>
      </c>
      <c r="E5976" s="1691" t="s">
        <v>3190</v>
      </c>
      <c r="F5976" s="1691"/>
      <c r="G5976" s="397" t="s">
        <v>23</v>
      </c>
      <c r="H5976" s="391">
        <v>2</v>
      </c>
      <c r="M5976" s="1357"/>
      <c r="Q5976" s="1357"/>
      <c r="S5976" s="1420"/>
      <c r="T5976" s="1420"/>
      <c r="V5976" s="1357">
        <v>69</v>
      </c>
    </row>
    <row r="5977" spans="1:22" s="841" customFormat="1" ht="18.75" x14ac:dyDescent="0.3">
      <c r="A5977" s="841" t="s">
        <v>183</v>
      </c>
      <c r="E5977" s="1374" t="s">
        <v>147</v>
      </c>
      <c r="F5977" s="657"/>
      <c r="G5977" s="657"/>
      <c r="H5977" s="658"/>
      <c r="K5977" s="841" t="s">
        <v>4721</v>
      </c>
      <c r="M5977" s="1357"/>
      <c r="Q5977" s="1357"/>
      <c r="S5977" s="1420"/>
      <c r="T5977" s="1420"/>
      <c r="V5977" s="1357">
        <v>12</v>
      </c>
    </row>
    <row r="5978" spans="1:22" s="841" customFormat="1" ht="15" x14ac:dyDescent="0.25">
      <c r="A5978" s="841" t="s">
        <v>183</v>
      </c>
      <c r="E5978" s="1704" t="s">
        <v>3192</v>
      </c>
      <c r="F5978" s="1704"/>
      <c r="G5978" s="1704"/>
      <c r="H5978" s="1704"/>
      <c r="M5978" s="1357"/>
      <c r="Q5978" s="1357"/>
      <c r="S5978" s="1420"/>
      <c r="T5978" s="1420"/>
      <c r="V5978" s="1357">
        <v>203</v>
      </c>
    </row>
    <row r="5979" spans="1:22" s="841" customFormat="1" ht="15" x14ac:dyDescent="0.25">
      <c r="A5979" s="841" t="s">
        <v>183</v>
      </c>
      <c r="E5979" s="1690" t="s">
        <v>3295</v>
      </c>
      <c r="F5979" s="1690"/>
      <c r="G5979" s="1408"/>
      <c r="H5979" s="393">
        <v>1.0508999999999999</v>
      </c>
      <c r="M5979" s="1357"/>
      <c r="Q5979" s="1357"/>
      <c r="S5979" s="1420"/>
      <c r="T5979" s="1420"/>
      <c r="V5979" s="1357">
        <v>57</v>
      </c>
    </row>
    <row r="5980" spans="1:22" s="841" customFormat="1" ht="15" x14ac:dyDescent="0.25">
      <c r="A5980" s="841" t="s">
        <v>183</v>
      </c>
      <c r="E5980" s="1690" t="s">
        <v>3297</v>
      </c>
      <c r="F5980" s="1690"/>
      <c r="G5980" s="1408"/>
      <c r="H5980" s="393">
        <v>1.0409999999999999</v>
      </c>
      <c r="J5980" s="841" t="s">
        <v>4722</v>
      </c>
      <c r="M5980" s="1357"/>
      <c r="Q5980" s="1357"/>
      <c r="S5980" s="1420"/>
      <c r="T5980" s="1420"/>
      <c r="V5980" s="1357">
        <v>55</v>
      </c>
    </row>
    <row r="5981" spans="1:22" s="841" customFormat="1" ht="23.25" x14ac:dyDescent="0.25">
      <c r="A5981" s="841" t="s">
        <v>205</v>
      </c>
      <c r="C5981" s="841" t="s">
        <v>3050</v>
      </c>
      <c r="E5981" s="2086" t="s">
        <v>205</v>
      </c>
      <c r="F5981" s="2086"/>
      <c r="G5981" s="2086"/>
      <c r="H5981" s="2086"/>
      <c r="I5981" s="841" t="s">
        <v>628</v>
      </c>
      <c r="J5981" s="841" t="s">
        <v>3977</v>
      </c>
      <c r="K5981" s="841" t="s">
        <v>205</v>
      </c>
      <c r="M5981" s="1357">
        <v>12</v>
      </c>
      <c r="Q5981" s="1357"/>
      <c r="S5981" s="1420"/>
      <c r="T5981" s="1420"/>
      <c r="V5981" s="1357">
        <v>20</v>
      </c>
    </row>
    <row r="5982" spans="1:22" s="841" customFormat="1" x14ac:dyDescent="0.25">
      <c r="A5982" s="841" t="s">
        <v>205</v>
      </c>
      <c r="C5982" s="841" t="s">
        <v>3052</v>
      </c>
      <c r="E5982" s="2001" t="s">
        <v>3053</v>
      </c>
      <c r="F5982" s="2001"/>
      <c r="G5982" s="2001"/>
      <c r="H5982" s="2001"/>
      <c r="M5982" s="1357"/>
      <c r="Q5982" s="1357"/>
      <c r="S5982" s="1420"/>
      <c r="T5982" s="1420"/>
      <c r="V5982" s="1357">
        <v>27</v>
      </c>
    </row>
    <row r="5983" spans="1:22" s="841" customFormat="1" ht="15.75" x14ac:dyDescent="0.25">
      <c r="A5983" s="841" t="s">
        <v>205</v>
      </c>
      <c r="C5983" s="841" t="s">
        <v>3054</v>
      </c>
      <c r="E5983" s="2087" t="s">
        <v>5101</v>
      </c>
      <c r="F5983" s="2087"/>
      <c r="G5983" s="2087"/>
      <c r="H5983" s="2087"/>
      <c r="M5983" s="1357"/>
      <c r="Q5983" s="1357"/>
      <c r="S5983" s="1420">
        <v>43101</v>
      </c>
      <c r="T5983" s="1420"/>
      <c r="V5983" s="1357">
        <v>49</v>
      </c>
    </row>
    <row r="5984" spans="1:22" s="841" customFormat="1" ht="15" x14ac:dyDescent="0.25">
      <c r="A5984" s="841" t="s">
        <v>205</v>
      </c>
      <c r="C5984" s="841" t="s">
        <v>3055</v>
      </c>
      <c r="E5984" s="2088" t="s">
        <v>3056</v>
      </c>
      <c r="F5984" s="2088"/>
      <c r="G5984" s="2088"/>
      <c r="H5984" s="2088"/>
      <c r="M5984" s="1357"/>
      <c r="Q5984" s="1357"/>
      <c r="S5984" s="1420"/>
      <c r="T5984" s="1420"/>
      <c r="V5984" s="1357">
        <v>52</v>
      </c>
    </row>
    <row r="5985" spans="1:22" s="841" customFormat="1" ht="15" x14ac:dyDescent="0.25">
      <c r="A5985" s="841" t="s">
        <v>205</v>
      </c>
      <c r="E5985" s="2088" t="s">
        <v>3057</v>
      </c>
      <c r="F5985" s="2088"/>
      <c r="G5985" s="2088"/>
      <c r="H5985" s="2088"/>
      <c r="M5985" s="1357"/>
      <c r="Q5985" s="1357"/>
      <c r="S5985" s="1420"/>
      <c r="T5985" s="1420"/>
      <c r="V5985" s="1357">
        <v>53</v>
      </c>
    </row>
    <row r="5986" spans="1:22" s="841" customFormat="1" ht="15" x14ac:dyDescent="0.25">
      <c r="A5986" s="841" t="s">
        <v>205</v>
      </c>
      <c r="E5986" s="2089" t="s">
        <v>5585</v>
      </c>
      <c r="F5986" s="2089"/>
      <c r="G5986" s="2089"/>
      <c r="H5986" s="2089"/>
      <c r="K5986" s="841" t="s">
        <v>5585</v>
      </c>
      <c r="M5986" s="1357"/>
      <c r="Q5986" s="1357"/>
      <c r="S5986" s="1420"/>
      <c r="T5986" s="1420"/>
      <c r="V5986" s="1357">
        <v>12</v>
      </c>
    </row>
    <row r="5987" spans="1:22" s="841" customFormat="1" ht="15" x14ac:dyDescent="0.25">
      <c r="A5987" s="841" t="s">
        <v>205</v>
      </c>
      <c r="E5987" s="1909" t="s">
        <v>438</v>
      </c>
      <c r="F5987" s="1689"/>
      <c r="G5987" s="1689"/>
      <c r="H5987" s="1689"/>
      <c r="K5987" s="841" t="s">
        <v>3197</v>
      </c>
      <c r="M5987" s="1357"/>
      <c r="Q5987" s="1357"/>
      <c r="S5987" s="1420"/>
      <c r="T5987" s="1420"/>
      <c r="V5987" s="1357">
        <v>34</v>
      </c>
    </row>
    <row r="5988" spans="1:22" s="841" customFormat="1" ht="15" x14ac:dyDescent="0.25">
      <c r="A5988" s="841" t="s">
        <v>205</v>
      </c>
      <c r="E5988" s="1939" t="s">
        <v>3978</v>
      </c>
      <c r="F5988" s="1939"/>
      <c r="G5988" s="1939"/>
      <c r="H5988" s="1939"/>
      <c r="K5988" s="841" t="s">
        <v>3197</v>
      </c>
      <c r="M5988" s="1357"/>
      <c r="Q5988" s="1357"/>
      <c r="S5988" s="1420"/>
      <c r="T5988" s="1420"/>
      <c r="V5988" s="1357">
        <v>622</v>
      </c>
    </row>
    <row r="5989" spans="1:22" s="841" customFormat="1" ht="15" x14ac:dyDescent="0.25">
      <c r="A5989" s="841" t="s">
        <v>205</v>
      </c>
      <c r="E5989" s="1983" t="s">
        <v>3061</v>
      </c>
      <c r="F5989" s="1697"/>
      <c r="G5989" s="1697"/>
      <c r="H5989" s="1697"/>
      <c r="K5989" s="841" t="s">
        <v>3062</v>
      </c>
      <c r="M5989" s="1357"/>
      <c r="Q5989" s="1357"/>
      <c r="S5989" s="1420"/>
      <c r="T5989" s="1420"/>
      <c r="V5989" s="1357">
        <v>11</v>
      </c>
    </row>
    <row r="5990" spans="1:22" s="841" customFormat="1" ht="15" x14ac:dyDescent="0.25">
      <c r="A5990" s="841" t="s">
        <v>205</v>
      </c>
      <c r="E5990" s="1939" t="s">
        <v>3063</v>
      </c>
      <c r="F5990" s="1939"/>
      <c r="G5990" s="1939"/>
      <c r="H5990" s="1939"/>
      <c r="K5990" s="841" t="s">
        <v>3197</v>
      </c>
      <c r="M5990" s="1357"/>
      <c r="Q5990" s="1357"/>
      <c r="S5990" s="1420"/>
      <c r="T5990" s="1420"/>
      <c r="V5990" s="1357">
        <v>280</v>
      </c>
    </row>
    <row r="5991" spans="1:22" s="841" customFormat="1" ht="15" x14ac:dyDescent="0.25">
      <c r="A5991" s="841" t="s">
        <v>205</v>
      </c>
      <c r="E5991" s="1939" t="s">
        <v>3064</v>
      </c>
      <c r="F5991" s="1939"/>
      <c r="G5991" s="1939"/>
      <c r="H5991" s="1939"/>
      <c r="K5991" s="841" t="s">
        <v>3197</v>
      </c>
      <c r="M5991" s="1357"/>
      <c r="Q5991" s="1357"/>
      <c r="S5991" s="1420"/>
      <c r="T5991" s="1420"/>
      <c r="V5991" s="1357">
        <v>411</v>
      </c>
    </row>
    <row r="5992" spans="1:22" s="841" customFormat="1" ht="15" x14ac:dyDescent="0.25">
      <c r="A5992" s="841" t="s">
        <v>205</v>
      </c>
      <c r="E5992" s="1939" t="s">
        <v>3199</v>
      </c>
      <c r="F5992" s="1939"/>
      <c r="G5992" s="1939"/>
      <c r="H5992" s="1939"/>
      <c r="K5992" s="841" t="s">
        <v>3197</v>
      </c>
      <c r="M5992" s="1357"/>
      <c r="Q5992" s="1357"/>
      <c r="S5992" s="1420"/>
      <c r="T5992" s="1420"/>
      <c r="V5992" s="1357">
        <v>386</v>
      </c>
    </row>
    <row r="5993" spans="1:22" s="841" customFormat="1" ht="15" x14ac:dyDescent="0.25">
      <c r="A5993" s="841" t="s">
        <v>205</v>
      </c>
      <c r="E5993" s="1939" t="s">
        <v>3810</v>
      </c>
      <c r="F5993" s="1939"/>
      <c r="G5993" s="1939"/>
      <c r="H5993" s="1939"/>
      <c r="K5993" s="841" t="s">
        <v>3197</v>
      </c>
      <c r="M5993" s="1357"/>
      <c r="Q5993" s="1357"/>
      <c r="S5993" s="1420"/>
      <c r="T5993" s="1420"/>
      <c r="V5993" s="1357">
        <v>246</v>
      </c>
    </row>
    <row r="5994" spans="1:22" s="841" customFormat="1" ht="15" x14ac:dyDescent="0.25">
      <c r="A5994" s="841" t="s">
        <v>205</v>
      </c>
      <c r="E5994" s="1984" t="s">
        <v>3067</v>
      </c>
      <c r="F5994" s="1693"/>
      <c r="G5994" s="1693"/>
      <c r="H5994" s="1693"/>
      <c r="K5994" s="841" t="s">
        <v>3068</v>
      </c>
      <c r="M5994" s="1357"/>
      <c r="Q5994" s="1357"/>
      <c r="S5994" s="1420"/>
      <c r="T5994" s="1420"/>
      <c r="V5994" s="1357">
        <v>46</v>
      </c>
    </row>
    <row r="5995" spans="1:22" s="841" customFormat="1" ht="15" x14ac:dyDescent="0.25">
      <c r="A5995" s="841" t="s">
        <v>205</v>
      </c>
      <c r="E5995" s="1934" t="s">
        <v>11</v>
      </c>
      <c r="F5995" s="1904"/>
      <c r="G5995" s="1237" t="s">
        <v>23</v>
      </c>
      <c r="H5995" s="699">
        <v>20.51</v>
      </c>
      <c r="K5995" s="841" t="s">
        <v>3197</v>
      </c>
      <c r="L5995" s="841" t="s">
        <v>442</v>
      </c>
      <c r="M5995" s="1357"/>
      <c r="P5995" s="841" t="s">
        <v>3201</v>
      </c>
      <c r="Q5995" s="1357"/>
      <c r="S5995" s="1420"/>
      <c r="T5995" s="1420"/>
      <c r="V5995" s="1357">
        <v>14</v>
      </c>
    </row>
    <row r="5996" spans="1:22" s="841" customFormat="1" ht="15" x14ac:dyDescent="0.25">
      <c r="A5996" s="841" t="s">
        <v>205</v>
      </c>
      <c r="E5996" s="1934" t="s">
        <v>423</v>
      </c>
      <c r="F5996" s="1904"/>
      <c r="G5996" s="1237" t="s">
        <v>23</v>
      </c>
      <c r="H5996" s="1238">
        <v>0.79</v>
      </c>
      <c r="K5996" s="841" t="s">
        <v>3197</v>
      </c>
      <c r="L5996" s="841" t="s">
        <v>443</v>
      </c>
      <c r="M5996" s="1357"/>
      <c r="P5996" s="841" t="s">
        <v>3202</v>
      </c>
      <c r="Q5996" s="1357"/>
      <c r="S5996" s="1420"/>
      <c r="T5996" s="1420">
        <v>43404</v>
      </c>
      <c r="V5996" s="1357">
        <v>78</v>
      </c>
    </row>
    <row r="5997" spans="1:22" s="841" customFormat="1" ht="15" x14ac:dyDescent="0.25">
      <c r="A5997" s="841" t="s">
        <v>205</v>
      </c>
      <c r="E5997" s="1934" t="s">
        <v>84</v>
      </c>
      <c r="F5997" s="1904"/>
      <c r="G5997" s="1237" t="s">
        <v>24</v>
      </c>
      <c r="H5997" s="676">
        <v>1.0500000000000001E-2</v>
      </c>
      <c r="K5997" s="841" t="s">
        <v>3197</v>
      </c>
      <c r="L5997" s="841" t="s">
        <v>442</v>
      </c>
      <c r="M5997" s="1357"/>
      <c r="P5997" s="841" t="s">
        <v>3203</v>
      </c>
      <c r="Q5997" s="1357"/>
      <c r="S5997" s="1420"/>
      <c r="T5997" s="1420"/>
      <c r="V5997" s="1357">
        <v>28</v>
      </c>
    </row>
    <row r="5998" spans="1:22" s="841" customFormat="1" ht="15" x14ac:dyDescent="0.25">
      <c r="A5998" s="841" t="s">
        <v>205</v>
      </c>
      <c r="E5998" s="1934" t="s">
        <v>18</v>
      </c>
      <c r="F5998" s="1904"/>
      <c r="G5998" s="1237" t="s">
        <v>24</v>
      </c>
      <c r="H5998" s="1239">
        <v>6.0000000000000002E-5</v>
      </c>
      <c r="K5998" s="841" t="s">
        <v>3197</v>
      </c>
      <c r="L5998" s="841" t="s">
        <v>443</v>
      </c>
      <c r="M5998" s="1357"/>
      <c r="P5998" s="841" t="s">
        <v>3204</v>
      </c>
      <c r="Q5998" s="1357"/>
      <c r="S5998" s="1420"/>
      <c r="T5998" s="1420"/>
      <c r="V5998" s="1357">
        <v>24</v>
      </c>
    </row>
    <row r="5999" spans="1:22" s="841" customFormat="1" ht="15" x14ac:dyDescent="0.25">
      <c r="A5999" s="841" t="s">
        <v>205</v>
      </c>
      <c r="E5999" s="1934" t="s">
        <v>5586</v>
      </c>
      <c r="F5999" s="1904"/>
      <c r="G5999" s="1237" t="s">
        <v>24</v>
      </c>
      <c r="H5999" s="1240">
        <v>-6.9999999999999999E-4</v>
      </c>
      <c r="K5999" s="841" t="s">
        <v>3197</v>
      </c>
      <c r="L5999" s="841" t="s">
        <v>443</v>
      </c>
      <c r="M5999" s="1357"/>
      <c r="P5999" s="841" t="s">
        <v>3205</v>
      </c>
      <c r="Q5999" s="1357"/>
      <c r="S5999" s="1420"/>
      <c r="T5999" s="1420">
        <v>43465</v>
      </c>
      <c r="V5999" s="1357">
        <v>138</v>
      </c>
    </row>
    <row r="6000" spans="1:22" s="841" customFormat="1" ht="15" x14ac:dyDescent="0.25">
      <c r="A6000" s="841" t="s">
        <v>205</v>
      </c>
      <c r="E6000" s="1934" t="s">
        <v>5144</v>
      </c>
      <c r="F6000" s="1904"/>
      <c r="G6000" s="1237" t="s">
        <v>24</v>
      </c>
      <c r="H6000" s="1240">
        <v>-4.0000000000000002E-4</v>
      </c>
      <c r="K6000" s="841" t="s">
        <v>3197</v>
      </c>
      <c r="L6000" s="841" t="s">
        <v>443</v>
      </c>
      <c r="M6000" s="1357"/>
      <c r="P6000" s="841" t="s">
        <v>3207</v>
      </c>
      <c r="Q6000" s="1357"/>
      <c r="S6000" s="1420"/>
      <c r="T6000" s="1420">
        <v>43465</v>
      </c>
      <c r="V6000" s="1357">
        <v>99</v>
      </c>
    </row>
    <row r="6001" spans="1:22" s="841" customFormat="1" ht="15" x14ac:dyDescent="0.25">
      <c r="A6001" s="841" t="s">
        <v>205</v>
      </c>
      <c r="E6001" s="1934" t="s">
        <v>5587</v>
      </c>
      <c r="F6001" s="1904"/>
      <c r="G6001" s="1241" t="s">
        <v>24</v>
      </c>
      <c r="H6001" s="1240">
        <v>-8.0000000000000004E-4</v>
      </c>
      <c r="K6001" s="841" t="s">
        <v>3197</v>
      </c>
      <c r="L6001" s="841" t="s">
        <v>443</v>
      </c>
      <c r="M6001" s="1357"/>
      <c r="P6001" s="841" t="s">
        <v>3207</v>
      </c>
      <c r="Q6001" s="1357"/>
      <c r="S6001" s="1420"/>
      <c r="T6001" s="1420">
        <v>43465</v>
      </c>
      <c r="V6001" s="1357">
        <v>155</v>
      </c>
    </row>
    <row r="6002" spans="1:22" s="841" customFormat="1" ht="15" x14ac:dyDescent="0.25">
      <c r="A6002" s="841" t="s">
        <v>205</v>
      </c>
      <c r="E6002" s="1934" t="s">
        <v>221</v>
      </c>
      <c r="F6002" s="1904"/>
      <c r="G6002" s="1237" t="s">
        <v>24</v>
      </c>
      <c r="H6002" s="676">
        <v>7.1999999999999998E-3</v>
      </c>
      <c r="K6002" s="841" t="s">
        <v>3197</v>
      </c>
      <c r="L6002" s="841" t="s">
        <v>444</v>
      </c>
      <c r="M6002" s="1357"/>
      <c r="P6002" s="841" t="s">
        <v>3208</v>
      </c>
      <c r="Q6002" s="1357"/>
      <c r="S6002" s="1420"/>
      <c r="T6002" s="1420"/>
      <c r="V6002" s="1357">
        <v>47</v>
      </c>
    </row>
    <row r="6003" spans="1:22" s="841" customFormat="1" ht="15" x14ac:dyDescent="0.25">
      <c r="A6003" s="841" t="s">
        <v>205</v>
      </c>
      <c r="E6003" s="1934" t="s">
        <v>217</v>
      </c>
      <c r="F6003" s="1904"/>
      <c r="G6003" s="1237" t="s">
        <v>24</v>
      </c>
      <c r="H6003" s="676">
        <v>4.8999999999999998E-3</v>
      </c>
      <c r="K6003" s="841" t="s">
        <v>3197</v>
      </c>
      <c r="L6003" s="841" t="s">
        <v>444</v>
      </c>
      <c r="M6003" s="1357"/>
      <c r="P6003" s="841" t="s">
        <v>3209</v>
      </c>
      <c r="Q6003" s="1357"/>
      <c r="S6003" s="1420"/>
      <c r="T6003" s="1420"/>
      <c r="V6003" s="1357">
        <v>74</v>
      </c>
    </row>
    <row r="6004" spans="1:22" s="841" customFormat="1" ht="15" x14ac:dyDescent="0.25">
      <c r="A6004" s="841" t="s">
        <v>205</v>
      </c>
      <c r="E6004" s="1942" t="s">
        <v>3079</v>
      </c>
      <c r="F6004" s="1690"/>
      <c r="G6004" s="679"/>
      <c r="H6004" s="676"/>
      <c r="K6004" s="841" t="s">
        <v>3080</v>
      </c>
      <c r="M6004" s="1357"/>
      <c r="Q6004" s="1357"/>
      <c r="S6004" s="1420"/>
      <c r="T6004" s="1420"/>
      <c r="V6004" s="1357">
        <v>48</v>
      </c>
    </row>
    <row r="6005" spans="1:22" s="841" customFormat="1" ht="15" x14ac:dyDescent="0.25">
      <c r="A6005" s="841" t="s">
        <v>205</v>
      </c>
      <c r="E6005" s="1918" t="s">
        <v>2449</v>
      </c>
      <c r="F6005" s="1918"/>
      <c r="G6005" s="1242" t="s">
        <v>24</v>
      </c>
      <c r="H6005" s="681">
        <v>3.2000000000000002E-3</v>
      </c>
      <c r="K6005" s="841" t="s">
        <v>3197</v>
      </c>
      <c r="L6005" s="841" t="s">
        <v>3046</v>
      </c>
      <c r="M6005" s="1357"/>
      <c r="P6005" s="841" t="s">
        <v>3210</v>
      </c>
      <c r="Q6005" s="1357"/>
      <c r="S6005" s="1420"/>
      <c r="T6005" s="1420"/>
      <c r="V6005" s="1357">
        <v>55</v>
      </c>
    </row>
    <row r="6006" spans="1:22" s="841" customFormat="1" ht="15" x14ac:dyDescent="0.25">
      <c r="A6006" s="841" t="s">
        <v>205</v>
      </c>
      <c r="E6006" s="1690" t="s">
        <v>2450</v>
      </c>
      <c r="F6006" s="1690"/>
      <c r="G6006" s="1242" t="s">
        <v>24</v>
      </c>
      <c r="H6006" s="681">
        <v>4.0000000000000002E-4</v>
      </c>
      <c r="K6006" s="841" t="s">
        <v>3197</v>
      </c>
      <c r="L6006" s="841" t="s">
        <v>3046</v>
      </c>
      <c r="M6006" s="1357"/>
      <c r="P6006" s="841" t="s">
        <v>3210</v>
      </c>
      <c r="Q6006" s="1357"/>
      <c r="S6006" s="1420"/>
      <c r="T6006" s="1420"/>
      <c r="V6006" s="1357">
        <v>65</v>
      </c>
    </row>
    <row r="6007" spans="1:22" s="841" customFormat="1" ht="15" x14ac:dyDescent="0.25">
      <c r="A6007" s="841" t="s">
        <v>205</v>
      </c>
      <c r="E6007" s="1918" t="s">
        <v>5588</v>
      </c>
      <c r="F6007" s="1918"/>
      <c r="G6007" s="1242" t="s">
        <v>24</v>
      </c>
      <c r="H6007" s="681">
        <v>2.9999999999999997E-4</v>
      </c>
      <c r="K6007" s="841" t="s">
        <v>3197</v>
      </c>
      <c r="L6007" s="841" t="s">
        <v>3046</v>
      </c>
      <c r="M6007" s="1357"/>
      <c r="P6007" s="841" t="s">
        <v>3212</v>
      </c>
      <c r="Q6007" s="1357"/>
      <c r="S6007" s="1420"/>
      <c r="T6007" s="1420"/>
      <c r="V6007" s="1357">
        <v>45</v>
      </c>
    </row>
    <row r="6008" spans="1:22" s="841" customFormat="1" ht="15" x14ac:dyDescent="0.25">
      <c r="A6008" s="841" t="s">
        <v>205</v>
      </c>
      <c r="E6008" s="1918" t="s">
        <v>32</v>
      </c>
      <c r="F6008" s="1918"/>
      <c r="G6008" s="1242" t="s">
        <v>23</v>
      </c>
      <c r="H6008" s="701">
        <v>0.25</v>
      </c>
      <c r="K6008" s="841" t="s">
        <v>3197</v>
      </c>
      <c r="L6008" s="841" t="s">
        <v>3046</v>
      </c>
      <c r="M6008" s="1357"/>
      <c r="P6008" s="841" t="s">
        <v>3213</v>
      </c>
      <c r="Q6008" s="1357"/>
      <c r="S6008" s="1420"/>
      <c r="T6008" s="1420"/>
      <c r="V6008" s="1357">
        <v>63</v>
      </c>
    </row>
    <row r="6009" spans="1:22" s="841" customFormat="1" ht="15" x14ac:dyDescent="0.25">
      <c r="A6009" s="841" t="s">
        <v>205</v>
      </c>
      <c r="E6009" s="1967" t="s">
        <v>3214</v>
      </c>
      <c r="F6009" s="1977"/>
      <c r="G6009" s="1977"/>
      <c r="H6009" s="1978"/>
      <c r="K6009" s="841" t="s">
        <v>5110</v>
      </c>
      <c r="M6009" s="1357"/>
      <c r="Q6009" s="1357"/>
      <c r="S6009" s="1420"/>
      <c r="T6009" s="1420"/>
      <c r="V6009" s="1357">
        <v>54</v>
      </c>
    </row>
    <row r="6010" spans="1:22" s="841" customFormat="1" ht="15" x14ac:dyDescent="0.25">
      <c r="A6010" s="841" t="s">
        <v>205</v>
      </c>
      <c r="E6010" s="1939" t="s">
        <v>3979</v>
      </c>
      <c r="F6010" s="1939"/>
      <c r="G6010" s="1939"/>
      <c r="H6010" s="1940"/>
      <c r="K6010" s="841" t="s">
        <v>5110</v>
      </c>
      <c r="M6010" s="1357"/>
      <c r="Q6010" s="1357"/>
      <c r="S6010" s="1420"/>
      <c r="T6010" s="1420"/>
      <c r="V6010" s="1357">
        <v>329</v>
      </c>
    </row>
    <row r="6011" spans="1:22" s="841" customFormat="1" ht="15" x14ac:dyDescent="0.25">
      <c r="A6011" s="841" t="s">
        <v>205</v>
      </c>
      <c r="E6011" s="1983" t="s">
        <v>3061</v>
      </c>
      <c r="F6011" s="1697"/>
      <c r="G6011" s="1697"/>
      <c r="H6011" s="1697"/>
      <c r="K6011" s="841" t="s">
        <v>3086</v>
      </c>
      <c r="M6011" s="1357"/>
      <c r="Q6011" s="1357"/>
      <c r="S6011" s="1420"/>
      <c r="T6011" s="1420"/>
      <c r="V6011" s="1357">
        <v>11</v>
      </c>
    </row>
    <row r="6012" spans="1:22" s="841" customFormat="1" ht="15" x14ac:dyDescent="0.25">
      <c r="A6012" s="841" t="s">
        <v>205</v>
      </c>
      <c r="E6012" s="1939" t="s">
        <v>3063</v>
      </c>
      <c r="F6012" s="1939"/>
      <c r="G6012" s="1939"/>
      <c r="H6012" s="1940"/>
      <c r="K6012" s="841" t="s">
        <v>5110</v>
      </c>
      <c r="M6012" s="1357"/>
      <c r="Q6012" s="1357"/>
      <c r="S6012" s="1420"/>
      <c r="T6012" s="1420"/>
      <c r="V6012" s="1357">
        <v>280</v>
      </c>
    </row>
    <row r="6013" spans="1:22" s="841" customFormat="1" ht="15" x14ac:dyDescent="0.25">
      <c r="A6013" s="841" t="s">
        <v>205</v>
      </c>
      <c r="E6013" s="1939" t="s">
        <v>3064</v>
      </c>
      <c r="F6013" s="1939"/>
      <c r="G6013" s="1939"/>
      <c r="H6013" s="1940"/>
      <c r="K6013" s="841" t="s">
        <v>5110</v>
      </c>
      <c r="M6013" s="1357"/>
      <c r="Q6013" s="1357"/>
      <c r="S6013" s="1420"/>
      <c r="T6013" s="1420"/>
      <c r="V6013" s="1357">
        <v>411</v>
      </c>
    </row>
    <row r="6014" spans="1:22" s="841" customFormat="1" ht="15" x14ac:dyDescent="0.25">
      <c r="A6014" s="841" t="s">
        <v>205</v>
      </c>
      <c r="E6014" s="1939" t="s">
        <v>3199</v>
      </c>
      <c r="F6014" s="1939"/>
      <c r="G6014" s="1939"/>
      <c r="H6014" s="1940"/>
      <c r="K6014" s="841" t="s">
        <v>5110</v>
      </c>
      <c r="M6014" s="1357"/>
      <c r="Q6014" s="1357"/>
      <c r="S6014" s="1420"/>
      <c r="T6014" s="1420"/>
      <c r="V6014" s="1357">
        <v>386</v>
      </c>
    </row>
    <row r="6015" spans="1:22" s="841" customFormat="1" ht="15" x14ac:dyDescent="0.25">
      <c r="A6015" s="841" t="s">
        <v>205</v>
      </c>
      <c r="E6015" s="1939" t="s">
        <v>3980</v>
      </c>
      <c r="F6015" s="1939"/>
      <c r="G6015" s="1939"/>
      <c r="H6015" s="1940"/>
      <c r="K6015" s="841" t="s">
        <v>5110</v>
      </c>
      <c r="M6015" s="1357"/>
      <c r="Q6015" s="1357"/>
      <c r="S6015" s="1420"/>
      <c r="T6015" s="1420"/>
      <c r="V6015" s="1357">
        <v>231</v>
      </c>
    </row>
    <row r="6016" spans="1:22" s="841" customFormat="1" ht="15" x14ac:dyDescent="0.25">
      <c r="A6016" s="841" t="s">
        <v>205</v>
      </c>
      <c r="E6016" s="1984" t="s">
        <v>3067</v>
      </c>
      <c r="F6016" s="1693"/>
      <c r="G6016" s="1693"/>
      <c r="H6016" s="1693"/>
      <c r="K6016" s="841" t="s">
        <v>3087</v>
      </c>
      <c r="M6016" s="1357"/>
      <c r="Q6016" s="1357"/>
      <c r="S6016" s="1420"/>
      <c r="T6016" s="1420"/>
      <c r="V6016" s="1357">
        <v>46</v>
      </c>
    </row>
    <row r="6017" spans="1:22" s="841" customFormat="1" ht="15" x14ac:dyDescent="0.25">
      <c r="A6017" s="841" t="s">
        <v>205</v>
      </c>
      <c r="E6017" s="1934" t="s">
        <v>11</v>
      </c>
      <c r="F6017" s="1934"/>
      <c r="G6017" s="1237" t="s">
        <v>23</v>
      </c>
      <c r="H6017" s="699">
        <v>18.600000000000001</v>
      </c>
      <c r="K6017" s="841" t="s">
        <v>5110</v>
      </c>
      <c r="L6017" s="841" t="s">
        <v>442</v>
      </c>
      <c r="M6017" s="1357"/>
      <c r="P6017" s="841" t="s">
        <v>5111</v>
      </c>
      <c r="Q6017" s="1357"/>
      <c r="S6017" s="1420"/>
      <c r="T6017" s="1420"/>
      <c r="V6017" s="1357">
        <v>14</v>
      </c>
    </row>
    <row r="6018" spans="1:22" s="841" customFormat="1" ht="15" x14ac:dyDescent="0.25">
      <c r="A6018" s="841" t="s">
        <v>205</v>
      </c>
      <c r="E6018" s="1934" t="s">
        <v>423</v>
      </c>
      <c r="F6018" s="1934"/>
      <c r="G6018" s="1237" t="s">
        <v>23</v>
      </c>
      <c r="H6018" s="1238">
        <v>0.79</v>
      </c>
      <c r="K6018" s="841" t="s">
        <v>5110</v>
      </c>
      <c r="L6018" s="841" t="s">
        <v>443</v>
      </c>
      <c r="M6018" s="1357"/>
      <c r="P6018" s="841" t="s">
        <v>5112</v>
      </c>
      <c r="Q6018" s="1357"/>
      <c r="S6018" s="1420"/>
      <c r="T6018" s="1420">
        <v>43404</v>
      </c>
      <c r="V6018" s="1357">
        <v>78</v>
      </c>
    </row>
    <row r="6019" spans="1:22" s="841" customFormat="1" ht="15" x14ac:dyDescent="0.25">
      <c r="A6019" s="841" t="s">
        <v>205</v>
      </c>
      <c r="E6019" s="1934" t="s">
        <v>84</v>
      </c>
      <c r="F6019" s="1934"/>
      <c r="G6019" s="1237" t="s">
        <v>24</v>
      </c>
      <c r="H6019" s="676">
        <v>2.3800000000000002E-2</v>
      </c>
      <c r="K6019" s="841" t="s">
        <v>5110</v>
      </c>
      <c r="L6019" s="841" t="s">
        <v>442</v>
      </c>
      <c r="M6019" s="1357"/>
      <c r="P6019" s="841" t="s">
        <v>5113</v>
      </c>
      <c r="Q6019" s="1357"/>
      <c r="S6019" s="1420"/>
      <c r="T6019" s="1420"/>
      <c r="V6019" s="1357">
        <v>28</v>
      </c>
    </row>
    <row r="6020" spans="1:22" s="841" customFormat="1" ht="15" x14ac:dyDescent="0.25">
      <c r="A6020" s="841" t="s">
        <v>205</v>
      </c>
      <c r="E6020" s="1934" t="s">
        <v>18</v>
      </c>
      <c r="F6020" s="1934"/>
      <c r="G6020" s="1237" t="s">
        <v>24</v>
      </c>
      <c r="H6020" s="1239">
        <v>6.0000000000000002E-5</v>
      </c>
      <c r="K6020" s="841" t="s">
        <v>5110</v>
      </c>
      <c r="L6020" s="841" t="s">
        <v>443</v>
      </c>
      <c r="M6020" s="1357"/>
      <c r="P6020" s="841" t="s">
        <v>5114</v>
      </c>
      <c r="Q6020" s="1357"/>
      <c r="S6020" s="1420"/>
      <c r="T6020" s="1420"/>
      <c r="V6020" s="1357">
        <v>24</v>
      </c>
    </row>
    <row r="6021" spans="1:22" s="841" customFormat="1" ht="15" x14ac:dyDescent="0.25">
      <c r="A6021" s="841" t="s">
        <v>205</v>
      </c>
      <c r="E6021" s="1934" t="s">
        <v>5586</v>
      </c>
      <c r="F6021" s="1904"/>
      <c r="G6021" s="1241" t="s">
        <v>24</v>
      </c>
      <c r="H6021" s="1240">
        <v>-6.9999999999999999E-4</v>
      </c>
      <c r="K6021" s="841" t="s">
        <v>5110</v>
      </c>
      <c r="L6021" s="841" t="s">
        <v>443</v>
      </c>
      <c r="M6021" s="1357"/>
      <c r="P6021" s="841" t="s">
        <v>4818</v>
      </c>
      <c r="Q6021" s="1357"/>
      <c r="S6021" s="1420"/>
      <c r="T6021" s="1420">
        <v>43465</v>
      </c>
      <c r="V6021" s="1357">
        <v>138</v>
      </c>
    </row>
    <row r="6022" spans="1:22" s="841" customFormat="1" ht="15" x14ac:dyDescent="0.25">
      <c r="A6022" s="841" t="s">
        <v>205</v>
      </c>
      <c r="E6022" s="1934" t="s">
        <v>5144</v>
      </c>
      <c r="F6022" s="1904"/>
      <c r="G6022" s="1237" t="s">
        <v>24</v>
      </c>
      <c r="H6022" s="1240">
        <v>-4.0000000000000002E-4</v>
      </c>
      <c r="K6022" s="841" t="s">
        <v>5110</v>
      </c>
      <c r="L6022" s="841" t="s">
        <v>443</v>
      </c>
      <c r="M6022" s="1357"/>
      <c r="P6022" s="841" t="s">
        <v>5124</v>
      </c>
      <c r="Q6022" s="1357"/>
      <c r="S6022" s="1420"/>
      <c r="T6022" s="1420">
        <v>43465</v>
      </c>
      <c r="V6022" s="1357">
        <v>99</v>
      </c>
    </row>
    <row r="6023" spans="1:22" s="841" customFormat="1" ht="15" x14ac:dyDescent="0.25">
      <c r="A6023" s="841" t="s">
        <v>205</v>
      </c>
      <c r="E6023" s="1934" t="s">
        <v>5587</v>
      </c>
      <c r="F6023" s="1904"/>
      <c r="G6023" s="1241" t="s">
        <v>24</v>
      </c>
      <c r="H6023" s="1240">
        <v>-8.0000000000000004E-4</v>
      </c>
      <c r="K6023" s="841" t="s">
        <v>5110</v>
      </c>
      <c r="L6023" s="841" t="s">
        <v>443</v>
      </c>
      <c r="M6023" s="1357"/>
      <c r="P6023" s="841" t="s">
        <v>5124</v>
      </c>
      <c r="Q6023" s="1357"/>
      <c r="S6023" s="1420"/>
      <c r="T6023" s="1420">
        <v>43465</v>
      </c>
      <c r="V6023" s="1357">
        <v>155</v>
      </c>
    </row>
    <row r="6024" spans="1:22" s="841" customFormat="1" ht="15" x14ac:dyDescent="0.25">
      <c r="A6024" s="841" t="s">
        <v>205</v>
      </c>
      <c r="E6024" s="1934" t="s">
        <v>221</v>
      </c>
      <c r="F6024" s="1934"/>
      <c r="G6024" s="1237" t="s">
        <v>24</v>
      </c>
      <c r="H6024" s="676">
        <v>6.7000000000000002E-3</v>
      </c>
      <c r="K6024" s="841" t="s">
        <v>5110</v>
      </c>
      <c r="L6024" s="841" t="s">
        <v>444</v>
      </c>
      <c r="M6024" s="1357"/>
      <c r="P6024" s="841" t="s">
        <v>5115</v>
      </c>
      <c r="Q6024" s="1357"/>
      <c r="S6024" s="1420"/>
      <c r="T6024" s="1420"/>
      <c r="V6024" s="1357">
        <v>47</v>
      </c>
    </row>
    <row r="6025" spans="1:22" s="841" customFormat="1" ht="15" x14ac:dyDescent="0.25">
      <c r="A6025" s="841" t="s">
        <v>205</v>
      </c>
      <c r="E6025" s="1934" t="s">
        <v>217</v>
      </c>
      <c r="F6025" s="1934"/>
      <c r="G6025" s="1237" t="s">
        <v>24</v>
      </c>
      <c r="H6025" s="676">
        <v>4.7000000000000002E-3</v>
      </c>
      <c r="K6025" s="841" t="s">
        <v>5110</v>
      </c>
      <c r="L6025" s="841" t="s">
        <v>444</v>
      </c>
      <c r="M6025" s="1357"/>
      <c r="P6025" s="841" t="s">
        <v>5116</v>
      </c>
      <c r="Q6025" s="1357"/>
      <c r="S6025" s="1420"/>
      <c r="T6025" s="1420"/>
      <c r="V6025" s="1357">
        <v>74</v>
      </c>
    </row>
    <row r="6026" spans="1:22" s="841" customFormat="1" ht="15" x14ac:dyDescent="0.25">
      <c r="A6026" s="841" t="s">
        <v>205</v>
      </c>
      <c r="E6026" s="1942" t="s">
        <v>3079</v>
      </c>
      <c r="F6026" s="1690"/>
      <c r="G6026" s="679"/>
      <c r="H6026" s="676"/>
      <c r="K6026" s="841" t="s">
        <v>3093</v>
      </c>
      <c r="M6026" s="1357"/>
      <c r="Q6026" s="1357"/>
      <c r="S6026" s="1420"/>
      <c r="T6026" s="1420"/>
      <c r="V6026" s="1357">
        <v>48</v>
      </c>
    </row>
    <row r="6027" spans="1:22" s="841" customFormat="1" ht="15" x14ac:dyDescent="0.25">
      <c r="A6027" s="841" t="s">
        <v>205</v>
      </c>
      <c r="E6027" s="1918" t="s">
        <v>2449</v>
      </c>
      <c r="F6027" s="1918"/>
      <c r="G6027" s="1242" t="s">
        <v>24</v>
      </c>
      <c r="H6027" s="681">
        <v>3.2000000000000002E-3</v>
      </c>
      <c r="K6027" s="841" t="s">
        <v>5110</v>
      </c>
      <c r="L6027" s="841" t="s">
        <v>3046</v>
      </c>
      <c r="M6027" s="1357"/>
      <c r="P6027" s="841" t="s">
        <v>5117</v>
      </c>
      <c r="Q6027" s="1357"/>
      <c r="S6027" s="1420"/>
      <c r="T6027" s="1420"/>
      <c r="V6027" s="1357">
        <v>55</v>
      </c>
    </row>
    <row r="6028" spans="1:22" s="841" customFormat="1" ht="15" x14ac:dyDescent="0.25">
      <c r="A6028" s="841" t="s">
        <v>205</v>
      </c>
      <c r="E6028" s="1690" t="s">
        <v>2450</v>
      </c>
      <c r="F6028" s="1690"/>
      <c r="G6028" s="1242" t="s">
        <v>24</v>
      </c>
      <c r="H6028" s="681">
        <v>4.0000000000000002E-4</v>
      </c>
      <c r="K6028" s="841" t="s">
        <v>5110</v>
      </c>
      <c r="L6028" s="841" t="s">
        <v>3046</v>
      </c>
      <c r="M6028" s="1357"/>
      <c r="P6028" s="841" t="s">
        <v>5117</v>
      </c>
      <c r="Q6028" s="1357"/>
      <c r="S6028" s="1420"/>
      <c r="T6028" s="1420"/>
      <c r="V6028" s="1357">
        <v>65</v>
      </c>
    </row>
    <row r="6029" spans="1:22" s="841" customFormat="1" ht="15" x14ac:dyDescent="0.25">
      <c r="A6029" s="841" t="s">
        <v>205</v>
      </c>
      <c r="E6029" s="1918" t="s">
        <v>5588</v>
      </c>
      <c r="F6029" s="1918"/>
      <c r="G6029" s="1242" t="s">
        <v>24</v>
      </c>
      <c r="H6029" s="681">
        <v>2.9999999999999997E-4</v>
      </c>
      <c r="K6029" s="841" t="s">
        <v>5110</v>
      </c>
      <c r="L6029" s="841" t="s">
        <v>3046</v>
      </c>
      <c r="M6029" s="1357"/>
      <c r="P6029" s="841" t="s">
        <v>5118</v>
      </c>
      <c r="Q6029" s="1357"/>
      <c r="S6029" s="1420"/>
      <c r="T6029" s="1420"/>
      <c r="V6029" s="1357">
        <v>45</v>
      </c>
    </row>
    <row r="6030" spans="1:22" s="841" customFormat="1" ht="15" x14ac:dyDescent="0.25">
      <c r="A6030" s="841" t="s">
        <v>205</v>
      </c>
      <c r="E6030" s="1918" t="s">
        <v>32</v>
      </c>
      <c r="F6030" s="1918"/>
      <c r="G6030" s="1242" t="s">
        <v>23</v>
      </c>
      <c r="H6030" s="701">
        <v>0.25</v>
      </c>
      <c r="K6030" s="841" t="s">
        <v>5110</v>
      </c>
      <c r="L6030" s="841" t="s">
        <v>3046</v>
      </c>
      <c r="M6030" s="1357"/>
      <c r="P6030" s="841" t="s">
        <v>5119</v>
      </c>
      <c r="Q6030" s="1357"/>
      <c r="S6030" s="1420"/>
      <c r="T6030" s="1420"/>
      <c r="V6030" s="1357">
        <v>63</v>
      </c>
    </row>
    <row r="6031" spans="1:22" s="841" customFormat="1" ht="15" x14ac:dyDescent="0.25">
      <c r="A6031" s="841" t="s">
        <v>205</v>
      </c>
      <c r="E6031" s="1967" t="s">
        <v>3898</v>
      </c>
      <c r="F6031" s="1977"/>
      <c r="G6031" s="1977"/>
      <c r="H6031" s="1978"/>
      <c r="K6031" s="841" t="s">
        <v>5498</v>
      </c>
      <c r="M6031" s="1357"/>
      <c r="Q6031" s="1357"/>
      <c r="S6031" s="1420"/>
      <c r="T6031" s="1420"/>
      <c r="V6031" s="1357">
        <v>53</v>
      </c>
    </row>
    <row r="6032" spans="1:22" s="841" customFormat="1" ht="15" x14ac:dyDescent="0.25">
      <c r="A6032" s="841" t="s">
        <v>205</v>
      </c>
      <c r="E6032" s="1939" t="s">
        <v>3981</v>
      </c>
      <c r="F6032" s="1939"/>
      <c r="G6032" s="1939"/>
      <c r="H6032" s="1940"/>
      <c r="K6032" s="841" t="s">
        <v>5498</v>
      </c>
      <c r="M6032" s="1357"/>
      <c r="Q6032" s="1357"/>
      <c r="S6032" s="1420"/>
      <c r="T6032" s="1420"/>
      <c r="V6032" s="1357">
        <v>355</v>
      </c>
    </row>
    <row r="6033" spans="1:22" s="841" customFormat="1" ht="15" x14ac:dyDescent="0.25">
      <c r="A6033" s="841" t="s">
        <v>205</v>
      </c>
      <c r="E6033" s="1983" t="s">
        <v>3061</v>
      </c>
      <c r="F6033" s="1697"/>
      <c r="G6033" s="1697"/>
      <c r="H6033" s="1697"/>
      <c r="K6033" s="841" t="s">
        <v>3098</v>
      </c>
      <c r="M6033" s="1357"/>
      <c r="Q6033" s="1357"/>
      <c r="S6033" s="1420"/>
      <c r="T6033" s="1420"/>
      <c r="V6033" s="1357">
        <v>11</v>
      </c>
    </row>
    <row r="6034" spans="1:22" s="841" customFormat="1" ht="15" x14ac:dyDescent="0.25">
      <c r="A6034" s="841" t="s">
        <v>205</v>
      </c>
      <c r="E6034" s="1939" t="s">
        <v>3063</v>
      </c>
      <c r="F6034" s="1939"/>
      <c r="G6034" s="1939"/>
      <c r="H6034" s="1940"/>
      <c r="K6034" s="841" t="s">
        <v>5498</v>
      </c>
      <c r="M6034" s="1357"/>
      <c r="Q6034" s="1357"/>
      <c r="S6034" s="1420"/>
      <c r="T6034" s="1420"/>
      <c r="V6034" s="1357">
        <v>280</v>
      </c>
    </row>
    <row r="6035" spans="1:22" s="841" customFormat="1" ht="15" x14ac:dyDescent="0.25">
      <c r="A6035" s="841" t="s">
        <v>205</v>
      </c>
      <c r="E6035" s="1939" t="s">
        <v>3064</v>
      </c>
      <c r="F6035" s="1939"/>
      <c r="G6035" s="1939"/>
      <c r="H6035" s="1940"/>
      <c r="K6035" s="841" t="s">
        <v>5498</v>
      </c>
      <c r="M6035" s="1357"/>
      <c r="Q6035" s="1357"/>
      <c r="S6035" s="1420"/>
      <c r="T6035" s="1420"/>
      <c r="V6035" s="1357">
        <v>411</v>
      </c>
    </row>
    <row r="6036" spans="1:22" s="841" customFormat="1" ht="15" x14ac:dyDescent="0.25">
      <c r="A6036" s="841" t="s">
        <v>205</v>
      </c>
      <c r="E6036" s="1939" t="s">
        <v>3199</v>
      </c>
      <c r="F6036" s="1939"/>
      <c r="G6036" s="1939"/>
      <c r="H6036" s="1940"/>
      <c r="K6036" s="841" t="s">
        <v>5498</v>
      </c>
      <c r="M6036" s="1357"/>
      <c r="Q6036" s="1357"/>
      <c r="S6036" s="1420"/>
      <c r="T6036" s="1420"/>
      <c r="V6036" s="1357">
        <v>386</v>
      </c>
    </row>
    <row r="6037" spans="1:22" s="841" customFormat="1" ht="15" x14ac:dyDescent="0.25">
      <c r="A6037" s="841" t="s">
        <v>205</v>
      </c>
      <c r="E6037" s="1689" t="s">
        <v>5589</v>
      </c>
      <c r="F6037" s="1689"/>
      <c r="G6037" s="1689"/>
      <c r="H6037" s="1689"/>
      <c r="K6037" s="841" t="s">
        <v>5498</v>
      </c>
      <c r="M6037" s="1357"/>
      <c r="Q6037" s="1357"/>
      <c r="S6037" s="1420"/>
      <c r="T6037" s="1420"/>
      <c r="V6037" s="1357">
        <v>627</v>
      </c>
    </row>
    <row r="6038" spans="1:22" s="841" customFormat="1" ht="15" x14ac:dyDescent="0.25">
      <c r="A6038" s="841" t="s">
        <v>205</v>
      </c>
      <c r="E6038" s="1939" t="s">
        <v>3810</v>
      </c>
      <c r="F6038" s="1939"/>
      <c r="G6038" s="1939"/>
      <c r="H6038" s="1940"/>
      <c r="K6038" s="841" t="s">
        <v>5498</v>
      </c>
      <c r="M6038" s="1357"/>
      <c r="Q6038" s="1357"/>
      <c r="S6038" s="1420"/>
      <c r="T6038" s="1420"/>
      <c r="V6038" s="1357">
        <v>246</v>
      </c>
    </row>
    <row r="6039" spans="1:22" s="841" customFormat="1" ht="15" x14ac:dyDescent="0.25">
      <c r="A6039" s="841" t="s">
        <v>205</v>
      </c>
      <c r="E6039" s="1984" t="s">
        <v>3067</v>
      </c>
      <c r="F6039" s="1693"/>
      <c r="G6039" s="1693"/>
      <c r="H6039" s="1693"/>
      <c r="K6039" s="841" t="s">
        <v>3099</v>
      </c>
      <c r="M6039" s="1357"/>
      <c r="Q6039" s="1357"/>
      <c r="S6039" s="1420"/>
      <c r="T6039" s="1420"/>
      <c r="V6039" s="1357">
        <v>46</v>
      </c>
    </row>
    <row r="6040" spans="1:22" s="841" customFormat="1" ht="15" x14ac:dyDescent="0.25">
      <c r="A6040" s="841" t="s">
        <v>205</v>
      </c>
      <c r="E6040" s="1934" t="s">
        <v>11</v>
      </c>
      <c r="F6040" s="1934"/>
      <c r="G6040" s="1237" t="s">
        <v>23</v>
      </c>
      <c r="H6040" s="699">
        <v>200</v>
      </c>
      <c r="K6040" s="841" t="s">
        <v>5498</v>
      </c>
      <c r="L6040" s="841" t="s">
        <v>442</v>
      </c>
      <c r="M6040" s="1357"/>
      <c r="P6040" s="841" t="s">
        <v>5499</v>
      </c>
      <c r="Q6040" s="1357"/>
      <c r="S6040" s="1420"/>
      <c r="T6040" s="1420"/>
      <c r="V6040" s="1357">
        <v>14</v>
      </c>
    </row>
    <row r="6041" spans="1:22" s="841" customFormat="1" ht="15" x14ac:dyDescent="0.25">
      <c r="A6041" s="841" t="s">
        <v>205</v>
      </c>
      <c r="E6041" s="1934" t="s">
        <v>84</v>
      </c>
      <c r="F6041" s="1934"/>
      <c r="G6041" s="1237" t="s">
        <v>33</v>
      </c>
      <c r="H6041" s="676">
        <v>4.5850999999999997</v>
      </c>
      <c r="K6041" s="841" t="s">
        <v>5498</v>
      </c>
      <c r="L6041" s="841" t="s">
        <v>442</v>
      </c>
      <c r="M6041" s="1357"/>
      <c r="P6041" s="841" t="s">
        <v>5501</v>
      </c>
      <c r="Q6041" s="1357"/>
      <c r="S6041" s="1420"/>
      <c r="T6041" s="1420"/>
      <c r="V6041" s="1357">
        <v>28</v>
      </c>
    </row>
    <row r="6042" spans="1:22" s="841" customFormat="1" ht="15" x14ac:dyDescent="0.25">
      <c r="A6042" s="841" t="s">
        <v>205</v>
      </c>
      <c r="E6042" s="1934" t="s">
        <v>18</v>
      </c>
      <c r="F6042" s="1934"/>
      <c r="G6042" s="1237" t="s">
        <v>33</v>
      </c>
      <c r="H6042" s="1239">
        <v>2.3990000000000001E-2</v>
      </c>
      <c r="K6042" s="841" t="s">
        <v>5498</v>
      </c>
      <c r="L6042" s="841" t="s">
        <v>443</v>
      </c>
      <c r="M6042" s="1357"/>
      <c r="P6042" s="841" t="s">
        <v>5502</v>
      </c>
      <c r="Q6042" s="1357"/>
      <c r="S6042" s="1420"/>
      <c r="T6042" s="1420"/>
      <c r="V6042" s="1357">
        <v>24</v>
      </c>
    </row>
    <row r="6043" spans="1:22" s="841" customFormat="1" ht="15" x14ac:dyDescent="0.25">
      <c r="A6043" s="841" t="s">
        <v>205</v>
      </c>
      <c r="E6043" s="1934" t="s">
        <v>5586</v>
      </c>
      <c r="F6043" s="1904"/>
      <c r="G6043" s="1241" t="s">
        <v>24</v>
      </c>
      <c r="H6043" s="1240">
        <v>-6.9999999999999999E-4</v>
      </c>
      <c r="K6043" s="841" t="s">
        <v>5498</v>
      </c>
      <c r="L6043" s="841" t="s">
        <v>443</v>
      </c>
      <c r="M6043" s="1357"/>
      <c r="P6043" s="841" t="s">
        <v>5503</v>
      </c>
      <c r="Q6043" s="1357"/>
      <c r="S6043" s="1420"/>
      <c r="T6043" s="1420">
        <v>43465</v>
      </c>
      <c r="V6043" s="1357">
        <v>138</v>
      </c>
    </row>
    <row r="6044" spans="1:22" s="841" customFormat="1" ht="15" x14ac:dyDescent="0.25">
      <c r="A6044" s="841" t="s">
        <v>205</v>
      </c>
      <c r="E6044" s="1934" t="s">
        <v>5144</v>
      </c>
      <c r="F6044" s="1904"/>
      <c r="G6044" s="1237" t="s">
        <v>33</v>
      </c>
      <c r="H6044" s="1240">
        <v>-0.16650000000000001</v>
      </c>
      <c r="K6044" s="841" t="s">
        <v>5498</v>
      </c>
      <c r="L6044" s="841" t="s">
        <v>443</v>
      </c>
      <c r="M6044" s="1357"/>
      <c r="P6044" s="841" t="s">
        <v>5504</v>
      </c>
      <c r="Q6044" s="1357"/>
      <c r="S6044" s="1420"/>
      <c r="T6044" s="1420">
        <v>43465</v>
      </c>
      <c r="V6044" s="1357">
        <v>99</v>
      </c>
    </row>
    <row r="6045" spans="1:22" s="841" customFormat="1" ht="15" x14ac:dyDescent="0.25">
      <c r="A6045" s="841" t="s">
        <v>205</v>
      </c>
      <c r="E6045" s="1934" t="s">
        <v>5587</v>
      </c>
      <c r="F6045" s="1904"/>
      <c r="G6045" s="1241" t="s">
        <v>33</v>
      </c>
      <c r="H6045" s="1240">
        <v>-0.33810000000000001</v>
      </c>
      <c r="K6045" s="841" t="s">
        <v>5498</v>
      </c>
      <c r="L6045" s="841" t="s">
        <v>443</v>
      </c>
      <c r="M6045" s="1357"/>
      <c r="P6045" s="841" t="s">
        <v>5504</v>
      </c>
      <c r="Q6045" s="1357"/>
      <c r="S6045" s="1420"/>
      <c r="T6045" s="1420">
        <v>43465</v>
      </c>
      <c r="V6045" s="1357">
        <v>155</v>
      </c>
    </row>
    <row r="6046" spans="1:22" s="841" customFormat="1" ht="15" x14ac:dyDescent="0.25">
      <c r="A6046" s="841" t="s">
        <v>205</v>
      </c>
      <c r="E6046" s="1934" t="s">
        <v>221</v>
      </c>
      <c r="F6046" s="1934"/>
      <c r="G6046" s="1237" t="s">
        <v>33</v>
      </c>
      <c r="H6046" s="676">
        <v>2.7422</v>
      </c>
      <c r="K6046" s="841" t="s">
        <v>5498</v>
      </c>
      <c r="L6046" s="841" t="s">
        <v>444</v>
      </c>
      <c r="M6046" s="1357"/>
      <c r="P6046" s="841" t="s">
        <v>5505</v>
      </c>
      <c r="Q6046" s="1357"/>
      <c r="S6046" s="1420"/>
      <c r="T6046" s="1420"/>
      <c r="V6046" s="1357">
        <v>47</v>
      </c>
    </row>
    <row r="6047" spans="1:22" s="841" customFormat="1" ht="15" x14ac:dyDescent="0.25">
      <c r="A6047" s="841" t="s">
        <v>205</v>
      </c>
      <c r="E6047" s="1934" t="s">
        <v>217</v>
      </c>
      <c r="F6047" s="1934"/>
      <c r="G6047" s="1237" t="s">
        <v>33</v>
      </c>
      <c r="H6047" s="676">
        <v>1.9100999999999999</v>
      </c>
      <c r="K6047" s="841" t="s">
        <v>5498</v>
      </c>
      <c r="L6047" s="841" t="s">
        <v>444</v>
      </c>
      <c r="M6047" s="1357"/>
      <c r="P6047" s="841" t="s">
        <v>5590</v>
      </c>
      <c r="Q6047" s="1357"/>
      <c r="S6047" s="1420"/>
      <c r="T6047" s="1420"/>
      <c r="V6047" s="1357">
        <v>74</v>
      </c>
    </row>
    <row r="6048" spans="1:22" s="841" customFormat="1" ht="15" x14ac:dyDescent="0.25">
      <c r="A6048" s="841" t="s">
        <v>205</v>
      </c>
      <c r="E6048" s="1942" t="s">
        <v>3079</v>
      </c>
      <c r="F6048" s="1690"/>
      <c r="G6048" s="679"/>
      <c r="H6048" s="676"/>
      <c r="K6048" s="841" t="s">
        <v>3218</v>
      </c>
      <c r="M6048" s="1357"/>
      <c r="Q6048" s="1357"/>
      <c r="S6048" s="1420"/>
      <c r="T6048" s="1420"/>
      <c r="V6048" s="1357">
        <v>48</v>
      </c>
    </row>
    <row r="6049" spans="1:22" s="841" customFormat="1" ht="15" x14ac:dyDescent="0.25">
      <c r="A6049" s="841" t="s">
        <v>205</v>
      </c>
      <c r="E6049" s="1918" t="s">
        <v>2449</v>
      </c>
      <c r="F6049" s="1918"/>
      <c r="G6049" s="1242" t="s">
        <v>24</v>
      </c>
      <c r="H6049" s="681">
        <v>3.2000000000000002E-3</v>
      </c>
      <c r="K6049" s="841" t="s">
        <v>5498</v>
      </c>
      <c r="L6049" s="841" t="s">
        <v>3046</v>
      </c>
      <c r="M6049" s="1357"/>
      <c r="P6049" s="841" t="s">
        <v>5507</v>
      </c>
      <c r="Q6049" s="1357"/>
      <c r="S6049" s="1420"/>
      <c r="T6049" s="1420"/>
      <c r="V6049" s="1357">
        <v>55</v>
      </c>
    </row>
    <row r="6050" spans="1:22" s="841" customFormat="1" ht="15" x14ac:dyDescent="0.25">
      <c r="A6050" s="841" t="s">
        <v>205</v>
      </c>
      <c r="E6050" s="1690" t="s">
        <v>2450</v>
      </c>
      <c r="F6050" s="1690"/>
      <c r="G6050" s="1242" t="s">
        <v>24</v>
      </c>
      <c r="H6050" s="681">
        <v>4.0000000000000002E-4</v>
      </c>
      <c r="K6050" s="841" t="s">
        <v>5498</v>
      </c>
      <c r="L6050" s="841" t="s">
        <v>3046</v>
      </c>
      <c r="M6050" s="1357"/>
      <c r="P6050" s="841" t="s">
        <v>5507</v>
      </c>
      <c r="Q6050" s="1357"/>
      <c r="S6050" s="1420"/>
      <c r="T6050" s="1420"/>
      <c r="V6050" s="1357">
        <v>65</v>
      </c>
    </row>
    <row r="6051" spans="1:22" s="841" customFormat="1" ht="15" x14ac:dyDescent="0.25">
      <c r="A6051" s="841" t="s">
        <v>205</v>
      </c>
      <c r="E6051" s="1918" t="s">
        <v>5588</v>
      </c>
      <c r="F6051" s="1918"/>
      <c r="G6051" s="1242" t="s">
        <v>24</v>
      </c>
      <c r="H6051" s="681">
        <v>2.9999999999999997E-4</v>
      </c>
      <c r="K6051" s="841" t="s">
        <v>5498</v>
      </c>
      <c r="L6051" s="841" t="s">
        <v>3046</v>
      </c>
      <c r="M6051" s="1357"/>
      <c r="P6051" s="841" t="s">
        <v>5508</v>
      </c>
      <c r="Q6051" s="1357"/>
      <c r="S6051" s="1420"/>
      <c r="T6051" s="1420"/>
      <c r="V6051" s="1357">
        <v>45</v>
      </c>
    </row>
    <row r="6052" spans="1:22" s="841" customFormat="1" ht="15" x14ac:dyDescent="0.25">
      <c r="A6052" s="841" t="s">
        <v>205</v>
      </c>
      <c r="E6052" s="1918" t="s">
        <v>32</v>
      </c>
      <c r="F6052" s="1918"/>
      <c r="G6052" s="1242" t="s">
        <v>23</v>
      </c>
      <c r="H6052" s="701">
        <v>0.25</v>
      </c>
      <c r="K6052" s="841" t="s">
        <v>5498</v>
      </c>
      <c r="L6052" s="841" t="s">
        <v>3046</v>
      </c>
      <c r="M6052" s="1357"/>
      <c r="P6052" s="841" t="s">
        <v>5509</v>
      </c>
      <c r="Q6052" s="1357"/>
      <c r="S6052" s="1420"/>
      <c r="T6052" s="1420"/>
      <c r="V6052" s="1357">
        <v>63</v>
      </c>
    </row>
    <row r="6053" spans="1:22" s="841" customFormat="1" ht="15" x14ac:dyDescent="0.25">
      <c r="A6053" s="841" t="s">
        <v>205</v>
      </c>
      <c r="E6053" s="1967" t="s">
        <v>2464</v>
      </c>
      <c r="F6053" s="1977"/>
      <c r="G6053" s="1977"/>
      <c r="H6053" s="1978"/>
      <c r="K6053" s="841" t="s">
        <v>5591</v>
      </c>
      <c r="M6053" s="1357"/>
      <c r="Q6053" s="1357"/>
      <c r="S6053" s="1420"/>
      <c r="T6053" s="1420"/>
      <c r="V6053" s="1357">
        <v>56</v>
      </c>
    </row>
    <row r="6054" spans="1:22" s="841" customFormat="1" ht="15" x14ac:dyDescent="0.25">
      <c r="A6054" s="841" t="s">
        <v>205</v>
      </c>
      <c r="E6054" s="1939" t="s">
        <v>3982</v>
      </c>
      <c r="F6054" s="1939"/>
      <c r="G6054" s="1939"/>
      <c r="H6054" s="1940"/>
      <c r="K6054" s="841" t="s">
        <v>5591</v>
      </c>
      <c r="M6054" s="1357"/>
      <c r="Q6054" s="1357"/>
      <c r="S6054" s="1420"/>
      <c r="T6054" s="1420"/>
      <c r="V6054" s="1357">
        <v>359</v>
      </c>
    </row>
    <row r="6055" spans="1:22" s="841" customFormat="1" ht="15" x14ac:dyDescent="0.25">
      <c r="A6055" s="841" t="s">
        <v>205</v>
      </c>
      <c r="E6055" s="1983" t="s">
        <v>3061</v>
      </c>
      <c r="F6055" s="1697"/>
      <c r="G6055" s="1697"/>
      <c r="H6055" s="1697"/>
      <c r="K6055" s="841" t="s">
        <v>3221</v>
      </c>
      <c r="M6055" s="1357"/>
      <c r="Q6055" s="1357"/>
      <c r="S6055" s="1420"/>
      <c r="T6055" s="1420"/>
      <c r="V6055" s="1357">
        <v>11</v>
      </c>
    </row>
    <row r="6056" spans="1:22" s="841" customFormat="1" ht="15" x14ac:dyDescent="0.25">
      <c r="A6056" s="841" t="s">
        <v>205</v>
      </c>
      <c r="E6056" s="1939" t="s">
        <v>3063</v>
      </c>
      <c r="F6056" s="1939"/>
      <c r="G6056" s="1939"/>
      <c r="H6056" s="1940"/>
      <c r="K6056" s="841" t="s">
        <v>5591</v>
      </c>
      <c r="M6056" s="1357"/>
      <c r="Q6056" s="1357"/>
      <c r="S6056" s="1420"/>
      <c r="T6056" s="1420"/>
      <c r="V6056" s="1357">
        <v>280</v>
      </c>
    </row>
    <row r="6057" spans="1:22" s="841" customFormat="1" ht="15" x14ac:dyDescent="0.25">
      <c r="A6057" s="841" t="s">
        <v>205</v>
      </c>
      <c r="E6057" s="1939" t="s">
        <v>3983</v>
      </c>
      <c r="F6057" s="1939"/>
      <c r="G6057" s="1939"/>
      <c r="H6057" s="1940"/>
      <c r="K6057" s="841" t="s">
        <v>5591</v>
      </c>
      <c r="M6057" s="1357"/>
      <c r="Q6057" s="1357"/>
      <c r="S6057" s="1420"/>
      <c r="T6057" s="1420"/>
      <c r="V6057" s="1357">
        <v>396</v>
      </c>
    </row>
    <row r="6058" spans="1:22" s="841" customFormat="1" ht="15" x14ac:dyDescent="0.25">
      <c r="A6058" s="841" t="s">
        <v>205</v>
      </c>
      <c r="E6058" s="1939" t="s">
        <v>3199</v>
      </c>
      <c r="F6058" s="1939"/>
      <c r="G6058" s="1939"/>
      <c r="H6058" s="1940"/>
      <c r="K6058" s="841" t="s">
        <v>5591</v>
      </c>
      <c r="M6058" s="1357"/>
      <c r="Q6058" s="1357"/>
      <c r="S6058" s="1420"/>
      <c r="T6058" s="1420"/>
      <c r="V6058" s="1357">
        <v>386</v>
      </c>
    </row>
    <row r="6059" spans="1:22" s="841" customFormat="1" ht="15" x14ac:dyDescent="0.25">
      <c r="A6059" s="841" t="s">
        <v>205</v>
      </c>
      <c r="E6059" s="1689" t="s">
        <v>5589</v>
      </c>
      <c r="F6059" s="1689"/>
      <c r="G6059" s="1689"/>
      <c r="H6059" s="1689"/>
      <c r="K6059" s="841" t="s">
        <v>5591</v>
      </c>
      <c r="M6059" s="1357"/>
      <c r="Q6059" s="1357"/>
      <c r="S6059" s="1420"/>
      <c r="T6059" s="1420"/>
      <c r="V6059" s="1357">
        <v>627</v>
      </c>
    </row>
    <row r="6060" spans="1:22" s="841" customFormat="1" ht="15" x14ac:dyDescent="0.25">
      <c r="A6060" s="841" t="s">
        <v>205</v>
      </c>
      <c r="E6060" s="1939" t="s">
        <v>3810</v>
      </c>
      <c r="F6060" s="1939"/>
      <c r="G6060" s="1939"/>
      <c r="H6060" s="1940"/>
      <c r="K6060" s="841" t="s">
        <v>5591</v>
      </c>
      <c r="M6060" s="1357"/>
      <c r="Q6060" s="1357"/>
      <c r="S6060" s="1420"/>
      <c r="T6060" s="1420"/>
      <c r="V6060" s="1357">
        <v>246</v>
      </c>
    </row>
    <row r="6061" spans="1:22" s="841" customFormat="1" ht="15" x14ac:dyDescent="0.25">
      <c r="A6061" s="841" t="s">
        <v>205</v>
      </c>
      <c r="E6061" s="1984" t="s">
        <v>3067</v>
      </c>
      <c r="F6061" s="1693"/>
      <c r="G6061" s="1693"/>
      <c r="H6061" s="1693"/>
      <c r="K6061" s="841" t="s">
        <v>3224</v>
      </c>
      <c r="M6061" s="1357"/>
      <c r="Q6061" s="1357"/>
      <c r="S6061" s="1420"/>
      <c r="T6061" s="1420"/>
      <c r="V6061" s="1357">
        <v>46</v>
      </c>
    </row>
    <row r="6062" spans="1:22" s="841" customFormat="1" ht="15" x14ac:dyDescent="0.25">
      <c r="A6062" s="841" t="s">
        <v>205</v>
      </c>
      <c r="E6062" s="1934" t="s">
        <v>11</v>
      </c>
      <c r="F6062" s="1934"/>
      <c r="G6062" s="1237" t="s">
        <v>23</v>
      </c>
      <c r="H6062" s="699">
        <v>4193.93</v>
      </c>
      <c r="K6062" s="841" t="s">
        <v>5591</v>
      </c>
      <c r="L6062" s="841" t="s">
        <v>442</v>
      </c>
      <c r="M6062" s="1357"/>
      <c r="P6062" s="841" t="s">
        <v>5592</v>
      </c>
      <c r="Q6062" s="1357"/>
      <c r="S6062" s="1420"/>
      <c r="T6062" s="1420"/>
      <c r="V6062" s="1357">
        <v>14</v>
      </c>
    </row>
    <row r="6063" spans="1:22" s="841" customFormat="1" ht="15" x14ac:dyDescent="0.25">
      <c r="A6063" s="841" t="s">
        <v>205</v>
      </c>
      <c r="E6063" s="1934" t="s">
        <v>84</v>
      </c>
      <c r="F6063" s="1934"/>
      <c r="G6063" s="1237" t="s">
        <v>33</v>
      </c>
      <c r="H6063" s="676">
        <v>4.1833999999999998</v>
      </c>
      <c r="K6063" s="841" t="s">
        <v>5591</v>
      </c>
      <c r="L6063" s="841" t="s">
        <v>442</v>
      </c>
      <c r="M6063" s="1357"/>
      <c r="P6063" s="841" t="s">
        <v>5593</v>
      </c>
      <c r="Q6063" s="1357"/>
      <c r="S6063" s="1420"/>
      <c r="T6063" s="1420"/>
      <c r="V6063" s="1357">
        <v>28</v>
      </c>
    </row>
    <row r="6064" spans="1:22" s="841" customFormat="1" ht="15" x14ac:dyDescent="0.25">
      <c r="A6064" s="841" t="s">
        <v>205</v>
      </c>
      <c r="E6064" s="1934" t="s">
        <v>18</v>
      </c>
      <c r="F6064" s="1934"/>
      <c r="G6064" s="1237" t="s">
        <v>33</v>
      </c>
      <c r="H6064" s="1239">
        <v>2.564E-2</v>
      </c>
      <c r="K6064" s="841" t="s">
        <v>5591</v>
      </c>
      <c r="L6064" s="841" t="s">
        <v>443</v>
      </c>
      <c r="M6064" s="1357"/>
      <c r="P6064" s="841" t="s">
        <v>5594</v>
      </c>
      <c r="Q6064" s="1357"/>
      <c r="S6064" s="1420"/>
      <c r="T6064" s="1420"/>
      <c r="V6064" s="1357">
        <v>24</v>
      </c>
    </row>
    <row r="6065" spans="1:22" s="841" customFormat="1" ht="15" x14ac:dyDescent="0.25">
      <c r="A6065" s="841" t="s">
        <v>205</v>
      </c>
      <c r="E6065" s="1934" t="s">
        <v>5586</v>
      </c>
      <c r="F6065" s="1904"/>
      <c r="G6065" s="1241" t="s">
        <v>24</v>
      </c>
      <c r="H6065" s="1240">
        <v>-6.9999999999999999E-4</v>
      </c>
      <c r="K6065" s="841" t="s">
        <v>5591</v>
      </c>
      <c r="L6065" s="841" t="s">
        <v>443</v>
      </c>
      <c r="M6065" s="1357"/>
      <c r="P6065" s="841" t="s">
        <v>5595</v>
      </c>
      <c r="Q6065" s="1357"/>
      <c r="S6065" s="1420"/>
      <c r="T6065" s="1420">
        <v>43465</v>
      </c>
      <c r="V6065" s="1357">
        <v>138</v>
      </c>
    </row>
    <row r="6066" spans="1:22" s="841" customFormat="1" ht="15" x14ac:dyDescent="0.25">
      <c r="A6066" s="841" t="s">
        <v>205</v>
      </c>
      <c r="E6066" s="1934" t="s">
        <v>5144</v>
      </c>
      <c r="F6066" s="1904"/>
      <c r="G6066" s="1237" t="s">
        <v>33</v>
      </c>
      <c r="H6066" s="1240">
        <v>-0.1847</v>
      </c>
      <c r="K6066" s="841" t="s">
        <v>5591</v>
      </c>
      <c r="L6066" s="841" t="s">
        <v>443</v>
      </c>
      <c r="M6066" s="1357"/>
      <c r="P6066" s="841" t="s">
        <v>5596</v>
      </c>
      <c r="Q6066" s="1357"/>
      <c r="S6066" s="1420"/>
      <c r="T6066" s="1420">
        <v>43465</v>
      </c>
      <c r="V6066" s="1357">
        <v>99</v>
      </c>
    </row>
    <row r="6067" spans="1:22" s="841" customFormat="1" ht="15" x14ac:dyDescent="0.25">
      <c r="A6067" s="841" t="s">
        <v>205</v>
      </c>
      <c r="E6067" s="1934" t="s">
        <v>5587</v>
      </c>
      <c r="F6067" s="1904"/>
      <c r="G6067" s="1241" t="s">
        <v>33</v>
      </c>
      <c r="H6067" s="1240">
        <v>-0.37609999999999999</v>
      </c>
      <c r="K6067" s="841" t="s">
        <v>5591</v>
      </c>
      <c r="L6067" s="841" t="s">
        <v>443</v>
      </c>
      <c r="M6067" s="1357"/>
      <c r="P6067" s="841" t="s">
        <v>5596</v>
      </c>
      <c r="Q6067" s="1357"/>
      <c r="S6067" s="1420"/>
      <c r="T6067" s="1420">
        <v>43465</v>
      </c>
      <c r="V6067" s="1357">
        <v>155</v>
      </c>
    </row>
    <row r="6068" spans="1:22" s="841" customFormat="1" ht="15" x14ac:dyDescent="0.25">
      <c r="A6068" s="841" t="s">
        <v>205</v>
      </c>
      <c r="E6068" s="1934" t="s">
        <v>221</v>
      </c>
      <c r="F6068" s="1934"/>
      <c r="G6068" s="1237" t="s">
        <v>33</v>
      </c>
      <c r="H6068" s="676">
        <v>2.8472</v>
      </c>
      <c r="K6068" s="841" t="s">
        <v>5591</v>
      </c>
      <c r="L6068" s="841" t="s">
        <v>444</v>
      </c>
      <c r="M6068" s="1357"/>
      <c r="P6068" s="841" t="s">
        <v>5597</v>
      </c>
      <c r="Q6068" s="1357"/>
      <c r="S6068" s="1420"/>
      <c r="T6068" s="1420"/>
      <c r="V6068" s="1357">
        <v>47</v>
      </c>
    </row>
    <row r="6069" spans="1:22" s="841" customFormat="1" ht="15" x14ac:dyDescent="0.25">
      <c r="A6069" s="841" t="s">
        <v>205</v>
      </c>
      <c r="E6069" s="1934" t="s">
        <v>217</v>
      </c>
      <c r="F6069" s="1934"/>
      <c r="G6069" s="1237" t="s">
        <v>33</v>
      </c>
      <c r="H6069" s="676">
        <v>2.0413999999999999</v>
      </c>
      <c r="K6069" s="841" t="s">
        <v>5591</v>
      </c>
      <c r="L6069" s="841" t="s">
        <v>444</v>
      </c>
      <c r="M6069" s="1357"/>
      <c r="P6069" s="841" t="s">
        <v>5598</v>
      </c>
      <c r="Q6069" s="1357"/>
      <c r="S6069" s="1420"/>
      <c r="T6069" s="1420"/>
      <c r="V6069" s="1357">
        <v>74</v>
      </c>
    </row>
    <row r="6070" spans="1:22" s="841" customFormat="1" ht="15" x14ac:dyDescent="0.25">
      <c r="A6070" s="841" t="s">
        <v>205</v>
      </c>
      <c r="E6070" s="1942" t="s">
        <v>3079</v>
      </c>
      <c r="F6070" s="1690"/>
      <c r="G6070" s="679"/>
      <c r="H6070" s="676"/>
      <c r="K6070" s="841" t="s">
        <v>3225</v>
      </c>
      <c r="M6070" s="1357"/>
      <c r="Q6070" s="1357"/>
      <c r="S6070" s="1420"/>
      <c r="T6070" s="1420"/>
      <c r="V6070" s="1357">
        <v>48</v>
      </c>
    </row>
    <row r="6071" spans="1:22" s="841" customFormat="1" ht="15" x14ac:dyDescent="0.25">
      <c r="A6071" s="841" t="s">
        <v>205</v>
      </c>
      <c r="E6071" s="1918" t="s">
        <v>2449</v>
      </c>
      <c r="F6071" s="1918"/>
      <c r="G6071" s="1242" t="s">
        <v>24</v>
      </c>
      <c r="H6071" s="681">
        <v>3.2000000000000002E-3</v>
      </c>
      <c r="K6071" s="841" t="s">
        <v>5591</v>
      </c>
      <c r="L6071" s="841" t="s">
        <v>3046</v>
      </c>
      <c r="M6071" s="1357"/>
      <c r="P6071" s="841" t="s">
        <v>5599</v>
      </c>
      <c r="Q6071" s="1357"/>
      <c r="S6071" s="1420"/>
      <c r="T6071" s="1420"/>
      <c r="V6071" s="1357">
        <v>55</v>
      </c>
    </row>
    <row r="6072" spans="1:22" s="841" customFormat="1" ht="15" x14ac:dyDescent="0.25">
      <c r="A6072" s="841" t="s">
        <v>205</v>
      </c>
      <c r="E6072" s="1690" t="s">
        <v>2450</v>
      </c>
      <c r="F6072" s="1690"/>
      <c r="G6072" s="1242" t="s">
        <v>24</v>
      </c>
      <c r="H6072" s="681">
        <v>4.0000000000000002E-4</v>
      </c>
      <c r="K6072" s="841" t="s">
        <v>5591</v>
      </c>
      <c r="L6072" s="841" t="s">
        <v>3046</v>
      </c>
      <c r="M6072" s="1357"/>
      <c r="P6072" s="841" t="s">
        <v>5599</v>
      </c>
      <c r="Q6072" s="1357"/>
      <c r="S6072" s="1420"/>
      <c r="T6072" s="1420"/>
      <c r="V6072" s="1357">
        <v>65</v>
      </c>
    </row>
    <row r="6073" spans="1:22" s="841" customFormat="1" ht="15" x14ac:dyDescent="0.25">
      <c r="A6073" s="841" t="s">
        <v>205</v>
      </c>
      <c r="E6073" s="1918" t="s">
        <v>5588</v>
      </c>
      <c r="F6073" s="1918"/>
      <c r="G6073" s="1242" t="s">
        <v>24</v>
      </c>
      <c r="H6073" s="681">
        <v>2.9999999999999997E-4</v>
      </c>
      <c r="K6073" s="841" t="s">
        <v>5591</v>
      </c>
      <c r="L6073" s="841" t="s">
        <v>3046</v>
      </c>
      <c r="M6073" s="1357"/>
      <c r="P6073" s="841" t="s">
        <v>5600</v>
      </c>
      <c r="Q6073" s="1357"/>
      <c r="S6073" s="1420"/>
      <c r="T6073" s="1420"/>
      <c r="V6073" s="1357">
        <v>45</v>
      </c>
    </row>
    <row r="6074" spans="1:22" s="841" customFormat="1" ht="15" x14ac:dyDescent="0.25">
      <c r="A6074" s="841" t="s">
        <v>205</v>
      </c>
      <c r="E6074" s="1918" t="s">
        <v>32</v>
      </c>
      <c r="F6074" s="1918"/>
      <c r="G6074" s="1242" t="s">
        <v>23</v>
      </c>
      <c r="H6074" s="701">
        <v>0.25</v>
      </c>
      <c r="K6074" s="841" t="s">
        <v>5591</v>
      </c>
      <c r="L6074" s="841" t="s">
        <v>3046</v>
      </c>
      <c r="M6074" s="1357"/>
      <c r="P6074" s="841" t="s">
        <v>5601</v>
      </c>
      <c r="Q6074" s="1357"/>
      <c r="S6074" s="1420"/>
      <c r="T6074" s="1420"/>
      <c r="V6074" s="1357">
        <v>63</v>
      </c>
    </row>
    <row r="6075" spans="1:22" s="841" customFormat="1" ht="15" x14ac:dyDescent="0.25">
      <c r="A6075" s="841" t="s">
        <v>205</v>
      </c>
      <c r="E6075" s="1967" t="s">
        <v>621</v>
      </c>
      <c r="F6075" s="1977"/>
      <c r="G6075" s="1977"/>
      <c r="H6075" s="1978"/>
      <c r="K6075" s="841" t="s">
        <v>3226</v>
      </c>
      <c r="M6075" s="1357"/>
      <c r="Q6075" s="1357"/>
      <c r="S6075" s="1420"/>
      <c r="T6075" s="1420"/>
      <c r="V6075" s="1357">
        <v>32</v>
      </c>
    </row>
    <row r="6076" spans="1:22" s="841" customFormat="1" ht="15" x14ac:dyDescent="0.25">
      <c r="A6076" s="841" t="s">
        <v>205</v>
      </c>
      <c r="E6076" s="1939" t="s">
        <v>3984</v>
      </c>
      <c r="F6076" s="1939"/>
      <c r="G6076" s="1939"/>
      <c r="H6076" s="1940"/>
      <c r="K6076" s="841" t="s">
        <v>3226</v>
      </c>
      <c r="M6076" s="1357"/>
      <c r="Q6076" s="1357"/>
      <c r="S6076" s="1420"/>
      <c r="T6076" s="1420"/>
      <c r="V6076" s="1357">
        <v>320</v>
      </c>
    </row>
    <row r="6077" spans="1:22" s="841" customFormat="1" ht="15" x14ac:dyDescent="0.25">
      <c r="A6077" s="841" t="s">
        <v>205</v>
      </c>
      <c r="E6077" s="1983" t="s">
        <v>3061</v>
      </c>
      <c r="F6077" s="1697"/>
      <c r="G6077" s="1697"/>
      <c r="H6077" s="1697"/>
      <c r="K6077" s="841" t="s">
        <v>3107</v>
      </c>
      <c r="M6077" s="1357"/>
      <c r="Q6077" s="1357"/>
      <c r="S6077" s="1420"/>
      <c r="T6077" s="1420"/>
      <c r="V6077" s="1357">
        <v>11</v>
      </c>
    </row>
    <row r="6078" spans="1:22" s="841" customFormat="1" ht="15" x14ac:dyDescent="0.25">
      <c r="A6078" s="841" t="s">
        <v>205</v>
      </c>
      <c r="E6078" s="1939" t="s">
        <v>3063</v>
      </c>
      <c r="F6078" s="1939"/>
      <c r="G6078" s="1939"/>
      <c r="H6078" s="1940"/>
      <c r="K6078" s="841" t="s">
        <v>3226</v>
      </c>
      <c r="M6078" s="1357"/>
      <c r="Q6078" s="1357"/>
      <c r="S6078" s="1420"/>
      <c r="T6078" s="1420"/>
      <c r="V6078" s="1357">
        <v>280</v>
      </c>
    </row>
    <row r="6079" spans="1:22" s="841" customFormat="1" ht="15" x14ac:dyDescent="0.25">
      <c r="A6079" s="841" t="s">
        <v>205</v>
      </c>
      <c r="E6079" s="1939" t="s">
        <v>3985</v>
      </c>
      <c r="F6079" s="1939"/>
      <c r="G6079" s="1939"/>
      <c r="H6079" s="1940"/>
      <c r="K6079" s="841" t="s">
        <v>3226</v>
      </c>
      <c r="M6079" s="1357"/>
      <c r="Q6079" s="1357"/>
      <c r="S6079" s="1420"/>
      <c r="T6079" s="1420"/>
      <c r="V6079" s="1357">
        <v>396</v>
      </c>
    </row>
    <row r="6080" spans="1:22" s="841" customFormat="1" ht="15" x14ac:dyDescent="0.25">
      <c r="A6080" s="841" t="s">
        <v>205</v>
      </c>
      <c r="E6080" s="1939" t="s">
        <v>3199</v>
      </c>
      <c r="F6080" s="1939"/>
      <c r="G6080" s="1939"/>
      <c r="H6080" s="1940"/>
      <c r="K6080" s="841" t="s">
        <v>3226</v>
      </c>
      <c r="M6080" s="1357"/>
      <c r="Q6080" s="1357"/>
      <c r="S6080" s="1420"/>
      <c r="T6080" s="1420"/>
      <c r="V6080" s="1357">
        <v>386</v>
      </c>
    </row>
    <row r="6081" spans="1:22" s="841" customFormat="1" ht="15" x14ac:dyDescent="0.25">
      <c r="A6081" s="841" t="s">
        <v>205</v>
      </c>
      <c r="E6081" s="1689" t="s">
        <v>5589</v>
      </c>
      <c r="F6081" s="1689"/>
      <c r="G6081" s="1689"/>
      <c r="H6081" s="1689"/>
      <c r="K6081" s="841" t="s">
        <v>3226</v>
      </c>
      <c r="M6081" s="1357"/>
      <c r="Q6081" s="1357"/>
      <c r="S6081" s="1420"/>
      <c r="T6081" s="1420"/>
      <c r="V6081" s="1357">
        <v>627</v>
      </c>
    </row>
    <row r="6082" spans="1:22" s="841" customFormat="1" ht="15" x14ac:dyDescent="0.25">
      <c r="A6082" s="841" t="s">
        <v>205</v>
      </c>
      <c r="E6082" s="1939" t="s">
        <v>3810</v>
      </c>
      <c r="F6082" s="1939"/>
      <c r="G6082" s="1939"/>
      <c r="H6082" s="1940"/>
      <c r="K6082" s="841" t="s">
        <v>3226</v>
      </c>
      <c r="M6082" s="1357"/>
      <c r="Q6082" s="1357"/>
      <c r="S6082" s="1420"/>
      <c r="T6082" s="1420"/>
      <c r="V6082" s="1357">
        <v>246</v>
      </c>
    </row>
    <row r="6083" spans="1:22" s="841" customFormat="1" ht="15" x14ac:dyDescent="0.25">
      <c r="A6083" s="841" t="s">
        <v>205</v>
      </c>
      <c r="E6083" s="1984" t="s">
        <v>3067</v>
      </c>
      <c r="F6083" s="1693"/>
      <c r="G6083" s="1693"/>
      <c r="H6083" s="1693"/>
      <c r="K6083" s="841" t="s">
        <v>3108</v>
      </c>
      <c r="M6083" s="1357"/>
      <c r="Q6083" s="1357"/>
      <c r="S6083" s="1420"/>
      <c r="T6083" s="1420"/>
      <c r="V6083" s="1357">
        <v>46</v>
      </c>
    </row>
    <row r="6084" spans="1:22" s="841" customFormat="1" ht="15" x14ac:dyDescent="0.25">
      <c r="A6084" s="841" t="s">
        <v>205</v>
      </c>
      <c r="E6084" s="1934" t="s">
        <v>11</v>
      </c>
      <c r="F6084" s="1934"/>
      <c r="G6084" s="1237" t="s">
        <v>23</v>
      </c>
      <c r="H6084" s="699">
        <v>15231.32</v>
      </c>
      <c r="K6084" s="841" t="s">
        <v>3226</v>
      </c>
      <c r="L6084" s="841" t="s">
        <v>442</v>
      </c>
      <c r="M6084" s="1357"/>
      <c r="P6084" s="841" t="s">
        <v>3228</v>
      </c>
      <c r="Q6084" s="1357"/>
      <c r="S6084" s="1420"/>
      <c r="T6084" s="1420"/>
      <c r="V6084" s="1357">
        <v>14</v>
      </c>
    </row>
    <row r="6085" spans="1:22" s="841" customFormat="1" ht="15" x14ac:dyDescent="0.25">
      <c r="A6085" s="841" t="s">
        <v>205</v>
      </c>
      <c r="E6085" s="1934" t="s">
        <v>84</v>
      </c>
      <c r="F6085" s="1934"/>
      <c r="G6085" s="1237" t="s">
        <v>33</v>
      </c>
      <c r="H6085" s="676">
        <v>3.9710000000000001</v>
      </c>
      <c r="K6085" s="841" t="s">
        <v>3226</v>
      </c>
      <c r="L6085" s="841" t="s">
        <v>442</v>
      </c>
      <c r="M6085" s="1357"/>
      <c r="P6085" s="841" t="s">
        <v>3229</v>
      </c>
      <c r="Q6085" s="1357"/>
      <c r="S6085" s="1420"/>
      <c r="T6085" s="1420"/>
      <c r="V6085" s="1357">
        <v>28</v>
      </c>
    </row>
    <row r="6086" spans="1:22" s="841" customFormat="1" ht="15" x14ac:dyDescent="0.25">
      <c r="A6086" s="841" t="s">
        <v>205</v>
      </c>
      <c r="E6086" s="1934" t="s">
        <v>18</v>
      </c>
      <c r="F6086" s="1934"/>
      <c r="G6086" s="1237" t="s">
        <v>33</v>
      </c>
      <c r="H6086" s="1239">
        <v>2.887E-2</v>
      </c>
      <c r="K6086" s="841" t="s">
        <v>3226</v>
      </c>
      <c r="L6086" s="841" t="s">
        <v>443</v>
      </c>
      <c r="M6086" s="1357"/>
      <c r="P6086" s="841" t="s">
        <v>3230</v>
      </c>
      <c r="Q6086" s="1357"/>
      <c r="S6086" s="1420"/>
      <c r="T6086" s="1420"/>
      <c r="V6086" s="1357">
        <v>24</v>
      </c>
    </row>
    <row r="6087" spans="1:22" s="841" customFormat="1" ht="15" x14ac:dyDescent="0.25">
      <c r="A6087" s="841" t="s">
        <v>205</v>
      </c>
      <c r="E6087" s="1934" t="s">
        <v>5586</v>
      </c>
      <c r="F6087" s="1904"/>
      <c r="G6087" s="1241" t="s">
        <v>24</v>
      </c>
      <c r="H6087" s="1240">
        <v>-6.9999999999999999E-4</v>
      </c>
      <c r="K6087" s="841" t="s">
        <v>3226</v>
      </c>
      <c r="L6087" s="841" t="s">
        <v>443</v>
      </c>
      <c r="M6087" s="1357"/>
      <c r="P6087" s="841" t="s">
        <v>4357</v>
      </c>
      <c r="Q6087" s="1357"/>
      <c r="S6087" s="1420"/>
      <c r="T6087" s="1420">
        <v>43465</v>
      </c>
      <c r="V6087" s="1357">
        <v>138</v>
      </c>
    </row>
    <row r="6088" spans="1:22" s="841" customFormat="1" ht="15" x14ac:dyDescent="0.25">
      <c r="A6088" s="841" t="s">
        <v>205</v>
      </c>
      <c r="E6088" s="1934" t="s">
        <v>5144</v>
      </c>
      <c r="F6088" s="1904"/>
      <c r="G6088" s="1237" t="s">
        <v>33</v>
      </c>
      <c r="H6088" s="1240">
        <v>-0.2185</v>
      </c>
      <c r="K6088" s="841" t="s">
        <v>3226</v>
      </c>
      <c r="L6088" s="841" t="s">
        <v>443</v>
      </c>
      <c r="M6088" s="1357"/>
      <c r="P6088" s="841" t="s">
        <v>3232</v>
      </c>
      <c r="Q6088" s="1357"/>
      <c r="S6088" s="1420"/>
      <c r="T6088" s="1420">
        <v>43465</v>
      </c>
      <c r="V6088" s="1357">
        <v>99</v>
      </c>
    </row>
    <row r="6089" spans="1:22" s="841" customFormat="1" ht="15" x14ac:dyDescent="0.25">
      <c r="A6089" s="841" t="s">
        <v>205</v>
      </c>
      <c r="E6089" s="1934" t="s">
        <v>5587</v>
      </c>
      <c r="F6089" s="1904"/>
      <c r="G6089" s="1241" t="s">
        <v>33</v>
      </c>
      <c r="H6089" s="1240">
        <v>-0.4451</v>
      </c>
      <c r="K6089" s="841" t="s">
        <v>3226</v>
      </c>
      <c r="L6089" s="841" t="s">
        <v>443</v>
      </c>
      <c r="M6089" s="1357"/>
      <c r="P6089" s="841" t="s">
        <v>3232</v>
      </c>
      <c r="Q6089" s="1357"/>
      <c r="S6089" s="1420"/>
      <c r="T6089" s="1420">
        <v>43465</v>
      </c>
      <c r="V6089" s="1357">
        <v>155</v>
      </c>
    </row>
    <row r="6090" spans="1:22" s="841" customFormat="1" ht="15" x14ac:dyDescent="0.25">
      <c r="A6090" s="841" t="s">
        <v>205</v>
      </c>
      <c r="E6090" s="1934" t="s">
        <v>221</v>
      </c>
      <c r="F6090" s="1934"/>
      <c r="G6090" s="1237" t="s">
        <v>33</v>
      </c>
      <c r="H6090" s="676">
        <v>3.1562999999999999</v>
      </c>
      <c r="K6090" s="841" t="s">
        <v>3226</v>
      </c>
      <c r="L6090" s="841" t="s">
        <v>444</v>
      </c>
      <c r="M6090" s="1357"/>
      <c r="P6090" s="841" t="s">
        <v>3600</v>
      </c>
      <c r="Q6090" s="1357"/>
      <c r="S6090" s="1420"/>
      <c r="T6090" s="1420"/>
      <c r="V6090" s="1357">
        <v>47</v>
      </c>
    </row>
    <row r="6091" spans="1:22" s="841" customFormat="1" ht="15" x14ac:dyDescent="0.25">
      <c r="A6091" s="841" t="s">
        <v>205</v>
      </c>
      <c r="E6091" s="1934" t="s">
        <v>217</v>
      </c>
      <c r="F6091" s="1934"/>
      <c r="G6091" s="1237" t="s">
        <v>33</v>
      </c>
      <c r="H6091" s="676">
        <v>2.2989000000000002</v>
      </c>
      <c r="K6091" s="841" t="s">
        <v>3226</v>
      </c>
      <c r="L6091" s="841" t="s">
        <v>444</v>
      </c>
      <c r="M6091" s="1357"/>
      <c r="P6091" s="841" t="s">
        <v>3601</v>
      </c>
      <c r="Q6091" s="1357"/>
      <c r="S6091" s="1420"/>
      <c r="T6091" s="1420"/>
      <c r="V6091" s="1357">
        <v>74</v>
      </c>
    </row>
    <row r="6092" spans="1:22" s="841" customFormat="1" ht="15" x14ac:dyDescent="0.25">
      <c r="A6092" s="841" t="s">
        <v>205</v>
      </c>
      <c r="E6092" s="1942" t="s">
        <v>3079</v>
      </c>
      <c r="F6092" s="1690"/>
      <c r="G6092" s="679"/>
      <c r="H6092" s="676"/>
      <c r="K6092" s="841" t="s">
        <v>3111</v>
      </c>
      <c r="M6092" s="1357"/>
      <c r="Q6092" s="1357"/>
      <c r="S6092" s="1420"/>
      <c r="T6092" s="1420"/>
      <c r="V6092" s="1357">
        <v>48</v>
      </c>
    </row>
    <row r="6093" spans="1:22" s="841" customFormat="1" ht="15" x14ac:dyDescent="0.25">
      <c r="A6093" s="841" t="s">
        <v>205</v>
      </c>
      <c r="E6093" s="1918" t="s">
        <v>2449</v>
      </c>
      <c r="F6093" s="1918"/>
      <c r="G6093" s="1242" t="s">
        <v>24</v>
      </c>
      <c r="H6093" s="681">
        <v>3.2000000000000002E-3</v>
      </c>
      <c r="K6093" s="841" t="s">
        <v>3226</v>
      </c>
      <c r="L6093" s="841" t="s">
        <v>3046</v>
      </c>
      <c r="M6093" s="1357"/>
      <c r="P6093" s="841" t="s">
        <v>3235</v>
      </c>
      <c r="Q6093" s="1357"/>
      <c r="S6093" s="1420"/>
      <c r="T6093" s="1420"/>
      <c r="V6093" s="1357">
        <v>55</v>
      </c>
    </row>
    <row r="6094" spans="1:22" s="841" customFormat="1" ht="15" x14ac:dyDescent="0.25">
      <c r="A6094" s="841" t="s">
        <v>205</v>
      </c>
      <c r="E6094" s="1690" t="s">
        <v>2450</v>
      </c>
      <c r="F6094" s="1690"/>
      <c r="G6094" s="1242" t="s">
        <v>24</v>
      </c>
      <c r="H6094" s="681">
        <v>4.0000000000000002E-4</v>
      </c>
      <c r="K6094" s="841" t="s">
        <v>3226</v>
      </c>
      <c r="L6094" s="841" t="s">
        <v>3046</v>
      </c>
      <c r="M6094" s="1357"/>
      <c r="P6094" s="841" t="s">
        <v>3235</v>
      </c>
      <c r="Q6094" s="1357"/>
      <c r="S6094" s="1420"/>
      <c r="T6094" s="1420"/>
      <c r="V6094" s="1357">
        <v>65</v>
      </c>
    </row>
    <row r="6095" spans="1:22" s="841" customFormat="1" ht="15" x14ac:dyDescent="0.25">
      <c r="A6095" s="841" t="s">
        <v>205</v>
      </c>
      <c r="E6095" s="1918" t="s">
        <v>5588</v>
      </c>
      <c r="F6095" s="1918"/>
      <c r="G6095" s="1242" t="s">
        <v>24</v>
      </c>
      <c r="H6095" s="681">
        <v>2.9999999999999997E-4</v>
      </c>
      <c r="K6095" s="841" t="s">
        <v>3226</v>
      </c>
      <c r="L6095" s="841" t="s">
        <v>3046</v>
      </c>
      <c r="M6095" s="1357"/>
      <c r="P6095" s="841" t="s">
        <v>3236</v>
      </c>
      <c r="Q6095" s="1357"/>
      <c r="S6095" s="1420"/>
      <c r="T6095" s="1420"/>
      <c r="V6095" s="1357">
        <v>45</v>
      </c>
    </row>
    <row r="6096" spans="1:22" s="841" customFormat="1" ht="15" x14ac:dyDescent="0.25">
      <c r="A6096" s="841" t="s">
        <v>205</v>
      </c>
      <c r="E6096" s="1918" t="s">
        <v>32</v>
      </c>
      <c r="F6096" s="1918"/>
      <c r="G6096" s="1242" t="s">
        <v>23</v>
      </c>
      <c r="H6096" s="701">
        <v>0.25</v>
      </c>
      <c r="K6096" s="841" t="s">
        <v>3226</v>
      </c>
      <c r="L6096" s="841" t="s">
        <v>3046</v>
      </c>
      <c r="M6096" s="1357"/>
      <c r="P6096" s="841" t="s">
        <v>3237</v>
      </c>
      <c r="Q6096" s="1357"/>
      <c r="S6096" s="1420"/>
      <c r="T6096" s="1420"/>
      <c r="V6096" s="1357">
        <v>63</v>
      </c>
    </row>
    <row r="6097" spans="1:22" s="841" customFormat="1" ht="15" x14ac:dyDescent="0.25">
      <c r="A6097" s="841" t="s">
        <v>205</v>
      </c>
      <c r="E6097" s="1967" t="s">
        <v>617</v>
      </c>
      <c r="F6097" s="1977"/>
      <c r="G6097" s="1977"/>
      <c r="H6097" s="1978"/>
      <c r="K6097" s="841" t="s">
        <v>3238</v>
      </c>
      <c r="M6097" s="1357"/>
      <c r="Q6097" s="1357"/>
      <c r="S6097" s="1420"/>
      <c r="T6097" s="1420"/>
      <c r="V6097" s="1357">
        <v>47</v>
      </c>
    </row>
    <row r="6098" spans="1:22" s="841" customFormat="1" ht="15" x14ac:dyDescent="0.25">
      <c r="A6098" s="841" t="s">
        <v>205</v>
      </c>
      <c r="E6098" s="1939" t="s">
        <v>3986</v>
      </c>
      <c r="F6098" s="1939"/>
      <c r="G6098" s="1939"/>
      <c r="H6098" s="1940"/>
      <c r="K6098" s="841" t="s">
        <v>3238</v>
      </c>
      <c r="M6098" s="1357"/>
      <c r="Q6098" s="1357"/>
      <c r="S6098" s="1420"/>
      <c r="T6098" s="1420"/>
      <c r="V6098" s="1357">
        <v>658</v>
      </c>
    </row>
    <row r="6099" spans="1:22" s="841" customFormat="1" ht="15" x14ac:dyDescent="0.25">
      <c r="A6099" s="841" t="s">
        <v>205</v>
      </c>
      <c r="E6099" s="1983" t="s">
        <v>3061</v>
      </c>
      <c r="F6099" s="1697"/>
      <c r="G6099" s="1697"/>
      <c r="H6099" s="1697"/>
      <c r="K6099" s="841" t="s">
        <v>3114</v>
      </c>
      <c r="M6099" s="1357"/>
      <c r="Q6099" s="1357"/>
      <c r="S6099" s="1420"/>
      <c r="T6099" s="1420"/>
      <c r="V6099" s="1357">
        <v>11</v>
      </c>
    </row>
    <row r="6100" spans="1:22" s="841" customFormat="1" ht="15" x14ac:dyDescent="0.25">
      <c r="A6100" s="841" t="s">
        <v>205</v>
      </c>
      <c r="E6100" s="1939" t="s">
        <v>3063</v>
      </c>
      <c r="F6100" s="1939"/>
      <c r="G6100" s="1939"/>
      <c r="H6100" s="1940"/>
      <c r="K6100" s="841" t="s">
        <v>3238</v>
      </c>
      <c r="M6100" s="1357"/>
      <c r="Q6100" s="1357"/>
      <c r="S6100" s="1420"/>
      <c r="T6100" s="1420"/>
      <c r="V6100" s="1357">
        <v>280</v>
      </c>
    </row>
    <row r="6101" spans="1:22" s="841" customFormat="1" ht="15" x14ac:dyDescent="0.25">
      <c r="A6101" s="841" t="s">
        <v>205</v>
      </c>
      <c r="E6101" s="1939" t="s">
        <v>3064</v>
      </c>
      <c r="F6101" s="1939"/>
      <c r="G6101" s="1939"/>
      <c r="H6101" s="1940"/>
      <c r="K6101" s="841" t="s">
        <v>3238</v>
      </c>
      <c r="M6101" s="1357"/>
      <c r="Q6101" s="1357"/>
      <c r="S6101" s="1420"/>
      <c r="T6101" s="1420"/>
      <c r="V6101" s="1357">
        <v>411</v>
      </c>
    </row>
    <row r="6102" spans="1:22" s="841" customFormat="1" ht="15" x14ac:dyDescent="0.25">
      <c r="A6102" s="841" t="s">
        <v>205</v>
      </c>
      <c r="E6102" s="1939" t="s">
        <v>3199</v>
      </c>
      <c r="F6102" s="1939"/>
      <c r="G6102" s="1939"/>
      <c r="H6102" s="1940"/>
      <c r="K6102" s="841" t="s">
        <v>3238</v>
      </c>
      <c r="M6102" s="1357"/>
      <c r="Q6102" s="1357"/>
      <c r="S6102" s="1420"/>
      <c r="T6102" s="1420"/>
      <c r="V6102" s="1357">
        <v>386</v>
      </c>
    </row>
    <row r="6103" spans="1:22" s="841" customFormat="1" ht="15" x14ac:dyDescent="0.25">
      <c r="A6103" s="841" t="s">
        <v>205</v>
      </c>
      <c r="E6103" s="1939" t="s">
        <v>3810</v>
      </c>
      <c r="F6103" s="1939"/>
      <c r="G6103" s="1939"/>
      <c r="H6103" s="1940"/>
      <c r="K6103" s="841" t="s">
        <v>3238</v>
      </c>
      <c r="M6103" s="1357"/>
      <c r="Q6103" s="1357"/>
      <c r="S6103" s="1420"/>
      <c r="T6103" s="1420"/>
      <c r="V6103" s="1357">
        <v>246</v>
      </c>
    </row>
    <row r="6104" spans="1:22" s="841" customFormat="1" ht="15" x14ac:dyDescent="0.25">
      <c r="A6104" s="841" t="s">
        <v>205</v>
      </c>
      <c r="E6104" s="1984" t="s">
        <v>3067</v>
      </c>
      <c r="F6104" s="1693"/>
      <c r="G6104" s="1693"/>
      <c r="H6104" s="1693"/>
      <c r="K6104" s="841" t="s">
        <v>3115</v>
      </c>
      <c r="M6104" s="1357"/>
      <c r="Q6104" s="1357"/>
      <c r="S6104" s="1420"/>
      <c r="T6104" s="1420"/>
      <c r="V6104" s="1357">
        <v>46</v>
      </c>
    </row>
    <row r="6105" spans="1:22" s="841" customFormat="1" ht="15" x14ac:dyDescent="0.25">
      <c r="A6105" s="841" t="s">
        <v>205</v>
      </c>
      <c r="E6105" s="1934" t="s">
        <v>12</v>
      </c>
      <c r="F6105" s="1934"/>
      <c r="G6105" s="1237" t="s">
        <v>23</v>
      </c>
      <c r="H6105" s="699">
        <v>4.83</v>
      </c>
      <c r="K6105" s="841" t="s">
        <v>3238</v>
      </c>
      <c r="L6105" s="841" t="s">
        <v>442</v>
      </c>
      <c r="M6105" s="1357"/>
      <c r="P6105" s="841" t="s">
        <v>3240</v>
      </c>
      <c r="Q6105" s="1357"/>
      <c r="S6105" s="1420"/>
      <c r="T6105" s="1420"/>
      <c r="V6105" s="1357">
        <v>31</v>
      </c>
    </row>
    <row r="6106" spans="1:22" s="841" customFormat="1" ht="15" x14ac:dyDescent="0.25">
      <c r="A6106" s="841" t="s">
        <v>205</v>
      </c>
      <c r="E6106" s="1934" t="s">
        <v>84</v>
      </c>
      <c r="F6106" s="1934"/>
      <c r="G6106" s="1237" t="s">
        <v>24</v>
      </c>
      <c r="H6106" s="676">
        <v>2.35E-2</v>
      </c>
      <c r="K6106" s="841" t="s">
        <v>3238</v>
      </c>
      <c r="L6106" s="841" t="s">
        <v>442</v>
      </c>
      <c r="M6106" s="1357"/>
      <c r="P6106" s="841" t="s">
        <v>3241</v>
      </c>
      <c r="Q6106" s="1357"/>
      <c r="S6106" s="1420"/>
      <c r="T6106" s="1420"/>
      <c r="V6106" s="1357">
        <v>28</v>
      </c>
    </row>
    <row r="6107" spans="1:22" s="841" customFormat="1" ht="15" x14ac:dyDescent="0.25">
      <c r="A6107" s="841" t="s">
        <v>205</v>
      </c>
      <c r="E6107" s="1934" t="s">
        <v>18</v>
      </c>
      <c r="F6107" s="1934"/>
      <c r="G6107" s="1237" t="s">
        <v>24</v>
      </c>
      <c r="H6107" s="1239">
        <v>6.0000000000000002E-5</v>
      </c>
      <c r="K6107" s="841" t="s">
        <v>3238</v>
      </c>
      <c r="L6107" s="841" t="s">
        <v>443</v>
      </c>
      <c r="M6107" s="1357"/>
      <c r="P6107" s="841" t="s">
        <v>3242</v>
      </c>
      <c r="Q6107" s="1357"/>
      <c r="S6107" s="1420"/>
      <c r="T6107" s="1420"/>
      <c r="V6107" s="1357">
        <v>24</v>
      </c>
    </row>
    <row r="6108" spans="1:22" s="841" customFormat="1" ht="15" x14ac:dyDescent="0.25">
      <c r="A6108" s="841" t="s">
        <v>205</v>
      </c>
      <c r="E6108" s="1934" t="s">
        <v>5144</v>
      </c>
      <c r="F6108" s="1904"/>
      <c r="G6108" s="1237" t="s">
        <v>24</v>
      </c>
      <c r="H6108" s="1240">
        <v>-4.0000000000000002E-4</v>
      </c>
      <c r="K6108" s="841" t="s">
        <v>3238</v>
      </c>
      <c r="L6108" s="841" t="s">
        <v>443</v>
      </c>
      <c r="M6108" s="1357"/>
      <c r="P6108" s="841" t="s">
        <v>3244</v>
      </c>
      <c r="Q6108" s="1357"/>
      <c r="S6108" s="1420"/>
      <c r="T6108" s="1420">
        <v>43465</v>
      </c>
      <c r="V6108" s="1357">
        <v>99</v>
      </c>
    </row>
    <row r="6109" spans="1:22" s="841" customFormat="1" ht="15" x14ac:dyDescent="0.25">
      <c r="A6109" s="841" t="s">
        <v>205</v>
      </c>
      <c r="E6109" s="1934" t="s">
        <v>5587</v>
      </c>
      <c r="F6109" s="1904"/>
      <c r="G6109" s="1241" t="s">
        <v>24</v>
      </c>
      <c r="H6109" s="1240">
        <v>-8.0000000000000004E-4</v>
      </c>
      <c r="K6109" s="841" t="s">
        <v>3238</v>
      </c>
      <c r="L6109" s="841" t="s">
        <v>443</v>
      </c>
      <c r="M6109" s="1357"/>
      <c r="P6109" s="841" t="s">
        <v>3244</v>
      </c>
      <c r="Q6109" s="1357"/>
      <c r="S6109" s="1420"/>
      <c r="T6109" s="1420">
        <v>43465</v>
      </c>
      <c r="V6109" s="1357">
        <v>155</v>
      </c>
    </row>
    <row r="6110" spans="1:22" s="841" customFormat="1" ht="15" x14ac:dyDescent="0.25">
      <c r="A6110" s="841" t="s">
        <v>205</v>
      </c>
      <c r="E6110" s="1934" t="s">
        <v>221</v>
      </c>
      <c r="F6110" s="1934"/>
      <c r="G6110" s="1237" t="s">
        <v>24</v>
      </c>
      <c r="H6110" s="676">
        <v>6.7000000000000002E-3</v>
      </c>
      <c r="K6110" s="841" t="s">
        <v>3238</v>
      </c>
      <c r="L6110" s="841" t="s">
        <v>444</v>
      </c>
      <c r="M6110" s="1357"/>
      <c r="P6110" s="841" t="s">
        <v>3245</v>
      </c>
      <c r="Q6110" s="1357"/>
      <c r="S6110" s="1420"/>
      <c r="T6110" s="1420"/>
      <c r="V6110" s="1357">
        <v>47</v>
      </c>
    </row>
    <row r="6111" spans="1:22" s="841" customFormat="1" ht="15" x14ac:dyDescent="0.25">
      <c r="A6111" s="841" t="s">
        <v>205</v>
      </c>
      <c r="E6111" s="1934" t="s">
        <v>217</v>
      </c>
      <c r="F6111" s="1934"/>
      <c r="G6111" s="1237" t="s">
        <v>24</v>
      </c>
      <c r="H6111" s="676">
        <v>4.7000000000000002E-3</v>
      </c>
      <c r="K6111" s="841" t="s">
        <v>3238</v>
      </c>
      <c r="L6111" s="841" t="s">
        <v>444</v>
      </c>
      <c r="M6111" s="1357"/>
      <c r="P6111" s="841" t="s">
        <v>3246</v>
      </c>
      <c r="Q6111" s="1357"/>
      <c r="S6111" s="1420"/>
      <c r="T6111" s="1420"/>
      <c r="V6111" s="1357">
        <v>74</v>
      </c>
    </row>
    <row r="6112" spans="1:22" s="841" customFormat="1" ht="15" x14ac:dyDescent="0.25">
      <c r="A6112" s="841" t="s">
        <v>205</v>
      </c>
      <c r="E6112" s="1942" t="s">
        <v>3079</v>
      </c>
      <c r="F6112" s="1690"/>
      <c r="G6112" s="679"/>
      <c r="H6112" s="676"/>
      <c r="K6112" s="841" t="s">
        <v>3122</v>
      </c>
      <c r="M6112" s="1357"/>
      <c r="Q6112" s="1357"/>
      <c r="S6112" s="1420"/>
      <c r="T6112" s="1420"/>
      <c r="V6112" s="1357">
        <v>48</v>
      </c>
    </row>
    <row r="6113" spans="1:22" s="841" customFormat="1" ht="15" x14ac:dyDescent="0.25">
      <c r="A6113" s="841" t="s">
        <v>205</v>
      </c>
      <c r="E6113" s="1918" t="s">
        <v>2449</v>
      </c>
      <c r="F6113" s="1918"/>
      <c r="G6113" s="1242" t="s">
        <v>24</v>
      </c>
      <c r="H6113" s="681">
        <v>3.2000000000000002E-3</v>
      </c>
      <c r="K6113" s="841" t="s">
        <v>3238</v>
      </c>
      <c r="L6113" s="841" t="s">
        <v>3046</v>
      </c>
      <c r="M6113" s="1357"/>
      <c r="P6113" s="841" t="s">
        <v>3247</v>
      </c>
      <c r="Q6113" s="1357"/>
      <c r="S6113" s="1420"/>
      <c r="T6113" s="1420"/>
      <c r="V6113" s="1357">
        <v>55</v>
      </c>
    </row>
    <row r="6114" spans="1:22" s="841" customFormat="1" ht="15" x14ac:dyDescent="0.25">
      <c r="A6114" s="841" t="s">
        <v>205</v>
      </c>
      <c r="E6114" s="1690" t="s">
        <v>2450</v>
      </c>
      <c r="F6114" s="1690"/>
      <c r="G6114" s="1242" t="s">
        <v>24</v>
      </c>
      <c r="H6114" s="681">
        <v>4.0000000000000002E-4</v>
      </c>
      <c r="K6114" s="841" t="s">
        <v>3238</v>
      </c>
      <c r="L6114" s="841" t="s">
        <v>3046</v>
      </c>
      <c r="M6114" s="1357"/>
      <c r="P6114" s="841" t="s">
        <v>3247</v>
      </c>
      <c r="Q6114" s="1357"/>
      <c r="S6114" s="1420"/>
      <c r="T6114" s="1420"/>
      <c r="V6114" s="1357">
        <v>65</v>
      </c>
    </row>
    <row r="6115" spans="1:22" s="841" customFormat="1" ht="15" x14ac:dyDescent="0.25">
      <c r="A6115" s="841" t="s">
        <v>205</v>
      </c>
      <c r="E6115" s="1918" t="s">
        <v>5588</v>
      </c>
      <c r="F6115" s="1918"/>
      <c r="G6115" s="1242" t="s">
        <v>24</v>
      </c>
      <c r="H6115" s="681">
        <v>2.9999999999999997E-4</v>
      </c>
      <c r="K6115" s="841" t="s">
        <v>3238</v>
      </c>
      <c r="L6115" s="841" t="s">
        <v>3046</v>
      </c>
      <c r="M6115" s="1357"/>
      <c r="P6115" s="841" t="s">
        <v>3248</v>
      </c>
      <c r="Q6115" s="1357"/>
      <c r="S6115" s="1420"/>
      <c r="T6115" s="1420"/>
      <c r="V6115" s="1357">
        <v>45</v>
      </c>
    </row>
    <row r="6116" spans="1:22" s="841" customFormat="1" ht="15" x14ac:dyDescent="0.25">
      <c r="A6116" s="841" t="s">
        <v>205</v>
      </c>
      <c r="E6116" s="1918" t="s">
        <v>32</v>
      </c>
      <c r="F6116" s="1918"/>
      <c r="G6116" s="1242" t="s">
        <v>23</v>
      </c>
      <c r="H6116" s="701">
        <v>0.25</v>
      </c>
      <c r="K6116" s="841" t="s">
        <v>3238</v>
      </c>
      <c r="L6116" s="841" t="s">
        <v>3046</v>
      </c>
      <c r="M6116" s="1357"/>
      <c r="P6116" s="841" t="s">
        <v>3249</v>
      </c>
      <c r="Q6116" s="1357"/>
      <c r="S6116" s="1420"/>
      <c r="T6116" s="1420"/>
      <c r="V6116" s="1357">
        <v>63</v>
      </c>
    </row>
    <row r="6117" spans="1:22" s="841" customFormat="1" ht="15" x14ac:dyDescent="0.25">
      <c r="A6117" s="841" t="s">
        <v>205</v>
      </c>
      <c r="E6117" s="1967" t="s">
        <v>631</v>
      </c>
      <c r="F6117" s="1977"/>
      <c r="G6117" s="1977"/>
      <c r="H6117" s="1978"/>
      <c r="K6117" s="841" t="s">
        <v>4091</v>
      </c>
      <c r="M6117" s="1357"/>
      <c r="Q6117" s="1357"/>
      <c r="S6117" s="1420"/>
      <c r="T6117" s="1420"/>
      <c r="V6117" s="1357">
        <v>36</v>
      </c>
    </row>
    <row r="6118" spans="1:22" s="841" customFormat="1" ht="15" x14ac:dyDescent="0.25">
      <c r="A6118" s="841" t="s">
        <v>205</v>
      </c>
      <c r="E6118" s="1939" t="s">
        <v>3988</v>
      </c>
      <c r="F6118" s="1939"/>
      <c r="G6118" s="1939"/>
      <c r="H6118" s="1940"/>
      <c r="K6118" s="841" t="s">
        <v>4091</v>
      </c>
      <c r="M6118" s="1357"/>
      <c r="Q6118" s="1357"/>
      <c r="S6118" s="1420"/>
      <c r="T6118" s="1420"/>
      <c r="V6118" s="1357">
        <v>251</v>
      </c>
    </row>
    <row r="6119" spans="1:22" s="841" customFormat="1" ht="15" x14ac:dyDescent="0.25">
      <c r="A6119" s="841" t="s">
        <v>205</v>
      </c>
      <c r="E6119" s="1983" t="s">
        <v>3061</v>
      </c>
      <c r="F6119" s="1697"/>
      <c r="G6119" s="1697"/>
      <c r="H6119" s="1697"/>
      <c r="K6119" s="841" t="s">
        <v>3128</v>
      </c>
      <c r="M6119" s="1357"/>
      <c r="Q6119" s="1357"/>
      <c r="S6119" s="1420"/>
      <c r="T6119" s="1420"/>
      <c r="V6119" s="1357">
        <v>11</v>
      </c>
    </row>
    <row r="6120" spans="1:22" s="841" customFormat="1" ht="15" x14ac:dyDescent="0.25">
      <c r="A6120" s="841" t="s">
        <v>205</v>
      </c>
      <c r="E6120" s="1939" t="s">
        <v>3063</v>
      </c>
      <c r="F6120" s="1939"/>
      <c r="G6120" s="1939"/>
      <c r="H6120" s="1940"/>
      <c r="K6120" s="841" t="s">
        <v>4091</v>
      </c>
      <c r="M6120" s="1357"/>
      <c r="Q6120" s="1357"/>
      <c r="S6120" s="1420"/>
      <c r="T6120" s="1420"/>
      <c r="V6120" s="1357">
        <v>280</v>
      </c>
    </row>
    <row r="6121" spans="1:22" s="841" customFormat="1" ht="15" x14ac:dyDescent="0.25">
      <c r="A6121" s="841" t="s">
        <v>205</v>
      </c>
      <c r="E6121" s="1939" t="s">
        <v>3064</v>
      </c>
      <c r="F6121" s="1939"/>
      <c r="G6121" s="1939"/>
      <c r="H6121" s="1940"/>
      <c r="K6121" s="841" t="s">
        <v>4091</v>
      </c>
      <c r="M6121" s="1357"/>
      <c r="Q6121" s="1357"/>
      <c r="S6121" s="1420"/>
      <c r="T6121" s="1420"/>
      <c r="V6121" s="1357">
        <v>411</v>
      </c>
    </row>
    <row r="6122" spans="1:22" s="841" customFormat="1" ht="15" x14ac:dyDescent="0.25">
      <c r="A6122" s="841" t="s">
        <v>205</v>
      </c>
      <c r="E6122" s="1939" t="s">
        <v>3129</v>
      </c>
      <c r="F6122" s="1939"/>
      <c r="G6122" s="1939"/>
      <c r="H6122" s="1940"/>
      <c r="K6122" s="841" t="s">
        <v>4091</v>
      </c>
      <c r="M6122" s="1357"/>
      <c r="Q6122" s="1357"/>
      <c r="S6122" s="1420"/>
      <c r="T6122" s="1420"/>
      <c r="V6122" s="1357">
        <v>211</v>
      </c>
    </row>
    <row r="6123" spans="1:22" s="841" customFormat="1" ht="15" x14ac:dyDescent="0.25">
      <c r="A6123" s="841" t="s">
        <v>205</v>
      </c>
      <c r="E6123" s="1939" t="s">
        <v>3989</v>
      </c>
      <c r="F6123" s="1939"/>
      <c r="G6123" s="1939"/>
      <c r="H6123" s="1940"/>
      <c r="K6123" s="841" t="s">
        <v>4091</v>
      </c>
      <c r="M6123" s="1357"/>
      <c r="Q6123" s="1357"/>
      <c r="S6123" s="1420"/>
      <c r="T6123" s="1420"/>
      <c r="V6123" s="1357">
        <v>245</v>
      </c>
    </row>
    <row r="6124" spans="1:22" s="841" customFormat="1" ht="15" x14ac:dyDescent="0.25">
      <c r="A6124" s="841" t="s">
        <v>205</v>
      </c>
      <c r="E6124" s="2090" t="s">
        <v>3344</v>
      </c>
      <c r="F6124" s="1693"/>
      <c r="G6124" s="1693"/>
      <c r="H6124" s="1693"/>
      <c r="K6124" s="841" t="s">
        <v>3130</v>
      </c>
      <c r="M6124" s="1357"/>
      <c r="Q6124" s="1357"/>
      <c r="S6124" s="1420"/>
      <c r="T6124" s="1420"/>
      <c r="V6124" s="1357">
        <v>77</v>
      </c>
    </row>
    <row r="6125" spans="1:22" s="841" customFormat="1" ht="15" x14ac:dyDescent="0.25">
      <c r="A6125" s="841" t="s">
        <v>205</v>
      </c>
      <c r="E6125" s="1934" t="s">
        <v>11</v>
      </c>
      <c r="F6125" s="1934"/>
      <c r="G6125" s="1237" t="s">
        <v>23</v>
      </c>
      <c r="H6125" s="699">
        <v>138.53</v>
      </c>
      <c r="K6125" s="841" t="s">
        <v>4091</v>
      </c>
      <c r="L6125" s="841" t="s">
        <v>442</v>
      </c>
      <c r="M6125" s="1357"/>
      <c r="P6125" s="841" t="s">
        <v>5602</v>
      </c>
      <c r="Q6125" s="1357"/>
      <c r="S6125" s="1420"/>
      <c r="T6125" s="1420"/>
      <c r="V6125" s="1357">
        <v>14</v>
      </c>
    </row>
    <row r="6126" spans="1:22" s="841" customFormat="1" ht="15" x14ac:dyDescent="0.25">
      <c r="A6126" s="841" t="s">
        <v>205</v>
      </c>
      <c r="E6126" s="1934" t="s">
        <v>3990</v>
      </c>
      <c r="F6126" s="1934"/>
      <c r="G6126" s="1237" t="s">
        <v>33</v>
      </c>
      <c r="H6126" s="676">
        <v>1.8489</v>
      </c>
      <c r="K6126" s="841" t="s">
        <v>4091</v>
      </c>
      <c r="L6126" s="841" t="s">
        <v>442</v>
      </c>
      <c r="M6126" s="1357"/>
      <c r="Q6126" s="1357"/>
      <c r="S6126" s="1420"/>
      <c r="T6126" s="1420"/>
      <c r="V6126" s="1357">
        <v>40</v>
      </c>
    </row>
    <row r="6127" spans="1:22" s="841" customFormat="1" ht="15" x14ac:dyDescent="0.25">
      <c r="A6127" s="841" t="s">
        <v>205</v>
      </c>
      <c r="E6127" s="1934" t="s">
        <v>3992</v>
      </c>
      <c r="F6127" s="1934"/>
      <c r="G6127" s="1237" t="s">
        <v>33</v>
      </c>
      <c r="H6127" s="676">
        <v>1.6958</v>
      </c>
      <c r="K6127" s="841" t="s">
        <v>4091</v>
      </c>
      <c r="L6127" s="841" t="s">
        <v>442</v>
      </c>
      <c r="M6127" s="1357"/>
      <c r="Q6127" s="1357"/>
      <c r="S6127" s="1420"/>
      <c r="T6127" s="1420"/>
      <c r="V6127" s="1357">
        <v>42</v>
      </c>
    </row>
    <row r="6128" spans="1:22" s="841" customFormat="1" ht="15" x14ac:dyDescent="0.25">
      <c r="A6128" s="841" t="s">
        <v>205</v>
      </c>
      <c r="E6128" s="1934" t="s">
        <v>3993</v>
      </c>
      <c r="F6128" s="1934"/>
      <c r="G6128" s="1237" t="s">
        <v>33</v>
      </c>
      <c r="H6128" s="676">
        <v>1.8818999999999999</v>
      </c>
      <c r="K6128" s="841" t="s">
        <v>4091</v>
      </c>
      <c r="L6128" s="841" t="s">
        <v>442</v>
      </c>
      <c r="M6128" s="1357"/>
      <c r="Q6128" s="1357"/>
      <c r="S6128" s="1420"/>
      <c r="T6128" s="1420"/>
      <c r="V6128" s="1357">
        <v>38</v>
      </c>
    </row>
    <row r="6129" spans="1:22" s="841" customFormat="1" ht="15" x14ac:dyDescent="0.25">
      <c r="A6129" s="841" t="s">
        <v>205</v>
      </c>
      <c r="E6129" s="1967" t="s">
        <v>629</v>
      </c>
      <c r="F6129" s="1977"/>
      <c r="G6129" s="1977"/>
      <c r="H6129" s="1978"/>
      <c r="K6129" s="841" t="s">
        <v>3767</v>
      </c>
      <c r="M6129" s="1357"/>
      <c r="Q6129" s="1357"/>
      <c r="S6129" s="1420"/>
      <c r="T6129" s="1420"/>
      <c r="V6129" s="1357">
        <v>40</v>
      </c>
    </row>
    <row r="6130" spans="1:22" s="841" customFormat="1" ht="15" x14ac:dyDescent="0.25">
      <c r="A6130" s="841" t="s">
        <v>205</v>
      </c>
      <c r="E6130" s="1939" t="s">
        <v>3251</v>
      </c>
      <c r="F6130" s="1939"/>
      <c r="G6130" s="1939"/>
      <c r="H6130" s="1940"/>
      <c r="K6130" s="841" t="s">
        <v>3767</v>
      </c>
      <c r="M6130" s="1357"/>
      <c r="Q6130" s="1357"/>
      <c r="S6130" s="1420"/>
      <c r="T6130" s="1420"/>
      <c r="V6130" s="1357">
        <v>253</v>
      </c>
    </row>
    <row r="6131" spans="1:22" s="841" customFormat="1" ht="15" x14ac:dyDescent="0.25">
      <c r="A6131" s="841" t="s">
        <v>205</v>
      </c>
      <c r="E6131" s="1983" t="s">
        <v>3061</v>
      </c>
      <c r="F6131" s="1697"/>
      <c r="G6131" s="1697"/>
      <c r="H6131" s="1697"/>
      <c r="K6131" s="841" t="s">
        <v>3266</v>
      </c>
      <c r="M6131" s="1357"/>
      <c r="Q6131" s="1357"/>
      <c r="S6131" s="1420"/>
      <c r="T6131" s="1420"/>
      <c r="V6131" s="1357">
        <v>11</v>
      </c>
    </row>
    <row r="6132" spans="1:22" s="841" customFormat="1" ht="15" x14ac:dyDescent="0.25">
      <c r="A6132" s="841" t="s">
        <v>205</v>
      </c>
      <c r="E6132" s="1939" t="s">
        <v>3063</v>
      </c>
      <c r="F6132" s="1939"/>
      <c r="G6132" s="1939"/>
      <c r="H6132" s="1940"/>
      <c r="K6132" s="841" t="s">
        <v>3767</v>
      </c>
      <c r="M6132" s="1357"/>
      <c r="Q6132" s="1357"/>
      <c r="S6132" s="1420"/>
      <c r="T6132" s="1420"/>
      <c r="V6132" s="1357">
        <v>280</v>
      </c>
    </row>
    <row r="6133" spans="1:22" s="841" customFormat="1" ht="15" x14ac:dyDescent="0.25">
      <c r="A6133" s="841" t="s">
        <v>205</v>
      </c>
      <c r="E6133" s="1939" t="s">
        <v>3064</v>
      </c>
      <c r="F6133" s="1939"/>
      <c r="G6133" s="1939"/>
      <c r="H6133" s="1940"/>
      <c r="K6133" s="841" t="s">
        <v>3767</v>
      </c>
      <c r="M6133" s="1357"/>
      <c r="Q6133" s="1357"/>
      <c r="S6133" s="1420"/>
      <c r="T6133" s="1420"/>
      <c r="V6133" s="1357">
        <v>411</v>
      </c>
    </row>
    <row r="6134" spans="1:22" s="841" customFormat="1" ht="15" x14ac:dyDescent="0.25">
      <c r="A6134" s="841" t="s">
        <v>205</v>
      </c>
      <c r="E6134" s="1939" t="s">
        <v>3199</v>
      </c>
      <c r="F6134" s="1939"/>
      <c r="G6134" s="1939"/>
      <c r="H6134" s="1940"/>
      <c r="K6134" s="841" t="s">
        <v>3767</v>
      </c>
      <c r="M6134" s="1357"/>
      <c r="Q6134" s="1357"/>
      <c r="S6134" s="1420"/>
      <c r="T6134" s="1420"/>
      <c r="V6134" s="1357">
        <v>386</v>
      </c>
    </row>
    <row r="6135" spans="1:22" s="841" customFormat="1" ht="15" x14ac:dyDescent="0.25">
      <c r="A6135" s="841" t="s">
        <v>205</v>
      </c>
      <c r="E6135" s="1939" t="s">
        <v>3810</v>
      </c>
      <c r="F6135" s="1939"/>
      <c r="G6135" s="1939"/>
      <c r="H6135" s="1940"/>
      <c r="K6135" s="841" t="s">
        <v>3767</v>
      </c>
      <c r="M6135" s="1357"/>
      <c r="Q6135" s="1357"/>
      <c r="S6135" s="1420"/>
      <c r="T6135" s="1420"/>
      <c r="V6135" s="1357">
        <v>246</v>
      </c>
    </row>
    <row r="6136" spans="1:22" s="841" customFormat="1" ht="15" x14ac:dyDescent="0.25">
      <c r="A6136" s="841" t="s">
        <v>205</v>
      </c>
      <c r="E6136" s="1984" t="s">
        <v>3067</v>
      </c>
      <c r="F6136" s="1693"/>
      <c r="G6136" s="1693"/>
      <c r="H6136" s="1693"/>
      <c r="K6136" s="841" t="s">
        <v>3267</v>
      </c>
      <c r="M6136" s="1357"/>
      <c r="Q6136" s="1357"/>
      <c r="S6136" s="1420"/>
      <c r="T6136" s="1420"/>
      <c r="V6136" s="1357">
        <v>46</v>
      </c>
    </row>
    <row r="6137" spans="1:22" s="841" customFormat="1" ht="15" x14ac:dyDescent="0.25">
      <c r="A6137" s="841" t="s">
        <v>205</v>
      </c>
      <c r="E6137" s="1934" t="s">
        <v>12</v>
      </c>
      <c r="F6137" s="1934"/>
      <c r="G6137" s="1237" t="s">
        <v>23</v>
      </c>
      <c r="H6137" s="699">
        <v>3.25</v>
      </c>
      <c r="K6137" s="841" t="s">
        <v>3767</v>
      </c>
      <c r="L6137" s="841" t="s">
        <v>442</v>
      </c>
      <c r="M6137" s="1357"/>
      <c r="P6137" s="841" t="s">
        <v>3769</v>
      </c>
      <c r="Q6137" s="1357"/>
      <c r="S6137" s="1420"/>
      <c r="T6137" s="1420"/>
      <c r="V6137" s="1357">
        <v>31</v>
      </c>
    </row>
    <row r="6138" spans="1:22" s="841" customFormat="1" ht="15" x14ac:dyDescent="0.25">
      <c r="A6138" s="841" t="s">
        <v>205</v>
      </c>
      <c r="E6138" s="1934" t="s">
        <v>84</v>
      </c>
      <c r="F6138" s="1934"/>
      <c r="G6138" s="1237" t="s">
        <v>33</v>
      </c>
      <c r="H6138" s="676">
        <v>13.8285</v>
      </c>
      <c r="K6138" s="841" t="s">
        <v>3767</v>
      </c>
      <c r="L6138" s="841" t="s">
        <v>442</v>
      </c>
      <c r="M6138" s="1357"/>
      <c r="P6138" s="841" t="s">
        <v>3770</v>
      </c>
      <c r="Q6138" s="1357"/>
      <c r="S6138" s="1420"/>
      <c r="T6138" s="1420"/>
      <c r="V6138" s="1357">
        <v>28</v>
      </c>
    </row>
    <row r="6139" spans="1:22" s="841" customFormat="1" ht="15" x14ac:dyDescent="0.25">
      <c r="A6139" s="841" t="s">
        <v>205</v>
      </c>
      <c r="E6139" s="1934" t="s">
        <v>18</v>
      </c>
      <c r="F6139" s="1934"/>
      <c r="G6139" s="1237" t="s">
        <v>33</v>
      </c>
      <c r="H6139" s="1239">
        <v>1.7819999999999999E-2</v>
      </c>
      <c r="K6139" s="841" t="s">
        <v>3767</v>
      </c>
      <c r="L6139" s="841" t="s">
        <v>443</v>
      </c>
      <c r="M6139" s="1357"/>
      <c r="P6139" s="841" t="s">
        <v>3771</v>
      </c>
      <c r="Q6139" s="1357"/>
      <c r="S6139" s="1420"/>
      <c r="T6139" s="1420"/>
      <c r="V6139" s="1357">
        <v>24</v>
      </c>
    </row>
    <row r="6140" spans="1:22" s="841" customFormat="1" ht="15" x14ac:dyDescent="0.25">
      <c r="A6140" s="841" t="s">
        <v>205</v>
      </c>
      <c r="E6140" s="1934" t="s">
        <v>5144</v>
      </c>
      <c r="F6140" s="1904"/>
      <c r="G6140" s="1237" t="s">
        <v>33</v>
      </c>
      <c r="H6140" s="1240">
        <v>-8.7800000000000003E-2</v>
      </c>
      <c r="K6140" s="841" t="s">
        <v>3767</v>
      </c>
      <c r="L6140" s="841" t="s">
        <v>443</v>
      </c>
      <c r="M6140" s="1357"/>
      <c r="P6140" s="841" t="s">
        <v>3773</v>
      </c>
      <c r="Q6140" s="1357"/>
      <c r="S6140" s="1420"/>
      <c r="T6140" s="1420">
        <v>43465</v>
      </c>
      <c r="V6140" s="1357">
        <v>99</v>
      </c>
    </row>
    <row r="6141" spans="1:22" s="841" customFormat="1" ht="15" x14ac:dyDescent="0.25">
      <c r="A6141" s="841" t="s">
        <v>205</v>
      </c>
      <c r="E6141" s="1934" t="s">
        <v>5587</v>
      </c>
      <c r="F6141" s="1904"/>
      <c r="G6141" s="1241" t="s">
        <v>33</v>
      </c>
      <c r="H6141" s="1240">
        <v>-0.1789</v>
      </c>
      <c r="K6141" s="841" t="s">
        <v>3767</v>
      </c>
      <c r="L6141" s="841" t="s">
        <v>443</v>
      </c>
      <c r="M6141" s="1357"/>
      <c r="P6141" s="841" t="s">
        <v>3773</v>
      </c>
      <c r="Q6141" s="1357"/>
      <c r="S6141" s="1420"/>
      <c r="T6141" s="1420">
        <v>43465</v>
      </c>
      <c r="V6141" s="1357">
        <v>155</v>
      </c>
    </row>
    <row r="6142" spans="1:22" s="841" customFormat="1" ht="15" x14ac:dyDescent="0.25">
      <c r="A6142" s="841" t="s">
        <v>205</v>
      </c>
      <c r="E6142" s="1934" t="s">
        <v>221</v>
      </c>
      <c r="F6142" s="1934"/>
      <c r="G6142" s="1237" t="s">
        <v>33</v>
      </c>
      <c r="H6142" s="676">
        <v>2.0243000000000002</v>
      </c>
      <c r="K6142" s="841" t="s">
        <v>3767</v>
      </c>
      <c r="L6142" s="841" t="s">
        <v>444</v>
      </c>
      <c r="M6142" s="1357"/>
      <c r="P6142" s="841" t="s">
        <v>3774</v>
      </c>
      <c r="Q6142" s="1357"/>
      <c r="S6142" s="1420"/>
      <c r="T6142" s="1420"/>
      <c r="V6142" s="1357">
        <v>47</v>
      </c>
    </row>
    <row r="6143" spans="1:22" s="841" customFormat="1" ht="15" x14ac:dyDescent="0.25">
      <c r="A6143" s="841" t="s">
        <v>205</v>
      </c>
      <c r="E6143" s="1934" t="s">
        <v>217</v>
      </c>
      <c r="F6143" s="1934"/>
      <c r="G6143" s="1237" t="s">
        <v>33</v>
      </c>
      <c r="H6143" s="676">
        <v>1.419</v>
      </c>
      <c r="K6143" s="841" t="s">
        <v>3767</v>
      </c>
      <c r="L6143" s="841" t="s">
        <v>444</v>
      </c>
      <c r="M6143" s="1357"/>
      <c r="P6143" s="841" t="s">
        <v>3775</v>
      </c>
      <c r="Q6143" s="1357"/>
      <c r="S6143" s="1420"/>
      <c r="T6143" s="1420"/>
      <c r="V6143" s="1357">
        <v>74</v>
      </c>
    </row>
    <row r="6144" spans="1:22" s="841" customFormat="1" ht="15" x14ac:dyDescent="0.25">
      <c r="A6144" s="841" t="s">
        <v>205</v>
      </c>
      <c r="E6144" s="1942" t="s">
        <v>3079</v>
      </c>
      <c r="F6144" s="1690"/>
      <c r="G6144" s="679"/>
      <c r="H6144" s="676"/>
      <c r="K6144" s="841" t="s">
        <v>3276</v>
      </c>
      <c r="M6144" s="1357"/>
      <c r="Q6144" s="1357"/>
      <c r="S6144" s="1420"/>
      <c r="T6144" s="1420"/>
      <c r="V6144" s="1357">
        <v>48</v>
      </c>
    </row>
    <row r="6145" spans="1:22" s="841" customFormat="1" ht="15" x14ac:dyDescent="0.25">
      <c r="A6145" s="841" t="s">
        <v>205</v>
      </c>
      <c r="E6145" s="1918" t="s">
        <v>2449</v>
      </c>
      <c r="F6145" s="1918"/>
      <c r="G6145" s="1242" t="s">
        <v>24</v>
      </c>
      <c r="H6145" s="681">
        <v>3.2000000000000002E-3</v>
      </c>
      <c r="K6145" s="841" t="s">
        <v>3767</v>
      </c>
      <c r="L6145" s="841" t="s">
        <v>3046</v>
      </c>
      <c r="M6145" s="1357"/>
      <c r="P6145" s="841" t="s">
        <v>3776</v>
      </c>
      <c r="Q6145" s="1357"/>
      <c r="S6145" s="1420"/>
      <c r="T6145" s="1420"/>
      <c r="V6145" s="1357">
        <v>55</v>
      </c>
    </row>
    <row r="6146" spans="1:22" s="841" customFormat="1" ht="15" x14ac:dyDescent="0.25">
      <c r="A6146" s="841" t="s">
        <v>205</v>
      </c>
      <c r="E6146" s="1690" t="s">
        <v>2450</v>
      </c>
      <c r="F6146" s="1690"/>
      <c r="G6146" s="1242" t="s">
        <v>24</v>
      </c>
      <c r="H6146" s="681">
        <v>4.0000000000000002E-4</v>
      </c>
      <c r="K6146" s="841" t="s">
        <v>3767</v>
      </c>
      <c r="L6146" s="841" t="s">
        <v>3046</v>
      </c>
      <c r="M6146" s="1357"/>
      <c r="P6146" s="841" t="s">
        <v>3776</v>
      </c>
      <c r="Q6146" s="1357"/>
      <c r="S6146" s="1420"/>
      <c r="T6146" s="1420"/>
      <c r="V6146" s="1357">
        <v>65</v>
      </c>
    </row>
    <row r="6147" spans="1:22" s="841" customFormat="1" ht="15" x14ac:dyDescent="0.25">
      <c r="A6147" s="841" t="s">
        <v>205</v>
      </c>
      <c r="E6147" s="1918" t="s">
        <v>5588</v>
      </c>
      <c r="F6147" s="1918"/>
      <c r="G6147" s="1242" t="s">
        <v>24</v>
      </c>
      <c r="H6147" s="681">
        <v>2.9999999999999997E-4</v>
      </c>
      <c r="K6147" s="841" t="s">
        <v>3767</v>
      </c>
      <c r="L6147" s="841" t="s">
        <v>3046</v>
      </c>
      <c r="M6147" s="1357"/>
      <c r="P6147" s="841" t="s">
        <v>3777</v>
      </c>
      <c r="Q6147" s="1357"/>
      <c r="S6147" s="1420"/>
      <c r="T6147" s="1420"/>
      <c r="V6147" s="1357">
        <v>45</v>
      </c>
    </row>
    <row r="6148" spans="1:22" s="841" customFormat="1" ht="15" x14ac:dyDescent="0.25">
      <c r="A6148" s="841" t="s">
        <v>205</v>
      </c>
      <c r="E6148" s="1918" t="s">
        <v>32</v>
      </c>
      <c r="F6148" s="1918"/>
      <c r="G6148" s="1242" t="s">
        <v>23</v>
      </c>
      <c r="H6148" s="701">
        <v>0.25</v>
      </c>
      <c r="K6148" s="841" t="s">
        <v>3767</v>
      </c>
      <c r="L6148" s="841" t="s">
        <v>3046</v>
      </c>
      <c r="M6148" s="1357"/>
      <c r="P6148" s="841" t="s">
        <v>3778</v>
      </c>
      <c r="Q6148" s="1357"/>
      <c r="S6148" s="1420"/>
      <c r="T6148" s="1420"/>
      <c r="V6148" s="1357">
        <v>63</v>
      </c>
    </row>
    <row r="6149" spans="1:22" s="841" customFormat="1" ht="15" x14ac:dyDescent="0.25">
      <c r="A6149" s="841" t="s">
        <v>205</v>
      </c>
      <c r="E6149" s="1967" t="s">
        <v>615</v>
      </c>
      <c r="F6149" s="1977"/>
      <c r="G6149" s="1977"/>
      <c r="H6149" s="1978"/>
      <c r="K6149" s="841" t="s">
        <v>3644</v>
      </c>
      <c r="M6149" s="1357"/>
      <c r="Q6149" s="1357"/>
      <c r="S6149" s="1420"/>
      <c r="T6149" s="1420"/>
      <c r="V6149" s="1357">
        <v>38</v>
      </c>
    </row>
    <row r="6150" spans="1:22" s="841" customFormat="1" ht="15" x14ac:dyDescent="0.25">
      <c r="A6150" s="841" t="s">
        <v>205</v>
      </c>
      <c r="E6150" s="1939" t="s">
        <v>3994</v>
      </c>
      <c r="F6150" s="1939"/>
      <c r="G6150" s="1939"/>
      <c r="H6150" s="1940"/>
      <c r="K6150" s="841" t="s">
        <v>3644</v>
      </c>
      <c r="M6150" s="1357"/>
      <c r="Q6150" s="1357"/>
      <c r="S6150" s="1420"/>
      <c r="T6150" s="1420"/>
      <c r="V6150" s="1357">
        <v>517</v>
      </c>
    </row>
    <row r="6151" spans="1:22" s="841" customFormat="1" ht="15" x14ac:dyDescent="0.25">
      <c r="A6151" s="841" t="s">
        <v>205</v>
      </c>
      <c r="E6151" s="1983" t="s">
        <v>3061</v>
      </c>
      <c r="F6151" s="1697"/>
      <c r="G6151" s="1697"/>
      <c r="H6151" s="1697"/>
      <c r="K6151" s="841" t="s">
        <v>3281</v>
      </c>
      <c r="M6151" s="1357"/>
      <c r="Q6151" s="1357"/>
      <c r="S6151" s="1420"/>
      <c r="T6151" s="1420"/>
      <c r="V6151" s="1357">
        <v>11</v>
      </c>
    </row>
    <row r="6152" spans="1:22" s="841" customFormat="1" ht="15" x14ac:dyDescent="0.25">
      <c r="A6152" s="841" t="s">
        <v>205</v>
      </c>
      <c r="E6152" s="1939" t="s">
        <v>3063</v>
      </c>
      <c r="F6152" s="1939"/>
      <c r="G6152" s="1939"/>
      <c r="H6152" s="1940"/>
      <c r="K6152" s="841" t="s">
        <v>3644</v>
      </c>
      <c r="M6152" s="1357"/>
      <c r="Q6152" s="1357"/>
      <c r="S6152" s="1420"/>
      <c r="T6152" s="1420"/>
      <c r="V6152" s="1357">
        <v>280</v>
      </c>
    </row>
    <row r="6153" spans="1:22" s="841" customFormat="1" ht="15" x14ac:dyDescent="0.25">
      <c r="A6153" s="841" t="s">
        <v>205</v>
      </c>
      <c r="E6153" s="1939" t="s">
        <v>3064</v>
      </c>
      <c r="F6153" s="1939"/>
      <c r="G6153" s="1939"/>
      <c r="H6153" s="1940"/>
      <c r="K6153" s="841" t="s">
        <v>3644</v>
      </c>
      <c r="M6153" s="1357"/>
      <c r="Q6153" s="1357"/>
      <c r="S6153" s="1420"/>
      <c r="T6153" s="1420"/>
      <c r="V6153" s="1357">
        <v>411</v>
      </c>
    </row>
    <row r="6154" spans="1:22" s="841" customFormat="1" ht="15" x14ac:dyDescent="0.25">
      <c r="A6154" s="841" t="s">
        <v>205</v>
      </c>
      <c r="E6154" s="1939" t="s">
        <v>3199</v>
      </c>
      <c r="F6154" s="1939"/>
      <c r="G6154" s="1939"/>
      <c r="H6154" s="1940"/>
      <c r="K6154" s="841" t="s">
        <v>3644</v>
      </c>
      <c r="M6154" s="1357"/>
      <c r="Q6154" s="1357"/>
      <c r="S6154" s="1420"/>
      <c r="T6154" s="1420"/>
      <c r="V6154" s="1357">
        <v>386</v>
      </c>
    </row>
    <row r="6155" spans="1:22" s="841" customFormat="1" ht="15" x14ac:dyDescent="0.25">
      <c r="A6155" s="841" t="s">
        <v>205</v>
      </c>
      <c r="E6155" s="1939" t="s">
        <v>3995</v>
      </c>
      <c r="F6155" s="1939"/>
      <c r="G6155" s="1939"/>
      <c r="H6155" s="1940"/>
      <c r="K6155" s="841" t="s">
        <v>3644</v>
      </c>
      <c r="M6155" s="1357"/>
      <c r="Q6155" s="1357"/>
      <c r="S6155" s="1420"/>
      <c r="T6155" s="1420"/>
      <c r="V6155" s="1357">
        <v>247</v>
      </c>
    </row>
    <row r="6156" spans="1:22" s="841" customFormat="1" ht="15" x14ac:dyDescent="0.25">
      <c r="A6156" s="841" t="s">
        <v>205</v>
      </c>
      <c r="E6156" s="1984" t="s">
        <v>3067</v>
      </c>
      <c r="F6156" s="1693"/>
      <c r="G6156" s="1693"/>
      <c r="H6156" s="1693"/>
      <c r="K6156" s="841" t="s">
        <v>3282</v>
      </c>
      <c r="M6156" s="1357"/>
      <c r="Q6156" s="1357"/>
      <c r="S6156" s="1420"/>
      <c r="T6156" s="1420"/>
      <c r="V6156" s="1357">
        <v>46</v>
      </c>
    </row>
    <row r="6157" spans="1:22" s="841" customFormat="1" ht="15" x14ac:dyDescent="0.25">
      <c r="A6157" s="841" t="s">
        <v>205</v>
      </c>
      <c r="E6157" s="1934" t="s">
        <v>12</v>
      </c>
      <c r="F6157" s="1934"/>
      <c r="G6157" s="1237" t="s">
        <v>23</v>
      </c>
      <c r="H6157" s="699">
        <v>0.85</v>
      </c>
      <c r="K6157" s="841" t="s">
        <v>3644</v>
      </c>
      <c r="L6157" s="841" t="s">
        <v>442</v>
      </c>
      <c r="M6157" s="1357"/>
      <c r="P6157" s="841" t="s">
        <v>3646</v>
      </c>
      <c r="Q6157" s="1357"/>
      <c r="S6157" s="1420"/>
      <c r="T6157" s="1420"/>
      <c r="V6157" s="1357">
        <v>31</v>
      </c>
    </row>
    <row r="6158" spans="1:22" s="841" customFormat="1" ht="15" x14ac:dyDescent="0.25">
      <c r="A6158" s="841" t="s">
        <v>205</v>
      </c>
      <c r="E6158" s="1934" t="s">
        <v>84</v>
      </c>
      <c r="F6158" s="1934"/>
      <c r="G6158" s="1237" t="s">
        <v>33</v>
      </c>
      <c r="H6158" s="676">
        <v>5.9757999999999996</v>
      </c>
      <c r="K6158" s="841" t="s">
        <v>3644</v>
      </c>
      <c r="L6158" s="841" t="s">
        <v>442</v>
      </c>
      <c r="M6158" s="1357"/>
      <c r="P6158" s="841" t="s">
        <v>3647</v>
      </c>
      <c r="Q6158" s="1357"/>
      <c r="S6158" s="1420"/>
      <c r="T6158" s="1420"/>
      <c r="V6158" s="1357">
        <v>28</v>
      </c>
    </row>
    <row r="6159" spans="1:22" s="841" customFormat="1" ht="15" x14ac:dyDescent="0.25">
      <c r="A6159" s="841" t="s">
        <v>205</v>
      </c>
      <c r="E6159" s="1934" t="s">
        <v>18</v>
      </c>
      <c r="F6159" s="1934"/>
      <c r="G6159" s="1237" t="s">
        <v>33</v>
      </c>
      <c r="H6159" s="1239">
        <v>1.8190000000000001E-2</v>
      </c>
      <c r="K6159" s="841" t="s">
        <v>3644</v>
      </c>
      <c r="L6159" s="841" t="s">
        <v>443</v>
      </c>
      <c r="M6159" s="1357"/>
      <c r="P6159" s="841" t="s">
        <v>3648</v>
      </c>
      <c r="Q6159" s="1357"/>
      <c r="S6159" s="1420"/>
      <c r="T6159" s="1420"/>
      <c r="V6159" s="1357">
        <v>24</v>
      </c>
    </row>
    <row r="6160" spans="1:22" s="841" customFormat="1" ht="15" x14ac:dyDescent="0.25">
      <c r="A6160" s="841" t="s">
        <v>205</v>
      </c>
      <c r="E6160" s="1934" t="s">
        <v>5586</v>
      </c>
      <c r="F6160" s="1904"/>
      <c r="G6160" s="1241" t="s">
        <v>24</v>
      </c>
      <c r="H6160" s="1240">
        <v>-6.9999999999999999E-4</v>
      </c>
      <c r="K6160" s="841" t="s">
        <v>3644</v>
      </c>
      <c r="L6160" s="841" t="s">
        <v>443</v>
      </c>
      <c r="M6160" s="1357"/>
      <c r="P6160" s="841" t="s">
        <v>3649</v>
      </c>
      <c r="Q6160" s="1357"/>
      <c r="S6160" s="1420"/>
      <c r="T6160" s="1420">
        <v>43465</v>
      </c>
      <c r="V6160" s="1357">
        <v>138</v>
      </c>
    </row>
    <row r="6161" spans="1:22" s="841" customFormat="1" ht="15" x14ac:dyDescent="0.25">
      <c r="A6161" s="841" t="s">
        <v>205</v>
      </c>
      <c r="E6161" s="1934" t="s">
        <v>5144</v>
      </c>
      <c r="F6161" s="1904"/>
      <c r="G6161" s="1237" t="s">
        <v>33</v>
      </c>
      <c r="H6161" s="1240">
        <v>-0.1404</v>
      </c>
      <c r="K6161" s="841" t="s">
        <v>3644</v>
      </c>
      <c r="L6161" s="841" t="s">
        <v>443</v>
      </c>
      <c r="M6161" s="1357"/>
      <c r="P6161" s="841" t="s">
        <v>3650</v>
      </c>
      <c r="Q6161" s="1357"/>
      <c r="S6161" s="1420"/>
      <c r="T6161" s="1420">
        <v>43465</v>
      </c>
      <c r="V6161" s="1357">
        <v>99</v>
      </c>
    </row>
    <row r="6162" spans="1:22" s="841" customFormat="1" ht="15" x14ac:dyDescent="0.25">
      <c r="A6162" s="841" t="s">
        <v>205</v>
      </c>
      <c r="E6162" s="1934" t="s">
        <v>5587</v>
      </c>
      <c r="F6162" s="1904"/>
      <c r="G6162" s="1241" t="s">
        <v>33</v>
      </c>
      <c r="H6162" s="1240">
        <v>-0.28610000000000002</v>
      </c>
      <c r="K6162" s="841" t="s">
        <v>3644</v>
      </c>
      <c r="L6162" s="841" t="s">
        <v>443</v>
      </c>
      <c r="M6162" s="1357"/>
      <c r="P6162" s="841" t="s">
        <v>3650</v>
      </c>
      <c r="Q6162" s="1357"/>
      <c r="S6162" s="1420"/>
      <c r="T6162" s="1420">
        <v>43465</v>
      </c>
      <c r="V6162" s="1357">
        <v>155</v>
      </c>
    </row>
    <row r="6163" spans="1:22" s="841" customFormat="1" ht="15" x14ac:dyDescent="0.25">
      <c r="A6163" s="841" t="s">
        <v>205</v>
      </c>
      <c r="E6163" s="1934" t="s">
        <v>221</v>
      </c>
      <c r="F6163" s="1934"/>
      <c r="G6163" s="1237" t="s">
        <v>33</v>
      </c>
      <c r="H6163" s="676">
        <v>2.0345</v>
      </c>
      <c r="K6163" s="841" t="s">
        <v>3644</v>
      </c>
      <c r="L6163" s="841" t="s">
        <v>444</v>
      </c>
      <c r="M6163" s="1357"/>
      <c r="P6163" s="841" t="s">
        <v>3651</v>
      </c>
      <c r="Q6163" s="1357"/>
      <c r="S6163" s="1420"/>
      <c r="T6163" s="1420"/>
      <c r="V6163" s="1357">
        <v>47</v>
      </c>
    </row>
    <row r="6164" spans="1:22" s="841" customFormat="1" ht="15" x14ac:dyDescent="0.25">
      <c r="A6164" s="841" t="s">
        <v>205</v>
      </c>
      <c r="E6164" s="1934" t="s">
        <v>217</v>
      </c>
      <c r="F6164" s="1934"/>
      <c r="G6164" s="1237" t="s">
        <v>33</v>
      </c>
      <c r="H6164" s="676">
        <v>1.4486000000000001</v>
      </c>
      <c r="K6164" s="841" t="s">
        <v>3644</v>
      </c>
      <c r="L6164" s="841" t="s">
        <v>444</v>
      </c>
      <c r="M6164" s="1357"/>
      <c r="P6164" s="841" t="s">
        <v>3652</v>
      </c>
      <c r="Q6164" s="1357"/>
      <c r="S6164" s="1420"/>
      <c r="T6164" s="1420"/>
      <c r="V6164" s="1357">
        <v>74</v>
      </c>
    </row>
    <row r="6165" spans="1:22" s="841" customFormat="1" ht="15" x14ac:dyDescent="0.25">
      <c r="A6165" s="841" t="s">
        <v>205</v>
      </c>
      <c r="E6165" s="1942" t="s">
        <v>3079</v>
      </c>
      <c r="F6165" s="1690"/>
      <c r="G6165" s="679"/>
      <c r="H6165" s="676"/>
      <c r="K6165" s="841" t="s">
        <v>3383</v>
      </c>
      <c r="M6165" s="1357"/>
      <c r="Q6165" s="1357"/>
      <c r="S6165" s="1420"/>
      <c r="T6165" s="1420"/>
      <c r="V6165" s="1357">
        <v>48</v>
      </c>
    </row>
    <row r="6166" spans="1:22" s="841" customFormat="1" ht="15" x14ac:dyDescent="0.25">
      <c r="A6166" s="841" t="s">
        <v>205</v>
      </c>
      <c r="E6166" s="1918" t="s">
        <v>2449</v>
      </c>
      <c r="F6166" s="1918"/>
      <c r="G6166" s="1242" t="s">
        <v>24</v>
      </c>
      <c r="H6166" s="681">
        <v>3.2000000000000002E-3</v>
      </c>
      <c r="K6166" s="841" t="s">
        <v>3644</v>
      </c>
      <c r="L6166" s="841" t="s">
        <v>3046</v>
      </c>
      <c r="M6166" s="1357"/>
      <c r="P6166" s="841" t="s">
        <v>3653</v>
      </c>
      <c r="Q6166" s="1357"/>
      <c r="S6166" s="1420"/>
      <c r="T6166" s="1420"/>
      <c r="V6166" s="1357">
        <v>55</v>
      </c>
    </row>
    <row r="6167" spans="1:22" s="841" customFormat="1" ht="15" x14ac:dyDescent="0.25">
      <c r="A6167" s="841" t="s">
        <v>205</v>
      </c>
      <c r="E6167" s="1690" t="s">
        <v>2450</v>
      </c>
      <c r="F6167" s="1690"/>
      <c r="G6167" s="1242" t="s">
        <v>24</v>
      </c>
      <c r="H6167" s="681">
        <v>4.0000000000000002E-4</v>
      </c>
      <c r="K6167" s="841" t="s">
        <v>3644</v>
      </c>
      <c r="L6167" s="841" t="s">
        <v>3046</v>
      </c>
      <c r="M6167" s="1357"/>
      <c r="P6167" s="841" t="s">
        <v>3653</v>
      </c>
      <c r="Q6167" s="1357"/>
      <c r="S6167" s="1420"/>
      <c r="T6167" s="1420"/>
      <c r="V6167" s="1357">
        <v>65</v>
      </c>
    </row>
    <row r="6168" spans="1:22" s="841" customFormat="1" ht="15" x14ac:dyDescent="0.25">
      <c r="A6168" s="841" t="s">
        <v>205</v>
      </c>
      <c r="E6168" s="1918" t="s">
        <v>5588</v>
      </c>
      <c r="F6168" s="1918"/>
      <c r="G6168" s="1242" t="s">
        <v>24</v>
      </c>
      <c r="H6168" s="681">
        <v>2.9999999999999997E-4</v>
      </c>
      <c r="K6168" s="841" t="s">
        <v>3644</v>
      </c>
      <c r="L6168" s="841" t="s">
        <v>3046</v>
      </c>
      <c r="M6168" s="1357"/>
      <c r="P6168" s="841" t="s">
        <v>3654</v>
      </c>
      <c r="Q6168" s="1357"/>
      <c r="S6168" s="1420"/>
      <c r="T6168" s="1420"/>
      <c r="V6168" s="1357">
        <v>45</v>
      </c>
    </row>
    <row r="6169" spans="1:22" s="841" customFormat="1" ht="15" x14ac:dyDescent="0.25">
      <c r="A6169" s="841" t="s">
        <v>205</v>
      </c>
      <c r="E6169" s="1918" t="s">
        <v>32</v>
      </c>
      <c r="F6169" s="1918"/>
      <c r="G6169" s="1242" t="s">
        <v>23</v>
      </c>
      <c r="H6169" s="701">
        <v>0.25</v>
      </c>
      <c r="K6169" s="841" t="s">
        <v>3644</v>
      </c>
      <c r="L6169" s="841" t="s">
        <v>3046</v>
      </c>
      <c r="M6169" s="1357"/>
      <c r="P6169" s="841" t="s">
        <v>3655</v>
      </c>
      <c r="Q6169" s="1357"/>
      <c r="S6169" s="1420"/>
      <c r="T6169" s="1420"/>
      <c r="V6169" s="1357">
        <v>63</v>
      </c>
    </row>
    <row r="6170" spans="1:22" s="841" customFormat="1" ht="15" x14ac:dyDescent="0.25">
      <c r="A6170" s="841" t="s">
        <v>205</v>
      </c>
      <c r="E6170" s="1967" t="s">
        <v>5094</v>
      </c>
      <c r="F6170" s="1977"/>
      <c r="G6170" s="1977"/>
      <c r="H6170" s="1978"/>
      <c r="K6170" s="841" t="s">
        <v>5603</v>
      </c>
      <c r="M6170" s="1357"/>
      <c r="Q6170" s="1357"/>
      <c r="S6170" s="1420"/>
      <c r="T6170" s="1420"/>
      <c r="V6170" s="1357">
        <v>54</v>
      </c>
    </row>
    <row r="6171" spans="1:22" s="841" customFormat="1" ht="15" x14ac:dyDescent="0.25">
      <c r="A6171" s="841" t="s">
        <v>205</v>
      </c>
      <c r="E6171" s="1939" t="s">
        <v>3781</v>
      </c>
      <c r="F6171" s="1939"/>
      <c r="G6171" s="1939"/>
      <c r="H6171" s="1940"/>
      <c r="K6171" s="841" t="s">
        <v>5603</v>
      </c>
      <c r="M6171" s="1357"/>
      <c r="Q6171" s="1357"/>
      <c r="S6171" s="1420"/>
      <c r="T6171" s="1420"/>
      <c r="V6171" s="1357">
        <v>286</v>
      </c>
    </row>
    <row r="6172" spans="1:22" s="841" customFormat="1" ht="15" x14ac:dyDescent="0.25">
      <c r="A6172" s="841" t="s">
        <v>205</v>
      </c>
      <c r="E6172" s="1983" t="s">
        <v>3061</v>
      </c>
      <c r="F6172" s="1697"/>
      <c r="G6172" s="1697"/>
      <c r="H6172" s="1697"/>
      <c r="K6172" s="841" t="s">
        <v>3345</v>
      </c>
      <c r="M6172" s="1357"/>
      <c r="Q6172" s="1357"/>
      <c r="S6172" s="1420"/>
      <c r="T6172" s="1420"/>
      <c r="V6172" s="1357">
        <v>11</v>
      </c>
    </row>
    <row r="6173" spans="1:22" s="841" customFormat="1" ht="15" x14ac:dyDescent="0.25">
      <c r="A6173" s="841" t="s">
        <v>205</v>
      </c>
      <c r="E6173" s="1939" t="s">
        <v>3063</v>
      </c>
      <c r="F6173" s="1939"/>
      <c r="G6173" s="1939"/>
      <c r="H6173" s="1940"/>
      <c r="K6173" s="841" t="s">
        <v>5603</v>
      </c>
      <c r="M6173" s="1357"/>
      <c r="Q6173" s="1357"/>
      <c r="S6173" s="1420"/>
      <c r="T6173" s="1420"/>
      <c r="V6173" s="1357">
        <v>280</v>
      </c>
    </row>
    <row r="6174" spans="1:22" s="841" customFormat="1" ht="15" x14ac:dyDescent="0.25">
      <c r="A6174" s="841" t="s">
        <v>205</v>
      </c>
      <c r="E6174" s="1939" t="s">
        <v>3064</v>
      </c>
      <c r="F6174" s="1939"/>
      <c r="G6174" s="1939"/>
      <c r="H6174" s="1940"/>
      <c r="K6174" s="841" t="s">
        <v>5603</v>
      </c>
      <c r="M6174" s="1357"/>
      <c r="Q6174" s="1357"/>
      <c r="S6174" s="1420"/>
      <c r="T6174" s="1420"/>
      <c r="V6174" s="1357">
        <v>411</v>
      </c>
    </row>
    <row r="6175" spans="1:22" s="841" customFormat="1" ht="15" x14ac:dyDescent="0.25">
      <c r="A6175" s="841" t="s">
        <v>205</v>
      </c>
      <c r="E6175" s="1939" t="s">
        <v>3996</v>
      </c>
      <c r="F6175" s="1939"/>
      <c r="G6175" s="1939"/>
      <c r="H6175" s="1940"/>
      <c r="K6175" s="841" t="s">
        <v>5603</v>
      </c>
      <c r="M6175" s="1357"/>
      <c r="Q6175" s="1357"/>
      <c r="S6175" s="1420"/>
      <c r="T6175" s="1420"/>
      <c r="V6175" s="1357">
        <v>212</v>
      </c>
    </row>
    <row r="6176" spans="1:22" s="841" customFormat="1" ht="15" x14ac:dyDescent="0.25">
      <c r="A6176" s="841" t="s">
        <v>205</v>
      </c>
      <c r="E6176" s="1939" t="s">
        <v>3995</v>
      </c>
      <c r="F6176" s="1939"/>
      <c r="G6176" s="1939"/>
      <c r="H6176" s="1940"/>
      <c r="K6176" s="841" t="s">
        <v>5603</v>
      </c>
      <c r="M6176" s="1357"/>
      <c r="Q6176" s="1357"/>
      <c r="S6176" s="1420"/>
      <c r="T6176" s="1420"/>
      <c r="V6176" s="1357">
        <v>247</v>
      </c>
    </row>
    <row r="6177" spans="1:22" s="841" customFormat="1" ht="15" x14ac:dyDescent="0.25">
      <c r="A6177" s="841" t="s">
        <v>205</v>
      </c>
      <c r="E6177" s="1984" t="s">
        <v>3067</v>
      </c>
      <c r="F6177" s="1693"/>
      <c r="G6177" s="1693"/>
      <c r="H6177" s="1693"/>
      <c r="K6177" s="841" t="s">
        <v>3346</v>
      </c>
      <c r="M6177" s="1357"/>
      <c r="Q6177" s="1357"/>
      <c r="S6177" s="1420"/>
      <c r="T6177" s="1420"/>
      <c r="V6177" s="1357">
        <v>46</v>
      </c>
    </row>
    <row r="6178" spans="1:22" s="841" customFormat="1" ht="15" x14ac:dyDescent="0.25">
      <c r="A6178" s="841" t="s">
        <v>205</v>
      </c>
      <c r="E6178" s="1934" t="s">
        <v>11</v>
      </c>
      <c r="F6178" s="1934"/>
      <c r="G6178" s="1237" t="s">
        <v>23</v>
      </c>
      <c r="H6178" s="699">
        <v>19</v>
      </c>
      <c r="K6178" s="841" t="s">
        <v>5603</v>
      </c>
      <c r="L6178" s="841" t="s">
        <v>442</v>
      </c>
      <c r="M6178" s="1357"/>
      <c r="P6178" s="841" t="s">
        <v>5604</v>
      </c>
      <c r="Q6178" s="1357"/>
      <c r="S6178" s="1420"/>
      <c r="T6178" s="1420"/>
      <c r="V6178" s="1357">
        <v>14</v>
      </c>
    </row>
    <row r="6179" spans="1:22" s="841" customFormat="1" ht="15" x14ac:dyDescent="0.25">
      <c r="A6179" s="841" t="s">
        <v>205</v>
      </c>
      <c r="E6179" s="1967" t="s">
        <v>2446</v>
      </c>
      <c r="F6179" s="1977"/>
      <c r="G6179" s="1977"/>
      <c r="H6179" s="1978"/>
      <c r="K6179" s="841" t="s">
        <v>5605</v>
      </c>
      <c r="M6179" s="1357"/>
      <c r="Q6179" s="1357"/>
      <c r="S6179" s="1420"/>
      <c r="T6179" s="1420"/>
      <c r="V6179" s="1357">
        <v>26</v>
      </c>
    </row>
    <row r="6180" spans="1:22" s="841" customFormat="1" ht="15" x14ac:dyDescent="0.25">
      <c r="A6180" s="841" t="s">
        <v>205</v>
      </c>
      <c r="E6180" s="1939" t="s">
        <v>3997</v>
      </c>
      <c r="F6180" s="1939"/>
      <c r="G6180" s="1939"/>
      <c r="H6180" s="1940"/>
      <c r="K6180" s="841" t="s">
        <v>5605</v>
      </c>
      <c r="M6180" s="1357"/>
      <c r="Q6180" s="1357"/>
      <c r="S6180" s="1420"/>
      <c r="T6180" s="1420"/>
      <c r="V6180" s="1357">
        <v>281</v>
      </c>
    </row>
    <row r="6181" spans="1:22" s="841" customFormat="1" ht="15" x14ac:dyDescent="0.25">
      <c r="A6181" s="841" t="s">
        <v>205</v>
      </c>
      <c r="E6181" s="1983" t="s">
        <v>3061</v>
      </c>
      <c r="F6181" s="1697"/>
      <c r="G6181" s="1697"/>
      <c r="H6181" s="1697"/>
      <c r="K6181" s="841" t="s">
        <v>3348</v>
      </c>
      <c r="M6181" s="1357"/>
      <c r="Q6181" s="1357"/>
      <c r="S6181" s="1420"/>
      <c r="T6181" s="1420"/>
      <c r="V6181" s="1357">
        <v>11</v>
      </c>
    </row>
    <row r="6182" spans="1:22" s="841" customFormat="1" ht="15" x14ac:dyDescent="0.25">
      <c r="A6182" s="841" t="s">
        <v>205</v>
      </c>
      <c r="E6182" s="1939" t="s">
        <v>3063</v>
      </c>
      <c r="F6182" s="1939"/>
      <c r="G6182" s="1939"/>
      <c r="H6182" s="1940"/>
      <c r="K6182" s="841" t="s">
        <v>5605</v>
      </c>
      <c r="M6182" s="1357"/>
      <c r="Q6182" s="1357"/>
      <c r="S6182" s="1420"/>
      <c r="T6182" s="1420"/>
      <c r="V6182" s="1357">
        <v>280</v>
      </c>
    </row>
    <row r="6183" spans="1:22" s="841" customFormat="1" ht="15" x14ac:dyDescent="0.25">
      <c r="A6183" s="841" t="s">
        <v>205</v>
      </c>
      <c r="E6183" s="1939" t="s">
        <v>3064</v>
      </c>
      <c r="F6183" s="1939"/>
      <c r="G6183" s="1939"/>
      <c r="H6183" s="1940"/>
      <c r="K6183" s="841" t="s">
        <v>5605</v>
      </c>
      <c r="M6183" s="1357"/>
      <c r="Q6183" s="1357"/>
      <c r="S6183" s="1420"/>
      <c r="T6183" s="1420"/>
      <c r="V6183" s="1357">
        <v>411</v>
      </c>
    </row>
    <row r="6184" spans="1:22" s="841" customFormat="1" ht="15" x14ac:dyDescent="0.25">
      <c r="A6184" s="841" t="s">
        <v>205</v>
      </c>
      <c r="E6184" s="1939" t="s">
        <v>3996</v>
      </c>
      <c r="F6184" s="1939"/>
      <c r="G6184" s="1939"/>
      <c r="H6184" s="1940"/>
      <c r="K6184" s="841" t="s">
        <v>5605</v>
      </c>
      <c r="M6184" s="1357"/>
      <c r="Q6184" s="1357"/>
      <c r="S6184" s="1420"/>
      <c r="T6184" s="1420"/>
      <c r="V6184" s="1357">
        <v>212</v>
      </c>
    </row>
    <row r="6185" spans="1:22" s="841" customFormat="1" ht="15" x14ac:dyDescent="0.25">
      <c r="A6185" s="841" t="s">
        <v>205</v>
      </c>
      <c r="E6185" s="1939" t="s">
        <v>3995</v>
      </c>
      <c r="F6185" s="1939"/>
      <c r="G6185" s="1939"/>
      <c r="H6185" s="1940"/>
      <c r="K6185" s="841" t="s">
        <v>5605</v>
      </c>
      <c r="M6185" s="1357"/>
      <c r="Q6185" s="1357"/>
      <c r="S6185" s="1420"/>
      <c r="T6185" s="1420"/>
      <c r="V6185" s="1357">
        <v>247</v>
      </c>
    </row>
    <row r="6186" spans="1:22" s="841" customFormat="1" ht="15" x14ac:dyDescent="0.25">
      <c r="A6186" s="841" t="s">
        <v>205</v>
      </c>
      <c r="E6186" s="1984" t="s">
        <v>3067</v>
      </c>
      <c r="F6186" s="1693"/>
      <c r="G6186" s="1693"/>
      <c r="H6186" s="1693"/>
      <c r="K6186" s="841" t="s">
        <v>3349</v>
      </c>
      <c r="M6186" s="1357"/>
      <c r="Q6186" s="1357"/>
      <c r="S6186" s="1420"/>
      <c r="T6186" s="1420"/>
      <c r="V6186" s="1357">
        <v>46</v>
      </c>
    </row>
    <row r="6187" spans="1:22" s="841" customFormat="1" ht="15" x14ac:dyDescent="0.25">
      <c r="A6187" s="841" t="s">
        <v>205</v>
      </c>
      <c r="E6187" s="1934" t="s">
        <v>11</v>
      </c>
      <c r="F6187" s="1934"/>
      <c r="G6187" s="1237" t="s">
        <v>23</v>
      </c>
      <c r="H6187" s="699">
        <v>124</v>
      </c>
      <c r="K6187" s="841" t="s">
        <v>5605</v>
      </c>
      <c r="L6187" s="841" t="s">
        <v>442</v>
      </c>
      <c r="M6187" s="1357"/>
      <c r="P6187" s="841" t="s">
        <v>5606</v>
      </c>
      <c r="Q6187" s="1357"/>
      <c r="S6187" s="1420"/>
      <c r="T6187" s="1420"/>
      <c r="V6187" s="1357">
        <v>14</v>
      </c>
    </row>
    <row r="6188" spans="1:22" s="841" customFormat="1" ht="15" x14ac:dyDescent="0.25">
      <c r="A6188" s="841" t="s">
        <v>205</v>
      </c>
      <c r="E6188" s="1967" t="s">
        <v>5093</v>
      </c>
      <c r="F6188" s="1977"/>
      <c r="G6188" s="1977"/>
      <c r="H6188" s="1978"/>
      <c r="K6188" s="841" t="s">
        <v>5607</v>
      </c>
      <c r="M6188" s="1357"/>
      <c r="Q6188" s="1357"/>
      <c r="S6188" s="1420"/>
      <c r="T6188" s="1420"/>
      <c r="V6188" s="1357">
        <v>56</v>
      </c>
    </row>
    <row r="6189" spans="1:22" s="841" customFormat="1" ht="15" x14ac:dyDescent="0.25">
      <c r="A6189" s="841" t="s">
        <v>205</v>
      </c>
      <c r="E6189" s="1939" t="s">
        <v>3998</v>
      </c>
      <c r="F6189" s="1939"/>
      <c r="G6189" s="1939"/>
      <c r="H6189" s="1940"/>
      <c r="K6189" s="841" t="s">
        <v>5607</v>
      </c>
      <c r="M6189" s="1357"/>
      <c r="Q6189" s="1357"/>
      <c r="S6189" s="1420"/>
      <c r="T6189" s="1420"/>
      <c r="V6189" s="1357">
        <v>315</v>
      </c>
    </row>
    <row r="6190" spans="1:22" s="841" customFormat="1" ht="15" x14ac:dyDescent="0.25">
      <c r="A6190" s="841" t="s">
        <v>205</v>
      </c>
      <c r="E6190" s="1983" t="s">
        <v>3061</v>
      </c>
      <c r="F6190" s="1697"/>
      <c r="G6190" s="1697"/>
      <c r="H6190" s="1697"/>
      <c r="K6190" s="841" t="s">
        <v>3351</v>
      </c>
      <c r="M6190" s="1357"/>
      <c r="Q6190" s="1357"/>
      <c r="S6190" s="1420"/>
      <c r="T6190" s="1420"/>
      <c r="V6190" s="1357">
        <v>11</v>
      </c>
    </row>
    <row r="6191" spans="1:22" s="841" customFormat="1" ht="15" x14ac:dyDescent="0.25">
      <c r="A6191" s="841" t="s">
        <v>205</v>
      </c>
      <c r="E6191" s="1939" t="s">
        <v>3063</v>
      </c>
      <c r="F6191" s="1939"/>
      <c r="G6191" s="1939"/>
      <c r="H6191" s="1940"/>
      <c r="K6191" s="841" t="s">
        <v>5607</v>
      </c>
      <c r="M6191" s="1357"/>
      <c r="Q6191" s="1357"/>
      <c r="S6191" s="1420"/>
      <c r="T6191" s="1420"/>
      <c r="V6191" s="1357">
        <v>280</v>
      </c>
    </row>
    <row r="6192" spans="1:22" s="841" customFormat="1" ht="15" x14ac:dyDescent="0.25">
      <c r="A6192" s="841" t="s">
        <v>205</v>
      </c>
      <c r="E6192" s="1939" t="s">
        <v>3064</v>
      </c>
      <c r="F6192" s="1939"/>
      <c r="G6192" s="1939"/>
      <c r="H6192" s="1940"/>
      <c r="K6192" s="841" t="s">
        <v>5607</v>
      </c>
      <c r="M6192" s="1357"/>
      <c r="Q6192" s="1357"/>
      <c r="S6192" s="1420"/>
      <c r="T6192" s="1420"/>
      <c r="V6192" s="1357">
        <v>411</v>
      </c>
    </row>
    <row r="6193" spans="1:22" s="841" customFormat="1" ht="15" x14ac:dyDescent="0.25">
      <c r="A6193" s="841" t="s">
        <v>205</v>
      </c>
      <c r="E6193" s="1939" t="s">
        <v>3996</v>
      </c>
      <c r="F6193" s="1939"/>
      <c r="G6193" s="1939"/>
      <c r="H6193" s="1940"/>
      <c r="K6193" s="841" t="s">
        <v>5607</v>
      </c>
      <c r="M6193" s="1357"/>
      <c r="Q6193" s="1357"/>
      <c r="S6193" s="1420"/>
      <c r="T6193" s="1420"/>
      <c r="V6193" s="1357">
        <v>212</v>
      </c>
    </row>
    <row r="6194" spans="1:22" s="841" customFormat="1" ht="15" x14ac:dyDescent="0.25">
      <c r="A6194" s="841" t="s">
        <v>205</v>
      </c>
      <c r="E6194" s="1939" t="s">
        <v>3995</v>
      </c>
      <c r="F6194" s="1939"/>
      <c r="G6194" s="1939"/>
      <c r="H6194" s="1940"/>
      <c r="K6194" s="841" t="s">
        <v>5607</v>
      </c>
      <c r="M6194" s="1357"/>
      <c r="Q6194" s="1357"/>
      <c r="S6194" s="1420"/>
      <c r="T6194" s="1420"/>
      <c r="V6194" s="1357">
        <v>247</v>
      </c>
    </row>
    <row r="6195" spans="1:22" s="841" customFormat="1" ht="15" x14ac:dyDescent="0.25">
      <c r="A6195" s="841" t="s">
        <v>205</v>
      </c>
      <c r="E6195" s="1984" t="s">
        <v>3067</v>
      </c>
      <c r="F6195" s="1693"/>
      <c r="G6195" s="1693"/>
      <c r="H6195" s="1693"/>
      <c r="K6195" s="841" t="s">
        <v>3352</v>
      </c>
      <c r="M6195" s="1357"/>
      <c r="Q6195" s="1357"/>
      <c r="S6195" s="1420"/>
      <c r="T6195" s="1420"/>
      <c r="V6195" s="1357">
        <v>46</v>
      </c>
    </row>
    <row r="6196" spans="1:22" s="841" customFormat="1" ht="15" x14ac:dyDescent="0.25">
      <c r="A6196" s="841" t="s">
        <v>205</v>
      </c>
      <c r="E6196" s="1934" t="s">
        <v>11</v>
      </c>
      <c r="F6196" s="1934"/>
      <c r="G6196" s="1237" t="s">
        <v>23</v>
      </c>
      <c r="H6196" s="699">
        <v>270</v>
      </c>
      <c r="K6196" s="841" t="s">
        <v>5607</v>
      </c>
      <c r="L6196" s="841" t="s">
        <v>442</v>
      </c>
      <c r="M6196" s="1357"/>
      <c r="P6196" s="841" t="s">
        <v>5608</v>
      </c>
      <c r="Q6196" s="1357"/>
      <c r="S6196" s="1420"/>
      <c r="T6196" s="1420"/>
      <c r="V6196" s="1357">
        <v>14</v>
      </c>
    </row>
    <row r="6197" spans="1:22" s="841" customFormat="1" x14ac:dyDescent="0.25">
      <c r="A6197" s="841" t="s">
        <v>205</v>
      </c>
      <c r="E6197" s="702" t="s">
        <v>85</v>
      </c>
      <c r="F6197" s="712"/>
      <c r="G6197" s="712"/>
      <c r="H6197" s="1243"/>
      <c r="K6197" s="841" t="s">
        <v>3999</v>
      </c>
      <c r="M6197" s="1357"/>
      <c r="Q6197" s="1357"/>
      <c r="S6197" s="1420"/>
      <c r="T6197" s="1420"/>
      <c r="V6197" s="1357">
        <v>10</v>
      </c>
    </row>
    <row r="6198" spans="1:22" s="841" customFormat="1" ht="15" x14ac:dyDescent="0.25">
      <c r="A6198" s="841" t="s">
        <v>205</v>
      </c>
      <c r="E6198" s="1690" t="s">
        <v>3133</v>
      </c>
      <c r="F6198" s="1690"/>
      <c r="G6198" s="705" t="s">
        <v>33</v>
      </c>
      <c r="H6198" s="706">
        <v>-0.45</v>
      </c>
      <c r="M6198" s="1357"/>
      <c r="Q6198" s="1357"/>
      <c r="S6198" s="1420"/>
      <c r="T6198" s="1420"/>
      <c r="V6198" s="1357">
        <v>68</v>
      </c>
    </row>
    <row r="6199" spans="1:22" s="841" customFormat="1" ht="15" x14ac:dyDescent="0.25">
      <c r="A6199" s="841" t="s">
        <v>205</v>
      </c>
      <c r="E6199" s="1918" t="s">
        <v>3134</v>
      </c>
      <c r="F6199" s="1918"/>
      <c r="G6199" s="705" t="s">
        <v>86</v>
      </c>
      <c r="H6199" s="706">
        <v>-1</v>
      </c>
      <c r="M6199" s="1357"/>
      <c r="Q6199" s="1357"/>
      <c r="S6199" s="1420"/>
      <c r="T6199" s="1420"/>
      <c r="V6199" s="1357">
        <v>87</v>
      </c>
    </row>
    <row r="6200" spans="1:22" s="841" customFormat="1" x14ac:dyDescent="0.25">
      <c r="A6200" s="841" t="s">
        <v>205</v>
      </c>
      <c r="E6200" s="702" t="s">
        <v>87</v>
      </c>
      <c r="F6200" s="712"/>
      <c r="G6200" s="712"/>
      <c r="H6200" s="729"/>
      <c r="K6200" s="841" t="s">
        <v>4000</v>
      </c>
      <c r="M6200" s="1357"/>
      <c r="Q6200" s="1357"/>
      <c r="S6200" s="1420"/>
      <c r="T6200" s="1420"/>
      <c r="V6200" s="1357">
        <v>24</v>
      </c>
    </row>
    <row r="6201" spans="1:22" s="841" customFormat="1" ht="15" x14ac:dyDescent="0.25">
      <c r="A6201" s="841" t="s">
        <v>205</v>
      </c>
      <c r="E6201" s="2091" t="s">
        <v>3061</v>
      </c>
      <c r="F6201" s="1689"/>
      <c r="G6201" s="1689"/>
      <c r="H6201" s="1689"/>
      <c r="M6201" s="1357"/>
      <c r="Q6201" s="1357"/>
      <c r="S6201" s="1420"/>
      <c r="T6201" s="1420"/>
      <c r="V6201" s="1357">
        <v>11</v>
      </c>
    </row>
    <row r="6202" spans="1:22" s="841" customFormat="1" ht="15" x14ac:dyDescent="0.25">
      <c r="A6202" s="841" t="s">
        <v>205</v>
      </c>
      <c r="E6202" s="1945" t="s">
        <v>3063</v>
      </c>
      <c r="F6202" s="1945"/>
      <c r="G6202" s="1945"/>
      <c r="H6202" s="1946"/>
      <c r="M6202" s="1357"/>
      <c r="Q6202" s="1357"/>
      <c r="S6202" s="1420"/>
      <c r="T6202" s="1420"/>
      <c r="V6202" s="1357">
        <v>280</v>
      </c>
    </row>
    <row r="6203" spans="1:22" s="841" customFormat="1" ht="15" x14ac:dyDescent="0.25">
      <c r="A6203" s="841" t="s">
        <v>205</v>
      </c>
      <c r="E6203" s="1945" t="s">
        <v>3136</v>
      </c>
      <c r="F6203" s="1945"/>
      <c r="G6203" s="1945"/>
      <c r="H6203" s="1946"/>
      <c r="M6203" s="1357"/>
      <c r="Q6203" s="1357"/>
      <c r="S6203" s="1420"/>
      <c r="T6203" s="1420"/>
      <c r="V6203" s="1357">
        <v>353</v>
      </c>
    </row>
    <row r="6204" spans="1:22" s="841" customFormat="1" ht="15" x14ac:dyDescent="0.25">
      <c r="A6204" s="841" t="s">
        <v>205</v>
      </c>
      <c r="E6204" s="1945" t="s">
        <v>3810</v>
      </c>
      <c r="F6204" s="1945"/>
      <c r="G6204" s="1945"/>
      <c r="H6204" s="1946"/>
      <c r="M6204" s="1357"/>
      <c r="Q6204" s="1357"/>
      <c r="S6204" s="1420"/>
      <c r="T6204" s="1420"/>
      <c r="V6204" s="1357">
        <v>246</v>
      </c>
    </row>
    <row r="6205" spans="1:22" s="841" customFormat="1" ht="15" x14ac:dyDescent="0.25">
      <c r="A6205" s="841" t="s">
        <v>205</v>
      </c>
      <c r="E6205" s="1244" t="s">
        <v>3137</v>
      </c>
      <c r="F6205" s="712"/>
      <c r="G6205" s="712"/>
      <c r="H6205" s="729"/>
      <c r="K6205" s="841" t="s">
        <v>4001</v>
      </c>
      <c r="M6205" s="1357"/>
      <c r="Q6205" s="1357"/>
      <c r="S6205" s="1420"/>
      <c r="T6205" s="1420"/>
      <c r="V6205" s="1357">
        <v>23</v>
      </c>
    </row>
    <row r="6206" spans="1:22" s="841" customFormat="1" ht="15" x14ac:dyDescent="0.25">
      <c r="A6206" s="841" t="s">
        <v>205</v>
      </c>
      <c r="E6206" s="1988" t="s">
        <v>4002</v>
      </c>
      <c r="F6206" s="1988"/>
      <c r="G6206" s="1237" t="s">
        <v>23</v>
      </c>
      <c r="H6206" s="699">
        <v>15</v>
      </c>
      <c r="M6206" s="1357"/>
      <c r="Q6206" s="1357"/>
      <c r="S6206" s="1420"/>
      <c r="T6206" s="1420"/>
      <c r="V6206" s="1357">
        <v>19</v>
      </c>
    </row>
    <row r="6207" spans="1:22" s="841" customFormat="1" ht="15" x14ac:dyDescent="0.25">
      <c r="A6207" s="841" t="s">
        <v>205</v>
      </c>
      <c r="E6207" s="1988" t="s">
        <v>3142</v>
      </c>
      <c r="F6207" s="1988"/>
      <c r="G6207" s="1237" t="s">
        <v>23</v>
      </c>
      <c r="H6207" s="699">
        <v>15</v>
      </c>
      <c r="M6207" s="1357"/>
      <c r="Q6207" s="1357"/>
      <c r="S6207" s="1420"/>
      <c r="T6207" s="1420"/>
      <c r="V6207" s="1357">
        <v>39</v>
      </c>
    </row>
    <row r="6208" spans="1:22" s="841" customFormat="1" ht="15" x14ac:dyDescent="0.25">
      <c r="A6208" s="841" t="s">
        <v>205</v>
      </c>
      <c r="E6208" s="1988" t="s">
        <v>4003</v>
      </c>
      <c r="F6208" s="1988"/>
      <c r="G6208" s="1237" t="s">
        <v>23</v>
      </c>
      <c r="H6208" s="699">
        <v>100</v>
      </c>
      <c r="M6208" s="1357"/>
      <c r="Q6208" s="1357"/>
      <c r="S6208" s="1420"/>
      <c r="T6208" s="1420"/>
      <c r="V6208" s="1357">
        <v>84</v>
      </c>
    </row>
    <row r="6209" spans="1:22" s="841" customFormat="1" ht="15" x14ac:dyDescent="0.25">
      <c r="A6209" s="841" t="s">
        <v>205</v>
      </c>
      <c r="E6209" s="1988" t="s">
        <v>3148</v>
      </c>
      <c r="F6209" s="1988"/>
      <c r="G6209" s="1237" t="s">
        <v>23</v>
      </c>
      <c r="H6209" s="699">
        <v>15</v>
      </c>
      <c r="M6209" s="1357"/>
      <c r="Q6209" s="1357"/>
      <c r="S6209" s="1420"/>
      <c r="T6209" s="1420"/>
      <c r="V6209" s="1357">
        <v>56</v>
      </c>
    </row>
    <row r="6210" spans="1:22" s="841" customFormat="1" ht="15" x14ac:dyDescent="0.25">
      <c r="A6210" s="841" t="s">
        <v>205</v>
      </c>
      <c r="E6210" s="1988" t="s">
        <v>4004</v>
      </c>
      <c r="F6210" s="1988"/>
      <c r="G6210" s="1237" t="s">
        <v>23</v>
      </c>
      <c r="H6210" s="699">
        <v>15</v>
      </c>
      <c r="M6210" s="1357"/>
      <c r="Q6210" s="1357"/>
      <c r="S6210" s="1420"/>
      <c r="T6210" s="1420"/>
      <c r="V6210" s="1357">
        <v>46</v>
      </c>
    </row>
    <row r="6211" spans="1:22" s="841" customFormat="1" ht="15" x14ac:dyDescent="0.25">
      <c r="A6211" s="841" t="s">
        <v>205</v>
      </c>
      <c r="E6211" s="1988" t="s">
        <v>88</v>
      </c>
      <c r="F6211" s="1988"/>
      <c r="G6211" s="1237" t="s">
        <v>23</v>
      </c>
      <c r="H6211" s="699">
        <v>30</v>
      </c>
      <c r="M6211" s="1357"/>
      <c r="Q6211" s="1357"/>
      <c r="S6211" s="1420"/>
      <c r="T6211" s="1420"/>
      <c r="V6211" s="1357">
        <v>89</v>
      </c>
    </row>
    <row r="6212" spans="1:22" s="841" customFormat="1" ht="15" x14ac:dyDescent="0.25">
      <c r="A6212" s="841" t="s">
        <v>205</v>
      </c>
      <c r="E6212" s="1988" t="s">
        <v>4005</v>
      </c>
      <c r="F6212" s="1988"/>
      <c r="G6212" s="1237" t="s">
        <v>23</v>
      </c>
      <c r="H6212" s="699">
        <v>65</v>
      </c>
      <c r="M6212" s="1357"/>
      <c r="Q6212" s="1357"/>
      <c r="S6212" s="1420"/>
      <c r="T6212" s="1420"/>
      <c r="V6212" s="1357">
        <v>90</v>
      </c>
    </row>
    <row r="6213" spans="1:22" s="841" customFormat="1" ht="15" x14ac:dyDescent="0.25">
      <c r="A6213" s="841" t="s">
        <v>205</v>
      </c>
      <c r="E6213" s="1988" t="s">
        <v>4006</v>
      </c>
      <c r="F6213" s="1988"/>
      <c r="G6213" s="1237" t="s">
        <v>23</v>
      </c>
      <c r="H6213" s="699">
        <v>185</v>
      </c>
      <c r="M6213" s="1357"/>
      <c r="Q6213" s="1357"/>
      <c r="S6213" s="1420"/>
      <c r="T6213" s="1420"/>
      <c r="V6213" s="1357">
        <v>96</v>
      </c>
    </row>
    <row r="6214" spans="1:22" s="841" customFormat="1" ht="15" x14ac:dyDescent="0.25">
      <c r="A6214" s="841" t="s">
        <v>205</v>
      </c>
      <c r="E6214" s="1988" t="s">
        <v>4007</v>
      </c>
      <c r="F6214" s="1988"/>
      <c r="G6214" s="1237" t="s">
        <v>23</v>
      </c>
      <c r="H6214" s="699">
        <v>362</v>
      </c>
      <c r="M6214" s="1357"/>
      <c r="Q6214" s="1357"/>
      <c r="S6214" s="1420"/>
      <c r="T6214" s="1420"/>
      <c r="V6214" s="1357">
        <v>30</v>
      </c>
    </row>
    <row r="6215" spans="1:22" s="841" customFormat="1" ht="15" x14ac:dyDescent="0.25">
      <c r="A6215" s="841" t="s">
        <v>205</v>
      </c>
      <c r="E6215" s="1988" t="s">
        <v>4008</v>
      </c>
      <c r="F6215" s="1988"/>
      <c r="G6215" s="1237" t="s">
        <v>23</v>
      </c>
      <c r="H6215" s="699">
        <v>222</v>
      </c>
      <c r="M6215" s="1357"/>
      <c r="Q6215" s="1357"/>
      <c r="S6215" s="1420"/>
      <c r="T6215" s="1420"/>
      <c r="V6215" s="1357">
        <v>47</v>
      </c>
    </row>
    <row r="6216" spans="1:22" s="841" customFormat="1" ht="15" x14ac:dyDescent="0.25">
      <c r="A6216" s="841" t="s">
        <v>205</v>
      </c>
      <c r="E6216" s="1244" t="s">
        <v>3152</v>
      </c>
      <c r="F6216" s="712"/>
      <c r="G6216" s="677"/>
      <c r="H6216" s="1245"/>
      <c r="K6216" s="841" t="s">
        <v>4009</v>
      </c>
      <c r="M6216" s="1357"/>
      <c r="Q6216" s="1357"/>
      <c r="S6216" s="1420"/>
      <c r="T6216" s="1420"/>
      <c r="V6216" s="1357">
        <v>22</v>
      </c>
    </row>
    <row r="6217" spans="1:22" s="841" customFormat="1" ht="15" x14ac:dyDescent="0.25">
      <c r="A6217" s="841" t="s">
        <v>205</v>
      </c>
      <c r="E6217" s="1988" t="s">
        <v>5137</v>
      </c>
      <c r="F6217" s="1988"/>
      <c r="G6217" s="1237" t="s">
        <v>86</v>
      </c>
      <c r="H6217" s="699">
        <v>1.5</v>
      </c>
      <c r="M6217" s="1357"/>
      <c r="Q6217" s="1357"/>
      <c r="S6217" s="1420"/>
      <c r="T6217" s="1420"/>
      <c r="V6217" s="1357">
        <v>24</v>
      </c>
    </row>
    <row r="6218" spans="1:22" s="841" customFormat="1" ht="15" x14ac:dyDescent="0.25">
      <c r="A6218" s="841" t="s">
        <v>205</v>
      </c>
      <c r="E6218" s="1988" t="s">
        <v>4772</v>
      </c>
      <c r="F6218" s="1988"/>
      <c r="G6218" s="1237" t="s">
        <v>86</v>
      </c>
      <c r="H6218" s="699">
        <v>19.559999999999999</v>
      </c>
      <c r="M6218" s="1357"/>
      <c r="Q6218" s="1357"/>
      <c r="S6218" s="1420"/>
      <c r="T6218" s="1420"/>
      <c r="V6218" s="1357">
        <v>24</v>
      </c>
    </row>
    <row r="6219" spans="1:22" s="841" customFormat="1" ht="15" x14ac:dyDescent="0.25">
      <c r="A6219" s="841" t="s">
        <v>205</v>
      </c>
      <c r="E6219" s="1988" t="s">
        <v>3288</v>
      </c>
      <c r="F6219" s="1988"/>
      <c r="G6219" s="1237" t="s">
        <v>23</v>
      </c>
      <c r="H6219" s="699">
        <v>30</v>
      </c>
      <c r="M6219" s="1357"/>
      <c r="Q6219" s="1357"/>
      <c r="S6219" s="1420"/>
      <c r="T6219" s="1420"/>
      <c r="V6219" s="1357">
        <v>47</v>
      </c>
    </row>
    <row r="6220" spans="1:22" s="841" customFormat="1" ht="15" x14ac:dyDescent="0.25">
      <c r="A6220" s="841" t="s">
        <v>205</v>
      </c>
      <c r="E6220" s="1988" t="s">
        <v>4773</v>
      </c>
      <c r="F6220" s="1988"/>
      <c r="G6220" s="1237" t="s">
        <v>23</v>
      </c>
      <c r="H6220" s="699">
        <v>65</v>
      </c>
      <c r="M6220" s="1357"/>
      <c r="Q6220" s="1357"/>
      <c r="S6220" s="1420"/>
      <c r="T6220" s="1420"/>
      <c r="V6220" s="1357">
        <v>52</v>
      </c>
    </row>
    <row r="6221" spans="1:22" s="841" customFormat="1" ht="15" x14ac:dyDescent="0.25">
      <c r="A6221" s="841" t="s">
        <v>205</v>
      </c>
      <c r="E6221" s="1988" t="s">
        <v>4774</v>
      </c>
      <c r="F6221" s="1988"/>
      <c r="G6221" s="1237" t="s">
        <v>23</v>
      </c>
      <c r="H6221" s="699">
        <v>185</v>
      </c>
      <c r="M6221" s="1357"/>
      <c r="Q6221" s="1357"/>
      <c r="S6221" s="1420"/>
      <c r="T6221" s="1420"/>
      <c r="V6221" s="1357">
        <v>51</v>
      </c>
    </row>
    <row r="6222" spans="1:22" s="841" customFormat="1" ht="15" x14ac:dyDescent="0.25">
      <c r="A6222" s="841" t="s">
        <v>205</v>
      </c>
      <c r="E6222" s="1988" t="s">
        <v>4775</v>
      </c>
      <c r="F6222" s="1988"/>
      <c r="G6222" s="1237" t="s">
        <v>23</v>
      </c>
      <c r="H6222" s="699">
        <v>185</v>
      </c>
      <c r="M6222" s="1357"/>
      <c r="Q6222" s="1357"/>
      <c r="S6222" s="1420"/>
      <c r="T6222" s="1420"/>
      <c r="V6222" s="1357">
        <v>51</v>
      </c>
    </row>
    <row r="6223" spans="1:22" s="841" customFormat="1" ht="15" x14ac:dyDescent="0.25">
      <c r="A6223" s="841" t="s">
        <v>205</v>
      </c>
      <c r="E6223" s="1988" t="s">
        <v>4776</v>
      </c>
      <c r="F6223" s="1988"/>
      <c r="G6223" s="1237" t="s">
        <v>23</v>
      </c>
      <c r="H6223" s="699">
        <v>415</v>
      </c>
      <c r="M6223" s="1357"/>
      <c r="Q6223" s="1357"/>
      <c r="S6223" s="1420"/>
      <c r="T6223" s="1420"/>
      <c r="V6223" s="1357">
        <v>50</v>
      </c>
    </row>
    <row r="6224" spans="1:22" s="841" customFormat="1" ht="15" x14ac:dyDescent="0.25">
      <c r="A6224" s="841" t="s">
        <v>205</v>
      </c>
      <c r="E6224" s="1246" t="s">
        <v>3164</v>
      </c>
      <c r="F6224" s="712"/>
      <c r="G6224" s="677"/>
      <c r="H6224" s="1245"/>
      <c r="M6224" s="1357"/>
      <c r="Q6224" s="1357"/>
      <c r="S6224" s="1420"/>
      <c r="T6224" s="1420"/>
      <c r="V6224" s="1357">
        <v>5</v>
      </c>
    </row>
    <row r="6225" spans="1:22" s="841" customFormat="1" ht="15" x14ac:dyDescent="0.25">
      <c r="A6225" s="841" t="s">
        <v>205</v>
      </c>
      <c r="E6225" s="1988" t="s">
        <v>3434</v>
      </c>
      <c r="F6225" s="1988"/>
      <c r="G6225" s="1237" t="s">
        <v>23</v>
      </c>
      <c r="H6225" s="699">
        <v>830</v>
      </c>
      <c r="M6225" s="1357"/>
      <c r="Q6225" s="1357"/>
      <c r="S6225" s="1420"/>
      <c r="T6225" s="1420"/>
      <c r="V6225" s="1357">
        <v>64</v>
      </c>
    </row>
    <row r="6226" spans="1:22" s="841" customFormat="1" ht="15" x14ac:dyDescent="0.25">
      <c r="A6226" s="841" t="s">
        <v>205</v>
      </c>
      <c r="E6226" s="1988" t="s">
        <v>3489</v>
      </c>
      <c r="F6226" s="1988"/>
      <c r="G6226" s="1237" t="s">
        <v>23</v>
      </c>
      <c r="H6226" s="699">
        <v>1205</v>
      </c>
      <c r="M6226" s="1357"/>
      <c r="Q6226" s="1357"/>
      <c r="S6226" s="1420"/>
      <c r="T6226" s="1420"/>
      <c r="V6226" s="1357">
        <v>67</v>
      </c>
    </row>
    <row r="6227" spans="1:22" s="841" customFormat="1" ht="15" x14ac:dyDescent="0.25">
      <c r="A6227" s="841" t="s">
        <v>205</v>
      </c>
      <c r="E6227" s="1988" t="s">
        <v>3490</v>
      </c>
      <c r="F6227" s="1988"/>
      <c r="G6227" s="1237" t="s">
        <v>23</v>
      </c>
      <c r="H6227" s="699">
        <v>2961</v>
      </c>
      <c r="M6227" s="1357"/>
      <c r="Q6227" s="1357"/>
      <c r="S6227" s="1420"/>
      <c r="T6227" s="1420"/>
      <c r="V6227" s="1357">
        <v>66</v>
      </c>
    </row>
    <row r="6228" spans="1:22" s="841" customFormat="1" ht="15" x14ac:dyDescent="0.25">
      <c r="A6228" s="841" t="s">
        <v>205</v>
      </c>
      <c r="E6228" s="1988" t="s">
        <v>3502</v>
      </c>
      <c r="F6228" s="1988"/>
      <c r="G6228" s="1241" t="s">
        <v>23</v>
      </c>
      <c r="H6228" s="699">
        <v>53</v>
      </c>
      <c r="M6228" s="1357"/>
      <c r="Q6228" s="1357"/>
      <c r="S6228" s="1420"/>
      <c r="T6228" s="1420"/>
      <c r="V6228" s="1357">
        <v>104</v>
      </c>
    </row>
    <row r="6229" spans="1:22" s="841" customFormat="1" ht="15" x14ac:dyDescent="0.25">
      <c r="A6229" s="841" t="s">
        <v>205</v>
      </c>
      <c r="E6229" s="1988" t="s">
        <v>4010</v>
      </c>
      <c r="F6229" s="1988"/>
      <c r="G6229" s="1237"/>
      <c r="H6229" s="699" t="s">
        <v>4011</v>
      </c>
      <c r="M6229" s="1357"/>
      <c r="Q6229" s="1357"/>
      <c r="S6229" s="1420"/>
      <c r="T6229" s="1420"/>
      <c r="V6229" s="1357">
        <v>40</v>
      </c>
    </row>
    <row r="6230" spans="1:22" s="841" customFormat="1" ht="15" x14ac:dyDescent="0.25">
      <c r="A6230" s="841" t="s">
        <v>205</v>
      </c>
      <c r="E6230" s="1988" t="s">
        <v>5609</v>
      </c>
      <c r="F6230" s="1988"/>
      <c r="G6230" s="1237" t="s">
        <v>23</v>
      </c>
      <c r="H6230" s="699">
        <v>133</v>
      </c>
      <c r="M6230" s="1357"/>
      <c r="Q6230" s="1357"/>
      <c r="S6230" s="1420"/>
      <c r="T6230" s="1420"/>
      <c r="V6230" s="1357">
        <v>82</v>
      </c>
    </row>
    <row r="6231" spans="1:22" s="841" customFormat="1" ht="15" x14ac:dyDescent="0.25">
      <c r="A6231" s="841" t="s">
        <v>205</v>
      </c>
      <c r="E6231" s="1988" t="s">
        <v>5610</v>
      </c>
      <c r="F6231" s="1988"/>
      <c r="G6231" s="1237" t="s">
        <v>23</v>
      </c>
      <c r="H6231" s="699">
        <v>163</v>
      </c>
      <c r="M6231" s="1357"/>
      <c r="Q6231" s="1357"/>
      <c r="S6231" s="1420"/>
      <c r="T6231" s="1420"/>
      <c r="V6231" s="1357">
        <v>79</v>
      </c>
    </row>
    <row r="6232" spans="1:22" s="841" customFormat="1" x14ac:dyDescent="0.25">
      <c r="A6232" s="841" t="s">
        <v>205</v>
      </c>
      <c r="E6232" s="702" t="s">
        <v>77</v>
      </c>
      <c r="F6232" s="712"/>
      <c r="G6232" s="712"/>
      <c r="H6232" s="729"/>
      <c r="K6232" s="841" t="s">
        <v>4012</v>
      </c>
      <c r="M6232" s="1357"/>
      <c r="Q6232" s="1357"/>
      <c r="S6232" s="1420"/>
      <c r="T6232" s="1420"/>
      <c r="V6232" s="1357">
        <v>38</v>
      </c>
    </row>
    <row r="6233" spans="1:22" s="841" customFormat="1" ht="15" x14ac:dyDescent="0.25">
      <c r="A6233" s="841" t="s">
        <v>205</v>
      </c>
      <c r="E6233" s="1945" t="s">
        <v>4013</v>
      </c>
      <c r="F6233" s="1945"/>
      <c r="G6233" s="1945"/>
      <c r="H6233" s="1946"/>
      <c r="M6233" s="1357"/>
      <c r="Q6233" s="1357"/>
      <c r="S6233" s="1420"/>
      <c r="T6233" s="1420"/>
      <c r="V6233" s="1357">
        <v>265</v>
      </c>
    </row>
    <row r="6234" spans="1:22" s="841" customFormat="1" ht="15" x14ac:dyDescent="0.25">
      <c r="A6234" s="841" t="s">
        <v>205</v>
      </c>
      <c r="E6234" s="1945" t="s">
        <v>3064</v>
      </c>
      <c r="F6234" s="1945"/>
      <c r="G6234" s="1945"/>
      <c r="H6234" s="1946"/>
      <c r="M6234" s="1357"/>
      <c r="Q6234" s="1357"/>
      <c r="S6234" s="1420"/>
      <c r="T6234" s="1420"/>
      <c r="V6234" s="1357">
        <v>411</v>
      </c>
    </row>
    <row r="6235" spans="1:22" s="841" customFormat="1" ht="15" x14ac:dyDescent="0.25">
      <c r="A6235" s="841" t="s">
        <v>205</v>
      </c>
      <c r="E6235" s="1945" t="s">
        <v>3129</v>
      </c>
      <c r="F6235" s="1945"/>
      <c r="G6235" s="1945"/>
      <c r="H6235" s="1946"/>
      <c r="M6235" s="1357"/>
      <c r="Q6235" s="1357"/>
      <c r="S6235" s="1420"/>
      <c r="T6235" s="1420"/>
      <c r="V6235" s="1357">
        <v>211</v>
      </c>
    </row>
    <row r="6236" spans="1:22" s="841" customFormat="1" ht="15" x14ac:dyDescent="0.25">
      <c r="A6236" s="841" t="s">
        <v>205</v>
      </c>
      <c r="E6236" s="1945" t="s">
        <v>3810</v>
      </c>
      <c r="F6236" s="1945"/>
      <c r="G6236" s="1945"/>
      <c r="H6236" s="1946"/>
      <c r="M6236" s="1357"/>
      <c r="Q6236" s="1357"/>
      <c r="S6236" s="1420"/>
      <c r="T6236" s="1420"/>
      <c r="V6236" s="1357">
        <v>246</v>
      </c>
    </row>
    <row r="6237" spans="1:22" s="841" customFormat="1" ht="15" x14ac:dyDescent="0.25">
      <c r="A6237" s="841" t="s">
        <v>205</v>
      </c>
      <c r="E6237" s="1945" t="s">
        <v>3291</v>
      </c>
      <c r="F6237" s="1945"/>
      <c r="G6237" s="1945"/>
      <c r="H6237" s="1946"/>
      <c r="M6237" s="1357"/>
      <c r="Q6237" s="1357"/>
      <c r="S6237" s="1420"/>
      <c r="T6237" s="1420"/>
      <c r="V6237" s="1357">
        <v>142</v>
      </c>
    </row>
    <row r="6238" spans="1:22" s="841" customFormat="1" ht="15" x14ac:dyDescent="0.25">
      <c r="A6238" s="841" t="s">
        <v>205</v>
      </c>
      <c r="E6238" s="1934" t="s">
        <v>3176</v>
      </c>
      <c r="F6238" s="1934"/>
      <c r="G6238" s="714" t="s">
        <v>23</v>
      </c>
      <c r="H6238" s="689">
        <v>129</v>
      </c>
      <c r="M6238" s="1357"/>
      <c r="Q6238" s="1357"/>
      <c r="S6238" s="1420"/>
      <c r="T6238" s="1420"/>
      <c r="V6238" s="1357">
        <v>106</v>
      </c>
    </row>
    <row r="6239" spans="1:22" s="841" customFormat="1" ht="15" x14ac:dyDescent="0.25">
      <c r="A6239" s="841" t="s">
        <v>205</v>
      </c>
      <c r="E6239" s="1934" t="s">
        <v>5140</v>
      </c>
      <c r="F6239" s="1934"/>
      <c r="G6239" s="714" t="s">
        <v>23</v>
      </c>
      <c r="H6239" s="689">
        <v>26</v>
      </c>
      <c r="M6239" s="1357"/>
      <c r="Q6239" s="1357"/>
      <c r="S6239" s="1420"/>
      <c r="T6239" s="1420"/>
      <c r="V6239" s="1357">
        <v>34</v>
      </c>
    </row>
    <row r="6240" spans="1:22" s="841" customFormat="1" ht="15" x14ac:dyDescent="0.25">
      <c r="A6240" s="841" t="s">
        <v>205</v>
      </c>
      <c r="E6240" s="1934" t="s">
        <v>5141</v>
      </c>
      <c r="F6240" s="1934"/>
      <c r="G6240" s="714" t="s">
        <v>3179</v>
      </c>
      <c r="H6240" s="689">
        <v>0.65</v>
      </c>
      <c r="M6240" s="1357"/>
      <c r="Q6240" s="1357"/>
      <c r="S6240" s="1420"/>
      <c r="T6240" s="1420"/>
      <c r="V6240" s="1357">
        <v>51</v>
      </c>
    </row>
    <row r="6241" spans="1:22" s="841" customFormat="1" ht="15" x14ac:dyDescent="0.25">
      <c r="A6241" s="841" t="s">
        <v>205</v>
      </c>
      <c r="E6241" s="1934" t="s">
        <v>3180</v>
      </c>
      <c r="F6241" s="1934"/>
      <c r="G6241" s="714" t="s">
        <v>3179</v>
      </c>
      <c r="H6241" s="689">
        <v>0.4</v>
      </c>
      <c r="M6241" s="1357"/>
      <c r="Q6241" s="1357"/>
      <c r="S6241" s="1420"/>
      <c r="T6241" s="1420"/>
      <c r="V6241" s="1357">
        <v>75</v>
      </c>
    </row>
    <row r="6242" spans="1:22" s="841" customFormat="1" ht="15" x14ac:dyDescent="0.25">
      <c r="A6242" s="841" t="s">
        <v>205</v>
      </c>
      <c r="E6242" s="1934" t="s">
        <v>3181</v>
      </c>
      <c r="F6242" s="1934"/>
      <c r="G6242" s="714" t="s">
        <v>3179</v>
      </c>
      <c r="H6242" s="689">
        <v>-0.4</v>
      </c>
      <c r="M6242" s="1357"/>
      <c r="Q6242" s="1357"/>
      <c r="S6242" s="1420"/>
      <c r="T6242" s="1420"/>
      <c r="V6242" s="1357">
        <v>72</v>
      </c>
    </row>
    <row r="6243" spans="1:22" s="841" customFormat="1" ht="15" x14ac:dyDescent="0.25">
      <c r="A6243" s="841" t="s">
        <v>205</v>
      </c>
      <c r="E6243" s="1934" t="s">
        <v>3182</v>
      </c>
      <c r="F6243" s="1934"/>
      <c r="G6243" s="730"/>
      <c r="H6243" s="691"/>
      <c r="M6243" s="1357"/>
      <c r="Q6243" s="1357"/>
      <c r="S6243" s="1420"/>
      <c r="T6243" s="1420"/>
      <c r="V6243" s="1357">
        <v>35</v>
      </c>
    </row>
    <row r="6244" spans="1:22" s="841" customFormat="1" ht="15" x14ac:dyDescent="0.25">
      <c r="A6244" s="841" t="s">
        <v>205</v>
      </c>
      <c r="E6244" s="1996" t="s">
        <v>3183</v>
      </c>
      <c r="F6244" s="1996"/>
      <c r="G6244" s="714" t="s">
        <v>23</v>
      </c>
      <c r="H6244" s="689">
        <v>0.3</v>
      </c>
      <c r="M6244" s="1357"/>
      <c r="Q6244" s="1357"/>
      <c r="S6244" s="1420"/>
      <c r="T6244" s="1420"/>
      <c r="V6244" s="1357">
        <v>57</v>
      </c>
    </row>
    <row r="6245" spans="1:22" s="841" customFormat="1" ht="15" x14ac:dyDescent="0.25">
      <c r="A6245" s="841" t="s">
        <v>205</v>
      </c>
      <c r="E6245" s="1996" t="s">
        <v>3184</v>
      </c>
      <c r="F6245" s="1996"/>
      <c r="G6245" s="714" t="s">
        <v>23</v>
      </c>
      <c r="H6245" s="689">
        <v>0.65</v>
      </c>
      <c r="M6245" s="1357"/>
      <c r="Q6245" s="1357"/>
      <c r="S6245" s="1420"/>
      <c r="T6245" s="1420"/>
      <c r="V6245" s="1357">
        <v>60</v>
      </c>
    </row>
    <row r="6246" spans="1:22" s="841" customFormat="1" ht="15" x14ac:dyDescent="0.25">
      <c r="A6246" s="841" t="s">
        <v>205</v>
      </c>
      <c r="E6246" s="1934" t="s">
        <v>3185</v>
      </c>
      <c r="F6246" s="1934"/>
      <c r="G6246" s="716"/>
      <c r="H6246" s="691"/>
      <c r="M6246" s="1357"/>
      <c r="Q6246" s="1357"/>
      <c r="S6246" s="1420"/>
      <c r="T6246" s="1420"/>
      <c r="V6246" s="1357">
        <v>91</v>
      </c>
    </row>
    <row r="6247" spans="1:22" s="841" customFormat="1" ht="15" x14ac:dyDescent="0.25">
      <c r="A6247" s="841" t="s">
        <v>205</v>
      </c>
      <c r="E6247" s="1934" t="s">
        <v>3186</v>
      </c>
      <c r="F6247" s="1934"/>
      <c r="G6247" s="716"/>
      <c r="H6247" s="691"/>
      <c r="M6247" s="1357"/>
      <c r="Q6247" s="1357"/>
      <c r="S6247" s="1420"/>
      <c r="T6247" s="1420"/>
      <c r="V6247" s="1357">
        <v>96</v>
      </c>
    </row>
    <row r="6248" spans="1:22" s="841" customFormat="1" ht="15" x14ac:dyDescent="0.25">
      <c r="A6248" s="841" t="s">
        <v>205</v>
      </c>
      <c r="E6248" s="1934" t="s">
        <v>3187</v>
      </c>
      <c r="F6248" s="1934"/>
      <c r="G6248" s="716"/>
      <c r="H6248" s="691"/>
      <c r="M6248" s="1357"/>
      <c r="Q6248" s="1357"/>
      <c r="S6248" s="1420"/>
      <c r="T6248" s="1420"/>
      <c r="V6248" s="1357">
        <v>78</v>
      </c>
    </row>
    <row r="6249" spans="1:22" s="841" customFormat="1" ht="15" x14ac:dyDescent="0.25">
      <c r="A6249" s="841" t="s">
        <v>205</v>
      </c>
      <c r="E6249" s="1996" t="s">
        <v>3188</v>
      </c>
      <c r="F6249" s="1996"/>
      <c r="G6249" s="714" t="s">
        <v>23</v>
      </c>
      <c r="H6249" s="689" t="s">
        <v>3189</v>
      </c>
      <c r="M6249" s="1357"/>
      <c r="Q6249" s="1357"/>
      <c r="S6249" s="1420"/>
      <c r="T6249" s="1420"/>
      <c r="V6249" s="1357">
        <v>18</v>
      </c>
    </row>
    <row r="6250" spans="1:22" s="841" customFormat="1" ht="15" x14ac:dyDescent="0.25">
      <c r="A6250" s="841" t="s">
        <v>205</v>
      </c>
      <c r="E6250" s="1996" t="s">
        <v>3190</v>
      </c>
      <c r="F6250" s="1996"/>
      <c r="G6250" s="714" t="s">
        <v>23</v>
      </c>
      <c r="H6250" s="689">
        <v>2</v>
      </c>
      <c r="M6250" s="1357"/>
      <c r="Q6250" s="1357"/>
      <c r="S6250" s="1420"/>
      <c r="T6250" s="1420"/>
      <c r="V6250" s="1357">
        <v>69</v>
      </c>
    </row>
    <row r="6251" spans="1:22" s="841" customFormat="1" ht="18.75" x14ac:dyDescent="0.3">
      <c r="A6251" s="841" t="s">
        <v>205</v>
      </c>
      <c r="E6251" s="1296" t="s">
        <v>147</v>
      </c>
      <c r="F6251" s="1296"/>
      <c r="G6251" s="1297"/>
      <c r="H6251" s="1298"/>
      <c r="K6251" s="841" t="s">
        <v>4014</v>
      </c>
      <c r="M6251" s="1357"/>
      <c r="Q6251" s="1357"/>
      <c r="S6251" s="1420"/>
      <c r="T6251" s="1420"/>
      <c r="V6251" s="1357">
        <v>12</v>
      </c>
    </row>
    <row r="6252" spans="1:22" s="841" customFormat="1" ht="15" x14ac:dyDescent="0.25">
      <c r="A6252" s="841" t="s">
        <v>205</v>
      </c>
      <c r="E6252" s="2000" t="s">
        <v>3192</v>
      </c>
      <c r="F6252" s="2000"/>
      <c r="G6252" s="2000"/>
      <c r="H6252" s="2000"/>
      <c r="M6252" s="1357"/>
      <c r="Q6252" s="1357"/>
      <c r="S6252" s="1420"/>
      <c r="T6252" s="1420"/>
      <c r="V6252" s="1357">
        <v>203</v>
      </c>
    </row>
    <row r="6253" spans="1:22" s="841" customFormat="1" ht="15" x14ac:dyDescent="0.25">
      <c r="A6253" s="841" t="s">
        <v>205</v>
      </c>
      <c r="E6253" s="2084" t="s">
        <v>3295</v>
      </c>
      <c r="F6253" s="2084"/>
      <c r="G6253" s="2084"/>
      <c r="H6253" s="676">
        <v>1.0335000000000001</v>
      </c>
      <c r="M6253" s="1357"/>
      <c r="Q6253" s="1357"/>
      <c r="S6253" s="1420"/>
      <c r="T6253" s="1420"/>
      <c r="V6253" s="1357">
        <v>57</v>
      </c>
    </row>
    <row r="6254" spans="1:22" s="841" customFormat="1" ht="15" x14ac:dyDescent="0.25">
      <c r="A6254" s="841" t="s">
        <v>205</v>
      </c>
      <c r="E6254" s="2084" t="s">
        <v>3296</v>
      </c>
      <c r="F6254" s="2084"/>
      <c r="G6254" s="2084"/>
      <c r="H6254" s="676">
        <v>1.0164</v>
      </c>
      <c r="M6254" s="1357"/>
      <c r="Q6254" s="1357"/>
      <c r="S6254" s="1420"/>
      <c r="T6254" s="1420"/>
      <c r="V6254" s="1357">
        <v>57</v>
      </c>
    </row>
    <row r="6255" spans="1:22" s="841" customFormat="1" ht="15" x14ac:dyDescent="0.25">
      <c r="A6255" s="841" t="s">
        <v>205</v>
      </c>
      <c r="E6255" s="2084" t="s">
        <v>3297</v>
      </c>
      <c r="F6255" s="2084"/>
      <c r="G6255" s="2084"/>
      <c r="H6255" s="676">
        <v>1.0232000000000001</v>
      </c>
      <c r="M6255" s="1357"/>
      <c r="Q6255" s="1357"/>
      <c r="S6255" s="1420"/>
      <c r="T6255" s="1420"/>
      <c r="V6255" s="1357">
        <v>55</v>
      </c>
    </row>
    <row r="6256" spans="1:22" s="841" customFormat="1" ht="15" x14ac:dyDescent="0.25">
      <c r="A6256" s="841" t="s">
        <v>205</v>
      </c>
      <c r="E6256" s="2084" t="s">
        <v>3298</v>
      </c>
      <c r="F6256" s="2084"/>
      <c r="G6256" s="2084"/>
      <c r="H6256" s="676">
        <v>1.0062</v>
      </c>
      <c r="J6256" s="841" t="s">
        <v>4015</v>
      </c>
      <c r="M6256" s="1357"/>
      <c r="Q6256" s="1357"/>
      <c r="S6256" s="1420"/>
      <c r="T6256" s="1420"/>
      <c r="V6256" s="1357">
        <v>55</v>
      </c>
    </row>
    <row r="6257" spans="1:22" s="841" customFormat="1" ht="23.25" x14ac:dyDescent="0.25">
      <c r="A6257" s="841" t="s">
        <v>2278</v>
      </c>
      <c r="C6257" s="841" t="s">
        <v>3050</v>
      </c>
      <c r="E6257" s="1911" t="s">
        <v>2278</v>
      </c>
      <c r="F6257" s="1699"/>
      <c r="G6257" s="1699"/>
      <c r="H6257" s="1699"/>
      <c r="I6257" s="841" t="s">
        <v>628</v>
      </c>
      <c r="J6257" s="841" t="s">
        <v>4739</v>
      </c>
      <c r="K6257" s="841" t="s">
        <v>2278</v>
      </c>
      <c r="M6257" s="1357">
        <v>7</v>
      </c>
      <c r="Q6257" s="1357"/>
      <c r="S6257" s="1420"/>
      <c r="T6257" s="1420"/>
      <c r="V6257" s="1357">
        <v>20</v>
      </c>
    </row>
    <row r="6258" spans="1:22" s="841" customFormat="1" x14ac:dyDescent="0.25">
      <c r="A6258" s="841" t="s">
        <v>2278</v>
      </c>
      <c r="C6258" s="841" t="s">
        <v>3052</v>
      </c>
      <c r="E6258" s="1912" t="s">
        <v>3053</v>
      </c>
      <c r="F6258" s="1700"/>
      <c r="G6258" s="1700"/>
      <c r="H6258" s="1700"/>
      <c r="M6258" s="1357"/>
      <c r="Q6258" s="1357"/>
      <c r="S6258" s="1420"/>
      <c r="T6258" s="1420"/>
      <c r="V6258" s="1357">
        <v>27</v>
      </c>
    </row>
    <row r="6259" spans="1:22" s="841" customFormat="1" ht="15.75" x14ac:dyDescent="0.25">
      <c r="A6259" s="841" t="s">
        <v>2278</v>
      </c>
      <c r="C6259" s="841" t="s">
        <v>3054</v>
      </c>
      <c r="E6259" s="1913" t="s">
        <v>5200</v>
      </c>
      <c r="F6259" s="1701"/>
      <c r="G6259" s="1701"/>
      <c r="H6259" s="1701"/>
      <c r="M6259" s="1357"/>
      <c r="Q6259" s="1357"/>
      <c r="R6259" s="841">
        <v>43101</v>
      </c>
      <c r="S6259" s="1420"/>
      <c r="T6259" s="1420"/>
      <c r="V6259" s="1357">
        <v>30</v>
      </c>
    </row>
    <row r="6260" spans="1:22" s="841" customFormat="1" ht="15.75" x14ac:dyDescent="0.25">
      <c r="A6260" s="841" t="s">
        <v>2278</v>
      </c>
      <c r="C6260" s="841" t="s">
        <v>3055</v>
      </c>
      <c r="E6260" s="1913" t="s">
        <v>5201</v>
      </c>
      <c r="F6260" s="1701"/>
      <c r="G6260" s="1701"/>
      <c r="H6260" s="1701"/>
      <c r="M6260" s="1357"/>
      <c r="Q6260" s="1357"/>
      <c r="S6260" s="1420">
        <v>43221</v>
      </c>
      <c r="T6260" s="1420"/>
      <c r="V6260" s="1357">
        <v>31</v>
      </c>
    </row>
    <row r="6261" spans="1:22" s="841" customFormat="1" ht="15" x14ac:dyDescent="0.25">
      <c r="A6261" s="841" t="s">
        <v>2278</v>
      </c>
      <c r="E6261" s="1914" t="s">
        <v>3056</v>
      </c>
      <c r="F6261" s="1702"/>
      <c r="G6261" s="1702"/>
      <c r="H6261" s="1702"/>
      <c r="M6261" s="1357"/>
      <c r="Q6261" s="1357"/>
      <c r="S6261" s="1420"/>
      <c r="T6261" s="1420"/>
      <c r="V6261" s="1357">
        <v>52</v>
      </c>
    </row>
    <row r="6262" spans="1:22" s="841" customFormat="1" ht="15" x14ac:dyDescent="0.25">
      <c r="A6262" s="841" t="s">
        <v>2278</v>
      </c>
      <c r="E6262" s="1914" t="s">
        <v>3057</v>
      </c>
      <c r="F6262" s="1702"/>
      <c r="G6262" s="1702"/>
      <c r="H6262" s="1702"/>
      <c r="M6262" s="1357"/>
      <c r="Q6262" s="1357"/>
      <c r="S6262" s="1420"/>
      <c r="T6262" s="1420"/>
      <c r="V6262" s="1357">
        <v>53</v>
      </c>
    </row>
    <row r="6263" spans="1:22" s="841" customFormat="1" ht="15" x14ac:dyDescent="0.25">
      <c r="A6263" s="841" t="s">
        <v>2278</v>
      </c>
      <c r="E6263" s="1925" t="s">
        <v>5611</v>
      </c>
      <c r="F6263" s="1703"/>
      <c r="G6263" s="1703"/>
      <c r="H6263" s="1703"/>
      <c r="K6263" s="841" t="s">
        <v>5611</v>
      </c>
      <c r="M6263" s="1357"/>
      <c r="Q6263" s="1357"/>
      <c r="S6263" s="1420"/>
      <c r="T6263" s="1420"/>
      <c r="V6263" s="1357">
        <v>12</v>
      </c>
    </row>
    <row r="6264" spans="1:22" s="841" customFormat="1" ht="15" x14ac:dyDescent="0.25">
      <c r="A6264" s="841" t="s">
        <v>2278</v>
      </c>
      <c r="E6264" s="1909" t="s">
        <v>438</v>
      </c>
      <c r="F6264" s="1697"/>
      <c r="G6264" s="1697"/>
      <c r="H6264" s="1697"/>
      <c r="K6264" s="841" t="s">
        <v>3197</v>
      </c>
      <c r="M6264" s="1357"/>
      <c r="Q6264" s="1357"/>
      <c r="S6264" s="1420"/>
      <c r="T6264" s="1420"/>
      <c r="V6264" s="1357">
        <v>34</v>
      </c>
    </row>
    <row r="6265" spans="1:22" s="841" customFormat="1" ht="15" x14ac:dyDescent="0.25">
      <c r="A6265" s="841" t="s">
        <v>2278</v>
      </c>
      <c r="E6265" s="1689" t="s">
        <v>5612</v>
      </c>
      <c r="F6265" s="1697"/>
      <c r="G6265" s="1697"/>
      <c r="H6265" s="1697"/>
      <c r="K6265" s="841" t="s">
        <v>3197</v>
      </c>
      <c r="M6265" s="1357"/>
      <c r="Q6265" s="1357"/>
      <c r="S6265" s="1420"/>
      <c r="T6265" s="1420"/>
      <c r="V6265" s="1357">
        <v>348</v>
      </c>
    </row>
    <row r="6266" spans="1:22" s="841" customFormat="1" ht="15" x14ac:dyDescent="0.25">
      <c r="A6266" s="841" t="s">
        <v>2278</v>
      </c>
      <c r="E6266" s="1916" t="s">
        <v>3061</v>
      </c>
      <c r="F6266" s="1697"/>
      <c r="G6266" s="1697"/>
      <c r="H6266" s="1697"/>
      <c r="K6266" s="841" t="s">
        <v>3062</v>
      </c>
      <c r="M6266" s="1357"/>
      <c r="Q6266" s="1357"/>
      <c r="S6266" s="1420"/>
      <c r="T6266" s="1420"/>
      <c r="V6266" s="1357">
        <v>11</v>
      </c>
    </row>
    <row r="6267" spans="1:22" s="841" customFormat="1" ht="15" x14ac:dyDescent="0.25">
      <c r="A6267" s="841" t="s">
        <v>2278</v>
      </c>
      <c r="E6267" s="1689" t="s">
        <v>3063</v>
      </c>
      <c r="F6267" s="1697"/>
      <c r="G6267" s="1697"/>
      <c r="H6267" s="1697"/>
      <c r="K6267" s="841" t="s">
        <v>3197</v>
      </c>
      <c r="M6267" s="1357"/>
      <c r="Q6267" s="1357"/>
      <c r="S6267" s="1420"/>
      <c r="T6267" s="1420"/>
      <c r="V6267" s="1357">
        <v>280</v>
      </c>
    </row>
    <row r="6268" spans="1:22" s="841" customFormat="1" ht="15" x14ac:dyDescent="0.25">
      <c r="A6268" s="841" t="s">
        <v>2278</v>
      </c>
      <c r="E6268" s="1689" t="s">
        <v>3064</v>
      </c>
      <c r="F6268" s="1697"/>
      <c r="G6268" s="1697"/>
      <c r="H6268" s="1697"/>
      <c r="K6268" s="841" t="s">
        <v>3197</v>
      </c>
      <c r="M6268" s="1357"/>
      <c r="Q6268" s="1357"/>
      <c r="S6268" s="1420"/>
      <c r="T6268" s="1420"/>
      <c r="V6268" s="1357">
        <v>411</v>
      </c>
    </row>
    <row r="6269" spans="1:22" s="841" customFormat="1" ht="15" x14ac:dyDescent="0.25">
      <c r="A6269" s="841" t="s">
        <v>2278</v>
      </c>
      <c r="E6269" s="1689" t="s">
        <v>3199</v>
      </c>
      <c r="F6269" s="1697"/>
      <c r="G6269" s="1697"/>
      <c r="H6269" s="1697"/>
      <c r="K6269" s="841" t="s">
        <v>3197</v>
      </c>
      <c r="M6269" s="1357"/>
      <c r="Q6269" s="1357"/>
      <c r="S6269" s="1420"/>
      <c r="T6269" s="1420"/>
      <c r="V6269" s="1357">
        <v>386</v>
      </c>
    </row>
    <row r="6270" spans="1:22" s="841" customFormat="1" ht="15" x14ac:dyDescent="0.25">
      <c r="A6270" s="841" t="s">
        <v>2278</v>
      </c>
      <c r="E6270" s="1689" t="s">
        <v>3200</v>
      </c>
      <c r="F6270" s="1697"/>
      <c r="G6270" s="1697"/>
      <c r="H6270" s="1697"/>
      <c r="K6270" s="841" t="s">
        <v>3197</v>
      </c>
      <c r="M6270" s="1357"/>
      <c r="Q6270" s="1357"/>
      <c r="S6270" s="1420"/>
      <c r="T6270" s="1420"/>
      <c r="V6270" s="1357">
        <v>275</v>
      </c>
    </row>
    <row r="6271" spans="1:22" s="841" customFormat="1" ht="15" x14ac:dyDescent="0.25">
      <c r="A6271" s="841" t="s">
        <v>2278</v>
      </c>
      <c r="E6271" s="1694" t="s">
        <v>3067</v>
      </c>
      <c r="F6271" s="1907"/>
      <c r="G6271" s="1907"/>
      <c r="H6271" s="1907"/>
      <c r="K6271" s="841" t="s">
        <v>3068</v>
      </c>
      <c r="M6271" s="1357"/>
      <c r="Q6271" s="1357"/>
      <c r="S6271" s="1420"/>
      <c r="T6271" s="1420"/>
      <c r="V6271" s="1357">
        <v>46</v>
      </c>
    </row>
    <row r="6272" spans="1:22" s="841" customFormat="1" ht="15" x14ac:dyDescent="0.25">
      <c r="A6272" s="841" t="s">
        <v>2278</v>
      </c>
      <c r="E6272" s="1690" t="s">
        <v>11</v>
      </c>
      <c r="F6272" s="1690"/>
      <c r="G6272" s="1408" t="s">
        <v>23</v>
      </c>
      <c r="H6272" s="391">
        <v>34.44</v>
      </c>
      <c r="K6272" s="841" t="s">
        <v>3197</v>
      </c>
      <c r="L6272" s="841" t="s">
        <v>442</v>
      </c>
      <c r="M6272" s="1357"/>
      <c r="P6272" s="841" t="s">
        <v>3201</v>
      </c>
      <c r="Q6272" s="1357"/>
      <c r="S6272" s="1420"/>
      <c r="T6272" s="1420"/>
      <c r="V6272" s="1357">
        <v>14</v>
      </c>
    </row>
    <row r="6273" spans="1:22" s="841" customFormat="1" ht="15" x14ac:dyDescent="0.25">
      <c r="A6273" s="841" t="s">
        <v>2278</v>
      </c>
      <c r="E6273" s="1690" t="s">
        <v>5109</v>
      </c>
      <c r="F6273" s="1690"/>
      <c r="G6273" s="1408" t="s">
        <v>23</v>
      </c>
      <c r="H6273" s="391">
        <v>0.56999999999999995</v>
      </c>
      <c r="K6273" s="841" t="s">
        <v>3197</v>
      </c>
      <c r="L6273" s="841" t="s">
        <v>443</v>
      </c>
      <c r="M6273" s="1357"/>
      <c r="P6273" s="841" t="s">
        <v>3202</v>
      </c>
      <c r="Q6273" s="1357"/>
      <c r="S6273" s="1420"/>
      <c r="T6273" s="1420">
        <v>44926</v>
      </c>
      <c r="V6273" s="1357">
        <v>64</v>
      </c>
    </row>
    <row r="6274" spans="1:22" s="841" customFormat="1" ht="15" x14ac:dyDescent="0.25">
      <c r="A6274" s="841" t="s">
        <v>2278</v>
      </c>
      <c r="E6274" s="1690" t="s">
        <v>5582</v>
      </c>
      <c r="F6274" s="1690"/>
      <c r="G6274" s="1408" t="s">
        <v>23</v>
      </c>
      <c r="H6274" s="391">
        <v>1.86</v>
      </c>
      <c r="K6274" s="841" t="s">
        <v>3197</v>
      </c>
      <c r="L6274" s="841" t="s">
        <v>442</v>
      </c>
      <c r="M6274" s="1357"/>
      <c r="P6274" s="841" t="s">
        <v>6320</v>
      </c>
      <c r="Q6274" s="1357"/>
      <c r="S6274" s="1420"/>
      <c r="T6274" s="1420">
        <v>43465</v>
      </c>
      <c r="V6274" s="1357">
        <v>79</v>
      </c>
    </row>
    <row r="6275" spans="1:22" s="841" customFormat="1" ht="15" x14ac:dyDescent="0.25">
      <c r="A6275" s="841" t="s">
        <v>2278</v>
      </c>
      <c r="E6275" s="1690" t="s">
        <v>5614</v>
      </c>
      <c r="F6275" s="1690"/>
      <c r="G6275" s="1408" t="s">
        <v>23</v>
      </c>
      <c r="H6275" s="391">
        <v>0.17</v>
      </c>
      <c r="K6275" s="841" t="s">
        <v>3197</v>
      </c>
      <c r="L6275" s="841" t="s">
        <v>442</v>
      </c>
      <c r="M6275" s="1357"/>
      <c r="P6275" s="841" t="s">
        <v>3207</v>
      </c>
      <c r="Q6275" s="1357"/>
      <c r="S6275" s="1420"/>
      <c r="T6275" s="1420">
        <v>43951</v>
      </c>
      <c r="V6275" s="1357">
        <v>104</v>
      </c>
    </row>
    <row r="6276" spans="1:22" s="841" customFormat="1" ht="15" x14ac:dyDescent="0.25">
      <c r="A6276" s="841" t="s">
        <v>2278</v>
      </c>
      <c r="E6276" s="1690" t="s">
        <v>84</v>
      </c>
      <c r="F6276" s="1690"/>
      <c r="G6276" s="1408" t="s">
        <v>24</v>
      </c>
      <c r="H6276" s="393">
        <v>1.12E-2</v>
      </c>
      <c r="K6276" s="841" t="s">
        <v>3197</v>
      </c>
      <c r="L6276" s="841" t="s">
        <v>442</v>
      </c>
      <c r="M6276" s="1357"/>
      <c r="P6276" s="841" t="s">
        <v>3203</v>
      </c>
      <c r="Q6276" s="1357"/>
      <c r="S6276" s="1420"/>
      <c r="T6276" s="1420"/>
      <c r="V6276" s="1357">
        <v>28</v>
      </c>
    </row>
    <row r="6277" spans="1:22" s="841" customFormat="1" ht="15" x14ac:dyDescent="0.25">
      <c r="A6277" s="841" t="s">
        <v>2278</v>
      </c>
      <c r="E6277" s="1690" t="s">
        <v>18</v>
      </c>
      <c r="F6277" s="1690"/>
      <c r="G6277" s="1408" t="s">
        <v>24</v>
      </c>
      <c r="H6277" s="393">
        <v>2.5000000000000001E-3</v>
      </c>
      <c r="K6277" s="841" t="s">
        <v>3197</v>
      </c>
      <c r="L6277" s="841" t="s">
        <v>443</v>
      </c>
      <c r="M6277" s="1357"/>
      <c r="P6277" s="841" t="s">
        <v>3204</v>
      </c>
      <c r="Q6277" s="1357"/>
      <c r="S6277" s="1420"/>
      <c r="T6277" s="1420"/>
      <c r="V6277" s="1357">
        <v>24</v>
      </c>
    </row>
    <row r="6278" spans="1:22" s="841" customFormat="1" ht="15" x14ac:dyDescent="0.25">
      <c r="A6278" s="841" t="s">
        <v>2278</v>
      </c>
      <c r="E6278" s="1690" t="s">
        <v>5615</v>
      </c>
      <c r="F6278" s="1908"/>
      <c r="G6278" s="1408" t="s">
        <v>24</v>
      </c>
      <c r="H6278" s="393">
        <v>1.6000000000000001E-3</v>
      </c>
      <c r="K6278" s="841" t="s">
        <v>3197</v>
      </c>
      <c r="L6278" s="841" t="s">
        <v>443</v>
      </c>
      <c r="M6278" s="1357"/>
      <c r="P6278" s="841" t="s">
        <v>3207</v>
      </c>
      <c r="Q6278" s="1357"/>
      <c r="S6278" s="1420"/>
      <c r="T6278" s="1420">
        <v>43951</v>
      </c>
      <c r="V6278" s="1357">
        <v>96</v>
      </c>
    </row>
    <row r="6279" spans="1:22" s="841" customFormat="1" ht="15" x14ac:dyDescent="0.25">
      <c r="A6279" s="841" t="s">
        <v>2278</v>
      </c>
      <c r="E6279" s="1690" t="s">
        <v>5616</v>
      </c>
      <c r="F6279" s="1908"/>
      <c r="G6279" s="1408" t="s">
        <v>24</v>
      </c>
      <c r="H6279" s="393">
        <v>-1.1000000000000001E-3</v>
      </c>
      <c r="K6279" s="841" t="s">
        <v>3197</v>
      </c>
      <c r="L6279" s="841" t="s">
        <v>443</v>
      </c>
      <c r="M6279" s="1357"/>
      <c r="P6279" s="841" t="s">
        <v>3207</v>
      </c>
      <c r="Q6279" s="1357"/>
      <c r="S6279" s="1420"/>
      <c r="T6279" s="1420">
        <v>43951</v>
      </c>
      <c r="V6279" s="1357">
        <v>152</v>
      </c>
    </row>
    <row r="6280" spans="1:22" s="841" customFormat="1" ht="15" x14ac:dyDescent="0.25">
      <c r="A6280" s="841" t="s">
        <v>2278</v>
      </c>
      <c r="E6280" s="1690" t="s">
        <v>221</v>
      </c>
      <c r="F6280" s="1690"/>
      <c r="G6280" s="1408" t="s">
        <v>24</v>
      </c>
      <c r="H6280" s="393">
        <v>6.7000000000000002E-3</v>
      </c>
      <c r="K6280" s="841" t="s">
        <v>3197</v>
      </c>
      <c r="L6280" s="841" t="s">
        <v>444</v>
      </c>
      <c r="M6280" s="1357"/>
      <c r="P6280" s="841" t="s">
        <v>3208</v>
      </c>
      <c r="Q6280" s="1357"/>
      <c r="S6280" s="1420"/>
      <c r="T6280" s="1420"/>
      <c r="V6280" s="1357">
        <v>47</v>
      </c>
    </row>
    <row r="6281" spans="1:22" s="841" customFormat="1" ht="15" x14ac:dyDescent="0.25">
      <c r="A6281" s="841" t="s">
        <v>2278</v>
      </c>
      <c r="E6281" s="1690" t="s">
        <v>217</v>
      </c>
      <c r="F6281" s="1690"/>
      <c r="G6281" s="1408" t="s">
        <v>24</v>
      </c>
      <c r="H6281" s="393">
        <v>5.0000000000000001E-3</v>
      </c>
      <c r="K6281" s="841" t="s">
        <v>3197</v>
      </c>
      <c r="L6281" s="841" t="s">
        <v>444</v>
      </c>
      <c r="M6281" s="1357"/>
      <c r="P6281" s="841" t="s">
        <v>3209</v>
      </c>
      <c r="Q6281" s="1357"/>
      <c r="S6281" s="1420"/>
      <c r="T6281" s="1420"/>
      <c r="V6281" s="1357">
        <v>74</v>
      </c>
    </row>
    <row r="6282" spans="1:22" s="841" customFormat="1" ht="15" x14ac:dyDescent="0.25">
      <c r="A6282" s="841" t="s">
        <v>2278</v>
      </c>
      <c r="E6282" s="1694" t="s">
        <v>3079</v>
      </c>
      <c r="F6282" s="1690"/>
      <c r="G6282" s="1408"/>
      <c r="H6282" s="394"/>
      <c r="K6282" s="841" t="s">
        <v>3080</v>
      </c>
      <c r="M6282" s="1357"/>
      <c r="Q6282" s="1357"/>
      <c r="S6282" s="1420"/>
      <c r="T6282" s="1420"/>
      <c r="V6282" s="1357">
        <v>48</v>
      </c>
    </row>
    <row r="6283" spans="1:22" s="841" customFormat="1" ht="15" x14ac:dyDescent="0.25">
      <c r="A6283" s="841" t="s">
        <v>2278</v>
      </c>
      <c r="E6283" s="1690" t="s">
        <v>2449</v>
      </c>
      <c r="F6283" s="1690"/>
      <c r="G6283" s="1408" t="s">
        <v>24</v>
      </c>
      <c r="H6283" s="393">
        <v>3.2000000000000002E-3</v>
      </c>
      <c r="K6283" s="841" t="s">
        <v>3197</v>
      </c>
      <c r="L6283" s="841" t="s">
        <v>3046</v>
      </c>
      <c r="M6283" s="1357"/>
      <c r="P6283" s="841" t="s">
        <v>3210</v>
      </c>
      <c r="Q6283" s="1357"/>
      <c r="S6283" s="1420"/>
      <c r="T6283" s="1420"/>
      <c r="V6283" s="1357">
        <v>55</v>
      </c>
    </row>
    <row r="6284" spans="1:22" s="841" customFormat="1" ht="23.25" x14ac:dyDescent="0.25">
      <c r="A6284" s="841" t="s">
        <v>2278</v>
      </c>
      <c r="E6284" s="1365" t="s">
        <v>3211</v>
      </c>
      <c r="F6284" s="1365"/>
      <c r="G6284" s="1408" t="s">
        <v>24</v>
      </c>
      <c r="H6284" s="393">
        <v>4.0000000000000002E-4</v>
      </c>
      <c r="K6284" s="841" t="s">
        <v>3197</v>
      </c>
      <c r="L6284" s="841" t="s">
        <v>3046</v>
      </c>
      <c r="M6284" s="1357"/>
      <c r="P6284" s="841" t="s">
        <v>3210</v>
      </c>
      <c r="Q6284" s="1357"/>
      <c r="S6284" s="1420"/>
      <c r="T6284" s="1420"/>
      <c r="V6284" s="1357">
        <v>64</v>
      </c>
    </row>
    <row r="6285" spans="1:22" s="841" customFormat="1" ht="15" x14ac:dyDescent="0.25">
      <c r="A6285" s="841" t="s">
        <v>2278</v>
      </c>
      <c r="E6285" s="1690" t="s">
        <v>439</v>
      </c>
      <c r="F6285" s="1690"/>
      <c r="G6285" s="1408" t="s">
        <v>24</v>
      </c>
      <c r="H6285" s="393">
        <v>2.9999999999999997E-4</v>
      </c>
      <c r="K6285" s="841" t="s">
        <v>3197</v>
      </c>
      <c r="L6285" s="841" t="s">
        <v>3046</v>
      </c>
      <c r="M6285" s="1357"/>
      <c r="P6285" s="841" t="s">
        <v>3212</v>
      </c>
      <c r="Q6285" s="1357"/>
      <c r="S6285" s="1420"/>
      <c r="T6285" s="1420"/>
      <c r="V6285" s="1357">
        <v>57</v>
      </c>
    </row>
    <row r="6286" spans="1:22" s="841" customFormat="1" ht="15" x14ac:dyDescent="0.25">
      <c r="A6286" s="841" t="s">
        <v>2278</v>
      </c>
      <c r="E6286" s="1690" t="s">
        <v>32</v>
      </c>
      <c r="F6286" s="1690"/>
      <c r="G6286" s="1408" t="s">
        <v>23</v>
      </c>
      <c r="H6286" s="391">
        <v>0.25</v>
      </c>
      <c r="K6286" s="841" t="s">
        <v>3197</v>
      </c>
      <c r="L6286" s="841" t="s">
        <v>3046</v>
      </c>
      <c r="M6286" s="1357"/>
      <c r="P6286" s="841" t="s">
        <v>3213</v>
      </c>
      <c r="Q6286" s="1357"/>
      <c r="S6286" s="1420"/>
      <c r="T6286" s="1420"/>
      <c r="V6286" s="1357">
        <v>63</v>
      </c>
    </row>
    <row r="6287" spans="1:22" s="841" customFormat="1" ht="15" x14ac:dyDescent="0.25">
      <c r="A6287" s="841" t="s">
        <v>2278</v>
      </c>
      <c r="E6287" s="1909" t="s">
        <v>3214</v>
      </c>
      <c r="F6287" s="1697"/>
      <c r="G6287" s="1697"/>
      <c r="H6287" s="1697"/>
      <c r="K6287" s="841" t="s">
        <v>5110</v>
      </c>
      <c r="M6287" s="1357"/>
      <c r="Q6287" s="1357"/>
      <c r="S6287" s="1420"/>
      <c r="T6287" s="1420"/>
      <c r="V6287" s="1357">
        <v>54</v>
      </c>
    </row>
    <row r="6288" spans="1:22" s="841" customFormat="1" ht="15" x14ac:dyDescent="0.25">
      <c r="A6288" s="841" t="s">
        <v>2278</v>
      </c>
      <c r="E6288" s="1689" t="s">
        <v>5617</v>
      </c>
      <c r="F6288" s="1697"/>
      <c r="G6288" s="1697"/>
      <c r="H6288" s="1697"/>
      <c r="K6288" s="841" t="s">
        <v>5110</v>
      </c>
      <c r="M6288" s="1357"/>
      <c r="Q6288" s="1357"/>
      <c r="S6288" s="1420"/>
      <c r="T6288" s="1420"/>
      <c r="V6288" s="1357">
        <v>253</v>
      </c>
    </row>
    <row r="6289" spans="1:22" s="841" customFormat="1" ht="15" x14ac:dyDescent="0.25">
      <c r="A6289" s="841" t="s">
        <v>2278</v>
      </c>
      <c r="E6289" s="1916" t="s">
        <v>3061</v>
      </c>
      <c r="F6289" s="1697"/>
      <c r="G6289" s="1697"/>
      <c r="H6289" s="1697"/>
      <c r="K6289" s="841" t="s">
        <v>3086</v>
      </c>
      <c r="M6289" s="1357"/>
      <c r="Q6289" s="1357"/>
      <c r="S6289" s="1420"/>
      <c r="T6289" s="1420"/>
      <c r="V6289" s="1357">
        <v>11</v>
      </c>
    </row>
    <row r="6290" spans="1:22" s="841" customFormat="1" ht="15" x14ac:dyDescent="0.25">
      <c r="A6290" s="841" t="s">
        <v>2278</v>
      </c>
      <c r="E6290" s="1689" t="s">
        <v>3063</v>
      </c>
      <c r="F6290" s="1697"/>
      <c r="G6290" s="1697"/>
      <c r="H6290" s="1697"/>
      <c r="K6290" s="841" t="s">
        <v>5110</v>
      </c>
      <c r="M6290" s="1357"/>
      <c r="Q6290" s="1357"/>
      <c r="S6290" s="1420"/>
      <c r="T6290" s="1420"/>
      <c r="V6290" s="1357">
        <v>280</v>
      </c>
    </row>
    <row r="6291" spans="1:22" s="841" customFormat="1" ht="15" x14ac:dyDescent="0.25">
      <c r="A6291" s="841" t="s">
        <v>2278</v>
      </c>
      <c r="E6291" s="1689" t="s">
        <v>3064</v>
      </c>
      <c r="F6291" s="1697"/>
      <c r="G6291" s="1697"/>
      <c r="H6291" s="1697"/>
      <c r="K6291" s="841" t="s">
        <v>5110</v>
      </c>
      <c r="M6291" s="1357"/>
      <c r="Q6291" s="1357"/>
      <c r="S6291" s="1420"/>
      <c r="T6291" s="1420"/>
      <c r="V6291" s="1357">
        <v>411</v>
      </c>
    </row>
    <row r="6292" spans="1:22" s="841" customFormat="1" ht="15" x14ac:dyDescent="0.25">
      <c r="A6292" s="841" t="s">
        <v>2278</v>
      </c>
      <c r="E6292" s="1689" t="s">
        <v>3199</v>
      </c>
      <c r="F6292" s="1697"/>
      <c r="G6292" s="1697"/>
      <c r="H6292" s="1697"/>
      <c r="K6292" s="841" t="s">
        <v>5110</v>
      </c>
      <c r="M6292" s="1357"/>
      <c r="Q6292" s="1357"/>
      <c r="S6292" s="1420"/>
      <c r="T6292" s="1420"/>
      <c r="V6292" s="1357">
        <v>386</v>
      </c>
    </row>
    <row r="6293" spans="1:22" s="841" customFormat="1" ht="15" x14ac:dyDescent="0.25">
      <c r="A6293" s="841" t="s">
        <v>2278</v>
      </c>
      <c r="E6293" s="1689" t="s">
        <v>3200</v>
      </c>
      <c r="F6293" s="1697"/>
      <c r="G6293" s="1697"/>
      <c r="H6293" s="1697"/>
      <c r="K6293" s="841" t="s">
        <v>5110</v>
      </c>
      <c r="M6293" s="1357"/>
      <c r="Q6293" s="1357"/>
      <c r="S6293" s="1420"/>
      <c r="T6293" s="1420"/>
      <c r="V6293" s="1357">
        <v>275</v>
      </c>
    </row>
    <row r="6294" spans="1:22" s="841" customFormat="1" ht="15" x14ac:dyDescent="0.25">
      <c r="A6294" s="841" t="s">
        <v>2278</v>
      </c>
      <c r="E6294" s="1694" t="s">
        <v>3067</v>
      </c>
      <c r="F6294" s="1907"/>
      <c r="G6294" s="1907"/>
      <c r="H6294" s="1907"/>
      <c r="K6294" s="841" t="s">
        <v>3087</v>
      </c>
      <c r="M6294" s="1357"/>
      <c r="Q6294" s="1357"/>
      <c r="S6294" s="1420"/>
      <c r="T6294" s="1420"/>
      <c r="V6294" s="1357">
        <v>46</v>
      </c>
    </row>
    <row r="6295" spans="1:22" s="841" customFormat="1" ht="15" x14ac:dyDescent="0.25">
      <c r="A6295" s="841" t="s">
        <v>2278</v>
      </c>
      <c r="E6295" s="1690" t="s">
        <v>11</v>
      </c>
      <c r="F6295" s="1690"/>
      <c r="G6295" s="1408" t="s">
        <v>23</v>
      </c>
      <c r="H6295" s="391">
        <v>41.53</v>
      </c>
      <c r="K6295" s="841" t="s">
        <v>5110</v>
      </c>
      <c r="L6295" s="841" t="s">
        <v>442</v>
      </c>
      <c r="M6295" s="1357"/>
      <c r="P6295" s="841" t="s">
        <v>5111</v>
      </c>
      <c r="Q6295" s="1357"/>
      <c r="S6295" s="1420"/>
      <c r="T6295" s="1420"/>
      <c r="V6295" s="1357">
        <v>14</v>
      </c>
    </row>
    <row r="6296" spans="1:22" s="841" customFormat="1" ht="15" x14ac:dyDescent="0.25">
      <c r="A6296" s="841" t="s">
        <v>2278</v>
      </c>
      <c r="E6296" s="1690" t="s">
        <v>5109</v>
      </c>
      <c r="F6296" s="1690"/>
      <c r="G6296" s="1408" t="s">
        <v>23</v>
      </c>
      <c r="H6296" s="391">
        <v>0.56999999999999995</v>
      </c>
      <c r="K6296" s="841" t="s">
        <v>5110</v>
      </c>
      <c r="L6296" s="841" t="s">
        <v>443</v>
      </c>
      <c r="M6296" s="1357"/>
      <c r="P6296" s="841" t="s">
        <v>5112</v>
      </c>
      <c r="Q6296" s="1357"/>
      <c r="S6296" s="1420"/>
      <c r="T6296" s="1420">
        <v>44926</v>
      </c>
      <c r="V6296" s="1357">
        <v>64</v>
      </c>
    </row>
    <row r="6297" spans="1:22" s="841" customFormat="1" ht="15" x14ac:dyDescent="0.25">
      <c r="A6297" s="841" t="s">
        <v>2278</v>
      </c>
      <c r="E6297" s="1690" t="s">
        <v>5582</v>
      </c>
      <c r="F6297" s="1690"/>
      <c r="G6297" s="1408" t="s">
        <v>23</v>
      </c>
      <c r="H6297" s="391">
        <v>1.78</v>
      </c>
      <c r="K6297" s="841" t="s">
        <v>5110</v>
      </c>
      <c r="L6297" s="841" t="s">
        <v>442</v>
      </c>
      <c r="M6297" s="1357"/>
      <c r="P6297" s="841" t="s">
        <v>6321</v>
      </c>
      <c r="Q6297" s="1357"/>
      <c r="S6297" s="1420"/>
      <c r="T6297" s="1420">
        <v>43465</v>
      </c>
      <c r="V6297" s="1357">
        <v>79</v>
      </c>
    </row>
    <row r="6298" spans="1:22" s="841" customFormat="1" ht="15" x14ac:dyDescent="0.25">
      <c r="A6298" s="841" t="s">
        <v>2278</v>
      </c>
      <c r="E6298" s="1690" t="s">
        <v>84</v>
      </c>
      <c r="F6298" s="1690"/>
      <c r="G6298" s="1408" t="s">
        <v>24</v>
      </c>
      <c r="H6298" s="393">
        <v>0.01</v>
      </c>
      <c r="K6298" s="841" t="s">
        <v>5110</v>
      </c>
      <c r="L6298" s="841" t="s">
        <v>442</v>
      </c>
      <c r="M6298" s="1357"/>
      <c r="P6298" s="841" t="s">
        <v>5113</v>
      </c>
      <c r="Q6298" s="1357"/>
      <c r="S6298" s="1420"/>
      <c r="T6298" s="1420"/>
      <c r="V6298" s="1357">
        <v>28</v>
      </c>
    </row>
    <row r="6299" spans="1:22" s="841" customFormat="1" ht="15" x14ac:dyDescent="0.25">
      <c r="A6299" s="841" t="s">
        <v>2278</v>
      </c>
      <c r="E6299" s="1690" t="s">
        <v>18</v>
      </c>
      <c r="F6299" s="1690"/>
      <c r="G6299" s="1408" t="s">
        <v>24</v>
      </c>
      <c r="H6299" s="393">
        <v>2.3999999999999998E-3</v>
      </c>
      <c r="K6299" s="841" t="s">
        <v>5110</v>
      </c>
      <c r="L6299" s="841" t="s">
        <v>443</v>
      </c>
      <c r="M6299" s="1357"/>
      <c r="P6299" s="841" t="s">
        <v>5114</v>
      </c>
      <c r="Q6299" s="1357"/>
      <c r="S6299" s="1420"/>
      <c r="T6299" s="1420"/>
      <c r="V6299" s="1357">
        <v>24</v>
      </c>
    </row>
    <row r="6300" spans="1:22" s="841" customFormat="1" ht="15" x14ac:dyDescent="0.25">
      <c r="A6300" s="841" t="s">
        <v>2278</v>
      </c>
      <c r="E6300" s="1690" t="s">
        <v>5615</v>
      </c>
      <c r="F6300" s="1908"/>
      <c r="G6300" s="1408" t="s">
        <v>24</v>
      </c>
      <c r="H6300" s="393">
        <v>1.6000000000000001E-3</v>
      </c>
      <c r="K6300" s="841" t="s">
        <v>5110</v>
      </c>
      <c r="L6300" s="841" t="s">
        <v>443</v>
      </c>
      <c r="M6300" s="1357"/>
      <c r="P6300" s="841" t="s">
        <v>5124</v>
      </c>
      <c r="Q6300" s="1357"/>
      <c r="S6300" s="1420"/>
      <c r="T6300" s="1420">
        <v>43951</v>
      </c>
      <c r="V6300" s="1357">
        <v>96</v>
      </c>
    </row>
    <row r="6301" spans="1:22" s="841" customFormat="1" ht="15" x14ac:dyDescent="0.25">
      <c r="A6301" s="841" t="s">
        <v>2278</v>
      </c>
      <c r="E6301" s="1690" t="s">
        <v>5616</v>
      </c>
      <c r="F6301" s="1908"/>
      <c r="G6301" s="1408" t="s">
        <v>24</v>
      </c>
      <c r="H6301" s="393">
        <v>-1.1000000000000001E-3</v>
      </c>
      <c r="K6301" s="841" t="s">
        <v>5110</v>
      </c>
      <c r="L6301" s="841" t="s">
        <v>443</v>
      </c>
      <c r="M6301" s="1357"/>
      <c r="P6301" s="841" t="s">
        <v>5124</v>
      </c>
      <c r="Q6301" s="1357"/>
      <c r="S6301" s="1420"/>
      <c r="T6301" s="1420">
        <v>43951</v>
      </c>
      <c r="V6301" s="1357">
        <v>152</v>
      </c>
    </row>
    <row r="6302" spans="1:22" s="841" customFormat="1" ht="15" x14ac:dyDescent="0.25">
      <c r="A6302" s="841" t="s">
        <v>2278</v>
      </c>
      <c r="E6302" s="1690" t="s">
        <v>5618</v>
      </c>
      <c r="F6302" s="1690"/>
      <c r="G6302" s="1408" t="s">
        <v>24</v>
      </c>
      <c r="H6302" s="393">
        <v>2.0000000000000001E-4</v>
      </c>
      <c r="K6302" s="841" t="s">
        <v>5110</v>
      </c>
      <c r="L6302" s="841" t="s">
        <v>442</v>
      </c>
      <c r="M6302" s="1357"/>
      <c r="P6302" s="841" t="s">
        <v>5124</v>
      </c>
      <c r="Q6302" s="1357"/>
      <c r="S6302" s="1420"/>
      <c r="T6302" s="1420">
        <v>43951</v>
      </c>
      <c r="V6302" s="1357">
        <v>105</v>
      </c>
    </row>
    <row r="6303" spans="1:22" s="841" customFormat="1" ht="15" x14ac:dyDescent="0.25">
      <c r="A6303" s="841" t="s">
        <v>2278</v>
      </c>
      <c r="E6303" s="1690" t="s">
        <v>5582</v>
      </c>
      <c r="F6303" s="1690"/>
      <c r="G6303" s="1408" t="s">
        <v>24</v>
      </c>
      <c r="H6303" s="393">
        <v>4.0000000000000002E-4</v>
      </c>
      <c r="K6303" s="841" t="s">
        <v>5110</v>
      </c>
      <c r="L6303" s="841" t="s">
        <v>442</v>
      </c>
      <c r="M6303" s="1357"/>
      <c r="P6303" s="841" t="s">
        <v>6322</v>
      </c>
      <c r="Q6303" s="1357"/>
      <c r="S6303" s="1420"/>
      <c r="T6303" s="1420">
        <v>43465</v>
      </c>
      <c r="V6303" s="1357">
        <v>79</v>
      </c>
    </row>
    <row r="6304" spans="1:22" s="841" customFormat="1" ht="15" x14ac:dyDescent="0.25">
      <c r="A6304" s="841" t="s">
        <v>2278</v>
      </c>
      <c r="E6304" s="1690" t="s">
        <v>221</v>
      </c>
      <c r="F6304" s="1690"/>
      <c r="G6304" s="1408" t="s">
        <v>24</v>
      </c>
      <c r="H6304" s="393">
        <v>6.1000000000000004E-3</v>
      </c>
      <c r="K6304" s="841" t="s">
        <v>5110</v>
      </c>
      <c r="L6304" s="841" t="s">
        <v>444</v>
      </c>
      <c r="M6304" s="1357"/>
      <c r="P6304" s="841" t="s">
        <v>5115</v>
      </c>
      <c r="Q6304" s="1357"/>
      <c r="S6304" s="1420"/>
      <c r="T6304" s="1420"/>
      <c r="V6304" s="1357">
        <v>47</v>
      </c>
    </row>
    <row r="6305" spans="1:22" s="841" customFormat="1" ht="15" x14ac:dyDescent="0.25">
      <c r="A6305" s="841" t="s">
        <v>2278</v>
      </c>
      <c r="E6305" s="1690" t="s">
        <v>217</v>
      </c>
      <c r="F6305" s="1690"/>
      <c r="G6305" s="1408" t="s">
        <v>24</v>
      </c>
      <c r="H6305" s="393">
        <v>4.7000000000000002E-3</v>
      </c>
      <c r="K6305" s="841" t="s">
        <v>5110</v>
      </c>
      <c r="L6305" s="841" t="s">
        <v>444</v>
      </c>
      <c r="M6305" s="1357"/>
      <c r="P6305" s="841" t="s">
        <v>5116</v>
      </c>
      <c r="Q6305" s="1357"/>
      <c r="S6305" s="1420"/>
      <c r="T6305" s="1420"/>
      <c r="V6305" s="1357">
        <v>74</v>
      </c>
    </row>
    <row r="6306" spans="1:22" s="841" customFormat="1" ht="15" x14ac:dyDescent="0.25">
      <c r="A6306" s="841" t="s">
        <v>2278</v>
      </c>
      <c r="E6306" s="1694" t="s">
        <v>3079</v>
      </c>
      <c r="F6306" s="1690"/>
      <c r="G6306" s="1408"/>
      <c r="H6306" s="394"/>
      <c r="K6306" s="841" t="s">
        <v>3093</v>
      </c>
      <c r="M6306" s="1357"/>
      <c r="Q6306" s="1357"/>
      <c r="S6306" s="1420"/>
      <c r="T6306" s="1420"/>
      <c r="V6306" s="1357">
        <v>48</v>
      </c>
    </row>
    <row r="6307" spans="1:22" s="841" customFormat="1" ht="15" x14ac:dyDescent="0.25">
      <c r="A6307" s="841" t="s">
        <v>2278</v>
      </c>
      <c r="E6307" s="1690" t="s">
        <v>2449</v>
      </c>
      <c r="F6307" s="1690"/>
      <c r="G6307" s="1408" t="s">
        <v>24</v>
      </c>
      <c r="H6307" s="393">
        <v>3.2000000000000002E-3</v>
      </c>
      <c r="K6307" s="841" t="s">
        <v>5110</v>
      </c>
      <c r="L6307" s="841" t="s">
        <v>3046</v>
      </c>
      <c r="M6307" s="1357"/>
      <c r="P6307" s="841" t="s">
        <v>5117</v>
      </c>
      <c r="Q6307" s="1357"/>
      <c r="S6307" s="1420"/>
      <c r="T6307" s="1420"/>
      <c r="V6307" s="1357">
        <v>55</v>
      </c>
    </row>
    <row r="6308" spans="1:22" s="841" customFormat="1" ht="23.25" x14ac:dyDescent="0.25">
      <c r="A6308" s="841" t="s">
        <v>2278</v>
      </c>
      <c r="E6308" s="1365" t="s">
        <v>3211</v>
      </c>
      <c r="F6308" s="1365"/>
      <c r="G6308" s="1408" t="s">
        <v>24</v>
      </c>
      <c r="H6308" s="393">
        <v>4.0000000000000002E-4</v>
      </c>
      <c r="K6308" s="841" t="s">
        <v>5110</v>
      </c>
      <c r="L6308" s="841" t="s">
        <v>3046</v>
      </c>
      <c r="M6308" s="1357"/>
      <c r="P6308" s="841" t="s">
        <v>5117</v>
      </c>
      <c r="Q6308" s="1357"/>
      <c r="S6308" s="1420"/>
      <c r="T6308" s="1420"/>
      <c r="V6308" s="1357">
        <v>64</v>
      </c>
    </row>
    <row r="6309" spans="1:22" s="841" customFormat="1" ht="15" x14ac:dyDescent="0.25">
      <c r="A6309" s="841" t="s">
        <v>2278</v>
      </c>
      <c r="E6309" s="1690" t="s">
        <v>439</v>
      </c>
      <c r="F6309" s="1690"/>
      <c r="G6309" s="1408" t="s">
        <v>24</v>
      </c>
      <c r="H6309" s="393">
        <v>2.9999999999999997E-4</v>
      </c>
      <c r="K6309" s="841" t="s">
        <v>5110</v>
      </c>
      <c r="L6309" s="841" t="s">
        <v>3046</v>
      </c>
      <c r="M6309" s="1357"/>
      <c r="P6309" s="841" t="s">
        <v>5118</v>
      </c>
      <c r="Q6309" s="1357"/>
      <c r="S6309" s="1420"/>
      <c r="T6309" s="1420"/>
      <c r="V6309" s="1357">
        <v>57</v>
      </c>
    </row>
    <row r="6310" spans="1:22" s="841" customFormat="1" ht="15" x14ac:dyDescent="0.25">
      <c r="A6310" s="841" t="s">
        <v>2278</v>
      </c>
      <c r="E6310" s="1690" t="s">
        <v>32</v>
      </c>
      <c r="F6310" s="1690"/>
      <c r="G6310" s="1408" t="s">
        <v>23</v>
      </c>
      <c r="H6310" s="391">
        <v>0.25</v>
      </c>
      <c r="K6310" s="841" t="s">
        <v>5110</v>
      </c>
      <c r="L6310" s="841" t="s">
        <v>3046</v>
      </c>
      <c r="M6310" s="1357"/>
      <c r="P6310" s="841" t="s">
        <v>5119</v>
      </c>
      <c r="Q6310" s="1357"/>
      <c r="S6310" s="1420"/>
      <c r="T6310" s="1420"/>
      <c r="V6310" s="1357">
        <v>63</v>
      </c>
    </row>
    <row r="6311" spans="1:22" s="841" customFormat="1" ht="15" x14ac:dyDescent="0.25">
      <c r="A6311" s="841" t="s">
        <v>2278</v>
      </c>
      <c r="E6311" s="1909" t="s">
        <v>616</v>
      </c>
      <c r="F6311" s="1697"/>
      <c r="G6311" s="1697"/>
      <c r="H6311" s="1697"/>
      <c r="K6311" s="841" t="s">
        <v>6095</v>
      </c>
      <c r="M6311" s="1357"/>
      <c r="Q6311" s="1357"/>
      <c r="S6311" s="1420"/>
      <c r="T6311" s="1420"/>
      <c r="V6311" s="1357">
        <v>53</v>
      </c>
    </row>
    <row r="6312" spans="1:22" s="841" customFormat="1" ht="15" x14ac:dyDescent="0.25">
      <c r="A6312" s="841" t="s">
        <v>2278</v>
      </c>
      <c r="E6312" s="1689" t="s">
        <v>5619</v>
      </c>
      <c r="F6312" s="1697"/>
      <c r="G6312" s="1697"/>
      <c r="H6312" s="1697"/>
      <c r="K6312" s="841" t="s">
        <v>6095</v>
      </c>
      <c r="M6312" s="1357"/>
      <c r="Q6312" s="1357"/>
      <c r="S6312" s="1420"/>
      <c r="T6312" s="1420"/>
      <c r="V6312" s="1357">
        <v>275</v>
      </c>
    </row>
    <row r="6313" spans="1:22" s="841" customFormat="1" ht="15" x14ac:dyDescent="0.25">
      <c r="A6313" s="841" t="s">
        <v>2278</v>
      </c>
      <c r="E6313" s="1916" t="s">
        <v>3061</v>
      </c>
      <c r="F6313" s="1697"/>
      <c r="G6313" s="1697"/>
      <c r="H6313" s="1697"/>
      <c r="K6313" s="841" t="s">
        <v>3098</v>
      </c>
      <c r="M6313" s="1357"/>
      <c r="Q6313" s="1357"/>
      <c r="S6313" s="1420"/>
      <c r="T6313" s="1420"/>
      <c r="V6313" s="1357">
        <v>11</v>
      </c>
    </row>
    <row r="6314" spans="1:22" s="841" customFormat="1" ht="15" x14ac:dyDescent="0.25">
      <c r="A6314" s="841" t="s">
        <v>2278</v>
      </c>
      <c r="E6314" s="1689" t="s">
        <v>3063</v>
      </c>
      <c r="F6314" s="1697"/>
      <c r="G6314" s="1697"/>
      <c r="H6314" s="1697"/>
      <c r="K6314" s="841" t="s">
        <v>6095</v>
      </c>
      <c r="M6314" s="1357"/>
      <c r="Q6314" s="1357"/>
      <c r="S6314" s="1420"/>
      <c r="T6314" s="1420"/>
      <c r="V6314" s="1357">
        <v>280</v>
      </c>
    </row>
    <row r="6315" spans="1:22" s="841" customFormat="1" ht="15" x14ac:dyDescent="0.25">
      <c r="A6315" s="841" t="s">
        <v>2278</v>
      </c>
      <c r="E6315" s="1689" t="s">
        <v>3064</v>
      </c>
      <c r="F6315" s="1697"/>
      <c r="G6315" s="1697"/>
      <c r="H6315" s="1697"/>
      <c r="K6315" s="841" t="s">
        <v>6095</v>
      </c>
      <c r="M6315" s="1357"/>
      <c r="Q6315" s="1357"/>
      <c r="S6315" s="1420"/>
      <c r="T6315" s="1420"/>
      <c r="V6315" s="1357">
        <v>411</v>
      </c>
    </row>
    <row r="6316" spans="1:22" s="841" customFormat="1" ht="15" x14ac:dyDescent="0.25">
      <c r="A6316" s="841" t="s">
        <v>2278</v>
      </c>
      <c r="E6316" s="1689" t="s">
        <v>3199</v>
      </c>
      <c r="F6316" s="1697"/>
      <c r="G6316" s="1697"/>
      <c r="H6316" s="1697"/>
      <c r="K6316" s="841" t="s">
        <v>6095</v>
      </c>
      <c r="M6316" s="1357"/>
      <c r="Q6316" s="1357"/>
      <c r="S6316" s="1420"/>
      <c r="T6316" s="1420"/>
      <c r="V6316" s="1357">
        <v>386</v>
      </c>
    </row>
    <row r="6317" spans="1:22" s="841" customFormat="1" ht="15" x14ac:dyDescent="0.25">
      <c r="A6317" s="841" t="s">
        <v>2278</v>
      </c>
      <c r="E6317" s="1689" t="s">
        <v>3200</v>
      </c>
      <c r="F6317" s="1697"/>
      <c r="G6317" s="1697"/>
      <c r="H6317" s="1697"/>
      <c r="K6317" s="841" t="s">
        <v>6095</v>
      </c>
      <c r="M6317" s="1357"/>
      <c r="Q6317" s="1357"/>
      <c r="S6317" s="1420"/>
      <c r="T6317" s="1420"/>
      <c r="V6317" s="1357">
        <v>275</v>
      </c>
    </row>
    <row r="6318" spans="1:22" s="841" customFormat="1" ht="15" x14ac:dyDescent="0.25">
      <c r="A6318" s="841" t="s">
        <v>2278</v>
      </c>
      <c r="E6318" s="1694" t="s">
        <v>3067</v>
      </c>
      <c r="F6318" s="1907"/>
      <c r="G6318" s="1907"/>
      <c r="H6318" s="1907"/>
      <c r="K6318" s="841" t="s">
        <v>3099</v>
      </c>
      <c r="M6318" s="1357"/>
      <c r="Q6318" s="1357"/>
      <c r="S6318" s="1420"/>
      <c r="T6318" s="1420"/>
      <c r="V6318" s="1357">
        <v>46</v>
      </c>
    </row>
    <row r="6319" spans="1:22" s="841" customFormat="1" ht="15" x14ac:dyDescent="0.25">
      <c r="A6319" s="841" t="s">
        <v>2278</v>
      </c>
      <c r="E6319" s="1690" t="s">
        <v>11</v>
      </c>
      <c r="F6319" s="1690"/>
      <c r="G6319" s="1408" t="s">
        <v>23</v>
      </c>
      <c r="H6319" s="391">
        <v>212.38</v>
      </c>
      <c r="K6319" s="841" t="s">
        <v>6095</v>
      </c>
      <c r="L6319" s="841" t="s">
        <v>442</v>
      </c>
      <c r="M6319" s="1357"/>
      <c r="P6319" s="841" t="s">
        <v>6096</v>
      </c>
      <c r="Q6319" s="1357"/>
      <c r="S6319" s="1420"/>
      <c r="T6319" s="1420"/>
      <c r="V6319" s="1357">
        <v>14</v>
      </c>
    </row>
    <row r="6320" spans="1:22" s="841" customFormat="1" ht="15" x14ac:dyDescent="0.25">
      <c r="A6320" s="841" t="s">
        <v>2278</v>
      </c>
      <c r="E6320" s="1690" t="s">
        <v>5582</v>
      </c>
      <c r="F6320" s="1690"/>
      <c r="G6320" s="1408" t="s">
        <v>23</v>
      </c>
      <c r="H6320" s="391">
        <v>22.33</v>
      </c>
      <c r="K6320" s="841" t="s">
        <v>6095</v>
      </c>
      <c r="L6320" s="841" t="s">
        <v>442</v>
      </c>
      <c r="M6320" s="1357"/>
      <c r="P6320" s="841" t="s">
        <v>6323</v>
      </c>
      <c r="Q6320" s="1357"/>
      <c r="S6320" s="1420"/>
      <c r="T6320" s="1420">
        <v>43465</v>
      </c>
      <c r="V6320" s="1357">
        <v>79</v>
      </c>
    </row>
    <row r="6321" spans="1:22" s="841" customFormat="1" ht="15" x14ac:dyDescent="0.25">
      <c r="A6321" s="841" t="s">
        <v>2278</v>
      </c>
      <c r="E6321" s="1690" t="s">
        <v>84</v>
      </c>
      <c r="F6321" s="1690"/>
      <c r="G6321" s="1408" t="s">
        <v>33</v>
      </c>
      <c r="H6321" s="393">
        <v>4.3038999999999996</v>
      </c>
      <c r="K6321" s="841" t="s">
        <v>6095</v>
      </c>
      <c r="L6321" s="841" t="s">
        <v>442</v>
      </c>
      <c r="M6321" s="1357"/>
      <c r="P6321" s="841" t="s">
        <v>6097</v>
      </c>
      <c r="Q6321" s="1357"/>
      <c r="S6321" s="1420"/>
      <c r="T6321" s="1420"/>
      <c r="V6321" s="1357">
        <v>28</v>
      </c>
    </row>
    <row r="6322" spans="1:22" s="841" customFormat="1" ht="15" x14ac:dyDescent="0.25">
      <c r="A6322" s="841" t="s">
        <v>2278</v>
      </c>
      <c r="E6322" s="1690" t="s">
        <v>18</v>
      </c>
      <c r="F6322" s="1690"/>
      <c r="G6322" s="1408" t="s">
        <v>33</v>
      </c>
      <c r="H6322" s="393">
        <v>1.3285</v>
      </c>
      <c r="K6322" s="841" t="s">
        <v>6095</v>
      </c>
      <c r="L6322" s="841" t="s">
        <v>443</v>
      </c>
      <c r="M6322" s="1357"/>
      <c r="P6322" s="841" t="s">
        <v>6098</v>
      </c>
      <c r="Q6322" s="1357"/>
      <c r="S6322" s="1420"/>
      <c r="T6322" s="1420"/>
      <c r="V6322" s="1357">
        <v>24</v>
      </c>
    </row>
    <row r="6323" spans="1:22" s="841" customFormat="1" ht="15" x14ac:dyDescent="0.25">
      <c r="A6323" s="841" t="s">
        <v>2278</v>
      </c>
      <c r="E6323" s="1690" t="s">
        <v>5615</v>
      </c>
      <c r="F6323" s="1908"/>
      <c r="G6323" s="1408" t="s">
        <v>33</v>
      </c>
      <c r="H6323" s="393">
        <v>0.56440000000000001</v>
      </c>
      <c r="K6323" s="841" t="s">
        <v>6095</v>
      </c>
      <c r="L6323" s="841" t="s">
        <v>443</v>
      </c>
      <c r="M6323" s="1357"/>
      <c r="P6323" s="841" t="s">
        <v>6105</v>
      </c>
      <c r="Q6323" s="1357"/>
      <c r="S6323" s="1420"/>
      <c r="T6323" s="1420">
        <v>43951</v>
      </c>
      <c r="V6323" s="1357">
        <v>96</v>
      </c>
    </row>
    <row r="6324" spans="1:22" s="841" customFormat="1" ht="15" x14ac:dyDescent="0.25">
      <c r="A6324" s="841" t="s">
        <v>2278</v>
      </c>
      <c r="E6324" s="1690" t="s">
        <v>5616</v>
      </c>
      <c r="F6324" s="1908"/>
      <c r="G6324" s="1408" t="s">
        <v>33</v>
      </c>
      <c r="H6324" s="393">
        <v>-0.4027</v>
      </c>
      <c r="K6324" s="841" t="s">
        <v>6095</v>
      </c>
      <c r="L6324" s="841" t="s">
        <v>443</v>
      </c>
      <c r="M6324" s="1357"/>
      <c r="P6324" s="841" t="s">
        <v>6105</v>
      </c>
      <c r="Q6324" s="1357"/>
      <c r="S6324" s="1420"/>
      <c r="T6324" s="1420">
        <v>43951</v>
      </c>
      <c r="V6324" s="1357">
        <v>152</v>
      </c>
    </row>
    <row r="6325" spans="1:22" s="841" customFormat="1" ht="15" x14ac:dyDescent="0.25">
      <c r="A6325" s="841" t="s">
        <v>2278</v>
      </c>
      <c r="E6325" s="1690" t="s">
        <v>5614</v>
      </c>
      <c r="F6325" s="1690"/>
      <c r="G6325" s="1408" t="s">
        <v>33</v>
      </c>
      <c r="H6325" s="393">
        <v>7.6600000000000001E-2</v>
      </c>
      <c r="K6325" s="841" t="s">
        <v>6095</v>
      </c>
      <c r="L6325" s="841" t="s">
        <v>442</v>
      </c>
      <c r="M6325" s="1357"/>
      <c r="P6325" s="841" t="s">
        <v>6105</v>
      </c>
      <c r="Q6325" s="1357"/>
      <c r="S6325" s="1420"/>
      <c r="T6325" s="1420">
        <v>43951</v>
      </c>
      <c r="V6325" s="1357">
        <v>104</v>
      </c>
    </row>
    <row r="6326" spans="1:22" s="841" customFormat="1" ht="15" x14ac:dyDescent="0.25">
      <c r="A6326" s="841" t="s">
        <v>2278</v>
      </c>
      <c r="E6326" s="1690" t="s">
        <v>5582</v>
      </c>
      <c r="F6326" s="1690"/>
      <c r="G6326" s="1408" t="s">
        <v>33</v>
      </c>
      <c r="H6326" s="393">
        <v>0.42980000000000002</v>
      </c>
      <c r="K6326" s="841" t="s">
        <v>6095</v>
      </c>
      <c r="L6326" s="841" t="s">
        <v>442</v>
      </c>
      <c r="M6326" s="1357"/>
      <c r="P6326" s="841" t="s">
        <v>6324</v>
      </c>
      <c r="Q6326" s="1357"/>
      <c r="S6326" s="1420"/>
      <c r="T6326" s="1420">
        <v>43465</v>
      </c>
      <c r="V6326" s="1357">
        <v>79</v>
      </c>
    </row>
    <row r="6327" spans="1:22" s="841" customFormat="1" ht="15" x14ac:dyDescent="0.25">
      <c r="A6327" s="841" t="s">
        <v>2278</v>
      </c>
      <c r="E6327" s="1690" t="s">
        <v>221</v>
      </c>
      <c r="F6327" s="1690"/>
      <c r="G6327" s="1408" t="s">
        <v>33</v>
      </c>
      <c r="H6327" s="393">
        <v>2.3860000000000001</v>
      </c>
      <c r="K6327" s="841" t="s">
        <v>6095</v>
      </c>
      <c r="L6327" s="841" t="s">
        <v>444</v>
      </c>
      <c r="M6327" s="1357"/>
      <c r="P6327" s="841" t="s">
        <v>6099</v>
      </c>
      <c r="Q6327" s="1357"/>
      <c r="S6327" s="1420"/>
      <c r="T6327" s="1420"/>
      <c r="V6327" s="1357">
        <v>47</v>
      </c>
    </row>
    <row r="6328" spans="1:22" s="841" customFormat="1" ht="15" x14ac:dyDescent="0.25">
      <c r="A6328" s="841" t="s">
        <v>2278</v>
      </c>
      <c r="E6328" s="1690" t="s">
        <v>3628</v>
      </c>
      <c r="F6328" s="1690"/>
      <c r="G6328" s="1408" t="s">
        <v>33</v>
      </c>
      <c r="H6328" s="393">
        <v>2.6358999999999999</v>
      </c>
      <c r="K6328" s="841" t="s">
        <v>6095</v>
      </c>
      <c r="L6328" s="841" t="s">
        <v>444</v>
      </c>
      <c r="M6328" s="1357"/>
      <c r="P6328" s="841" t="s">
        <v>6219</v>
      </c>
      <c r="Q6328" s="1357"/>
      <c r="S6328" s="1420"/>
      <c r="T6328" s="1420"/>
      <c r="V6328" s="1357">
        <v>75</v>
      </c>
    </row>
    <row r="6329" spans="1:22" s="841" customFormat="1" ht="15" x14ac:dyDescent="0.25">
      <c r="A6329" s="841" t="s">
        <v>2278</v>
      </c>
      <c r="E6329" s="1690" t="s">
        <v>223</v>
      </c>
      <c r="F6329" s="1690"/>
      <c r="G6329" s="1408" t="s">
        <v>33</v>
      </c>
      <c r="H6329" s="393">
        <v>2.3860000000000001</v>
      </c>
      <c r="K6329" s="841" t="s">
        <v>6095</v>
      </c>
      <c r="L6329" s="841" t="s">
        <v>444</v>
      </c>
      <c r="M6329" s="1357"/>
      <c r="P6329" s="841" t="s">
        <v>6107</v>
      </c>
      <c r="Q6329" s="1357"/>
      <c r="S6329" s="1420"/>
      <c r="T6329" s="1420"/>
      <c r="V6329" s="1357">
        <v>66</v>
      </c>
    </row>
    <row r="6330" spans="1:22" s="841" customFormat="1" ht="15" x14ac:dyDescent="0.25">
      <c r="A6330" s="841" t="s">
        <v>2278</v>
      </c>
      <c r="E6330" s="1690" t="s">
        <v>4822</v>
      </c>
      <c r="F6330" s="1690"/>
      <c r="G6330" s="1408" t="s">
        <v>33</v>
      </c>
      <c r="H6330" s="393">
        <v>2.4697</v>
      </c>
      <c r="K6330" s="841" t="s">
        <v>6095</v>
      </c>
      <c r="L6330" s="841" t="s">
        <v>444</v>
      </c>
      <c r="M6330" s="1357"/>
      <c r="P6330" s="841" t="s">
        <v>6223</v>
      </c>
      <c r="Q6330" s="1357"/>
      <c r="S6330" s="1420"/>
      <c r="T6330" s="1420"/>
      <c r="V6330" s="1357">
        <v>94</v>
      </c>
    </row>
    <row r="6331" spans="1:22" s="841" customFormat="1" ht="15" x14ac:dyDescent="0.25">
      <c r="A6331" s="841" t="s">
        <v>2278</v>
      </c>
      <c r="E6331" s="1694" t="s">
        <v>3079</v>
      </c>
      <c r="F6331" s="1690"/>
      <c r="G6331" s="1408"/>
      <c r="H6331" s="394"/>
      <c r="K6331" s="841" t="s">
        <v>3218</v>
      </c>
      <c r="M6331" s="1357"/>
      <c r="Q6331" s="1357"/>
      <c r="S6331" s="1420"/>
      <c r="T6331" s="1420"/>
      <c r="V6331" s="1357">
        <v>48</v>
      </c>
    </row>
    <row r="6332" spans="1:22" s="841" customFormat="1" ht="15" x14ac:dyDescent="0.25">
      <c r="A6332" s="841" t="s">
        <v>2278</v>
      </c>
      <c r="E6332" s="1690" t="s">
        <v>2449</v>
      </c>
      <c r="F6332" s="1690"/>
      <c r="G6332" s="1408" t="s">
        <v>24</v>
      </c>
      <c r="H6332" s="393">
        <v>3.2000000000000002E-3</v>
      </c>
      <c r="K6332" s="841" t="s">
        <v>6095</v>
      </c>
      <c r="L6332" s="841" t="s">
        <v>3046</v>
      </c>
      <c r="M6332" s="1357"/>
      <c r="P6332" s="841" t="s">
        <v>6101</v>
      </c>
      <c r="Q6332" s="1357"/>
      <c r="S6332" s="1420"/>
      <c r="T6332" s="1420"/>
      <c r="V6332" s="1357">
        <v>55</v>
      </c>
    </row>
    <row r="6333" spans="1:22" s="841" customFormat="1" ht="23.25" x14ac:dyDescent="0.25">
      <c r="A6333" s="841" t="s">
        <v>2278</v>
      </c>
      <c r="E6333" s="1365" t="s">
        <v>3211</v>
      </c>
      <c r="F6333" s="1365"/>
      <c r="G6333" s="1408" t="s">
        <v>24</v>
      </c>
      <c r="H6333" s="393">
        <v>4.0000000000000002E-4</v>
      </c>
      <c r="K6333" s="841" t="s">
        <v>6095</v>
      </c>
      <c r="L6333" s="841" t="s">
        <v>3046</v>
      </c>
      <c r="M6333" s="1357"/>
      <c r="P6333" s="841" t="s">
        <v>6101</v>
      </c>
      <c r="Q6333" s="1357"/>
      <c r="S6333" s="1420"/>
      <c r="T6333" s="1420"/>
      <c r="V6333" s="1357">
        <v>64</v>
      </c>
    </row>
    <row r="6334" spans="1:22" s="841" customFormat="1" ht="15" x14ac:dyDescent="0.25">
      <c r="A6334" s="841" t="s">
        <v>2278</v>
      </c>
      <c r="E6334" s="1690" t="s">
        <v>439</v>
      </c>
      <c r="F6334" s="1690"/>
      <c r="G6334" s="1408" t="s">
        <v>24</v>
      </c>
      <c r="H6334" s="393">
        <v>2.9999999999999997E-4</v>
      </c>
      <c r="K6334" s="841" t="s">
        <v>6095</v>
      </c>
      <c r="L6334" s="841" t="s">
        <v>3046</v>
      </c>
      <c r="M6334" s="1357"/>
      <c r="P6334" s="841" t="s">
        <v>6102</v>
      </c>
      <c r="Q6334" s="1357"/>
      <c r="S6334" s="1420"/>
      <c r="T6334" s="1420"/>
      <c r="V6334" s="1357">
        <v>57</v>
      </c>
    </row>
    <row r="6335" spans="1:22" s="841" customFormat="1" ht="15" x14ac:dyDescent="0.25">
      <c r="A6335" s="841" t="s">
        <v>2278</v>
      </c>
      <c r="E6335" s="1690" t="s">
        <v>32</v>
      </c>
      <c r="F6335" s="1690"/>
      <c r="G6335" s="1408" t="s">
        <v>23</v>
      </c>
      <c r="H6335" s="391">
        <v>0.25</v>
      </c>
      <c r="K6335" s="841" t="s">
        <v>6095</v>
      </c>
      <c r="L6335" s="841" t="s">
        <v>3046</v>
      </c>
      <c r="M6335" s="1357"/>
      <c r="P6335" s="841" t="s">
        <v>6103</v>
      </c>
      <c r="Q6335" s="1357"/>
      <c r="S6335" s="1420"/>
      <c r="T6335" s="1420"/>
      <c r="V6335" s="1357">
        <v>63</v>
      </c>
    </row>
    <row r="6336" spans="1:22" s="841" customFormat="1" ht="15" x14ac:dyDescent="0.25">
      <c r="A6336" s="841" t="s">
        <v>2278</v>
      </c>
      <c r="E6336" s="1909" t="s">
        <v>617</v>
      </c>
      <c r="F6336" s="1697"/>
      <c r="G6336" s="1697"/>
      <c r="H6336" s="1697"/>
      <c r="K6336" s="841" t="s">
        <v>3406</v>
      </c>
      <c r="M6336" s="1357"/>
      <c r="Q6336" s="1357"/>
      <c r="S6336" s="1420"/>
      <c r="T6336" s="1420"/>
      <c r="V6336" s="1357">
        <v>47</v>
      </c>
    </row>
    <row r="6337" spans="1:22" s="841" customFormat="1" ht="15" x14ac:dyDescent="0.25">
      <c r="A6337" s="841" t="s">
        <v>2278</v>
      </c>
      <c r="E6337" s="1689" t="s">
        <v>5620</v>
      </c>
      <c r="F6337" s="1697"/>
      <c r="G6337" s="1697"/>
      <c r="H6337" s="1697"/>
      <c r="K6337" s="841" t="s">
        <v>3406</v>
      </c>
      <c r="M6337" s="1357"/>
      <c r="Q6337" s="1357"/>
      <c r="S6337" s="1420"/>
      <c r="T6337" s="1420"/>
      <c r="V6337" s="1357">
        <v>366</v>
      </c>
    </row>
    <row r="6338" spans="1:22" s="841" customFormat="1" ht="15" x14ac:dyDescent="0.25">
      <c r="A6338" s="841" t="s">
        <v>2278</v>
      </c>
      <c r="E6338" s="1916" t="s">
        <v>3061</v>
      </c>
      <c r="F6338" s="1697"/>
      <c r="G6338" s="1697"/>
      <c r="H6338" s="1697"/>
      <c r="K6338" s="841" t="s">
        <v>3221</v>
      </c>
      <c r="M6338" s="1357"/>
      <c r="Q6338" s="1357"/>
      <c r="S6338" s="1420"/>
      <c r="T6338" s="1420"/>
      <c r="V6338" s="1357">
        <v>11</v>
      </c>
    </row>
    <row r="6339" spans="1:22" s="841" customFormat="1" ht="15" x14ac:dyDescent="0.25">
      <c r="A6339" s="841" t="s">
        <v>2278</v>
      </c>
      <c r="E6339" s="1689" t="s">
        <v>3063</v>
      </c>
      <c r="F6339" s="1697"/>
      <c r="G6339" s="1697"/>
      <c r="H6339" s="1697"/>
      <c r="K6339" s="841" t="s">
        <v>3406</v>
      </c>
      <c r="M6339" s="1357"/>
      <c r="Q6339" s="1357"/>
      <c r="S6339" s="1420"/>
      <c r="T6339" s="1420"/>
      <c r="V6339" s="1357">
        <v>280</v>
      </c>
    </row>
    <row r="6340" spans="1:22" s="841" customFormat="1" ht="15" x14ac:dyDescent="0.25">
      <c r="A6340" s="841" t="s">
        <v>2278</v>
      </c>
      <c r="E6340" s="1689" t="s">
        <v>3064</v>
      </c>
      <c r="F6340" s="1697"/>
      <c r="G6340" s="1697"/>
      <c r="H6340" s="1697"/>
      <c r="K6340" s="841" t="s">
        <v>3406</v>
      </c>
      <c r="M6340" s="1357"/>
      <c r="Q6340" s="1357"/>
      <c r="S6340" s="1420"/>
      <c r="T6340" s="1420"/>
      <c r="V6340" s="1357">
        <v>411</v>
      </c>
    </row>
    <row r="6341" spans="1:22" s="841" customFormat="1" ht="15" x14ac:dyDescent="0.25">
      <c r="A6341" s="841" t="s">
        <v>2278</v>
      </c>
      <c r="E6341" s="1689" t="s">
        <v>3199</v>
      </c>
      <c r="F6341" s="1697"/>
      <c r="G6341" s="1697"/>
      <c r="H6341" s="1697"/>
      <c r="K6341" s="841" t="s">
        <v>3406</v>
      </c>
      <c r="M6341" s="1357"/>
      <c r="Q6341" s="1357"/>
      <c r="S6341" s="1420"/>
      <c r="T6341" s="1420"/>
      <c r="V6341" s="1357">
        <v>386</v>
      </c>
    </row>
    <row r="6342" spans="1:22" s="841" customFormat="1" ht="15" x14ac:dyDescent="0.25">
      <c r="A6342" s="841" t="s">
        <v>2278</v>
      </c>
      <c r="E6342" s="1689" t="s">
        <v>3200</v>
      </c>
      <c r="F6342" s="1697"/>
      <c r="G6342" s="1697"/>
      <c r="H6342" s="1697"/>
      <c r="K6342" s="841" t="s">
        <v>3406</v>
      </c>
      <c r="M6342" s="1357"/>
      <c r="Q6342" s="1357"/>
      <c r="S6342" s="1420"/>
      <c r="T6342" s="1420"/>
      <c r="V6342" s="1357">
        <v>275</v>
      </c>
    </row>
    <row r="6343" spans="1:22" s="841" customFormat="1" ht="15" x14ac:dyDescent="0.25">
      <c r="A6343" s="841" t="s">
        <v>2278</v>
      </c>
      <c r="E6343" s="1694" t="s">
        <v>3067</v>
      </c>
      <c r="F6343" s="1907"/>
      <c r="G6343" s="1907"/>
      <c r="H6343" s="1907"/>
      <c r="K6343" s="841" t="s">
        <v>3224</v>
      </c>
      <c r="M6343" s="1357"/>
      <c r="Q6343" s="1357"/>
      <c r="S6343" s="1420"/>
      <c r="T6343" s="1420"/>
      <c r="V6343" s="1357">
        <v>46</v>
      </c>
    </row>
    <row r="6344" spans="1:22" s="841" customFormat="1" ht="15" x14ac:dyDescent="0.25">
      <c r="A6344" s="841" t="s">
        <v>2278</v>
      </c>
      <c r="E6344" s="1690" t="s">
        <v>12</v>
      </c>
      <c r="F6344" s="1690"/>
      <c r="G6344" s="1408" t="s">
        <v>23</v>
      </c>
      <c r="H6344" s="391">
        <v>12.86</v>
      </c>
      <c r="K6344" s="841" t="s">
        <v>3406</v>
      </c>
      <c r="L6344" s="841" t="s">
        <v>442</v>
      </c>
      <c r="M6344" s="1357"/>
      <c r="P6344" s="841" t="s">
        <v>3408</v>
      </c>
      <c r="Q6344" s="1357"/>
      <c r="S6344" s="1420"/>
      <c r="T6344" s="1420"/>
      <c r="V6344" s="1357">
        <v>31</v>
      </c>
    </row>
    <row r="6345" spans="1:22" s="841" customFormat="1" ht="15" x14ac:dyDescent="0.25">
      <c r="A6345" s="841" t="s">
        <v>2278</v>
      </c>
      <c r="E6345" s="1690" t="s">
        <v>5582</v>
      </c>
      <c r="F6345" s="1690"/>
      <c r="G6345" s="1408" t="s">
        <v>23</v>
      </c>
      <c r="H6345" s="391">
        <v>0.57999999999999996</v>
      </c>
      <c r="K6345" s="841" t="s">
        <v>3406</v>
      </c>
      <c r="L6345" s="841" t="s">
        <v>442</v>
      </c>
      <c r="M6345" s="1357"/>
      <c r="P6345" s="841" t="s">
        <v>6325</v>
      </c>
      <c r="Q6345" s="1357"/>
      <c r="S6345" s="1420"/>
      <c r="T6345" s="1420">
        <v>43465</v>
      </c>
      <c r="V6345" s="1357">
        <v>79</v>
      </c>
    </row>
    <row r="6346" spans="1:22" s="841" customFormat="1" ht="15" x14ac:dyDescent="0.25">
      <c r="A6346" s="841" t="s">
        <v>2278</v>
      </c>
      <c r="E6346" s="1690" t="s">
        <v>84</v>
      </c>
      <c r="F6346" s="1690"/>
      <c r="G6346" s="1408" t="s">
        <v>24</v>
      </c>
      <c r="H6346" s="393">
        <v>2.1499999999999998E-2</v>
      </c>
      <c r="K6346" s="841" t="s">
        <v>3406</v>
      </c>
      <c r="L6346" s="841" t="s">
        <v>442</v>
      </c>
      <c r="M6346" s="1357"/>
      <c r="P6346" s="841" t="s">
        <v>3409</v>
      </c>
      <c r="Q6346" s="1357"/>
      <c r="S6346" s="1420"/>
      <c r="T6346" s="1420"/>
      <c r="V6346" s="1357">
        <v>28</v>
      </c>
    </row>
    <row r="6347" spans="1:22" s="841" customFormat="1" ht="15" x14ac:dyDescent="0.25">
      <c r="A6347" s="841" t="s">
        <v>2278</v>
      </c>
      <c r="E6347" s="1690" t="s">
        <v>18</v>
      </c>
      <c r="F6347" s="1690"/>
      <c r="G6347" s="1408" t="s">
        <v>24</v>
      </c>
      <c r="H6347" s="393">
        <v>2.3999999999999998E-3</v>
      </c>
      <c r="K6347" s="841" t="s">
        <v>3406</v>
      </c>
      <c r="L6347" s="841" t="s">
        <v>443</v>
      </c>
      <c r="M6347" s="1357"/>
      <c r="P6347" s="841" t="s">
        <v>3549</v>
      </c>
      <c r="Q6347" s="1357"/>
      <c r="S6347" s="1420"/>
      <c r="T6347" s="1420"/>
      <c r="V6347" s="1357">
        <v>24</v>
      </c>
    </row>
    <row r="6348" spans="1:22" s="841" customFormat="1" ht="15" x14ac:dyDescent="0.25">
      <c r="A6348" s="841" t="s">
        <v>2278</v>
      </c>
      <c r="E6348" s="1690" t="s">
        <v>5615</v>
      </c>
      <c r="F6348" s="1908"/>
      <c r="G6348" s="1408" t="s">
        <v>24</v>
      </c>
      <c r="H6348" s="393">
        <v>1.9E-3</v>
      </c>
      <c r="K6348" s="841" t="s">
        <v>3406</v>
      </c>
      <c r="L6348" s="841" t="s">
        <v>443</v>
      </c>
      <c r="M6348" s="1357"/>
      <c r="P6348" s="841" t="s">
        <v>3411</v>
      </c>
      <c r="Q6348" s="1357"/>
      <c r="S6348" s="1420"/>
      <c r="T6348" s="1420">
        <v>43951</v>
      </c>
      <c r="V6348" s="1357">
        <v>96</v>
      </c>
    </row>
    <row r="6349" spans="1:22" s="841" customFormat="1" ht="15" x14ac:dyDescent="0.25">
      <c r="A6349" s="841" t="s">
        <v>2278</v>
      </c>
      <c r="E6349" s="1690" t="s">
        <v>5616</v>
      </c>
      <c r="F6349" s="1908"/>
      <c r="G6349" s="1408" t="s">
        <v>24</v>
      </c>
      <c r="H6349" s="393">
        <v>-1.1000000000000001E-3</v>
      </c>
      <c r="K6349" s="841" t="s">
        <v>3406</v>
      </c>
      <c r="L6349" s="841" t="s">
        <v>443</v>
      </c>
      <c r="M6349" s="1357"/>
      <c r="P6349" s="841" t="s">
        <v>3411</v>
      </c>
      <c r="Q6349" s="1357"/>
      <c r="S6349" s="1420"/>
      <c r="T6349" s="1420">
        <v>43951</v>
      </c>
      <c r="V6349" s="1357">
        <v>152</v>
      </c>
    </row>
    <row r="6350" spans="1:22" s="841" customFormat="1" ht="15" x14ac:dyDescent="0.25">
      <c r="A6350" s="841" t="s">
        <v>2278</v>
      </c>
      <c r="E6350" s="1690" t="s">
        <v>5621</v>
      </c>
      <c r="F6350" s="1690"/>
      <c r="G6350" s="1408" t="s">
        <v>24</v>
      </c>
      <c r="H6350" s="393">
        <v>2.0000000000000001E-4</v>
      </c>
      <c r="K6350" s="841" t="s">
        <v>3406</v>
      </c>
      <c r="L6350" s="841" t="s">
        <v>442</v>
      </c>
      <c r="M6350" s="1357"/>
      <c r="P6350" s="841" t="s">
        <v>3411</v>
      </c>
      <c r="Q6350" s="1357"/>
      <c r="S6350" s="1420"/>
      <c r="T6350" s="1420"/>
      <c r="V6350" s="1357">
        <v>105</v>
      </c>
    </row>
    <row r="6351" spans="1:22" s="841" customFormat="1" ht="15" x14ac:dyDescent="0.25">
      <c r="A6351" s="841" t="s">
        <v>2278</v>
      </c>
      <c r="E6351" s="1690" t="s">
        <v>5582</v>
      </c>
      <c r="F6351" s="1690"/>
      <c r="G6351" s="1408" t="s">
        <v>24</v>
      </c>
      <c r="H6351" s="393">
        <v>1E-3</v>
      </c>
      <c r="K6351" s="841" t="s">
        <v>3406</v>
      </c>
      <c r="L6351" s="841" t="s">
        <v>442</v>
      </c>
      <c r="M6351" s="1357"/>
      <c r="P6351" s="841" t="s">
        <v>6326</v>
      </c>
      <c r="Q6351" s="1357"/>
      <c r="S6351" s="1420"/>
      <c r="T6351" s="1420">
        <v>43465</v>
      </c>
      <c r="V6351" s="1357">
        <v>79</v>
      </c>
    </row>
    <row r="6352" spans="1:22" s="841" customFormat="1" ht="15" x14ac:dyDescent="0.25">
      <c r="A6352" s="841" t="s">
        <v>2278</v>
      </c>
      <c r="E6352" s="1690" t="s">
        <v>221</v>
      </c>
      <c r="F6352" s="1690"/>
      <c r="G6352" s="1408" t="s">
        <v>24</v>
      </c>
      <c r="H6352" s="393">
        <v>6.1000000000000004E-3</v>
      </c>
      <c r="K6352" s="841" t="s">
        <v>3406</v>
      </c>
      <c r="L6352" s="841" t="s">
        <v>444</v>
      </c>
      <c r="M6352" s="1357"/>
      <c r="P6352" s="841" t="s">
        <v>3412</v>
      </c>
      <c r="Q6352" s="1357"/>
      <c r="S6352" s="1420"/>
      <c r="T6352" s="1420"/>
      <c r="V6352" s="1357">
        <v>47</v>
      </c>
    </row>
    <row r="6353" spans="1:22" s="841" customFormat="1" ht="15" x14ac:dyDescent="0.25">
      <c r="A6353" s="841" t="s">
        <v>2278</v>
      </c>
      <c r="E6353" s="1690" t="s">
        <v>217</v>
      </c>
      <c r="F6353" s="1690"/>
      <c r="G6353" s="1408" t="s">
        <v>24</v>
      </c>
      <c r="H6353" s="393">
        <v>4.7000000000000002E-3</v>
      </c>
      <c r="K6353" s="841" t="s">
        <v>3406</v>
      </c>
      <c r="L6353" s="841" t="s">
        <v>444</v>
      </c>
      <c r="M6353" s="1357"/>
      <c r="P6353" s="841" t="s">
        <v>3413</v>
      </c>
      <c r="Q6353" s="1357"/>
      <c r="S6353" s="1420"/>
      <c r="T6353" s="1420"/>
      <c r="V6353" s="1357">
        <v>74</v>
      </c>
    </row>
    <row r="6354" spans="1:22" s="841" customFormat="1" ht="15" x14ac:dyDescent="0.25">
      <c r="A6354" s="841" t="s">
        <v>2278</v>
      </c>
      <c r="E6354" s="1694" t="s">
        <v>3079</v>
      </c>
      <c r="F6354" s="1690"/>
      <c r="G6354" s="1408"/>
      <c r="H6354" s="394"/>
      <c r="K6354" s="841" t="s">
        <v>3225</v>
      </c>
      <c r="M6354" s="1357"/>
      <c r="Q6354" s="1357"/>
      <c r="S6354" s="1420"/>
      <c r="T6354" s="1420"/>
      <c r="V6354" s="1357">
        <v>48</v>
      </c>
    </row>
    <row r="6355" spans="1:22" s="841" customFormat="1" ht="15" x14ac:dyDescent="0.25">
      <c r="A6355" s="841" t="s">
        <v>2278</v>
      </c>
      <c r="E6355" s="1690" t="s">
        <v>2449</v>
      </c>
      <c r="F6355" s="1690"/>
      <c r="G6355" s="1408" t="s">
        <v>24</v>
      </c>
      <c r="H6355" s="393">
        <v>3.2000000000000002E-3</v>
      </c>
      <c r="K6355" s="841" t="s">
        <v>3406</v>
      </c>
      <c r="L6355" s="841" t="s">
        <v>3046</v>
      </c>
      <c r="M6355" s="1357"/>
      <c r="P6355" s="841" t="s">
        <v>3414</v>
      </c>
      <c r="Q6355" s="1357"/>
      <c r="S6355" s="1420"/>
      <c r="T6355" s="1420"/>
      <c r="V6355" s="1357">
        <v>55</v>
      </c>
    </row>
    <row r="6356" spans="1:22" s="841" customFormat="1" ht="23.25" x14ac:dyDescent="0.25">
      <c r="A6356" s="841" t="s">
        <v>2278</v>
      </c>
      <c r="E6356" s="1365" t="s">
        <v>3211</v>
      </c>
      <c r="F6356" s="1365"/>
      <c r="G6356" s="1408" t="s">
        <v>24</v>
      </c>
      <c r="H6356" s="393">
        <v>4.0000000000000002E-4</v>
      </c>
      <c r="K6356" s="841" t="s">
        <v>3406</v>
      </c>
      <c r="L6356" s="841" t="s">
        <v>3046</v>
      </c>
      <c r="M6356" s="1357"/>
      <c r="P6356" s="841" t="s">
        <v>3414</v>
      </c>
      <c r="Q6356" s="1357"/>
      <c r="S6356" s="1420"/>
      <c r="T6356" s="1420"/>
      <c r="V6356" s="1357">
        <v>64</v>
      </c>
    </row>
    <row r="6357" spans="1:22" s="841" customFormat="1" ht="15" x14ac:dyDescent="0.25">
      <c r="A6357" s="841" t="s">
        <v>2278</v>
      </c>
      <c r="E6357" s="1690" t="s">
        <v>439</v>
      </c>
      <c r="F6357" s="1690"/>
      <c r="G6357" s="1408" t="s">
        <v>24</v>
      </c>
      <c r="H6357" s="393">
        <v>2.9999999999999997E-4</v>
      </c>
      <c r="K6357" s="841" t="s">
        <v>3406</v>
      </c>
      <c r="L6357" s="841" t="s">
        <v>3046</v>
      </c>
      <c r="M6357" s="1357"/>
      <c r="P6357" s="841" t="s">
        <v>3415</v>
      </c>
      <c r="Q6357" s="1357"/>
      <c r="S6357" s="1420"/>
      <c r="T6357" s="1420"/>
      <c r="V6357" s="1357">
        <v>57</v>
      </c>
    </row>
    <row r="6358" spans="1:22" s="841" customFormat="1" ht="15" x14ac:dyDescent="0.25">
      <c r="A6358" s="841" t="s">
        <v>2278</v>
      </c>
      <c r="E6358" s="1690" t="s">
        <v>32</v>
      </c>
      <c r="F6358" s="1690"/>
      <c r="G6358" s="1408" t="s">
        <v>23</v>
      </c>
      <c r="H6358" s="391">
        <v>0.25</v>
      </c>
      <c r="K6358" s="841" t="s">
        <v>3406</v>
      </c>
      <c r="L6358" s="841" t="s">
        <v>3046</v>
      </c>
      <c r="M6358" s="1357"/>
      <c r="P6358" s="841" t="s">
        <v>3416</v>
      </c>
      <c r="Q6358" s="1357"/>
      <c r="S6358" s="1420"/>
      <c r="T6358" s="1420"/>
      <c r="V6358" s="1357">
        <v>63</v>
      </c>
    </row>
    <row r="6359" spans="1:22" s="841" customFormat="1" ht="15" x14ac:dyDescent="0.25">
      <c r="A6359" s="841" t="s">
        <v>2278</v>
      </c>
      <c r="E6359" s="1909" t="s">
        <v>629</v>
      </c>
      <c r="F6359" s="1697"/>
      <c r="G6359" s="1697"/>
      <c r="H6359" s="1697"/>
      <c r="K6359" s="841" t="s">
        <v>3571</v>
      </c>
      <c r="M6359" s="1357"/>
      <c r="Q6359" s="1357"/>
      <c r="S6359" s="1420"/>
      <c r="T6359" s="1420"/>
      <c r="V6359" s="1357">
        <v>40</v>
      </c>
    </row>
    <row r="6360" spans="1:22" s="841" customFormat="1" ht="15" x14ac:dyDescent="0.25">
      <c r="A6360" s="841" t="s">
        <v>2278</v>
      </c>
      <c r="E6360" s="1689" t="s">
        <v>4724</v>
      </c>
      <c r="F6360" s="1697"/>
      <c r="G6360" s="1697"/>
      <c r="H6360" s="1697"/>
      <c r="K6360" s="841" t="s">
        <v>3571</v>
      </c>
      <c r="M6360" s="1357"/>
      <c r="Q6360" s="1357"/>
      <c r="S6360" s="1420"/>
      <c r="T6360" s="1420"/>
      <c r="V6360" s="1357">
        <v>188</v>
      </c>
    </row>
    <row r="6361" spans="1:22" s="841" customFormat="1" ht="15" x14ac:dyDescent="0.25">
      <c r="A6361" s="841" t="s">
        <v>2278</v>
      </c>
      <c r="E6361" s="1916" t="s">
        <v>3061</v>
      </c>
      <c r="F6361" s="1697"/>
      <c r="G6361" s="1697"/>
      <c r="H6361" s="1697"/>
      <c r="K6361" s="841" t="s">
        <v>3107</v>
      </c>
      <c r="M6361" s="1357"/>
      <c r="Q6361" s="1357"/>
      <c r="S6361" s="1420"/>
      <c r="T6361" s="1420"/>
      <c r="V6361" s="1357">
        <v>11</v>
      </c>
    </row>
    <row r="6362" spans="1:22" s="841" customFormat="1" ht="15" x14ac:dyDescent="0.25">
      <c r="A6362" s="841" t="s">
        <v>2278</v>
      </c>
      <c r="E6362" s="1689" t="s">
        <v>3063</v>
      </c>
      <c r="F6362" s="1697"/>
      <c r="G6362" s="1697"/>
      <c r="H6362" s="1697"/>
      <c r="K6362" s="841" t="s">
        <v>3571</v>
      </c>
      <c r="M6362" s="1357"/>
      <c r="Q6362" s="1357"/>
      <c r="S6362" s="1420"/>
      <c r="T6362" s="1420"/>
      <c r="V6362" s="1357">
        <v>280</v>
      </c>
    </row>
    <row r="6363" spans="1:22" s="841" customFormat="1" ht="15" x14ac:dyDescent="0.25">
      <c r="A6363" s="841" t="s">
        <v>2278</v>
      </c>
      <c r="E6363" s="1689" t="s">
        <v>3064</v>
      </c>
      <c r="F6363" s="1697"/>
      <c r="G6363" s="1697"/>
      <c r="H6363" s="1697"/>
      <c r="K6363" s="841" t="s">
        <v>3571</v>
      </c>
      <c r="M6363" s="1357"/>
      <c r="Q6363" s="1357"/>
      <c r="S6363" s="1420"/>
      <c r="T6363" s="1420"/>
      <c r="V6363" s="1357">
        <v>411</v>
      </c>
    </row>
    <row r="6364" spans="1:22" s="841" customFormat="1" ht="15" x14ac:dyDescent="0.25">
      <c r="A6364" s="841" t="s">
        <v>2278</v>
      </c>
      <c r="E6364" s="1689" t="s">
        <v>3199</v>
      </c>
      <c r="F6364" s="1697"/>
      <c r="G6364" s="1697"/>
      <c r="H6364" s="1697"/>
      <c r="K6364" s="841" t="s">
        <v>3571</v>
      </c>
      <c r="M6364" s="1357"/>
      <c r="Q6364" s="1357"/>
      <c r="S6364" s="1420"/>
      <c r="T6364" s="1420"/>
      <c r="V6364" s="1357">
        <v>386</v>
      </c>
    </row>
    <row r="6365" spans="1:22" s="841" customFormat="1" ht="15" x14ac:dyDescent="0.25">
      <c r="A6365" s="841" t="s">
        <v>2278</v>
      </c>
      <c r="E6365" s="1689" t="s">
        <v>3200</v>
      </c>
      <c r="F6365" s="1697"/>
      <c r="G6365" s="1697"/>
      <c r="H6365" s="1697"/>
      <c r="K6365" s="841" t="s">
        <v>3571</v>
      </c>
      <c r="M6365" s="1357"/>
      <c r="Q6365" s="1357"/>
      <c r="S6365" s="1420"/>
      <c r="T6365" s="1420"/>
      <c r="V6365" s="1357">
        <v>275</v>
      </c>
    </row>
    <row r="6366" spans="1:22" s="841" customFormat="1" ht="15" x14ac:dyDescent="0.25">
      <c r="A6366" s="841" t="s">
        <v>2278</v>
      </c>
      <c r="E6366" s="1694" t="s">
        <v>3067</v>
      </c>
      <c r="F6366" s="1907"/>
      <c r="G6366" s="1907"/>
      <c r="H6366" s="1907"/>
      <c r="K6366" s="841" t="s">
        <v>3108</v>
      </c>
      <c r="M6366" s="1357"/>
      <c r="Q6366" s="1357"/>
      <c r="S6366" s="1420"/>
      <c r="T6366" s="1420"/>
      <c r="V6366" s="1357">
        <v>46</v>
      </c>
    </row>
    <row r="6367" spans="1:22" s="841" customFormat="1" ht="15" x14ac:dyDescent="0.25">
      <c r="A6367" s="841" t="s">
        <v>2278</v>
      </c>
      <c r="E6367" s="1690" t="s">
        <v>12</v>
      </c>
      <c r="F6367" s="1690"/>
      <c r="G6367" s="1408" t="s">
        <v>23</v>
      </c>
      <c r="H6367" s="391">
        <v>13.55</v>
      </c>
      <c r="K6367" s="841" t="s">
        <v>3571</v>
      </c>
      <c r="L6367" s="841" t="s">
        <v>442</v>
      </c>
      <c r="M6367" s="1357"/>
      <c r="P6367" s="841" t="s">
        <v>3573</v>
      </c>
      <c r="Q6367" s="1357"/>
      <c r="S6367" s="1420"/>
      <c r="T6367" s="1420"/>
      <c r="V6367" s="1357">
        <v>31</v>
      </c>
    </row>
    <row r="6368" spans="1:22" s="841" customFormat="1" ht="15" x14ac:dyDescent="0.25">
      <c r="A6368" s="841" t="s">
        <v>2278</v>
      </c>
      <c r="E6368" s="1690" t="s">
        <v>5582</v>
      </c>
      <c r="F6368" s="1690"/>
      <c r="G6368" s="1408" t="s">
        <v>23</v>
      </c>
      <c r="H6368" s="391">
        <v>0.57999999999999996</v>
      </c>
      <c r="K6368" s="841" t="s">
        <v>3571</v>
      </c>
      <c r="L6368" s="841" t="s">
        <v>442</v>
      </c>
      <c r="M6368" s="1357"/>
      <c r="P6368" s="841" t="s">
        <v>6327</v>
      </c>
      <c r="Q6368" s="1357"/>
      <c r="S6368" s="1420"/>
      <c r="T6368" s="1420">
        <v>43465</v>
      </c>
      <c r="V6368" s="1357">
        <v>79</v>
      </c>
    </row>
    <row r="6369" spans="1:22" s="841" customFormat="1" ht="15" x14ac:dyDescent="0.25">
      <c r="A6369" s="841" t="s">
        <v>2278</v>
      </c>
      <c r="E6369" s="1690" t="s">
        <v>84</v>
      </c>
      <c r="F6369" s="1690"/>
      <c r="G6369" s="1408" t="s">
        <v>33</v>
      </c>
      <c r="H6369" s="393">
        <v>61.721699999999998</v>
      </c>
      <c r="K6369" s="841" t="s">
        <v>3571</v>
      </c>
      <c r="L6369" s="841" t="s">
        <v>442</v>
      </c>
      <c r="M6369" s="1357"/>
      <c r="P6369" s="841" t="s">
        <v>3574</v>
      </c>
      <c r="Q6369" s="1357"/>
      <c r="S6369" s="1420"/>
      <c r="T6369" s="1420"/>
      <c r="V6369" s="1357">
        <v>28</v>
      </c>
    </row>
    <row r="6370" spans="1:22" s="841" customFormat="1" ht="15" x14ac:dyDescent="0.25">
      <c r="A6370" s="841" t="s">
        <v>2278</v>
      </c>
      <c r="E6370" s="1690" t="s">
        <v>18</v>
      </c>
      <c r="F6370" s="1690"/>
      <c r="G6370" s="1408" t="s">
        <v>33</v>
      </c>
      <c r="H6370" s="393">
        <v>1.0383</v>
      </c>
      <c r="K6370" s="841" t="s">
        <v>3571</v>
      </c>
      <c r="L6370" s="841" t="s">
        <v>443</v>
      </c>
      <c r="M6370" s="1357"/>
      <c r="P6370" s="841" t="s">
        <v>3575</v>
      </c>
      <c r="Q6370" s="1357"/>
      <c r="S6370" s="1420"/>
      <c r="T6370" s="1420"/>
      <c r="V6370" s="1357">
        <v>24</v>
      </c>
    </row>
    <row r="6371" spans="1:22" s="841" customFormat="1" ht="15" x14ac:dyDescent="0.25">
      <c r="A6371" s="841" t="s">
        <v>2278</v>
      </c>
      <c r="E6371" s="1690" t="s">
        <v>5615</v>
      </c>
      <c r="F6371" s="1908"/>
      <c r="G6371" s="1408" t="s">
        <v>33</v>
      </c>
      <c r="H6371" s="393">
        <v>0.4703</v>
      </c>
      <c r="K6371" s="841" t="s">
        <v>3571</v>
      </c>
      <c r="L6371" s="841" t="s">
        <v>443</v>
      </c>
      <c r="M6371" s="1357"/>
      <c r="P6371" s="841" t="s">
        <v>3718</v>
      </c>
      <c r="Q6371" s="1357"/>
      <c r="S6371" s="1420"/>
      <c r="T6371" s="1420">
        <v>43951</v>
      </c>
      <c r="V6371" s="1357">
        <v>96</v>
      </c>
    </row>
    <row r="6372" spans="1:22" s="841" customFormat="1" ht="15" x14ac:dyDescent="0.25">
      <c r="A6372" s="841" t="s">
        <v>2278</v>
      </c>
      <c r="E6372" s="1690" t="s">
        <v>5616</v>
      </c>
      <c r="F6372" s="1908"/>
      <c r="G6372" s="1408" t="s">
        <v>33</v>
      </c>
      <c r="H6372" s="393">
        <v>-0.40189999999999998</v>
      </c>
      <c r="K6372" s="841" t="s">
        <v>3571</v>
      </c>
      <c r="L6372" s="841" t="s">
        <v>443</v>
      </c>
      <c r="M6372" s="1357"/>
      <c r="P6372" s="841" t="s">
        <v>3718</v>
      </c>
      <c r="Q6372" s="1357"/>
      <c r="S6372" s="1420"/>
      <c r="T6372" s="1420">
        <v>43951</v>
      </c>
      <c r="V6372" s="1357">
        <v>152</v>
      </c>
    </row>
    <row r="6373" spans="1:22" s="841" customFormat="1" ht="15" x14ac:dyDescent="0.25">
      <c r="A6373" s="841" t="s">
        <v>2278</v>
      </c>
      <c r="E6373" s="1690" t="s">
        <v>5618</v>
      </c>
      <c r="F6373" s="1690"/>
      <c r="G6373" s="1408" t="s">
        <v>33</v>
      </c>
      <c r="H6373" s="393">
        <v>7.6399999999999996E-2</v>
      </c>
      <c r="K6373" s="841" t="s">
        <v>3571</v>
      </c>
      <c r="L6373" s="841" t="s">
        <v>442</v>
      </c>
      <c r="M6373" s="1357"/>
      <c r="P6373" s="841" t="s">
        <v>3718</v>
      </c>
      <c r="Q6373" s="1357"/>
      <c r="S6373" s="1420"/>
      <c r="T6373" s="1420">
        <v>43951</v>
      </c>
      <c r="V6373" s="1357">
        <v>105</v>
      </c>
    </row>
    <row r="6374" spans="1:22" s="841" customFormat="1" ht="15" x14ac:dyDescent="0.25">
      <c r="A6374" s="841" t="s">
        <v>2278</v>
      </c>
      <c r="E6374" s="1690" t="s">
        <v>5582</v>
      </c>
      <c r="F6374" s="1690"/>
      <c r="G6374" s="1408" t="s">
        <v>33</v>
      </c>
      <c r="H6374" s="393">
        <v>2.6396000000000002</v>
      </c>
      <c r="K6374" s="841" t="s">
        <v>3571</v>
      </c>
      <c r="L6374" s="841" t="s">
        <v>442</v>
      </c>
      <c r="M6374" s="1357"/>
      <c r="P6374" s="841" t="s">
        <v>6328</v>
      </c>
      <c r="Q6374" s="1357"/>
      <c r="S6374" s="1420"/>
      <c r="T6374" s="1420">
        <v>43465</v>
      </c>
      <c r="V6374" s="1357">
        <v>79</v>
      </c>
    </row>
    <row r="6375" spans="1:22" s="841" customFormat="1" ht="15" x14ac:dyDescent="0.25">
      <c r="A6375" s="841" t="s">
        <v>2278</v>
      </c>
      <c r="E6375" s="1690" t="s">
        <v>221</v>
      </c>
      <c r="F6375" s="1690"/>
      <c r="G6375" s="1408" t="s">
        <v>33</v>
      </c>
      <c r="H6375" s="393">
        <v>1.8673</v>
      </c>
      <c r="K6375" s="841" t="s">
        <v>3571</v>
      </c>
      <c r="L6375" s="841" t="s">
        <v>444</v>
      </c>
      <c r="M6375" s="1357"/>
      <c r="P6375" s="841" t="s">
        <v>3576</v>
      </c>
      <c r="Q6375" s="1357"/>
      <c r="S6375" s="1420"/>
      <c r="T6375" s="1420"/>
      <c r="V6375" s="1357">
        <v>47</v>
      </c>
    </row>
    <row r="6376" spans="1:22" s="841" customFormat="1" ht="15" x14ac:dyDescent="0.25">
      <c r="A6376" s="841" t="s">
        <v>2278</v>
      </c>
      <c r="E6376" s="1690" t="s">
        <v>217</v>
      </c>
      <c r="F6376" s="1690"/>
      <c r="G6376" s="1408" t="s">
        <v>33</v>
      </c>
      <c r="H6376" s="393">
        <v>2.06</v>
      </c>
      <c r="K6376" s="841" t="s">
        <v>3571</v>
      </c>
      <c r="L6376" s="841" t="s">
        <v>444</v>
      </c>
      <c r="M6376" s="1357"/>
      <c r="P6376" s="841" t="s">
        <v>3577</v>
      </c>
      <c r="Q6376" s="1357"/>
      <c r="S6376" s="1420"/>
      <c r="T6376" s="1420"/>
      <c r="V6376" s="1357">
        <v>74</v>
      </c>
    </row>
    <row r="6377" spans="1:22" s="841" customFormat="1" ht="15" x14ac:dyDescent="0.25">
      <c r="A6377" s="841" t="s">
        <v>2278</v>
      </c>
      <c r="E6377" s="1694" t="s">
        <v>3079</v>
      </c>
      <c r="F6377" s="1690"/>
      <c r="G6377" s="1408"/>
      <c r="H6377" s="394"/>
      <c r="K6377" s="841" t="s">
        <v>3111</v>
      </c>
      <c r="M6377" s="1357"/>
      <c r="Q6377" s="1357"/>
      <c r="S6377" s="1420"/>
      <c r="T6377" s="1420"/>
      <c r="V6377" s="1357">
        <v>48</v>
      </c>
    </row>
    <row r="6378" spans="1:22" s="841" customFormat="1" ht="15" x14ac:dyDescent="0.25">
      <c r="A6378" s="841" t="s">
        <v>2278</v>
      </c>
      <c r="E6378" s="1690" t="s">
        <v>2449</v>
      </c>
      <c r="F6378" s="1690"/>
      <c r="G6378" s="1408" t="s">
        <v>24</v>
      </c>
      <c r="H6378" s="393">
        <v>3.2000000000000002E-3</v>
      </c>
      <c r="K6378" s="841" t="s">
        <v>3571</v>
      </c>
      <c r="L6378" s="841" t="s">
        <v>3046</v>
      </c>
      <c r="M6378" s="1357"/>
      <c r="P6378" s="841" t="s">
        <v>3578</v>
      </c>
      <c r="Q6378" s="1357"/>
      <c r="S6378" s="1420"/>
      <c r="T6378" s="1420"/>
      <c r="V6378" s="1357">
        <v>55</v>
      </c>
    </row>
    <row r="6379" spans="1:22" s="841" customFormat="1" ht="23.25" x14ac:dyDescent="0.25">
      <c r="A6379" s="841" t="s">
        <v>2278</v>
      </c>
      <c r="E6379" s="1365" t="s">
        <v>3211</v>
      </c>
      <c r="F6379" s="1365"/>
      <c r="G6379" s="1408" t="s">
        <v>24</v>
      </c>
      <c r="H6379" s="393">
        <v>4.0000000000000002E-4</v>
      </c>
      <c r="K6379" s="841" t="s">
        <v>3571</v>
      </c>
      <c r="L6379" s="841" t="s">
        <v>3046</v>
      </c>
      <c r="M6379" s="1357"/>
      <c r="P6379" s="841" t="s">
        <v>3578</v>
      </c>
      <c r="Q6379" s="1357"/>
      <c r="S6379" s="1420"/>
      <c r="T6379" s="1420"/>
      <c r="V6379" s="1357">
        <v>64</v>
      </c>
    </row>
    <row r="6380" spans="1:22" s="841" customFormat="1" ht="15" x14ac:dyDescent="0.25">
      <c r="A6380" s="841" t="s">
        <v>2278</v>
      </c>
      <c r="E6380" s="1690" t="s">
        <v>439</v>
      </c>
      <c r="F6380" s="1690"/>
      <c r="G6380" s="1408" t="s">
        <v>24</v>
      </c>
      <c r="H6380" s="393">
        <v>2.9999999999999997E-4</v>
      </c>
      <c r="K6380" s="841" t="s">
        <v>3571</v>
      </c>
      <c r="L6380" s="841" t="s">
        <v>3046</v>
      </c>
      <c r="M6380" s="1357"/>
      <c r="P6380" s="841" t="s">
        <v>3579</v>
      </c>
      <c r="Q6380" s="1357"/>
      <c r="S6380" s="1420"/>
      <c r="T6380" s="1420"/>
      <c r="V6380" s="1357">
        <v>57</v>
      </c>
    </row>
    <row r="6381" spans="1:22" s="841" customFormat="1" ht="15" x14ac:dyDescent="0.25">
      <c r="A6381" s="841" t="s">
        <v>2278</v>
      </c>
      <c r="E6381" s="1690" t="s">
        <v>32</v>
      </c>
      <c r="F6381" s="1690"/>
      <c r="G6381" s="1408" t="s">
        <v>23</v>
      </c>
      <c r="H6381" s="391">
        <v>0.25</v>
      </c>
      <c r="K6381" s="841" t="s">
        <v>3571</v>
      </c>
      <c r="L6381" s="841" t="s">
        <v>3046</v>
      </c>
      <c r="M6381" s="1357"/>
      <c r="P6381" s="841" t="s">
        <v>3580</v>
      </c>
      <c r="Q6381" s="1357"/>
      <c r="S6381" s="1420"/>
      <c r="T6381" s="1420"/>
      <c r="V6381" s="1357">
        <v>63</v>
      </c>
    </row>
    <row r="6382" spans="1:22" s="841" customFormat="1" ht="15" x14ac:dyDescent="0.25">
      <c r="A6382" s="841" t="s">
        <v>2278</v>
      </c>
      <c r="E6382" s="1909" t="s">
        <v>615</v>
      </c>
      <c r="F6382" s="1697"/>
      <c r="G6382" s="1697"/>
      <c r="H6382" s="1697"/>
      <c r="K6382" s="841" t="s">
        <v>3112</v>
      </c>
      <c r="M6382" s="1357"/>
      <c r="Q6382" s="1357"/>
      <c r="S6382" s="1420"/>
      <c r="T6382" s="1420"/>
      <c r="V6382" s="1357">
        <v>38</v>
      </c>
    </row>
    <row r="6383" spans="1:22" s="841" customFormat="1" ht="15" x14ac:dyDescent="0.25">
      <c r="A6383" s="841" t="s">
        <v>2278</v>
      </c>
      <c r="E6383" s="1689" t="s">
        <v>5622</v>
      </c>
      <c r="F6383" s="1697"/>
      <c r="G6383" s="1697"/>
      <c r="H6383" s="1697"/>
      <c r="K6383" s="841" t="s">
        <v>3112</v>
      </c>
      <c r="M6383" s="1357"/>
      <c r="Q6383" s="1357"/>
      <c r="S6383" s="1420"/>
      <c r="T6383" s="1420"/>
      <c r="V6383" s="1357">
        <v>458</v>
      </c>
    </row>
    <row r="6384" spans="1:22" s="841" customFormat="1" ht="15" x14ac:dyDescent="0.25">
      <c r="A6384" s="841" t="s">
        <v>2278</v>
      </c>
      <c r="E6384" s="1916" t="s">
        <v>3061</v>
      </c>
      <c r="F6384" s="1697"/>
      <c r="G6384" s="1697"/>
      <c r="H6384" s="1697"/>
      <c r="K6384" s="841" t="s">
        <v>3114</v>
      </c>
      <c r="M6384" s="1357"/>
      <c r="Q6384" s="1357"/>
      <c r="S6384" s="1420"/>
      <c r="T6384" s="1420"/>
      <c r="V6384" s="1357">
        <v>11</v>
      </c>
    </row>
    <row r="6385" spans="1:22" s="841" customFormat="1" ht="15" x14ac:dyDescent="0.25">
      <c r="A6385" s="841" t="s">
        <v>2278</v>
      </c>
      <c r="E6385" s="1689" t="s">
        <v>3063</v>
      </c>
      <c r="F6385" s="1697"/>
      <c r="G6385" s="1697"/>
      <c r="H6385" s="1697"/>
      <c r="K6385" s="841" t="s">
        <v>3112</v>
      </c>
      <c r="M6385" s="1357"/>
      <c r="Q6385" s="1357"/>
      <c r="S6385" s="1420"/>
      <c r="T6385" s="1420"/>
      <c r="V6385" s="1357">
        <v>280</v>
      </c>
    </row>
    <row r="6386" spans="1:22" s="841" customFormat="1" ht="15" x14ac:dyDescent="0.25">
      <c r="A6386" s="841" t="s">
        <v>2278</v>
      </c>
      <c r="E6386" s="1689" t="s">
        <v>3064</v>
      </c>
      <c r="F6386" s="1697"/>
      <c r="G6386" s="1697"/>
      <c r="H6386" s="1697"/>
      <c r="K6386" s="841" t="s">
        <v>3112</v>
      </c>
      <c r="M6386" s="1357"/>
      <c r="Q6386" s="1357"/>
      <c r="S6386" s="1420"/>
      <c r="T6386" s="1420"/>
      <c r="V6386" s="1357">
        <v>411</v>
      </c>
    </row>
    <row r="6387" spans="1:22" s="841" customFormat="1" ht="15" x14ac:dyDescent="0.25">
      <c r="A6387" s="841" t="s">
        <v>2278</v>
      </c>
      <c r="E6387" s="1689" t="s">
        <v>3199</v>
      </c>
      <c r="F6387" s="1697"/>
      <c r="G6387" s="1697"/>
      <c r="H6387" s="1697"/>
      <c r="K6387" s="841" t="s">
        <v>3112</v>
      </c>
      <c r="M6387" s="1357"/>
      <c r="Q6387" s="1357"/>
      <c r="S6387" s="1420"/>
      <c r="T6387" s="1420"/>
      <c r="V6387" s="1357">
        <v>386</v>
      </c>
    </row>
    <row r="6388" spans="1:22" s="841" customFormat="1" ht="15" x14ac:dyDescent="0.25">
      <c r="A6388" s="841" t="s">
        <v>2278</v>
      </c>
      <c r="E6388" s="1689" t="s">
        <v>3200</v>
      </c>
      <c r="F6388" s="1697"/>
      <c r="G6388" s="1697"/>
      <c r="H6388" s="1697"/>
      <c r="K6388" s="841" t="s">
        <v>3112</v>
      </c>
      <c r="M6388" s="1357"/>
      <c r="Q6388" s="1357"/>
      <c r="S6388" s="1420"/>
      <c r="T6388" s="1420"/>
      <c r="V6388" s="1357">
        <v>275</v>
      </c>
    </row>
    <row r="6389" spans="1:22" s="841" customFormat="1" ht="15" x14ac:dyDescent="0.25">
      <c r="A6389" s="841" t="s">
        <v>2278</v>
      </c>
      <c r="E6389" s="1694" t="s">
        <v>3067</v>
      </c>
      <c r="F6389" s="1907"/>
      <c r="G6389" s="1907"/>
      <c r="H6389" s="1907"/>
      <c r="K6389" s="841" t="s">
        <v>3115</v>
      </c>
      <c r="M6389" s="1357"/>
      <c r="Q6389" s="1357"/>
      <c r="S6389" s="1420"/>
      <c r="T6389" s="1420"/>
      <c r="V6389" s="1357">
        <v>46</v>
      </c>
    </row>
    <row r="6390" spans="1:22" s="841" customFormat="1" ht="15" x14ac:dyDescent="0.25">
      <c r="A6390" s="841" t="s">
        <v>2278</v>
      </c>
      <c r="E6390" s="1690" t="s">
        <v>12</v>
      </c>
      <c r="F6390" s="1690"/>
      <c r="G6390" s="1408" t="s">
        <v>23</v>
      </c>
      <c r="H6390" s="391">
        <v>4.1399999999999997</v>
      </c>
      <c r="K6390" s="841" t="s">
        <v>3112</v>
      </c>
      <c r="L6390" s="841" t="s">
        <v>442</v>
      </c>
      <c r="M6390" s="1357"/>
      <c r="P6390" s="841" t="s">
        <v>3116</v>
      </c>
      <c r="Q6390" s="1357"/>
      <c r="S6390" s="1420"/>
      <c r="T6390" s="1420"/>
      <c r="V6390" s="1357">
        <v>31</v>
      </c>
    </row>
    <row r="6391" spans="1:22" s="841" customFormat="1" ht="15" x14ac:dyDescent="0.25">
      <c r="A6391" s="841" t="s">
        <v>2278</v>
      </c>
      <c r="E6391" s="1690" t="s">
        <v>5582</v>
      </c>
      <c r="F6391" s="1690"/>
      <c r="G6391" s="1408" t="s">
        <v>23</v>
      </c>
      <c r="H6391" s="391">
        <v>-1.1000000000000001</v>
      </c>
      <c r="K6391" s="841" t="s">
        <v>3112</v>
      </c>
      <c r="L6391" s="841" t="s">
        <v>442</v>
      </c>
      <c r="M6391" s="1357"/>
      <c r="P6391" s="841" t="s">
        <v>6329</v>
      </c>
      <c r="Q6391" s="1357"/>
      <c r="S6391" s="1420"/>
      <c r="T6391" s="1420">
        <v>43465</v>
      </c>
      <c r="V6391" s="1357">
        <v>79</v>
      </c>
    </row>
    <row r="6392" spans="1:22" s="841" customFormat="1" ht="15" x14ac:dyDescent="0.25">
      <c r="A6392" s="841" t="s">
        <v>2278</v>
      </c>
      <c r="E6392" s="1690" t="s">
        <v>84</v>
      </c>
      <c r="F6392" s="1690"/>
      <c r="G6392" s="1408" t="s">
        <v>33</v>
      </c>
      <c r="H6392" s="393">
        <v>28.617999999999999</v>
      </c>
      <c r="K6392" s="841" t="s">
        <v>3112</v>
      </c>
      <c r="L6392" s="841" t="s">
        <v>442</v>
      </c>
      <c r="M6392" s="1357"/>
      <c r="P6392" s="841" t="s">
        <v>3117</v>
      </c>
      <c r="Q6392" s="1357"/>
      <c r="S6392" s="1420"/>
      <c r="T6392" s="1420"/>
      <c r="V6392" s="1357">
        <v>28</v>
      </c>
    </row>
    <row r="6393" spans="1:22" s="841" customFormat="1" ht="15" x14ac:dyDescent="0.25">
      <c r="A6393" s="841" t="s">
        <v>2278</v>
      </c>
      <c r="E6393" s="1690" t="s">
        <v>18</v>
      </c>
      <c r="F6393" s="1690"/>
      <c r="G6393" s="1408" t="s">
        <v>33</v>
      </c>
      <c r="H6393" s="393">
        <v>0.70030000000000003</v>
      </c>
      <c r="K6393" s="841" t="s">
        <v>3112</v>
      </c>
      <c r="L6393" s="841" t="s">
        <v>443</v>
      </c>
      <c r="M6393" s="1357"/>
      <c r="P6393" s="841" t="s">
        <v>3497</v>
      </c>
      <c r="Q6393" s="1357"/>
      <c r="S6393" s="1420"/>
      <c r="T6393" s="1420"/>
      <c r="V6393" s="1357">
        <v>24</v>
      </c>
    </row>
    <row r="6394" spans="1:22" s="841" customFormat="1" ht="15" x14ac:dyDescent="0.25">
      <c r="A6394" s="841" t="s">
        <v>2278</v>
      </c>
      <c r="E6394" s="1690" t="s">
        <v>5615</v>
      </c>
      <c r="F6394" s="1908"/>
      <c r="G6394" s="1408" t="s">
        <v>33</v>
      </c>
      <c r="H6394" s="393">
        <v>0.59909999999999997</v>
      </c>
      <c r="K6394" s="841" t="s">
        <v>3112</v>
      </c>
      <c r="L6394" s="841" t="s">
        <v>443</v>
      </c>
      <c r="M6394" s="1357"/>
      <c r="P6394" s="841" t="s">
        <v>3118</v>
      </c>
      <c r="Q6394" s="1357"/>
      <c r="S6394" s="1420"/>
      <c r="T6394" s="1420">
        <v>43951</v>
      </c>
      <c r="V6394" s="1357">
        <v>96</v>
      </c>
    </row>
    <row r="6395" spans="1:22" s="841" customFormat="1" ht="15" x14ac:dyDescent="0.25">
      <c r="A6395" s="841" t="s">
        <v>2278</v>
      </c>
      <c r="E6395" s="1690" t="s">
        <v>5616</v>
      </c>
      <c r="F6395" s="1908"/>
      <c r="G6395" s="1408" t="s">
        <v>33</v>
      </c>
      <c r="H6395" s="393">
        <v>-0.39190000000000003</v>
      </c>
      <c r="K6395" s="841" t="s">
        <v>3112</v>
      </c>
      <c r="L6395" s="841" t="s">
        <v>443</v>
      </c>
      <c r="M6395" s="1357"/>
      <c r="P6395" s="841" t="s">
        <v>3118</v>
      </c>
      <c r="Q6395" s="1357"/>
      <c r="S6395" s="1420"/>
      <c r="T6395" s="1420">
        <v>43951</v>
      </c>
      <c r="V6395" s="1357">
        <v>152</v>
      </c>
    </row>
    <row r="6396" spans="1:22" s="841" customFormat="1" ht="15" x14ac:dyDescent="0.25">
      <c r="A6396" s="841" t="s">
        <v>2278</v>
      </c>
      <c r="E6396" s="1690" t="s">
        <v>5614</v>
      </c>
      <c r="F6396" s="1690"/>
      <c r="G6396" s="1408" t="s">
        <v>33</v>
      </c>
      <c r="H6396" s="393">
        <v>7.4499999999999997E-2</v>
      </c>
      <c r="K6396" s="841" t="s">
        <v>3112</v>
      </c>
      <c r="L6396" s="841" t="s">
        <v>442</v>
      </c>
      <c r="M6396" s="1357"/>
      <c r="P6396" s="841" t="s">
        <v>3118</v>
      </c>
      <c r="Q6396" s="1357"/>
      <c r="S6396" s="1420"/>
      <c r="T6396" s="1420">
        <v>43951</v>
      </c>
      <c r="V6396" s="1357">
        <v>104</v>
      </c>
    </row>
    <row r="6397" spans="1:22" s="841" customFormat="1" ht="15" x14ac:dyDescent="0.25">
      <c r="A6397" s="841" t="s">
        <v>2278</v>
      </c>
      <c r="E6397" s="1690" t="s">
        <v>5582</v>
      </c>
      <c r="F6397" s="1690"/>
      <c r="G6397" s="1408" t="s">
        <v>33</v>
      </c>
      <c r="H6397" s="393">
        <v>-7.5712999999999999</v>
      </c>
      <c r="K6397" s="841" t="s">
        <v>3112</v>
      </c>
      <c r="L6397" s="841" t="s">
        <v>442</v>
      </c>
      <c r="M6397" s="1357"/>
      <c r="P6397" s="841" t="s">
        <v>5635</v>
      </c>
      <c r="Q6397" s="1357"/>
      <c r="S6397" s="1420"/>
      <c r="T6397" s="1420">
        <v>43465</v>
      </c>
      <c r="V6397" s="1357">
        <v>79</v>
      </c>
    </row>
    <row r="6398" spans="1:22" s="841" customFormat="1" ht="15" x14ac:dyDescent="0.25">
      <c r="A6398" s="841" t="s">
        <v>2278</v>
      </c>
      <c r="E6398" s="1690" t="s">
        <v>221</v>
      </c>
      <c r="F6398" s="1690"/>
      <c r="G6398" s="1408" t="s">
        <v>33</v>
      </c>
      <c r="H6398" s="393">
        <v>1.8579000000000001</v>
      </c>
      <c r="K6398" s="841" t="s">
        <v>3112</v>
      </c>
      <c r="L6398" s="841" t="s">
        <v>444</v>
      </c>
      <c r="M6398" s="1357"/>
      <c r="P6398" s="841" t="s">
        <v>3120</v>
      </c>
      <c r="Q6398" s="1357"/>
      <c r="S6398" s="1420"/>
      <c r="T6398" s="1420"/>
      <c r="V6398" s="1357">
        <v>47</v>
      </c>
    </row>
    <row r="6399" spans="1:22" s="841" customFormat="1" ht="15" x14ac:dyDescent="0.25">
      <c r="A6399" s="841" t="s">
        <v>2278</v>
      </c>
      <c r="E6399" s="1690" t="s">
        <v>217</v>
      </c>
      <c r="F6399" s="1690"/>
      <c r="G6399" s="1408" t="s">
        <v>33</v>
      </c>
      <c r="H6399" s="393">
        <v>1.3895</v>
      </c>
      <c r="K6399" s="841" t="s">
        <v>3112</v>
      </c>
      <c r="L6399" s="841" t="s">
        <v>444</v>
      </c>
      <c r="M6399" s="1357"/>
      <c r="P6399" s="841" t="s">
        <v>3121</v>
      </c>
      <c r="Q6399" s="1357"/>
      <c r="S6399" s="1420"/>
      <c r="T6399" s="1420"/>
      <c r="V6399" s="1357">
        <v>74</v>
      </c>
    </row>
    <row r="6400" spans="1:22" s="841" customFormat="1" ht="15" x14ac:dyDescent="0.25">
      <c r="A6400" s="841" t="s">
        <v>2278</v>
      </c>
      <c r="E6400" s="1694" t="s">
        <v>3079</v>
      </c>
      <c r="F6400" s="1690"/>
      <c r="G6400" s="1408"/>
      <c r="H6400" s="394"/>
      <c r="K6400" s="841" t="s">
        <v>3122</v>
      </c>
      <c r="M6400" s="1357"/>
      <c r="Q6400" s="1357"/>
      <c r="S6400" s="1420"/>
      <c r="T6400" s="1420"/>
      <c r="V6400" s="1357">
        <v>48</v>
      </c>
    </row>
    <row r="6401" spans="1:22" s="841" customFormat="1" ht="15" x14ac:dyDescent="0.25">
      <c r="A6401" s="841" t="s">
        <v>2278</v>
      </c>
      <c r="E6401" s="1690" t="s">
        <v>2449</v>
      </c>
      <c r="F6401" s="1690"/>
      <c r="G6401" s="1408" t="s">
        <v>24</v>
      </c>
      <c r="H6401" s="393">
        <v>3.2000000000000002E-3</v>
      </c>
      <c r="K6401" s="841" t="s">
        <v>3112</v>
      </c>
      <c r="L6401" s="841" t="s">
        <v>3046</v>
      </c>
      <c r="M6401" s="1357"/>
      <c r="P6401" s="841" t="s">
        <v>3123</v>
      </c>
      <c r="Q6401" s="1357"/>
      <c r="S6401" s="1420"/>
      <c r="T6401" s="1420"/>
      <c r="V6401" s="1357">
        <v>55</v>
      </c>
    </row>
    <row r="6402" spans="1:22" s="841" customFormat="1" ht="23.25" x14ac:dyDescent="0.25">
      <c r="A6402" s="841" t="s">
        <v>2278</v>
      </c>
      <c r="E6402" s="1365" t="s">
        <v>3211</v>
      </c>
      <c r="F6402" s="1365"/>
      <c r="G6402" s="1408" t="s">
        <v>24</v>
      </c>
      <c r="H6402" s="393">
        <v>4.0000000000000002E-4</v>
      </c>
      <c r="K6402" s="841" t="s">
        <v>3112</v>
      </c>
      <c r="L6402" s="841" t="s">
        <v>3046</v>
      </c>
      <c r="M6402" s="1357"/>
      <c r="P6402" s="841" t="s">
        <v>3123</v>
      </c>
      <c r="Q6402" s="1357"/>
      <c r="S6402" s="1420"/>
      <c r="T6402" s="1420"/>
      <c r="V6402" s="1357">
        <v>64</v>
      </c>
    </row>
    <row r="6403" spans="1:22" s="841" customFormat="1" ht="15" x14ac:dyDescent="0.25">
      <c r="A6403" s="841" t="s">
        <v>2278</v>
      </c>
      <c r="E6403" s="1690" t="s">
        <v>439</v>
      </c>
      <c r="F6403" s="1690"/>
      <c r="G6403" s="1408" t="s">
        <v>24</v>
      </c>
      <c r="H6403" s="393">
        <v>2.9999999999999997E-4</v>
      </c>
      <c r="K6403" s="841" t="s">
        <v>3112</v>
      </c>
      <c r="L6403" s="841" t="s">
        <v>3046</v>
      </c>
      <c r="M6403" s="1357"/>
      <c r="P6403" s="841" t="s">
        <v>3124</v>
      </c>
      <c r="Q6403" s="1357"/>
      <c r="S6403" s="1420"/>
      <c r="T6403" s="1420"/>
      <c r="V6403" s="1357">
        <v>57</v>
      </c>
    </row>
    <row r="6404" spans="1:22" s="841" customFormat="1" ht="15" x14ac:dyDescent="0.25">
      <c r="A6404" s="841" t="s">
        <v>2278</v>
      </c>
      <c r="E6404" s="1690" t="s">
        <v>32</v>
      </c>
      <c r="F6404" s="1690"/>
      <c r="G6404" s="1408" t="s">
        <v>23</v>
      </c>
      <c r="H6404" s="391">
        <v>0.25</v>
      </c>
      <c r="K6404" s="841" t="s">
        <v>3112</v>
      </c>
      <c r="L6404" s="841" t="s">
        <v>3046</v>
      </c>
      <c r="M6404" s="1357"/>
      <c r="P6404" s="841" t="s">
        <v>3125</v>
      </c>
      <c r="Q6404" s="1357"/>
      <c r="S6404" s="1420"/>
      <c r="T6404" s="1420"/>
      <c r="V6404" s="1357">
        <v>63</v>
      </c>
    </row>
    <row r="6405" spans="1:22" s="841" customFormat="1" ht="15" x14ac:dyDescent="0.25">
      <c r="A6405" s="841" t="s">
        <v>2278</v>
      </c>
      <c r="E6405" s="1909" t="s">
        <v>618</v>
      </c>
      <c r="F6405" s="1697"/>
      <c r="G6405" s="1697"/>
      <c r="H6405" s="1697"/>
      <c r="K6405" s="841" t="s">
        <v>3126</v>
      </c>
      <c r="M6405" s="1357"/>
      <c r="Q6405" s="1357"/>
      <c r="S6405" s="1420"/>
      <c r="T6405" s="1420"/>
      <c r="V6405" s="1357">
        <v>31</v>
      </c>
    </row>
    <row r="6406" spans="1:22" s="841" customFormat="1" ht="15" x14ac:dyDescent="0.25">
      <c r="A6406" s="841" t="s">
        <v>2278</v>
      </c>
      <c r="E6406" s="1689" t="s">
        <v>4740</v>
      </c>
      <c r="F6406" s="1697"/>
      <c r="G6406" s="1697"/>
      <c r="H6406" s="1697"/>
      <c r="K6406" s="841" t="s">
        <v>3126</v>
      </c>
      <c r="M6406" s="1357"/>
      <c r="Q6406" s="1357"/>
      <c r="S6406" s="1420"/>
      <c r="T6406" s="1420"/>
      <c r="V6406" s="1357">
        <v>201</v>
      </c>
    </row>
    <row r="6407" spans="1:22" s="841" customFormat="1" ht="15" x14ac:dyDescent="0.25">
      <c r="A6407" s="841" t="s">
        <v>2278</v>
      </c>
      <c r="E6407" s="1916" t="s">
        <v>3061</v>
      </c>
      <c r="F6407" s="1697"/>
      <c r="G6407" s="1697"/>
      <c r="H6407" s="1697"/>
      <c r="K6407" s="841" t="s">
        <v>3128</v>
      </c>
      <c r="M6407" s="1357"/>
      <c r="Q6407" s="1357"/>
      <c r="S6407" s="1420"/>
      <c r="T6407" s="1420"/>
      <c r="V6407" s="1357">
        <v>11</v>
      </c>
    </row>
    <row r="6408" spans="1:22" s="841" customFormat="1" ht="15" x14ac:dyDescent="0.25">
      <c r="A6408" s="841" t="s">
        <v>2278</v>
      </c>
      <c r="E6408" s="1689" t="s">
        <v>3063</v>
      </c>
      <c r="F6408" s="1697"/>
      <c r="G6408" s="1697"/>
      <c r="H6408" s="1697"/>
      <c r="K6408" s="841" t="s">
        <v>3126</v>
      </c>
      <c r="M6408" s="1357"/>
      <c r="Q6408" s="1357"/>
      <c r="S6408" s="1420"/>
      <c r="T6408" s="1420"/>
      <c r="V6408" s="1357">
        <v>280</v>
      </c>
    </row>
    <row r="6409" spans="1:22" s="841" customFormat="1" ht="15" x14ac:dyDescent="0.25">
      <c r="A6409" s="841" t="s">
        <v>2278</v>
      </c>
      <c r="E6409" s="1689" t="s">
        <v>3064</v>
      </c>
      <c r="F6409" s="1697"/>
      <c r="G6409" s="1697"/>
      <c r="H6409" s="1697"/>
      <c r="K6409" s="841" t="s">
        <v>3126</v>
      </c>
      <c r="M6409" s="1357"/>
      <c r="Q6409" s="1357"/>
      <c r="S6409" s="1420"/>
      <c r="T6409" s="1420"/>
      <c r="V6409" s="1357">
        <v>411</v>
      </c>
    </row>
    <row r="6410" spans="1:22" s="841" customFormat="1" ht="15" x14ac:dyDescent="0.25">
      <c r="A6410" s="841" t="s">
        <v>2278</v>
      </c>
      <c r="E6410" s="1689" t="s">
        <v>3129</v>
      </c>
      <c r="F6410" s="1697"/>
      <c r="G6410" s="1697"/>
      <c r="H6410" s="1697"/>
      <c r="K6410" s="841" t="s">
        <v>3126</v>
      </c>
      <c r="M6410" s="1357"/>
      <c r="Q6410" s="1357"/>
      <c r="S6410" s="1420"/>
      <c r="T6410" s="1420"/>
      <c r="V6410" s="1357">
        <v>211</v>
      </c>
    </row>
    <row r="6411" spans="1:22" s="841" customFormat="1" ht="15" x14ac:dyDescent="0.25">
      <c r="A6411" s="841" t="s">
        <v>2278</v>
      </c>
      <c r="E6411" s="1689" t="s">
        <v>3200</v>
      </c>
      <c r="F6411" s="1697"/>
      <c r="G6411" s="1697"/>
      <c r="H6411" s="1697"/>
      <c r="K6411" s="841" t="s">
        <v>3126</v>
      </c>
      <c r="M6411" s="1357"/>
      <c r="Q6411" s="1357"/>
      <c r="S6411" s="1420"/>
      <c r="T6411" s="1420"/>
      <c r="V6411" s="1357">
        <v>275</v>
      </c>
    </row>
    <row r="6412" spans="1:22" s="841" customFormat="1" ht="15" x14ac:dyDescent="0.25">
      <c r="A6412" s="841" t="s">
        <v>2278</v>
      </c>
      <c r="E6412" s="1694" t="s">
        <v>3067</v>
      </c>
      <c r="F6412" s="1907"/>
      <c r="G6412" s="1907"/>
      <c r="H6412" s="1907"/>
      <c r="K6412" s="841" t="s">
        <v>3130</v>
      </c>
      <c r="M6412" s="1357"/>
      <c r="Q6412" s="1357"/>
      <c r="S6412" s="1420"/>
      <c r="T6412" s="1420"/>
      <c r="V6412" s="1357">
        <v>46</v>
      </c>
    </row>
    <row r="6413" spans="1:22" s="841" customFormat="1" ht="15" x14ac:dyDescent="0.25">
      <c r="A6413" s="841" t="s">
        <v>2278</v>
      </c>
      <c r="E6413" s="1690" t="s">
        <v>11</v>
      </c>
      <c r="F6413" s="1690"/>
      <c r="G6413" s="1408" t="s">
        <v>23</v>
      </c>
      <c r="H6413" s="391">
        <v>5.4</v>
      </c>
      <c r="K6413" s="841" t="s">
        <v>3126</v>
      </c>
      <c r="L6413" s="841" t="s">
        <v>442</v>
      </c>
      <c r="M6413" s="1357"/>
      <c r="P6413" s="841" t="s">
        <v>3131</v>
      </c>
      <c r="Q6413" s="1357"/>
      <c r="S6413" s="1420"/>
      <c r="T6413" s="1420"/>
      <c r="V6413" s="1357">
        <v>14</v>
      </c>
    </row>
    <row r="6414" spans="1:22" s="841" customFormat="1" x14ac:dyDescent="0.25">
      <c r="A6414" s="841" t="s">
        <v>2278</v>
      </c>
      <c r="E6414" s="1404" t="s">
        <v>85</v>
      </c>
      <c r="F6414" s="629"/>
      <c r="G6414" s="629"/>
      <c r="H6414" s="630"/>
      <c r="K6414" s="841" t="s">
        <v>4741</v>
      </c>
      <c r="M6414" s="1357"/>
      <c r="Q6414" s="1357"/>
      <c r="S6414" s="1420"/>
      <c r="T6414" s="1420"/>
      <c r="V6414" s="1357">
        <v>10</v>
      </c>
    </row>
    <row r="6415" spans="1:22" s="841" customFormat="1" ht="15" x14ac:dyDescent="0.25">
      <c r="A6415" s="841" t="s">
        <v>2278</v>
      </c>
      <c r="E6415" s="1690" t="s">
        <v>3133</v>
      </c>
      <c r="F6415" s="1690"/>
      <c r="G6415" s="1408" t="s">
        <v>33</v>
      </c>
      <c r="H6415" s="604">
        <v>-0.6</v>
      </c>
      <c r="M6415" s="1357"/>
      <c r="Q6415" s="1357"/>
      <c r="S6415" s="1420"/>
      <c r="T6415" s="1420"/>
      <c r="V6415" s="1357">
        <v>68</v>
      </c>
    </row>
    <row r="6416" spans="1:22" s="841" customFormat="1" ht="15" x14ac:dyDescent="0.25">
      <c r="A6416" s="841" t="s">
        <v>2278</v>
      </c>
      <c r="E6416" s="1690" t="s">
        <v>5273</v>
      </c>
      <c r="F6416" s="1690"/>
      <c r="G6416" s="1408" t="s">
        <v>86</v>
      </c>
      <c r="H6416" s="602">
        <v>-1</v>
      </c>
      <c r="M6416" s="1357"/>
      <c r="Q6416" s="1357"/>
      <c r="S6416" s="1420"/>
      <c r="T6416" s="1420"/>
      <c r="V6416" s="1357">
        <v>89</v>
      </c>
    </row>
    <row r="6417" spans="1:22" s="841" customFormat="1" ht="36" x14ac:dyDescent="0.25">
      <c r="A6417" s="841" t="s">
        <v>2278</v>
      </c>
      <c r="E6417" s="1374" t="s">
        <v>87</v>
      </c>
      <c r="F6417" s="629"/>
      <c r="G6417" s="629"/>
      <c r="H6417" s="630"/>
      <c r="K6417" s="841" t="s">
        <v>4742</v>
      </c>
      <c r="M6417" s="1357"/>
      <c r="Q6417" s="1357"/>
      <c r="S6417" s="1420"/>
      <c r="T6417" s="1420"/>
      <c r="V6417" s="1357">
        <v>24</v>
      </c>
    </row>
    <row r="6418" spans="1:22" s="841" customFormat="1" ht="15" x14ac:dyDescent="0.25">
      <c r="A6418" s="841" t="s">
        <v>2278</v>
      </c>
      <c r="E6418" s="1689" t="s">
        <v>3063</v>
      </c>
      <c r="F6418" s="1689"/>
      <c r="G6418" s="1689"/>
      <c r="H6418" s="1689"/>
      <c r="M6418" s="1357"/>
      <c r="Q6418" s="1357"/>
      <c r="S6418" s="1420"/>
      <c r="T6418" s="1420"/>
      <c r="V6418" s="1357">
        <v>280</v>
      </c>
    </row>
    <row r="6419" spans="1:22" s="841" customFormat="1" ht="15" x14ac:dyDescent="0.25">
      <c r="A6419" s="841" t="s">
        <v>2278</v>
      </c>
      <c r="E6419" s="1689" t="s">
        <v>3136</v>
      </c>
      <c r="F6419" s="1689"/>
      <c r="G6419" s="1689"/>
      <c r="H6419" s="1689"/>
      <c r="M6419" s="1357"/>
      <c r="Q6419" s="1357"/>
      <c r="S6419" s="1420"/>
      <c r="T6419" s="1420"/>
      <c r="V6419" s="1357">
        <v>353</v>
      </c>
    </row>
    <row r="6420" spans="1:22" s="841" customFormat="1" ht="15" x14ac:dyDescent="0.25">
      <c r="A6420" s="841" t="s">
        <v>2278</v>
      </c>
      <c r="E6420" s="1689" t="s">
        <v>3200</v>
      </c>
      <c r="F6420" s="1697"/>
      <c r="G6420" s="1697"/>
      <c r="H6420" s="1697"/>
      <c r="M6420" s="1357"/>
      <c r="Q6420" s="1357"/>
      <c r="S6420" s="1420"/>
      <c r="T6420" s="1420"/>
      <c r="V6420" s="1357">
        <v>275</v>
      </c>
    </row>
    <row r="6421" spans="1:22" s="841" customFormat="1" ht="15" x14ac:dyDescent="0.25">
      <c r="A6421" s="841" t="s">
        <v>2278</v>
      </c>
      <c r="E6421" s="1370" t="s">
        <v>3137</v>
      </c>
      <c r="F6421" s="629"/>
      <c r="G6421" s="629"/>
      <c r="H6421" s="630"/>
      <c r="K6421" s="841" t="s">
        <v>4743</v>
      </c>
      <c r="M6421" s="1357"/>
      <c r="Q6421" s="1357"/>
      <c r="S6421" s="1420"/>
      <c r="T6421" s="1420"/>
      <c r="V6421" s="1357">
        <v>23</v>
      </c>
    </row>
    <row r="6422" spans="1:22" s="841" customFormat="1" ht="15" x14ac:dyDescent="0.25">
      <c r="A6422" s="841" t="s">
        <v>2278</v>
      </c>
      <c r="E6422" s="1688" t="s">
        <v>3355</v>
      </c>
      <c r="F6422" s="1688"/>
      <c r="G6422" s="1408" t="s">
        <v>23</v>
      </c>
      <c r="H6422" s="391">
        <v>15</v>
      </c>
      <c r="M6422" s="1357"/>
      <c r="Q6422" s="1357"/>
      <c r="S6422" s="1420"/>
      <c r="T6422" s="1420"/>
      <c r="V6422" s="1357">
        <v>19</v>
      </c>
    </row>
    <row r="6423" spans="1:22" s="841" customFormat="1" ht="15" x14ac:dyDescent="0.25">
      <c r="A6423" s="841" t="s">
        <v>2278</v>
      </c>
      <c r="E6423" s="1688" t="s">
        <v>4770</v>
      </c>
      <c r="F6423" s="1688"/>
      <c r="G6423" s="1408" t="s">
        <v>23</v>
      </c>
      <c r="H6423" s="391">
        <v>15</v>
      </c>
      <c r="M6423" s="1357"/>
      <c r="Q6423" s="1357"/>
      <c r="S6423" s="1420"/>
      <c r="T6423" s="1420"/>
      <c r="V6423" s="1357">
        <v>15</v>
      </c>
    </row>
    <row r="6424" spans="1:22" s="841" customFormat="1" ht="15" x14ac:dyDescent="0.25">
      <c r="A6424" s="841" t="s">
        <v>2278</v>
      </c>
      <c r="E6424" s="1688" t="s">
        <v>3148</v>
      </c>
      <c r="F6424" s="1688"/>
      <c r="G6424" s="1408" t="s">
        <v>23</v>
      </c>
      <c r="H6424" s="391">
        <v>15</v>
      </c>
      <c r="M6424" s="1357"/>
      <c r="Q6424" s="1357"/>
      <c r="S6424" s="1420"/>
      <c r="T6424" s="1420"/>
      <c r="V6424" s="1357">
        <v>56</v>
      </c>
    </row>
    <row r="6425" spans="1:22" s="841" customFormat="1" ht="15" x14ac:dyDescent="0.25">
      <c r="A6425" s="841" t="s">
        <v>2278</v>
      </c>
      <c r="E6425" s="1688" t="s">
        <v>88</v>
      </c>
      <c r="F6425" s="1688"/>
      <c r="G6425" s="1408" t="s">
        <v>23</v>
      </c>
      <c r="H6425" s="391">
        <v>30</v>
      </c>
      <c r="M6425" s="1357"/>
      <c r="Q6425" s="1357"/>
      <c r="S6425" s="1420"/>
      <c r="T6425" s="1420"/>
      <c r="V6425" s="1357">
        <v>89</v>
      </c>
    </row>
    <row r="6426" spans="1:22" s="841" customFormat="1" ht="15" x14ac:dyDescent="0.25">
      <c r="A6426" s="841" t="s">
        <v>2278</v>
      </c>
      <c r="E6426" s="1688" t="s">
        <v>123</v>
      </c>
      <c r="F6426" s="1688"/>
      <c r="G6426" s="1408" t="s">
        <v>23</v>
      </c>
      <c r="H6426" s="391">
        <v>15</v>
      </c>
      <c r="M6426" s="1357"/>
      <c r="Q6426" s="1357"/>
      <c r="S6426" s="1420"/>
      <c r="T6426" s="1420"/>
      <c r="V6426" s="1357">
        <v>35</v>
      </c>
    </row>
    <row r="6427" spans="1:22" s="841" customFormat="1" ht="15" x14ac:dyDescent="0.25">
      <c r="A6427" s="841" t="s">
        <v>2278</v>
      </c>
      <c r="E6427" s="1688" t="s">
        <v>92</v>
      </c>
      <c r="F6427" s="1688"/>
      <c r="G6427" s="1408" t="s">
        <v>23</v>
      </c>
      <c r="H6427" s="391">
        <v>30</v>
      </c>
      <c r="M6427" s="1357"/>
      <c r="Q6427" s="1357"/>
      <c r="S6427" s="1420"/>
      <c r="T6427" s="1420"/>
      <c r="V6427" s="1357">
        <v>74</v>
      </c>
    </row>
    <row r="6428" spans="1:22" s="841" customFormat="1" ht="15" x14ac:dyDescent="0.25">
      <c r="A6428" s="841" t="s">
        <v>2278</v>
      </c>
      <c r="E6428" s="1370" t="s">
        <v>3152</v>
      </c>
      <c r="F6428" s="629"/>
      <c r="G6428" s="629"/>
      <c r="H6428" s="630"/>
      <c r="K6428" s="841" t="s">
        <v>4744</v>
      </c>
      <c r="M6428" s="1357"/>
      <c r="Q6428" s="1357"/>
      <c r="S6428" s="1420"/>
      <c r="T6428" s="1420"/>
      <c r="V6428" s="1357">
        <v>22</v>
      </c>
    </row>
    <row r="6429" spans="1:22" s="841" customFormat="1" ht="15" x14ac:dyDescent="0.25">
      <c r="A6429" s="841" t="s">
        <v>2278</v>
      </c>
      <c r="E6429" s="1688" t="s">
        <v>5137</v>
      </c>
      <c r="F6429" s="1688"/>
      <c r="G6429" s="1408" t="s">
        <v>86</v>
      </c>
      <c r="H6429" s="391">
        <v>1.5</v>
      </c>
      <c r="M6429" s="1357"/>
      <c r="Q6429" s="1357"/>
      <c r="S6429" s="1420"/>
      <c r="T6429" s="1420"/>
      <c r="V6429" s="1357">
        <v>24</v>
      </c>
    </row>
    <row r="6430" spans="1:22" s="841" customFormat="1" ht="15" x14ac:dyDescent="0.25">
      <c r="A6430" s="841" t="s">
        <v>2278</v>
      </c>
      <c r="E6430" s="1688" t="s">
        <v>4772</v>
      </c>
      <c r="F6430" s="1688"/>
      <c r="G6430" s="1408" t="s">
        <v>86</v>
      </c>
      <c r="H6430" s="391">
        <v>19.559999999999999</v>
      </c>
      <c r="M6430" s="1357"/>
      <c r="Q6430" s="1357"/>
      <c r="S6430" s="1420"/>
      <c r="T6430" s="1420"/>
      <c r="V6430" s="1357">
        <v>24</v>
      </c>
    </row>
    <row r="6431" spans="1:22" s="841" customFormat="1" ht="15" x14ac:dyDescent="0.25">
      <c r="A6431" s="841" t="s">
        <v>2278</v>
      </c>
      <c r="E6431" s="1688" t="s">
        <v>3288</v>
      </c>
      <c r="F6431" s="1688"/>
      <c r="G6431" s="1408" t="s">
        <v>23</v>
      </c>
      <c r="H6431" s="391">
        <v>15</v>
      </c>
      <c r="M6431" s="1357"/>
      <c r="Q6431" s="1357"/>
      <c r="S6431" s="1420"/>
      <c r="T6431" s="1420"/>
      <c r="V6431" s="1357">
        <v>47</v>
      </c>
    </row>
    <row r="6432" spans="1:22" s="841" customFormat="1" ht="15" x14ac:dyDescent="0.25">
      <c r="A6432" s="841" t="s">
        <v>2278</v>
      </c>
      <c r="E6432" s="1688" t="s">
        <v>3157</v>
      </c>
      <c r="F6432" s="1688"/>
      <c r="G6432" s="1408" t="s">
        <v>23</v>
      </c>
      <c r="H6432" s="391">
        <v>165</v>
      </c>
      <c r="M6432" s="1357"/>
      <c r="Q6432" s="1357"/>
      <c r="S6432" s="1420"/>
      <c r="T6432" s="1420"/>
      <c r="V6432" s="1357">
        <v>69</v>
      </c>
    </row>
    <row r="6433" spans="1:22" s="841" customFormat="1" ht="15" x14ac:dyDescent="0.25">
      <c r="A6433" s="841" t="s">
        <v>2278</v>
      </c>
      <c r="E6433" s="1688" t="s">
        <v>5623</v>
      </c>
      <c r="F6433" s="1688"/>
      <c r="G6433" s="1408" t="s">
        <v>23</v>
      </c>
      <c r="H6433" s="391">
        <v>65</v>
      </c>
      <c r="M6433" s="1357"/>
      <c r="Q6433" s="1357"/>
      <c r="S6433" s="1420"/>
      <c r="T6433" s="1420"/>
      <c r="V6433" s="1357">
        <v>61</v>
      </c>
    </row>
    <row r="6434" spans="1:22" s="841" customFormat="1" ht="15" x14ac:dyDescent="0.25">
      <c r="A6434" s="841" t="s">
        <v>2278</v>
      </c>
      <c r="E6434" s="1688" t="s">
        <v>4774</v>
      </c>
      <c r="F6434" s="1688"/>
      <c r="G6434" s="1408" t="s">
        <v>23</v>
      </c>
      <c r="H6434" s="391">
        <v>185</v>
      </c>
      <c r="M6434" s="1357"/>
      <c r="Q6434" s="1357"/>
      <c r="S6434" s="1420"/>
      <c r="T6434" s="1420"/>
      <c r="V6434" s="1357">
        <v>51</v>
      </c>
    </row>
    <row r="6435" spans="1:22" s="841" customFormat="1" ht="15" x14ac:dyDescent="0.25">
      <c r="A6435" s="841" t="s">
        <v>2278</v>
      </c>
      <c r="E6435" s="1688" t="s">
        <v>4775</v>
      </c>
      <c r="F6435" s="1688"/>
      <c r="G6435" s="1408" t="s">
        <v>23</v>
      </c>
      <c r="H6435" s="391">
        <v>185</v>
      </c>
      <c r="M6435" s="1357"/>
      <c r="Q6435" s="1357"/>
      <c r="S6435" s="1420"/>
      <c r="T6435" s="1420"/>
      <c r="V6435" s="1357">
        <v>51</v>
      </c>
    </row>
    <row r="6436" spans="1:22" s="841" customFormat="1" ht="15" x14ac:dyDescent="0.25">
      <c r="A6436" s="841" t="s">
        <v>2278</v>
      </c>
      <c r="E6436" s="1688" t="s">
        <v>4776</v>
      </c>
      <c r="F6436" s="1688"/>
      <c r="G6436" s="1408" t="s">
        <v>23</v>
      </c>
      <c r="H6436" s="391">
        <v>415</v>
      </c>
      <c r="M6436" s="1357"/>
      <c r="Q6436" s="1357"/>
      <c r="S6436" s="1420"/>
      <c r="T6436" s="1420"/>
      <c r="V6436" s="1357">
        <v>50</v>
      </c>
    </row>
    <row r="6437" spans="1:22" s="841" customFormat="1" ht="15" x14ac:dyDescent="0.25">
      <c r="A6437" s="841" t="s">
        <v>2278</v>
      </c>
      <c r="E6437" s="1688" t="s">
        <v>4777</v>
      </c>
      <c r="F6437" s="1688"/>
      <c r="G6437" s="1408" t="s">
        <v>23</v>
      </c>
      <c r="H6437" s="391">
        <v>40</v>
      </c>
      <c r="M6437" s="1357"/>
      <c r="Q6437" s="1357"/>
      <c r="S6437" s="1420"/>
      <c r="T6437" s="1420"/>
      <c r="V6437" s="1357">
        <v>57</v>
      </c>
    </row>
    <row r="6438" spans="1:22" s="841" customFormat="1" ht="15" x14ac:dyDescent="0.25">
      <c r="A6438" s="841" t="s">
        <v>2278</v>
      </c>
      <c r="E6438" s="1688" t="s">
        <v>4778</v>
      </c>
      <c r="F6438" s="1688"/>
      <c r="G6438" s="1408" t="s">
        <v>23</v>
      </c>
      <c r="H6438" s="391">
        <v>185</v>
      </c>
      <c r="M6438" s="1357"/>
      <c r="Q6438" s="1357"/>
      <c r="S6438" s="1420"/>
      <c r="T6438" s="1420"/>
      <c r="V6438" s="1357">
        <v>56</v>
      </c>
    </row>
    <row r="6439" spans="1:22" s="841" customFormat="1" ht="15" x14ac:dyDescent="0.25">
      <c r="A6439" s="841" t="s">
        <v>2278</v>
      </c>
      <c r="E6439" s="1370" t="s">
        <v>3164</v>
      </c>
      <c r="F6439" s="1395"/>
      <c r="G6439" s="1395"/>
      <c r="H6439" s="920"/>
      <c r="M6439" s="1357"/>
      <c r="Q6439" s="1357"/>
      <c r="S6439" s="1420"/>
      <c r="T6439" s="1420"/>
      <c r="V6439" s="1357">
        <v>5</v>
      </c>
    </row>
    <row r="6440" spans="1:22" s="841" customFormat="1" ht="15" x14ac:dyDescent="0.25">
      <c r="A6440" s="841" t="s">
        <v>2278</v>
      </c>
      <c r="E6440" s="1688" t="s">
        <v>94</v>
      </c>
      <c r="F6440" s="1688"/>
      <c r="G6440" s="1408" t="s">
        <v>23</v>
      </c>
      <c r="H6440" s="391">
        <v>30</v>
      </c>
      <c r="M6440" s="1357"/>
      <c r="Q6440" s="1357"/>
      <c r="S6440" s="1420"/>
      <c r="T6440" s="1420"/>
      <c r="V6440" s="1357">
        <v>19</v>
      </c>
    </row>
    <row r="6441" spans="1:22" s="841" customFormat="1" ht="15" x14ac:dyDescent="0.25">
      <c r="A6441" s="841" t="s">
        <v>2278</v>
      </c>
      <c r="E6441" s="1688" t="s">
        <v>3434</v>
      </c>
      <c r="F6441" s="1688"/>
      <c r="G6441" s="1408" t="s">
        <v>23</v>
      </c>
      <c r="H6441" s="391">
        <v>632</v>
      </c>
      <c r="M6441" s="1357"/>
      <c r="Q6441" s="1357"/>
      <c r="S6441" s="1420"/>
      <c r="T6441" s="1420"/>
      <c r="V6441" s="1357">
        <v>64</v>
      </c>
    </row>
    <row r="6442" spans="1:22" s="841" customFormat="1" ht="15" x14ac:dyDescent="0.25">
      <c r="A6442" s="841" t="s">
        <v>2278</v>
      </c>
      <c r="E6442" s="1688" t="s">
        <v>3500</v>
      </c>
      <c r="F6442" s="1688"/>
      <c r="G6442" s="1408" t="s">
        <v>23</v>
      </c>
      <c r="H6442" s="391">
        <v>468</v>
      </c>
      <c r="M6442" s="1357"/>
      <c r="Q6442" s="1357"/>
      <c r="S6442" s="1420"/>
      <c r="T6442" s="1420"/>
      <c r="V6442" s="1357">
        <v>75</v>
      </c>
    </row>
    <row r="6443" spans="1:22" s="841" customFormat="1" ht="15" x14ac:dyDescent="0.25">
      <c r="A6443" s="841" t="s">
        <v>2278</v>
      </c>
      <c r="E6443" s="1688" t="s">
        <v>3501</v>
      </c>
      <c r="F6443" s="1688"/>
      <c r="G6443" s="1408" t="s">
        <v>23</v>
      </c>
      <c r="H6443" s="391">
        <v>2525</v>
      </c>
      <c r="M6443" s="1357"/>
      <c r="Q6443" s="1357"/>
      <c r="S6443" s="1420"/>
      <c r="T6443" s="1420"/>
      <c r="V6443" s="1357">
        <v>74</v>
      </c>
    </row>
    <row r="6444" spans="1:22" s="841" customFormat="1" ht="15" x14ac:dyDescent="0.25">
      <c r="A6444" s="841" t="s">
        <v>2278</v>
      </c>
      <c r="E6444" s="1688" t="s">
        <v>5624</v>
      </c>
      <c r="F6444" s="1688"/>
      <c r="G6444" s="1408" t="s">
        <v>23</v>
      </c>
      <c r="H6444" s="391">
        <v>38.82</v>
      </c>
      <c r="M6444" s="1357"/>
      <c r="Q6444" s="1357"/>
      <c r="S6444" s="1420"/>
      <c r="T6444" s="1420"/>
      <c r="V6444" s="1357">
        <v>61</v>
      </c>
    </row>
    <row r="6445" spans="1:22" s="841" customFormat="1" ht="15" x14ac:dyDescent="0.25">
      <c r="A6445" s="841" t="s">
        <v>2278</v>
      </c>
      <c r="E6445" s="1931" t="s">
        <v>77</v>
      </c>
      <c r="F6445" s="1852"/>
      <c r="G6445" s="1852"/>
      <c r="H6445" s="1852"/>
      <c r="K6445" s="841" t="s">
        <v>4745</v>
      </c>
      <c r="M6445" s="1357"/>
      <c r="Q6445" s="1357"/>
      <c r="S6445" s="1420"/>
      <c r="T6445" s="1420"/>
      <c r="V6445" s="1357">
        <v>38</v>
      </c>
    </row>
    <row r="6446" spans="1:22" s="841" customFormat="1" ht="15" x14ac:dyDescent="0.25">
      <c r="A6446" s="841" t="s">
        <v>2278</v>
      </c>
      <c r="E6446" s="1689" t="s">
        <v>3063</v>
      </c>
      <c r="F6446" s="1689"/>
      <c r="G6446" s="1689"/>
      <c r="H6446" s="1689"/>
      <c r="M6446" s="1357"/>
      <c r="Q6446" s="1357"/>
      <c r="S6446" s="1420"/>
      <c r="T6446" s="1420"/>
      <c r="V6446" s="1357">
        <v>280</v>
      </c>
    </row>
    <row r="6447" spans="1:22" s="841" customFormat="1" ht="15" x14ac:dyDescent="0.25">
      <c r="A6447" s="841" t="s">
        <v>2278</v>
      </c>
      <c r="E6447" s="1689" t="s">
        <v>3064</v>
      </c>
      <c r="F6447" s="1689"/>
      <c r="G6447" s="1689"/>
      <c r="H6447" s="1689"/>
      <c r="M6447" s="1357"/>
      <c r="Q6447" s="1357"/>
      <c r="S6447" s="1420"/>
      <c r="T6447" s="1420"/>
      <c r="V6447" s="1357">
        <v>411</v>
      </c>
    </row>
    <row r="6448" spans="1:22" s="841" customFormat="1" ht="15" x14ac:dyDescent="0.25">
      <c r="A6448" s="841" t="s">
        <v>2278</v>
      </c>
      <c r="E6448" s="1689" t="s">
        <v>3129</v>
      </c>
      <c r="F6448" s="1689"/>
      <c r="G6448" s="1689"/>
      <c r="H6448" s="1689"/>
      <c r="M6448" s="1357"/>
      <c r="Q6448" s="1357"/>
      <c r="S6448" s="1420"/>
      <c r="T6448" s="1420"/>
      <c r="V6448" s="1357">
        <v>211</v>
      </c>
    </row>
    <row r="6449" spans="1:22" s="841" customFormat="1" ht="15" x14ac:dyDescent="0.25">
      <c r="A6449" s="841" t="s">
        <v>2278</v>
      </c>
      <c r="E6449" s="1689" t="s">
        <v>3200</v>
      </c>
      <c r="F6449" s="1697"/>
      <c r="G6449" s="1697"/>
      <c r="H6449" s="1697"/>
      <c r="M6449" s="1357"/>
      <c r="Q6449" s="1357"/>
      <c r="S6449" s="1420"/>
      <c r="T6449" s="1420"/>
      <c r="V6449" s="1357">
        <v>275</v>
      </c>
    </row>
    <row r="6450" spans="1:22" s="841" customFormat="1" ht="15" x14ac:dyDescent="0.25">
      <c r="A6450" s="841" t="s">
        <v>2278</v>
      </c>
      <c r="E6450" s="1689" t="s">
        <v>3291</v>
      </c>
      <c r="F6450" s="1689"/>
      <c r="G6450" s="1689"/>
      <c r="H6450" s="1689"/>
      <c r="M6450" s="1357"/>
      <c r="Q6450" s="1357"/>
      <c r="S6450" s="1420"/>
      <c r="T6450" s="1420"/>
      <c r="V6450" s="1357">
        <v>142</v>
      </c>
    </row>
    <row r="6451" spans="1:22" s="841" customFormat="1" ht="15" x14ac:dyDescent="0.25">
      <c r="A6451" s="841" t="s">
        <v>2278</v>
      </c>
      <c r="E6451" s="1690" t="s">
        <v>3176</v>
      </c>
      <c r="F6451" s="1690"/>
      <c r="G6451" s="1403" t="s">
        <v>23</v>
      </c>
      <c r="H6451" s="395">
        <v>100</v>
      </c>
      <c r="M6451" s="1357"/>
      <c r="Q6451" s="1357"/>
      <c r="S6451" s="1420"/>
      <c r="T6451" s="1420"/>
      <c r="V6451" s="1357">
        <v>106</v>
      </c>
    </row>
    <row r="6452" spans="1:22" s="841" customFormat="1" ht="15" x14ac:dyDescent="0.25">
      <c r="A6452" s="841" t="s">
        <v>2278</v>
      </c>
      <c r="E6452" s="1690" t="s">
        <v>3177</v>
      </c>
      <c r="F6452" s="1690"/>
      <c r="G6452" s="1403" t="s">
        <v>23</v>
      </c>
      <c r="H6452" s="395">
        <v>20</v>
      </c>
      <c r="M6452" s="1357"/>
      <c r="Q6452" s="1357"/>
      <c r="S6452" s="1420"/>
      <c r="T6452" s="1420"/>
      <c r="V6452" s="1357">
        <v>34</v>
      </c>
    </row>
    <row r="6453" spans="1:22" s="841" customFormat="1" ht="15" x14ac:dyDescent="0.25">
      <c r="A6453" s="841" t="s">
        <v>2278</v>
      </c>
      <c r="E6453" s="1690" t="s">
        <v>3178</v>
      </c>
      <c r="F6453" s="1690"/>
      <c r="G6453" s="1403" t="s">
        <v>3179</v>
      </c>
      <c r="H6453" s="395">
        <v>0.5</v>
      </c>
      <c r="M6453" s="1357"/>
      <c r="Q6453" s="1357"/>
      <c r="S6453" s="1420"/>
      <c r="T6453" s="1420"/>
      <c r="V6453" s="1357">
        <v>51</v>
      </c>
    </row>
    <row r="6454" spans="1:22" s="841" customFormat="1" ht="15" x14ac:dyDescent="0.25">
      <c r="A6454" s="841" t="s">
        <v>2278</v>
      </c>
      <c r="E6454" s="1690" t="s">
        <v>3180</v>
      </c>
      <c r="F6454" s="1690"/>
      <c r="G6454" s="1403" t="s">
        <v>3179</v>
      </c>
      <c r="H6454" s="395">
        <v>0.3</v>
      </c>
      <c r="M6454" s="1357"/>
      <c r="Q6454" s="1357"/>
      <c r="S6454" s="1420"/>
      <c r="T6454" s="1420"/>
      <c r="V6454" s="1357">
        <v>75</v>
      </c>
    </row>
    <row r="6455" spans="1:22" s="841" customFormat="1" ht="15" x14ac:dyDescent="0.25">
      <c r="A6455" s="841" t="s">
        <v>2278</v>
      </c>
      <c r="E6455" s="1690" t="s">
        <v>3181</v>
      </c>
      <c r="F6455" s="1690"/>
      <c r="G6455" s="1403" t="s">
        <v>3179</v>
      </c>
      <c r="H6455" s="603">
        <v>-0.3</v>
      </c>
      <c r="M6455" s="1357"/>
      <c r="Q6455" s="1357"/>
      <c r="S6455" s="1420"/>
      <c r="T6455" s="1420"/>
      <c r="V6455" s="1357">
        <v>72</v>
      </c>
    </row>
    <row r="6456" spans="1:22" s="841" customFormat="1" ht="15" x14ac:dyDescent="0.25">
      <c r="A6456" s="841" t="s">
        <v>2278</v>
      </c>
      <c r="E6456" s="1690" t="s">
        <v>3292</v>
      </c>
      <c r="F6456" s="1690"/>
      <c r="G6456" s="1403"/>
      <c r="H6456" s="503"/>
      <c r="M6456" s="1357"/>
      <c r="Q6456" s="1357"/>
      <c r="S6456" s="1420"/>
      <c r="T6456" s="1420"/>
      <c r="V6456" s="1357">
        <v>34</v>
      </c>
    </row>
    <row r="6457" spans="1:22" s="841" customFormat="1" ht="15" x14ac:dyDescent="0.25">
      <c r="A6457" s="841" t="s">
        <v>2278</v>
      </c>
      <c r="E6457" s="1691" t="s">
        <v>3183</v>
      </c>
      <c r="F6457" s="1691"/>
      <c r="G6457" s="1403" t="s">
        <v>23</v>
      </c>
      <c r="H6457" s="395">
        <v>0.25</v>
      </c>
      <c r="M6457" s="1357"/>
      <c r="Q6457" s="1357"/>
      <c r="S6457" s="1420"/>
      <c r="T6457" s="1420"/>
      <c r="V6457" s="1357">
        <v>57</v>
      </c>
    </row>
    <row r="6458" spans="1:22" s="841" customFormat="1" ht="15" x14ac:dyDescent="0.25">
      <c r="A6458" s="841" t="s">
        <v>2278</v>
      </c>
      <c r="E6458" s="1691" t="s">
        <v>3184</v>
      </c>
      <c r="F6458" s="1691"/>
      <c r="G6458" s="1403" t="s">
        <v>23</v>
      </c>
      <c r="H6458" s="395">
        <v>0.5</v>
      </c>
      <c r="M6458" s="1357"/>
      <c r="Q6458" s="1357"/>
      <c r="S6458" s="1420"/>
      <c r="T6458" s="1420"/>
      <c r="V6458" s="1357">
        <v>60</v>
      </c>
    </row>
    <row r="6459" spans="1:22" s="841" customFormat="1" ht="15" x14ac:dyDescent="0.25">
      <c r="A6459" s="841" t="s">
        <v>2278</v>
      </c>
      <c r="E6459" s="1690" t="s">
        <v>3185</v>
      </c>
      <c r="F6459" s="1690"/>
      <c r="G6459" s="1403"/>
      <c r="H6459" s="503"/>
      <c r="M6459" s="1357"/>
      <c r="Q6459" s="1357"/>
      <c r="S6459" s="1420"/>
      <c r="T6459" s="1420"/>
      <c r="V6459" s="1357">
        <v>91</v>
      </c>
    </row>
    <row r="6460" spans="1:22" s="841" customFormat="1" ht="15" x14ac:dyDescent="0.25">
      <c r="A6460" s="841" t="s">
        <v>2278</v>
      </c>
      <c r="E6460" s="1690" t="s">
        <v>3186</v>
      </c>
      <c r="F6460" s="1690"/>
      <c r="G6460" s="1403"/>
      <c r="H6460" s="503"/>
      <c r="M6460" s="1357"/>
      <c r="Q6460" s="1357"/>
      <c r="S6460" s="1420"/>
      <c r="T6460" s="1420"/>
      <c r="V6460" s="1357">
        <v>96</v>
      </c>
    </row>
    <row r="6461" spans="1:22" s="841" customFormat="1" ht="15" x14ac:dyDescent="0.25">
      <c r="A6461" s="841" t="s">
        <v>2278</v>
      </c>
      <c r="E6461" s="1690" t="s">
        <v>3293</v>
      </c>
      <c r="F6461" s="1690"/>
      <c r="G6461" s="1403"/>
      <c r="H6461" s="503"/>
      <c r="M6461" s="1357"/>
      <c r="Q6461" s="1357"/>
      <c r="S6461" s="1420"/>
      <c r="T6461" s="1420"/>
      <c r="V6461" s="1357">
        <v>77</v>
      </c>
    </row>
    <row r="6462" spans="1:22" s="841" customFormat="1" ht="15" x14ac:dyDescent="0.25">
      <c r="A6462" s="841" t="s">
        <v>2278</v>
      </c>
      <c r="E6462" s="1691" t="s">
        <v>3188</v>
      </c>
      <c r="F6462" s="1691"/>
      <c r="G6462" s="1403" t="s">
        <v>23</v>
      </c>
      <c r="H6462" s="503" t="s">
        <v>3189</v>
      </c>
      <c r="M6462" s="1357"/>
      <c r="Q6462" s="1357"/>
      <c r="S6462" s="1420"/>
      <c r="T6462" s="1420"/>
      <c r="V6462" s="1357">
        <v>18</v>
      </c>
    </row>
    <row r="6463" spans="1:22" s="841" customFormat="1" ht="15" x14ac:dyDescent="0.25">
      <c r="A6463" s="841" t="s">
        <v>2278</v>
      </c>
      <c r="E6463" s="1691" t="s">
        <v>3190</v>
      </c>
      <c r="F6463" s="1691"/>
      <c r="G6463" s="1403" t="s">
        <v>23</v>
      </c>
      <c r="H6463" s="395">
        <v>2</v>
      </c>
      <c r="M6463" s="1357"/>
      <c r="Q6463" s="1357"/>
      <c r="S6463" s="1420"/>
      <c r="T6463" s="1420"/>
      <c r="V6463" s="1357">
        <v>69</v>
      </c>
    </row>
    <row r="6464" spans="1:22" s="841" customFormat="1" x14ac:dyDescent="0.25">
      <c r="A6464" s="841" t="s">
        <v>2278</v>
      </c>
      <c r="E6464" s="1374" t="s">
        <v>147</v>
      </c>
      <c r="F6464" s="629"/>
      <c r="G6464" s="629"/>
      <c r="H6464" s="630"/>
      <c r="K6464" s="841" t="s">
        <v>4746</v>
      </c>
      <c r="M6464" s="1357"/>
      <c r="Q6464" s="1357"/>
      <c r="S6464" s="1420"/>
      <c r="T6464" s="1420"/>
      <c r="V6464" s="1357">
        <v>12</v>
      </c>
    </row>
    <row r="6465" spans="1:22" s="841" customFormat="1" ht="15" x14ac:dyDescent="0.25">
      <c r="A6465" s="841" t="s">
        <v>2278</v>
      </c>
      <c r="E6465" s="1704" t="s">
        <v>3192</v>
      </c>
      <c r="F6465" s="1948"/>
      <c r="G6465" s="1948"/>
      <c r="H6465" s="1948"/>
      <c r="M6465" s="1357"/>
      <c r="Q6465" s="1357"/>
      <c r="S6465" s="1420"/>
      <c r="T6465" s="1420"/>
      <c r="V6465" s="1357">
        <v>203</v>
      </c>
    </row>
    <row r="6466" spans="1:22" s="841" customFormat="1" ht="15" x14ac:dyDescent="0.25">
      <c r="A6466" s="841" t="s">
        <v>2278</v>
      </c>
      <c r="E6466" s="1690" t="s">
        <v>3295</v>
      </c>
      <c r="F6466" s="1690"/>
      <c r="G6466" s="1408"/>
      <c r="H6466" s="393">
        <v>1.0604</v>
      </c>
      <c r="M6466" s="1357"/>
      <c r="Q6466" s="1357"/>
      <c r="S6466" s="1420"/>
      <c r="T6466" s="1420"/>
      <c r="V6466" s="1357">
        <v>57</v>
      </c>
    </row>
    <row r="6467" spans="1:22" s="841" customFormat="1" ht="15" x14ac:dyDescent="0.25">
      <c r="A6467" s="841" t="s">
        <v>2278</v>
      </c>
      <c r="E6467" s="1690" t="s">
        <v>3297</v>
      </c>
      <c r="F6467" s="1690"/>
      <c r="G6467" s="1408"/>
      <c r="H6467" s="393">
        <v>1.0498000000000001</v>
      </c>
      <c r="J6467" s="841" t="s">
        <v>4747</v>
      </c>
      <c r="M6467" s="1357"/>
      <c r="Q6467" s="1357"/>
      <c r="S6467" s="1420"/>
      <c r="T6467" s="1420"/>
      <c r="V6467" s="1357">
        <v>55</v>
      </c>
    </row>
    <row r="6468" spans="1:22" s="841" customFormat="1" ht="23.25" x14ac:dyDescent="0.25">
      <c r="A6468" s="841" t="s">
        <v>185</v>
      </c>
      <c r="B6468" s="841" t="s">
        <v>4076</v>
      </c>
      <c r="C6468" s="841" t="s">
        <v>3050</v>
      </c>
      <c r="E6468" s="1911" t="s">
        <v>185</v>
      </c>
      <c r="F6468" s="1699"/>
      <c r="G6468" s="1699"/>
      <c r="H6468" s="1699"/>
      <c r="I6468" s="841" t="s">
        <v>628</v>
      </c>
      <c r="J6468" s="841" t="s">
        <v>4077</v>
      </c>
      <c r="K6468" s="841" t="s">
        <v>185</v>
      </c>
      <c r="M6468" s="1357">
        <v>7</v>
      </c>
      <c r="Q6468" s="1357"/>
      <c r="S6468" s="1420"/>
      <c r="T6468" s="1420"/>
      <c r="V6468" s="1357">
        <v>32</v>
      </c>
    </row>
    <row r="6469" spans="1:22" s="841" customFormat="1" ht="23.25" x14ac:dyDescent="0.25">
      <c r="A6469" s="841" t="s">
        <v>185</v>
      </c>
      <c r="B6469" s="841" t="s">
        <v>4076</v>
      </c>
      <c r="C6469" s="841" t="s">
        <v>3052</v>
      </c>
      <c r="E6469" s="1911" t="s">
        <v>2465</v>
      </c>
      <c r="F6469" s="1911"/>
      <c r="G6469" s="1911"/>
      <c r="H6469" s="1911"/>
      <c r="M6469" s="1357"/>
      <c r="Q6469" s="1357"/>
      <c r="S6469" s="1420"/>
      <c r="T6469" s="1420"/>
      <c r="V6469" s="1357">
        <v>52</v>
      </c>
    </row>
    <row r="6470" spans="1:22" s="841" customFormat="1" x14ac:dyDescent="0.25">
      <c r="A6470" s="841" t="s">
        <v>185</v>
      </c>
      <c r="B6470" s="841" t="s">
        <v>4076</v>
      </c>
      <c r="C6470" s="841" t="s">
        <v>3054</v>
      </c>
      <c r="E6470" s="1912" t="s">
        <v>3053</v>
      </c>
      <c r="F6470" s="1700"/>
      <c r="G6470" s="1700"/>
      <c r="H6470" s="1700"/>
      <c r="M6470" s="1357"/>
      <c r="Q6470" s="1357"/>
      <c r="S6470" s="1420"/>
      <c r="T6470" s="1420"/>
      <c r="V6470" s="1357">
        <v>27</v>
      </c>
    </row>
    <row r="6471" spans="1:22" s="841" customFormat="1" ht="15.75" x14ac:dyDescent="0.25">
      <c r="A6471" s="841" t="s">
        <v>185</v>
      </c>
      <c r="B6471" s="841" t="s">
        <v>4076</v>
      </c>
      <c r="C6471" s="841" t="s">
        <v>3055</v>
      </c>
      <c r="E6471" s="1913" t="s">
        <v>5107</v>
      </c>
      <c r="F6471" s="1701"/>
      <c r="G6471" s="1701"/>
      <c r="H6471" s="1701"/>
      <c r="M6471" s="1357"/>
      <c r="Q6471" s="1357"/>
      <c r="S6471" s="1420">
        <v>43221</v>
      </c>
      <c r="T6471" s="1420"/>
      <c r="V6471" s="1357">
        <v>45</v>
      </c>
    </row>
    <row r="6472" spans="1:22" s="841" customFormat="1" ht="15" x14ac:dyDescent="0.25">
      <c r="A6472" s="841" t="s">
        <v>185</v>
      </c>
      <c r="B6472" s="841" t="s">
        <v>4076</v>
      </c>
      <c r="E6472" s="1914" t="s">
        <v>3056</v>
      </c>
      <c r="F6472" s="1702"/>
      <c r="G6472" s="1702"/>
      <c r="H6472" s="1702"/>
      <c r="M6472" s="1357"/>
      <c r="Q6472" s="1357"/>
      <c r="S6472" s="1420"/>
      <c r="T6472" s="1420"/>
      <c r="V6472" s="1357">
        <v>52</v>
      </c>
    </row>
    <row r="6473" spans="1:22" s="841" customFormat="1" ht="15" x14ac:dyDescent="0.25">
      <c r="A6473" s="841" t="s">
        <v>185</v>
      </c>
      <c r="B6473" s="841" t="s">
        <v>4076</v>
      </c>
      <c r="E6473" s="1914" t="s">
        <v>3057</v>
      </c>
      <c r="F6473" s="1702"/>
      <c r="G6473" s="1702"/>
      <c r="H6473" s="1702"/>
      <c r="M6473" s="1357"/>
      <c r="Q6473" s="1357"/>
      <c r="S6473" s="1420"/>
      <c r="T6473" s="1420"/>
      <c r="V6473" s="1357">
        <v>53</v>
      </c>
    </row>
    <row r="6474" spans="1:22" s="841" customFormat="1" ht="15" x14ac:dyDescent="0.25">
      <c r="A6474" s="841" t="s">
        <v>185</v>
      </c>
      <c r="B6474" s="841" t="s">
        <v>4076</v>
      </c>
      <c r="E6474" s="1925" t="s">
        <v>5625</v>
      </c>
      <c r="F6474" s="1925"/>
      <c r="G6474" s="1925"/>
      <c r="H6474" s="1925"/>
      <c r="K6474" s="841" t="s">
        <v>5625</v>
      </c>
      <c r="M6474" s="1357"/>
      <c r="Q6474" s="1357"/>
      <c r="S6474" s="1420"/>
      <c r="T6474" s="1420"/>
      <c r="V6474" s="1357">
        <v>12</v>
      </c>
    </row>
    <row r="6475" spans="1:22" s="841" customFormat="1" ht="15" x14ac:dyDescent="0.25">
      <c r="A6475" s="841" t="s">
        <v>185</v>
      </c>
      <c r="B6475" s="841" t="s">
        <v>4076</v>
      </c>
      <c r="E6475" s="1909" t="s">
        <v>438</v>
      </c>
      <c r="F6475" s="1689"/>
      <c r="G6475" s="1689"/>
      <c r="H6475" s="1689"/>
      <c r="K6475" s="841" t="s">
        <v>3197</v>
      </c>
      <c r="M6475" s="1357"/>
      <c r="Q6475" s="1357"/>
      <c r="S6475" s="1420"/>
      <c r="T6475" s="1420"/>
      <c r="V6475" s="1357">
        <v>34</v>
      </c>
    </row>
    <row r="6476" spans="1:22" s="841" customFormat="1" ht="15" x14ac:dyDescent="0.25">
      <c r="A6476" s="841" t="s">
        <v>185</v>
      </c>
      <c r="B6476" s="841" t="s">
        <v>4076</v>
      </c>
      <c r="E6476" s="1689" t="s">
        <v>4078</v>
      </c>
      <c r="F6476" s="1689"/>
      <c r="G6476" s="1689"/>
      <c r="H6476" s="1689"/>
      <c r="K6476" s="841" t="s">
        <v>3197</v>
      </c>
      <c r="M6476" s="1357"/>
      <c r="Q6476" s="1357"/>
      <c r="S6476" s="1420"/>
      <c r="T6476" s="1420"/>
      <c r="V6476" s="1357">
        <v>415</v>
      </c>
    </row>
    <row r="6477" spans="1:22" s="841" customFormat="1" ht="15" x14ac:dyDescent="0.25">
      <c r="A6477" s="841" t="s">
        <v>185</v>
      </c>
      <c r="B6477" s="841" t="s">
        <v>4076</v>
      </c>
      <c r="E6477" s="1916" t="s">
        <v>3061</v>
      </c>
      <c r="F6477" s="1689"/>
      <c r="G6477" s="1689"/>
      <c r="H6477" s="1689"/>
      <c r="K6477" s="841" t="s">
        <v>3062</v>
      </c>
      <c r="M6477" s="1357"/>
      <c r="Q6477" s="1357"/>
      <c r="S6477" s="1420"/>
      <c r="T6477" s="1420"/>
      <c r="V6477" s="1357">
        <v>11</v>
      </c>
    </row>
    <row r="6478" spans="1:22" s="841" customFormat="1" ht="15" x14ac:dyDescent="0.25">
      <c r="A6478" s="841" t="s">
        <v>185</v>
      </c>
      <c r="B6478" s="841" t="s">
        <v>4076</v>
      </c>
      <c r="E6478" s="1689" t="s">
        <v>3063</v>
      </c>
      <c r="F6478" s="1689"/>
      <c r="G6478" s="1689"/>
      <c r="H6478" s="1689"/>
      <c r="K6478" s="841" t="s">
        <v>3197</v>
      </c>
      <c r="M6478" s="1357"/>
      <c r="Q6478" s="1357"/>
      <c r="S6478" s="1420"/>
      <c r="T6478" s="1420"/>
      <c r="V6478" s="1357">
        <v>280</v>
      </c>
    </row>
    <row r="6479" spans="1:22" s="841" customFormat="1" ht="15" x14ac:dyDescent="0.25">
      <c r="A6479" s="841" t="s">
        <v>185</v>
      </c>
      <c r="B6479" s="841" t="s">
        <v>4076</v>
      </c>
      <c r="E6479" s="1689" t="s">
        <v>3064</v>
      </c>
      <c r="F6479" s="1689"/>
      <c r="G6479" s="1689"/>
      <c r="H6479" s="1689"/>
      <c r="K6479" s="841" t="s">
        <v>3197</v>
      </c>
      <c r="M6479" s="1357"/>
      <c r="Q6479" s="1357"/>
      <c r="S6479" s="1420"/>
      <c r="T6479" s="1420"/>
      <c r="V6479" s="1357">
        <v>411</v>
      </c>
    </row>
    <row r="6480" spans="1:22" s="841" customFormat="1" ht="15" x14ac:dyDescent="0.25">
      <c r="A6480" s="841" t="s">
        <v>185</v>
      </c>
      <c r="B6480" s="841" t="s">
        <v>4076</v>
      </c>
      <c r="E6480" s="1689" t="s">
        <v>3065</v>
      </c>
      <c r="F6480" s="1689"/>
      <c r="G6480" s="1689"/>
      <c r="H6480" s="1689"/>
      <c r="K6480" s="841" t="s">
        <v>3197</v>
      </c>
      <c r="M6480" s="1357"/>
      <c r="Q6480" s="1357"/>
      <c r="S6480" s="1420"/>
      <c r="T6480" s="1420"/>
      <c r="V6480" s="1357">
        <v>387</v>
      </c>
    </row>
    <row r="6481" spans="1:22" s="841" customFormat="1" ht="15" x14ac:dyDescent="0.25">
      <c r="A6481" s="841" t="s">
        <v>185</v>
      </c>
      <c r="B6481" s="841" t="s">
        <v>4076</v>
      </c>
      <c r="E6481" s="1689" t="s">
        <v>3200</v>
      </c>
      <c r="F6481" s="1689"/>
      <c r="G6481" s="1689"/>
      <c r="H6481" s="1689"/>
      <c r="K6481" s="841" t="s">
        <v>3197</v>
      </c>
      <c r="M6481" s="1357"/>
      <c r="Q6481" s="1357"/>
      <c r="S6481" s="1420"/>
      <c r="T6481" s="1420"/>
      <c r="V6481" s="1357">
        <v>275</v>
      </c>
    </row>
    <row r="6482" spans="1:22" s="841" customFormat="1" ht="15" x14ac:dyDescent="0.25">
      <c r="A6482" s="841" t="s">
        <v>185</v>
      </c>
      <c r="B6482" s="841" t="s">
        <v>4076</v>
      </c>
      <c r="E6482" s="1694" t="s">
        <v>3067</v>
      </c>
      <c r="F6482" s="1907"/>
      <c r="G6482" s="1907"/>
      <c r="H6482" s="1907"/>
      <c r="K6482" s="841" t="s">
        <v>3068</v>
      </c>
      <c r="M6482" s="1357"/>
      <c r="Q6482" s="1357"/>
      <c r="S6482" s="1420"/>
      <c r="T6482" s="1420"/>
      <c r="V6482" s="1357">
        <v>46</v>
      </c>
    </row>
    <row r="6483" spans="1:22" s="841" customFormat="1" ht="15" x14ac:dyDescent="0.25">
      <c r="A6483" s="841" t="s">
        <v>185</v>
      </c>
      <c r="B6483" s="841" t="s">
        <v>4076</v>
      </c>
      <c r="E6483" s="1690" t="s">
        <v>11</v>
      </c>
      <c r="F6483" s="1690"/>
      <c r="G6483" s="1408" t="s">
        <v>23</v>
      </c>
      <c r="H6483" s="391">
        <v>30.51</v>
      </c>
      <c r="K6483" s="841" t="s">
        <v>3197</v>
      </c>
      <c r="L6483" s="841" t="s">
        <v>442</v>
      </c>
      <c r="M6483" s="1357"/>
      <c r="P6483" s="841" t="s">
        <v>3201</v>
      </c>
      <c r="Q6483" s="1357"/>
      <c r="S6483" s="1420"/>
      <c r="T6483" s="1420"/>
      <c r="V6483" s="1357">
        <v>14</v>
      </c>
    </row>
    <row r="6484" spans="1:22" s="841" customFormat="1" ht="15" x14ac:dyDescent="0.25">
      <c r="A6484" s="841" t="s">
        <v>185</v>
      </c>
      <c r="B6484" s="841" t="s">
        <v>4076</v>
      </c>
      <c r="E6484" s="1690" t="s">
        <v>423</v>
      </c>
      <c r="F6484" s="1690"/>
      <c r="G6484" s="1408" t="s">
        <v>23</v>
      </c>
      <c r="H6484" s="391">
        <v>0.79</v>
      </c>
      <c r="K6484" s="841" t="s">
        <v>3197</v>
      </c>
      <c r="L6484" s="841" t="s">
        <v>443</v>
      </c>
      <c r="M6484" s="1357"/>
      <c r="P6484" s="841" t="s">
        <v>3202</v>
      </c>
      <c r="Q6484" s="1357"/>
      <c r="S6484" s="1420"/>
      <c r="T6484" s="1420">
        <v>43404</v>
      </c>
      <c r="V6484" s="1357">
        <v>78</v>
      </c>
    </row>
    <row r="6485" spans="1:22" s="841" customFormat="1" ht="15" x14ac:dyDescent="0.25">
      <c r="A6485" s="841" t="s">
        <v>185</v>
      </c>
      <c r="B6485" s="841" t="s">
        <v>4076</v>
      </c>
      <c r="E6485" s="1690" t="s">
        <v>5383</v>
      </c>
      <c r="F6485" s="1908"/>
      <c r="G6485" s="1408" t="s">
        <v>23</v>
      </c>
      <c r="H6485" s="391">
        <v>0.12</v>
      </c>
      <c r="K6485" s="841" t="s">
        <v>3197</v>
      </c>
      <c r="L6485" s="841" t="s">
        <v>442</v>
      </c>
      <c r="M6485" s="1357"/>
      <c r="P6485" s="841" t="s">
        <v>3954</v>
      </c>
      <c r="Q6485" s="1357"/>
      <c r="S6485" s="1420"/>
      <c r="T6485" s="1420">
        <v>43585</v>
      </c>
      <c r="V6485" s="1357">
        <v>80</v>
      </c>
    </row>
    <row r="6486" spans="1:22" s="841" customFormat="1" ht="15" x14ac:dyDescent="0.25">
      <c r="A6486" s="841" t="s">
        <v>185</v>
      </c>
      <c r="B6486" s="841" t="s">
        <v>4076</v>
      </c>
      <c r="E6486" s="1690" t="s">
        <v>84</v>
      </c>
      <c r="F6486" s="1690"/>
      <c r="G6486" s="1408" t="s">
        <v>24</v>
      </c>
      <c r="H6486" s="393">
        <v>3.8E-3</v>
      </c>
      <c r="K6486" s="841" t="s">
        <v>3197</v>
      </c>
      <c r="L6486" s="841" t="s">
        <v>442</v>
      </c>
      <c r="M6486" s="1357"/>
      <c r="P6486" s="841" t="s">
        <v>3203</v>
      </c>
      <c r="Q6486" s="1357"/>
      <c r="S6486" s="1420"/>
      <c r="T6486" s="1420"/>
      <c r="V6486" s="1357">
        <v>28</v>
      </c>
    </row>
    <row r="6487" spans="1:22" s="841" customFormat="1" ht="15" x14ac:dyDescent="0.25">
      <c r="A6487" s="841" t="s">
        <v>185</v>
      </c>
      <c r="B6487" s="841" t="s">
        <v>4076</v>
      </c>
      <c r="E6487" s="1690" t="s">
        <v>18</v>
      </c>
      <c r="F6487" s="1690"/>
      <c r="G6487" s="1408" t="s">
        <v>24</v>
      </c>
      <c r="H6487" s="393">
        <v>3.3999999999999998E-3</v>
      </c>
      <c r="K6487" s="841" t="s">
        <v>3197</v>
      </c>
      <c r="L6487" s="841" t="s">
        <v>443</v>
      </c>
      <c r="M6487" s="1357"/>
      <c r="P6487" s="841" t="s">
        <v>3204</v>
      </c>
      <c r="Q6487" s="1357"/>
      <c r="S6487" s="1420"/>
      <c r="T6487" s="1420"/>
      <c r="V6487" s="1357">
        <v>24</v>
      </c>
    </row>
    <row r="6488" spans="1:22" s="841" customFormat="1" ht="15" x14ac:dyDescent="0.25">
      <c r="A6488" s="841" t="s">
        <v>185</v>
      </c>
      <c r="B6488" s="841" t="s">
        <v>4076</v>
      </c>
      <c r="E6488" s="1690" t="s">
        <v>221</v>
      </c>
      <c r="F6488" s="1690"/>
      <c r="G6488" s="1408" t="s">
        <v>24</v>
      </c>
      <c r="H6488" s="393">
        <v>5.4999999999999997E-3</v>
      </c>
      <c r="K6488" s="841" t="s">
        <v>3197</v>
      </c>
      <c r="L6488" s="841" t="s">
        <v>444</v>
      </c>
      <c r="M6488" s="1357"/>
      <c r="P6488" s="841" t="s">
        <v>3208</v>
      </c>
      <c r="Q6488" s="1357"/>
      <c r="S6488" s="1420"/>
      <c r="T6488" s="1420"/>
      <c r="V6488" s="1357">
        <v>47</v>
      </c>
    </row>
    <row r="6489" spans="1:22" s="841" customFormat="1" ht="15" x14ac:dyDescent="0.25">
      <c r="A6489" s="841" t="s">
        <v>185</v>
      </c>
      <c r="B6489" s="841" t="s">
        <v>4076</v>
      </c>
      <c r="E6489" s="1690" t="s">
        <v>217</v>
      </c>
      <c r="F6489" s="1690"/>
      <c r="G6489" s="1408" t="s">
        <v>24</v>
      </c>
      <c r="H6489" s="393">
        <v>4.4999999999999997E-3</v>
      </c>
      <c r="K6489" s="841" t="s">
        <v>3197</v>
      </c>
      <c r="L6489" s="841" t="s">
        <v>444</v>
      </c>
      <c r="M6489" s="1357"/>
      <c r="P6489" s="841" t="s">
        <v>3209</v>
      </c>
      <c r="Q6489" s="1357"/>
      <c r="S6489" s="1420"/>
      <c r="T6489" s="1420"/>
      <c r="V6489" s="1357">
        <v>74</v>
      </c>
    </row>
    <row r="6490" spans="1:22" s="841" customFormat="1" ht="15" x14ac:dyDescent="0.25">
      <c r="A6490" s="841" t="s">
        <v>185</v>
      </c>
      <c r="B6490" s="841" t="s">
        <v>4076</v>
      </c>
      <c r="E6490" s="1694" t="s">
        <v>3079</v>
      </c>
      <c r="F6490" s="1690"/>
      <c r="G6490" s="1690"/>
      <c r="H6490" s="1690"/>
      <c r="K6490" s="841" t="s">
        <v>3080</v>
      </c>
      <c r="M6490" s="1357"/>
      <c r="Q6490" s="1357"/>
      <c r="S6490" s="1420"/>
      <c r="T6490" s="1420"/>
      <c r="V6490" s="1357">
        <v>48</v>
      </c>
    </row>
    <row r="6491" spans="1:22" s="841" customFormat="1" ht="15" x14ac:dyDescent="0.25">
      <c r="A6491" s="841" t="s">
        <v>185</v>
      </c>
      <c r="B6491" s="841" t="s">
        <v>4076</v>
      </c>
      <c r="E6491" s="1690" t="s">
        <v>2449</v>
      </c>
      <c r="F6491" s="1690"/>
      <c r="G6491" s="1408" t="s">
        <v>24</v>
      </c>
      <c r="H6491" s="393">
        <v>3.2000000000000002E-3</v>
      </c>
      <c r="K6491" s="841" t="s">
        <v>3197</v>
      </c>
      <c r="L6491" s="841" t="s">
        <v>3046</v>
      </c>
      <c r="M6491" s="1357"/>
      <c r="P6491" s="841" t="s">
        <v>3210</v>
      </c>
      <c r="Q6491" s="1357"/>
      <c r="S6491" s="1420"/>
      <c r="T6491" s="1420"/>
      <c r="V6491" s="1357">
        <v>55</v>
      </c>
    </row>
    <row r="6492" spans="1:22" s="841" customFormat="1" ht="15" x14ac:dyDescent="0.25">
      <c r="A6492" s="841" t="s">
        <v>185</v>
      </c>
      <c r="B6492" s="841" t="s">
        <v>4076</v>
      </c>
      <c r="E6492" s="1690" t="s">
        <v>2450</v>
      </c>
      <c r="F6492" s="1690"/>
      <c r="G6492" s="1408" t="s">
        <v>24</v>
      </c>
      <c r="H6492" s="393">
        <v>4.0000000000000002E-4</v>
      </c>
      <c r="K6492" s="841" t="s">
        <v>3197</v>
      </c>
      <c r="L6492" s="841" t="s">
        <v>3046</v>
      </c>
      <c r="M6492" s="1357"/>
      <c r="P6492" s="841" t="s">
        <v>3210</v>
      </c>
      <c r="Q6492" s="1357"/>
      <c r="S6492" s="1420"/>
      <c r="T6492" s="1420"/>
      <c r="V6492" s="1357">
        <v>65</v>
      </c>
    </row>
    <row r="6493" spans="1:22" s="841" customFormat="1" ht="15" x14ac:dyDescent="0.25">
      <c r="A6493" s="841" t="s">
        <v>185</v>
      </c>
      <c r="B6493" s="841" t="s">
        <v>4076</v>
      </c>
      <c r="E6493" s="1690" t="s">
        <v>439</v>
      </c>
      <c r="F6493" s="1690"/>
      <c r="G6493" s="1408" t="s">
        <v>24</v>
      </c>
      <c r="H6493" s="393">
        <v>2.9999999999999997E-4</v>
      </c>
      <c r="K6493" s="841" t="s">
        <v>3197</v>
      </c>
      <c r="L6493" s="841" t="s">
        <v>3046</v>
      </c>
      <c r="M6493" s="1357"/>
      <c r="P6493" s="841" t="s">
        <v>3212</v>
      </c>
      <c r="Q6493" s="1357"/>
      <c r="S6493" s="1420"/>
      <c r="T6493" s="1420"/>
      <c r="V6493" s="1357">
        <v>57</v>
      </c>
    </row>
    <row r="6494" spans="1:22" s="841" customFormat="1" ht="15" x14ac:dyDescent="0.25">
      <c r="A6494" s="841" t="s">
        <v>185</v>
      </c>
      <c r="B6494" s="841" t="s">
        <v>4076</v>
      </c>
      <c r="E6494" s="1690" t="s">
        <v>32</v>
      </c>
      <c r="F6494" s="1690"/>
      <c r="G6494" s="1408" t="s">
        <v>23</v>
      </c>
      <c r="H6494" s="391">
        <v>0.25</v>
      </c>
      <c r="K6494" s="841" t="s">
        <v>3197</v>
      </c>
      <c r="L6494" s="841" t="s">
        <v>3046</v>
      </c>
      <c r="M6494" s="1357"/>
      <c r="P6494" s="841" t="s">
        <v>3213</v>
      </c>
      <c r="Q6494" s="1357"/>
      <c r="S6494" s="1420"/>
      <c r="T6494" s="1420"/>
      <c r="V6494" s="1357">
        <v>63</v>
      </c>
    </row>
    <row r="6495" spans="1:22" s="841" customFormat="1" x14ac:dyDescent="0.25">
      <c r="A6495" s="841" t="s">
        <v>185</v>
      </c>
      <c r="B6495" s="841" t="s">
        <v>4076</v>
      </c>
      <c r="E6495" s="1909" t="s">
        <v>3214</v>
      </c>
      <c r="F6495" s="1923"/>
      <c r="G6495" s="1923"/>
      <c r="H6495" s="1923"/>
      <c r="K6495" s="841" t="s">
        <v>5110</v>
      </c>
      <c r="M6495" s="1357"/>
      <c r="Q6495" s="1357"/>
      <c r="S6495" s="1420"/>
      <c r="T6495" s="1420"/>
      <c r="V6495" s="1357">
        <v>54</v>
      </c>
    </row>
    <row r="6496" spans="1:22" s="841" customFormat="1" ht="15" x14ac:dyDescent="0.25">
      <c r="A6496" s="841" t="s">
        <v>185</v>
      </c>
      <c r="B6496" s="841" t="s">
        <v>4076</v>
      </c>
      <c r="E6496" s="1689" t="s">
        <v>4079</v>
      </c>
      <c r="F6496" s="1689"/>
      <c r="G6496" s="1689"/>
      <c r="H6496" s="1689"/>
      <c r="K6496" s="841" t="s">
        <v>5110</v>
      </c>
      <c r="M6496" s="1357"/>
      <c r="Q6496" s="1357"/>
      <c r="S6496" s="1420"/>
      <c r="T6496" s="1420"/>
      <c r="V6496" s="1357">
        <v>321</v>
      </c>
    </row>
    <row r="6497" spans="1:22" s="841" customFormat="1" ht="15" x14ac:dyDescent="0.25">
      <c r="A6497" s="841" t="s">
        <v>185</v>
      </c>
      <c r="B6497" s="841" t="s">
        <v>4076</v>
      </c>
      <c r="E6497" s="1916" t="s">
        <v>3061</v>
      </c>
      <c r="F6497" s="1689"/>
      <c r="G6497" s="1689"/>
      <c r="H6497" s="1689"/>
      <c r="K6497" s="841" t="s">
        <v>3086</v>
      </c>
      <c r="M6497" s="1357"/>
      <c r="Q6497" s="1357"/>
      <c r="S6497" s="1420"/>
      <c r="T6497" s="1420"/>
      <c r="V6497" s="1357">
        <v>11</v>
      </c>
    </row>
    <row r="6498" spans="1:22" s="841" customFormat="1" ht="15" x14ac:dyDescent="0.25">
      <c r="A6498" s="841" t="s">
        <v>185</v>
      </c>
      <c r="B6498" s="841" t="s">
        <v>4076</v>
      </c>
      <c r="E6498" s="1689" t="s">
        <v>3063</v>
      </c>
      <c r="F6498" s="1689"/>
      <c r="G6498" s="1689"/>
      <c r="H6498" s="1689"/>
      <c r="K6498" s="841" t="s">
        <v>5110</v>
      </c>
      <c r="M6498" s="1357"/>
      <c r="Q6498" s="1357"/>
      <c r="S6498" s="1420"/>
      <c r="T6498" s="1420"/>
      <c r="V6498" s="1357">
        <v>280</v>
      </c>
    </row>
    <row r="6499" spans="1:22" s="841" customFormat="1" ht="15" x14ac:dyDescent="0.25">
      <c r="A6499" s="841" t="s">
        <v>185</v>
      </c>
      <c r="B6499" s="841" t="s">
        <v>4076</v>
      </c>
      <c r="E6499" s="1689" t="s">
        <v>3064</v>
      </c>
      <c r="F6499" s="1689"/>
      <c r="G6499" s="1689"/>
      <c r="H6499" s="1689"/>
      <c r="K6499" s="841" t="s">
        <v>5110</v>
      </c>
      <c r="M6499" s="1357"/>
      <c r="Q6499" s="1357"/>
      <c r="S6499" s="1420"/>
      <c r="T6499" s="1420"/>
      <c r="V6499" s="1357">
        <v>411</v>
      </c>
    </row>
    <row r="6500" spans="1:22" s="841" customFormat="1" ht="15" x14ac:dyDescent="0.25">
      <c r="A6500" s="841" t="s">
        <v>185</v>
      </c>
      <c r="B6500" s="841" t="s">
        <v>4076</v>
      </c>
      <c r="E6500" s="1689" t="s">
        <v>3065</v>
      </c>
      <c r="F6500" s="1689"/>
      <c r="G6500" s="1689"/>
      <c r="H6500" s="1689"/>
      <c r="K6500" s="841" t="s">
        <v>5110</v>
      </c>
      <c r="M6500" s="1357"/>
      <c r="Q6500" s="1357"/>
      <c r="S6500" s="1420"/>
      <c r="T6500" s="1420"/>
      <c r="V6500" s="1357">
        <v>387</v>
      </c>
    </row>
    <row r="6501" spans="1:22" s="841" customFormat="1" ht="15" x14ac:dyDescent="0.25">
      <c r="A6501" s="841" t="s">
        <v>185</v>
      </c>
      <c r="B6501" s="841" t="s">
        <v>4076</v>
      </c>
      <c r="E6501" s="1689" t="s">
        <v>3200</v>
      </c>
      <c r="F6501" s="1689"/>
      <c r="G6501" s="1689"/>
      <c r="H6501" s="1689"/>
      <c r="K6501" s="841" t="s">
        <v>5110</v>
      </c>
      <c r="M6501" s="1357"/>
      <c r="Q6501" s="1357"/>
      <c r="S6501" s="1420"/>
      <c r="T6501" s="1420"/>
      <c r="V6501" s="1357">
        <v>275</v>
      </c>
    </row>
    <row r="6502" spans="1:22" s="841" customFormat="1" ht="15" x14ac:dyDescent="0.25">
      <c r="A6502" s="841" t="s">
        <v>185</v>
      </c>
      <c r="B6502" s="841" t="s">
        <v>4076</v>
      </c>
      <c r="E6502" s="1694" t="s">
        <v>3067</v>
      </c>
      <c r="F6502" s="1907"/>
      <c r="G6502" s="1907"/>
      <c r="H6502" s="1907"/>
      <c r="K6502" s="841" t="s">
        <v>3087</v>
      </c>
      <c r="M6502" s="1357"/>
      <c r="Q6502" s="1357"/>
      <c r="S6502" s="1420"/>
      <c r="T6502" s="1420"/>
      <c r="V6502" s="1357">
        <v>46</v>
      </c>
    </row>
    <row r="6503" spans="1:22" s="841" customFormat="1" ht="15" x14ac:dyDescent="0.25">
      <c r="A6503" s="841" t="s">
        <v>185</v>
      </c>
      <c r="B6503" s="841" t="s">
        <v>4076</v>
      </c>
      <c r="E6503" s="1690" t="s">
        <v>11</v>
      </c>
      <c r="F6503" s="1690"/>
      <c r="G6503" s="1408" t="s">
        <v>23</v>
      </c>
      <c r="H6503" s="391">
        <v>45.73</v>
      </c>
      <c r="K6503" s="841" t="s">
        <v>5110</v>
      </c>
      <c r="L6503" s="841" t="s">
        <v>442</v>
      </c>
      <c r="M6503" s="1357"/>
      <c r="P6503" s="841" t="s">
        <v>5111</v>
      </c>
      <c r="Q6503" s="1357"/>
      <c r="S6503" s="1420"/>
      <c r="T6503" s="1420"/>
      <c r="V6503" s="1357">
        <v>14</v>
      </c>
    </row>
    <row r="6504" spans="1:22" s="841" customFormat="1" ht="15" x14ac:dyDescent="0.25">
      <c r="A6504" s="841" t="s">
        <v>185</v>
      </c>
      <c r="B6504" s="841" t="s">
        <v>4076</v>
      </c>
      <c r="E6504" s="1690" t="s">
        <v>423</v>
      </c>
      <c r="F6504" s="1690"/>
      <c r="G6504" s="1408" t="s">
        <v>23</v>
      </c>
      <c r="H6504" s="391">
        <v>0.79</v>
      </c>
      <c r="K6504" s="841" t="s">
        <v>5110</v>
      </c>
      <c r="L6504" s="841" t="s">
        <v>443</v>
      </c>
      <c r="M6504" s="1357"/>
      <c r="P6504" s="841" t="s">
        <v>5112</v>
      </c>
      <c r="Q6504" s="1357"/>
      <c r="S6504" s="1420"/>
      <c r="T6504" s="1420">
        <v>43404</v>
      </c>
      <c r="V6504" s="1357">
        <v>78</v>
      </c>
    </row>
    <row r="6505" spans="1:22" s="841" customFormat="1" ht="15" x14ac:dyDescent="0.25">
      <c r="A6505" s="841" t="s">
        <v>185</v>
      </c>
      <c r="B6505" s="841" t="s">
        <v>4076</v>
      </c>
      <c r="E6505" s="1690" t="s">
        <v>84</v>
      </c>
      <c r="F6505" s="1690"/>
      <c r="G6505" s="1408" t="s">
        <v>24</v>
      </c>
      <c r="H6505" s="393">
        <v>9.2999999999999992E-3</v>
      </c>
      <c r="K6505" s="841" t="s">
        <v>5110</v>
      </c>
      <c r="L6505" s="841" t="s">
        <v>442</v>
      </c>
      <c r="M6505" s="1357"/>
      <c r="P6505" s="841" t="s">
        <v>5113</v>
      </c>
      <c r="Q6505" s="1357"/>
      <c r="S6505" s="1420"/>
      <c r="T6505" s="1420"/>
      <c r="V6505" s="1357">
        <v>28</v>
      </c>
    </row>
    <row r="6506" spans="1:22" s="841" customFormat="1" ht="15" x14ac:dyDescent="0.25">
      <c r="A6506" s="841" t="s">
        <v>185</v>
      </c>
      <c r="B6506" s="841" t="s">
        <v>4076</v>
      </c>
      <c r="E6506" s="1690" t="s">
        <v>18</v>
      </c>
      <c r="F6506" s="1690"/>
      <c r="G6506" s="1408" t="s">
        <v>24</v>
      </c>
      <c r="H6506" s="393">
        <v>3.0000000000000001E-3</v>
      </c>
      <c r="K6506" s="841" t="s">
        <v>5110</v>
      </c>
      <c r="L6506" s="841" t="s">
        <v>443</v>
      </c>
      <c r="M6506" s="1357"/>
      <c r="P6506" s="841" t="s">
        <v>5114</v>
      </c>
      <c r="Q6506" s="1357"/>
      <c r="S6506" s="1420"/>
      <c r="T6506" s="1420"/>
      <c r="V6506" s="1357">
        <v>24</v>
      </c>
    </row>
    <row r="6507" spans="1:22" s="841" customFormat="1" ht="15" x14ac:dyDescent="0.25">
      <c r="A6507" s="841" t="s">
        <v>185</v>
      </c>
      <c r="B6507" s="841" t="s">
        <v>4076</v>
      </c>
      <c r="E6507" s="1690" t="s">
        <v>5383</v>
      </c>
      <c r="F6507" s="1908"/>
      <c r="G6507" s="1408" t="s">
        <v>24</v>
      </c>
      <c r="H6507" s="393">
        <v>2.0000000000000001E-4</v>
      </c>
      <c r="K6507" s="841" t="s">
        <v>5110</v>
      </c>
      <c r="L6507" s="841" t="s">
        <v>442</v>
      </c>
      <c r="M6507" s="1357"/>
      <c r="P6507" s="841" t="s">
        <v>5391</v>
      </c>
      <c r="Q6507" s="1357"/>
      <c r="S6507" s="1420"/>
      <c r="T6507" s="1420">
        <v>43585</v>
      </c>
      <c r="V6507" s="1357">
        <v>80</v>
      </c>
    </row>
    <row r="6508" spans="1:22" s="841" customFormat="1" ht="15" x14ac:dyDescent="0.25">
      <c r="A6508" s="841" t="s">
        <v>185</v>
      </c>
      <c r="B6508" s="841" t="s">
        <v>4076</v>
      </c>
      <c r="E6508" s="1690" t="s">
        <v>221</v>
      </c>
      <c r="F6508" s="1690"/>
      <c r="G6508" s="1408" t="s">
        <v>24</v>
      </c>
      <c r="H6508" s="393">
        <v>5.0000000000000001E-3</v>
      </c>
      <c r="K6508" s="841" t="s">
        <v>5110</v>
      </c>
      <c r="L6508" s="841" t="s">
        <v>444</v>
      </c>
      <c r="M6508" s="1357"/>
      <c r="P6508" s="841" t="s">
        <v>5115</v>
      </c>
      <c r="Q6508" s="1357"/>
      <c r="S6508" s="1420"/>
      <c r="T6508" s="1420"/>
      <c r="V6508" s="1357">
        <v>47</v>
      </c>
    </row>
    <row r="6509" spans="1:22" s="841" customFormat="1" ht="15" x14ac:dyDescent="0.25">
      <c r="A6509" s="841" t="s">
        <v>185</v>
      </c>
      <c r="B6509" s="841" t="s">
        <v>4076</v>
      </c>
      <c r="E6509" s="1690" t="s">
        <v>217</v>
      </c>
      <c r="F6509" s="1690"/>
      <c r="G6509" s="1408" t="s">
        <v>24</v>
      </c>
      <c r="H6509" s="393">
        <v>4.1999999999999997E-3</v>
      </c>
      <c r="K6509" s="841" t="s">
        <v>5110</v>
      </c>
      <c r="L6509" s="841" t="s">
        <v>444</v>
      </c>
      <c r="M6509" s="1357"/>
      <c r="P6509" s="841" t="s">
        <v>5116</v>
      </c>
      <c r="Q6509" s="1357"/>
      <c r="S6509" s="1420"/>
      <c r="T6509" s="1420"/>
      <c r="V6509" s="1357">
        <v>74</v>
      </c>
    </row>
    <row r="6510" spans="1:22" s="841" customFormat="1" ht="15" x14ac:dyDescent="0.25">
      <c r="A6510" s="841" t="s">
        <v>185</v>
      </c>
      <c r="B6510" s="841" t="s">
        <v>4076</v>
      </c>
      <c r="E6510" s="1694" t="s">
        <v>3079</v>
      </c>
      <c r="F6510" s="1690"/>
      <c r="G6510" s="1690"/>
      <c r="H6510" s="1690"/>
      <c r="K6510" s="841" t="s">
        <v>3093</v>
      </c>
      <c r="M6510" s="1357"/>
      <c r="Q6510" s="1357"/>
      <c r="S6510" s="1420"/>
      <c r="T6510" s="1420"/>
      <c r="V6510" s="1357">
        <v>48</v>
      </c>
    </row>
    <row r="6511" spans="1:22" s="841" customFormat="1" ht="15" x14ac:dyDescent="0.25">
      <c r="A6511" s="841" t="s">
        <v>185</v>
      </c>
      <c r="B6511" s="841" t="s">
        <v>4076</v>
      </c>
      <c r="E6511" s="1690" t="s">
        <v>2449</v>
      </c>
      <c r="F6511" s="1690"/>
      <c r="G6511" s="1408" t="s">
        <v>24</v>
      </c>
      <c r="H6511" s="393">
        <v>3.2000000000000002E-3</v>
      </c>
      <c r="K6511" s="841" t="s">
        <v>5110</v>
      </c>
      <c r="L6511" s="841" t="s">
        <v>3046</v>
      </c>
      <c r="M6511" s="1357"/>
      <c r="P6511" s="841" t="s">
        <v>5117</v>
      </c>
      <c r="Q6511" s="1357"/>
      <c r="S6511" s="1420"/>
      <c r="T6511" s="1420"/>
      <c r="V6511" s="1357">
        <v>55</v>
      </c>
    </row>
    <row r="6512" spans="1:22" s="841" customFormat="1" ht="15" x14ac:dyDescent="0.25">
      <c r="A6512" s="841" t="s">
        <v>185</v>
      </c>
      <c r="B6512" s="841" t="s">
        <v>4076</v>
      </c>
      <c r="E6512" s="1690" t="s">
        <v>2450</v>
      </c>
      <c r="F6512" s="1690"/>
      <c r="G6512" s="1408" t="s">
        <v>24</v>
      </c>
      <c r="H6512" s="393">
        <v>4.0000000000000002E-4</v>
      </c>
      <c r="K6512" s="841" t="s">
        <v>5110</v>
      </c>
      <c r="L6512" s="841" t="s">
        <v>3046</v>
      </c>
      <c r="M6512" s="1357"/>
      <c r="P6512" s="841" t="s">
        <v>5117</v>
      </c>
      <c r="Q6512" s="1357"/>
      <c r="S6512" s="1420"/>
      <c r="T6512" s="1420"/>
      <c r="V6512" s="1357">
        <v>65</v>
      </c>
    </row>
    <row r="6513" spans="1:22" s="841" customFormat="1" ht="15" x14ac:dyDescent="0.25">
      <c r="A6513" s="841" t="s">
        <v>185</v>
      </c>
      <c r="B6513" s="841" t="s">
        <v>4076</v>
      </c>
      <c r="E6513" s="1690" t="s">
        <v>439</v>
      </c>
      <c r="F6513" s="1690"/>
      <c r="G6513" s="1408" t="s">
        <v>24</v>
      </c>
      <c r="H6513" s="393">
        <v>2.9999999999999997E-4</v>
      </c>
      <c r="K6513" s="841" t="s">
        <v>5110</v>
      </c>
      <c r="L6513" s="841" t="s">
        <v>3046</v>
      </c>
      <c r="M6513" s="1357"/>
      <c r="P6513" s="841" t="s">
        <v>5118</v>
      </c>
      <c r="Q6513" s="1357"/>
      <c r="S6513" s="1420"/>
      <c r="T6513" s="1420"/>
      <c r="V6513" s="1357">
        <v>57</v>
      </c>
    </row>
    <row r="6514" spans="1:22" s="841" customFormat="1" ht="15" x14ac:dyDescent="0.25">
      <c r="A6514" s="841" t="s">
        <v>185</v>
      </c>
      <c r="B6514" s="841" t="s">
        <v>4076</v>
      </c>
      <c r="E6514" s="1690" t="s">
        <v>32</v>
      </c>
      <c r="F6514" s="1690"/>
      <c r="G6514" s="1408" t="s">
        <v>23</v>
      </c>
      <c r="H6514" s="391">
        <v>0.25</v>
      </c>
      <c r="K6514" s="841" t="s">
        <v>5110</v>
      </c>
      <c r="L6514" s="841" t="s">
        <v>3046</v>
      </c>
      <c r="M6514" s="1357"/>
      <c r="P6514" s="841" t="s">
        <v>5119</v>
      </c>
      <c r="Q6514" s="1357"/>
      <c r="S6514" s="1420"/>
      <c r="T6514" s="1420"/>
      <c r="V6514" s="1357">
        <v>63</v>
      </c>
    </row>
    <row r="6515" spans="1:22" s="841" customFormat="1" x14ac:dyDescent="0.25">
      <c r="A6515" s="841" t="s">
        <v>185</v>
      </c>
      <c r="B6515" s="841" t="s">
        <v>4076</v>
      </c>
      <c r="E6515" s="1909" t="s">
        <v>616</v>
      </c>
      <c r="F6515" s="1923"/>
      <c r="G6515" s="1923"/>
      <c r="H6515" s="1923"/>
      <c r="K6515" s="841" t="s">
        <v>6095</v>
      </c>
      <c r="M6515" s="1357"/>
      <c r="Q6515" s="1357"/>
      <c r="S6515" s="1420"/>
      <c r="T6515" s="1420"/>
      <c r="V6515" s="1357">
        <v>53</v>
      </c>
    </row>
    <row r="6516" spans="1:22" s="841" customFormat="1" ht="15" x14ac:dyDescent="0.25">
      <c r="A6516" s="841" t="s">
        <v>185</v>
      </c>
      <c r="B6516" s="841" t="s">
        <v>4076</v>
      </c>
      <c r="E6516" s="1689" t="s">
        <v>4080</v>
      </c>
      <c r="F6516" s="1689"/>
      <c r="G6516" s="1689"/>
      <c r="H6516" s="1689"/>
      <c r="K6516" s="841" t="s">
        <v>6095</v>
      </c>
      <c r="M6516" s="1357"/>
      <c r="Q6516" s="1357"/>
      <c r="S6516" s="1420"/>
      <c r="T6516" s="1420"/>
      <c r="V6516" s="1357">
        <v>355</v>
      </c>
    </row>
    <row r="6517" spans="1:22" s="841" customFormat="1" ht="15" x14ac:dyDescent="0.25">
      <c r="A6517" s="841" t="s">
        <v>185</v>
      </c>
      <c r="B6517" s="841" t="s">
        <v>4076</v>
      </c>
      <c r="E6517" s="1916" t="s">
        <v>3061</v>
      </c>
      <c r="F6517" s="1689"/>
      <c r="G6517" s="1689"/>
      <c r="H6517" s="1689"/>
      <c r="K6517" s="841" t="s">
        <v>3098</v>
      </c>
      <c r="M6517" s="1357"/>
      <c r="Q6517" s="1357"/>
      <c r="S6517" s="1420"/>
      <c r="T6517" s="1420"/>
      <c r="V6517" s="1357">
        <v>11</v>
      </c>
    </row>
    <row r="6518" spans="1:22" s="841" customFormat="1" ht="15" x14ac:dyDescent="0.25">
      <c r="A6518" s="841" t="s">
        <v>185</v>
      </c>
      <c r="B6518" s="841" t="s">
        <v>4076</v>
      </c>
      <c r="E6518" s="1689" t="s">
        <v>3063</v>
      </c>
      <c r="F6518" s="1689"/>
      <c r="G6518" s="1689"/>
      <c r="H6518" s="1689"/>
      <c r="K6518" s="841" t="s">
        <v>6095</v>
      </c>
      <c r="M6518" s="1357"/>
      <c r="Q6518" s="1357"/>
      <c r="S6518" s="1420"/>
      <c r="T6518" s="1420"/>
      <c r="V6518" s="1357">
        <v>280</v>
      </c>
    </row>
    <row r="6519" spans="1:22" s="841" customFormat="1" ht="15" x14ac:dyDescent="0.25">
      <c r="A6519" s="841" t="s">
        <v>185</v>
      </c>
      <c r="B6519" s="841" t="s">
        <v>4076</v>
      </c>
      <c r="E6519" s="1689" t="s">
        <v>3064</v>
      </c>
      <c r="F6519" s="1689"/>
      <c r="G6519" s="1689"/>
      <c r="H6519" s="1689"/>
      <c r="K6519" s="841" t="s">
        <v>6095</v>
      </c>
      <c r="M6519" s="1357"/>
      <c r="Q6519" s="1357"/>
      <c r="S6519" s="1420"/>
      <c r="T6519" s="1420"/>
      <c r="V6519" s="1357">
        <v>411</v>
      </c>
    </row>
    <row r="6520" spans="1:22" s="841" customFormat="1" ht="15" x14ac:dyDescent="0.25">
      <c r="A6520" s="841" t="s">
        <v>185</v>
      </c>
      <c r="B6520" s="841" t="s">
        <v>4076</v>
      </c>
      <c r="E6520" s="1689" t="s">
        <v>3065</v>
      </c>
      <c r="F6520" s="1689"/>
      <c r="G6520" s="1689"/>
      <c r="H6520" s="1689"/>
      <c r="K6520" s="841" t="s">
        <v>6095</v>
      </c>
      <c r="M6520" s="1357"/>
      <c r="Q6520" s="1357"/>
      <c r="S6520" s="1420"/>
      <c r="T6520" s="1420"/>
      <c r="V6520" s="1357">
        <v>387</v>
      </c>
    </row>
    <row r="6521" spans="1:22" s="841" customFormat="1" ht="15" x14ac:dyDescent="0.25">
      <c r="A6521" s="841" t="s">
        <v>185</v>
      </c>
      <c r="B6521" s="841" t="s">
        <v>4076</v>
      </c>
      <c r="E6521" s="1689" t="s">
        <v>3200</v>
      </c>
      <c r="F6521" s="1689"/>
      <c r="G6521" s="1689"/>
      <c r="H6521" s="1689"/>
      <c r="K6521" s="841" t="s">
        <v>6095</v>
      </c>
      <c r="M6521" s="1357"/>
      <c r="Q6521" s="1357"/>
      <c r="S6521" s="1420"/>
      <c r="T6521" s="1420"/>
      <c r="V6521" s="1357">
        <v>275</v>
      </c>
    </row>
    <row r="6522" spans="1:22" s="841" customFormat="1" ht="15" x14ac:dyDescent="0.25">
      <c r="A6522" s="841" t="s">
        <v>185</v>
      </c>
      <c r="B6522" s="841" t="s">
        <v>4076</v>
      </c>
      <c r="E6522" s="1694" t="s">
        <v>3067</v>
      </c>
      <c r="F6522" s="1907"/>
      <c r="G6522" s="1907"/>
      <c r="H6522" s="1907"/>
      <c r="K6522" s="841" t="s">
        <v>3099</v>
      </c>
      <c r="M6522" s="1357"/>
      <c r="Q6522" s="1357"/>
      <c r="S6522" s="1420"/>
      <c r="T6522" s="1420"/>
      <c r="V6522" s="1357">
        <v>46</v>
      </c>
    </row>
    <row r="6523" spans="1:22" s="841" customFormat="1" ht="15" x14ac:dyDescent="0.25">
      <c r="A6523" s="841" t="s">
        <v>185</v>
      </c>
      <c r="B6523" s="841" t="s">
        <v>4076</v>
      </c>
      <c r="E6523" s="1690" t="s">
        <v>11</v>
      </c>
      <c r="F6523" s="1690"/>
      <c r="G6523" s="1408" t="s">
        <v>23</v>
      </c>
      <c r="H6523" s="391">
        <v>322.06</v>
      </c>
      <c r="K6523" s="841" t="s">
        <v>6095</v>
      </c>
      <c r="L6523" s="841" t="s">
        <v>442</v>
      </c>
      <c r="M6523" s="1357"/>
      <c r="P6523" s="841" t="s">
        <v>6096</v>
      </c>
      <c r="Q6523" s="1357"/>
      <c r="S6523" s="1420"/>
      <c r="T6523" s="1420"/>
      <c r="V6523" s="1357">
        <v>14</v>
      </c>
    </row>
    <row r="6524" spans="1:22" s="841" customFormat="1" ht="15" x14ac:dyDescent="0.25">
      <c r="A6524" s="841" t="s">
        <v>185</v>
      </c>
      <c r="B6524" s="841" t="s">
        <v>4076</v>
      </c>
      <c r="E6524" s="1690" t="s">
        <v>84</v>
      </c>
      <c r="F6524" s="1690"/>
      <c r="G6524" s="1408" t="s">
        <v>33</v>
      </c>
      <c r="H6524" s="393">
        <v>2.8961000000000001</v>
      </c>
      <c r="K6524" s="841" t="s">
        <v>6095</v>
      </c>
      <c r="L6524" s="841" t="s">
        <v>442</v>
      </c>
      <c r="M6524" s="1357"/>
      <c r="P6524" s="841" t="s">
        <v>6097</v>
      </c>
      <c r="Q6524" s="1357"/>
      <c r="S6524" s="1420"/>
      <c r="T6524" s="1420"/>
      <c r="V6524" s="1357">
        <v>28</v>
      </c>
    </row>
    <row r="6525" spans="1:22" s="841" customFormat="1" ht="15" x14ac:dyDescent="0.25">
      <c r="A6525" s="841" t="s">
        <v>185</v>
      </c>
      <c r="B6525" s="841" t="s">
        <v>4076</v>
      </c>
      <c r="E6525" s="1690" t="s">
        <v>18</v>
      </c>
      <c r="F6525" s="1690"/>
      <c r="G6525" s="1408" t="s">
        <v>33</v>
      </c>
      <c r="H6525" s="393">
        <v>1.387</v>
      </c>
      <c r="K6525" s="841" t="s">
        <v>6095</v>
      </c>
      <c r="L6525" s="841" t="s">
        <v>443</v>
      </c>
      <c r="M6525" s="1357"/>
      <c r="P6525" s="841" t="s">
        <v>6098</v>
      </c>
      <c r="Q6525" s="1357"/>
      <c r="S6525" s="1420"/>
      <c r="T6525" s="1420"/>
      <c r="V6525" s="1357">
        <v>24</v>
      </c>
    </row>
    <row r="6526" spans="1:22" s="841" customFormat="1" ht="15" x14ac:dyDescent="0.25">
      <c r="A6526" s="841" t="s">
        <v>185</v>
      </c>
      <c r="B6526" s="841" t="s">
        <v>4076</v>
      </c>
      <c r="E6526" s="1690" t="s">
        <v>5383</v>
      </c>
      <c r="F6526" s="1908"/>
      <c r="G6526" s="1408" t="s">
        <v>33</v>
      </c>
      <c r="H6526" s="393">
        <v>2.47E-2</v>
      </c>
      <c r="K6526" s="841" t="s">
        <v>6095</v>
      </c>
      <c r="L6526" s="841" t="s">
        <v>442</v>
      </c>
      <c r="M6526" s="1357"/>
      <c r="P6526" s="841" t="s">
        <v>6213</v>
      </c>
      <c r="Q6526" s="1357"/>
      <c r="S6526" s="1420"/>
      <c r="T6526" s="1420">
        <v>43585</v>
      </c>
      <c r="V6526" s="1357">
        <v>80</v>
      </c>
    </row>
    <row r="6527" spans="1:22" s="841" customFormat="1" ht="15" x14ac:dyDescent="0.25">
      <c r="A6527" s="841" t="s">
        <v>185</v>
      </c>
      <c r="B6527" s="841" t="s">
        <v>4076</v>
      </c>
      <c r="E6527" s="1690" t="s">
        <v>221</v>
      </c>
      <c r="F6527" s="1690"/>
      <c r="G6527" s="1408" t="s">
        <v>33</v>
      </c>
      <c r="H6527" s="393">
        <v>2.1379999999999999</v>
      </c>
      <c r="K6527" s="841" t="s">
        <v>6095</v>
      </c>
      <c r="L6527" s="841" t="s">
        <v>444</v>
      </c>
      <c r="M6527" s="1357"/>
      <c r="P6527" s="841" t="s">
        <v>6099</v>
      </c>
      <c r="Q6527" s="1357"/>
      <c r="S6527" s="1420"/>
      <c r="T6527" s="1420"/>
      <c r="V6527" s="1357">
        <v>47</v>
      </c>
    </row>
    <row r="6528" spans="1:22" s="841" customFormat="1" ht="15" x14ac:dyDescent="0.25">
      <c r="A6528" s="841" t="s">
        <v>185</v>
      </c>
      <c r="B6528" s="841" t="s">
        <v>4076</v>
      </c>
      <c r="E6528" s="1690" t="s">
        <v>217</v>
      </c>
      <c r="F6528" s="1690"/>
      <c r="G6528" s="1408" t="s">
        <v>33</v>
      </c>
      <c r="H6528" s="393">
        <v>1.7765</v>
      </c>
      <c r="K6528" s="841" t="s">
        <v>6095</v>
      </c>
      <c r="L6528" s="841" t="s">
        <v>444</v>
      </c>
      <c r="M6528" s="1357"/>
      <c r="P6528" s="841" t="s">
        <v>6100</v>
      </c>
      <c r="Q6528" s="1357"/>
      <c r="S6528" s="1420"/>
      <c r="T6528" s="1420"/>
      <c r="V6528" s="1357">
        <v>74</v>
      </c>
    </row>
    <row r="6529" spans="1:22" s="841" customFormat="1" ht="15" x14ac:dyDescent="0.25">
      <c r="A6529" s="841" t="s">
        <v>185</v>
      </c>
      <c r="B6529" s="841" t="s">
        <v>4076</v>
      </c>
      <c r="E6529" s="1694" t="s">
        <v>3079</v>
      </c>
      <c r="F6529" s="1690"/>
      <c r="G6529" s="1690"/>
      <c r="H6529" s="1690"/>
      <c r="K6529" s="841" t="s">
        <v>3218</v>
      </c>
      <c r="M6529" s="1357"/>
      <c r="Q6529" s="1357"/>
      <c r="S6529" s="1420"/>
      <c r="T6529" s="1420"/>
      <c r="V6529" s="1357">
        <v>48</v>
      </c>
    </row>
    <row r="6530" spans="1:22" s="841" customFormat="1" ht="15" x14ac:dyDescent="0.25">
      <c r="A6530" s="841" t="s">
        <v>185</v>
      </c>
      <c r="B6530" s="841" t="s">
        <v>4076</v>
      </c>
      <c r="E6530" s="1690" t="s">
        <v>2449</v>
      </c>
      <c r="F6530" s="1690"/>
      <c r="G6530" s="1408" t="s">
        <v>24</v>
      </c>
      <c r="H6530" s="393">
        <v>3.2000000000000002E-3</v>
      </c>
      <c r="K6530" s="841" t="s">
        <v>6095</v>
      </c>
      <c r="L6530" s="841" t="s">
        <v>3046</v>
      </c>
      <c r="M6530" s="1357"/>
      <c r="P6530" s="841" t="s">
        <v>6101</v>
      </c>
      <c r="Q6530" s="1357"/>
      <c r="S6530" s="1420"/>
      <c r="T6530" s="1420"/>
      <c r="V6530" s="1357">
        <v>55</v>
      </c>
    </row>
    <row r="6531" spans="1:22" s="841" customFormat="1" ht="15" x14ac:dyDescent="0.25">
      <c r="A6531" s="841" t="s">
        <v>185</v>
      </c>
      <c r="B6531" s="841" t="s">
        <v>4076</v>
      </c>
      <c r="E6531" s="1690" t="s">
        <v>2450</v>
      </c>
      <c r="F6531" s="1690"/>
      <c r="G6531" s="1408" t="s">
        <v>24</v>
      </c>
      <c r="H6531" s="393">
        <v>4.0000000000000002E-4</v>
      </c>
      <c r="K6531" s="841" t="s">
        <v>6095</v>
      </c>
      <c r="L6531" s="841" t="s">
        <v>3046</v>
      </c>
      <c r="M6531" s="1357"/>
      <c r="P6531" s="841" t="s">
        <v>6101</v>
      </c>
      <c r="Q6531" s="1357"/>
      <c r="S6531" s="1420"/>
      <c r="T6531" s="1420"/>
      <c r="V6531" s="1357">
        <v>65</v>
      </c>
    </row>
    <row r="6532" spans="1:22" s="841" customFormat="1" ht="15" x14ac:dyDescent="0.25">
      <c r="A6532" s="841" t="s">
        <v>185</v>
      </c>
      <c r="B6532" s="841" t="s">
        <v>4076</v>
      </c>
      <c r="E6532" s="1690" t="s">
        <v>439</v>
      </c>
      <c r="F6532" s="1690"/>
      <c r="G6532" s="1408" t="s">
        <v>24</v>
      </c>
      <c r="H6532" s="393">
        <v>2.9999999999999997E-4</v>
      </c>
      <c r="K6532" s="841" t="s">
        <v>6095</v>
      </c>
      <c r="L6532" s="841" t="s">
        <v>3046</v>
      </c>
      <c r="M6532" s="1357"/>
      <c r="P6532" s="841" t="s">
        <v>6102</v>
      </c>
      <c r="Q6532" s="1357"/>
      <c r="S6532" s="1420"/>
      <c r="T6532" s="1420"/>
      <c r="V6532" s="1357">
        <v>57</v>
      </c>
    </row>
    <row r="6533" spans="1:22" s="841" customFormat="1" ht="15" x14ac:dyDescent="0.25">
      <c r="A6533" s="841" t="s">
        <v>185</v>
      </c>
      <c r="B6533" s="841" t="s">
        <v>4076</v>
      </c>
      <c r="E6533" s="1690" t="s">
        <v>32</v>
      </c>
      <c r="F6533" s="1690"/>
      <c r="G6533" s="1408" t="s">
        <v>23</v>
      </c>
      <c r="H6533" s="391">
        <v>0.25</v>
      </c>
      <c r="K6533" s="841" t="s">
        <v>6095</v>
      </c>
      <c r="L6533" s="841" t="s">
        <v>3046</v>
      </c>
      <c r="M6533" s="1357"/>
      <c r="P6533" s="841" t="s">
        <v>6103</v>
      </c>
      <c r="Q6533" s="1357"/>
      <c r="S6533" s="1420"/>
      <c r="T6533" s="1420"/>
      <c r="V6533" s="1357">
        <v>63</v>
      </c>
    </row>
    <row r="6534" spans="1:22" s="841" customFormat="1" x14ac:dyDescent="0.25">
      <c r="A6534" s="841" t="s">
        <v>185</v>
      </c>
      <c r="B6534" s="841" t="s">
        <v>4076</v>
      </c>
      <c r="E6534" s="1909" t="s">
        <v>617</v>
      </c>
      <c r="F6534" s="1923"/>
      <c r="G6534" s="1923"/>
      <c r="H6534" s="1923"/>
      <c r="K6534" s="841" t="s">
        <v>3406</v>
      </c>
      <c r="M6534" s="1357"/>
      <c r="Q6534" s="1357"/>
      <c r="S6534" s="1420"/>
      <c r="T6534" s="1420"/>
      <c r="V6534" s="1357">
        <v>47</v>
      </c>
    </row>
    <row r="6535" spans="1:22" s="841" customFormat="1" ht="15" x14ac:dyDescent="0.25">
      <c r="A6535" s="841" t="s">
        <v>185</v>
      </c>
      <c r="B6535" s="841" t="s">
        <v>4076</v>
      </c>
      <c r="E6535" s="1689" t="s">
        <v>4081</v>
      </c>
      <c r="F6535" s="1689"/>
      <c r="G6535" s="1689"/>
      <c r="H6535" s="1689"/>
      <c r="K6535" s="841" t="s">
        <v>3406</v>
      </c>
      <c r="M6535" s="1357"/>
      <c r="Q6535" s="1357"/>
      <c r="S6535" s="1420"/>
      <c r="T6535" s="1420"/>
      <c r="V6535" s="1357">
        <v>415</v>
      </c>
    </row>
    <row r="6536" spans="1:22" s="841" customFormat="1" ht="15" x14ac:dyDescent="0.25">
      <c r="A6536" s="841" t="s">
        <v>185</v>
      </c>
      <c r="B6536" s="841" t="s">
        <v>4076</v>
      </c>
      <c r="E6536" s="1916" t="s">
        <v>3061</v>
      </c>
      <c r="F6536" s="1689"/>
      <c r="G6536" s="1689"/>
      <c r="H6536" s="1689"/>
      <c r="K6536" s="841" t="s">
        <v>3221</v>
      </c>
      <c r="M6536" s="1357"/>
      <c r="Q6536" s="1357"/>
      <c r="S6536" s="1420"/>
      <c r="T6536" s="1420"/>
      <c r="V6536" s="1357">
        <v>11</v>
      </c>
    </row>
    <row r="6537" spans="1:22" s="841" customFormat="1" ht="15" x14ac:dyDescent="0.25">
      <c r="A6537" s="841" t="s">
        <v>185</v>
      </c>
      <c r="B6537" s="841" t="s">
        <v>4076</v>
      </c>
      <c r="E6537" s="1689" t="s">
        <v>3063</v>
      </c>
      <c r="F6537" s="1689"/>
      <c r="G6537" s="1689"/>
      <c r="H6537" s="1689"/>
      <c r="K6537" s="841" t="s">
        <v>3406</v>
      </c>
      <c r="M6537" s="1357"/>
      <c r="Q6537" s="1357"/>
      <c r="S6537" s="1420"/>
      <c r="T6537" s="1420"/>
      <c r="V6537" s="1357">
        <v>280</v>
      </c>
    </row>
    <row r="6538" spans="1:22" s="841" customFormat="1" ht="15" x14ac:dyDescent="0.25">
      <c r="A6538" s="841" t="s">
        <v>185</v>
      </c>
      <c r="B6538" s="841" t="s">
        <v>4076</v>
      </c>
      <c r="E6538" s="1689" t="s">
        <v>3064</v>
      </c>
      <c r="F6538" s="1689"/>
      <c r="G6538" s="1689"/>
      <c r="H6538" s="1689"/>
      <c r="K6538" s="841" t="s">
        <v>3406</v>
      </c>
      <c r="M6538" s="1357"/>
      <c r="Q6538" s="1357"/>
      <c r="S6538" s="1420"/>
      <c r="T6538" s="1420"/>
      <c r="V6538" s="1357">
        <v>411</v>
      </c>
    </row>
    <row r="6539" spans="1:22" s="841" customFormat="1" ht="15" x14ac:dyDescent="0.25">
      <c r="A6539" s="841" t="s">
        <v>185</v>
      </c>
      <c r="B6539" s="841" t="s">
        <v>4076</v>
      </c>
      <c r="E6539" s="1689" t="s">
        <v>3065</v>
      </c>
      <c r="F6539" s="1689"/>
      <c r="G6539" s="1689"/>
      <c r="H6539" s="1689"/>
      <c r="K6539" s="841" t="s">
        <v>3406</v>
      </c>
      <c r="M6539" s="1357"/>
      <c r="Q6539" s="1357"/>
      <c r="S6539" s="1420"/>
      <c r="T6539" s="1420"/>
      <c r="V6539" s="1357">
        <v>387</v>
      </c>
    </row>
    <row r="6540" spans="1:22" s="841" customFormat="1" ht="15" x14ac:dyDescent="0.25">
      <c r="A6540" s="841" t="s">
        <v>185</v>
      </c>
      <c r="B6540" s="841" t="s">
        <v>4076</v>
      </c>
      <c r="E6540" s="1689" t="s">
        <v>3200</v>
      </c>
      <c r="F6540" s="1689"/>
      <c r="G6540" s="1689"/>
      <c r="H6540" s="1689"/>
      <c r="K6540" s="841" t="s">
        <v>3406</v>
      </c>
      <c r="M6540" s="1357"/>
      <c r="Q6540" s="1357"/>
      <c r="S6540" s="1420"/>
      <c r="T6540" s="1420"/>
      <c r="V6540" s="1357">
        <v>275</v>
      </c>
    </row>
    <row r="6541" spans="1:22" s="841" customFormat="1" ht="15" x14ac:dyDescent="0.25">
      <c r="A6541" s="841" t="s">
        <v>185</v>
      </c>
      <c r="B6541" s="841" t="s">
        <v>4076</v>
      </c>
      <c r="E6541" s="1694" t="s">
        <v>3067</v>
      </c>
      <c r="F6541" s="1907"/>
      <c r="G6541" s="1907"/>
      <c r="H6541" s="1907"/>
      <c r="K6541" s="841" t="s">
        <v>3224</v>
      </c>
      <c r="M6541" s="1357"/>
      <c r="Q6541" s="1357"/>
      <c r="S6541" s="1420"/>
      <c r="T6541" s="1420"/>
      <c r="V6541" s="1357">
        <v>46</v>
      </c>
    </row>
    <row r="6542" spans="1:22" s="841" customFormat="1" ht="15" x14ac:dyDescent="0.25">
      <c r="A6542" s="841" t="s">
        <v>185</v>
      </c>
      <c r="B6542" s="841" t="s">
        <v>4076</v>
      </c>
      <c r="E6542" s="1690" t="s">
        <v>11</v>
      </c>
      <c r="F6542" s="1690"/>
      <c r="G6542" s="1408" t="s">
        <v>23</v>
      </c>
      <c r="H6542" s="391">
        <v>13.08</v>
      </c>
      <c r="K6542" s="841" t="s">
        <v>3406</v>
      </c>
      <c r="L6542" s="841" t="s">
        <v>442</v>
      </c>
      <c r="M6542" s="1357"/>
      <c r="P6542" s="841" t="s">
        <v>3408</v>
      </c>
      <c r="Q6542" s="1357"/>
      <c r="S6542" s="1420"/>
      <c r="T6542" s="1420"/>
      <c r="V6542" s="1357">
        <v>14</v>
      </c>
    </row>
    <row r="6543" spans="1:22" s="841" customFormat="1" ht="15" x14ac:dyDescent="0.25">
      <c r="A6543" s="841" t="s">
        <v>185</v>
      </c>
      <c r="B6543" s="841" t="s">
        <v>4076</v>
      </c>
      <c r="E6543" s="1690" t="s">
        <v>84</v>
      </c>
      <c r="F6543" s="1690"/>
      <c r="G6543" s="1408" t="s">
        <v>24</v>
      </c>
      <c r="H6543" s="393">
        <v>6.0000000000000001E-3</v>
      </c>
      <c r="K6543" s="841" t="s">
        <v>3406</v>
      </c>
      <c r="L6543" s="841" t="s">
        <v>442</v>
      </c>
      <c r="M6543" s="1357"/>
      <c r="P6543" s="841" t="s">
        <v>3409</v>
      </c>
      <c r="Q6543" s="1357"/>
      <c r="S6543" s="1420"/>
      <c r="T6543" s="1420"/>
      <c r="V6543" s="1357">
        <v>28</v>
      </c>
    </row>
    <row r="6544" spans="1:22" s="841" customFormat="1" ht="15" x14ac:dyDescent="0.25">
      <c r="A6544" s="841" t="s">
        <v>185</v>
      </c>
      <c r="B6544" s="841" t="s">
        <v>4076</v>
      </c>
      <c r="E6544" s="1690" t="s">
        <v>18</v>
      </c>
      <c r="F6544" s="1690"/>
      <c r="G6544" s="1408" t="s">
        <v>24</v>
      </c>
      <c r="H6544" s="393">
        <v>3.0000000000000001E-3</v>
      </c>
      <c r="K6544" s="841" t="s">
        <v>3406</v>
      </c>
      <c r="L6544" s="841" t="s">
        <v>443</v>
      </c>
      <c r="M6544" s="1357"/>
      <c r="P6544" s="841" t="s">
        <v>3549</v>
      </c>
      <c r="Q6544" s="1357"/>
      <c r="S6544" s="1420"/>
      <c r="T6544" s="1420"/>
      <c r="V6544" s="1357">
        <v>24</v>
      </c>
    </row>
    <row r="6545" spans="1:22" s="841" customFormat="1" ht="15" x14ac:dyDescent="0.25">
      <c r="A6545" s="841" t="s">
        <v>185</v>
      </c>
      <c r="B6545" s="841" t="s">
        <v>4076</v>
      </c>
      <c r="E6545" s="1690" t="s">
        <v>5383</v>
      </c>
      <c r="F6545" s="1908"/>
      <c r="G6545" s="1408" t="s">
        <v>24</v>
      </c>
      <c r="H6545" s="393">
        <v>2.9999999999999997E-4</v>
      </c>
      <c r="K6545" s="841" t="s">
        <v>3406</v>
      </c>
      <c r="L6545" s="841" t="s">
        <v>442</v>
      </c>
      <c r="M6545" s="1357"/>
      <c r="P6545" s="841" t="s">
        <v>4147</v>
      </c>
      <c r="Q6545" s="1357"/>
      <c r="S6545" s="1420"/>
      <c r="T6545" s="1420">
        <v>43585</v>
      </c>
      <c r="V6545" s="1357">
        <v>80</v>
      </c>
    </row>
    <row r="6546" spans="1:22" s="841" customFormat="1" ht="15" x14ac:dyDescent="0.25">
      <c r="A6546" s="841" t="s">
        <v>185</v>
      </c>
      <c r="B6546" s="841" t="s">
        <v>4076</v>
      </c>
      <c r="E6546" s="1690" t="s">
        <v>221</v>
      </c>
      <c r="F6546" s="1690"/>
      <c r="G6546" s="1408" t="s">
        <v>24</v>
      </c>
      <c r="H6546" s="393">
        <v>5.0000000000000001E-3</v>
      </c>
      <c r="K6546" s="841" t="s">
        <v>3406</v>
      </c>
      <c r="L6546" s="841" t="s">
        <v>444</v>
      </c>
      <c r="M6546" s="1357"/>
      <c r="P6546" s="841" t="s">
        <v>3412</v>
      </c>
      <c r="Q6546" s="1357"/>
      <c r="S6546" s="1420"/>
      <c r="T6546" s="1420"/>
      <c r="V6546" s="1357">
        <v>47</v>
      </c>
    </row>
    <row r="6547" spans="1:22" s="841" customFormat="1" ht="15" x14ac:dyDescent="0.25">
      <c r="A6547" s="841" t="s">
        <v>185</v>
      </c>
      <c r="B6547" s="841" t="s">
        <v>4076</v>
      </c>
      <c r="E6547" s="1690" t="s">
        <v>217</v>
      </c>
      <c r="F6547" s="1690"/>
      <c r="G6547" s="1408" t="s">
        <v>24</v>
      </c>
      <c r="H6547" s="393">
        <v>4.1999999999999997E-3</v>
      </c>
      <c r="K6547" s="841" t="s">
        <v>3406</v>
      </c>
      <c r="L6547" s="841" t="s">
        <v>444</v>
      </c>
      <c r="M6547" s="1357"/>
      <c r="P6547" s="841" t="s">
        <v>3413</v>
      </c>
      <c r="Q6547" s="1357"/>
      <c r="S6547" s="1420"/>
      <c r="T6547" s="1420"/>
      <c r="V6547" s="1357">
        <v>74</v>
      </c>
    </row>
    <row r="6548" spans="1:22" s="841" customFormat="1" ht="15" x14ac:dyDescent="0.25">
      <c r="A6548" s="841" t="s">
        <v>185</v>
      </c>
      <c r="B6548" s="841" t="s">
        <v>4076</v>
      </c>
      <c r="E6548" s="1694" t="s">
        <v>3079</v>
      </c>
      <c r="F6548" s="1690"/>
      <c r="G6548" s="1690"/>
      <c r="H6548" s="1690"/>
      <c r="K6548" s="841" t="s">
        <v>3225</v>
      </c>
      <c r="M6548" s="1357"/>
      <c r="Q6548" s="1357"/>
      <c r="S6548" s="1420"/>
      <c r="T6548" s="1420"/>
      <c r="V6548" s="1357">
        <v>48</v>
      </c>
    </row>
    <row r="6549" spans="1:22" s="841" customFormat="1" ht="15" x14ac:dyDescent="0.25">
      <c r="A6549" s="841" t="s">
        <v>185</v>
      </c>
      <c r="B6549" s="841" t="s">
        <v>4076</v>
      </c>
      <c r="E6549" s="1690" t="s">
        <v>2449</v>
      </c>
      <c r="F6549" s="1690"/>
      <c r="G6549" s="1408" t="s">
        <v>24</v>
      </c>
      <c r="H6549" s="393">
        <v>3.2000000000000002E-3</v>
      </c>
      <c r="K6549" s="841" t="s">
        <v>3406</v>
      </c>
      <c r="L6549" s="841" t="s">
        <v>3046</v>
      </c>
      <c r="M6549" s="1357"/>
      <c r="P6549" s="841" t="s">
        <v>3414</v>
      </c>
      <c r="Q6549" s="1357"/>
      <c r="S6549" s="1420"/>
      <c r="T6549" s="1420"/>
      <c r="V6549" s="1357">
        <v>55</v>
      </c>
    </row>
    <row r="6550" spans="1:22" s="841" customFormat="1" ht="15" x14ac:dyDescent="0.25">
      <c r="A6550" s="841" t="s">
        <v>185</v>
      </c>
      <c r="B6550" s="841" t="s">
        <v>4076</v>
      </c>
      <c r="E6550" s="1690" t="s">
        <v>2450</v>
      </c>
      <c r="F6550" s="1690"/>
      <c r="G6550" s="1408" t="s">
        <v>24</v>
      </c>
      <c r="H6550" s="393">
        <v>4.0000000000000002E-4</v>
      </c>
      <c r="K6550" s="841" t="s">
        <v>3406</v>
      </c>
      <c r="L6550" s="841" t="s">
        <v>3046</v>
      </c>
      <c r="M6550" s="1357"/>
      <c r="P6550" s="841" t="s">
        <v>3414</v>
      </c>
      <c r="Q6550" s="1357"/>
      <c r="S6550" s="1420"/>
      <c r="T6550" s="1420"/>
      <c r="V6550" s="1357">
        <v>65</v>
      </c>
    </row>
    <row r="6551" spans="1:22" s="841" customFormat="1" ht="15" x14ac:dyDescent="0.25">
      <c r="A6551" s="841" t="s">
        <v>185</v>
      </c>
      <c r="B6551" s="841" t="s">
        <v>4076</v>
      </c>
      <c r="E6551" s="1690" t="s">
        <v>439</v>
      </c>
      <c r="F6551" s="1690"/>
      <c r="G6551" s="1408" t="s">
        <v>24</v>
      </c>
      <c r="H6551" s="393">
        <v>2.9999999999999997E-4</v>
      </c>
      <c r="K6551" s="841" t="s">
        <v>3406</v>
      </c>
      <c r="L6551" s="841" t="s">
        <v>3046</v>
      </c>
      <c r="M6551" s="1357"/>
      <c r="P6551" s="841" t="s">
        <v>3415</v>
      </c>
      <c r="Q6551" s="1357"/>
      <c r="S6551" s="1420"/>
      <c r="T6551" s="1420"/>
      <c r="V6551" s="1357">
        <v>57</v>
      </c>
    </row>
    <row r="6552" spans="1:22" s="841" customFormat="1" ht="15" x14ac:dyDescent="0.25">
      <c r="A6552" s="841" t="s">
        <v>185</v>
      </c>
      <c r="B6552" s="841" t="s">
        <v>4076</v>
      </c>
      <c r="E6552" s="1690" t="s">
        <v>32</v>
      </c>
      <c r="F6552" s="1690"/>
      <c r="G6552" s="1408" t="s">
        <v>23</v>
      </c>
      <c r="H6552" s="391">
        <v>0.25</v>
      </c>
      <c r="K6552" s="841" t="s">
        <v>3406</v>
      </c>
      <c r="L6552" s="841" t="s">
        <v>3046</v>
      </c>
      <c r="M6552" s="1357"/>
      <c r="P6552" s="841" t="s">
        <v>3416</v>
      </c>
      <c r="Q6552" s="1357"/>
      <c r="S6552" s="1420"/>
      <c r="T6552" s="1420"/>
      <c r="V6552" s="1357">
        <v>63</v>
      </c>
    </row>
    <row r="6553" spans="1:22" s="841" customFormat="1" x14ac:dyDescent="0.25">
      <c r="A6553" s="841" t="s">
        <v>185</v>
      </c>
      <c r="B6553" s="841" t="s">
        <v>4076</v>
      </c>
      <c r="E6553" s="1909" t="s">
        <v>629</v>
      </c>
      <c r="F6553" s="1923"/>
      <c r="G6553" s="1923"/>
      <c r="H6553" s="1923"/>
      <c r="K6553" s="841" t="s">
        <v>3571</v>
      </c>
      <c r="M6553" s="1357"/>
      <c r="Q6553" s="1357"/>
      <c r="S6553" s="1420"/>
      <c r="T6553" s="1420"/>
      <c r="V6553" s="1357">
        <v>40</v>
      </c>
    </row>
    <row r="6554" spans="1:22" s="841" customFormat="1" ht="15" x14ac:dyDescent="0.25">
      <c r="A6554" s="841" t="s">
        <v>185</v>
      </c>
      <c r="B6554" s="841" t="s">
        <v>4076</v>
      </c>
      <c r="E6554" s="1689" t="s">
        <v>4082</v>
      </c>
      <c r="F6554" s="1689"/>
      <c r="G6554" s="1689"/>
      <c r="H6554" s="1689"/>
      <c r="K6554" s="841" t="s">
        <v>3571</v>
      </c>
      <c r="M6554" s="1357"/>
      <c r="Q6554" s="1357"/>
      <c r="S6554" s="1420"/>
      <c r="T6554" s="1420"/>
      <c r="V6554" s="1357">
        <v>250</v>
      </c>
    </row>
    <row r="6555" spans="1:22" s="841" customFormat="1" ht="15" x14ac:dyDescent="0.25">
      <c r="A6555" s="841" t="s">
        <v>185</v>
      </c>
      <c r="B6555" s="841" t="s">
        <v>4076</v>
      </c>
      <c r="E6555" s="1916" t="s">
        <v>3061</v>
      </c>
      <c r="F6555" s="1689"/>
      <c r="G6555" s="1689"/>
      <c r="H6555" s="1689"/>
      <c r="K6555" s="841" t="s">
        <v>3107</v>
      </c>
      <c r="M6555" s="1357"/>
      <c r="Q6555" s="1357"/>
      <c r="S6555" s="1420"/>
      <c r="T6555" s="1420"/>
      <c r="V6555" s="1357">
        <v>11</v>
      </c>
    </row>
    <row r="6556" spans="1:22" s="841" customFormat="1" ht="15" x14ac:dyDescent="0.25">
      <c r="A6556" s="841" t="s">
        <v>185</v>
      </c>
      <c r="B6556" s="841" t="s">
        <v>4076</v>
      </c>
      <c r="E6556" s="1689" t="s">
        <v>3063</v>
      </c>
      <c r="F6556" s="1689"/>
      <c r="G6556" s="1689"/>
      <c r="H6556" s="1689"/>
      <c r="K6556" s="841" t="s">
        <v>3571</v>
      </c>
      <c r="M6556" s="1357"/>
      <c r="Q6556" s="1357"/>
      <c r="S6556" s="1420"/>
      <c r="T6556" s="1420"/>
      <c r="V6556" s="1357">
        <v>280</v>
      </c>
    </row>
    <row r="6557" spans="1:22" s="841" customFormat="1" ht="15" x14ac:dyDescent="0.25">
      <c r="A6557" s="841" t="s">
        <v>185</v>
      </c>
      <c r="B6557" s="841" t="s">
        <v>4076</v>
      </c>
      <c r="E6557" s="1689" t="s">
        <v>3064</v>
      </c>
      <c r="F6557" s="1689"/>
      <c r="G6557" s="1689"/>
      <c r="H6557" s="1689"/>
      <c r="K6557" s="841" t="s">
        <v>3571</v>
      </c>
      <c r="M6557" s="1357"/>
      <c r="Q6557" s="1357"/>
      <c r="S6557" s="1420"/>
      <c r="T6557" s="1420"/>
      <c r="V6557" s="1357">
        <v>411</v>
      </c>
    </row>
    <row r="6558" spans="1:22" s="841" customFormat="1" ht="15" x14ac:dyDescent="0.25">
      <c r="A6558" s="841" t="s">
        <v>185</v>
      </c>
      <c r="B6558" s="841" t="s">
        <v>4076</v>
      </c>
      <c r="E6558" s="1689" t="s">
        <v>3065</v>
      </c>
      <c r="F6558" s="1689"/>
      <c r="G6558" s="1689"/>
      <c r="H6558" s="1689"/>
      <c r="K6558" s="841" t="s">
        <v>3571</v>
      </c>
      <c r="M6558" s="1357"/>
      <c r="Q6558" s="1357"/>
      <c r="S6558" s="1420"/>
      <c r="T6558" s="1420"/>
      <c r="V6558" s="1357">
        <v>387</v>
      </c>
    </row>
    <row r="6559" spans="1:22" s="841" customFormat="1" ht="15" x14ac:dyDescent="0.25">
      <c r="A6559" s="841" t="s">
        <v>185</v>
      </c>
      <c r="B6559" s="841" t="s">
        <v>4076</v>
      </c>
      <c r="E6559" s="1689" t="s">
        <v>3200</v>
      </c>
      <c r="F6559" s="1689"/>
      <c r="G6559" s="1689"/>
      <c r="H6559" s="1689"/>
      <c r="K6559" s="841" t="s">
        <v>3571</v>
      </c>
      <c r="M6559" s="1357"/>
      <c r="Q6559" s="1357"/>
      <c r="S6559" s="1420"/>
      <c r="T6559" s="1420"/>
      <c r="V6559" s="1357">
        <v>275</v>
      </c>
    </row>
    <row r="6560" spans="1:22" s="841" customFormat="1" ht="15" x14ac:dyDescent="0.25">
      <c r="A6560" s="841" t="s">
        <v>185</v>
      </c>
      <c r="B6560" s="841" t="s">
        <v>4076</v>
      </c>
      <c r="E6560" s="1694" t="s">
        <v>3067</v>
      </c>
      <c r="F6560" s="1907"/>
      <c r="G6560" s="1907"/>
      <c r="H6560" s="1907"/>
      <c r="K6560" s="841" t="s">
        <v>3108</v>
      </c>
      <c r="M6560" s="1357"/>
      <c r="Q6560" s="1357"/>
      <c r="S6560" s="1420"/>
      <c r="T6560" s="1420"/>
      <c r="V6560" s="1357">
        <v>46</v>
      </c>
    </row>
    <row r="6561" spans="1:22" s="841" customFormat="1" ht="15" x14ac:dyDescent="0.25">
      <c r="A6561" s="841" t="s">
        <v>185</v>
      </c>
      <c r="B6561" s="841" t="s">
        <v>4076</v>
      </c>
      <c r="E6561" s="1690" t="s">
        <v>11</v>
      </c>
      <c r="F6561" s="1690"/>
      <c r="G6561" s="1408" t="s">
        <v>23</v>
      </c>
      <c r="H6561" s="391">
        <v>6.55</v>
      </c>
      <c r="K6561" s="841" t="s">
        <v>3571</v>
      </c>
      <c r="L6561" s="841" t="s">
        <v>442</v>
      </c>
      <c r="M6561" s="1357"/>
      <c r="P6561" s="841" t="s">
        <v>3573</v>
      </c>
      <c r="Q6561" s="1357"/>
      <c r="S6561" s="1420"/>
      <c r="T6561" s="1420"/>
      <c r="V6561" s="1357">
        <v>14</v>
      </c>
    </row>
    <row r="6562" spans="1:22" s="841" customFormat="1" ht="15" x14ac:dyDescent="0.25">
      <c r="A6562" s="841" t="s">
        <v>185</v>
      </c>
      <c r="B6562" s="841" t="s">
        <v>4076</v>
      </c>
      <c r="E6562" s="1690" t="s">
        <v>84</v>
      </c>
      <c r="F6562" s="1690"/>
      <c r="G6562" s="1408" t="s">
        <v>33</v>
      </c>
      <c r="H6562" s="393">
        <v>22.676500000000001</v>
      </c>
      <c r="K6562" s="841" t="s">
        <v>3571</v>
      </c>
      <c r="L6562" s="841" t="s">
        <v>442</v>
      </c>
      <c r="M6562" s="1357"/>
      <c r="P6562" s="841" t="s">
        <v>3574</v>
      </c>
      <c r="Q6562" s="1357"/>
      <c r="S6562" s="1420"/>
      <c r="T6562" s="1420"/>
      <c r="V6562" s="1357">
        <v>28</v>
      </c>
    </row>
    <row r="6563" spans="1:22" s="841" customFormat="1" ht="15" x14ac:dyDescent="0.25">
      <c r="A6563" s="841" t="s">
        <v>185</v>
      </c>
      <c r="B6563" s="841" t="s">
        <v>4076</v>
      </c>
      <c r="E6563" s="1690" t="s">
        <v>18</v>
      </c>
      <c r="F6563" s="1690"/>
      <c r="G6563" s="1408" t="s">
        <v>33</v>
      </c>
      <c r="H6563" s="393">
        <v>0.9526</v>
      </c>
      <c r="K6563" s="841" t="s">
        <v>3571</v>
      </c>
      <c r="L6563" s="841" t="s">
        <v>443</v>
      </c>
      <c r="M6563" s="1357"/>
      <c r="P6563" s="841" t="s">
        <v>3575</v>
      </c>
      <c r="Q6563" s="1357"/>
      <c r="S6563" s="1420"/>
      <c r="T6563" s="1420"/>
      <c r="V6563" s="1357">
        <v>24</v>
      </c>
    </row>
    <row r="6564" spans="1:22" s="841" customFormat="1" ht="15" x14ac:dyDescent="0.25">
      <c r="A6564" s="841" t="s">
        <v>185</v>
      </c>
      <c r="B6564" s="841" t="s">
        <v>4076</v>
      </c>
      <c r="E6564" s="1690" t="s">
        <v>5383</v>
      </c>
      <c r="F6564" s="1908"/>
      <c r="G6564" s="1408" t="s">
        <v>33</v>
      </c>
      <c r="H6564" s="393">
        <v>0.27560000000000001</v>
      </c>
      <c r="K6564" s="841" t="s">
        <v>3571</v>
      </c>
      <c r="L6564" s="841" t="s">
        <v>442</v>
      </c>
      <c r="M6564" s="1357"/>
      <c r="P6564" s="841" t="s">
        <v>4150</v>
      </c>
      <c r="Q6564" s="1357"/>
      <c r="S6564" s="1420"/>
      <c r="T6564" s="1420">
        <v>43585</v>
      </c>
      <c r="V6564" s="1357">
        <v>80</v>
      </c>
    </row>
    <row r="6565" spans="1:22" s="841" customFormat="1" ht="15" x14ac:dyDescent="0.25">
      <c r="A6565" s="841" t="s">
        <v>185</v>
      </c>
      <c r="B6565" s="841" t="s">
        <v>4076</v>
      </c>
      <c r="E6565" s="1690" t="s">
        <v>221</v>
      </c>
      <c r="F6565" s="1690"/>
      <c r="G6565" s="1408" t="s">
        <v>33</v>
      </c>
      <c r="H6565" s="393">
        <v>1.5974999999999999</v>
      </c>
      <c r="K6565" s="841" t="s">
        <v>3571</v>
      </c>
      <c r="L6565" s="841" t="s">
        <v>444</v>
      </c>
      <c r="M6565" s="1357"/>
      <c r="P6565" s="841" t="s">
        <v>3576</v>
      </c>
      <c r="Q6565" s="1357"/>
      <c r="S6565" s="1420"/>
      <c r="T6565" s="1420"/>
      <c r="V6565" s="1357">
        <v>47</v>
      </c>
    </row>
    <row r="6566" spans="1:22" s="841" customFormat="1" ht="15" x14ac:dyDescent="0.25">
      <c r="A6566" s="841" t="s">
        <v>185</v>
      </c>
      <c r="B6566" s="841" t="s">
        <v>4076</v>
      </c>
      <c r="E6566" s="1690" t="s">
        <v>217</v>
      </c>
      <c r="F6566" s="1690"/>
      <c r="G6566" s="1408" t="s">
        <v>33</v>
      </c>
      <c r="H6566" s="393">
        <v>1.3091999999999999</v>
      </c>
      <c r="K6566" s="841" t="s">
        <v>3571</v>
      </c>
      <c r="L6566" s="841" t="s">
        <v>444</v>
      </c>
      <c r="M6566" s="1357"/>
      <c r="P6566" s="841" t="s">
        <v>3577</v>
      </c>
      <c r="Q6566" s="1357"/>
      <c r="S6566" s="1420"/>
      <c r="T6566" s="1420"/>
      <c r="V6566" s="1357">
        <v>74</v>
      </c>
    </row>
    <row r="6567" spans="1:22" s="841" customFormat="1" ht="15" x14ac:dyDescent="0.25">
      <c r="A6567" s="841" t="s">
        <v>185</v>
      </c>
      <c r="B6567" s="841" t="s">
        <v>4076</v>
      </c>
      <c r="E6567" s="1694" t="s">
        <v>3079</v>
      </c>
      <c r="F6567" s="1690"/>
      <c r="G6567" s="1690"/>
      <c r="H6567" s="1690"/>
      <c r="K6567" s="841" t="s">
        <v>3111</v>
      </c>
      <c r="M6567" s="1357"/>
      <c r="Q6567" s="1357"/>
      <c r="S6567" s="1420"/>
      <c r="T6567" s="1420"/>
      <c r="V6567" s="1357">
        <v>48</v>
      </c>
    </row>
    <row r="6568" spans="1:22" s="841" customFormat="1" ht="15" x14ac:dyDescent="0.25">
      <c r="A6568" s="841" t="s">
        <v>185</v>
      </c>
      <c r="B6568" s="841" t="s">
        <v>4076</v>
      </c>
      <c r="E6568" s="1690" t="s">
        <v>2449</v>
      </c>
      <c r="F6568" s="1690"/>
      <c r="G6568" s="1408" t="s">
        <v>24</v>
      </c>
      <c r="H6568" s="393">
        <v>3.2000000000000002E-3</v>
      </c>
      <c r="K6568" s="841" t="s">
        <v>3571</v>
      </c>
      <c r="L6568" s="841" t="s">
        <v>3046</v>
      </c>
      <c r="M6568" s="1357"/>
      <c r="P6568" s="841" t="s">
        <v>3578</v>
      </c>
      <c r="Q6568" s="1357"/>
      <c r="S6568" s="1420"/>
      <c r="T6568" s="1420"/>
      <c r="V6568" s="1357">
        <v>55</v>
      </c>
    </row>
    <row r="6569" spans="1:22" s="841" customFormat="1" ht="15" x14ac:dyDescent="0.25">
      <c r="A6569" s="841" t="s">
        <v>185</v>
      </c>
      <c r="B6569" s="841" t="s">
        <v>4076</v>
      </c>
      <c r="E6569" s="1690" t="s">
        <v>2450</v>
      </c>
      <c r="F6569" s="1690"/>
      <c r="G6569" s="1408" t="s">
        <v>24</v>
      </c>
      <c r="H6569" s="393">
        <v>4.0000000000000002E-4</v>
      </c>
      <c r="K6569" s="841" t="s">
        <v>3571</v>
      </c>
      <c r="L6569" s="841" t="s">
        <v>3046</v>
      </c>
      <c r="M6569" s="1357"/>
      <c r="P6569" s="841" t="s">
        <v>3578</v>
      </c>
      <c r="Q6569" s="1357"/>
      <c r="S6569" s="1420"/>
      <c r="T6569" s="1420"/>
      <c r="V6569" s="1357">
        <v>65</v>
      </c>
    </row>
    <row r="6570" spans="1:22" s="841" customFormat="1" ht="15" x14ac:dyDescent="0.25">
      <c r="A6570" s="841" t="s">
        <v>185</v>
      </c>
      <c r="B6570" s="841" t="s">
        <v>4076</v>
      </c>
      <c r="E6570" s="1690" t="s">
        <v>439</v>
      </c>
      <c r="F6570" s="1690"/>
      <c r="G6570" s="1408" t="s">
        <v>24</v>
      </c>
      <c r="H6570" s="393">
        <v>2.9999999999999997E-4</v>
      </c>
      <c r="K6570" s="841" t="s">
        <v>3571</v>
      </c>
      <c r="L6570" s="841" t="s">
        <v>3046</v>
      </c>
      <c r="M6570" s="1357"/>
      <c r="P6570" s="841" t="s">
        <v>3579</v>
      </c>
      <c r="Q6570" s="1357"/>
      <c r="S6570" s="1420"/>
      <c r="T6570" s="1420"/>
      <c r="V6570" s="1357">
        <v>57</v>
      </c>
    </row>
    <row r="6571" spans="1:22" s="841" customFormat="1" ht="15" x14ac:dyDescent="0.25">
      <c r="A6571" s="841" t="s">
        <v>185</v>
      </c>
      <c r="B6571" s="841" t="s">
        <v>4076</v>
      </c>
      <c r="E6571" s="1690" t="s">
        <v>32</v>
      </c>
      <c r="F6571" s="1690"/>
      <c r="G6571" s="1408" t="s">
        <v>23</v>
      </c>
      <c r="H6571" s="391">
        <v>0.25</v>
      </c>
      <c r="K6571" s="841" t="s">
        <v>3571</v>
      </c>
      <c r="L6571" s="841" t="s">
        <v>3046</v>
      </c>
      <c r="M6571" s="1357"/>
      <c r="P6571" s="841" t="s">
        <v>3580</v>
      </c>
      <c r="Q6571" s="1357"/>
      <c r="S6571" s="1420"/>
      <c r="T6571" s="1420"/>
      <c r="V6571" s="1357">
        <v>63</v>
      </c>
    </row>
    <row r="6572" spans="1:22" s="841" customFormat="1" x14ac:dyDescent="0.25">
      <c r="A6572" s="841" t="s">
        <v>185</v>
      </c>
      <c r="B6572" s="841" t="s">
        <v>4076</v>
      </c>
      <c r="E6572" s="1909" t="s">
        <v>615</v>
      </c>
      <c r="F6572" s="1923"/>
      <c r="G6572" s="1923"/>
      <c r="H6572" s="1923"/>
      <c r="K6572" s="841" t="s">
        <v>3112</v>
      </c>
      <c r="M6572" s="1357"/>
      <c r="Q6572" s="1357"/>
      <c r="S6572" s="1420"/>
      <c r="T6572" s="1420"/>
      <c r="V6572" s="1357">
        <v>38</v>
      </c>
    </row>
    <row r="6573" spans="1:22" s="841" customFormat="1" ht="15" x14ac:dyDescent="0.25">
      <c r="A6573" s="841" t="s">
        <v>185</v>
      </c>
      <c r="B6573" s="841" t="s">
        <v>4076</v>
      </c>
      <c r="E6573" s="1689" t="s">
        <v>4083</v>
      </c>
      <c r="F6573" s="1689"/>
      <c r="G6573" s="1689"/>
      <c r="H6573" s="1689"/>
      <c r="K6573" s="841" t="s">
        <v>3112</v>
      </c>
      <c r="M6573" s="1357"/>
      <c r="Q6573" s="1357"/>
      <c r="S6573" s="1420"/>
      <c r="T6573" s="1420"/>
      <c r="V6573" s="1357">
        <v>526</v>
      </c>
    </row>
    <row r="6574" spans="1:22" s="841" customFormat="1" ht="15" x14ac:dyDescent="0.25">
      <c r="A6574" s="841" t="s">
        <v>185</v>
      </c>
      <c r="B6574" s="841" t="s">
        <v>4076</v>
      </c>
      <c r="E6574" s="1916" t="s">
        <v>3061</v>
      </c>
      <c r="F6574" s="1689"/>
      <c r="G6574" s="1689"/>
      <c r="H6574" s="1689"/>
      <c r="K6574" s="841" t="s">
        <v>3114</v>
      </c>
      <c r="M6574" s="1357"/>
      <c r="Q6574" s="1357"/>
      <c r="S6574" s="1420"/>
      <c r="T6574" s="1420"/>
      <c r="V6574" s="1357">
        <v>11</v>
      </c>
    </row>
    <row r="6575" spans="1:22" s="841" customFormat="1" ht="15" x14ac:dyDescent="0.25">
      <c r="A6575" s="841" t="s">
        <v>185</v>
      </c>
      <c r="B6575" s="841" t="s">
        <v>4076</v>
      </c>
      <c r="E6575" s="1689" t="s">
        <v>3063</v>
      </c>
      <c r="F6575" s="1689"/>
      <c r="G6575" s="1689"/>
      <c r="H6575" s="1689"/>
      <c r="K6575" s="841" t="s">
        <v>3112</v>
      </c>
      <c r="M6575" s="1357"/>
      <c r="Q6575" s="1357"/>
      <c r="S6575" s="1420"/>
      <c r="T6575" s="1420"/>
      <c r="V6575" s="1357">
        <v>280</v>
      </c>
    </row>
    <row r="6576" spans="1:22" s="841" customFormat="1" ht="15" x14ac:dyDescent="0.25">
      <c r="A6576" s="841" t="s">
        <v>185</v>
      </c>
      <c r="B6576" s="841" t="s">
        <v>4076</v>
      </c>
      <c r="E6576" s="1689" t="s">
        <v>3064</v>
      </c>
      <c r="F6576" s="1689"/>
      <c r="G6576" s="1689"/>
      <c r="H6576" s="1689"/>
      <c r="K6576" s="841" t="s">
        <v>3112</v>
      </c>
      <c r="M6576" s="1357"/>
      <c r="Q6576" s="1357"/>
      <c r="S6576" s="1420"/>
      <c r="T6576" s="1420"/>
      <c r="V6576" s="1357">
        <v>411</v>
      </c>
    </row>
    <row r="6577" spans="1:22" s="841" customFormat="1" ht="15" x14ac:dyDescent="0.25">
      <c r="A6577" s="841" t="s">
        <v>185</v>
      </c>
      <c r="B6577" s="841" t="s">
        <v>4076</v>
      </c>
      <c r="E6577" s="1689" t="s">
        <v>3065</v>
      </c>
      <c r="F6577" s="1689"/>
      <c r="G6577" s="1689"/>
      <c r="H6577" s="1689"/>
      <c r="K6577" s="841" t="s">
        <v>3112</v>
      </c>
      <c r="M6577" s="1357"/>
      <c r="Q6577" s="1357"/>
      <c r="S6577" s="1420"/>
      <c r="T6577" s="1420"/>
      <c r="V6577" s="1357">
        <v>387</v>
      </c>
    </row>
    <row r="6578" spans="1:22" s="841" customFormat="1" ht="15" x14ac:dyDescent="0.25">
      <c r="A6578" s="841" t="s">
        <v>185</v>
      </c>
      <c r="B6578" s="841" t="s">
        <v>4076</v>
      </c>
      <c r="E6578" s="1689" t="s">
        <v>3200</v>
      </c>
      <c r="F6578" s="1689"/>
      <c r="G6578" s="1689"/>
      <c r="H6578" s="1689"/>
      <c r="K6578" s="841" t="s">
        <v>3112</v>
      </c>
      <c r="M6578" s="1357"/>
      <c r="Q6578" s="1357"/>
      <c r="S6578" s="1420"/>
      <c r="T6578" s="1420"/>
      <c r="V6578" s="1357">
        <v>275</v>
      </c>
    </row>
    <row r="6579" spans="1:22" s="841" customFormat="1" ht="15" x14ac:dyDescent="0.25">
      <c r="A6579" s="841" t="s">
        <v>185</v>
      </c>
      <c r="B6579" s="841" t="s">
        <v>4076</v>
      </c>
      <c r="E6579" s="1694" t="s">
        <v>3067</v>
      </c>
      <c r="F6579" s="1907"/>
      <c r="G6579" s="1907"/>
      <c r="H6579" s="1907"/>
      <c r="K6579" s="841" t="s">
        <v>3115</v>
      </c>
      <c r="M6579" s="1357"/>
      <c r="Q6579" s="1357"/>
      <c r="S6579" s="1420"/>
      <c r="T6579" s="1420"/>
      <c r="V6579" s="1357">
        <v>46</v>
      </c>
    </row>
    <row r="6580" spans="1:22" s="841" customFormat="1" ht="15" x14ac:dyDescent="0.25">
      <c r="A6580" s="841" t="s">
        <v>185</v>
      </c>
      <c r="B6580" s="841" t="s">
        <v>4076</v>
      </c>
      <c r="E6580" s="1690" t="s">
        <v>11</v>
      </c>
      <c r="F6580" s="1690"/>
      <c r="G6580" s="1408" t="s">
        <v>23</v>
      </c>
      <c r="H6580" s="391">
        <v>5.39</v>
      </c>
      <c r="K6580" s="841" t="s">
        <v>3112</v>
      </c>
      <c r="L6580" s="841" t="s">
        <v>442</v>
      </c>
      <c r="M6580" s="1357"/>
      <c r="P6580" s="841" t="s">
        <v>3116</v>
      </c>
      <c r="Q6580" s="1357"/>
      <c r="S6580" s="1420"/>
      <c r="T6580" s="1420"/>
      <c r="V6580" s="1357">
        <v>14</v>
      </c>
    </row>
    <row r="6581" spans="1:22" s="841" customFormat="1" ht="15" x14ac:dyDescent="0.25">
      <c r="A6581" s="841" t="s">
        <v>185</v>
      </c>
      <c r="B6581" s="841" t="s">
        <v>4076</v>
      </c>
      <c r="E6581" s="1690" t="s">
        <v>84</v>
      </c>
      <c r="F6581" s="1690"/>
      <c r="G6581" s="1408" t="s">
        <v>33</v>
      </c>
      <c r="H6581" s="393">
        <v>16.5322</v>
      </c>
      <c r="K6581" s="841" t="s">
        <v>3112</v>
      </c>
      <c r="L6581" s="841" t="s">
        <v>442</v>
      </c>
      <c r="M6581" s="1357"/>
      <c r="P6581" s="841" t="s">
        <v>3117</v>
      </c>
      <c r="Q6581" s="1357"/>
      <c r="S6581" s="1420"/>
      <c r="T6581" s="1420"/>
      <c r="V6581" s="1357">
        <v>28</v>
      </c>
    </row>
    <row r="6582" spans="1:22" s="841" customFormat="1" ht="15" x14ac:dyDescent="0.25">
      <c r="A6582" s="841" t="s">
        <v>185</v>
      </c>
      <c r="B6582" s="841" t="s">
        <v>4076</v>
      </c>
      <c r="E6582" s="1690" t="s">
        <v>18</v>
      </c>
      <c r="F6582" s="1690"/>
      <c r="G6582" s="1408" t="s">
        <v>33</v>
      </c>
      <c r="H6582" s="393">
        <v>0.93300000000000005</v>
      </c>
      <c r="K6582" s="841" t="s">
        <v>3112</v>
      </c>
      <c r="L6582" s="841" t="s">
        <v>443</v>
      </c>
      <c r="M6582" s="1357"/>
      <c r="P6582" s="841" t="s">
        <v>3497</v>
      </c>
      <c r="Q6582" s="1357"/>
      <c r="S6582" s="1420"/>
      <c r="T6582" s="1420"/>
      <c r="V6582" s="1357">
        <v>24</v>
      </c>
    </row>
    <row r="6583" spans="1:22" s="841" customFormat="1" ht="15" x14ac:dyDescent="0.25">
      <c r="A6583" s="841" t="s">
        <v>185</v>
      </c>
      <c r="B6583" s="841" t="s">
        <v>4076</v>
      </c>
      <c r="E6583" s="1690" t="s">
        <v>5383</v>
      </c>
      <c r="F6583" s="1908"/>
      <c r="G6583" s="1408" t="s">
        <v>33</v>
      </c>
      <c r="H6583" s="393">
        <v>0.52610000000000001</v>
      </c>
      <c r="K6583" s="841" t="s">
        <v>3112</v>
      </c>
      <c r="L6583" s="841" t="s">
        <v>442</v>
      </c>
      <c r="M6583" s="1357"/>
      <c r="P6583" s="841" t="s">
        <v>4153</v>
      </c>
      <c r="Q6583" s="1357"/>
      <c r="S6583" s="1420"/>
      <c r="T6583" s="1420">
        <v>43585</v>
      </c>
      <c r="V6583" s="1357">
        <v>80</v>
      </c>
    </row>
    <row r="6584" spans="1:22" s="841" customFormat="1" ht="15" x14ac:dyDescent="0.25">
      <c r="A6584" s="841" t="s">
        <v>185</v>
      </c>
      <c r="B6584" s="841" t="s">
        <v>4076</v>
      </c>
      <c r="E6584" s="1690" t="s">
        <v>221</v>
      </c>
      <c r="F6584" s="1690"/>
      <c r="G6584" s="1408" t="s">
        <v>33</v>
      </c>
      <c r="H6584" s="393">
        <v>1.5572999999999999</v>
      </c>
      <c r="K6584" s="841" t="s">
        <v>3112</v>
      </c>
      <c r="L6584" s="841" t="s">
        <v>444</v>
      </c>
      <c r="M6584" s="1357"/>
      <c r="P6584" s="841" t="s">
        <v>3120</v>
      </c>
      <c r="Q6584" s="1357"/>
      <c r="S6584" s="1420"/>
      <c r="T6584" s="1420"/>
      <c r="V6584" s="1357">
        <v>47</v>
      </c>
    </row>
    <row r="6585" spans="1:22" s="841" customFormat="1" ht="15" x14ac:dyDescent="0.25">
      <c r="A6585" s="841" t="s">
        <v>185</v>
      </c>
      <c r="B6585" s="841" t="s">
        <v>4076</v>
      </c>
      <c r="E6585" s="1690" t="s">
        <v>217</v>
      </c>
      <c r="F6585" s="1690"/>
      <c r="G6585" s="1408" t="s">
        <v>33</v>
      </c>
      <c r="H6585" s="393">
        <v>1.2966</v>
      </c>
      <c r="K6585" s="841" t="s">
        <v>3112</v>
      </c>
      <c r="L6585" s="841" t="s">
        <v>444</v>
      </c>
      <c r="M6585" s="1357"/>
      <c r="P6585" s="841" t="s">
        <v>3121</v>
      </c>
      <c r="Q6585" s="1357"/>
      <c r="S6585" s="1420"/>
      <c r="T6585" s="1420"/>
      <c r="V6585" s="1357">
        <v>74</v>
      </c>
    </row>
    <row r="6586" spans="1:22" s="841" customFormat="1" ht="15" x14ac:dyDescent="0.25">
      <c r="A6586" s="841" t="s">
        <v>185</v>
      </c>
      <c r="B6586" s="841" t="s">
        <v>4076</v>
      </c>
      <c r="E6586" s="1694" t="s">
        <v>3079</v>
      </c>
      <c r="F6586" s="1690"/>
      <c r="G6586" s="1690"/>
      <c r="H6586" s="1690"/>
      <c r="K6586" s="841" t="s">
        <v>3122</v>
      </c>
      <c r="M6586" s="1357"/>
      <c r="Q6586" s="1357"/>
      <c r="S6586" s="1420"/>
      <c r="T6586" s="1420"/>
      <c r="V6586" s="1357">
        <v>48</v>
      </c>
    </row>
    <row r="6587" spans="1:22" s="841" customFormat="1" ht="15" x14ac:dyDescent="0.25">
      <c r="A6587" s="841" t="s">
        <v>185</v>
      </c>
      <c r="B6587" s="841" t="s">
        <v>4076</v>
      </c>
      <c r="E6587" s="1690" t="s">
        <v>2449</v>
      </c>
      <c r="F6587" s="1690"/>
      <c r="G6587" s="1408" t="s">
        <v>24</v>
      </c>
      <c r="H6587" s="393">
        <v>3.2000000000000002E-3</v>
      </c>
      <c r="K6587" s="841" t="s">
        <v>3112</v>
      </c>
      <c r="L6587" s="841" t="s">
        <v>3046</v>
      </c>
      <c r="M6587" s="1357"/>
      <c r="P6587" s="841" t="s">
        <v>3123</v>
      </c>
      <c r="Q6587" s="1357"/>
      <c r="S6587" s="1420"/>
      <c r="T6587" s="1420"/>
      <c r="V6587" s="1357">
        <v>55</v>
      </c>
    </row>
    <row r="6588" spans="1:22" s="841" customFormat="1" ht="15" x14ac:dyDescent="0.25">
      <c r="A6588" s="841" t="s">
        <v>185</v>
      </c>
      <c r="B6588" s="841" t="s">
        <v>4076</v>
      </c>
      <c r="E6588" s="1690" t="s">
        <v>2450</v>
      </c>
      <c r="F6588" s="1690"/>
      <c r="G6588" s="1408" t="s">
        <v>24</v>
      </c>
      <c r="H6588" s="393">
        <v>4.0000000000000002E-4</v>
      </c>
      <c r="K6588" s="841" t="s">
        <v>3112</v>
      </c>
      <c r="L6588" s="841" t="s">
        <v>3046</v>
      </c>
      <c r="M6588" s="1357"/>
      <c r="P6588" s="841" t="s">
        <v>3123</v>
      </c>
      <c r="Q6588" s="1357"/>
      <c r="S6588" s="1420"/>
      <c r="T6588" s="1420"/>
      <c r="V6588" s="1357">
        <v>65</v>
      </c>
    </row>
    <row r="6589" spans="1:22" s="841" customFormat="1" ht="15" x14ac:dyDescent="0.25">
      <c r="A6589" s="841" t="s">
        <v>185</v>
      </c>
      <c r="B6589" s="841" t="s">
        <v>4076</v>
      </c>
      <c r="E6589" s="1690" t="s">
        <v>439</v>
      </c>
      <c r="F6589" s="1690"/>
      <c r="G6589" s="1408" t="s">
        <v>24</v>
      </c>
      <c r="H6589" s="393">
        <v>2.9999999999999997E-4</v>
      </c>
      <c r="K6589" s="841" t="s">
        <v>3112</v>
      </c>
      <c r="L6589" s="841" t="s">
        <v>3046</v>
      </c>
      <c r="M6589" s="1357"/>
      <c r="P6589" s="841" t="s">
        <v>3124</v>
      </c>
      <c r="Q6589" s="1357"/>
      <c r="S6589" s="1420"/>
      <c r="T6589" s="1420"/>
      <c r="V6589" s="1357">
        <v>57</v>
      </c>
    </row>
    <row r="6590" spans="1:22" s="841" customFormat="1" ht="15" x14ac:dyDescent="0.25">
      <c r="A6590" s="841" t="s">
        <v>185</v>
      </c>
      <c r="B6590" s="841" t="s">
        <v>4076</v>
      </c>
      <c r="E6590" s="1690" t="s">
        <v>32</v>
      </c>
      <c r="F6590" s="1690"/>
      <c r="G6590" s="1408" t="s">
        <v>23</v>
      </c>
      <c r="H6590" s="391">
        <v>0.25</v>
      </c>
      <c r="K6590" s="841" t="s">
        <v>3112</v>
      </c>
      <c r="L6590" s="841" t="s">
        <v>3046</v>
      </c>
      <c r="M6590" s="1357"/>
      <c r="P6590" s="841" t="s">
        <v>3125</v>
      </c>
      <c r="Q6590" s="1357"/>
      <c r="S6590" s="1420"/>
      <c r="T6590" s="1420"/>
      <c r="V6590" s="1357">
        <v>63</v>
      </c>
    </row>
    <row r="6591" spans="1:22" s="841" customFormat="1" x14ac:dyDescent="0.25">
      <c r="A6591" s="841" t="s">
        <v>185</v>
      </c>
      <c r="B6591" s="841" t="s">
        <v>4076</v>
      </c>
      <c r="E6591" s="1909" t="s">
        <v>618</v>
      </c>
      <c r="F6591" s="1923"/>
      <c r="G6591" s="1923"/>
      <c r="H6591" s="1923"/>
      <c r="K6591" s="841" t="s">
        <v>3126</v>
      </c>
      <c r="M6591" s="1357"/>
      <c r="Q6591" s="1357"/>
      <c r="S6591" s="1420"/>
      <c r="T6591" s="1420"/>
      <c r="V6591" s="1357">
        <v>31</v>
      </c>
    </row>
    <row r="6592" spans="1:22" s="841" customFormat="1" ht="15" x14ac:dyDescent="0.25">
      <c r="A6592" s="841" t="s">
        <v>185</v>
      </c>
      <c r="B6592" s="841" t="s">
        <v>4076</v>
      </c>
      <c r="E6592" s="1689" t="s">
        <v>3781</v>
      </c>
      <c r="F6592" s="1689"/>
      <c r="G6592" s="1689"/>
      <c r="H6592" s="1689"/>
      <c r="K6592" s="841" t="s">
        <v>3126</v>
      </c>
      <c r="M6592" s="1357"/>
      <c r="Q6592" s="1357"/>
      <c r="S6592" s="1420"/>
      <c r="T6592" s="1420"/>
      <c r="V6592" s="1357">
        <v>286</v>
      </c>
    </row>
    <row r="6593" spans="1:22" s="841" customFormat="1" ht="15" x14ac:dyDescent="0.25">
      <c r="A6593" s="841" t="s">
        <v>185</v>
      </c>
      <c r="B6593" s="841" t="s">
        <v>4076</v>
      </c>
      <c r="E6593" s="1916" t="s">
        <v>3061</v>
      </c>
      <c r="F6593" s="1689"/>
      <c r="G6593" s="1689"/>
      <c r="H6593" s="1689"/>
      <c r="K6593" s="841" t="s">
        <v>3128</v>
      </c>
      <c r="M6593" s="1357"/>
      <c r="Q6593" s="1357"/>
      <c r="S6593" s="1420"/>
      <c r="T6593" s="1420"/>
      <c r="V6593" s="1357">
        <v>11</v>
      </c>
    </row>
    <row r="6594" spans="1:22" s="841" customFormat="1" ht="15" x14ac:dyDescent="0.25">
      <c r="A6594" s="841" t="s">
        <v>185</v>
      </c>
      <c r="B6594" s="841" t="s">
        <v>4076</v>
      </c>
      <c r="E6594" s="1689" t="s">
        <v>3063</v>
      </c>
      <c r="F6594" s="1689"/>
      <c r="G6594" s="1689"/>
      <c r="H6594" s="1689"/>
      <c r="K6594" s="841" t="s">
        <v>3126</v>
      </c>
      <c r="M6594" s="1357"/>
      <c r="Q6594" s="1357"/>
      <c r="S6594" s="1420"/>
      <c r="T6594" s="1420"/>
      <c r="V6594" s="1357">
        <v>280</v>
      </c>
    </row>
    <row r="6595" spans="1:22" s="841" customFormat="1" ht="15" x14ac:dyDescent="0.25">
      <c r="A6595" s="841" t="s">
        <v>185</v>
      </c>
      <c r="B6595" s="841" t="s">
        <v>4076</v>
      </c>
      <c r="E6595" s="1689" t="s">
        <v>3064</v>
      </c>
      <c r="F6595" s="1689"/>
      <c r="G6595" s="1689"/>
      <c r="H6595" s="1689"/>
      <c r="K6595" s="841" t="s">
        <v>3126</v>
      </c>
      <c r="M6595" s="1357"/>
      <c r="Q6595" s="1357"/>
      <c r="S6595" s="1420"/>
      <c r="T6595" s="1420"/>
      <c r="V6595" s="1357">
        <v>411</v>
      </c>
    </row>
    <row r="6596" spans="1:22" s="841" customFormat="1" ht="15" x14ac:dyDescent="0.25">
      <c r="A6596" s="841" t="s">
        <v>185</v>
      </c>
      <c r="B6596" s="841" t="s">
        <v>4076</v>
      </c>
      <c r="E6596" s="1689" t="s">
        <v>3129</v>
      </c>
      <c r="F6596" s="1689"/>
      <c r="G6596" s="1689"/>
      <c r="H6596" s="1689"/>
      <c r="K6596" s="841" t="s">
        <v>3126</v>
      </c>
      <c r="M6596" s="1357"/>
      <c r="Q6596" s="1357"/>
      <c r="S6596" s="1420"/>
      <c r="T6596" s="1420"/>
      <c r="V6596" s="1357">
        <v>211</v>
      </c>
    </row>
    <row r="6597" spans="1:22" s="841" customFormat="1" ht="15" x14ac:dyDescent="0.25">
      <c r="A6597" s="841" t="s">
        <v>185</v>
      </c>
      <c r="B6597" s="841" t="s">
        <v>4076</v>
      </c>
      <c r="E6597" s="1689" t="s">
        <v>3200</v>
      </c>
      <c r="F6597" s="1689"/>
      <c r="G6597" s="1689"/>
      <c r="H6597" s="1689"/>
      <c r="K6597" s="841" t="s">
        <v>3126</v>
      </c>
      <c r="M6597" s="1357"/>
      <c r="Q6597" s="1357"/>
      <c r="S6597" s="1420"/>
      <c r="T6597" s="1420"/>
      <c r="V6597" s="1357">
        <v>275</v>
      </c>
    </row>
    <row r="6598" spans="1:22" s="841" customFormat="1" ht="15" x14ac:dyDescent="0.25">
      <c r="A6598" s="841" t="s">
        <v>185</v>
      </c>
      <c r="B6598" s="841" t="s">
        <v>4076</v>
      </c>
      <c r="E6598" s="1694" t="s">
        <v>3067</v>
      </c>
      <c r="F6598" s="1922"/>
      <c r="G6598" s="1922"/>
      <c r="H6598" s="1922"/>
      <c r="K6598" s="841" t="s">
        <v>3130</v>
      </c>
      <c r="M6598" s="1357"/>
      <c r="Q6598" s="1357"/>
      <c r="S6598" s="1420"/>
      <c r="T6598" s="1420"/>
      <c r="V6598" s="1357">
        <v>46</v>
      </c>
    </row>
    <row r="6599" spans="1:22" s="841" customFormat="1" ht="15" x14ac:dyDescent="0.25">
      <c r="A6599" s="841" t="s">
        <v>185</v>
      </c>
      <c r="B6599" s="841" t="s">
        <v>4076</v>
      </c>
      <c r="E6599" s="1690" t="s">
        <v>11</v>
      </c>
      <c r="F6599" s="1690"/>
      <c r="G6599" s="1408" t="s">
        <v>23</v>
      </c>
      <c r="H6599" s="391">
        <v>5.4</v>
      </c>
      <c r="K6599" s="841" t="s">
        <v>3126</v>
      </c>
      <c r="L6599" s="841" t="s">
        <v>442</v>
      </c>
      <c r="M6599" s="1357"/>
      <c r="P6599" s="841" t="s">
        <v>3131</v>
      </c>
      <c r="Q6599" s="1357"/>
      <c r="S6599" s="1420"/>
      <c r="T6599" s="1420"/>
      <c r="V6599" s="1357">
        <v>14</v>
      </c>
    </row>
    <row r="6600" spans="1:22" s="841" customFormat="1" ht="18.75" x14ac:dyDescent="0.3">
      <c r="A6600" s="841" t="s">
        <v>185</v>
      </c>
      <c r="B6600" s="841" t="s">
        <v>4076</v>
      </c>
      <c r="E6600" s="2103" t="s">
        <v>85</v>
      </c>
      <c r="F6600" s="1964"/>
      <c r="G6600" s="1964"/>
      <c r="H6600" s="1964"/>
      <c r="K6600" s="841" t="s">
        <v>4330</v>
      </c>
      <c r="M6600" s="1357"/>
      <c r="Q6600" s="1357"/>
      <c r="S6600" s="1420"/>
      <c r="T6600" s="1420"/>
      <c r="V6600" s="1357">
        <v>10</v>
      </c>
    </row>
    <row r="6601" spans="1:22" s="841" customFormat="1" ht="15" x14ac:dyDescent="0.25">
      <c r="A6601" s="841" t="s">
        <v>185</v>
      </c>
      <c r="B6601" s="841" t="s">
        <v>4076</v>
      </c>
      <c r="E6601" s="1690" t="s">
        <v>3133</v>
      </c>
      <c r="F6601" s="1690"/>
      <c r="G6601" s="1408" t="s">
        <v>33</v>
      </c>
      <c r="H6601" s="393">
        <v>-0.6</v>
      </c>
      <c r="M6601" s="1357"/>
      <c r="Q6601" s="1357"/>
      <c r="S6601" s="1420"/>
      <c r="T6601" s="1420"/>
      <c r="V6601" s="1357">
        <v>68</v>
      </c>
    </row>
    <row r="6602" spans="1:22" s="841" customFormat="1" ht="15" x14ac:dyDescent="0.25">
      <c r="A6602" s="841" t="s">
        <v>185</v>
      </c>
      <c r="B6602" s="841" t="s">
        <v>4076</v>
      </c>
      <c r="E6602" s="1690" t="s">
        <v>3134</v>
      </c>
      <c r="F6602" s="1690"/>
      <c r="G6602" s="1408" t="s">
        <v>86</v>
      </c>
      <c r="H6602" s="391">
        <v>-1</v>
      </c>
      <c r="M6602" s="1357"/>
      <c r="Q6602" s="1357"/>
      <c r="S6602" s="1420"/>
      <c r="T6602" s="1420"/>
      <c r="V6602" s="1357">
        <v>87</v>
      </c>
    </row>
    <row r="6603" spans="1:22" s="841" customFormat="1" ht="18.75" x14ac:dyDescent="0.3">
      <c r="A6603" s="841" t="s">
        <v>185</v>
      </c>
      <c r="B6603" s="841" t="s">
        <v>4076</v>
      </c>
      <c r="E6603" s="1931" t="s">
        <v>87</v>
      </c>
      <c r="F6603" s="1964"/>
      <c r="G6603" s="1964"/>
      <c r="H6603" s="1964"/>
      <c r="K6603" s="841" t="s">
        <v>4331</v>
      </c>
      <c r="M6603" s="1357"/>
      <c r="Q6603" s="1357"/>
      <c r="S6603" s="1420"/>
      <c r="T6603" s="1420"/>
      <c r="V6603" s="1357">
        <v>24</v>
      </c>
    </row>
    <row r="6604" spans="1:22" s="841" customFormat="1" ht="15" x14ac:dyDescent="0.25">
      <c r="A6604" s="841" t="s">
        <v>185</v>
      </c>
      <c r="B6604" s="841" t="s">
        <v>4076</v>
      </c>
      <c r="E6604" s="1689" t="s">
        <v>3063</v>
      </c>
      <c r="F6604" s="1689"/>
      <c r="G6604" s="1689"/>
      <c r="H6604" s="1689"/>
      <c r="M6604" s="1357"/>
      <c r="Q6604" s="1357"/>
      <c r="S6604" s="1420"/>
      <c r="T6604" s="1420"/>
      <c r="V6604" s="1357">
        <v>280</v>
      </c>
    </row>
    <row r="6605" spans="1:22" s="841" customFormat="1" ht="15" x14ac:dyDescent="0.25">
      <c r="A6605" s="841" t="s">
        <v>185</v>
      </c>
      <c r="B6605" s="841" t="s">
        <v>4076</v>
      </c>
      <c r="E6605" s="1689" t="s">
        <v>3136</v>
      </c>
      <c r="F6605" s="1689"/>
      <c r="G6605" s="1689"/>
      <c r="H6605" s="1689"/>
      <c r="M6605" s="1357"/>
      <c r="Q6605" s="1357"/>
      <c r="S6605" s="1420"/>
      <c r="T6605" s="1420"/>
      <c r="V6605" s="1357">
        <v>353</v>
      </c>
    </row>
    <row r="6606" spans="1:22" s="841" customFormat="1" ht="15" x14ac:dyDescent="0.25">
      <c r="A6606" s="841" t="s">
        <v>185</v>
      </c>
      <c r="B6606" s="841" t="s">
        <v>4076</v>
      </c>
      <c r="E6606" s="1689" t="s">
        <v>3200</v>
      </c>
      <c r="F6606" s="1689"/>
      <c r="G6606" s="1689"/>
      <c r="H6606" s="1689"/>
      <c r="M6606" s="1357"/>
      <c r="Q6606" s="1357"/>
      <c r="S6606" s="1420"/>
      <c r="T6606" s="1420"/>
      <c r="V6606" s="1357">
        <v>275</v>
      </c>
    </row>
    <row r="6607" spans="1:22" s="841" customFormat="1" ht="15" x14ac:dyDescent="0.25">
      <c r="A6607" s="841" t="s">
        <v>185</v>
      </c>
      <c r="B6607" s="841" t="s">
        <v>4076</v>
      </c>
      <c r="E6607" s="1694" t="s">
        <v>3137</v>
      </c>
      <c r="F6607" s="1908"/>
      <c r="G6607" s="1908"/>
      <c r="H6607" s="1908"/>
      <c r="K6607" s="841" t="s">
        <v>4332</v>
      </c>
      <c r="M6607" s="1357"/>
      <c r="Q6607" s="1357"/>
      <c r="S6607" s="1420"/>
      <c r="T6607" s="1420"/>
      <c r="V6607" s="1357">
        <v>23</v>
      </c>
    </row>
    <row r="6608" spans="1:22" s="841" customFormat="1" ht="15" x14ac:dyDescent="0.25">
      <c r="A6608" s="841" t="s">
        <v>185</v>
      </c>
      <c r="B6608" s="841" t="s">
        <v>4076</v>
      </c>
      <c r="E6608" s="1688" t="s">
        <v>3355</v>
      </c>
      <c r="F6608" s="1688"/>
      <c r="G6608" s="1408" t="s">
        <v>23</v>
      </c>
      <c r="H6608" s="391">
        <v>15</v>
      </c>
      <c r="M6608" s="1357"/>
      <c r="Q6608" s="1357"/>
      <c r="S6608" s="1420"/>
      <c r="T6608" s="1420"/>
      <c r="V6608" s="1357">
        <v>19</v>
      </c>
    </row>
    <row r="6609" spans="1:22" s="841" customFormat="1" ht="15" x14ac:dyDescent="0.25">
      <c r="A6609" s="841" t="s">
        <v>185</v>
      </c>
      <c r="B6609" s="841" t="s">
        <v>4076</v>
      </c>
      <c r="E6609" s="1688" t="s">
        <v>3140</v>
      </c>
      <c r="F6609" s="1688"/>
      <c r="G6609" s="1408" t="s">
        <v>23</v>
      </c>
      <c r="H6609" s="391">
        <v>15</v>
      </c>
      <c r="M6609" s="1357"/>
      <c r="Q6609" s="1357"/>
      <c r="S6609" s="1420"/>
      <c r="T6609" s="1420"/>
      <c r="V6609" s="1357">
        <v>20</v>
      </c>
    </row>
    <row r="6610" spans="1:22" s="841" customFormat="1" ht="15" x14ac:dyDescent="0.25">
      <c r="A6610" s="841" t="s">
        <v>185</v>
      </c>
      <c r="B6610" s="841" t="s">
        <v>4076</v>
      </c>
      <c r="E6610" s="1688" t="s">
        <v>3143</v>
      </c>
      <c r="F6610" s="1688"/>
      <c r="G6610" s="1408" t="s">
        <v>23</v>
      </c>
      <c r="H6610" s="391">
        <v>15</v>
      </c>
      <c r="M6610" s="1357"/>
      <c r="Q6610" s="1357"/>
      <c r="S6610" s="1420"/>
      <c r="T6610" s="1420"/>
      <c r="V6610" s="1357">
        <v>37</v>
      </c>
    </row>
    <row r="6611" spans="1:22" s="841" customFormat="1" ht="15" x14ac:dyDescent="0.25">
      <c r="A6611" s="841" t="s">
        <v>185</v>
      </c>
      <c r="B6611" s="841" t="s">
        <v>4076</v>
      </c>
      <c r="E6611" s="1688" t="s">
        <v>3145</v>
      </c>
      <c r="F6611" s="1688"/>
      <c r="G6611" s="1408" t="s">
        <v>23</v>
      </c>
      <c r="H6611" s="391">
        <v>15</v>
      </c>
      <c r="M6611" s="1357"/>
      <c r="Q6611" s="1357"/>
      <c r="S6611" s="1420"/>
      <c r="T6611" s="1420"/>
      <c r="V6611" s="1357">
        <v>17</v>
      </c>
    </row>
    <row r="6612" spans="1:22" s="841" customFormat="1" ht="15" x14ac:dyDescent="0.25">
      <c r="A6612" s="841" t="s">
        <v>185</v>
      </c>
      <c r="B6612" s="841" t="s">
        <v>4076</v>
      </c>
      <c r="E6612" s="1688" t="s">
        <v>123</v>
      </c>
      <c r="F6612" s="1688"/>
      <c r="G6612" s="1408" t="s">
        <v>23</v>
      </c>
      <c r="H6612" s="391">
        <v>15</v>
      </c>
      <c r="M6612" s="1357"/>
      <c r="Q6612" s="1357"/>
      <c r="S6612" s="1420"/>
      <c r="T6612" s="1420"/>
      <c r="V6612" s="1357">
        <v>35</v>
      </c>
    </row>
    <row r="6613" spans="1:22" s="841" customFormat="1" ht="15" x14ac:dyDescent="0.25">
      <c r="A6613" s="841" t="s">
        <v>185</v>
      </c>
      <c r="B6613" s="841" t="s">
        <v>4076</v>
      </c>
      <c r="E6613" s="1688" t="s">
        <v>3151</v>
      </c>
      <c r="F6613" s="1688"/>
      <c r="G6613" s="1408" t="s">
        <v>23</v>
      </c>
      <c r="H6613" s="391">
        <v>15</v>
      </c>
      <c r="M6613" s="1357"/>
      <c r="Q6613" s="1357"/>
      <c r="S6613" s="1420"/>
      <c r="T6613" s="1420"/>
      <c r="V6613" s="1357">
        <v>19</v>
      </c>
    </row>
    <row r="6614" spans="1:22" s="841" customFormat="1" ht="15" x14ac:dyDescent="0.25">
      <c r="A6614" s="841" t="s">
        <v>185</v>
      </c>
      <c r="B6614" s="841" t="s">
        <v>4076</v>
      </c>
      <c r="E6614" s="1688" t="s">
        <v>88</v>
      </c>
      <c r="F6614" s="1688"/>
      <c r="G6614" s="1408" t="s">
        <v>23</v>
      </c>
      <c r="H6614" s="391">
        <v>30</v>
      </c>
      <c r="M6614" s="1357"/>
      <c r="Q6614" s="1357"/>
      <c r="S6614" s="1420"/>
      <c r="T6614" s="1420"/>
      <c r="V6614" s="1357">
        <v>89</v>
      </c>
    </row>
    <row r="6615" spans="1:22" s="841" customFormat="1" ht="15" x14ac:dyDescent="0.25">
      <c r="A6615" s="841" t="s">
        <v>185</v>
      </c>
      <c r="B6615" s="841" t="s">
        <v>4076</v>
      </c>
      <c r="E6615" s="1688" t="s">
        <v>94</v>
      </c>
      <c r="F6615" s="1688"/>
      <c r="G6615" s="1408" t="s">
        <v>23</v>
      </c>
      <c r="H6615" s="391">
        <v>30</v>
      </c>
      <c r="M6615" s="1357"/>
      <c r="Q6615" s="1357"/>
      <c r="S6615" s="1420"/>
      <c r="T6615" s="1420"/>
      <c r="V6615" s="1357">
        <v>19</v>
      </c>
    </row>
    <row r="6616" spans="1:22" s="841" customFormat="1" ht="15" x14ac:dyDescent="0.25">
      <c r="A6616" s="841" t="s">
        <v>185</v>
      </c>
      <c r="B6616" s="841" t="s">
        <v>4076</v>
      </c>
      <c r="E6616" s="1694" t="s">
        <v>3152</v>
      </c>
      <c r="F6616" s="1908"/>
      <c r="G6616" s="1908"/>
      <c r="H6616" s="1908"/>
      <c r="K6616" s="841" t="s">
        <v>4333</v>
      </c>
      <c r="M6616" s="1357"/>
      <c r="Q6616" s="1357"/>
      <c r="S6616" s="1420"/>
      <c r="T6616" s="1420"/>
      <c r="V6616" s="1357">
        <v>22</v>
      </c>
    </row>
    <row r="6617" spans="1:22" s="841" customFormat="1" ht="15" x14ac:dyDescent="0.25">
      <c r="A6617" s="841" t="s">
        <v>185</v>
      </c>
      <c r="B6617" s="841" t="s">
        <v>4076</v>
      </c>
      <c r="E6617" s="1688" t="s">
        <v>5137</v>
      </c>
      <c r="F6617" s="1688"/>
      <c r="G6617" s="1408" t="s">
        <v>86</v>
      </c>
      <c r="H6617" s="391">
        <v>1.5</v>
      </c>
      <c r="M6617" s="1357"/>
      <c r="Q6617" s="1357"/>
      <c r="S6617" s="1420"/>
      <c r="T6617" s="1420"/>
      <c r="V6617" s="1357">
        <v>24</v>
      </c>
    </row>
    <row r="6618" spans="1:22" s="841" customFormat="1" ht="15" x14ac:dyDescent="0.25">
      <c r="A6618" s="841" t="s">
        <v>185</v>
      </c>
      <c r="B6618" s="841" t="s">
        <v>4076</v>
      </c>
      <c r="E6618" s="1688" t="s">
        <v>4772</v>
      </c>
      <c r="F6618" s="1688"/>
      <c r="G6618" s="1408" t="s">
        <v>86</v>
      </c>
      <c r="H6618" s="391">
        <v>19.559999999999999</v>
      </c>
      <c r="M6618" s="1357"/>
      <c r="Q6618" s="1357"/>
      <c r="S6618" s="1420"/>
      <c r="T6618" s="1420"/>
      <c r="V6618" s="1357">
        <v>24</v>
      </c>
    </row>
    <row r="6619" spans="1:22" s="841" customFormat="1" ht="15" x14ac:dyDescent="0.25">
      <c r="A6619" s="841" t="s">
        <v>185</v>
      </c>
      <c r="B6619" s="841" t="s">
        <v>4076</v>
      </c>
      <c r="E6619" s="1688" t="s">
        <v>3288</v>
      </c>
      <c r="F6619" s="1688"/>
      <c r="G6619" s="1408" t="s">
        <v>23</v>
      </c>
      <c r="H6619" s="391">
        <v>30</v>
      </c>
      <c r="M6619" s="1357"/>
      <c r="Q6619" s="1357"/>
      <c r="S6619" s="1420"/>
      <c r="T6619" s="1420"/>
      <c r="V6619" s="1357">
        <v>47</v>
      </c>
    </row>
    <row r="6620" spans="1:22" s="841" customFormat="1" ht="15" x14ac:dyDescent="0.25">
      <c r="A6620" s="841" t="s">
        <v>185</v>
      </c>
      <c r="B6620" s="841" t="s">
        <v>4076</v>
      </c>
      <c r="E6620" s="1688" t="s">
        <v>3157</v>
      </c>
      <c r="F6620" s="1688"/>
      <c r="G6620" s="1408" t="s">
        <v>23</v>
      </c>
      <c r="H6620" s="391">
        <v>165</v>
      </c>
      <c r="M6620" s="1357"/>
      <c r="Q6620" s="1357"/>
      <c r="S6620" s="1420"/>
      <c r="T6620" s="1420"/>
      <c r="V6620" s="1357">
        <v>69</v>
      </c>
    </row>
    <row r="6621" spans="1:22" s="841" customFormat="1" ht="15" x14ac:dyDescent="0.25">
      <c r="A6621" s="841" t="s">
        <v>185</v>
      </c>
      <c r="B6621" s="841" t="s">
        <v>4076</v>
      </c>
      <c r="E6621" s="1688" t="s">
        <v>4773</v>
      </c>
      <c r="F6621" s="1688"/>
      <c r="G6621" s="1408" t="s">
        <v>23</v>
      </c>
      <c r="H6621" s="391">
        <v>65</v>
      </c>
      <c r="M6621" s="1357"/>
      <c r="Q6621" s="1357"/>
      <c r="S6621" s="1420"/>
      <c r="T6621" s="1420"/>
      <c r="V6621" s="1357">
        <v>52</v>
      </c>
    </row>
    <row r="6622" spans="1:22" s="841" customFormat="1" ht="15" x14ac:dyDescent="0.25">
      <c r="A6622" s="841" t="s">
        <v>185</v>
      </c>
      <c r="B6622" s="841" t="s">
        <v>4076</v>
      </c>
      <c r="E6622" s="1688" t="s">
        <v>4774</v>
      </c>
      <c r="F6622" s="1688"/>
      <c r="G6622" s="1408" t="s">
        <v>23</v>
      </c>
      <c r="H6622" s="391">
        <v>185</v>
      </c>
      <c r="M6622" s="1357"/>
      <c r="Q6622" s="1357"/>
      <c r="S6622" s="1420"/>
      <c r="T6622" s="1420"/>
      <c r="V6622" s="1357">
        <v>51</v>
      </c>
    </row>
    <row r="6623" spans="1:22" s="841" customFormat="1" ht="15" x14ac:dyDescent="0.25">
      <c r="A6623" s="841" t="s">
        <v>185</v>
      </c>
      <c r="B6623" s="841" t="s">
        <v>4076</v>
      </c>
      <c r="E6623" s="1688" t="s">
        <v>4775</v>
      </c>
      <c r="F6623" s="1688"/>
      <c r="G6623" s="1408" t="s">
        <v>23</v>
      </c>
      <c r="H6623" s="391">
        <v>185</v>
      </c>
      <c r="M6623" s="1357"/>
      <c r="Q6623" s="1357"/>
      <c r="S6623" s="1420"/>
      <c r="T6623" s="1420"/>
      <c r="V6623" s="1357">
        <v>51</v>
      </c>
    </row>
    <row r="6624" spans="1:22" s="841" customFormat="1" ht="15" x14ac:dyDescent="0.25">
      <c r="A6624" s="841" t="s">
        <v>185</v>
      </c>
      <c r="B6624" s="841" t="s">
        <v>4076</v>
      </c>
      <c r="E6624" s="1688" t="s">
        <v>4776</v>
      </c>
      <c r="F6624" s="1688"/>
      <c r="G6624" s="1408" t="s">
        <v>23</v>
      </c>
      <c r="H6624" s="391">
        <v>415</v>
      </c>
      <c r="M6624" s="1357"/>
      <c r="Q6624" s="1357"/>
      <c r="S6624" s="1420"/>
      <c r="T6624" s="1420"/>
      <c r="V6624" s="1357">
        <v>50</v>
      </c>
    </row>
    <row r="6625" spans="1:22" s="841" customFormat="1" ht="15" x14ac:dyDescent="0.25">
      <c r="A6625" s="841" t="s">
        <v>185</v>
      </c>
      <c r="B6625" s="841" t="s">
        <v>4076</v>
      </c>
      <c r="E6625" s="1688" t="s">
        <v>4777</v>
      </c>
      <c r="F6625" s="1688"/>
      <c r="G6625" s="1408" t="s">
        <v>23</v>
      </c>
      <c r="H6625" s="391">
        <v>65</v>
      </c>
      <c r="M6625" s="1357"/>
      <c r="Q6625" s="1357"/>
      <c r="S6625" s="1420"/>
      <c r="T6625" s="1420"/>
      <c r="V6625" s="1357">
        <v>57</v>
      </c>
    </row>
    <row r="6626" spans="1:22" s="841" customFormat="1" ht="15" x14ac:dyDescent="0.25">
      <c r="A6626" s="841" t="s">
        <v>185</v>
      </c>
      <c r="B6626" s="841" t="s">
        <v>4076</v>
      </c>
      <c r="E6626" s="1688" t="s">
        <v>4778</v>
      </c>
      <c r="F6626" s="1688"/>
      <c r="G6626" s="1408" t="s">
        <v>23</v>
      </c>
      <c r="H6626" s="391">
        <v>185</v>
      </c>
      <c r="M6626" s="1357"/>
      <c r="Q6626" s="1357"/>
      <c r="S6626" s="1420"/>
      <c r="T6626" s="1420"/>
      <c r="V6626" s="1357">
        <v>56</v>
      </c>
    </row>
    <row r="6627" spans="1:22" s="841" customFormat="1" ht="15" x14ac:dyDescent="0.25">
      <c r="A6627" s="841" t="s">
        <v>185</v>
      </c>
      <c r="B6627" s="841" t="s">
        <v>4076</v>
      </c>
      <c r="E6627" s="1694" t="s">
        <v>3164</v>
      </c>
      <c r="F6627" s="1908"/>
      <c r="G6627" s="1908"/>
      <c r="H6627" s="1908"/>
      <c r="M6627" s="1357"/>
      <c r="Q6627" s="1357"/>
      <c r="S6627" s="1420"/>
      <c r="T6627" s="1420"/>
      <c r="V6627" s="1357">
        <v>5</v>
      </c>
    </row>
    <row r="6628" spans="1:22" s="841" customFormat="1" ht="15" x14ac:dyDescent="0.25">
      <c r="A6628" s="841" t="s">
        <v>185</v>
      </c>
      <c r="B6628" s="841" t="s">
        <v>4076</v>
      </c>
      <c r="E6628" s="1688" t="s">
        <v>3434</v>
      </c>
      <c r="F6628" s="1688"/>
      <c r="G6628" s="1408" t="s">
        <v>23</v>
      </c>
      <c r="H6628" s="391">
        <v>500</v>
      </c>
      <c r="M6628" s="1357"/>
      <c r="Q6628" s="1357"/>
      <c r="S6628" s="1420"/>
      <c r="T6628" s="1420"/>
      <c r="V6628" s="1357">
        <v>64</v>
      </c>
    </row>
    <row r="6629" spans="1:22" s="841" customFormat="1" ht="15" x14ac:dyDescent="0.25">
      <c r="A6629" s="841" t="s">
        <v>185</v>
      </c>
      <c r="B6629" s="841" t="s">
        <v>4076</v>
      </c>
      <c r="E6629" s="1688" t="s">
        <v>3502</v>
      </c>
      <c r="F6629" s="1688"/>
      <c r="G6629" s="1408" t="s">
        <v>23</v>
      </c>
      <c r="H6629" s="391">
        <v>22.35</v>
      </c>
      <c r="M6629" s="1357"/>
      <c r="Q6629" s="1357"/>
      <c r="S6629" s="1420"/>
      <c r="T6629" s="1420"/>
      <c r="V6629" s="1357">
        <v>104</v>
      </c>
    </row>
    <row r="6630" spans="1:22" s="841" customFormat="1" ht="18.75" x14ac:dyDescent="0.3">
      <c r="A6630" s="841" t="s">
        <v>185</v>
      </c>
      <c r="B6630" s="841" t="s">
        <v>4076</v>
      </c>
      <c r="E6630" s="1931" t="s">
        <v>77</v>
      </c>
      <c r="F6630" s="1964"/>
      <c r="G6630" s="1964"/>
      <c r="H6630" s="1964"/>
      <c r="K6630" s="841" t="s">
        <v>4334</v>
      </c>
      <c r="M6630" s="1357"/>
      <c r="Q6630" s="1357"/>
      <c r="S6630" s="1420"/>
      <c r="T6630" s="1420"/>
      <c r="V6630" s="1357">
        <v>38</v>
      </c>
    </row>
    <row r="6631" spans="1:22" s="841" customFormat="1" ht="15" x14ac:dyDescent="0.25">
      <c r="A6631" s="841" t="s">
        <v>185</v>
      </c>
      <c r="B6631" s="841" t="s">
        <v>4076</v>
      </c>
      <c r="E6631" s="1689" t="s">
        <v>3063</v>
      </c>
      <c r="F6631" s="1689"/>
      <c r="G6631" s="1689"/>
      <c r="H6631" s="1689"/>
      <c r="M6631" s="1357"/>
      <c r="Q6631" s="1357"/>
      <c r="S6631" s="1420"/>
      <c r="T6631" s="1420"/>
      <c r="V6631" s="1357">
        <v>280</v>
      </c>
    </row>
    <row r="6632" spans="1:22" s="841" customFormat="1" ht="15" x14ac:dyDescent="0.25">
      <c r="A6632" s="841" t="s">
        <v>185</v>
      </c>
      <c r="B6632" s="841" t="s">
        <v>4076</v>
      </c>
      <c r="E6632" s="1689" t="s">
        <v>3064</v>
      </c>
      <c r="F6632" s="1689"/>
      <c r="G6632" s="1689"/>
      <c r="H6632" s="1689"/>
      <c r="M6632" s="1357"/>
      <c r="Q6632" s="1357"/>
      <c r="S6632" s="1420"/>
      <c r="T6632" s="1420"/>
      <c r="V6632" s="1357">
        <v>411</v>
      </c>
    </row>
    <row r="6633" spans="1:22" s="841" customFormat="1" ht="15" x14ac:dyDescent="0.25">
      <c r="A6633" s="841" t="s">
        <v>185</v>
      </c>
      <c r="B6633" s="841" t="s">
        <v>4076</v>
      </c>
      <c r="E6633" s="1689" t="s">
        <v>3129</v>
      </c>
      <c r="F6633" s="1689"/>
      <c r="G6633" s="1689"/>
      <c r="H6633" s="1689"/>
      <c r="M6633" s="1357"/>
      <c r="Q6633" s="1357"/>
      <c r="S6633" s="1420"/>
      <c r="T6633" s="1420"/>
      <c r="V6633" s="1357">
        <v>211</v>
      </c>
    </row>
    <row r="6634" spans="1:22" s="841" customFormat="1" ht="15" x14ac:dyDescent="0.25">
      <c r="A6634" s="841" t="s">
        <v>185</v>
      </c>
      <c r="B6634" s="841" t="s">
        <v>4076</v>
      </c>
      <c r="E6634" s="1689" t="s">
        <v>3200</v>
      </c>
      <c r="F6634" s="1689"/>
      <c r="G6634" s="1689"/>
      <c r="H6634" s="1689"/>
      <c r="M6634" s="1357"/>
      <c r="Q6634" s="1357"/>
      <c r="S6634" s="1420"/>
      <c r="T6634" s="1420"/>
      <c r="V6634" s="1357">
        <v>275</v>
      </c>
    </row>
    <row r="6635" spans="1:22" s="841" customFormat="1" ht="15" x14ac:dyDescent="0.25">
      <c r="A6635" s="841" t="s">
        <v>185</v>
      </c>
      <c r="B6635" s="841" t="s">
        <v>4076</v>
      </c>
      <c r="E6635" s="1690" t="s">
        <v>3291</v>
      </c>
      <c r="F6635" s="1690"/>
      <c r="G6635" s="1907"/>
      <c r="H6635" s="1907"/>
      <c r="M6635" s="1357"/>
      <c r="Q6635" s="1357"/>
      <c r="S6635" s="1420"/>
      <c r="T6635" s="1420"/>
      <c r="V6635" s="1357">
        <v>142</v>
      </c>
    </row>
    <row r="6636" spans="1:22" s="841" customFormat="1" ht="15" x14ac:dyDescent="0.25">
      <c r="A6636" s="841" t="s">
        <v>185</v>
      </c>
      <c r="B6636" s="841" t="s">
        <v>4076</v>
      </c>
      <c r="E6636" s="1690" t="s">
        <v>3176</v>
      </c>
      <c r="F6636" s="1690"/>
      <c r="G6636" s="1403" t="s">
        <v>23</v>
      </c>
      <c r="H6636" s="395">
        <v>100</v>
      </c>
      <c r="M6636" s="1357"/>
      <c r="Q6636" s="1357"/>
      <c r="S6636" s="1420"/>
      <c r="T6636" s="1420"/>
      <c r="V6636" s="1357">
        <v>106</v>
      </c>
    </row>
    <row r="6637" spans="1:22" s="841" customFormat="1" ht="15" x14ac:dyDescent="0.25">
      <c r="A6637" s="841" t="s">
        <v>185</v>
      </c>
      <c r="B6637" s="841" t="s">
        <v>4076</v>
      </c>
      <c r="E6637" s="1690" t="s">
        <v>3177</v>
      </c>
      <c r="F6637" s="1690"/>
      <c r="G6637" s="1403" t="s">
        <v>23</v>
      </c>
      <c r="H6637" s="395">
        <v>20</v>
      </c>
      <c r="M6637" s="1357"/>
      <c r="Q6637" s="1357"/>
      <c r="S6637" s="1420"/>
      <c r="T6637" s="1420"/>
      <c r="V6637" s="1357">
        <v>34</v>
      </c>
    </row>
    <row r="6638" spans="1:22" s="841" customFormat="1" ht="15" x14ac:dyDescent="0.25">
      <c r="A6638" s="841" t="s">
        <v>185</v>
      </c>
      <c r="B6638" s="841" t="s">
        <v>4076</v>
      </c>
      <c r="E6638" s="1690" t="s">
        <v>3178</v>
      </c>
      <c r="F6638" s="1690"/>
      <c r="G6638" s="1403" t="s">
        <v>3179</v>
      </c>
      <c r="H6638" s="395">
        <v>0.5</v>
      </c>
      <c r="M6638" s="1357"/>
      <c r="Q6638" s="1357"/>
      <c r="S6638" s="1420"/>
      <c r="T6638" s="1420"/>
      <c r="V6638" s="1357">
        <v>51</v>
      </c>
    </row>
    <row r="6639" spans="1:22" s="841" customFormat="1" ht="15" x14ac:dyDescent="0.25">
      <c r="A6639" s="841" t="s">
        <v>185</v>
      </c>
      <c r="B6639" s="841" t="s">
        <v>4076</v>
      </c>
      <c r="E6639" s="1690" t="s">
        <v>3180</v>
      </c>
      <c r="F6639" s="1690"/>
      <c r="G6639" s="1403" t="s">
        <v>3179</v>
      </c>
      <c r="H6639" s="395">
        <v>0.3</v>
      </c>
      <c r="M6639" s="1357"/>
      <c r="Q6639" s="1357"/>
      <c r="S6639" s="1420"/>
      <c r="T6639" s="1420"/>
      <c r="V6639" s="1357">
        <v>75</v>
      </c>
    </row>
    <row r="6640" spans="1:22" s="841" customFormat="1" ht="15" x14ac:dyDescent="0.25">
      <c r="A6640" s="841" t="s">
        <v>185</v>
      </c>
      <c r="B6640" s="841" t="s">
        <v>4076</v>
      </c>
      <c r="E6640" s="1690" t="s">
        <v>3181</v>
      </c>
      <c r="F6640" s="1690"/>
      <c r="G6640" s="1403" t="s">
        <v>3179</v>
      </c>
      <c r="H6640" s="395">
        <v>-0.3</v>
      </c>
      <c r="M6640" s="1357"/>
      <c r="Q6640" s="1357"/>
      <c r="S6640" s="1420"/>
      <c r="T6640" s="1420"/>
      <c r="V6640" s="1357">
        <v>72</v>
      </c>
    </row>
    <row r="6641" spans="1:22" s="841" customFormat="1" ht="15" x14ac:dyDescent="0.25">
      <c r="A6641" s="841" t="s">
        <v>185</v>
      </c>
      <c r="B6641" s="841" t="s">
        <v>4076</v>
      </c>
      <c r="E6641" s="1691" t="s">
        <v>3292</v>
      </c>
      <c r="F6641" s="1691"/>
      <c r="G6641" s="2067"/>
      <c r="H6641" s="2067"/>
      <c r="M6641" s="1357"/>
      <c r="Q6641" s="1357"/>
      <c r="S6641" s="1420"/>
      <c r="T6641" s="1420"/>
      <c r="V6641" s="1357">
        <v>34</v>
      </c>
    </row>
    <row r="6642" spans="1:22" s="841" customFormat="1" ht="15" x14ac:dyDescent="0.25">
      <c r="A6642" s="841" t="s">
        <v>185</v>
      </c>
      <c r="B6642" s="841" t="s">
        <v>4076</v>
      </c>
      <c r="E6642" s="1691" t="s">
        <v>3183</v>
      </c>
      <c r="F6642" s="1691"/>
      <c r="G6642" s="1403" t="s">
        <v>23</v>
      </c>
      <c r="H6642" s="395">
        <v>0.25</v>
      </c>
      <c r="M6642" s="1357"/>
      <c r="Q6642" s="1357"/>
      <c r="S6642" s="1420"/>
      <c r="T6642" s="1420"/>
      <c r="V6642" s="1357">
        <v>57</v>
      </c>
    </row>
    <row r="6643" spans="1:22" s="841" customFormat="1" ht="15" x14ac:dyDescent="0.25">
      <c r="A6643" s="841" t="s">
        <v>185</v>
      </c>
      <c r="B6643" s="841" t="s">
        <v>4076</v>
      </c>
      <c r="E6643" s="1691" t="s">
        <v>3184</v>
      </c>
      <c r="F6643" s="1691"/>
      <c r="G6643" s="1403" t="s">
        <v>23</v>
      </c>
      <c r="H6643" s="395">
        <v>0.5</v>
      </c>
      <c r="M6643" s="1357"/>
      <c r="Q6643" s="1357"/>
      <c r="S6643" s="1420"/>
      <c r="T6643" s="1420"/>
      <c r="V6643" s="1357">
        <v>60</v>
      </c>
    </row>
    <row r="6644" spans="1:22" s="841" customFormat="1" ht="15" x14ac:dyDescent="0.25">
      <c r="A6644" s="841" t="s">
        <v>185</v>
      </c>
      <c r="B6644" s="841" t="s">
        <v>4076</v>
      </c>
      <c r="E6644" s="1690" t="s">
        <v>3185</v>
      </c>
      <c r="F6644" s="1690"/>
      <c r="G6644" s="1908"/>
      <c r="H6644" s="1908"/>
      <c r="M6644" s="1357"/>
      <c r="Q6644" s="1357"/>
      <c r="S6644" s="1420"/>
      <c r="T6644" s="1420"/>
      <c r="V6644" s="1357">
        <v>91</v>
      </c>
    </row>
    <row r="6645" spans="1:22" s="841" customFormat="1" ht="15" x14ac:dyDescent="0.25">
      <c r="A6645" s="841" t="s">
        <v>185</v>
      </c>
      <c r="B6645" s="841" t="s">
        <v>4076</v>
      </c>
      <c r="E6645" s="1690" t="s">
        <v>3186</v>
      </c>
      <c r="F6645" s="1690"/>
      <c r="G6645" s="1908"/>
      <c r="H6645" s="1908"/>
      <c r="M6645" s="1357"/>
      <c r="Q6645" s="1357"/>
      <c r="S6645" s="1420"/>
      <c r="T6645" s="1420"/>
      <c r="V6645" s="1357">
        <v>96</v>
      </c>
    </row>
    <row r="6646" spans="1:22" s="841" customFormat="1" ht="15" x14ac:dyDescent="0.25">
      <c r="A6646" s="841" t="s">
        <v>185</v>
      </c>
      <c r="B6646" s="841" t="s">
        <v>4076</v>
      </c>
      <c r="E6646" s="1691" t="s">
        <v>3293</v>
      </c>
      <c r="F6646" s="1691"/>
      <c r="G6646" s="2067"/>
      <c r="H6646" s="2067"/>
      <c r="M6646" s="1357"/>
      <c r="Q6646" s="1357"/>
      <c r="S6646" s="1420"/>
      <c r="T6646" s="1420"/>
      <c r="V6646" s="1357">
        <v>77</v>
      </c>
    </row>
    <row r="6647" spans="1:22" s="841" customFormat="1" ht="15" x14ac:dyDescent="0.25">
      <c r="A6647" s="841" t="s">
        <v>185</v>
      </c>
      <c r="B6647" s="841" t="s">
        <v>4076</v>
      </c>
      <c r="E6647" s="1691" t="s">
        <v>3188</v>
      </c>
      <c r="F6647" s="1691"/>
      <c r="G6647" s="1403" t="s">
        <v>23</v>
      </c>
      <c r="H6647" s="503" t="s">
        <v>3189</v>
      </c>
      <c r="M6647" s="1357"/>
      <c r="Q6647" s="1357"/>
      <c r="S6647" s="1420"/>
      <c r="T6647" s="1420"/>
      <c r="V6647" s="1357">
        <v>18</v>
      </c>
    </row>
    <row r="6648" spans="1:22" s="841" customFormat="1" ht="15" x14ac:dyDescent="0.25">
      <c r="A6648" s="841" t="s">
        <v>185</v>
      </c>
      <c r="B6648" s="841" t="s">
        <v>4076</v>
      </c>
      <c r="E6648" s="1691" t="s">
        <v>3190</v>
      </c>
      <c r="F6648" s="1691"/>
      <c r="G6648" s="1403" t="s">
        <v>23</v>
      </c>
      <c r="H6648" s="395">
        <v>2</v>
      </c>
      <c r="M6648" s="1357"/>
      <c r="Q6648" s="1357"/>
      <c r="S6648" s="1420"/>
      <c r="T6648" s="1420"/>
      <c r="V6648" s="1357">
        <v>69</v>
      </c>
    </row>
    <row r="6649" spans="1:22" s="841" customFormat="1" ht="18.75" x14ac:dyDescent="0.3">
      <c r="A6649" s="841" t="s">
        <v>185</v>
      </c>
      <c r="B6649" s="841" t="s">
        <v>4076</v>
      </c>
      <c r="E6649" s="1931" t="s">
        <v>147</v>
      </c>
      <c r="F6649" s="1964"/>
      <c r="G6649" s="1964"/>
      <c r="H6649" s="1964"/>
      <c r="K6649" s="841" t="s">
        <v>4335</v>
      </c>
      <c r="M6649" s="1357"/>
      <c r="Q6649" s="1357"/>
      <c r="S6649" s="1420"/>
      <c r="T6649" s="1420"/>
      <c r="V6649" s="1357">
        <v>12</v>
      </c>
    </row>
    <row r="6650" spans="1:22" s="841" customFormat="1" ht="15" x14ac:dyDescent="0.25">
      <c r="A6650" s="841" t="s">
        <v>185</v>
      </c>
      <c r="B6650" s="841" t="s">
        <v>4076</v>
      </c>
      <c r="E6650" s="1704" t="s">
        <v>3192</v>
      </c>
      <c r="F6650" s="1704"/>
      <c r="G6650" s="1704"/>
      <c r="H6650" s="1704"/>
      <c r="M6650" s="1357"/>
      <c r="Q6650" s="1357"/>
      <c r="S6650" s="1420"/>
      <c r="T6650" s="1420"/>
      <c r="V6650" s="1357">
        <v>203</v>
      </c>
    </row>
    <row r="6651" spans="1:22" s="841" customFormat="1" ht="15" x14ac:dyDescent="0.25">
      <c r="A6651" s="841" t="s">
        <v>185</v>
      </c>
      <c r="B6651" s="841" t="s">
        <v>4076</v>
      </c>
      <c r="E6651" s="1690" t="s">
        <v>3295</v>
      </c>
      <c r="F6651" s="1690"/>
      <c r="G6651" s="1408"/>
      <c r="H6651" s="393">
        <v>1.0743</v>
      </c>
      <c r="M6651" s="1357"/>
      <c r="Q6651" s="1357"/>
      <c r="S6651" s="1420"/>
      <c r="T6651" s="1420"/>
      <c r="V6651" s="1357">
        <v>57</v>
      </c>
    </row>
    <row r="6652" spans="1:22" s="841" customFormat="1" ht="15" x14ac:dyDescent="0.25">
      <c r="A6652" s="841" t="s">
        <v>185</v>
      </c>
      <c r="B6652" s="841" t="s">
        <v>4076</v>
      </c>
      <c r="E6652" s="1690" t="s">
        <v>3297</v>
      </c>
      <c r="F6652" s="1690"/>
      <c r="G6652" s="1408"/>
      <c r="H6652" s="393">
        <v>1.0637000000000001</v>
      </c>
      <c r="J6652" s="841" t="s">
        <v>4084</v>
      </c>
      <c r="M6652" s="1357"/>
      <c r="Q6652" s="1357"/>
      <c r="S6652" s="1420"/>
      <c r="T6652" s="1420"/>
      <c r="V6652" s="1357">
        <v>55</v>
      </c>
    </row>
    <row r="6653" spans="1:22" s="841" customFormat="1" ht="23.25" x14ac:dyDescent="0.25">
      <c r="A6653" s="841" t="s">
        <v>187</v>
      </c>
      <c r="C6653" s="841" t="s">
        <v>3050</v>
      </c>
      <c r="E6653" s="1911" t="s">
        <v>187</v>
      </c>
      <c r="F6653" s="1911"/>
      <c r="G6653" s="1911"/>
      <c r="H6653" s="1911"/>
      <c r="I6653" s="841" t="s">
        <v>628</v>
      </c>
      <c r="J6653" s="841" t="s">
        <v>4368</v>
      </c>
      <c r="K6653" s="841" t="s">
        <v>187</v>
      </c>
      <c r="M6653" s="1357">
        <v>6</v>
      </c>
      <c r="Q6653" s="1357"/>
      <c r="S6653" s="1420"/>
      <c r="T6653" s="1420"/>
      <c r="V6653" s="1357">
        <v>33</v>
      </c>
    </row>
    <row r="6654" spans="1:22" s="841" customFormat="1" x14ac:dyDescent="0.25">
      <c r="A6654" s="841" t="s">
        <v>187</v>
      </c>
      <c r="C6654" s="841" t="s">
        <v>3052</v>
      </c>
      <c r="E6654" s="1912" t="s">
        <v>3053</v>
      </c>
      <c r="F6654" s="1912"/>
      <c r="G6654" s="1912"/>
      <c r="H6654" s="1912"/>
      <c r="M6654" s="1357"/>
      <c r="Q6654" s="1357"/>
      <c r="S6654" s="1420"/>
      <c r="T6654" s="1420"/>
      <c r="V6654" s="1357">
        <v>27</v>
      </c>
    </row>
    <row r="6655" spans="1:22" s="841" customFormat="1" ht="15.75" x14ac:dyDescent="0.25">
      <c r="A6655" s="841" t="s">
        <v>187</v>
      </c>
      <c r="C6655" s="841" t="s">
        <v>3054</v>
      </c>
      <c r="E6655" s="1913" t="s">
        <v>5107</v>
      </c>
      <c r="F6655" s="1913"/>
      <c r="G6655" s="1913"/>
      <c r="H6655" s="1913"/>
      <c r="M6655" s="1357"/>
      <c r="Q6655" s="1357"/>
      <c r="S6655" s="1420">
        <v>43221</v>
      </c>
      <c r="T6655" s="1420"/>
      <c r="V6655" s="1357">
        <v>45</v>
      </c>
    </row>
    <row r="6656" spans="1:22" s="841" customFormat="1" ht="15" x14ac:dyDescent="0.25">
      <c r="A6656" s="841" t="s">
        <v>187</v>
      </c>
      <c r="C6656" s="841" t="s">
        <v>3055</v>
      </c>
      <c r="E6656" s="1914" t="s">
        <v>3056</v>
      </c>
      <c r="F6656" s="1914"/>
      <c r="G6656" s="1914"/>
      <c r="H6656" s="1914"/>
      <c r="M6656" s="1357"/>
      <c r="Q6656" s="1357"/>
      <c r="S6656" s="1420"/>
      <c r="T6656" s="1420"/>
      <c r="V6656" s="1357">
        <v>52</v>
      </c>
    </row>
    <row r="6657" spans="1:22" s="841" customFormat="1" ht="15" x14ac:dyDescent="0.25">
      <c r="A6657" s="841" t="s">
        <v>187</v>
      </c>
      <c r="E6657" s="1914" t="s">
        <v>3057</v>
      </c>
      <c r="F6657" s="1914"/>
      <c r="G6657" s="1914"/>
      <c r="H6657" s="1914"/>
      <c r="M6657" s="1357"/>
      <c r="Q6657" s="1357"/>
      <c r="S6657" s="1420"/>
      <c r="T6657" s="1420"/>
      <c r="V6657" s="1357">
        <v>53</v>
      </c>
    </row>
    <row r="6658" spans="1:22" s="841" customFormat="1" ht="15" x14ac:dyDescent="0.25">
      <c r="A6658" s="841" t="s">
        <v>187</v>
      </c>
      <c r="E6658" s="1925" t="s">
        <v>5626</v>
      </c>
      <c r="F6658" s="1925"/>
      <c r="G6658" s="1925"/>
      <c r="H6658" s="1925"/>
      <c r="K6658" s="841" t="s">
        <v>5626</v>
      </c>
      <c r="M6658" s="1357"/>
      <c r="Q6658" s="1357"/>
      <c r="S6658" s="1420"/>
      <c r="T6658" s="1420"/>
      <c r="V6658" s="1357">
        <v>12</v>
      </c>
    </row>
    <row r="6659" spans="1:22" s="841" customFormat="1" ht="15" x14ac:dyDescent="0.25">
      <c r="A6659" s="841" t="s">
        <v>187</v>
      </c>
      <c r="E6659" s="1909" t="s">
        <v>438</v>
      </c>
      <c r="F6659" s="1697"/>
      <c r="G6659" s="1697"/>
      <c r="H6659" s="1697"/>
      <c r="K6659" s="841" t="s">
        <v>3197</v>
      </c>
      <c r="M6659" s="1357"/>
      <c r="Q6659" s="1357"/>
      <c r="S6659" s="1420"/>
      <c r="T6659" s="1420"/>
      <c r="V6659" s="1357">
        <v>34</v>
      </c>
    </row>
    <row r="6660" spans="1:22" s="841" customFormat="1" ht="15" x14ac:dyDescent="0.25">
      <c r="A6660" s="841" t="s">
        <v>187</v>
      </c>
      <c r="E6660" s="1689" t="s">
        <v>4369</v>
      </c>
      <c r="F6660" s="1689"/>
      <c r="G6660" s="1689"/>
      <c r="H6660" s="1689"/>
      <c r="K6660" s="841" t="s">
        <v>3197</v>
      </c>
      <c r="M6660" s="1357"/>
      <c r="Q6660" s="1357"/>
      <c r="S6660" s="1420"/>
      <c r="T6660" s="1420"/>
      <c r="V6660" s="1357">
        <v>784</v>
      </c>
    </row>
    <row r="6661" spans="1:22" s="841" customFormat="1" ht="15" x14ac:dyDescent="0.25">
      <c r="A6661" s="841" t="s">
        <v>187</v>
      </c>
      <c r="E6661" s="1916" t="s">
        <v>3061</v>
      </c>
      <c r="F6661" s="1697"/>
      <c r="G6661" s="1697"/>
      <c r="H6661" s="1697"/>
      <c r="K6661" s="841" t="s">
        <v>3062</v>
      </c>
      <c r="M6661" s="1357"/>
      <c r="Q6661" s="1357"/>
      <c r="S6661" s="1420"/>
      <c r="T6661" s="1420"/>
      <c r="V6661" s="1357">
        <v>11</v>
      </c>
    </row>
    <row r="6662" spans="1:22" s="841" customFormat="1" ht="15" x14ac:dyDescent="0.25">
      <c r="A6662" s="841" t="s">
        <v>187</v>
      </c>
      <c r="E6662" s="1689" t="s">
        <v>3063</v>
      </c>
      <c r="F6662" s="1689"/>
      <c r="G6662" s="1689"/>
      <c r="H6662" s="1689"/>
      <c r="K6662" s="841" t="s">
        <v>3197</v>
      </c>
      <c r="M6662" s="1357"/>
      <c r="Q6662" s="1357"/>
      <c r="S6662" s="1420"/>
      <c r="T6662" s="1420"/>
      <c r="V6662" s="1357">
        <v>280</v>
      </c>
    </row>
    <row r="6663" spans="1:22" s="841" customFormat="1" ht="15" x14ac:dyDescent="0.25">
      <c r="A6663" s="841" t="s">
        <v>187</v>
      </c>
      <c r="E6663" s="1689" t="s">
        <v>3064</v>
      </c>
      <c r="F6663" s="1689"/>
      <c r="G6663" s="1689"/>
      <c r="H6663" s="1689"/>
      <c r="K6663" s="841" t="s">
        <v>3197</v>
      </c>
      <c r="M6663" s="1357"/>
      <c r="Q6663" s="1357"/>
      <c r="S6663" s="1420"/>
      <c r="T6663" s="1420"/>
      <c r="V6663" s="1357">
        <v>411</v>
      </c>
    </row>
    <row r="6664" spans="1:22" s="841" customFormat="1" ht="15" x14ac:dyDescent="0.25">
      <c r="A6664" s="841" t="s">
        <v>187</v>
      </c>
      <c r="E6664" s="1689" t="s">
        <v>3199</v>
      </c>
      <c r="F6664" s="1689"/>
      <c r="G6664" s="1689"/>
      <c r="H6664" s="1689"/>
      <c r="K6664" s="841" t="s">
        <v>3197</v>
      </c>
      <c r="M6664" s="1357"/>
      <c r="Q6664" s="1357"/>
      <c r="S6664" s="1420"/>
      <c r="T6664" s="1420"/>
      <c r="V6664" s="1357">
        <v>386</v>
      </c>
    </row>
    <row r="6665" spans="1:22" s="841" customFormat="1" ht="15" x14ac:dyDescent="0.25">
      <c r="A6665" s="841" t="s">
        <v>187</v>
      </c>
      <c r="E6665" s="1689" t="s">
        <v>3200</v>
      </c>
      <c r="F6665" s="1689"/>
      <c r="G6665" s="1689"/>
      <c r="H6665" s="1689"/>
      <c r="K6665" s="841" t="s">
        <v>3197</v>
      </c>
      <c r="M6665" s="1357"/>
      <c r="Q6665" s="1357"/>
      <c r="S6665" s="1420"/>
      <c r="T6665" s="1420"/>
      <c r="V6665" s="1357">
        <v>275</v>
      </c>
    </row>
    <row r="6666" spans="1:22" s="841" customFormat="1" ht="15" x14ac:dyDescent="0.25">
      <c r="A6666" s="841" t="s">
        <v>187</v>
      </c>
      <c r="E6666" s="1694" t="s">
        <v>3067</v>
      </c>
      <c r="F6666" s="1907"/>
      <c r="G6666" s="1907"/>
      <c r="H6666" s="1907"/>
      <c r="K6666" s="841" t="s">
        <v>3068</v>
      </c>
      <c r="M6666" s="1357"/>
      <c r="Q6666" s="1357"/>
      <c r="S6666" s="1420"/>
      <c r="T6666" s="1420"/>
      <c r="V6666" s="1357">
        <v>46</v>
      </c>
    </row>
    <row r="6667" spans="1:22" s="841" customFormat="1" ht="15" x14ac:dyDescent="0.25">
      <c r="A6667" s="841" t="s">
        <v>187</v>
      </c>
      <c r="E6667" s="1690" t="s">
        <v>11</v>
      </c>
      <c r="F6667" s="1690"/>
      <c r="G6667" s="1408" t="s">
        <v>23</v>
      </c>
      <c r="H6667" s="391">
        <v>26.99</v>
      </c>
      <c r="K6667" s="841" t="s">
        <v>3197</v>
      </c>
      <c r="L6667" s="841" t="s">
        <v>442</v>
      </c>
      <c r="M6667" s="1357"/>
      <c r="P6667" s="841" t="s">
        <v>3201</v>
      </c>
      <c r="Q6667" s="1357"/>
      <c r="S6667" s="1420"/>
      <c r="T6667" s="1420"/>
      <c r="V6667" s="1357">
        <v>14</v>
      </c>
    </row>
    <row r="6668" spans="1:22" s="841" customFormat="1" ht="15" x14ac:dyDescent="0.25">
      <c r="A6668" s="841" t="s">
        <v>187</v>
      </c>
      <c r="E6668" s="1690" t="s">
        <v>5109</v>
      </c>
      <c r="F6668" s="1690"/>
      <c r="G6668" s="1408" t="s">
        <v>23</v>
      </c>
      <c r="H6668" s="391">
        <v>0.56999999999999995</v>
      </c>
      <c r="K6668" s="841" t="s">
        <v>3197</v>
      </c>
      <c r="L6668" s="841" t="s">
        <v>443</v>
      </c>
      <c r="M6668" s="1357"/>
      <c r="P6668" s="841" t="s">
        <v>3202</v>
      </c>
      <c r="Q6668" s="1357"/>
      <c r="S6668" s="1420"/>
      <c r="T6668" s="1420">
        <v>44926</v>
      </c>
      <c r="V6668" s="1357">
        <v>64</v>
      </c>
    </row>
    <row r="6669" spans="1:22" s="841" customFormat="1" ht="15" x14ac:dyDescent="0.25">
      <c r="A6669" s="841" t="s">
        <v>187</v>
      </c>
      <c r="E6669" s="1690" t="s">
        <v>84</v>
      </c>
      <c r="F6669" s="1690"/>
      <c r="G6669" s="1408" t="s">
        <v>24</v>
      </c>
      <c r="H6669" s="393">
        <v>5.4000000000000003E-3</v>
      </c>
      <c r="K6669" s="841" t="s">
        <v>3197</v>
      </c>
      <c r="L6669" s="841" t="s">
        <v>442</v>
      </c>
      <c r="M6669" s="1357"/>
      <c r="P6669" s="841" t="s">
        <v>3203</v>
      </c>
      <c r="Q6669" s="1357"/>
      <c r="S6669" s="1420"/>
      <c r="T6669" s="1420"/>
      <c r="V6669" s="1357">
        <v>28</v>
      </c>
    </row>
    <row r="6670" spans="1:22" s="841" customFormat="1" ht="15" x14ac:dyDescent="0.25">
      <c r="A6670" s="841" t="s">
        <v>187</v>
      </c>
      <c r="E6670" s="1690" t="s">
        <v>18</v>
      </c>
      <c r="F6670" s="1690"/>
      <c r="G6670" s="1408" t="s">
        <v>24</v>
      </c>
      <c r="H6670" s="393">
        <v>2E-3</v>
      </c>
      <c r="K6670" s="841" t="s">
        <v>3197</v>
      </c>
      <c r="L6670" s="841" t="s">
        <v>443</v>
      </c>
      <c r="M6670" s="1357"/>
      <c r="P6670" s="841" t="s">
        <v>3204</v>
      </c>
      <c r="Q6670" s="1357"/>
      <c r="S6670" s="1420"/>
      <c r="T6670" s="1420"/>
      <c r="V6670" s="1357">
        <v>24</v>
      </c>
    </row>
    <row r="6671" spans="1:22" s="841" customFormat="1" ht="15" x14ac:dyDescent="0.25">
      <c r="A6671" s="841" t="s">
        <v>187</v>
      </c>
      <c r="E6671" s="1690" t="s">
        <v>5129</v>
      </c>
      <c r="F6671" s="1908"/>
      <c r="G6671" s="1408" t="s">
        <v>24</v>
      </c>
      <c r="H6671" s="393">
        <v>-2.0000000000000001E-4</v>
      </c>
      <c r="K6671" s="841" t="s">
        <v>3197</v>
      </c>
      <c r="L6671" s="841" t="s">
        <v>443</v>
      </c>
      <c r="M6671" s="1357"/>
      <c r="P6671" s="841" t="s">
        <v>3205</v>
      </c>
      <c r="Q6671" s="1357"/>
      <c r="S6671" s="1420"/>
      <c r="T6671" s="1420">
        <v>43585</v>
      </c>
      <c r="V6671" s="1357">
        <v>139</v>
      </c>
    </row>
    <row r="6672" spans="1:22" s="841" customFormat="1" ht="15" x14ac:dyDescent="0.25">
      <c r="A6672" s="841" t="s">
        <v>187</v>
      </c>
      <c r="E6672" s="1690" t="s">
        <v>5130</v>
      </c>
      <c r="F6672" s="1908"/>
      <c r="G6672" s="1408" t="s">
        <v>24</v>
      </c>
      <c r="H6672" s="393">
        <v>5.0000000000000001E-4</v>
      </c>
      <c r="K6672" s="841" t="s">
        <v>3197</v>
      </c>
      <c r="L6672" s="841" t="s">
        <v>443</v>
      </c>
      <c r="M6672" s="1357"/>
      <c r="P6672" s="841" t="s">
        <v>3207</v>
      </c>
      <c r="Q6672" s="1357"/>
      <c r="S6672" s="1420"/>
      <c r="T6672" s="1420">
        <v>43585</v>
      </c>
      <c r="V6672" s="1357">
        <v>96</v>
      </c>
    </row>
    <row r="6673" spans="1:22" s="841" customFormat="1" ht="15" x14ac:dyDescent="0.25">
      <c r="A6673" s="841" t="s">
        <v>187</v>
      </c>
      <c r="E6673" s="1690" t="s">
        <v>221</v>
      </c>
      <c r="F6673" s="1690"/>
      <c r="G6673" s="1408" t="s">
        <v>24</v>
      </c>
      <c r="H6673" s="393">
        <v>6.6E-3</v>
      </c>
      <c r="K6673" s="841" t="s">
        <v>3197</v>
      </c>
      <c r="L6673" s="841" t="s">
        <v>444</v>
      </c>
      <c r="M6673" s="1357"/>
      <c r="P6673" s="841" t="s">
        <v>3208</v>
      </c>
      <c r="Q6673" s="1357"/>
      <c r="S6673" s="1420"/>
      <c r="T6673" s="1420"/>
      <c r="V6673" s="1357">
        <v>47</v>
      </c>
    </row>
    <row r="6674" spans="1:22" s="841" customFormat="1" ht="15" x14ac:dyDescent="0.25">
      <c r="A6674" s="841" t="s">
        <v>187</v>
      </c>
      <c r="E6674" s="1690" t="s">
        <v>217</v>
      </c>
      <c r="F6674" s="1690"/>
      <c r="G6674" s="1408" t="s">
        <v>24</v>
      </c>
      <c r="H6674" s="393">
        <v>5.1999999999999998E-3</v>
      </c>
      <c r="K6674" s="841" t="s">
        <v>3197</v>
      </c>
      <c r="L6674" s="841" t="s">
        <v>444</v>
      </c>
      <c r="M6674" s="1357"/>
      <c r="P6674" s="841" t="s">
        <v>3209</v>
      </c>
      <c r="Q6674" s="1357"/>
      <c r="S6674" s="1420"/>
      <c r="T6674" s="1420"/>
      <c r="V6674" s="1357">
        <v>74</v>
      </c>
    </row>
    <row r="6675" spans="1:22" s="841" customFormat="1" ht="15" x14ac:dyDescent="0.25">
      <c r="A6675" s="841" t="s">
        <v>187</v>
      </c>
      <c r="E6675" s="1694" t="s">
        <v>3079</v>
      </c>
      <c r="F6675" s="1690"/>
      <c r="G6675" s="1408"/>
      <c r="H6675" s="1408"/>
      <c r="K6675" s="841" t="s">
        <v>3080</v>
      </c>
      <c r="M6675" s="1357"/>
      <c r="Q6675" s="1357"/>
      <c r="S6675" s="1420"/>
      <c r="T6675" s="1420"/>
      <c r="V6675" s="1357">
        <v>48</v>
      </c>
    </row>
    <row r="6676" spans="1:22" s="841" customFormat="1" ht="15" x14ac:dyDescent="0.25">
      <c r="A6676" s="841" t="s">
        <v>187</v>
      </c>
      <c r="E6676" s="1690" t="s">
        <v>2449</v>
      </c>
      <c r="F6676" s="1690"/>
      <c r="G6676" s="1408" t="s">
        <v>24</v>
      </c>
      <c r="H6676" s="393">
        <v>3.2000000000000002E-3</v>
      </c>
      <c r="K6676" s="841" t="s">
        <v>3197</v>
      </c>
      <c r="L6676" s="841" t="s">
        <v>3046</v>
      </c>
      <c r="M6676" s="1357"/>
      <c r="P6676" s="841" t="s">
        <v>3210</v>
      </c>
      <c r="Q6676" s="1357"/>
      <c r="S6676" s="1420"/>
      <c r="T6676" s="1420"/>
      <c r="V6676" s="1357">
        <v>55</v>
      </c>
    </row>
    <row r="6677" spans="1:22" s="841" customFormat="1" ht="15" x14ac:dyDescent="0.25">
      <c r="A6677" s="841" t="s">
        <v>187</v>
      </c>
      <c r="E6677" s="1690" t="s">
        <v>2450</v>
      </c>
      <c r="F6677" s="1690"/>
      <c r="G6677" s="1408" t="s">
        <v>24</v>
      </c>
      <c r="H6677" s="393">
        <v>4.0000000000000002E-4</v>
      </c>
      <c r="K6677" s="841" t="s">
        <v>3197</v>
      </c>
      <c r="L6677" s="841" t="s">
        <v>3046</v>
      </c>
      <c r="M6677" s="1357"/>
      <c r="P6677" s="841" t="s">
        <v>3210</v>
      </c>
      <c r="Q6677" s="1357"/>
      <c r="S6677" s="1420"/>
      <c r="T6677" s="1420"/>
      <c r="V6677" s="1357">
        <v>65</v>
      </c>
    </row>
    <row r="6678" spans="1:22" s="841" customFormat="1" ht="15" x14ac:dyDescent="0.25">
      <c r="A6678" s="841" t="s">
        <v>187</v>
      </c>
      <c r="E6678" s="1690" t="s">
        <v>439</v>
      </c>
      <c r="F6678" s="1690"/>
      <c r="G6678" s="1408" t="s">
        <v>24</v>
      </c>
      <c r="H6678" s="393">
        <v>2.9999999999999997E-4</v>
      </c>
      <c r="K6678" s="841" t="s">
        <v>3197</v>
      </c>
      <c r="L6678" s="841" t="s">
        <v>3046</v>
      </c>
      <c r="M6678" s="1357"/>
      <c r="P6678" s="841" t="s">
        <v>3212</v>
      </c>
      <c r="Q6678" s="1357"/>
      <c r="S6678" s="1420"/>
      <c r="T6678" s="1420"/>
      <c r="V6678" s="1357">
        <v>57</v>
      </c>
    </row>
    <row r="6679" spans="1:22" s="841" customFormat="1" ht="15" x14ac:dyDescent="0.25">
      <c r="A6679" s="841" t="s">
        <v>187</v>
      </c>
      <c r="E6679" s="1690" t="s">
        <v>32</v>
      </c>
      <c r="F6679" s="1690"/>
      <c r="G6679" s="1408" t="s">
        <v>23</v>
      </c>
      <c r="H6679" s="391">
        <v>0.25</v>
      </c>
      <c r="K6679" s="841" t="s">
        <v>3197</v>
      </c>
      <c r="L6679" s="841" t="s">
        <v>3046</v>
      </c>
      <c r="M6679" s="1357"/>
      <c r="P6679" s="841" t="s">
        <v>3213</v>
      </c>
      <c r="Q6679" s="1357"/>
      <c r="S6679" s="1420"/>
      <c r="T6679" s="1420"/>
      <c r="V6679" s="1357">
        <v>63</v>
      </c>
    </row>
    <row r="6680" spans="1:22" s="841" customFormat="1" x14ac:dyDescent="0.25">
      <c r="A6680" s="841" t="s">
        <v>187</v>
      </c>
      <c r="E6680" s="1909" t="s">
        <v>3214</v>
      </c>
      <c r="F6680" s="1915"/>
      <c r="G6680" s="1915"/>
      <c r="H6680" s="1915"/>
      <c r="K6680" s="841" t="s">
        <v>5110</v>
      </c>
      <c r="M6680" s="1357"/>
      <c r="Q6680" s="1357"/>
      <c r="S6680" s="1420"/>
      <c r="T6680" s="1420"/>
      <c r="V6680" s="1357">
        <v>54</v>
      </c>
    </row>
    <row r="6681" spans="1:22" s="841" customFormat="1" ht="15" x14ac:dyDescent="0.25">
      <c r="A6681" s="841" t="s">
        <v>187</v>
      </c>
      <c r="E6681" s="1689" t="s">
        <v>4371</v>
      </c>
      <c r="F6681" s="1689"/>
      <c r="G6681" s="1689"/>
      <c r="H6681" s="1689"/>
      <c r="K6681" s="841" t="s">
        <v>5110</v>
      </c>
      <c r="M6681" s="1357"/>
      <c r="Q6681" s="1357"/>
      <c r="S6681" s="1420"/>
      <c r="T6681" s="1420"/>
      <c r="V6681" s="1357">
        <v>561</v>
      </c>
    </row>
    <row r="6682" spans="1:22" s="841" customFormat="1" ht="15" x14ac:dyDescent="0.25">
      <c r="A6682" s="841" t="s">
        <v>187</v>
      </c>
      <c r="E6682" s="1916" t="s">
        <v>3061</v>
      </c>
      <c r="F6682" s="1697"/>
      <c r="G6682" s="1697"/>
      <c r="H6682" s="1697"/>
      <c r="K6682" s="841" t="s">
        <v>3086</v>
      </c>
      <c r="M6682" s="1357"/>
      <c r="Q6682" s="1357"/>
      <c r="S6682" s="1420"/>
      <c r="T6682" s="1420"/>
      <c r="V6682" s="1357">
        <v>11</v>
      </c>
    </row>
    <row r="6683" spans="1:22" s="841" customFormat="1" ht="15" x14ac:dyDescent="0.25">
      <c r="A6683" s="841" t="s">
        <v>187</v>
      </c>
      <c r="E6683" s="1689" t="s">
        <v>3063</v>
      </c>
      <c r="F6683" s="1689"/>
      <c r="G6683" s="1689"/>
      <c r="H6683" s="1689"/>
      <c r="K6683" s="841" t="s">
        <v>5110</v>
      </c>
      <c r="M6683" s="1357"/>
      <c r="Q6683" s="1357"/>
      <c r="S6683" s="1420"/>
      <c r="T6683" s="1420"/>
      <c r="V6683" s="1357">
        <v>280</v>
      </c>
    </row>
    <row r="6684" spans="1:22" s="841" customFormat="1" ht="15" x14ac:dyDescent="0.25">
      <c r="A6684" s="841" t="s">
        <v>187</v>
      </c>
      <c r="E6684" s="1689" t="s">
        <v>3064</v>
      </c>
      <c r="F6684" s="1689"/>
      <c r="G6684" s="1689"/>
      <c r="H6684" s="1689"/>
      <c r="K6684" s="841" t="s">
        <v>5110</v>
      </c>
      <c r="M6684" s="1357"/>
      <c r="Q6684" s="1357"/>
      <c r="S6684" s="1420"/>
      <c r="T6684" s="1420"/>
      <c r="V6684" s="1357">
        <v>411</v>
      </c>
    </row>
    <row r="6685" spans="1:22" s="841" customFormat="1" ht="15" x14ac:dyDescent="0.25">
      <c r="A6685" s="841" t="s">
        <v>187</v>
      </c>
      <c r="E6685" s="1689" t="s">
        <v>3065</v>
      </c>
      <c r="F6685" s="1689"/>
      <c r="G6685" s="1689"/>
      <c r="H6685" s="1689"/>
      <c r="K6685" s="841" t="s">
        <v>5110</v>
      </c>
      <c r="M6685" s="1357"/>
      <c r="Q6685" s="1357"/>
      <c r="S6685" s="1420"/>
      <c r="T6685" s="1420"/>
      <c r="V6685" s="1357">
        <v>387</v>
      </c>
    </row>
    <row r="6686" spans="1:22" s="841" customFormat="1" ht="15" x14ac:dyDescent="0.25">
      <c r="A6686" s="841" t="s">
        <v>187</v>
      </c>
      <c r="E6686" s="1689" t="s">
        <v>3200</v>
      </c>
      <c r="F6686" s="1689"/>
      <c r="G6686" s="1689"/>
      <c r="H6686" s="1689"/>
      <c r="K6686" s="841" t="s">
        <v>5110</v>
      </c>
      <c r="M6686" s="1357"/>
      <c r="Q6686" s="1357"/>
      <c r="S6686" s="1420"/>
      <c r="T6686" s="1420"/>
      <c r="V6686" s="1357">
        <v>275</v>
      </c>
    </row>
    <row r="6687" spans="1:22" s="841" customFormat="1" ht="15" x14ac:dyDescent="0.25">
      <c r="A6687" s="841" t="s">
        <v>187</v>
      </c>
      <c r="E6687" s="1694" t="s">
        <v>3067</v>
      </c>
      <c r="F6687" s="1907"/>
      <c r="G6687" s="1907"/>
      <c r="H6687" s="1907"/>
      <c r="K6687" s="841" t="s">
        <v>3087</v>
      </c>
      <c r="M6687" s="1357"/>
      <c r="Q6687" s="1357"/>
      <c r="S6687" s="1420"/>
      <c r="T6687" s="1420"/>
      <c r="V6687" s="1357">
        <v>46</v>
      </c>
    </row>
    <row r="6688" spans="1:22" s="841" customFormat="1" ht="15" x14ac:dyDescent="0.25">
      <c r="A6688" s="841" t="s">
        <v>187</v>
      </c>
      <c r="E6688" s="1690" t="s">
        <v>11</v>
      </c>
      <c r="F6688" s="1690"/>
      <c r="G6688" s="1408" t="s">
        <v>23</v>
      </c>
      <c r="H6688" s="391">
        <v>22.79</v>
      </c>
      <c r="K6688" s="841" t="s">
        <v>5110</v>
      </c>
      <c r="L6688" s="841" t="s">
        <v>442</v>
      </c>
      <c r="M6688" s="1357"/>
      <c r="P6688" s="841" t="s">
        <v>5111</v>
      </c>
      <c r="Q6688" s="1357"/>
      <c r="S6688" s="1420"/>
      <c r="T6688" s="1420"/>
      <c r="V6688" s="1357">
        <v>14</v>
      </c>
    </row>
    <row r="6689" spans="1:22" s="841" customFormat="1" ht="15" x14ac:dyDescent="0.25">
      <c r="A6689" s="841" t="s">
        <v>187</v>
      </c>
      <c r="E6689" s="1690" t="s">
        <v>5109</v>
      </c>
      <c r="F6689" s="1690"/>
      <c r="G6689" s="1408" t="s">
        <v>23</v>
      </c>
      <c r="H6689" s="391">
        <v>0.56999999999999995</v>
      </c>
      <c r="K6689" s="841" t="s">
        <v>5110</v>
      </c>
      <c r="L6689" s="841" t="s">
        <v>443</v>
      </c>
      <c r="M6689" s="1357"/>
      <c r="P6689" s="841" t="s">
        <v>5112</v>
      </c>
      <c r="Q6689" s="1357"/>
      <c r="S6689" s="1420"/>
      <c r="T6689" s="1420">
        <v>44926</v>
      </c>
      <c r="V6689" s="1357">
        <v>64</v>
      </c>
    </row>
    <row r="6690" spans="1:22" s="841" customFormat="1" ht="15" x14ac:dyDescent="0.25">
      <c r="A6690" s="841" t="s">
        <v>187</v>
      </c>
      <c r="E6690" s="1690" t="s">
        <v>84</v>
      </c>
      <c r="F6690" s="1690"/>
      <c r="G6690" s="1408" t="s">
        <v>24</v>
      </c>
      <c r="H6690" s="393">
        <v>1.6799999999999999E-2</v>
      </c>
      <c r="K6690" s="841" t="s">
        <v>5110</v>
      </c>
      <c r="L6690" s="841" t="s">
        <v>442</v>
      </c>
      <c r="M6690" s="1357"/>
      <c r="P6690" s="841" t="s">
        <v>5113</v>
      </c>
      <c r="Q6690" s="1357"/>
      <c r="S6690" s="1420"/>
      <c r="T6690" s="1420"/>
      <c r="V6690" s="1357">
        <v>28</v>
      </c>
    </row>
    <row r="6691" spans="1:22" s="841" customFormat="1" ht="15" x14ac:dyDescent="0.25">
      <c r="A6691" s="841" t="s">
        <v>187</v>
      </c>
      <c r="E6691" s="1690" t="s">
        <v>18</v>
      </c>
      <c r="F6691" s="1690"/>
      <c r="G6691" s="1408" t="s">
        <v>24</v>
      </c>
      <c r="H6691" s="393">
        <v>1.8E-3</v>
      </c>
      <c r="K6691" s="841" t="s">
        <v>5110</v>
      </c>
      <c r="L6691" s="841" t="s">
        <v>443</v>
      </c>
      <c r="M6691" s="1357"/>
      <c r="P6691" s="841" t="s">
        <v>5114</v>
      </c>
      <c r="Q6691" s="1357"/>
      <c r="S6691" s="1420"/>
      <c r="T6691" s="1420"/>
      <c r="V6691" s="1357">
        <v>24</v>
      </c>
    </row>
    <row r="6692" spans="1:22" s="841" customFormat="1" ht="15" x14ac:dyDescent="0.25">
      <c r="A6692" s="841" t="s">
        <v>187</v>
      </c>
      <c r="E6692" s="1690" t="s">
        <v>5129</v>
      </c>
      <c r="F6692" s="1908"/>
      <c r="G6692" s="1408" t="s">
        <v>24</v>
      </c>
      <c r="H6692" s="393">
        <v>-2.0000000000000001E-4</v>
      </c>
      <c r="K6692" s="841" t="s">
        <v>5110</v>
      </c>
      <c r="L6692" s="841" t="s">
        <v>443</v>
      </c>
      <c r="M6692" s="1357"/>
      <c r="P6692" s="841" t="s">
        <v>4818</v>
      </c>
      <c r="Q6692" s="1357"/>
      <c r="S6692" s="1420"/>
      <c r="T6692" s="1420">
        <v>43585</v>
      </c>
      <c r="V6692" s="1357">
        <v>139</v>
      </c>
    </row>
    <row r="6693" spans="1:22" s="841" customFormat="1" ht="15" x14ac:dyDescent="0.25">
      <c r="A6693" s="841" t="s">
        <v>187</v>
      </c>
      <c r="E6693" s="1690" t="s">
        <v>5130</v>
      </c>
      <c r="F6693" s="1908"/>
      <c r="G6693" s="1408" t="s">
        <v>24</v>
      </c>
      <c r="H6693" s="393">
        <v>5.9999999999999995E-4</v>
      </c>
      <c r="K6693" s="841" t="s">
        <v>5110</v>
      </c>
      <c r="L6693" s="841" t="s">
        <v>443</v>
      </c>
      <c r="M6693" s="1357"/>
      <c r="P6693" s="841" t="s">
        <v>5124</v>
      </c>
      <c r="Q6693" s="1357"/>
      <c r="S6693" s="1420"/>
      <c r="T6693" s="1420">
        <v>43585</v>
      </c>
      <c r="V6693" s="1357">
        <v>96</v>
      </c>
    </row>
    <row r="6694" spans="1:22" s="841" customFormat="1" ht="15" x14ac:dyDescent="0.25">
      <c r="A6694" s="841" t="s">
        <v>187</v>
      </c>
      <c r="E6694" s="1690" t="s">
        <v>221</v>
      </c>
      <c r="F6694" s="1690"/>
      <c r="G6694" s="1408" t="s">
        <v>24</v>
      </c>
      <c r="H6694" s="393">
        <v>5.8999999999999999E-3</v>
      </c>
      <c r="K6694" s="841" t="s">
        <v>5110</v>
      </c>
      <c r="L6694" s="841" t="s">
        <v>444</v>
      </c>
      <c r="M6694" s="1357"/>
      <c r="P6694" s="841" t="s">
        <v>5115</v>
      </c>
      <c r="Q6694" s="1357"/>
      <c r="S6694" s="1420"/>
      <c r="T6694" s="1420"/>
      <c r="V6694" s="1357">
        <v>47</v>
      </c>
    </row>
    <row r="6695" spans="1:22" s="841" customFormat="1" ht="15" x14ac:dyDescent="0.25">
      <c r="A6695" s="841" t="s">
        <v>187</v>
      </c>
      <c r="E6695" s="1690" t="s">
        <v>217</v>
      </c>
      <c r="F6695" s="1690"/>
      <c r="G6695" s="1408" t="s">
        <v>24</v>
      </c>
      <c r="H6695" s="393">
        <v>4.7999999999999996E-3</v>
      </c>
      <c r="K6695" s="841" t="s">
        <v>5110</v>
      </c>
      <c r="L6695" s="841" t="s">
        <v>444</v>
      </c>
      <c r="M6695" s="1357"/>
      <c r="P6695" s="841" t="s">
        <v>5116</v>
      </c>
      <c r="Q6695" s="1357"/>
      <c r="S6695" s="1420"/>
      <c r="T6695" s="1420"/>
      <c r="V6695" s="1357">
        <v>74</v>
      </c>
    </row>
    <row r="6696" spans="1:22" s="841" customFormat="1" ht="15" x14ac:dyDescent="0.25">
      <c r="A6696" s="841" t="s">
        <v>187</v>
      </c>
      <c r="E6696" s="1694" t="s">
        <v>3079</v>
      </c>
      <c r="F6696" s="1690"/>
      <c r="G6696" s="1408"/>
      <c r="H6696" s="1408"/>
      <c r="K6696" s="841" t="s">
        <v>3093</v>
      </c>
      <c r="M6696" s="1357"/>
      <c r="Q6696" s="1357"/>
      <c r="S6696" s="1420"/>
      <c r="T6696" s="1420"/>
      <c r="V6696" s="1357">
        <v>48</v>
      </c>
    </row>
    <row r="6697" spans="1:22" s="841" customFormat="1" ht="15" x14ac:dyDescent="0.25">
      <c r="A6697" s="841" t="s">
        <v>187</v>
      </c>
      <c r="E6697" s="1690" t="s">
        <v>2449</v>
      </c>
      <c r="F6697" s="1690"/>
      <c r="G6697" s="1408" t="s">
        <v>24</v>
      </c>
      <c r="H6697" s="393">
        <v>3.2000000000000002E-3</v>
      </c>
      <c r="K6697" s="841" t="s">
        <v>5110</v>
      </c>
      <c r="L6697" s="841" t="s">
        <v>3046</v>
      </c>
      <c r="M6697" s="1357"/>
      <c r="P6697" s="841" t="s">
        <v>5117</v>
      </c>
      <c r="Q6697" s="1357"/>
      <c r="S6697" s="1420"/>
      <c r="T6697" s="1420"/>
      <c r="V6697" s="1357">
        <v>55</v>
      </c>
    </row>
    <row r="6698" spans="1:22" s="841" customFormat="1" ht="15" x14ac:dyDescent="0.25">
      <c r="A6698" s="841" t="s">
        <v>187</v>
      </c>
      <c r="E6698" s="1690" t="s">
        <v>2450</v>
      </c>
      <c r="F6698" s="1690"/>
      <c r="G6698" s="1408" t="s">
        <v>24</v>
      </c>
      <c r="H6698" s="393">
        <v>4.0000000000000002E-4</v>
      </c>
      <c r="K6698" s="841" t="s">
        <v>5110</v>
      </c>
      <c r="L6698" s="841" t="s">
        <v>3046</v>
      </c>
      <c r="M6698" s="1357"/>
      <c r="P6698" s="841" t="s">
        <v>5117</v>
      </c>
      <c r="Q6698" s="1357"/>
      <c r="S6698" s="1420"/>
      <c r="T6698" s="1420"/>
      <c r="V6698" s="1357">
        <v>65</v>
      </c>
    </row>
    <row r="6699" spans="1:22" s="841" customFormat="1" ht="15" x14ac:dyDescent="0.25">
      <c r="A6699" s="841" t="s">
        <v>187</v>
      </c>
      <c r="E6699" s="1690" t="s">
        <v>439</v>
      </c>
      <c r="F6699" s="1690"/>
      <c r="G6699" s="1408" t="s">
        <v>24</v>
      </c>
      <c r="H6699" s="393">
        <v>2.9999999999999997E-4</v>
      </c>
      <c r="K6699" s="841" t="s">
        <v>5110</v>
      </c>
      <c r="L6699" s="841" t="s">
        <v>3046</v>
      </c>
      <c r="M6699" s="1357"/>
      <c r="P6699" s="841" t="s">
        <v>5118</v>
      </c>
      <c r="Q6699" s="1357"/>
      <c r="S6699" s="1420"/>
      <c r="T6699" s="1420"/>
      <c r="V6699" s="1357">
        <v>57</v>
      </c>
    </row>
    <row r="6700" spans="1:22" s="841" customFormat="1" ht="15" x14ac:dyDescent="0.25">
      <c r="A6700" s="841" t="s">
        <v>187</v>
      </c>
      <c r="E6700" s="1690" t="s">
        <v>32</v>
      </c>
      <c r="F6700" s="1690"/>
      <c r="G6700" s="1408" t="s">
        <v>23</v>
      </c>
      <c r="H6700" s="391">
        <v>0.25</v>
      </c>
      <c r="K6700" s="841" t="s">
        <v>5110</v>
      </c>
      <c r="L6700" s="841" t="s">
        <v>3046</v>
      </c>
      <c r="M6700" s="1357"/>
      <c r="P6700" s="841" t="s">
        <v>5119</v>
      </c>
      <c r="Q6700" s="1357"/>
      <c r="S6700" s="1420"/>
      <c r="T6700" s="1420"/>
      <c r="V6700" s="1357">
        <v>63</v>
      </c>
    </row>
    <row r="6701" spans="1:22" s="841" customFormat="1" x14ac:dyDescent="0.25">
      <c r="A6701" s="841" t="s">
        <v>187</v>
      </c>
      <c r="E6701" s="1909" t="s">
        <v>616</v>
      </c>
      <c r="F6701" s="1915"/>
      <c r="G6701" s="1915"/>
      <c r="H6701" s="1915"/>
      <c r="K6701" s="841" t="s">
        <v>6095</v>
      </c>
      <c r="M6701" s="1357"/>
      <c r="Q6701" s="1357"/>
      <c r="S6701" s="1420"/>
      <c r="T6701" s="1420"/>
      <c r="V6701" s="1357">
        <v>53</v>
      </c>
    </row>
    <row r="6702" spans="1:22" s="841" customFormat="1" ht="15" x14ac:dyDescent="0.25">
      <c r="A6702" s="841" t="s">
        <v>187</v>
      </c>
      <c r="E6702" s="1689" t="s">
        <v>4372</v>
      </c>
      <c r="F6702" s="1689"/>
      <c r="G6702" s="1689"/>
      <c r="H6702" s="1689"/>
      <c r="K6702" s="841" t="s">
        <v>6095</v>
      </c>
      <c r="M6702" s="1357"/>
      <c r="Q6702" s="1357"/>
      <c r="S6702" s="1420"/>
      <c r="T6702" s="1420"/>
      <c r="V6702" s="1357">
        <v>862</v>
      </c>
    </row>
    <row r="6703" spans="1:22" s="841" customFormat="1" ht="15" x14ac:dyDescent="0.25">
      <c r="A6703" s="841" t="s">
        <v>187</v>
      </c>
      <c r="E6703" s="1916" t="s">
        <v>3061</v>
      </c>
      <c r="F6703" s="1697"/>
      <c r="G6703" s="1697"/>
      <c r="H6703" s="1697"/>
      <c r="K6703" s="841" t="s">
        <v>3098</v>
      </c>
      <c r="M6703" s="1357"/>
      <c r="Q6703" s="1357"/>
      <c r="S6703" s="1420"/>
      <c r="T6703" s="1420"/>
      <c r="V6703" s="1357">
        <v>11</v>
      </c>
    </row>
    <row r="6704" spans="1:22" s="841" customFormat="1" ht="15" x14ac:dyDescent="0.25">
      <c r="A6704" s="841" t="s">
        <v>187</v>
      </c>
      <c r="E6704" s="1689" t="s">
        <v>3063</v>
      </c>
      <c r="F6704" s="1689"/>
      <c r="G6704" s="1689"/>
      <c r="H6704" s="1689"/>
      <c r="K6704" s="841" t="s">
        <v>6095</v>
      </c>
      <c r="M6704" s="1357"/>
      <c r="Q6704" s="1357"/>
      <c r="S6704" s="1420"/>
      <c r="T6704" s="1420"/>
      <c r="V6704" s="1357">
        <v>280</v>
      </c>
    </row>
    <row r="6705" spans="1:22" s="841" customFormat="1" ht="15" x14ac:dyDescent="0.25">
      <c r="A6705" s="841" t="s">
        <v>187</v>
      </c>
      <c r="E6705" s="1689" t="s">
        <v>3064</v>
      </c>
      <c r="F6705" s="1689"/>
      <c r="G6705" s="1689"/>
      <c r="H6705" s="1689"/>
      <c r="K6705" s="841" t="s">
        <v>6095</v>
      </c>
      <c r="M6705" s="1357"/>
      <c r="Q6705" s="1357"/>
      <c r="S6705" s="1420"/>
      <c r="T6705" s="1420"/>
      <c r="V6705" s="1357">
        <v>411</v>
      </c>
    </row>
    <row r="6706" spans="1:22" s="841" customFormat="1" ht="15" x14ac:dyDescent="0.25">
      <c r="A6706" s="841" t="s">
        <v>187</v>
      </c>
      <c r="E6706" s="1689" t="s">
        <v>3065</v>
      </c>
      <c r="F6706" s="1689"/>
      <c r="G6706" s="1689"/>
      <c r="H6706" s="1689"/>
      <c r="K6706" s="841" t="s">
        <v>6095</v>
      </c>
      <c r="M6706" s="1357"/>
      <c r="Q6706" s="1357"/>
      <c r="S6706" s="1420"/>
      <c r="T6706" s="1420"/>
      <c r="V6706" s="1357">
        <v>387</v>
      </c>
    </row>
    <row r="6707" spans="1:22" s="841" customFormat="1" ht="15" x14ac:dyDescent="0.25">
      <c r="A6707" s="841" t="s">
        <v>187</v>
      </c>
      <c r="E6707" s="1689" t="s">
        <v>5378</v>
      </c>
      <c r="F6707" s="1689"/>
      <c r="G6707" s="1689"/>
      <c r="H6707" s="1689"/>
      <c r="K6707" s="841" t="s">
        <v>6095</v>
      </c>
      <c r="M6707" s="1357"/>
      <c r="Q6707" s="1357"/>
      <c r="S6707" s="1420"/>
      <c r="T6707" s="1420"/>
      <c r="V6707" s="1357">
        <v>658</v>
      </c>
    </row>
    <row r="6708" spans="1:22" s="841" customFormat="1" ht="15" x14ac:dyDescent="0.25">
      <c r="A6708" s="841" t="s">
        <v>187</v>
      </c>
      <c r="E6708" s="1689" t="s">
        <v>3200</v>
      </c>
      <c r="F6708" s="1689"/>
      <c r="G6708" s="1689"/>
      <c r="H6708" s="1689"/>
      <c r="K6708" s="841" t="s">
        <v>6095</v>
      </c>
      <c r="M6708" s="1357"/>
      <c r="Q6708" s="1357"/>
      <c r="S6708" s="1420"/>
      <c r="T6708" s="1420"/>
      <c r="V6708" s="1357">
        <v>275</v>
      </c>
    </row>
    <row r="6709" spans="1:22" s="841" customFormat="1" ht="15" x14ac:dyDescent="0.25">
      <c r="A6709" s="841" t="s">
        <v>187</v>
      </c>
      <c r="E6709" s="1694" t="s">
        <v>3067</v>
      </c>
      <c r="F6709" s="1907"/>
      <c r="G6709" s="1907"/>
      <c r="H6709" s="1907"/>
      <c r="K6709" s="841" t="s">
        <v>3099</v>
      </c>
      <c r="M6709" s="1357"/>
      <c r="Q6709" s="1357"/>
      <c r="S6709" s="1420"/>
      <c r="T6709" s="1420"/>
      <c r="V6709" s="1357">
        <v>46</v>
      </c>
    </row>
    <row r="6710" spans="1:22" s="841" customFormat="1" ht="15" x14ac:dyDescent="0.25">
      <c r="A6710" s="841" t="s">
        <v>187</v>
      </c>
      <c r="E6710" s="1690" t="s">
        <v>11</v>
      </c>
      <c r="F6710" s="1690"/>
      <c r="G6710" s="1408" t="s">
        <v>23</v>
      </c>
      <c r="H6710" s="391">
        <v>64.41</v>
      </c>
      <c r="K6710" s="841" t="s">
        <v>6095</v>
      </c>
      <c r="L6710" s="841" t="s">
        <v>442</v>
      </c>
      <c r="M6710" s="1357"/>
      <c r="P6710" s="841" t="s">
        <v>6096</v>
      </c>
      <c r="Q6710" s="1357"/>
      <c r="S6710" s="1420"/>
      <c r="T6710" s="1420"/>
      <c r="V6710" s="1357">
        <v>14</v>
      </c>
    </row>
    <row r="6711" spans="1:22" s="841" customFormat="1" ht="15" x14ac:dyDescent="0.25">
      <c r="A6711" s="841" t="s">
        <v>187</v>
      </c>
      <c r="E6711" s="1690" t="s">
        <v>84</v>
      </c>
      <c r="F6711" s="1690"/>
      <c r="G6711" s="1408" t="s">
        <v>33</v>
      </c>
      <c r="H6711" s="393">
        <v>3.2825000000000002</v>
      </c>
      <c r="K6711" s="841" t="s">
        <v>6095</v>
      </c>
      <c r="L6711" s="841" t="s">
        <v>442</v>
      </c>
      <c r="M6711" s="1357"/>
      <c r="P6711" s="841" t="s">
        <v>6097</v>
      </c>
      <c r="Q6711" s="1357"/>
      <c r="S6711" s="1420"/>
      <c r="T6711" s="1420"/>
      <c r="V6711" s="1357">
        <v>28</v>
      </c>
    </row>
    <row r="6712" spans="1:22" s="841" customFormat="1" ht="15" x14ac:dyDescent="0.25">
      <c r="A6712" s="841" t="s">
        <v>187</v>
      </c>
      <c r="E6712" s="1690" t="s">
        <v>18</v>
      </c>
      <c r="F6712" s="1690"/>
      <c r="G6712" s="1408" t="s">
        <v>33</v>
      </c>
      <c r="H6712" s="393">
        <v>0.72819999999999996</v>
      </c>
      <c r="K6712" s="841" t="s">
        <v>6095</v>
      </c>
      <c r="L6712" s="841" t="s">
        <v>443</v>
      </c>
      <c r="M6712" s="1357"/>
      <c r="P6712" s="841" t="s">
        <v>6098</v>
      </c>
      <c r="Q6712" s="1357"/>
      <c r="S6712" s="1420"/>
      <c r="T6712" s="1420"/>
      <c r="V6712" s="1357">
        <v>24</v>
      </c>
    </row>
    <row r="6713" spans="1:22" s="841" customFormat="1" ht="15" x14ac:dyDescent="0.25">
      <c r="A6713" s="841" t="s">
        <v>187</v>
      </c>
      <c r="E6713" s="1690" t="s">
        <v>5129</v>
      </c>
      <c r="F6713" s="1908"/>
      <c r="G6713" s="1408" t="s">
        <v>24</v>
      </c>
      <c r="H6713" s="393">
        <v>-2.0000000000000001E-4</v>
      </c>
      <c r="K6713" s="841" t="s">
        <v>6095</v>
      </c>
      <c r="L6713" s="841" t="s">
        <v>443</v>
      </c>
      <c r="M6713" s="1357"/>
      <c r="P6713" s="841" t="s">
        <v>6104</v>
      </c>
      <c r="Q6713" s="1357"/>
      <c r="S6713" s="1420"/>
      <c r="T6713" s="1420">
        <v>43585</v>
      </c>
      <c r="V6713" s="1357">
        <v>139</v>
      </c>
    </row>
    <row r="6714" spans="1:22" s="841" customFormat="1" ht="15" x14ac:dyDescent="0.25">
      <c r="A6714" s="841" t="s">
        <v>187</v>
      </c>
      <c r="E6714" s="1690" t="s">
        <v>5305</v>
      </c>
      <c r="F6714" s="1908"/>
      <c r="G6714" s="1408" t="s">
        <v>33</v>
      </c>
      <c r="H6714" s="393">
        <v>-0.40229999999999999</v>
      </c>
      <c r="K6714" s="841" t="s">
        <v>6095</v>
      </c>
      <c r="L6714" s="841" t="s">
        <v>443</v>
      </c>
      <c r="M6714" s="1357"/>
      <c r="P6714" s="841" t="s">
        <v>6105</v>
      </c>
      <c r="Q6714" s="1357"/>
      <c r="S6714" s="1420"/>
      <c r="T6714" s="1420">
        <v>43585</v>
      </c>
      <c r="V6714" s="1357">
        <v>156</v>
      </c>
    </row>
    <row r="6715" spans="1:22" s="841" customFormat="1" ht="15" x14ac:dyDescent="0.25">
      <c r="A6715" s="841" t="s">
        <v>187</v>
      </c>
      <c r="E6715" s="1690" t="s">
        <v>5130</v>
      </c>
      <c r="F6715" s="1908"/>
      <c r="G6715" s="1408" t="s">
        <v>33</v>
      </c>
      <c r="H6715" s="393">
        <v>0.63349999999999995</v>
      </c>
      <c r="K6715" s="841" t="s">
        <v>6095</v>
      </c>
      <c r="L6715" s="841" t="s">
        <v>443</v>
      </c>
      <c r="M6715" s="1357"/>
      <c r="P6715" s="841" t="s">
        <v>6105</v>
      </c>
      <c r="Q6715" s="1357"/>
      <c r="S6715" s="1420"/>
      <c r="T6715" s="1420">
        <v>43585</v>
      </c>
      <c r="V6715" s="1357">
        <v>96</v>
      </c>
    </row>
    <row r="6716" spans="1:22" s="841" customFormat="1" ht="15" x14ac:dyDescent="0.25">
      <c r="A6716" s="841" t="s">
        <v>187</v>
      </c>
      <c r="E6716" s="1690" t="s">
        <v>221</v>
      </c>
      <c r="F6716" s="1690"/>
      <c r="G6716" s="1408" t="s">
        <v>33</v>
      </c>
      <c r="H6716" s="393">
        <v>2.4232</v>
      </c>
      <c r="K6716" s="841" t="s">
        <v>6095</v>
      </c>
      <c r="L6716" s="841" t="s">
        <v>444</v>
      </c>
      <c r="M6716" s="1357"/>
      <c r="P6716" s="841" t="s">
        <v>6099</v>
      </c>
      <c r="Q6716" s="1357"/>
      <c r="S6716" s="1420"/>
      <c r="T6716" s="1420"/>
      <c r="V6716" s="1357">
        <v>47</v>
      </c>
    </row>
    <row r="6717" spans="1:22" s="841" customFormat="1" ht="15" x14ac:dyDescent="0.25">
      <c r="A6717" s="841" t="s">
        <v>187</v>
      </c>
      <c r="E6717" s="1690" t="s">
        <v>3628</v>
      </c>
      <c r="F6717" s="1690"/>
      <c r="G6717" s="1408" t="s">
        <v>33</v>
      </c>
      <c r="H6717" s="393">
        <v>1.8940999999999999</v>
      </c>
      <c r="K6717" s="841" t="s">
        <v>6095</v>
      </c>
      <c r="L6717" s="841" t="s">
        <v>444</v>
      </c>
      <c r="M6717" s="1357"/>
      <c r="P6717" s="841" t="s">
        <v>6219</v>
      </c>
      <c r="Q6717" s="1357"/>
      <c r="S6717" s="1420"/>
      <c r="T6717" s="1420"/>
      <c r="V6717" s="1357">
        <v>75</v>
      </c>
    </row>
    <row r="6718" spans="1:22" s="841" customFormat="1" ht="15" x14ac:dyDescent="0.25">
      <c r="A6718" s="841" t="s">
        <v>187</v>
      </c>
      <c r="E6718" s="1694" t="s">
        <v>3079</v>
      </c>
      <c r="F6718" s="1690"/>
      <c r="G6718" s="1408"/>
      <c r="H6718" s="1408"/>
      <c r="K6718" s="841" t="s">
        <v>3218</v>
      </c>
      <c r="M6718" s="1357"/>
      <c r="Q6718" s="1357"/>
      <c r="S6718" s="1420"/>
      <c r="T6718" s="1420"/>
      <c r="V6718" s="1357">
        <v>48</v>
      </c>
    </row>
    <row r="6719" spans="1:22" s="841" customFormat="1" ht="15" x14ac:dyDescent="0.25">
      <c r="A6719" s="841" t="s">
        <v>187</v>
      </c>
      <c r="E6719" s="1690" t="s">
        <v>2449</v>
      </c>
      <c r="F6719" s="1690"/>
      <c r="G6719" s="1408" t="s">
        <v>24</v>
      </c>
      <c r="H6719" s="393">
        <v>3.2000000000000002E-3</v>
      </c>
      <c r="K6719" s="841" t="s">
        <v>6095</v>
      </c>
      <c r="L6719" s="841" t="s">
        <v>3046</v>
      </c>
      <c r="M6719" s="1357"/>
      <c r="P6719" s="841" t="s">
        <v>6101</v>
      </c>
      <c r="Q6719" s="1357"/>
      <c r="S6719" s="1420"/>
      <c r="T6719" s="1420"/>
      <c r="V6719" s="1357">
        <v>55</v>
      </c>
    </row>
    <row r="6720" spans="1:22" s="841" customFormat="1" ht="15" x14ac:dyDescent="0.25">
      <c r="A6720" s="841" t="s">
        <v>187</v>
      </c>
      <c r="E6720" s="1690" t="s">
        <v>2450</v>
      </c>
      <c r="F6720" s="1690"/>
      <c r="G6720" s="1408" t="s">
        <v>24</v>
      </c>
      <c r="H6720" s="393">
        <v>4.0000000000000002E-4</v>
      </c>
      <c r="K6720" s="841" t="s">
        <v>6095</v>
      </c>
      <c r="L6720" s="841" t="s">
        <v>3046</v>
      </c>
      <c r="M6720" s="1357"/>
      <c r="P6720" s="841" t="s">
        <v>6101</v>
      </c>
      <c r="Q6720" s="1357"/>
      <c r="S6720" s="1420"/>
      <c r="T6720" s="1420"/>
      <c r="V6720" s="1357">
        <v>65</v>
      </c>
    </row>
    <row r="6721" spans="1:22" s="841" customFormat="1" ht="15" x14ac:dyDescent="0.25">
      <c r="A6721" s="841" t="s">
        <v>187</v>
      </c>
      <c r="E6721" s="1690" t="s">
        <v>439</v>
      </c>
      <c r="F6721" s="1690"/>
      <c r="G6721" s="1408" t="s">
        <v>24</v>
      </c>
      <c r="H6721" s="393">
        <v>2.9999999999999997E-4</v>
      </c>
      <c r="K6721" s="841" t="s">
        <v>6095</v>
      </c>
      <c r="L6721" s="841" t="s">
        <v>3046</v>
      </c>
      <c r="M6721" s="1357"/>
      <c r="P6721" s="841" t="s">
        <v>6102</v>
      </c>
      <c r="Q6721" s="1357"/>
      <c r="S6721" s="1420"/>
      <c r="T6721" s="1420"/>
      <c r="V6721" s="1357">
        <v>57</v>
      </c>
    </row>
    <row r="6722" spans="1:22" s="841" customFormat="1" ht="15" x14ac:dyDescent="0.25">
      <c r="A6722" s="841" t="s">
        <v>187</v>
      </c>
      <c r="E6722" s="1690" t="s">
        <v>32</v>
      </c>
      <c r="F6722" s="1690"/>
      <c r="G6722" s="1408" t="s">
        <v>23</v>
      </c>
      <c r="H6722" s="391">
        <v>0.25</v>
      </c>
      <c r="K6722" s="841" t="s">
        <v>6095</v>
      </c>
      <c r="L6722" s="841" t="s">
        <v>3046</v>
      </c>
      <c r="M6722" s="1357"/>
      <c r="P6722" s="841" t="s">
        <v>6103</v>
      </c>
      <c r="Q6722" s="1357"/>
      <c r="S6722" s="1420"/>
      <c r="T6722" s="1420"/>
      <c r="V6722" s="1357">
        <v>63</v>
      </c>
    </row>
    <row r="6723" spans="1:22" s="841" customFormat="1" x14ac:dyDescent="0.25">
      <c r="A6723" s="841" t="s">
        <v>187</v>
      </c>
      <c r="E6723" s="1909" t="s">
        <v>617</v>
      </c>
      <c r="F6723" s="1915"/>
      <c r="G6723" s="1915"/>
      <c r="H6723" s="1915"/>
      <c r="K6723" s="841" t="s">
        <v>3406</v>
      </c>
      <c r="M6723" s="1357"/>
      <c r="Q6723" s="1357"/>
      <c r="S6723" s="1420"/>
      <c r="T6723" s="1420"/>
      <c r="V6723" s="1357">
        <v>47</v>
      </c>
    </row>
    <row r="6724" spans="1:22" s="841" customFormat="1" ht="15" x14ac:dyDescent="0.25">
      <c r="A6724" s="841" t="s">
        <v>187</v>
      </c>
      <c r="E6724" s="1689" t="s">
        <v>4373</v>
      </c>
      <c r="F6724" s="1689"/>
      <c r="G6724" s="1689"/>
      <c r="H6724" s="1689"/>
      <c r="K6724" s="841" t="s">
        <v>3406</v>
      </c>
      <c r="M6724" s="1357"/>
      <c r="Q6724" s="1357"/>
      <c r="S6724" s="1420"/>
      <c r="T6724" s="1420"/>
      <c r="V6724" s="1357">
        <v>621</v>
      </c>
    </row>
    <row r="6725" spans="1:22" s="841" customFormat="1" ht="15" x14ac:dyDescent="0.25">
      <c r="A6725" s="841" t="s">
        <v>187</v>
      </c>
      <c r="E6725" s="1916" t="s">
        <v>3061</v>
      </c>
      <c r="F6725" s="1697"/>
      <c r="G6725" s="1697"/>
      <c r="H6725" s="1697"/>
      <c r="K6725" s="841" t="s">
        <v>3221</v>
      </c>
      <c r="M6725" s="1357"/>
      <c r="Q6725" s="1357"/>
      <c r="S6725" s="1420"/>
      <c r="T6725" s="1420"/>
      <c r="V6725" s="1357">
        <v>11</v>
      </c>
    </row>
    <row r="6726" spans="1:22" s="841" customFormat="1" ht="15" x14ac:dyDescent="0.25">
      <c r="A6726" s="841" t="s">
        <v>187</v>
      </c>
      <c r="E6726" s="1689" t="s">
        <v>3063</v>
      </c>
      <c r="F6726" s="1689"/>
      <c r="G6726" s="1689"/>
      <c r="H6726" s="1689"/>
      <c r="K6726" s="841" t="s">
        <v>3406</v>
      </c>
      <c r="M6726" s="1357"/>
      <c r="Q6726" s="1357"/>
      <c r="S6726" s="1420"/>
      <c r="T6726" s="1420"/>
      <c r="V6726" s="1357">
        <v>280</v>
      </c>
    </row>
    <row r="6727" spans="1:22" s="841" customFormat="1" ht="15" x14ac:dyDescent="0.25">
      <c r="A6727" s="841" t="s">
        <v>187</v>
      </c>
      <c r="E6727" s="1689" t="s">
        <v>3064</v>
      </c>
      <c r="F6727" s="1689"/>
      <c r="G6727" s="1689"/>
      <c r="H6727" s="1689"/>
      <c r="K6727" s="841" t="s">
        <v>3406</v>
      </c>
      <c r="M6727" s="1357"/>
      <c r="Q6727" s="1357"/>
      <c r="S6727" s="1420"/>
      <c r="T6727" s="1420"/>
      <c r="V6727" s="1357">
        <v>411</v>
      </c>
    </row>
    <row r="6728" spans="1:22" s="841" customFormat="1" ht="15" x14ac:dyDescent="0.25">
      <c r="A6728" s="841" t="s">
        <v>187</v>
      </c>
      <c r="E6728" s="1689" t="s">
        <v>3065</v>
      </c>
      <c r="F6728" s="1689"/>
      <c r="G6728" s="1689"/>
      <c r="H6728" s="1689"/>
      <c r="K6728" s="841" t="s">
        <v>3406</v>
      </c>
      <c r="M6728" s="1357"/>
      <c r="Q6728" s="1357"/>
      <c r="S6728" s="1420"/>
      <c r="T6728" s="1420"/>
      <c r="V6728" s="1357">
        <v>387</v>
      </c>
    </row>
    <row r="6729" spans="1:22" s="841" customFormat="1" ht="15" x14ac:dyDescent="0.25">
      <c r="A6729" s="841" t="s">
        <v>187</v>
      </c>
      <c r="E6729" s="1689" t="s">
        <v>3200</v>
      </c>
      <c r="F6729" s="1689"/>
      <c r="G6729" s="1689"/>
      <c r="H6729" s="1689"/>
      <c r="K6729" s="841" t="s">
        <v>3406</v>
      </c>
      <c r="M6729" s="1357"/>
      <c r="Q6729" s="1357"/>
      <c r="S6729" s="1420"/>
      <c r="T6729" s="1420"/>
      <c r="V6729" s="1357">
        <v>275</v>
      </c>
    </row>
    <row r="6730" spans="1:22" s="841" customFormat="1" ht="15" x14ac:dyDescent="0.25">
      <c r="A6730" s="841" t="s">
        <v>187</v>
      </c>
      <c r="E6730" s="1694" t="s">
        <v>3067</v>
      </c>
      <c r="F6730" s="1907"/>
      <c r="G6730" s="1907"/>
      <c r="H6730" s="1907"/>
      <c r="K6730" s="841" t="s">
        <v>3224</v>
      </c>
      <c r="M6730" s="1357"/>
      <c r="Q6730" s="1357"/>
      <c r="S6730" s="1420"/>
      <c r="T6730" s="1420"/>
      <c r="V6730" s="1357">
        <v>46</v>
      </c>
    </row>
    <row r="6731" spans="1:22" s="841" customFormat="1" ht="15" x14ac:dyDescent="0.25">
      <c r="A6731" s="841" t="s">
        <v>187</v>
      </c>
      <c r="E6731" s="1690" t="s">
        <v>13</v>
      </c>
      <c r="F6731" s="1690"/>
      <c r="G6731" s="1408" t="s">
        <v>23</v>
      </c>
      <c r="H6731" s="391">
        <v>10.54</v>
      </c>
      <c r="K6731" s="841" t="s">
        <v>3406</v>
      </c>
      <c r="L6731" s="841" t="s">
        <v>442</v>
      </c>
      <c r="M6731" s="1357"/>
      <c r="P6731" s="841" t="s">
        <v>3408</v>
      </c>
      <c r="Q6731" s="1357"/>
      <c r="S6731" s="1420"/>
      <c r="T6731" s="1420"/>
      <c r="V6731" s="1357">
        <v>29</v>
      </c>
    </row>
    <row r="6732" spans="1:22" s="841" customFormat="1" ht="15" x14ac:dyDescent="0.25">
      <c r="A6732" s="841" t="s">
        <v>187</v>
      </c>
      <c r="E6732" s="1690" t="s">
        <v>84</v>
      </c>
      <c r="F6732" s="1690"/>
      <c r="G6732" s="1408" t="s">
        <v>24</v>
      </c>
      <c r="H6732" s="393">
        <v>1.1299999999999999E-2</v>
      </c>
      <c r="K6732" s="841" t="s">
        <v>3406</v>
      </c>
      <c r="L6732" s="841" t="s">
        <v>442</v>
      </c>
      <c r="M6732" s="1357"/>
      <c r="P6732" s="841" t="s">
        <v>3409</v>
      </c>
      <c r="Q6732" s="1357"/>
      <c r="S6732" s="1420"/>
      <c r="T6732" s="1420"/>
      <c r="V6732" s="1357">
        <v>28</v>
      </c>
    </row>
    <row r="6733" spans="1:22" s="841" customFormat="1" ht="15" x14ac:dyDescent="0.25">
      <c r="A6733" s="841" t="s">
        <v>187</v>
      </c>
      <c r="E6733" s="1690" t="s">
        <v>18</v>
      </c>
      <c r="F6733" s="1690"/>
      <c r="G6733" s="1408" t="s">
        <v>24</v>
      </c>
      <c r="H6733" s="393">
        <v>1.8E-3</v>
      </c>
      <c r="K6733" s="841" t="s">
        <v>3406</v>
      </c>
      <c r="L6733" s="841" t="s">
        <v>443</v>
      </c>
      <c r="M6733" s="1357"/>
      <c r="P6733" s="841" t="s">
        <v>3549</v>
      </c>
      <c r="Q6733" s="1357"/>
      <c r="S6733" s="1420"/>
      <c r="T6733" s="1420"/>
      <c r="V6733" s="1357">
        <v>24</v>
      </c>
    </row>
    <row r="6734" spans="1:22" s="841" customFormat="1" ht="15" x14ac:dyDescent="0.25">
      <c r="A6734" s="841" t="s">
        <v>187</v>
      </c>
      <c r="E6734" s="1690" t="s">
        <v>5129</v>
      </c>
      <c r="F6734" s="1908"/>
      <c r="G6734" s="1408" t="s">
        <v>24</v>
      </c>
      <c r="H6734" s="393">
        <v>-2.0000000000000001E-4</v>
      </c>
      <c r="K6734" s="841" t="s">
        <v>3406</v>
      </c>
      <c r="L6734" s="841" t="s">
        <v>443</v>
      </c>
      <c r="M6734" s="1357"/>
      <c r="P6734" s="841" t="s">
        <v>3550</v>
      </c>
      <c r="Q6734" s="1357"/>
      <c r="S6734" s="1420"/>
      <c r="T6734" s="1420">
        <v>43585</v>
      </c>
      <c r="V6734" s="1357">
        <v>139</v>
      </c>
    </row>
    <row r="6735" spans="1:22" s="841" customFormat="1" ht="15" x14ac:dyDescent="0.25">
      <c r="A6735" s="841" t="s">
        <v>187</v>
      </c>
      <c r="E6735" s="1690" t="s">
        <v>5130</v>
      </c>
      <c r="F6735" s="1908"/>
      <c r="G6735" s="1408" t="s">
        <v>24</v>
      </c>
      <c r="H6735" s="393">
        <v>5.9999999999999995E-4</v>
      </c>
      <c r="K6735" s="841" t="s">
        <v>3406</v>
      </c>
      <c r="L6735" s="841" t="s">
        <v>443</v>
      </c>
      <c r="M6735" s="1357"/>
      <c r="P6735" s="841" t="s">
        <v>3411</v>
      </c>
      <c r="Q6735" s="1357"/>
      <c r="S6735" s="1420"/>
      <c r="T6735" s="1420">
        <v>43585</v>
      </c>
      <c r="V6735" s="1357">
        <v>96</v>
      </c>
    </row>
    <row r="6736" spans="1:22" s="841" customFormat="1" ht="15" x14ac:dyDescent="0.25">
      <c r="A6736" s="841" t="s">
        <v>187</v>
      </c>
      <c r="E6736" s="1690" t="s">
        <v>221</v>
      </c>
      <c r="F6736" s="1690"/>
      <c r="G6736" s="1408" t="s">
        <v>24</v>
      </c>
      <c r="H6736" s="393">
        <v>5.8999999999999999E-3</v>
      </c>
      <c r="K6736" s="841" t="s">
        <v>3406</v>
      </c>
      <c r="L6736" s="841" t="s">
        <v>444</v>
      </c>
      <c r="M6736" s="1357"/>
      <c r="P6736" s="841" t="s">
        <v>3412</v>
      </c>
      <c r="Q6736" s="1357"/>
      <c r="S6736" s="1420"/>
      <c r="T6736" s="1420"/>
      <c r="V6736" s="1357">
        <v>47</v>
      </c>
    </row>
    <row r="6737" spans="1:22" s="841" customFormat="1" ht="15" x14ac:dyDescent="0.25">
      <c r="A6737" s="841" t="s">
        <v>187</v>
      </c>
      <c r="E6737" s="1690" t="s">
        <v>217</v>
      </c>
      <c r="F6737" s="1690"/>
      <c r="G6737" s="1408" t="s">
        <v>24</v>
      </c>
      <c r="H6737" s="393">
        <v>4.7999999999999996E-3</v>
      </c>
      <c r="K6737" s="841" t="s">
        <v>3406</v>
      </c>
      <c r="L6737" s="841" t="s">
        <v>444</v>
      </c>
      <c r="M6737" s="1357"/>
      <c r="P6737" s="841" t="s">
        <v>3413</v>
      </c>
      <c r="Q6737" s="1357"/>
      <c r="S6737" s="1420"/>
      <c r="T6737" s="1420"/>
      <c r="V6737" s="1357">
        <v>74</v>
      </c>
    </row>
    <row r="6738" spans="1:22" s="841" customFormat="1" ht="15" x14ac:dyDescent="0.25">
      <c r="A6738" s="841" t="s">
        <v>187</v>
      </c>
      <c r="E6738" s="1694" t="s">
        <v>3079</v>
      </c>
      <c r="F6738" s="1690"/>
      <c r="G6738" s="1408"/>
      <c r="H6738" s="1408"/>
      <c r="K6738" s="841" t="s">
        <v>3225</v>
      </c>
      <c r="M6738" s="1357"/>
      <c r="Q6738" s="1357"/>
      <c r="S6738" s="1420"/>
      <c r="T6738" s="1420"/>
      <c r="V6738" s="1357">
        <v>48</v>
      </c>
    </row>
    <row r="6739" spans="1:22" s="841" customFormat="1" ht="15" x14ac:dyDescent="0.25">
      <c r="A6739" s="841" t="s">
        <v>187</v>
      </c>
      <c r="E6739" s="1690" t="s">
        <v>2449</v>
      </c>
      <c r="F6739" s="1690"/>
      <c r="G6739" s="1408" t="s">
        <v>24</v>
      </c>
      <c r="H6739" s="393">
        <v>3.2000000000000002E-3</v>
      </c>
      <c r="K6739" s="841" t="s">
        <v>3406</v>
      </c>
      <c r="L6739" s="841" t="s">
        <v>3046</v>
      </c>
      <c r="M6739" s="1357"/>
      <c r="P6739" s="841" t="s">
        <v>3414</v>
      </c>
      <c r="Q6739" s="1357"/>
      <c r="S6739" s="1420"/>
      <c r="T6739" s="1420"/>
      <c r="V6739" s="1357">
        <v>55</v>
      </c>
    </row>
    <row r="6740" spans="1:22" s="841" customFormat="1" ht="15" x14ac:dyDescent="0.25">
      <c r="A6740" s="841" t="s">
        <v>187</v>
      </c>
      <c r="E6740" s="1690" t="s">
        <v>2450</v>
      </c>
      <c r="F6740" s="1690"/>
      <c r="G6740" s="1408" t="s">
        <v>24</v>
      </c>
      <c r="H6740" s="393">
        <v>4.0000000000000002E-4</v>
      </c>
      <c r="K6740" s="841" t="s">
        <v>3406</v>
      </c>
      <c r="L6740" s="841" t="s">
        <v>3046</v>
      </c>
      <c r="M6740" s="1357"/>
      <c r="P6740" s="841" t="s">
        <v>3414</v>
      </c>
      <c r="Q6740" s="1357"/>
      <c r="S6740" s="1420"/>
      <c r="T6740" s="1420"/>
      <c r="V6740" s="1357">
        <v>65</v>
      </c>
    </row>
    <row r="6741" spans="1:22" s="841" customFormat="1" ht="15" x14ac:dyDescent="0.25">
      <c r="A6741" s="841" t="s">
        <v>187</v>
      </c>
      <c r="E6741" s="1690" t="s">
        <v>439</v>
      </c>
      <c r="F6741" s="1690"/>
      <c r="G6741" s="1408" t="s">
        <v>24</v>
      </c>
      <c r="H6741" s="393">
        <v>2.9999999999999997E-4</v>
      </c>
      <c r="K6741" s="841" t="s">
        <v>3406</v>
      </c>
      <c r="L6741" s="841" t="s">
        <v>3046</v>
      </c>
      <c r="M6741" s="1357"/>
      <c r="P6741" s="841" t="s">
        <v>3415</v>
      </c>
      <c r="Q6741" s="1357"/>
      <c r="S6741" s="1420"/>
      <c r="T6741" s="1420"/>
      <c r="V6741" s="1357">
        <v>57</v>
      </c>
    </row>
    <row r="6742" spans="1:22" s="841" customFormat="1" ht="15" x14ac:dyDescent="0.25">
      <c r="A6742" s="841" t="s">
        <v>187</v>
      </c>
      <c r="E6742" s="1690" t="s">
        <v>32</v>
      </c>
      <c r="F6742" s="1690"/>
      <c r="G6742" s="1408" t="s">
        <v>23</v>
      </c>
      <c r="H6742" s="391">
        <v>0.25</v>
      </c>
      <c r="K6742" s="841" t="s">
        <v>3406</v>
      </c>
      <c r="L6742" s="841" t="s">
        <v>3046</v>
      </c>
      <c r="M6742" s="1357"/>
      <c r="P6742" s="841" t="s">
        <v>3416</v>
      </c>
      <c r="Q6742" s="1357"/>
      <c r="S6742" s="1420"/>
      <c r="T6742" s="1420"/>
      <c r="V6742" s="1357">
        <v>63</v>
      </c>
    </row>
    <row r="6743" spans="1:22" s="841" customFormat="1" x14ac:dyDescent="0.25">
      <c r="A6743" s="841" t="s">
        <v>187</v>
      </c>
      <c r="E6743" s="1909" t="s">
        <v>615</v>
      </c>
      <c r="F6743" s="1915"/>
      <c r="G6743" s="1915"/>
      <c r="H6743" s="1915"/>
      <c r="K6743" s="841" t="s">
        <v>3417</v>
      </c>
      <c r="M6743" s="1357"/>
      <c r="Q6743" s="1357"/>
      <c r="S6743" s="1420"/>
      <c r="T6743" s="1420"/>
      <c r="V6743" s="1357">
        <v>38</v>
      </c>
    </row>
    <row r="6744" spans="1:22" s="841" customFormat="1" ht="15" x14ac:dyDescent="0.25">
      <c r="A6744" s="841" t="s">
        <v>187</v>
      </c>
      <c r="E6744" s="1689" t="s">
        <v>4374</v>
      </c>
      <c r="F6744" s="1689"/>
      <c r="G6744" s="1689"/>
      <c r="H6744" s="1689"/>
      <c r="K6744" s="841" t="s">
        <v>3417</v>
      </c>
      <c r="M6744" s="1357"/>
      <c r="Q6744" s="1357"/>
      <c r="S6744" s="1420"/>
      <c r="T6744" s="1420"/>
      <c r="V6744" s="1357">
        <v>553</v>
      </c>
    </row>
    <row r="6745" spans="1:22" s="841" customFormat="1" ht="15" x14ac:dyDescent="0.25">
      <c r="A6745" s="841" t="s">
        <v>187</v>
      </c>
      <c r="E6745" s="1916" t="s">
        <v>3061</v>
      </c>
      <c r="F6745" s="1697"/>
      <c r="G6745" s="1697"/>
      <c r="H6745" s="1697"/>
      <c r="K6745" s="841" t="s">
        <v>3107</v>
      </c>
      <c r="M6745" s="1357"/>
      <c r="Q6745" s="1357"/>
      <c r="S6745" s="1420"/>
      <c r="T6745" s="1420"/>
      <c r="V6745" s="1357">
        <v>11</v>
      </c>
    </row>
    <row r="6746" spans="1:22" s="841" customFormat="1" ht="15" x14ac:dyDescent="0.25">
      <c r="A6746" s="841" t="s">
        <v>187</v>
      </c>
      <c r="E6746" s="1689" t="s">
        <v>3063</v>
      </c>
      <c r="F6746" s="1689"/>
      <c r="G6746" s="1689"/>
      <c r="H6746" s="1689"/>
      <c r="K6746" s="841" t="s">
        <v>3417</v>
      </c>
      <c r="M6746" s="1357"/>
      <c r="Q6746" s="1357"/>
      <c r="S6746" s="1420"/>
      <c r="T6746" s="1420"/>
      <c r="V6746" s="1357">
        <v>280</v>
      </c>
    </row>
    <row r="6747" spans="1:22" s="841" customFormat="1" ht="15" x14ac:dyDescent="0.25">
      <c r="A6747" s="841" t="s">
        <v>187</v>
      </c>
      <c r="E6747" s="1689" t="s">
        <v>3064</v>
      </c>
      <c r="F6747" s="1689"/>
      <c r="G6747" s="1689"/>
      <c r="H6747" s="1689"/>
      <c r="K6747" s="841" t="s">
        <v>3417</v>
      </c>
      <c r="M6747" s="1357"/>
      <c r="Q6747" s="1357"/>
      <c r="S6747" s="1420"/>
      <c r="T6747" s="1420"/>
      <c r="V6747" s="1357">
        <v>411</v>
      </c>
    </row>
    <row r="6748" spans="1:22" s="841" customFormat="1" ht="15" x14ac:dyDescent="0.25">
      <c r="A6748" s="841" t="s">
        <v>187</v>
      </c>
      <c r="E6748" s="1689" t="s">
        <v>3065</v>
      </c>
      <c r="F6748" s="1689"/>
      <c r="G6748" s="1689"/>
      <c r="H6748" s="1689"/>
      <c r="K6748" s="841" t="s">
        <v>3417</v>
      </c>
      <c r="M6748" s="1357"/>
      <c r="Q6748" s="1357"/>
      <c r="S6748" s="1420"/>
      <c r="T6748" s="1420"/>
      <c r="V6748" s="1357">
        <v>387</v>
      </c>
    </row>
    <row r="6749" spans="1:22" s="841" customFormat="1" ht="15" x14ac:dyDescent="0.25">
      <c r="A6749" s="841" t="s">
        <v>187</v>
      </c>
      <c r="E6749" s="1689" t="s">
        <v>3200</v>
      </c>
      <c r="F6749" s="1689"/>
      <c r="G6749" s="1689"/>
      <c r="H6749" s="1689"/>
      <c r="K6749" s="841" t="s">
        <v>3417</v>
      </c>
      <c r="M6749" s="1357"/>
      <c r="Q6749" s="1357"/>
      <c r="S6749" s="1420"/>
      <c r="T6749" s="1420"/>
      <c r="V6749" s="1357">
        <v>275</v>
      </c>
    </row>
    <row r="6750" spans="1:22" s="841" customFormat="1" ht="15" x14ac:dyDescent="0.25">
      <c r="A6750" s="841" t="s">
        <v>187</v>
      </c>
      <c r="E6750" s="1694" t="s">
        <v>3067</v>
      </c>
      <c r="F6750" s="1907"/>
      <c r="G6750" s="1907"/>
      <c r="H6750" s="1907"/>
      <c r="K6750" s="841" t="s">
        <v>3108</v>
      </c>
      <c r="M6750" s="1357"/>
      <c r="Q6750" s="1357"/>
      <c r="S6750" s="1420"/>
      <c r="T6750" s="1420"/>
      <c r="V6750" s="1357">
        <v>46</v>
      </c>
    </row>
    <row r="6751" spans="1:22" s="841" customFormat="1" ht="15" x14ac:dyDescent="0.25">
      <c r="A6751" s="841" t="s">
        <v>187</v>
      </c>
      <c r="E6751" s="1690" t="s">
        <v>12</v>
      </c>
      <c r="F6751" s="1690"/>
      <c r="G6751" s="1408" t="s">
        <v>23</v>
      </c>
      <c r="H6751" s="391">
        <v>3.9</v>
      </c>
      <c r="K6751" s="841" t="s">
        <v>3417</v>
      </c>
      <c r="L6751" s="841" t="s">
        <v>442</v>
      </c>
      <c r="M6751" s="1357"/>
      <c r="P6751" s="841" t="s">
        <v>3419</v>
      </c>
      <c r="Q6751" s="1357"/>
      <c r="S6751" s="1420"/>
      <c r="T6751" s="1420"/>
      <c r="V6751" s="1357">
        <v>31</v>
      </c>
    </row>
    <row r="6752" spans="1:22" s="841" customFormat="1" ht="15" x14ac:dyDescent="0.25">
      <c r="A6752" s="841" t="s">
        <v>187</v>
      </c>
      <c r="E6752" s="1690" t="s">
        <v>84</v>
      </c>
      <c r="F6752" s="1690"/>
      <c r="G6752" s="1408" t="s">
        <v>33</v>
      </c>
      <c r="H6752" s="393">
        <v>8.9990000000000006</v>
      </c>
      <c r="K6752" s="841" t="s">
        <v>3417</v>
      </c>
      <c r="L6752" s="841" t="s">
        <v>442</v>
      </c>
      <c r="M6752" s="1357"/>
      <c r="P6752" s="841" t="s">
        <v>3420</v>
      </c>
      <c r="Q6752" s="1357"/>
      <c r="S6752" s="1420"/>
      <c r="T6752" s="1420"/>
      <c r="V6752" s="1357">
        <v>28</v>
      </c>
    </row>
    <row r="6753" spans="1:22" s="841" customFormat="1" ht="15" x14ac:dyDescent="0.25">
      <c r="A6753" s="841" t="s">
        <v>187</v>
      </c>
      <c r="E6753" s="1690" t="s">
        <v>18</v>
      </c>
      <c r="F6753" s="1690"/>
      <c r="G6753" s="1408" t="s">
        <v>33</v>
      </c>
      <c r="H6753" s="393">
        <v>0.56289999999999996</v>
      </c>
      <c r="K6753" s="841" t="s">
        <v>3417</v>
      </c>
      <c r="L6753" s="841" t="s">
        <v>443</v>
      </c>
      <c r="M6753" s="1357"/>
      <c r="P6753" s="841" t="s">
        <v>3552</v>
      </c>
      <c r="Q6753" s="1357"/>
      <c r="S6753" s="1420"/>
      <c r="T6753" s="1420"/>
      <c r="V6753" s="1357">
        <v>24</v>
      </c>
    </row>
    <row r="6754" spans="1:22" s="841" customFormat="1" ht="15" x14ac:dyDescent="0.25">
      <c r="A6754" s="841" t="s">
        <v>187</v>
      </c>
      <c r="E6754" s="1690" t="s">
        <v>5129</v>
      </c>
      <c r="F6754" s="1908"/>
      <c r="G6754" s="1408" t="s">
        <v>24</v>
      </c>
      <c r="H6754" s="393">
        <v>-2.0000000000000001E-4</v>
      </c>
      <c r="K6754" s="841" t="s">
        <v>3417</v>
      </c>
      <c r="L6754" s="841" t="s">
        <v>443</v>
      </c>
      <c r="M6754" s="1357"/>
      <c r="P6754" s="841" t="s">
        <v>3421</v>
      </c>
      <c r="Q6754" s="1357"/>
      <c r="S6754" s="1420"/>
      <c r="T6754" s="1420">
        <v>43585</v>
      </c>
      <c r="V6754" s="1357">
        <v>139</v>
      </c>
    </row>
    <row r="6755" spans="1:22" s="841" customFormat="1" ht="15" x14ac:dyDescent="0.25">
      <c r="A6755" s="841" t="s">
        <v>187</v>
      </c>
      <c r="E6755" s="1690" t="s">
        <v>5130</v>
      </c>
      <c r="F6755" s="1908"/>
      <c r="G6755" s="1408" t="s">
        <v>33</v>
      </c>
      <c r="H6755" s="393">
        <v>0.22170000000000001</v>
      </c>
      <c r="K6755" s="841" t="s">
        <v>3417</v>
      </c>
      <c r="L6755" s="841" t="s">
        <v>443</v>
      </c>
      <c r="M6755" s="1357"/>
      <c r="P6755" s="841" t="s">
        <v>3423</v>
      </c>
      <c r="Q6755" s="1357"/>
      <c r="S6755" s="1420"/>
      <c r="T6755" s="1420">
        <v>43585</v>
      </c>
      <c r="V6755" s="1357">
        <v>96</v>
      </c>
    </row>
    <row r="6756" spans="1:22" s="841" customFormat="1" ht="15" x14ac:dyDescent="0.25">
      <c r="A6756" s="841" t="s">
        <v>187</v>
      </c>
      <c r="E6756" s="1690" t="s">
        <v>221</v>
      </c>
      <c r="F6756" s="1690"/>
      <c r="G6756" s="1408" t="s">
        <v>33</v>
      </c>
      <c r="H6756" s="393">
        <v>1.8277000000000001</v>
      </c>
      <c r="K6756" s="841" t="s">
        <v>3417</v>
      </c>
      <c r="L6756" s="841" t="s">
        <v>444</v>
      </c>
      <c r="M6756" s="1357"/>
      <c r="P6756" s="841" t="s">
        <v>3424</v>
      </c>
      <c r="Q6756" s="1357"/>
      <c r="S6756" s="1420"/>
      <c r="T6756" s="1420"/>
      <c r="V6756" s="1357">
        <v>47</v>
      </c>
    </row>
    <row r="6757" spans="1:22" s="841" customFormat="1" ht="15" x14ac:dyDescent="0.25">
      <c r="A6757" s="841" t="s">
        <v>187</v>
      </c>
      <c r="E6757" s="1690" t="s">
        <v>217</v>
      </c>
      <c r="F6757" s="1690"/>
      <c r="G6757" s="1408" t="s">
        <v>33</v>
      </c>
      <c r="H6757" s="393">
        <v>1.4642999999999999</v>
      </c>
      <c r="K6757" s="841" t="s">
        <v>3417</v>
      </c>
      <c r="L6757" s="841" t="s">
        <v>444</v>
      </c>
      <c r="M6757" s="1357"/>
      <c r="P6757" s="841" t="s">
        <v>3553</v>
      </c>
      <c r="Q6757" s="1357"/>
      <c r="S6757" s="1420"/>
      <c r="T6757" s="1420"/>
      <c r="V6757" s="1357">
        <v>74</v>
      </c>
    </row>
    <row r="6758" spans="1:22" s="841" customFormat="1" ht="15" x14ac:dyDescent="0.25">
      <c r="A6758" s="841" t="s">
        <v>187</v>
      </c>
      <c r="E6758" s="1694" t="s">
        <v>3079</v>
      </c>
      <c r="F6758" s="1690"/>
      <c r="G6758" s="1408"/>
      <c r="H6758" s="1408"/>
      <c r="K6758" s="841" t="s">
        <v>3111</v>
      </c>
      <c r="M6758" s="1357"/>
      <c r="Q6758" s="1357"/>
      <c r="S6758" s="1420"/>
      <c r="T6758" s="1420"/>
      <c r="V6758" s="1357">
        <v>48</v>
      </c>
    </row>
    <row r="6759" spans="1:22" s="841" customFormat="1" ht="15" x14ac:dyDescent="0.25">
      <c r="A6759" s="841" t="s">
        <v>187</v>
      </c>
      <c r="E6759" s="1690" t="s">
        <v>2449</v>
      </c>
      <c r="F6759" s="1690"/>
      <c r="G6759" s="1408" t="s">
        <v>24</v>
      </c>
      <c r="H6759" s="393">
        <v>3.2000000000000002E-3</v>
      </c>
      <c r="K6759" s="841" t="s">
        <v>3417</v>
      </c>
      <c r="L6759" s="841" t="s">
        <v>3046</v>
      </c>
      <c r="M6759" s="1357"/>
      <c r="P6759" s="841" t="s">
        <v>3426</v>
      </c>
      <c r="Q6759" s="1357"/>
      <c r="S6759" s="1420"/>
      <c r="T6759" s="1420"/>
      <c r="V6759" s="1357">
        <v>55</v>
      </c>
    </row>
    <row r="6760" spans="1:22" s="841" customFormat="1" ht="15" x14ac:dyDescent="0.25">
      <c r="A6760" s="841" t="s">
        <v>187</v>
      </c>
      <c r="E6760" s="1690" t="s">
        <v>2450</v>
      </c>
      <c r="F6760" s="1690"/>
      <c r="G6760" s="1408" t="s">
        <v>24</v>
      </c>
      <c r="H6760" s="393">
        <v>4.0000000000000002E-4</v>
      </c>
      <c r="K6760" s="841" t="s">
        <v>3417</v>
      </c>
      <c r="L6760" s="841" t="s">
        <v>3046</v>
      </c>
      <c r="M6760" s="1357"/>
      <c r="P6760" s="841" t="s">
        <v>3426</v>
      </c>
      <c r="Q6760" s="1357"/>
      <c r="S6760" s="1420"/>
      <c r="T6760" s="1420"/>
      <c r="V6760" s="1357">
        <v>65</v>
      </c>
    </row>
    <row r="6761" spans="1:22" s="841" customFormat="1" ht="15" x14ac:dyDescent="0.25">
      <c r="A6761" s="841" t="s">
        <v>187</v>
      </c>
      <c r="E6761" s="1690" t="s">
        <v>439</v>
      </c>
      <c r="F6761" s="1690"/>
      <c r="G6761" s="1408" t="s">
        <v>24</v>
      </c>
      <c r="H6761" s="393">
        <v>2.9999999999999997E-4</v>
      </c>
      <c r="K6761" s="841" t="s">
        <v>3417</v>
      </c>
      <c r="L6761" s="841" t="s">
        <v>3046</v>
      </c>
      <c r="M6761" s="1357"/>
      <c r="P6761" s="841" t="s">
        <v>3427</v>
      </c>
      <c r="Q6761" s="1357"/>
      <c r="S6761" s="1420"/>
      <c r="T6761" s="1420"/>
      <c r="V6761" s="1357">
        <v>57</v>
      </c>
    </row>
    <row r="6762" spans="1:22" s="841" customFormat="1" ht="15" x14ac:dyDescent="0.25">
      <c r="A6762" s="841" t="s">
        <v>187</v>
      </c>
      <c r="E6762" s="1690" t="s">
        <v>32</v>
      </c>
      <c r="F6762" s="1690"/>
      <c r="G6762" s="1408" t="s">
        <v>23</v>
      </c>
      <c r="H6762" s="391">
        <v>0.25</v>
      </c>
      <c r="K6762" s="841" t="s">
        <v>3417</v>
      </c>
      <c r="L6762" s="841" t="s">
        <v>3046</v>
      </c>
      <c r="M6762" s="1357"/>
      <c r="P6762" s="841" t="s">
        <v>3428</v>
      </c>
      <c r="Q6762" s="1357"/>
      <c r="S6762" s="1420"/>
      <c r="T6762" s="1420"/>
      <c r="V6762" s="1357">
        <v>63</v>
      </c>
    </row>
    <row r="6763" spans="1:22" s="841" customFormat="1" x14ac:dyDescent="0.25">
      <c r="A6763" s="841" t="s">
        <v>187</v>
      </c>
      <c r="E6763" s="1909" t="s">
        <v>618</v>
      </c>
      <c r="F6763" s="1915"/>
      <c r="G6763" s="1915"/>
      <c r="H6763" s="1915"/>
      <c r="K6763" s="841" t="s">
        <v>3371</v>
      </c>
      <c r="M6763" s="1357"/>
      <c r="Q6763" s="1357"/>
      <c r="S6763" s="1420"/>
      <c r="T6763" s="1420"/>
      <c r="V6763" s="1357">
        <v>31</v>
      </c>
    </row>
    <row r="6764" spans="1:22" s="841" customFormat="1" ht="15" x14ac:dyDescent="0.25">
      <c r="A6764" s="841" t="s">
        <v>187</v>
      </c>
      <c r="E6764" s="1689" t="s">
        <v>3372</v>
      </c>
      <c r="F6764" s="1689"/>
      <c r="G6764" s="1689"/>
      <c r="H6764" s="1689"/>
      <c r="K6764" s="841" t="s">
        <v>3371</v>
      </c>
      <c r="M6764" s="1357"/>
      <c r="Q6764" s="1357"/>
      <c r="S6764" s="1420"/>
      <c r="T6764" s="1420"/>
      <c r="V6764" s="1357">
        <v>285</v>
      </c>
    </row>
    <row r="6765" spans="1:22" s="841" customFormat="1" ht="15" x14ac:dyDescent="0.25">
      <c r="A6765" s="841" t="s">
        <v>187</v>
      </c>
      <c r="E6765" s="1916" t="s">
        <v>3061</v>
      </c>
      <c r="F6765" s="1697"/>
      <c r="G6765" s="1697"/>
      <c r="H6765" s="1697"/>
      <c r="K6765" s="841" t="s">
        <v>3114</v>
      </c>
      <c r="M6765" s="1357"/>
      <c r="Q6765" s="1357"/>
      <c r="S6765" s="1420"/>
      <c r="T6765" s="1420"/>
      <c r="V6765" s="1357">
        <v>11</v>
      </c>
    </row>
    <row r="6766" spans="1:22" s="841" customFormat="1" ht="15" x14ac:dyDescent="0.25">
      <c r="A6766" s="841" t="s">
        <v>187</v>
      </c>
      <c r="E6766" s="1689" t="s">
        <v>3063</v>
      </c>
      <c r="F6766" s="1689"/>
      <c r="G6766" s="1689"/>
      <c r="H6766" s="1689"/>
      <c r="K6766" s="841" t="s">
        <v>3371</v>
      </c>
      <c r="M6766" s="1357"/>
      <c r="Q6766" s="1357"/>
      <c r="S6766" s="1420"/>
      <c r="T6766" s="1420"/>
      <c r="V6766" s="1357">
        <v>280</v>
      </c>
    </row>
    <row r="6767" spans="1:22" s="841" customFormat="1" ht="15" x14ac:dyDescent="0.25">
      <c r="A6767" s="841" t="s">
        <v>187</v>
      </c>
      <c r="E6767" s="1689" t="s">
        <v>3064</v>
      </c>
      <c r="F6767" s="1689"/>
      <c r="G6767" s="1689"/>
      <c r="H6767" s="1689"/>
      <c r="K6767" s="841" t="s">
        <v>3371</v>
      </c>
      <c r="M6767" s="1357"/>
      <c r="Q6767" s="1357"/>
      <c r="S6767" s="1420"/>
      <c r="T6767" s="1420"/>
      <c r="V6767" s="1357">
        <v>411</v>
      </c>
    </row>
    <row r="6768" spans="1:22" s="841" customFormat="1" ht="15" x14ac:dyDescent="0.25">
      <c r="A6768" s="841" t="s">
        <v>187</v>
      </c>
      <c r="E6768" s="1689" t="s">
        <v>3129</v>
      </c>
      <c r="F6768" s="1689"/>
      <c r="G6768" s="1689"/>
      <c r="H6768" s="1689"/>
      <c r="K6768" s="841" t="s">
        <v>3371</v>
      </c>
      <c r="M6768" s="1357"/>
      <c r="Q6768" s="1357"/>
      <c r="S6768" s="1420"/>
      <c r="T6768" s="1420"/>
      <c r="V6768" s="1357">
        <v>211</v>
      </c>
    </row>
    <row r="6769" spans="1:22" s="841" customFormat="1" ht="15" x14ac:dyDescent="0.25">
      <c r="A6769" s="841" t="s">
        <v>187</v>
      </c>
      <c r="E6769" s="1689" t="s">
        <v>3200</v>
      </c>
      <c r="F6769" s="1689"/>
      <c r="G6769" s="1689"/>
      <c r="H6769" s="1689"/>
      <c r="K6769" s="841" t="s">
        <v>3371</v>
      </c>
      <c r="M6769" s="1357"/>
      <c r="Q6769" s="1357"/>
      <c r="S6769" s="1420"/>
      <c r="T6769" s="1420"/>
      <c r="V6769" s="1357">
        <v>275</v>
      </c>
    </row>
    <row r="6770" spans="1:22" s="841" customFormat="1" ht="15" x14ac:dyDescent="0.25">
      <c r="A6770" s="841" t="s">
        <v>187</v>
      </c>
      <c r="E6770" s="1694" t="s">
        <v>3067</v>
      </c>
      <c r="F6770" s="1907"/>
      <c r="G6770" s="1907"/>
      <c r="H6770" s="1907"/>
      <c r="K6770" s="841" t="s">
        <v>3115</v>
      </c>
      <c r="M6770" s="1357"/>
      <c r="Q6770" s="1357"/>
      <c r="S6770" s="1420"/>
      <c r="T6770" s="1420"/>
      <c r="V6770" s="1357">
        <v>46</v>
      </c>
    </row>
    <row r="6771" spans="1:22" s="841" customFormat="1" ht="15" x14ac:dyDescent="0.25">
      <c r="A6771" s="841" t="s">
        <v>187</v>
      </c>
      <c r="E6771" s="1690" t="s">
        <v>11</v>
      </c>
      <c r="F6771" s="1690"/>
      <c r="G6771" s="1408" t="s">
        <v>23</v>
      </c>
      <c r="H6771" s="391">
        <v>5.4</v>
      </c>
      <c r="K6771" s="841" t="s">
        <v>3371</v>
      </c>
      <c r="L6771" s="841" t="s">
        <v>442</v>
      </c>
      <c r="M6771" s="1357"/>
      <c r="P6771" s="841" t="s">
        <v>3373</v>
      </c>
      <c r="Q6771" s="1357"/>
      <c r="S6771" s="1420"/>
      <c r="T6771" s="1420"/>
      <c r="V6771" s="1357">
        <v>14</v>
      </c>
    </row>
    <row r="6772" spans="1:22" s="841" customFormat="1" ht="18.75" x14ac:dyDescent="0.3">
      <c r="A6772" s="841" t="s">
        <v>187</v>
      </c>
      <c r="E6772" s="1374" t="s">
        <v>85</v>
      </c>
      <c r="F6772" s="657"/>
      <c r="G6772" s="657"/>
      <c r="H6772" s="658"/>
      <c r="K6772" s="841" t="s">
        <v>4375</v>
      </c>
      <c r="M6772" s="1357"/>
      <c r="Q6772" s="1357"/>
      <c r="S6772" s="1420"/>
      <c r="T6772" s="1420"/>
      <c r="V6772" s="1357">
        <v>10</v>
      </c>
    </row>
    <row r="6773" spans="1:22" s="841" customFormat="1" ht="15" x14ac:dyDescent="0.25">
      <c r="A6773" s="841" t="s">
        <v>187</v>
      </c>
      <c r="E6773" s="1690" t="s">
        <v>3133</v>
      </c>
      <c r="F6773" s="1690"/>
      <c r="G6773" s="1408" t="s">
        <v>4376</v>
      </c>
      <c r="H6773" s="393">
        <v>-0.6</v>
      </c>
      <c r="M6773" s="1357"/>
      <c r="Q6773" s="1357"/>
      <c r="S6773" s="1420"/>
      <c r="T6773" s="1420"/>
      <c r="V6773" s="1357">
        <v>68</v>
      </c>
    </row>
    <row r="6774" spans="1:22" s="841" customFormat="1" ht="15" x14ac:dyDescent="0.25">
      <c r="A6774" s="841" t="s">
        <v>187</v>
      </c>
      <c r="E6774" s="1690" t="s">
        <v>3134</v>
      </c>
      <c r="F6774" s="1690"/>
      <c r="G6774" s="1408" t="s">
        <v>86</v>
      </c>
      <c r="H6774" s="391">
        <v>-1</v>
      </c>
      <c r="M6774" s="1357"/>
      <c r="Q6774" s="1357"/>
      <c r="S6774" s="1420"/>
      <c r="T6774" s="1420"/>
      <c r="V6774" s="1357">
        <v>87</v>
      </c>
    </row>
    <row r="6775" spans="1:22" s="841" customFormat="1" ht="36.75" x14ac:dyDescent="0.3">
      <c r="A6775" s="841" t="s">
        <v>187</v>
      </c>
      <c r="E6775" s="1374" t="s">
        <v>87</v>
      </c>
      <c r="F6775" s="657"/>
      <c r="G6775" s="657"/>
      <c r="H6775" s="658"/>
      <c r="K6775" s="841" t="s">
        <v>4377</v>
      </c>
      <c r="M6775" s="1357"/>
      <c r="Q6775" s="1357"/>
      <c r="S6775" s="1420"/>
      <c r="T6775" s="1420"/>
      <c r="V6775" s="1357">
        <v>24</v>
      </c>
    </row>
    <row r="6776" spans="1:22" s="841" customFormat="1" ht="15" x14ac:dyDescent="0.25">
      <c r="A6776" s="841" t="s">
        <v>187</v>
      </c>
      <c r="E6776" s="1689" t="s">
        <v>3063</v>
      </c>
      <c r="F6776" s="1689"/>
      <c r="G6776" s="1689"/>
      <c r="H6776" s="1689"/>
      <c r="M6776" s="1357"/>
      <c r="Q6776" s="1357"/>
      <c r="S6776" s="1420"/>
      <c r="T6776" s="1420"/>
      <c r="V6776" s="1357">
        <v>280</v>
      </c>
    </row>
    <row r="6777" spans="1:22" s="841" customFormat="1" ht="15" x14ac:dyDescent="0.25">
      <c r="A6777" s="841" t="s">
        <v>187</v>
      </c>
      <c r="E6777" s="1689" t="s">
        <v>3136</v>
      </c>
      <c r="F6777" s="1689"/>
      <c r="G6777" s="1689"/>
      <c r="H6777" s="1689"/>
      <c r="M6777" s="1357"/>
      <c r="Q6777" s="1357"/>
      <c r="S6777" s="1420"/>
      <c r="T6777" s="1420"/>
      <c r="V6777" s="1357">
        <v>353</v>
      </c>
    </row>
    <row r="6778" spans="1:22" s="841" customFormat="1" ht="15" x14ac:dyDescent="0.25">
      <c r="A6778" s="841" t="s">
        <v>187</v>
      </c>
      <c r="E6778" s="1689" t="s">
        <v>3200</v>
      </c>
      <c r="F6778" s="1689"/>
      <c r="G6778" s="1689"/>
      <c r="H6778" s="1689"/>
      <c r="M6778" s="1357"/>
      <c r="Q6778" s="1357"/>
      <c r="S6778" s="1420"/>
      <c r="T6778" s="1420"/>
      <c r="V6778" s="1357">
        <v>275</v>
      </c>
    </row>
    <row r="6779" spans="1:22" s="841" customFormat="1" ht="15" x14ac:dyDescent="0.25">
      <c r="A6779" s="841" t="s">
        <v>187</v>
      </c>
      <c r="E6779" s="1370" t="s">
        <v>3137</v>
      </c>
      <c r="F6779" s="3"/>
      <c r="G6779" s="3"/>
      <c r="H6779" s="398"/>
      <c r="K6779" s="841" t="s">
        <v>4378</v>
      </c>
      <c r="M6779" s="1357"/>
      <c r="Q6779" s="1357"/>
      <c r="S6779" s="1420"/>
      <c r="T6779" s="1420"/>
      <c r="V6779" s="1357">
        <v>23</v>
      </c>
    </row>
    <row r="6780" spans="1:22" s="841" customFormat="1" ht="15" x14ac:dyDescent="0.25">
      <c r="A6780" s="841" t="s">
        <v>187</v>
      </c>
      <c r="E6780" s="1688" t="s">
        <v>3146</v>
      </c>
      <c r="F6780" s="1688"/>
      <c r="G6780" s="1408" t="s">
        <v>23</v>
      </c>
      <c r="H6780" s="391">
        <v>15</v>
      </c>
      <c r="M6780" s="1357"/>
      <c r="Q6780" s="1357"/>
      <c r="S6780" s="1420"/>
      <c r="T6780" s="1420"/>
      <c r="V6780" s="1357">
        <v>19</v>
      </c>
    </row>
    <row r="6781" spans="1:22" s="841" customFormat="1" ht="15" x14ac:dyDescent="0.25">
      <c r="A6781" s="841" t="s">
        <v>187</v>
      </c>
      <c r="E6781" s="1688" t="s">
        <v>3147</v>
      </c>
      <c r="F6781" s="1688"/>
      <c r="G6781" s="1408" t="s">
        <v>23</v>
      </c>
      <c r="H6781" s="391">
        <v>15</v>
      </c>
      <c r="M6781" s="1357"/>
      <c r="Q6781" s="1357"/>
      <c r="S6781" s="1420"/>
      <c r="T6781" s="1420"/>
      <c r="V6781" s="1357">
        <v>15</v>
      </c>
    </row>
    <row r="6782" spans="1:22" s="841" customFormat="1" ht="15" x14ac:dyDescent="0.25">
      <c r="A6782" s="841" t="s">
        <v>187</v>
      </c>
      <c r="E6782" s="1688" t="s">
        <v>123</v>
      </c>
      <c r="F6782" s="1688"/>
      <c r="G6782" s="1408" t="s">
        <v>23</v>
      </c>
      <c r="H6782" s="391">
        <v>15</v>
      </c>
      <c r="M6782" s="1357"/>
      <c r="Q6782" s="1357"/>
      <c r="S6782" s="1420"/>
      <c r="T6782" s="1420"/>
      <c r="V6782" s="1357">
        <v>35</v>
      </c>
    </row>
    <row r="6783" spans="1:22" s="841" customFormat="1" ht="15" x14ac:dyDescent="0.25">
      <c r="A6783" s="841" t="s">
        <v>187</v>
      </c>
      <c r="E6783" s="1688" t="s">
        <v>3151</v>
      </c>
      <c r="F6783" s="1688"/>
      <c r="G6783" s="1408" t="s">
        <v>23</v>
      </c>
      <c r="H6783" s="391">
        <v>15</v>
      </c>
      <c r="M6783" s="1357"/>
      <c r="Q6783" s="1357"/>
      <c r="S6783" s="1420"/>
      <c r="T6783" s="1420"/>
      <c r="V6783" s="1357">
        <v>19</v>
      </c>
    </row>
    <row r="6784" spans="1:22" s="841" customFormat="1" ht="15" x14ac:dyDescent="0.25">
      <c r="A6784" s="841" t="s">
        <v>187</v>
      </c>
      <c r="E6784" s="1688" t="s">
        <v>88</v>
      </c>
      <c r="F6784" s="1688"/>
      <c r="G6784" s="1408" t="s">
        <v>23</v>
      </c>
      <c r="H6784" s="391">
        <v>30</v>
      </c>
      <c r="M6784" s="1357"/>
      <c r="Q6784" s="1357"/>
      <c r="S6784" s="1420"/>
      <c r="T6784" s="1420"/>
      <c r="V6784" s="1357">
        <v>89</v>
      </c>
    </row>
    <row r="6785" spans="1:22" s="841" customFormat="1" ht="15" x14ac:dyDescent="0.25">
      <c r="A6785" s="841" t="s">
        <v>187</v>
      </c>
      <c r="E6785" s="1370" t="s">
        <v>3152</v>
      </c>
      <c r="F6785" s="3"/>
      <c r="G6785" s="3"/>
      <c r="H6785" s="398"/>
      <c r="K6785" s="841" t="s">
        <v>4379</v>
      </c>
      <c r="M6785" s="1357"/>
      <c r="Q6785" s="1357"/>
      <c r="S6785" s="1420"/>
      <c r="T6785" s="1420"/>
      <c r="V6785" s="1357">
        <v>22</v>
      </c>
    </row>
    <row r="6786" spans="1:22" s="841" customFormat="1" ht="15" x14ac:dyDescent="0.25">
      <c r="A6786" s="841" t="s">
        <v>187</v>
      </c>
      <c r="E6786" s="1688" t="s">
        <v>5137</v>
      </c>
      <c r="F6786" s="1688"/>
      <c r="G6786" s="1408" t="s">
        <v>86</v>
      </c>
      <c r="H6786" s="391">
        <v>1.5</v>
      </c>
      <c r="M6786" s="1357"/>
      <c r="Q6786" s="1357"/>
      <c r="S6786" s="1420"/>
      <c r="T6786" s="1420"/>
      <c r="V6786" s="1357">
        <v>24</v>
      </c>
    </row>
    <row r="6787" spans="1:22" s="841" customFormat="1" ht="15" x14ac:dyDescent="0.25">
      <c r="A6787" s="841" t="s">
        <v>187</v>
      </c>
      <c r="E6787" s="1688" t="s">
        <v>4772</v>
      </c>
      <c r="F6787" s="1688"/>
      <c r="G6787" s="1408" t="s">
        <v>86</v>
      </c>
      <c r="H6787" s="391">
        <v>19.559999999999999</v>
      </c>
      <c r="M6787" s="1357"/>
      <c r="Q6787" s="1357"/>
      <c r="S6787" s="1420"/>
      <c r="T6787" s="1420"/>
      <c r="V6787" s="1357">
        <v>24</v>
      </c>
    </row>
    <row r="6788" spans="1:22" s="841" customFormat="1" ht="15" x14ac:dyDescent="0.25">
      <c r="A6788" s="841" t="s">
        <v>187</v>
      </c>
      <c r="E6788" s="1688" t="s">
        <v>4773</v>
      </c>
      <c r="F6788" s="1688"/>
      <c r="G6788" s="1408" t="s">
        <v>23</v>
      </c>
      <c r="H6788" s="391">
        <v>65</v>
      </c>
      <c r="M6788" s="1357"/>
      <c r="Q6788" s="1357"/>
      <c r="S6788" s="1420"/>
      <c r="T6788" s="1420"/>
      <c r="V6788" s="1357">
        <v>52</v>
      </c>
    </row>
    <row r="6789" spans="1:22" s="841" customFormat="1" ht="15" x14ac:dyDescent="0.25">
      <c r="A6789" s="841" t="s">
        <v>187</v>
      </c>
      <c r="E6789" s="1688" t="s">
        <v>4774</v>
      </c>
      <c r="F6789" s="1688"/>
      <c r="G6789" s="1408" t="s">
        <v>23</v>
      </c>
      <c r="H6789" s="391">
        <v>185</v>
      </c>
      <c r="M6789" s="1357"/>
      <c r="Q6789" s="1357"/>
      <c r="S6789" s="1420"/>
      <c r="T6789" s="1420"/>
      <c r="V6789" s="1357">
        <v>51</v>
      </c>
    </row>
    <row r="6790" spans="1:22" s="841" customFormat="1" ht="15" x14ac:dyDescent="0.25">
      <c r="A6790" s="841" t="s">
        <v>187</v>
      </c>
      <c r="E6790" s="1688" t="s">
        <v>4775</v>
      </c>
      <c r="F6790" s="1688"/>
      <c r="G6790" s="1408" t="s">
        <v>23</v>
      </c>
      <c r="H6790" s="391">
        <v>185</v>
      </c>
      <c r="M6790" s="1357"/>
      <c r="Q6790" s="1357"/>
      <c r="S6790" s="1420"/>
      <c r="T6790" s="1420"/>
      <c r="V6790" s="1357">
        <v>51</v>
      </c>
    </row>
    <row r="6791" spans="1:22" s="841" customFormat="1" ht="15" x14ac:dyDescent="0.25">
      <c r="A6791" s="841" t="s">
        <v>187</v>
      </c>
      <c r="E6791" s="1688" t="s">
        <v>4776</v>
      </c>
      <c r="F6791" s="1688"/>
      <c r="G6791" s="1408" t="s">
        <v>23</v>
      </c>
      <c r="H6791" s="391">
        <v>415</v>
      </c>
      <c r="M6791" s="1357"/>
      <c r="Q6791" s="1357"/>
      <c r="S6791" s="1420"/>
      <c r="T6791" s="1420"/>
      <c r="V6791" s="1357">
        <v>50</v>
      </c>
    </row>
    <row r="6792" spans="1:22" s="841" customFormat="1" ht="15" x14ac:dyDescent="0.25">
      <c r="A6792" s="841" t="s">
        <v>187</v>
      </c>
      <c r="E6792" s="1688" t="s">
        <v>4777</v>
      </c>
      <c r="F6792" s="1688"/>
      <c r="G6792" s="1408" t="s">
        <v>23</v>
      </c>
      <c r="H6792" s="391">
        <v>65</v>
      </c>
      <c r="M6792" s="1357"/>
      <c r="Q6792" s="1357"/>
      <c r="S6792" s="1420"/>
      <c r="T6792" s="1420"/>
      <c r="V6792" s="1357">
        <v>57</v>
      </c>
    </row>
    <row r="6793" spans="1:22" s="841" customFormat="1" ht="15" x14ac:dyDescent="0.25">
      <c r="A6793" s="841" t="s">
        <v>187</v>
      </c>
      <c r="E6793" s="1688" t="s">
        <v>4778</v>
      </c>
      <c r="F6793" s="1688"/>
      <c r="G6793" s="1408" t="s">
        <v>23</v>
      </c>
      <c r="H6793" s="391">
        <v>185</v>
      </c>
      <c r="M6793" s="1357"/>
      <c r="Q6793" s="1357"/>
      <c r="S6793" s="1420"/>
      <c r="T6793" s="1420"/>
      <c r="V6793" s="1357">
        <v>56</v>
      </c>
    </row>
    <row r="6794" spans="1:22" s="841" customFormat="1" ht="15" x14ac:dyDescent="0.25">
      <c r="A6794" s="841" t="s">
        <v>187</v>
      </c>
      <c r="E6794" s="1370" t="s">
        <v>3164</v>
      </c>
      <c r="F6794" s="3"/>
      <c r="G6794" s="3"/>
      <c r="H6794" s="398"/>
      <c r="M6794" s="1357"/>
      <c r="Q6794" s="1357"/>
      <c r="S6794" s="1420"/>
      <c r="T6794" s="1420"/>
      <c r="V6794" s="1357">
        <v>5</v>
      </c>
    </row>
    <row r="6795" spans="1:22" s="841" customFormat="1" ht="15" x14ac:dyDescent="0.25">
      <c r="A6795" s="841" t="s">
        <v>187</v>
      </c>
      <c r="E6795" s="1688" t="s">
        <v>3491</v>
      </c>
      <c r="F6795" s="1688"/>
      <c r="G6795" s="1408" t="s">
        <v>23</v>
      </c>
      <c r="H6795" s="391">
        <v>22.35</v>
      </c>
      <c r="M6795" s="1357"/>
      <c r="Q6795" s="1357"/>
      <c r="S6795" s="1420"/>
      <c r="T6795" s="1420"/>
      <c r="V6795" s="1357">
        <v>59</v>
      </c>
    </row>
    <row r="6796" spans="1:22" s="841" customFormat="1" ht="15" x14ac:dyDescent="0.25">
      <c r="A6796" s="841" t="s">
        <v>187</v>
      </c>
      <c r="E6796" s="1688" t="s">
        <v>3166</v>
      </c>
      <c r="F6796" s="1688"/>
      <c r="G6796" s="1408"/>
      <c r="H6796" s="391"/>
      <c r="M6796" s="1357"/>
      <c r="Q6796" s="1357"/>
      <c r="S6796" s="1420"/>
      <c r="T6796" s="1420"/>
      <c r="V6796" s="1357">
        <v>44</v>
      </c>
    </row>
    <row r="6797" spans="1:22" s="841" customFormat="1" ht="15" x14ac:dyDescent="0.25">
      <c r="A6797" s="841" t="s">
        <v>187</v>
      </c>
      <c r="E6797" s="1688" t="s">
        <v>4380</v>
      </c>
      <c r="F6797" s="1688"/>
      <c r="G6797" s="1408" t="s">
        <v>23</v>
      </c>
      <c r="H6797" s="391">
        <v>25</v>
      </c>
      <c r="M6797" s="1357"/>
      <c r="Q6797" s="1357"/>
      <c r="S6797" s="1420"/>
      <c r="T6797" s="1420"/>
      <c r="V6797" s="1357">
        <v>50</v>
      </c>
    </row>
    <row r="6798" spans="1:22" s="841" customFormat="1" ht="15" x14ac:dyDescent="0.25">
      <c r="A6798" s="841" t="s">
        <v>187</v>
      </c>
      <c r="E6798" s="1688" t="s">
        <v>3434</v>
      </c>
      <c r="F6798" s="1688"/>
      <c r="G6798" s="1408" t="s">
        <v>23</v>
      </c>
      <c r="H6798" s="391">
        <v>500</v>
      </c>
      <c r="M6798" s="1357"/>
      <c r="Q6798" s="1357"/>
      <c r="S6798" s="1420"/>
      <c r="T6798" s="1420"/>
      <c r="V6798" s="1357">
        <v>64</v>
      </c>
    </row>
    <row r="6799" spans="1:22" s="841" customFormat="1" ht="15" x14ac:dyDescent="0.25">
      <c r="A6799" s="841" t="s">
        <v>187</v>
      </c>
      <c r="E6799" s="1688" t="s">
        <v>3489</v>
      </c>
      <c r="F6799" s="1688"/>
      <c r="G6799" s="1408" t="s">
        <v>23</v>
      </c>
      <c r="H6799" s="391">
        <v>300</v>
      </c>
      <c r="M6799" s="1357"/>
      <c r="Q6799" s="1357"/>
      <c r="S6799" s="1420"/>
      <c r="T6799" s="1420"/>
      <c r="V6799" s="1357">
        <v>67</v>
      </c>
    </row>
    <row r="6800" spans="1:22" s="841" customFormat="1" ht="36.75" x14ac:dyDescent="0.3">
      <c r="A6800" s="841" t="s">
        <v>187</v>
      </c>
      <c r="E6800" s="1374" t="s">
        <v>77</v>
      </c>
      <c r="F6800" s="657"/>
      <c r="G6800" s="657"/>
      <c r="H6800" s="658"/>
      <c r="K6800" s="841" t="s">
        <v>4381</v>
      </c>
      <c r="M6800" s="1357"/>
      <c r="Q6800" s="1357"/>
      <c r="S6800" s="1420"/>
      <c r="T6800" s="1420"/>
      <c r="V6800" s="1357">
        <v>38</v>
      </c>
    </row>
    <row r="6801" spans="1:22" s="841" customFormat="1" ht="15" x14ac:dyDescent="0.25">
      <c r="A6801" s="841" t="s">
        <v>187</v>
      </c>
      <c r="E6801" s="1689" t="s">
        <v>3063</v>
      </c>
      <c r="F6801" s="1689"/>
      <c r="G6801" s="1689"/>
      <c r="H6801" s="1689"/>
      <c r="M6801" s="1357"/>
      <c r="Q6801" s="1357"/>
      <c r="S6801" s="1420"/>
      <c r="T6801" s="1420"/>
      <c r="V6801" s="1357">
        <v>280</v>
      </c>
    </row>
    <row r="6802" spans="1:22" s="841" customFormat="1" ht="15" x14ac:dyDescent="0.25">
      <c r="A6802" s="841" t="s">
        <v>187</v>
      </c>
      <c r="E6802" s="1689" t="s">
        <v>3064</v>
      </c>
      <c r="F6802" s="1689"/>
      <c r="G6802" s="1689"/>
      <c r="H6802" s="1689"/>
      <c r="M6802" s="1357"/>
      <c r="Q6802" s="1357"/>
      <c r="S6802" s="1420"/>
      <c r="T6802" s="1420"/>
      <c r="V6802" s="1357">
        <v>411</v>
      </c>
    </row>
    <row r="6803" spans="1:22" s="841" customFormat="1" ht="15" x14ac:dyDescent="0.25">
      <c r="A6803" s="841" t="s">
        <v>187</v>
      </c>
      <c r="E6803" s="1689" t="s">
        <v>3129</v>
      </c>
      <c r="F6803" s="1689"/>
      <c r="G6803" s="1689"/>
      <c r="H6803" s="1689"/>
      <c r="M6803" s="1357"/>
      <c r="Q6803" s="1357"/>
      <c r="S6803" s="1420"/>
      <c r="T6803" s="1420"/>
      <c r="V6803" s="1357">
        <v>211</v>
      </c>
    </row>
    <row r="6804" spans="1:22" s="841" customFormat="1" ht="15" x14ac:dyDescent="0.25">
      <c r="A6804" s="841" t="s">
        <v>187</v>
      </c>
      <c r="E6804" s="1689" t="s">
        <v>3200</v>
      </c>
      <c r="F6804" s="1689"/>
      <c r="G6804" s="1689"/>
      <c r="H6804" s="1689"/>
      <c r="M6804" s="1357"/>
      <c r="Q6804" s="1357"/>
      <c r="S6804" s="1420"/>
      <c r="T6804" s="1420"/>
      <c r="V6804" s="1357">
        <v>275</v>
      </c>
    </row>
    <row r="6805" spans="1:22" s="841" customFormat="1" ht="15" x14ac:dyDescent="0.25">
      <c r="A6805" s="841" t="s">
        <v>187</v>
      </c>
      <c r="E6805" s="1689" t="s">
        <v>3291</v>
      </c>
      <c r="F6805" s="1689"/>
      <c r="G6805" s="1689"/>
      <c r="H6805" s="1689"/>
      <c r="M6805" s="1357"/>
      <c r="Q6805" s="1357"/>
      <c r="S6805" s="1420"/>
      <c r="T6805" s="1420"/>
      <c r="V6805" s="1357">
        <v>142</v>
      </c>
    </row>
    <row r="6806" spans="1:22" s="841" customFormat="1" ht="15" x14ac:dyDescent="0.25">
      <c r="A6806" s="841" t="s">
        <v>187</v>
      </c>
      <c r="E6806" s="1690" t="s">
        <v>3176</v>
      </c>
      <c r="F6806" s="1690"/>
      <c r="G6806" s="397" t="s">
        <v>23</v>
      </c>
      <c r="H6806" s="391">
        <v>100</v>
      </c>
      <c r="M6806" s="1357"/>
      <c r="Q6806" s="1357"/>
      <c r="S6806" s="1420"/>
      <c r="T6806" s="1420"/>
      <c r="V6806" s="1357">
        <v>106</v>
      </c>
    </row>
    <row r="6807" spans="1:22" s="841" customFormat="1" ht="15" x14ac:dyDescent="0.25">
      <c r="A6807" s="841" t="s">
        <v>187</v>
      </c>
      <c r="E6807" s="1690" t="s">
        <v>3177</v>
      </c>
      <c r="F6807" s="1690"/>
      <c r="G6807" s="397" t="s">
        <v>23</v>
      </c>
      <c r="H6807" s="391">
        <v>20</v>
      </c>
      <c r="M6807" s="1357"/>
      <c r="Q6807" s="1357"/>
      <c r="S6807" s="1420"/>
      <c r="T6807" s="1420"/>
      <c r="V6807" s="1357">
        <v>34</v>
      </c>
    </row>
    <row r="6808" spans="1:22" s="841" customFormat="1" ht="15" x14ac:dyDescent="0.25">
      <c r="A6808" s="841" t="s">
        <v>187</v>
      </c>
      <c r="E6808" s="1690" t="s">
        <v>3178</v>
      </c>
      <c r="F6808" s="1690"/>
      <c r="G6808" s="397" t="s">
        <v>3179</v>
      </c>
      <c r="H6808" s="391">
        <v>0.5</v>
      </c>
      <c r="M6808" s="1357"/>
      <c r="Q6808" s="1357"/>
      <c r="S6808" s="1420"/>
      <c r="T6808" s="1420"/>
      <c r="V6808" s="1357">
        <v>51</v>
      </c>
    </row>
    <row r="6809" spans="1:22" s="841" customFormat="1" ht="15" x14ac:dyDescent="0.25">
      <c r="A6809" s="841" t="s">
        <v>187</v>
      </c>
      <c r="E6809" s="1690" t="s">
        <v>3180</v>
      </c>
      <c r="F6809" s="1690"/>
      <c r="G6809" s="397" t="s">
        <v>3179</v>
      </c>
      <c r="H6809" s="391">
        <v>0.3</v>
      </c>
      <c r="M6809" s="1357"/>
      <c r="Q6809" s="1357"/>
      <c r="S6809" s="1420"/>
      <c r="T6809" s="1420"/>
      <c r="V6809" s="1357">
        <v>75</v>
      </c>
    </row>
    <row r="6810" spans="1:22" s="841" customFormat="1" ht="15" x14ac:dyDescent="0.25">
      <c r="A6810" s="841" t="s">
        <v>187</v>
      </c>
      <c r="E6810" s="1690" t="s">
        <v>3181</v>
      </c>
      <c r="F6810" s="1690"/>
      <c r="G6810" s="397" t="s">
        <v>3179</v>
      </c>
      <c r="H6810" s="391">
        <v>-0.3</v>
      </c>
      <c r="M6810" s="1357"/>
      <c r="Q6810" s="1357"/>
      <c r="S6810" s="1420"/>
      <c r="T6810" s="1420"/>
      <c r="V6810" s="1357">
        <v>72</v>
      </c>
    </row>
    <row r="6811" spans="1:22" s="841" customFormat="1" ht="15" x14ac:dyDescent="0.25">
      <c r="A6811" s="841" t="s">
        <v>187</v>
      </c>
      <c r="E6811" s="1690" t="s">
        <v>3292</v>
      </c>
      <c r="F6811" s="1690"/>
      <c r="G6811" s="397"/>
      <c r="H6811" s="392"/>
      <c r="M6811" s="1357"/>
      <c r="Q6811" s="1357"/>
      <c r="S6811" s="1420"/>
      <c r="T6811" s="1420"/>
      <c r="V6811" s="1357">
        <v>34</v>
      </c>
    </row>
    <row r="6812" spans="1:22" s="841" customFormat="1" ht="15" x14ac:dyDescent="0.25">
      <c r="A6812" s="841" t="s">
        <v>187</v>
      </c>
      <c r="E6812" s="1691" t="s">
        <v>3183</v>
      </c>
      <c r="F6812" s="1691"/>
      <c r="G6812" s="397" t="s">
        <v>23</v>
      </c>
      <c r="H6812" s="391">
        <v>0.25</v>
      </c>
      <c r="M6812" s="1357"/>
      <c r="Q6812" s="1357"/>
      <c r="S6812" s="1420"/>
      <c r="T6812" s="1420"/>
      <c r="V6812" s="1357">
        <v>57</v>
      </c>
    </row>
    <row r="6813" spans="1:22" s="841" customFormat="1" ht="15" x14ac:dyDescent="0.25">
      <c r="A6813" s="841" t="s">
        <v>187</v>
      </c>
      <c r="E6813" s="1691" t="s">
        <v>3184</v>
      </c>
      <c r="F6813" s="1691"/>
      <c r="G6813" s="397" t="s">
        <v>23</v>
      </c>
      <c r="H6813" s="391">
        <v>0.5</v>
      </c>
      <c r="M6813" s="1357"/>
      <c r="Q6813" s="1357"/>
      <c r="S6813" s="1420"/>
      <c r="T6813" s="1420"/>
      <c r="V6813" s="1357">
        <v>60</v>
      </c>
    </row>
    <row r="6814" spans="1:22" s="841" customFormat="1" ht="15" x14ac:dyDescent="0.25">
      <c r="A6814" s="841" t="s">
        <v>187</v>
      </c>
      <c r="E6814" s="1690" t="s">
        <v>3185</v>
      </c>
      <c r="F6814" s="1690"/>
      <c r="G6814" s="397"/>
      <c r="H6814" s="392"/>
      <c r="M6814" s="1357"/>
      <c r="Q6814" s="1357"/>
      <c r="S6814" s="1420"/>
      <c r="T6814" s="1420"/>
      <c r="V6814" s="1357">
        <v>91</v>
      </c>
    </row>
    <row r="6815" spans="1:22" s="841" customFormat="1" ht="15" x14ac:dyDescent="0.25">
      <c r="A6815" s="841" t="s">
        <v>187</v>
      </c>
      <c r="E6815" s="1690" t="s">
        <v>3186</v>
      </c>
      <c r="F6815" s="1690"/>
      <c r="G6815" s="397"/>
      <c r="H6815" s="392"/>
      <c r="M6815" s="1357"/>
      <c r="Q6815" s="1357"/>
      <c r="S6815" s="1420"/>
      <c r="T6815" s="1420"/>
      <c r="V6815" s="1357">
        <v>96</v>
      </c>
    </row>
    <row r="6816" spans="1:22" s="841" customFormat="1" ht="15" x14ac:dyDescent="0.25">
      <c r="A6816" s="841" t="s">
        <v>187</v>
      </c>
      <c r="E6816" s="1690" t="s">
        <v>3293</v>
      </c>
      <c r="F6816" s="1690"/>
      <c r="G6816" s="397"/>
      <c r="H6816" s="392"/>
      <c r="M6816" s="1357"/>
      <c r="Q6816" s="1357"/>
      <c r="S6816" s="1420"/>
      <c r="T6816" s="1420"/>
      <c r="V6816" s="1357">
        <v>77</v>
      </c>
    </row>
    <row r="6817" spans="1:22" s="841" customFormat="1" ht="15" x14ac:dyDescent="0.25">
      <c r="A6817" s="841" t="s">
        <v>187</v>
      </c>
      <c r="E6817" s="1691" t="s">
        <v>3188</v>
      </c>
      <c r="F6817" s="1691"/>
      <c r="G6817" s="397" t="s">
        <v>23</v>
      </c>
      <c r="H6817" s="392" t="s">
        <v>3189</v>
      </c>
      <c r="M6817" s="1357"/>
      <c r="Q6817" s="1357"/>
      <c r="S6817" s="1420"/>
      <c r="T6817" s="1420"/>
      <c r="V6817" s="1357">
        <v>18</v>
      </c>
    </row>
    <row r="6818" spans="1:22" s="841" customFormat="1" ht="15" x14ac:dyDescent="0.25">
      <c r="A6818" s="841" t="s">
        <v>187</v>
      </c>
      <c r="E6818" s="1691" t="s">
        <v>3190</v>
      </c>
      <c r="F6818" s="1691"/>
      <c r="G6818" s="397" t="s">
        <v>23</v>
      </c>
      <c r="H6818" s="391">
        <v>2</v>
      </c>
      <c r="M6818" s="1357"/>
      <c r="Q6818" s="1357"/>
      <c r="S6818" s="1420"/>
      <c r="T6818" s="1420"/>
      <c r="V6818" s="1357">
        <v>69</v>
      </c>
    </row>
    <row r="6819" spans="1:22" s="841" customFormat="1" ht="18.75" x14ac:dyDescent="0.3">
      <c r="A6819" s="841" t="s">
        <v>187</v>
      </c>
      <c r="E6819" s="1374" t="s">
        <v>147</v>
      </c>
      <c r="F6819" s="657"/>
      <c r="G6819" s="657"/>
      <c r="H6819" s="658"/>
      <c r="K6819" s="841" t="s">
        <v>4382</v>
      </c>
      <c r="M6819" s="1357"/>
      <c r="Q6819" s="1357"/>
      <c r="S6819" s="1420"/>
      <c r="T6819" s="1420"/>
      <c r="V6819" s="1357">
        <v>12</v>
      </c>
    </row>
    <row r="6820" spans="1:22" s="841" customFormat="1" ht="15" x14ac:dyDescent="0.25">
      <c r="A6820" s="841" t="s">
        <v>187</v>
      </c>
      <c r="E6820" s="1704" t="s">
        <v>3192</v>
      </c>
      <c r="F6820" s="1704"/>
      <c r="G6820" s="1704"/>
      <c r="H6820" s="1704"/>
      <c r="M6820" s="1357"/>
      <c r="Q6820" s="1357"/>
      <c r="S6820" s="1420"/>
      <c r="T6820" s="1420"/>
      <c r="V6820" s="1357">
        <v>203</v>
      </c>
    </row>
    <row r="6821" spans="1:22" s="841" customFormat="1" ht="15" x14ac:dyDescent="0.25">
      <c r="A6821" s="841" t="s">
        <v>187</v>
      </c>
      <c r="E6821" s="1690" t="s">
        <v>3295</v>
      </c>
      <c r="F6821" s="1690"/>
      <c r="G6821" s="1408"/>
      <c r="H6821" s="393">
        <v>1.0682</v>
      </c>
      <c r="M6821" s="1357"/>
      <c r="Q6821" s="1357"/>
      <c r="S6821" s="1420"/>
      <c r="T6821" s="1420"/>
      <c r="V6821" s="1357">
        <v>57</v>
      </c>
    </row>
    <row r="6822" spans="1:22" s="841" customFormat="1" ht="15" x14ac:dyDescent="0.25">
      <c r="A6822" s="841" t="s">
        <v>187</v>
      </c>
      <c r="E6822" s="1690" t="s">
        <v>3297</v>
      </c>
      <c r="F6822" s="1690"/>
      <c r="G6822" s="1408"/>
      <c r="H6822" s="393">
        <v>1.0576000000000001</v>
      </c>
      <c r="J6822" s="841" t="s">
        <v>4383</v>
      </c>
      <c r="M6822" s="1357"/>
      <c r="Q6822" s="1357"/>
      <c r="S6822" s="1420"/>
      <c r="T6822" s="1420"/>
      <c r="V6822" s="1357">
        <v>55</v>
      </c>
    </row>
    <row r="6823" spans="1:22" s="841" customFormat="1" ht="23.25" x14ac:dyDescent="0.25">
      <c r="A6823" s="841" t="s">
        <v>188</v>
      </c>
      <c r="C6823" s="841" t="s">
        <v>3050</v>
      </c>
      <c r="E6823" s="1911" t="s">
        <v>188</v>
      </c>
      <c r="F6823" s="1911"/>
      <c r="G6823" s="1911"/>
      <c r="H6823" s="1911"/>
      <c r="I6823" s="841" t="s">
        <v>628</v>
      </c>
      <c r="J6823" s="841" t="s">
        <v>4164</v>
      </c>
      <c r="K6823" s="841" t="s">
        <v>188</v>
      </c>
      <c r="M6823" s="1357">
        <v>6</v>
      </c>
      <c r="Q6823" s="1357"/>
      <c r="S6823" s="1420"/>
      <c r="T6823" s="1420"/>
      <c r="V6823" s="1357">
        <v>30</v>
      </c>
    </row>
    <row r="6824" spans="1:22" s="841" customFormat="1" x14ac:dyDescent="0.25">
      <c r="A6824" s="841" t="s">
        <v>188</v>
      </c>
      <c r="C6824" s="841" t="s">
        <v>3052</v>
      </c>
      <c r="E6824" s="1912" t="s">
        <v>3053</v>
      </c>
      <c r="F6824" s="1912"/>
      <c r="G6824" s="1912"/>
      <c r="H6824" s="1912"/>
      <c r="M6824" s="1357"/>
      <c r="Q6824" s="1357"/>
      <c r="S6824" s="1420"/>
      <c r="T6824" s="1420"/>
      <c r="V6824" s="1357">
        <v>27</v>
      </c>
    </row>
    <row r="6825" spans="1:22" s="841" customFormat="1" ht="15.75" x14ac:dyDescent="0.25">
      <c r="A6825" s="841" t="s">
        <v>188</v>
      </c>
      <c r="C6825" s="841" t="s">
        <v>3054</v>
      </c>
      <c r="E6825" s="1913" t="s">
        <v>5107</v>
      </c>
      <c r="F6825" s="1913"/>
      <c r="G6825" s="1913"/>
      <c r="H6825" s="1913"/>
      <c r="M6825" s="1357"/>
      <c r="Q6825" s="1357"/>
      <c r="S6825" s="1420">
        <v>43221</v>
      </c>
      <c r="T6825" s="1420"/>
      <c r="V6825" s="1357">
        <v>45</v>
      </c>
    </row>
    <row r="6826" spans="1:22" s="841" customFormat="1" ht="15" x14ac:dyDescent="0.25">
      <c r="A6826" s="841" t="s">
        <v>188</v>
      </c>
      <c r="C6826" s="841" t="s">
        <v>3055</v>
      </c>
      <c r="E6826" s="1914" t="s">
        <v>3056</v>
      </c>
      <c r="F6826" s="1914"/>
      <c r="G6826" s="1914"/>
      <c r="H6826" s="1914"/>
      <c r="M6826" s="1357"/>
      <c r="Q6826" s="1357"/>
      <c r="S6826" s="1420"/>
      <c r="T6826" s="1420"/>
      <c r="V6826" s="1357">
        <v>52</v>
      </c>
    </row>
    <row r="6827" spans="1:22" s="841" customFormat="1" ht="15" x14ac:dyDescent="0.25">
      <c r="A6827" s="841" t="s">
        <v>188</v>
      </c>
      <c r="E6827" s="1914" t="s">
        <v>3057</v>
      </c>
      <c r="F6827" s="1914"/>
      <c r="G6827" s="1914"/>
      <c r="H6827" s="1914"/>
      <c r="M6827" s="1357"/>
      <c r="Q6827" s="1357"/>
      <c r="S6827" s="1420"/>
      <c r="T6827" s="1420"/>
      <c r="V6827" s="1357">
        <v>53</v>
      </c>
    </row>
    <row r="6828" spans="1:22" s="841" customFormat="1" ht="15" x14ac:dyDescent="0.25">
      <c r="A6828" s="841" t="s">
        <v>188</v>
      </c>
      <c r="E6828" s="1925" t="s">
        <v>5627</v>
      </c>
      <c r="F6828" s="1925"/>
      <c r="G6828" s="1925"/>
      <c r="H6828" s="1925"/>
      <c r="K6828" s="841" t="s">
        <v>5627</v>
      </c>
      <c r="M6828" s="1357"/>
      <c r="Q6828" s="1357"/>
      <c r="S6828" s="1420"/>
      <c r="T6828" s="1420"/>
      <c r="V6828" s="1357">
        <v>12</v>
      </c>
    </row>
    <row r="6829" spans="1:22" s="841" customFormat="1" ht="15" x14ac:dyDescent="0.25">
      <c r="A6829" s="841" t="s">
        <v>188</v>
      </c>
      <c r="E6829" s="1909" t="s">
        <v>438</v>
      </c>
      <c r="F6829" s="1697"/>
      <c r="G6829" s="1697"/>
      <c r="H6829" s="1697"/>
      <c r="K6829" s="841" t="s">
        <v>3197</v>
      </c>
      <c r="M6829" s="1357"/>
      <c r="Q6829" s="1357"/>
      <c r="S6829" s="1420"/>
      <c r="T6829" s="1420"/>
      <c r="V6829" s="1357">
        <v>34</v>
      </c>
    </row>
    <row r="6830" spans="1:22" s="841" customFormat="1" ht="15" x14ac:dyDescent="0.25">
      <c r="A6830" s="841" t="s">
        <v>188</v>
      </c>
      <c r="E6830" s="1689" t="s">
        <v>4165</v>
      </c>
      <c r="F6830" s="1689"/>
      <c r="G6830" s="1689"/>
      <c r="H6830" s="1689"/>
      <c r="K6830" s="841" t="s">
        <v>3197</v>
      </c>
      <c r="M6830" s="1357"/>
      <c r="Q6830" s="1357"/>
      <c r="S6830" s="1420"/>
      <c r="T6830" s="1420"/>
      <c r="V6830" s="1357">
        <v>620</v>
      </c>
    </row>
    <row r="6831" spans="1:22" s="841" customFormat="1" ht="15" x14ac:dyDescent="0.25">
      <c r="A6831" s="841" t="s">
        <v>188</v>
      </c>
      <c r="E6831" s="1916" t="s">
        <v>3061</v>
      </c>
      <c r="F6831" s="1697"/>
      <c r="G6831" s="1697"/>
      <c r="H6831" s="1697"/>
      <c r="K6831" s="841" t="s">
        <v>3062</v>
      </c>
      <c r="M6831" s="1357"/>
      <c r="Q6831" s="1357"/>
      <c r="S6831" s="1420"/>
      <c r="T6831" s="1420"/>
      <c r="V6831" s="1357">
        <v>11</v>
      </c>
    </row>
    <row r="6832" spans="1:22" s="841" customFormat="1" ht="15" x14ac:dyDescent="0.25">
      <c r="A6832" s="841" t="s">
        <v>188</v>
      </c>
      <c r="E6832" s="1689" t="s">
        <v>3063</v>
      </c>
      <c r="F6832" s="1689"/>
      <c r="G6832" s="1689"/>
      <c r="H6832" s="1689"/>
      <c r="K6832" s="841" t="s">
        <v>3197</v>
      </c>
      <c r="M6832" s="1357"/>
      <c r="Q6832" s="1357"/>
      <c r="S6832" s="1420"/>
      <c r="T6832" s="1420"/>
      <c r="V6832" s="1357">
        <v>280</v>
      </c>
    </row>
    <row r="6833" spans="1:22" s="841" customFormat="1" ht="15" x14ac:dyDescent="0.25">
      <c r="A6833" s="841" t="s">
        <v>188</v>
      </c>
      <c r="E6833" s="1689" t="s">
        <v>3064</v>
      </c>
      <c r="F6833" s="1689"/>
      <c r="G6833" s="1689"/>
      <c r="H6833" s="1689"/>
      <c r="K6833" s="841" t="s">
        <v>3197</v>
      </c>
      <c r="M6833" s="1357"/>
      <c r="Q6833" s="1357"/>
      <c r="S6833" s="1420"/>
      <c r="T6833" s="1420"/>
      <c r="V6833" s="1357">
        <v>411</v>
      </c>
    </row>
    <row r="6834" spans="1:22" s="841" customFormat="1" ht="15" x14ac:dyDescent="0.25">
      <c r="A6834" s="841" t="s">
        <v>188</v>
      </c>
      <c r="E6834" s="1689" t="s">
        <v>3065</v>
      </c>
      <c r="F6834" s="1689"/>
      <c r="G6834" s="1689"/>
      <c r="H6834" s="1689"/>
      <c r="K6834" s="841" t="s">
        <v>3197</v>
      </c>
      <c r="M6834" s="1357"/>
      <c r="Q6834" s="1357"/>
      <c r="S6834" s="1420"/>
      <c r="T6834" s="1420"/>
      <c r="V6834" s="1357">
        <v>387</v>
      </c>
    </row>
    <row r="6835" spans="1:22" s="841" customFormat="1" ht="15" x14ac:dyDescent="0.25">
      <c r="A6835" s="841" t="s">
        <v>188</v>
      </c>
      <c r="E6835" s="1689" t="s">
        <v>3200</v>
      </c>
      <c r="F6835" s="1689"/>
      <c r="G6835" s="1689"/>
      <c r="H6835" s="1689"/>
      <c r="K6835" s="841" t="s">
        <v>3197</v>
      </c>
      <c r="M6835" s="1357"/>
      <c r="Q6835" s="1357"/>
      <c r="S6835" s="1420"/>
      <c r="T6835" s="1420"/>
      <c r="V6835" s="1357">
        <v>275</v>
      </c>
    </row>
    <row r="6836" spans="1:22" s="841" customFormat="1" ht="15" x14ac:dyDescent="0.25">
      <c r="A6836" s="841" t="s">
        <v>188</v>
      </c>
      <c r="E6836" s="1694" t="s">
        <v>3067</v>
      </c>
      <c r="F6836" s="1907"/>
      <c r="G6836" s="1907"/>
      <c r="H6836" s="1907"/>
      <c r="K6836" s="841" t="s">
        <v>3068</v>
      </c>
      <c r="M6836" s="1357"/>
      <c r="Q6836" s="1357"/>
      <c r="S6836" s="1420"/>
      <c r="T6836" s="1420"/>
      <c r="V6836" s="1357">
        <v>46</v>
      </c>
    </row>
    <row r="6837" spans="1:22" s="841" customFormat="1" ht="15" x14ac:dyDescent="0.25">
      <c r="A6837" s="841" t="s">
        <v>188</v>
      </c>
      <c r="E6837" s="1690" t="s">
        <v>11</v>
      </c>
      <c r="F6837" s="1690"/>
      <c r="G6837" s="1408" t="s">
        <v>23</v>
      </c>
      <c r="H6837" s="391">
        <v>26.86</v>
      </c>
      <c r="K6837" s="841" t="s">
        <v>3197</v>
      </c>
      <c r="L6837" s="841" t="s">
        <v>442</v>
      </c>
      <c r="M6837" s="1357"/>
      <c r="P6837" s="841" t="s">
        <v>3201</v>
      </c>
      <c r="Q6837" s="1357"/>
      <c r="S6837" s="1420"/>
      <c r="T6837" s="1420"/>
      <c r="V6837" s="1357">
        <v>14</v>
      </c>
    </row>
    <row r="6838" spans="1:22" s="841" customFormat="1" ht="15" x14ac:dyDescent="0.25">
      <c r="A6838" s="841" t="s">
        <v>188</v>
      </c>
      <c r="E6838" s="1690" t="s">
        <v>5109</v>
      </c>
      <c r="F6838" s="1690"/>
      <c r="G6838" s="1408" t="s">
        <v>23</v>
      </c>
      <c r="H6838" s="391">
        <v>0.56999999999999995</v>
      </c>
      <c r="K6838" s="841" t="s">
        <v>3197</v>
      </c>
      <c r="L6838" s="841" t="s">
        <v>443</v>
      </c>
      <c r="M6838" s="1357"/>
      <c r="P6838" s="841" t="s">
        <v>3202</v>
      </c>
      <c r="Q6838" s="1357"/>
      <c r="S6838" s="1420"/>
      <c r="T6838" s="1420">
        <v>44926</v>
      </c>
      <c r="V6838" s="1357">
        <v>64</v>
      </c>
    </row>
    <row r="6839" spans="1:22" s="841" customFormat="1" ht="15" x14ac:dyDescent="0.25">
      <c r="A6839" s="841" t="s">
        <v>188</v>
      </c>
      <c r="E6839" s="1690" t="s">
        <v>4166</v>
      </c>
      <c r="F6839" s="1690"/>
      <c r="G6839" s="1408" t="s">
        <v>23</v>
      </c>
      <c r="H6839" s="391">
        <v>-0.28000000000000003</v>
      </c>
      <c r="K6839" s="841" t="s">
        <v>3197</v>
      </c>
      <c r="L6839" s="841" t="s">
        <v>442</v>
      </c>
      <c r="M6839" s="1357"/>
      <c r="P6839" s="841" t="s">
        <v>6330</v>
      </c>
      <c r="Q6839" s="1357"/>
      <c r="S6839" s="1420"/>
      <c r="T6839" s="1420">
        <v>43585</v>
      </c>
      <c r="V6839" s="1357">
        <v>88</v>
      </c>
    </row>
    <row r="6840" spans="1:22" s="841" customFormat="1" ht="15" x14ac:dyDescent="0.25">
      <c r="A6840" s="841" t="s">
        <v>188</v>
      </c>
      <c r="E6840" s="1690" t="s">
        <v>5383</v>
      </c>
      <c r="F6840" s="1690"/>
      <c r="G6840" s="1408" t="s">
        <v>23</v>
      </c>
      <c r="H6840" s="391">
        <v>0.12</v>
      </c>
      <c r="K6840" s="841" t="s">
        <v>3197</v>
      </c>
      <c r="L6840" s="841" t="s">
        <v>442</v>
      </c>
      <c r="M6840" s="1357"/>
      <c r="P6840" s="841" t="s">
        <v>3954</v>
      </c>
      <c r="Q6840" s="1357"/>
      <c r="S6840" s="1420"/>
      <c r="T6840" s="1420">
        <v>43585</v>
      </c>
      <c r="V6840" s="1357">
        <v>80</v>
      </c>
    </row>
    <row r="6841" spans="1:22" s="841" customFormat="1" ht="15" x14ac:dyDescent="0.25">
      <c r="A6841" s="841" t="s">
        <v>188</v>
      </c>
      <c r="E6841" s="1690" t="s">
        <v>84</v>
      </c>
      <c r="F6841" s="1690"/>
      <c r="G6841" s="1408" t="s">
        <v>24</v>
      </c>
      <c r="H6841" s="393">
        <v>3.3E-3</v>
      </c>
      <c r="K6841" s="841" t="s">
        <v>3197</v>
      </c>
      <c r="L6841" s="841" t="s">
        <v>442</v>
      </c>
      <c r="M6841" s="1357"/>
      <c r="P6841" s="841" t="s">
        <v>3203</v>
      </c>
      <c r="Q6841" s="1357"/>
      <c r="S6841" s="1420"/>
      <c r="T6841" s="1420"/>
      <c r="V6841" s="1357">
        <v>28</v>
      </c>
    </row>
    <row r="6842" spans="1:22" s="841" customFormat="1" ht="15" x14ac:dyDescent="0.25">
      <c r="A6842" s="841" t="s">
        <v>188</v>
      </c>
      <c r="E6842" s="1690" t="s">
        <v>4167</v>
      </c>
      <c r="F6842" s="1690"/>
      <c r="G6842" s="1408" t="s">
        <v>24</v>
      </c>
      <c r="H6842" s="393">
        <v>-1E-3</v>
      </c>
      <c r="K6842" s="841" t="s">
        <v>3197</v>
      </c>
      <c r="L6842" s="841" t="s">
        <v>442</v>
      </c>
      <c r="M6842" s="1357"/>
      <c r="P6842" s="841" t="s">
        <v>6331</v>
      </c>
      <c r="Q6842" s="1357"/>
      <c r="S6842" s="1420"/>
      <c r="T6842" s="1420">
        <v>43585</v>
      </c>
      <c r="V6842" s="1357">
        <v>75</v>
      </c>
    </row>
    <row r="6843" spans="1:22" s="841" customFormat="1" ht="15" x14ac:dyDescent="0.25">
      <c r="A6843" s="841" t="s">
        <v>188</v>
      </c>
      <c r="E6843" s="1904" t="s">
        <v>5628</v>
      </c>
      <c r="F6843" s="1904"/>
      <c r="G6843" s="1408" t="s">
        <v>24</v>
      </c>
      <c r="H6843" s="393">
        <v>6.9999999999999999E-4</v>
      </c>
      <c r="K6843" s="841" t="s">
        <v>3197</v>
      </c>
      <c r="L6843" s="841" t="s">
        <v>442</v>
      </c>
      <c r="M6843" s="1357"/>
      <c r="P6843" s="841" t="s">
        <v>6332</v>
      </c>
      <c r="Q6843" s="1357"/>
      <c r="S6843" s="1420"/>
      <c r="T6843" s="1420"/>
      <c r="V6843" s="1357">
        <v>136</v>
      </c>
    </row>
    <row r="6844" spans="1:22" s="841" customFormat="1" ht="15" x14ac:dyDescent="0.25">
      <c r="A6844" s="841" t="s">
        <v>188</v>
      </c>
      <c r="E6844" s="1904" t="s">
        <v>5129</v>
      </c>
      <c r="F6844" s="1962"/>
      <c r="G6844" s="1408" t="s">
        <v>24</v>
      </c>
      <c r="H6844" s="393">
        <v>-3.0000000000000001E-3</v>
      </c>
      <c r="K6844" s="841" t="s">
        <v>3197</v>
      </c>
      <c r="L6844" s="841" t="s">
        <v>443</v>
      </c>
      <c r="M6844" s="1357"/>
      <c r="P6844" s="841" t="s">
        <v>3205</v>
      </c>
      <c r="Q6844" s="1357"/>
      <c r="S6844" s="1420"/>
      <c r="T6844" s="1420">
        <v>43585</v>
      </c>
      <c r="V6844" s="1357">
        <v>139</v>
      </c>
    </row>
    <row r="6845" spans="1:22" s="841" customFormat="1" ht="15" x14ac:dyDescent="0.25">
      <c r="A6845" s="841" t="s">
        <v>188</v>
      </c>
      <c r="E6845" s="1904" t="s">
        <v>5130</v>
      </c>
      <c r="F6845" s="1962"/>
      <c r="G6845" s="1408" t="s">
        <v>24</v>
      </c>
      <c r="H6845" s="393">
        <v>-1E-4</v>
      </c>
      <c r="K6845" s="841" t="s">
        <v>3197</v>
      </c>
      <c r="L6845" s="841" t="s">
        <v>443</v>
      </c>
      <c r="M6845" s="1357"/>
      <c r="P6845" s="841" t="s">
        <v>3207</v>
      </c>
      <c r="Q6845" s="1357"/>
      <c r="S6845" s="1420"/>
      <c r="T6845" s="1420">
        <v>43585</v>
      </c>
      <c r="V6845" s="1357">
        <v>96</v>
      </c>
    </row>
    <row r="6846" spans="1:22" s="841" customFormat="1" ht="15" x14ac:dyDescent="0.25">
      <c r="A6846" s="841" t="s">
        <v>188</v>
      </c>
      <c r="E6846" s="1690" t="s">
        <v>221</v>
      </c>
      <c r="F6846" s="1690"/>
      <c r="G6846" s="1408" t="s">
        <v>24</v>
      </c>
      <c r="H6846" s="393">
        <v>7.1000000000000004E-3</v>
      </c>
      <c r="K6846" s="841" t="s">
        <v>3197</v>
      </c>
      <c r="L6846" s="841" t="s">
        <v>444</v>
      </c>
      <c r="M6846" s="1357"/>
      <c r="P6846" s="841" t="s">
        <v>3208</v>
      </c>
      <c r="Q6846" s="1357"/>
      <c r="S6846" s="1420"/>
      <c r="T6846" s="1420"/>
      <c r="V6846" s="1357">
        <v>47</v>
      </c>
    </row>
    <row r="6847" spans="1:22" s="841" customFormat="1" ht="15" x14ac:dyDescent="0.25">
      <c r="A6847" s="841" t="s">
        <v>188</v>
      </c>
      <c r="E6847" s="1690" t="s">
        <v>217</v>
      </c>
      <c r="F6847" s="1690"/>
      <c r="G6847" s="1408" t="s">
        <v>24</v>
      </c>
      <c r="H6847" s="393">
        <v>1.6999999999999999E-3</v>
      </c>
      <c r="K6847" s="841" t="s">
        <v>3197</v>
      </c>
      <c r="L6847" s="841" t="s">
        <v>444</v>
      </c>
      <c r="M6847" s="1357"/>
      <c r="P6847" s="841" t="s">
        <v>3209</v>
      </c>
      <c r="Q6847" s="1357"/>
      <c r="S6847" s="1420"/>
      <c r="T6847" s="1420"/>
      <c r="V6847" s="1357">
        <v>74</v>
      </c>
    </row>
    <row r="6848" spans="1:22" s="841" customFormat="1" ht="15" x14ac:dyDescent="0.25">
      <c r="A6848" s="841" t="s">
        <v>188</v>
      </c>
      <c r="E6848" s="1694" t="s">
        <v>3079</v>
      </c>
      <c r="F6848" s="1690"/>
      <c r="G6848" s="1408"/>
      <c r="H6848" s="1408"/>
      <c r="K6848" s="841" t="s">
        <v>3080</v>
      </c>
      <c r="M6848" s="1357"/>
      <c r="Q6848" s="1357"/>
      <c r="S6848" s="1420"/>
      <c r="T6848" s="1420"/>
      <c r="V6848" s="1357">
        <v>48</v>
      </c>
    </row>
    <row r="6849" spans="1:22" s="841" customFormat="1" ht="15" x14ac:dyDescent="0.25">
      <c r="A6849" s="841" t="s">
        <v>188</v>
      </c>
      <c r="E6849" s="1690" t="s">
        <v>2449</v>
      </c>
      <c r="F6849" s="1690"/>
      <c r="G6849" s="1408" t="s">
        <v>24</v>
      </c>
      <c r="H6849" s="393">
        <v>3.2000000000000002E-3</v>
      </c>
      <c r="K6849" s="841" t="s">
        <v>3197</v>
      </c>
      <c r="L6849" s="841" t="s">
        <v>3046</v>
      </c>
      <c r="M6849" s="1357"/>
      <c r="P6849" s="841" t="s">
        <v>3210</v>
      </c>
      <c r="Q6849" s="1357"/>
      <c r="S6849" s="1420"/>
      <c r="T6849" s="1420"/>
      <c r="V6849" s="1357">
        <v>55</v>
      </c>
    </row>
    <row r="6850" spans="1:22" s="841" customFormat="1" ht="15" x14ac:dyDescent="0.25">
      <c r="A6850" s="841" t="s">
        <v>188</v>
      </c>
      <c r="E6850" s="1690" t="s">
        <v>2450</v>
      </c>
      <c r="F6850" s="1690"/>
      <c r="G6850" s="1408" t="s">
        <v>24</v>
      </c>
      <c r="H6850" s="393">
        <v>4.0000000000000002E-4</v>
      </c>
      <c r="K6850" s="841" t="s">
        <v>3197</v>
      </c>
      <c r="L6850" s="841" t="s">
        <v>3046</v>
      </c>
      <c r="M6850" s="1357"/>
      <c r="P6850" s="841" t="s">
        <v>3210</v>
      </c>
      <c r="Q6850" s="1357"/>
      <c r="S6850" s="1420"/>
      <c r="T6850" s="1420"/>
      <c r="V6850" s="1357">
        <v>65</v>
      </c>
    </row>
    <row r="6851" spans="1:22" s="841" customFormat="1" ht="15" x14ac:dyDescent="0.25">
      <c r="A6851" s="841" t="s">
        <v>188</v>
      </c>
      <c r="E6851" s="1690" t="s">
        <v>439</v>
      </c>
      <c r="F6851" s="1690"/>
      <c r="G6851" s="1408" t="s">
        <v>24</v>
      </c>
      <c r="H6851" s="393">
        <v>2.9999999999999997E-4</v>
      </c>
      <c r="K6851" s="841" t="s">
        <v>3197</v>
      </c>
      <c r="L6851" s="841" t="s">
        <v>3046</v>
      </c>
      <c r="M6851" s="1357"/>
      <c r="P6851" s="841" t="s">
        <v>3212</v>
      </c>
      <c r="Q6851" s="1357"/>
      <c r="S6851" s="1420"/>
      <c r="T6851" s="1420"/>
      <c r="V6851" s="1357">
        <v>57</v>
      </c>
    </row>
    <row r="6852" spans="1:22" s="841" customFormat="1" ht="15" x14ac:dyDescent="0.25">
      <c r="A6852" s="841" t="s">
        <v>188</v>
      </c>
      <c r="E6852" s="1690" t="s">
        <v>32</v>
      </c>
      <c r="F6852" s="1690"/>
      <c r="G6852" s="1408" t="s">
        <v>23</v>
      </c>
      <c r="H6852" s="391">
        <v>0.25</v>
      </c>
      <c r="K6852" s="841" t="s">
        <v>3197</v>
      </c>
      <c r="L6852" s="841" t="s">
        <v>3046</v>
      </c>
      <c r="M6852" s="1357"/>
      <c r="P6852" s="841" t="s">
        <v>3213</v>
      </c>
      <c r="Q6852" s="1357"/>
      <c r="S6852" s="1420"/>
      <c r="T6852" s="1420"/>
      <c r="V6852" s="1357">
        <v>63</v>
      </c>
    </row>
    <row r="6853" spans="1:22" s="841" customFormat="1" x14ac:dyDescent="0.25">
      <c r="A6853" s="841" t="s">
        <v>188</v>
      </c>
      <c r="E6853" s="1909" t="s">
        <v>3214</v>
      </c>
      <c r="F6853" s="1915"/>
      <c r="G6853" s="1915"/>
      <c r="H6853" s="1915"/>
      <c r="K6853" s="841" t="s">
        <v>5110</v>
      </c>
      <c r="M6853" s="1357"/>
      <c r="Q6853" s="1357"/>
      <c r="S6853" s="1420"/>
      <c r="T6853" s="1420"/>
      <c r="V6853" s="1357">
        <v>54</v>
      </c>
    </row>
    <row r="6854" spans="1:22" s="841" customFormat="1" ht="15" x14ac:dyDescent="0.25">
      <c r="A6854" s="841" t="s">
        <v>188</v>
      </c>
      <c r="E6854" s="1689" t="s">
        <v>4168</v>
      </c>
      <c r="F6854" s="1689"/>
      <c r="G6854" s="1689"/>
      <c r="H6854" s="1689"/>
      <c r="K6854" s="841" t="s">
        <v>5110</v>
      </c>
      <c r="M6854" s="1357"/>
      <c r="Q6854" s="1357"/>
      <c r="S6854" s="1420"/>
      <c r="T6854" s="1420"/>
      <c r="V6854" s="1357">
        <v>332</v>
      </c>
    </row>
    <row r="6855" spans="1:22" s="841" customFormat="1" ht="15" x14ac:dyDescent="0.25">
      <c r="A6855" s="841" t="s">
        <v>188</v>
      </c>
      <c r="E6855" s="1916" t="s">
        <v>3061</v>
      </c>
      <c r="F6855" s="1697"/>
      <c r="G6855" s="1697"/>
      <c r="H6855" s="1697"/>
      <c r="K6855" s="841" t="s">
        <v>3086</v>
      </c>
      <c r="M6855" s="1357"/>
      <c r="Q6855" s="1357"/>
      <c r="S6855" s="1420"/>
      <c r="T6855" s="1420"/>
      <c r="V6855" s="1357">
        <v>11</v>
      </c>
    </row>
    <row r="6856" spans="1:22" s="841" customFormat="1" ht="15" x14ac:dyDescent="0.25">
      <c r="A6856" s="841" t="s">
        <v>188</v>
      </c>
      <c r="E6856" s="1689" t="s">
        <v>3063</v>
      </c>
      <c r="F6856" s="1689"/>
      <c r="G6856" s="1689"/>
      <c r="H6856" s="1689"/>
      <c r="K6856" s="841" t="s">
        <v>5110</v>
      </c>
      <c r="M6856" s="1357"/>
      <c r="Q6856" s="1357"/>
      <c r="S6856" s="1420"/>
      <c r="T6856" s="1420"/>
      <c r="V6856" s="1357">
        <v>280</v>
      </c>
    </row>
    <row r="6857" spans="1:22" s="841" customFormat="1" ht="15" x14ac:dyDescent="0.25">
      <c r="A6857" s="841" t="s">
        <v>188</v>
      </c>
      <c r="E6857" s="1689" t="s">
        <v>3064</v>
      </c>
      <c r="F6857" s="1689"/>
      <c r="G6857" s="1689"/>
      <c r="H6857" s="1689"/>
      <c r="K6857" s="841" t="s">
        <v>5110</v>
      </c>
      <c r="M6857" s="1357"/>
      <c r="Q6857" s="1357"/>
      <c r="S6857" s="1420"/>
      <c r="T6857" s="1420"/>
      <c r="V6857" s="1357">
        <v>411</v>
      </c>
    </row>
    <row r="6858" spans="1:22" s="841" customFormat="1" ht="15" x14ac:dyDescent="0.25">
      <c r="A6858" s="841" t="s">
        <v>188</v>
      </c>
      <c r="E6858" s="1689" t="s">
        <v>3065</v>
      </c>
      <c r="F6858" s="1689"/>
      <c r="G6858" s="1689"/>
      <c r="H6858" s="1689"/>
      <c r="K6858" s="841" t="s">
        <v>5110</v>
      </c>
      <c r="M6858" s="1357"/>
      <c r="Q6858" s="1357"/>
      <c r="S6858" s="1420"/>
      <c r="T6858" s="1420"/>
      <c r="V6858" s="1357">
        <v>387</v>
      </c>
    </row>
    <row r="6859" spans="1:22" s="841" customFormat="1" ht="15" x14ac:dyDescent="0.25">
      <c r="A6859" s="841" t="s">
        <v>188</v>
      </c>
      <c r="E6859" s="1689" t="s">
        <v>3200</v>
      </c>
      <c r="F6859" s="1689"/>
      <c r="G6859" s="1689"/>
      <c r="H6859" s="1689"/>
      <c r="K6859" s="841" t="s">
        <v>5110</v>
      </c>
      <c r="M6859" s="1357"/>
      <c r="Q6859" s="1357"/>
      <c r="S6859" s="1420"/>
      <c r="T6859" s="1420"/>
      <c r="V6859" s="1357">
        <v>275</v>
      </c>
    </row>
    <row r="6860" spans="1:22" s="841" customFormat="1" ht="15" x14ac:dyDescent="0.25">
      <c r="A6860" s="841" t="s">
        <v>188</v>
      </c>
      <c r="E6860" s="1694" t="s">
        <v>3067</v>
      </c>
      <c r="F6860" s="1907"/>
      <c r="G6860" s="1907"/>
      <c r="H6860" s="1907"/>
      <c r="K6860" s="841" t="s">
        <v>3087</v>
      </c>
      <c r="M6860" s="1357"/>
      <c r="Q6860" s="1357"/>
      <c r="S6860" s="1420"/>
      <c r="T6860" s="1420"/>
      <c r="V6860" s="1357">
        <v>46</v>
      </c>
    </row>
    <row r="6861" spans="1:22" s="841" customFormat="1" ht="15" x14ac:dyDescent="0.25">
      <c r="A6861" s="841" t="s">
        <v>188</v>
      </c>
      <c r="E6861" s="1690" t="s">
        <v>11</v>
      </c>
      <c r="F6861" s="1690"/>
      <c r="G6861" s="1408" t="s">
        <v>23</v>
      </c>
      <c r="H6861" s="391">
        <v>39.409999999999997</v>
      </c>
      <c r="K6861" s="841" t="s">
        <v>5110</v>
      </c>
      <c r="L6861" s="841" t="s">
        <v>442</v>
      </c>
      <c r="M6861" s="1357"/>
      <c r="P6861" s="841" t="s">
        <v>5111</v>
      </c>
      <c r="Q6861" s="1357"/>
      <c r="S6861" s="1420"/>
      <c r="T6861" s="1420"/>
      <c r="V6861" s="1357">
        <v>14</v>
      </c>
    </row>
    <row r="6862" spans="1:22" s="841" customFormat="1" ht="15" x14ac:dyDescent="0.25">
      <c r="A6862" s="841" t="s">
        <v>188</v>
      </c>
      <c r="E6862" s="1690" t="s">
        <v>5109</v>
      </c>
      <c r="F6862" s="1690"/>
      <c r="G6862" s="1408" t="s">
        <v>23</v>
      </c>
      <c r="H6862" s="391">
        <v>0.56999999999999995</v>
      </c>
      <c r="K6862" s="841" t="s">
        <v>5110</v>
      </c>
      <c r="L6862" s="841" t="s">
        <v>443</v>
      </c>
      <c r="M6862" s="1357"/>
      <c r="P6862" s="841" t="s">
        <v>5112</v>
      </c>
      <c r="Q6862" s="1357"/>
      <c r="S6862" s="1420"/>
      <c r="T6862" s="1420">
        <v>44926</v>
      </c>
      <c r="V6862" s="1357">
        <v>64</v>
      </c>
    </row>
    <row r="6863" spans="1:22" s="841" customFormat="1" ht="15" x14ac:dyDescent="0.25">
      <c r="A6863" s="841" t="s">
        <v>188</v>
      </c>
      <c r="E6863" s="1690" t="s">
        <v>84</v>
      </c>
      <c r="F6863" s="1690"/>
      <c r="G6863" s="1408" t="s">
        <v>24</v>
      </c>
      <c r="H6863" s="393">
        <v>1.18E-2</v>
      </c>
      <c r="K6863" s="841" t="s">
        <v>5110</v>
      </c>
      <c r="L6863" s="841" t="s">
        <v>442</v>
      </c>
      <c r="M6863" s="1357"/>
      <c r="P6863" s="841" t="s">
        <v>5113</v>
      </c>
      <c r="Q6863" s="1357"/>
      <c r="S6863" s="1420"/>
      <c r="T6863" s="1420"/>
      <c r="V6863" s="1357">
        <v>28</v>
      </c>
    </row>
    <row r="6864" spans="1:22" s="841" customFormat="1" ht="15" x14ac:dyDescent="0.25">
      <c r="A6864" s="841" t="s">
        <v>188</v>
      </c>
      <c r="E6864" s="1690" t="s">
        <v>4167</v>
      </c>
      <c r="F6864" s="1690"/>
      <c r="G6864" s="1408" t="s">
        <v>24</v>
      </c>
      <c r="H6864" s="393">
        <v>-1E-3</v>
      </c>
      <c r="K6864" s="841" t="s">
        <v>5110</v>
      </c>
      <c r="L6864" s="841" t="s">
        <v>442</v>
      </c>
      <c r="M6864" s="1357"/>
      <c r="P6864" s="841" t="s">
        <v>6333</v>
      </c>
      <c r="Q6864" s="1357"/>
      <c r="S6864" s="1420"/>
      <c r="T6864" s="1420">
        <v>43585</v>
      </c>
      <c r="V6864" s="1357">
        <v>75</v>
      </c>
    </row>
    <row r="6865" spans="1:22" s="841" customFormat="1" ht="15" x14ac:dyDescent="0.25">
      <c r="A6865" s="841" t="s">
        <v>188</v>
      </c>
      <c r="E6865" s="1690" t="s">
        <v>4166</v>
      </c>
      <c r="F6865" s="1690"/>
      <c r="G6865" s="1408" t="s">
        <v>24</v>
      </c>
      <c r="H6865" s="393">
        <v>-4.0000000000000002E-4</v>
      </c>
      <c r="K6865" s="841" t="s">
        <v>5110</v>
      </c>
      <c r="L6865" s="841" t="s">
        <v>442</v>
      </c>
      <c r="M6865" s="1357"/>
      <c r="P6865" s="841" t="s">
        <v>6334</v>
      </c>
      <c r="Q6865" s="1357"/>
      <c r="S6865" s="1420"/>
      <c r="T6865" s="1420">
        <v>43585</v>
      </c>
      <c r="V6865" s="1357">
        <v>88</v>
      </c>
    </row>
    <row r="6866" spans="1:22" s="841" customFormat="1" ht="15" x14ac:dyDescent="0.25">
      <c r="A6866" s="841" t="s">
        <v>188</v>
      </c>
      <c r="E6866" s="1904" t="s">
        <v>5628</v>
      </c>
      <c r="F6866" s="1904"/>
      <c r="G6866" s="1408" t="s">
        <v>24</v>
      </c>
      <c r="H6866" s="393">
        <v>1.1999999999999999E-3</v>
      </c>
      <c r="K6866" s="841" t="s">
        <v>5110</v>
      </c>
      <c r="L6866" s="841" t="s">
        <v>442</v>
      </c>
      <c r="M6866" s="1357"/>
      <c r="P6866" s="841" t="s">
        <v>6335</v>
      </c>
      <c r="Q6866" s="1357"/>
      <c r="S6866" s="1420"/>
      <c r="T6866" s="1420"/>
      <c r="V6866" s="1357">
        <v>136</v>
      </c>
    </row>
    <row r="6867" spans="1:22" s="841" customFormat="1" ht="15" x14ac:dyDescent="0.25">
      <c r="A6867" s="841" t="s">
        <v>188</v>
      </c>
      <c r="E6867" s="1904" t="s">
        <v>5129</v>
      </c>
      <c r="F6867" s="1962"/>
      <c r="G6867" s="1408" t="s">
        <v>24</v>
      </c>
      <c r="H6867" s="393">
        <v>-3.0000000000000001E-3</v>
      </c>
      <c r="K6867" s="841" t="s">
        <v>5110</v>
      </c>
      <c r="L6867" s="841" t="s">
        <v>443</v>
      </c>
      <c r="M6867" s="1357"/>
      <c r="P6867" s="841" t="s">
        <v>4818</v>
      </c>
      <c r="Q6867" s="1357"/>
      <c r="S6867" s="1420"/>
      <c r="T6867" s="1420">
        <v>43585</v>
      </c>
      <c r="V6867" s="1357">
        <v>139</v>
      </c>
    </row>
    <row r="6868" spans="1:22" s="841" customFormat="1" ht="15" x14ac:dyDescent="0.25">
      <c r="A6868" s="841" t="s">
        <v>188</v>
      </c>
      <c r="E6868" s="1904" t="s">
        <v>5130</v>
      </c>
      <c r="F6868" s="1962"/>
      <c r="G6868" s="1408" t="s">
        <v>24</v>
      </c>
      <c r="H6868" s="393">
        <v>-1E-4</v>
      </c>
      <c r="K6868" s="841" t="s">
        <v>5110</v>
      </c>
      <c r="L6868" s="841" t="s">
        <v>443</v>
      </c>
      <c r="M6868" s="1357"/>
      <c r="P6868" s="841" t="s">
        <v>5124</v>
      </c>
      <c r="Q6868" s="1357"/>
      <c r="S6868" s="1420"/>
      <c r="T6868" s="1420">
        <v>43585</v>
      </c>
      <c r="V6868" s="1357">
        <v>96</v>
      </c>
    </row>
    <row r="6869" spans="1:22" s="841" customFormat="1" ht="15" x14ac:dyDescent="0.25">
      <c r="A6869" s="841" t="s">
        <v>188</v>
      </c>
      <c r="E6869" s="1690" t="s">
        <v>5383</v>
      </c>
      <c r="F6869" s="1908"/>
      <c r="G6869" s="1408" t="s">
        <v>24</v>
      </c>
      <c r="H6869" s="393">
        <v>1E-4</v>
      </c>
      <c r="K6869" s="841" t="s">
        <v>5110</v>
      </c>
      <c r="L6869" s="841" t="s">
        <v>442</v>
      </c>
      <c r="M6869" s="1357"/>
      <c r="P6869" s="841" t="s">
        <v>5391</v>
      </c>
      <c r="Q6869" s="1357"/>
      <c r="S6869" s="1420"/>
      <c r="T6869" s="1420">
        <v>43585</v>
      </c>
      <c r="V6869" s="1357">
        <v>80</v>
      </c>
    </row>
    <row r="6870" spans="1:22" s="841" customFormat="1" ht="15" x14ac:dyDescent="0.25">
      <c r="A6870" s="841" t="s">
        <v>188</v>
      </c>
      <c r="E6870" s="1690" t="s">
        <v>221</v>
      </c>
      <c r="F6870" s="1690"/>
      <c r="G6870" s="1408" t="s">
        <v>24</v>
      </c>
      <c r="H6870" s="393">
        <v>6.4999999999999997E-3</v>
      </c>
      <c r="K6870" s="841" t="s">
        <v>5110</v>
      </c>
      <c r="L6870" s="841" t="s">
        <v>444</v>
      </c>
      <c r="M6870" s="1357"/>
      <c r="P6870" s="841" t="s">
        <v>5115</v>
      </c>
      <c r="Q6870" s="1357"/>
      <c r="S6870" s="1420"/>
      <c r="T6870" s="1420"/>
      <c r="V6870" s="1357">
        <v>47</v>
      </c>
    </row>
    <row r="6871" spans="1:22" s="841" customFormat="1" ht="15" x14ac:dyDescent="0.25">
      <c r="A6871" s="841" t="s">
        <v>188</v>
      </c>
      <c r="E6871" s="1690" t="s">
        <v>217</v>
      </c>
      <c r="F6871" s="1690"/>
      <c r="G6871" s="1408" t="s">
        <v>24</v>
      </c>
      <c r="H6871" s="393">
        <v>1.6999999999999999E-3</v>
      </c>
      <c r="K6871" s="841" t="s">
        <v>5110</v>
      </c>
      <c r="L6871" s="841" t="s">
        <v>444</v>
      </c>
      <c r="M6871" s="1357"/>
      <c r="P6871" s="841" t="s">
        <v>5116</v>
      </c>
      <c r="Q6871" s="1357"/>
      <c r="S6871" s="1420"/>
      <c r="T6871" s="1420"/>
      <c r="V6871" s="1357">
        <v>74</v>
      </c>
    </row>
    <row r="6872" spans="1:22" s="841" customFormat="1" ht="15" x14ac:dyDescent="0.25">
      <c r="A6872" s="841" t="s">
        <v>188</v>
      </c>
      <c r="E6872" s="1694" t="s">
        <v>3079</v>
      </c>
      <c r="F6872" s="1690"/>
      <c r="G6872" s="1408"/>
      <c r="H6872" s="1408"/>
      <c r="K6872" s="841" t="s">
        <v>3093</v>
      </c>
      <c r="M6872" s="1357"/>
      <c r="Q6872" s="1357"/>
      <c r="S6872" s="1420"/>
      <c r="T6872" s="1420"/>
      <c r="V6872" s="1357">
        <v>48</v>
      </c>
    </row>
    <row r="6873" spans="1:22" s="841" customFormat="1" ht="15" x14ac:dyDescent="0.25">
      <c r="A6873" s="841" t="s">
        <v>188</v>
      </c>
      <c r="E6873" s="1690" t="s">
        <v>2449</v>
      </c>
      <c r="F6873" s="1690"/>
      <c r="G6873" s="1408" t="s">
        <v>24</v>
      </c>
      <c r="H6873" s="393">
        <v>3.2000000000000002E-3</v>
      </c>
      <c r="K6873" s="841" t="s">
        <v>5110</v>
      </c>
      <c r="L6873" s="841" t="s">
        <v>3046</v>
      </c>
      <c r="M6873" s="1357"/>
      <c r="P6873" s="841" t="s">
        <v>5117</v>
      </c>
      <c r="Q6873" s="1357"/>
      <c r="S6873" s="1420"/>
      <c r="T6873" s="1420"/>
      <c r="V6873" s="1357">
        <v>55</v>
      </c>
    </row>
    <row r="6874" spans="1:22" s="841" customFormat="1" ht="15" x14ac:dyDescent="0.25">
      <c r="A6874" s="841" t="s">
        <v>188</v>
      </c>
      <c r="E6874" s="1690" t="s">
        <v>2450</v>
      </c>
      <c r="F6874" s="1690"/>
      <c r="G6874" s="1408" t="s">
        <v>24</v>
      </c>
      <c r="H6874" s="393">
        <v>4.0000000000000002E-4</v>
      </c>
      <c r="K6874" s="841" t="s">
        <v>5110</v>
      </c>
      <c r="L6874" s="841" t="s">
        <v>3046</v>
      </c>
      <c r="M6874" s="1357"/>
      <c r="P6874" s="841" t="s">
        <v>5117</v>
      </c>
      <c r="Q6874" s="1357"/>
      <c r="S6874" s="1420"/>
      <c r="T6874" s="1420"/>
      <c r="V6874" s="1357">
        <v>65</v>
      </c>
    </row>
    <row r="6875" spans="1:22" s="841" customFormat="1" ht="15" x14ac:dyDescent="0.25">
      <c r="A6875" s="841" t="s">
        <v>188</v>
      </c>
      <c r="E6875" s="1690" t="s">
        <v>439</v>
      </c>
      <c r="F6875" s="1690"/>
      <c r="G6875" s="1408" t="s">
        <v>24</v>
      </c>
      <c r="H6875" s="393">
        <v>2.9999999999999997E-4</v>
      </c>
      <c r="K6875" s="841" t="s">
        <v>5110</v>
      </c>
      <c r="L6875" s="841" t="s">
        <v>3046</v>
      </c>
      <c r="M6875" s="1357"/>
      <c r="P6875" s="841" t="s">
        <v>5118</v>
      </c>
      <c r="Q6875" s="1357"/>
      <c r="S6875" s="1420"/>
      <c r="T6875" s="1420"/>
      <c r="V6875" s="1357">
        <v>57</v>
      </c>
    </row>
    <row r="6876" spans="1:22" s="841" customFormat="1" ht="15" x14ac:dyDescent="0.25">
      <c r="A6876" s="841" t="s">
        <v>188</v>
      </c>
      <c r="E6876" s="1690" t="s">
        <v>32</v>
      </c>
      <c r="F6876" s="1690"/>
      <c r="G6876" s="1408" t="s">
        <v>23</v>
      </c>
      <c r="H6876" s="391">
        <v>0.25</v>
      </c>
      <c r="K6876" s="841" t="s">
        <v>5110</v>
      </c>
      <c r="L6876" s="841" t="s">
        <v>3046</v>
      </c>
      <c r="M6876" s="1357"/>
      <c r="P6876" s="841" t="s">
        <v>5119</v>
      </c>
      <c r="Q6876" s="1357"/>
      <c r="S6876" s="1420"/>
      <c r="T6876" s="1420"/>
      <c r="V6876" s="1357">
        <v>63</v>
      </c>
    </row>
    <row r="6877" spans="1:22" s="841" customFormat="1" x14ac:dyDescent="0.25">
      <c r="A6877" s="841" t="s">
        <v>188</v>
      </c>
      <c r="E6877" s="1909" t="s">
        <v>616</v>
      </c>
      <c r="F6877" s="1915"/>
      <c r="G6877" s="1915"/>
      <c r="H6877" s="1915"/>
      <c r="K6877" s="841" t="s">
        <v>6095</v>
      </c>
      <c r="M6877" s="1357"/>
      <c r="Q6877" s="1357"/>
      <c r="S6877" s="1420"/>
      <c r="T6877" s="1420"/>
      <c r="V6877" s="1357">
        <v>53</v>
      </c>
    </row>
    <row r="6878" spans="1:22" s="841" customFormat="1" ht="15" x14ac:dyDescent="0.25">
      <c r="A6878" s="841" t="s">
        <v>188</v>
      </c>
      <c r="E6878" s="1689" t="s">
        <v>4169</v>
      </c>
      <c r="F6878" s="1689"/>
      <c r="G6878" s="1689"/>
      <c r="H6878" s="1689"/>
      <c r="K6878" s="841" t="s">
        <v>6095</v>
      </c>
      <c r="M6878" s="1357"/>
      <c r="Q6878" s="1357"/>
      <c r="S6878" s="1420"/>
      <c r="T6878" s="1420"/>
      <c r="V6878" s="1357">
        <v>357</v>
      </c>
    </row>
    <row r="6879" spans="1:22" s="841" customFormat="1" ht="15" x14ac:dyDescent="0.25">
      <c r="A6879" s="841" t="s">
        <v>188</v>
      </c>
      <c r="E6879" s="1916" t="s">
        <v>3061</v>
      </c>
      <c r="F6879" s="1697"/>
      <c r="G6879" s="1697"/>
      <c r="H6879" s="1697"/>
      <c r="K6879" s="841" t="s">
        <v>3098</v>
      </c>
      <c r="M6879" s="1357"/>
      <c r="Q6879" s="1357"/>
      <c r="S6879" s="1420"/>
      <c r="T6879" s="1420"/>
      <c r="V6879" s="1357">
        <v>11</v>
      </c>
    </row>
    <row r="6880" spans="1:22" s="841" customFormat="1" ht="15" x14ac:dyDescent="0.25">
      <c r="A6880" s="841" t="s">
        <v>188</v>
      </c>
      <c r="E6880" s="1689" t="s">
        <v>3063</v>
      </c>
      <c r="F6880" s="1689"/>
      <c r="G6880" s="1689"/>
      <c r="H6880" s="1689"/>
      <c r="K6880" s="841" t="s">
        <v>6095</v>
      </c>
      <c r="M6880" s="1357"/>
      <c r="Q6880" s="1357"/>
      <c r="S6880" s="1420"/>
      <c r="T6880" s="1420"/>
      <c r="V6880" s="1357">
        <v>280</v>
      </c>
    </row>
    <row r="6881" spans="1:22" s="841" customFormat="1" ht="15" x14ac:dyDescent="0.25">
      <c r="A6881" s="841" t="s">
        <v>188</v>
      </c>
      <c r="E6881" s="1689" t="s">
        <v>3064</v>
      </c>
      <c r="F6881" s="1689"/>
      <c r="G6881" s="1689"/>
      <c r="H6881" s="1689"/>
      <c r="K6881" s="841" t="s">
        <v>6095</v>
      </c>
      <c r="M6881" s="1357"/>
      <c r="Q6881" s="1357"/>
      <c r="S6881" s="1420"/>
      <c r="T6881" s="1420"/>
      <c r="V6881" s="1357">
        <v>411</v>
      </c>
    </row>
    <row r="6882" spans="1:22" s="841" customFormat="1" ht="15" x14ac:dyDescent="0.25">
      <c r="A6882" s="841" t="s">
        <v>188</v>
      </c>
      <c r="E6882" s="1689" t="s">
        <v>3065</v>
      </c>
      <c r="F6882" s="1689"/>
      <c r="G6882" s="1689"/>
      <c r="H6882" s="1689"/>
      <c r="K6882" s="841" t="s">
        <v>6095</v>
      </c>
      <c r="M6882" s="1357"/>
      <c r="Q6882" s="1357"/>
      <c r="S6882" s="1420"/>
      <c r="T6882" s="1420"/>
      <c r="V6882" s="1357">
        <v>387</v>
      </c>
    </row>
    <row r="6883" spans="1:22" s="841" customFormat="1" ht="15" x14ac:dyDescent="0.25">
      <c r="A6883" s="841" t="s">
        <v>188</v>
      </c>
      <c r="E6883" s="2024" t="s">
        <v>5132</v>
      </c>
      <c r="F6883" s="2024"/>
      <c r="G6883" s="2024"/>
      <c r="H6883" s="2024"/>
      <c r="K6883" s="841" t="s">
        <v>6095</v>
      </c>
      <c r="M6883" s="1357"/>
      <c r="Q6883" s="1357"/>
      <c r="S6883" s="1420"/>
      <c r="T6883" s="1420"/>
      <c r="V6883" s="1357">
        <v>658</v>
      </c>
    </row>
    <row r="6884" spans="1:22" s="841" customFormat="1" ht="15" x14ac:dyDescent="0.25">
      <c r="A6884" s="841" t="s">
        <v>188</v>
      </c>
      <c r="E6884" s="1689" t="s">
        <v>3200</v>
      </c>
      <c r="F6884" s="1689"/>
      <c r="G6884" s="1689"/>
      <c r="H6884" s="1689"/>
      <c r="K6884" s="841" t="s">
        <v>6095</v>
      </c>
      <c r="M6884" s="1357"/>
      <c r="Q6884" s="1357"/>
      <c r="S6884" s="1420"/>
      <c r="T6884" s="1420"/>
      <c r="V6884" s="1357">
        <v>275</v>
      </c>
    </row>
    <row r="6885" spans="1:22" s="841" customFormat="1" ht="15" x14ac:dyDescent="0.25">
      <c r="A6885" s="841" t="s">
        <v>188</v>
      </c>
      <c r="E6885" s="1694" t="s">
        <v>3067</v>
      </c>
      <c r="F6885" s="1907"/>
      <c r="G6885" s="1907"/>
      <c r="H6885" s="1907"/>
      <c r="K6885" s="841" t="s">
        <v>3099</v>
      </c>
      <c r="M6885" s="1357"/>
      <c r="Q6885" s="1357"/>
      <c r="S6885" s="1420"/>
      <c r="T6885" s="1420"/>
      <c r="V6885" s="1357">
        <v>46</v>
      </c>
    </row>
    <row r="6886" spans="1:22" s="841" customFormat="1" ht="15" x14ac:dyDescent="0.25">
      <c r="A6886" s="841" t="s">
        <v>188</v>
      </c>
      <c r="E6886" s="1690" t="s">
        <v>11</v>
      </c>
      <c r="F6886" s="1690"/>
      <c r="G6886" s="1408" t="s">
        <v>23</v>
      </c>
      <c r="H6886" s="391">
        <v>281.64999999999998</v>
      </c>
      <c r="K6886" s="841" t="s">
        <v>6095</v>
      </c>
      <c r="L6886" s="841" t="s">
        <v>442</v>
      </c>
      <c r="M6886" s="1357"/>
      <c r="P6886" s="841" t="s">
        <v>6096</v>
      </c>
      <c r="Q6886" s="1357"/>
      <c r="S6886" s="1420"/>
      <c r="T6886" s="1420"/>
      <c r="V6886" s="1357">
        <v>14</v>
      </c>
    </row>
    <row r="6887" spans="1:22" s="841" customFormat="1" ht="15" x14ac:dyDescent="0.25">
      <c r="A6887" s="841" t="s">
        <v>188</v>
      </c>
      <c r="E6887" s="1690" t="s">
        <v>84</v>
      </c>
      <c r="F6887" s="1690"/>
      <c r="G6887" s="1408" t="s">
        <v>33</v>
      </c>
      <c r="H6887" s="393">
        <v>2.2225999999999999</v>
      </c>
      <c r="K6887" s="841" t="s">
        <v>6095</v>
      </c>
      <c r="L6887" s="841" t="s">
        <v>442</v>
      </c>
      <c r="M6887" s="1357"/>
      <c r="P6887" s="841" t="s">
        <v>6097</v>
      </c>
      <c r="Q6887" s="1357"/>
      <c r="S6887" s="1420"/>
      <c r="T6887" s="1420"/>
      <c r="V6887" s="1357">
        <v>28</v>
      </c>
    </row>
    <row r="6888" spans="1:22" s="841" customFormat="1" ht="15" x14ac:dyDescent="0.25">
      <c r="A6888" s="841" t="s">
        <v>188</v>
      </c>
      <c r="E6888" s="1690" t="s">
        <v>4167</v>
      </c>
      <c r="F6888" s="1690"/>
      <c r="G6888" s="1408" t="s">
        <v>33</v>
      </c>
      <c r="H6888" s="393">
        <v>-0.38009999999999999</v>
      </c>
      <c r="K6888" s="841" t="s">
        <v>6095</v>
      </c>
      <c r="L6888" s="841" t="s">
        <v>442</v>
      </c>
      <c r="M6888" s="1357"/>
      <c r="P6888" s="841" t="s">
        <v>6336</v>
      </c>
      <c r="Q6888" s="1357"/>
      <c r="S6888" s="1420"/>
      <c r="T6888" s="1420">
        <v>43585</v>
      </c>
      <c r="V6888" s="1357">
        <v>75</v>
      </c>
    </row>
    <row r="6889" spans="1:22" s="841" customFormat="1" ht="15" x14ac:dyDescent="0.25">
      <c r="A6889" s="841" t="s">
        <v>188</v>
      </c>
      <c r="E6889" s="1690" t="s">
        <v>4166</v>
      </c>
      <c r="F6889" s="1690"/>
      <c r="G6889" s="1408" t="s">
        <v>33</v>
      </c>
      <c r="H6889" s="393">
        <v>-0.14330000000000001</v>
      </c>
      <c r="K6889" s="841" t="s">
        <v>6095</v>
      </c>
      <c r="L6889" s="841" t="s">
        <v>442</v>
      </c>
      <c r="M6889" s="1357"/>
      <c r="P6889" s="841" t="s">
        <v>6337</v>
      </c>
      <c r="Q6889" s="1357"/>
      <c r="S6889" s="1420"/>
      <c r="T6889" s="1420">
        <v>43585</v>
      </c>
      <c r="V6889" s="1357">
        <v>88</v>
      </c>
    </row>
    <row r="6890" spans="1:22" s="841" customFormat="1" ht="15" x14ac:dyDescent="0.25">
      <c r="A6890" s="841" t="s">
        <v>188</v>
      </c>
      <c r="E6890" s="1904" t="s">
        <v>5628</v>
      </c>
      <c r="F6890" s="1904"/>
      <c r="G6890" s="1408" t="s">
        <v>33</v>
      </c>
      <c r="H6890" s="393">
        <v>0.3483</v>
      </c>
      <c r="K6890" s="841" t="s">
        <v>6095</v>
      </c>
      <c r="L6890" s="841" t="s">
        <v>442</v>
      </c>
      <c r="M6890" s="1357"/>
      <c r="P6890" s="841" t="s">
        <v>6338</v>
      </c>
      <c r="Q6890" s="1357"/>
      <c r="S6890" s="1420"/>
      <c r="T6890" s="1420"/>
      <c r="V6890" s="1357">
        <v>136</v>
      </c>
    </row>
    <row r="6891" spans="1:22" s="841" customFormat="1" ht="15" x14ac:dyDescent="0.25">
      <c r="A6891" s="841" t="s">
        <v>188</v>
      </c>
      <c r="E6891" s="1904" t="s">
        <v>5129</v>
      </c>
      <c r="F6891" s="1962"/>
      <c r="G6891" s="1408" t="s">
        <v>24</v>
      </c>
      <c r="H6891" s="393">
        <v>-3.0000000000000001E-3</v>
      </c>
      <c r="K6891" s="841" t="s">
        <v>6095</v>
      </c>
      <c r="L6891" s="841" t="s">
        <v>443</v>
      </c>
      <c r="M6891" s="1357"/>
      <c r="P6891" s="841" t="s">
        <v>6104</v>
      </c>
      <c r="Q6891" s="1357"/>
      <c r="S6891" s="1420"/>
      <c r="T6891" s="1420">
        <v>43585</v>
      </c>
      <c r="V6891" s="1357">
        <v>139</v>
      </c>
    </row>
    <row r="6892" spans="1:22" s="841" customFormat="1" ht="15" x14ac:dyDescent="0.25">
      <c r="A6892" s="841" t="s">
        <v>188</v>
      </c>
      <c r="E6892" s="1904" t="s">
        <v>5130</v>
      </c>
      <c r="F6892" s="1962"/>
      <c r="G6892" s="1408" t="s">
        <v>33</v>
      </c>
      <c r="H6892" s="393">
        <v>-5.9900000000000002E-2</v>
      </c>
      <c r="K6892" s="841" t="s">
        <v>6095</v>
      </c>
      <c r="L6892" s="841" t="s">
        <v>443</v>
      </c>
      <c r="M6892" s="1357"/>
      <c r="P6892" s="841" t="s">
        <v>6105</v>
      </c>
      <c r="Q6892" s="1357"/>
      <c r="S6892" s="1420"/>
      <c r="T6892" s="1420">
        <v>43585</v>
      </c>
      <c r="V6892" s="1357">
        <v>96</v>
      </c>
    </row>
    <row r="6893" spans="1:22" s="841" customFormat="1" ht="15" x14ac:dyDescent="0.25">
      <c r="A6893" s="841" t="s">
        <v>188</v>
      </c>
      <c r="E6893" s="1690" t="s">
        <v>5383</v>
      </c>
      <c r="F6893" s="1908"/>
      <c r="G6893" s="1408" t="s">
        <v>33</v>
      </c>
      <c r="H6893" s="393">
        <v>1.8499999999999999E-2</v>
      </c>
      <c r="K6893" s="841" t="s">
        <v>6095</v>
      </c>
      <c r="L6893" s="841" t="s">
        <v>442</v>
      </c>
      <c r="M6893" s="1357"/>
      <c r="P6893" s="841" t="s">
        <v>6213</v>
      </c>
      <c r="Q6893" s="1357"/>
      <c r="S6893" s="1420"/>
      <c r="T6893" s="1420">
        <v>43585</v>
      </c>
      <c r="V6893" s="1357">
        <v>80</v>
      </c>
    </row>
    <row r="6894" spans="1:22" s="841" customFormat="1" ht="15" x14ac:dyDescent="0.25">
      <c r="A6894" s="841" t="s">
        <v>188</v>
      </c>
      <c r="E6894" s="1690" t="s">
        <v>221</v>
      </c>
      <c r="F6894" s="1690"/>
      <c r="G6894" s="1408" t="s">
        <v>33</v>
      </c>
      <c r="H6894" s="393">
        <v>2.641</v>
      </c>
      <c r="K6894" s="841" t="s">
        <v>6095</v>
      </c>
      <c r="L6894" s="841" t="s">
        <v>444</v>
      </c>
      <c r="M6894" s="1357"/>
      <c r="P6894" s="841" t="s">
        <v>6099</v>
      </c>
      <c r="Q6894" s="1357"/>
      <c r="S6894" s="1420"/>
      <c r="T6894" s="1420"/>
      <c r="V6894" s="1357">
        <v>47</v>
      </c>
    </row>
    <row r="6895" spans="1:22" s="841" customFormat="1" ht="15" x14ac:dyDescent="0.25">
      <c r="A6895" s="841" t="s">
        <v>188</v>
      </c>
      <c r="E6895" s="1690" t="s">
        <v>217</v>
      </c>
      <c r="F6895" s="1690"/>
      <c r="G6895" s="1408" t="s">
        <v>33</v>
      </c>
      <c r="H6895" s="393">
        <v>0.56410000000000005</v>
      </c>
      <c r="K6895" s="841" t="s">
        <v>6095</v>
      </c>
      <c r="L6895" s="841" t="s">
        <v>444</v>
      </c>
      <c r="M6895" s="1357"/>
      <c r="P6895" s="841" t="s">
        <v>6100</v>
      </c>
      <c r="Q6895" s="1357"/>
      <c r="S6895" s="1420"/>
      <c r="T6895" s="1420"/>
      <c r="V6895" s="1357">
        <v>74</v>
      </c>
    </row>
    <row r="6896" spans="1:22" s="841" customFormat="1" ht="15" x14ac:dyDescent="0.25">
      <c r="A6896" s="841" t="s">
        <v>188</v>
      </c>
      <c r="E6896" s="1690" t="s">
        <v>223</v>
      </c>
      <c r="F6896" s="1690"/>
      <c r="G6896" s="1408" t="s">
        <v>33</v>
      </c>
      <c r="H6896" s="393">
        <v>2.8542999999999998</v>
      </c>
      <c r="K6896" s="841" t="s">
        <v>6095</v>
      </c>
      <c r="L6896" s="841" t="s">
        <v>444</v>
      </c>
      <c r="M6896" s="1357"/>
      <c r="P6896" s="841" t="s">
        <v>6107</v>
      </c>
      <c r="Q6896" s="1357"/>
      <c r="S6896" s="1420"/>
      <c r="T6896" s="1420"/>
      <c r="V6896" s="1357">
        <v>66</v>
      </c>
    </row>
    <row r="6897" spans="1:22" s="841" customFormat="1" ht="15" x14ac:dyDescent="0.25">
      <c r="A6897" s="841" t="s">
        <v>188</v>
      </c>
      <c r="E6897" s="1690" t="s">
        <v>219</v>
      </c>
      <c r="F6897" s="1690"/>
      <c r="G6897" s="1408" t="s">
        <v>33</v>
      </c>
      <c r="H6897" s="393">
        <v>1.3567</v>
      </c>
      <c r="K6897" s="841" t="s">
        <v>6095</v>
      </c>
      <c r="L6897" s="841" t="s">
        <v>444</v>
      </c>
      <c r="M6897" s="1357"/>
      <c r="P6897" s="841" t="s">
        <v>6108</v>
      </c>
      <c r="Q6897" s="1357"/>
      <c r="S6897" s="1420"/>
      <c r="T6897" s="1420"/>
      <c r="V6897" s="1357">
        <v>93</v>
      </c>
    </row>
    <row r="6898" spans="1:22" s="841" customFormat="1" ht="15" x14ac:dyDescent="0.25">
      <c r="A6898" s="841" t="s">
        <v>188</v>
      </c>
      <c r="E6898" s="1694" t="s">
        <v>3079</v>
      </c>
      <c r="F6898" s="1690"/>
      <c r="G6898" s="1408"/>
      <c r="H6898" s="1408"/>
      <c r="K6898" s="841" t="s">
        <v>3218</v>
      </c>
      <c r="M6898" s="1357"/>
      <c r="Q6898" s="1357"/>
      <c r="S6898" s="1420"/>
      <c r="T6898" s="1420"/>
      <c r="V6898" s="1357">
        <v>48</v>
      </c>
    </row>
    <row r="6899" spans="1:22" s="841" customFormat="1" ht="15" x14ac:dyDescent="0.25">
      <c r="A6899" s="841" t="s">
        <v>188</v>
      </c>
      <c r="E6899" s="1690" t="s">
        <v>2449</v>
      </c>
      <c r="F6899" s="1690"/>
      <c r="G6899" s="1408" t="s">
        <v>24</v>
      </c>
      <c r="H6899" s="393">
        <v>3.2000000000000002E-3</v>
      </c>
      <c r="K6899" s="841" t="s">
        <v>6095</v>
      </c>
      <c r="L6899" s="841" t="s">
        <v>3046</v>
      </c>
      <c r="M6899" s="1357"/>
      <c r="P6899" s="841" t="s">
        <v>6101</v>
      </c>
      <c r="Q6899" s="1357"/>
      <c r="S6899" s="1420"/>
      <c r="T6899" s="1420"/>
      <c r="V6899" s="1357">
        <v>55</v>
      </c>
    </row>
    <row r="6900" spans="1:22" s="841" customFormat="1" ht="15" x14ac:dyDescent="0.25">
      <c r="A6900" s="841" t="s">
        <v>188</v>
      </c>
      <c r="E6900" s="1690" t="s">
        <v>2450</v>
      </c>
      <c r="F6900" s="1690"/>
      <c r="G6900" s="1408" t="s">
        <v>24</v>
      </c>
      <c r="H6900" s="393">
        <v>4.0000000000000002E-4</v>
      </c>
      <c r="K6900" s="841" t="s">
        <v>6095</v>
      </c>
      <c r="L6900" s="841" t="s">
        <v>3046</v>
      </c>
      <c r="M6900" s="1357"/>
      <c r="P6900" s="841" t="s">
        <v>6101</v>
      </c>
      <c r="Q6900" s="1357"/>
      <c r="S6900" s="1420"/>
      <c r="T6900" s="1420"/>
      <c r="V6900" s="1357">
        <v>65</v>
      </c>
    </row>
    <row r="6901" spans="1:22" s="841" customFormat="1" ht="15" x14ac:dyDescent="0.25">
      <c r="A6901" s="841" t="s">
        <v>188</v>
      </c>
      <c r="E6901" s="1690" t="s">
        <v>439</v>
      </c>
      <c r="F6901" s="1690"/>
      <c r="G6901" s="1408" t="s">
        <v>24</v>
      </c>
      <c r="H6901" s="393">
        <v>2.9999999999999997E-4</v>
      </c>
      <c r="K6901" s="841" t="s">
        <v>6095</v>
      </c>
      <c r="L6901" s="841" t="s">
        <v>3046</v>
      </c>
      <c r="M6901" s="1357"/>
      <c r="P6901" s="841" t="s">
        <v>6102</v>
      </c>
      <c r="Q6901" s="1357"/>
      <c r="S6901" s="1420"/>
      <c r="T6901" s="1420"/>
      <c r="V6901" s="1357">
        <v>57</v>
      </c>
    </row>
    <row r="6902" spans="1:22" s="841" customFormat="1" ht="15" x14ac:dyDescent="0.25">
      <c r="A6902" s="841" t="s">
        <v>188</v>
      </c>
      <c r="E6902" s="1690" t="s">
        <v>32</v>
      </c>
      <c r="F6902" s="1690"/>
      <c r="G6902" s="1408" t="s">
        <v>23</v>
      </c>
      <c r="H6902" s="391">
        <v>0.25</v>
      </c>
      <c r="K6902" s="841" t="s">
        <v>6095</v>
      </c>
      <c r="L6902" s="841" t="s">
        <v>3046</v>
      </c>
      <c r="M6902" s="1357"/>
      <c r="P6902" s="841" t="s">
        <v>6103</v>
      </c>
      <c r="Q6902" s="1357"/>
      <c r="S6902" s="1420"/>
      <c r="T6902" s="1420"/>
      <c r="V6902" s="1357">
        <v>63</v>
      </c>
    </row>
    <row r="6903" spans="1:22" s="841" customFormat="1" x14ac:dyDescent="0.25">
      <c r="A6903" s="841" t="s">
        <v>188</v>
      </c>
      <c r="E6903" s="1909" t="s">
        <v>617</v>
      </c>
      <c r="F6903" s="1915"/>
      <c r="G6903" s="1915"/>
      <c r="H6903" s="1915"/>
      <c r="K6903" s="841" t="s">
        <v>3406</v>
      </c>
      <c r="M6903" s="1357"/>
      <c r="Q6903" s="1357"/>
      <c r="S6903" s="1420"/>
      <c r="T6903" s="1420"/>
      <c r="V6903" s="1357">
        <v>47</v>
      </c>
    </row>
    <row r="6904" spans="1:22" s="841" customFormat="1" ht="15" x14ac:dyDescent="0.25">
      <c r="A6904" s="841" t="s">
        <v>188</v>
      </c>
      <c r="E6904" s="1689" t="s">
        <v>3969</v>
      </c>
      <c r="F6904" s="1689"/>
      <c r="G6904" s="1689"/>
      <c r="H6904" s="1689"/>
      <c r="K6904" s="841" t="s">
        <v>3406</v>
      </c>
      <c r="M6904" s="1357"/>
      <c r="Q6904" s="1357"/>
      <c r="S6904" s="1420"/>
      <c r="T6904" s="1420"/>
      <c r="V6904" s="1357">
        <v>723</v>
      </c>
    </row>
    <row r="6905" spans="1:22" s="841" customFormat="1" ht="15" x14ac:dyDescent="0.25">
      <c r="A6905" s="841" t="s">
        <v>188</v>
      </c>
      <c r="E6905" s="1916" t="s">
        <v>3061</v>
      </c>
      <c r="F6905" s="1697"/>
      <c r="G6905" s="1697"/>
      <c r="H6905" s="1697"/>
      <c r="K6905" s="841" t="s">
        <v>3221</v>
      </c>
      <c r="M6905" s="1357"/>
      <c r="Q6905" s="1357"/>
      <c r="S6905" s="1420"/>
      <c r="T6905" s="1420"/>
      <c r="V6905" s="1357">
        <v>11</v>
      </c>
    </row>
    <row r="6906" spans="1:22" s="841" customFormat="1" ht="15" x14ac:dyDescent="0.25">
      <c r="A6906" s="841" t="s">
        <v>188</v>
      </c>
      <c r="E6906" s="1689" t="s">
        <v>3063</v>
      </c>
      <c r="F6906" s="1689"/>
      <c r="G6906" s="1689"/>
      <c r="H6906" s="1689"/>
      <c r="K6906" s="841" t="s">
        <v>3406</v>
      </c>
      <c r="M6906" s="1357"/>
      <c r="Q6906" s="1357"/>
      <c r="S6906" s="1420"/>
      <c r="T6906" s="1420"/>
      <c r="V6906" s="1357">
        <v>280</v>
      </c>
    </row>
    <row r="6907" spans="1:22" s="841" customFormat="1" ht="15" x14ac:dyDescent="0.25">
      <c r="A6907" s="841" t="s">
        <v>188</v>
      </c>
      <c r="E6907" s="1689" t="s">
        <v>3064</v>
      </c>
      <c r="F6907" s="1689"/>
      <c r="G6907" s="1689"/>
      <c r="H6907" s="1689"/>
      <c r="K6907" s="841" t="s">
        <v>3406</v>
      </c>
      <c r="M6907" s="1357"/>
      <c r="Q6907" s="1357"/>
      <c r="S6907" s="1420"/>
      <c r="T6907" s="1420"/>
      <c r="V6907" s="1357">
        <v>411</v>
      </c>
    </row>
    <row r="6908" spans="1:22" s="841" customFormat="1" ht="15" x14ac:dyDescent="0.25">
      <c r="A6908" s="841" t="s">
        <v>188</v>
      </c>
      <c r="E6908" s="1689" t="s">
        <v>3065</v>
      </c>
      <c r="F6908" s="1689"/>
      <c r="G6908" s="1689"/>
      <c r="H6908" s="1689"/>
      <c r="K6908" s="841" t="s">
        <v>3406</v>
      </c>
      <c r="M6908" s="1357"/>
      <c r="Q6908" s="1357"/>
      <c r="S6908" s="1420"/>
      <c r="T6908" s="1420"/>
      <c r="V6908" s="1357">
        <v>387</v>
      </c>
    </row>
    <row r="6909" spans="1:22" s="841" customFormat="1" ht="15" x14ac:dyDescent="0.25">
      <c r="A6909" s="841" t="s">
        <v>188</v>
      </c>
      <c r="E6909" s="1689" t="s">
        <v>3200</v>
      </c>
      <c r="F6909" s="1689"/>
      <c r="G6909" s="1689"/>
      <c r="H6909" s="1689"/>
      <c r="K6909" s="841" t="s">
        <v>3406</v>
      </c>
      <c r="M6909" s="1357"/>
      <c r="Q6909" s="1357"/>
      <c r="S6909" s="1420"/>
      <c r="T6909" s="1420"/>
      <c r="V6909" s="1357">
        <v>275</v>
      </c>
    </row>
    <row r="6910" spans="1:22" s="841" customFormat="1" ht="15" x14ac:dyDescent="0.25">
      <c r="A6910" s="841" t="s">
        <v>188</v>
      </c>
      <c r="E6910" s="1694" t="s">
        <v>3067</v>
      </c>
      <c r="F6910" s="1907"/>
      <c r="G6910" s="1907"/>
      <c r="H6910" s="1907"/>
      <c r="K6910" s="841" t="s">
        <v>3224</v>
      </c>
      <c r="M6910" s="1357"/>
      <c r="Q6910" s="1357"/>
      <c r="S6910" s="1420"/>
      <c r="T6910" s="1420"/>
      <c r="V6910" s="1357">
        <v>46</v>
      </c>
    </row>
    <row r="6911" spans="1:22" s="841" customFormat="1" ht="15" x14ac:dyDescent="0.25">
      <c r="A6911" s="841" t="s">
        <v>188</v>
      </c>
      <c r="E6911" s="1690" t="s">
        <v>13</v>
      </c>
      <c r="F6911" s="1690"/>
      <c r="G6911" s="1408" t="s">
        <v>23</v>
      </c>
      <c r="H6911" s="391">
        <v>21.2</v>
      </c>
      <c r="K6911" s="841" t="s">
        <v>3406</v>
      </c>
      <c r="L6911" s="841" t="s">
        <v>442</v>
      </c>
      <c r="M6911" s="1357"/>
      <c r="P6911" s="841" t="s">
        <v>3408</v>
      </c>
      <c r="Q6911" s="1357"/>
      <c r="S6911" s="1420"/>
      <c r="T6911" s="1420"/>
      <c r="V6911" s="1357">
        <v>29</v>
      </c>
    </row>
    <row r="6912" spans="1:22" s="841" customFormat="1" ht="15" x14ac:dyDescent="0.25">
      <c r="A6912" s="841" t="s">
        <v>188</v>
      </c>
      <c r="E6912" s="1690" t="s">
        <v>84</v>
      </c>
      <c r="F6912" s="1690"/>
      <c r="G6912" s="1408" t="s">
        <v>24</v>
      </c>
      <c r="H6912" s="393">
        <v>6.4000000000000003E-3</v>
      </c>
      <c r="K6912" s="841" t="s">
        <v>3406</v>
      </c>
      <c r="L6912" s="841" t="s">
        <v>442</v>
      </c>
      <c r="M6912" s="1357"/>
      <c r="P6912" s="841" t="s">
        <v>3409</v>
      </c>
      <c r="Q6912" s="1357"/>
      <c r="S6912" s="1420"/>
      <c r="T6912" s="1420"/>
      <c r="V6912" s="1357">
        <v>28</v>
      </c>
    </row>
    <row r="6913" spans="1:22" s="841" customFormat="1" ht="15" x14ac:dyDescent="0.25">
      <c r="A6913" s="841" t="s">
        <v>188</v>
      </c>
      <c r="E6913" s="1690" t="s">
        <v>4167</v>
      </c>
      <c r="F6913" s="1690"/>
      <c r="G6913" s="1408" t="s">
        <v>24</v>
      </c>
      <c r="H6913" s="393">
        <v>-1E-3</v>
      </c>
      <c r="K6913" s="841" t="s">
        <v>3406</v>
      </c>
      <c r="L6913" s="841" t="s">
        <v>442</v>
      </c>
      <c r="M6913" s="1357"/>
      <c r="P6913" s="841" t="s">
        <v>6339</v>
      </c>
      <c r="Q6913" s="1357"/>
      <c r="S6913" s="1420"/>
      <c r="T6913" s="1420">
        <v>43585</v>
      </c>
      <c r="V6913" s="1357">
        <v>75</v>
      </c>
    </row>
    <row r="6914" spans="1:22" s="841" customFormat="1" ht="15" x14ac:dyDescent="0.25">
      <c r="A6914" s="841" t="s">
        <v>188</v>
      </c>
      <c r="E6914" s="1690" t="s">
        <v>4166</v>
      </c>
      <c r="F6914" s="1690"/>
      <c r="G6914" s="1408" t="s">
        <v>24</v>
      </c>
      <c r="H6914" s="393">
        <v>-4.0000000000000002E-4</v>
      </c>
      <c r="K6914" s="841" t="s">
        <v>3406</v>
      </c>
      <c r="L6914" s="841" t="s">
        <v>442</v>
      </c>
      <c r="M6914" s="1357"/>
      <c r="P6914" s="841" t="s">
        <v>6340</v>
      </c>
      <c r="Q6914" s="1357"/>
      <c r="S6914" s="1420"/>
      <c r="T6914" s="1420">
        <v>43585</v>
      </c>
      <c r="V6914" s="1357">
        <v>88</v>
      </c>
    </row>
    <row r="6915" spans="1:22" s="841" customFormat="1" ht="15" x14ac:dyDescent="0.25">
      <c r="A6915" s="841" t="s">
        <v>188</v>
      </c>
      <c r="E6915" s="1904" t="s">
        <v>5628</v>
      </c>
      <c r="F6915" s="1904"/>
      <c r="G6915" s="1408" t="s">
        <v>24</v>
      </c>
      <c r="H6915" s="393">
        <v>5.0000000000000001E-4</v>
      </c>
      <c r="K6915" s="841" t="s">
        <v>3406</v>
      </c>
      <c r="L6915" s="841" t="s">
        <v>442</v>
      </c>
      <c r="M6915" s="1357"/>
      <c r="P6915" s="841" t="s">
        <v>6341</v>
      </c>
      <c r="Q6915" s="1357"/>
      <c r="S6915" s="1420"/>
      <c r="T6915" s="1420"/>
      <c r="V6915" s="1357">
        <v>136</v>
      </c>
    </row>
    <row r="6916" spans="1:22" s="841" customFormat="1" ht="15" x14ac:dyDescent="0.25">
      <c r="A6916" s="841" t="s">
        <v>188</v>
      </c>
      <c r="E6916" s="1904" t="s">
        <v>5130</v>
      </c>
      <c r="F6916" s="1962"/>
      <c r="G6916" s="1408" t="s">
        <v>24</v>
      </c>
      <c r="H6916" s="393">
        <v>1.2999999999999999E-3</v>
      </c>
      <c r="K6916" s="841" t="s">
        <v>3406</v>
      </c>
      <c r="L6916" s="841" t="s">
        <v>443</v>
      </c>
      <c r="M6916" s="1357"/>
      <c r="P6916" s="841" t="s">
        <v>3411</v>
      </c>
      <c r="Q6916" s="1357"/>
      <c r="S6916" s="1420"/>
      <c r="T6916" s="1420">
        <v>43585</v>
      </c>
      <c r="V6916" s="1357">
        <v>96</v>
      </c>
    </row>
    <row r="6917" spans="1:22" s="841" customFormat="1" ht="15" x14ac:dyDescent="0.25">
      <c r="A6917" s="841" t="s">
        <v>188</v>
      </c>
      <c r="E6917" s="1690" t="s">
        <v>5383</v>
      </c>
      <c r="F6917" s="1908"/>
      <c r="G6917" s="1408" t="s">
        <v>24</v>
      </c>
      <c r="H6917" s="393">
        <v>2.0000000000000001E-4</v>
      </c>
      <c r="K6917" s="841" t="s">
        <v>3406</v>
      </c>
      <c r="L6917" s="841" t="s">
        <v>442</v>
      </c>
      <c r="M6917" s="1357"/>
      <c r="P6917" s="841" t="s">
        <v>4147</v>
      </c>
      <c r="Q6917" s="1357"/>
      <c r="S6917" s="1420"/>
      <c r="T6917" s="1420">
        <v>43585</v>
      </c>
      <c r="V6917" s="1357">
        <v>80</v>
      </c>
    </row>
    <row r="6918" spans="1:22" s="841" customFormat="1" ht="15" x14ac:dyDescent="0.25">
      <c r="A6918" s="841" t="s">
        <v>188</v>
      </c>
      <c r="E6918" s="1690" t="s">
        <v>221</v>
      </c>
      <c r="F6918" s="1690"/>
      <c r="G6918" s="1408" t="s">
        <v>24</v>
      </c>
      <c r="H6918" s="393">
        <v>6.4999999999999997E-3</v>
      </c>
      <c r="K6918" s="841" t="s">
        <v>3406</v>
      </c>
      <c r="L6918" s="841" t="s">
        <v>444</v>
      </c>
      <c r="M6918" s="1357"/>
      <c r="P6918" s="841" t="s">
        <v>3412</v>
      </c>
      <c r="Q6918" s="1357"/>
      <c r="S6918" s="1420"/>
      <c r="T6918" s="1420"/>
      <c r="V6918" s="1357">
        <v>47</v>
      </c>
    </row>
    <row r="6919" spans="1:22" s="841" customFormat="1" ht="15" x14ac:dyDescent="0.25">
      <c r="A6919" s="841" t="s">
        <v>188</v>
      </c>
      <c r="E6919" s="1690" t="s">
        <v>217</v>
      </c>
      <c r="F6919" s="1690"/>
      <c r="G6919" s="1408" t="s">
        <v>24</v>
      </c>
      <c r="H6919" s="393">
        <v>1.6999999999999999E-3</v>
      </c>
      <c r="K6919" s="841" t="s">
        <v>3406</v>
      </c>
      <c r="L6919" s="841" t="s">
        <v>444</v>
      </c>
      <c r="M6919" s="1357"/>
      <c r="P6919" s="841" t="s">
        <v>3413</v>
      </c>
      <c r="Q6919" s="1357"/>
      <c r="S6919" s="1420"/>
      <c r="T6919" s="1420"/>
      <c r="V6919" s="1357">
        <v>74</v>
      </c>
    </row>
    <row r="6920" spans="1:22" s="841" customFormat="1" ht="15" x14ac:dyDescent="0.25">
      <c r="A6920" s="841" t="s">
        <v>188</v>
      </c>
      <c r="E6920" s="1694" t="s">
        <v>3079</v>
      </c>
      <c r="F6920" s="1690"/>
      <c r="G6920" s="1408"/>
      <c r="H6920" s="1408"/>
      <c r="K6920" s="841" t="s">
        <v>3225</v>
      </c>
      <c r="M6920" s="1357"/>
      <c r="Q6920" s="1357"/>
      <c r="S6920" s="1420"/>
      <c r="T6920" s="1420"/>
      <c r="V6920" s="1357">
        <v>48</v>
      </c>
    </row>
    <row r="6921" spans="1:22" s="841" customFormat="1" ht="15" x14ac:dyDescent="0.25">
      <c r="A6921" s="841" t="s">
        <v>188</v>
      </c>
      <c r="E6921" s="1690" t="s">
        <v>2449</v>
      </c>
      <c r="F6921" s="1690"/>
      <c r="G6921" s="1408" t="s">
        <v>24</v>
      </c>
      <c r="H6921" s="393">
        <v>3.2000000000000002E-3</v>
      </c>
      <c r="K6921" s="841" t="s">
        <v>3406</v>
      </c>
      <c r="L6921" s="841" t="s">
        <v>3046</v>
      </c>
      <c r="M6921" s="1357"/>
      <c r="P6921" s="841" t="s">
        <v>3414</v>
      </c>
      <c r="Q6921" s="1357"/>
      <c r="S6921" s="1420"/>
      <c r="T6921" s="1420"/>
      <c r="V6921" s="1357">
        <v>55</v>
      </c>
    </row>
    <row r="6922" spans="1:22" s="841" customFormat="1" ht="15" x14ac:dyDescent="0.25">
      <c r="A6922" s="841" t="s">
        <v>188</v>
      </c>
      <c r="E6922" s="1690" t="s">
        <v>2450</v>
      </c>
      <c r="F6922" s="1690"/>
      <c r="G6922" s="1408" t="s">
        <v>24</v>
      </c>
      <c r="H6922" s="393">
        <v>4.0000000000000002E-4</v>
      </c>
      <c r="K6922" s="841" t="s">
        <v>3406</v>
      </c>
      <c r="L6922" s="841" t="s">
        <v>3046</v>
      </c>
      <c r="M6922" s="1357"/>
      <c r="P6922" s="841" t="s">
        <v>3414</v>
      </c>
      <c r="Q6922" s="1357"/>
      <c r="S6922" s="1420"/>
      <c r="T6922" s="1420"/>
      <c r="V6922" s="1357">
        <v>65</v>
      </c>
    </row>
    <row r="6923" spans="1:22" s="841" customFormat="1" ht="15" x14ac:dyDescent="0.25">
      <c r="A6923" s="841" t="s">
        <v>188</v>
      </c>
      <c r="E6923" s="1690" t="s">
        <v>439</v>
      </c>
      <c r="F6923" s="1690"/>
      <c r="G6923" s="1408" t="s">
        <v>24</v>
      </c>
      <c r="H6923" s="393">
        <v>2.9999999999999997E-4</v>
      </c>
      <c r="K6923" s="841" t="s">
        <v>3406</v>
      </c>
      <c r="L6923" s="841" t="s">
        <v>3046</v>
      </c>
      <c r="M6923" s="1357"/>
      <c r="P6923" s="841" t="s">
        <v>3415</v>
      </c>
      <c r="Q6923" s="1357"/>
      <c r="S6923" s="1420"/>
      <c r="T6923" s="1420"/>
      <c r="V6923" s="1357">
        <v>57</v>
      </c>
    </row>
    <row r="6924" spans="1:22" s="841" customFormat="1" ht="15" x14ac:dyDescent="0.25">
      <c r="A6924" s="841" t="s">
        <v>188</v>
      </c>
      <c r="E6924" s="1690" t="s">
        <v>32</v>
      </c>
      <c r="F6924" s="1690"/>
      <c r="G6924" s="1408" t="s">
        <v>23</v>
      </c>
      <c r="H6924" s="391">
        <v>0.25</v>
      </c>
      <c r="K6924" s="841" t="s">
        <v>3406</v>
      </c>
      <c r="L6924" s="841" t="s">
        <v>3046</v>
      </c>
      <c r="M6924" s="1357"/>
      <c r="P6924" s="841" t="s">
        <v>3416</v>
      </c>
      <c r="Q6924" s="1357"/>
      <c r="S6924" s="1420"/>
      <c r="T6924" s="1420"/>
      <c r="V6924" s="1357">
        <v>63</v>
      </c>
    </row>
    <row r="6925" spans="1:22" s="841" customFormat="1" x14ac:dyDescent="0.25">
      <c r="A6925" s="841" t="s">
        <v>188</v>
      </c>
      <c r="E6925" s="1909" t="s">
        <v>615</v>
      </c>
      <c r="F6925" s="1915"/>
      <c r="G6925" s="1915"/>
      <c r="H6925" s="1915"/>
      <c r="K6925" s="841" t="s">
        <v>3417</v>
      </c>
      <c r="M6925" s="1357"/>
      <c r="Q6925" s="1357"/>
      <c r="S6925" s="1420"/>
      <c r="T6925" s="1420"/>
      <c r="V6925" s="1357">
        <v>38</v>
      </c>
    </row>
    <row r="6926" spans="1:22" s="841" customFormat="1" ht="15" x14ac:dyDescent="0.25">
      <c r="A6926" s="841" t="s">
        <v>188</v>
      </c>
      <c r="E6926" s="1689" t="s">
        <v>4170</v>
      </c>
      <c r="F6926" s="1689"/>
      <c r="G6926" s="1689"/>
      <c r="H6926" s="1689"/>
      <c r="K6926" s="841" t="s">
        <v>3417</v>
      </c>
      <c r="M6926" s="1357"/>
      <c r="Q6926" s="1357"/>
      <c r="S6926" s="1420"/>
      <c r="T6926" s="1420"/>
      <c r="V6926" s="1357">
        <v>523</v>
      </c>
    </row>
    <row r="6927" spans="1:22" s="841" customFormat="1" ht="15" x14ac:dyDescent="0.25">
      <c r="A6927" s="841" t="s">
        <v>188</v>
      </c>
      <c r="E6927" s="1916" t="s">
        <v>3061</v>
      </c>
      <c r="F6927" s="1697"/>
      <c r="G6927" s="1697"/>
      <c r="H6927" s="1697"/>
      <c r="K6927" s="841" t="s">
        <v>3107</v>
      </c>
      <c r="M6927" s="1357"/>
      <c r="Q6927" s="1357"/>
      <c r="S6927" s="1420"/>
      <c r="T6927" s="1420"/>
      <c r="V6927" s="1357">
        <v>11</v>
      </c>
    </row>
    <row r="6928" spans="1:22" s="841" customFormat="1" ht="15" x14ac:dyDescent="0.25">
      <c r="A6928" s="841" t="s">
        <v>188</v>
      </c>
      <c r="E6928" s="1689" t="s">
        <v>3063</v>
      </c>
      <c r="F6928" s="1689"/>
      <c r="G6928" s="1689"/>
      <c r="H6928" s="1689"/>
      <c r="K6928" s="841" t="s">
        <v>3417</v>
      </c>
      <c r="M6928" s="1357"/>
      <c r="Q6928" s="1357"/>
      <c r="S6928" s="1420"/>
      <c r="T6928" s="1420"/>
      <c r="V6928" s="1357">
        <v>280</v>
      </c>
    </row>
    <row r="6929" spans="1:22" s="841" customFormat="1" ht="15" x14ac:dyDescent="0.25">
      <c r="A6929" s="841" t="s">
        <v>188</v>
      </c>
      <c r="E6929" s="1689" t="s">
        <v>3064</v>
      </c>
      <c r="F6929" s="1689"/>
      <c r="G6929" s="1689"/>
      <c r="H6929" s="1689"/>
      <c r="K6929" s="841" t="s">
        <v>3417</v>
      </c>
      <c r="M6929" s="1357"/>
      <c r="Q6929" s="1357"/>
      <c r="S6929" s="1420"/>
      <c r="T6929" s="1420"/>
      <c r="V6929" s="1357">
        <v>411</v>
      </c>
    </row>
    <row r="6930" spans="1:22" s="841" customFormat="1" ht="15" x14ac:dyDescent="0.25">
      <c r="A6930" s="841" t="s">
        <v>188</v>
      </c>
      <c r="E6930" s="1689" t="s">
        <v>3065</v>
      </c>
      <c r="F6930" s="1689"/>
      <c r="G6930" s="1689"/>
      <c r="H6930" s="1689"/>
      <c r="K6930" s="841" t="s">
        <v>3417</v>
      </c>
      <c r="M6930" s="1357"/>
      <c r="Q6930" s="1357"/>
      <c r="S6930" s="1420"/>
      <c r="T6930" s="1420"/>
      <c r="V6930" s="1357">
        <v>387</v>
      </c>
    </row>
    <row r="6931" spans="1:22" s="841" customFormat="1" ht="15" x14ac:dyDescent="0.25">
      <c r="A6931" s="841" t="s">
        <v>188</v>
      </c>
      <c r="E6931" s="1689" t="s">
        <v>3200</v>
      </c>
      <c r="F6931" s="1689"/>
      <c r="G6931" s="1689"/>
      <c r="H6931" s="1689"/>
      <c r="K6931" s="841" t="s">
        <v>3417</v>
      </c>
      <c r="M6931" s="1357"/>
      <c r="Q6931" s="1357"/>
      <c r="S6931" s="1420"/>
      <c r="T6931" s="1420"/>
      <c r="V6931" s="1357">
        <v>275</v>
      </c>
    </row>
    <row r="6932" spans="1:22" s="841" customFormat="1" ht="15" x14ac:dyDescent="0.25">
      <c r="A6932" s="841" t="s">
        <v>188</v>
      </c>
      <c r="E6932" s="1694" t="s">
        <v>3067</v>
      </c>
      <c r="F6932" s="1907"/>
      <c r="G6932" s="1907"/>
      <c r="H6932" s="1907"/>
      <c r="K6932" s="841" t="s">
        <v>3108</v>
      </c>
      <c r="M6932" s="1357"/>
      <c r="Q6932" s="1357"/>
      <c r="S6932" s="1420"/>
      <c r="T6932" s="1420"/>
      <c r="V6932" s="1357">
        <v>46</v>
      </c>
    </row>
    <row r="6933" spans="1:22" s="841" customFormat="1" ht="15" x14ac:dyDescent="0.25">
      <c r="A6933" s="841" t="s">
        <v>188</v>
      </c>
      <c r="E6933" s="1690" t="s">
        <v>12</v>
      </c>
      <c r="F6933" s="1690"/>
      <c r="G6933" s="1408" t="s">
        <v>23</v>
      </c>
      <c r="H6933" s="391">
        <v>7.85</v>
      </c>
      <c r="K6933" s="841" t="s">
        <v>3417</v>
      </c>
      <c r="L6933" s="841" t="s">
        <v>442</v>
      </c>
      <c r="M6933" s="1357"/>
      <c r="P6933" s="841" t="s">
        <v>3419</v>
      </c>
      <c r="Q6933" s="1357"/>
      <c r="S6933" s="1420"/>
      <c r="T6933" s="1420"/>
      <c r="V6933" s="1357">
        <v>31</v>
      </c>
    </row>
    <row r="6934" spans="1:22" s="841" customFormat="1" ht="15" x14ac:dyDescent="0.25">
      <c r="A6934" s="841" t="s">
        <v>188</v>
      </c>
      <c r="E6934" s="1690" t="s">
        <v>84</v>
      </c>
      <c r="F6934" s="1690"/>
      <c r="G6934" s="1408" t="s">
        <v>33</v>
      </c>
      <c r="H6934" s="393">
        <v>30.6934</v>
      </c>
      <c r="K6934" s="841" t="s">
        <v>3417</v>
      </c>
      <c r="L6934" s="841" t="s">
        <v>442</v>
      </c>
      <c r="M6934" s="1357"/>
      <c r="P6934" s="841" t="s">
        <v>3420</v>
      </c>
      <c r="Q6934" s="1357"/>
      <c r="S6934" s="1420"/>
      <c r="T6934" s="1420"/>
      <c r="V6934" s="1357">
        <v>28</v>
      </c>
    </row>
    <row r="6935" spans="1:22" s="841" customFormat="1" ht="15" x14ac:dyDescent="0.25">
      <c r="A6935" s="841" t="s">
        <v>188</v>
      </c>
      <c r="E6935" s="1904" t="s">
        <v>5129</v>
      </c>
      <c r="F6935" s="1962"/>
      <c r="G6935" s="1408" t="s">
        <v>24</v>
      </c>
      <c r="H6935" s="393">
        <v>-3.0000000000000001E-3</v>
      </c>
      <c r="K6935" s="841" t="s">
        <v>3417</v>
      </c>
      <c r="L6935" s="841" t="s">
        <v>443</v>
      </c>
      <c r="M6935" s="1357"/>
      <c r="P6935" s="841" t="s">
        <v>3421</v>
      </c>
      <c r="Q6935" s="1357"/>
      <c r="S6935" s="1420"/>
      <c r="T6935" s="1420">
        <v>43585</v>
      </c>
      <c r="V6935" s="1357">
        <v>139</v>
      </c>
    </row>
    <row r="6936" spans="1:22" s="841" customFormat="1" ht="15" x14ac:dyDescent="0.25">
      <c r="A6936" s="841" t="s">
        <v>188</v>
      </c>
      <c r="E6936" s="1690" t="s">
        <v>5130</v>
      </c>
      <c r="F6936" s="1908"/>
      <c r="G6936" s="1408" t="s">
        <v>33</v>
      </c>
      <c r="H6936" s="393">
        <v>-2.3300000000000001E-2</v>
      </c>
      <c r="K6936" s="841" t="s">
        <v>3417</v>
      </c>
      <c r="L6936" s="841" t="s">
        <v>443</v>
      </c>
      <c r="M6936" s="1357"/>
      <c r="P6936" s="841" t="s">
        <v>3423</v>
      </c>
      <c r="Q6936" s="1357"/>
      <c r="S6936" s="1420"/>
      <c r="T6936" s="1420">
        <v>43585</v>
      </c>
      <c r="V6936" s="1357">
        <v>96</v>
      </c>
    </row>
    <row r="6937" spans="1:22" s="841" customFormat="1" ht="15" x14ac:dyDescent="0.25">
      <c r="A6937" s="841" t="s">
        <v>188</v>
      </c>
      <c r="E6937" s="1690" t="s">
        <v>4167</v>
      </c>
      <c r="F6937" s="1690"/>
      <c r="G6937" s="1408" t="s">
        <v>33</v>
      </c>
      <c r="H6937" s="393">
        <v>-0.35110000000000002</v>
      </c>
      <c r="K6937" s="841" t="s">
        <v>3417</v>
      </c>
      <c r="L6937" s="841" t="s">
        <v>442</v>
      </c>
      <c r="M6937" s="1357"/>
      <c r="P6937" s="841" t="s">
        <v>6342</v>
      </c>
      <c r="Q6937" s="1357"/>
      <c r="S6937" s="1420"/>
      <c r="T6937" s="1420">
        <v>43585</v>
      </c>
      <c r="V6937" s="1357">
        <v>75</v>
      </c>
    </row>
    <row r="6938" spans="1:22" s="841" customFormat="1" ht="15" x14ac:dyDescent="0.25">
      <c r="A6938" s="841" t="s">
        <v>188</v>
      </c>
      <c r="E6938" s="1690" t="s">
        <v>4166</v>
      </c>
      <c r="F6938" s="1690"/>
      <c r="G6938" s="1408" t="s">
        <v>33</v>
      </c>
      <c r="H6938" s="393">
        <v>-0.13239999999999999</v>
      </c>
      <c r="K6938" s="841" t="s">
        <v>3417</v>
      </c>
      <c r="L6938" s="841" t="s">
        <v>442</v>
      </c>
      <c r="M6938" s="1357"/>
      <c r="P6938" s="841" t="s">
        <v>6343</v>
      </c>
      <c r="Q6938" s="1357"/>
      <c r="S6938" s="1420"/>
      <c r="T6938" s="1420">
        <v>43585</v>
      </c>
      <c r="V6938" s="1357">
        <v>88</v>
      </c>
    </row>
    <row r="6939" spans="1:22" s="841" customFormat="1" ht="15" x14ac:dyDescent="0.25">
      <c r="A6939" s="841" t="s">
        <v>188</v>
      </c>
      <c r="E6939" s="1690" t="s">
        <v>5383</v>
      </c>
      <c r="F6939" s="1908"/>
      <c r="G6939" s="1408" t="s">
        <v>33</v>
      </c>
      <c r="H6939" s="393">
        <v>0.55720000000000003</v>
      </c>
      <c r="K6939" s="841" t="s">
        <v>3417</v>
      </c>
      <c r="L6939" s="841" t="s">
        <v>442</v>
      </c>
      <c r="M6939" s="1357"/>
      <c r="P6939" s="841" t="s">
        <v>4172</v>
      </c>
      <c r="Q6939" s="1357"/>
      <c r="S6939" s="1420"/>
      <c r="T6939" s="1420">
        <v>43585</v>
      </c>
      <c r="V6939" s="1357">
        <v>80</v>
      </c>
    </row>
    <row r="6940" spans="1:22" s="841" customFormat="1" ht="15" x14ac:dyDescent="0.25">
      <c r="A6940" s="841" t="s">
        <v>188</v>
      </c>
      <c r="E6940" s="1690" t="s">
        <v>221</v>
      </c>
      <c r="F6940" s="1690"/>
      <c r="G6940" s="1408" t="s">
        <v>33</v>
      </c>
      <c r="H6940" s="393">
        <v>1.9914000000000001</v>
      </c>
      <c r="K6940" s="841" t="s">
        <v>3417</v>
      </c>
      <c r="L6940" s="841" t="s">
        <v>444</v>
      </c>
      <c r="M6940" s="1357"/>
      <c r="P6940" s="841" t="s">
        <v>3424</v>
      </c>
      <c r="Q6940" s="1357"/>
      <c r="S6940" s="1420"/>
      <c r="T6940" s="1420"/>
      <c r="V6940" s="1357">
        <v>47</v>
      </c>
    </row>
    <row r="6941" spans="1:22" s="841" customFormat="1" ht="15" x14ac:dyDescent="0.25">
      <c r="A6941" s="841" t="s">
        <v>188</v>
      </c>
      <c r="E6941" s="1690" t="s">
        <v>217</v>
      </c>
      <c r="F6941" s="1690"/>
      <c r="G6941" s="1408" t="s">
        <v>33</v>
      </c>
      <c r="H6941" s="393">
        <v>0.43609999999999999</v>
      </c>
      <c r="K6941" s="841" t="s">
        <v>3417</v>
      </c>
      <c r="L6941" s="841" t="s">
        <v>444</v>
      </c>
      <c r="M6941" s="1357"/>
      <c r="P6941" s="841" t="s">
        <v>3553</v>
      </c>
      <c r="Q6941" s="1357"/>
      <c r="S6941" s="1420"/>
      <c r="T6941" s="1420"/>
      <c r="V6941" s="1357">
        <v>74</v>
      </c>
    </row>
    <row r="6942" spans="1:22" s="841" customFormat="1" ht="15" x14ac:dyDescent="0.25">
      <c r="A6942" s="841" t="s">
        <v>188</v>
      </c>
      <c r="E6942" s="1694" t="s">
        <v>3079</v>
      </c>
      <c r="F6942" s="1690"/>
      <c r="G6942" s="1408"/>
      <c r="H6942" s="1408"/>
      <c r="K6942" s="841" t="s">
        <v>3111</v>
      </c>
      <c r="M6942" s="1357"/>
      <c r="Q6942" s="1357"/>
      <c r="S6942" s="1420"/>
      <c r="T6942" s="1420"/>
      <c r="V6942" s="1357">
        <v>48</v>
      </c>
    </row>
    <row r="6943" spans="1:22" s="841" customFormat="1" ht="15" x14ac:dyDescent="0.25">
      <c r="A6943" s="841" t="s">
        <v>188</v>
      </c>
      <c r="E6943" s="1690" t="s">
        <v>2449</v>
      </c>
      <c r="F6943" s="1690"/>
      <c r="G6943" s="1408" t="s">
        <v>24</v>
      </c>
      <c r="H6943" s="393">
        <v>3.2000000000000002E-3</v>
      </c>
      <c r="K6943" s="841" t="s">
        <v>3417</v>
      </c>
      <c r="L6943" s="841" t="s">
        <v>3046</v>
      </c>
      <c r="M6943" s="1357"/>
      <c r="P6943" s="841" t="s">
        <v>3426</v>
      </c>
      <c r="Q6943" s="1357"/>
      <c r="S6943" s="1420"/>
      <c r="T6943" s="1420"/>
      <c r="V6943" s="1357">
        <v>55</v>
      </c>
    </row>
    <row r="6944" spans="1:22" s="841" customFormat="1" ht="15" x14ac:dyDescent="0.25">
      <c r="A6944" s="841" t="s">
        <v>188</v>
      </c>
      <c r="E6944" s="1690" t="s">
        <v>2450</v>
      </c>
      <c r="F6944" s="1690"/>
      <c r="G6944" s="1408" t="s">
        <v>24</v>
      </c>
      <c r="H6944" s="393">
        <v>4.0000000000000002E-4</v>
      </c>
      <c r="K6944" s="841" t="s">
        <v>3417</v>
      </c>
      <c r="L6944" s="841" t="s">
        <v>3046</v>
      </c>
      <c r="M6944" s="1357"/>
      <c r="P6944" s="841" t="s">
        <v>3426</v>
      </c>
      <c r="Q6944" s="1357"/>
      <c r="S6944" s="1420"/>
      <c r="T6944" s="1420"/>
      <c r="V6944" s="1357">
        <v>65</v>
      </c>
    </row>
    <row r="6945" spans="1:22" s="841" customFormat="1" ht="15" x14ac:dyDescent="0.25">
      <c r="A6945" s="841" t="s">
        <v>188</v>
      </c>
      <c r="E6945" s="1690" t="s">
        <v>439</v>
      </c>
      <c r="F6945" s="1690"/>
      <c r="G6945" s="1408" t="s">
        <v>24</v>
      </c>
      <c r="H6945" s="393">
        <v>2.9999999999999997E-4</v>
      </c>
      <c r="K6945" s="841" t="s">
        <v>3417</v>
      </c>
      <c r="L6945" s="841" t="s">
        <v>3046</v>
      </c>
      <c r="M6945" s="1357"/>
      <c r="P6945" s="841" t="s">
        <v>3427</v>
      </c>
      <c r="Q6945" s="1357"/>
      <c r="S6945" s="1420"/>
      <c r="T6945" s="1420"/>
      <c r="V6945" s="1357">
        <v>57</v>
      </c>
    </row>
    <row r="6946" spans="1:22" s="841" customFormat="1" ht="15" x14ac:dyDescent="0.25">
      <c r="A6946" s="841" t="s">
        <v>188</v>
      </c>
      <c r="E6946" s="1690" t="s">
        <v>32</v>
      </c>
      <c r="F6946" s="1690"/>
      <c r="G6946" s="1408" t="s">
        <v>23</v>
      </c>
      <c r="H6946" s="391">
        <v>0.25</v>
      </c>
      <c r="K6946" s="841" t="s">
        <v>3417</v>
      </c>
      <c r="L6946" s="841" t="s">
        <v>3046</v>
      </c>
      <c r="M6946" s="1357"/>
      <c r="P6946" s="841" t="s">
        <v>3428</v>
      </c>
      <c r="Q6946" s="1357"/>
      <c r="S6946" s="1420"/>
      <c r="T6946" s="1420"/>
      <c r="V6946" s="1357">
        <v>63</v>
      </c>
    </row>
    <row r="6947" spans="1:22" s="841" customFormat="1" x14ac:dyDescent="0.25">
      <c r="A6947" s="841" t="s">
        <v>188</v>
      </c>
      <c r="E6947" s="1909" t="s">
        <v>618</v>
      </c>
      <c r="F6947" s="1915"/>
      <c r="G6947" s="1915"/>
      <c r="H6947" s="1915"/>
      <c r="K6947" s="841" t="s">
        <v>3371</v>
      </c>
      <c r="M6947" s="1357"/>
      <c r="Q6947" s="1357"/>
      <c r="S6947" s="1420"/>
      <c r="T6947" s="1420"/>
      <c r="V6947" s="1357">
        <v>31</v>
      </c>
    </row>
    <row r="6948" spans="1:22" s="841" customFormat="1" ht="15" x14ac:dyDescent="0.25">
      <c r="A6948" s="841" t="s">
        <v>188</v>
      </c>
      <c r="E6948" s="1689" t="s">
        <v>4173</v>
      </c>
      <c r="F6948" s="1689"/>
      <c r="G6948" s="1689"/>
      <c r="H6948" s="1689"/>
      <c r="K6948" s="841" t="s">
        <v>3371</v>
      </c>
      <c r="M6948" s="1357"/>
      <c r="Q6948" s="1357"/>
      <c r="S6948" s="1420"/>
      <c r="T6948" s="1420"/>
      <c r="V6948" s="1357">
        <v>285</v>
      </c>
    </row>
    <row r="6949" spans="1:22" s="841" customFormat="1" ht="15" x14ac:dyDescent="0.25">
      <c r="A6949" s="841" t="s">
        <v>188</v>
      </c>
      <c r="E6949" s="1916" t="s">
        <v>3061</v>
      </c>
      <c r="F6949" s="1697"/>
      <c r="G6949" s="1697"/>
      <c r="H6949" s="1697"/>
      <c r="K6949" s="841" t="s">
        <v>3114</v>
      </c>
      <c r="M6949" s="1357"/>
      <c r="Q6949" s="1357"/>
      <c r="S6949" s="1420"/>
      <c r="T6949" s="1420"/>
      <c r="V6949" s="1357">
        <v>11</v>
      </c>
    </row>
    <row r="6950" spans="1:22" s="841" customFormat="1" ht="15" x14ac:dyDescent="0.25">
      <c r="A6950" s="841" t="s">
        <v>188</v>
      </c>
      <c r="E6950" s="1689" t="s">
        <v>3063</v>
      </c>
      <c r="F6950" s="1689"/>
      <c r="G6950" s="1689"/>
      <c r="H6950" s="1689"/>
      <c r="K6950" s="841" t="s">
        <v>3371</v>
      </c>
      <c r="M6950" s="1357"/>
      <c r="Q6950" s="1357"/>
      <c r="S6950" s="1420"/>
      <c r="T6950" s="1420"/>
      <c r="V6950" s="1357">
        <v>280</v>
      </c>
    </row>
    <row r="6951" spans="1:22" s="841" customFormat="1" ht="15" x14ac:dyDescent="0.25">
      <c r="A6951" s="841" t="s">
        <v>188</v>
      </c>
      <c r="E6951" s="1689" t="s">
        <v>3064</v>
      </c>
      <c r="F6951" s="1689"/>
      <c r="G6951" s="1689"/>
      <c r="H6951" s="1689"/>
      <c r="K6951" s="841" t="s">
        <v>3371</v>
      </c>
      <c r="M6951" s="1357"/>
      <c r="Q6951" s="1357"/>
      <c r="S6951" s="1420"/>
      <c r="T6951" s="1420"/>
      <c r="V6951" s="1357">
        <v>411</v>
      </c>
    </row>
    <row r="6952" spans="1:22" s="841" customFormat="1" ht="15" x14ac:dyDescent="0.25">
      <c r="A6952" s="841" t="s">
        <v>188</v>
      </c>
      <c r="E6952" s="1689" t="s">
        <v>3129</v>
      </c>
      <c r="F6952" s="1689"/>
      <c r="G6952" s="1689"/>
      <c r="H6952" s="1689"/>
      <c r="K6952" s="841" t="s">
        <v>3371</v>
      </c>
      <c r="M6952" s="1357"/>
      <c r="Q6952" s="1357"/>
      <c r="S6952" s="1420"/>
      <c r="T6952" s="1420"/>
      <c r="V6952" s="1357">
        <v>211</v>
      </c>
    </row>
    <row r="6953" spans="1:22" s="841" customFormat="1" ht="15" x14ac:dyDescent="0.25">
      <c r="A6953" s="841" t="s">
        <v>188</v>
      </c>
      <c r="E6953" s="1689" t="s">
        <v>3200</v>
      </c>
      <c r="F6953" s="1689"/>
      <c r="G6953" s="1689"/>
      <c r="H6953" s="1689"/>
      <c r="K6953" s="841" t="s">
        <v>3371</v>
      </c>
      <c r="M6953" s="1357"/>
      <c r="Q6953" s="1357"/>
      <c r="S6953" s="1420"/>
      <c r="T6953" s="1420"/>
      <c r="V6953" s="1357">
        <v>275</v>
      </c>
    </row>
    <row r="6954" spans="1:22" s="841" customFormat="1" ht="15" x14ac:dyDescent="0.25">
      <c r="A6954" s="841" t="s">
        <v>188</v>
      </c>
      <c r="E6954" s="1694" t="s">
        <v>3067</v>
      </c>
      <c r="F6954" s="1907"/>
      <c r="G6954" s="1907"/>
      <c r="H6954" s="1907"/>
      <c r="K6954" s="841" t="s">
        <v>3115</v>
      </c>
      <c r="M6954" s="1357"/>
      <c r="Q6954" s="1357"/>
      <c r="S6954" s="1420"/>
      <c r="T6954" s="1420"/>
      <c r="V6954" s="1357">
        <v>46</v>
      </c>
    </row>
    <row r="6955" spans="1:22" s="841" customFormat="1" ht="15" x14ac:dyDescent="0.25">
      <c r="A6955" s="841" t="s">
        <v>188</v>
      </c>
      <c r="E6955" s="1690" t="s">
        <v>11</v>
      </c>
      <c r="F6955" s="1690"/>
      <c r="G6955" s="1408" t="s">
        <v>23</v>
      </c>
      <c r="H6955" s="391">
        <v>5.4</v>
      </c>
      <c r="K6955" s="841" t="s">
        <v>3371</v>
      </c>
      <c r="L6955" s="841" t="s">
        <v>442</v>
      </c>
      <c r="M6955" s="1357"/>
      <c r="P6955" s="841" t="s">
        <v>3373</v>
      </c>
      <c r="Q6955" s="1357"/>
      <c r="S6955" s="1420"/>
      <c r="T6955" s="1420"/>
      <c r="V6955" s="1357">
        <v>14</v>
      </c>
    </row>
    <row r="6956" spans="1:22" s="841" customFormat="1" ht="18.75" x14ac:dyDescent="0.3">
      <c r="A6956" s="841" t="s">
        <v>188</v>
      </c>
      <c r="E6956" s="1374" t="s">
        <v>85</v>
      </c>
      <c r="F6956" s="657"/>
      <c r="G6956" s="657"/>
      <c r="H6956" s="658"/>
      <c r="K6956" s="841" t="s">
        <v>4174</v>
      </c>
      <c r="M6956" s="1357"/>
      <c r="Q6956" s="1357"/>
      <c r="S6956" s="1420"/>
      <c r="T6956" s="1420"/>
      <c r="V6956" s="1357">
        <v>10</v>
      </c>
    </row>
    <row r="6957" spans="1:22" s="841" customFormat="1" ht="15" x14ac:dyDescent="0.25">
      <c r="A6957" s="841" t="s">
        <v>188</v>
      </c>
      <c r="E6957" s="1690" t="s">
        <v>3133</v>
      </c>
      <c r="F6957" s="1690"/>
      <c r="G6957" s="1408" t="s">
        <v>33</v>
      </c>
      <c r="H6957" s="393">
        <v>-0.56000000000000005</v>
      </c>
      <c r="M6957" s="1357"/>
      <c r="Q6957" s="1357"/>
      <c r="S6957" s="1420"/>
      <c r="T6957" s="1420"/>
      <c r="V6957" s="1357">
        <v>68</v>
      </c>
    </row>
    <row r="6958" spans="1:22" s="841" customFormat="1" ht="15" x14ac:dyDescent="0.25">
      <c r="A6958" s="841" t="s">
        <v>188</v>
      </c>
      <c r="E6958" s="1690" t="s">
        <v>3134</v>
      </c>
      <c r="F6958" s="1690"/>
      <c r="G6958" s="1408" t="s">
        <v>86</v>
      </c>
      <c r="H6958" s="391">
        <v>-1</v>
      </c>
      <c r="M6958" s="1357"/>
      <c r="Q6958" s="1357"/>
      <c r="S6958" s="1420"/>
      <c r="T6958" s="1420"/>
      <c r="V6958" s="1357">
        <v>87</v>
      </c>
    </row>
    <row r="6959" spans="1:22" s="841" customFormat="1" ht="36.75" x14ac:dyDescent="0.3">
      <c r="A6959" s="841" t="s">
        <v>188</v>
      </c>
      <c r="E6959" s="1374" t="s">
        <v>87</v>
      </c>
      <c r="F6959" s="657"/>
      <c r="G6959" s="657"/>
      <c r="H6959" s="658"/>
      <c r="K6959" s="841" t="s">
        <v>4175</v>
      </c>
      <c r="M6959" s="1357"/>
      <c r="Q6959" s="1357"/>
      <c r="S6959" s="1420"/>
      <c r="T6959" s="1420"/>
      <c r="V6959" s="1357">
        <v>24</v>
      </c>
    </row>
    <row r="6960" spans="1:22" s="841" customFormat="1" ht="15" x14ac:dyDescent="0.25">
      <c r="A6960" s="841" t="s">
        <v>188</v>
      </c>
      <c r="E6960" s="1689" t="s">
        <v>3063</v>
      </c>
      <c r="F6960" s="1689"/>
      <c r="G6960" s="1689"/>
      <c r="H6960" s="1689"/>
      <c r="M6960" s="1357"/>
      <c r="Q6960" s="1357"/>
      <c r="S6960" s="1420"/>
      <c r="T6960" s="1420"/>
      <c r="V6960" s="1357">
        <v>280</v>
      </c>
    </row>
    <row r="6961" spans="1:22" s="841" customFormat="1" ht="15" x14ac:dyDescent="0.25">
      <c r="A6961" s="841" t="s">
        <v>188</v>
      </c>
      <c r="E6961" s="1689" t="s">
        <v>3136</v>
      </c>
      <c r="F6961" s="1689"/>
      <c r="G6961" s="1689"/>
      <c r="H6961" s="1689"/>
      <c r="M6961" s="1357"/>
      <c r="Q6961" s="1357"/>
      <c r="S6961" s="1420"/>
      <c r="T6961" s="1420"/>
      <c r="V6961" s="1357">
        <v>353</v>
      </c>
    </row>
    <row r="6962" spans="1:22" s="841" customFormat="1" ht="15" x14ac:dyDescent="0.25">
      <c r="A6962" s="841" t="s">
        <v>188</v>
      </c>
      <c r="E6962" s="1689" t="s">
        <v>3200</v>
      </c>
      <c r="F6962" s="1689"/>
      <c r="G6962" s="1689"/>
      <c r="H6962" s="1689"/>
      <c r="M6962" s="1357"/>
      <c r="Q6962" s="1357"/>
      <c r="S6962" s="1420"/>
      <c r="T6962" s="1420"/>
      <c r="V6962" s="1357">
        <v>275</v>
      </c>
    </row>
    <row r="6963" spans="1:22" s="841" customFormat="1" ht="15" x14ac:dyDescent="0.25">
      <c r="A6963" s="841" t="s">
        <v>188</v>
      </c>
      <c r="E6963" s="1370" t="s">
        <v>3137</v>
      </c>
      <c r="F6963" s="1248"/>
      <c r="G6963" s="1248"/>
      <c r="H6963" s="1249"/>
      <c r="K6963" s="841" t="s">
        <v>4176</v>
      </c>
      <c r="M6963" s="1357"/>
      <c r="Q6963" s="1357"/>
      <c r="S6963" s="1420"/>
      <c r="T6963" s="1420"/>
      <c r="V6963" s="1357">
        <v>23</v>
      </c>
    </row>
    <row r="6964" spans="1:22" s="841" customFormat="1" ht="15" x14ac:dyDescent="0.25">
      <c r="A6964" s="841" t="s">
        <v>188</v>
      </c>
      <c r="E6964" s="1688" t="s">
        <v>3355</v>
      </c>
      <c r="F6964" s="1688"/>
      <c r="G6964" s="1408" t="s">
        <v>23</v>
      </c>
      <c r="H6964" s="391">
        <v>15</v>
      </c>
      <c r="M6964" s="1357"/>
      <c r="Q6964" s="1357"/>
      <c r="S6964" s="1420"/>
      <c r="T6964" s="1420"/>
      <c r="V6964" s="1357">
        <v>19</v>
      </c>
    </row>
    <row r="6965" spans="1:22" s="841" customFormat="1" ht="15" x14ac:dyDescent="0.25">
      <c r="A6965" s="841" t="s">
        <v>188</v>
      </c>
      <c r="E6965" s="1688" t="s">
        <v>3140</v>
      </c>
      <c r="F6965" s="1688"/>
      <c r="G6965" s="1408" t="s">
        <v>23</v>
      </c>
      <c r="H6965" s="391">
        <v>15</v>
      </c>
      <c r="M6965" s="1357"/>
      <c r="Q6965" s="1357"/>
      <c r="S6965" s="1420"/>
      <c r="T6965" s="1420"/>
      <c r="V6965" s="1357">
        <v>20</v>
      </c>
    </row>
    <row r="6966" spans="1:22" s="841" customFormat="1" ht="15" x14ac:dyDescent="0.25">
      <c r="A6966" s="841" t="s">
        <v>188</v>
      </c>
      <c r="E6966" s="1688" t="s">
        <v>3141</v>
      </c>
      <c r="F6966" s="1688"/>
      <c r="G6966" s="1408" t="s">
        <v>23</v>
      </c>
      <c r="H6966" s="391">
        <v>15</v>
      </c>
      <c r="M6966" s="1357"/>
      <c r="Q6966" s="1357"/>
      <c r="S6966" s="1420"/>
      <c r="T6966" s="1420"/>
      <c r="V6966" s="1357">
        <v>26</v>
      </c>
    </row>
    <row r="6967" spans="1:22" s="841" customFormat="1" ht="15" x14ac:dyDescent="0.25">
      <c r="A6967" s="841" t="s">
        <v>188</v>
      </c>
      <c r="E6967" s="1688" t="s">
        <v>3142</v>
      </c>
      <c r="F6967" s="1688"/>
      <c r="G6967" s="1408" t="s">
        <v>23</v>
      </c>
      <c r="H6967" s="391">
        <v>15</v>
      </c>
      <c r="M6967" s="1357"/>
      <c r="Q6967" s="1357"/>
      <c r="S6967" s="1420"/>
      <c r="T6967" s="1420"/>
      <c r="V6967" s="1357">
        <v>39</v>
      </c>
    </row>
    <row r="6968" spans="1:22" s="841" customFormat="1" ht="15" x14ac:dyDescent="0.25">
      <c r="A6968" s="841" t="s">
        <v>188</v>
      </c>
      <c r="E6968" s="1688" t="s">
        <v>3143</v>
      </c>
      <c r="F6968" s="1688"/>
      <c r="G6968" s="1408" t="s">
        <v>23</v>
      </c>
      <c r="H6968" s="391">
        <v>15</v>
      </c>
      <c r="M6968" s="1357"/>
      <c r="Q6968" s="1357"/>
      <c r="S6968" s="1420"/>
      <c r="T6968" s="1420"/>
      <c r="V6968" s="1357">
        <v>37</v>
      </c>
    </row>
    <row r="6969" spans="1:22" s="841" customFormat="1" ht="15" x14ac:dyDescent="0.25">
      <c r="A6969" s="841" t="s">
        <v>188</v>
      </c>
      <c r="E6969" s="1688" t="s">
        <v>4770</v>
      </c>
      <c r="F6969" s="1688"/>
      <c r="G6969" s="1408" t="s">
        <v>23</v>
      </c>
      <c r="H6969" s="391">
        <v>15</v>
      </c>
      <c r="M6969" s="1357"/>
      <c r="Q6969" s="1357"/>
      <c r="S6969" s="1420"/>
      <c r="T6969" s="1420"/>
      <c r="V6969" s="1357">
        <v>15</v>
      </c>
    </row>
    <row r="6970" spans="1:22" s="841" customFormat="1" ht="15" x14ac:dyDescent="0.25">
      <c r="A6970" s="841" t="s">
        <v>188</v>
      </c>
      <c r="E6970" s="1688" t="s">
        <v>3147</v>
      </c>
      <c r="F6970" s="1688"/>
      <c r="G6970" s="1408" t="s">
        <v>23</v>
      </c>
      <c r="H6970" s="391">
        <v>15</v>
      </c>
      <c r="M6970" s="1357"/>
      <c r="Q6970" s="1357"/>
      <c r="S6970" s="1420"/>
      <c r="T6970" s="1420"/>
      <c r="V6970" s="1357">
        <v>15</v>
      </c>
    </row>
    <row r="6971" spans="1:22" s="841" customFormat="1" ht="15" x14ac:dyDescent="0.25">
      <c r="A6971" s="841" t="s">
        <v>188</v>
      </c>
      <c r="E6971" s="1688" t="s">
        <v>5629</v>
      </c>
      <c r="F6971" s="1688"/>
      <c r="G6971" s="1408" t="s">
        <v>23</v>
      </c>
      <c r="H6971" s="391">
        <v>15</v>
      </c>
      <c r="M6971" s="1357"/>
      <c r="Q6971" s="1357"/>
      <c r="S6971" s="1420"/>
      <c r="T6971" s="1420"/>
      <c r="V6971" s="1357">
        <v>39</v>
      </c>
    </row>
    <row r="6972" spans="1:22" s="841" customFormat="1" ht="15" x14ac:dyDescent="0.25">
      <c r="A6972" s="841" t="s">
        <v>188</v>
      </c>
      <c r="E6972" s="1688" t="s">
        <v>123</v>
      </c>
      <c r="F6972" s="1688"/>
      <c r="G6972" s="1408" t="s">
        <v>23</v>
      </c>
      <c r="H6972" s="391">
        <v>15</v>
      </c>
      <c r="M6972" s="1357"/>
      <c r="Q6972" s="1357"/>
      <c r="S6972" s="1420"/>
      <c r="T6972" s="1420"/>
      <c r="V6972" s="1357">
        <v>35</v>
      </c>
    </row>
    <row r="6973" spans="1:22" s="841" customFormat="1" ht="15" x14ac:dyDescent="0.25">
      <c r="A6973" s="841" t="s">
        <v>188</v>
      </c>
      <c r="E6973" s="1688" t="s">
        <v>3150</v>
      </c>
      <c r="F6973" s="1688"/>
      <c r="G6973" s="1408" t="s">
        <v>23</v>
      </c>
      <c r="H6973" s="391">
        <v>15</v>
      </c>
      <c r="M6973" s="1357"/>
      <c r="Q6973" s="1357"/>
      <c r="S6973" s="1420"/>
      <c r="T6973" s="1420"/>
      <c r="V6973" s="1357">
        <v>24</v>
      </c>
    </row>
    <row r="6974" spans="1:22" s="841" customFormat="1" ht="15" x14ac:dyDescent="0.25">
      <c r="A6974" s="841" t="s">
        <v>188</v>
      </c>
      <c r="E6974" s="1688" t="s">
        <v>88</v>
      </c>
      <c r="F6974" s="1688"/>
      <c r="G6974" s="1408" t="s">
        <v>23</v>
      </c>
      <c r="H6974" s="391">
        <v>30</v>
      </c>
      <c r="M6974" s="1357"/>
      <c r="Q6974" s="1357"/>
      <c r="S6974" s="1420"/>
      <c r="T6974" s="1420"/>
      <c r="V6974" s="1357">
        <v>89</v>
      </c>
    </row>
    <row r="6975" spans="1:22" s="841" customFormat="1" ht="15" x14ac:dyDescent="0.25">
      <c r="A6975" s="841" t="s">
        <v>188</v>
      </c>
      <c r="E6975" s="1688" t="s">
        <v>94</v>
      </c>
      <c r="F6975" s="1688"/>
      <c r="G6975" s="1408" t="s">
        <v>23</v>
      </c>
      <c r="H6975" s="391">
        <v>30</v>
      </c>
      <c r="M6975" s="1357"/>
      <c r="Q6975" s="1357"/>
      <c r="S6975" s="1420"/>
      <c r="T6975" s="1420"/>
      <c r="V6975" s="1357">
        <v>19</v>
      </c>
    </row>
    <row r="6976" spans="1:22" s="841" customFormat="1" ht="15" x14ac:dyDescent="0.25">
      <c r="A6976" s="841" t="s">
        <v>188</v>
      </c>
      <c r="E6976" s="1688" t="s">
        <v>92</v>
      </c>
      <c r="F6976" s="1688"/>
      <c r="G6976" s="1408" t="s">
        <v>23</v>
      </c>
      <c r="H6976" s="391">
        <v>30</v>
      </c>
      <c r="M6976" s="1357"/>
      <c r="Q6976" s="1357"/>
      <c r="S6976" s="1420"/>
      <c r="T6976" s="1420"/>
      <c r="V6976" s="1357">
        <v>74</v>
      </c>
    </row>
    <row r="6977" spans="1:22" s="841" customFormat="1" ht="15" x14ac:dyDescent="0.25">
      <c r="A6977" s="841" t="s">
        <v>188</v>
      </c>
      <c r="E6977" s="1370" t="s">
        <v>3152</v>
      </c>
      <c r="F6977" s="1248"/>
      <c r="G6977" s="1248"/>
      <c r="H6977" s="1249"/>
      <c r="K6977" s="841" t="s">
        <v>4177</v>
      </c>
      <c r="M6977" s="1357"/>
      <c r="Q6977" s="1357"/>
      <c r="S6977" s="1420"/>
      <c r="T6977" s="1420"/>
      <c r="V6977" s="1357">
        <v>22</v>
      </c>
    </row>
    <row r="6978" spans="1:22" s="841" customFormat="1" ht="15" x14ac:dyDescent="0.25">
      <c r="A6978" s="841" t="s">
        <v>188</v>
      </c>
      <c r="E6978" s="1688" t="s">
        <v>5137</v>
      </c>
      <c r="F6978" s="1688"/>
      <c r="G6978" s="1408" t="s">
        <v>86</v>
      </c>
      <c r="H6978" s="391">
        <v>1.5</v>
      </c>
      <c r="M6978" s="1357"/>
      <c r="Q6978" s="1357"/>
      <c r="S6978" s="1420"/>
      <c r="T6978" s="1420"/>
      <c r="V6978" s="1357">
        <v>24</v>
      </c>
    </row>
    <row r="6979" spans="1:22" s="841" customFormat="1" ht="15" x14ac:dyDescent="0.25">
      <c r="A6979" s="841" t="s">
        <v>188</v>
      </c>
      <c r="E6979" s="1688" t="s">
        <v>4772</v>
      </c>
      <c r="F6979" s="1688"/>
      <c r="G6979" s="1408" t="s">
        <v>86</v>
      </c>
      <c r="H6979" s="391">
        <v>19.559999999999999</v>
      </c>
      <c r="M6979" s="1357"/>
      <c r="Q6979" s="1357"/>
      <c r="S6979" s="1420"/>
      <c r="T6979" s="1420"/>
      <c r="V6979" s="1357">
        <v>24</v>
      </c>
    </row>
    <row r="6980" spans="1:22" s="841" customFormat="1" ht="15" x14ac:dyDescent="0.25">
      <c r="A6980" s="841" t="s">
        <v>188</v>
      </c>
      <c r="E6980" s="1688" t="s">
        <v>3288</v>
      </c>
      <c r="F6980" s="1688"/>
      <c r="G6980" s="1408" t="s">
        <v>23</v>
      </c>
      <c r="H6980" s="391">
        <v>30</v>
      </c>
      <c r="M6980" s="1357"/>
      <c r="Q6980" s="1357"/>
      <c r="S6980" s="1420"/>
      <c r="T6980" s="1420"/>
      <c r="V6980" s="1357">
        <v>47</v>
      </c>
    </row>
    <row r="6981" spans="1:22" s="841" customFormat="1" ht="15" x14ac:dyDescent="0.25">
      <c r="A6981" s="841" t="s">
        <v>188</v>
      </c>
      <c r="E6981" s="1688" t="s">
        <v>4773</v>
      </c>
      <c r="F6981" s="1688"/>
      <c r="G6981" s="1408" t="s">
        <v>23</v>
      </c>
      <c r="H6981" s="391">
        <v>65</v>
      </c>
      <c r="M6981" s="1357"/>
      <c r="Q6981" s="1357"/>
      <c r="S6981" s="1420"/>
      <c r="T6981" s="1420"/>
      <c r="V6981" s="1357">
        <v>52</v>
      </c>
    </row>
    <row r="6982" spans="1:22" s="841" customFormat="1" ht="15" x14ac:dyDescent="0.25">
      <c r="A6982" s="841" t="s">
        <v>188</v>
      </c>
      <c r="E6982" s="1688" t="s">
        <v>4774</v>
      </c>
      <c r="F6982" s="1688"/>
      <c r="G6982" s="1408" t="s">
        <v>23</v>
      </c>
      <c r="H6982" s="391">
        <v>185</v>
      </c>
      <c r="M6982" s="1357"/>
      <c r="Q6982" s="1357"/>
      <c r="S6982" s="1420"/>
      <c r="T6982" s="1420"/>
      <c r="V6982" s="1357">
        <v>51</v>
      </c>
    </row>
    <row r="6983" spans="1:22" s="841" customFormat="1" ht="15" x14ac:dyDescent="0.25">
      <c r="A6983" s="841" t="s">
        <v>188</v>
      </c>
      <c r="E6983" s="1688" t="s">
        <v>4775</v>
      </c>
      <c r="F6983" s="1688"/>
      <c r="G6983" s="1408" t="s">
        <v>23</v>
      </c>
      <c r="H6983" s="391">
        <v>185</v>
      </c>
      <c r="M6983" s="1357"/>
      <c r="Q6983" s="1357"/>
      <c r="S6983" s="1420"/>
      <c r="T6983" s="1420"/>
      <c r="V6983" s="1357">
        <v>51</v>
      </c>
    </row>
    <row r="6984" spans="1:22" s="841" customFormat="1" ht="15" x14ac:dyDescent="0.25">
      <c r="A6984" s="841" t="s">
        <v>188</v>
      </c>
      <c r="E6984" s="1688" t="s">
        <v>4776</v>
      </c>
      <c r="F6984" s="1688"/>
      <c r="G6984" s="1408" t="s">
        <v>23</v>
      </c>
      <c r="H6984" s="391">
        <v>415</v>
      </c>
      <c r="M6984" s="1357"/>
      <c r="Q6984" s="1357"/>
      <c r="S6984" s="1420"/>
      <c r="T6984" s="1420"/>
      <c r="V6984" s="1357">
        <v>50</v>
      </c>
    </row>
    <row r="6985" spans="1:22" s="841" customFormat="1" ht="15" x14ac:dyDescent="0.25">
      <c r="A6985" s="841" t="s">
        <v>188</v>
      </c>
      <c r="E6985" s="1688" t="s">
        <v>4777</v>
      </c>
      <c r="F6985" s="1688"/>
      <c r="G6985" s="1408" t="s">
        <v>23</v>
      </c>
      <c r="H6985" s="391">
        <v>65</v>
      </c>
      <c r="M6985" s="1357"/>
      <c r="Q6985" s="1357"/>
      <c r="S6985" s="1420"/>
      <c r="T6985" s="1420"/>
      <c r="V6985" s="1357">
        <v>57</v>
      </c>
    </row>
    <row r="6986" spans="1:22" s="841" customFormat="1" ht="15" x14ac:dyDescent="0.25">
      <c r="A6986" s="841" t="s">
        <v>188</v>
      </c>
      <c r="E6986" s="1688" t="s">
        <v>4778</v>
      </c>
      <c r="F6986" s="1688"/>
      <c r="G6986" s="1408" t="s">
        <v>23</v>
      </c>
      <c r="H6986" s="391">
        <v>185</v>
      </c>
      <c r="M6986" s="1357"/>
      <c r="Q6986" s="1357"/>
      <c r="S6986" s="1420"/>
      <c r="T6986" s="1420"/>
      <c r="V6986" s="1357">
        <v>56</v>
      </c>
    </row>
    <row r="6987" spans="1:22" s="841" customFormat="1" ht="15" x14ac:dyDescent="0.25">
      <c r="A6987" s="841" t="s">
        <v>188</v>
      </c>
      <c r="E6987" s="1370" t="s">
        <v>3164</v>
      </c>
      <c r="F6987" s="1248"/>
      <c r="G6987" s="1248"/>
      <c r="H6987" s="1249"/>
      <c r="M6987" s="1357"/>
      <c r="Q6987" s="1357"/>
      <c r="S6987" s="1420"/>
      <c r="T6987" s="1420"/>
      <c r="V6987" s="1357">
        <v>5</v>
      </c>
    </row>
    <row r="6988" spans="1:22" s="841" customFormat="1" ht="15" x14ac:dyDescent="0.25">
      <c r="A6988" s="841" t="s">
        <v>188</v>
      </c>
      <c r="E6988" s="1688" t="s">
        <v>4178</v>
      </c>
      <c r="F6988" s="1688"/>
      <c r="G6988" s="1408" t="s">
        <v>23</v>
      </c>
      <c r="H6988" s="391">
        <v>30</v>
      </c>
      <c r="M6988" s="1357"/>
      <c r="Q6988" s="1357"/>
      <c r="S6988" s="1420"/>
      <c r="T6988" s="1420"/>
      <c r="V6988" s="1357">
        <v>62</v>
      </c>
    </row>
    <row r="6989" spans="1:22" s="841" customFormat="1" ht="15" x14ac:dyDescent="0.25">
      <c r="A6989" s="841" t="s">
        <v>188</v>
      </c>
      <c r="E6989" s="1688" t="s">
        <v>3614</v>
      </c>
      <c r="F6989" s="1688"/>
      <c r="G6989" s="1408" t="s">
        <v>23</v>
      </c>
      <c r="H6989" s="391">
        <v>165</v>
      </c>
      <c r="M6989" s="1357"/>
      <c r="Q6989" s="1357"/>
      <c r="S6989" s="1420"/>
      <c r="T6989" s="1420"/>
      <c r="V6989" s="1357">
        <v>61</v>
      </c>
    </row>
    <row r="6990" spans="1:22" s="841" customFormat="1" ht="15" x14ac:dyDescent="0.25">
      <c r="A6990" s="841" t="s">
        <v>188</v>
      </c>
      <c r="E6990" s="1688" t="s">
        <v>3434</v>
      </c>
      <c r="F6990" s="1688"/>
      <c r="G6990" s="1408" t="s">
        <v>23</v>
      </c>
      <c r="H6990" s="391">
        <v>500</v>
      </c>
      <c r="M6990" s="1357"/>
      <c r="Q6990" s="1357"/>
      <c r="S6990" s="1420"/>
      <c r="T6990" s="1420"/>
      <c r="V6990" s="1357">
        <v>64</v>
      </c>
    </row>
    <row r="6991" spans="1:22" s="841" customFormat="1" ht="15" x14ac:dyDescent="0.25">
      <c r="A6991" s="841" t="s">
        <v>188</v>
      </c>
      <c r="E6991" s="1688" t="s">
        <v>3489</v>
      </c>
      <c r="F6991" s="1688"/>
      <c r="G6991" s="1408" t="s">
        <v>23</v>
      </c>
      <c r="H6991" s="391">
        <v>300</v>
      </c>
      <c r="M6991" s="1357"/>
      <c r="Q6991" s="1357"/>
      <c r="S6991" s="1420"/>
      <c r="T6991" s="1420"/>
      <c r="V6991" s="1357">
        <v>67</v>
      </c>
    </row>
    <row r="6992" spans="1:22" s="841" customFormat="1" ht="15" x14ac:dyDescent="0.25">
      <c r="A6992" s="841" t="s">
        <v>188</v>
      </c>
      <c r="E6992" s="1688" t="s">
        <v>3490</v>
      </c>
      <c r="F6992" s="1688"/>
      <c r="G6992" s="1408" t="s">
        <v>23</v>
      </c>
      <c r="H6992" s="391">
        <v>1000</v>
      </c>
      <c r="M6992" s="1357"/>
      <c r="Q6992" s="1357"/>
      <c r="S6992" s="1420"/>
      <c r="T6992" s="1420"/>
      <c r="V6992" s="1357">
        <v>66</v>
      </c>
    </row>
    <row r="6993" spans="1:22" s="841" customFormat="1" ht="15" x14ac:dyDescent="0.25">
      <c r="A6993" s="841" t="s">
        <v>188</v>
      </c>
      <c r="E6993" s="1688" t="s">
        <v>3491</v>
      </c>
      <c r="F6993" s="1688"/>
      <c r="G6993" s="1408" t="s">
        <v>23</v>
      </c>
      <c r="H6993" s="391">
        <v>22.35</v>
      </c>
      <c r="M6993" s="1357"/>
      <c r="Q6993" s="1357"/>
      <c r="S6993" s="1420"/>
      <c r="T6993" s="1420"/>
      <c r="V6993" s="1357">
        <v>59</v>
      </c>
    </row>
    <row r="6994" spans="1:22" s="841" customFormat="1" ht="15" x14ac:dyDescent="0.25">
      <c r="A6994" s="841" t="s">
        <v>188</v>
      </c>
      <c r="E6994" s="1688" t="s">
        <v>3166</v>
      </c>
      <c r="F6994" s="1688"/>
      <c r="G6994" s="1408"/>
      <c r="H6994" s="391"/>
      <c r="M6994" s="1357"/>
      <c r="Q6994" s="1357"/>
      <c r="S6994" s="1420"/>
      <c r="T6994" s="1420"/>
      <c r="V6994" s="1357">
        <v>44</v>
      </c>
    </row>
    <row r="6995" spans="1:22" s="841" customFormat="1" ht="15" x14ac:dyDescent="0.25">
      <c r="A6995" s="841" t="s">
        <v>188</v>
      </c>
      <c r="E6995" s="1688" t="s">
        <v>4179</v>
      </c>
      <c r="F6995" s="1688"/>
      <c r="G6995" s="1408" t="s">
        <v>23</v>
      </c>
      <c r="H6995" s="391">
        <v>18.36</v>
      </c>
      <c r="M6995" s="1357"/>
      <c r="Q6995" s="1357"/>
      <c r="S6995" s="1420"/>
      <c r="T6995" s="1420"/>
      <c r="V6995" s="1357">
        <v>71</v>
      </c>
    </row>
    <row r="6996" spans="1:22" s="841" customFormat="1" ht="15" x14ac:dyDescent="0.25">
      <c r="A6996" s="841" t="s">
        <v>188</v>
      </c>
      <c r="E6996" s="1688" t="s">
        <v>4180</v>
      </c>
      <c r="F6996" s="1688"/>
      <c r="G6996" s="1408"/>
      <c r="H6996" s="391"/>
      <c r="M6996" s="1357"/>
      <c r="Q6996" s="1357"/>
      <c r="S6996" s="1420"/>
      <c r="T6996" s="1420"/>
      <c r="V6996" s="1357">
        <v>131</v>
      </c>
    </row>
    <row r="6997" spans="1:22" s="841" customFormat="1" ht="36.75" x14ac:dyDescent="0.3">
      <c r="A6997" s="841" t="s">
        <v>188</v>
      </c>
      <c r="E6997" s="1374" t="s">
        <v>77</v>
      </c>
      <c r="F6997" s="657"/>
      <c r="G6997" s="657"/>
      <c r="H6997" s="658"/>
      <c r="K6997" s="841" t="s">
        <v>4181</v>
      </c>
      <c r="M6997" s="1357"/>
      <c r="Q6997" s="1357"/>
      <c r="S6997" s="1420"/>
      <c r="T6997" s="1420"/>
      <c r="V6997" s="1357">
        <v>38</v>
      </c>
    </row>
    <row r="6998" spans="1:22" s="841" customFormat="1" ht="15" x14ac:dyDescent="0.25">
      <c r="A6998" s="841" t="s">
        <v>188</v>
      </c>
      <c r="E6998" s="1689" t="s">
        <v>3063</v>
      </c>
      <c r="F6998" s="1689"/>
      <c r="G6998" s="1689"/>
      <c r="H6998" s="1689"/>
      <c r="M6998" s="1357"/>
      <c r="Q6998" s="1357"/>
      <c r="S6998" s="1420"/>
      <c r="T6998" s="1420"/>
      <c r="V6998" s="1357">
        <v>280</v>
      </c>
    </row>
    <row r="6999" spans="1:22" s="841" customFormat="1" ht="15" x14ac:dyDescent="0.25">
      <c r="A6999" s="841" t="s">
        <v>188</v>
      </c>
      <c r="E6999" s="1689" t="s">
        <v>3064</v>
      </c>
      <c r="F6999" s="1689"/>
      <c r="G6999" s="1689"/>
      <c r="H6999" s="1689"/>
      <c r="M6999" s="1357"/>
      <c r="Q6999" s="1357"/>
      <c r="S6999" s="1420"/>
      <c r="T6999" s="1420"/>
      <c r="V6999" s="1357">
        <v>411</v>
      </c>
    </row>
    <row r="7000" spans="1:22" s="841" customFormat="1" ht="15" x14ac:dyDescent="0.25">
      <c r="A7000" s="841" t="s">
        <v>188</v>
      </c>
      <c r="E7000" s="1689" t="s">
        <v>3129</v>
      </c>
      <c r="F7000" s="1689"/>
      <c r="G7000" s="1689"/>
      <c r="H7000" s="1689"/>
      <c r="M7000" s="1357"/>
      <c r="Q7000" s="1357"/>
      <c r="S7000" s="1420"/>
      <c r="T7000" s="1420"/>
      <c r="V7000" s="1357">
        <v>211</v>
      </c>
    </row>
    <row r="7001" spans="1:22" s="841" customFormat="1" ht="15" x14ac:dyDescent="0.25">
      <c r="A7001" s="841" t="s">
        <v>188</v>
      </c>
      <c r="E7001" s="1689" t="s">
        <v>3200</v>
      </c>
      <c r="F7001" s="1689"/>
      <c r="G7001" s="1689"/>
      <c r="H7001" s="1689"/>
      <c r="M7001" s="1357"/>
      <c r="Q7001" s="1357"/>
      <c r="S7001" s="1420"/>
      <c r="T7001" s="1420"/>
      <c r="V7001" s="1357">
        <v>275</v>
      </c>
    </row>
    <row r="7002" spans="1:22" s="841" customFormat="1" ht="15" x14ac:dyDescent="0.25">
      <c r="A7002" s="841" t="s">
        <v>188</v>
      </c>
      <c r="E7002" s="1689" t="s">
        <v>3291</v>
      </c>
      <c r="F7002" s="1689"/>
      <c r="G7002" s="1689"/>
      <c r="H7002" s="1689"/>
      <c r="M7002" s="1357"/>
      <c r="Q7002" s="1357"/>
      <c r="S7002" s="1420"/>
      <c r="T7002" s="1420"/>
      <c r="V7002" s="1357">
        <v>142</v>
      </c>
    </row>
    <row r="7003" spans="1:22" s="841" customFormat="1" ht="15" x14ac:dyDescent="0.25">
      <c r="A7003" s="841" t="s">
        <v>188</v>
      </c>
      <c r="E7003" s="1690" t="s">
        <v>3176</v>
      </c>
      <c r="F7003" s="1690"/>
      <c r="G7003" s="397" t="s">
        <v>23</v>
      </c>
      <c r="H7003" s="391">
        <v>100</v>
      </c>
      <c r="M7003" s="1357"/>
      <c r="Q7003" s="1357"/>
      <c r="S7003" s="1420"/>
      <c r="T7003" s="1420"/>
      <c r="V7003" s="1357">
        <v>106</v>
      </c>
    </row>
    <row r="7004" spans="1:22" s="841" customFormat="1" ht="15" x14ac:dyDescent="0.25">
      <c r="A7004" s="841" t="s">
        <v>188</v>
      </c>
      <c r="E7004" s="1690" t="s">
        <v>5140</v>
      </c>
      <c r="F7004" s="1690"/>
      <c r="G7004" s="397" t="s">
        <v>23</v>
      </c>
      <c r="H7004" s="391">
        <v>20</v>
      </c>
      <c r="M7004" s="1357"/>
      <c r="Q7004" s="1357"/>
      <c r="S7004" s="1420"/>
      <c r="T7004" s="1420"/>
      <c r="V7004" s="1357">
        <v>34</v>
      </c>
    </row>
    <row r="7005" spans="1:22" s="841" customFormat="1" ht="15" x14ac:dyDescent="0.25">
      <c r="A7005" s="841" t="s">
        <v>188</v>
      </c>
      <c r="E7005" s="1690" t="s">
        <v>5141</v>
      </c>
      <c r="F7005" s="1690"/>
      <c r="G7005" s="397" t="s">
        <v>3179</v>
      </c>
      <c r="H7005" s="391">
        <v>0.5</v>
      </c>
      <c r="M7005" s="1357"/>
      <c r="Q7005" s="1357"/>
      <c r="S7005" s="1420"/>
      <c r="T7005" s="1420"/>
      <c r="V7005" s="1357">
        <v>51</v>
      </c>
    </row>
    <row r="7006" spans="1:22" s="841" customFormat="1" ht="15" x14ac:dyDescent="0.25">
      <c r="A7006" s="841" t="s">
        <v>188</v>
      </c>
      <c r="E7006" s="1690" t="s">
        <v>3180</v>
      </c>
      <c r="F7006" s="1690"/>
      <c r="G7006" s="397" t="s">
        <v>3179</v>
      </c>
      <c r="H7006" s="391">
        <v>0.3</v>
      </c>
      <c r="M7006" s="1357"/>
      <c r="Q7006" s="1357"/>
      <c r="S7006" s="1420"/>
      <c r="T7006" s="1420"/>
      <c r="V7006" s="1357">
        <v>75</v>
      </c>
    </row>
    <row r="7007" spans="1:22" s="841" customFormat="1" ht="15" x14ac:dyDescent="0.25">
      <c r="A7007" s="841" t="s">
        <v>188</v>
      </c>
      <c r="E7007" s="1690" t="s">
        <v>3181</v>
      </c>
      <c r="F7007" s="1690"/>
      <c r="G7007" s="397" t="s">
        <v>3179</v>
      </c>
      <c r="H7007" s="391">
        <v>-0.3</v>
      </c>
      <c r="M7007" s="1357"/>
      <c r="Q7007" s="1357"/>
      <c r="S7007" s="1420"/>
      <c r="T7007" s="1420"/>
      <c r="V7007" s="1357">
        <v>72</v>
      </c>
    </row>
    <row r="7008" spans="1:22" s="841" customFormat="1" ht="15" x14ac:dyDescent="0.25">
      <c r="A7008" s="841" t="s">
        <v>188</v>
      </c>
      <c r="E7008" s="1690" t="s">
        <v>3292</v>
      </c>
      <c r="F7008" s="1690"/>
      <c r="G7008" s="397"/>
      <c r="H7008" s="392"/>
      <c r="M7008" s="1357"/>
      <c r="Q7008" s="1357"/>
      <c r="S7008" s="1420"/>
      <c r="T7008" s="1420"/>
      <c r="V7008" s="1357">
        <v>34</v>
      </c>
    </row>
    <row r="7009" spans="1:22" s="841" customFormat="1" ht="15" x14ac:dyDescent="0.25">
      <c r="A7009" s="841" t="s">
        <v>188</v>
      </c>
      <c r="E7009" s="1691" t="s">
        <v>3183</v>
      </c>
      <c r="F7009" s="1691"/>
      <c r="G7009" s="397" t="s">
        <v>23</v>
      </c>
      <c r="H7009" s="391">
        <v>0.25</v>
      </c>
      <c r="M7009" s="1357"/>
      <c r="Q7009" s="1357"/>
      <c r="S7009" s="1420"/>
      <c r="T7009" s="1420"/>
      <c r="V7009" s="1357">
        <v>57</v>
      </c>
    </row>
    <row r="7010" spans="1:22" s="841" customFormat="1" ht="15" x14ac:dyDescent="0.25">
      <c r="A7010" s="841" t="s">
        <v>188</v>
      </c>
      <c r="E7010" s="1691" t="s">
        <v>3184</v>
      </c>
      <c r="F7010" s="1691"/>
      <c r="G7010" s="397" t="s">
        <v>23</v>
      </c>
      <c r="H7010" s="391">
        <v>0.5</v>
      </c>
      <c r="M7010" s="1357"/>
      <c r="Q7010" s="1357"/>
      <c r="S7010" s="1420"/>
      <c r="T7010" s="1420"/>
      <c r="V7010" s="1357">
        <v>60</v>
      </c>
    </row>
    <row r="7011" spans="1:22" s="841" customFormat="1" ht="15" x14ac:dyDescent="0.25">
      <c r="A7011" s="841" t="s">
        <v>188</v>
      </c>
      <c r="E7011" s="1690" t="s">
        <v>3185</v>
      </c>
      <c r="F7011" s="1690"/>
      <c r="G7011" s="397"/>
      <c r="H7011" s="392"/>
      <c r="M7011" s="1357"/>
      <c r="Q7011" s="1357"/>
      <c r="S7011" s="1420"/>
      <c r="T7011" s="1420"/>
      <c r="V7011" s="1357">
        <v>91</v>
      </c>
    </row>
    <row r="7012" spans="1:22" s="841" customFormat="1" ht="15" x14ac:dyDescent="0.25">
      <c r="A7012" s="841" t="s">
        <v>188</v>
      </c>
      <c r="E7012" s="1690" t="s">
        <v>3186</v>
      </c>
      <c r="F7012" s="1690"/>
      <c r="G7012" s="397"/>
      <c r="H7012" s="392"/>
      <c r="M7012" s="1357"/>
      <c r="Q7012" s="1357"/>
      <c r="S7012" s="1420"/>
      <c r="T7012" s="1420"/>
      <c r="V7012" s="1357">
        <v>96</v>
      </c>
    </row>
    <row r="7013" spans="1:22" s="841" customFormat="1" ht="15" x14ac:dyDescent="0.25">
      <c r="A7013" s="841" t="s">
        <v>188</v>
      </c>
      <c r="E7013" s="1690" t="s">
        <v>3293</v>
      </c>
      <c r="F7013" s="1690"/>
      <c r="G7013" s="397"/>
      <c r="H7013" s="392"/>
      <c r="M7013" s="1357"/>
      <c r="Q7013" s="1357"/>
      <c r="S7013" s="1420"/>
      <c r="T7013" s="1420"/>
      <c r="V7013" s="1357">
        <v>77</v>
      </c>
    </row>
    <row r="7014" spans="1:22" s="841" customFormat="1" ht="15" x14ac:dyDescent="0.25">
      <c r="A7014" s="841" t="s">
        <v>188</v>
      </c>
      <c r="E7014" s="1691" t="s">
        <v>3188</v>
      </c>
      <c r="F7014" s="1691"/>
      <c r="G7014" s="397" t="s">
        <v>23</v>
      </c>
      <c r="H7014" s="392" t="s">
        <v>3189</v>
      </c>
      <c r="M7014" s="1357"/>
      <c r="Q7014" s="1357"/>
      <c r="S7014" s="1420"/>
      <c r="T7014" s="1420"/>
      <c r="V7014" s="1357">
        <v>18</v>
      </c>
    </row>
    <row r="7015" spans="1:22" s="841" customFormat="1" ht="15" x14ac:dyDescent="0.25">
      <c r="A7015" s="841" t="s">
        <v>188</v>
      </c>
      <c r="E7015" s="1691" t="s">
        <v>3190</v>
      </c>
      <c r="F7015" s="1691"/>
      <c r="G7015" s="397" t="s">
        <v>23</v>
      </c>
      <c r="H7015" s="391">
        <v>2</v>
      </c>
      <c r="M7015" s="1357"/>
      <c r="Q7015" s="1357"/>
      <c r="S7015" s="1420"/>
      <c r="T7015" s="1420"/>
      <c r="V7015" s="1357">
        <v>69</v>
      </c>
    </row>
    <row r="7016" spans="1:22" s="841" customFormat="1" ht="18.75" x14ac:dyDescent="0.3">
      <c r="A7016" s="841" t="s">
        <v>188</v>
      </c>
      <c r="E7016" s="1386" t="s">
        <v>147</v>
      </c>
      <c r="F7016" s="657"/>
      <c r="G7016" s="657"/>
      <c r="H7016" s="658"/>
      <c r="K7016" s="841" t="s">
        <v>4182</v>
      </c>
      <c r="M7016" s="1357"/>
      <c r="Q7016" s="1357"/>
      <c r="S7016" s="1420"/>
      <c r="T7016" s="1420"/>
      <c r="V7016" s="1357">
        <v>12</v>
      </c>
    </row>
    <row r="7017" spans="1:22" s="841" customFormat="1" ht="15" x14ac:dyDescent="0.25">
      <c r="A7017" s="841" t="s">
        <v>188</v>
      </c>
      <c r="E7017" s="1704" t="s">
        <v>3192</v>
      </c>
      <c r="F7017" s="1704"/>
      <c r="G7017" s="1704"/>
      <c r="H7017" s="1704"/>
      <c r="M7017" s="1357"/>
      <c r="Q7017" s="1357"/>
      <c r="S7017" s="1420"/>
      <c r="T7017" s="1420"/>
      <c r="V7017" s="1357">
        <v>203</v>
      </c>
    </row>
    <row r="7018" spans="1:22" s="841" customFormat="1" ht="15" x14ac:dyDescent="0.25">
      <c r="A7018" s="841" t="s">
        <v>188</v>
      </c>
      <c r="E7018" s="1690" t="s">
        <v>3295</v>
      </c>
      <c r="F7018" s="1690"/>
      <c r="G7018" s="1408"/>
      <c r="H7018" s="393">
        <v>1.0379</v>
      </c>
      <c r="M7018" s="1357"/>
      <c r="Q7018" s="1357"/>
      <c r="S7018" s="1420"/>
      <c r="T7018" s="1420"/>
      <c r="V7018" s="1357">
        <v>57</v>
      </c>
    </row>
    <row r="7019" spans="1:22" s="841" customFormat="1" ht="15" x14ac:dyDescent="0.25">
      <c r="A7019" s="841" t="s">
        <v>188</v>
      </c>
      <c r="E7019" s="1690" t="s">
        <v>3297</v>
      </c>
      <c r="F7019" s="1690"/>
      <c r="G7019" s="1408"/>
      <c r="H7019" s="393">
        <v>1.0275000000000001</v>
      </c>
      <c r="J7019" s="841" t="s">
        <v>4183</v>
      </c>
      <c r="M7019" s="1357"/>
      <c r="Q7019" s="1357"/>
      <c r="S7019" s="1420"/>
      <c r="T7019" s="1420"/>
      <c r="V7019" s="1357">
        <v>55</v>
      </c>
    </row>
    <row r="7020" spans="1:22" s="841" customFormat="1" ht="23.25" x14ac:dyDescent="0.25">
      <c r="A7020" s="841" t="s">
        <v>211</v>
      </c>
      <c r="B7020" s="841" t="s">
        <v>3949</v>
      </c>
      <c r="C7020" s="841" t="s">
        <v>3050</v>
      </c>
      <c r="E7020" s="1911" t="s">
        <v>211</v>
      </c>
      <c r="F7020" s="1911"/>
      <c r="G7020" s="1911"/>
      <c r="H7020" s="1911"/>
      <c r="I7020" s="841" t="s">
        <v>628</v>
      </c>
      <c r="J7020" s="841" t="s">
        <v>3950</v>
      </c>
      <c r="K7020" s="841" t="s">
        <v>211</v>
      </c>
      <c r="M7020" s="1357">
        <v>8</v>
      </c>
      <c r="Q7020" s="1357"/>
      <c r="S7020" s="1420"/>
      <c r="T7020" s="1420"/>
      <c r="V7020" s="1357">
        <v>23</v>
      </c>
    </row>
    <row r="7021" spans="1:22" s="841" customFormat="1" ht="23.25" x14ac:dyDescent="0.25">
      <c r="A7021" s="841" t="s">
        <v>211</v>
      </c>
      <c r="B7021" s="841" t="s">
        <v>3949</v>
      </c>
      <c r="C7021" s="841" t="s">
        <v>3052</v>
      </c>
      <c r="E7021" s="1911" t="s">
        <v>2462</v>
      </c>
      <c r="F7021" s="1911"/>
      <c r="G7021" s="1911"/>
      <c r="H7021" s="1911"/>
      <c r="M7021" s="1357"/>
      <c r="Q7021" s="1357"/>
      <c r="S7021" s="1420"/>
      <c r="T7021" s="1420"/>
      <c r="V7021" s="1357">
        <v>51</v>
      </c>
    </row>
    <row r="7022" spans="1:22" s="841" customFormat="1" x14ac:dyDescent="0.25">
      <c r="A7022" s="841" t="s">
        <v>211</v>
      </c>
      <c r="B7022" s="841" t="s">
        <v>3949</v>
      </c>
      <c r="C7022" s="841" t="s">
        <v>3054</v>
      </c>
      <c r="E7022" s="1912" t="s">
        <v>3053</v>
      </c>
      <c r="F7022" s="1912"/>
      <c r="G7022" s="1912"/>
      <c r="H7022" s="1912"/>
      <c r="M7022" s="1357"/>
      <c r="Q7022" s="1357"/>
      <c r="S7022" s="1420"/>
      <c r="T7022" s="1420"/>
      <c r="V7022" s="1357">
        <v>27</v>
      </c>
    </row>
    <row r="7023" spans="1:22" s="841" customFormat="1" ht="15.75" x14ac:dyDescent="0.25">
      <c r="A7023" s="841" t="s">
        <v>211</v>
      </c>
      <c r="B7023" s="841" t="s">
        <v>3949</v>
      </c>
      <c r="C7023" s="841" t="s">
        <v>3055</v>
      </c>
      <c r="E7023" s="1913" t="s">
        <v>5107</v>
      </c>
      <c r="F7023" s="1913"/>
      <c r="G7023" s="1913"/>
      <c r="H7023" s="1913"/>
      <c r="M7023" s="1357"/>
      <c r="Q7023" s="1357"/>
      <c r="S7023" s="1420">
        <v>43221</v>
      </c>
      <c r="T7023" s="1420"/>
      <c r="V7023" s="1357">
        <v>45</v>
      </c>
    </row>
    <row r="7024" spans="1:22" s="841" customFormat="1" ht="15" x14ac:dyDescent="0.25">
      <c r="A7024" s="841" t="s">
        <v>211</v>
      </c>
      <c r="B7024" s="841" t="s">
        <v>3949</v>
      </c>
      <c r="E7024" s="1914" t="s">
        <v>3056</v>
      </c>
      <c r="F7024" s="1914"/>
      <c r="G7024" s="1914"/>
      <c r="H7024" s="1914"/>
      <c r="M7024" s="1357"/>
      <c r="Q7024" s="1357"/>
      <c r="S7024" s="1420"/>
      <c r="T7024" s="1420"/>
      <c r="V7024" s="1357">
        <v>52</v>
      </c>
    </row>
    <row r="7025" spans="1:22" s="841" customFormat="1" ht="15" x14ac:dyDescent="0.25">
      <c r="A7025" s="841" t="s">
        <v>211</v>
      </c>
      <c r="B7025" s="841" t="s">
        <v>3949</v>
      </c>
      <c r="E7025" s="1914" t="s">
        <v>3057</v>
      </c>
      <c r="F7025" s="1914"/>
      <c r="G7025" s="1914"/>
      <c r="H7025" s="1914"/>
      <c r="M7025" s="1357"/>
      <c r="Q7025" s="1357"/>
      <c r="S7025" s="1420"/>
      <c r="T7025" s="1420"/>
      <c r="V7025" s="1357">
        <v>53</v>
      </c>
    </row>
    <row r="7026" spans="1:22" s="841" customFormat="1" ht="15" x14ac:dyDescent="0.25">
      <c r="A7026" s="841" t="s">
        <v>211</v>
      </c>
      <c r="B7026" s="841" t="s">
        <v>3949</v>
      </c>
      <c r="E7026" s="1925" t="s">
        <v>5473</v>
      </c>
      <c r="F7026" s="1925"/>
      <c r="G7026" s="1925"/>
      <c r="H7026" s="1925"/>
      <c r="K7026" s="841" t="s">
        <v>5473</v>
      </c>
      <c r="M7026" s="1357"/>
      <c r="Q7026" s="1357"/>
      <c r="S7026" s="1420"/>
      <c r="T7026" s="1420"/>
      <c r="V7026" s="1357">
        <v>12</v>
      </c>
    </row>
    <row r="7027" spans="1:22" s="841" customFormat="1" ht="15" x14ac:dyDescent="0.25">
      <c r="A7027" s="841" t="s">
        <v>211</v>
      </c>
      <c r="B7027" s="841" t="s">
        <v>3949</v>
      </c>
      <c r="E7027" s="1936" t="s">
        <v>438</v>
      </c>
      <c r="F7027" s="1985"/>
      <c r="G7027" s="1985"/>
      <c r="H7027" s="1985"/>
      <c r="K7027" s="841" t="s">
        <v>3197</v>
      </c>
      <c r="M7027" s="1357"/>
      <c r="Q7027" s="1357"/>
      <c r="S7027" s="1420"/>
      <c r="T7027" s="1420"/>
      <c r="V7027" s="1357">
        <v>34</v>
      </c>
    </row>
    <row r="7028" spans="1:22" s="841" customFormat="1" ht="15" x14ac:dyDescent="0.25">
      <c r="A7028" s="841" t="s">
        <v>211</v>
      </c>
      <c r="B7028" s="841" t="s">
        <v>3949</v>
      </c>
      <c r="E7028" s="1689" t="s">
        <v>3951</v>
      </c>
      <c r="F7028" s="1689"/>
      <c r="G7028" s="1689"/>
      <c r="H7028" s="1689"/>
      <c r="K7028" s="841" t="s">
        <v>3197</v>
      </c>
      <c r="M7028" s="1357"/>
      <c r="Q7028" s="1357"/>
      <c r="S7028" s="1420"/>
      <c r="T7028" s="1420"/>
      <c r="V7028" s="1357">
        <v>652</v>
      </c>
    </row>
    <row r="7029" spans="1:22" s="841" customFormat="1" ht="15" x14ac:dyDescent="0.25">
      <c r="A7029" s="841" t="s">
        <v>211</v>
      </c>
      <c r="B7029" s="841" t="s">
        <v>3949</v>
      </c>
      <c r="E7029" s="1916" t="s">
        <v>3061</v>
      </c>
      <c r="F7029" s="1689"/>
      <c r="G7029" s="1689"/>
      <c r="H7029" s="1689"/>
      <c r="K7029" s="841" t="s">
        <v>3062</v>
      </c>
      <c r="M7029" s="1357"/>
      <c r="Q7029" s="1357"/>
      <c r="S7029" s="1420"/>
      <c r="T7029" s="1420"/>
      <c r="V7029" s="1357">
        <v>11</v>
      </c>
    </row>
    <row r="7030" spans="1:22" s="841" customFormat="1" ht="15" x14ac:dyDescent="0.25">
      <c r="A7030" s="841" t="s">
        <v>211</v>
      </c>
      <c r="B7030" s="841" t="s">
        <v>3949</v>
      </c>
      <c r="E7030" s="1689" t="s">
        <v>3063</v>
      </c>
      <c r="F7030" s="1689"/>
      <c r="G7030" s="1689"/>
      <c r="H7030" s="1689"/>
      <c r="K7030" s="841" t="s">
        <v>3197</v>
      </c>
      <c r="M7030" s="1357"/>
      <c r="Q7030" s="1357"/>
      <c r="S7030" s="1420"/>
      <c r="T7030" s="1420"/>
      <c r="V7030" s="1357">
        <v>280</v>
      </c>
    </row>
    <row r="7031" spans="1:22" s="841" customFormat="1" ht="15" x14ac:dyDescent="0.25">
      <c r="A7031" s="841" t="s">
        <v>211</v>
      </c>
      <c r="B7031" s="841" t="s">
        <v>3949</v>
      </c>
      <c r="E7031" s="1689" t="s">
        <v>3064</v>
      </c>
      <c r="F7031" s="1689"/>
      <c r="G7031" s="1689"/>
      <c r="H7031" s="1689"/>
      <c r="K7031" s="841" t="s">
        <v>3197</v>
      </c>
      <c r="M7031" s="1357"/>
      <c r="Q7031" s="1357"/>
      <c r="S7031" s="1420"/>
      <c r="T7031" s="1420"/>
      <c r="V7031" s="1357">
        <v>411</v>
      </c>
    </row>
    <row r="7032" spans="1:22" s="841" customFormat="1" ht="15" x14ac:dyDescent="0.25">
      <c r="A7032" s="841" t="s">
        <v>211</v>
      </c>
      <c r="B7032" s="841" t="s">
        <v>3949</v>
      </c>
      <c r="E7032" s="1689" t="s">
        <v>3129</v>
      </c>
      <c r="F7032" s="1689"/>
      <c r="G7032" s="1689"/>
      <c r="H7032" s="1689"/>
      <c r="K7032" s="841" t="s">
        <v>3197</v>
      </c>
      <c r="M7032" s="1357"/>
      <c r="Q7032" s="1357"/>
      <c r="S7032" s="1420"/>
      <c r="T7032" s="1420"/>
      <c r="V7032" s="1357">
        <v>211</v>
      </c>
    </row>
    <row r="7033" spans="1:22" s="841" customFormat="1" ht="15" x14ac:dyDescent="0.25">
      <c r="A7033" s="841" t="s">
        <v>211</v>
      </c>
      <c r="B7033" s="841" t="s">
        <v>3949</v>
      </c>
      <c r="E7033" s="1689" t="s">
        <v>3390</v>
      </c>
      <c r="F7033" s="1689"/>
      <c r="G7033" s="1689"/>
      <c r="H7033" s="1689"/>
      <c r="K7033" s="841" t="s">
        <v>3197</v>
      </c>
      <c r="M7033" s="1357"/>
      <c r="Q7033" s="1357"/>
      <c r="S7033" s="1420"/>
      <c r="T7033" s="1420"/>
      <c r="V7033" s="1357">
        <v>274</v>
      </c>
    </row>
    <row r="7034" spans="1:22" s="841" customFormat="1" ht="15" x14ac:dyDescent="0.25">
      <c r="A7034" s="841" t="s">
        <v>211</v>
      </c>
      <c r="B7034" s="841" t="s">
        <v>3949</v>
      </c>
      <c r="E7034" s="1694" t="s">
        <v>3067</v>
      </c>
      <c r="F7034" s="1922"/>
      <c r="G7034" s="1907"/>
      <c r="H7034" s="1907"/>
      <c r="K7034" s="841" t="s">
        <v>3068</v>
      </c>
      <c r="M7034" s="1357"/>
      <c r="Q7034" s="1357"/>
      <c r="S7034" s="1420"/>
      <c r="T7034" s="1420"/>
      <c r="V7034" s="1357">
        <v>46</v>
      </c>
    </row>
    <row r="7035" spans="1:22" s="841" customFormat="1" ht="15" x14ac:dyDescent="0.25">
      <c r="A7035" s="841" t="s">
        <v>211</v>
      </c>
      <c r="B7035" s="841" t="s">
        <v>3949</v>
      </c>
      <c r="E7035" s="1920" t="s">
        <v>11</v>
      </c>
      <c r="F7035" s="1920"/>
      <c r="G7035" s="1366" t="s">
        <v>23</v>
      </c>
      <c r="H7035" s="1193">
        <v>32.79</v>
      </c>
      <c r="K7035" s="841" t="s">
        <v>3197</v>
      </c>
      <c r="L7035" s="841" t="s">
        <v>442</v>
      </c>
      <c r="M7035" s="1357"/>
      <c r="P7035" s="841" t="s">
        <v>3201</v>
      </c>
      <c r="Q7035" s="1357"/>
      <c r="S7035" s="1420"/>
      <c r="T7035" s="1420"/>
      <c r="V7035" s="1357">
        <v>14</v>
      </c>
    </row>
    <row r="7036" spans="1:22" s="841" customFormat="1" ht="15" x14ac:dyDescent="0.25">
      <c r="A7036" s="841" t="s">
        <v>211</v>
      </c>
      <c r="B7036" s="841" t="s">
        <v>3949</v>
      </c>
      <c r="E7036" s="1920" t="s">
        <v>5630</v>
      </c>
      <c r="F7036" s="1690"/>
      <c r="G7036" s="1366" t="s">
        <v>23</v>
      </c>
      <c r="H7036" s="391">
        <v>-0.49</v>
      </c>
      <c r="K7036" s="841" t="s">
        <v>3197</v>
      </c>
      <c r="L7036" s="841" t="s">
        <v>442</v>
      </c>
      <c r="M7036" s="1357"/>
      <c r="P7036" s="841" t="s">
        <v>6344</v>
      </c>
      <c r="Q7036" s="1357"/>
      <c r="S7036" s="1420"/>
      <c r="T7036" s="1420">
        <v>43715</v>
      </c>
      <c r="V7036" s="1357">
        <v>93</v>
      </c>
    </row>
    <row r="7037" spans="1:22" s="841" customFormat="1" ht="15" x14ac:dyDescent="0.25">
      <c r="A7037" s="841" t="s">
        <v>211</v>
      </c>
      <c r="B7037" s="841" t="s">
        <v>3949</v>
      </c>
      <c r="E7037" s="1920" t="s">
        <v>5109</v>
      </c>
      <c r="F7037" s="1920"/>
      <c r="G7037" s="1366" t="s">
        <v>23</v>
      </c>
      <c r="H7037" s="1195">
        <v>0.56999999999999995</v>
      </c>
      <c r="K7037" s="841" t="s">
        <v>3197</v>
      </c>
      <c r="L7037" s="841" t="s">
        <v>443</v>
      </c>
      <c r="M7037" s="1357"/>
      <c r="P7037" s="841" t="s">
        <v>3202</v>
      </c>
      <c r="Q7037" s="1357"/>
      <c r="S7037" s="1420"/>
      <c r="T7037" s="1420">
        <v>44926</v>
      </c>
      <c r="V7037" s="1357">
        <v>64</v>
      </c>
    </row>
    <row r="7038" spans="1:22" s="841" customFormat="1" ht="15" x14ac:dyDescent="0.25">
      <c r="A7038" s="841" t="s">
        <v>211</v>
      </c>
      <c r="B7038" s="841" t="s">
        <v>3949</v>
      </c>
      <c r="E7038" s="1920" t="s">
        <v>84</v>
      </c>
      <c r="F7038" s="1920"/>
      <c r="G7038" s="1366" t="s">
        <v>24</v>
      </c>
      <c r="H7038" s="1194">
        <v>5.4999999999999997E-3</v>
      </c>
      <c r="K7038" s="841" t="s">
        <v>3197</v>
      </c>
      <c r="L7038" s="841" t="s">
        <v>442</v>
      </c>
      <c r="M7038" s="1357"/>
      <c r="P7038" s="841" t="s">
        <v>3203</v>
      </c>
      <c r="Q7038" s="1357"/>
      <c r="S7038" s="1420"/>
      <c r="T7038" s="1420"/>
      <c r="V7038" s="1357">
        <v>28</v>
      </c>
    </row>
    <row r="7039" spans="1:22" s="841" customFormat="1" ht="15" x14ac:dyDescent="0.25">
      <c r="A7039" s="841" t="s">
        <v>211</v>
      </c>
      <c r="B7039" s="841" t="s">
        <v>3949</v>
      </c>
      <c r="E7039" s="1920" t="s">
        <v>18</v>
      </c>
      <c r="F7039" s="1920"/>
      <c r="G7039" s="1366" t="s">
        <v>24</v>
      </c>
      <c r="H7039" s="1196">
        <v>8.9999999999999998E-4</v>
      </c>
      <c r="K7039" s="841" t="s">
        <v>3197</v>
      </c>
      <c r="L7039" s="841" t="s">
        <v>443</v>
      </c>
      <c r="M7039" s="1357"/>
      <c r="P7039" s="841" t="s">
        <v>3204</v>
      </c>
      <c r="Q7039" s="1357"/>
      <c r="S7039" s="1420"/>
      <c r="T7039" s="1420"/>
      <c r="V7039" s="1357">
        <v>24</v>
      </c>
    </row>
    <row r="7040" spans="1:22" s="841" customFormat="1" ht="15" x14ac:dyDescent="0.25">
      <c r="A7040" s="841" t="s">
        <v>211</v>
      </c>
      <c r="B7040" s="841" t="s">
        <v>3949</v>
      </c>
      <c r="E7040" s="1920" t="s">
        <v>5129</v>
      </c>
      <c r="F7040" s="1908"/>
      <c r="G7040" s="1366" t="s">
        <v>24</v>
      </c>
      <c r="H7040" s="1196">
        <v>-7.4000000000000003E-3</v>
      </c>
      <c r="K7040" s="841" t="s">
        <v>3197</v>
      </c>
      <c r="L7040" s="841" t="s">
        <v>443</v>
      </c>
      <c r="M7040" s="1357"/>
      <c r="P7040" s="841" t="s">
        <v>3205</v>
      </c>
      <c r="Q7040" s="1357"/>
      <c r="S7040" s="1420"/>
      <c r="T7040" s="1420">
        <v>43585</v>
      </c>
      <c r="V7040" s="1357">
        <v>139</v>
      </c>
    </row>
    <row r="7041" spans="1:22" s="841" customFormat="1" ht="15" x14ac:dyDescent="0.25">
      <c r="A7041" s="841" t="s">
        <v>211</v>
      </c>
      <c r="B7041" s="841" t="s">
        <v>3949</v>
      </c>
      <c r="E7041" s="1920" t="s">
        <v>5130</v>
      </c>
      <c r="F7041" s="1908"/>
      <c r="G7041" s="1366" t="s">
        <v>24</v>
      </c>
      <c r="H7041" s="1196">
        <v>4.2024675459616453E-3</v>
      </c>
      <c r="K7041" s="841" t="s">
        <v>3197</v>
      </c>
      <c r="L7041" s="841" t="s">
        <v>443</v>
      </c>
      <c r="M7041" s="1357"/>
      <c r="P7041" s="841" t="s">
        <v>3207</v>
      </c>
      <c r="Q7041" s="1357"/>
      <c r="S7041" s="1420"/>
      <c r="T7041" s="1420">
        <v>43585</v>
      </c>
      <c r="V7041" s="1357">
        <v>96</v>
      </c>
    </row>
    <row r="7042" spans="1:22" s="841" customFormat="1" ht="15" x14ac:dyDescent="0.25">
      <c r="A7042" s="841" t="s">
        <v>211</v>
      </c>
      <c r="B7042" s="841" t="s">
        <v>3949</v>
      </c>
      <c r="E7042" s="1920" t="s">
        <v>5631</v>
      </c>
      <c r="F7042" s="1920"/>
      <c r="G7042" s="1366" t="s">
        <v>24</v>
      </c>
      <c r="H7042" s="1196">
        <v>2.0000000000000001E-4</v>
      </c>
      <c r="K7042" s="841" t="s">
        <v>3197</v>
      </c>
      <c r="L7042" s="841" t="s">
        <v>442</v>
      </c>
      <c r="M7042" s="1357"/>
      <c r="P7042" s="841" t="s">
        <v>3954</v>
      </c>
      <c r="Q7042" s="1357"/>
      <c r="S7042" s="1420"/>
      <c r="T7042" s="1420"/>
      <c r="V7042" s="1357">
        <v>128</v>
      </c>
    </row>
    <row r="7043" spans="1:22" s="841" customFormat="1" ht="15" x14ac:dyDescent="0.25">
      <c r="A7043" s="841" t="s">
        <v>211</v>
      </c>
      <c r="B7043" s="841" t="s">
        <v>3949</v>
      </c>
      <c r="E7043" s="1920" t="s">
        <v>5630</v>
      </c>
      <c r="F7043" s="1690"/>
      <c r="G7043" s="1366" t="s">
        <v>24</v>
      </c>
      <c r="H7043" s="1196">
        <v>-1E-4</v>
      </c>
      <c r="K7043" s="841" t="s">
        <v>3197</v>
      </c>
      <c r="L7043" s="841" t="s">
        <v>442</v>
      </c>
      <c r="M7043" s="1357"/>
      <c r="P7043" s="841" t="s">
        <v>6345</v>
      </c>
      <c r="Q7043" s="1357"/>
      <c r="S7043" s="1420"/>
      <c r="T7043" s="1420">
        <v>43715</v>
      </c>
      <c r="V7043" s="1357">
        <v>93</v>
      </c>
    </row>
    <row r="7044" spans="1:22" s="841" customFormat="1" ht="15" x14ac:dyDescent="0.25">
      <c r="A7044" s="841" t="s">
        <v>211</v>
      </c>
      <c r="B7044" s="841" t="s">
        <v>3949</v>
      </c>
      <c r="E7044" s="1920" t="s">
        <v>221</v>
      </c>
      <c r="F7044" s="1920"/>
      <c r="G7044" s="1366" t="s">
        <v>24</v>
      </c>
      <c r="H7044" s="1194">
        <v>6.7000000000000002E-3</v>
      </c>
      <c r="K7044" s="841" t="s">
        <v>3197</v>
      </c>
      <c r="L7044" s="841" t="s">
        <v>444</v>
      </c>
      <c r="M7044" s="1357"/>
      <c r="P7044" s="841" t="s">
        <v>3208</v>
      </c>
      <c r="Q7044" s="1357"/>
      <c r="S7044" s="1420"/>
      <c r="T7044" s="1420"/>
      <c r="V7044" s="1357">
        <v>47</v>
      </c>
    </row>
    <row r="7045" spans="1:22" s="841" customFormat="1" ht="15" x14ac:dyDescent="0.25">
      <c r="A7045" s="841" t="s">
        <v>211</v>
      </c>
      <c r="B7045" s="841" t="s">
        <v>3949</v>
      </c>
      <c r="E7045" s="1920" t="s">
        <v>217</v>
      </c>
      <c r="F7045" s="1920"/>
      <c r="G7045" s="1366" t="s">
        <v>24</v>
      </c>
      <c r="H7045" s="1194">
        <v>3.8E-3</v>
      </c>
      <c r="K7045" s="841" t="s">
        <v>3197</v>
      </c>
      <c r="L7045" s="841" t="s">
        <v>444</v>
      </c>
      <c r="M7045" s="1357"/>
      <c r="P7045" s="841" t="s">
        <v>3209</v>
      </c>
      <c r="Q7045" s="1357"/>
      <c r="S7045" s="1420"/>
      <c r="T7045" s="1420"/>
      <c r="V7045" s="1357">
        <v>74</v>
      </c>
    </row>
    <row r="7046" spans="1:22" s="841" customFormat="1" ht="15" x14ac:dyDescent="0.25">
      <c r="A7046" s="841" t="s">
        <v>211</v>
      </c>
      <c r="B7046" s="841" t="s">
        <v>3949</v>
      </c>
      <c r="E7046" s="1694" t="s">
        <v>3079</v>
      </c>
      <c r="F7046" s="1906"/>
      <c r="G7046" s="1365"/>
      <c r="H7046" s="1365"/>
      <c r="K7046" s="841" t="s">
        <v>3080</v>
      </c>
      <c r="M7046" s="1357"/>
      <c r="Q7046" s="1357"/>
      <c r="S7046" s="1420"/>
      <c r="T7046" s="1420"/>
      <c r="V7046" s="1357">
        <v>48</v>
      </c>
    </row>
    <row r="7047" spans="1:22" s="841" customFormat="1" ht="15" x14ac:dyDescent="0.25">
      <c r="A7047" s="841" t="s">
        <v>211</v>
      </c>
      <c r="B7047" s="841" t="s">
        <v>3949</v>
      </c>
      <c r="E7047" s="1920" t="s">
        <v>2449</v>
      </c>
      <c r="F7047" s="1920"/>
      <c r="G7047" s="1366" t="s">
        <v>24</v>
      </c>
      <c r="H7047" s="1196">
        <v>3.2000000000000002E-3</v>
      </c>
      <c r="K7047" s="841" t="s">
        <v>3197</v>
      </c>
      <c r="L7047" s="841" t="s">
        <v>3046</v>
      </c>
      <c r="M7047" s="1357"/>
      <c r="P7047" s="841" t="s">
        <v>3210</v>
      </c>
      <c r="Q7047" s="1357"/>
      <c r="S7047" s="1420"/>
      <c r="T7047" s="1420"/>
      <c r="V7047" s="1357">
        <v>55</v>
      </c>
    </row>
    <row r="7048" spans="1:22" s="841" customFormat="1" ht="15" x14ac:dyDescent="0.25">
      <c r="A7048" s="841" t="s">
        <v>211</v>
      </c>
      <c r="B7048" s="841" t="s">
        <v>3949</v>
      </c>
      <c r="E7048" s="1920" t="s">
        <v>2450</v>
      </c>
      <c r="F7048" s="1920"/>
      <c r="G7048" s="1366" t="s">
        <v>24</v>
      </c>
      <c r="H7048" s="1196">
        <v>4.0000000000000002E-4</v>
      </c>
      <c r="K7048" s="841" t="s">
        <v>3197</v>
      </c>
      <c r="L7048" s="841" t="s">
        <v>3046</v>
      </c>
      <c r="M7048" s="1357"/>
      <c r="P7048" s="841" t="s">
        <v>3210</v>
      </c>
      <c r="Q7048" s="1357"/>
      <c r="S7048" s="1420"/>
      <c r="T7048" s="1420"/>
      <c r="V7048" s="1357">
        <v>65</v>
      </c>
    </row>
    <row r="7049" spans="1:22" s="841" customFormat="1" ht="15" x14ac:dyDescent="0.25">
      <c r="A7049" s="841" t="s">
        <v>211</v>
      </c>
      <c r="B7049" s="841" t="s">
        <v>3949</v>
      </c>
      <c r="E7049" s="1920" t="s">
        <v>439</v>
      </c>
      <c r="F7049" s="1920"/>
      <c r="G7049" s="1366" t="s">
        <v>24</v>
      </c>
      <c r="H7049" s="1196">
        <v>2.9999999999999997E-4</v>
      </c>
      <c r="K7049" s="841" t="s">
        <v>3197</v>
      </c>
      <c r="L7049" s="841" t="s">
        <v>3046</v>
      </c>
      <c r="M7049" s="1357"/>
      <c r="P7049" s="841" t="s">
        <v>3212</v>
      </c>
      <c r="Q7049" s="1357"/>
      <c r="S7049" s="1420"/>
      <c r="T7049" s="1420"/>
      <c r="V7049" s="1357">
        <v>57</v>
      </c>
    </row>
    <row r="7050" spans="1:22" s="841" customFormat="1" ht="15" x14ac:dyDescent="0.25">
      <c r="A7050" s="841" t="s">
        <v>211</v>
      </c>
      <c r="B7050" s="841" t="s">
        <v>3949</v>
      </c>
      <c r="E7050" s="1920" t="s">
        <v>32</v>
      </c>
      <c r="F7050" s="1920"/>
      <c r="G7050" s="1366" t="s">
        <v>23</v>
      </c>
      <c r="H7050" s="1196">
        <v>0.25</v>
      </c>
      <c r="K7050" s="841" t="s">
        <v>3197</v>
      </c>
      <c r="L7050" s="841" t="s">
        <v>3046</v>
      </c>
      <c r="M7050" s="1357"/>
      <c r="P7050" s="841" t="s">
        <v>3213</v>
      </c>
      <c r="Q7050" s="1357"/>
      <c r="S7050" s="1420"/>
      <c r="T7050" s="1420"/>
      <c r="V7050" s="1357">
        <v>63</v>
      </c>
    </row>
    <row r="7051" spans="1:22" s="841" customFormat="1" x14ac:dyDescent="0.25">
      <c r="A7051" s="841" t="s">
        <v>211</v>
      </c>
      <c r="B7051" s="841" t="s">
        <v>3949</v>
      </c>
      <c r="E7051" s="1936" t="s">
        <v>3214</v>
      </c>
      <c r="F7051" s="1936"/>
      <c r="G7051" s="1936"/>
      <c r="H7051" s="1936"/>
      <c r="K7051" s="841" t="s">
        <v>5110</v>
      </c>
      <c r="M7051" s="1357"/>
      <c r="Q7051" s="1357"/>
      <c r="S7051" s="1420"/>
      <c r="T7051" s="1420"/>
      <c r="V7051" s="1357">
        <v>54</v>
      </c>
    </row>
    <row r="7052" spans="1:22" s="841" customFormat="1" ht="15" x14ac:dyDescent="0.25">
      <c r="A7052" s="841" t="s">
        <v>211</v>
      </c>
      <c r="B7052" s="841" t="s">
        <v>3949</v>
      </c>
      <c r="E7052" s="1689" t="s">
        <v>3955</v>
      </c>
      <c r="F7052" s="1689"/>
      <c r="G7052" s="1689"/>
      <c r="H7052" s="1689"/>
      <c r="K7052" s="841" t="s">
        <v>5110</v>
      </c>
      <c r="M7052" s="1357"/>
      <c r="Q7052" s="1357"/>
      <c r="S7052" s="1420"/>
      <c r="T7052" s="1420"/>
      <c r="V7052" s="1357">
        <v>336</v>
      </c>
    </row>
    <row r="7053" spans="1:22" s="841" customFormat="1" ht="15" x14ac:dyDescent="0.25">
      <c r="A7053" s="841" t="s">
        <v>211</v>
      </c>
      <c r="B7053" s="841" t="s">
        <v>3949</v>
      </c>
      <c r="E7053" s="1916" t="s">
        <v>3061</v>
      </c>
      <c r="F7053" s="1689"/>
      <c r="G7053" s="1689"/>
      <c r="H7053" s="1689"/>
      <c r="K7053" s="841" t="s">
        <v>3086</v>
      </c>
      <c r="M7053" s="1357"/>
      <c r="Q7053" s="1357"/>
      <c r="S7053" s="1420"/>
      <c r="T7053" s="1420"/>
      <c r="V7053" s="1357">
        <v>11</v>
      </c>
    </row>
    <row r="7054" spans="1:22" s="841" customFormat="1" ht="15" x14ac:dyDescent="0.25">
      <c r="A7054" s="841" t="s">
        <v>211</v>
      </c>
      <c r="B7054" s="841" t="s">
        <v>3949</v>
      </c>
      <c r="E7054" s="1689" t="s">
        <v>3063</v>
      </c>
      <c r="F7054" s="1689"/>
      <c r="G7054" s="1689"/>
      <c r="H7054" s="1689"/>
      <c r="K7054" s="841" t="s">
        <v>5110</v>
      </c>
      <c r="M7054" s="1357"/>
      <c r="Q7054" s="1357"/>
      <c r="S7054" s="1420"/>
      <c r="T7054" s="1420"/>
      <c r="V7054" s="1357">
        <v>280</v>
      </c>
    </row>
    <row r="7055" spans="1:22" s="841" customFormat="1" ht="15" x14ac:dyDescent="0.25">
      <c r="A7055" s="841" t="s">
        <v>211</v>
      </c>
      <c r="B7055" s="841" t="s">
        <v>3949</v>
      </c>
      <c r="E7055" s="1689" t="s">
        <v>3064</v>
      </c>
      <c r="F7055" s="1689"/>
      <c r="G7055" s="1689"/>
      <c r="H7055" s="1689"/>
      <c r="K7055" s="841" t="s">
        <v>5110</v>
      </c>
      <c r="M7055" s="1357"/>
      <c r="Q7055" s="1357"/>
      <c r="S7055" s="1420"/>
      <c r="T7055" s="1420"/>
      <c r="V7055" s="1357">
        <v>411</v>
      </c>
    </row>
    <row r="7056" spans="1:22" s="841" customFormat="1" ht="15" x14ac:dyDescent="0.25">
      <c r="A7056" s="841" t="s">
        <v>211</v>
      </c>
      <c r="B7056" s="841" t="s">
        <v>3949</v>
      </c>
      <c r="E7056" s="1689" t="s">
        <v>3129</v>
      </c>
      <c r="F7056" s="1689"/>
      <c r="G7056" s="1689"/>
      <c r="H7056" s="1689"/>
      <c r="K7056" s="841" t="s">
        <v>5110</v>
      </c>
      <c r="M7056" s="1357"/>
      <c r="Q7056" s="1357"/>
      <c r="S7056" s="1420"/>
      <c r="T7056" s="1420"/>
      <c r="V7056" s="1357">
        <v>211</v>
      </c>
    </row>
    <row r="7057" spans="1:22" s="841" customFormat="1" ht="15" x14ac:dyDescent="0.25">
      <c r="A7057" s="841" t="s">
        <v>211</v>
      </c>
      <c r="B7057" s="841" t="s">
        <v>3949</v>
      </c>
      <c r="E7057" s="1689" t="s">
        <v>3390</v>
      </c>
      <c r="F7057" s="1689"/>
      <c r="G7057" s="1689"/>
      <c r="H7057" s="1689"/>
      <c r="K7057" s="841" t="s">
        <v>5110</v>
      </c>
      <c r="M7057" s="1357"/>
      <c r="Q7057" s="1357"/>
      <c r="S7057" s="1420"/>
      <c r="T7057" s="1420"/>
      <c r="V7057" s="1357">
        <v>274</v>
      </c>
    </row>
    <row r="7058" spans="1:22" s="841" customFormat="1" ht="15" x14ac:dyDescent="0.25">
      <c r="A7058" s="841" t="s">
        <v>211</v>
      </c>
      <c r="B7058" s="841" t="s">
        <v>3949</v>
      </c>
      <c r="E7058" s="1694" t="s">
        <v>3067</v>
      </c>
      <c r="F7058" s="1907"/>
      <c r="G7058" s="1907"/>
      <c r="H7058" s="1907"/>
      <c r="K7058" s="841" t="s">
        <v>3087</v>
      </c>
      <c r="M7058" s="1357"/>
      <c r="Q7058" s="1357"/>
      <c r="S7058" s="1420"/>
      <c r="T7058" s="1420"/>
      <c r="V7058" s="1357">
        <v>46</v>
      </c>
    </row>
    <row r="7059" spans="1:22" s="841" customFormat="1" ht="15" x14ac:dyDescent="0.25">
      <c r="A7059" s="841" t="s">
        <v>211</v>
      </c>
      <c r="B7059" s="841" t="s">
        <v>3949</v>
      </c>
      <c r="E7059" s="1920" t="s">
        <v>11</v>
      </c>
      <c r="F7059" s="1920"/>
      <c r="G7059" s="1366" t="s">
        <v>23</v>
      </c>
      <c r="H7059" s="1193">
        <v>49.98</v>
      </c>
      <c r="K7059" s="841" t="s">
        <v>5110</v>
      </c>
      <c r="L7059" s="841" t="s">
        <v>442</v>
      </c>
      <c r="M7059" s="1357"/>
      <c r="P7059" s="841" t="s">
        <v>5111</v>
      </c>
      <c r="Q7059" s="1357"/>
      <c r="S7059" s="1420"/>
      <c r="T7059" s="1420"/>
      <c r="V7059" s="1357">
        <v>14</v>
      </c>
    </row>
    <row r="7060" spans="1:22" s="841" customFormat="1" ht="15" x14ac:dyDescent="0.25">
      <c r="A7060" s="841" t="s">
        <v>211</v>
      </c>
      <c r="B7060" s="841" t="s">
        <v>3949</v>
      </c>
      <c r="E7060" s="1920" t="s">
        <v>5109</v>
      </c>
      <c r="F7060" s="1920"/>
      <c r="G7060" s="1366" t="s">
        <v>23</v>
      </c>
      <c r="H7060" s="733">
        <v>0.56999999999999995</v>
      </c>
      <c r="K7060" s="841" t="s">
        <v>5110</v>
      </c>
      <c r="L7060" s="841" t="s">
        <v>443</v>
      </c>
      <c r="M7060" s="1357"/>
      <c r="P7060" s="841" t="s">
        <v>5112</v>
      </c>
      <c r="Q7060" s="1357"/>
      <c r="S7060" s="1420"/>
      <c r="T7060" s="1420">
        <v>44926</v>
      </c>
      <c r="V7060" s="1357">
        <v>64</v>
      </c>
    </row>
    <row r="7061" spans="1:22" s="841" customFormat="1" ht="15" x14ac:dyDescent="0.25">
      <c r="A7061" s="841" t="s">
        <v>211</v>
      </c>
      <c r="B7061" s="841" t="s">
        <v>3949</v>
      </c>
      <c r="E7061" s="1920" t="s">
        <v>3952</v>
      </c>
      <c r="F7061" s="1920"/>
      <c r="G7061" s="1365" t="s">
        <v>23</v>
      </c>
      <c r="H7061" s="733">
        <v>-0.74</v>
      </c>
      <c r="K7061" s="841" t="s">
        <v>5110</v>
      </c>
      <c r="L7061" s="841" t="s">
        <v>442</v>
      </c>
      <c r="M7061" s="1357"/>
      <c r="P7061" s="841" t="s">
        <v>6346</v>
      </c>
      <c r="Q7061" s="1357"/>
      <c r="S7061" s="1420"/>
      <c r="T7061" s="1420">
        <v>43715</v>
      </c>
      <c r="V7061" s="1357">
        <v>73</v>
      </c>
    </row>
    <row r="7062" spans="1:22" s="841" customFormat="1" ht="15" x14ac:dyDescent="0.25">
      <c r="A7062" s="841" t="s">
        <v>211</v>
      </c>
      <c r="B7062" s="841" t="s">
        <v>3949</v>
      </c>
      <c r="E7062" s="1920" t="s">
        <v>84</v>
      </c>
      <c r="F7062" s="1920"/>
      <c r="G7062" s="1366" t="s">
        <v>24</v>
      </c>
      <c r="H7062" s="1194">
        <v>1.5599999999999999E-2</v>
      </c>
      <c r="K7062" s="841" t="s">
        <v>5110</v>
      </c>
      <c r="L7062" s="841" t="s">
        <v>442</v>
      </c>
      <c r="M7062" s="1357"/>
      <c r="P7062" s="841" t="s">
        <v>5113</v>
      </c>
      <c r="Q7062" s="1357"/>
      <c r="S7062" s="1420"/>
      <c r="T7062" s="1420"/>
      <c r="V7062" s="1357">
        <v>28</v>
      </c>
    </row>
    <row r="7063" spans="1:22" s="841" customFormat="1" ht="15" x14ac:dyDescent="0.25">
      <c r="A7063" s="841" t="s">
        <v>211</v>
      </c>
      <c r="B7063" s="841" t="s">
        <v>3949</v>
      </c>
      <c r="E7063" s="1920" t="s">
        <v>18</v>
      </c>
      <c r="F7063" s="1920"/>
      <c r="G7063" s="1366" t="s">
        <v>24</v>
      </c>
      <c r="H7063" s="1196">
        <v>8.0000000000000004E-4</v>
      </c>
      <c r="K7063" s="841" t="s">
        <v>5110</v>
      </c>
      <c r="L7063" s="841" t="s">
        <v>443</v>
      </c>
      <c r="M7063" s="1357"/>
      <c r="P7063" s="841" t="s">
        <v>5114</v>
      </c>
      <c r="Q7063" s="1357"/>
      <c r="S7063" s="1420"/>
      <c r="T7063" s="1420"/>
      <c r="V7063" s="1357">
        <v>24</v>
      </c>
    </row>
    <row r="7064" spans="1:22" s="841" customFormat="1" ht="15" x14ac:dyDescent="0.25">
      <c r="A7064" s="841" t="s">
        <v>211</v>
      </c>
      <c r="B7064" s="841" t="s">
        <v>3949</v>
      </c>
      <c r="E7064" s="1920" t="s">
        <v>3953</v>
      </c>
      <c r="F7064" s="1920"/>
      <c r="G7064" s="1365" t="s">
        <v>24</v>
      </c>
      <c r="H7064" s="732">
        <v>-2.9999999999999997E-4</v>
      </c>
      <c r="K7064" s="841" t="s">
        <v>5110</v>
      </c>
      <c r="L7064" s="841" t="s">
        <v>442</v>
      </c>
      <c r="M7064" s="1357"/>
      <c r="P7064" s="841" t="s">
        <v>6347</v>
      </c>
      <c r="Q7064" s="1357"/>
      <c r="S7064" s="1420"/>
      <c r="T7064" s="1420">
        <v>43715</v>
      </c>
      <c r="V7064" s="1357">
        <v>72</v>
      </c>
    </row>
    <row r="7065" spans="1:22" s="841" customFormat="1" ht="15" x14ac:dyDescent="0.25">
      <c r="A7065" s="841" t="s">
        <v>211</v>
      </c>
      <c r="B7065" s="841" t="s">
        <v>3949</v>
      </c>
      <c r="E7065" s="1920" t="s">
        <v>5129</v>
      </c>
      <c r="F7065" s="1908"/>
      <c r="G7065" s="1365" t="s">
        <v>24</v>
      </c>
      <c r="H7065" s="732">
        <v>-7.4000000000000003E-3</v>
      </c>
      <c r="K7065" s="841" t="s">
        <v>5110</v>
      </c>
      <c r="L7065" s="841" t="s">
        <v>443</v>
      </c>
      <c r="M7065" s="1357"/>
      <c r="P7065" s="841" t="s">
        <v>4818</v>
      </c>
      <c r="Q7065" s="1357"/>
      <c r="S7065" s="1420"/>
      <c r="T7065" s="1420">
        <v>43585</v>
      </c>
      <c r="V7065" s="1357">
        <v>139</v>
      </c>
    </row>
    <row r="7066" spans="1:22" s="841" customFormat="1" ht="15" x14ac:dyDescent="0.25">
      <c r="A7066" s="841" t="s">
        <v>211</v>
      </c>
      <c r="B7066" s="841" t="s">
        <v>3949</v>
      </c>
      <c r="E7066" s="1920" t="s">
        <v>5130</v>
      </c>
      <c r="F7066" s="1908"/>
      <c r="G7066" s="1365" t="s">
        <v>24</v>
      </c>
      <c r="H7066" s="732">
        <v>4.2373782934702195E-3</v>
      </c>
      <c r="K7066" s="841" t="s">
        <v>5110</v>
      </c>
      <c r="L7066" s="841" t="s">
        <v>443</v>
      </c>
      <c r="M7066" s="1357"/>
      <c r="P7066" s="841" t="s">
        <v>5124</v>
      </c>
      <c r="Q7066" s="1357"/>
      <c r="S7066" s="1420"/>
      <c r="T7066" s="1420">
        <v>43585</v>
      </c>
      <c r="V7066" s="1357">
        <v>96</v>
      </c>
    </row>
    <row r="7067" spans="1:22" s="841" customFormat="1" ht="15" x14ac:dyDescent="0.25">
      <c r="A7067" s="841" t="s">
        <v>211</v>
      </c>
      <c r="B7067" s="841" t="s">
        <v>3949</v>
      </c>
      <c r="E7067" s="1920" t="s">
        <v>5632</v>
      </c>
      <c r="F7067" s="1920"/>
      <c r="G7067" s="1366" t="s">
        <v>24</v>
      </c>
      <c r="H7067" s="1196">
        <v>1E-4</v>
      </c>
      <c r="K7067" s="841" t="s">
        <v>5110</v>
      </c>
      <c r="L7067" s="841" t="s">
        <v>442</v>
      </c>
      <c r="M7067" s="1357"/>
      <c r="P7067" s="841" t="s">
        <v>5391</v>
      </c>
      <c r="Q7067" s="1357"/>
      <c r="S7067" s="1420"/>
      <c r="T7067" s="1420"/>
      <c r="V7067" s="1357">
        <v>128</v>
      </c>
    </row>
    <row r="7068" spans="1:22" s="841" customFormat="1" ht="15" x14ac:dyDescent="0.25">
      <c r="A7068" s="841" t="s">
        <v>211</v>
      </c>
      <c r="B7068" s="841" t="s">
        <v>3949</v>
      </c>
      <c r="E7068" s="1920" t="s">
        <v>221</v>
      </c>
      <c r="F7068" s="1920"/>
      <c r="G7068" s="1366" t="s">
        <v>24</v>
      </c>
      <c r="H7068" s="1194">
        <v>6.1999999999999998E-3</v>
      </c>
      <c r="K7068" s="841" t="s">
        <v>5110</v>
      </c>
      <c r="L7068" s="841" t="s">
        <v>444</v>
      </c>
      <c r="M7068" s="1357"/>
      <c r="P7068" s="841" t="s">
        <v>5115</v>
      </c>
      <c r="Q7068" s="1357"/>
      <c r="S7068" s="1420"/>
      <c r="T7068" s="1420"/>
      <c r="V7068" s="1357">
        <v>47</v>
      </c>
    </row>
    <row r="7069" spans="1:22" s="841" customFormat="1" ht="15" x14ac:dyDescent="0.25">
      <c r="A7069" s="841" t="s">
        <v>211</v>
      </c>
      <c r="B7069" s="841" t="s">
        <v>3949</v>
      </c>
      <c r="E7069" s="1920" t="s">
        <v>217</v>
      </c>
      <c r="F7069" s="1920"/>
      <c r="G7069" s="1366" t="s">
        <v>24</v>
      </c>
      <c r="H7069" s="1194">
        <v>3.3E-3</v>
      </c>
      <c r="K7069" s="841" t="s">
        <v>5110</v>
      </c>
      <c r="L7069" s="841" t="s">
        <v>444</v>
      </c>
      <c r="M7069" s="1357"/>
      <c r="P7069" s="841" t="s">
        <v>5116</v>
      </c>
      <c r="Q7069" s="1357"/>
      <c r="S7069" s="1420"/>
      <c r="T7069" s="1420"/>
      <c r="V7069" s="1357">
        <v>74</v>
      </c>
    </row>
    <row r="7070" spans="1:22" s="841" customFormat="1" ht="15" x14ac:dyDescent="0.25">
      <c r="A7070" s="841" t="s">
        <v>211</v>
      </c>
      <c r="B7070" s="841" t="s">
        <v>3949</v>
      </c>
      <c r="E7070" s="1694" t="s">
        <v>3079</v>
      </c>
      <c r="F7070" s="1690"/>
      <c r="G7070" s="1365"/>
      <c r="H7070" s="1365"/>
      <c r="K7070" s="841" t="s">
        <v>3093</v>
      </c>
      <c r="M7070" s="1357"/>
      <c r="Q7070" s="1357"/>
      <c r="S7070" s="1420"/>
      <c r="T7070" s="1420"/>
      <c r="V7070" s="1357">
        <v>48</v>
      </c>
    </row>
    <row r="7071" spans="1:22" s="841" customFormat="1" ht="15" x14ac:dyDescent="0.25">
      <c r="A7071" s="841" t="s">
        <v>211</v>
      </c>
      <c r="B7071" s="841" t="s">
        <v>3949</v>
      </c>
      <c r="E7071" s="1920" t="s">
        <v>2449</v>
      </c>
      <c r="F7071" s="1920"/>
      <c r="G7071" s="1366" t="s">
        <v>24</v>
      </c>
      <c r="H7071" s="1196">
        <v>3.2000000000000002E-3</v>
      </c>
      <c r="K7071" s="841" t="s">
        <v>5110</v>
      </c>
      <c r="L7071" s="841" t="s">
        <v>3046</v>
      </c>
      <c r="M7071" s="1357"/>
      <c r="P7071" s="841" t="s">
        <v>5117</v>
      </c>
      <c r="Q7071" s="1357"/>
      <c r="S7071" s="1420"/>
      <c r="T7071" s="1420"/>
      <c r="V7071" s="1357">
        <v>55</v>
      </c>
    </row>
    <row r="7072" spans="1:22" s="841" customFormat="1" ht="15" x14ac:dyDescent="0.25">
      <c r="A7072" s="841" t="s">
        <v>211</v>
      </c>
      <c r="B7072" s="841" t="s">
        <v>3949</v>
      </c>
      <c r="E7072" s="1920" t="s">
        <v>2450</v>
      </c>
      <c r="F7072" s="1920"/>
      <c r="G7072" s="1366" t="s">
        <v>24</v>
      </c>
      <c r="H7072" s="1196">
        <v>4.0000000000000002E-4</v>
      </c>
      <c r="K7072" s="841" t="s">
        <v>5110</v>
      </c>
      <c r="L7072" s="841" t="s">
        <v>3046</v>
      </c>
      <c r="M7072" s="1357"/>
      <c r="P7072" s="841" t="s">
        <v>5117</v>
      </c>
      <c r="Q7072" s="1357"/>
      <c r="S7072" s="1420"/>
      <c r="T7072" s="1420"/>
      <c r="V7072" s="1357">
        <v>65</v>
      </c>
    </row>
    <row r="7073" spans="1:22" s="841" customFormat="1" ht="15" x14ac:dyDescent="0.25">
      <c r="A7073" s="841" t="s">
        <v>211</v>
      </c>
      <c r="B7073" s="841" t="s">
        <v>3949</v>
      </c>
      <c r="E7073" s="1920" t="s">
        <v>439</v>
      </c>
      <c r="F7073" s="1920"/>
      <c r="G7073" s="1366" t="s">
        <v>24</v>
      </c>
      <c r="H7073" s="1196">
        <v>2.9999999999999997E-4</v>
      </c>
      <c r="K7073" s="841" t="s">
        <v>5110</v>
      </c>
      <c r="L7073" s="841" t="s">
        <v>3046</v>
      </c>
      <c r="M7073" s="1357"/>
      <c r="P7073" s="841" t="s">
        <v>5118</v>
      </c>
      <c r="Q7073" s="1357"/>
      <c r="S7073" s="1420"/>
      <c r="T7073" s="1420"/>
      <c r="V7073" s="1357">
        <v>57</v>
      </c>
    </row>
    <row r="7074" spans="1:22" s="841" customFormat="1" ht="15" x14ac:dyDescent="0.25">
      <c r="A7074" s="841" t="s">
        <v>211</v>
      </c>
      <c r="B7074" s="841" t="s">
        <v>3949</v>
      </c>
      <c r="E7074" s="1920" t="s">
        <v>32</v>
      </c>
      <c r="F7074" s="1920"/>
      <c r="G7074" s="1366" t="s">
        <v>23</v>
      </c>
      <c r="H7074" s="1196">
        <v>0.25</v>
      </c>
      <c r="K7074" s="841" t="s">
        <v>5110</v>
      </c>
      <c r="L7074" s="841" t="s">
        <v>3046</v>
      </c>
      <c r="M7074" s="1357"/>
      <c r="P7074" s="841" t="s">
        <v>5119</v>
      </c>
      <c r="Q7074" s="1357"/>
      <c r="S7074" s="1420"/>
      <c r="T7074" s="1420"/>
      <c r="V7074" s="1357">
        <v>63</v>
      </c>
    </row>
    <row r="7075" spans="1:22" s="841" customFormat="1" x14ac:dyDescent="0.25">
      <c r="A7075" s="841" t="s">
        <v>211</v>
      </c>
      <c r="B7075" s="841" t="s">
        <v>3949</v>
      </c>
      <c r="E7075" s="1936" t="s">
        <v>616</v>
      </c>
      <c r="F7075" s="1936"/>
      <c r="G7075" s="1936"/>
      <c r="H7075" s="1936"/>
      <c r="K7075" s="841" t="s">
        <v>6095</v>
      </c>
      <c r="M7075" s="1357"/>
      <c r="Q7075" s="1357"/>
      <c r="S7075" s="1420"/>
      <c r="T7075" s="1420"/>
      <c r="V7075" s="1357">
        <v>53</v>
      </c>
    </row>
    <row r="7076" spans="1:22" s="841" customFormat="1" ht="15" x14ac:dyDescent="0.25">
      <c r="A7076" s="841" t="s">
        <v>211</v>
      </c>
      <c r="B7076" s="841" t="s">
        <v>3949</v>
      </c>
      <c r="E7076" s="1689" t="s">
        <v>3956</v>
      </c>
      <c r="F7076" s="1689"/>
      <c r="G7076" s="1689"/>
      <c r="H7076" s="1689"/>
      <c r="K7076" s="841" t="s">
        <v>6095</v>
      </c>
      <c r="M7076" s="1357"/>
      <c r="Q7076" s="1357"/>
      <c r="S7076" s="1420"/>
      <c r="T7076" s="1420"/>
      <c r="V7076" s="1357">
        <v>387</v>
      </c>
    </row>
    <row r="7077" spans="1:22" s="841" customFormat="1" ht="15" x14ac:dyDescent="0.25">
      <c r="A7077" s="841" t="s">
        <v>211</v>
      </c>
      <c r="B7077" s="841" t="s">
        <v>3949</v>
      </c>
      <c r="E7077" s="1916" t="s">
        <v>3061</v>
      </c>
      <c r="F7077" s="1689"/>
      <c r="G7077" s="1689"/>
      <c r="H7077" s="1689"/>
      <c r="K7077" s="841" t="s">
        <v>3098</v>
      </c>
      <c r="M7077" s="1357"/>
      <c r="Q7077" s="1357"/>
      <c r="S7077" s="1420"/>
      <c r="T7077" s="1420"/>
      <c r="V7077" s="1357">
        <v>11</v>
      </c>
    </row>
    <row r="7078" spans="1:22" s="841" customFormat="1" ht="15" x14ac:dyDescent="0.25">
      <c r="A7078" s="841" t="s">
        <v>211</v>
      </c>
      <c r="B7078" s="841" t="s">
        <v>3949</v>
      </c>
      <c r="E7078" s="1689" t="s">
        <v>3063</v>
      </c>
      <c r="F7078" s="1689"/>
      <c r="G7078" s="1689"/>
      <c r="H7078" s="1689"/>
      <c r="K7078" s="841" t="s">
        <v>6095</v>
      </c>
      <c r="M7078" s="1357"/>
      <c r="Q7078" s="1357"/>
      <c r="S7078" s="1420"/>
      <c r="T7078" s="1420"/>
      <c r="V7078" s="1357">
        <v>280</v>
      </c>
    </row>
    <row r="7079" spans="1:22" s="841" customFormat="1" ht="15" x14ac:dyDescent="0.25">
      <c r="A7079" s="841" t="s">
        <v>211</v>
      </c>
      <c r="B7079" s="841" t="s">
        <v>3949</v>
      </c>
      <c r="E7079" s="1689" t="s">
        <v>3064</v>
      </c>
      <c r="F7079" s="1689"/>
      <c r="G7079" s="1689"/>
      <c r="H7079" s="1689"/>
      <c r="K7079" s="841" t="s">
        <v>6095</v>
      </c>
      <c r="M7079" s="1357"/>
      <c r="Q7079" s="1357"/>
      <c r="S7079" s="1420"/>
      <c r="T7079" s="1420"/>
      <c r="V7079" s="1357">
        <v>411</v>
      </c>
    </row>
    <row r="7080" spans="1:22" s="841" customFormat="1" ht="15" x14ac:dyDescent="0.25">
      <c r="A7080" s="841" t="s">
        <v>211</v>
      </c>
      <c r="B7080" s="841" t="s">
        <v>3949</v>
      </c>
      <c r="E7080" s="1689" t="s">
        <v>3129</v>
      </c>
      <c r="F7080" s="1689"/>
      <c r="G7080" s="1689"/>
      <c r="H7080" s="1689"/>
      <c r="K7080" s="841" t="s">
        <v>6095</v>
      </c>
      <c r="M7080" s="1357"/>
      <c r="Q7080" s="1357"/>
      <c r="S7080" s="1420"/>
      <c r="T7080" s="1420"/>
      <c r="V7080" s="1357">
        <v>211</v>
      </c>
    </row>
    <row r="7081" spans="1:22" s="841" customFormat="1" ht="15" x14ac:dyDescent="0.25">
      <c r="A7081" s="841" t="s">
        <v>211</v>
      </c>
      <c r="B7081" s="841" t="s">
        <v>3949</v>
      </c>
      <c r="E7081" s="1966" t="s">
        <v>5633</v>
      </c>
      <c r="F7081" s="1966"/>
      <c r="G7081" s="1966"/>
      <c r="H7081" s="1966"/>
      <c r="K7081" s="841" t="s">
        <v>6095</v>
      </c>
      <c r="M7081" s="1357"/>
      <c r="Q7081" s="1357"/>
      <c r="S7081" s="1420"/>
      <c r="T7081" s="1420"/>
      <c r="V7081" s="1357">
        <v>649</v>
      </c>
    </row>
    <row r="7082" spans="1:22" s="841" customFormat="1" ht="15" x14ac:dyDescent="0.25">
      <c r="A7082" s="841" t="s">
        <v>211</v>
      </c>
      <c r="B7082" s="841" t="s">
        <v>3949</v>
      </c>
      <c r="E7082" s="1689" t="s">
        <v>3390</v>
      </c>
      <c r="F7082" s="1689"/>
      <c r="G7082" s="1689"/>
      <c r="H7082" s="1689"/>
      <c r="K7082" s="841" t="s">
        <v>6095</v>
      </c>
      <c r="M7082" s="1357"/>
      <c r="Q7082" s="1357"/>
      <c r="S7082" s="1420"/>
      <c r="T7082" s="1420"/>
      <c r="V7082" s="1357">
        <v>274</v>
      </c>
    </row>
    <row r="7083" spans="1:22" s="841" customFormat="1" ht="15" x14ac:dyDescent="0.25">
      <c r="A7083" s="841" t="s">
        <v>211</v>
      </c>
      <c r="B7083" s="841" t="s">
        <v>3949</v>
      </c>
      <c r="E7083" s="1694" t="s">
        <v>3067</v>
      </c>
      <c r="F7083" s="1907"/>
      <c r="G7083" s="1907"/>
      <c r="H7083" s="1907"/>
      <c r="K7083" s="841" t="s">
        <v>3099</v>
      </c>
      <c r="M7083" s="1357"/>
      <c r="Q7083" s="1357"/>
      <c r="S7083" s="1420"/>
      <c r="T7083" s="1420"/>
      <c r="V7083" s="1357">
        <v>46</v>
      </c>
    </row>
    <row r="7084" spans="1:22" s="841" customFormat="1" ht="15" x14ac:dyDescent="0.25">
      <c r="A7084" s="841" t="s">
        <v>211</v>
      </c>
      <c r="B7084" s="841" t="s">
        <v>3949</v>
      </c>
      <c r="E7084" s="1920" t="s">
        <v>11</v>
      </c>
      <c r="F7084" s="1920"/>
      <c r="G7084" s="1366" t="s">
        <v>23</v>
      </c>
      <c r="H7084" s="1193">
        <v>245.55</v>
      </c>
      <c r="K7084" s="841" t="s">
        <v>6095</v>
      </c>
      <c r="L7084" s="841" t="s">
        <v>442</v>
      </c>
      <c r="M7084" s="1357"/>
      <c r="P7084" s="841" t="s">
        <v>6096</v>
      </c>
      <c r="Q7084" s="1357"/>
      <c r="S7084" s="1420"/>
      <c r="T7084" s="1420"/>
      <c r="V7084" s="1357">
        <v>14</v>
      </c>
    </row>
    <row r="7085" spans="1:22" s="841" customFormat="1" ht="15" x14ac:dyDescent="0.25">
      <c r="A7085" s="841" t="s">
        <v>211</v>
      </c>
      <c r="B7085" s="841" t="s">
        <v>3949</v>
      </c>
      <c r="E7085" s="1920" t="s">
        <v>3952</v>
      </c>
      <c r="F7085" s="1920"/>
      <c r="G7085" s="1365" t="s">
        <v>23</v>
      </c>
      <c r="H7085" s="1195">
        <v>-3.61</v>
      </c>
      <c r="K7085" s="841" t="s">
        <v>6095</v>
      </c>
      <c r="L7085" s="841" t="s">
        <v>442</v>
      </c>
      <c r="M7085" s="1357"/>
      <c r="P7085" s="841" t="s">
        <v>6348</v>
      </c>
      <c r="Q7085" s="1357"/>
      <c r="S7085" s="1420"/>
      <c r="T7085" s="1420">
        <v>43715</v>
      </c>
      <c r="V7085" s="1357">
        <v>73</v>
      </c>
    </row>
    <row r="7086" spans="1:22" s="841" customFormat="1" ht="15" x14ac:dyDescent="0.25">
      <c r="A7086" s="841" t="s">
        <v>211</v>
      </c>
      <c r="B7086" s="841" t="s">
        <v>3949</v>
      </c>
      <c r="E7086" s="1920" t="s">
        <v>84</v>
      </c>
      <c r="F7086" s="1920"/>
      <c r="G7086" s="1366" t="s">
        <v>33</v>
      </c>
      <c r="H7086" s="1194">
        <v>3.9601999999999999</v>
      </c>
      <c r="K7086" s="841" t="s">
        <v>6095</v>
      </c>
      <c r="L7086" s="841" t="s">
        <v>442</v>
      </c>
      <c r="M7086" s="1357"/>
      <c r="P7086" s="841" t="s">
        <v>6097</v>
      </c>
      <c r="Q7086" s="1357"/>
      <c r="S7086" s="1420"/>
      <c r="T7086" s="1420"/>
      <c r="V7086" s="1357">
        <v>28</v>
      </c>
    </row>
    <row r="7087" spans="1:22" s="841" customFormat="1" ht="15" x14ac:dyDescent="0.25">
      <c r="A7087" s="841" t="s">
        <v>211</v>
      </c>
      <c r="B7087" s="841" t="s">
        <v>3949</v>
      </c>
      <c r="E7087" s="1920" t="s">
        <v>18</v>
      </c>
      <c r="F7087" s="1920"/>
      <c r="G7087" s="1366" t="s">
        <v>33</v>
      </c>
      <c r="H7087" s="1196">
        <v>0.30499999999999999</v>
      </c>
      <c r="K7087" s="841" t="s">
        <v>6095</v>
      </c>
      <c r="L7087" s="841" t="s">
        <v>443</v>
      </c>
      <c r="M7087" s="1357"/>
      <c r="P7087" s="841" t="s">
        <v>6098</v>
      </c>
      <c r="Q7087" s="1357"/>
      <c r="S7087" s="1420"/>
      <c r="T7087" s="1420"/>
      <c r="V7087" s="1357">
        <v>24</v>
      </c>
    </row>
    <row r="7088" spans="1:22" s="841" customFormat="1" ht="15" x14ac:dyDescent="0.25">
      <c r="A7088" s="841" t="s">
        <v>211</v>
      </c>
      <c r="B7088" s="841" t="s">
        <v>3949</v>
      </c>
      <c r="E7088" s="1920" t="s">
        <v>3953</v>
      </c>
      <c r="F7088" s="1920"/>
      <c r="G7088" s="1365" t="s">
        <v>33</v>
      </c>
      <c r="H7088" s="732">
        <v>-5.8299999999999998E-2</v>
      </c>
      <c r="K7088" s="841" t="s">
        <v>6095</v>
      </c>
      <c r="L7088" s="841" t="s">
        <v>442</v>
      </c>
      <c r="M7088" s="1357"/>
      <c r="P7088" s="841" t="s">
        <v>6349</v>
      </c>
      <c r="Q7088" s="1357"/>
      <c r="S7088" s="1420"/>
      <c r="T7088" s="1420">
        <v>43715</v>
      </c>
      <c r="V7088" s="1357">
        <v>72</v>
      </c>
    </row>
    <row r="7089" spans="1:22" s="841" customFormat="1" ht="15" x14ac:dyDescent="0.25">
      <c r="A7089" s="841" t="s">
        <v>211</v>
      </c>
      <c r="B7089" s="841" t="s">
        <v>3949</v>
      </c>
      <c r="E7089" s="1920" t="s">
        <v>5129</v>
      </c>
      <c r="F7089" s="1908"/>
      <c r="G7089" s="1365" t="s">
        <v>24</v>
      </c>
      <c r="H7089" s="732">
        <v>-7.4000000000000003E-3</v>
      </c>
      <c r="K7089" s="841" t="s">
        <v>6095</v>
      </c>
      <c r="L7089" s="841" t="s">
        <v>443</v>
      </c>
      <c r="M7089" s="1357"/>
      <c r="P7089" s="841" t="s">
        <v>6104</v>
      </c>
      <c r="Q7089" s="1357"/>
      <c r="S7089" s="1420"/>
      <c r="T7089" s="1420">
        <v>43585</v>
      </c>
      <c r="V7089" s="1357">
        <v>139</v>
      </c>
    </row>
    <row r="7090" spans="1:22" s="841" customFormat="1" ht="15" x14ac:dyDescent="0.25">
      <c r="A7090" s="841" t="s">
        <v>211</v>
      </c>
      <c r="B7090" s="841" t="s">
        <v>3949</v>
      </c>
      <c r="E7090" s="2138" t="s">
        <v>5305</v>
      </c>
      <c r="F7090" s="2139"/>
      <c r="G7090" s="1365" t="s">
        <v>33</v>
      </c>
      <c r="H7090" s="732">
        <v>1.5910332330214183</v>
      </c>
      <c r="K7090" s="841" t="s">
        <v>6095</v>
      </c>
      <c r="L7090" s="841" t="s">
        <v>443</v>
      </c>
      <c r="M7090" s="1357"/>
      <c r="P7090" s="841" t="s">
        <v>6105</v>
      </c>
      <c r="Q7090" s="1357"/>
      <c r="S7090" s="1420"/>
      <c r="T7090" s="1420">
        <v>43585</v>
      </c>
      <c r="V7090" s="1357">
        <v>156</v>
      </c>
    </row>
    <row r="7091" spans="1:22" s="841" customFormat="1" ht="15" x14ac:dyDescent="0.25">
      <c r="A7091" s="841" t="s">
        <v>211</v>
      </c>
      <c r="B7091" s="841" t="s">
        <v>3949</v>
      </c>
      <c r="E7091" s="1920" t="s">
        <v>5130</v>
      </c>
      <c r="F7091" s="1908"/>
      <c r="G7091" s="1365" t="s">
        <v>33</v>
      </c>
      <c r="H7091" s="732">
        <v>1.8143982715966296E-2</v>
      </c>
      <c r="K7091" s="841" t="s">
        <v>6095</v>
      </c>
      <c r="L7091" s="841" t="s">
        <v>443</v>
      </c>
      <c r="M7091" s="1357"/>
      <c r="P7091" s="841" t="s">
        <v>6105</v>
      </c>
      <c r="Q7091" s="1357"/>
      <c r="S7091" s="1420"/>
      <c r="T7091" s="1420">
        <v>43585</v>
      </c>
      <c r="V7091" s="1357">
        <v>96</v>
      </c>
    </row>
    <row r="7092" spans="1:22" s="841" customFormat="1" ht="15" x14ac:dyDescent="0.25">
      <c r="A7092" s="841" t="s">
        <v>211</v>
      </c>
      <c r="B7092" s="841" t="s">
        <v>3949</v>
      </c>
      <c r="E7092" s="1920" t="s">
        <v>3957</v>
      </c>
      <c r="F7092" s="1920"/>
      <c r="G7092" s="1365" t="s">
        <v>33</v>
      </c>
      <c r="H7092" s="732">
        <v>-3.0000000000000001E-3</v>
      </c>
      <c r="K7092" s="841" t="s">
        <v>6095</v>
      </c>
      <c r="L7092" s="841" t="s">
        <v>442</v>
      </c>
      <c r="M7092" s="1357"/>
      <c r="P7092" s="841" t="s">
        <v>6098</v>
      </c>
      <c r="Q7092" s="1357"/>
      <c r="S7092" s="1420"/>
      <c r="T7092" s="1420">
        <v>43715</v>
      </c>
      <c r="V7092" s="1357">
        <v>84</v>
      </c>
    </row>
    <row r="7093" spans="1:22" s="841" customFormat="1" ht="15" x14ac:dyDescent="0.25">
      <c r="A7093" s="841" t="s">
        <v>211</v>
      </c>
      <c r="B7093" s="841" t="s">
        <v>3949</v>
      </c>
      <c r="E7093" s="1920" t="s">
        <v>5632</v>
      </c>
      <c r="F7093" s="1920"/>
      <c r="G7093" s="1366" t="s">
        <v>33</v>
      </c>
      <c r="H7093" s="1196">
        <v>2.1100000000000001E-2</v>
      </c>
      <c r="K7093" s="841" t="s">
        <v>6095</v>
      </c>
      <c r="L7093" s="841" t="s">
        <v>442</v>
      </c>
      <c r="M7093" s="1357"/>
      <c r="P7093" s="841" t="s">
        <v>6213</v>
      </c>
      <c r="Q7093" s="1357"/>
      <c r="S7093" s="1420"/>
      <c r="T7093" s="1420"/>
      <c r="V7093" s="1357">
        <v>128</v>
      </c>
    </row>
    <row r="7094" spans="1:22" s="841" customFormat="1" ht="15" x14ac:dyDescent="0.25">
      <c r="A7094" s="841" t="s">
        <v>211</v>
      </c>
      <c r="B7094" s="841" t="s">
        <v>3949</v>
      </c>
      <c r="E7094" s="1920" t="s">
        <v>221</v>
      </c>
      <c r="F7094" s="1920"/>
      <c r="G7094" s="1366" t="s">
        <v>33</v>
      </c>
      <c r="H7094" s="1194">
        <v>2.4984000000000002</v>
      </c>
      <c r="K7094" s="841" t="s">
        <v>6095</v>
      </c>
      <c r="L7094" s="841" t="s">
        <v>444</v>
      </c>
      <c r="M7094" s="1357"/>
      <c r="P7094" s="841" t="s">
        <v>6099</v>
      </c>
      <c r="Q7094" s="1357"/>
      <c r="S7094" s="1420"/>
      <c r="T7094" s="1420"/>
      <c r="V7094" s="1357">
        <v>47</v>
      </c>
    </row>
    <row r="7095" spans="1:22" s="841" customFormat="1" ht="15" x14ac:dyDescent="0.25">
      <c r="A7095" s="841" t="s">
        <v>211</v>
      </c>
      <c r="B7095" s="841" t="s">
        <v>3949</v>
      </c>
      <c r="E7095" s="1920" t="s">
        <v>217</v>
      </c>
      <c r="F7095" s="1920"/>
      <c r="G7095" s="1366" t="s">
        <v>33</v>
      </c>
      <c r="H7095" s="1194">
        <v>1.3177000000000001</v>
      </c>
      <c r="K7095" s="841" t="s">
        <v>6095</v>
      </c>
      <c r="L7095" s="841" t="s">
        <v>444</v>
      </c>
      <c r="M7095" s="1357"/>
      <c r="P7095" s="841" t="s">
        <v>6100</v>
      </c>
      <c r="Q7095" s="1357"/>
      <c r="S7095" s="1420"/>
      <c r="T7095" s="1420"/>
      <c r="V7095" s="1357">
        <v>74</v>
      </c>
    </row>
    <row r="7096" spans="1:22" s="841" customFormat="1" ht="15" x14ac:dyDescent="0.25">
      <c r="A7096" s="841" t="s">
        <v>211</v>
      </c>
      <c r="B7096" s="841" t="s">
        <v>3949</v>
      </c>
      <c r="E7096" s="1694" t="s">
        <v>3079</v>
      </c>
      <c r="F7096" s="1690"/>
      <c r="G7096" s="1365"/>
      <c r="H7096" s="1365"/>
      <c r="K7096" s="841" t="s">
        <v>3218</v>
      </c>
      <c r="M7096" s="1357"/>
      <c r="Q7096" s="1357"/>
      <c r="S7096" s="1420"/>
      <c r="T7096" s="1420"/>
      <c r="V7096" s="1357">
        <v>48</v>
      </c>
    </row>
    <row r="7097" spans="1:22" s="841" customFormat="1" ht="15" x14ac:dyDescent="0.25">
      <c r="A7097" s="841" t="s">
        <v>211</v>
      </c>
      <c r="B7097" s="841" t="s">
        <v>3949</v>
      </c>
      <c r="E7097" s="1920" t="s">
        <v>2449</v>
      </c>
      <c r="F7097" s="1920"/>
      <c r="G7097" s="1366" t="s">
        <v>24</v>
      </c>
      <c r="H7097" s="1196">
        <v>3.2000000000000002E-3</v>
      </c>
      <c r="K7097" s="841" t="s">
        <v>6095</v>
      </c>
      <c r="L7097" s="841" t="s">
        <v>3046</v>
      </c>
      <c r="M7097" s="1357"/>
      <c r="P7097" s="841" t="s">
        <v>6101</v>
      </c>
      <c r="Q7097" s="1357"/>
      <c r="S7097" s="1420"/>
      <c r="T7097" s="1420"/>
      <c r="V7097" s="1357">
        <v>55</v>
      </c>
    </row>
    <row r="7098" spans="1:22" s="841" customFormat="1" ht="15" x14ac:dyDescent="0.25">
      <c r="A7098" s="841" t="s">
        <v>211</v>
      </c>
      <c r="B7098" s="841" t="s">
        <v>3949</v>
      </c>
      <c r="E7098" s="1920" t="s">
        <v>2450</v>
      </c>
      <c r="F7098" s="1920"/>
      <c r="G7098" s="1366" t="s">
        <v>24</v>
      </c>
      <c r="H7098" s="1196">
        <v>4.0000000000000002E-4</v>
      </c>
      <c r="K7098" s="841" t="s">
        <v>6095</v>
      </c>
      <c r="L7098" s="841" t="s">
        <v>3046</v>
      </c>
      <c r="M7098" s="1357"/>
      <c r="P7098" s="841" t="s">
        <v>6101</v>
      </c>
      <c r="Q7098" s="1357"/>
      <c r="S7098" s="1420"/>
      <c r="T7098" s="1420"/>
      <c r="V7098" s="1357">
        <v>65</v>
      </c>
    </row>
    <row r="7099" spans="1:22" s="841" customFormat="1" ht="15" x14ac:dyDescent="0.25">
      <c r="A7099" s="841" t="s">
        <v>211</v>
      </c>
      <c r="B7099" s="841" t="s">
        <v>3949</v>
      </c>
      <c r="E7099" s="1920" t="s">
        <v>439</v>
      </c>
      <c r="F7099" s="1920"/>
      <c r="G7099" s="1366" t="s">
        <v>24</v>
      </c>
      <c r="H7099" s="1196">
        <v>2.9999999999999997E-4</v>
      </c>
      <c r="K7099" s="841" t="s">
        <v>6095</v>
      </c>
      <c r="L7099" s="841" t="s">
        <v>3046</v>
      </c>
      <c r="M7099" s="1357"/>
      <c r="P7099" s="841" t="s">
        <v>6102</v>
      </c>
      <c r="Q7099" s="1357"/>
      <c r="S7099" s="1420"/>
      <c r="T7099" s="1420"/>
      <c r="V7099" s="1357">
        <v>57</v>
      </c>
    </row>
    <row r="7100" spans="1:22" s="841" customFormat="1" ht="15" x14ac:dyDescent="0.25">
      <c r="A7100" s="841" t="s">
        <v>211</v>
      </c>
      <c r="B7100" s="841" t="s">
        <v>3949</v>
      </c>
      <c r="E7100" s="1920" t="s">
        <v>32</v>
      </c>
      <c r="F7100" s="1920"/>
      <c r="G7100" s="1366" t="s">
        <v>23</v>
      </c>
      <c r="H7100" s="1196">
        <v>0.25</v>
      </c>
      <c r="K7100" s="841" t="s">
        <v>6095</v>
      </c>
      <c r="L7100" s="841" t="s">
        <v>3046</v>
      </c>
      <c r="M7100" s="1357"/>
      <c r="P7100" s="841" t="s">
        <v>6103</v>
      </c>
      <c r="Q7100" s="1357"/>
      <c r="S7100" s="1420"/>
      <c r="T7100" s="1420"/>
      <c r="V7100" s="1357">
        <v>63</v>
      </c>
    </row>
    <row r="7101" spans="1:22" s="841" customFormat="1" x14ac:dyDescent="0.25">
      <c r="A7101" s="841" t="s">
        <v>211</v>
      </c>
      <c r="B7101" s="841" t="s">
        <v>3949</v>
      </c>
      <c r="E7101" s="1936" t="s">
        <v>617</v>
      </c>
      <c r="F7101" s="1936"/>
      <c r="G7101" s="1936"/>
      <c r="H7101" s="1936"/>
      <c r="K7101" s="841" t="s">
        <v>3406</v>
      </c>
      <c r="M7101" s="1357"/>
      <c r="Q7101" s="1357"/>
      <c r="S7101" s="1420"/>
      <c r="T7101" s="1420"/>
      <c r="V7101" s="1357">
        <v>47</v>
      </c>
    </row>
    <row r="7102" spans="1:22" s="841" customFormat="1" ht="15" x14ac:dyDescent="0.25">
      <c r="A7102" s="841" t="s">
        <v>211</v>
      </c>
      <c r="B7102" s="841" t="s">
        <v>3949</v>
      </c>
      <c r="E7102" s="1689" t="s">
        <v>3927</v>
      </c>
      <c r="F7102" s="1689"/>
      <c r="G7102" s="1689"/>
      <c r="H7102" s="1689"/>
      <c r="K7102" s="841" t="s">
        <v>3406</v>
      </c>
      <c r="M7102" s="1357"/>
      <c r="Q7102" s="1357"/>
      <c r="S7102" s="1420"/>
      <c r="T7102" s="1420"/>
      <c r="V7102" s="1357">
        <v>722</v>
      </c>
    </row>
    <row r="7103" spans="1:22" s="841" customFormat="1" ht="15" x14ac:dyDescent="0.25">
      <c r="A7103" s="841" t="s">
        <v>211</v>
      </c>
      <c r="B7103" s="841" t="s">
        <v>3949</v>
      </c>
      <c r="E7103" s="1916" t="s">
        <v>3061</v>
      </c>
      <c r="F7103" s="1689"/>
      <c r="G7103" s="1689"/>
      <c r="H7103" s="1689"/>
      <c r="K7103" s="841" t="s">
        <v>3221</v>
      </c>
      <c r="M7103" s="1357"/>
      <c r="Q7103" s="1357"/>
      <c r="S7103" s="1420"/>
      <c r="T7103" s="1420"/>
      <c r="V7103" s="1357">
        <v>11</v>
      </c>
    </row>
    <row r="7104" spans="1:22" s="841" customFormat="1" ht="15" x14ac:dyDescent="0.25">
      <c r="A7104" s="841" t="s">
        <v>211</v>
      </c>
      <c r="B7104" s="841" t="s">
        <v>3949</v>
      </c>
      <c r="E7104" s="1689" t="s">
        <v>3063</v>
      </c>
      <c r="F7104" s="1689"/>
      <c r="G7104" s="1689"/>
      <c r="H7104" s="1689"/>
      <c r="K7104" s="841" t="s">
        <v>3406</v>
      </c>
      <c r="M7104" s="1357"/>
      <c r="Q7104" s="1357"/>
      <c r="S7104" s="1420"/>
      <c r="T7104" s="1420"/>
      <c r="V7104" s="1357">
        <v>280</v>
      </c>
    </row>
    <row r="7105" spans="1:22" s="841" customFormat="1" ht="15" x14ac:dyDescent="0.25">
      <c r="A7105" s="841" t="s">
        <v>211</v>
      </c>
      <c r="B7105" s="841" t="s">
        <v>3949</v>
      </c>
      <c r="E7105" s="1689" t="s">
        <v>3064</v>
      </c>
      <c r="F7105" s="1689"/>
      <c r="G7105" s="1689"/>
      <c r="H7105" s="1689"/>
      <c r="K7105" s="841" t="s">
        <v>3406</v>
      </c>
      <c r="M7105" s="1357"/>
      <c r="Q7105" s="1357"/>
      <c r="S7105" s="1420"/>
      <c r="T7105" s="1420"/>
      <c r="V7105" s="1357">
        <v>411</v>
      </c>
    </row>
    <row r="7106" spans="1:22" s="841" customFormat="1" ht="15" x14ac:dyDescent="0.25">
      <c r="A7106" s="841" t="s">
        <v>211</v>
      </c>
      <c r="B7106" s="841" t="s">
        <v>3949</v>
      </c>
      <c r="E7106" s="1689" t="s">
        <v>3129</v>
      </c>
      <c r="F7106" s="1689"/>
      <c r="G7106" s="1689"/>
      <c r="H7106" s="1689"/>
      <c r="K7106" s="841" t="s">
        <v>3406</v>
      </c>
      <c r="M7106" s="1357"/>
      <c r="Q7106" s="1357"/>
      <c r="S7106" s="1420"/>
      <c r="T7106" s="1420"/>
      <c r="V7106" s="1357">
        <v>211</v>
      </c>
    </row>
    <row r="7107" spans="1:22" s="841" customFormat="1" ht="15" x14ac:dyDescent="0.25">
      <c r="A7107" s="841" t="s">
        <v>211</v>
      </c>
      <c r="B7107" s="841" t="s">
        <v>3949</v>
      </c>
      <c r="E7107" s="1689" t="s">
        <v>3390</v>
      </c>
      <c r="F7107" s="1689"/>
      <c r="G7107" s="1689"/>
      <c r="H7107" s="1689"/>
      <c r="K7107" s="841" t="s">
        <v>3406</v>
      </c>
      <c r="M7107" s="1357"/>
      <c r="Q7107" s="1357"/>
      <c r="S7107" s="1420"/>
      <c r="T7107" s="1420"/>
      <c r="V7107" s="1357">
        <v>274</v>
      </c>
    </row>
    <row r="7108" spans="1:22" s="841" customFormat="1" ht="15" x14ac:dyDescent="0.25">
      <c r="A7108" s="841" t="s">
        <v>211</v>
      </c>
      <c r="B7108" s="841" t="s">
        <v>3949</v>
      </c>
      <c r="E7108" s="1694" t="s">
        <v>3067</v>
      </c>
      <c r="F7108" s="1907"/>
      <c r="G7108" s="1907"/>
      <c r="H7108" s="1907"/>
      <c r="K7108" s="841" t="s">
        <v>3224</v>
      </c>
      <c r="M7108" s="1357"/>
      <c r="Q7108" s="1357"/>
      <c r="S7108" s="1420"/>
      <c r="T7108" s="1420"/>
      <c r="V7108" s="1357">
        <v>46</v>
      </c>
    </row>
    <row r="7109" spans="1:22" s="841" customFormat="1" ht="15" x14ac:dyDescent="0.25">
      <c r="A7109" s="841" t="s">
        <v>211</v>
      </c>
      <c r="B7109" s="841" t="s">
        <v>3949</v>
      </c>
      <c r="E7109" s="1920" t="s">
        <v>11</v>
      </c>
      <c r="F7109" s="1920"/>
      <c r="G7109" s="1366" t="s">
        <v>23</v>
      </c>
      <c r="H7109" s="1193">
        <v>15.49</v>
      </c>
      <c r="K7109" s="841" t="s">
        <v>3406</v>
      </c>
      <c r="L7109" s="841" t="s">
        <v>442</v>
      </c>
      <c r="M7109" s="1357"/>
      <c r="P7109" s="841" t="s">
        <v>3408</v>
      </c>
      <c r="Q7109" s="1357"/>
      <c r="S7109" s="1420"/>
      <c r="T7109" s="1420"/>
      <c r="V7109" s="1357">
        <v>14</v>
      </c>
    </row>
    <row r="7110" spans="1:22" s="841" customFormat="1" ht="15" x14ac:dyDescent="0.25">
      <c r="A7110" s="841" t="s">
        <v>211</v>
      </c>
      <c r="B7110" s="841" t="s">
        <v>3949</v>
      </c>
      <c r="E7110" s="1920" t="s">
        <v>3952</v>
      </c>
      <c r="F7110" s="1920"/>
      <c r="G7110" s="1365" t="s">
        <v>23</v>
      </c>
      <c r="H7110" s="1195">
        <v>-0.22</v>
      </c>
      <c r="K7110" s="841" t="s">
        <v>3406</v>
      </c>
      <c r="L7110" s="841" t="s">
        <v>442</v>
      </c>
      <c r="M7110" s="1357"/>
      <c r="P7110" s="841" t="s">
        <v>6350</v>
      </c>
      <c r="Q7110" s="1357"/>
      <c r="S7110" s="1420"/>
      <c r="T7110" s="1420">
        <v>43715</v>
      </c>
      <c r="V7110" s="1357">
        <v>73</v>
      </c>
    </row>
    <row r="7111" spans="1:22" s="841" customFormat="1" ht="15" x14ac:dyDescent="0.25">
      <c r="A7111" s="841" t="s">
        <v>211</v>
      </c>
      <c r="B7111" s="841" t="s">
        <v>3949</v>
      </c>
      <c r="E7111" s="1920" t="s">
        <v>84</v>
      </c>
      <c r="F7111" s="1920"/>
      <c r="G7111" s="1366" t="s">
        <v>24</v>
      </c>
      <c r="H7111" s="1194">
        <v>8.6999999999999994E-3</v>
      </c>
      <c r="K7111" s="841" t="s">
        <v>3406</v>
      </c>
      <c r="L7111" s="841" t="s">
        <v>442</v>
      </c>
      <c r="M7111" s="1357"/>
      <c r="P7111" s="841" t="s">
        <v>3409</v>
      </c>
      <c r="Q7111" s="1357"/>
      <c r="S7111" s="1420"/>
      <c r="T7111" s="1420"/>
      <c r="V7111" s="1357">
        <v>28</v>
      </c>
    </row>
    <row r="7112" spans="1:22" s="841" customFormat="1" ht="15" x14ac:dyDescent="0.25">
      <c r="A7112" s="841" t="s">
        <v>211</v>
      </c>
      <c r="B7112" s="841" t="s">
        <v>3949</v>
      </c>
      <c r="E7112" s="1920" t="s">
        <v>18</v>
      </c>
      <c r="F7112" s="1920"/>
      <c r="G7112" s="1366" t="s">
        <v>24</v>
      </c>
      <c r="H7112" s="1196">
        <v>8.0000000000000004E-4</v>
      </c>
      <c r="K7112" s="841" t="s">
        <v>3406</v>
      </c>
      <c r="L7112" s="841" t="s">
        <v>443</v>
      </c>
      <c r="M7112" s="1357"/>
      <c r="P7112" s="841" t="s">
        <v>3549</v>
      </c>
      <c r="Q7112" s="1357"/>
      <c r="S7112" s="1420"/>
      <c r="T7112" s="1420"/>
      <c r="V7112" s="1357">
        <v>24</v>
      </c>
    </row>
    <row r="7113" spans="1:22" s="841" customFormat="1" ht="15" x14ac:dyDescent="0.25">
      <c r="A7113" s="841" t="s">
        <v>211</v>
      </c>
      <c r="B7113" s="841" t="s">
        <v>3949</v>
      </c>
      <c r="E7113" s="1920" t="s">
        <v>3953</v>
      </c>
      <c r="F7113" s="1920"/>
      <c r="G7113" s="1365" t="s">
        <v>24</v>
      </c>
      <c r="H7113" s="732">
        <v>-1E-4</v>
      </c>
      <c r="K7113" s="841" t="s">
        <v>3406</v>
      </c>
      <c r="L7113" s="841" t="s">
        <v>442</v>
      </c>
      <c r="M7113" s="1357"/>
      <c r="P7113" s="841" t="s">
        <v>6351</v>
      </c>
      <c r="Q7113" s="1357"/>
      <c r="S7113" s="1420"/>
      <c r="T7113" s="1420">
        <v>43715</v>
      </c>
      <c r="V7113" s="1357">
        <v>72</v>
      </c>
    </row>
    <row r="7114" spans="1:22" s="841" customFormat="1" ht="15" x14ac:dyDescent="0.25">
      <c r="A7114" s="841" t="s">
        <v>211</v>
      </c>
      <c r="B7114" s="841" t="s">
        <v>3949</v>
      </c>
      <c r="E7114" s="1920" t="s">
        <v>5130</v>
      </c>
      <c r="F7114" s="1908"/>
      <c r="G7114" s="1365" t="s">
        <v>24</v>
      </c>
      <c r="H7114" s="732">
        <v>4.2509940088502575E-3</v>
      </c>
      <c r="K7114" s="841" t="s">
        <v>3406</v>
      </c>
      <c r="L7114" s="841" t="s">
        <v>443</v>
      </c>
      <c r="M7114" s="1357"/>
      <c r="P7114" s="841" t="s">
        <v>3411</v>
      </c>
      <c r="Q7114" s="1357"/>
      <c r="S7114" s="1420"/>
      <c r="T7114" s="1420">
        <v>43585</v>
      </c>
      <c r="V7114" s="1357">
        <v>96</v>
      </c>
    </row>
    <row r="7115" spans="1:22" s="841" customFormat="1" ht="15" x14ac:dyDescent="0.25">
      <c r="A7115" s="841" t="s">
        <v>211</v>
      </c>
      <c r="B7115" s="841" t="s">
        <v>3949</v>
      </c>
      <c r="E7115" s="1920" t="s">
        <v>5634</v>
      </c>
      <c r="F7115" s="1920"/>
      <c r="G7115" s="1366" t="s">
        <v>24</v>
      </c>
      <c r="H7115" s="1196">
        <v>2.0000000000000001E-4</v>
      </c>
      <c r="K7115" s="841" t="s">
        <v>3406</v>
      </c>
      <c r="L7115" s="841" t="s">
        <v>442</v>
      </c>
      <c r="M7115" s="1357"/>
      <c r="P7115" s="841" t="s">
        <v>4147</v>
      </c>
      <c r="Q7115" s="1357"/>
      <c r="S7115" s="1420"/>
      <c r="T7115" s="1420"/>
      <c r="V7115" s="1357">
        <v>127</v>
      </c>
    </row>
    <row r="7116" spans="1:22" s="841" customFormat="1" ht="15" x14ac:dyDescent="0.25">
      <c r="A7116" s="841" t="s">
        <v>211</v>
      </c>
      <c r="B7116" s="841" t="s">
        <v>3949</v>
      </c>
      <c r="E7116" s="1920" t="s">
        <v>221</v>
      </c>
      <c r="F7116" s="1920"/>
      <c r="G7116" s="1366" t="s">
        <v>24</v>
      </c>
      <c r="H7116" s="1194">
        <v>6.1999999999999998E-3</v>
      </c>
      <c r="K7116" s="841" t="s">
        <v>3406</v>
      </c>
      <c r="L7116" s="841" t="s">
        <v>444</v>
      </c>
      <c r="M7116" s="1357"/>
      <c r="P7116" s="841" t="s">
        <v>3412</v>
      </c>
      <c r="Q7116" s="1357"/>
      <c r="S7116" s="1420"/>
      <c r="T7116" s="1420"/>
      <c r="V7116" s="1357">
        <v>47</v>
      </c>
    </row>
    <row r="7117" spans="1:22" s="841" customFormat="1" ht="15" x14ac:dyDescent="0.25">
      <c r="A7117" s="841" t="s">
        <v>211</v>
      </c>
      <c r="B7117" s="841" t="s">
        <v>3949</v>
      </c>
      <c r="E7117" s="1920" t="s">
        <v>217</v>
      </c>
      <c r="F7117" s="1920"/>
      <c r="G7117" s="1366" t="s">
        <v>24</v>
      </c>
      <c r="H7117" s="1194">
        <v>3.3E-3</v>
      </c>
      <c r="K7117" s="841" t="s">
        <v>3406</v>
      </c>
      <c r="L7117" s="841" t="s">
        <v>444</v>
      </c>
      <c r="M7117" s="1357"/>
      <c r="P7117" s="841" t="s">
        <v>3413</v>
      </c>
      <c r="Q7117" s="1357"/>
      <c r="S7117" s="1420"/>
      <c r="T7117" s="1420"/>
      <c r="V7117" s="1357">
        <v>74</v>
      </c>
    </row>
    <row r="7118" spans="1:22" s="841" customFormat="1" ht="15" x14ac:dyDescent="0.25">
      <c r="A7118" s="841" t="s">
        <v>211</v>
      </c>
      <c r="B7118" s="841" t="s">
        <v>3949</v>
      </c>
      <c r="E7118" s="1694" t="s">
        <v>3079</v>
      </c>
      <c r="F7118" s="1690"/>
      <c r="G7118" s="1365"/>
      <c r="H7118" s="1365"/>
      <c r="K7118" s="841" t="s">
        <v>3225</v>
      </c>
      <c r="M7118" s="1357"/>
      <c r="Q7118" s="1357"/>
      <c r="S7118" s="1420"/>
      <c r="T7118" s="1420"/>
      <c r="V7118" s="1357">
        <v>48</v>
      </c>
    </row>
    <row r="7119" spans="1:22" s="841" customFormat="1" ht="15" x14ac:dyDescent="0.25">
      <c r="A7119" s="841" t="s">
        <v>211</v>
      </c>
      <c r="B7119" s="841" t="s">
        <v>3949</v>
      </c>
      <c r="E7119" s="1920" t="s">
        <v>2449</v>
      </c>
      <c r="F7119" s="1920"/>
      <c r="G7119" s="1366" t="s">
        <v>24</v>
      </c>
      <c r="H7119" s="1196">
        <v>3.2000000000000002E-3</v>
      </c>
      <c r="K7119" s="841" t="s">
        <v>3406</v>
      </c>
      <c r="L7119" s="841" t="s">
        <v>3046</v>
      </c>
      <c r="M7119" s="1357"/>
      <c r="P7119" s="841" t="s">
        <v>3414</v>
      </c>
      <c r="Q7119" s="1357"/>
      <c r="S7119" s="1420"/>
      <c r="T7119" s="1420"/>
      <c r="V7119" s="1357">
        <v>55</v>
      </c>
    </row>
    <row r="7120" spans="1:22" s="841" customFormat="1" ht="15" x14ac:dyDescent="0.25">
      <c r="A7120" s="841" t="s">
        <v>211</v>
      </c>
      <c r="B7120" s="841" t="s">
        <v>3949</v>
      </c>
      <c r="E7120" s="1920" t="s">
        <v>2450</v>
      </c>
      <c r="F7120" s="1920"/>
      <c r="G7120" s="1366" t="s">
        <v>24</v>
      </c>
      <c r="H7120" s="1196">
        <v>4.0000000000000002E-4</v>
      </c>
      <c r="K7120" s="841" t="s">
        <v>3406</v>
      </c>
      <c r="L7120" s="841" t="s">
        <v>3046</v>
      </c>
      <c r="M7120" s="1357"/>
      <c r="P7120" s="841" t="s">
        <v>3414</v>
      </c>
      <c r="Q7120" s="1357"/>
      <c r="S7120" s="1420"/>
      <c r="T7120" s="1420"/>
      <c r="V7120" s="1357">
        <v>65</v>
      </c>
    </row>
    <row r="7121" spans="1:22" s="841" customFormat="1" ht="15" x14ac:dyDescent="0.25">
      <c r="A7121" s="841" t="s">
        <v>211</v>
      </c>
      <c r="B7121" s="841" t="s">
        <v>3949</v>
      </c>
      <c r="E7121" s="1920" t="s">
        <v>439</v>
      </c>
      <c r="F7121" s="1920"/>
      <c r="G7121" s="1366" t="s">
        <v>24</v>
      </c>
      <c r="H7121" s="1196">
        <v>2.9999999999999997E-4</v>
      </c>
      <c r="K7121" s="841" t="s">
        <v>3406</v>
      </c>
      <c r="L7121" s="841" t="s">
        <v>3046</v>
      </c>
      <c r="M7121" s="1357"/>
      <c r="P7121" s="841" t="s">
        <v>3415</v>
      </c>
      <c r="Q7121" s="1357"/>
      <c r="S7121" s="1420"/>
      <c r="T7121" s="1420"/>
      <c r="V7121" s="1357">
        <v>57</v>
      </c>
    </row>
    <row r="7122" spans="1:22" s="841" customFormat="1" ht="15" x14ac:dyDescent="0.25">
      <c r="A7122" s="841" t="s">
        <v>211</v>
      </c>
      <c r="B7122" s="841" t="s">
        <v>3949</v>
      </c>
      <c r="E7122" s="1920" t="s">
        <v>32</v>
      </c>
      <c r="F7122" s="1920"/>
      <c r="G7122" s="1366" t="s">
        <v>23</v>
      </c>
      <c r="H7122" s="1196">
        <v>0.25</v>
      </c>
      <c r="K7122" s="841" t="s">
        <v>3406</v>
      </c>
      <c r="L7122" s="841" t="s">
        <v>3046</v>
      </c>
      <c r="M7122" s="1357"/>
      <c r="P7122" s="841" t="s">
        <v>3416</v>
      </c>
      <c r="Q7122" s="1357"/>
      <c r="S7122" s="1420"/>
      <c r="T7122" s="1420"/>
      <c r="V7122" s="1357">
        <v>63</v>
      </c>
    </row>
    <row r="7123" spans="1:22" s="841" customFormat="1" x14ac:dyDescent="0.25">
      <c r="A7123" s="841" t="s">
        <v>211</v>
      </c>
      <c r="B7123" s="841" t="s">
        <v>3949</v>
      </c>
      <c r="E7123" s="1936" t="s">
        <v>629</v>
      </c>
      <c r="F7123" s="1936"/>
      <c r="G7123" s="1936"/>
      <c r="H7123" s="1936"/>
      <c r="K7123" s="841" t="s">
        <v>3571</v>
      </c>
      <c r="M7123" s="1357"/>
      <c r="Q7123" s="1357"/>
      <c r="S7123" s="1420"/>
      <c r="T7123" s="1420"/>
      <c r="V7123" s="1357">
        <v>40</v>
      </c>
    </row>
    <row r="7124" spans="1:22" s="841" customFormat="1" ht="15" x14ac:dyDescent="0.25">
      <c r="A7124" s="841" t="s">
        <v>211</v>
      </c>
      <c r="B7124" s="841" t="s">
        <v>3949</v>
      </c>
      <c r="E7124" s="1689" t="s">
        <v>3959</v>
      </c>
      <c r="F7124" s="1689"/>
      <c r="G7124" s="1689"/>
      <c r="H7124" s="1689"/>
      <c r="K7124" s="841" t="s">
        <v>3571</v>
      </c>
      <c r="M7124" s="1357"/>
      <c r="Q7124" s="1357"/>
      <c r="S7124" s="1420"/>
      <c r="T7124" s="1420"/>
      <c r="V7124" s="1357">
        <v>250</v>
      </c>
    </row>
    <row r="7125" spans="1:22" s="841" customFormat="1" ht="15" x14ac:dyDescent="0.25">
      <c r="A7125" s="841" t="s">
        <v>211</v>
      </c>
      <c r="B7125" s="841" t="s">
        <v>3949</v>
      </c>
      <c r="E7125" s="1916" t="s">
        <v>3061</v>
      </c>
      <c r="F7125" s="1689"/>
      <c r="G7125" s="1689"/>
      <c r="H7125" s="1689"/>
      <c r="K7125" s="841" t="s">
        <v>3107</v>
      </c>
      <c r="M7125" s="1357"/>
      <c r="Q7125" s="1357"/>
      <c r="S7125" s="1420"/>
      <c r="T7125" s="1420"/>
      <c r="V7125" s="1357">
        <v>11</v>
      </c>
    </row>
    <row r="7126" spans="1:22" s="841" customFormat="1" ht="15" x14ac:dyDescent="0.25">
      <c r="A7126" s="841" t="s">
        <v>211</v>
      </c>
      <c r="B7126" s="841" t="s">
        <v>3949</v>
      </c>
      <c r="E7126" s="1689" t="s">
        <v>3063</v>
      </c>
      <c r="F7126" s="1689"/>
      <c r="G7126" s="1689"/>
      <c r="H7126" s="1689"/>
      <c r="K7126" s="841" t="s">
        <v>3571</v>
      </c>
      <c r="M7126" s="1357"/>
      <c r="Q7126" s="1357"/>
      <c r="S7126" s="1420"/>
      <c r="T7126" s="1420"/>
      <c r="V7126" s="1357">
        <v>280</v>
      </c>
    </row>
    <row r="7127" spans="1:22" s="841" customFormat="1" ht="15" x14ac:dyDescent="0.25">
      <c r="A7127" s="841" t="s">
        <v>211</v>
      </c>
      <c r="B7127" s="841" t="s">
        <v>3949</v>
      </c>
      <c r="E7127" s="1689" t="s">
        <v>3064</v>
      </c>
      <c r="F7127" s="1689"/>
      <c r="G7127" s="1689"/>
      <c r="H7127" s="1689"/>
      <c r="K7127" s="841" t="s">
        <v>3571</v>
      </c>
      <c r="M7127" s="1357"/>
      <c r="Q7127" s="1357"/>
      <c r="S7127" s="1420"/>
      <c r="T7127" s="1420"/>
      <c r="V7127" s="1357">
        <v>411</v>
      </c>
    </row>
    <row r="7128" spans="1:22" s="841" customFormat="1" ht="15" x14ac:dyDescent="0.25">
      <c r="A7128" s="841" t="s">
        <v>211</v>
      </c>
      <c r="B7128" s="841" t="s">
        <v>3949</v>
      </c>
      <c r="E7128" s="1689" t="s">
        <v>3129</v>
      </c>
      <c r="F7128" s="1689"/>
      <c r="G7128" s="1689"/>
      <c r="H7128" s="1689"/>
      <c r="K7128" s="841" t="s">
        <v>3571</v>
      </c>
      <c r="M7128" s="1357"/>
      <c r="Q7128" s="1357"/>
      <c r="S7128" s="1420"/>
      <c r="T7128" s="1420"/>
      <c r="V7128" s="1357">
        <v>211</v>
      </c>
    </row>
    <row r="7129" spans="1:22" s="841" customFormat="1" ht="15" x14ac:dyDescent="0.25">
      <c r="A7129" s="841" t="s">
        <v>211</v>
      </c>
      <c r="B7129" s="841" t="s">
        <v>3949</v>
      </c>
      <c r="E7129" s="1689" t="s">
        <v>3390</v>
      </c>
      <c r="F7129" s="1689"/>
      <c r="G7129" s="1689"/>
      <c r="H7129" s="1689"/>
      <c r="K7129" s="841" t="s">
        <v>3571</v>
      </c>
      <c r="M7129" s="1357"/>
      <c r="Q7129" s="1357"/>
      <c r="S7129" s="1420"/>
      <c r="T7129" s="1420"/>
      <c r="V7129" s="1357">
        <v>274</v>
      </c>
    </row>
    <row r="7130" spans="1:22" s="841" customFormat="1" ht="15" x14ac:dyDescent="0.25">
      <c r="A7130" s="841" t="s">
        <v>211</v>
      </c>
      <c r="B7130" s="841" t="s">
        <v>3949</v>
      </c>
      <c r="E7130" s="1694" t="s">
        <v>3067</v>
      </c>
      <c r="F7130" s="1907"/>
      <c r="G7130" s="1907"/>
      <c r="H7130" s="1907"/>
      <c r="K7130" s="841" t="s">
        <v>3108</v>
      </c>
      <c r="M7130" s="1357"/>
      <c r="Q7130" s="1357"/>
      <c r="S7130" s="1420"/>
      <c r="T7130" s="1420"/>
      <c r="V7130" s="1357">
        <v>46</v>
      </c>
    </row>
    <row r="7131" spans="1:22" s="841" customFormat="1" ht="15" x14ac:dyDescent="0.25">
      <c r="A7131" s="841" t="s">
        <v>211</v>
      </c>
      <c r="B7131" s="841" t="s">
        <v>3949</v>
      </c>
      <c r="E7131" s="1920" t="s">
        <v>11</v>
      </c>
      <c r="F7131" s="1920"/>
      <c r="G7131" s="1366" t="s">
        <v>23</v>
      </c>
      <c r="H7131" s="1193">
        <v>6.53</v>
      </c>
      <c r="K7131" s="841" t="s">
        <v>3571</v>
      </c>
      <c r="L7131" s="841" t="s">
        <v>442</v>
      </c>
      <c r="M7131" s="1357"/>
      <c r="P7131" s="841" t="s">
        <v>3573</v>
      </c>
      <c r="Q7131" s="1357"/>
      <c r="S7131" s="1420"/>
      <c r="T7131" s="1420"/>
      <c r="V7131" s="1357">
        <v>14</v>
      </c>
    </row>
    <row r="7132" spans="1:22" s="841" customFormat="1" ht="15" x14ac:dyDescent="0.25">
      <c r="A7132" s="841" t="s">
        <v>211</v>
      </c>
      <c r="B7132" s="841" t="s">
        <v>3949</v>
      </c>
      <c r="E7132" s="1920" t="s">
        <v>3952</v>
      </c>
      <c r="F7132" s="1920"/>
      <c r="G7132" s="1365" t="s">
        <v>23</v>
      </c>
      <c r="H7132" s="1195">
        <v>-0.09</v>
      </c>
      <c r="K7132" s="841" t="s">
        <v>3571</v>
      </c>
      <c r="L7132" s="841" t="s">
        <v>442</v>
      </c>
      <c r="M7132" s="1357"/>
      <c r="P7132" s="841" t="s">
        <v>6352</v>
      </c>
      <c r="Q7132" s="1357"/>
      <c r="S7132" s="1420"/>
      <c r="T7132" s="1420">
        <v>43715</v>
      </c>
      <c r="V7132" s="1357">
        <v>73</v>
      </c>
    </row>
    <row r="7133" spans="1:22" s="841" customFormat="1" ht="15" x14ac:dyDescent="0.25">
      <c r="A7133" s="841" t="s">
        <v>211</v>
      </c>
      <c r="B7133" s="841" t="s">
        <v>3949</v>
      </c>
      <c r="E7133" s="1920" t="s">
        <v>84</v>
      </c>
      <c r="F7133" s="1920"/>
      <c r="G7133" s="1366" t="s">
        <v>33</v>
      </c>
      <c r="H7133" s="1194">
        <v>19.433</v>
      </c>
      <c r="K7133" s="841" t="s">
        <v>3571</v>
      </c>
      <c r="L7133" s="841" t="s">
        <v>442</v>
      </c>
      <c r="M7133" s="1357"/>
      <c r="P7133" s="841" t="s">
        <v>3574</v>
      </c>
      <c r="Q7133" s="1357"/>
      <c r="S7133" s="1420"/>
      <c r="T7133" s="1420"/>
      <c r="V7133" s="1357">
        <v>28</v>
      </c>
    </row>
    <row r="7134" spans="1:22" s="841" customFormat="1" ht="15" x14ac:dyDescent="0.25">
      <c r="A7134" s="841" t="s">
        <v>211</v>
      </c>
      <c r="B7134" s="841" t="s">
        <v>3949</v>
      </c>
      <c r="E7134" s="1920" t="s">
        <v>18</v>
      </c>
      <c r="F7134" s="1920"/>
      <c r="G7134" s="1366" t="s">
        <v>33</v>
      </c>
      <c r="H7134" s="1196">
        <v>0.2407</v>
      </c>
      <c r="K7134" s="841" t="s">
        <v>3571</v>
      </c>
      <c r="L7134" s="841" t="s">
        <v>443</v>
      </c>
      <c r="M7134" s="1357"/>
      <c r="P7134" s="841" t="s">
        <v>3575</v>
      </c>
      <c r="Q7134" s="1357"/>
      <c r="S7134" s="1420"/>
      <c r="T7134" s="1420"/>
      <c r="V7134" s="1357">
        <v>24</v>
      </c>
    </row>
    <row r="7135" spans="1:22" s="841" customFormat="1" ht="15" x14ac:dyDescent="0.25">
      <c r="A7135" s="841" t="s">
        <v>211</v>
      </c>
      <c r="B7135" s="841" t="s">
        <v>3949</v>
      </c>
      <c r="E7135" s="1920" t="s">
        <v>3953</v>
      </c>
      <c r="F7135" s="1920"/>
      <c r="G7135" s="1365" t="s">
        <v>33</v>
      </c>
      <c r="H7135" s="732">
        <v>-0.28620000000000001</v>
      </c>
      <c r="K7135" s="841" t="s">
        <v>3571</v>
      </c>
      <c r="L7135" s="841" t="s">
        <v>442</v>
      </c>
      <c r="M7135" s="1357"/>
      <c r="P7135" s="841" t="s">
        <v>6353</v>
      </c>
      <c r="Q7135" s="1357"/>
      <c r="S7135" s="1420"/>
      <c r="T7135" s="1420">
        <v>43715</v>
      </c>
      <c r="V7135" s="1357">
        <v>72</v>
      </c>
    </row>
    <row r="7136" spans="1:22" s="841" customFormat="1" ht="15" x14ac:dyDescent="0.25">
      <c r="A7136" s="841" t="s">
        <v>211</v>
      </c>
      <c r="B7136" s="841" t="s">
        <v>3949</v>
      </c>
      <c r="E7136" s="1920" t="s">
        <v>5130</v>
      </c>
      <c r="F7136" s="1908"/>
      <c r="G7136" s="1365" t="s">
        <v>33</v>
      </c>
      <c r="H7136" s="732">
        <v>1.6906527196631596</v>
      </c>
      <c r="K7136" s="841" t="s">
        <v>3571</v>
      </c>
      <c r="L7136" s="841" t="s">
        <v>443</v>
      </c>
      <c r="M7136" s="1357"/>
      <c r="P7136" s="841" t="s">
        <v>3718</v>
      </c>
      <c r="Q7136" s="1357"/>
      <c r="S7136" s="1420"/>
      <c r="T7136" s="1420">
        <v>43585</v>
      </c>
      <c r="V7136" s="1357">
        <v>96</v>
      </c>
    </row>
    <row r="7137" spans="1:22" s="841" customFormat="1" ht="15" x14ac:dyDescent="0.25">
      <c r="A7137" s="841" t="s">
        <v>211</v>
      </c>
      <c r="B7137" s="841" t="s">
        <v>3949</v>
      </c>
      <c r="E7137" s="1920" t="s">
        <v>3957</v>
      </c>
      <c r="F7137" s="1920"/>
      <c r="G7137" s="1365" t="s">
        <v>33</v>
      </c>
      <c r="H7137" s="732">
        <v>-2.3999999999999998E-3</v>
      </c>
      <c r="K7137" s="841" t="s">
        <v>3571</v>
      </c>
      <c r="L7137" s="841" t="s">
        <v>442</v>
      </c>
      <c r="M7137" s="1357"/>
      <c r="P7137" s="841" t="s">
        <v>3575</v>
      </c>
      <c r="Q7137" s="1357"/>
      <c r="S7137" s="1420"/>
      <c r="T7137" s="1420">
        <v>43715</v>
      </c>
      <c r="V7137" s="1357">
        <v>84</v>
      </c>
    </row>
    <row r="7138" spans="1:22" s="841" customFormat="1" ht="15" x14ac:dyDescent="0.25">
      <c r="A7138" s="841" t="s">
        <v>211</v>
      </c>
      <c r="B7138" s="841" t="s">
        <v>3949</v>
      </c>
      <c r="E7138" s="1920" t="s">
        <v>5632</v>
      </c>
      <c r="F7138" s="1920"/>
      <c r="G7138" s="1366" t="s">
        <v>33</v>
      </c>
      <c r="H7138" s="1196">
        <v>0.2079</v>
      </c>
      <c r="K7138" s="841" t="s">
        <v>3571</v>
      </c>
      <c r="L7138" s="841" t="s">
        <v>442</v>
      </c>
      <c r="M7138" s="1357"/>
      <c r="P7138" s="841" t="s">
        <v>4150</v>
      </c>
      <c r="Q7138" s="1357"/>
      <c r="S7138" s="1420"/>
      <c r="T7138" s="1420"/>
      <c r="V7138" s="1357">
        <v>128</v>
      </c>
    </row>
    <row r="7139" spans="1:22" s="841" customFormat="1" ht="15" x14ac:dyDescent="0.25">
      <c r="A7139" s="841" t="s">
        <v>211</v>
      </c>
      <c r="B7139" s="841" t="s">
        <v>3949</v>
      </c>
      <c r="E7139" s="1920" t="s">
        <v>221</v>
      </c>
      <c r="F7139" s="1920"/>
      <c r="G7139" s="1366" t="s">
        <v>33</v>
      </c>
      <c r="H7139" s="1194">
        <v>1.8937999999999999</v>
      </c>
      <c r="K7139" s="841" t="s">
        <v>3571</v>
      </c>
      <c r="L7139" s="841" t="s">
        <v>444</v>
      </c>
      <c r="M7139" s="1357"/>
      <c r="P7139" s="841" t="s">
        <v>3576</v>
      </c>
      <c r="Q7139" s="1357"/>
      <c r="S7139" s="1420"/>
      <c r="T7139" s="1420"/>
      <c r="V7139" s="1357">
        <v>47</v>
      </c>
    </row>
    <row r="7140" spans="1:22" s="841" customFormat="1" ht="15" x14ac:dyDescent="0.25">
      <c r="A7140" s="841" t="s">
        <v>211</v>
      </c>
      <c r="B7140" s="841" t="s">
        <v>3949</v>
      </c>
      <c r="E7140" s="1920" t="s">
        <v>217</v>
      </c>
      <c r="F7140" s="1920"/>
      <c r="G7140" s="1366" t="s">
        <v>33</v>
      </c>
      <c r="H7140" s="1194">
        <v>1.0399</v>
      </c>
      <c r="K7140" s="841" t="s">
        <v>3571</v>
      </c>
      <c r="L7140" s="841" t="s">
        <v>444</v>
      </c>
      <c r="M7140" s="1357"/>
      <c r="P7140" s="841" t="s">
        <v>3577</v>
      </c>
      <c r="Q7140" s="1357"/>
      <c r="S7140" s="1420"/>
      <c r="T7140" s="1420"/>
      <c r="V7140" s="1357">
        <v>74</v>
      </c>
    </row>
    <row r="7141" spans="1:22" s="841" customFormat="1" ht="15" x14ac:dyDescent="0.25">
      <c r="A7141" s="841" t="s">
        <v>211</v>
      </c>
      <c r="B7141" s="841" t="s">
        <v>3949</v>
      </c>
      <c r="E7141" s="1694" t="s">
        <v>3079</v>
      </c>
      <c r="F7141" s="1690"/>
      <c r="G7141" s="1365"/>
      <c r="H7141" s="1365"/>
      <c r="K7141" s="841" t="s">
        <v>3111</v>
      </c>
      <c r="M7141" s="1357"/>
      <c r="Q7141" s="1357"/>
      <c r="S7141" s="1420"/>
      <c r="T7141" s="1420"/>
      <c r="V7141" s="1357">
        <v>48</v>
      </c>
    </row>
    <row r="7142" spans="1:22" s="841" customFormat="1" ht="15" x14ac:dyDescent="0.25">
      <c r="A7142" s="841" t="s">
        <v>211</v>
      </c>
      <c r="B7142" s="841" t="s">
        <v>3949</v>
      </c>
      <c r="E7142" s="1920" t="s">
        <v>2449</v>
      </c>
      <c r="F7142" s="1920"/>
      <c r="G7142" s="1366" t="s">
        <v>24</v>
      </c>
      <c r="H7142" s="1196">
        <v>3.2000000000000002E-3</v>
      </c>
      <c r="K7142" s="841" t="s">
        <v>3571</v>
      </c>
      <c r="L7142" s="841" t="s">
        <v>3046</v>
      </c>
      <c r="M7142" s="1357"/>
      <c r="P7142" s="841" t="s">
        <v>3578</v>
      </c>
      <c r="Q7142" s="1357"/>
      <c r="S7142" s="1420"/>
      <c r="T7142" s="1420"/>
      <c r="V7142" s="1357">
        <v>55</v>
      </c>
    </row>
    <row r="7143" spans="1:22" s="841" customFormat="1" ht="15" x14ac:dyDescent="0.25">
      <c r="A7143" s="841" t="s">
        <v>211</v>
      </c>
      <c r="B7143" s="841" t="s">
        <v>3949</v>
      </c>
      <c r="E7143" s="1920" t="s">
        <v>2450</v>
      </c>
      <c r="F7143" s="1920"/>
      <c r="G7143" s="1366" t="s">
        <v>24</v>
      </c>
      <c r="H7143" s="1196">
        <v>4.0000000000000002E-4</v>
      </c>
      <c r="K7143" s="841" t="s">
        <v>3571</v>
      </c>
      <c r="L7143" s="841" t="s">
        <v>3046</v>
      </c>
      <c r="M7143" s="1357"/>
      <c r="P7143" s="841" t="s">
        <v>3578</v>
      </c>
      <c r="Q7143" s="1357"/>
      <c r="S7143" s="1420"/>
      <c r="T7143" s="1420"/>
      <c r="V7143" s="1357">
        <v>65</v>
      </c>
    </row>
    <row r="7144" spans="1:22" s="841" customFormat="1" ht="15" x14ac:dyDescent="0.25">
      <c r="A7144" s="841" t="s">
        <v>211</v>
      </c>
      <c r="B7144" s="841" t="s">
        <v>3949</v>
      </c>
      <c r="E7144" s="1920" t="s">
        <v>439</v>
      </c>
      <c r="F7144" s="1920"/>
      <c r="G7144" s="1366" t="s">
        <v>24</v>
      </c>
      <c r="H7144" s="1196">
        <v>2.9999999999999997E-4</v>
      </c>
      <c r="K7144" s="841" t="s">
        <v>3571</v>
      </c>
      <c r="L7144" s="841" t="s">
        <v>3046</v>
      </c>
      <c r="M7144" s="1357"/>
      <c r="P7144" s="841" t="s">
        <v>3579</v>
      </c>
      <c r="Q7144" s="1357"/>
      <c r="S7144" s="1420"/>
      <c r="T7144" s="1420"/>
      <c r="V7144" s="1357">
        <v>57</v>
      </c>
    </row>
    <row r="7145" spans="1:22" s="841" customFormat="1" ht="15" x14ac:dyDescent="0.25">
      <c r="A7145" s="841" t="s">
        <v>211</v>
      </c>
      <c r="B7145" s="841" t="s">
        <v>3949</v>
      </c>
      <c r="E7145" s="1920" t="s">
        <v>32</v>
      </c>
      <c r="F7145" s="1920"/>
      <c r="G7145" s="1366" t="s">
        <v>23</v>
      </c>
      <c r="H7145" s="1196">
        <v>0.25</v>
      </c>
      <c r="K7145" s="841" t="s">
        <v>3571</v>
      </c>
      <c r="L7145" s="841" t="s">
        <v>3046</v>
      </c>
      <c r="M7145" s="1357"/>
      <c r="P7145" s="841" t="s">
        <v>3580</v>
      </c>
      <c r="Q7145" s="1357"/>
      <c r="S7145" s="1420"/>
      <c r="T7145" s="1420"/>
      <c r="V7145" s="1357">
        <v>63</v>
      </c>
    </row>
    <row r="7146" spans="1:22" s="841" customFormat="1" x14ac:dyDescent="0.25">
      <c r="A7146" s="841" t="s">
        <v>211</v>
      </c>
      <c r="B7146" s="841" t="s">
        <v>3949</v>
      </c>
      <c r="E7146" s="1936" t="s">
        <v>615</v>
      </c>
      <c r="F7146" s="1936"/>
      <c r="G7146" s="1936"/>
      <c r="H7146" s="1936"/>
      <c r="K7146" s="841" t="s">
        <v>3112</v>
      </c>
      <c r="M7146" s="1357"/>
      <c r="Q7146" s="1357"/>
      <c r="S7146" s="1420"/>
      <c r="T7146" s="1420"/>
      <c r="V7146" s="1357">
        <v>38</v>
      </c>
    </row>
    <row r="7147" spans="1:22" s="841" customFormat="1" ht="15" x14ac:dyDescent="0.25">
      <c r="A7147" s="841" t="s">
        <v>211</v>
      </c>
      <c r="B7147" s="841" t="s">
        <v>3949</v>
      </c>
      <c r="E7147" s="1689" t="s">
        <v>3941</v>
      </c>
      <c r="F7147" s="1689"/>
      <c r="G7147" s="1689"/>
      <c r="H7147" s="1689"/>
      <c r="K7147" s="841" t="s">
        <v>3112</v>
      </c>
      <c r="M7147" s="1357"/>
      <c r="Q7147" s="1357"/>
      <c r="S7147" s="1420"/>
      <c r="T7147" s="1420"/>
      <c r="V7147" s="1357">
        <v>544</v>
      </c>
    </row>
    <row r="7148" spans="1:22" s="841" customFormat="1" ht="15" x14ac:dyDescent="0.25">
      <c r="A7148" s="841" t="s">
        <v>211</v>
      </c>
      <c r="B7148" s="841" t="s">
        <v>3949</v>
      </c>
      <c r="E7148" s="1916" t="s">
        <v>3061</v>
      </c>
      <c r="F7148" s="1689"/>
      <c r="G7148" s="1689"/>
      <c r="H7148" s="1689"/>
      <c r="K7148" s="841" t="s">
        <v>3114</v>
      </c>
      <c r="M7148" s="1357"/>
      <c r="Q7148" s="1357"/>
      <c r="S7148" s="1420"/>
      <c r="T7148" s="1420"/>
      <c r="V7148" s="1357">
        <v>11</v>
      </c>
    </row>
    <row r="7149" spans="1:22" s="841" customFormat="1" ht="15" x14ac:dyDescent="0.25">
      <c r="A7149" s="841" t="s">
        <v>211</v>
      </c>
      <c r="B7149" s="841" t="s">
        <v>3949</v>
      </c>
      <c r="E7149" s="1689" t="s">
        <v>3063</v>
      </c>
      <c r="F7149" s="1689"/>
      <c r="G7149" s="1689"/>
      <c r="H7149" s="1689"/>
      <c r="K7149" s="841" t="s">
        <v>3112</v>
      </c>
      <c r="M7149" s="1357"/>
      <c r="Q7149" s="1357"/>
      <c r="S7149" s="1420"/>
      <c r="T7149" s="1420"/>
      <c r="V7149" s="1357">
        <v>280</v>
      </c>
    </row>
    <row r="7150" spans="1:22" s="841" customFormat="1" ht="15" x14ac:dyDescent="0.25">
      <c r="A7150" s="841" t="s">
        <v>211</v>
      </c>
      <c r="B7150" s="841" t="s">
        <v>3949</v>
      </c>
      <c r="E7150" s="1689" t="s">
        <v>3064</v>
      </c>
      <c r="F7150" s="1689"/>
      <c r="G7150" s="1689"/>
      <c r="H7150" s="1689"/>
      <c r="K7150" s="841" t="s">
        <v>3112</v>
      </c>
      <c r="M7150" s="1357"/>
      <c r="Q7150" s="1357"/>
      <c r="S7150" s="1420"/>
      <c r="T7150" s="1420"/>
      <c r="V7150" s="1357">
        <v>411</v>
      </c>
    </row>
    <row r="7151" spans="1:22" s="841" customFormat="1" ht="15" x14ac:dyDescent="0.25">
      <c r="A7151" s="841" t="s">
        <v>211</v>
      </c>
      <c r="B7151" s="841" t="s">
        <v>3949</v>
      </c>
      <c r="E7151" s="1689" t="s">
        <v>3129</v>
      </c>
      <c r="F7151" s="1689"/>
      <c r="G7151" s="1689"/>
      <c r="H7151" s="1689"/>
      <c r="K7151" s="841" t="s">
        <v>3112</v>
      </c>
      <c r="M7151" s="1357"/>
      <c r="Q7151" s="1357"/>
      <c r="S7151" s="1420"/>
      <c r="T7151" s="1420"/>
      <c r="V7151" s="1357">
        <v>211</v>
      </c>
    </row>
    <row r="7152" spans="1:22" s="841" customFormat="1" ht="15" x14ac:dyDescent="0.25">
      <c r="A7152" s="841" t="s">
        <v>211</v>
      </c>
      <c r="B7152" s="841" t="s">
        <v>3949</v>
      </c>
      <c r="E7152" s="1689" t="s">
        <v>3390</v>
      </c>
      <c r="F7152" s="1689"/>
      <c r="G7152" s="1689"/>
      <c r="H7152" s="1689"/>
      <c r="K7152" s="841" t="s">
        <v>3112</v>
      </c>
      <c r="M7152" s="1357"/>
      <c r="Q7152" s="1357"/>
      <c r="S7152" s="1420"/>
      <c r="T7152" s="1420"/>
      <c r="V7152" s="1357">
        <v>274</v>
      </c>
    </row>
    <row r="7153" spans="1:22" s="841" customFormat="1" ht="15" x14ac:dyDescent="0.25">
      <c r="A7153" s="841" t="s">
        <v>211</v>
      </c>
      <c r="B7153" s="841" t="s">
        <v>3949</v>
      </c>
      <c r="E7153" s="1694" t="s">
        <v>3067</v>
      </c>
      <c r="F7153" s="1907"/>
      <c r="G7153" s="1907"/>
      <c r="H7153" s="1907"/>
      <c r="K7153" s="841" t="s">
        <v>3115</v>
      </c>
      <c r="M7153" s="1357"/>
      <c r="Q7153" s="1357"/>
      <c r="S7153" s="1420"/>
      <c r="T7153" s="1420"/>
      <c r="V7153" s="1357">
        <v>46</v>
      </c>
    </row>
    <row r="7154" spans="1:22" s="841" customFormat="1" ht="15" x14ac:dyDescent="0.25">
      <c r="A7154" s="841" t="s">
        <v>211</v>
      </c>
      <c r="B7154" s="841" t="s">
        <v>3949</v>
      </c>
      <c r="E7154" s="1920" t="s">
        <v>12</v>
      </c>
      <c r="F7154" s="1920"/>
      <c r="G7154" s="1366" t="s">
        <v>23</v>
      </c>
      <c r="H7154" s="1193">
        <v>1.97</v>
      </c>
      <c r="K7154" s="841" t="s">
        <v>3112</v>
      </c>
      <c r="L7154" s="841" t="s">
        <v>442</v>
      </c>
      <c r="M7154" s="1357"/>
      <c r="P7154" s="841" t="s">
        <v>3116</v>
      </c>
      <c r="Q7154" s="1357"/>
      <c r="S7154" s="1420"/>
      <c r="T7154" s="1420"/>
      <c r="V7154" s="1357">
        <v>31</v>
      </c>
    </row>
    <row r="7155" spans="1:22" s="841" customFormat="1" ht="15" x14ac:dyDescent="0.25">
      <c r="A7155" s="841" t="s">
        <v>211</v>
      </c>
      <c r="B7155" s="841" t="s">
        <v>3949</v>
      </c>
      <c r="E7155" s="1920" t="s">
        <v>3952</v>
      </c>
      <c r="F7155" s="1920"/>
      <c r="G7155" s="1365" t="s">
        <v>23</v>
      </c>
      <c r="H7155" s="1195">
        <v>-0.03</v>
      </c>
      <c r="K7155" s="841" t="s">
        <v>3112</v>
      </c>
      <c r="L7155" s="841" t="s">
        <v>442</v>
      </c>
      <c r="M7155" s="1357"/>
      <c r="P7155" s="841" t="s">
        <v>6354</v>
      </c>
      <c r="Q7155" s="1357"/>
      <c r="S7155" s="1420"/>
      <c r="T7155" s="1420">
        <v>43715</v>
      </c>
      <c r="V7155" s="1357">
        <v>73</v>
      </c>
    </row>
    <row r="7156" spans="1:22" s="841" customFormat="1" ht="15" x14ac:dyDescent="0.25">
      <c r="A7156" s="841" t="s">
        <v>211</v>
      </c>
      <c r="B7156" s="841" t="s">
        <v>3949</v>
      </c>
      <c r="E7156" s="1920" t="s">
        <v>84</v>
      </c>
      <c r="F7156" s="1920"/>
      <c r="G7156" s="1366" t="s">
        <v>33</v>
      </c>
      <c r="H7156" s="1194">
        <v>7.4268999999999998</v>
      </c>
      <c r="K7156" s="841" t="s">
        <v>3112</v>
      </c>
      <c r="L7156" s="841" t="s">
        <v>442</v>
      </c>
      <c r="M7156" s="1357"/>
      <c r="P7156" s="841" t="s">
        <v>3117</v>
      </c>
      <c r="Q7156" s="1357"/>
      <c r="S7156" s="1420"/>
      <c r="T7156" s="1420"/>
      <c r="V7156" s="1357">
        <v>28</v>
      </c>
    </row>
    <row r="7157" spans="1:22" s="841" customFormat="1" ht="15" x14ac:dyDescent="0.25">
      <c r="A7157" s="841" t="s">
        <v>211</v>
      </c>
      <c r="B7157" s="841" t="s">
        <v>3949</v>
      </c>
      <c r="E7157" s="1920" t="s">
        <v>18</v>
      </c>
      <c r="F7157" s="1920"/>
      <c r="G7157" s="1366" t="s">
        <v>33</v>
      </c>
      <c r="H7157" s="1196">
        <v>0.23580000000000001</v>
      </c>
      <c r="K7157" s="841" t="s">
        <v>3112</v>
      </c>
      <c r="L7157" s="841" t="s">
        <v>443</v>
      </c>
      <c r="M7157" s="1357"/>
      <c r="P7157" s="841" t="s">
        <v>3497</v>
      </c>
      <c r="Q7157" s="1357"/>
      <c r="S7157" s="1420"/>
      <c r="T7157" s="1420"/>
      <c r="V7157" s="1357">
        <v>24</v>
      </c>
    </row>
    <row r="7158" spans="1:22" s="841" customFormat="1" ht="15" x14ac:dyDescent="0.25">
      <c r="A7158" s="841" t="s">
        <v>211</v>
      </c>
      <c r="B7158" s="841" t="s">
        <v>3949</v>
      </c>
      <c r="E7158" s="1920" t="s">
        <v>3953</v>
      </c>
      <c r="F7158" s="1920"/>
      <c r="G7158" s="1365" t="s">
        <v>33</v>
      </c>
      <c r="H7158" s="732">
        <v>-0.1094</v>
      </c>
      <c r="K7158" s="841" t="s">
        <v>3112</v>
      </c>
      <c r="L7158" s="841" t="s">
        <v>442</v>
      </c>
      <c r="M7158" s="1357"/>
      <c r="P7158" s="841" t="s">
        <v>6355</v>
      </c>
      <c r="Q7158" s="1357"/>
      <c r="S7158" s="1420"/>
      <c r="T7158" s="1420">
        <v>43715</v>
      </c>
      <c r="V7158" s="1357">
        <v>72</v>
      </c>
    </row>
    <row r="7159" spans="1:22" s="841" customFormat="1" ht="15" x14ac:dyDescent="0.25">
      <c r="A7159" s="841" t="s">
        <v>211</v>
      </c>
      <c r="B7159" s="841" t="s">
        <v>3949</v>
      </c>
      <c r="E7159" s="1920" t="s">
        <v>5129</v>
      </c>
      <c r="F7159" s="1908"/>
      <c r="G7159" s="1365" t="s">
        <v>24</v>
      </c>
      <c r="H7159" s="732">
        <v>-7.4000000000000003E-3</v>
      </c>
      <c r="K7159" s="841" t="s">
        <v>3112</v>
      </c>
      <c r="L7159" s="841" t="s">
        <v>443</v>
      </c>
      <c r="M7159" s="1357"/>
      <c r="P7159" s="841" t="s">
        <v>3119</v>
      </c>
      <c r="Q7159" s="1357"/>
      <c r="S7159" s="1420"/>
      <c r="T7159" s="1420">
        <v>43585</v>
      </c>
      <c r="V7159" s="1357">
        <v>139</v>
      </c>
    </row>
    <row r="7160" spans="1:22" s="841" customFormat="1" ht="15" x14ac:dyDescent="0.25">
      <c r="A7160" s="841" t="s">
        <v>211</v>
      </c>
      <c r="B7160" s="841" t="s">
        <v>3949</v>
      </c>
      <c r="E7160" s="1920" t="s">
        <v>5130</v>
      </c>
      <c r="F7160" s="1908"/>
      <c r="G7160" s="1365" t="s">
        <v>33</v>
      </c>
      <c r="H7160" s="732">
        <v>1.4764543187057764</v>
      </c>
      <c r="K7160" s="841" t="s">
        <v>3112</v>
      </c>
      <c r="L7160" s="841" t="s">
        <v>443</v>
      </c>
      <c r="M7160" s="1357"/>
      <c r="P7160" s="841" t="s">
        <v>3118</v>
      </c>
      <c r="Q7160" s="1357"/>
      <c r="S7160" s="1420"/>
      <c r="T7160" s="1420">
        <v>43585</v>
      </c>
      <c r="V7160" s="1357">
        <v>96</v>
      </c>
    </row>
    <row r="7161" spans="1:22" s="841" customFormat="1" ht="15" x14ac:dyDescent="0.25">
      <c r="A7161" s="841" t="s">
        <v>211</v>
      </c>
      <c r="B7161" s="841" t="s">
        <v>3949</v>
      </c>
      <c r="E7161" s="1920" t="s">
        <v>3957</v>
      </c>
      <c r="F7161" s="1920"/>
      <c r="G7161" s="1365" t="s">
        <v>33</v>
      </c>
      <c r="H7161" s="732">
        <v>-2.3999999999999998E-3</v>
      </c>
      <c r="K7161" s="841" t="s">
        <v>3112</v>
      </c>
      <c r="L7161" s="841" t="s">
        <v>442</v>
      </c>
      <c r="M7161" s="1357"/>
      <c r="P7161" s="841" t="s">
        <v>3497</v>
      </c>
      <c r="Q7161" s="1357"/>
      <c r="S7161" s="1420"/>
      <c r="T7161" s="1420">
        <v>43715</v>
      </c>
      <c r="V7161" s="1357">
        <v>84</v>
      </c>
    </row>
    <row r="7162" spans="1:22" s="841" customFormat="1" ht="15" x14ac:dyDescent="0.25">
      <c r="A7162" s="841" t="s">
        <v>211</v>
      </c>
      <c r="B7162" s="841" t="s">
        <v>3949</v>
      </c>
      <c r="E7162" s="1920" t="s">
        <v>5634</v>
      </c>
      <c r="F7162" s="1920"/>
      <c r="G7162" s="1366" t="s">
        <v>33</v>
      </c>
      <c r="H7162" s="1196">
        <v>6.5500000000000003E-2</v>
      </c>
      <c r="K7162" s="841" t="s">
        <v>3112</v>
      </c>
      <c r="L7162" s="841" t="s">
        <v>442</v>
      </c>
      <c r="M7162" s="1357"/>
      <c r="P7162" s="841" t="s">
        <v>4153</v>
      </c>
      <c r="Q7162" s="1357"/>
      <c r="S7162" s="1420"/>
      <c r="T7162" s="1420"/>
      <c r="V7162" s="1357">
        <v>127</v>
      </c>
    </row>
    <row r="7163" spans="1:22" s="841" customFormat="1" ht="15" x14ac:dyDescent="0.25">
      <c r="A7163" s="841" t="s">
        <v>211</v>
      </c>
      <c r="B7163" s="841" t="s">
        <v>3949</v>
      </c>
      <c r="E7163" s="1920" t="s">
        <v>221</v>
      </c>
      <c r="F7163" s="1920"/>
      <c r="G7163" s="1366" t="s">
        <v>33</v>
      </c>
      <c r="H7163" s="1194">
        <v>1.8842000000000001</v>
      </c>
      <c r="K7163" s="841" t="s">
        <v>3112</v>
      </c>
      <c r="L7163" s="841" t="s">
        <v>444</v>
      </c>
      <c r="M7163" s="1357"/>
      <c r="P7163" s="841" t="s">
        <v>3120</v>
      </c>
      <c r="Q7163" s="1357"/>
      <c r="S7163" s="1420"/>
      <c r="T7163" s="1420"/>
      <c r="V7163" s="1357">
        <v>47</v>
      </c>
    </row>
    <row r="7164" spans="1:22" s="841" customFormat="1" ht="15" x14ac:dyDescent="0.25">
      <c r="A7164" s="841" t="s">
        <v>211</v>
      </c>
      <c r="B7164" s="841" t="s">
        <v>3949</v>
      </c>
      <c r="E7164" s="1920" t="s">
        <v>217</v>
      </c>
      <c r="F7164" s="1920"/>
      <c r="G7164" s="1366" t="s">
        <v>33</v>
      </c>
      <c r="H7164" s="1194">
        <v>1.0186999999999999</v>
      </c>
      <c r="K7164" s="841" t="s">
        <v>3112</v>
      </c>
      <c r="L7164" s="841" t="s">
        <v>444</v>
      </c>
      <c r="M7164" s="1357"/>
      <c r="P7164" s="841" t="s">
        <v>3121</v>
      </c>
      <c r="Q7164" s="1357"/>
      <c r="S7164" s="1420"/>
      <c r="T7164" s="1420"/>
      <c r="V7164" s="1357">
        <v>74</v>
      </c>
    </row>
    <row r="7165" spans="1:22" s="841" customFormat="1" ht="15" x14ac:dyDescent="0.25">
      <c r="A7165" s="841" t="s">
        <v>211</v>
      </c>
      <c r="B7165" s="841" t="s">
        <v>3949</v>
      </c>
      <c r="E7165" s="1694" t="s">
        <v>3079</v>
      </c>
      <c r="F7165" s="1690"/>
      <c r="G7165" s="1365"/>
      <c r="H7165" s="1365"/>
      <c r="K7165" s="841" t="s">
        <v>3122</v>
      </c>
      <c r="M7165" s="1357"/>
      <c r="Q7165" s="1357"/>
      <c r="S7165" s="1420"/>
      <c r="T7165" s="1420"/>
      <c r="V7165" s="1357">
        <v>48</v>
      </c>
    </row>
    <row r="7166" spans="1:22" s="841" customFormat="1" ht="15" x14ac:dyDescent="0.25">
      <c r="A7166" s="841" t="s">
        <v>211</v>
      </c>
      <c r="B7166" s="841" t="s">
        <v>3949</v>
      </c>
      <c r="E7166" s="1920" t="s">
        <v>2449</v>
      </c>
      <c r="F7166" s="1920"/>
      <c r="G7166" s="1366" t="s">
        <v>24</v>
      </c>
      <c r="H7166" s="1196">
        <v>3.2000000000000002E-3</v>
      </c>
      <c r="K7166" s="841" t="s">
        <v>3112</v>
      </c>
      <c r="L7166" s="841" t="s">
        <v>3046</v>
      </c>
      <c r="M7166" s="1357"/>
      <c r="P7166" s="841" t="s">
        <v>3123</v>
      </c>
      <c r="Q7166" s="1357"/>
      <c r="S7166" s="1420"/>
      <c r="T7166" s="1420"/>
      <c r="V7166" s="1357">
        <v>55</v>
      </c>
    </row>
    <row r="7167" spans="1:22" s="841" customFormat="1" ht="15" x14ac:dyDescent="0.25">
      <c r="A7167" s="841" t="s">
        <v>211</v>
      </c>
      <c r="B7167" s="841" t="s">
        <v>3949</v>
      </c>
      <c r="E7167" s="1920" t="s">
        <v>2450</v>
      </c>
      <c r="F7167" s="1920"/>
      <c r="G7167" s="1366" t="s">
        <v>24</v>
      </c>
      <c r="H7167" s="1196">
        <v>4.0000000000000002E-4</v>
      </c>
      <c r="K7167" s="841" t="s">
        <v>3112</v>
      </c>
      <c r="L7167" s="841" t="s">
        <v>3046</v>
      </c>
      <c r="M7167" s="1357"/>
      <c r="P7167" s="841" t="s">
        <v>3123</v>
      </c>
      <c r="Q7167" s="1357"/>
      <c r="S7167" s="1420"/>
      <c r="T7167" s="1420"/>
      <c r="V7167" s="1357">
        <v>65</v>
      </c>
    </row>
    <row r="7168" spans="1:22" s="841" customFormat="1" ht="15" x14ac:dyDescent="0.25">
      <c r="A7168" s="841" t="s">
        <v>211</v>
      </c>
      <c r="B7168" s="841" t="s">
        <v>3949</v>
      </c>
      <c r="E7168" s="1920" t="s">
        <v>439</v>
      </c>
      <c r="F7168" s="1920"/>
      <c r="G7168" s="1366" t="s">
        <v>24</v>
      </c>
      <c r="H7168" s="1196">
        <v>2.9999999999999997E-4</v>
      </c>
      <c r="K7168" s="841" t="s">
        <v>3112</v>
      </c>
      <c r="L7168" s="841" t="s">
        <v>3046</v>
      </c>
      <c r="M7168" s="1357"/>
      <c r="P7168" s="841" t="s">
        <v>3124</v>
      </c>
      <c r="Q7168" s="1357"/>
      <c r="S7168" s="1420"/>
      <c r="T7168" s="1420"/>
      <c r="V7168" s="1357">
        <v>57</v>
      </c>
    </row>
    <row r="7169" spans="1:22" s="841" customFormat="1" ht="15" x14ac:dyDescent="0.25">
      <c r="A7169" s="841" t="s">
        <v>211</v>
      </c>
      <c r="B7169" s="841" t="s">
        <v>3949</v>
      </c>
      <c r="E7169" s="1920" t="s">
        <v>32</v>
      </c>
      <c r="F7169" s="1920"/>
      <c r="G7169" s="1366" t="s">
        <v>23</v>
      </c>
      <c r="H7169" s="1196">
        <v>0.25</v>
      </c>
      <c r="K7169" s="841" t="s">
        <v>3112</v>
      </c>
      <c r="L7169" s="841" t="s">
        <v>3046</v>
      </c>
      <c r="M7169" s="1357"/>
      <c r="P7169" s="841" t="s">
        <v>3125</v>
      </c>
      <c r="Q7169" s="1357"/>
      <c r="S7169" s="1420"/>
      <c r="T7169" s="1420"/>
      <c r="V7169" s="1357">
        <v>63</v>
      </c>
    </row>
    <row r="7170" spans="1:22" s="841" customFormat="1" x14ac:dyDescent="0.25">
      <c r="A7170" s="841" t="s">
        <v>211</v>
      </c>
      <c r="B7170" s="841" t="s">
        <v>3949</v>
      </c>
      <c r="E7170" s="1909" t="s">
        <v>622</v>
      </c>
      <c r="F7170" s="1923"/>
      <c r="G7170" s="1923"/>
      <c r="H7170" s="1923"/>
      <c r="K7170" s="841" t="s">
        <v>3815</v>
      </c>
      <c r="M7170" s="1357"/>
      <c r="Q7170" s="1357"/>
      <c r="S7170" s="1420"/>
      <c r="T7170" s="1420"/>
      <c r="V7170" s="1357">
        <v>43</v>
      </c>
    </row>
    <row r="7171" spans="1:22" s="841" customFormat="1" ht="15" x14ac:dyDescent="0.25">
      <c r="A7171" s="841" t="s">
        <v>211</v>
      </c>
      <c r="B7171" s="841" t="s">
        <v>3949</v>
      </c>
      <c r="E7171" s="1689" t="s">
        <v>5636</v>
      </c>
      <c r="F7171" s="1689"/>
      <c r="G7171" s="1689"/>
      <c r="H7171" s="1689"/>
      <c r="K7171" s="841" t="s">
        <v>3815</v>
      </c>
      <c r="M7171" s="1357"/>
      <c r="Q7171" s="1357"/>
      <c r="S7171" s="1420"/>
      <c r="T7171" s="1420"/>
      <c r="V7171" s="1357">
        <v>341</v>
      </c>
    </row>
    <row r="7172" spans="1:22" s="841" customFormat="1" ht="15" x14ac:dyDescent="0.25">
      <c r="A7172" s="841" t="s">
        <v>211</v>
      </c>
      <c r="B7172" s="841" t="s">
        <v>3949</v>
      </c>
      <c r="E7172" s="1916" t="s">
        <v>3061</v>
      </c>
      <c r="F7172" s="1689"/>
      <c r="G7172" s="1689"/>
      <c r="H7172" s="1689"/>
      <c r="K7172" s="841" t="s">
        <v>3128</v>
      </c>
      <c r="M7172" s="1357"/>
      <c r="Q7172" s="1357"/>
      <c r="S7172" s="1420"/>
      <c r="T7172" s="1420"/>
      <c r="V7172" s="1357">
        <v>11</v>
      </c>
    </row>
    <row r="7173" spans="1:22" s="841" customFormat="1" ht="15" x14ac:dyDescent="0.25">
      <c r="A7173" s="841" t="s">
        <v>211</v>
      </c>
      <c r="B7173" s="841" t="s">
        <v>3949</v>
      </c>
      <c r="E7173" s="1689" t="s">
        <v>3063</v>
      </c>
      <c r="F7173" s="1689"/>
      <c r="G7173" s="1689"/>
      <c r="H7173" s="1689"/>
      <c r="K7173" s="841" t="s">
        <v>3815</v>
      </c>
      <c r="M7173" s="1357"/>
      <c r="Q7173" s="1357"/>
      <c r="S7173" s="1420"/>
      <c r="T7173" s="1420"/>
      <c r="V7173" s="1357">
        <v>280</v>
      </c>
    </row>
    <row r="7174" spans="1:22" s="841" customFormat="1" ht="15" x14ac:dyDescent="0.25">
      <c r="A7174" s="841" t="s">
        <v>211</v>
      </c>
      <c r="B7174" s="841" t="s">
        <v>3949</v>
      </c>
      <c r="E7174" s="1689" t="s">
        <v>3064</v>
      </c>
      <c r="F7174" s="1689"/>
      <c r="G7174" s="1689"/>
      <c r="H7174" s="1689"/>
      <c r="K7174" s="841" t="s">
        <v>3815</v>
      </c>
      <c r="M7174" s="1357"/>
      <c r="Q7174" s="1357"/>
      <c r="S7174" s="1420"/>
      <c r="T7174" s="1420"/>
      <c r="V7174" s="1357">
        <v>411</v>
      </c>
    </row>
    <row r="7175" spans="1:22" s="841" customFormat="1" ht="15" x14ac:dyDescent="0.25">
      <c r="A7175" s="841" t="s">
        <v>211</v>
      </c>
      <c r="B7175" s="841" t="s">
        <v>3949</v>
      </c>
      <c r="E7175" s="1689" t="s">
        <v>3129</v>
      </c>
      <c r="F7175" s="1689"/>
      <c r="G7175" s="1689"/>
      <c r="H7175" s="1689"/>
      <c r="K7175" s="841" t="s">
        <v>3815</v>
      </c>
      <c r="M7175" s="1357"/>
      <c r="Q7175" s="1357"/>
      <c r="S7175" s="1420"/>
      <c r="T7175" s="1420"/>
      <c r="V7175" s="1357">
        <v>211</v>
      </c>
    </row>
    <row r="7176" spans="1:22" s="841" customFormat="1" ht="15" x14ac:dyDescent="0.25">
      <c r="A7176" s="841" t="s">
        <v>211</v>
      </c>
      <c r="B7176" s="841" t="s">
        <v>3949</v>
      </c>
      <c r="E7176" s="1689" t="s">
        <v>3390</v>
      </c>
      <c r="F7176" s="1689"/>
      <c r="G7176" s="1689"/>
      <c r="H7176" s="1689"/>
      <c r="K7176" s="841" t="s">
        <v>3815</v>
      </c>
      <c r="M7176" s="1357"/>
      <c r="Q7176" s="1357"/>
      <c r="S7176" s="1420"/>
      <c r="T7176" s="1420"/>
      <c r="V7176" s="1357">
        <v>274</v>
      </c>
    </row>
    <row r="7177" spans="1:22" s="841" customFormat="1" ht="15" x14ac:dyDescent="0.25">
      <c r="A7177" s="841" t="s">
        <v>211</v>
      </c>
      <c r="B7177" s="841" t="s">
        <v>3949</v>
      </c>
      <c r="E7177" s="1694" t="s">
        <v>3067</v>
      </c>
      <c r="F7177" s="1907"/>
      <c r="G7177" s="1907"/>
      <c r="H7177" s="1907"/>
      <c r="K7177" s="841" t="s">
        <v>3130</v>
      </c>
      <c r="M7177" s="1357"/>
      <c r="Q7177" s="1357"/>
      <c r="S7177" s="1420"/>
      <c r="T7177" s="1420"/>
      <c r="V7177" s="1357">
        <v>46</v>
      </c>
    </row>
    <row r="7178" spans="1:22" s="841" customFormat="1" ht="15" x14ac:dyDescent="0.25">
      <c r="A7178" s="841" t="s">
        <v>211</v>
      </c>
      <c r="B7178" s="841" t="s">
        <v>3949</v>
      </c>
      <c r="E7178" s="1920" t="s">
        <v>12</v>
      </c>
      <c r="F7178" s="1920"/>
      <c r="G7178" s="1366" t="s">
        <v>23</v>
      </c>
      <c r="H7178" s="1193">
        <v>616.86</v>
      </c>
      <c r="K7178" s="841" t="s">
        <v>3815</v>
      </c>
      <c r="L7178" s="841" t="s">
        <v>442</v>
      </c>
      <c r="M7178" s="1357"/>
      <c r="P7178" s="841" t="s">
        <v>3817</v>
      </c>
      <c r="Q7178" s="1357"/>
      <c r="S7178" s="1420"/>
      <c r="T7178" s="1420"/>
      <c r="V7178" s="1357">
        <v>31</v>
      </c>
    </row>
    <row r="7179" spans="1:22" s="841" customFormat="1" ht="15" x14ac:dyDescent="0.25">
      <c r="A7179" s="841" t="s">
        <v>211</v>
      </c>
      <c r="B7179" s="841" t="s">
        <v>3949</v>
      </c>
      <c r="E7179" s="1920" t="s">
        <v>3952</v>
      </c>
      <c r="F7179" s="1920"/>
      <c r="G7179" s="1365" t="s">
        <v>23</v>
      </c>
      <c r="H7179" s="733">
        <v>-9.09</v>
      </c>
      <c r="K7179" s="841" t="s">
        <v>3815</v>
      </c>
      <c r="L7179" s="841" t="s">
        <v>442</v>
      </c>
      <c r="M7179" s="1357"/>
      <c r="P7179" s="841" t="s">
        <v>6356</v>
      </c>
      <c r="Q7179" s="1357"/>
      <c r="S7179" s="1420"/>
      <c r="T7179" s="1420">
        <v>43715</v>
      </c>
      <c r="V7179" s="1357">
        <v>73</v>
      </c>
    </row>
    <row r="7180" spans="1:22" s="841" customFormat="1" ht="15" x14ac:dyDescent="0.25">
      <c r="A7180" s="841" t="s">
        <v>211</v>
      </c>
      <c r="B7180" s="841" t="s">
        <v>3949</v>
      </c>
      <c r="E7180" s="1920" t="s">
        <v>5129</v>
      </c>
      <c r="F7180" s="1908"/>
      <c r="G7180" s="1365" t="s">
        <v>24</v>
      </c>
      <c r="H7180" s="732">
        <v>-7.4000000000000003E-3</v>
      </c>
      <c r="K7180" s="841" t="s">
        <v>3815</v>
      </c>
      <c r="L7180" s="841" t="s">
        <v>443</v>
      </c>
      <c r="M7180" s="1357"/>
      <c r="P7180" s="841" t="s">
        <v>5637</v>
      </c>
      <c r="Q7180" s="1357"/>
      <c r="S7180" s="1420"/>
      <c r="T7180" s="1420">
        <v>43585</v>
      </c>
      <c r="V7180" s="1357">
        <v>139</v>
      </c>
    </row>
    <row r="7181" spans="1:22" s="841" customFormat="1" ht="15" x14ac:dyDescent="0.25">
      <c r="A7181" s="841" t="s">
        <v>211</v>
      </c>
      <c r="B7181" s="841" t="s">
        <v>3949</v>
      </c>
      <c r="E7181" s="1920" t="s">
        <v>5130</v>
      </c>
      <c r="F7181" s="1908"/>
      <c r="G7181" s="1365" t="s">
        <v>24</v>
      </c>
      <c r="H7181" s="732">
        <v>4.2509940088502566E-3</v>
      </c>
      <c r="K7181" s="841" t="s">
        <v>3815</v>
      </c>
      <c r="L7181" s="841" t="s">
        <v>443</v>
      </c>
      <c r="M7181" s="1357"/>
      <c r="P7181" s="841" t="s">
        <v>5315</v>
      </c>
      <c r="Q7181" s="1357"/>
      <c r="S7181" s="1420"/>
      <c r="T7181" s="1420">
        <v>43585</v>
      </c>
      <c r="V7181" s="1357">
        <v>96</v>
      </c>
    </row>
    <row r="7182" spans="1:22" s="841" customFormat="1" ht="15" x14ac:dyDescent="0.25">
      <c r="A7182" s="841" t="s">
        <v>211</v>
      </c>
      <c r="B7182" s="841" t="s">
        <v>3949</v>
      </c>
      <c r="E7182" s="1920" t="s">
        <v>221</v>
      </c>
      <c r="F7182" s="1920"/>
      <c r="G7182" s="1366" t="s">
        <v>33</v>
      </c>
      <c r="H7182" s="1194">
        <v>0</v>
      </c>
      <c r="K7182" s="841" t="s">
        <v>3815</v>
      </c>
      <c r="L7182" s="841" t="s">
        <v>444</v>
      </c>
      <c r="M7182" s="1357"/>
      <c r="P7182" s="841" t="s">
        <v>5316</v>
      </c>
      <c r="Q7182" s="1357"/>
      <c r="S7182" s="1420"/>
      <c r="T7182" s="1420"/>
      <c r="V7182" s="1357">
        <v>47</v>
      </c>
    </row>
    <row r="7183" spans="1:22" s="841" customFormat="1" ht="15" x14ac:dyDescent="0.25">
      <c r="A7183" s="841" t="s">
        <v>211</v>
      </c>
      <c r="B7183" s="841" t="s">
        <v>3949</v>
      </c>
      <c r="E7183" s="1920" t="s">
        <v>217</v>
      </c>
      <c r="F7183" s="1920"/>
      <c r="G7183" s="1366" t="s">
        <v>33</v>
      </c>
      <c r="H7183" s="1194">
        <v>0</v>
      </c>
      <c r="K7183" s="841" t="s">
        <v>3815</v>
      </c>
      <c r="L7183" s="841" t="s">
        <v>444</v>
      </c>
      <c r="M7183" s="1357"/>
      <c r="P7183" s="841" t="s">
        <v>3819</v>
      </c>
      <c r="Q7183" s="1357"/>
      <c r="S7183" s="1420"/>
      <c r="T7183" s="1420"/>
      <c r="V7183" s="1357">
        <v>74</v>
      </c>
    </row>
    <row r="7184" spans="1:22" s="841" customFormat="1" ht="15" x14ac:dyDescent="0.25">
      <c r="A7184" s="841" t="s">
        <v>211</v>
      </c>
      <c r="B7184" s="841" t="s">
        <v>3949</v>
      </c>
      <c r="E7184" s="1694" t="s">
        <v>3079</v>
      </c>
      <c r="F7184" s="1690"/>
      <c r="G7184" s="1365"/>
      <c r="H7184" s="1365"/>
      <c r="K7184" s="841" t="s">
        <v>3260</v>
      </c>
      <c r="M7184" s="1357"/>
      <c r="Q7184" s="1357"/>
      <c r="S7184" s="1420"/>
      <c r="T7184" s="1420"/>
      <c r="V7184" s="1357">
        <v>48</v>
      </c>
    </row>
    <row r="7185" spans="1:22" s="841" customFormat="1" ht="15" x14ac:dyDescent="0.25">
      <c r="A7185" s="841" t="s">
        <v>211</v>
      </c>
      <c r="B7185" s="841" t="s">
        <v>3949</v>
      </c>
      <c r="E7185" s="1920" t="s">
        <v>2449</v>
      </c>
      <c r="F7185" s="1920"/>
      <c r="G7185" s="1366" t="s">
        <v>24</v>
      </c>
      <c r="H7185" s="1196">
        <v>3.2000000000000002E-3</v>
      </c>
      <c r="K7185" s="841" t="s">
        <v>3815</v>
      </c>
      <c r="L7185" s="841" t="s">
        <v>3046</v>
      </c>
      <c r="M7185" s="1357"/>
      <c r="P7185" s="841" t="s">
        <v>5418</v>
      </c>
      <c r="Q7185" s="1357"/>
      <c r="S7185" s="1420"/>
      <c r="T7185" s="1420"/>
      <c r="V7185" s="1357">
        <v>55</v>
      </c>
    </row>
    <row r="7186" spans="1:22" s="841" customFormat="1" ht="15" x14ac:dyDescent="0.25">
      <c r="A7186" s="841" t="s">
        <v>211</v>
      </c>
      <c r="B7186" s="841" t="s">
        <v>3949</v>
      </c>
      <c r="E7186" s="1920" t="s">
        <v>2450</v>
      </c>
      <c r="F7186" s="1920"/>
      <c r="G7186" s="1366" t="s">
        <v>24</v>
      </c>
      <c r="H7186" s="1196">
        <v>4.0000000000000002E-4</v>
      </c>
      <c r="K7186" s="841" t="s">
        <v>3815</v>
      </c>
      <c r="L7186" s="841" t="s">
        <v>3046</v>
      </c>
      <c r="M7186" s="1357"/>
      <c r="P7186" s="841" t="s">
        <v>5418</v>
      </c>
      <c r="Q7186" s="1357"/>
      <c r="S7186" s="1420"/>
      <c r="T7186" s="1420"/>
      <c r="V7186" s="1357">
        <v>65</v>
      </c>
    </row>
    <row r="7187" spans="1:22" s="841" customFormat="1" ht="15" x14ac:dyDescent="0.25">
      <c r="A7187" s="841" t="s">
        <v>211</v>
      </c>
      <c r="B7187" s="841" t="s">
        <v>3949</v>
      </c>
      <c r="E7187" s="1920" t="s">
        <v>439</v>
      </c>
      <c r="F7187" s="1920"/>
      <c r="G7187" s="1366" t="s">
        <v>24</v>
      </c>
      <c r="H7187" s="1196">
        <v>2.9999999999999997E-4</v>
      </c>
      <c r="K7187" s="841" t="s">
        <v>3815</v>
      </c>
      <c r="L7187" s="841" t="s">
        <v>3046</v>
      </c>
      <c r="M7187" s="1357"/>
      <c r="P7187" s="841" t="s">
        <v>5419</v>
      </c>
      <c r="Q7187" s="1357"/>
      <c r="S7187" s="1420"/>
      <c r="T7187" s="1420"/>
      <c r="V7187" s="1357">
        <v>57</v>
      </c>
    </row>
    <row r="7188" spans="1:22" s="841" customFormat="1" ht="15" x14ac:dyDescent="0.25">
      <c r="A7188" s="841" t="s">
        <v>211</v>
      </c>
      <c r="B7188" s="841" t="s">
        <v>3949</v>
      </c>
      <c r="E7188" s="1920" t="s">
        <v>32</v>
      </c>
      <c r="F7188" s="1920"/>
      <c r="G7188" s="1366" t="s">
        <v>23</v>
      </c>
      <c r="H7188" s="1196">
        <v>0.25</v>
      </c>
      <c r="K7188" s="841" t="s">
        <v>3815</v>
      </c>
      <c r="L7188" s="841" t="s">
        <v>3046</v>
      </c>
      <c r="M7188" s="1357"/>
      <c r="P7188" s="841" t="s">
        <v>5420</v>
      </c>
      <c r="Q7188" s="1357"/>
      <c r="S7188" s="1420"/>
      <c r="T7188" s="1420"/>
      <c r="V7188" s="1357">
        <v>63</v>
      </c>
    </row>
    <row r="7189" spans="1:22" s="841" customFormat="1" x14ac:dyDescent="0.25">
      <c r="A7189" s="841" t="s">
        <v>211</v>
      </c>
      <c r="B7189" s="841" t="s">
        <v>3949</v>
      </c>
      <c r="E7189" s="1909" t="s">
        <v>618</v>
      </c>
      <c r="F7189" s="1923"/>
      <c r="G7189" s="1923"/>
      <c r="H7189" s="1923"/>
      <c r="K7189" s="841" t="s">
        <v>3487</v>
      </c>
      <c r="M7189" s="1357"/>
      <c r="Q7189" s="1357"/>
      <c r="S7189" s="1420"/>
      <c r="T7189" s="1420"/>
      <c r="V7189" s="1357">
        <v>31</v>
      </c>
    </row>
    <row r="7190" spans="1:22" s="841" customFormat="1" ht="15" x14ac:dyDescent="0.25">
      <c r="A7190" s="841" t="s">
        <v>211</v>
      </c>
      <c r="B7190" s="841" t="s">
        <v>3949</v>
      </c>
      <c r="E7190" s="1689" t="s">
        <v>3127</v>
      </c>
      <c r="F7190" s="1689"/>
      <c r="G7190" s="1689"/>
      <c r="H7190" s="1689"/>
      <c r="K7190" s="841" t="s">
        <v>3487</v>
      </c>
      <c r="M7190" s="1357"/>
      <c r="Q7190" s="1357"/>
      <c r="S7190" s="1420"/>
      <c r="T7190" s="1420"/>
      <c r="V7190" s="1357">
        <v>286</v>
      </c>
    </row>
    <row r="7191" spans="1:22" s="841" customFormat="1" ht="15" x14ac:dyDescent="0.25">
      <c r="A7191" s="841" t="s">
        <v>211</v>
      </c>
      <c r="B7191" s="841" t="s">
        <v>3949</v>
      </c>
      <c r="E7191" s="1916" t="s">
        <v>3061</v>
      </c>
      <c r="F7191" s="1689"/>
      <c r="G7191" s="1689"/>
      <c r="H7191" s="1689"/>
      <c r="K7191" s="841" t="s">
        <v>3266</v>
      </c>
      <c r="M7191" s="1357"/>
      <c r="Q7191" s="1357"/>
      <c r="S7191" s="1420"/>
      <c r="T7191" s="1420"/>
      <c r="V7191" s="1357">
        <v>11</v>
      </c>
    </row>
    <row r="7192" spans="1:22" s="841" customFormat="1" ht="15" x14ac:dyDescent="0.25">
      <c r="A7192" s="841" t="s">
        <v>211</v>
      </c>
      <c r="B7192" s="841" t="s">
        <v>3949</v>
      </c>
      <c r="E7192" s="1689" t="s">
        <v>3063</v>
      </c>
      <c r="F7192" s="1689"/>
      <c r="G7192" s="1689"/>
      <c r="H7192" s="1689"/>
      <c r="K7192" s="841" t="s">
        <v>3487</v>
      </c>
      <c r="M7192" s="1357"/>
      <c r="Q7192" s="1357"/>
      <c r="S7192" s="1420"/>
      <c r="T7192" s="1420"/>
      <c r="V7192" s="1357">
        <v>280</v>
      </c>
    </row>
    <row r="7193" spans="1:22" s="841" customFormat="1" ht="15" x14ac:dyDescent="0.25">
      <c r="A7193" s="841" t="s">
        <v>211</v>
      </c>
      <c r="B7193" s="841" t="s">
        <v>3949</v>
      </c>
      <c r="E7193" s="1689" t="s">
        <v>3064</v>
      </c>
      <c r="F7193" s="1689"/>
      <c r="G7193" s="1689"/>
      <c r="H7193" s="1689"/>
      <c r="K7193" s="841" t="s">
        <v>3487</v>
      </c>
      <c r="M7193" s="1357"/>
      <c r="Q7193" s="1357"/>
      <c r="S7193" s="1420"/>
      <c r="T7193" s="1420"/>
      <c r="V7193" s="1357">
        <v>411</v>
      </c>
    </row>
    <row r="7194" spans="1:22" s="841" customFormat="1" ht="15" x14ac:dyDescent="0.25">
      <c r="A7194" s="841" t="s">
        <v>211</v>
      </c>
      <c r="B7194" s="841" t="s">
        <v>3949</v>
      </c>
      <c r="E7194" s="1689" t="s">
        <v>3129</v>
      </c>
      <c r="F7194" s="1689"/>
      <c r="G7194" s="1689"/>
      <c r="H7194" s="1689"/>
      <c r="K7194" s="841" t="s">
        <v>3487</v>
      </c>
      <c r="M7194" s="1357"/>
      <c r="Q7194" s="1357"/>
      <c r="S7194" s="1420"/>
      <c r="T7194" s="1420"/>
      <c r="V7194" s="1357">
        <v>211</v>
      </c>
    </row>
    <row r="7195" spans="1:22" s="841" customFormat="1" ht="15" x14ac:dyDescent="0.25">
      <c r="A7195" s="841" t="s">
        <v>211</v>
      </c>
      <c r="B7195" s="841" t="s">
        <v>3949</v>
      </c>
      <c r="E7195" s="1689" t="s">
        <v>3390</v>
      </c>
      <c r="F7195" s="1689"/>
      <c r="G7195" s="1689"/>
      <c r="H7195" s="1689"/>
      <c r="K7195" s="841" t="s">
        <v>3487</v>
      </c>
      <c r="M7195" s="1357"/>
      <c r="Q7195" s="1357"/>
      <c r="S7195" s="1420"/>
      <c r="T7195" s="1420"/>
      <c r="V7195" s="1357">
        <v>274</v>
      </c>
    </row>
    <row r="7196" spans="1:22" s="841" customFormat="1" ht="15" x14ac:dyDescent="0.25">
      <c r="A7196" s="841" t="s">
        <v>211</v>
      </c>
      <c r="B7196" s="841" t="s">
        <v>3949</v>
      </c>
      <c r="E7196" s="1694" t="s">
        <v>3632</v>
      </c>
      <c r="F7196" s="1907"/>
      <c r="G7196" s="1907"/>
      <c r="H7196" s="1907"/>
      <c r="K7196" s="841" t="s">
        <v>3267</v>
      </c>
      <c r="M7196" s="1357"/>
      <c r="Q7196" s="1357"/>
      <c r="S7196" s="1420"/>
      <c r="T7196" s="1420"/>
      <c r="V7196" s="1357">
        <v>47</v>
      </c>
    </row>
    <row r="7197" spans="1:22" s="841" customFormat="1" ht="15" x14ac:dyDescent="0.25">
      <c r="A7197" s="841" t="s">
        <v>211</v>
      </c>
      <c r="B7197" s="841" t="s">
        <v>3949</v>
      </c>
      <c r="E7197" s="1920" t="s">
        <v>11</v>
      </c>
      <c r="F7197" s="1920"/>
      <c r="G7197" s="1366" t="s">
        <v>23</v>
      </c>
      <c r="H7197" s="1193">
        <v>5.4</v>
      </c>
      <c r="K7197" s="841" t="s">
        <v>3487</v>
      </c>
      <c r="L7197" s="841" t="s">
        <v>442</v>
      </c>
      <c r="M7197" s="1357"/>
      <c r="P7197" s="841" t="s">
        <v>3488</v>
      </c>
      <c r="Q7197" s="1357"/>
      <c r="S7197" s="1420"/>
      <c r="T7197" s="1420"/>
      <c r="V7197" s="1357">
        <v>14</v>
      </c>
    </row>
    <row r="7198" spans="1:22" s="841" customFormat="1" ht="18.75" x14ac:dyDescent="0.3">
      <c r="A7198" s="841" t="s">
        <v>211</v>
      </c>
      <c r="B7198" s="841" t="s">
        <v>3949</v>
      </c>
      <c r="E7198" s="1374" t="s">
        <v>85</v>
      </c>
      <c r="F7198" s="1204"/>
      <c r="G7198" s="1204"/>
      <c r="H7198" s="1204"/>
      <c r="K7198" s="841" t="s">
        <v>3970</v>
      </c>
      <c r="M7198" s="1357"/>
      <c r="Q7198" s="1357"/>
      <c r="S7198" s="1420"/>
      <c r="T7198" s="1420"/>
      <c r="V7198" s="1357">
        <v>10</v>
      </c>
    </row>
    <row r="7199" spans="1:22" s="841" customFormat="1" ht="15" x14ac:dyDescent="0.25">
      <c r="A7199" s="841" t="s">
        <v>211</v>
      </c>
      <c r="B7199" s="841" t="s">
        <v>3949</v>
      </c>
      <c r="E7199" s="1690" t="s">
        <v>3133</v>
      </c>
      <c r="F7199" s="1690"/>
      <c r="G7199" s="1365" t="s">
        <v>33</v>
      </c>
      <c r="H7199" s="733">
        <v>-0.6</v>
      </c>
      <c r="M7199" s="1357"/>
      <c r="Q7199" s="1357"/>
      <c r="S7199" s="1420"/>
      <c r="T7199" s="1420"/>
      <c r="V7199" s="1357">
        <v>68</v>
      </c>
    </row>
    <row r="7200" spans="1:22" s="841" customFormat="1" ht="15" x14ac:dyDescent="0.25">
      <c r="A7200" s="841" t="s">
        <v>211</v>
      </c>
      <c r="B7200" s="841" t="s">
        <v>3949</v>
      </c>
      <c r="E7200" s="1690" t="s">
        <v>3134</v>
      </c>
      <c r="F7200" s="1690"/>
      <c r="G7200" s="1365" t="s">
        <v>86</v>
      </c>
      <c r="H7200" s="733">
        <v>-1</v>
      </c>
      <c r="M7200" s="1357"/>
      <c r="Q7200" s="1357"/>
      <c r="S7200" s="1420"/>
      <c r="T7200" s="1420"/>
      <c r="V7200" s="1357">
        <v>87</v>
      </c>
    </row>
    <row r="7201" spans="1:22" s="841" customFormat="1" x14ac:dyDescent="0.25">
      <c r="A7201" s="841" t="s">
        <v>211</v>
      </c>
      <c r="B7201" s="841" t="s">
        <v>3949</v>
      </c>
      <c r="E7201" s="1963" t="s">
        <v>87</v>
      </c>
      <c r="F7201" s="1963"/>
      <c r="G7201" s="1963"/>
      <c r="H7201" s="1963"/>
      <c r="K7201" s="841" t="s">
        <v>3971</v>
      </c>
      <c r="M7201" s="1357"/>
      <c r="Q7201" s="1357"/>
      <c r="S7201" s="1420"/>
      <c r="T7201" s="1420"/>
      <c r="V7201" s="1357">
        <v>24</v>
      </c>
    </row>
    <row r="7202" spans="1:22" s="841" customFormat="1" ht="15" x14ac:dyDescent="0.25">
      <c r="A7202" s="841" t="s">
        <v>211</v>
      </c>
      <c r="B7202" s="841" t="s">
        <v>3949</v>
      </c>
      <c r="E7202" s="1926" t="s">
        <v>3061</v>
      </c>
      <c r="F7202" s="1689"/>
      <c r="G7202" s="1689"/>
      <c r="H7202" s="1689"/>
      <c r="M7202" s="1357"/>
      <c r="Q7202" s="1357"/>
      <c r="S7202" s="1420"/>
      <c r="T7202" s="1420"/>
      <c r="V7202" s="1357">
        <v>11</v>
      </c>
    </row>
    <row r="7203" spans="1:22" s="841" customFormat="1" ht="15" x14ac:dyDescent="0.25">
      <c r="A7203" s="841" t="s">
        <v>211</v>
      </c>
      <c r="B7203" s="841" t="s">
        <v>3949</v>
      </c>
      <c r="E7203" s="1689" t="s">
        <v>3063</v>
      </c>
      <c r="F7203" s="1689"/>
      <c r="G7203" s="1689"/>
      <c r="H7203" s="1689"/>
      <c r="M7203" s="1357"/>
      <c r="Q7203" s="1357"/>
      <c r="S7203" s="1420"/>
      <c r="T7203" s="1420"/>
      <c r="V7203" s="1357">
        <v>280</v>
      </c>
    </row>
    <row r="7204" spans="1:22" s="841" customFormat="1" ht="15" x14ac:dyDescent="0.25">
      <c r="A7204" s="841" t="s">
        <v>211</v>
      </c>
      <c r="B7204" s="841" t="s">
        <v>3949</v>
      </c>
      <c r="E7204" s="1689" t="s">
        <v>3136</v>
      </c>
      <c r="F7204" s="1689"/>
      <c r="G7204" s="1689"/>
      <c r="H7204" s="1689"/>
      <c r="M7204" s="1357"/>
      <c r="Q7204" s="1357"/>
      <c r="S7204" s="1420"/>
      <c r="T7204" s="1420"/>
      <c r="V7204" s="1357">
        <v>353</v>
      </c>
    </row>
    <row r="7205" spans="1:22" s="841" customFormat="1" ht="15" x14ac:dyDescent="0.25">
      <c r="A7205" s="841" t="s">
        <v>211</v>
      </c>
      <c r="B7205" s="841" t="s">
        <v>3949</v>
      </c>
      <c r="E7205" s="1921" t="s">
        <v>3390</v>
      </c>
      <c r="F7205" s="1921"/>
      <c r="G7205" s="1921"/>
      <c r="H7205" s="1921"/>
      <c r="M7205" s="1357"/>
      <c r="Q7205" s="1357"/>
      <c r="S7205" s="1420"/>
      <c r="T7205" s="1420"/>
      <c r="V7205" s="1357">
        <v>274</v>
      </c>
    </row>
    <row r="7206" spans="1:22" s="841" customFormat="1" ht="15" x14ac:dyDescent="0.25">
      <c r="A7206" s="841" t="s">
        <v>211</v>
      </c>
      <c r="B7206" s="841" t="s">
        <v>3949</v>
      </c>
      <c r="E7206" s="1694" t="s">
        <v>3137</v>
      </c>
      <c r="F7206" s="1694"/>
      <c r="G7206" s="1694"/>
      <c r="H7206" s="1694"/>
      <c r="K7206" s="841" t="s">
        <v>3972</v>
      </c>
      <c r="M7206" s="1357"/>
      <c r="Q7206" s="1357"/>
      <c r="S7206" s="1420"/>
      <c r="T7206" s="1420"/>
      <c r="V7206" s="1357">
        <v>23</v>
      </c>
    </row>
    <row r="7207" spans="1:22" s="841" customFormat="1" ht="15" x14ac:dyDescent="0.25">
      <c r="A7207" s="841" t="s">
        <v>211</v>
      </c>
      <c r="B7207" s="841" t="s">
        <v>3949</v>
      </c>
      <c r="E7207" s="1688" t="s">
        <v>3355</v>
      </c>
      <c r="F7207" s="1688"/>
      <c r="G7207" s="1365" t="s">
        <v>23</v>
      </c>
      <c r="H7207" s="733">
        <v>15</v>
      </c>
      <c r="M7207" s="1357"/>
      <c r="Q7207" s="1357"/>
      <c r="S7207" s="1420"/>
      <c r="T7207" s="1420"/>
      <c r="V7207" s="1357">
        <v>19</v>
      </c>
    </row>
    <row r="7208" spans="1:22" s="841" customFormat="1" ht="15" x14ac:dyDescent="0.25">
      <c r="A7208" s="841" t="s">
        <v>211</v>
      </c>
      <c r="B7208" s="841" t="s">
        <v>3949</v>
      </c>
      <c r="E7208" s="1688" t="s">
        <v>3140</v>
      </c>
      <c r="F7208" s="1688"/>
      <c r="G7208" s="1365" t="s">
        <v>23</v>
      </c>
      <c r="H7208" s="733">
        <v>15</v>
      </c>
      <c r="M7208" s="1357"/>
      <c r="Q7208" s="1357"/>
      <c r="S7208" s="1420"/>
      <c r="T7208" s="1420"/>
      <c r="V7208" s="1357">
        <v>20</v>
      </c>
    </row>
    <row r="7209" spans="1:22" s="841" customFormat="1" ht="15" x14ac:dyDescent="0.25">
      <c r="A7209" s="841" t="s">
        <v>211</v>
      </c>
      <c r="B7209" s="841" t="s">
        <v>3949</v>
      </c>
      <c r="E7209" s="1688" t="s">
        <v>3960</v>
      </c>
      <c r="F7209" s="1688"/>
      <c r="G7209" s="1365" t="s">
        <v>23</v>
      </c>
      <c r="H7209" s="733">
        <v>15</v>
      </c>
      <c r="M7209" s="1357"/>
      <c r="Q7209" s="1357"/>
      <c r="S7209" s="1420"/>
      <c r="T7209" s="1420"/>
      <c r="V7209" s="1357">
        <v>26</v>
      </c>
    </row>
    <row r="7210" spans="1:22" s="841" customFormat="1" ht="15" x14ac:dyDescent="0.25">
      <c r="A7210" s="841" t="s">
        <v>211</v>
      </c>
      <c r="B7210" s="841" t="s">
        <v>3949</v>
      </c>
      <c r="E7210" s="1688" t="s">
        <v>3142</v>
      </c>
      <c r="F7210" s="1688"/>
      <c r="G7210" s="1365" t="s">
        <v>23</v>
      </c>
      <c r="H7210" s="733">
        <v>15</v>
      </c>
      <c r="M7210" s="1357"/>
      <c r="Q7210" s="1357"/>
      <c r="S7210" s="1420"/>
      <c r="T7210" s="1420"/>
      <c r="V7210" s="1357">
        <v>39</v>
      </c>
    </row>
    <row r="7211" spans="1:22" s="841" customFormat="1" ht="15" x14ac:dyDescent="0.25">
      <c r="A7211" s="841" t="s">
        <v>211</v>
      </c>
      <c r="B7211" s="841" t="s">
        <v>3949</v>
      </c>
      <c r="E7211" s="1688" t="s">
        <v>3143</v>
      </c>
      <c r="F7211" s="1688"/>
      <c r="G7211" s="1365" t="s">
        <v>23</v>
      </c>
      <c r="H7211" s="733">
        <v>15</v>
      </c>
      <c r="M7211" s="1357"/>
      <c r="Q7211" s="1357"/>
      <c r="S7211" s="1420"/>
      <c r="T7211" s="1420"/>
      <c r="V7211" s="1357">
        <v>37</v>
      </c>
    </row>
    <row r="7212" spans="1:22" s="841" customFormat="1" ht="15" x14ac:dyDescent="0.25">
      <c r="A7212" s="841" t="s">
        <v>211</v>
      </c>
      <c r="B7212" s="841" t="s">
        <v>3949</v>
      </c>
      <c r="E7212" s="1688" t="s">
        <v>3144</v>
      </c>
      <c r="F7212" s="1688"/>
      <c r="G7212" s="1365" t="s">
        <v>23</v>
      </c>
      <c r="H7212" s="733">
        <v>15</v>
      </c>
      <c r="M7212" s="1357"/>
      <c r="Q7212" s="1357"/>
      <c r="S7212" s="1420"/>
      <c r="T7212" s="1420"/>
      <c r="V7212" s="1357">
        <v>15</v>
      </c>
    </row>
    <row r="7213" spans="1:22" s="841" customFormat="1" ht="15" x14ac:dyDescent="0.25">
      <c r="A7213" s="841" t="s">
        <v>211</v>
      </c>
      <c r="B7213" s="841" t="s">
        <v>3949</v>
      </c>
      <c r="E7213" s="1688" t="s">
        <v>3145</v>
      </c>
      <c r="F7213" s="1688"/>
      <c r="G7213" s="1365" t="s">
        <v>23</v>
      </c>
      <c r="H7213" s="733">
        <v>15</v>
      </c>
      <c r="M7213" s="1357"/>
      <c r="Q7213" s="1357"/>
      <c r="S7213" s="1420"/>
      <c r="T7213" s="1420"/>
      <c r="V7213" s="1357">
        <v>17</v>
      </c>
    </row>
    <row r="7214" spans="1:22" s="841" customFormat="1" ht="15" x14ac:dyDescent="0.25">
      <c r="A7214" s="841" t="s">
        <v>211</v>
      </c>
      <c r="B7214" s="841" t="s">
        <v>3949</v>
      </c>
      <c r="E7214" s="1688" t="s">
        <v>3146</v>
      </c>
      <c r="F7214" s="1688"/>
      <c r="G7214" s="1365" t="s">
        <v>23</v>
      </c>
      <c r="H7214" s="733">
        <v>15</v>
      </c>
      <c r="M7214" s="1357"/>
      <c r="Q7214" s="1357"/>
      <c r="S7214" s="1420"/>
      <c r="T7214" s="1420"/>
      <c r="V7214" s="1357">
        <v>19</v>
      </c>
    </row>
    <row r="7215" spans="1:22" s="841" customFormat="1" ht="15" x14ac:dyDescent="0.25">
      <c r="A7215" s="841" t="s">
        <v>211</v>
      </c>
      <c r="B7215" s="841" t="s">
        <v>3949</v>
      </c>
      <c r="E7215" s="1688" t="s">
        <v>3147</v>
      </c>
      <c r="F7215" s="1688"/>
      <c r="G7215" s="1365" t="s">
        <v>23</v>
      </c>
      <c r="H7215" s="733">
        <v>15</v>
      </c>
      <c r="M7215" s="1357"/>
      <c r="Q7215" s="1357"/>
      <c r="S7215" s="1420"/>
      <c r="T7215" s="1420"/>
      <c r="V7215" s="1357">
        <v>15</v>
      </c>
    </row>
    <row r="7216" spans="1:22" s="841" customFormat="1" ht="15" x14ac:dyDescent="0.25">
      <c r="A7216" s="841" t="s">
        <v>211</v>
      </c>
      <c r="B7216" s="841" t="s">
        <v>3949</v>
      </c>
      <c r="E7216" s="1688" t="s">
        <v>3148</v>
      </c>
      <c r="F7216" s="1688"/>
      <c r="G7216" s="1365" t="s">
        <v>23</v>
      </c>
      <c r="H7216" s="733">
        <v>15</v>
      </c>
      <c r="M7216" s="1357"/>
      <c r="Q7216" s="1357"/>
      <c r="S7216" s="1420"/>
      <c r="T7216" s="1420"/>
      <c r="V7216" s="1357">
        <v>56</v>
      </c>
    </row>
    <row r="7217" spans="1:22" s="841" customFormat="1" ht="15" x14ac:dyDescent="0.25">
      <c r="A7217" s="841" t="s">
        <v>211</v>
      </c>
      <c r="B7217" s="841" t="s">
        <v>3949</v>
      </c>
      <c r="E7217" s="1688" t="s">
        <v>3149</v>
      </c>
      <c r="F7217" s="1688"/>
      <c r="G7217" s="1365" t="s">
        <v>23</v>
      </c>
      <c r="H7217" s="733">
        <v>15</v>
      </c>
      <c r="M7217" s="1357"/>
      <c r="Q7217" s="1357"/>
      <c r="S7217" s="1420"/>
      <c r="T7217" s="1420"/>
      <c r="V7217" s="1357">
        <v>35</v>
      </c>
    </row>
    <row r="7218" spans="1:22" s="841" customFormat="1" ht="15" x14ac:dyDescent="0.25">
      <c r="A7218" s="841" t="s">
        <v>211</v>
      </c>
      <c r="B7218" s="841" t="s">
        <v>3949</v>
      </c>
      <c r="E7218" s="1688" t="s">
        <v>3150</v>
      </c>
      <c r="F7218" s="1688"/>
      <c r="G7218" s="1365" t="s">
        <v>23</v>
      </c>
      <c r="H7218" s="733">
        <v>15</v>
      </c>
      <c r="M7218" s="1357"/>
      <c r="Q7218" s="1357"/>
      <c r="S7218" s="1420"/>
      <c r="T7218" s="1420"/>
      <c r="V7218" s="1357">
        <v>24</v>
      </c>
    </row>
    <row r="7219" spans="1:22" s="841" customFormat="1" ht="15" x14ac:dyDescent="0.25">
      <c r="A7219" s="841" t="s">
        <v>211</v>
      </c>
      <c r="B7219" s="841" t="s">
        <v>3949</v>
      </c>
      <c r="E7219" s="1688" t="s">
        <v>3151</v>
      </c>
      <c r="F7219" s="1688"/>
      <c r="G7219" s="1365" t="s">
        <v>23</v>
      </c>
      <c r="H7219" s="733">
        <v>15</v>
      </c>
      <c r="M7219" s="1357"/>
      <c r="Q7219" s="1357"/>
      <c r="S7219" s="1420"/>
      <c r="T7219" s="1420"/>
      <c r="V7219" s="1357">
        <v>19</v>
      </c>
    </row>
    <row r="7220" spans="1:22" s="841" customFormat="1" ht="15" x14ac:dyDescent="0.25">
      <c r="A7220" s="841" t="s">
        <v>211</v>
      </c>
      <c r="B7220" s="841" t="s">
        <v>3949</v>
      </c>
      <c r="E7220" s="1688" t="s">
        <v>3961</v>
      </c>
      <c r="F7220" s="1688"/>
      <c r="G7220" s="1365" t="s">
        <v>23</v>
      </c>
      <c r="H7220" s="733">
        <v>30</v>
      </c>
      <c r="M7220" s="1357"/>
      <c r="Q7220" s="1357"/>
      <c r="S7220" s="1420"/>
      <c r="T7220" s="1420"/>
      <c r="V7220" s="1357">
        <v>91</v>
      </c>
    </row>
    <row r="7221" spans="1:22" s="841" customFormat="1" ht="15" x14ac:dyDescent="0.25">
      <c r="A7221" s="841" t="s">
        <v>211</v>
      </c>
      <c r="B7221" s="841" t="s">
        <v>3949</v>
      </c>
      <c r="E7221" s="1688" t="s">
        <v>94</v>
      </c>
      <c r="F7221" s="1688"/>
      <c r="G7221" s="1365" t="s">
        <v>23</v>
      </c>
      <c r="H7221" s="733">
        <v>30</v>
      </c>
      <c r="M7221" s="1357"/>
      <c r="Q7221" s="1357"/>
      <c r="S7221" s="1420"/>
      <c r="T7221" s="1420"/>
      <c r="V7221" s="1357">
        <v>19</v>
      </c>
    </row>
    <row r="7222" spans="1:22" s="841" customFormat="1" ht="15" x14ac:dyDescent="0.25">
      <c r="A7222" s="841" t="s">
        <v>211</v>
      </c>
      <c r="B7222" s="841" t="s">
        <v>3949</v>
      </c>
      <c r="E7222" s="1688" t="s">
        <v>92</v>
      </c>
      <c r="F7222" s="1688"/>
      <c r="G7222" s="1365" t="s">
        <v>23</v>
      </c>
      <c r="H7222" s="733">
        <v>30</v>
      </c>
      <c r="M7222" s="1357"/>
      <c r="Q7222" s="1357"/>
      <c r="S7222" s="1420"/>
      <c r="T7222" s="1420"/>
      <c r="V7222" s="1357">
        <v>74</v>
      </c>
    </row>
    <row r="7223" spans="1:22" s="841" customFormat="1" ht="15" x14ac:dyDescent="0.25">
      <c r="A7223" s="841" t="s">
        <v>211</v>
      </c>
      <c r="B7223" s="841" t="s">
        <v>3949</v>
      </c>
      <c r="E7223" s="1694" t="s">
        <v>3152</v>
      </c>
      <c r="F7223" s="1694"/>
      <c r="G7223" s="1694"/>
      <c r="H7223" s="1694"/>
      <c r="K7223" s="841" t="s">
        <v>3973</v>
      </c>
      <c r="M7223" s="1357"/>
      <c r="Q7223" s="1357"/>
      <c r="S7223" s="1420"/>
      <c r="T7223" s="1420"/>
      <c r="V7223" s="1357">
        <v>22</v>
      </c>
    </row>
    <row r="7224" spans="1:22" s="841" customFormat="1" ht="15" x14ac:dyDescent="0.25">
      <c r="A7224" s="841" t="s">
        <v>211</v>
      </c>
      <c r="B7224" s="841" t="s">
        <v>3949</v>
      </c>
      <c r="E7224" s="1688" t="s">
        <v>3154</v>
      </c>
      <c r="F7224" s="1688"/>
      <c r="G7224" s="1365" t="s">
        <v>86</v>
      </c>
      <c r="H7224" s="733">
        <v>1.5</v>
      </c>
      <c r="M7224" s="1357"/>
      <c r="Q7224" s="1357"/>
      <c r="S7224" s="1420"/>
      <c r="T7224" s="1420"/>
      <c r="V7224" s="1357">
        <v>24</v>
      </c>
    </row>
    <row r="7225" spans="1:22" s="841" customFormat="1" ht="15" x14ac:dyDescent="0.25">
      <c r="A7225" s="841" t="s">
        <v>211</v>
      </c>
      <c r="B7225" s="841" t="s">
        <v>3949</v>
      </c>
      <c r="E7225" s="1688" t="s">
        <v>3155</v>
      </c>
      <c r="F7225" s="1688"/>
      <c r="G7225" s="1365" t="s">
        <v>86</v>
      </c>
      <c r="H7225" s="733">
        <v>19.559999999999999</v>
      </c>
      <c r="M7225" s="1357"/>
      <c r="Q7225" s="1357"/>
      <c r="S7225" s="1420"/>
      <c r="T7225" s="1420"/>
      <c r="V7225" s="1357">
        <v>24</v>
      </c>
    </row>
    <row r="7226" spans="1:22" s="841" customFormat="1" ht="15" x14ac:dyDescent="0.25">
      <c r="A7226" s="841" t="s">
        <v>211</v>
      </c>
      <c r="B7226" s="841" t="s">
        <v>3949</v>
      </c>
      <c r="E7226" s="1688" t="s">
        <v>3288</v>
      </c>
      <c r="F7226" s="1688"/>
      <c r="G7226" s="1365" t="s">
        <v>23</v>
      </c>
      <c r="H7226" s="733">
        <v>30</v>
      </c>
      <c r="M7226" s="1357"/>
      <c r="Q7226" s="1357"/>
      <c r="S7226" s="1420"/>
      <c r="T7226" s="1420"/>
      <c r="V7226" s="1357">
        <v>47</v>
      </c>
    </row>
    <row r="7227" spans="1:22" s="841" customFormat="1" ht="15" x14ac:dyDescent="0.25">
      <c r="A7227" s="841" t="s">
        <v>211</v>
      </c>
      <c r="B7227" s="841" t="s">
        <v>3949</v>
      </c>
      <c r="E7227" s="1688" t="s">
        <v>3157</v>
      </c>
      <c r="F7227" s="1688"/>
      <c r="G7227" s="1365" t="s">
        <v>23</v>
      </c>
      <c r="H7227" s="733">
        <v>165</v>
      </c>
      <c r="M7227" s="1357"/>
      <c r="Q7227" s="1357"/>
      <c r="S7227" s="1420"/>
      <c r="T7227" s="1420"/>
      <c r="V7227" s="1357">
        <v>69</v>
      </c>
    </row>
    <row r="7228" spans="1:22" s="841" customFormat="1" ht="15" x14ac:dyDescent="0.25">
      <c r="A7228" s="841" t="s">
        <v>211</v>
      </c>
      <c r="B7228" s="841" t="s">
        <v>3949</v>
      </c>
      <c r="E7228" s="1688" t="s">
        <v>4773</v>
      </c>
      <c r="F7228" s="1688"/>
      <c r="G7228" s="1365" t="s">
        <v>23</v>
      </c>
      <c r="H7228" s="733">
        <v>65</v>
      </c>
      <c r="M7228" s="1357"/>
      <c r="Q7228" s="1357"/>
      <c r="S7228" s="1420"/>
      <c r="T7228" s="1420"/>
      <c r="V7228" s="1357">
        <v>52</v>
      </c>
    </row>
    <row r="7229" spans="1:22" s="841" customFormat="1" ht="15" x14ac:dyDescent="0.25">
      <c r="A7229" s="841" t="s">
        <v>211</v>
      </c>
      <c r="B7229" s="841" t="s">
        <v>3949</v>
      </c>
      <c r="E7229" s="1688" t="s">
        <v>4774</v>
      </c>
      <c r="F7229" s="1688"/>
      <c r="G7229" s="1365" t="s">
        <v>23</v>
      </c>
      <c r="H7229" s="733">
        <v>185</v>
      </c>
      <c r="M7229" s="1357"/>
      <c r="Q7229" s="1357"/>
      <c r="S7229" s="1420"/>
      <c r="T7229" s="1420"/>
      <c r="V7229" s="1357">
        <v>51</v>
      </c>
    </row>
    <row r="7230" spans="1:22" s="841" customFormat="1" ht="15" x14ac:dyDescent="0.25">
      <c r="A7230" s="841" t="s">
        <v>211</v>
      </c>
      <c r="B7230" s="841" t="s">
        <v>3949</v>
      </c>
      <c r="E7230" s="1688" t="s">
        <v>4775</v>
      </c>
      <c r="F7230" s="1688"/>
      <c r="G7230" s="1365" t="s">
        <v>23</v>
      </c>
      <c r="H7230" s="733">
        <v>185</v>
      </c>
      <c r="M7230" s="1357"/>
      <c r="Q7230" s="1357"/>
      <c r="S7230" s="1420"/>
      <c r="T7230" s="1420"/>
      <c r="V7230" s="1357">
        <v>51</v>
      </c>
    </row>
    <row r="7231" spans="1:22" s="841" customFormat="1" ht="15" x14ac:dyDescent="0.25">
      <c r="A7231" s="841" t="s">
        <v>211</v>
      </c>
      <c r="B7231" s="841" t="s">
        <v>3949</v>
      </c>
      <c r="E7231" s="1688" t="s">
        <v>4776</v>
      </c>
      <c r="F7231" s="1688"/>
      <c r="G7231" s="1365" t="s">
        <v>23</v>
      </c>
      <c r="H7231" s="733">
        <v>415</v>
      </c>
      <c r="M7231" s="1357"/>
      <c r="Q7231" s="1357"/>
      <c r="S7231" s="1420"/>
      <c r="T7231" s="1420"/>
      <c r="V7231" s="1357">
        <v>50</v>
      </c>
    </row>
    <row r="7232" spans="1:22" s="841" customFormat="1" ht="15" x14ac:dyDescent="0.25">
      <c r="A7232" s="841" t="s">
        <v>211</v>
      </c>
      <c r="B7232" s="841" t="s">
        <v>3949</v>
      </c>
      <c r="E7232" s="1688" t="s">
        <v>4777</v>
      </c>
      <c r="F7232" s="1688"/>
      <c r="G7232" s="1365" t="s">
        <v>23</v>
      </c>
      <c r="H7232" s="733">
        <v>65</v>
      </c>
      <c r="M7232" s="1357"/>
      <c r="Q7232" s="1357"/>
      <c r="S7232" s="1420"/>
      <c r="T7232" s="1420"/>
      <c r="V7232" s="1357">
        <v>57</v>
      </c>
    </row>
    <row r="7233" spans="1:22" s="841" customFormat="1" ht="15" x14ac:dyDescent="0.25">
      <c r="A7233" s="841" t="s">
        <v>211</v>
      </c>
      <c r="B7233" s="841" t="s">
        <v>3949</v>
      </c>
      <c r="E7233" s="1688" t="s">
        <v>4778</v>
      </c>
      <c r="F7233" s="1688"/>
      <c r="G7233" s="1365" t="s">
        <v>23</v>
      </c>
      <c r="H7233" s="733">
        <v>185</v>
      </c>
      <c r="M7233" s="1357"/>
      <c r="Q7233" s="1357"/>
      <c r="S7233" s="1420"/>
      <c r="T7233" s="1420"/>
      <c r="V7233" s="1357">
        <v>56</v>
      </c>
    </row>
    <row r="7234" spans="1:22" s="841" customFormat="1" ht="15" x14ac:dyDescent="0.25">
      <c r="A7234" s="841" t="s">
        <v>211</v>
      </c>
      <c r="B7234" s="841" t="s">
        <v>3949</v>
      </c>
      <c r="E7234" s="1694" t="s">
        <v>3164</v>
      </c>
      <c r="F7234" s="1694"/>
      <c r="G7234" s="1694"/>
      <c r="H7234" s="1694"/>
      <c r="M7234" s="1357"/>
      <c r="Q7234" s="1357"/>
      <c r="S7234" s="1420"/>
      <c r="T7234" s="1420"/>
      <c r="V7234" s="1357">
        <v>5</v>
      </c>
    </row>
    <row r="7235" spans="1:22" s="841" customFormat="1" ht="15" x14ac:dyDescent="0.25">
      <c r="A7235" s="841" t="s">
        <v>211</v>
      </c>
      <c r="B7235" s="841" t="s">
        <v>3949</v>
      </c>
      <c r="E7235" s="1688" t="s">
        <v>3167</v>
      </c>
      <c r="F7235" s="1688"/>
      <c r="G7235" s="1365" t="s">
        <v>23</v>
      </c>
      <c r="H7235" s="733">
        <v>30</v>
      </c>
      <c r="M7235" s="1357"/>
      <c r="Q7235" s="1357"/>
      <c r="S7235" s="1420"/>
      <c r="T7235" s="1420"/>
      <c r="V7235" s="1357">
        <v>39</v>
      </c>
    </row>
    <row r="7236" spans="1:22" s="841" customFormat="1" ht="15" x14ac:dyDescent="0.25">
      <c r="A7236" s="841" t="s">
        <v>211</v>
      </c>
      <c r="B7236" s="841" t="s">
        <v>3949</v>
      </c>
      <c r="E7236" s="1688" t="s">
        <v>3168</v>
      </c>
      <c r="F7236" s="1688"/>
      <c r="G7236" s="1365" t="s">
        <v>23</v>
      </c>
      <c r="H7236" s="733">
        <v>165</v>
      </c>
      <c r="M7236" s="1357"/>
      <c r="Q7236" s="1357"/>
      <c r="S7236" s="1420"/>
      <c r="T7236" s="1420"/>
      <c r="V7236" s="1357">
        <v>34</v>
      </c>
    </row>
    <row r="7237" spans="1:22" s="841" customFormat="1" ht="15" x14ac:dyDescent="0.25">
      <c r="A7237" s="841" t="s">
        <v>211</v>
      </c>
      <c r="B7237" s="841" t="s">
        <v>3949</v>
      </c>
      <c r="E7237" s="1688" t="s">
        <v>3491</v>
      </c>
      <c r="F7237" s="1688"/>
      <c r="G7237" s="1365" t="s">
        <v>23</v>
      </c>
      <c r="H7237" s="733">
        <v>22.35</v>
      </c>
      <c r="M7237" s="1357"/>
      <c r="Q7237" s="1357"/>
      <c r="S7237" s="1420"/>
      <c r="T7237" s="1420"/>
      <c r="V7237" s="1357">
        <v>59</v>
      </c>
    </row>
    <row r="7238" spans="1:22" s="841" customFormat="1" ht="15" x14ac:dyDescent="0.25">
      <c r="A7238" s="841" t="s">
        <v>211</v>
      </c>
      <c r="B7238" s="841" t="s">
        <v>3949</v>
      </c>
      <c r="E7238" s="1688" t="s">
        <v>3166</v>
      </c>
      <c r="F7238" s="1688"/>
      <c r="G7238" s="1365"/>
      <c r="H7238" s="1186"/>
      <c r="M7238" s="1357"/>
      <c r="Q7238" s="1357"/>
      <c r="S7238" s="1420"/>
      <c r="T7238" s="1420"/>
      <c r="V7238" s="1357">
        <v>44</v>
      </c>
    </row>
    <row r="7239" spans="1:22" s="841" customFormat="1" x14ac:dyDescent="0.25">
      <c r="A7239" s="841" t="s">
        <v>211</v>
      </c>
      <c r="B7239" s="841" t="s">
        <v>3949</v>
      </c>
      <c r="E7239" s="1963" t="s">
        <v>77</v>
      </c>
      <c r="F7239" s="1963"/>
      <c r="G7239" s="1963"/>
      <c r="H7239" s="1963"/>
      <c r="K7239" s="841" t="s">
        <v>3974</v>
      </c>
      <c r="M7239" s="1357"/>
      <c r="Q7239" s="1357"/>
      <c r="S7239" s="1420"/>
      <c r="T7239" s="1420"/>
      <c r="V7239" s="1357">
        <v>38</v>
      </c>
    </row>
    <row r="7240" spans="1:22" s="841" customFormat="1" ht="15" x14ac:dyDescent="0.25">
      <c r="A7240" s="841" t="s">
        <v>211</v>
      </c>
      <c r="B7240" s="841" t="s">
        <v>3949</v>
      </c>
      <c r="E7240" s="1926" t="s">
        <v>3061</v>
      </c>
      <c r="F7240" s="1689"/>
      <c r="G7240" s="1689"/>
      <c r="H7240" s="1689"/>
      <c r="K7240" s="841" t="s">
        <v>3266</v>
      </c>
      <c r="M7240" s="1357"/>
      <c r="Q7240" s="1357"/>
      <c r="S7240" s="1420"/>
      <c r="T7240" s="1420"/>
      <c r="V7240" s="1357">
        <v>11</v>
      </c>
    </row>
    <row r="7241" spans="1:22" s="841" customFormat="1" ht="15" x14ac:dyDescent="0.25">
      <c r="A7241" s="841" t="s">
        <v>211</v>
      </c>
      <c r="B7241" s="841" t="s">
        <v>3949</v>
      </c>
      <c r="E7241" s="1689" t="s">
        <v>3063</v>
      </c>
      <c r="F7241" s="1689"/>
      <c r="G7241" s="1689"/>
      <c r="H7241" s="1689"/>
      <c r="M7241" s="1357"/>
      <c r="Q7241" s="1357"/>
      <c r="S7241" s="1420"/>
      <c r="T7241" s="1420"/>
      <c r="V7241" s="1357">
        <v>280</v>
      </c>
    </row>
    <row r="7242" spans="1:22" s="841" customFormat="1" ht="15" x14ac:dyDescent="0.25">
      <c r="A7242" s="841" t="s">
        <v>211</v>
      </c>
      <c r="B7242" s="841" t="s">
        <v>3949</v>
      </c>
      <c r="E7242" s="1689" t="s">
        <v>3064</v>
      </c>
      <c r="F7242" s="1689"/>
      <c r="G7242" s="1689"/>
      <c r="H7242" s="1689"/>
      <c r="M7242" s="1357"/>
      <c r="Q7242" s="1357"/>
      <c r="S7242" s="1420"/>
      <c r="T7242" s="1420"/>
      <c r="V7242" s="1357">
        <v>411</v>
      </c>
    </row>
    <row r="7243" spans="1:22" s="841" customFormat="1" ht="15" x14ac:dyDescent="0.25">
      <c r="A7243" s="841" t="s">
        <v>211</v>
      </c>
      <c r="B7243" s="841" t="s">
        <v>3949</v>
      </c>
      <c r="E7243" s="1689" t="s">
        <v>3129</v>
      </c>
      <c r="F7243" s="1689"/>
      <c r="G7243" s="1689"/>
      <c r="H7243" s="1689"/>
      <c r="M7243" s="1357"/>
      <c r="Q7243" s="1357"/>
      <c r="S7243" s="1420"/>
      <c r="T7243" s="1420"/>
      <c r="V7243" s="1357">
        <v>211</v>
      </c>
    </row>
    <row r="7244" spans="1:22" s="841" customFormat="1" ht="15" x14ac:dyDescent="0.25">
      <c r="A7244" s="841" t="s">
        <v>211</v>
      </c>
      <c r="B7244" s="841" t="s">
        <v>3949</v>
      </c>
      <c r="E7244" s="1689" t="s">
        <v>3390</v>
      </c>
      <c r="F7244" s="1689"/>
      <c r="G7244" s="1689"/>
      <c r="H7244" s="1689"/>
      <c r="M7244" s="1357"/>
      <c r="Q7244" s="1357"/>
      <c r="S7244" s="1420"/>
      <c r="T7244" s="1420"/>
      <c r="V7244" s="1357">
        <v>274</v>
      </c>
    </row>
    <row r="7245" spans="1:22" s="841" customFormat="1" ht="15" x14ac:dyDescent="0.25">
      <c r="A7245" s="841" t="s">
        <v>211</v>
      </c>
      <c r="B7245" s="841" t="s">
        <v>3949</v>
      </c>
      <c r="E7245" s="1690" t="s">
        <v>3559</v>
      </c>
      <c r="F7245" s="1690"/>
      <c r="G7245" s="1907"/>
      <c r="H7245" s="1907"/>
      <c r="M7245" s="1357"/>
      <c r="Q7245" s="1357"/>
      <c r="S7245" s="1420"/>
      <c r="T7245" s="1420"/>
      <c r="V7245" s="1357">
        <v>141</v>
      </c>
    </row>
    <row r="7246" spans="1:22" s="841" customFormat="1" ht="15" x14ac:dyDescent="0.25">
      <c r="A7246" s="841" t="s">
        <v>211</v>
      </c>
      <c r="B7246" s="841" t="s">
        <v>3949</v>
      </c>
      <c r="E7246" s="1904" t="s">
        <v>3176</v>
      </c>
      <c r="F7246" s="1904"/>
      <c r="G7246" s="1199" t="s">
        <v>23</v>
      </c>
      <c r="H7246" s="1200">
        <v>100</v>
      </c>
      <c r="M7246" s="1357"/>
      <c r="Q7246" s="1357"/>
      <c r="S7246" s="1420"/>
      <c r="T7246" s="1420"/>
      <c r="V7246" s="1357">
        <v>106</v>
      </c>
    </row>
    <row r="7247" spans="1:22" s="841" customFormat="1" ht="15" x14ac:dyDescent="0.25">
      <c r="A7247" s="841" t="s">
        <v>211</v>
      </c>
      <c r="B7247" s="841" t="s">
        <v>3949</v>
      </c>
      <c r="E7247" s="1690" t="s">
        <v>3177</v>
      </c>
      <c r="F7247" s="1690"/>
      <c r="G7247" s="1199" t="s">
        <v>23</v>
      </c>
      <c r="H7247" s="1200">
        <v>20</v>
      </c>
      <c r="M7247" s="1357"/>
      <c r="Q7247" s="1357"/>
      <c r="S7247" s="1420"/>
      <c r="T7247" s="1420"/>
      <c r="V7247" s="1357">
        <v>34</v>
      </c>
    </row>
    <row r="7248" spans="1:22" s="841" customFormat="1" ht="15" x14ac:dyDescent="0.25">
      <c r="A7248" s="841" t="s">
        <v>211</v>
      </c>
      <c r="B7248" s="841" t="s">
        <v>3949</v>
      </c>
      <c r="E7248" s="1690" t="s">
        <v>3178</v>
      </c>
      <c r="F7248" s="1690"/>
      <c r="G7248" s="1199" t="s">
        <v>3179</v>
      </c>
      <c r="H7248" s="1200">
        <v>0.5</v>
      </c>
      <c r="M7248" s="1357"/>
      <c r="Q7248" s="1357"/>
      <c r="S7248" s="1420"/>
      <c r="T7248" s="1420"/>
      <c r="V7248" s="1357">
        <v>51</v>
      </c>
    </row>
    <row r="7249" spans="1:22" s="841" customFormat="1" ht="15" x14ac:dyDescent="0.25">
      <c r="A7249" s="841" t="s">
        <v>211</v>
      </c>
      <c r="B7249" s="841" t="s">
        <v>3949</v>
      </c>
      <c r="E7249" s="1690" t="s">
        <v>3180</v>
      </c>
      <c r="F7249" s="1690"/>
      <c r="G7249" s="1199" t="s">
        <v>3179</v>
      </c>
      <c r="H7249" s="1200">
        <v>0.3</v>
      </c>
      <c r="M7249" s="1357"/>
      <c r="Q7249" s="1357"/>
      <c r="S7249" s="1420"/>
      <c r="T7249" s="1420"/>
      <c r="V7249" s="1357">
        <v>75</v>
      </c>
    </row>
    <row r="7250" spans="1:22" s="841" customFormat="1" ht="15" x14ac:dyDescent="0.25">
      <c r="A7250" s="841" t="s">
        <v>211</v>
      </c>
      <c r="B7250" s="841" t="s">
        <v>3949</v>
      </c>
      <c r="E7250" s="1690" t="s">
        <v>3181</v>
      </c>
      <c r="F7250" s="1690"/>
      <c r="G7250" s="1199" t="s">
        <v>3179</v>
      </c>
      <c r="H7250" s="1200">
        <v>-0.3</v>
      </c>
      <c r="M7250" s="1357"/>
      <c r="Q7250" s="1357"/>
      <c r="S7250" s="1420"/>
      <c r="T7250" s="1420"/>
      <c r="V7250" s="1357">
        <v>72</v>
      </c>
    </row>
    <row r="7251" spans="1:22" s="841" customFormat="1" ht="15" x14ac:dyDescent="0.25">
      <c r="A7251" s="841" t="s">
        <v>211</v>
      </c>
      <c r="B7251" s="841" t="s">
        <v>3949</v>
      </c>
      <c r="E7251" s="1691" t="s">
        <v>3292</v>
      </c>
      <c r="F7251" s="1691"/>
      <c r="G7251" s="1088"/>
      <c r="H7251" s="1201"/>
      <c r="M7251" s="1357"/>
      <c r="Q7251" s="1357"/>
      <c r="S7251" s="1420"/>
      <c r="T7251" s="1420"/>
      <c r="V7251" s="1357">
        <v>34</v>
      </c>
    </row>
    <row r="7252" spans="1:22" s="841" customFormat="1" ht="15" x14ac:dyDescent="0.25">
      <c r="A7252" s="841" t="s">
        <v>211</v>
      </c>
      <c r="B7252" s="841" t="s">
        <v>3949</v>
      </c>
      <c r="E7252" s="1691" t="s">
        <v>3183</v>
      </c>
      <c r="F7252" s="1691"/>
      <c r="G7252" s="1199" t="s">
        <v>23</v>
      </c>
      <c r="H7252" s="1200">
        <v>0.25</v>
      </c>
      <c r="M7252" s="1357"/>
      <c r="Q7252" s="1357"/>
      <c r="S7252" s="1420"/>
      <c r="T7252" s="1420"/>
      <c r="V7252" s="1357">
        <v>57</v>
      </c>
    </row>
    <row r="7253" spans="1:22" s="841" customFormat="1" ht="15" x14ac:dyDescent="0.25">
      <c r="A7253" s="841" t="s">
        <v>211</v>
      </c>
      <c r="B7253" s="841" t="s">
        <v>3949</v>
      </c>
      <c r="E7253" s="1690" t="s">
        <v>3184</v>
      </c>
      <c r="F7253" s="1690"/>
      <c r="G7253" s="1199" t="s">
        <v>23</v>
      </c>
      <c r="H7253" s="1200">
        <v>0.5</v>
      </c>
      <c r="M7253" s="1357"/>
      <c r="Q7253" s="1357"/>
      <c r="S7253" s="1420"/>
      <c r="T7253" s="1420"/>
      <c r="V7253" s="1357">
        <v>60</v>
      </c>
    </row>
    <row r="7254" spans="1:22" s="841" customFormat="1" ht="15" x14ac:dyDescent="0.25">
      <c r="A7254" s="841" t="s">
        <v>211</v>
      </c>
      <c r="B7254" s="841" t="s">
        <v>3949</v>
      </c>
      <c r="E7254" s="1690" t="s">
        <v>3661</v>
      </c>
      <c r="F7254" s="1690"/>
      <c r="G7254" s="1088"/>
      <c r="H7254" s="1202"/>
      <c r="M7254" s="1357"/>
      <c r="Q7254" s="1357"/>
      <c r="S7254" s="1420"/>
      <c r="T7254" s="1420"/>
      <c r="V7254" s="1357">
        <v>92</v>
      </c>
    </row>
    <row r="7255" spans="1:22" s="841" customFormat="1" ht="15" x14ac:dyDescent="0.25">
      <c r="A7255" s="841" t="s">
        <v>211</v>
      </c>
      <c r="B7255" s="841" t="s">
        <v>3949</v>
      </c>
      <c r="E7255" s="1690" t="s">
        <v>3662</v>
      </c>
      <c r="F7255" s="1690"/>
      <c r="G7255" s="1088"/>
      <c r="H7255" s="1202"/>
      <c r="M7255" s="1357"/>
      <c r="Q7255" s="1357"/>
      <c r="S7255" s="1420"/>
      <c r="T7255" s="1420"/>
      <c r="V7255" s="1357">
        <v>97</v>
      </c>
    </row>
    <row r="7256" spans="1:22" s="841" customFormat="1" ht="15" x14ac:dyDescent="0.25">
      <c r="A7256" s="841" t="s">
        <v>211</v>
      </c>
      <c r="B7256" s="841" t="s">
        <v>3949</v>
      </c>
      <c r="E7256" s="1691" t="s">
        <v>3293</v>
      </c>
      <c r="F7256" s="1691"/>
      <c r="G7256" s="1088"/>
      <c r="H7256" s="1202"/>
      <c r="M7256" s="1357"/>
      <c r="Q7256" s="1357"/>
      <c r="S7256" s="1420"/>
      <c r="T7256" s="1420"/>
      <c r="V7256" s="1357">
        <v>77</v>
      </c>
    </row>
    <row r="7257" spans="1:22" s="841" customFormat="1" ht="15" x14ac:dyDescent="0.25">
      <c r="A7257" s="841" t="s">
        <v>211</v>
      </c>
      <c r="B7257" s="841" t="s">
        <v>3949</v>
      </c>
      <c r="E7257" s="1691" t="s">
        <v>3188</v>
      </c>
      <c r="F7257" s="1691"/>
      <c r="G7257" s="1088"/>
      <c r="H7257" s="1203" t="s">
        <v>3189</v>
      </c>
      <c r="M7257" s="1357"/>
      <c r="Q7257" s="1357"/>
      <c r="S7257" s="1420"/>
      <c r="T7257" s="1420"/>
      <c r="V7257" s="1357">
        <v>18</v>
      </c>
    </row>
    <row r="7258" spans="1:22" s="841" customFormat="1" ht="15" x14ac:dyDescent="0.25">
      <c r="A7258" s="841" t="s">
        <v>211</v>
      </c>
      <c r="B7258" s="841" t="s">
        <v>3949</v>
      </c>
      <c r="E7258" s="1904" t="s">
        <v>3190</v>
      </c>
      <c r="F7258" s="1904"/>
      <c r="G7258" s="1088" t="s">
        <v>23</v>
      </c>
      <c r="H7258" s="1200">
        <v>2</v>
      </c>
      <c r="M7258" s="1357"/>
      <c r="Q7258" s="1357"/>
      <c r="S7258" s="1420"/>
      <c r="T7258" s="1420"/>
      <c r="V7258" s="1357">
        <v>69</v>
      </c>
    </row>
    <row r="7259" spans="1:22" s="841" customFormat="1" x14ac:dyDescent="0.25">
      <c r="A7259" s="841" t="s">
        <v>211</v>
      </c>
      <c r="B7259" s="841" t="s">
        <v>3949</v>
      </c>
      <c r="E7259" s="1963" t="s">
        <v>147</v>
      </c>
      <c r="F7259" s="1963"/>
      <c r="G7259" s="1963"/>
      <c r="H7259" s="1963"/>
      <c r="K7259" s="841" t="s">
        <v>3975</v>
      </c>
      <c r="M7259" s="1357"/>
      <c r="Q7259" s="1357"/>
      <c r="S7259" s="1420"/>
      <c r="T7259" s="1420"/>
      <c r="V7259" s="1357">
        <v>12</v>
      </c>
    </row>
    <row r="7260" spans="1:22" s="841" customFormat="1" ht="15" x14ac:dyDescent="0.25">
      <c r="A7260" s="841" t="s">
        <v>211</v>
      </c>
      <c r="B7260" s="841" t="s">
        <v>3949</v>
      </c>
      <c r="E7260" s="1704" t="s">
        <v>3192</v>
      </c>
      <c r="F7260" s="1704"/>
      <c r="G7260" s="1704"/>
      <c r="H7260" s="1704"/>
      <c r="M7260" s="1357"/>
      <c r="Q7260" s="1357"/>
      <c r="S7260" s="1420"/>
      <c r="T7260" s="1420"/>
      <c r="V7260" s="1357">
        <v>203</v>
      </c>
    </row>
    <row r="7261" spans="1:22" s="841" customFormat="1" ht="15" x14ac:dyDescent="0.25">
      <c r="A7261" s="841" t="s">
        <v>211</v>
      </c>
      <c r="B7261" s="841" t="s">
        <v>3949</v>
      </c>
      <c r="E7261" s="1690" t="s">
        <v>3295</v>
      </c>
      <c r="F7261" s="1690"/>
      <c r="G7261" s="1365"/>
      <c r="H7261" s="1415">
        <v>1.0564</v>
      </c>
      <c r="M7261" s="1357"/>
      <c r="Q7261" s="1357"/>
      <c r="S7261" s="1420"/>
      <c r="T7261" s="1420"/>
      <c r="V7261" s="1357">
        <v>57</v>
      </c>
    </row>
    <row r="7262" spans="1:22" s="841" customFormat="1" ht="15" x14ac:dyDescent="0.25">
      <c r="A7262" s="841" t="s">
        <v>211</v>
      </c>
      <c r="B7262" s="841" t="s">
        <v>3949</v>
      </c>
      <c r="E7262" s="1690" t="s">
        <v>3296</v>
      </c>
      <c r="F7262" s="1690"/>
      <c r="G7262" s="1365"/>
      <c r="H7262" s="1415">
        <v>1.0564</v>
      </c>
      <c r="M7262" s="1357"/>
      <c r="Q7262" s="1357"/>
      <c r="S7262" s="1420"/>
      <c r="T7262" s="1420"/>
      <c r="V7262" s="1357">
        <v>57</v>
      </c>
    </row>
    <row r="7263" spans="1:22" s="841" customFormat="1" ht="15" x14ac:dyDescent="0.25">
      <c r="A7263" s="841" t="s">
        <v>211</v>
      </c>
      <c r="B7263" s="841" t="s">
        <v>3949</v>
      </c>
      <c r="E7263" s="1690" t="s">
        <v>3297</v>
      </c>
      <c r="F7263" s="1690"/>
      <c r="G7263" s="1365"/>
      <c r="H7263" s="1415">
        <v>1.0464</v>
      </c>
      <c r="M7263" s="1357"/>
      <c r="Q7263" s="1357"/>
      <c r="S7263" s="1420"/>
      <c r="T7263" s="1420"/>
      <c r="V7263" s="1357">
        <v>55</v>
      </c>
    </row>
    <row r="7264" spans="1:22" s="841" customFormat="1" ht="15" x14ac:dyDescent="0.25">
      <c r="A7264" s="841" t="s">
        <v>211</v>
      </c>
      <c r="B7264" s="841" t="s">
        <v>3949</v>
      </c>
      <c r="E7264" s="1690" t="s">
        <v>3298</v>
      </c>
      <c r="F7264" s="1690"/>
      <c r="G7264" s="1365"/>
      <c r="H7264" s="1415">
        <v>1.0464</v>
      </c>
      <c r="J7264" s="841" t="s">
        <v>3962</v>
      </c>
      <c r="M7264" s="1357"/>
      <c r="Q7264" s="1357"/>
      <c r="S7264" s="1420"/>
      <c r="T7264" s="1420"/>
      <c r="V7264" s="1357">
        <v>55</v>
      </c>
    </row>
    <row r="7265" spans="1:22" s="841" customFormat="1" ht="23.25" x14ac:dyDescent="0.25">
      <c r="A7265" s="841" t="s">
        <v>426</v>
      </c>
      <c r="C7265" s="841" t="s">
        <v>3050</v>
      </c>
      <c r="E7265" s="1911" t="s">
        <v>426</v>
      </c>
      <c r="F7265" s="1911"/>
      <c r="G7265" s="1911"/>
      <c r="H7265" s="1911"/>
      <c r="I7265" s="841" t="s">
        <v>628</v>
      </c>
      <c r="J7265" s="841" t="s">
        <v>4140</v>
      </c>
      <c r="K7265" s="841" t="s">
        <v>426</v>
      </c>
      <c r="M7265" s="1357">
        <v>7</v>
      </c>
      <c r="Q7265" s="1357"/>
      <c r="S7265" s="1420"/>
      <c r="T7265" s="1420"/>
      <c r="V7265" s="1357">
        <v>39</v>
      </c>
    </row>
    <row r="7266" spans="1:22" s="841" customFormat="1" x14ac:dyDescent="0.25">
      <c r="A7266" s="841" t="s">
        <v>426</v>
      </c>
      <c r="C7266" s="841" t="s">
        <v>3052</v>
      </c>
      <c r="E7266" s="1912" t="s">
        <v>3053</v>
      </c>
      <c r="F7266" s="1912"/>
      <c r="G7266" s="1912"/>
      <c r="H7266" s="1912"/>
      <c r="M7266" s="1357"/>
      <c r="Q7266" s="1357"/>
      <c r="S7266" s="1420"/>
      <c r="T7266" s="1420"/>
      <c r="V7266" s="1357">
        <v>27</v>
      </c>
    </row>
    <row r="7267" spans="1:22" s="841" customFormat="1" ht="15.75" x14ac:dyDescent="0.25">
      <c r="A7267" s="841" t="s">
        <v>426</v>
      </c>
      <c r="C7267" s="841" t="s">
        <v>3054</v>
      </c>
      <c r="E7267" s="1913" t="s">
        <v>5107</v>
      </c>
      <c r="F7267" s="1913"/>
      <c r="G7267" s="1913"/>
      <c r="H7267" s="1913"/>
      <c r="M7267" s="1357"/>
      <c r="Q7267" s="1357"/>
      <c r="S7267" s="1420">
        <v>43221</v>
      </c>
      <c r="T7267" s="1420"/>
      <c r="V7267" s="1357">
        <v>45</v>
      </c>
    </row>
    <row r="7268" spans="1:22" s="841" customFormat="1" ht="15" x14ac:dyDescent="0.25">
      <c r="A7268" s="841" t="s">
        <v>426</v>
      </c>
      <c r="C7268" s="841" t="s">
        <v>3055</v>
      </c>
      <c r="E7268" s="1914" t="s">
        <v>3056</v>
      </c>
      <c r="F7268" s="1914"/>
      <c r="G7268" s="1914"/>
      <c r="H7268" s="1914"/>
      <c r="M7268" s="1357"/>
      <c r="Q7268" s="1357"/>
      <c r="S7268" s="1420"/>
      <c r="T7268" s="1420"/>
      <c r="V7268" s="1357">
        <v>52</v>
      </c>
    </row>
    <row r="7269" spans="1:22" s="841" customFormat="1" ht="15" x14ac:dyDescent="0.25">
      <c r="A7269" s="841" t="s">
        <v>426</v>
      </c>
      <c r="E7269" s="1914" t="s">
        <v>3057</v>
      </c>
      <c r="F7269" s="1914"/>
      <c r="G7269" s="1914"/>
      <c r="H7269" s="1914"/>
      <c r="M7269" s="1357"/>
      <c r="Q7269" s="1357"/>
      <c r="S7269" s="1420"/>
      <c r="T7269" s="1420"/>
      <c r="V7269" s="1357">
        <v>53</v>
      </c>
    </row>
    <row r="7270" spans="1:22" s="841" customFormat="1" ht="15" x14ac:dyDescent="0.25">
      <c r="A7270" s="841" t="s">
        <v>426</v>
      </c>
      <c r="E7270" s="1925" t="s">
        <v>5638</v>
      </c>
      <c r="F7270" s="1925"/>
      <c r="G7270" s="1925"/>
      <c r="H7270" s="1925"/>
      <c r="K7270" s="841" t="s">
        <v>5638</v>
      </c>
      <c r="M7270" s="1357"/>
      <c r="Q7270" s="1357"/>
      <c r="S7270" s="1420"/>
      <c r="T7270" s="1420"/>
      <c r="V7270" s="1357">
        <v>12</v>
      </c>
    </row>
    <row r="7271" spans="1:22" s="841" customFormat="1" ht="15" x14ac:dyDescent="0.25">
      <c r="A7271" s="841" t="s">
        <v>426</v>
      </c>
      <c r="E7271" s="1909" t="s">
        <v>438</v>
      </c>
      <c r="F7271" s="1689"/>
      <c r="G7271" s="1689"/>
      <c r="H7271" s="1689"/>
      <c r="K7271" s="841" t="s">
        <v>3197</v>
      </c>
      <c r="M7271" s="1357"/>
      <c r="Q7271" s="1357"/>
      <c r="S7271" s="1420"/>
      <c r="T7271" s="1420"/>
      <c r="V7271" s="1357">
        <v>34</v>
      </c>
    </row>
    <row r="7272" spans="1:22" s="841" customFormat="1" ht="15" x14ac:dyDescent="0.25">
      <c r="A7272" s="841" t="s">
        <v>426</v>
      </c>
      <c r="E7272" s="1689" t="s">
        <v>4141</v>
      </c>
      <c r="F7272" s="1689"/>
      <c r="G7272" s="1689"/>
      <c r="H7272" s="1689"/>
      <c r="K7272" s="841" t="s">
        <v>3197</v>
      </c>
      <c r="M7272" s="1357"/>
      <c r="Q7272" s="1357"/>
      <c r="S7272" s="1420"/>
      <c r="T7272" s="1420"/>
      <c r="V7272" s="1357">
        <v>618</v>
      </c>
    </row>
    <row r="7273" spans="1:22" s="841" customFormat="1" ht="15" x14ac:dyDescent="0.25">
      <c r="A7273" s="841" t="s">
        <v>426</v>
      </c>
      <c r="E7273" s="1916" t="s">
        <v>3061</v>
      </c>
      <c r="F7273" s="1689"/>
      <c r="G7273" s="1689"/>
      <c r="H7273" s="1689"/>
      <c r="K7273" s="841" t="s">
        <v>3062</v>
      </c>
      <c r="M7273" s="1357"/>
      <c r="Q7273" s="1357"/>
      <c r="S7273" s="1420"/>
      <c r="T7273" s="1420"/>
      <c r="V7273" s="1357">
        <v>11</v>
      </c>
    </row>
    <row r="7274" spans="1:22" s="841" customFormat="1" ht="15" x14ac:dyDescent="0.25">
      <c r="A7274" s="841" t="s">
        <v>426</v>
      </c>
      <c r="E7274" s="1689" t="s">
        <v>4142</v>
      </c>
      <c r="F7274" s="1689"/>
      <c r="G7274" s="1689"/>
      <c r="H7274" s="1689"/>
      <c r="K7274" s="841" t="s">
        <v>3197</v>
      </c>
      <c r="M7274" s="1357"/>
      <c r="Q7274" s="1357"/>
      <c r="S7274" s="1420"/>
      <c r="T7274" s="1420"/>
      <c r="V7274" s="1357">
        <v>282</v>
      </c>
    </row>
    <row r="7275" spans="1:22" s="841" customFormat="1" ht="15" x14ac:dyDescent="0.25">
      <c r="A7275" s="841" t="s">
        <v>426</v>
      </c>
      <c r="E7275" s="1689" t="s">
        <v>3064</v>
      </c>
      <c r="F7275" s="1689"/>
      <c r="G7275" s="1689"/>
      <c r="H7275" s="1689"/>
      <c r="K7275" s="841" t="s">
        <v>3197</v>
      </c>
      <c r="M7275" s="1357"/>
      <c r="Q7275" s="1357"/>
      <c r="S7275" s="1420"/>
      <c r="T7275" s="1420"/>
      <c r="V7275" s="1357">
        <v>411</v>
      </c>
    </row>
    <row r="7276" spans="1:22" s="841" customFormat="1" ht="15" x14ac:dyDescent="0.25">
      <c r="A7276" s="841" t="s">
        <v>426</v>
      </c>
      <c r="E7276" s="1689" t="s">
        <v>3065</v>
      </c>
      <c r="F7276" s="1689"/>
      <c r="G7276" s="1689"/>
      <c r="H7276" s="1689"/>
      <c r="K7276" s="841" t="s">
        <v>3197</v>
      </c>
      <c r="M7276" s="1357"/>
      <c r="Q7276" s="1357"/>
      <c r="S7276" s="1420"/>
      <c r="T7276" s="1420"/>
      <c r="V7276" s="1357">
        <v>387</v>
      </c>
    </row>
    <row r="7277" spans="1:22" s="841" customFormat="1" ht="15" x14ac:dyDescent="0.25">
      <c r="A7277" s="841" t="s">
        <v>426</v>
      </c>
      <c r="E7277" s="1689" t="s">
        <v>3390</v>
      </c>
      <c r="F7277" s="1689"/>
      <c r="G7277" s="1689"/>
      <c r="H7277" s="1689"/>
      <c r="K7277" s="841" t="s">
        <v>3197</v>
      </c>
      <c r="M7277" s="1357"/>
      <c r="Q7277" s="1357"/>
      <c r="S7277" s="1420"/>
      <c r="T7277" s="1420"/>
      <c r="V7277" s="1357">
        <v>274</v>
      </c>
    </row>
    <row r="7278" spans="1:22" s="841" customFormat="1" ht="15" x14ac:dyDescent="0.25">
      <c r="A7278" s="841" t="s">
        <v>426</v>
      </c>
      <c r="E7278" s="1694" t="s">
        <v>3067</v>
      </c>
      <c r="F7278" s="1907"/>
      <c r="G7278" s="1907"/>
      <c r="H7278" s="1907"/>
      <c r="K7278" s="841" t="s">
        <v>3068</v>
      </c>
      <c r="M7278" s="1357"/>
      <c r="Q7278" s="1357"/>
      <c r="S7278" s="1420"/>
      <c r="T7278" s="1420"/>
      <c r="V7278" s="1357">
        <v>46</v>
      </c>
    </row>
    <row r="7279" spans="1:22" s="841" customFormat="1" ht="15" x14ac:dyDescent="0.25">
      <c r="A7279" s="841" t="s">
        <v>426</v>
      </c>
      <c r="E7279" s="1690" t="s">
        <v>11</v>
      </c>
      <c r="F7279" s="1690"/>
      <c r="G7279" s="1408" t="s">
        <v>23</v>
      </c>
      <c r="H7279" s="391">
        <v>24.36</v>
      </c>
      <c r="K7279" s="841" t="s">
        <v>3197</v>
      </c>
      <c r="L7279" s="841" t="s">
        <v>442</v>
      </c>
      <c r="M7279" s="1357"/>
      <c r="P7279" s="841" t="s">
        <v>3201</v>
      </c>
      <c r="Q7279" s="1357"/>
      <c r="S7279" s="1420"/>
      <c r="T7279" s="1420"/>
      <c r="V7279" s="1357">
        <v>14</v>
      </c>
    </row>
    <row r="7280" spans="1:22" s="841" customFormat="1" ht="15" x14ac:dyDescent="0.25">
      <c r="A7280" s="841" t="s">
        <v>426</v>
      </c>
      <c r="E7280" s="1690" t="s">
        <v>4167</v>
      </c>
      <c r="F7280" s="1690"/>
      <c r="G7280" s="1408" t="s">
        <v>23</v>
      </c>
      <c r="H7280" s="391">
        <v>-1.76</v>
      </c>
      <c r="K7280" s="841" t="s">
        <v>3197</v>
      </c>
      <c r="L7280" s="841" t="s">
        <v>442</v>
      </c>
      <c r="M7280" s="1357"/>
      <c r="P7280" s="841" t="s">
        <v>6357</v>
      </c>
      <c r="Q7280" s="1357"/>
      <c r="S7280" s="1420"/>
      <c r="T7280" s="1420">
        <v>43585</v>
      </c>
      <c r="V7280" s="1357">
        <v>75</v>
      </c>
    </row>
    <row r="7281" spans="1:22" s="841" customFormat="1" ht="15" x14ac:dyDescent="0.25">
      <c r="A7281" s="841" t="s">
        <v>426</v>
      </c>
      <c r="E7281" s="1690" t="s">
        <v>5109</v>
      </c>
      <c r="F7281" s="1690"/>
      <c r="G7281" s="1408" t="s">
        <v>23</v>
      </c>
      <c r="H7281" s="391">
        <v>0.56999999999999995</v>
      </c>
      <c r="K7281" s="841" t="s">
        <v>3197</v>
      </c>
      <c r="L7281" s="841" t="s">
        <v>443</v>
      </c>
      <c r="M7281" s="1357"/>
      <c r="P7281" s="841" t="s">
        <v>3202</v>
      </c>
      <c r="Q7281" s="1357"/>
      <c r="S7281" s="1420"/>
      <c r="T7281" s="1420">
        <v>44926</v>
      </c>
      <c r="V7281" s="1357">
        <v>64</v>
      </c>
    </row>
    <row r="7282" spans="1:22" s="841" customFormat="1" ht="15" x14ac:dyDescent="0.25">
      <c r="A7282" s="841" t="s">
        <v>426</v>
      </c>
      <c r="E7282" s="1690" t="s">
        <v>84</v>
      </c>
      <c r="F7282" s="1690"/>
      <c r="G7282" s="1408" t="s">
        <v>24</v>
      </c>
      <c r="H7282" s="393">
        <v>3.8E-3</v>
      </c>
      <c r="K7282" s="841" t="s">
        <v>3197</v>
      </c>
      <c r="L7282" s="841" t="s">
        <v>442</v>
      </c>
      <c r="M7282" s="1357"/>
      <c r="P7282" s="841" t="s">
        <v>3203</v>
      </c>
      <c r="Q7282" s="1357"/>
      <c r="S7282" s="1420"/>
      <c r="T7282" s="1420"/>
      <c r="V7282" s="1357">
        <v>28</v>
      </c>
    </row>
    <row r="7283" spans="1:22" s="841" customFormat="1" ht="15" x14ac:dyDescent="0.25">
      <c r="A7283" s="841" t="s">
        <v>426</v>
      </c>
      <c r="E7283" s="1690" t="s">
        <v>5639</v>
      </c>
      <c r="F7283" s="1908"/>
      <c r="G7283" s="1408" t="s">
        <v>24</v>
      </c>
      <c r="H7283" s="393">
        <v>1E-3</v>
      </c>
      <c r="K7283" s="841" t="s">
        <v>3197</v>
      </c>
      <c r="L7283" s="841" t="s">
        <v>442</v>
      </c>
      <c r="M7283" s="1357"/>
      <c r="P7283" s="841" t="s">
        <v>3206</v>
      </c>
      <c r="Q7283" s="1357"/>
      <c r="S7283" s="1420"/>
      <c r="T7283" s="1420">
        <v>43585</v>
      </c>
      <c r="V7283" s="1357">
        <v>129</v>
      </c>
    </row>
    <row r="7284" spans="1:22" s="841" customFormat="1" ht="15" x14ac:dyDescent="0.25">
      <c r="A7284" s="841" t="s">
        <v>426</v>
      </c>
      <c r="E7284" s="1690" t="s">
        <v>221</v>
      </c>
      <c r="F7284" s="1690"/>
      <c r="G7284" s="1408" t="s">
        <v>24</v>
      </c>
      <c r="H7284" s="393">
        <v>7.9000000000000008E-3</v>
      </c>
      <c r="K7284" s="841" t="s">
        <v>3197</v>
      </c>
      <c r="L7284" s="841" t="s">
        <v>444</v>
      </c>
      <c r="M7284" s="1357"/>
      <c r="P7284" s="841" t="s">
        <v>3208</v>
      </c>
      <c r="Q7284" s="1357"/>
      <c r="S7284" s="1420"/>
      <c r="T7284" s="1420"/>
      <c r="V7284" s="1357">
        <v>47</v>
      </c>
    </row>
    <row r="7285" spans="1:22" s="841" customFormat="1" ht="15" x14ac:dyDescent="0.25">
      <c r="A7285" s="841" t="s">
        <v>426</v>
      </c>
      <c r="E7285" s="1690" t="s">
        <v>217</v>
      </c>
      <c r="F7285" s="1690"/>
      <c r="G7285" s="1408" t="s">
        <v>24</v>
      </c>
      <c r="H7285" s="393">
        <v>7.4999999999999997E-3</v>
      </c>
      <c r="K7285" s="841" t="s">
        <v>3197</v>
      </c>
      <c r="L7285" s="841" t="s">
        <v>444</v>
      </c>
      <c r="M7285" s="1357"/>
      <c r="P7285" s="841" t="s">
        <v>3209</v>
      </c>
      <c r="Q7285" s="1357"/>
      <c r="S7285" s="1420"/>
      <c r="T7285" s="1420"/>
      <c r="V7285" s="1357">
        <v>74</v>
      </c>
    </row>
    <row r="7286" spans="1:22" s="841" customFormat="1" ht="15" x14ac:dyDescent="0.25">
      <c r="A7286" s="841" t="s">
        <v>426</v>
      </c>
      <c r="E7286" s="1694" t="s">
        <v>3079</v>
      </c>
      <c r="F7286" s="1690"/>
      <c r="G7286" s="1690"/>
      <c r="H7286" s="1690"/>
      <c r="K7286" s="841" t="s">
        <v>3080</v>
      </c>
      <c r="M7286" s="1357"/>
      <c r="Q7286" s="1357"/>
      <c r="S7286" s="1420"/>
      <c r="T7286" s="1420"/>
      <c r="V7286" s="1357">
        <v>48</v>
      </c>
    </row>
    <row r="7287" spans="1:22" s="841" customFormat="1" ht="15" x14ac:dyDescent="0.25">
      <c r="A7287" s="841" t="s">
        <v>426</v>
      </c>
      <c r="E7287" s="1690" t="s">
        <v>2449</v>
      </c>
      <c r="F7287" s="1690"/>
      <c r="G7287" s="1408" t="s">
        <v>24</v>
      </c>
      <c r="H7287" s="393">
        <v>3.2000000000000002E-3</v>
      </c>
      <c r="K7287" s="841" t="s">
        <v>3197</v>
      </c>
      <c r="L7287" s="841" t="s">
        <v>3046</v>
      </c>
      <c r="M7287" s="1357"/>
      <c r="P7287" s="841" t="s">
        <v>3210</v>
      </c>
      <c r="Q7287" s="1357"/>
      <c r="S7287" s="1420"/>
      <c r="T7287" s="1420"/>
      <c r="V7287" s="1357">
        <v>55</v>
      </c>
    </row>
    <row r="7288" spans="1:22" s="841" customFormat="1" ht="15" x14ac:dyDescent="0.25">
      <c r="A7288" s="841" t="s">
        <v>426</v>
      </c>
      <c r="E7288" s="1918" t="s">
        <v>2450</v>
      </c>
      <c r="F7288" s="1918"/>
      <c r="G7288" s="1408" t="s">
        <v>24</v>
      </c>
      <c r="H7288" s="393">
        <v>4.0000000000000002E-4</v>
      </c>
      <c r="K7288" s="841" t="s">
        <v>3197</v>
      </c>
      <c r="L7288" s="841" t="s">
        <v>3046</v>
      </c>
      <c r="M7288" s="1357"/>
      <c r="P7288" s="841" t="s">
        <v>3210</v>
      </c>
      <c r="Q7288" s="1357"/>
      <c r="S7288" s="1420"/>
      <c r="T7288" s="1420"/>
      <c r="V7288" s="1357">
        <v>65</v>
      </c>
    </row>
    <row r="7289" spans="1:22" s="841" customFormat="1" ht="15" x14ac:dyDescent="0.25">
      <c r="A7289" s="841" t="s">
        <v>426</v>
      </c>
      <c r="E7289" s="1690" t="s">
        <v>439</v>
      </c>
      <c r="F7289" s="1690"/>
      <c r="G7289" s="1408" t="s">
        <v>24</v>
      </c>
      <c r="H7289" s="393">
        <v>2.9999999999999997E-4</v>
      </c>
      <c r="K7289" s="841" t="s">
        <v>3197</v>
      </c>
      <c r="L7289" s="841" t="s">
        <v>3046</v>
      </c>
      <c r="M7289" s="1357"/>
      <c r="P7289" s="841" t="s">
        <v>3212</v>
      </c>
      <c r="Q7289" s="1357"/>
      <c r="S7289" s="1420"/>
      <c r="T7289" s="1420"/>
      <c r="V7289" s="1357">
        <v>57</v>
      </c>
    </row>
    <row r="7290" spans="1:22" s="841" customFormat="1" ht="15" x14ac:dyDescent="0.25">
      <c r="A7290" s="841" t="s">
        <v>426</v>
      </c>
      <c r="E7290" s="1690" t="s">
        <v>32</v>
      </c>
      <c r="F7290" s="1690"/>
      <c r="G7290" s="1408" t="s">
        <v>23</v>
      </c>
      <c r="H7290" s="391">
        <v>0.25</v>
      </c>
      <c r="K7290" s="841" t="s">
        <v>3197</v>
      </c>
      <c r="L7290" s="841" t="s">
        <v>3046</v>
      </c>
      <c r="M7290" s="1357"/>
      <c r="P7290" s="841" t="s">
        <v>3213</v>
      </c>
      <c r="Q7290" s="1357"/>
      <c r="S7290" s="1420"/>
      <c r="T7290" s="1420"/>
      <c r="V7290" s="1357">
        <v>63</v>
      </c>
    </row>
    <row r="7291" spans="1:22" s="841" customFormat="1" x14ac:dyDescent="0.25">
      <c r="A7291" s="841" t="s">
        <v>426</v>
      </c>
      <c r="E7291" s="1909" t="s">
        <v>3214</v>
      </c>
      <c r="F7291" s="1923"/>
      <c r="G7291" s="1923"/>
      <c r="H7291" s="1923"/>
      <c r="K7291" s="841" t="s">
        <v>5110</v>
      </c>
      <c r="M7291" s="1357"/>
      <c r="Q7291" s="1357"/>
      <c r="S7291" s="1420"/>
      <c r="T7291" s="1420"/>
      <c r="V7291" s="1357">
        <v>54</v>
      </c>
    </row>
    <row r="7292" spans="1:22" s="841" customFormat="1" ht="15" x14ac:dyDescent="0.25">
      <c r="A7292" s="841" t="s">
        <v>426</v>
      </c>
      <c r="E7292" s="1689" t="s">
        <v>4143</v>
      </c>
      <c r="F7292" s="1689"/>
      <c r="G7292" s="1689"/>
      <c r="H7292" s="1689"/>
      <c r="K7292" s="841" t="s">
        <v>5110</v>
      </c>
      <c r="M7292" s="1357"/>
      <c r="Q7292" s="1357"/>
      <c r="S7292" s="1420"/>
      <c r="T7292" s="1420"/>
      <c r="V7292" s="1357">
        <v>402</v>
      </c>
    </row>
    <row r="7293" spans="1:22" s="841" customFormat="1" ht="15" x14ac:dyDescent="0.25">
      <c r="A7293" s="841" t="s">
        <v>426</v>
      </c>
      <c r="E7293" s="1916" t="s">
        <v>3061</v>
      </c>
      <c r="F7293" s="1689"/>
      <c r="G7293" s="1689"/>
      <c r="H7293" s="1689"/>
      <c r="K7293" s="841" t="s">
        <v>3086</v>
      </c>
      <c r="M7293" s="1357"/>
      <c r="Q7293" s="1357"/>
      <c r="S7293" s="1420"/>
      <c r="T7293" s="1420"/>
      <c r="V7293" s="1357">
        <v>11</v>
      </c>
    </row>
    <row r="7294" spans="1:22" s="841" customFormat="1" ht="15" x14ac:dyDescent="0.25">
      <c r="A7294" s="841" t="s">
        <v>426</v>
      </c>
      <c r="E7294" s="1689" t="s">
        <v>3063</v>
      </c>
      <c r="F7294" s="1689"/>
      <c r="G7294" s="1689"/>
      <c r="H7294" s="1689"/>
      <c r="K7294" s="841" t="s">
        <v>5110</v>
      </c>
      <c r="M7294" s="1357"/>
      <c r="Q7294" s="1357"/>
      <c r="S7294" s="1420"/>
      <c r="T7294" s="1420"/>
      <c r="V7294" s="1357">
        <v>280</v>
      </c>
    </row>
    <row r="7295" spans="1:22" s="841" customFormat="1" ht="15" x14ac:dyDescent="0.25">
      <c r="A7295" s="841" t="s">
        <v>426</v>
      </c>
      <c r="E7295" s="1689" t="s">
        <v>3064</v>
      </c>
      <c r="F7295" s="1689"/>
      <c r="G7295" s="1689"/>
      <c r="H7295" s="1689"/>
      <c r="K7295" s="841" t="s">
        <v>5110</v>
      </c>
      <c r="M7295" s="1357"/>
      <c r="Q7295" s="1357"/>
      <c r="S7295" s="1420"/>
      <c r="T7295" s="1420"/>
      <c r="V7295" s="1357">
        <v>411</v>
      </c>
    </row>
    <row r="7296" spans="1:22" s="841" customFormat="1" ht="15" x14ac:dyDescent="0.25">
      <c r="A7296" s="841" t="s">
        <v>426</v>
      </c>
      <c r="E7296" s="1689" t="s">
        <v>3065</v>
      </c>
      <c r="F7296" s="1689"/>
      <c r="G7296" s="1689"/>
      <c r="H7296" s="1689"/>
      <c r="K7296" s="841" t="s">
        <v>5110</v>
      </c>
      <c r="M7296" s="1357"/>
      <c r="Q7296" s="1357"/>
      <c r="S7296" s="1420"/>
      <c r="T7296" s="1420"/>
      <c r="V7296" s="1357">
        <v>387</v>
      </c>
    </row>
    <row r="7297" spans="1:22" s="841" customFormat="1" ht="15" x14ac:dyDescent="0.25">
      <c r="A7297" s="841" t="s">
        <v>426</v>
      </c>
      <c r="E7297" s="1689" t="s">
        <v>3390</v>
      </c>
      <c r="F7297" s="1689"/>
      <c r="G7297" s="1689"/>
      <c r="H7297" s="1689"/>
      <c r="K7297" s="841" t="s">
        <v>5110</v>
      </c>
      <c r="M7297" s="1357"/>
      <c r="Q7297" s="1357"/>
      <c r="S7297" s="1420"/>
      <c r="T7297" s="1420"/>
      <c r="V7297" s="1357">
        <v>274</v>
      </c>
    </row>
    <row r="7298" spans="1:22" s="841" customFormat="1" ht="15" x14ac:dyDescent="0.25">
      <c r="A7298" s="841" t="s">
        <v>426</v>
      </c>
      <c r="E7298" s="1694" t="s">
        <v>3067</v>
      </c>
      <c r="F7298" s="1907"/>
      <c r="G7298" s="1907"/>
      <c r="H7298" s="1907"/>
      <c r="K7298" s="841" t="s">
        <v>3087</v>
      </c>
      <c r="M7298" s="1357"/>
      <c r="Q7298" s="1357"/>
      <c r="S7298" s="1420"/>
      <c r="T7298" s="1420"/>
      <c r="V7298" s="1357">
        <v>46</v>
      </c>
    </row>
    <row r="7299" spans="1:22" s="841" customFormat="1" ht="15" x14ac:dyDescent="0.25">
      <c r="A7299" s="841" t="s">
        <v>426</v>
      </c>
      <c r="E7299" s="1690" t="s">
        <v>11</v>
      </c>
      <c r="F7299" s="1690"/>
      <c r="G7299" s="1408" t="s">
        <v>23</v>
      </c>
      <c r="H7299" s="391">
        <v>30.73</v>
      </c>
      <c r="K7299" s="841" t="s">
        <v>5110</v>
      </c>
      <c r="L7299" s="841" t="s">
        <v>442</v>
      </c>
      <c r="M7299" s="1357"/>
      <c r="P7299" s="841" t="s">
        <v>5111</v>
      </c>
      <c r="Q7299" s="1357"/>
      <c r="S7299" s="1420"/>
      <c r="T7299" s="1420"/>
      <c r="V7299" s="1357">
        <v>14</v>
      </c>
    </row>
    <row r="7300" spans="1:22" s="841" customFormat="1" ht="15" x14ac:dyDescent="0.25">
      <c r="A7300" s="841" t="s">
        <v>426</v>
      </c>
      <c r="E7300" s="1690" t="s">
        <v>5109</v>
      </c>
      <c r="F7300" s="1690"/>
      <c r="G7300" s="1408" t="s">
        <v>23</v>
      </c>
      <c r="H7300" s="391">
        <v>0.56999999999999995</v>
      </c>
      <c r="K7300" s="841" t="s">
        <v>5110</v>
      </c>
      <c r="L7300" s="841" t="s">
        <v>443</v>
      </c>
      <c r="M7300" s="1357"/>
      <c r="P7300" s="841" t="s">
        <v>5112</v>
      </c>
      <c r="Q7300" s="1357"/>
      <c r="S7300" s="1420"/>
      <c r="T7300" s="1420">
        <v>44926</v>
      </c>
      <c r="V7300" s="1357">
        <v>64</v>
      </c>
    </row>
    <row r="7301" spans="1:22" s="841" customFormat="1" ht="15" x14ac:dyDescent="0.25">
      <c r="A7301" s="841" t="s">
        <v>426</v>
      </c>
      <c r="E7301" s="1690" t="s">
        <v>84</v>
      </c>
      <c r="F7301" s="1690"/>
      <c r="G7301" s="1408" t="s">
        <v>24</v>
      </c>
      <c r="H7301" s="393">
        <v>2.01E-2</v>
      </c>
      <c r="K7301" s="841" t="s">
        <v>5110</v>
      </c>
      <c r="L7301" s="841" t="s">
        <v>442</v>
      </c>
      <c r="M7301" s="1357"/>
      <c r="P7301" s="841" t="s">
        <v>5113</v>
      </c>
      <c r="Q7301" s="1357"/>
      <c r="S7301" s="1420"/>
      <c r="T7301" s="1420"/>
      <c r="V7301" s="1357">
        <v>28</v>
      </c>
    </row>
    <row r="7302" spans="1:22" s="841" customFormat="1" ht="15" x14ac:dyDescent="0.25">
      <c r="A7302" s="841" t="s">
        <v>426</v>
      </c>
      <c r="E7302" s="1690" t="s">
        <v>5639</v>
      </c>
      <c r="F7302" s="1908"/>
      <c r="G7302" s="1408" t="s">
        <v>24</v>
      </c>
      <c r="H7302" s="393">
        <v>5.3E-3</v>
      </c>
      <c r="K7302" s="841" t="s">
        <v>5110</v>
      </c>
      <c r="L7302" s="841" t="s">
        <v>442</v>
      </c>
      <c r="M7302" s="1357"/>
      <c r="P7302" s="841" t="s">
        <v>5285</v>
      </c>
      <c r="Q7302" s="1357"/>
      <c r="S7302" s="1420"/>
      <c r="T7302" s="1420">
        <v>43585</v>
      </c>
      <c r="V7302" s="1357">
        <v>129</v>
      </c>
    </row>
    <row r="7303" spans="1:22" s="841" customFormat="1" ht="15" x14ac:dyDescent="0.25">
      <c r="A7303" s="841" t="s">
        <v>426</v>
      </c>
      <c r="E7303" s="1690" t="s">
        <v>4167</v>
      </c>
      <c r="F7303" s="1690"/>
      <c r="G7303" s="1408" t="s">
        <v>24</v>
      </c>
      <c r="H7303" s="393">
        <v>-1.2E-2</v>
      </c>
      <c r="K7303" s="841" t="s">
        <v>5110</v>
      </c>
      <c r="L7303" s="841" t="s">
        <v>442</v>
      </c>
      <c r="M7303" s="1357"/>
      <c r="P7303" s="841" t="s">
        <v>6358</v>
      </c>
      <c r="Q7303" s="1357"/>
      <c r="S7303" s="1420"/>
      <c r="T7303" s="1420">
        <v>43585</v>
      </c>
      <c r="V7303" s="1357">
        <v>75</v>
      </c>
    </row>
    <row r="7304" spans="1:22" s="841" customFormat="1" ht="15" x14ac:dyDescent="0.25">
      <c r="A7304" s="841" t="s">
        <v>426</v>
      </c>
      <c r="E7304" s="1690" t="s">
        <v>221</v>
      </c>
      <c r="F7304" s="1690"/>
      <c r="G7304" s="1408" t="s">
        <v>24</v>
      </c>
      <c r="H7304" s="393">
        <v>7.1999999999999998E-3</v>
      </c>
      <c r="K7304" s="841" t="s">
        <v>5110</v>
      </c>
      <c r="L7304" s="841" t="s">
        <v>444</v>
      </c>
      <c r="M7304" s="1357"/>
      <c r="P7304" s="841" t="s">
        <v>5115</v>
      </c>
      <c r="Q7304" s="1357"/>
      <c r="S7304" s="1420"/>
      <c r="T7304" s="1420"/>
      <c r="V7304" s="1357">
        <v>47</v>
      </c>
    </row>
    <row r="7305" spans="1:22" s="841" customFormat="1" ht="15" x14ac:dyDescent="0.25">
      <c r="A7305" s="841" t="s">
        <v>426</v>
      </c>
      <c r="E7305" s="1690" t="s">
        <v>217</v>
      </c>
      <c r="F7305" s="1690"/>
      <c r="G7305" s="1408" t="s">
        <v>24</v>
      </c>
      <c r="H7305" s="393">
        <v>6.7000000000000002E-3</v>
      </c>
      <c r="K7305" s="841" t="s">
        <v>5110</v>
      </c>
      <c r="L7305" s="841" t="s">
        <v>444</v>
      </c>
      <c r="M7305" s="1357"/>
      <c r="P7305" s="841" t="s">
        <v>5116</v>
      </c>
      <c r="Q7305" s="1357"/>
      <c r="S7305" s="1420"/>
      <c r="T7305" s="1420"/>
      <c r="V7305" s="1357">
        <v>74</v>
      </c>
    </row>
    <row r="7306" spans="1:22" s="841" customFormat="1" ht="15" x14ac:dyDescent="0.25">
      <c r="A7306" s="841" t="s">
        <v>426</v>
      </c>
      <c r="E7306" s="1694" t="s">
        <v>3079</v>
      </c>
      <c r="F7306" s="1690"/>
      <c r="G7306" s="1690"/>
      <c r="H7306" s="1690"/>
      <c r="K7306" s="841" t="s">
        <v>3093</v>
      </c>
      <c r="M7306" s="1357"/>
      <c r="Q7306" s="1357"/>
      <c r="S7306" s="1420"/>
      <c r="T7306" s="1420"/>
      <c r="V7306" s="1357">
        <v>48</v>
      </c>
    </row>
    <row r="7307" spans="1:22" s="841" customFormat="1" ht="15" x14ac:dyDescent="0.25">
      <c r="A7307" s="841" t="s">
        <v>426</v>
      </c>
      <c r="E7307" s="1690" t="s">
        <v>2449</v>
      </c>
      <c r="F7307" s="1690"/>
      <c r="G7307" s="1408" t="s">
        <v>24</v>
      </c>
      <c r="H7307" s="393">
        <v>3.2000000000000002E-3</v>
      </c>
      <c r="K7307" s="841" t="s">
        <v>5110</v>
      </c>
      <c r="L7307" s="841" t="s">
        <v>3046</v>
      </c>
      <c r="M7307" s="1357"/>
      <c r="P7307" s="841" t="s">
        <v>5117</v>
      </c>
      <c r="Q7307" s="1357"/>
      <c r="S7307" s="1420"/>
      <c r="T7307" s="1420"/>
      <c r="V7307" s="1357">
        <v>55</v>
      </c>
    </row>
    <row r="7308" spans="1:22" s="841" customFormat="1" ht="15" x14ac:dyDescent="0.25">
      <c r="A7308" s="841" t="s">
        <v>426</v>
      </c>
      <c r="E7308" s="1918" t="s">
        <v>2450</v>
      </c>
      <c r="F7308" s="1918"/>
      <c r="G7308" s="1408" t="s">
        <v>24</v>
      </c>
      <c r="H7308" s="393">
        <v>4.0000000000000002E-4</v>
      </c>
      <c r="K7308" s="841" t="s">
        <v>5110</v>
      </c>
      <c r="L7308" s="841" t="s">
        <v>3046</v>
      </c>
      <c r="M7308" s="1357"/>
      <c r="P7308" s="841" t="s">
        <v>5117</v>
      </c>
      <c r="Q7308" s="1357"/>
      <c r="S7308" s="1420"/>
      <c r="T7308" s="1420"/>
      <c r="V7308" s="1357">
        <v>65</v>
      </c>
    </row>
    <row r="7309" spans="1:22" s="841" customFormat="1" ht="15" x14ac:dyDescent="0.25">
      <c r="A7309" s="841" t="s">
        <v>426</v>
      </c>
      <c r="E7309" s="1690" t="s">
        <v>439</v>
      </c>
      <c r="F7309" s="1690"/>
      <c r="G7309" s="1408" t="s">
        <v>24</v>
      </c>
      <c r="H7309" s="393">
        <v>2.9999999999999997E-4</v>
      </c>
      <c r="K7309" s="841" t="s">
        <v>5110</v>
      </c>
      <c r="L7309" s="841" t="s">
        <v>3046</v>
      </c>
      <c r="M7309" s="1357"/>
      <c r="P7309" s="841" t="s">
        <v>5118</v>
      </c>
      <c r="Q7309" s="1357"/>
      <c r="S7309" s="1420"/>
      <c r="T7309" s="1420"/>
      <c r="V7309" s="1357">
        <v>57</v>
      </c>
    </row>
    <row r="7310" spans="1:22" s="841" customFormat="1" ht="15" x14ac:dyDescent="0.25">
      <c r="A7310" s="841" t="s">
        <v>426</v>
      </c>
      <c r="E7310" s="1690" t="s">
        <v>32</v>
      </c>
      <c r="F7310" s="1690"/>
      <c r="G7310" s="1408" t="s">
        <v>23</v>
      </c>
      <c r="H7310" s="391">
        <v>0.25</v>
      </c>
      <c r="K7310" s="841" t="s">
        <v>5110</v>
      </c>
      <c r="L7310" s="841" t="s">
        <v>3046</v>
      </c>
      <c r="M7310" s="1357"/>
      <c r="P7310" s="841" t="s">
        <v>5119</v>
      </c>
      <c r="Q7310" s="1357"/>
      <c r="S7310" s="1420"/>
      <c r="T7310" s="1420"/>
      <c r="V7310" s="1357">
        <v>63</v>
      </c>
    </row>
    <row r="7311" spans="1:22" s="841" customFormat="1" x14ac:dyDescent="0.25">
      <c r="A7311" s="841" t="s">
        <v>426</v>
      </c>
      <c r="E7311" s="1909" t="s">
        <v>616</v>
      </c>
      <c r="F7311" s="1923"/>
      <c r="G7311" s="1923"/>
      <c r="H7311" s="1923"/>
      <c r="K7311" s="841" t="s">
        <v>6095</v>
      </c>
      <c r="M7311" s="1357"/>
      <c r="Q7311" s="1357"/>
      <c r="S7311" s="1420"/>
      <c r="T7311" s="1420"/>
      <c r="V7311" s="1357">
        <v>53</v>
      </c>
    </row>
    <row r="7312" spans="1:22" s="841" customFormat="1" ht="15" x14ac:dyDescent="0.25">
      <c r="A7312" s="841" t="s">
        <v>426</v>
      </c>
      <c r="E7312" s="1689" t="s">
        <v>4144</v>
      </c>
      <c r="F7312" s="1689"/>
      <c r="G7312" s="1689"/>
      <c r="H7312" s="1689"/>
      <c r="K7312" s="841" t="s">
        <v>6095</v>
      </c>
      <c r="M7312" s="1357"/>
      <c r="Q7312" s="1357"/>
      <c r="S7312" s="1420"/>
      <c r="T7312" s="1420"/>
      <c r="V7312" s="1357">
        <v>753</v>
      </c>
    </row>
    <row r="7313" spans="1:22" s="841" customFormat="1" ht="15" x14ac:dyDescent="0.25">
      <c r="A7313" s="841" t="s">
        <v>426</v>
      </c>
      <c r="E7313" s="1916" t="s">
        <v>3061</v>
      </c>
      <c r="F7313" s="1689"/>
      <c r="G7313" s="1689"/>
      <c r="H7313" s="1689"/>
      <c r="K7313" s="841" t="s">
        <v>3098</v>
      </c>
      <c r="M7313" s="1357"/>
      <c r="Q7313" s="1357"/>
      <c r="S7313" s="1420"/>
      <c r="T7313" s="1420"/>
      <c r="V7313" s="1357">
        <v>11</v>
      </c>
    </row>
    <row r="7314" spans="1:22" s="841" customFormat="1" ht="15" x14ac:dyDescent="0.25">
      <c r="A7314" s="841" t="s">
        <v>426</v>
      </c>
      <c r="E7314" s="1689" t="s">
        <v>4142</v>
      </c>
      <c r="F7314" s="1689"/>
      <c r="G7314" s="1689"/>
      <c r="H7314" s="1689"/>
      <c r="K7314" s="841" t="s">
        <v>6095</v>
      </c>
      <c r="M7314" s="1357"/>
      <c r="Q7314" s="1357"/>
      <c r="S7314" s="1420"/>
      <c r="T7314" s="1420"/>
      <c r="V7314" s="1357">
        <v>282</v>
      </c>
    </row>
    <row r="7315" spans="1:22" s="841" customFormat="1" ht="15" x14ac:dyDescent="0.25">
      <c r="A7315" s="841" t="s">
        <v>426</v>
      </c>
      <c r="E7315" s="1689" t="s">
        <v>3173</v>
      </c>
      <c r="F7315" s="1689"/>
      <c r="G7315" s="1689"/>
      <c r="H7315" s="1689"/>
      <c r="K7315" s="841" t="s">
        <v>6095</v>
      </c>
      <c r="M7315" s="1357"/>
      <c r="Q7315" s="1357"/>
      <c r="S7315" s="1420"/>
      <c r="T7315" s="1420"/>
      <c r="V7315" s="1357">
        <v>413</v>
      </c>
    </row>
    <row r="7316" spans="1:22" s="841" customFormat="1" ht="15" x14ac:dyDescent="0.25">
      <c r="A7316" s="841" t="s">
        <v>426</v>
      </c>
      <c r="E7316" s="1689" t="s">
        <v>3065</v>
      </c>
      <c r="F7316" s="1689"/>
      <c r="G7316" s="1689"/>
      <c r="H7316" s="1689"/>
      <c r="K7316" s="841" t="s">
        <v>6095</v>
      </c>
      <c r="M7316" s="1357"/>
      <c r="Q7316" s="1357"/>
      <c r="S7316" s="1420"/>
      <c r="T7316" s="1420"/>
      <c r="V7316" s="1357">
        <v>387</v>
      </c>
    </row>
    <row r="7317" spans="1:22" s="841" customFormat="1" ht="15" x14ac:dyDescent="0.25">
      <c r="A7317" s="841" t="s">
        <v>426</v>
      </c>
      <c r="E7317" s="1689" t="s">
        <v>3390</v>
      </c>
      <c r="F7317" s="1689"/>
      <c r="G7317" s="1689"/>
      <c r="H7317" s="1689"/>
      <c r="K7317" s="841" t="s">
        <v>6095</v>
      </c>
      <c r="M7317" s="1357"/>
      <c r="Q7317" s="1357"/>
      <c r="S7317" s="1420"/>
      <c r="T7317" s="1420"/>
      <c r="V7317" s="1357">
        <v>274</v>
      </c>
    </row>
    <row r="7318" spans="1:22" s="841" customFormat="1" ht="15" x14ac:dyDescent="0.25">
      <c r="A7318" s="841" t="s">
        <v>426</v>
      </c>
      <c r="E7318" s="1694" t="s">
        <v>3067</v>
      </c>
      <c r="F7318" s="1907"/>
      <c r="G7318" s="1907"/>
      <c r="H7318" s="1907"/>
      <c r="K7318" s="841" t="s">
        <v>3099</v>
      </c>
      <c r="M7318" s="1357"/>
      <c r="Q7318" s="1357"/>
      <c r="S7318" s="1420"/>
      <c r="T7318" s="1420"/>
      <c r="V7318" s="1357">
        <v>46</v>
      </c>
    </row>
    <row r="7319" spans="1:22" s="841" customFormat="1" ht="15" x14ac:dyDescent="0.25">
      <c r="A7319" s="841" t="s">
        <v>426</v>
      </c>
      <c r="E7319" s="1690" t="s">
        <v>11</v>
      </c>
      <c r="F7319" s="1690"/>
      <c r="G7319" s="1408" t="s">
        <v>23</v>
      </c>
      <c r="H7319" s="391">
        <v>139.37</v>
      </c>
      <c r="K7319" s="841" t="s">
        <v>6095</v>
      </c>
      <c r="L7319" s="841" t="s">
        <v>442</v>
      </c>
      <c r="M7319" s="1357"/>
      <c r="P7319" s="841" t="s">
        <v>6096</v>
      </c>
      <c r="Q7319" s="1357"/>
      <c r="S7319" s="1420"/>
      <c r="T7319" s="1420"/>
      <c r="V7319" s="1357">
        <v>14</v>
      </c>
    </row>
    <row r="7320" spans="1:22" s="841" customFormat="1" ht="15" x14ac:dyDescent="0.25">
      <c r="A7320" s="841" t="s">
        <v>426</v>
      </c>
      <c r="E7320" s="1690" t="s">
        <v>4145</v>
      </c>
      <c r="F7320" s="1690"/>
      <c r="G7320" s="1408" t="s">
        <v>33</v>
      </c>
      <c r="H7320" s="393">
        <v>4.8078000000000003</v>
      </c>
      <c r="K7320" s="841" t="s">
        <v>6095</v>
      </c>
      <c r="L7320" s="841" t="s">
        <v>442</v>
      </c>
      <c r="M7320" s="1357"/>
      <c r="P7320" s="841" t="s">
        <v>6097</v>
      </c>
      <c r="Q7320" s="1357"/>
      <c r="S7320" s="1420"/>
      <c r="T7320" s="1420"/>
      <c r="V7320" s="1357">
        <v>51</v>
      </c>
    </row>
    <row r="7321" spans="1:22" s="841" customFormat="1" ht="15" x14ac:dyDescent="0.25">
      <c r="A7321" s="841" t="s">
        <v>426</v>
      </c>
      <c r="E7321" s="1690" t="s">
        <v>4146</v>
      </c>
      <c r="F7321" s="1690"/>
      <c r="G7321" s="1408" t="s">
        <v>33</v>
      </c>
      <c r="H7321" s="393">
        <v>4.9421999999999997</v>
      </c>
      <c r="K7321" s="841" t="s">
        <v>6095</v>
      </c>
      <c r="L7321" s="841" t="s">
        <v>442</v>
      </c>
      <c r="M7321" s="1357"/>
      <c r="P7321" s="841" t="s">
        <v>6097</v>
      </c>
      <c r="Q7321" s="1357"/>
      <c r="S7321" s="1420"/>
      <c r="T7321" s="1420"/>
      <c r="V7321" s="1357">
        <v>45</v>
      </c>
    </row>
    <row r="7322" spans="1:22" s="841" customFormat="1" ht="15" x14ac:dyDescent="0.25">
      <c r="A7322" s="841" t="s">
        <v>426</v>
      </c>
      <c r="E7322" s="1690" t="s">
        <v>5639</v>
      </c>
      <c r="F7322" s="1908"/>
      <c r="G7322" s="1408" t="s">
        <v>33</v>
      </c>
      <c r="H7322" s="393">
        <v>0.54930000000000001</v>
      </c>
      <c r="K7322" s="841" t="s">
        <v>6095</v>
      </c>
      <c r="L7322" s="841" t="s">
        <v>442</v>
      </c>
      <c r="M7322" s="1357"/>
      <c r="P7322" s="841" t="s">
        <v>6111</v>
      </c>
      <c r="Q7322" s="1357"/>
      <c r="S7322" s="1420"/>
      <c r="T7322" s="1420">
        <v>43585</v>
      </c>
      <c r="V7322" s="1357">
        <v>129</v>
      </c>
    </row>
    <row r="7323" spans="1:22" s="841" customFormat="1" ht="15" x14ac:dyDescent="0.25">
      <c r="A7323" s="841" t="s">
        <v>426</v>
      </c>
      <c r="E7323" s="1690" t="s">
        <v>4167</v>
      </c>
      <c r="F7323" s="1690"/>
      <c r="G7323" s="1408" t="s">
        <v>33</v>
      </c>
      <c r="H7323" s="393">
        <v>-4.5351999999999997</v>
      </c>
      <c r="K7323" s="841" t="s">
        <v>6095</v>
      </c>
      <c r="L7323" s="841" t="s">
        <v>442</v>
      </c>
      <c r="M7323" s="1357"/>
      <c r="P7323" s="841" t="s">
        <v>6359</v>
      </c>
      <c r="Q7323" s="1357"/>
      <c r="S7323" s="1420"/>
      <c r="T7323" s="1420">
        <v>43585</v>
      </c>
      <c r="V7323" s="1357">
        <v>75</v>
      </c>
    </row>
    <row r="7324" spans="1:22" s="841" customFormat="1" ht="15" x14ac:dyDescent="0.25">
      <c r="A7324" s="841" t="s">
        <v>426</v>
      </c>
      <c r="E7324" s="1690" t="s">
        <v>221</v>
      </c>
      <c r="F7324" s="1690"/>
      <c r="G7324" s="1408" t="s">
        <v>33</v>
      </c>
      <c r="H7324" s="393">
        <v>2.8974000000000002</v>
      </c>
      <c r="K7324" s="841" t="s">
        <v>6095</v>
      </c>
      <c r="L7324" s="841" t="s">
        <v>444</v>
      </c>
      <c r="M7324" s="1357"/>
      <c r="P7324" s="841" t="s">
        <v>6099</v>
      </c>
      <c r="Q7324" s="1357"/>
      <c r="S7324" s="1420"/>
      <c r="T7324" s="1420"/>
      <c r="V7324" s="1357">
        <v>47</v>
      </c>
    </row>
    <row r="7325" spans="1:22" s="841" customFormat="1" ht="15" x14ac:dyDescent="0.25">
      <c r="A7325" s="841" t="s">
        <v>426</v>
      </c>
      <c r="E7325" s="1690" t="s">
        <v>217</v>
      </c>
      <c r="F7325" s="1690"/>
      <c r="G7325" s="1408" t="s">
        <v>33</v>
      </c>
      <c r="H7325" s="393">
        <v>2.6417000000000002</v>
      </c>
      <c r="K7325" s="841" t="s">
        <v>6095</v>
      </c>
      <c r="L7325" s="841" t="s">
        <v>444</v>
      </c>
      <c r="M7325" s="1357"/>
      <c r="P7325" s="841" t="s">
        <v>6100</v>
      </c>
      <c r="Q7325" s="1357"/>
      <c r="S7325" s="1420"/>
      <c r="T7325" s="1420"/>
      <c r="V7325" s="1357">
        <v>74</v>
      </c>
    </row>
    <row r="7326" spans="1:22" s="841" customFormat="1" ht="15" x14ac:dyDescent="0.25">
      <c r="A7326" s="841" t="s">
        <v>426</v>
      </c>
      <c r="E7326" s="1694" t="s">
        <v>3079</v>
      </c>
      <c r="F7326" s="1690"/>
      <c r="G7326" s="1690"/>
      <c r="H7326" s="1690"/>
      <c r="K7326" s="841" t="s">
        <v>3218</v>
      </c>
      <c r="M7326" s="1357"/>
      <c r="Q7326" s="1357"/>
      <c r="S7326" s="1420"/>
      <c r="T7326" s="1420"/>
      <c r="V7326" s="1357">
        <v>48</v>
      </c>
    </row>
    <row r="7327" spans="1:22" s="841" customFormat="1" ht="15" x14ac:dyDescent="0.25">
      <c r="A7327" s="841" t="s">
        <v>426</v>
      </c>
      <c r="E7327" s="1690" t="s">
        <v>2449</v>
      </c>
      <c r="F7327" s="1690"/>
      <c r="G7327" s="1408" t="s">
        <v>24</v>
      </c>
      <c r="H7327" s="393">
        <v>3.2000000000000002E-3</v>
      </c>
      <c r="K7327" s="841" t="s">
        <v>6095</v>
      </c>
      <c r="L7327" s="841" t="s">
        <v>3046</v>
      </c>
      <c r="M7327" s="1357"/>
      <c r="P7327" s="841" t="s">
        <v>6101</v>
      </c>
      <c r="Q7327" s="1357"/>
      <c r="S7327" s="1420"/>
      <c r="T7327" s="1420"/>
      <c r="V7327" s="1357">
        <v>55</v>
      </c>
    </row>
    <row r="7328" spans="1:22" s="841" customFormat="1" ht="15" x14ac:dyDescent="0.25">
      <c r="A7328" s="841" t="s">
        <v>426</v>
      </c>
      <c r="E7328" s="1918" t="s">
        <v>2450</v>
      </c>
      <c r="F7328" s="1918"/>
      <c r="G7328" s="1408" t="s">
        <v>24</v>
      </c>
      <c r="H7328" s="393">
        <v>4.0000000000000002E-4</v>
      </c>
      <c r="K7328" s="841" t="s">
        <v>6095</v>
      </c>
      <c r="L7328" s="841" t="s">
        <v>3046</v>
      </c>
      <c r="M7328" s="1357"/>
      <c r="P7328" s="841" t="s">
        <v>6101</v>
      </c>
      <c r="Q7328" s="1357"/>
      <c r="S7328" s="1420"/>
      <c r="T7328" s="1420"/>
      <c r="V7328" s="1357">
        <v>65</v>
      </c>
    </row>
    <row r="7329" spans="1:22" s="841" customFormat="1" ht="15" x14ac:dyDescent="0.25">
      <c r="A7329" s="841" t="s">
        <v>426</v>
      </c>
      <c r="E7329" s="1690" t="s">
        <v>439</v>
      </c>
      <c r="F7329" s="1690"/>
      <c r="G7329" s="1408" t="s">
        <v>24</v>
      </c>
      <c r="H7329" s="393">
        <v>2.9999999999999997E-4</v>
      </c>
      <c r="K7329" s="841" t="s">
        <v>6095</v>
      </c>
      <c r="L7329" s="841" t="s">
        <v>3046</v>
      </c>
      <c r="M7329" s="1357"/>
      <c r="P7329" s="841" t="s">
        <v>6102</v>
      </c>
      <c r="Q7329" s="1357"/>
      <c r="S7329" s="1420"/>
      <c r="T7329" s="1420"/>
      <c r="V7329" s="1357">
        <v>57</v>
      </c>
    </row>
    <row r="7330" spans="1:22" s="841" customFormat="1" ht="15" x14ac:dyDescent="0.25">
      <c r="A7330" s="841" t="s">
        <v>426</v>
      </c>
      <c r="E7330" s="1690" t="s">
        <v>32</v>
      </c>
      <c r="F7330" s="1690"/>
      <c r="G7330" s="1408" t="s">
        <v>23</v>
      </c>
      <c r="H7330" s="391">
        <v>0.25</v>
      </c>
      <c r="K7330" s="841" t="s">
        <v>6095</v>
      </c>
      <c r="L7330" s="841" t="s">
        <v>3046</v>
      </c>
      <c r="M7330" s="1357"/>
      <c r="P7330" s="841" t="s">
        <v>6103</v>
      </c>
      <c r="Q7330" s="1357"/>
      <c r="S7330" s="1420"/>
      <c r="T7330" s="1420"/>
      <c r="V7330" s="1357">
        <v>63</v>
      </c>
    </row>
    <row r="7331" spans="1:22" s="841" customFormat="1" x14ac:dyDescent="0.25">
      <c r="A7331" s="841" t="s">
        <v>426</v>
      </c>
      <c r="E7331" s="1909" t="s">
        <v>617</v>
      </c>
      <c r="F7331" s="1923"/>
      <c r="G7331" s="1923"/>
      <c r="H7331" s="1923"/>
      <c r="K7331" s="841" t="s">
        <v>3406</v>
      </c>
      <c r="M7331" s="1357"/>
      <c r="Q7331" s="1357"/>
      <c r="S7331" s="1420"/>
      <c r="T7331" s="1420"/>
      <c r="V7331" s="1357">
        <v>47</v>
      </c>
    </row>
    <row r="7332" spans="1:22" s="841" customFormat="1" ht="15" x14ac:dyDescent="0.25">
      <c r="A7332" s="841" t="s">
        <v>426</v>
      </c>
      <c r="E7332" s="1689" t="s">
        <v>3927</v>
      </c>
      <c r="F7332" s="1689"/>
      <c r="G7332" s="1689"/>
      <c r="H7332" s="1689"/>
      <c r="K7332" s="841" t="s">
        <v>3406</v>
      </c>
      <c r="M7332" s="1357"/>
      <c r="Q7332" s="1357"/>
      <c r="S7332" s="1420"/>
      <c r="T7332" s="1420"/>
      <c r="V7332" s="1357">
        <v>722</v>
      </c>
    </row>
    <row r="7333" spans="1:22" s="841" customFormat="1" ht="15" x14ac:dyDescent="0.25">
      <c r="A7333" s="841" t="s">
        <v>426</v>
      </c>
      <c r="E7333" s="1916" t="s">
        <v>3061</v>
      </c>
      <c r="F7333" s="1689"/>
      <c r="G7333" s="1689"/>
      <c r="H7333" s="1689"/>
      <c r="K7333" s="841" t="s">
        <v>3221</v>
      </c>
      <c r="M7333" s="1357"/>
      <c r="Q7333" s="1357"/>
      <c r="S7333" s="1420"/>
      <c r="T7333" s="1420"/>
      <c r="V7333" s="1357">
        <v>11</v>
      </c>
    </row>
    <row r="7334" spans="1:22" s="841" customFormat="1" ht="15" x14ac:dyDescent="0.25">
      <c r="A7334" s="841" t="s">
        <v>426</v>
      </c>
      <c r="E7334" s="1689" t="s">
        <v>3063</v>
      </c>
      <c r="F7334" s="1689"/>
      <c r="G7334" s="1689"/>
      <c r="H7334" s="1689"/>
      <c r="K7334" s="841" t="s">
        <v>3406</v>
      </c>
      <c r="M7334" s="1357"/>
      <c r="Q7334" s="1357"/>
      <c r="S7334" s="1420"/>
      <c r="T7334" s="1420"/>
      <c r="V7334" s="1357">
        <v>280</v>
      </c>
    </row>
    <row r="7335" spans="1:22" s="841" customFormat="1" ht="15" x14ac:dyDescent="0.25">
      <c r="A7335" s="841" t="s">
        <v>426</v>
      </c>
      <c r="E7335" s="1689" t="s">
        <v>3173</v>
      </c>
      <c r="F7335" s="1689"/>
      <c r="G7335" s="1689"/>
      <c r="H7335" s="1689"/>
      <c r="K7335" s="841" t="s">
        <v>3406</v>
      </c>
      <c r="M7335" s="1357"/>
      <c r="Q7335" s="1357"/>
      <c r="S7335" s="1420"/>
      <c r="T7335" s="1420"/>
      <c r="V7335" s="1357">
        <v>413</v>
      </c>
    </row>
    <row r="7336" spans="1:22" s="841" customFormat="1" ht="15" x14ac:dyDescent="0.25">
      <c r="A7336" s="841" t="s">
        <v>426</v>
      </c>
      <c r="E7336" s="1689" t="s">
        <v>3065</v>
      </c>
      <c r="F7336" s="1689"/>
      <c r="G7336" s="1689"/>
      <c r="H7336" s="1689"/>
      <c r="K7336" s="841" t="s">
        <v>3406</v>
      </c>
      <c r="M7336" s="1357"/>
      <c r="Q7336" s="1357"/>
      <c r="S7336" s="1420"/>
      <c r="T7336" s="1420"/>
      <c r="V7336" s="1357">
        <v>387</v>
      </c>
    </row>
    <row r="7337" spans="1:22" s="841" customFormat="1" ht="15" x14ac:dyDescent="0.25">
      <c r="A7337" s="841" t="s">
        <v>426</v>
      </c>
      <c r="E7337" s="1689" t="s">
        <v>3390</v>
      </c>
      <c r="F7337" s="1689"/>
      <c r="G7337" s="1689"/>
      <c r="H7337" s="1689"/>
      <c r="K7337" s="841" t="s">
        <v>3406</v>
      </c>
      <c r="M7337" s="1357"/>
      <c r="Q7337" s="1357"/>
      <c r="S7337" s="1420"/>
      <c r="T7337" s="1420"/>
      <c r="V7337" s="1357">
        <v>274</v>
      </c>
    </row>
    <row r="7338" spans="1:22" s="841" customFormat="1" ht="15" x14ac:dyDescent="0.25">
      <c r="A7338" s="841" t="s">
        <v>426</v>
      </c>
      <c r="E7338" s="1694" t="s">
        <v>3067</v>
      </c>
      <c r="F7338" s="1907"/>
      <c r="G7338" s="1907"/>
      <c r="H7338" s="1907"/>
      <c r="K7338" s="841" t="s">
        <v>3224</v>
      </c>
      <c r="M7338" s="1357"/>
      <c r="Q7338" s="1357"/>
      <c r="S7338" s="1420"/>
      <c r="T7338" s="1420"/>
      <c r="V7338" s="1357">
        <v>46</v>
      </c>
    </row>
    <row r="7339" spans="1:22" s="841" customFormat="1" ht="15" x14ac:dyDescent="0.25">
      <c r="A7339" s="841" t="s">
        <v>426</v>
      </c>
      <c r="E7339" s="1690" t="s">
        <v>11</v>
      </c>
      <c r="F7339" s="1690"/>
      <c r="G7339" s="1408" t="s">
        <v>23</v>
      </c>
      <c r="H7339" s="391">
        <v>17.75</v>
      </c>
      <c r="K7339" s="841" t="s">
        <v>3406</v>
      </c>
      <c r="L7339" s="841" t="s">
        <v>442</v>
      </c>
      <c r="M7339" s="1357"/>
      <c r="P7339" s="841" t="s">
        <v>3408</v>
      </c>
      <c r="Q7339" s="1357"/>
      <c r="S7339" s="1420"/>
      <c r="T7339" s="1420"/>
      <c r="V7339" s="1357">
        <v>14</v>
      </c>
    </row>
    <row r="7340" spans="1:22" s="841" customFormat="1" ht="15" x14ac:dyDescent="0.25">
      <c r="A7340" s="841" t="s">
        <v>426</v>
      </c>
      <c r="E7340" s="1690" t="s">
        <v>84</v>
      </c>
      <c r="F7340" s="1690"/>
      <c r="G7340" s="1408" t="s">
        <v>24</v>
      </c>
      <c r="H7340" s="393">
        <v>2.0400000000000001E-2</v>
      </c>
      <c r="K7340" s="841" t="s">
        <v>3406</v>
      </c>
      <c r="L7340" s="841" t="s">
        <v>442</v>
      </c>
      <c r="M7340" s="1357"/>
      <c r="P7340" s="841" t="s">
        <v>3409</v>
      </c>
      <c r="Q7340" s="1357"/>
      <c r="S7340" s="1420"/>
      <c r="T7340" s="1420"/>
      <c r="V7340" s="1357">
        <v>28</v>
      </c>
    </row>
    <row r="7341" spans="1:22" s="841" customFormat="1" ht="15" x14ac:dyDescent="0.25">
      <c r="A7341" s="841" t="s">
        <v>426</v>
      </c>
      <c r="E7341" s="1690" t="s">
        <v>4167</v>
      </c>
      <c r="F7341" s="1690"/>
      <c r="G7341" s="1408" t="s">
        <v>24</v>
      </c>
      <c r="H7341" s="393">
        <v>-1.32E-2</v>
      </c>
      <c r="K7341" s="841" t="s">
        <v>3406</v>
      </c>
      <c r="L7341" s="841" t="s">
        <v>442</v>
      </c>
      <c r="M7341" s="1357"/>
      <c r="P7341" s="841" t="s">
        <v>6360</v>
      </c>
      <c r="Q7341" s="1357"/>
      <c r="S7341" s="1420"/>
      <c r="T7341" s="1420">
        <v>43585</v>
      </c>
      <c r="V7341" s="1357">
        <v>75</v>
      </c>
    </row>
    <row r="7342" spans="1:22" s="841" customFormat="1" ht="15" x14ac:dyDescent="0.25">
      <c r="A7342" s="841" t="s">
        <v>426</v>
      </c>
      <c r="E7342" s="1690" t="s">
        <v>221</v>
      </c>
      <c r="F7342" s="1690"/>
      <c r="G7342" s="1408" t="s">
        <v>24</v>
      </c>
      <c r="H7342" s="393">
        <v>7.1000000000000004E-3</v>
      </c>
      <c r="K7342" s="841" t="s">
        <v>3406</v>
      </c>
      <c r="L7342" s="841" t="s">
        <v>444</v>
      </c>
      <c r="M7342" s="1357"/>
      <c r="P7342" s="841" t="s">
        <v>3412</v>
      </c>
      <c r="Q7342" s="1357"/>
      <c r="S7342" s="1420"/>
      <c r="T7342" s="1420"/>
      <c r="V7342" s="1357">
        <v>47</v>
      </c>
    </row>
    <row r="7343" spans="1:22" s="841" customFormat="1" ht="15" x14ac:dyDescent="0.25">
      <c r="A7343" s="841" t="s">
        <v>426</v>
      </c>
      <c r="E7343" s="1690" t="s">
        <v>217</v>
      </c>
      <c r="F7343" s="1690"/>
      <c r="G7343" s="1408" t="s">
        <v>24</v>
      </c>
      <c r="H7343" s="393">
        <v>6.7000000000000002E-3</v>
      </c>
      <c r="K7343" s="841" t="s">
        <v>3406</v>
      </c>
      <c r="L7343" s="841" t="s">
        <v>444</v>
      </c>
      <c r="M7343" s="1357"/>
      <c r="P7343" s="841" t="s">
        <v>3413</v>
      </c>
      <c r="Q7343" s="1357"/>
      <c r="S7343" s="1420"/>
      <c r="T7343" s="1420"/>
      <c r="V7343" s="1357">
        <v>74</v>
      </c>
    </row>
    <row r="7344" spans="1:22" s="841" customFormat="1" ht="15" x14ac:dyDescent="0.25">
      <c r="A7344" s="841" t="s">
        <v>426</v>
      </c>
      <c r="E7344" s="1694" t="s">
        <v>3079</v>
      </c>
      <c r="F7344" s="1690"/>
      <c r="G7344" s="1690"/>
      <c r="H7344" s="1690"/>
      <c r="K7344" s="841" t="s">
        <v>3225</v>
      </c>
      <c r="M7344" s="1357"/>
      <c r="Q7344" s="1357"/>
      <c r="S7344" s="1420"/>
      <c r="T7344" s="1420"/>
      <c r="V7344" s="1357">
        <v>48</v>
      </c>
    </row>
    <row r="7345" spans="1:22" s="841" customFormat="1" ht="15" x14ac:dyDescent="0.25">
      <c r="A7345" s="841" t="s">
        <v>426</v>
      </c>
      <c r="E7345" s="1690" t="s">
        <v>2449</v>
      </c>
      <c r="F7345" s="1690"/>
      <c r="G7345" s="1408" t="s">
        <v>24</v>
      </c>
      <c r="H7345" s="393">
        <v>3.2000000000000002E-3</v>
      </c>
      <c r="K7345" s="841" t="s">
        <v>3406</v>
      </c>
      <c r="L7345" s="841" t="s">
        <v>3046</v>
      </c>
      <c r="M7345" s="1357"/>
      <c r="P7345" s="841" t="s">
        <v>3414</v>
      </c>
      <c r="Q7345" s="1357"/>
      <c r="S7345" s="1420"/>
      <c r="T7345" s="1420"/>
      <c r="V7345" s="1357">
        <v>55</v>
      </c>
    </row>
    <row r="7346" spans="1:22" s="841" customFormat="1" ht="15" x14ac:dyDescent="0.25">
      <c r="A7346" s="841" t="s">
        <v>426</v>
      </c>
      <c r="E7346" s="1918" t="s">
        <v>2450</v>
      </c>
      <c r="F7346" s="1918"/>
      <c r="G7346" s="1408" t="s">
        <v>24</v>
      </c>
      <c r="H7346" s="393">
        <v>4.0000000000000002E-4</v>
      </c>
      <c r="K7346" s="841" t="s">
        <v>3406</v>
      </c>
      <c r="L7346" s="841" t="s">
        <v>3046</v>
      </c>
      <c r="M7346" s="1357"/>
      <c r="P7346" s="841" t="s">
        <v>3414</v>
      </c>
      <c r="Q7346" s="1357"/>
      <c r="S7346" s="1420"/>
      <c r="T7346" s="1420"/>
      <c r="V7346" s="1357">
        <v>65</v>
      </c>
    </row>
    <row r="7347" spans="1:22" s="841" customFormat="1" ht="15" x14ac:dyDescent="0.25">
      <c r="A7347" s="841" t="s">
        <v>426</v>
      </c>
      <c r="E7347" s="1690" t="s">
        <v>439</v>
      </c>
      <c r="F7347" s="1690"/>
      <c r="G7347" s="1408" t="s">
        <v>24</v>
      </c>
      <c r="H7347" s="393">
        <v>2.9999999999999997E-4</v>
      </c>
      <c r="K7347" s="841" t="s">
        <v>3406</v>
      </c>
      <c r="L7347" s="841" t="s">
        <v>3046</v>
      </c>
      <c r="M7347" s="1357"/>
      <c r="P7347" s="841" t="s">
        <v>3415</v>
      </c>
      <c r="Q7347" s="1357"/>
      <c r="S7347" s="1420"/>
      <c r="T7347" s="1420"/>
      <c r="V7347" s="1357">
        <v>57</v>
      </c>
    </row>
    <row r="7348" spans="1:22" s="841" customFormat="1" ht="15" x14ac:dyDescent="0.25">
      <c r="A7348" s="841" t="s">
        <v>426</v>
      </c>
      <c r="E7348" s="1690" t="s">
        <v>32</v>
      </c>
      <c r="F7348" s="1690"/>
      <c r="G7348" s="1408" t="s">
        <v>23</v>
      </c>
      <c r="H7348" s="391">
        <v>0.25</v>
      </c>
      <c r="K7348" s="841" t="s">
        <v>3406</v>
      </c>
      <c r="L7348" s="841" t="s">
        <v>3046</v>
      </c>
      <c r="M7348" s="1357"/>
      <c r="P7348" s="841" t="s">
        <v>3416</v>
      </c>
      <c r="Q7348" s="1357"/>
      <c r="S7348" s="1420"/>
      <c r="T7348" s="1420"/>
      <c r="V7348" s="1357">
        <v>63</v>
      </c>
    </row>
    <row r="7349" spans="1:22" s="841" customFormat="1" x14ac:dyDescent="0.25">
      <c r="A7349" s="841" t="s">
        <v>426</v>
      </c>
      <c r="E7349" s="1909" t="s">
        <v>629</v>
      </c>
      <c r="F7349" s="1923"/>
      <c r="G7349" s="1923"/>
      <c r="H7349" s="1923"/>
      <c r="K7349" s="841" t="s">
        <v>3571</v>
      </c>
      <c r="M7349" s="1357"/>
      <c r="Q7349" s="1357"/>
      <c r="S7349" s="1420"/>
      <c r="T7349" s="1420"/>
      <c r="V7349" s="1357">
        <v>40</v>
      </c>
    </row>
    <row r="7350" spans="1:22" s="841" customFormat="1" ht="15" x14ac:dyDescent="0.25">
      <c r="A7350" s="841" t="s">
        <v>426</v>
      </c>
      <c r="E7350" s="1689" t="s">
        <v>4148</v>
      </c>
      <c r="F7350" s="1689"/>
      <c r="G7350" s="1689"/>
      <c r="H7350" s="1689"/>
      <c r="K7350" s="841" t="s">
        <v>3571</v>
      </c>
      <c r="M7350" s="1357"/>
      <c r="Q7350" s="1357"/>
      <c r="S7350" s="1420"/>
      <c r="T7350" s="1420"/>
      <c r="V7350" s="1357">
        <v>327</v>
      </c>
    </row>
    <row r="7351" spans="1:22" s="841" customFormat="1" ht="15" x14ac:dyDescent="0.25">
      <c r="A7351" s="841" t="s">
        <v>426</v>
      </c>
      <c r="E7351" s="1916" t="s">
        <v>3061</v>
      </c>
      <c r="F7351" s="1689"/>
      <c r="G7351" s="1689"/>
      <c r="H7351" s="1689"/>
      <c r="K7351" s="841" t="s">
        <v>3107</v>
      </c>
      <c r="M7351" s="1357"/>
      <c r="Q7351" s="1357"/>
      <c r="S7351" s="1420"/>
      <c r="T7351" s="1420"/>
      <c r="V7351" s="1357">
        <v>11</v>
      </c>
    </row>
    <row r="7352" spans="1:22" s="841" customFormat="1" ht="15" x14ac:dyDescent="0.25">
      <c r="A7352" s="841" t="s">
        <v>426</v>
      </c>
      <c r="E7352" s="1689" t="s">
        <v>3063</v>
      </c>
      <c r="F7352" s="1689"/>
      <c r="G7352" s="1689"/>
      <c r="H7352" s="1689"/>
      <c r="K7352" s="841" t="s">
        <v>3571</v>
      </c>
      <c r="M7352" s="1357"/>
      <c r="Q7352" s="1357"/>
      <c r="S7352" s="1420"/>
      <c r="T7352" s="1420"/>
      <c r="V7352" s="1357">
        <v>280</v>
      </c>
    </row>
    <row r="7353" spans="1:22" s="841" customFormat="1" ht="15" x14ac:dyDescent="0.25">
      <c r="A7353" s="841" t="s">
        <v>426</v>
      </c>
      <c r="E7353" s="1689" t="s">
        <v>3064</v>
      </c>
      <c r="F7353" s="1689"/>
      <c r="G7353" s="1689"/>
      <c r="H7353" s="1689"/>
      <c r="K7353" s="841" t="s">
        <v>3571</v>
      </c>
      <c r="M7353" s="1357"/>
      <c r="Q7353" s="1357"/>
      <c r="S7353" s="1420"/>
      <c r="T7353" s="1420"/>
      <c r="V7353" s="1357">
        <v>411</v>
      </c>
    </row>
    <row r="7354" spans="1:22" s="841" customFormat="1" ht="15" x14ac:dyDescent="0.25">
      <c r="A7354" s="841" t="s">
        <v>426</v>
      </c>
      <c r="E7354" s="1689" t="s">
        <v>3065</v>
      </c>
      <c r="F7354" s="1689"/>
      <c r="G7354" s="1689"/>
      <c r="H7354" s="1689"/>
      <c r="K7354" s="841" t="s">
        <v>3571</v>
      </c>
      <c r="M7354" s="1357"/>
      <c r="Q7354" s="1357"/>
      <c r="S7354" s="1420"/>
      <c r="T7354" s="1420"/>
      <c r="V7354" s="1357">
        <v>387</v>
      </c>
    </row>
    <row r="7355" spans="1:22" s="841" customFormat="1" ht="15" x14ac:dyDescent="0.25">
      <c r="A7355" s="841" t="s">
        <v>426</v>
      </c>
      <c r="E7355" s="1689" t="s">
        <v>4149</v>
      </c>
      <c r="F7355" s="1689"/>
      <c r="G7355" s="1689"/>
      <c r="H7355" s="1689"/>
      <c r="K7355" s="841" t="s">
        <v>3571</v>
      </c>
      <c r="M7355" s="1357"/>
      <c r="Q7355" s="1357"/>
      <c r="S7355" s="1420"/>
      <c r="T7355" s="1420"/>
      <c r="V7355" s="1357">
        <v>276</v>
      </c>
    </row>
    <row r="7356" spans="1:22" s="841" customFormat="1" ht="15" x14ac:dyDescent="0.25">
      <c r="A7356" s="841" t="s">
        <v>426</v>
      </c>
      <c r="E7356" s="1694" t="s">
        <v>3067</v>
      </c>
      <c r="F7356" s="1907"/>
      <c r="G7356" s="1907"/>
      <c r="H7356" s="1907"/>
      <c r="K7356" s="841" t="s">
        <v>3108</v>
      </c>
      <c r="M7356" s="1357"/>
      <c r="Q7356" s="1357"/>
      <c r="S7356" s="1420"/>
      <c r="T7356" s="1420"/>
      <c r="V7356" s="1357">
        <v>46</v>
      </c>
    </row>
    <row r="7357" spans="1:22" s="841" customFormat="1" ht="15" x14ac:dyDescent="0.25">
      <c r="A7357" s="841" t="s">
        <v>426</v>
      </c>
      <c r="E7357" s="1690" t="s">
        <v>11</v>
      </c>
      <c r="F7357" s="1690"/>
      <c r="G7357" s="1408" t="s">
        <v>23</v>
      </c>
      <c r="H7357" s="391">
        <v>3.27</v>
      </c>
      <c r="K7357" s="841" t="s">
        <v>3571</v>
      </c>
      <c r="L7357" s="841" t="s">
        <v>442</v>
      </c>
      <c r="M7357" s="1357"/>
      <c r="P7357" s="841" t="s">
        <v>3573</v>
      </c>
      <c r="Q7357" s="1357"/>
      <c r="S7357" s="1420"/>
      <c r="T7357" s="1420"/>
      <c r="V7357" s="1357">
        <v>14</v>
      </c>
    </row>
    <row r="7358" spans="1:22" s="841" customFormat="1" ht="15" x14ac:dyDescent="0.25">
      <c r="A7358" s="841" t="s">
        <v>426</v>
      </c>
      <c r="E7358" s="1690" t="s">
        <v>84</v>
      </c>
      <c r="F7358" s="1690"/>
      <c r="G7358" s="1408" t="s">
        <v>33</v>
      </c>
      <c r="H7358" s="393">
        <v>12.526899999999999</v>
      </c>
      <c r="K7358" s="841" t="s">
        <v>3571</v>
      </c>
      <c r="L7358" s="841" t="s">
        <v>442</v>
      </c>
      <c r="M7358" s="1357"/>
      <c r="P7358" s="841" t="s">
        <v>3574</v>
      </c>
      <c r="Q7358" s="1357"/>
      <c r="S7358" s="1420"/>
      <c r="T7358" s="1420"/>
      <c r="V7358" s="1357">
        <v>28</v>
      </c>
    </row>
    <row r="7359" spans="1:22" s="841" customFormat="1" ht="15" x14ac:dyDescent="0.25">
      <c r="A7359" s="841" t="s">
        <v>426</v>
      </c>
      <c r="E7359" s="1690" t="s">
        <v>4167</v>
      </c>
      <c r="F7359" s="1690"/>
      <c r="G7359" s="1408" t="s">
        <v>33</v>
      </c>
      <c r="H7359" s="393">
        <v>-4.1247999999999996</v>
      </c>
      <c r="K7359" s="841" t="s">
        <v>3571</v>
      </c>
      <c r="L7359" s="841" t="s">
        <v>442</v>
      </c>
      <c r="M7359" s="1357"/>
      <c r="P7359" s="841" t="s">
        <v>6361</v>
      </c>
      <c r="Q7359" s="1357"/>
      <c r="S7359" s="1420"/>
      <c r="T7359" s="1420">
        <v>43585</v>
      </c>
      <c r="V7359" s="1357">
        <v>75</v>
      </c>
    </row>
    <row r="7360" spans="1:22" s="841" customFormat="1" ht="15" x14ac:dyDescent="0.25">
      <c r="A7360" s="841" t="s">
        <v>426</v>
      </c>
      <c r="E7360" s="1690" t="s">
        <v>221</v>
      </c>
      <c r="F7360" s="1690"/>
      <c r="G7360" s="1408" t="s">
        <v>33</v>
      </c>
      <c r="H7360" s="393">
        <v>2.1859999999999999</v>
      </c>
      <c r="K7360" s="841" t="s">
        <v>3571</v>
      </c>
      <c r="L7360" s="841" t="s">
        <v>444</v>
      </c>
      <c r="M7360" s="1357"/>
      <c r="P7360" s="841" t="s">
        <v>3576</v>
      </c>
      <c r="Q7360" s="1357"/>
      <c r="S7360" s="1420"/>
      <c r="T7360" s="1420"/>
      <c r="V7360" s="1357">
        <v>47</v>
      </c>
    </row>
    <row r="7361" spans="1:22" s="841" customFormat="1" ht="15" x14ac:dyDescent="0.25">
      <c r="A7361" s="841" t="s">
        <v>426</v>
      </c>
      <c r="E7361" s="1690" t="s">
        <v>217</v>
      </c>
      <c r="F7361" s="1690"/>
      <c r="G7361" s="1408" t="s">
        <v>33</v>
      </c>
      <c r="H7361" s="393">
        <v>2.0842999999999998</v>
      </c>
      <c r="K7361" s="841" t="s">
        <v>3571</v>
      </c>
      <c r="L7361" s="841" t="s">
        <v>444</v>
      </c>
      <c r="M7361" s="1357"/>
      <c r="P7361" s="841" t="s">
        <v>3577</v>
      </c>
      <c r="Q7361" s="1357"/>
      <c r="S7361" s="1420"/>
      <c r="T7361" s="1420"/>
      <c r="V7361" s="1357">
        <v>74</v>
      </c>
    </row>
    <row r="7362" spans="1:22" s="841" customFormat="1" ht="15" x14ac:dyDescent="0.25">
      <c r="A7362" s="841" t="s">
        <v>426</v>
      </c>
      <c r="E7362" s="1694" t="s">
        <v>3079</v>
      </c>
      <c r="F7362" s="1690"/>
      <c r="G7362" s="1690"/>
      <c r="H7362" s="1690"/>
      <c r="K7362" s="841" t="s">
        <v>3111</v>
      </c>
      <c r="M7362" s="1357"/>
      <c r="Q7362" s="1357"/>
      <c r="S7362" s="1420"/>
      <c r="T7362" s="1420"/>
      <c r="V7362" s="1357">
        <v>48</v>
      </c>
    </row>
    <row r="7363" spans="1:22" s="841" customFormat="1" ht="15" x14ac:dyDescent="0.25">
      <c r="A7363" s="841" t="s">
        <v>426</v>
      </c>
      <c r="E7363" s="1690" t="s">
        <v>2449</v>
      </c>
      <c r="F7363" s="1690"/>
      <c r="G7363" s="1408" t="s">
        <v>24</v>
      </c>
      <c r="H7363" s="393">
        <v>3.2000000000000002E-3</v>
      </c>
      <c r="K7363" s="841" t="s">
        <v>3571</v>
      </c>
      <c r="L7363" s="841" t="s">
        <v>3046</v>
      </c>
      <c r="M7363" s="1357"/>
      <c r="P7363" s="841" t="s">
        <v>3578</v>
      </c>
      <c r="Q7363" s="1357"/>
      <c r="S7363" s="1420"/>
      <c r="T7363" s="1420"/>
      <c r="V7363" s="1357">
        <v>55</v>
      </c>
    </row>
    <row r="7364" spans="1:22" s="841" customFormat="1" ht="15" x14ac:dyDescent="0.25">
      <c r="A7364" s="841" t="s">
        <v>426</v>
      </c>
      <c r="E7364" s="1918" t="s">
        <v>2450</v>
      </c>
      <c r="F7364" s="1918"/>
      <c r="G7364" s="1408" t="s">
        <v>24</v>
      </c>
      <c r="H7364" s="393">
        <v>4.0000000000000002E-4</v>
      </c>
      <c r="K7364" s="841" t="s">
        <v>3571</v>
      </c>
      <c r="L7364" s="841" t="s">
        <v>3046</v>
      </c>
      <c r="M7364" s="1357"/>
      <c r="P7364" s="841" t="s">
        <v>3578</v>
      </c>
      <c r="Q7364" s="1357"/>
      <c r="S7364" s="1420"/>
      <c r="T7364" s="1420"/>
      <c r="V7364" s="1357">
        <v>65</v>
      </c>
    </row>
    <row r="7365" spans="1:22" s="841" customFormat="1" ht="15" x14ac:dyDescent="0.25">
      <c r="A7365" s="841" t="s">
        <v>426</v>
      </c>
      <c r="E7365" s="1690" t="s">
        <v>439</v>
      </c>
      <c r="F7365" s="1690"/>
      <c r="G7365" s="1408" t="s">
        <v>24</v>
      </c>
      <c r="H7365" s="393">
        <v>2.9999999999999997E-4</v>
      </c>
      <c r="K7365" s="841" t="s">
        <v>3571</v>
      </c>
      <c r="L7365" s="841" t="s">
        <v>3046</v>
      </c>
      <c r="M7365" s="1357"/>
      <c r="P7365" s="841" t="s">
        <v>3579</v>
      </c>
      <c r="Q7365" s="1357"/>
      <c r="S7365" s="1420"/>
      <c r="T7365" s="1420"/>
      <c r="V7365" s="1357">
        <v>57</v>
      </c>
    </row>
    <row r="7366" spans="1:22" s="841" customFormat="1" ht="15" x14ac:dyDescent="0.25">
      <c r="A7366" s="841" t="s">
        <v>426</v>
      </c>
      <c r="E7366" s="1690" t="s">
        <v>32</v>
      </c>
      <c r="F7366" s="1690"/>
      <c r="G7366" s="1408" t="s">
        <v>23</v>
      </c>
      <c r="H7366" s="391">
        <v>0.25</v>
      </c>
      <c r="K7366" s="841" t="s">
        <v>3571</v>
      </c>
      <c r="L7366" s="841" t="s">
        <v>3046</v>
      </c>
      <c r="M7366" s="1357"/>
      <c r="P7366" s="841" t="s">
        <v>3580</v>
      </c>
      <c r="Q7366" s="1357"/>
      <c r="S7366" s="1420"/>
      <c r="T7366" s="1420"/>
      <c r="V7366" s="1357">
        <v>63</v>
      </c>
    </row>
    <row r="7367" spans="1:22" s="841" customFormat="1" x14ac:dyDescent="0.25">
      <c r="A7367" s="841" t="s">
        <v>426</v>
      </c>
      <c r="E7367" s="1909" t="s">
        <v>615</v>
      </c>
      <c r="F7367" s="1923"/>
      <c r="G7367" s="1923"/>
      <c r="H7367" s="1923"/>
      <c r="K7367" s="841" t="s">
        <v>3112</v>
      </c>
      <c r="M7367" s="1357"/>
      <c r="Q7367" s="1357"/>
      <c r="S7367" s="1420"/>
      <c r="T7367" s="1420"/>
      <c r="V7367" s="1357">
        <v>38</v>
      </c>
    </row>
    <row r="7368" spans="1:22" s="841" customFormat="1" ht="15" x14ac:dyDescent="0.25">
      <c r="A7368" s="841" t="s">
        <v>426</v>
      </c>
      <c r="E7368" s="1689" t="s">
        <v>4151</v>
      </c>
      <c r="F7368" s="1689"/>
      <c r="G7368" s="1689"/>
      <c r="H7368" s="1689"/>
      <c r="K7368" s="841" t="s">
        <v>3112</v>
      </c>
      <c r="M7368" s="1357"/>
      <c r="Q7368" s="1357"/>
      <c r="S7368" s="1420"/>
      <c r="T7368" s="1420"/>
      <c r="V7368" s="1357">
        <v>338</v>
      </c>
    </row>
    <row r="7369" spans="1:22" s="841" customFormat="1" ht="15" x14ac:dyDescent="0.25">
      <c r="A7369" s="841" t="s">
        <v>426</v>
      </c>
      <c r="E7369" s="1916" t="s">
        <v>3061</v>
      </c>
      <c r="F7369" s="1689"/>
      <c r="G7369" s="1689"/>
      <c r="H7369" s="1689"/>
      <c r="K7369" s="841" t="s">
        <v>3114</v>
      </c>
      <c r="M7369" s="1357"/>
      <c r="Q7369" s="1357"/>
      <c r="S7369" s="1420"/>
      <c r="T7369" s="1420"/>
      <c r="V7369" s="1357">
        <v>11</v>
      </c>
    </row>
    <row r="7370" spans="1:22" s="841" customFormat="1" ht="15" x14ac:dyDescent="0.25">
      <c r="A7370" s="841" t="s">
        <v>426</v>
      </c>
      <c r="E7370" s="1689" t="s">
        <v>4142</v>
      </c>
      <c r="F7370" s="1689"/>
      <c r="G7370" s="1689"/>
      <c r="H7370" s="1689"/>
      <c r="K7370" s="841" t="s">
        <v>3112</v>
      </c>
      <c r="M7370" s="1357"/>
      <c r="Q7370" s="1357"/>
      <c r="S7370" s="1420"/>
      <c r="T7370" s="1420"/>
      <c r="V7370" s="1357">
        <v>282</v>
      </c>
    </row>
    <row r="7371" spans="1:22" s="841" customFormat="1" ht="15" x14ac:dyDescent="0.25">
      <c r="A7371" s="841" t="s">
        <v>426</v>
      </c>
      <c r="E7371" s="1689" t="s">
        <v>3173</v>
      </c>
      <c r="F7371" s="1689"/>
      <c r="G7371" s="1689"/>
      <c r="H7371" s="1689"/>
      <c r="K7371" s="841" t="s">
        <v>3112</v>
      </c>
      <c r="M7371" s="1357"/>
      <c r="Q7371" s="1357"/>
      <c r="S7371" s="1420"/>
      <c r="T7371" s="1420"/>
      <c r="V7371" s="1357">
        <v>413</v>
      </c>
    </row>
    <row r="7372" spans="1:22" s="841" customFormat="1" ht="15" x14ac:dyDescent="0.25">
      <c r="A7372" s="841" t="s">
        <v>426</v>
      </c>
      <c r="E7372" s="1689" t="s">
        <v>4152</v>
      </c>
      <c r="F7372" s="1689"/>
      <c r="G7372" s="1689"/>
      <c r="H7372" s="1689"/>
      <c r="K7372" s="841" t="s">
        <v>3112</v>
      </c>
      <c r="M7372" s="1357"/>
      <c r="Q7372" s="1357"/>
      <c r="S7372" s="1420"/>
      <c r="T7372" s="1420"/>
      <c r="V7372" s="1357">
        <v>389</v>
      </c>
    </row>
    <row r="7373" spans="1:22" s="841" customFormat="1" ht="15" x14ac:dyDescent="0.25">
      <c r="A7373" s="841" t="s">
        <v>426</v>
      </c>
      <c r="E7373" s="1689" t="s">
        <v>4149</v>
      </c>
      <c r="F7373" s="1689"/>
      <c r="G7373" s="1689"/>
      <c r="H7373" s="1689"/>
      <c r="K7373" s="841" t="s">
        <v>3112</v>
      </c>
      <c r="M7373" s="1357"/>
      <c r="Q7373" s="1357"/>
      <c r="S7373" s="1420"/>
      <c r="T7373" s="1420"/>
      <c r="V7373" s="1357">
        <v>276</v>
      </c>
    </row>
    <row r="7374" spans="1:22" s="841" customFormat="1" ht="15" x14ac:dyDescent="0.25">
      <c r="A7374" s="841" t="s">
        <v>426</v>
      </c>
      <c r="E7374" s="1694" t="s">
        <v>3067</v>
      </c>
      <c r="F7374" s="1907"/>
      <c r="G7374" s="1907"/>
      <c r="H7374" s="1907"/>
      <c r="K7374" s="841" t="s">
        <v>3115</v>
      </c>
      <c r="M7374" s="1357"/>
      <c r="Q7374" s="1357"/>
      <c r="S7374" s="1420"/>
      <c r="T7374" s="1420"/>
      <c r="V7374" s="1357">
        <v>46</v>
      </c>
    </row>
    <row r="7375" spans="1:22" s="841" customFormat="1" ht="15" x14ac:dyDescent="0.25">
      <c r="A7375" s="841" t="s">
        <v>426</v>
      </c>
      <c r="E7375" s="1690" t="s">
        <v>11</v>
      </c>
      <c r="F7375" s="1690"/>
      <c r="G7375" s="1408" t="s">
        <v>23</v>
      </c>
      <c r="H7375" s="391">
        <v>3.21</v>
      </c>
      <c r="K7375" s="841" t="s">
        <v>3112</v>
      </c>
      <c r="L7375" s="841" t="s">
        <v>442</v>
      </c>
      <c r="M7375" s="1357"/>
      <c r="P7375" s="841" t="s">
        <v>3116</v>
      </c>
      <c r="Q7375" s="1357"/>
      <c r="S7375" s="1420"/>
      <c r="T7375" s="1420"/>
      <c r="V7375" s="1357">
        <v>14</v>
      </c>
    </row>
    <row r="7376" spans="1:22" s="841" customFormat="1" ht="15" x14ac:dyDescent="0.25">
      <c r="A7376" s="841" t="s">
        <v>426</v>
      </c>
      <c r="E7376" s="1690" t="s">
        <v>84</v>
      </c>
      <c r="F7376" s="1690"/>
      <c r="G7376" s="1408" t="s">
        <v>33</v>
      </c>
      <c r="H7376" s="393">
        <v>15.9651</v>
      </c>
      <c r="K7376" s="841" t="s">
        <v>3112</v>
      </c>
      <c r="L7376" s="841" t="s">
        <v>442</v>
      </c>
      <c r="M7376" s="1357"/>
      <c r="P7376" s="841" t="s">
        <v>3117</v>
      </c>
      <c r="Q7376" s="1357"/>
      <c r="S7376" s="1420"/>
      <c r="T7376" s="1420"/>
      <c r="V7376" s="1357">
        <v>28</v>
      </c>
    </row>
    <row r="7377" spans="1:22" s="841" customFormat="1" ht="15" x14ac:dyDescent="0.25">
      <c r="A7377" s="841" t="s">
        <v>426</v>
      </c>
      <c r="E7377" s="1690" t="s">
        <v>5639</v>
      </c>
      <c r="F7377" s="1908"/>
      <c r="G7377" s="1408" t="s">
        <v>33</v>
      </c>
      <c r="H7377" s="393">
        <v>10.277100000000001</v>
      </c>
      <c r="K7377" s="841" t="s">
        <v>3112</v>
      </c>
      <c r="L7377" s="841" t="s">
        <v>442</v>
      </c>
      <c r="M7377" s="1357"/>
      <c r="P7377" s="841" t="s">
        <v>4294</v>
      </c>
      <c r="Q7377" s="1357"/>
      <c r="S7377" s="1420"/>
      <c r="T7377" s="1420">
        <v>43585</v>
      </c>
      <c r="V7377" s="1357">
        <v>129</v>
      </c>
    </row>
    <row r="7378" spans="1:22" s="841" customFormat="1" ht="15" x14ac:dyDescent="0.25">
      <c r="A7378" s="841" t="s">
        <v>426</v>
      </c>
      <c r="E7378" s="1690" t="s">
        <v>4167</v>
      </c>
      <c r="F7378" s="1690"/>
      <c r="G7378" s="1408" t="s">
        <v>33</v>
      </c>
      <c r="H7378" s="393">
        <v>-5.1837999999999997</v>
      </c>
      <c r="K7378" s="841" t="s">
        <v>3112</v>
      </c>
      <c r="L7378" s="841" t="s">
        <v>442</v>
      </c>
      <c r="M7378" s="1357"/>
      <c r="P7378" s="841" t="s">
        <v>6362</v>
      </c>
      <c r="Q7378" s="1357"/>
      <c r="S7378" s="1420"/>
      <c r="T7378" s="1420">
        <v>43585</v>
      </c>
      <c r="V7378" s="1357">
        <v>75</v>
      </c>
    </row>
    <row r="7379" spans="1:22" s="841" customFormat="1" ht="15" x14ac:dyDescent="0.25">
      <c r="A7379" s="841" t="s">
        <v>426</v>
      </c>
      <c r="E7379" s="1690" t="s">
        <v>221</v>
      </c>
      <c r="F7379" s="1690"/>
      <c r="G7379" s="1408" t="s">
        <v>33</v>
      </c>
      <c r="H7379" s="393">
        <v>2.2061999999999999</v>
      </c>
      <c r="K7379" s="841" t="s">
        <v>3112</v>
      </c>
      <c r="L7379" s="841" t="s">
        <v>444</v>
      </c>
      <c r="M7379" s="1357"/>
      <c r="P7379" s="841" t="s">
        <v>3120</v>
      </c>
      <c r="Q7379" s="1357"/>
      <c r="S7379" s="1420"/>
      <c r="T7379" s="1420"/>
      <c r="V7379" s="1357">
        <v>47</v>
      </c>
    </row>
    <row r="7380" spans="1:22" s="841" customFormat="1" ht="15" x14ac:dyDescent="0.25">
      <c r="A7380" s="841" t="s">
        <v>426</v>
      </c>
      <c r="E7380" s="1690" t="s">
        <v>217</v>
      </c>
      <c r="F7380" s="1690"/>
      <c r="G7380" s="1408" t="s">
        <v>33</v>
      </c>
      <c r="H7380" s="393">
        <v>2.0398999999999998</v>
      </c>
      <c r="K7380" s="841" t="s">
        <v>3112</v>
      </c>
      <c r="L7380" s="841" t="s">
        <v>444</v>
      </c>
      <c r="M7380" s="1357"/>
      <c r="P7380" s="841" t="s">
        <v>3121</v>
      </c>
      <c r="Q7380" s="1357"/>
      <c r="S7380" s="1420"/>
      <c r="T7380" s="1420"/>
      <c r="V7380" s="1357">
        <v>74</v>
      </c>
    </row>
    <row r="7381" spans="1:22" s="841" customFormat="1" ht="15" x14ac:dyDescent="0.25">
      <c r="A7381" s="841" t="s">
        <v>426</v>
      </c>
      <c r="E7381" s="1694" t="s">
        <v>3079</v>
      </c>
      <c r="F7381" s="1690"/>
      <c r="G7381" s="1690"/>
      <c r="H7381" s="1690"/>
      <c r="K7381" s="841" t="s">
        <v>3122</v>
      </c>
      <c r="M7381" s="1357"/>
      <c r="Q7381" s="1357"/>
      <c r="S7381" s="1420"/>
      <c r="T7381" s="1420"/>
      <c r="V7381" s="1357">
        <v>48</v>
      </c>
    </row>
    <row r="7382" spans="1:22" s="841" customFormat="1" ht="15" x14ac:dyDescent="0.25">
      <c r="A7382" s="841" t="s">
        <v>426</v>
      </c>
      <c r="E7382" s="1690" t="s">
        <v>2449</v>
      </c>
      <c r="F7382" s="1690"/>
      <c r="G7382" s="1408" t="s">
        <v>24</v>
      </c>
      <c r="H7382" s="393">
        <v>3.2000000000000002E-3</v>
      </c>
      <c r="K7382" s="841" t="s">
        <v>3112</v>
      </c>
      <c r="L7382" s="841" t="s">
        <v>3046</v>
      </c>
      <c r="M7382" s="1357"/>
      <c r="P7382" s="841" t="s">
        <v>3123</v>
      </c>
      <c r="Q7382" s="1357"/>
      <c r="S7382" s="1420"/>
      <c r="T7382" s="1420"/>
      <c r="V7382" s="1357">
        <v>55</v>
      </c>
    </row>
    <row r="7383" spans="1:22" s="841" customFormat="1" ht="15" x14ac:dyDescent="0.25">
      <c r="A7383" s="841" t="s">
        <v>426</v>
      </c>
      <c r="E7383" s="1690" t="s">
        <v>2450</v>
      </c>
      <c r="F7383" s="1690"/>
      <c r="G7383" s="1408" t="s">
        <v>24</v>
      </c>
      <c r="H7383" s="393">
        <v>4.0000000000000002E-4</v>
      </c>
      <c r="K7383" s="841" t="s">
        <v>3112</v>
      </c>
      <c r="L7383" s="841" t="s">
        <v>3046</v>
      </c>
      <c r="M7383" s="1357"/>
      <c r="P7383" s="841" t="s">
        <v>3123</v>
      </c>
      <c r="Q7383" s="1357"/>
      <c r="S7383" s="1420"/>
      <c r="T7383" s="1420"/>
      <c r="V7383" s="1357">
        <v>65</v>
      </c>
    </row>
    <row r="7384" spans="1:22" s="841" customFormat="1" ht="15" x14ac:dyDescent="0.25">
      <c r="A7384" s="841" t="s">
        <v>426</v>
      </c>
      <c r="E7384" s="1690" t="s">
        <v>439</v>
      </c>
      <c r="F7384" s="1690"/>
      <c r="G7384" s="1408" t="s">
        <v>24</v>
      </c>
      <c r="H7384" s="393">
        <v>2.9999999999999997E-4</v>
      </c>
      <c r="K7384" s="841" t="s">
        <v>3112</v>
      </c>
      <c r="L7384" s="841" t="s">
        <v>3046</v>
      </c>
      <c r="M7384" s="1357"/>
      <c r="P7384" s="841" t="s">
        <v>3124</v>
      </c>
      <c r="Q7384" s="1357"/>
      <c r="S7384" s="1420"/>
      <c r="T7384" s="1420"/>
      <c r="V7384" s="1357">
        <v>57</v>
      </c>
    </row>
    <row r="7385" spans="1:22" s="841" customFormat="1" ht="15" x14ac:dyDescent="0.25">
      <c r="A7385" s="841" t="s">
        <v>426</v>
      </c>
      <c r="E7385" s="1690" t="s">
        <v>32</v>
      </c>
      <c r="F7385" s="1690"/>
      <c r="G7385" s="1408" t="s">
        <v>23</v>
      </c>
      <c r="H7385" s="391">
        <v>0.25</v>
      </c>
      <c r="K7385" s="841" t="s">
        <v>3112</v>
      </c>
      <c r="L7385" s="841" t="s">
        <v>3046</v>
      </c>
      <c r="M7385" s="1357"/>
      <c r="P7385" s="841" t="s">
        <v>3125</v>
      </c>
      <c r="Q7385" s="1357"/>
      <c r="S7385" s="1420"/>
      <c r="T7385" s="1420"/>
      <c r="V7385" s="1357">
        <v>63</v>
      </c>
    </row>
    <row r="7386" spans="1:22" s="841" customFormat="1" x14ac:dyDescent="0.25">
      <c r="A7386" s="841" t="s">
        <v>426</v>
      </c>
      <c r="E7386" s="1909" t="s">
        <v>618</v>
      </c>
      <c r="F7386" s="1923"/>
      <c r="G7386" s="1923"/>
      <c r="H7386" s="1923"/>
      <c r="K7386" s="841" t="s">
        <v>3126</v>
      </c>
      <c r="M7386" s="1357"/>
      <c r="Q7386" s="1357"/>
      <c r="S7386" s="1420"/>
      <c r="T7386" s="1420"/>
      <c r="V7386" s="1357">
        <v>31</v>
      </c>
    </row>
    <row r="7387" spans="1:22" s="841" customFormat="1" ht="15" x14ac:dyDescent="0.25">
      <c r="A7387" s="841" t="s">
        <v>426</v>
      </c>
      <c r="E7387" s="1689" t="s">
        <v>4154</v>
      </c>
      <c r="F7387" s="1689"/>
      <c r="G7387" s="1689"/>
      <c r="H7387" s="1689"/>
      <c r="K7387" s="841" t="s">
        <v>3126</v>
      </c>
      <c r="M7387" s="1357"/>
      <c r="Q7387" s="1357"/>
      <c r="S7387" s="1420"/>
      <c r="T7387" s="1420"/>
      <c r="V7387" s="1357">
        <v>286</v>
      </c>
    </row>
    <row r="7388" spans="1:22" s="841" customFormat="1" ht="15" x14ac:dyDescent="0.25">
      <c r="A7388" s="841" t="s">
        <v>426</v>
      </c>
      <c r="E7388" s="1916" t="s">
        <v>3061</v>
      </c>
      <c r="F7388" s="1689"/>
      <c r="G7388" s="1689"/>
      <c r="H7388" s="1689"/>
      <c r="K7388" s="841" t="s">
        <v>3128</v>
      </c>
      <c r="M7388" s="1357"/>
      <c r="Q7388" s="1357"/>
      <c r="S7388" s="1420"/>
      <c r="T7388" s="1420"/>
      <c r="V7388" s="1357">
        <v>11</v>
      </c>
    </row>
    <row r="7389" spans="1:22" s="841" customFormat="1" ht="15" x14ac:dyDescent="0.25">
      <c r="A7389" s="841" t="s">
        <v>426</v>
      </c>
      <c r="E7389" s="1689" t="s">
        <v>4142</v>
      </c>
      <c r="F7389" s="1689"/>
      <c r="G7389" s="1689"/>
      <c r="H7389" s="1689"/>
      <c r="K7389" s="841" t="s">
        <v>3126</v>
      </c>
      <c r="M7389" s="1357"/>
      <c r="Q7389" s="1357"/>
      <c r="S7389" s="1420"/>
      <c r="T7389" s="1420"/>
      <c r="V7389" s="1357">
        <v>282</v>
      </c>
    </row>
    <row r="7390" spans="1:22" s="841" customFormat="1" ht="15" x14ac:dyDescent="0.25">
      <c r="A7390" s="841" t="s">
        <v>426</v>
      </c>
      <c r="E7390" s="1689" t="s">
        <v>3064</v>
      </c>
      <c r="F7390" s="1689"/>
      <c r="G7390" s="1689"/>
      <c r="H7390" s="1689"/>
      <c r="K7390" s="841" t="s">
        <v>3126</v>
      </c>
      <c r="M7390" s="1357"/>
      <c r="Q7390" s="1357"/>
      <c r="S7390" s="1420"/>
      <c r="T7390" s="1420"/>
      <c r="V7390" s="1357">
        <v>411</v>
      </c>
    </row>
    <row r="7391" spans="1:22" s="841" customFormat="1" ht="15" x14ac:dyDescent="0.25">
      <c r="A7391" s="841" t="s">
        <v>426</v>
      </c>
      <c r="E7391" s="1689" t="s">
        <v>3996</v>
      </c>
      <c r="F7391" s="1689"/>
      <c r="G7391" s="1689"/>
      <c r="H7391" s="1689"/>
      <c r="K7391" s="841" t="s">
        <v>3126</v>
      </c>
      <c r="M7391" s="1357"/>
      <c r="Q7391" s="1357"/>
      <c r="S7391" s="1420"/>
      <c r="T7391" s="1420"/>
      <c r="V7391" s="1357">
        <v>212</v>
      </c>
    </row>
    <row r="7392" spans="1:22" s="841" customFormat="1" ht="15" x14ac:dyDescent="0.25">
      <c r="A7392" s="841" t="s">
        <v>426</v>
      </c>
      <c r="E7392" s="1689" t="s">
        <v>4149</v>
      </c>
      <c r="F7392" s="1689"/>
      <c r="G7392" s="1689"/>
      <c r="H7392" s="1689"/>
      <c r="K7392" s="841" t="s">
        <v>3126</v>
      </c>
      <c r="M7392" s="1357"/>
      <c r="Q7392" s="1357"/>
      <c r="S7392" s="1420"/>
      <c r="T7392" s="1420"/>
      <c r="V7392" s="1357">
        <v>276</v>
      </c>
    </row>
    <row r="7393" spans="1:22" s="841" customFormat="1" ht="15" x14ac:dyDescent="0.25">
      <c r="A7393" s="841" t="s">
        <v>426</v>
      </c>
      <c r="E7393" s="1694" t="s">
        <v>3067</v>
      </c>
      <c r="F7393" s="1907"/>
      <c r="G7393" s="1907"/>
      <c r="H7393" s="1907"/>
      <c r="K7393" s="841" t="s">
        <v>3130</v>
      </c>
      <c r="M7393" s="1357"/>
      <c r="Q7393" s="1357"/>
      <c r="S7393" s="1420"/>
      <c r="T7393" s="1420"/>
      <c r="V7393" s="1357">
        <v>46</v>
      </c>
    </row>
    <row r="7394" spans="1:22" s="841" customFormat="1" ht="15" x14ac:dyDescent="0.25">
      <c r="A7394" s="841" t="s">
        <v>426</v>
      </c>
      <c r="E7394" s="1690" t="s">
        <v>11</v>
      </c>
      <c r="F7394" s="1690"/>
      <c r="G7394" s="1408" t="s">
        <v>23</v>
      </c>
      <c r="H7394" s="391">
        <v>5.4</v>
      </c>
      <c r="K7394" s="841" t="s">
        <v>3126</v>
      </c>
      <c r="L7394" s="841" t="s">
        <v>442</v>
      </c>
      <c r="M7394" s="1357"/>
      <c r="P7394" s="841" t="s">
        <v>3131</v>
      </c>
      <c r="Q7394" s="1357"/>
      <c r="S7394" s="1420"/>
      <c r="T7394" s="1420"/>
      <c r="V7394" s="1357">
        <v>14</v>
      </c>
    </row>
    <row r="7395" spans="1:22" s="841" customFormat="1" ht="18.75" x14ac:dyDescent="0.3">
      <c r="A7395" s="841" t="s">
        <v>426</v>
      </c>
      <c r="E7395" s="1931" t="s">
        <v>85</v>
      </c>
      <c r="F7395" s="1964"/>
      <c r="G7395" s="1964"/>
      <c r="H7395" s="1964"/>
      <c r="K7395" s="841" t="s">
        <v>4155</v>
      </c>
      <c r="M7395" s="1357"/>
      <c r="Q7395" s="1357"/>
      <c r="S7395" s="1420"/>
      <c r="T7395" s="1420"/>
      <c r="V7395" s="1357">
        <v>10</v>
      </c>
    </row>
    <row r="7396" spans="1:22" s="841" customFormat="1" ht="15" x14ac:dyDescent="0.25">
      <c r="A7396" s="841" t="s">
        <v>426</v>
      </c>
      <c r="E7396" s="1690" t="s">
        <v>3133</v>
      </c>
      <c r="F7396" s="1690"/>
      <c r="G7396" s="1408" t="s">
        <v>33</v>
      </c>
      <c r="H7396" s="393">
        <v>-0.85</v>
      </c>
      <c r="M7396" s="1357"/>
      <c r="Q7396" s="1357"/>
      <c r="S7396" s="1420"/>
      <c r="T7396" s="1420"/>
      <c r="V7396" s="1357">
        <v>68</v>
      </c>
    </row>
    <row r="7397" spans="1:22" s="841" customFormat="1" ht="15" x14ac:dyDescent="0.25">
      <c r="A7397" s="841" t="s">
        <v>426</v>
      </c>
      <c r="E7397" s="1690" t="s">
        <v>3134</v>
      </c>
      <c r="F7397" s="1690"/>
      <c r="G7397" s="1408" t="s">
        <v>86</v>
      </c>
      <c r="H7397" s="391">
        <v>-1</v>
      </c>
      <c r="M7397" s="1357"/>
      <c r="Q7397" s="1357"/>
      <c r="S7397" s="1420"/>
      <c r="T7397" s="1420"/>
      <c r="V7397" s="1357">
        <v>87</v>
      </c>
    </row>
    <row r="7398" spans="1:22" s="841" customFormat="1" ht="18.75" x14ac:dyDescent="0.3">
      <c r="A7398" s="841" t="s">
        <v>426</v>
      </c>
      <c r="E7398" s="1931" t="s">
        <v>87</v>
      </c>
      <c r="F7398" s="1964"/>
      <c r="G7398" s="1964"/>
      <c r="H7398" s="1964"/>
      <c r="K7398" s="841" t="s">
        <v>4156</v>
      </c>
      <c r="M7398" s="1357"/>
      <c r="Q7398" s="1357"/>
      <c r="S7398" s="1420"/>
      <c r="T7398" s="1420"/>
      <c r="V7398" s="1357">
        <v>24</v>
      </c>
    </row>
    <row r="7399" spans="1:22" s="841" customFormat="1" ht="15" x14ac:dyDescent="0.25">
      <c r="A7399" s="841" t="s">
        <v>426</v>
      </c>
      <c r="E7399" s="1689" t="s">
        <v>3063</v>
      </c>
      <c r="F7399" s="1689"/>
      <c r="G7399" s="1689"/>
      <c r="H7399" s="1689"/>
      <c r="M7399" s="1357"/>
      <c r="Q7399" s="1357"/>
      <c r="S7399" s="1420"/>
      <c r="T7399" s="1420"/>
      <c r="V7399" s="1357">
        <v>280</v>
      </c>
    </row>
    <row r="7400" spans="1:22" s="841" customFormat="1" ht="15" x14ac:dyDescent="0.25">
      <c r="A7400" s="841" t="s">
        <v>426</v>
      </c>
      <c r="E7400" s="1689" t="s">
        <v>4129</v>
      </c>
      <c r="F7400" s="1689"/>
      <c r="G7400" s="1689"/>
      <c r="H7400" s="1689"/>
      <c r="M7400" s="1357"/>
      <c r="Q7400" s="1357"/>
      <c r="S7400" s="1420"/>
      <c r="T7400" s="1420"/>
      <c r="V7400" s="1357">
        <v>355</v>
      </c>
    </row>
    <row r="7401" spans="1:22" s="841" customFormat="1" ht="15" x14ac:dyDescent="0.25">
      <c r="A7401" s="841" t="s">
        <v>426</v>
      </c>
      <c r="E7401" s="1689" t="s">
        <v>3200</v>
      </c>
      <c r="F7401" s="1689"/>
      <c r="G7401" s="1689"/>
      <c r="H7401" s="1689"/>
      <c r="M7401" s="1357"/>
      <c r="Q7401" s="1357"/>
      <c r="S7401" s="1420"/>
      <c r="T7401" s="1420"/>
      <c r="V7401" s="1357">
        <v>275</v>
      </c>
    </row>
    <row r="7402" spans="1:22" s="841" customFormat="1" ht="15" x14ac:dyDescent="0.25">
      <c r="A7402" s="841" t="s">
        <v>426</v>
      </c>
      <c r="E7402" s="1694" t="s">
        <v>3137</v>
      </c>
      <c r="F7402" s="1908"/>
      <c r="G7402" s="1908"/>
      <c r="H7402" s="1908"/>
      <c r="K7402" s="841" t="s">
        <v>4157</v>
      </c>
      <c r="M7402" s="1357"/>
      <c r="Q7402" s="1357"/>
      <c r="S7402" s="1420"/>
      <c r="T7402" s="1420"/>
      <c r="V7402" s="1357">
        <v>23</v>
      </c>
    </row>
    <row r="7403" spans="1:22" s="841" customFormat="1" ht="15" x14ac:dyDescent="0.25">
      <c r="A7403" s="841" t="s">
        <v>426</v>
      </c>
      <c r="E7403" s="1688" t="s">
        <v>3355</v>
      </c>
      <c r="F7403" s="1688"/>
      <c r="G7403" s="1408" t="s">
        <v>23</v>
      </c>
      <c r="H7403" s="391">
        <v>15</v>
      </c>
      <c r="M7403" s="1357"/>
      <c r="Q7403" s="1357"/>
      <c r="S7403" s="1420"/>
      <c r="T7403" s="1420"/>
      <c r="V7403" s="1357">
        <v>19</v>
      </c>
    </row>
    <row r="7404" spans="1:22" s="841" customFormat="1" ht="15" x14ac:dyDescent="0.25">
      <c r="A7404" s="841" t="s">
        <v>426</v>
      </c>
      <c r="E7404" s="1688" t="s">
        <v>3140</v>
      </c>
      <c r="F7404" s="1688"/>
      <c r="G7404" s="1408" t="s">
        <v>23</v>
      </c>
      <c r="H7404" s="391">
        <v>15</v>
      </c>
      <c r="M7404" s="1357"/>
      <c r="Q7404" s="1357"/>
      <c r="S7404" s="1420"/>
      <c r="T7404" s="1420"/>
      <c r="V7404" s="1357">
        <v>20</v>
      </c>
    </row>
    <row r="7405" spans="1:22" s="841" customFormat="1" ht="15" x14ac:dyDescent="0.25">
      <c r="A7405" s="841" t="s">
        <v>426</v>
      </c>
      <c r="E7405" s="1688" t="s">
        <v>3142</v>
      </c>
      <c r="F7405" s="1688"/>
      <c r="G7405" s="1408" t="s">
        <v>23</v>
      </c>
      <c r="H7405" s="391">
        <v>15</v>
      </c>
      <c r="M7405" s="1357"/>
      <c r="Q7405" s="1357"/>
      <c r="S7405" s="1420"/>
      <c r="T7405" s="1420"/>
      <c r="V7405" s="1357">
        <v>39</v>
      </c>
    </row>
    <row r="7406" spans="1:22" s="841" customFormat="1" ht="15" x14ac:dyDescent="0.25">
      <c r="A7406" s="841" t="s">
        <v>426</v>
      </c>
      <c r="E7406" s="1688" t="s">
        <v>3143</v>
      </c>
      <c r="F7406" s="1688"/>
      <c r="G7406" s="1408" t="s">
        <v>23</v>
      </c>
      <c r="H7406" s="391">
        <v>15</v>
      </c>
      <c r="M7406" s="1357"/>
      <c r="Q7406" s="1357"/>
      <c r="S7406" s="1420"/>
      <c r="T7406" s="1420"/>
      <c r="V7406" s="1357">
        <v>37</v>
      </c>
    </row>
    <row r="7407" spans="1:22" s="841" customFormat="1" ht="15" x14ac:dyDescent="0.25">
      <c r="A7407" s="841" t="s">
        <v>426</v>
      </c>
      <c r="E7407" s="1688" t="s">
        <v>4770</v>
      </c>
      <c r="F7407" s="1688"/>
      <c r="G7407" s="1408" t="s">
        <v>23</v>
      </c>
      <c r="H7407" s="391">
        <v>15</v>
      </c>
      <c r="M7407" s="1357"/>
      <c r="Q7407" s="1357"/>
      <c r="S7407" s="1420"/>
      <c r="T7407" s="1420"/>
      <c r="V7407" s="1357">
        <v>15</v>
      </c>
    </row>
    <row r="7408" spans="1:22" s="841" customFormat="1" ht="15" x14ac:dyDescent="0.25">
      <c r="A7408" s="841" t="s">
        <v>426</v>
      </c>
      <c r="E7408" s="1688" t="s">
        <v>3147</v>
      </c>
      <c r="F7408" s="1688"/>
      <c r="G7408" s="1408" t="s">
        <v>23</v>
      </c>
      <c r="H7408" s="391">
        <v>15</v>
      </c>
      <c r="M7408" s="1357"/>
      <c r="Q7408" s="1357"/>
      <c r="S7408" s="1420"/>
      <c r="T7408" s="1420"/>
      <c r="V7408" s="1357">
        <v>15</v>
      </c>
    </row>
    <row r="7409" spans="1:22" s="841" customFormat="1" ht="15" x14ac:dyDescent="0.25">
      <c r="A7409" s="841" t="s">
        <v>426</v>
      </c>
      <c r="E7409" s="1688" t="s">
        <v>5640</v>
      </c>
      <c r="F7409" s="1688"/>
      <c r="G7409" s="1408" t="s">
        <v>23</v>
      </c>
      <c r="H7409" s="391">
        <v>15</v>
      </c>
      <c r="M7409" s="1357"/>
      <c r="Q7409" s="1357"/>
      <c r="S7409" s="1420"/>
      <c r="T7409" s="1420"/>
      <c r="V7409" s="1357">
        <v>23</v>
      </c>
    </row>
    <row r="7410" spans="1:22" s="841" customFormat="1" ht="15" x14ac:dyDescent="0.25">
      <c r="A7410" s="841" t="s">
        <v>426</v>
      </c>
      <c r="E7410" s="1688" t="s">
        <v>5629</v>
      </c>
      <c r="F7410" s="1688"/>
      <c r="G7410" s="1408" t="s">
        <v>23</v>
      </c>
      <c r="H7410" s="391">
        <v>15</v>
      </c>
      <c r="M7410" s="1357"/>
      <c r="Q7410" s="1357"/>
      <c r="S7410" s="1420"/>
      <c r="T7410" s="1420"/>
      <c r="V7410" s="1357">
        <v>39</v>
      </c>
    </row>
    <row r="7411" spans="1:22" s="841" customFormat="1" ht="15" x14ac:dyDescent="0.25">
      <c r="A7411" s="841" t="s">
        <v>426</v>
      </c>
      <c r="E7411" s="1688" t="s">
        <v>123</v>
      </c>
      <c r="F7411" s="1688"/>
      <c r="G7411" s="1408" t="s">
        <v>23</v>
      </c>
      <c r="H7411" s="391">
        <v>15</v>
      </c>
      <c r="M7411" s="1357"/>
      <c r="Q7411" s="1357"/>
      <c r="S7411" s="1420"/>
      <c r="T7411" s="1420"/>
      <c r="V7411" s="1357">
        <v>35</v>
      </c>
    </row>
    <row r="7412" spans="1:22" s="841" customFormat="1" ht="15" x14ac:dyDescent="0.25">
      <c r="A7412" s="841" t="s">
        <v>426</v>
      </c>
      <c r="E7412" s="1688" t="s">
        <v>3151</v>
      </c>
      <c r="F7412" s="1688"/>
      <c r="G7412" s="1408" t="s">
        <v>23</v>
      </c>
      <c r="H7412" s="391">
        <v>15</v>
      </c>
      <c r="M7412" s="1357"/>
      <c r="Q7412" s="1357"/>
      <c r="S7412" s="1420"/>
      <c r="T7412" s="1420"/>
      <c r="V7412" s="1357">
        <v>19</v>
      </c>
    </row>
    <row r="7413" spans="1:22" s="841" customFormat="1" ht="15" x14ac:dyDescent="0.25">
      <c r="A7413" s="841" t="s">
        <v>426</v>
      </c>
      <c r="E7413" s="1688" t="s">
        <v>94</v>
      </c>
      <c r="F7413" s="1688"/>
      <c r="G7413" s="1408" t="s">
        <v>23</v>
      </c>
      <c r="H7413" s="391">
        <v>30</v>
      </c>
      <c r="M7413" s="1357"/>
      <c r="Q7413" s="1357"/>
      <c r="S7413" s="1420"/>
      <c r="T7413" s="1420"/>
      <c r="V7413" s="1357">
        <v>19</v>
      </c>
    </row>
    <row r="7414" spans="1:22" s="841" customFormat="1" ht="15" x14ac:dyDescent="0.25">
      <c r="A7414" s="841" t="s">
        <v>426</v>
      </c>
      <c r="E7414" s="1688" t="s">
        <v>4158</v>
      </c>
      <c r="F7414" s="1688"/>
      <c r="G7414" s="1408" t="s">
        <v>23</v>
      </c>
      <c r="H7414" s="391">
        <v>26</v>
      </c>
      <c r="M7414" s="1357"/>
      <c r="Q7414" s="1357"/>
      <c r="S7414" s="1420"/>
      <c r="T7414" s="1420"/>
      <c r="V7414" s="1357">
        <v>103</v>
      </c>
    </row>
    <row r="7415" spans="1:22" s="841" customFormat="1" ht="15" x14ac:dyDescent="0.25">
      <c r="A7415" s="841" t="s">
        <v>426</v>
      </c>
      <c r="E7415" s="1688" t="s">
        <v>92</v>
      </c>
      <c r="F7415" s="1688"/>
      <c r="G7415" s="1408" t="s">
        <v>23</v>
      </c>
      <c r="H7415" s="391">
        <v>30</v>
      </c>
      <c r="M7415" s="1357"/>
      <c r="Q7415" s="1357"/>
      <c r="S7415" s="1420"/>
      <c r="T7415" s="1420"/>
      <c r="V7415" s="1357">
        <v>74</v>
      </c>
    </row>
    <row r="7416" spans="1:22" s="841" customFormat="1" ht="15" x14ac:dyDescent="0.25">
      <c r="A7416" s="841" t="s">
        <v>426</v>
      </c>
      <c r="E7416" s="1694" t="s">
        <v>3152</v>
      </c>
      <c r="F7416" s="1908"/>
      <c r="G7416" s="1908"/>
      <c r="H7416" s="1908"/>
      <c r="K7416" s="841" t="s">
        <v>4159</v>
      </c>
      <c r="M7416" s="1357"/>
      <c r="Q7416" s="1357"/>
      <c r="S7416" s="1420"/>
      <c r="T7416" s="1420"/>
      <c r="V7416" s="1357">
        <v>22</v>
      </c>
    </row>
    <row r="7417" spans="1:22" s="841" customFormat="1" ht="15" x14ac:dyDescent="0.25">
      <c r="A7417" s="841" t="s">
        <v>426</v>
      </c>
      <c r="E7417" s="1688" t="s">
        <v>5137</v>
      </c>
      <c r="F7417" s="1688"/>
      <c r="G7417" s="1408" t="s">
        <v>86</v>
      </c>
      <c r="H7417" s="391">
        <v>1.5</v>
      </c>
      <c r="M7417" s="1357"/>
      <c r="Q7417" s="1357"/>
      <c r="S7417" s="1420"/>
      <c r="T7417" s="1420"/>
      <c r="V7417" s="1357">
        <v>24</v>
      </c>
    </row>
    <row r="7418" spans="1:22" s="841" customFormat="1" ht="15" x14ac:dyDescent="0.25">
      <c r="A7418" s="841" t="s">
        <v>426</v>
      </c>
      <c r="E7418" s="1688" t="s">
        <v>4772</v>
      </c>
      <c r="F7418" s="1688"/>
      <c r="G7418" s="1408" t="s">
        <v>86</v>
      </c>
      <c r="H7418" s="391">
        <v>19.559999999999999</v>
      </c>
      <c r="M7418" s="1357"/>
      <c r="Q7418" s="1357"/>
      <c r="S7418" s="1420"/>
      <c r="T7418" s="1420"/>
      <c r="V7418" s="1357">
        <v>24</v>
      </c>
    </row>
    <row r="7419" spans="1:22" s="841" customFormat="1" ht="15" x14ac:dyDescent="0.25">
      <c r="A7419" s="841" t="s">
        <v>426</v>
      </c>
      <c r="E7419" s="1688" t="s">
        <v>3288</v>
      </c>
      <c r="F7419" s="1688"/>
      <c r="G7419" s="1408" t="s">
        <v>23</v>
      </c>
      <c r="H7419" s="391">
        <v>23</v>
      </c>
      <c r="M7419" s="1357"/>
      <c r="Q7419" s="1357"/>
      <c r="S7419" s="1420"/>
      <c r="T7419" s="1420"/>
      <c r="V7419" s="1357">
        <v>47</v>
      </c>
    </row>
    <row r="7420" spans="1:22" s="841" customFormat="1" ht="15" x14ac:dyDescent="0.25">
      <c r="A7420" s="841" t="s">
        <v>426</v>
      </c>
      <c r="E7420" s="1688" t="s">
        <v>4773</v>
      </c>
      <c r="F7420" s="1688"/>
      <c r="G7420" s="1408" t="s">
        <v>23</v>
      </c>
      <c r="H7420" s="391">
        <v>50</v>
      </c>
      <c r="M7420" s="1357"/>
      <c r="Q7420" s="1357"/>
      <c r="S7420" s="1420"/>
      <c r="T7420" s="1420"/>
      <c r="V7420" s="1357">
        <v>52</v>
      </c>
    </row>
    <row r="7421" spans="1:22" s="841" customFormat="1" ht="15" x14ac:dyDescent="0.25">
      <c r="A7421" s="841" t="s">
        <v>426</v>
      </c>
      <c r="E7421" s="1688" t="s">
        <v>4774</v>
      </c>
      <c r="F7421" s="1688"/>
      <c r="G7421" s="1408" t="s">
        <v>23</v>
      </c>
      <c r="H7421" s="391">
        <v>185</v>
      </c>
      <c r="M7421" s="1357"/>
      <c r="Q7421" s="1357"/>
      <c r="S7421" s="1420"/>
      <c r="T7421" s="1420"/>
      <c r="V7421" s="1357">
        <v>51</v>
      </c>
    </row>
    <row r="7422" spans="1:22" s="841" customFormat="1" ht="15" x14ac:dyDescent="0.25">
      <c r="A7422" s="841" t="s">
        <v>426</v>
      </c>
      <c r="E7422" s="1688" t="s">
        <v>4775</v>
      </c>
      <c r="F7422" s="1688"/>
      <c r="G7422" s="1408" t="s">
        <v>23</v>
      </c>
      <c r="H7422" s="391">
        <v>185</v>
      </c>
      <c r="M7422" s="1357"/>
      <c r="Q7422" s="1357"/>
      <c r="S7422" s="1420"/>
      <c r="T7422" s="1420"/>
      <c r="V7422" s="1357">
        <v>51</v>
      </c>
    </row>
    <row r="7423" spans="1:22" s="841" customFormat="1" ht="15" x14ac:dyDescent="0.25">
      <c r="A7423" s="841" t="s">
        <v>426</v>
      </c>
      <c r="E7423" s="1688" t="s">
        <v>4776</v>
      </c>
      <c r="F7423" s="1688"/>
      <c r="G7423" s="1408" t="s">
        <v>23</v>
      </c>
      <c r="H7423" s="391">
        <v>415</v>
      </c>
      <c r="M7423" s="1357"/>
      <c r="Q7423" s="1357"/>
      <c r="S7423" s="1420"/>
      <c r="T7423" s="1420"/>
      <c r="V7423" s="1357">
        <v>50</v>
      </c>
    </row>
    <row r="7424" spans="1:22" s="841" customFormat="1" ht="15" x14ac:dyDescent="0.25">
      <c r="A7424" s="841" t="s">
        <v>426</v>
      </c>
      <c r="E7424" s="1688" t="s">
        <v>4777</v>
      </c>
      <c r="F7424" s="1688"/>
      <c r="G7424" s="1408" t="s">
        <v>23</v>
      </c>
      <c r="H7424" s="391">
        <v>50</v>
      </c>
      <c r="M7424" s="1357"/>
      <c r="Q7424" s="1357"/>
      <c r="S7424" s="1420"/>
      <c r="T7424" s="1420"/>
      <c r="V7424" s="1357">
        <v>57</v>
      </c>
    </row>
    <row r="7425" spans="1:22" s="841" customFormat="1" ht="15" x14ac:dyDescent="0.25">
      <c r="A7425" s="841" t="s">
        <v>426</v>
      </c>
      <c r="E7425" s="1688" t="s">
        <v>4778</v>
      </c>
      <c r="F7425" s="1688"/>
      <c r="G7425" s="1408" t="s">
        <v>23</v>
      </c>
      <c r="H7425" s="391">
        <v>185</v>
      </c>
      <c r="M7425" s="1357"/>
      <c r="Q7425" s="1357"/>
      <c r="S7425" s="1420"/>
      <c r="T7425" s="1420"/>
      <c r="V7425" s="1357">
        <v>56</v>
      </c>
    </row>
    <row r="7426" spans="1:22" s="841" customFormat="1" ht="15" x14ac:dyDescent="0.25">
      <c r="A7426" s="841" t="s">
        <v>426</v>
      </c>
      <c r="E7426" s="1694" t="s">
        <v>3164</v>
      </c>
      <c r="F7426" s="1908"/>
      <c r="G7426" s="1908"/>
      <c r="H7426" s="1908"/>
      <c r="M7426" s="1357"/>
      <c r="Q7426" s="1357"/>
      <c r="S7426" s="1420"/>
      <c r="T7426" s="1420"/>
      <c r="V7426" s="1357">
        <v>5</v>
      </c>
    </row>
    <row r="7427" spans="1:22" s="841" customFormat="1" ht="15" x14ac:dyDescent="0.25">
      <c r="A7427" s="841" t="s">
        <v>426</v>
      </c>
      <c r="E7427" s="1688" t="s">
        <v>3167</v>
      </c>
      <c r="F7427" s="1688"/>
      <c r="G7427" s="1408" t="s">
        <v>23</v>
      </c>
      <c r="H7427" s="391">
        <v>30</v>
      </c>
      <c r="M7427" s="1357"/>
      <c r="Q7427" s="1357"/>
      <c r="S7427" s="1420"/>
      <c r="T7427" s="1420"/>
      <c r="V7427" s="1357">
        <v>39</v>
      </c>
    </row>
    <row r="7428" spans="1:22" s="841" customFormat="1" ht="15" x14ac:dyDescent="0.25">
      <c r="A7428" s="841" t="s">
        <v>426</v>
      </c>
      <c r="E7428" s="1688" t="s">
        <v>3168</v>
      </c>
      <c r="F7428" s="1688"/>
      <c r="G7428" s="1408" t="s">
        <v>23</v>
      </c>
      <c r="H7428" s="391">
        <v>165</v>
      </c>
      <c r="M7428" s="1357"/>
      <c r="Q7428" s="1357"/>
      <c r="S7428" s="1420"/>
      <c r="T7428" s="1420"/>
      <c r="V7428" s="1357">
        <v>34</v>
      </c>
    </row>
    <row r="7429" spans="1:22" s="841" customFormat="1" ht="15" x14ac:dyDescent="0.25">
      <c r="A7429" s="841" t="s">
        <v>426</v>
      </c>
      <c r="E7429" s="1688" t="s">
        <v>3489</v>
      </c>
      <c r="F7429" s="1688"/>
      <c r="G7429" s="1408" t="s">
        <v>23</v>
      </c>
      <c r="H7429" s="391">
        <v>500</v>
      </c>
      <c r="M7429" s="1357"/>
      <c r="Q7429" s="1357"/>
      <c r="S7429" s="1420"/>
      <c r="T7429" s="1420"/>
      <c r="V7429" s="1357">
        <v>67</v>
      </c>
    </row>
    <row r="7430" spans="1:22" s="841" customFormat="1" ht="15" x14ac:dyDescent="0.25">
      <c r="A7430" s="841" t="s">
        <v>426</v>
      </c>
      <c r="E7430" s="1688" t="s">
        <v>3434</v>
      </c>
      <c r="F7430" s="1688"/>
      <c r="G7430" s="1408" t="s">
        <v>23</v>
      </c>
      <c r="H7430" s="391">
        <v>300</v>
      </c>
      <c r="M7430" s="1357"/>
      <c r="Q7430" s="1357"/>
      <c r="S7430" s="1420"/>
      <c r="T7430" s="1420"/>
      <c r="V7430" s="1357">
        <v>64</v>
      </c>
    </row>
    <row r="7431" spans="1:22" s="841" customFormat="1" ht="15" x14ac:dyDescent="0.25">
      <c r="A7431" s="841" t="s">
        <v>426</v>
      </c>
      <c r="E7431" s="1688" t="s">
        <v>3490</v>
      </c>
      <c r="F7431" s="1688"/>
      <c r="G7431" s="1408" t="s">
        <v>23</v>
      </c>
      <c r="H7431" s="391">
        <v>1000</v>
      </c>
      <c r="M7431" s="1357"/>
      <c r="Q7431" s="1357"/>
      <c r="S7431" s="1420"/>
      <c r="T7431" s="1420"/>
      <c r="V7431" s="1357">
        <v>66</v>
      </c>
    </row>
    <row r="7432" spans="1:22" s="841" customFormat="1" ht="15" x14ac:dyDescent="0.25">
      <c r="A7432" s="841" t="s">
        <v>426</v>
      </c>
      <c r="E7432" s="1688" t="s">
        <v>3491</v>
      </c>
      <c r="F7432" s="1688"/>
      <c r="G7432" s="1408" t="s">
        <v>23</v>
      </c>
      <c r="H7432" s="391">
        <v>22.35</v>
      </c>
      <c r="M7432" s="1357"/>
      <c r="Q7432" s="1357"/>
      <c r="S7432" s="1420"/>
      <c r="T7432" s="1420"/>
      <c r="V7432" s="1357">
        <v>59</v>
      </c>
    </row>
    <row r="7433" spans="1:22" s="841" customFormat="1" ht="15" x14ac:dyDescent="0.25">
      <c r="A7433" s="841" t="s">
        <v>426</v>
      </c>
      <c r="E7433" s="1688" t="s">
        <v>4160</v>
      </c>
      <c r="F7433" s="1688"/>
      <c r="G7433" s="1408"/>
      <c r="H7433" s="391"/>
      <c r="M7433" s="1357"/>
      <c r="Q7433" s="1357"/>
      <c r="S7433" s="1420"/>
      <c r="T7433" s="1420"/>
      <c r="V7433" s="1357">
        <v>46</v>
      </c>
    </row>
    <row r="7434" spans="1:22" s="841" customFormat="1" ht="18.75" x14ac:dyDescent="0.3">
      <c r="A7434" s="841" t="s">
        <v>426</v>
      </c>
      <c r="E7434" s="1931" t="s">
        <v>77</v>
      </c>
      <c r="F7434" s="1964"/>
      <c r="G7434" s="1964"/>
      <c r="H7434" s="1964"/>
      <c r="K7434" s="841" t="s">
        <v>4161</v>
      </c>
      <c r="M7434" s="1357"/>
      <c r="Q7434" s="1357"/>
      <c r="S7434" s="1420"/>
      <c r="T7434" s="1420"/>
      <c r="V7434" s="1357">
        <v>38</v>
      </c>
    </row>
    <row r="7435" spans="1:22" s="841" customFormat="1" ht="15" x14ac:dyDescent="0.25">
      <c r="A7435" s="841" t="s">
        <v>426</v>
      </c>
      <c r="E7435" s="1689" t="s">
        <v>4135</v>
      </c>
      <c r="F7435" s="1689"/>
      <c r="G7435" s="1689"/>
      <c r="H7435" s="1689"/>
      <c r="M7435" s="1357"/>
      <c r="Q7435" s="1357"/>
      <c r="S7435" s="1420"/>
      <c r="T7435" s="1420"/>
      <c r="V7435" s="1357">
        <v>281</v>
      </c>
    </row>
    <row r="7436" spans="1:22" s="841" customFormat="1" ht="15" x14ac:dyDescent="0.25">
      <c r="A7436" s="841" t="s">
        <v>426</v>
      </c>
      <c r="E7436" s="1689" t="s">
        <v>4136</v>
      </c>
      <c r="F7436" s="1689"/>
      <c r="G7436" s="1689"/>
      <c r="H7436" s="1689"/>
      <c r="M7436" s="1357"/>
      <c r="Q7436" s="1357"/>
      <c r="S7436" s="1420"/>
      <c r="T7436" s="1420"/>
      <c r="V7436" s="1357">
        <v>414</v>
      </c>
    </row>
    <row r="7437" spans="1:22" s="841" customFormat="1" ht="15" x14ac:dyDescent="0.25">
      <c r="A7437" s="841" t="s">
        <v>426</v>
      </c>
      <c r="E7437" s="1689" t="s">
        <v>3129</v>
      </c>
      <c r="F7437" s="1689"/>
      <c r="G7437" s="1689"/>
      <c r="H7437" s="1689"/>
      <c r="M7437" s="1357"/>
      <c r="Q7437" s="1357"/>
      <c r="S7437" s="1420"/>
      <c r="T7437" s="1420"/>
      <c r="V7437" s="1357">
        <v>211</v>
      </c>
    </row>
    <row r="7438" spans="1:22" s="841" customFormat="1" ht="15" x14ac:dyDescent="0.25">
      <c r="A7438" s="841" t="s">
        <v>426</v>
      </c>
      <c r="E7438" s="1689" t="s">
        <v>4137</v>
      </c>
      <c r="F7438" s="1689"/>
      <c r="G7438" s="1689"/>
      <c r="H7438" s="1689"/>
      <c r="M7438" s="1357"/>
      <c r="Q7438" s="1357"/>
      <c r="S7438" s="1420"/>
      <c r="T7438" s="1420"/>
      <c r="V7438" s="1357">
        <v>277</v>
      </c>
    </row>
    <row r="7439" spans="1:22" s="841" customFormat="1" ht="15" x14ac:dyDescent="0.25">
      <c r="A7439" s="841" t="s">
        <v>426</v>
      </c>
      <c r="E7439" s="1689" t="s">
        <v>3291</v>
      </c>
      <c r="F7439" s="1689"/>
      <c r="G7439" s="1689"/>
      <c r="H7439" s="1689"/>
      <c r="M7439" s="1357"/>
      <c r="Q7439" s="1357"/>
      <c r="S7439" s="1420"/>
      <c r="T7439" s="1420"/>
      <c r="V7439" s="1357">
        <v>142</v>
      </c>
    </row>
    <row r="7440" spans="1:22" s="841" customFormat="1" ht="15" x14ac:dyDescent="0.25">
      <c r="A7440" s="841" t="s">
        <v>426</v>
      </c>
      <c r="E7440" s="1690" t="s">
        <v>3176</v>
      </c>
      <c r="F7440" s="1690"/>
      <c r="G7440" s="397" t="s">
        <v>23</v>
      </c>
      <c r="H7440" s="391">
        <v>100</v>
      </c>
      <c r="M7440" s="1357"/>
      <c r="Q7440" s="1357"/>
      <c r="S7440" s="1420"/>
      <c r="T7440" s="1420"/>
      <c r="V7440" s="1357">
        <v>106</v>
      </c>
    </row>
    <row r="7441" spans="1:22" s="841" customFormat="1" ht="15" x14ac:dyDescent="0.25">
      <c r="A7441" s="841" t="s">
        <v>426</v>
      </c>
      <c r="E7441" s="1690" t="s">
        <v>3177</v>
      </c>
      <c r="F7441" s="1690"/>
      <c r="G7441" s="397" t="s">
        <v>23</v>
      </c>
      <c r="H7441" s="391">
        <v>20</v>
      </c>
      <c r="M7441" s="1357"/>
      <c r="Q7441" s="1357"/>
      <c r="S7441" s="1420"/>
      <c r="T7441" s="1420"/>
      <c r="V7441" s="1357">
        <v>34</v>
      </c>
    </row>
    <row r="7442" spans="1:22" s="841" customFormat="1" ht="15" x14ac:dyDescent="0.25">
      <c r="A7442" s="841" t="s">
        <v>426</v>
      </c>
      <c r="E7442" s="1690" t="s">
        <v>3178</v>
      </c>
      <c r="F7442" s="1690"/>
      <c r="G7442" s="397" t="s">
        <v>3179</v>
      </c>
      <c r="H7442" s="391">
        <v>0.5</v>
      </c>
      <c r="M7442" s="1357"/>
      <c r="Q7442" s="1357"/>
      <c r="S7442" s="1420"/>
      <c r="T7442" s="1420"/>
      <c r="V7442" s="1357">
        <v>51</v>
      </c>
    </row>
    <row r="7443" spans="1:22" s="841" customFormat="1" ht="15" x14ac:dyDescent="0.25">
      <c r="A7443" s="841" t="s">
        <v>426</v>
      </c>
      <c r="E7443" s="1690" t="s">
        <v>3180</v>
      </c>
      <c r="F7443" s="1690"/>
      <c r="G7443" s="397" t="s">
        <v>3179</v>
      </c>
      <c r="H7443" s="391">
        <v>0.3</v>
      </c>
      <c r="M7443" s="1357"/>
      <c r="Q7443" s="1357"/>
      <c r="S7443" s="1420"/>
      <c r="T7443" s="1420"/>
      <c r="V7443" s="1357">
        <v>75</v>
      </c>
    </row>
    <row r="7444" spans="1:22" s="841" customFormat="1" ht="15" x14ac:dyDescent="0.25">
      <c r="A7444" s="841" t="s">
        <v>426</v>
      </c>
      <c r="E7444" s="1690" t="s">
        <v>3181</v>
      </c>
      <c r="F7444" s="1690"/>
      <c r="G7444" s="397" t="s">
        <v>3179</v>
      </c>
      <c r="H7444" s="391">
        <v>-0.3</v>
      </c>
      <c r="M7444" s="1357"/>
      <c r="Q7444" s="1357"/>
      <c r="S7444" s="1420"/>
      <c r="T7444" s="1420"/>
      <c r="V7444" s="1357">
        <v>72</v>
      </c>
    </row>
    <row r="7445" spans="1:22" s="841" customFormat="1" ht="15" x14ac:dyDescent="0.25">
      <c r="A7445" s="841" t="s">
        <v>426</v>
      </c>
      <c r="E7445" s="1690" t="s">
        <v>3182</v>
      </c>
      <c r="F7445" s="1690"/>
      <c r="G7445" s="1908"/>
      <c r="H7445" s="1908"/>
      <c r="M7445" s="1357"/>
      <c r="Q7445" s="1357"/>
      <c r="S7445" s="1420"/>
      <c r="T7445" s="1420"/>
      <c r="V7445" s="1357">
        <v>35</v>
      </c>
    </row>
    <row r="7446" spans="1:22" s="841" customFormat="1" ht="15" x14ac:dyDescent="0.25">
      <c r="A7446" s="841" t="s">
        <v>426</v>
      </c>
      <c r="E7446" s="1691" t="s">
        <v>3183</v>
      </c>
      <c r="F7446" s="1691"/>
      <c r="G7446" s="397" t="s">
        <v>23</v>
      </c>
      <c r="H7446" s="391">
        <v>0.25</v>
      </c>
      <c r="M7446" s="1357"/>
      <c r="Q7446" s="1357"/>
      <c r="S7446" s="1420"/>
      <c r="T7446" s="1420"/>
      <c r="V7446" s="1357">
        <v>57</v>
      </c>
    </row>
    <row r="7447" spans="1:22" s="841" customFormat="1" ht="15" x14ac:dyDescent="0.25">
      <c r="A7447" s="841" t="s">
        <v>426</v>
      </c>
      <c r="E7447" s="1691" t="s">
        <v>3184</v>
      </c>
      <c r="F7447" s="1691"/>
      <c r="G7447" s="397" t="s">
        <v>23</v>
      </c>
      <c r="H7447" s="391">
        <v>0.5</v>
      </c>
      <c r="M7447" s="1357"/>
      <c r="Q7447" s="1357"/>
      <c r="S7447" s="1420"/>
      <c r="T7447" s="1420"/>
      <c r="V7447" s="1357">
        <v>60</v>
      </c>
    </row>
    <row r="7448" spans="1:22" s="841" customFormat="1" ht="15" x14ac:dyDescent="0.25">
      <c r="A7448" s="841" t="s">
        <v>426</v>
      </c>
      <c r="E7448" s="1690" t="s">
        <v>3185</v>
      </c>
      <c r="F7448" s="1690"/>
      <c r="G7448" s="1908"/>
      <c r="H7448" s="1908"/>
      <c r="M7448" s="1357"/>
      <c r="Q7448" s="1357"/>
      <c r="S7448" s="1420"/>
      <c r="T7448" s="1420"/>
      <c r="V7448" s="1357">
        <v>91</v>
      </c>
    </row>
    <row r="7449" spans="1:22" s="841" customFormat="1" ht="15" x14ac:dyDescent="0.25">
      <c r="A7449" s="841" t="s">
        <v>426</v>
      </c>
      <c r="E7449" s="1690" t="s">
        <v>3186</v>
      </c>
      <c r="F7449" s="1690"/>
      <c r="G7449" s="1908"/>
      <c r="H7449" s="1908"/>
      <c r="M7449" s="1357"/>
      <c r="Q7449" s="1357"/>
      <c r="S7449" s="1420"/>
      <c r="T7449" s="1420"/>
      <c r="V7449" s="1357">
        <v>96</v>
      </c>
    </row>
    <row r="7450" spans="1:22" s="841" customFormat="1" ht="15" x14ac:dyDescent="0.25">
      <c r="A7450" s="841" t="s">
        <v>426</v>
      </c>
      <c r="E7450" s="1690" t="s">
        <v>3187</v>
      </c>
      <c r="F7450" s="1690"/>
      <c r="G7450" s="1908"/>
      <c r="H7450" s="1908"/>
      <c r="M7450" s="1357"/>
      <c r="Q7450" s="1357"/>
      <c r="S7450" s="1420"/>
      <c r="T7450" s="1420"/>
      <c r="V7450" s="1357">
        <v>78</v>
      </c>
    </row>
    <row r="7451" spans="1:22" s="841" customFormat="1" ht="15" x14ac:dyDescent="0.25">
      <c r="A7451" s="841" t="s">
        <v>426</v>
      </c>
      <c r="E7451" s="1691" t="s">
        <v>3188</v>
      </c>
      <c r="F7451" s="1691"/>
      <c r="G7451" s="397" t="s">
        <v>23</v>
      </c>
      <c r="H7451" s="392" t="s">
        <v>3189</v>
      </c>
      <c r="M7451" s="1357"/>
      <c r="Q7451" s="1357"/>
      <c r="S7451" s="1420"/>
      <c r="T7451" s="1420"/>
      <c r="V7451" s="1357">
        <v>18</v>
      </c>
    </row>
    <row r="7452" spans="1:22" s="841" customFormat="1" ht="15" x14ac:dyDescent="0.25">
      <c r="A7452" s="841" t="s">
        <v>426</v>
      </c>
      <c r="E7452" s="1691" t="s">
        <v>3190</v>
      </c>
      <c r="F7452" s="1691"/>
      <c r="G7452" s="397" t="s">
        <v>23</v>
      </c>
      <c r="H7452" s="391">
        <v>2</v>
      </c>
      <c r="M7452" s="1357"/>
      <c r="Q7452" s="1357"/>
      <c r="S7452" s="1420"/>
      <c r="T7452" s="1420"/>
      <c r="V7452" s="1357">
        <v>69</v>
      </c>
    </row>
    <row r="7453" spans="1:22" s="841" customFormat="1" ht="18.75" x14ac:dyDescent="0.3">
      <c r="A7453" s="841" t="s">
        <v>426</v>
      </c>
      <c r="E7453" s="1931" t="s">
        <v>147</v>
      </c>
      <c r="F7453" s="1964"/>
      <c r="G7453" s="1964"/>
      <c r="H7453" s="1964"/>
      <c r="K7453" s="841" t="s">
        <v>4162</v>
      </c>
      <c r="M7453" s="1357"/>
      <c r="Q7453" s="1357"/>
      <c r="S7453" s="1420"/>
      <c r="T7453" s="1420"/>
      <c r="V7453" s="1357">
        <v>12</v>
      </c>
    </row>
    <row r="7454" spans="1:22" s="841" customFormat="1" ht="15" x14ac:dyDescent="0.25">
      <c r="A7454" s="841" t="s">
        <v>426</v>
      </c>
      <c r="E7454" s="1704" t="s">
        <v>3192</v>
      </c>
      <c r="F7454" s="1704"/>
      <c r="G7454" s="1704"/>
      <c r="H7454" s="1704"/>
      <c r="M7454" s="1357"/>
      <c r="Q7454" s="1357"/>
      <c r="S7454" s="1420"/>
      <c r="T7454" s="1420"/>
      <c r="V7454" s="1357">
        <v>203</v>
      </c>
    </row>
    <row r="7455" spans="1:22" s="841" customFormat="1" ht="15" x14ac:dyDescent="0.25">
      <c r="A7455" s="841" t="s">
        <v>426</v>
      </c>
      <c r="E7455" s="1690" t="s">
        <v>3295</v>
      </c>
      <c r="F7455" s="1690"/>
      <c r="G7455" s="1408"/>
      <c r="H7455" s="393">
        <v>1.0383</v>
      </c>
      <c r="M7455" s="1357"/>
      <c r="Q7455" s="1357"/>
      <c r="S7455" s="1420"/>
      <c r="T7455" s="1420"/>
      <c r="V7455" s="1357">
        <v>57</v>
      </c>
    </row>
    <row r="7456" spans="1:22" s="841" customFormat="1" ht="15" x14ac:dyDescent="0.25">
      <c r="A7456" s="841" t="s">
        <v>426</v>
      </c>
      <c r="E7456" s="1690" t="s">
        <v>3297</v>
      </c>
      <c r="F7456" s="1690"/>
      <c r="G7456" s="1408"/>
      <c r="H7456" s="393">
        <v>1.0279</v>
      </c>
      <c r="J7456" s="841" t="s">
        <v>4163</v>
      </c>
      <c r="M7456" s="1357"/>
      <c r="Q7456" s="1357"/>
      <c r="S7456" s="1420"/>
      <c r="T7456" s="1420"/>
      <c r="V7456" s="1357">
        <v>55</v>
      </c>
    </row>
    <row r="7457" spans="1:22" s="841" customFormat="1" ht="23.25" x14ac:dyDescent="0.25">
      <c r="A7457" s="841" t="s">
        <v>242</v>
      </c>
      <c r="C7457" s="841" t="s">
        <v>3050</v>
      </c>
      <c r="E7457" s="1911" t="s">
        <v>242</v>
      </c>
      <c r="F7457" s="1911"/>
      <c r="G7457" s="1911"/>
      <c r="H7457" s="1911"/>
      <c r="I7457" s="841" t="s">
        <v>628</v>
      </c>
      <c r="J7457" s="841" t="s">
        <v>4536</v>
      </c>
      <c r="K7457" s="841" t="s">
        <v>242</v>
      </c>
      <c r="M7457" s="1357">
        <v>9</v>
      </c>
      <c r="Q7457" s="1357"/>
      <c r="S7457" s="1420"/>
      <c r="T7457" s="1420"/>
      <c r="V7457" s="1357">
        <v>44</v>
      </c>
    </row>
    <row r="7458" spans="1:22" s="841" customFormat="1" x14ac:dyDescent="0.25">
      <c r="A7458" s="841" t="s">
        <v>242</v>
      </c>
      <c r="C7458" s="841" t="s">
        <v>3052</v>
      </c>
      <c r="E7458" s="1912" t="s">
        <v>3053</v>
      </c>
      <c r="F7458" s="1912"/>
      <c r="G7458" s="1912"/>
      <c r="H7458" s="1912"/>
      <c r="M7458" s="1357"/>
      <c r="Q7458" s="1357"/>
      <c r="S7458" s="1420"/>
      <c r="T7458" s="1420"/>
      <c r="V7458" s="1357">
        <v>27</v>
      </c>
    </row>
    <row r="7459" spans="1:22" s="841" customFormat="1" ht="15.75" x14ac:dyDescent="0.25">
      <c r="A7459" s="841" t="s">
        <v>242</v>
      </c>
      <c r="C7459" s="841" t="s">
        <v>3054</v>
      </c>
      <c r="E7459" s="1913" t="s">
        <v>5101</v>
      </c>
      <c r="F7459" s="1913"/>
      <c r="G7459" s="1913"/>
      <c r="H7459" s="1913"/>
      <c r="M7459" s="1357"/>
      <c r="Q7459" s="1357"/>
      <c r="S7459" s="1420">
        <v>43101</v>
      </c>
      <c r="T7459" s="1420"/>
      <c r="V7459" s="1357">
        <v>49</v>
      </c>
    </row>
    <row r="7460" spans="1:22" s="841" customFormat="1" ht="15" x14ac:dyDescent="0.25">
      <c r="A7460" s="841" t="s">
        <v>242</v>
      </c>
      <c r="C7460" s="841" t="s">
        <v>3055</v>
      </c>
      <c r="E7460" s="1914" t="s">
        <v>3056</v>
      </c>
      <c r="F7460" s="1914"/>
      <c r="G7460" s="1914"/>
      <c r="H7460" s="1914"/>
      <c r="M7460" s="1357"/>
      <c r="Q7460" s="1357"/>
      <c r="S7460" s="1420"/>
      <c r="T7460" s="1420"/>
      <c r="V7460" s="1357">
        <v>52</v>
      </c>
    </row>
    <row r="7461" spans="1:22" s="841" customFormat="1" ht="15" x14ac:dyDescent="0.25">
      <c r="A7461" s="841" t="s">
        <v>242</v>
      </c>
      <c r="E7461" s="1914" t="s">
        <v>3057</v>
      </c>
      <c r="F7461" s="1914"/>
      <c r="G7461" s="1914"/>
      <c r="H7461" s="1914"/>
      <c r="M7461" s="1357"/>
      <c r="Q7461" s="1357"/>
      <c r="S7461" s="1420"/>
      <c r="T7461" s="1420"/>
      <c r="V7461" s="1357">
        <v>53</v>
      </c>
    </row>
    <row r="7462" spans="1:22" s="841" customFormat="1" ht="15" x14ac:dyDescent="0.25">
      <c r="A7462" s="841" t="s">
        <v>242</v>
      </c>
      <c r="E7462" s="1925" t="s">
        <v>5641</v>
      </c>
      <c r="F7462" s="1925"/>
      <c r="G7462" s="1925"/>
      <c r="H7462" s="1925"/>
      <c r="K7462" s="841" t="s">
        <v>5641</v>
      </c>
      <c r="M7462" s="1357"/>
      <c r="Q7462" s="1357"/>
      <c r="S7462" s="1420"/>
      <c r="T7462" s="1420"/>
      <c r="V7462" s="1357">
        <v>12</v>
      </c>
    </row>
    <row r="7463" spans="1:22" s="841" customFormat="1" ht="15" x14ac:dyDescent="0.25">
      <c r="A7463" s="841" t="s">
        <v>242</v>
      </c>
      <c r="E7463" s="1909" t="s">
        <v>438</v>
      </c>
      <c r="F7463" s="1697"/>
      <c r="G7463" s="1697"/>
      <c r="H7463" s="1697"/>
      <c r="K7463" s="841" t="s">
        <v>3197</v>
      </c>
      <c r="M7463" s="1357"/>
      <c r="Q7463" s="1357"/>
      <c r="S7463" s="1420"/>
      <c r="T7463" s="1420"/>
      <c r="V7463" s="1357">
        <v>34</v>
      </c>
    </row>
    <row r="7464" spans="1:22" s="841" customFormat="1" ht="15" x14ac:dyDescent="0.25">
      <c r="A7464" s="841" t="s">
        <v>242</v>
      </c>
      <c r="E7464" s="1689" t="s">
        <v>4537</v>
      </c>
      <c r="F7464" s="1689"/>
      <c r="G7464" s="1689"/>
      <c r="H7464" s="1689"/>
      <c r="K7464" s="841" t="s">
        <v>3197</v>
      </c>
      <c r="M7464" s="1357"/>
      <c r="Q7464" s="1357"/>
      <c r="S7464" s="1420"/>
      <c r="T7464" s="1420"/>
      <c r="V7464" s="1357">
        <v>733</v>
      </c>
    </row>
    <row r="7465" spans="1:22" s="841" customFormat="1" ht="15" x14ac:dyDescent="0.25">
      <c r="A7465" s="841" t="s">
        <v>242</v>
      </c>
      <c r="E7465" s="1916" t="s">
        <v>3061</v>
      </c>
      <c r="F7465" s="1697"/>
      <c r="G7465" s="1697"/>
      <c r="H7465" s="1697"/>
      <c r="K7465" s="841" t="s">
        <v>3062</v>
      </c>
      <c r="M7465" s="1357"/>
      <c r="Q7465" s="1357"/>
      <c r="S7465" s="1420"/>
      <c r="T7465" s="1420"/>
      <c r="V7465" s="1357">
        <v>11</v>
      </c>
    </row>
    <row r="7466" spans="1:22" s="841" customFormat="1" ht="15" x14ac:dyDescent="0.25">
      <c r="A7466" s="841" t="s">
        <v>242</v>
      </c>
      <c r="E7466" s="1689" t="s">
        <v>3063</v>
      </c>
      <c r="F7466" s="1689"/>
      <c r="G7466" s="1689"/>
      <c r="H7466" s="1689"/>
      <c r="K7466" s="841" t="s">
        <v>3197</v>
      </c>
      <c r="M7466" s="1357"/>
      <c r="Q7466" s="1357"/>
      <c r="S7466" s="1420"/>
      <c r="T7466" s="1420"/>
      <c r="V7466" s="1357">
        <v>280</v>
      </c>
    </row>
    <row r="7467" spans="1:22" s="841" customFormat="1" ht="15" x14ac:dyDescent="0.25">
      <c r="A7467" s="841" t="s">
        <v>242</v>
      </c>
      <c r="E7467" s="1689" t="s">
        <v>3064</v>
      </c>
      <c r="F7467" s="1689"/>
      <c r="G7467" s="1689"/>
      <c r="H7467" s="1689"/>
      <c r="K7467" s="841" t="s">
        <v>3197</v>
      </c>
      <c r="M7467" s="1357"/>
      <c r="Q7467" s="1357"/>
      <c r="S7467" s="1420"/>
      <c r="T7467" s="1420"/>
      <c r="V7467" s="1357">
        <v>411</v>
      </c>
    </row>
    <row r="7468" spans="1:22" s="841" customFormat="1" ht="15" x14ac:dyDescent="0.25">
      <c r="A7468" s="841" t="s">
        <v>242</v>
      </c>
      <c r="E7468" s="1689" t="s">
        <v>4538</v>
      </c>
      <c r="F7468" s="1689"/>
      <c r="G7468" s="1689"/>
      <c r="H7468" s="1689"/>
      <c r="K7468" s="841" t="s">
        <v>3197</v>
      </c>
      <c r="M7468" s="1357"/>
      <c r="Q7468" s="1357"/>
      <c r="S7468" s="1420"/>
      <c r="T7468" s="1420"/>
      <c r="V7468" s="1357">
        <v>385</v>
      </c>
    </row>
    <row r="7469" spans="1:22" s="841" customFormat="1" ht="15" x14ac:dyDescent="0.25">
      <c r="A7469" s="841" t="s">
        <v>242</v>
      </c>
      <c r="E7469" s="1689" t="s">
        <v>4340</v>
      </c>
      <c r="F7469" s="1689"/>
      <c r="G7469" s="1689"/>
      <c r="H7469" s="1689"/>
      <c r="K7469" s="841" t="s">
        <v>3197</v>
      </c>
      <c r="M7469" s="1357"/>
      <c r="Q7469" s="1357"/>
      <c r="S7469" s="1420"/>
      <c r="T7469" s="1420"/>
      <c r="V7469" s="1357">
        <v>279</v>
      </c>
    </row>
    <row r="7470" spans="1:22" s="841" customFormat="1" ht="15" x14ac:dyDescent="0.25">
      <c r="A7470" s="841" t="s">
        <v>242</v>
      </c>
      <c r="E7470" s="1694" t="s">
        <v>3067</v>
      </c>
      <c r="F7470" s="1907"/>
      <c r="G7470" s="1907"/>
      <c r="H7470" s="1907"/>
      <c r="K7470" s="841" t="s">
        <v>3068</v>
      </c>
      <c r="M7470" s="1357"/>
      <c r="Q7470" s="1357"/>
      <c r="S7470" s="1420"/>
      <c r="T7470" s="1420"/>
      <c r="V7470" s="1357">
        <v>46</v>
      </c>
    </row>
    <row r="7471" spans="1:22" s="841" customFormat="1" ht="15" x14ac:dyDescent="0.25">
      <c r="A7471" s="841" t="s">
        <v>242</v>
      </c>
      <c r="E7471" s="1690" t="s">
        <v>11</v>
      </c>
      <c r="F7471" s="1690"/>
      <c r="G7471" s="1408" t="s">
        <v>23</v>
      </c>
      <c r="H7471" s="391">
        <v>25.61</v>
      </c>
      <c r="K7471" s="841" t="s">
        <v>3197</v>
      </c>
      <c r="L7471" s="841" t="s">
        <v>442</v>
      </c>
      <c r="M7471" s="1357"/>
      <c r="P7471" s="841" t="s">
        <v>3201</v>
      </c>
      <c r="Q7471" s="1357"/>
      <c r="S7471" s="1420"/>
      <c r="T7471" s="1420"/>
      <c r="V7471" s="1357">
        <v>14</v>
      </c>
    </row>
    <row r="7472" spans="1:22" s="841" customFormat="1" ht="15" x14ac:dyDescent="0.25">
      <c r="A7472" s="841" t="s">
        <v>242</v>
      </c>
      <c r="E7472" s="1690" t="s">
        <v>4539</v>
      </c>
      <c r="F7472" s="1690"/>
      <c r="G7472" s="1408" t="s">
        <v>23</v>
      </c>
      <c r="H7472" s="391">
        <v>0.77</v>
      </c>
      <c r="K7472" s="841" t="s">
        <v>3197</v>
      </c>
      <c r="L7472" s="841" t="s">
        <v>442</v>
      </c>
      <c r="M7472" s="1357"/>
      <c r="P7472" s="841" t="s">
        <v>3364</v>
      </c>
      <c r="Q7472" s="1357"/>
      <c r="S7472" s="1420"/>
      <c r="T7472" s="1420">
        <v>43585</v>
      </c>
      <c r="V7472" s="1357">
        <v>81</v>
      </c>
    </row>
    <row r="7473" spans="1:22" s="841" customFormat="1" ht="15" x14ac:dyDescent="0.25">
      <c r="A7473" s="841" t="s">
        <v>242</v>
      </c>
      <c r="E7473" s="1690" t="s">
        <v>423</v>
      </c>
      <c r="F7473" s="1690"/>
      <c r="G7473" s="1408" t="s">
        <v>23</v>
      </c>
      <c r="H7473" s="391">
        <v>0.79</v>
      </c>
      <c r="K7473" s="841" t="s">
        <v>3197</v>
      </c>
      <c r="L7473" s="841" t="s">
        <v>443</v>
      </c>
      <c r="M7473" s="1357"/>
      <c r="P7473" s="841" t="s">
        <v>3202</v>
      </c>
      <c r="Q7473" s="1357"/>
      <c r="S7473" s="1420"/>
      <c r="T7473" s="1420">
        <v>43404</v>
      </c>
      <c r="V7473" s="1357">
        <v>78</v>
      </c>
    </row>
    <row r="7474" spans="1:22" s="841" customFormat="1" ht="15" x14ac:dyDescent="0.25">
      <c r="A7474" s="841" t="s">
        <v>242</v>
      </c>
      <c r="E7474" s="1690" t="s">
        <v>84</v>
      </c>
      <c r="F7474" s="1690"/>
      <c r="G7474" s="1408" t="s">
        <v>24</v>
      </c>
      <c r="H7474" s="393">
        <v>4.1000000000000003E-3</v>
      </c>
      <c r="K7474" s="841" t="s">
        <v>3197</v>
      </c>
      <c r="L7474" s="841" t="s">
        <v>442</v>
      </c>
      <c r="M7474" s="1357"/>
      <c r="P7474" s="841" t="s">
        <v>3203</v>
      </c>
      <c r="Q7474" s="1357"/>
      <c r="S7474" s="1420"/>
      <c r="T7474" s="1420"/>
      <c r="V7474" s="1357">
        <v>28</v>
      </c>
    </row>
    <row r="7475" spans="1:22" s="841" customFormat="1" ht="15" x14ac:dyDescent="0.25">
      <c r="A7475" s="841" t="s">
        <v>242</v>
      </c>
      <c r="E7475" s="1690" t="s">
        <v>18</v>
      </c>
      <c r="F7475" s="1690"/>
      <c r="G7475" s="1408" t="s">
        <v>24</v>
      </c>
      <c r="H7475" s="393">
        <v>4.0000000000000002E-4</v>
      </c>
      <c r="K7475" s="841" t="s">
        <v>3197</v>
      </c>
      <c r="L7475" s="841" t="s">
        <v>443</v>
      </c>
      <c r="M7475" s="1357"/>
      <c r="P7475" s="841" t="s">
        <v>3204</v>
      </c>
      <c r="Q7475" s="1357"/>
      <c r="S7475" s="1420"/>
      <c r="T7475" s="1420"/>
      <c r="V7475" s="1357">
        <v>24</v>
      </c>
    </row>
    <row r="7476" spans="1:22" s="841" customFormat="1" ht="15" x14ac:dyDescent="0.25">
      <c r="A7476" s="841" t="s">
        <v>242</v>
      </c>
      <c r="E7476" s="1690" t="s">
        <v>221</v>
      </c>
      <c r="F7476" s="1690"/>
      <c r="G7476" s="1408" t="s">
        <v>24</v>
      </c>
      <c r="H7476" s="393">
        <v>7.9000000000000008E-3</v>
      </c>
      <c r="K7476" s="841" t="s">
        <v>3197</v>
      </c>
      <c r="L7476" s="841" t="s">
        <v>444</v>
      </c>
      <c r="M7476" s="1357"/>
      <c r="P7476" s="841" t="s">
        <v>3208</v>
      </c>
      <c r="Q7476" s="1357"/>
      <c r="S7476" s="1420"/>
      <c r="T7476" s="1420"/>
      <c r="V7476" s="1357">
        <v>47</v>
      </c>
    </row>
    <row r="7477" spans="1:22" s="841" customFormat="1" ht="15" x14ac:dyDescent="0.25">
      <c r="A7477" s="841" t="s">
        <v>242</v>
      </c>
      <c r="E7477" s="1690" t="s">
        <v>217</v>
      </c>
      <c r="F7477" s="1690"/>
      <c r="G7477" s="1408" t="s">
        <v>24</v>
      </c>
      <c r="H7477" s="393">
        <v>5.8999999999999999E-3</v>
      </c>
      <c r="K7477" s="841" t="s">
        <v>3197</v>
      </c>
      <c r="L7477" s="841" t="s">
        <v>444</v>
      </c>
      <c r="M7477" s="1357"/>
      <c r="P7477" s="841" t="s">
        <v>3209</v>
      </c>
      <c r="Q7477" s="1357"/>
      <c r="S7477" s="1420"/>
      <c r="T7477" s="1420"/>
      <c r="V7477" s="1357">
        <v>74</v>
      </c>
    </row>
    <row r="7478" spans="1:22" s="841" customFormat="1" ht="15" x14ac:dyDescent="0.25">
      <c r="A7478" s="841" t="s">
        <v>242</v>
      </c>
      <c r="E7478" s="1694" t="s">
        <v>3079</v>
      </c>
      <c r="F7478" s="1690"/>
      <c r="G7478" s="1408"/>
      <c r="H7478" s="1408"/>
      <c r="K7478" s="841" t="s">
        <v>3080</v>
      </c>
      <c r="M7478" s="1357"/>
      <c r="Q7478" s="1357"/>
      <c r="S7478" s="1420"/>
      <c r="T7478" s="1420"/>
      <c r="V7478" s="1357">
        <v>48</v>
      </c>
    </row>
    <row r="7479" spans="1:22" s="841" customFormat="1" ht="15" x14ac:dyDescent="0.25">
      <c r="A7479" s="841" t="s">
        <v>242</v>
      </c>
      <c r="E7479" s="1690" t="s">
        <v>2449</v>
      </c>
      <c r="F7479" s="1690"/>
      <c r="G7479" s="1408" t="s">
        <v>24</v>
      </c>
      <c r="H7479" s="393">
        <v>3.2000000000000002E-3</v>
      </c>
      <c r="K7479" s="841" t="s">
        <v>3197</v>
      </c>
      <c r="L7479" s="841" t="s">
        <v>3046</v>
      </c>
      <c r="M7479" s="1357"/>
      <c r="P7479" s="841" t="s">
        <v>3210</v>
      </c>
      <c r="Q7479" s="1357"/>
      <c r="S7479" s="1420"/>
      <c r="T7479" s="1420"/>
      <c r="V7479" s="1357">
        <v>55</v>
      </c>
    </row>
    <row r="7480" spans="1:22" s="841" customFormat="1" ht="15" x14ac:dyDescent="0.25">
      <c r="A7480" s="841" t="s">
        <v>242</v>
      </c>
      <c r="E7480" s="1690" t="s">
        <v>2450</v>
      </c>
      <c r="F7480" s="1690"/>
      <c r="G7480" s="1408" t="s">
        <v>24</v>
      </c>
      <c r="H7480" s="393">
        <v>4.0000000000000002E-4</v>
      </c>
      <c r="K7480" s="841" t="s">
        <v>3197</v>
      </c>
      <c r="L7480" s="841" t="s">
        <v>3046</v>
      </c>
      <c r="M7480" s="1357"/>
      <c r="P7480" s="841" t="s">
        <v>3210</v>
      </c>
      <c r="Q7480" s="1357"/>
      <c r="S7480" s="1420"/>
      <c r="T7480" s="1420"/>
      <c r="V7480" s="1357">
        <v>65</v>
      </c>
    </row>
    <row r="7481" spans="1:22" s="841" customFormat="1" ht="15" x14ac:dyDescent="0.25">
      <c r="A7481" s="841" t="s">
        <v>242</v>
      </c>
      <c r="E7481" s="1690" t="s">
        <v>439</v>
      </c>
      <c r="F7481" s="1690"/>
      <c r="G7481" s="1408" t="s">
        <v>24</v>
      </c>
      <c r="H7481" s="393">
        <v>2.9999999999999997E-4</v>
      </c>
      <c r="K7481" s="841" t="s">
        <v>3197</v>
      </c>
      <c r="L7481" s="841" t="s">
        <v>3046</v>
      </c>
      <c r="M7481" s="1357"/>
      <c r="P7481" s="841" t="s">
        <v>3212</v>
      </c>
      <c r="Q7481" s="1357"/>
      <c r="S7481" s="1420"/>
      <c r="T7481" s="1420"/>
      <c r="V7481" s="1357">
        <v>57</v>
      </c>
    </row>
    <row r="7482" spans="1:22" s="841" customFormat="1" ht="15" x14ac:dyDescent="0.25">
      <c r="A7482" s="841" t="s">
        <v>242</v>
      </c>
      <c r="E7482" s="1690" t="s">
        <v>32</v>
      </c>
      <c r="F7482" s="1690"/>
      <c r="G7482" s="1408" t="s">
        <v>23</v>
      </c>
      <c r="H7482" s="391">
        <v>0.25</v>
      </c>
      <c r="K7482" s="841" t="s">
        <v>3197</v>
      </c>
      <c r="L7482" s="841" t="s">
        <v>3046</v>
      </c>
      <c r="M7482" s="1357"/>
      <c r="P7482" s="841" t="s">
        <v>3213</v>
      </c>
      <c r="Q7482" s="1357"/>
      <c r="S7482" s="1420"/>
      <c r="T7482" s="1420"/>
      <c r="V7482" s="1357">
        <v>63</v>
      </c>
    </row>
    <row r="7483" spans="1:22" s="841" customFormat="1" x14ac:dyDescent="0.25">
      <c r="A7483" s="841" t="s">
        <v>242</v>
      </c>
      <c r="E7483" s="1909" t="s">
        <v>3214</v>
      </c>
      <c r="F7483" s="1915"/>
      <c r="G7483" s="1915"/>
      <c r="H7483" s="1915"/>
      <c r="K7483" s="841" t="s">
        <v>5110</v>
      </c>
      <c r="M7483" s="1357"/>
      <c r="Q7483" s="1357"/>
      <c r="S7483" s="1420"/>
      <c r="T7483" s="1420"/>
      <c r="V7483" s="1357">
        <v>54</v>
      </c>
    </row>
    <row r="7484" spans="1:22" s="841" customFormat="1" ht="15" x14ac:dyDescent="0.25">
      <c r="A7484" s="841" t="s">
        <v>242</v>
      </c>
      <c r="E7484" s="1689" t="s">
        <v>4540</v>
      </c>
      <c r="F7484" s="1689"/>
      <c r="G7484" s="1689"/>
      <c r="H7484" s="1689"/>
      <c r="K7484" s="841" t="s">
        <v>5110</v>
      </c>
      <c r="M7484" s="1357"/>
      <c r="Q7484" s="1357"/>
      <c r="S7484" s="1420"/>
      <c r="T7484" s="1420"/>
      <c r="V7484" s="1357">
        <v>584</v>
      </c>
    </row>
    <row r="7485" spans="1:22" s="841" customFormat="1" ht="15" x14ac:dyDescent="0.25">
      <c r="A7485" s="841" t="s">
        <v>242</v>
      </c>
      <c r="E7485" s="1916" t="s">
        <v>3061</v>
      </c>
      <c r="F7485" s="1697"/>
      <c r="G7485" s="1697"/>
      <c r="H7485" s="1697"/>
      <c r="K7485" s="841" t="s">
        <v>3086</v>
      </c>
      <c r="M7485" s="1357"/>
      <c r="Q7485" s="1357"/>
      <c r="S7485" s="1420"/>
      <c r="T7485" s="1420"/>
      <c r="V7485" s="1357">
        <v>11</v>
      </c>
    </row>
    <row r="7486" spans="1:22" s="841" customFormat="1" ht="15" x14ac:dyDescent="0.25">
      <c r="A7486" s="841" t="s">
        <v>242</v>
      </c>
      <c r="E7486" s="1689" t="s">
        <v>3063</v>
      </c>
      <c r="F7486" s="1689"/>
      <c r="G7486" s="1689"/>
      <c r="H7486" s="1689"/>
      <c r="K7486" s="841" t="s">
        <v>5110</v>
      </c>
      <c r="M7486" s="1357"/>
      <c r="Q7486" s="1357"/>
      <c r="S7486" s="1420"/>
      <c r="T7486" s="1420"/>
      <c r="V7486" s="1357">
        <v>280</v>
      </c>
    </row>
    <row r="7487" spans="1:22" s="841" customFormat="1" ht="15" x14ac:dyDescent="0.25">
      <c r="A7487" s="841" t="s">
        <v>242</v>
      </c>
      <c r="E7487" s="1689" t="s">
        <v>3064</v>
      </c>
      <c r="F7487" s="1689"/>
      <c r="G7487" s="1689"/>
      <c r="H7487" s="1689"/>
      <c r="K7487" s="841" t="s">
        <v>5110</v>
      </c>
      <c r="M7487" s="1357"/>
      <c r="Q7487" s="1357"/>
      <c r="S7487" s="1420"/>
      <c r="T7487" s="1420"/>
      <c r="V7487" s="1357">
        <v>411</v>
      </c>
    </row>
    <row r="7488" spans="1:22" s="841" customFormat="1" ht="15" x14ac:dyDescent="0.25">
      <c r="A7488" s="841" t="s">
        <v>242</v>
      </c>
      <c r="E7488" s="1689" t="s">
        <v>4538</v>
      </c>
      <c r="F7488" s="1689"/>
      <c r="G7488" s="1689"/>
      <c r="H7488" s="1689"/>
      <c r="K7488" s="841" t="s">
        <v>5110</v>
      </c>
      <c r="M7488" s="1357"/>
      <c r="Q7488" s="1357"/>
      <c r="S7488" s="1420"/>
      <c r="T7488" s="1420"/>
      <c r="V7488" s="1357">
        <v>385</v>
      </c>
    </row>
    <row r="7489" spans="1:22" s="841" customFormat="1" ht="15" x14ac:dyDescent="0.25">
      <c r="A7489" s="841" t="s">
        <v>242</v>
      </c>
      <c r="E7489" s="1689" t="s">
        <v>4340</v>
      </c>
      <c r="F7489" s="1689"/>
      <c r="G7489" s="1689"/>
      <c r="H7489" s="1689"/>
      <c r="K7489" s="841" t="s">
        <v>5110</v>
      </c>
      <c r="M7489" s="1357"/>
      <c r="Q7489" s="1357"/>
      <c r="S7489" s="1420"/>
      <c r="T7489" s="1420"/>
      <c r="V7489" s="1357">
        <v>279</v>
      </c>
    </row>
    <row r="7490" spans="1:22" s="841" customFormat="1" ht="15" x14ac:dyDescent="0.25">
      <c r="A7490" s="841" t="s">
        <v>242</v>
      </c>
      <c r="E7490" s="1694" t="s">
        <v>3067</v>
      </c>
      <c r="F7490" s="1907"/>
      <c r="G7490" s="1907"/>
      <c r="H7490" s="1907"/>
      <c r="K7490" s="841" t="s">
        <v>3087</v>
      </c>
      <c r="M7490" s="1357"/>
      <c r="Q7490" s="1357"/>
      <c r="S7490" s="1420"/>
      <c r="T7490" s="1420"/>
      <c r="V7490" s="1357">
        <v>46</v>
      </c>
    </row>
    <row r="7491" spans="1:22" s="841" customFormat="1" ht="15" x14ac:dyDescent="0.25">
      <c r="A7491" s="841" t="s">
        <v>242</v>
      </c>
      <c r="E7491" s="1690" t="s">
        <v>11</v>
      </c>
      <c r="F7491" s="1690"/>
      <c r="G7491" s="1408" t="s">
        <v>23</v>
      </c>
      <c r="H7491" s="391">
        <v>36.590000000000003</v>
      </c>
      <c r="K7491" s="841" t="s">
        <v>5110</v>
      </c>
      <c r="L7491" s="841" t="s">
        <v>442</v>
      </c>
      <c r="M7491" s="1357"/>
      <c r="P7491" s="841" t="s">
        <v>5111</v>
      </c>
      <c r="Q7491" s="1357"/>
      <c r="S7491" s="1420"/>
      <c r="T7491" s="1420"/>
      <c r="V7491" s="1357">
        <v>14</v>
      </c>
    </row>
    <row r="7492" spans="1:22" s="841" customFormat="1" ht="15" x14ac:dyDescent="0.25">
      <c r="A7492" s="841" t="s">
        <v>242</v>
      </c>
      <c r="E7492" s="1690" t="s">
        <v>4539</v>
      </c>
      <c r="F7492" s="1690"/>
      <c r="G7492" s="1408" t="s">
        <v>23</v>
      </c>
      <c r="H7492" s="391">
        <v>2.27</v>
      </c>
      <c r="K7492" s="841" t="s">
        <v>5110</v>
      </c>
      <c r="L7492" s="841" t="s">
        <v>442</v>
      </c>
      <c r="M7492" s="1357"/>
      <c r="P7492" s="841" t="s">
        <v>5388</v>
      </c>
      <c r="Q7492" s="1357"/>
      <c r="S7492" s="1420"/>
      <c r="T7492" s="1420">
        <v>43585</v>
      </c>
      <c r="V7492" s="1357">
        <v>81</v>
      </c>
    </row>
    <row r="7493" spans="1:22" s="841" customFormat="1" ht="15" x14ac:dyDescent="0.25">
      <c r="A7493" s="841" t="s">
        <v>242</v>
      </c>
      <c r="E7493" s="1690" t="s">
        <v>423</v>
      </c>
      <c r="F7493" s="1690"/>
      <c r="G7493" s="1408" t="s">
        <v>23</v>
      </c>
      <c r="H7493" s="391">
        <v>0.79</v>
      </c>
      <c r="K7493" s="841" t="s">
        <v>5110</v>
      </c>
      <c r="L7493" s="841" t="s">
        <v>443</v>
      </c>
      <c r="M7493" s="1357"/>
      <c r="P7493" s="841" t="s">
        <v>5112</v>
      </c>
      <c r="Q7493" s="1357"/>
      <c r="S7493" s="1420"/>
      <c r="T7493" s="1420">
        <v>43404</v>
      </c>
      <c r="V7493" s="1357">
        <v>78</v>
      </c>
    </row>
    <row r="7494" spans="1:22" s="841" customFormat="1" ht="15" x14ac:dyDescent="0.25">
      <c r="A7494" s="841" t="s">
        <v>242</v>
      </c>
      <c r="E7494" s="1690" t="s">
        <v>84</v>
      </c>
      <c r="F7494" s="1690"/>
      <c r="G7494" s="1408" t="s">
        <v>24</v>
      </c>
      <c r="H7494" s="393">
        <v>1.6199999999999999E-2</v>
      </c>
      <c r="K7494" s="841" t="s">
        <v>5110</v>
      </c>
      <c r="L7494" s="841" t="s">
        <v>442</v>
      </c>
      <c r="M7494" s="1357"/>
      <c r="P7494" s="841" t="s">
        <v>5113</v>
      </c>
      <c r="Q7494" s="1357"/>
      <c r="S7494" s="1420"/>
      <c r="T7494" s="1420"/>
      <c r="V7494" s="1357">
        <v>28</v>
      </c>
    </row>
    <row r="7495" spans="1:22" s="841" customFormat="1" ht="15" x14ac:dyDescent="0.25">
      <c r="A7495" s="841" t="s">
        <v>242</v>
      </c>
      <c r="E7495" s="1690" t="s">
        <v>18</v>
      </c>
      <c r="F7495" s="1690"/>
      <c r="G7495" s="1408" t="s">
        <v>24</v>
      </c>
      <c r="H7495" s="393">
        <v>2.9999999999999997E-4</v>
      </c>
      <c r="K7495" s="841" t="s">
        <v>5110</v>
      </c>
      <c r="L7495" s="841" t="s">
        <v>443</v>
      </c>
      <c r="M7495" s="1357"/>
      <c r="P7495" s="841" t="s">
        <v>5114</v>
      </c>
      <c r="Q7495" s="1357"/>
      <c r="S7495" s="1420"/>
      <c r="T7495" s="1420"/>
      <c r="V7495" s="1357">
        <v>24</v>
      </c>
    </row>
    <row r="7496" spans="1:22" s="841" customFormat="1" ht="15" x14ac:dyDescent="0.25">
      <c r="A7496" s="841" t="s">
        <v>242</v>
      </c>
      <c r="E7496" s="1690" t="s">
        <v>221</v>
      </c>
      <c r="F7496" s="1690"/>
      <c r="G7496" s="1408" t="s">
        <v>24</v>
      </c>
      <c r="H7496" s="393">
        <v>7.3000000000000001E-3</v>
      </c>
      <c r="K7496" s="841" t="s">
        <v>5110</v>
      </c>
      <c r="L7496" s="841" t="s">
        <v>444</v>
      </c>
      <c r="M7496" s="1357"/>
      <c r="P7496" s="841" t="s">
        <v>5115</v>
      </c>
      <c r="Q7496" s="1357"/>
      <c r="S7496" s="1420"/>
      <c r="T7496" s="1420"/>
      <c r="V7496" s="1357">
        <v>47</v>
      </c>
    </row>
    <row r="7497" spans="1:22" s="841" customFormat="1" ht="15" x14ac:dyDescent="0.25">
      <c r="A7497" s="841" t="s">
        <v>242</v>
      </c>
      <c r="E7497" s="1690" t="s">
        <v>217</v>
      </c>
      <c r="F7497" s="1690"/>
      <c r="G7497" s="1408" t="s">
        <v>24</v>
      </c>
      <c r="H7497" s="393">
        <v>5.4000000000000003E-3</v>
      </c>
      <c r="K7497" s="841" t="s">
        <v>5110</v>
      </c>
      <c r="L7497" s="841" t="s">
        <v>444</v>
      </c>
      <c r="M7497" s="1357"/>
      <c r="P7497" s="841" t="s">
        <v>5116</v>
      </c>
      <c r="Q7497" s="1357"/>
      <c r="S7497" s="1420"/>
      <c r="T7497" s="1420"/>
      <c r="V7497" s="1357">
        <v>74</v>
      </c>
    </row>
    <row r="7498" spans="1:22" s="841" customFormat="1" ht="15" x14ac:dyDescent="0.25">
      <c r="A7498" s="841" t="s">
        <v>242</v>
      </c>
      <c r="E7498" s="1694" t="s">
        <v>3079</v>
      </c>
      <c r="F7498" s="1690"/>
      <c r="G7498" s="1408"/>
      <c r="H7498" s="1408"/>
      <c r="K7498" s="841" t="s">
        <v>3093</v>
      </c>
      <c r="M7498" s="1357"/>
      <c r="Q7498" s="1357"/>
      <c r="S7498" s="1420"/>
      <c r="T7498" s="1420"/>
      <c r="V7498" s="1357">
        <v>48</v>
      </c>
    </row>
    <row r="7499" spans="1:22" s="841" customFormat="1" ht="15" x14ac:dyDescent="0.25">
      <c r="A7499" s="841" t="s">
        <v>242</v>
      </c>
      <c r="E7499" s="1690" t="s">
        <v>2449</v>
      </c>
      <c r="F7499" s="1690"/>
      <c r="G7499" s="1408" t="s">
        <v>24</v>
      </c>
      <c r="H7499" s="393">
        <v>3.2000000000000002E-3</v>
      </c>
      <c r="K7499" s="841" t="s">
        <v>5110</v>
      </c>
      <c r="L7499" s="841" t="s">
        <v>3046</v>
      </c>
      <c r="M7499" s="1357"/>
      <c r="P7499" s="841" t="s">
        <v>5117</v>
      </c>
      <c r="Q7499" s="1357"/>
      <c r="S7499" s="1420"/>
      <c r="T7499" s="1420"/>
      <c r="V7499" s="1357">
        <v>55</v>
      </c>
    </row>
    <row r="7500" spans="1:22" s="841" customFormat="1" ht="15" x14ac:dyDescent="0.25">
      <c r="A7500" s="841" t="s">
        <v>242</v>
      </c>
      <c r="E7500" s="1690" t="s">
        <v>2450</v>
      </c>
      <c r="F7500" s="1690"/>
      <c r="G7500" s="1408" t="s">
        <v>24</v>
      </c>
      <c r="H7500" s="393">
        <v>4.0000000000000002E-4</v>
      </c>
      <c r="K7500" s="841" t="s">
        <v>5110</v>
      </c>
      <c r="L7500" s="841" t="s">
        <v>3046</v>
      </c>
      <c r="M7500" s="1357"/>
      <c r="P7500" s="841" t="s">
        <v>5117</v>
      </c>
      <c r="Q7500" s="1357"/>
      <c r="S7500" s="1420"/>
      <c r="T7500" s="1420"/>
      <c r="V7500" s="1357">
        <v>65</v>
      </c>
    </row>
    <row r="7501" spans="1:22" s="841" customFormat="1" ht="15" x14ac:dyDescent="0.25">
      <c r="A7501" s="841" t="s">
        <v>242</v>
      </c>
      <c r="E7501" s="1690" t="s">
        <v>439</v>
      </c>
      <c r="F7501" s="1690"/>
      <c r="G7501" s="1408" t="s">
        <v>24</v>
      </c>
      <c r="H7501" s="393">
        <v>2.9999999999999997E-4</v>
      </c>
      <c r="K7501" s="841" t="s">
        <v>5110</v>
      </c>
      <c r="L7501" s="841" t="s">
        <v>3046</v>
      </c>
      <c r="M7501" s="1357"/>
      <c r="P7501" s="841" t="s">
        <v>5118</v>
      </c>
      <c r="Q7501" s="1357"/>
      <c r="S7501" s="1420"/>
      <c r="T7501" s="1420"/>
      <c r="V7501" s="1357">
        <v>57</v>
      </c>
    </row>
    <row r="7502" spans="1:22" s="841" customFormat="1" ht="15" x14ac:dyDescent="0.25">
      <c r="A7502" s="841" t="s">
        <v>242</v>
      </c>
      <c r="E7502" s="1690" t="s">
        <v>32</v>
      </c>
      <c r="F7502" s="1690"/>
      <c r="G7502" s="1408" t="s">
        <v>23</v>
      </c>
      <c r="H7502" s="391">
        <v>0.25</v>
      </c>
      <c r="K7502" s="841" t="s">
        <v>5110</v>
      </c>
      <c r="L7502" s="841" t="s">
        <v>3046</v>
      </c>
      <c r="M7502" s="1357"/>
      <c r="P7502" s="841" t="s">
        <v>5119</v>
      </c>
      <c r="Q7502" s="1357"/>
      <c r="S7502" s="1420"/>
      <c r="T7502" s="1420"/>
      <c r="V7502" s="1357">
        <v>63</v>
      </c>
    </row>
    <row r="7503" spans="1:22" s="841" customFormat="1" x14ac:dyDescent="0.25">
      <c r="A7503" s="841" t="s">
        <v>242</v>
      </c>
      <c r="E7503" s="1909" t="s">
        <v>3216</v>
      </c>
      <c r="F7503" s="1915"/>
      <c r="G7503" s="1915"/>
      <c r="H7503" s="1915"/>
      <c r="K7503" s="841" t="s">
        <v>5180</v>
      </c>
      <c r="M7503" s="1357"/>
      <c r="Q7503" s="1357"/>
      <c r="S7503" s="1420"/>
      <c r="T7503" s="1420"/>
      <c r="V7503" s="1357">
        <v>51</v>
      </c>
    </row>
    <row r="7504" spans="1:22" s="841" customFormat="1" ht="15" x14ac:dyDescent="0.25">
      <c r="A7504" s="841" t="s">
        <v>242</v>
      </c>
      <c r="E7504" s="1689" t="s">
        <v>4541</v>
      </c>
      <c r="F7504" s="1689"/>
      <c r="G7504" s="1689"/>
      <c r="H7504" s="1689"/>
      <c r="K7504" s="841" t="s">
        <v>5180</v>
      </c>
      <c r="M7504" s="1357"/>
      <c r="Q7504" s="1357"/>
      <c r="S7504" s="1420"/>
      <c r="T7504" s="1420"/>
      <c r="V7504" s="1357">
        <v>565</v>
      </c>
    </row>
    <row r="7505" spans="1:22" s="841" customFormat="1" ht="15" x14ac:dyDescent="0.25">
      <c r="A7505" s="841" t="s">
        <v>242</v>
      </c>
      <c r="E7505" s="1916" t="s">
        <v>3061</v>
      </c>
      <c r="F7505" s="1697"/>
      <c r="G7505" s="1697"/>
      <c r="H7505" s="1697"/>
      <c r="K7505" s="841" t="s">
        <v>3098</v>
      </c>
      <c r="M7505" s="1357"/>
      <c r="Q7505" s="1357"/>
      <c r="S7505" s="1420"/>
      <c r="T7505" s="1420"/>
      <c r="V7505" s="1357">
        <v>11</v>
      </c>
    </row>
    <row r="7506" spans="1:22" s="841" customFormat="1" ht="15" x14ac:dyDescent="0.25">
      <c r="A7506" s="841" t="s">
        <v>242</v>
      </c>
      <c r="E7506" s="1689" t="s">
        <v>3063</v>
      </c>
      <c r="F7506" s="1689"/>
      <c r="G7506" s="1689"/>
      <c r="H7506" s="1689"/>
      <c r="K7506" s="841" t="s">
        <v>5180</v>
      </c>
      <c r="M7506" s="1357"/>
      <c r="Q7506" s="1357"/>
      <c r="S7506" s="1420"/>
      <c r="T7506" s="1420"/>
      <c r="V7506" s="1357">
        <v>280</v>
      </c>
    </row>
    <row r="7507" spans="1:22" s="841" customFormat="1" ht="15" x14ac:dyDescent="0.25">
      <c r="A7507" s="841" t="s">
        <v>242</v>
      </c>
      <c r="E7507" s="1689" t="s">
        <v>4542</v>
      </c>
      <c r="F7507" s="1689"/>
      <c r="G7507" s="1689"/>
      <c r="H7507" s="1689"/>
      <c r="K7507" s="841" t="s">
        <v>5180</v>
      </c>
      <c r="M7507" s="1357"/>
      <c r="Q7507" s="1357"/>
      <c r="S7507" s="1420"/>
      <c r="T7507" s="1420"/>
      <c r="V7507" s="1357">
        <v>411</v>
      </c>
    </row>
    <row r="7508" spans="1:22" s="841" customFormat="1" ht="15" x14ac:dyDescent="0.25">
      <c r="A7508" s="841" t="s">
        <v>242</v>
      </c>
      <c r="E7508" s="1689" t="s">
        <v>3199</v>
      </c>
      <c r="F7508" s="1689"/>
      <c r="G7508" s="1689"/>
      <c r="H7508" s="1689"/>
      <c r="K7508" s="841" t="s">
        <v>5180</v>
      </c>
      <c r="M7508" s="1357"/>
      <c r="Q7508" s="1357"/>
      <c r="S7508" s="1420"/>
      <c r="T7508" s="1420"/>
      <c r="V7508" s="1357">
        <v>386</v>
      </c>
    </row>
    <row r="7509" spans="1:22" s="841" customFormat="1" ht="15" x14ac:dyDescent="0.25">
      <c r="A7509" s="841" t="s">
        <v>242</v>
      </c>
      <c r="E7509" s="1689" t="s">
        <v>4340</v>
      </c>
      <c r="F7509" s="1689"/>
      <c r="G7509" s="1689"/>
      <c r="H7509" s="1689"/>
      <c r="K7509" s="841" t="s">
        <v>5180</v>
      </c>
      <c r="M7509" s="1357"/>
      <c r="Q7509" s="1357"/>
      <c r="S7509" s="1420"/>
      <c r="T7509" s="1420"/>
      <c r="V7509" s="1357">
        <v>279</v>
      </c>
    </row>
    <row r="7510" spans="1:22" s="841" customFormat="1" ht="15" x14ac:dyDescent="0.25">
      <c r="A7510" s="841" t="s">
        <v>242</v>
      </c>
      <c r="E7510" s="1694" t="s">
        <v>3067</v>
      </c>
      <c r="F7510" s="1907"/>
      <c r="G7510" s="1907"/>
      <c r="H7510" s="1907"/>
      <c r="K7510" s="841" t="s">
        <v>3099</v>
      </c>
      <c r="M7510" s="1357"/>
      <c r="Q7510" s="1357"/>
      <c r="S7510" s="1420"/>
      <c r="T7510" s="1420"/>
      <c r="V7510" s="1357">
        <v>46</v>
      </c>
    </row>
    <row r="7511" spans="1:22" s="841" customFormat="1" ht="15" x14ac:dyDescent="0.25">
      <c r="A7511" s="841" t="s">
        <v>242</v>
      </c>
      <c r="E7511" s="1690" t="s">
        <v>11</v>
      </c>
      <c r="F7511" s="1690"/>
      <c r="G7511" s="1408" t="s">
        <v>23</v>
      </c>
      <c r="H7511" s="391">
        <v>124.85</v>
      </c>
      <c r="K7511" s="841" t="s">
        <v>5180</v>
      </c>
      <c r="L7511" s="841" t="s">
        <v>442</v>
      </c>
      <c r="M7511" s="1357"/>
      <c r="P7511" s="841" t="s">
        <v>5181</v>
      </c>
      <c r="Q7511" s="1357"/>
      <c r="S7511" s="1420"/>
      <c r="T7511" s="1420"/>
      <c r="V7511" s="1357">
        <v>14</v>
      </c>
    </row>
    <row r="7512" spans="1:22" s="841" customFormat="1" ht="15" x14ac:dyDescent="0.25">
      <c r="A7512" s="841" t="s">
        <v>242</v>
      </c>
      <c r="E7512" s="1690" t="s">
        <v>84</v>
      </c>
      <c r="F7512" s="1690"/>
      <c r="G7512" s="1408" t="s">
        <v>33</v>
      </c>
      <c r="H7512" s="393">
        <v>4.8822999999999999</v>
      </c>
      <c r="K7512" s="841" t="s">
        <v>5180</v>
      </c>
      <c r="L7512" s="841" t="s">
        <v>442</v>
      </c>
      <c r="M7512" s="1357"/>
      <c r="P7512" s="841" t="s">
        <v>5182</v>
      </c>
      <c r="Q7512" s="1357"/>
      <c r="S7512" s="1420"/>
      <c r="T7512" s="1420"/>
      <c r="V7512" s="1357">
        <v>28</v>
      </c>
    </row>
    <row r="7513" spans="1:22" s="841" customFormat="1" ht="15" x14ac:dyDescent="0.25">
      <c r="A7513" s="841" t="s">
        <v>242</v>
      </c>
      <c r="E7513" s="1690" t="s">
        <v>18</v>
      </c>
      <c r="F7513" s="1690"/>
      <c r="G7513" s="1408" t="s">
        <v>33</v>
      </c>
      <c r="H7513" s="393">
        <v>0.1313</v>
      </c>
      <c r="K7513" s="841" t="s">
        <v>5180</v>
      </c>
      <c r="L7513" s="841" t="s">
        <v>443</v>
      </c>
      <c r="M7513" s="1357"/>
      <c r="P7513" s="841" t="s">
        <v>5183</v>
      </c>
      <c r="Q7513" s="1357"/>
      <c r="S7513" s="1420"/>
      <c r="T7513" s="1420"/>
      <c r="V7513" s="1357">
        <v>24</v>
      </c>
    </row>
    <row r="7514" spans="1:22" s="841" customFormat="1" ht="15" x14ac:dyDescent="0.25">
      <c r="A7514" s="841" t="s">
        <v>242</v>
      </c>
      <c r="E7514" s="1690" t="s">
        <v>221</v>
      </c>
      <c r="F7514" s="1690"/>
      <c r="G7514" s="1408" t="s">
        <v>33</v>
      </c>
      <c r="H7514" s="393">
        <v>2.7355999999999998</v>
      </c>
      <c r="K7514" s="841" t="s">
        <v>5180</v>
      </c>
      <c r="L7514" s="841" t="s">
        <v>444</v>
      </c>
      <c r="M7514" s="1357"/>
      <c r="P7514" s="841" t="s">
        <v>5184</v>
      </c>
      <c r="Q7514" s="1357"/>
      <c r="S7514" s="1420"/>
      <c r="T7514" s="1420"/>
      <c r="V7514" s="1357">
        <v>47</v>
      </c>
    </row>
    <row r="7515" spans="1:22" s="841" customFormat="1" ht="15" x14ac:dyDescent="0.25">
      <c r="A7515" s="841" t="s">
        <v>242</v>
      </c>
      <c r="E7515" s="1690" t="s">
        <v>223</v>
      </c>
      <c r="F7515" s="1690"/>
      <c r="G7515" s="1408" t="s">
        <v>33</v>
      </c>
      <c r="H7515" s="393">
        <v>2.8239999999999998</v>
      </c>
      <c r="K7515" s="841" t="s">
        <v>5180</v>
      </c>
      <c r="L7515" s="841" t="s">
        <v>444</v>
      </c>
      <c r="M7515" s="1357"/>
      <c r="P7515" s="841" t="s">
        <v>5465</v>
      </c>
      <c r="Q7515" s="1357"/>
      <c r="S7515" s="1420"/>
      <c r="T7515" s="1420"/>
      <c r="V7515" s="1357">
        <v>66</v>
      </c>
    </row>
    <row r="7516" spans="1:22" s="841" customFormat="1" ht="15" x14ac:dyDescent="0.25">
      <c r="A7516" s="841" t="s">
        <v>242</v>
      </c>
      <c r="E7516" s="1690" t="s">
        <v>217</v>
      </c>
      <c r="F7516" s="1690"/>
      <c r="G7516" s="1408" t="s">
        <v>33</v>
      </c>
      <c r="H7516" s="393">
        <v>2.0447000000000002</v>
      </c>
      <c r="K7516" s="841" t="s">
        <v>5180</v>
      </c>
      <c r="L7516" s="841" t="s">
        <v>444</v>
      </c>
      <c r="M7516" s="1357"/>
      <c r="P7516" s="841" t="s">
        <v>5185</v>
      </c>
      <c r="Q7516" s="1357"/>
      <c r="S7516" s="1420"/>
      <c r="T7516" s="1420"/>
      <c r="V7516" s="1357">
        <v>74</v>
      </c>
    </row>
    <row r="7517" spans="1:22" s="841" customFormat="1" ht="15" x14ac:dyDescent="0.25">
      <c r="A7517" s="841" t="s">
        <v>242</v>
      </c>
      <c r="E7517" s="1690" t="s">
        <v>219</v>
      </c>
      <c r="F7517" s="1690"/>
      <c r="G7517" s="1408" t="s">
        <v>33</v>
      </c>
      <c r="H7517" s="393">
        <v>2.1109</v>
      </c>
      <c r="K7517" s="841" t="s">
        <v>5180</v>
      </c>
      <c r="L7517" s="841" t="s">
        <v>444</v>
      </c>
      <c r="M7517" s="1357"/>
      <c r="P7517" s="841" t="s">
        <v>5466</v>
      </c>
      <c r="Q7517" s="1357"/>
      <c r="S7517" s="1420"/>
      <c r="T7517" s="1420"/>
      <c r="V7517" s="1357">
        <v>93</v>
      </c>
    </row>
    <row r="7518" spans="1:22" s="841" customFormat="1" ht="15" x14ac:dyDescent="0.25">
      <c r="A7518" s="841" t="s">
        <v>242</v>
      </c>
      <c r="E7518" s="1694" t="s">
        <v>3079</v>
      </c>
      <c r="F7518" s="1690"/>
      <c r="G7518" s="1408"/>
      <c r="H7518" s="1408"/>
      <c r="K7518" s="841" t="s">
        <v>3218</v>
      </c>
      <c r="M7518" s="1357"/>
      <c r="Q7518" s="1357"/>
      <c r="S7518" s="1420"/>
      <c r="T7518" s="1420"/>
      <c r="V7518" s="1357">
        <v>48</v>
      </c>
    </row>
    <row r="7519" spans="1:22" s="841" customFormat="1" ht="15" x14ac:dyDescent="0.25">
      <c r="A7519" s="841" t="s">
        <v>242</v>
      </c>
      <c r="E7519" s="1690" t="s">
        <v>2449</v>
      </c>
      <c r="F7519" s="1690"/>
      <c r="G7519" s="1408" t="s">
        <v>24</v>
      </c>
      <c r="H7519" s="393">
        <v>3.2000000000000002E-3</v>
      </c>
      <c r="K7519" s="841" t="s">
        <v>5180</v>
      </c>
      <c r="L7519" s="841" t="s">
        <v>3046</v>
      </c>
      <c r="M7519" s="1357"/>
      <c r="P7519" s="841" t="s">
        <v>5186</v>
      </c>
      <c r="Q7519" s="1357"/>
      <c r="S7519" s="1420"/>
      <c r="T7519" s="1420"/>
      <c r="V7519" s="1357">
        <v>55</v>
      </c>
    </row>
    <row r="7520" spans="1:22" s="841" customFormat="1" ht="15" x14ac:dyDescent="0.25">
      <c r="A7520" s="841" t="s">
        <v>242</v>
      </c>
      <c r="E7520" s="1690" t="s">
        <v>2450</v>
      </c>
      <c r="F7520" s="1690"/>
      <c r="G7520" s="1408" t="s">
        <v>24</v>
      </c>
      <c r="H7520" s="393">
        <v>4.0000000000000002E-4</v>
      </c>
      <c r="K7520" s="841" t="s">
        <v>5180</v>
      </c>
      <c r="L7520" s="841" t="s">
        <v>3046</v>
      </c>
      <c r="M7520" s="1357"/>
      <c r="P7520" s="841" t="s">
        <v>5186</v>
      </c>
      <c r="Q7520" s="1357"/>
      <c r="S7520" s="1420"/>
      <c r="T7520" s="1420"/>
      <c r="V7520" s="1357">
        <v>65</v>
      </c>
    </row>
    <row r="7521" spans="1:22" s="841" customFormat="1" ht="15" x14ac:dyDescent="0.25">
      <c r="A7521" s="841" t="s">
        <v>242</v>
      </c>
      <c r="E7521" s="1690" t="s">
        <v>439</v>
      </c>
      <c r="F7521" s="1690"/>
      <c r="G7521" s="1408" t="s">
        <v>24</v>
      </c>
      <c r="H7521" s="393">
        <v>2.9999999999999997E-4</v>
      </c>
      <c r="K7521" s="841" t="s">
        <v>5180</v>
      </c>
      <c r="L7521" s="841" t="s">
        <v>3046</v>
      </c>
      <c r="M7521" s="1357"/>
      <c r="P7521" s="841" t="s">
        <v>5187</v>
      </c>
      <c r="Q7521" s="1357"/>
      <c r="S7521" s="1420"/>
      <c r="T7521" s="1420"/>
      <c r="V7521" s="1357">
        <v>57</v>
      </c>
    </row>
    <row r="7522" spans="1:22" s="841" customFormat="1" ht="15" x14ac:dyDescent="0.25">
      <c r="A7522" s="841" t="s">
        <v>242</v>
      </c>
      <c r="E7522" s="1690" t="s">
        <v>32</v>
      </c>
      <c r="F7522" s="1690"/>
      <c r="G7522" s="1408" t="s">
        <v>23</v>
      </c>
      <c r="H7522" s="391">
        <v>0.25</v>
      </c>
      <c r="K7522" s="841" t="s">
        <v>5180</v>
      </c>
      <c r="L7522" s="841" t="s">
        <v>3046</v>
      </c>
      <c r="M7522" s="1357"/>
      <c r="P7522" s="841" t="s">
        <v>5188</v>
      </c>
      <c r="Q7522" s="1357"/>
      <c r="S7522" s="1420"/>
      <c r="T7522" s="1420"/>
      <c r="V7522" s="1357">
        <v>63</v>
      </c>
    </row>
    <row r="7523" spans="1:22" s="841" customFormat="1" x14ac:dyDescent="0.25">
      <c r="A7523" s="841" t="s">
        <v>242</v>
      </c>
      <c r="E7523" s="1909" t="s">
        <v>2360</v>
      </c>
      <c r="F7523" s="1915"/>
      <c r="G7523" s="1915"/>
      <c r="H7523" s="1915"/>
      <c r="K7523" s="841" t="s">
        <v>5642</v>
      </c>
      <c r="M7523" s="1357"/>
      <c r="Q7523" s="1357"/>
      <c r="S7523" s="1420"/>
      <c r="T7523" s="1420"/>
      <c r="V7523" s="1357">
        <v>59</v>
      </c>
    </row>
    <row r="7524" spans="1:22" s="841" customFormat="1" ht="15" x14ac:dyDescent="0.25">
      <c r="A7524" s="841" t="s">
        <v>242</v>
      </c>
      <c r="E7524" s="1689" t="s">
        <v>4543</v>
      </c>
      <c r="F7524" s="1689"/>
      <c r="G7524" s="1689"/>
      <c r="H7524" s="1689"/>
      <c r="K7524" s="841" t="s">
        <v>5642</v>
      </c>
      <c r="M7524" s="1357"/>
      <c r="Q7524" s="1357"/>
      <c r="S7524" s="1420"/>
      <c r="T7524" s="1420"/>
      <c r="V7524" s="1357">
        <v>532</v>
      </c>
    </row>
    <row r="7525" spans="1:22" s="841" customFormat="1" ht="15" x14ac:dyDescent="0.25">
      <c r="A7525" s="841" t="s">
        <v>242</v>
      </c>
      <c r="E7525" s="1916" t="s">
        <v>3061</v>
      </c>
      <c r="F7525" s="1697"/>
      <c r="G7525" s="1697"/>
      <c r="H7525" s="1697"/>
      <c r="K7525" s="841" t="s">
        <v>3221</v>
      </c>
      <c r="M7525" s="1357"/>
      <c r="Q7525" s="1357"/>
      <c r="S7525" s="1420"/>
      <c r="T7525" s="1420"/>
      <c r="V7525" s="1357">
        <v>11</v>
      </c>
    </row>
    <row r="7526" spans="1:22" s="841" customFormat="1" ht="15" x14ac:dyDescent="0.25">
      <c r="A7526" s="841" t="s">
        <v>242</v>
      </c>
      <c r="E7526" s="1689" t="s">
        <v>3063</v>
      </c>
      <c r="F7526" s="1689"/>
      <c r="G7526" s="1689"/>
      <c r="H7526" s="1689"/>
      <c r="K7526" s="841" t="s">
        <v>5642</v>
      </c>
      <c r="M7526" s="1357"/>
      <c r="Q7526" s="1357"/>
      <c r="S7526" s="1420"/>
      <c r="T7526" s="1420"/>
      <c r="V7526" s="1357">
        <v>280</v>
      </c>
    </row>
    <row r="7527" spans="1:22" s="841" customFormat="1" ht="15" x14ac:dyDescent="0.25">
      <c r="A7527" s="841" t="s">
        <v>242</v>
      </c>
      <c r="E7527" s="1689" t="s">
        <v>3064</v>
      </c>
      <c r="F7527" s="1689"/>
      <c r="G7527" s="1689"/>
      <c r="H7527" s="1689"/>
      <c r="K7527" s="841" t="s">
        <v>5642</v>
      </c>
      <c r="M7527" s="1357"/>
      <c r="Q7527" s="1357"/>
      <c r="S7527" s="1420"/>
      <c r="T7527" s="1420"/>
      <c r="V7527" s="1357">
        <v>411</v>
      </c>
    </row>
    <row r="7528" spans="1:22" s="841" customFormat="1" ht="15" x14ac:dyDescent="0.25">
      <c r="A7528" s="841" t="s">
        <v>242</v>
      </c>
      <c r="E7528" s="1689" t="s">
        <v>3199</v>
      </c>
      <c r="F7528" s="1689"/>
      <c r="G7528" s="1689"/>
      <c r="H7528" s="1689"/>
      <c r="K7528" s="841" t="s">
        <v>5642</v>
      </c>
      <c r="M7528" s="1357"/>
      <c r="Q7528" s="1357"/>
      <c r="S7528" s="1420"/>
      <c r="T7528" s="1420"/>
      <c r="V7528" s="1357">
        <v>386</v>
      </c>
    </row>
    <row r="7529" spans="1:22" s="841" customFormat="1" ht="15" x14ac:dyDescent="0.25">
      <c r="A7529" s="841" t="s">
        <v>242</v>
      </c>
      <c r="E7529" s="1689" t="s">
        <v>4340</v>
      </c>
      <c r="F7529" s="1689"/>
      <c r="G7529" s="1689"/>
      <c r="H7529" s="1689"/>
      <c r="K7529" s="841" t="s">
        <v>5642</v>
      </c>
      <c r="M7529" s="1357"/>
      <c r="Q7529" s="1357"/>
      <c r="S7529" s="1420"/>
      <c r="T7529" s="1420"/>
      <c r="V7529" s="1357">
        <v>279</v>
      </c>
    </row>
    <row r="7530" spans="1:22" s="841" customFormat="1" ht="15" x14ac:dyDescent="0.25">
      <c r="A7530" s="841" t="s">
        <v>242</v>
      </c>
      <c r="E7530" s="1694" t="s">
        <v>3067</v>
      </c>
      <c r="F7530" s="1907"/>
      <c r="G7530" s="1907"/>
      <c r="H7530" s="1907"/>
      <c r="K7530" s="841" t="s">
        <v>3224</v>
      </c>
      <c r="M7530" s="1357"/>
      <c r="Q7530" s="1357"/>
      <c r="S7530" s="1420"/>
      <c r="T7530" s="1420"/>
      <c r="V7530" s="1357">
        <v>46</v>
      </c>
    </row>
    <row r="7531" spans="1:22" s="841" customFormat="1" ht="15" x14ac:dyDescent="0.25">
      <c r="A7531" s="841" t="s">
        <v>242</v>
      </c>
      <c r="E7531" s="1690" t="s">
        <v>11</v>
      </c>
      <c r="F7531" s="1690"/>
      <c r="G7531" s="1408" t="s">
        <v>23</v>
      </c>
      <c r="H7531" s="391">
        <v>3583.56</v>
      </c>
      <c r="K7531" s="841" t="s">
        <v>5642</v>
      </c>
      <c r="L7531" s="841" t="s">
        <v>442</v>
      </c>
      <c r="M7531" s="1357"/>
      <c r="P7531" s="841" t="s">
        <v>5643</v>
      </c>
      <c r="Q7531" s="1357"/>
      <c r="S7531" s="1420"/>
      <c r="T7531" s="1420"/>
      <c r="V7531" s="1357">
        <v>14</v>
      </c>
    </row>
    <row r="7532" spans="1:22" s="841" customFormat="1" ht="15" x14ac:dyDescent="0.25">
      <c r="A7532" s="841" t="s">
        <v>242</v>
      </c>
      <c r="E7532" s="1690" t="s">
        <v>84</v>
      </c>
      <c r="F7532" s="1690"/>
      <c r="G7532" s="1408" t="s">
        <v>33</v>
      </c>
      <c r="H7532" s="393">
        <v>2.8336999999999999</v>
      </c>
      <c r="K7532" s="841" t="s">
        <v>5642</v>
      </c>
      <c r="L7532" s="841" t="s">
        <v>442</v>
      </c>
      <c r="M7532" s="1357"/>
      <c r="P7532" s="841" t="s">
        <v>5644</v>
      </c>
      <c r="Q7532" s="1357"/>
      <c r="S7532" s="1420"/>
      <c r="T7532" s="1420"/>
      <c r="V7532" s="1357">
        <v>28</v>
      </c>
    </row>
    <row r="7533" spans="1:22" s="841" customFormat="1" ht="15" x14ac:dyDescent="0.25">
      <c r="A7533" s="841" t="s">
        <v>242</v>
      </c>
      <c r="E7533" s="1690" t="s">
        <v>18</v>
      </c>
      <c r="F7533" s="1690"/>
      <c r="G7533" s="1408" t="s">
        <v>33</v>
      </c>
      <c r="H7533" s="393">
        <v>0.1313</v>
      </c>
      <c r="K7533" s="841" t="s">
        <v>5642</v>
      </c>
      <c r="L7533" s="841" t="s">
        <v>443</v>
      </c>
      <c r="M7533" s="1357"/>
      <c r="P7533" s="841" t="s">
        <v>5645</v>
      </c>
      <c r="Q7533" s="1357"/>
      <c r="S7533" s="1420"/>
      <c r="T7533" s="1420"/>
      <c r="V7533" s="1357">
        <v>24</v>
      </c>
    </row>
    <row r="7534" spans="1:22" s="841" customFormat="1" ht="15" x14ac:dyDescent="0.25">
      <c r="A7534" s="841" t="s">
        <v>242</v>
      </c>
      <c r="E7534" s="1690" t="s">
        <v>223</v>
      </c>
      <c r="F7534" s="1690"/>
      <c r="G7534" s="1408" t="s">
        <v>33</v>
      </c>
      <c r="H7534" s="393">
        <v>2.8239999999999998</v>
      </c>
      <c r="K7534" s="841" t="s">
        <v>5642</v>
      </c>
      <c r="L7534" s="841" t="s">
        <v>444</v>
      </c>
      <c r="M7534" s="1357"/>
      <c r="P7534" s="841" t="s">
        <v>5646</v>
      </c>
      <c r="Q7534" s="1357"/>
      <c r="S7534" s="1420"/>
      <c r="T7534" s="1420"/>
      <c r="V7534" s="1357">
        <v>66</v>
      </c>
    </row>
    <row r="7535" spans="1:22" s="841" customFormat="1" ht="15" x14ac:dyDescent="0.25">
      <c r="A7535" s="841" t="s">
        <v>242</v>
      </c>
      <c r="E7535" s="1690" t="s">
        <v>219</v>
      </c>
      <c r="F7535" s="1690"/>
      <c r="G7535" s="1408" t="s">
        <v>33</v>
      </c>
      <c r="H7535" s="393">
        <v>2.1109</v>
      </c>
      <c r="K7535" s="841" t="s">
        <v>5642</v>
      </c>
      <c r="L7535" s="841" t="s">
        <v>444</v>
      </c>
      <c r="M7535" s="1357"/>
      <c r="P7535" s="841" t="s">
        <v>5647</v>
      </c>
      <c r="Q7535" s="1357"/>
      <c r="S7535" s="1420"/>
      <c r="T7535" s="1420"/>
      <c r="V7535" s="1357">
        <v>93</v>
      </c>
    </row>
    <row r="7536" spans="1:22" s="841" customFormat="1" ht="15" x14ac:dyDescent="0.25">
      <c r="A7536" s="841" t="s">
        <v>242</v>
      </c>
      <c r="E7536" s="1694" t="s">
        <v>3079</v>
      </c>
      <c r="F7536" s="1690"/>
      <c r="G7536" s="1408"/>
      <c r="H7536" s="1408"/>
      <c r="K7536" s="841" t="s">
        <v>3225</v>
      </c>
      <c r="M7536" s="1357"/>
      <c r="Q7536" s="1357"/>
      <c r="S7536" s="1420"/>
      <c r="T7536" s="1420"/>
      <c r="V7536" s="1357">
        <v>48</v>
      </c>
    </row>
    <row r="7537" spans="1:22" s="841" customFormat="1" ht="15" x14ac:dyDescent="0.25">
      <c r="A7537" s="841" t="s">
        <v>242</v>
      </c>
      <c r="E7537" s="1690" t="s">
        <v>2449</v>
      </c>
      <c r="F7537" s="1690"/>
      <c r="G7537" s="1408" t="s">
        <v>24</v>
      </c>
      <c r="H7537" s="393">
        <v>3.2000000000000002E-3</v>
      </c>
      <c r="K7537" s="841" t="s">
        <v>5642</v>
      </c>
      <c r="L7537" s="841" t="s">
        <v>3046</v>
      </c>
      <c r="M7537" s="1357"/>
      <c r="P7537" s="841" t="s">
        <v>5648</v>
      </c>
      <c r="Q7537" s="1357"/>
      <c r="S7537" s="1420"/>
      <c r="T7537" s="1420"/>
      <c r="V7537" s="1357">
        <v>55</v>
      </c>
    </row>
    <row r="7538" spans="1:22" s="841" customFormat="1" ht="15" x14ac:dyDescent="0.25">
      <c r="A7538" s="841" t="s">
        <v>242</v>
      </c>
      <c r="E7538" s="1690" t="s">
        <v>2450</v>
      </c>
      <c r="F7538" s="1690"/>
      <c r="G7538" s="1408" t="s">
        <v>24</v>
      </c>
      <c r="H7538" s="393">
        <v>4.0000000000000002E-4</v>
      </c>
      <c r="K7538" s="841" t="s">
        <v>5642</v>
      </c>
      <c r="L7538" s="841" t="s">
        <v>3046</v>
      </c>
      <c r="M7538" s="1357"/>
      <c r="P7538" s="841" t="s">
        <v>5648</v>
      </c>
      <c r="Q7538" s="1357"/>
      <c r="S7538" s="1420"/>
      <c r="T7538" s="1420"/>
      <c r="V7538" s="1357">
        <v>65</v>
      </c>
    </row>
    <row r="7539" spans="1:22" s="841" customFormat="1" ht="15" x14ac:dyDescent="0.25">
      <c r="A7539" s="841" t="s">
        <v>242</v>
      </c>
      <c r="E7539" s="1690" t="s">
        <v>439</v>
      </c>
      <c r="F7539" s="1690"/>
      <c r="G7539" s="1408" t="s">
        <v>24</v>
      </c>
      <c r="H7539" s="393">
        <v>2.9999999999999997E-4</v>
      </c>
      <c r="K7539" s="841" t="s">
        <v>5642</v>
      </c>
      <c r="L7539" s="841" t="s">
        <v>3046</v>
      </c>
      <c r="M7539" s="1357"/>
      <c r="P7539" s="841" t="s">
        <v>5649</v>
      </c>
      <c r="Q7539" s="1357"/>
      <c r="S7539" s="1420"/>
      <c r="T7539" s="1420"/>
      <c r="V7539" s="1357">
        <v>57</v>
      </c>
    </row>
    <row r="7540" spans="1:22" s="841" customFormat="1" ht="15" x14ac:dyDescent="0.25">
      <c r="A7540" s="841" t="s">
        <v>242</v>
      </c>
      <c r="E7540" s="1690" t="s">
        <v>32</v>
      </c>
      <c r="F7540" s="1690"/>
      <c r="G7540" s="1408" t="s">
        <v>23</v>
      </c>
      <c r="H7540" s="391">
        <v>0.25</v>
      </c>
      <c r="K7540" s="841" t="s">
        <v>5642</v>
      </c>
      <c r="L7540" s="841" t="s">
        <v>3046</v>
      </c>
      <c r="M7540" s="1357"/>
      <c r="P7540" s="841" t="s">
        <v>5650</v>
      </c>
      <c r="Q7540" s="1357"/>
      <c r="S7540" s="1420"/>
      <c r="T7540" s="1420"/>
      <c r="V7540" s="1357">
        <v>63</v>
      </c>
    </row>
    <row r="7541" spans="1:22" s="841" customFormat="1" x14ac:dyDescent="0.25">
      <c r="A7541" s="841" t="s">
        <v>242</v>
      </c>
      <c r="E7541" s="1909" t="s">
        <v>617</v>
      </c>
      <c r="F7541" s="1915"/>
      <c r="G7541" s="1915"/>
      <c r="H7541" s="1915"/>
      <c r="K7541" s="841" t="s">
        <v>3457</v>
      </c>
      <c r="M7541" s="1357"/>
      <c r="Q7541" s="1357"/>
      <c r="S7541" s="1420"/>
      <c r="T7541" s="1420"/>
      <c r="V7541" s="1357">
        <v>47</v>
      </c>
    </row>
    <row r="7542" spans="1:22" s="841" customFormat="1" ht="15" x14ac:dyDescent="0.25">
      <c r="A7542" s="841" t="s">
        <v>242</v>
      </c>
      <c r="E7542" s="1689" t="s">
        <v>4544</v>
      </c>
      <c r="F7542" s="1689"/>
      <c r="G7542" s="1689"/>
      <c r="H7542" s="1689"/>
      <c r="K7542" s="841" t="s">
        <v>3457</v>
      </c>
      <c r="M7542" s="1357"/>
      <c r="Q7542" s="1357"/>
      <c r="S7542" s="1420"/>
      <c r="T7542" s="1420"/>
      <c r="V7542" s="1357">
        <v>758</v>
      </c>
    </row>
    <row r="7543" spans="1:22" s="841" customFormat="1" ht="15" x14ac:dyDescent="0.25">
      <c r="A7543" s="841" t="s">
        <v>242</v>
      </c>
      <c r="E7543" s="1916" t="s">
        <v>3061</v>
      </c>
      <c r="F7543" s="1697"/>
      <c r="G7543" s="1697"/>
      <c r="H7543" s="1697"/>
      <c r="K7543" s="841" t="s">
        <v>3107</v>
      </c>
      <c r="M7543" s="1357"/>
      <c r="Q7543" s="1357"/>
      <c r="S7543" s="1420"/>
      <c r="T7543" s="1420"/>
      <c r="V7543" s="1357">
        <v>11</v>
      </c>
    </row>
    <row r="7544" spans="1:22" s="841" customFormat="1" ht="15" x14ac:dyDescent="0.25">
      <c r="A7544" s="841" t="s">
        <v>242</v>
      </c>
      <c r="E7544" s="1689" t="s">
        <v>3063</v>
      </c>
      <c r="F7544" s="1689"/>
      <c r="G7544" s="1689"/>
      <c r="H7544" s="1689"/>
      <c r="K7544" s="841" t="s">
        <v>3457</v>
      </c>
      <c r="M7544" s="1357"/>
      <c r="Q7544" s="1357"/>
      <c r="S7544" s="1420"/>
      <c r="T7544" s="1420"/>
      <c r="V7544" s="1357">
        <v>280</v>
      </c>
    </row>
    <row r="7545" spans="1:22" s="841" customFormat="1" ht="15" x14ac:dyDescent="0.25">
      <c r="A7545" s="841" t="s">
        <v>242</v>
      </c>
      <c r="E7545" s="1689" t="s">
        <v>3064</v>
      </c>
      <c r="F7545" s="1689"/>
      <c r="G7545" s="1689"/>
      <c r="H7545" s="1689"/>
      <c r="K7545" s="841" t="s">
        <v>3457</v>
      </c>
      <c r="M7545" s="1357"/>
      <c r="Q7545" s="1357"/>
      <c r="S7545" s="1420"/>
      <c r="T7545" s="1420"/>
      <c r="V7545" s="1357">
        <v>411</v>
      </c>
    </row>
    <row r="7546" spans="1:22" s="841" customFormat="1" ht="15" x14ac:dyDescent="0.25">
      <c r="A7546" s="841" t="s">
        <v>242</v>
      </c>
      <c r="E7546" s="1689" t="s">
        <v>3199</v>
      </c>
      <c r="F7546" s="1689"/>
      <c r="G7546" s="1689"/>
      <c r="H7546" s="1689"/>
      <c r="K7546" s="841" t="s">
        <v>3457</v>
      </c>
      <c r="M7546" s="1357"/>
      <c r="Q7546" s="1357"/>
      <c r="S7546" s="1420"/>
      <c r="T7546" s="1420"/>
      <c r="V7546" s="1357">
        <v>386</v>
      </c>
    </row>
    <row r="7547" spans="1:22" s="841" customFormat="1" ht="15" x14ac:dyDescent="0.25">
      <c r="A7547" s="841" t="s">
        <v>242</v>
      </c>
      <c r="E7547" s="1689" t="s">
        <v>4340</v>
      </c>
      <c r="F7547" s="1689"/>
      <c r="G7547" s="1689"/>
      <c r="H7547" s="1689"/>
      <c r="K7547" s="841" t="s">
        <v>3457</v>
      </c>
      <c r="M7547" s="1357"/>
      <c r="Q7547" s="1357"/>
      <c r="S7547" s="1420"/>
      <c r="T7547" s="1420"/>
      <c r="V7547" s="1357">
        <v>279</v>
      </c>
    </row>
    <row r="7548" spans="1:22" s="841" customFormat="1" ht="15" x14ac:dyDescent="0.25">
      <c r="A7548" s="841" t="s">
        <v>242</v>
      </c>
      <c r="E7548" s="1694" t="s">
        <v>3067</v>
      </c>
      <c r="F7548" s="1907"/>
      <c r="G7548" s="1907"/>
      <c r="H7548" s="1907"/>
      <c r="K7548" s="841" t="s">
        <v>3108</v>
      </c>
      <c r="M7548" s="1357"/>
      <c r="Q7548" s="1357"/>
      <c r="S7548" s="1420"/>
      <c r="T7548" s="1420"/>
      <c r="V7548" s="1357">
        <v>46</v>
      </c>
    </row>
    <row r="7549" spans="1:22" s="841" customFormat="1" ht="15" x14ac:dyDescent="0.25">
      <c r="A7549" s="841" t="s">
        <v>242</v>
      </c>
      <c r="E7549" s="1690" t="s">
        <v>12</v>
      </c>
      <c r="F7549" s="1690"/>
      <c r="G7549" s="1408" t="s">
        <v>23</v>
      </c>
      <c r="H7549" s="391">
        <v>10.35</v>
      </c>
      <c r="K7549" s="841" t="s">
        <v>3457</v>
      </c>
      <c r="L7549" s="841" t="s">
        <v>442</v>
      </c>
      <c r="M7549" s="1357"/>
      <c r="P7549" s="841" t="s">
        <v>3458</v>
      </c>
      <c r="Q7549" s="1357"/>
      <c r="S7549" s="1420"/>
      <c r="T7549" s="1420"/>
      <c r="V7549" s="1357">
        <v>31</v>
      </c>
    </row>
    <row r="7550" spans="1:22" s="841" customFormat="1" ht="15" x14ac:dyDescent="0.25">
      <c r="A7550" s="841" t="s">
        <v>242</v>
      </c>
      <c r="E7550" s="1690" t="s">
        <v>84</v>
      </c>
      <c r="F7550" s="1690"/>
      <c r="G7550" s="1408" t="s">
        <v>24</v>
      </c>
      <c r="H7550" s="393">
        <v>9.7999999999999997E-3</v>
      </c>
      <c r="K7550" s="841" t="s">
        <v>3457</v>
      </c>
      <c r="L7550" s="841" t="s">
        <v>442</v>
      </c>
      <c r="M7550" s="1357"/>
      <c r="P7550" s="841" t="s">
        <v>3459</v>
      </c>
      <c r="Q7550" s="1357"/>
      <c r="S7550" s="1420"/>
      <c r="T7550" s="1420"/>
      <c r="V7550" s="1357">
        <v>28</v>
      </c>
    </row>
    <row r="7551" spans="1:22" s="841" customFormat="1" ht="15" x14ac:dyDescent="0.25">
      <c r="A7551" s="841" t="s">
        <v>242</v>
      </c>
      <c r="E7551" s="1690" t="s">
        <v>18</v>
      </c>
      <c r="F7551" s="1690"/>
      <c r="G7551" s="1408" t="s">
        <v>24</v>
      </c>
      <c r="H7551" s="393">
        <v>2.9999999999999997E-4</v>
      </c>
      <c r="K7551" s="841" t="s">
        <v>3457</v>
      </c>
      <c r="L7551" s="841" t="s">
        <v>443</v>
      </c>
      <c r="M7551" s="1357"/>
      <c r="P7551" s="841" t="s">
        <v>3460</v>
      </c>
      <c r="Q7551" s="1357"/>
      <c r="S7551" s="1420"/>
      <c r="T7551" s="1420"/>
      <c r="V7551" s="1357">
        <v>24</v>
      </c>
    </row>
    <row r="7552" spans="1:22" s="841" customFormat="1" ht="15" x14ac:dyDescent="0.25">
      <c r="A7552" s="841" t="s">
        <v>242</v>
      </c>
      <c r="E7552" s="1690" t="s">
        <v>221</v>
      </c>
      <c r="F7552" s="1690"/>
      <c r="G7552" s="1408" t="s">
        <v>24</v>
      </c>
      <c r="H7552" s="393">
        <v>7.3000000000000001E-3</v>
      </c>
      <c r="K7552" s="841" t="s">
        <v>3457</v>
      </c>
      <c r="L7552" s="841" t="s">
        <v>444</v>
      </c>
      <c r="M7552" s="1357"/>
      <c r="P7552" s="841" t="s">
        <v>3462</v>
      </c>
      <c r="Q7552" s="1357"/>
      <c r="S7552" s="1420"/>
      <c r="T7552" s="1420"/>
      <c r="V7552" s="1357">
        <v>47</v>
      </c>
    </row>
    <row r="7553" spans="1:22" s="841" customFormat="1" ht="15" x14ac:dyDescent="0.25">
      <c r="A7553" s="841" t="s">
        <v>242</v>
      </c>
      <c r="E7553" s="1690" t="s">
        <v>217</v>
      </c>
      <c r="F7553" s="1690"/>
      <c r="G7553" s="1408" t="s">
        <v>24</v>
      </c>
      <c r="H7553" s="393">
        <v>5.4000000000000003E-3</v>
      </c>
      <c r="K7553" s="841" t="s">
        <v>3457</v>
      </c>
      <c r="L7553" s="841" t="s">
        <v>444</v>
      </c>
      <c r="M7553" s="1357"/>
      <c r="P7553" s="841" t="s">
        <v>3463</v>
      </c>
      <c r="Q7553" s="1357"/>
      <c r="S7553" s="1420"/>
      <c r="T7553" s="1420"/>
      <c r="V7553" s="1357">
        <v>74</v>
      </c>
    </row>
    <row r="7554" spans="1:22" s="841" customFormat="1" ht="15" x14ac:dyDescent="0.25">
      <c r="A7554" s="841" t="s">
        <v>242</v>
      </c>
      <c r="E7554" s="1694" t="s">
        <v>3079</v>
      </c>
      <c r="F7554" s="1690"/>
      <c r="G7554" s="1408"/>
      <c r="H7554" s="1408"/>
      <c r="K7554" s="841" t="s">
        <v>3111</v>
      </c>
      <c r="M7554" s="1357"/>
      <c r="Q7554" s="1357"/>
      <c r="S7554" s="1420"/>
      <c r="T7554" s="1420"/>
      <c r="V7554" s="1357">
        <v>48</v>
      </c>
    </row>
    <row r="7555" spans="1:22" s="841" customFormat="1" ht="15" x14ac:dyDescent="0.25">
      <c r="A7555" s="841" t="s">
        <v>242</v>
      </c>
      <c r="E7555" s="1690" t="s">
        <v>2449</v>
      </c>
      <c r="F7555" s="1690"/>
      <c r="G7555" s="1408" t="s">
        <v>24</v>
      </c>
      <c r="H7555" s="393">
        <v>3.2000000000000002E-3</v>
      </c>
      <c r="K7555" s="841" t="s">
        <v>3457</v>
      </c>
      <c r="L7555" s="841" t="s">
        <v>3046</v>
      </c>
      <c r="M7555" s="1357"/>
      <c r="P7555" s="841" t="s">
        <v>3464</v>
      </c>
      <c r="Q7555" s="1357"/>
      <c r="S7555" s="1420"/>
      <c r="T7555" s="1420"/>
      <c r="V7555" s="1357">
        <v>55</v>
      </c>
    </row>
    <row r="7556" spans="1:22" s="841" customFormat="1" ht="15" x14ac:dyDescent="0.25">
      <c r="A7556" s="841" t="s">
        <v>242</v>
      </c>
      <c r="E7556" s="1690" t="s">
        <v>2450</v>
      </c>
      <c r="F7556" s="1690"/>
      <c r="G7556" s="1408" t="s">
        <v>24</v>
      </c>
      <c r="H7556" s="393">
        <v>4.0000000000000002E-4</v>
      </c>
      <c r="K7556" s="841" t="s">
        <v>3457</v>
      </c>
      <c r="L7556" s="841" t="s">
        <v>3046</v>
      </c>
      <c r="M7556" s="1357"/>
      <c r="P7556" s="841" t="s">
        <v>3464</v>
      </c>
      <c r="Q7556" s="1357"/>
      <c r="S7556" s="1420"/>
      <c r="T7556" s="1420"/>
      <c r="V7556" s="1357">
        <v>65</v>
      </c>
    </row>
    <row r="7557" spans="1:22" s="841" customFormat="1" ht="15" x14ac:dyDescent="0.25">
      <c r="A7557" s="841" t="s">
        <v>242</v>
      </c>
      <c r="E7557" s="1690" t="s">
        <v>439</v>
      </c>
      <c r="F7557" s="1690"/>
      <c r="G7557" s="1408" t="s">
        <v>24</v>
      </c>
      <c r="H7557" s="393">
        <v>2.9999999999999997E-4</v>
      </c>
      <c r="K7557" s="841" t="s">
        <v>3457</v>
      </c>
      <c r="L7557" s="841" t="s">
        <v>3046</v>
      </c>
      <c r="M7557" s="1357"/>
      <c r="P7557" s="841" t="s">
        <v>3465</v>
      </c>
      <c r="Q7557" s="1357"/>
      <c r="S7557" s="1420"/>
      <c r="T7557" s="1420"/>
      <c r="V7557" s="1357">
        <v>57</v>
      </c>
    </row>
    <row r="7558" spans="1:22" s="841" customFormat="1" ht="15" x14ac:dyDescent="0.25">
      <c r="A7558" s="841" t="s">
        <v>242</v>
      </c>
      <c r="E7558" s="1690" t="s">
        <v>32</v>
      </c>
      <c r="F7558" s="1690"/>
      <c r="G7558" s="1408" t="s">
        <v>23</v>
      </c>
      <c r="H7558" s="391">
        <v>0.25</v>
      </c>
      <c r="K7558" s="841" t="s">
        <v>3457</v>
      </c>
      <c r="L7558" s="841" t="s">
        <v>3046</v>
      </c>
      <c r="M7558" s="1357"/>
      <c r="P7558" s="841" t="s">
        <v>3466</v>
      </c>
      <c r="Q7558" s="1357"/>
      <c r="S7558" s="1420"/>
      <c r="T7558" s="1420"/>
      <c r="V7558" s="1357">
        <v>63</v>
      </c>
    </row>
    <row r="7559" spans="1:22" s="841" customFormat="1" x14ac:dyDescent="0.25">
      <c r="A7559" s="841" t="s">
        <v>242</v>
      </c>
      <c r="E7559" s="1909" t="s">
        <v>629</v>
      </c>
      <c r="F7559" s="1915"/>
      <c r="G7559" s="1915"/>
      <c r="H7559" s="1915"/>
      <c r="K7559" s="841" t="s">
        <v>3467</v>
      </c>
      <c r="M7559" s="1357"/>
      <c r="Q7559" s="1357"/>
      <c r="S7559" s="1420"/>
      <c r="T7559" s="1420"/>
      <c r="V7559" s="1357">
        <v>40</v>
      </c>
    </row>
    <row r="7560" spans="1:22" s="841" customFormat="1" ht="15" x14ac:dyDescent="0.25">
      <c r="A7560" s="841" t="s">
        <v>242</v>
      </c>
      <c r="E7560" s="1689" t="s">
        <v>4545</v>
      </c>
      <c r="F7560" s="1689"/>
      <c r="G7560" s="1689"/>
      <c r="H7560" s="1689"/>
      <c r="K7560" s="841" t="s">
        <v>3467</v>
      </c>
      <c r="M7560" s="1357"/>
      <c r="Q7560" s="1357"/>
      <c r="S7560" s="1420"/>
      <c r="T7560" s="1420"/>
      <c r="V7560" s="1357">
        <v>253</v>
      </c>
    </row>
    <row r="7561" spans="1:22" s="841" customFormat="1" ht="15" x14ac:dyDescent="0.25">
      <c r="A7561" s="841" t="s">
        <v>242</v>
      </c>
      <c r="E7561" s="1916" t="s">
        <v>3061</v>
      </c>
      <c r="F7561" s="1697"/>
      <c r="G7561" s="1697"/>
      <c r="H7561" s="1697"/>
      <c r="K7561" s="841" t="s">
        <v>3114</v>
      </c>
      <c r="M7561" s="1357"/>
      <c r="Q7561" s="1357"/>
      <c r="S7561" s="1420"/>
      <c r="T7561" s="1420"/>
      <c r="V7561" s="1357">
        <v>11</v>
      </c>
    </row>
    <row r="7562" spans="1:22" s="841" customFormat="1" ht="15" x14ac:dyDescent="0.25">
      <c r="A7562" s="841" t="s">
        <v>242</v>
      </c>
      <c r="E7562" s="1689" t="s">
        <v>3063</v>
      </c>
      <c r="F7562" s="1689"/>
      <c r="G7562" s="1689"/>
      <c r="H7562" s="1689"/>
      <c r="K7562" s="841" t="s">
        <v>3467</v>
      </c>
      <c r="M7562" s="1357"/>
      <c r="Q7562" s="1357"/>
      <c r="S7562" s="1420"/>
      <c r="T7562" s="1420"/>
      <c r="V7562" s="1357">
        <v>280</v>
      </c>
    </row>
    <row r="7563" spans="1:22" s="841" customFormat="1" ht="15" x14ac:dyDescent="0.25">
      <c r="A7563" s="841" t="s">
        <v>242</v>
      </c>
      <c r="E7563" s="1689" t="s">
        <v>3064</v>
      </c>
      <c r="F7563" s="1689"/>
      <c r="G7563" s="1689"/>
      <c r="H7563" s="1689"/>
      <c r="K7563" s="841" t="s">
        <v>3467</v>
      </c>
      <c r="M7563" s="1357"/>
      <c r="Q7563" s="1357"/>
      <c r="S7563" s="1420"/>
      <c r="T7563" s="1420"/>
      <c r="V7563" s="1357">
        <v>411</v>
      </c>
    </row>
    <row r="7564" spans="1:22" s="841" customFormat="1" ht="15" x14ac:dyDescent="0.25">
      <c r="A7564" s="841" t="s">
        <v>242</v>
      </c>
      <c r="E7564" s="1689" t="s">
        <v>3199</v>
      </c>
      <c r="F7564" s="1689"/>
      <c r="G7564" s="1689"/>
      <c r="H7564" s="1689"/>
      <c r="K7564" s="841" t="s">
        <v>3467</v>
      </c>
      <c r="M7564" s="1357"/>
      <c r="Q7564" s="1357"/>
      <c r="S7564" s="1420"/>
      <c r="T7564" s="1420"/>
      <c r="V7564" s="1357">
        <v>386</v>
      </c>
    </row>
    <row r="7565" spans="1:22" s="841" customFormat="1" ht="15" x14ac:dyDescent="0.25">
      <c r="A7565" s="841" t="s">
        <v>242</v>
      </c>
      <c r="E7565" s="1689" t="s">
        <v>4340</v>
      </c>
      <c r="F7565" s="1689"/>
      <c r="G7565" s="1689"/>
      <c r="H7565" s="1689"/>
      <c r="K7565" s="841" t="s">
        <v>3467</v>
      </c>
      <c r="M7565" s="1357"/>
      <c r="Q7565" s="1357"/>
      <c r="S7565" s="1420"/>
      <c r="T7565" s="1420"/>
      <c r="V7565" s="1357">
        <v>279</v>
      </c>
    </row>
    <row r="7566" spans="1:22" s="841" customFormat="1" ht="15" x14ac:dyDescent="0.25">
      <c r="A7566" s="841" t="s">
        <v>242</v>
      </c>
      <c r="E7566" s="1694" t="s">
        <v>3067</v>
      </c>
      <c r="F7566" s="1907"/>
      <c r="G7566" s="1907"/>
      <c r="H7566" s="1907"/>
      <c r="K7566" s="841" t="s">
        <v>3115</v>
      </c>
      <c r="M7566" s="1357"/>
      <c r="Q7566" s="1357"/>
      <c r="S7566" s="1420"/>
      <c r="T7566" s="1420"/>
      <c r="V7566" s="1357">
        <v>46</v>
      </c>
    </row>
    <row r="7567" spans="1:22" s="841" customFormat="1" ht="15" x14ac:dyDescent="0.25">
      <c r="A7567" s="841" t="s">
        <v>242</v>
      </c>
      <c r="E7567" s="1690" t="s">
        <v>12</v>
      </c>
      <c r="F7567" s="1690"/>
      <c r="G7567" s="1408" t="s">
        <v>23</v>
      </c>
      <c r="H7567" s="391">
        <v>2.83</v>
      </c>
      <c r="K7567" s="841" t="s">
        <v>3467</v>
      </c>
      <c r="L7567" s="841" t="s">
        <v>442</v>
      </c>
      <c r="M7567" s="1357"/>
      <c r="P7567" s="841" t="s">
        <v>3468</v>
      </c>
      <c r="Q7567" s="1357"/>
      <c r="S7567" s="1420"/>
      <c r="T7567" s="1420"/>
      <c r="V7567" s="1357">
        <v>31</v>
      </c>
    </row>
    <row r="7568" spans="1:22" s="841" customFormat="1" ht="15" x14ac:dyDescent="0.25">
      <c r="A7568" s="841" t="s">
        <v>242</v>
      </c>
      <c r="E7568" s="1690" t="s">
        <v>84</v>
      </c>
      <c r="F7568" s="1690"/>
      <c r="G7568" s="1408" t="s">
        <v>33</v>
      </c>
      <c r="H7568" s="393">
        <v>48.039299999999997</v>
      </c>
      <c r="K7568" s="841" t="s">
        <v>3467</v>
      </c>
      <c r="L7568" s="841" t="s">
        <v>442</v>
      </c>
      <c r="M7568" s="1357"/>
      <c r="P7568" s="841" t="s">
        <v>3469</v>
      </c>
      <c r="Q7568" s="1357"/>
      <c r="S7568" s="1420"/>
      <c r="T7568" s="1420"/>
      <c r="V7568" s="1357">
        <v>28</v>
      </c>
    </row>
    <row r="7569" spans="1:22" s="841" customFormat="1" ht="15" x14ac:dyDescent="0.25">
      <c r="A7569" s="841" t="s">
        <v>242</v>
      </c>
      <c r="E7569" s="1690" t="s">
        <v>18</v>
      </c>
      <c r="F7569" s="1690"/>
      <c r="G7569" s="1408" t="s">
        <v>33</v>
      </c>
      <c r="H7569" s="393">
        <v>2.5499999999999998E-2</v>
      </c>
      <c r="K7569" s="841" t="s">
        <v>3467</v>
      </c>
      <c r="L7569" s="841" t="s">
        <v>443</v>
      </c>
      <c r="M7569" s="1357"/>
      <c r="P7569" s="841" t="s">
        <v>3470</v>
      </c>
      <c r="Q7569" s="1357"/>
      <c r="S7569" s="1420"/>
      <c r="T7569" s="1420"/>
      <c r="V7569" s="1357">
        <v>24</v>
      </c>
    </row>
    <row r="7570" spans="1:22" s="841" customFormat="1" ht="15" x14ac:dyDescent="0.25">
      <c r="A7570" s="841" t="s">
        <v>242</v>
      </c>
      <c r="E7570" s="1690" t="s">
        <v>221</v>
      </c>
      <c r="F7570" s="1690"/>
      <c r="G7570" s="1408" t="s">
        <v>33</v>
      </c>
      <c r="H7570" s="393">
        <v>0.5484</v>
      </c>
      <c r="K7570" s="841" t="s">
        <v>3467</v>
      </c>
      <c r="L7570" s="841" t="s">
        <v>444</v>
      </c>
      <c r="M7570" s="1357"/>
      <c r="P7570" s="841" t="s">
        <v>3472</v>
      </c>
      <c r="Q7570" s="1357"/>
      <c r="S7570" s="1420"/>
      <c r="T7570" s="1420"/>
      <c r="V7570" s="1357">
        <v>47</v>
      </c>
    </row>
    <row r="7571" spans="1:22" s="841" customFormat="1" ht="15" x14ac:dyDescent="0.25">
      <c r="A7571" s="841" t="s">
        <v>242</v>
      </c>
      <c r="E7571" s="1690" t="s">
        <v>217</v>
      </c>
      <c r="F7571" s="1690"/>
      <c r="G7571" s="1408" t="s">
        <v>33</v>
      </c>
      <c r="H7571" s="393">
        <v>0.4098</v>
      </c>
      <c r="K7571" s="841" t="s">
        <v>3467</v>
      </c>
      <c r="L7571" s="841" t="s">
        <v>444</v>
      </c>
      <c r="M7571" s="1357"/>
      <c r="P7571" s="841" t="s">
        <v>3473</v>
      </c>
      <c r="Q7571" s="1357"/>
      <c r="S7571" s="1420"/>
      <c r="T7571" s="1420"/>
      <c r="V7571" s="1357">
        <v>74</v>
      </c>
    </row>
    <row r="7572" spans="1:22" s="841" customFormat="1" ht="15" x14ac:dyDescent="0.25">
      <c r="A7572" s="841" t="s">
        <v>242</v>
      </c>
      <c r="E7572" s="1694" t="s">
        <v>3079</v>
      </c>
      <c r="F7572" s="1690"/>
      <c r="G7572" s="1408"/>
      <c r="H7572" s="1408"/>
      <c r="K7572" s="841" t="s">
        <v>3122</v>
      </c>
      <c r="M7572" s="1357"/>
      <c r="Q7572" s="1357"/>
      <c r="S7572" s="1420"/>
      <c r="T7572" s="1420"/>
      <c r="V7572" s="1357">
        <v>48</v>
      </c>
    </row>
    <row r="7573" spans="1:22" s="841" customFormat="1" ht="15" x14ac:dyDescent="0.25">
      <c r="A7573" s="841" t="s">
        <v>242</v>
      </c>
      <c r="E7573" s="1690" t="s">
        <v>2449</v>
      </c>
      <c r="F7573" s="1690"/>
      <c r="G7573" s="1408" t="s">
        <v>24</v>
      </c>
      <c r="H7573" s="393">
        <v>3.2000000000000002E-3</v>
      </c>
      <c r="K7573" s="841" t="s">
        <v>3467</v>
      </c>
      <c r="L7573" s="841" t="s">
        <v>3046</v>
      </c>
      <c r="M7573" s="1357"/>
      <c r="P7573" s="841" t="s">
        <v>3474</v>
      </c>
      <c r="Q7573" s="1357"/>
      <c r="S7573" s="1420"/>
      <c r="T7573" s="1420"/>
      <c r="V7573" s="1357">
        <v>55</v>
      </c>
    </row>
    <row r="7574" spans="1:22" s="841" customFormat="1" ht="15" x14ac:dyDescent="0.25">
      <c r="A7574" s="841" t="s">
        <v>242</v>
      </c>
      <c r="E7574" s="1690" t="s">
        <v>2450</v>
      </c>
      <c r="F7574" s="1690"/>
      <c r="G7574" s="1408" t="s">
        <v>24</v>
      </c>
      <c r="H7574" s="393">
        <v>4.0000000000000002E-4</v>
      </c>
      <c r="K7574" s="841" t="s">
        <v>3467</v>
      </c>
      <c r="L7574" s="841" t="s">
        <v>3046</v>
      </c>
      <c r="M7574" s="1357"/>
      <c r="P7574" s="841" t="s">
        <v>3474</v>
      </c>
      <c r="Q7574" s="1357"/>
      <c r="S7574" s="1420"/>
      <c r="T7574" s="1420"/>
      <c r="V7574" s="1357">
        <v>65</v>
      </c>
    </row>
    <row r="7575" spans="1:22" s="841" customFormat="1" ht="15" x14ac:dyDescent="0.25">
      <c r="A7575" s="841" t="s">
        <v>242</v>
      </c>
      <c r="E7575" s="1690" t="s">
        <v>439</v>
      </c>
      <c r="F7575" s="1690"/>
      <c r="G7575" s="1408" t="s">
        <v>24</v>
      </c>
      <c r="H7575" s="393">
        <v>2.9999999999999997E-4</v>
      </c>
      <c r="K7575" s="841" t="s">
        <v>3467</v>
      </c>
      <c r="L7575" s="841" t="s">
        <v>3046</v>
      </c>
      <c r="M7575" s="1357"/>
      <c r="P7575" s="841" t="s">
        <v>3475</v>
      </c>
      <c r="Q7575" s="1357"/>
      <c r="S7575" s="1420"/>
      <c r="T7575" s="1420"/>
      <c r="V7575" s="1357">
        <v>57</v>
      </c>
    </row>
    <row r="7576" spans="1:22" s="841" customFormat="1" ht="15" x14ac:dyDescent="0.25">
      <c r="A7576" s="841" t="s">
        <v>242</v>
      </c>
      <c r="E7576" s="1690" t="s">
        <v>32</v>
      </c>
      <c r="F7576" s="1690"/>
      <c r="G7576" s="1408" t="s">
        <v>23</v>
      </c>
      <c r="H7576" s="391">
        <v>0.25</v>
      </c>
      <c r="K7576" s="841" t="s">
        <v>3467</v>
      </c>
      <c r="L7576" s="841" t="s">
        <v>3046</v>
      </c>
      <c r="M7576" s="1357"/>
      <c r="P7576" s="841" t="s">
        <v>3476</v>
      </c>
      <c r="Q7576" s="1357"/>
      <c r="S7576" s="1420"/>
      <c r="T7576" s="1420"/>
      <c r="V7576" s="1357">
        <v>63</v>
      </c>
    </row>
    <row r="7577" spans="1:22" s="841" customFormat="1" x14ac:dyDescent="0.25">
      <c r="A7577" s="841" t="s">
        <v>242</v>
      </c>
      <c r="E7577" s="1909" t="s">
        <v>615</v>
      </c>
      <c r="F7577" s="1915"/>
      <c r="G7577" s="1915"/>
      <c r="H7577" s="1915"/>
      <c r="K7577" s="841" t="s">
        <v>3477</v>
      </c>
      <c r="M7577" s="1357"/>
      <c r="Q7577" s="1357"/>
      <c r="S7577" s="1420"/>
      <c r="T7577" s="1420"/>
      <c r="V7577" s="1357">
        <v>38</v>
      </c>
    </row>
    <row r="7578" spans="1:22" s="841" customFormat="1" ht="15" x14ac:dyDescent="0.25">
      <c r="A7578" s="841" t="s">
        <v>242</v>
      </c>
      <c r="E7578" s="1689" t="s">
        <v>4546</v>
      </c>
      <c r="F7578" s="1689"/>
      <c r="G7578" s="1689"/>
      <c r="H7578" s="1689"/>
      <c r="K7578" s="841" t="s">
        <v>3477</v>
      </c>
      <c r="M7578" s="1357"/>
      <c r="Q7578" s="1357"/>
      <c r="S7578" s="1420"/>
      <c r="T7578" s="1420"/>
      <c r="V7578" s="1357">
        <v>499</v>
      </c>
    </row>
    <row r="7579" spans="1:22" s="841" customFormat="1" ht="15" x14ac:dyDescent="0.25">
      <c r="A7579" s="841" t="s">
        <v>242</v>
      </c>
      <c r="E7579" s="1916" t="s">
        <v>3061</v>
      </c>
      <c r="F7579" s="1697"/>
      <c r="G7579" s="1697"/>
      <c r="H7579" s="1697"/>
      <c r="K7579" s="841" t="s">
        <v>3128</v>
      </c>
      <c r="M7579" s="1357"/>
      <c r="Q7579" s="1357"/>
      <c r="S7579" s="1420"/>
      <c r="T7579" s="1420"/>
      <c r="V7579" s="1357">
        <v>11</v>
      </c>
    </row>
    <row r="7580" spans="1:22" s="841" customFormat="1" ht="15" x14ac:dyDescent="0.25">
      <c r="A7580" s="841" t="s">
        <v>242</v>
      </c>
      <c r="E7580" s="1689" t="s">
        <v>3063</v>
      </c>
      <c r="F7580" s="1689"/>
      <c r="G7580" s="1689"/>
      <c r="H7580" s="1689"/>
      <c r="K7580" s="841" t="s">
        <v>3477</v>
      </c>
      <c r="M7580" s="1357"/>
      <c r="Q7580" s="1357"/>
      <c r="S7580" s="1420"/>
      <c r="T7580" s="1420"/>
      <c r="V7580" s="1357">
        <v>280</v>
      </c>
    </row>
    <row r="7581" spans="1:22" s="841" customFormat="1" ht="15" x14ac:dyDescent="0.25">
      <c r="A7581" s="841" t="s">
        <v>242</v>
      </c>
      <c r="E7581" s="1689" t="s">
        <v>3064</v>
      </c>
      <c r="F7581" s="1689"/>
      <c r="G7581" s="1689"/>
      <c r="H7581" s="1689"/>
      <c r="K7581" s="841" t="s">
        <v>3477</v>
      </c>
      <c r="M7581" s="1357"/>
      <c r="Q7581" s="1357"/>
      <c r="S7581" s="1420"/>
      <c r="T7581" s="1420"/>
      <c r="V7581" s="1357">
        <v>411</v>
      </c>
    </row>
    <row r="7582" spans="1:22" s="841" customFormat="1" ht="15" x14ac:dyDescent="0.25">
      <c r="A7582" s="841" t="s">
        <v>242</v>
      </c>
      <c r="E7582" s="1689" t="s">
        <v>3199</v>
      </c>
      <c r="F7582" s="1689"/>
      <c r="G7582" s="1689"/>
      <c r="H7582" s="1689"/>
      <c r="K7582" s="841" t="s">
        <v>3477</v>
      </c>
      <c r="M7582" s="1357"/>
      <c r="Q7582" s="1357"/>
      <c r="S7582" s="1420"/>
      <c r="T7582" s="1420"/>
      <c r="V7582" s="1357">
        <v>386</v>
      </c>
    </row>
    <row r="7583" spans="1:22" s="841" customFormat="1" ht="15" x14ac:dyDescent="0.25">
      <c r="A7583" s="841" t="s">
        <v>242</v>
      </c>
      <c r="E7583" s="1689" t="s">
        <v>4340</v>
      </c>
      <c r="F7583" s="1689"/>
      <c r="G7583" s="1689"/>
      <c r="H7583" s="1689"/>
      <c r="K7583" s="841" t="s">
        <v>3477</v>
      </c>
      <c r="M7583" s="1357"/>
      <c r="Q7583" s="1357"/>
      <c r="S7583" s="1420"/>
      <c r="T7583" s="1420"/>
      <c r="V7583" s="1357">
        <v>279</v>
      </c>
    </row>
    <row r="7584" spans="1:22" s="841" customFormat="1" ht="15" x14ac:dyDescent="0.25">
      <c r="A7584" s="841" t="s">
        <v>242</v>
      </c>
      <c r="E7584" s="1694" t="s">
        <v>3067</v>
      </c>
      <c r="F7584" s="1907"/>
      <c r="G7584" s="1907"/>
      <c r="H7584" s="1907"/>
      <c r="K7584" s="841" t="s">
        <v>3130</v>
      </c>
      <c r="M7584" s="1357"/>
      <c r="Q7584" s="1357"/>
      <c r="S7584" s="1420"/>
      <c r="T7584" s="1420"/>
      <c r="V7584" s="1357">
        <v>46</v>
      </c>
    </row>
    <row r="7585" spans="1:22" s="841" customFormat="1" ht="15" x14ac:dyDescent="0.25">
      <c r="A7585" s="841" t="s">
        <v>242</v>
      </c>
      <c r="E7585" s="1690" t="s">
        <v>12</v>
      </c>
      <c r="F7585" s="1690"/>
      <c r="G7585" s="1408" t="s">
        <v>23</v>
      </c>
      <c r="H7585" s="391">
        <v>3.88</v>
      </c>
      <c r="K7585" s="841" t="s">
        <v>3477</v>
      </c>
      <c r="L7585" s="841" t="s">
        <v>442</v>
      </c>
      <c r="M7585" s="1357"/>
      <c r="P7585" s="841" t="s">
        <v>3478</v>
      </c>
      <c r="Q7585" s="1357"/>
      <c r="S7585" s="1420"/>
      <c r="T7585" s="1420"/>
      <c r="V7585" s="1357">
        <v>31</v>
      </c>
    </row>
    <row r="7586" spans="1:22" s="841" customFormat="1" ht="15" x14ac:dyDescent="0.25">
      <c r="A7586" s="841" t="s">
        <v>242</v>
      </c>
      <c r="E7586" s="1690" t="s">
        <v>84</v>
      </c>
      <c r="F7586" s="1690"/>
      <c r="G7586" s="1408" t="s">
        <v>33</v>
      </c>
      <c r="H7586" s="393">
        <v>23.8626</v>
      </c>
      <c r="K7586" s="841" t="s">
        <v>3477</v>
      </c>
      <c r="L7586" s="841" t="s">
        <v>442</v>
      </c>
      <c r="M7586" s="1357"/>
      <c r="P7586" s="841" t="s">
        <v>3479</v>
      </c>
      <c r="Q7586" s="1357"/>
      <c r="S7586" s="1420"/>
      <c r="T7586" s="1420"/>
      <c r="V7586" s="1357">
        <v>28</v>
      </c>
    </row>
    <row r="7587" spans="1:22" s="841" customFormat="1" ht="15" x14ac:dyDescent="0.25">
      <c r="A7587" s="841" t="s">
        <v>242</v>
      </c>
      <c r="E7587" s="1690" t="s">
        <v>18</v>
      </c>
      <c r="F7587" s="1690"/>
      <c r="G7587" s="1408" t="s">
        <v>33</v>
      </c>
      <c r="H7587" s="393">
        <v>0.1061</v>
      </c>
      <c r="K7587" s="841" t="s">
        <v>3477</v>
      </c>
      <c r="L7587" s="841" t="s">
        <v>443</v>
      </c>
      <c r="M7587" s="1357"/>
      <c r="P7587" s="841" t="s">
        <v>3480</v>
      </c>
      <c r="Q7587" s="1357"/>
      <c r="S7587" s="1420"/>
      <c r="T7587" s="1420"/>
      <c r="V7587" s="1357">
        <v>24</v>
      </c>
    </row>
    <row r="7588" spans="1:22" s="841" customFormat="1" ht="15" x14ac:dyDescent="0.25">
      <c r="A7588" s="841" t="s">
        <v>242</v>
      </c>
      <c r="E7588" s="1690" t="s">
        <v>221</v>
      </c>
      <c r="F7588" s="1690"/>
      <c r="G7588" s="1408" t="s">
        <v>33</v>
      </c>
      <c r="H7588" s="393">
        <v>2.2820999999999998</v>
      </c>
      <c r="K7588" s="841" t="s">
        <v>3477</v>
      </c>
      <c r="L7588" s="841" t="s">
        <v>444</v>
      </c>
      <c r="M7588" s="1357"/>
      <c r="P7588" s="841" t="s">
        <v>3482</v>
      </c>
      <c r="Q7588" s="1357"/>
      <c r="S7588" s="1420"/>
      <c r="T7588" s="1420"/>
      <c r="V7588" s="1357">
        <v>47</v>
      </c>
    </row>
    <row r="7589" spans="1:22" s="841" customFormat="1" ht="15" x14ac:dyDescent="0.25">
      <c r="A7589" s="841" t="s">
        <v>242</v>
      </c>
      <c r="E7589" s="1690" t="s">
        <v>217</v>
      </c>
      <c r="F7589" s="1690"/>
      <c r="G7589" s="1408" t="s">
        <v>33</v>
      </c>
      <c r="H7589" s="393">
        <v>1.7059</v>
      </c>
      <c r="K7589" s="841" t="s">
        <v>3477</v>
      </c>
      <c r="L7589" s="841" t="s">
        <v>444</v>
      </c>
      <c r="M7589" s="1357"/>
      <c r="P7589" s="841" t="s">
        <v>3483</v>
      </c>
      <c r="Q7589" s="1357"/>
      <c r="S7589" s="1420"/>
      <c r="T7589" s="1420"/>
      <c r="V7589" s="1357">
        <v>74</v>
      </c>
    </row>
    <row r="7590" spans="1:22" s="841" customFormat="1" ht="15" x14ac:dyDescent="0.25">
      <c r="A7590" s="841" t="s">
        <v>242</v>
      </c>
      <c r="E7590" s="1694" t="s">
        <v>3079</v>
      </c>
      <c r="F7590" s="1690"/>
      <c r="G7590" s="1408"/>
      <c r="H7590" s="1408"/>
      <c r="K7590" s="841" t="s">
        <v>3260</v>
      </c>
      <c r="M7590" s="1357"/>
      <c r="Q7590" s="1357"/>
      <c r="S7590" s="1420"/>
      <c r="T7590" s="1420"/>
      <c r="V7590" s="1357">
        <v>48</v>
      </c>
    </row>
    <row r="7591" spans="1:22" s="841" customFormat="1" ht="15" x14ac:dyDescent="0.25">
      <c r="A7591" s="841" t="s">
        <v>242</v>
      </c>
      <c r="E7591" s="1690" t="s">
        <v>2449</v>
      </c>
      <c r="F7591" s="1690"/>
      <c r="G7591" s="1408" t="s">
        <v>24</v>
      </c>
      <c r="H7591" s="393">
        <v>3.2000000000000002E-3</v>
      </c>
      <c r="K7591" s="841" t="s">
        <v>3477</v>
      </c>
      <c r="L7591" s="841" t="s">
        <v>3046</v>
      </c>
      <c r="M7591" s="1357"/>
      <c r="P7591" s="841" t="s">
        <v>3484</v>
      </c>
      <c r="Q7591" s="1357"/>
      <c r="S7591" s="1420"/>
      <c r="T7591" s="1420"/>
      <c r="V7591" s="1357">
        <v>55</v>
      </c>
    </row>
    <row r="7592" spans="1:22" s="841" customFormat="1" ht="15" x14ac:dyDescent="0.25">
      <c r="A7592" s="841" t="s">
        <v>242</v>
      </c>
      <c r="E7592" s="1690" t="s">
        <v>2450</v>
      </c>
      <c r="F7592" s="1690"/>
      <c r="G7592" s="1408" t="s">
        <v>24</v>
      </c>
      <c r="H7592" s="393">
        <v>4.0000000000000002E-4</v>
      </c>
      <c r="K7592" s="841" t="s">
        <v>3477</v>
      </c>
      <c r="L7592" s="841" t="s">
        <v>3046</v>
      </c>
      <c r="M7592" s="1357"/>
      <c r="P7592" s="841" t="s">
        <v>3484</v>
      </c>
      <c r="Q7592" s="1357"/>
      <c r="S7592" s="1420"/>
      <c r="T7592" s="1420"/>
      <c r="V7592" s="1357">
        <v>65</v>
      </c>
    </row>
    <row r="7593" spans="1:22" s="841" customFormat="1" ht="15" x14ac:dyDescent="0.25">
      <c r="A7593" s="841" t="s">
        <v>242</v>
      </c>
      <c r="E7593" s="1690" t="s">
        <v>439</v>
      </c>
      <c r="F7593" s="1690"/>
      <c r="G7593" s="1408" t="s">
        <v>24</v>
      </c>
      <c r="H7593" s="393">
        <v>2.9999999999999997E-4</v>
      </c>
      <c r="K7593" s="841" t="s">
        <v>3477</v>
      </c>
      <c r="L7593" s="841" t="s">
        <v>3046</v>
      </c>
      <c r="M7593" s="1357"/>
      <c r="P7593" s="841" t="s">
        <v>3485</v>
      </c>
      <c r="Q7593" s="1357"/>
      <c r="S7593" s="1420"/>
      <c r="T7593" s="1420"/>
      <c r="V7593" s="1357">
        <v>57</v>
      </c>
    </row>
    <row r="7594" spans="1:22" s="841" customFormat="1" ht="15" x14ac:dyDescent="0.25">
      <c r="A7594" s="841" t="s">
        <v>242</v>
      </c>
      <c r="E7594" s="1690" t="s">
        <v>32</v>
      </c>
      <c r="F7594" s="1690"/>
      <c r="G7594" s="1408" t="s">
        <v>23</v>
      </c>
      <c r="H7594" s="391">
        <v>0.25</v>
      </c>
      <c r="K7594" s="841" t="s">
        <v>3477</v>
      </c>
      <c r="L7594" s="841" t="s">
        <v>3046</v>
      </c>
      <c r="M7594" s="1357"/>
      <c r="P7594" s="841" t="s">
        <v>3486</v>
      </c>
      <c r="Q7594" s="1357"/>
      <c r="S7594" s="1420"/>
      <c r="T7594" s="1420"/>
      <c r="V7594" s="1357">
        <v>63</v>
      </c>
    </row>
    <row r="7595" spans="1:22" s="841" customFormat="1" x14ac:dyDescent="0.25">
      <c r="A7595" s="841" t="s">
        <v>242</v>
      </c>
      <c r="E7595" s="1909" t="s">
        <v>622</v>
      </c>
      <c r="F7595" s="1915"/>
      <c r="G7595" s="1915"/>
      <c r="H7595" s="1915"/>
      <c r="K7595" s="841" t="s">
        <v>3604</v>
      </c>
      <c r="M7595" s="1357"/>
      <c r="Q7595" s="1357"/>
      <c r="S7595" s="1420"/>
      <c r="T7595" s="1420"/>
      <c r="V7595" s="1357">
        <v>43</v>
      </c>
    </row>
    <row r="7596" spans="1:22" s="841" customFormat="1" ht="15" x14ac:dyDescent="0.25">
      <c r="A7596" s="841" t="s">
        <v>242</v>
      </c>
      <c r="E7596" s="1689" t="s">
        <v>4547</v>
      </c>
      <c r="F7596" s="1689"/>
      <c r="G7596" s="1689"/>
      <c r="H7596" s="1689"/>
      <c r="K7596" s="841" t="s">
        <v>3604</v>
      </c>
      <c r="M7596" s="1357"/>
      <c r="Q7596" s="1357"/>
      <c r="S7596" s="1420"/>
      <c r="T7596" s="1420"/>
      <c r="V7596" s="1357">
        <v>252</v>
      </c>
    </row>
    <row r="7597" spans="1:22" s="841" customFormat="1" ht="15" x14ac:dyDescent="0.25">
      <c r="A7597" s="841" t="s">
        <v>242</v>
      </c>
      <c r="E7597" s="1916" t="s">
        <v>3061</v>
      </c>
      <c r="F7597" s="1697"/>
      <c r="G7597" s="1697"/>
      <c r="H7597" s="1697"/>
      <c r="K7597" s="841" t="s">
        <v>3266</v>
      </c>
      <c r="M7597" s="1357"/>
      <c r="Q7597" s="1357"/>
      <c r="S7597" s="1420"/>
      <c r="T7597" s="1420"/>
      <c r="V7597" s="1357">
        <v>11</v>
      </c>
    </row>
    <row r="7598" spans="1:22" s="841" customFormat="1" ht="15" x14ac:dyDescent="0.25">
      <c r="A7598" s="841" t="s">
        <v>242</v>
      </c>
      <c r="E7598" s="1689" t="s">
        <v>3063</v>
      </c>
      <c r="F7598" s="1689"/>
      <c r="G7598" s="1689"/>
      <c r="H7598" s="1689"/>
      <c r="K7598" s="841" t="s">
        <v>3604</v>
      </c>
      <c r="M7598" s="1357"/>
      <c r="Q7598" s="1357"/>
      <c r="S7598" s="1420"/>
      <c r="T7598" s="1420"/>
      <c r="V7598" s="1357">
        <v>280</v>
      </c>
    </row>
    <row r="7599" spans="1:22" s="841" customFormat="1" ht="15" x14ac:dyDescent="0.25">
      <c r="A7599" s="841" t="s">
        <v>242</v>
      </c>
      <c r="E7599" s="1689" t="s">
        <v>3064</v>
      </c>
      <c r="F7599" s="1689"/>
      <c r="G7599" s="1689"/>
      <c r="H7599" s="1689"/>
      <c r="K7599" s="841" t="s">
        <v>3604</v>
      </c>
      <c r="M7599" s="1357"/>
      <c r="Q7599" s="1357"/>
      <c r="S7599" s="1420"/>
      <c r="T7599" s="1420"/>
      <c r="V7599" s="1357">
        <v>411</v>
      </c>
    </row>
    <row r="7600" spans="1:22" s="841" customFormat="1" ht="15" x14ac:dyDescent="0.25">
      <c r="A7600" s="841" t="s">
        <v>242</v>
      </c>
      <c r="E7600" s="1689" t="s">
        <v>3199</v>
      </c>
      <c r="F7600" s="1689"/>
      <c r="G7600" s="1689"/>
      <c r="H7600" s="1689"/>
      <c r="K7600" s="841" t="s">
        <v>3604</v>
      </c>
      <c r="M7600" s="1357"/>
      <c r="Q7600" s="1357"/>
      <c r="S7600" s="1420"/>
      <c r="T7600" s="1420"/>
      <c r="V7600" s="1357">
        <v>386</v>
      </c>
    </row>
    <row r="7601" spans="1:22" s="841" customFormat="1" ht="15" x14ac:dyDescent="0.25">
      <c r="A7601" s="841" t="s">
        <v>242</v>
      </c>
      <c r="E7601" s="1689" t="s">
        <v>4340</v>
      </c>
      <c r="F7601" s="1689"/>
      <c r="G7601" s="1689"/>
      <c r="H7601" s="1689"/>
      <c r="K7601" s="841" t="s">
        <v>3604</v>
      </c>
      <c r="M7601" s="1357"/>
      <c r="Q7601" s="1357"/>
      <c r="S7601" s="1420"/>
      <c r="T7601" s="1420"/>
      <c r="V7601" s="1357">
        <v>279</v>
      </c>
    </row>
    <row r="7602" spans="1:22" s="841" customFormat="1" ht="15" x14ac:dyDescent="0.25">
      <c r="A7602" s="841" t="s">
        <v>242</v>
      </c>
      <c r="E7602" s="1694" t="s">
        <v>3067</v>
      </c>
      <c r="F7602" s="1907"/>
      <c r="G7602" s="1907"/>
      <c r="H7602" s="1907"/>
      <c r="K7602" s="841" t="s">
        <v>3267</v>
      </c>
      <c r="M7602" s="1357"/>
      <c r="Q7602" s="1357"/>
      <c r="S7602" s="1420"/>
      <c r="T7602" s="1420"/>
      <c r="V7602" s="1357">
        <v>46</v>
      </c>
    </row>
    <row r="7603" spans="1:22" s="841" customFormat="1" ht="15" x14ac:dyDescent="0.25">
      <c r="A7603" s="841" t="s">
        <v>242</v>
      </c>
      <c r="E7603" s="1690" t="s">
        <v>11</v>
      </c>
      <c r="F7603" s="1690"/>
      <c r="G7603" s="1408" t="s">
        <v>23</v>
      </c>
      <c r="H7603" s="391">
        <v>5346.23</v>
      </c>
      <c r="K7603" s="841" t="s">
        <v>3604</v>
      </c>
      <c r="L7603" s="841" t="s">
        <v>442</v>
      </c>
      <c r="M7603" s="1357"/>
      <c r="P7603" s="841" t="s">
        <v>4406</v>
      </c>
      <c r="Q7603" s="1357"/>
      <c r="S7603" s="1420"/>
      <c r="T7603" s="1420"/>
      <c r="V7603" s="1357">
        <v>14</v>
      </c>
    </row>
    <row r="7604" spans="1:22" s="841" customFormat="1" ht="15" x14ac:dyDescent="0.25">
      <c r="A7604" s="841" t="s">
        <v>242</v>
      </c>
      <c r="E7604" s="1690" t="s">
        <v>84</v>
      </c>
      <c r="F7604" s="1690"/>
      <c r="G7604" s="1408" t="s">
        <v>33</v>
      </c>
      <c r="H7604" s="393">
        <v>2.92</v>
      </c>
      <c r="K7604" s="841" t="s">
        <v>3604</v>
      </c>
      <c r="L7604" s="841" t="s">
        <v>442</v>
      </c>
      <c r="M7604" s="1357"/>
      <c r="P7604" s="841" t="s">
        <v>5651</v>
      </c>
      <c r="Q7604" s="1357"/>
      <c r="S7604" s="1420"/>
      <c r="T7604" s="1420"/>
      <c r="V7604" s="1357">
        <v>28</v>
      </c>
    </row>
    <row r="7605" spans="1:22" s="841" customFormat="1" ht="15" x14ac:dyDescent="0.25">
      <c r="A7605" s="841" t="s">
        <v>242</v>
      </c>
      <c r="E7605" s="1690" t="s">
        <v>18</v>
      </c>
      <c r="F7605" s="1690"/>
      <c r="G7605" s="1408" t="s">
        <v>33</v>
      </c>
      <c r="H7605" s="393">
        <v>0.1313</v>
      </c>
      <c r="K7605" s="841" t="s">
        <v>3604</v>
      </c>
      <c r="L7605" s="841" t="s">
        <v>443</v>
      </c>
      <c r="M7605" s="1357"/>
      <c r="P7605" s="841" t="s">
        <v>4407</v>
      </c>
      <c r="Q7605" s="1357"/>
      <c r="S7605" s="1420"/>
      <c r="T7605" s="1420"/>
      <c r="V7605" s="1357">
        <v>24</v>
      </c>
    </row>
    <row r="7606" spans="1:22" s="841" customFormat="1" ht="15" x14ac:dyDescent="0.25">
      <c r="A7606" s="841" t="s">
        <v>242</v>
      </c>
      <c r="E7606" s="1690" t="s">
        <v>221</v>
      </c>
      <c r="F7606" s="1690"/>
      <c r="G7606" s="1408" t="s">
        <v>33</v>
      </c>
      <c r="H7606" s="393">
        <v>2.8239999999999998</v>
      </c>
      <c r="K7606" s="841" t="s">
        <v>3604</v>
      </c>
      <c r="L7606" s="841" t="s">
        <v>444</v>
      </c>
      <c r="M7606" s="1357"/>
      <c r="P7606" s="841" t="s">
        <v>3607</v>
      </c>
      <c r="Q7606" s="1357"/>
      <c r="S7606" s="1420"/>
      <c r="T7606" s="1420"/>
      <c r="V7606" s="1357">
        <v>47</v>
      </c>
    </row>
    <row r="7607" spans="1:22" s="841" customFormat="1" ht="15" x14ac:dyDescent="0.25">
      <c r="A7607" s="841" t="s">
        <v>242</v>
      </c>
      <c r="E7607" s="1690" t="s">
        <v>217</v>
      </c>
      <c r="F7607" s="1690"/>
      <c r="G7607" s="1408" t="s">
        <v>33</v>
      </c>
      <c r="H7607" s="393">
        <v>2.1109</v>
      </c>
      <c r="K7607" s="841" t="s">
        <v>3604</v>
      </c>
      <c r="L7607" s="841" t="s">
        <v>444</v>
      </c>
      <c r="M7607" s="1357"/>
      <c r="P7607" s="841" t="s">
        <v>3608</v>
      </c>
      <c r="Q7607" s="1357"/>
      <c r="S7607" s="1420"/>
      <c r="T7607" s="1420"/>
      <c r="V7607" s="1357">
        <v>74</v>
      </c>
    </row>
    <row r="7608" spans="1:22" s="841" customFormat="1" ht="15" x14ac:dyDescent="0.25">
      <c r="A7608" s="841" t="s">
        <v>242</v>
      </c>
      <c r="E7608" s="1694" t="s">
        <v>3079</v>
      </c>
      <c r="F7608" s="1690"/>
      <c r="G7608" s="1408"/>
      <c r="H7608" s="1408"/>
      <c r="K7608" s="841" t="s">
        <v>3276</v>
      </c>
      <c r="M7608" s="1357"/>
      <c r="Q7608" s="1357"/>
      <c r="S7608" s="1420"/>
      <c r="T7608" s="1420"/>
      <c r="V7608" s="1357">
        <v>48</v>
      </c>
    </row>
    <row r="7609" spans="1:22" s="841" customFormat="1" ht="15" x14ac:dyDescent="0.25">
      <c r="A7609" s="841" t="s">
        <v>242</v>
      </c>
      <c r="E7609" s="1690" t="s">
        <v>2449</v>
      </c>
      <c r="F7609" s="1690"/>
      <c r="G7609" s="1408" t="s">
        <v>24</v>
      </c>
      <c r="H7609" s="393">
        <v>3.2000000000000002E-3</v>
      </c>
      <c r="K7609" s="841" t="s">
        <v>3604</v>
      </c>
      <c r="L7609" s="841" t="s">
        <v>3046</v>
      </c>
      <c r="M7609" s="1357"/>
      <c r="P7609" s="841" t="s">
        <v>3609</v>
      </c>
      <c r="Q7609" s="1357"/>
      <c r="S7609" s="1420"/>
      <c r="T7609" s="1420"/>
      <c r="V7609" s="1357">
        <v>55</v>
      </c>
    </row>
    <row r="7610" spans="1:22" s="841" customFormat="1" ht="15" x14ac:dyDescent="0.25">
      <c r="A7610" s="841" t="s">
        <v>242</v>
      </c>
      <c r="E7610" s="1690" t="s">
        <v>2450</v>
      </c>
      <c r="F7610" s="1690"/>
      <c r="G7610" s="1408" t="s">
        <v>24</v>
      </c>
      <c r="H7610" s="393">
        <v>4.0000000000000002E-4</v>
      </c>
      <c r="K7610" s="841" t="s">
        <v>3604</v>
      </c>
      <c r="L7610" s="841" t="s">
        <v>3046</v>
      </c>
      <c r="M7610" s="1357"/>
      <c r="P7610" s="841" t="s">
        <v>3609</v>
      </c>
      <c r="Q7610" s="1357"/>
      <c r="S7610" s="1420"/>
      <c r="T7610" s="1420"/>
      <c r="V7610" s="1357">
        <v>65</v>
      </c>
    </row>
    <row r="7611" spans="1:22" s="841" customFormat="1" ht="15" x14ac:dyDescent="0.25">
      <c r="A7611" s="841" t="s">
        <v>242</v>
      </c>
      <c r="E7611" s="1690" t="s">
        <v>439</v>
      </c>
      <c r="F7611" s="1690"/>
      <c r="G7611" s="1408" t="s">
        <v>24</v>
      </c>
      <c r="H7611" s="393">
        <v>2.9999999999999997E-4</v>
      </c>
      <c r="K7611" s="841" t="s">
        <v>3604</v>
      </c>
      <c r="L7611" s="841" t="s">
        <v>3046</v>
      </c>
      <c r="M7611" s="1357"/>
      <c r="P7611" s="841" t="s">
        <v>3610</v>
      </c>
      <c r="Q7611" s="1357"/>
      <c r="S7611" s="1420"/>
      <c r="T7611" s="1420"/>
      <c r="V7611" s="1357">
        <v>57</v>
      </c>
    </row>
    <row r="7612" spans="1:22" s="841" customFormat="1" ht="15" x14ac:dyDescent="0.25">
      <c r="A7612" s="841" t="s">
        <v>242</v>
      </c>
      <c r="E7612" s="1690" t="s">
        <v>32</v>
      </c>
      <c r="F7612" s="1690"/>
      <c r="G7612" s="1408" t="s">
        <v>23</v>
      </c>
      <c r="H7612" s="391">
        <v>0.25</v>
      </c>
      <c r="K7612" s="841" t="s">
        <v>3604</v>
      </c>
      <c r="L7612" s="841" t="s">
        <v>3046</v>
      </c>
      <c r="M7612" s="1357"/>
      <c r="P7612" s="841" t="s">
        <v>3611</v>
      </c>
      <c r="Q7612" s="1357"/>
      <c r="S7612" s="1420"/>
      <c r="T7612" s="1420"/>
      <c r="V7612" s="1357">
        <v>63</v>
      </c>
    </row>
    <row r="7613" spans="1:22" s="841" customFormat="1" x14ac:dyDescent="0.25">
      <c r="A7613" s="841" t="s">
        <v>242</v>
      </c>
      <c r="E7613" s="1909" t="s">
        <v>618</v>
      </c>
      <c r="F7613" s="1915"/>
      <c r="G7613" s="1915"/>
      <c r="H7613" s="1915"/>
      <c r="K7613" s="841" t="s">
        <v>3280</v>
      </c>
      <c r="M7613" s="1357"/>
      <c r="Q7613" s="1357"/>
      <c r="S7613" s="1420"/>
      <c r="T7613" s="1420"/>
      <c r="V7613" s="1357">
        <v>31</v>
      </c>
    </row>
    <row r="7614" spans="1:22" s="841" customFormat="1" ht="15" x14ac:dyDescent="0.25">
      <c r="A7614" s="841" t="s">
        <v>242</v>
      </c>
      <c r="E7614" s="1689" t="s">
        <v>3372</v>
      </c>
      <c r="F7614" s="1689"/>
      <c r="G7614" s="1689"/>
      <c r="H7614" s="1689"/>
      <c r="K7614" s="841" t="s">
        <v>3280</v>
      </c>
      <c r="M7614" s="1357"/>
      <c r="Q7614" s="1357"/>
      <c r="S7614" s="1420"/>
      <c r="T7614" s="1420"/>
      <c r="V7614" s="1357">
        <v>285</v>
      </c>
    </row>
    <row r="7615" spans="1:22" s="841" customFormat="1" ht="15" x14ac:dyDescent="0.25">
      <c r="A7615" s="841" t="s">
        <v>242</v>
      </c>
      <c r="E7615" s="1916" t="s">
        <v>3061</v>
      </c>
      <c r="F7615" s="1697"/>
      <c r="G7615" s="1697"/>
      <c r="H7615" s="1697"/>
      <c r="K7615" s="841" t="s">
        <v>3281</v>
      </c>
      <c r="M7615" s="1357"/>
      <c r="Q7615" s="1357"/>
      <c r="S7615" s="1420"/>
      <c r="T7615" s="1420"/>
      <c r="V7615" s="1357">
        <v>11</v>
      </c>
    </row>
    <row r="7616" spans="1:22" s="841" customFormat="1" ht="15" x14ac:dyDescent="0.25">
      <c r="A7616" s="841" t="s">
        <v>242</v>
      </c>
      <c r="E7616" s="1689" t="s">
        <v>3063</v>
      </c>
      <c r="F7616" s="1689"/>
      <c r="G7616" s="1689"/>
      <c r="H7616" s="1689"/>
      <c r="K7616" s="841" t="s">
        <v>3280</v>
      </c>
      <c r="M7616" s="1357"/>
      <c r="Q7616" s="1357"/>
      <c r="S7616" s="1420"/>
      <c r="T7616" s="1420"/>
      <c r="V7616" s="1357">
        <v>280</v>
      </c>
    </row>
    <row r="7617" spans="1:22" s="841" customFormat="1" ht="15" x14ac:dyDescent="0.25">
      <c r="A7617" s="841" t="s">
        <v>242</v>
      </c>
      <c r="E7617" s="1689" t="s">
        <v>3064</v>
      </c>
      <c r="F7617" s="1689"/>
      <c r="G7617" s="1689"/>
      <c r="H7617" s="1689"/>
      <c r="K7617" s="841" t="s">
        <v>3280</v>
      </c>
      <c r="M7617" s="1357"/>
      <c r="Q7617" s="1357"/>
      <c r="S7617" s="1420"/>
      <c r="T7617" s="1420"/>
      <c r="V7617" s="1357">
        <v>411</v>
      </c>
    </row>
    <row r="7618" spans="1:22" s="841" customFormat="1" ht="15" x14ac:dyDescent="0.25">
      <c r="A7618" s="841" t="s">
        <v>242</v>
      </c>
      <c r="E7618" s="1689" t="s">
        <v>3129</v>
      </c>
      <c r="F7618" s="1689"/>
      <c r="G7618" s="1689"/>
      <c r="H7618" s="1689"/>
      <c r="K7618" s="841" t="s">
        <v>3280</v>
      </c>
      <c r="M7618" s="1357"/>
      <c r="Q7618" s="1357"/>
      <c r="S7618" s="1420"/>
      <c r="T7618" s="1420"/>
      <c r="V7618" s="1357">
        <v>211</v>
      </c>
    </row>
    <row r="7619" spans="1:22" s="841" customFormat="1" ht="15" x14ac:dyDescent="0.25">
      <c r="A7619" s="841" t="s">
        <v>242</v>
      </c>
      <c r="E7619" s="1689" t="s">
        <v>4340</v>
      </c>
      <c r="F7619" s="1689"/>
      <c r="G7619" s="1689"/>
      <c r="H7619" s="1689"/>
      <c r="K7619" s="841" t="s">
        <v>3280</v>
      </c>
      <c r="M7619" s="1357"/>
      <c r="Q7619" s="1357"/>
      <c r="S7619" s="1420"/>
      <c r="T7619" s="1420"/>
      <c r="V7619" s="1357">
        <v>279</v>
      </c>
    </row>
    <row r="7620" spans="1:22" s="841" customFormat="1" ht="15" x14ac:dyDescent="0.25">
      <c r="A7620" s="841" t="s">
        <v>242</v>
      </c>
      <c r="E7620" s="1694" t="s">
        <v>3067</v>
      </c>
      <c r="F7620" s="1907"/>
      <c r="G7620" s="1907"/>
      <c r="H7620" s="1907"/>
      <c r="K7620" s="841" t="s">
        <v>3282</v>
      </c>
      <c r="M7620" s="1357"/>
      <c r="Q7620" s="1357"/>
      <c r="S7620" s="1420"/>
      <c r="T7620" s="1420"/>
      <c r="V7620" s="1357">
        <v>46</v>
      </c>
    </row>
    <row r="7621" spans="1:22" s="841" customFormat="1" ht="15" x14ac:dyDescent="0.25">
      <c r="A7621" s="841" t="s">
        <v>242</v>
      </c>
      <c r="E7621" s="1690" t="s">
        <v>11</v>
      </c>
      <c r="F7621" s="1690"/>
      <c r="G7621" s="1408" t="s">
        <v>23</v>
      </c>
      <c r="H7621" s="391">
        <v>5.4</v>
      </c>
      <c r="K7621" s="841" t="s">
        <v>3280</v>
      </c>
      <c r="L7621" s="841" t="s">
        <v>442</v>
      </c>
      <c r="M7621" s="1357"/>
      <c r="P7621" s="841" t="s">
        <v>3283</v>
      </c>
      <c r="Q7621" s="1357"/>
      <c r="S7621" s="1420"/>
      <c r="T7621" s="1420"/>
      <c r="V7621" s="1357">
        <v>14</v>
      </c>
    </row>
    <row r="7622" spans="1:22" s="841" customFormat="1" ht="18.75" x14ac:dyDescent="0.25">
      <c r="A7622" s="841" t="s">
        <v>242</v>
      </c>
      <c r="E7622" s="1404" t="s">
        <v>85</v>
      </c>
      <c r="F7622" s="661"/>
      <c r="G7622" s="661"/>
      <c r="H7622" s="661"/>
      <c r="K7622" s="841" t="s">
        <v>4550</v>
      </c>
      <c r="M7622" s="1357"/>
      <c r="Q7622" s="1357"/>
      <c r="S7622" s="1420"/>
      <c r="T7622" s="1420"/>
      <c r="V7622" s="1357">
        <v>10</v>
      </c>
    </row>
    <row r="7623" spans="1:22" s="841" customFormat="1" ht="15" x14ac:dyDescent="0.25">
      <c r="A7623" s="841" t="s">
        <v>242</v>
      </c>
      <c r="E7623" s="1690" t="s">
        <v>4551</v>
      </c>
      <c r="F7623" s="1690"/>
      <c r="G7623" s="1408" t="s">
        <v>33</v>
      </c>
      <c r="H7623" s="393">
        <v>-0.5</v>
      </c>
      <c r="M7623" s="1357"/>
      <c r="Q7623" s="1357"/>
      <c r="S7623" s="1420"/>
      <c r="T7623" s="1420"/>
      <c r="V7623" s="1357">
        <v>126</v>
      </c>
    </row>
    <row r="7624" spans="1:22" s="841" customFormat="1" ht="15" x14ac:dyDescent="0.25">
      <c r="A7624" s="841" t="s">
        <v>242</v>
      </c>
      <c r="E7624" s="1690" t="s">
        <v>3134</v>
      </c>
      <c r="F7624" s="1690"/>
      <c r="G7624" s="1408" t="s">
        <v>86</v>
      </c>
      <c r="H7624" s="391">
        <v>-1</v>
      </c>
      <c r="M7624" s="1357"/>
      <c r="Q7624" s="1357"/>
      <c r="S7624" s="1420"/>
      <c r="T7624" s="1420"/>
      <c r="V7624" s="1357">
        <v>87</v>
      </c>
    </row>
    <row r="7625" spans="1:22" s="841" customFormat="1" ht="36" x14ac:dyDescent="0.25">
      <c r="A7625" s="841" t="s">
        <v>242</v>
      </c>
      <c r="E7625" s="1374" t="s">
        <v>87</v>
      </c>
      <c r="F7625" s="661"/>
      <c r="G7625" s="661"/>
      <c r="H7625" s="661"/>
      <c r="K7625" s="841" t="s">
        <v>4552</v>
      </c>
      <c r="M7625" s="1357"/>
      <c r="Q7625" s="1357"/>
      <c r="S7625" s="1420"/>
      <c r="T7625" s="1420"/>
      <c r="V7625" s="1357">
        <v>24</v>
      </c>
    </row>
    <row r="7626" spans="1:22" s="841" customFormat="1" ht="15" x14ac:dyDescent="0.25">
      <c r="A7626" s="841" t="s">
        <v>242</v>
      </c>
      <c r="E7626" s="1689" t="s">
        <v>3063</v>
      </c>
      <c r="F7626" s="1689"/>
      <c r="G7626" s="1689"/>
      <c r="H7626" s="1689"/>
      <c r="M7626" s="1357"/>
      <c r="Q7626" s="1357"/>
      <c r="S7626" s="1420"/>
      <c r="T7626" s="1420"/>
      <c r="V7626" s="1357">
        <v>280</v>
      </c>
    </row>
    <row r="7627" spans="1:22" s="841" customFormat="1" ht="15" x14ac:dyDescent="0.25">
      <c r="A7627" s="841" t="s">
        <v>242</v>
      </c>
      <c r="E7627" s="1689" t="s">
        <v>3136</v>
      </c>
      <c r="F7627" s="1689"/>
      <c r="G7627" s="1689"/>
      <c r="H7627" s="1689"/>
      <c r="M7627" s="1357"/>
      <c r="Q7627" s="1357"/>
      <c r="S7627" s="1420"/>
      <c r="T7627" s="1420"/>
      <c r="V7627" s="1357">
        <v>353</v>
      </c>
    </row>
    <row r="7628" spans="1:22" s="841" customFormat="1" ht="15" x14ac:dyDescent="0.25">
      <c r="A7628" s="841" t="s">
        <v>242</v>
      </c>
      <c r="E7628" s="1689" t="s">
        <v>4340</v>
      </c>
      <c r="F7628" s="1689"/>
      <c r="G7628" s="1689"/>
      <c r="H7628" s="1689"/>
      <c r="M7628" s="1357"/>
      <c r="Q7628" s="1357"/>
      <c r="S7628" s="1420"/>
      <c r="T7628" s="1420"/>
      <c r="V7628" s="1357">
        <v>279</v>
      </c>
    </row>
    <row r="7629" spans="1:22" s="841" customFormat="1" ht="15" x14ac:dyDescent="0.25">
      <c r="A7629" s="841" t="s">
        <v>242</v>
      </c>
      <c r="E7629" s="1370" t="s">
        <v>3137</v>
      </c>
      <c r="F7629" s="509"/>
      <c r="G7629" s="509"/>
      <c r="H7629" s="509"/>
      <c r="K7629" s="841" t="s">
        <v>4553</v>
      </c>
      <c r="M7629" s="1357"/>
      <c r="Q7629" s="1357"/>
      <c r="S7629" s="1420"/>
      <c r="T7629" s="1420"/>
      <c r="V7629" s="1357">
        <v>23</v>
      </c>
    </row>
    <row r="7630" spans="1:22" s="841" customFormat="1" ht="15" x14ac:dyDescent="0.25">
      <c r="A7630" s="841" t="s">
        <v>242</v>
      </c>
      <c r="E7630" s="1688" t="s">
        <v>3140</v>
      </c>
      <c r="F7630" s="1688"/>
      <c r="G7630" s="1408" t="s">
        <v>23</v>
      </c>
      <c r="H7630" s="391">
        <v>15</v>
      </c>
      <c r="M7630" s="1357"/>
      <c r="Q7630" s="1357"/>
      <c r="S7630" s="1420"/>
      <c r="T7630" s="1420"/>
      <c r="V7630" s="1357">
        <v>20</v>
      </c>
    </row>
    <row r="7631" spans="1:22" s="841" customFormat="1" ht="15" x14ac:dyDescent="0.25">
      <c r="A7631" s="841" t="s">
        <v>242</v>
      </c>
      <c r="E7631" s="1688" t="s">
        <v>3141</v>
      </c>
      <c r="F7631" s="1688"/>
      <c r="G7631" s="1408" t="s">
        <v>23</v>
      </c>
      <c r="H7631" s="391">
        <v>15</v>
      </c>
      <c r="M7631" s="1357"/>
      <c r="Q7631" s="1357"/>
      <c r="S7631" s="1420"/>
      <c r="T7631" s="1420"/>
      <c r="V7631" s="1357">
        <v>26</v>
      </c>
    </row>
    <row r="7632" spans="1:22" s="841" customFormat="1" ht="15" x14ac:dyDescent="0.25">
      <c r="A7632" s="841" t="s">
        <v>242</v>
      </c>
      <c r="E7632" s="1688" t="s">
        <v>3142</v>
      </c>
      <c r="F7632" s="1688"/>
      <c r="G7632" s="1408" t="s">
        <v>23</v>
      </c>
      <c r="H7632" s="391">
        <v>15</v>
      </c>
      <c r="M7632" s="1357"/>
      <c r="Q7632" s="1357"/>
      <c r="S7632" s="1420"/>
      <c r="T7632" s="1420"/>
      <c r="V7632" s="1357">
        <v>39</v>
      </c>
    </row>
    <row r="7633" spans="1:22" s="841" customFormat="1" ht="15" x14ac:dyDescent="0.25">
      <c r="A7633" s="841" t="s">
        <v>242</v>
      </c>
      <c r="E7633" s="1688" t="s">
        <v>4770</v>
      </c>
      <c r="F7633" s="1688"/>
      <c r="G7633" s="1408" t="s">
        <v>23</v>
      </c>
      <c r="H7633" s="391">
        <v>15</v>
      </c>
      <c r="M7633" s="1357"/>
      <c r="Q7633" s="1357"/>
      <c r="S7633" s="1420"/>
      <c r="T7633" s="1420"/>
      <c r="V7633" s="1357">
        <v>15</v>
      </c>
    </row>
    <row r="7634" spans="1:22" s="841" customFormat="1" ht="15" x14ac:dyDescent="0.25">
      <c r="A7634" s="841" t="s">
        <v>242</v>
      </c>
      <c r="E7634" s="1688" t="s">
        <v>3147</v>
      </c>
      <c r="F7634" s="1688"/>
      <c r="G7634" s="1408" t="s">
        <v>23</v>
      </c>
      <c r="H7634" s="391">
        <v>15</v>
      </c>
      <c r="M7634" s="1357"/>
      <c r="Q7634" s="1357"/>
      <c r="S7634" s="1420"/>
      <c r="T7634" s="1420"/>
      <c r="V7634" s="1357">
        <v>15</v>
      </c>
    </row>
    <row r="7635" spans="1:22" s="841" customFormat="1" ht="15" x14ac:dyDescent="0.25">
      <c r="A7635" s="841" t="s">
        <v>242</v>
      </c>
      <c r="E7635" s="1688" t="s">
        <v>3148</v>
      </c>
      <c r="F7635" s="1688"/>
      <c r="G7635" s="1408" t="s">
        <v>23</v>
      </c>
      <c r="H7635" s="391">
        <v>15</v>
      </c>
      <c r="M7635" s="1357"/>
      <c r="Q7635" s="1357"/>
      <c r="S7635" s="1420"/>
      <c r="T7635" s="1420"/>
      <c r="V7635" s="1357">
        <v>56</v>
      </c>
    </row>
    <row r="7636" spans="1:22" s="841" customFormat="1" ht="15" x14ac:dyDescent="0.25">
      <c r="A7636" s="841" t="s">
        <v>242</v>
      </c>
      <c r="E7636" s="1688" t="s">
        <v>123</v>
      </c>
      <c r="F7636" s="1688"/>
      <c r="G7636" s="1408" t="s">
        <v>23</v>
      </c>
      <c r="H7636" s="391">
        <v>15</v>
      </c>
      <c r="M7636" s="1357"/>
      <c r="Q7636" s="1357"/>
      <c r="S7636" s="1420"/>
      <c r="T7636" s="1420"/>
      <c r="V7636" s="1357">
        <v>35</v>
      </c>
    </row>
    <row r="7637" spans="1:22" s="841" customFormat="1" ht="15" x14ac:dyDescent="0.25">
      <c r="A7637" s="841" t="s">
        <v>242</v>
      </c>
      <c r="E7637" s="1688" t="s">
        <v>88</v>
      </c>
      <c r="F7637" s="1688"/>
      <c r="G7637" s="1408" t="s">
        <v>23</v>
      </c>
      <c r="H7637" s="391">
        <v>30</v>
      </c>
      <c r="M7637" s="1357"/>
      <c r="Q7637" s="1357"/>
      <c r="S7637" s="1420"/>
      <c r="T7637" s="1420"/>
      <c r="V7637" s="1357">
        <v>89</v>
      </c>
    </row>
    <row r="7638" spans="1:22" s="841" customFormat="1" ht="15" x14ac:dyDescent="0.25">
      <c r="A7638" s="841" t="s">
        <v>242</v>
      </c>
      <c r="E7638" s="1688" t="s">
        <v>92</v>
      </c>
      <c r="F7638" s="1688"/>
      <c r="G7638" s="1408" t="s">
        <v>23</v>
      </c>
      <c r="H7638" s="391">
        <v>30</v>
      </c>
      <c r="M7638" s="1357"/>
      <c r="Q7638" s="1357"/>
      <c r="S7638" s="1420"/>
      <c r="T7638" s="1420"/>
      <c r="V7638" s="1357">
        <v>74</v>
      </c>
    </row>
    <row r="7639" spans="1:22" s="841" customFormat="1" ht="15" x14ac:dyDescent="0.25">
      <c r="A7639" s="841" t="s">
        <v>242</v>
      </c>
      <c r="E7639" s="1370" t="s">
        <v>3152</v>
      </c>
      <c r="F7639" s="509"/>
      <c r="G7639" s="509"/>
      <c r="H7639" s="509"/>
      <c r="K7639" s="841" t="s">
        <v>4554</v>
      </c>
      <c r="M7639" s="1357"/>
      <c r="Q7639" s="1357"/>
      <c r="S7639" s="1420"/>
      <c r="T7639" s="1420"/>
      <c r="V7639" s="1357">
        <v>22</v>
      </c>
    </row>
    <row r="7640" spans="1:22" s="841" customFormat="1" ht="15" x14ac:dyDescent="0.25">
      <c r="A7640" s="841" t="s">
        <v>242</v>
      </c>
      <c r="E7640" s="1688" t="s">
        <v>3154</v>
      </c>
      <c r="F7640" s="1688"/>
      <c r="G7640" s="1408" t="s">
        <v>86</v>
      </c>
      <c r="H7640" s="391">
        <v>1.5</v>
      </c>
      <c r="M7640" s="1357"/>
      <c r="Q7640" s="1357"/>
      <c r="S7640" s="1420"/>
      <c r="T7640" s="1420"/>
      <c r="V7640" s="1357">
        <v>24</v>
      </c>
    </row>
    <row r="7641" spans="1:22" s="841" customFormat="1" ht="15" x14ac:dyDescent="0.25">
      <c r="A7641" s="841" t="s">
        <v>242</v>
      </c>
      <c r="E7641" s="1688" t="s">
        <v>3155</v>
      </c>
      <c r="F7641" s="1688"/>
      <c r="G7641" s="1408" t="s">
        <v>86</v>
      </c>
      <c r="H7641" s="391">
        <v>19.559999999999999</v>
      </c>
      <c r="M7641" s="1357"/>
      <c r="Q7641" s="1357"/>
      <c r="S7641" s="1420"/>
      <c r="T7641" s="1420"/>
      <c r="V7641" s="1357">
        <v>24</v>
      </c>
    </row>
    <row r="7642" spans="1:22" s="841" customFormat="1" ht="15" x14ac:dyDescent="0.25">
      <c r="A7642" s="841" t="s">
        <v>242</v>
      </c>
      <c r="E7642" s="1688" t="s">
        <v>3288</v>
      </c>
      <c r="F7642" s="1688"/>
      <c r="G7642" s="1408" t="s">
        <v>23</v>
      </c>
      <c r="H7642" s="391">
        <v>30</v>
      </c>
      <c r="M7642" s="1357"/>
      <c r="Q7642" s="1357"/>
      <c r="S7642" s="1420"/>
      <c r="T7642" s="1420"/>
      <c r="V7642" s="1357">
        <v>47</v>
      </c>
    </row>
    <row r="7643" spans="1:22" s="841" customFormat="1" ht="15" x14ac:dyDescent="0.25">
      <c r="A7643" s="841" t="s">
        <v>242</v>
      </c>
      <c r="E7643" s="1688" t="s">
        <v>4773</v>
      </c>
      <c r="F7643" s="1688"/>
      <c r="G7643" s="1408" t="s">
        <v>23</v>
      </c>
      <c r="H7643" s="391">
        <v>65</v>
      </c>
      <c r="M7643" s="1357"/>
      <c r="Q7643" s="1357"/>
      <c r="S7643" s="1420"/>
      <c r="T7643" s="1420"/>
      <c r="V7643" s="1357">
        <v>52</v>
      </c>
    </row>
    <row r="7644" spans="1:22" s="841" customFormat="1" ht="15" x14ac:dyDescent="0.25">
      <c r="A7644" s="841" t="s">
        <v>242</v>
      </c>
      <c r="E7644" s="1688" t="s">
        <v>4774</v>
      </c>
      <c r="F7644" s="1688"/>
      <c r="G7644" s="1408" t="s">
        <v>23</v>
      </c>
      <c r="H7644" s="391">
        <v>185</v>
      </c>
      <c r="M7644" s="1357"/>
      <c r="Q7644" s="1357"/>
      <c r="S7644" s="1420"/>
      <c r="T7644" s="1420"/>
      <c r="V7644" s="1357">
        <v>51</v>
      </c>
    </row>
    <row r="7645" spans="1:22" s="841" customFormat="1" ht="15" x14ac:dyDescent="0.25">
      <c r="A7645" s="841" t="s">
        <v>242</v>
      </c>
      <c r="E7645" s="1688" t="s">
        <v>4775</v>
      </c>
      <c r="F7645" s="1688"/>
      <c r="G7645" s="1408" t="s">
        <v>23</v>
      </c>
      <c r="H7645" s="391">
        <v>185</v>
      </c>
      <c r="M7645" s="1357"/>
      <c r="Q7645" s="1357"/>
      <c r="S7645" s="1420"/>
      <c r="T7645" s="1420"/>
      <c r="V7645" s="1357">
        <v>51</v>
      </c>
    </row>
    <row r="7646" spans="1:22" s="841" customFormat="1" ht="15" x14ac:dyDescent="0.25">
      <c r="A7646" s="841" t="s">
        <v>242</v>
      </c>
      <c r="E7646" s="1688" t="s">
        <v>4776</v>
      </c>
      <c r="F7646" s="1688"/>
      <c r="G7646" s="1408" t="s">
        <v>23</v>
      </c>
      <c r="H7646" s="391">
        <v>415</v>
      </c>
      <c r="M7646" s="1357"/>
      <c r="Q7646" s="1357"/>
      <c r="S7646" s="1420"/>
      <c r="T7646" s="1420"/>
      <c r="V7646" s="1357">
        <v>50</v>
      </c>
    </row>
    <row r="7647" spans="1:22" s="841" customFormat="1" ht="15" x14ac:dyDescent="0.25">
      <c r="A7647" s="841" t="s">
        <v>242</v>
      </c>
      <c r="E7647" s="1370" t="s">
        <v>3164</v>
      </c>
      <c r="F7647" s="509"/>
      <c r="G7647" s="509"/>
      <c r="H7647" s="509"/>
      <c r="M7647" s="1357"/>
      <c r="Q7647" s="1357"/>
      <c r="S7647" s="1420"/>
      <c r="T7647" s="1420"/>
      <c r="V7647" s="1357">
        <v>5</v>
      </c>
    </row>
    <row r="7648" spans="1:22" s="841" customFormat="1" ht="15" x14ac:dyDescent="0.25">
      <c r="A7648" s="841" t="s">
        <v>242</v>
      </c>
      <c r="E7648" s="1688" t="s">
        <v>94</v>
      </c>
      <c r="F7648" s="1688"/>
      <c r="G7648" s="1408" t="s">
        <v>23</v>
      </c>
      <c r="H7648" s="391">
        <v>30</v>
      </c>
      <c r="M7648" s="1357"/>
      <c r="Q7648" s="1357"/>
      <c r="S7648" s="1420"/>
      <c r="T7648" s="1420"/>
      <c r="V7648" s="1357">
        <v>19</v>
      </c>
    </row>
    <row r="7649" spans="1:22" s="841" customFormat="1" ht="15" x14ac:dyDescent="0.25">
      <c r="A7649" s="841" t="s">
        <v>242</v>
      </c>
      <c r="E7649" s="1688" t="s">
        <v>4555</v>
      </c>
      <c r="F7649" s="1688"/>
      <c r="G7649" s="1408" t="s">
        <v>23</v>
      </c>
      <c r="H7649" s="391">
        <v>30</v>
      </c>
      <c r="M7649" s="1357"/>
      <c r="Q7649" s="1357"/>
      <c r="S7649" s="1420"/>
      <c r="T7649" s="1420"/>
      <c r="V7649" s="1357">
        <v>83</v>
      </c>
    </row>
    <row r="7650" spans="1:22" s="841" customFormat="1" ht="15" x14ac:dyDescent="0.25">
      <c r="A7650" s="841" t="s">
        <v>242</v>
      </c>
      <c r="E7650" s="1688" t="s">
        <v>4556</v>
      </c>
      <c r="F7650" s="1688"/>
      <c r="G7650" s="1408" t="s">
        <v>23</v>
      </c>
      <c r="H7650" s="391">
        <v>165</v>
      </c>
      <c r="M7650" s="1357"/>
      <c r="Q7650" s="1357"/>
      <c r="S7650" s="1420"/>
      <c r="T7650" s="1420"/>
      <c r="V7650" s="1357">
        <v>82</v>
      </c>
    </row>
    <row r="7651" spans="1:22" s="841" customFormat="1" ht="15" x14ac:dyDescent="0.25">
      <c r="A7651" s="841" t="s">
        <v>242</v>
      </c>
      <c r="E7651" s="1688" t="s">
        <v>3434</v>
      </c>
      <c r="F7651" s="1688"/>
      <c r="G7651" s="1408" t="s">
        <v>23</v>
      </c>
      <c r="H7651" s="391">
        <v>500</v>
      </c>
      <c r="M7651" s="1357"/>
      <c r="Q7651" s="1357"/>
      <c r="S7651" s="1420"/>
      <c r="T7651" s="1420"/>
      <c r="V7651" s="1357">
        <v>64</v>
      </c>
    </row>
    <row r="7652" spans="1:22" s="841" customFormat="1" ht="15" x14ac:dyDescent="0.25">
      <c r="A7652" s="841" t="s">
        <v>242</v>
      </c>
      <c r="E7652" s="1688" t="s">
        <v>3489</v>
      </c>
      <c r="F7652" s="1688"/>
      <c r="G7652" s="1408" t="s">
        <v>23</v>
      </c>
      <c r="H7652" s="391">
        <v>300</v>
      </c>
      <c r="M7652" s="1357"/>
      <c r="Q7652" s="1357"/>
      <c r="S7652" s="1420"/>
      <c r="T7652" s="1420"/>
      <c r="V7652" s="1357">
        <v>67</v>
      </c>
    </row>
    <row r="7653" spans="1:22" s="841" customFormat="1" ht="15" x14ac:dyDescent="0.25">
      <c r="A7653" s="841" t="s">
        <v>242</v>
      </c>
      <c r="E7653" s="1688" t="s">
        <v>3502</v>
      </c>
      <c r="F7653" s="1688"/>
      <c r="G7653" s="1408" t="s">
        <v>23</v>
      </c>
      <c r="H7653" s="391">
        <v>22.35</v>
      </c>
      <c r="M7653" s="1357"/>
      <c r="Q7653" s="1357"/>
      <c r="S7653" s="1420"/>
      <c r="T7653" s="1420"/>
      <c r="V7653" s="1357">
        <v>104</v>
      </c>
    </row>
    <row r="7654" spans="1:22" s="841" customFormat="1" ht="36" x14ac:dyDescent="0.25">
      <c r="A7654" s="841" t="s">
        <v>242</v>
      </c>
      <c r="E7654" s="1374" t="s">
        <v>77</v>
      </c>
      <c r="F7654" s="661"/>
      <c r="G7654" s="661"/>
      <c r="H7654" s="661"/>
      <c r="K7654" s="841" t="s">
        <v>4557</v>
      </c>
      <c r="M7654" s="1357"/>
      <c r="Q7654" s="1357"/>
      <c r="S7654" s="1420"/>
      <c r="T7654" s="1420"/>
      <c r="V7654" s="1357">
        <v>38</v>
      </c>
    </row>
    <row r="7655" spans="1:22" s="841" customFormat="1" ht="15" x14ac:dyDescent="0.25">
      <c r="A7655" s="841" t="s">
        <v>242</v>
      </c>
      <c r="E7655" s="1689" t="s">
        <v>4558</v>
      </c>
      <c r="F7655" s="1689"/>
      <c r="G7655" s="1689"/>
      <c r="H7655" s="1689"/>
      <c r="M7655" s="1357"/>
      <c r="Q7655" s="1357"/>
      <c r="S7655" s="1420"/>
      <c r="T7655" s="1420"/>
      <c r="V7655" s="1357">
        <v>281</v>
      </c>
    </row>
    <row r="7656" spans="1:22" s="841" customFormat="1" ht="15" x14ac:dyDescent="0.25">
      <c r="A7656" s="841" t="s">
        <v>242</v>
      </c>
      <c r="E7656" s="1689" t="s">
        <v>3064</v>
      </c>
      <c r="F7656" s="1689"/>
      <c r="G7656" s="1689"/>
      <c r="H7656" s="1689"/>
      <c r="M7656" s="1357"/>
      <c r="Q7656" s="1357"/>
      <c r="S7656" s="1420"/>
      <c r="T7656" s="1420"/>
      <c r="V7656" s="1357">
        <v>411</v>
      </c>
    </row>
    <row r="7657" spans="1:22" s="841" customFormat="1" ht="15" x14ac:dyDescent="0.25">
      <c r="A7657" s="841" t="s">
        <v>242</v>
      </c>
      <c r="E7657" s="1689" t="s">
        <v>3129</v>
      </c>
      <c r="F7657" s="1689"/>
      <c r="G7657" s="1689"/>
      <c r="H7657" s="1689"/>
      <c r="M7657" s="1357"/>
      <c r="Q7657" s="1357"/>
      <c r="S7657" s="1420"/>
      <c r="T7657" s="1420"/>
      <c r="V7657" s="1357">
        <v>211</v>
      </c>
    </row>
    <row r="7658" spans="1:22" s="841" customFormat="1" ht="15" x14ac:dyDescent="0.25">
      <c r="A7658" s="841" t="s">
        <v>242</v>
      </c>
      <c r="E7658" s="1689" t="s">
        <v>4340</v>
      </c>
      <c r="F7658" s="1689"/>
      <c r="G7658" s="1689"/>
      <c r="H7658" s="1689"/>
      <c r="M7658" s="1357"/>
      <c r="Q7658" s="1357"/>
      <c r="S7658" s="1420"/>
      <c r="T7658" s="1420"/>
      <c r="V7658" s="1357">
        <v>279</v>
      </c>
    </row>
    <row r="7659" spans="1:22" s="841" customFormat="1" ht="15" x14ac:dyDescent="0.25">
      <c r="A7659" s="841" t="s">
        <v>242</v>
      </c>
      <c r="E7659" s="1689" t="s">
        <v>3291</v>
      </c>
      <c r="F7659" s="1689"/>
      <c r="G7659" s="1689"/>
      <c r="H7659" s="1689"/>
      <c r="M7659" s="1357"/>
      <c r="Q7659" s="1357"/>
      <c r="S7659" s="1420"/>
      <c r="T7659" s="1420"/>
      <c r="V7659" s="1357">
        <v>142</v>
      </c>
    </row>
    <row r="7660" spans="1:22" s="841" customFormat="1" ht="15" x14ac:dyDescent="0.25">
      <c r="A7660" s="841" t="s">
        <v>242</v>
      </c>
      <c r="E7660" s="1690" t="s">
        <v>3176</v>
      </c>
      <c r="F7660" s="1690"/>
      <c r="G7660" s="502" t="s">
        <v>23</v>
      </c>
      <c r="H7660" s="395">
        <v>100</v>
      </c>
      <c r="M7660" s="1357"/>
      <c r="Q7660" s="1357"/>
      <c r="S7660" s="1420"/>
      <c r="T7660" s="1420"/>
      <c r="V7660" s="1357">
        <v>106</v>
      </c>
    </row>
    <row r="7661" spans="1:22" s="841" customFormat="1" ht="15" x14ac:dyDescent="0.25">
      <c r="A7661" s="841" t="s">
        <v>242</v>
      </c>
      <c r="E7661" s="1690" t="s">
        <v>3177</v>
      </c>
      <c r="F7661" s="1690"/>
      <c r="G7661" s="502" t="s">
        <v>23</v>
      </c>
      <c r="H7661" s="395">
        <v>20</v>
      </c>
      <c r="M7661" s="1357"/>
      <c r="Q7661" s="1357"/>
      <c r="S7661" s="1420"/>
      <c r="T7661" s="1420"/>
      <c r="V7661" s="1357">
        <v>34</v>
      </c>
    </row>
    <row r="7662" spans="1:22" s="841" customFormat="1" ht="15" x14ac:dyDescent="0.25">
      <c r="A7662" s="841" t="s">
        <v>242</v>
      </c>
      <c r="E7662" s="1690" t="s">
        <v>3178</v>
      </c>
      <c r="F7662" s="1690"/>
      <c r="G7662" s="502" t="s">
        <v>3179</v>
      </c>
      <c r="H7662" s="395">
        <v>0.5</v>
      </c>
      <c r="M7662" s="1357"/>
      <c r="Q7662" s="1357"/>
      <c r="S7662" s="1420"/>
      <c r="T7662" s="1420"/>
      <c r="V7662" s="1357">
        <v>51</v>
      </c>
    </row>
    <row r="7663" spans="1:22" s="841" customFormat="1" ht="15" x14ac:dyDescent="0.25">
      <c r="A7663" s="841" t="s">
        <v>242</v>
      </c>
      <c r="E7663" s="1690" t="s">
        <v>3180</v>
      </c>
      <c r="F7663" s="1690"/>
      <c r="G7663" s="502" t="s">
        <v>3179</v>
      </c>
      <c r="H7663" s="395">
        <v>0.3</v>
      </c>
      <c r="M7663" s="1357"/>
      <c r="Q7663" s="1357"/>
      <c r="S7663" s="1420"/>
      <c r="T7663" s="1420"/>
      <c r="V7663" s="1357">
        <v>75</v>
      </c>
    </row>
    <row r="7664" spans="1:22" s="841" customFormat="1" ht="15" x14ac:dyDescent="0.25">
      <c r="A7664" s="841" t="s">
        <v>242</v>
      </c>
      <c r="E7664" s="1690" t="s">
        <v>3181</v>
      </c>
      <c r="F7664" s="1690"/>
      <c r="G7664" s="502" t="s">
        <v>3179</v>
      </c>
      <c r="H7664" s="395">
        <v>-0.3</v>
      </c>
      <c r="M7664" s="1357"/>
      <c r="Q7664" s="1357"/>
      <c r="S7664" s="1420"/>
      <c r="T7664" s="1420"/>
      <c r="V7664" s="1357">
        <v>72</v>
      </c>
    </row>
    <row r="7665" spans="1:22" s="841" customFormat="1" ht="15" x14ac:dyDescent="0.25">
      <c r="A7665" s="841" t="s">
        <v>242</v>
      </c>
      <c r="E7665" s="1690" t="s">
        <v>3292</v>
      </c>
      <c r="F7665" s="1690"/>
      <c r="G7665" s="502"/>
      <c r="H7665" s="503"/>
      <c r="M7665" s="1357"/>
      <c r="Q7665" s="1357"/>
      <c r="S7665" s="1420"/>
      <c r="T7665" s="1420"/>
      <c r="V7665" s="1357">
        <v>34</v>
      </c>
    </row>
    <row r="7666" spans="1:22" s="841" customFormat="1" ht="15" x14ac:dyDescent="0.25">
      <c r="A7666" s="841" t="s">
        <v>242</v>
      </c>
      <c r="E7666" s="1691" t="s">
        <v>3183</v>
      </c>
      <c r="F7666" s="1691"/>
      <c r="G7666" s="502" t="s">
        <v>23</v>
      </c>
      <c r="H7666" s="395">
        <v>0.25</v>
      </c>
      <c r="M7666" s="1357"/>
      <c r="Q7666" s="1357"/>
      <c r="S7666" s="1420"/>
      <c r="T7666" s="1420"/>
      <c r="V7666" s="1357">
        <v>57</v>
      </c>
    </row>
    <row r="7667" spans="1:22" s="841" customFormat="1" ht="15" x14ac:dyDescent="0.25">
      <c r="A7667" s="841" t="s">
        <v>242</v>
      </c>
      <c r="E7667" s="1691" t="s">
        <v>3184</v>
      </c>
      <c r="F7667" s="1691"/>
      <c r="G7667" s="502" t="s">
        <v>23</v>
      </c>
      <c r="H7667" s="395">
        <v>0.5</v>
      </c>
      <c r="M7667" s="1357"/>
      <c r="Q7667" s="1357"/>
      <c r="S7667" s="1420"/>
      <c r="T7667" s="1420"/>
      <c r="V7667" s="1357">
        <v>60</v>
      </c>
    </row>
    <row r="7668" spans="1:22" s="841" customFormat="1" ht="15" x14ac:dyDescent="0.25">
      <c r="A7668" s="841" t="s">
        <v>242</v>
      </c>
      <c r="E7668" s="1690" t="s">
        <v>3185</v>
      </c>
      <c r="F7668" s="1690"/>
      <c r="G7668" s="502"/>
      <c r="H7668" s="503"/>
      <c r="M7668" s="1357"/>
      <c r="Q7668" s="1357"/>
      <c r="S7668" s="1420"/>
      <c r="T7668" s="1420"/>
      <c r="V7668" s="1357">
        <v>91</v>
      </c>
    </row>
    <row r="7669" spans="1:22" s="841" customFormat="1" ht="15" x14ac:dyDescent="0.25">
      <c r="A7669" s="841" t="s">
        <v>242</v>
      </c>
      <c r="E7669" s="1690" t="s">
        <v>3186</v>
      </c>
      <c r="F7669" s="1690"/>
      <c r="G7669" s="502"/>
      <c r="H7669" s="503"/>
      <c r="M7669" s="1357"/>
      <c r="Q7669" s="1357"/>
      <c r="S7669" s="1420"/>
      <c r="T7669" s="1420"/>
      <c r="V7669" s="1357">
        <v>96</v>
      </c>
    </row>
    <row r="7670" spans="1:22" s="841" customFormat="1" ht="15" x14ac:dyDescent="0.25">
      <c r="A7670" s="841" t="s">
        <v>242</v>
      </c>
      <c r="E7670" s="1690" t="s">
        <v>3293</v>
      </c>
      <c r="F7670" s="1690"/>
      <c r="G7670" s="502"/>
      <c r="H7670" s="503"/>
      <c r="M7670" s="1357"/>
      <c r="Q7670" s="1357"/>
      <c r="S7670" s="1420"/>
      <c r="T7670" s="1420"/>
      <c r="V7670" s="1357">
        <v>77</v>
      </c>
    </row>
    <row r="7671" spans="1:22" s="841" customFormat="1" ht="15" x14ac:dyDescent="0.25">
      <c r="A7671" s="841" t="s">
        <v>242</v>
      </c>
      <c r="E7671" s="1691" t="s">
        <v>3188</v>
      </c>
      <c r="F7671" s="1691"/>
      <c r="G7671" s="502" t="s">
        <v>23</v>
      </c>
      <c r="H7671" s="503" t="s">
        <v>3189</v>
      </c>
      <c r="M7671" s="1357"/>
      <c r="Q7671" s="1357"/>
      <c r="S7671" s="1420"/>
      <c r="T7671" s="1420"/>
      <c r="V7671" s="1357">
        <v>18</v>
      </c>
    </row>
    <row r="7672" spans="1:22" s="841" customFormat="1" ht="15" x14ac:dyDescent="0.25">
      <c r="A7672" s="841" t="s">
        <v>242</v>
      </c>
      <c r="E7672" s="1691" t="s">
        <v>3190</v>
      </c>
      <c r="F7672" s="1691"/>
      <c r="G7672" s="502" t="s">
        <v>23</v>
      </c>
      <c r="H7672" s="395">
        <v>2</v>
      </c>
      <c r="M7672" s="1357"/>
      <c r="Q7672" s="1357"/>
      <c r="S7672" s="1420"/>
      <c r="T7672" s="1420"/>
      <c r="V7672" s="1357">
        <v>69</v>
      </c>
    </row>
    <row r="7673" spans="1:22" s="841" customFormat="1" ht="18.75" x14ac:dyDescent="0.25">
      <c r="A7673" s="841" t="s">
        <v>242</v>
      </c>
      <c r="E7673" s="1374" t="s">
        <v>147</v>
      </c>
      <c r="F7673" s="661"/>
      <c r="G7673" s="661"/>
      <c r="H7673" s="661"/>
      <c r="K7673" s="841" t="s">
        <v>4559</v>
      </c>
      <c r="M7673" s="1357"/>
      <c r="Q7673" s="1357"/>
      <c r="S7673" s="1420"/>
      <c r="T7673" s="1420"/>
      <c r="V7673" s="1357">
        <v>12</v>
      </c>
    </row>
    <row r="7674" spans="1:22" s="841" customFormat="1" ht="15" x14ac:dyDescent="0.25">
      <c r="A7674" s="841" t="s">
        <v>242</v>
      </c>
      <c r="E7674" s="1704" t="s">
        <v>3192</v>
      </c>
      <c r="F7674" s="1704"/>
      <c r="G7674" s="1704"/>
      <c r="H7674" s="1704"/>
      <c r="M7674" s="1357"/>
      <c r="Q7674" s="1357"/>
      <c r="S7674" s="1420"/>
      <c r="T7674" s="1420"/>
      <c r="V7674" s="1357">
        <v>203</v>
      </c>
    </row>
    <row r="7675" spans="1:22" s="841" customFormat="1" ht="15" x14ac:dyDescent="0.25">
      <c r="A7675" s="841" t="s">
        <v>242</v>
      </c>
      <c r="E7675" s="1690" t="s">
        <v>3295</v>
      </c>
      <c r="F7675" s="1690"/>
      <c r="G7675" s="1408"/>
      <c r="H7675" s="393">
        <v>1.0376000000000001</v>
      </c>
      <c r="M7675" s="1357"/>
      <c r="Q7675" s="1357"/>
      <c r="S7675" s="1420"/>
      <c r="T7675" s="1420"/>
      <c r="V7675" s="1357">
        <v>57</v>
      </c>
    </row>
    <row r="7676" spans="1:22" s="841" customFormat="1" ht="15" x14ac:dyDescent="0.25">
      <c r="A7676" s="841" t="s">
        <v>242</v>
      </c>
      <c r="E7676" s="1690" t="s">
        <v>3296</v>
      </c>
      <c r="F7676" s="1690"/>
      <c r="G7676" s="1408"/>
      <c r="H7676" s="393">
        <v>1.0145</v>
      </c>
      <c r="M7676" s="1357"/>
      <c r="Q7676" s="1357"/>
      <c r="S7676" s="1420"/>
      <c r="T7676" s="1420"/>
      <c r="V7676" s="1357">
        <v>57</v>
      </c>
    </row>
    <row r="7677" spans="1:22" s="841" customFormat="1" ht="15" x14ac:dyDescent="0.25">
      <c r="A7677" s="841" t="s">
        <v>242</v>
      </c>
      <c r="E7677" s="1690" t="s">
        <v>3297</v>
      </c>
      <c r="F7677" s="1690"/>
      <c r="G7677" s="1408"/>
      <c r="H7677" s="393">
        <v>1.0271999999999999</v>
      </c>
      <c r="M7677" s="1357"/>
      <c r="Q7677" s="1357"/>
      <c r="S7677" s="1420"/>
      <c r="T7677" s="1420"/>
      <c r="V7677" s="1357">
        <v>55</v>
      </c>
    </row>
    <row r="7678" spans="1:22" s="841" customFormat="1" ht="15" x14ac:dyDescent="0.25">
      <c r="A7678" s="841" t="s">
        <v>242</v>
      </c>
      <c r="E7678" s="1690" t="s">
        <v>3298</v>
      </c>
      <c r="F7678" s="1690"/>
      <c r="G7678" s="1408"/>
      <c r="H7678" s="393">
        <v>1.0044999999999999</v>
      </c>
      <c r="J7678" s="841" t="s">
        <v>4560</v>
      </c>
      <c r="M7678" s="1357"/>
      <c r="Q7678" s="1357"/>
      <c r="S7678" s="1420"/>
      <c r="T7678" s="1420"/>
      <c r="V7678" s="1357">
        <v>55</v>
      </c>
    </row>
    <row r="7679" spans="1:22" s="841" customFormat="1" ht="23.25" x14ac:dyDescent="0.25">
      <c r="A7679" s="841" t="s">
        <v>243</v>
      </c>
      <c r="C7679" s="841" t="s">
        <v>3050</v>
      </c>
      <c r="E7679" s="1911" t="s">
        <v>243</v>
      </c>
      <c r="F7679" s="1911"/>
      <c r="G7679" s="1911"/>
      <c r="H7679" s="1911"/>
      <c r="I7679" s="841" t="s">
        <v>628</v>
      </c>
      <c r="J7679" s="841" t="s">
        <v>4247</v>
      </c>
      <c r="K7679" s="841" t="s">
        <v>243</v>
      </c>
      <c r="M7679" s="1357">
        <v>8</v>
      </c>
      <c r="Q7679" s="1357"/>
      <c r="S7679" s="1420"/>
      <c r="T7679" s="1420"/>
      <c r="V7679" s="1357">
        <v>38</v>
      </c>
    </row>
    <row r="7680" spans="1:22" s="841" customFormat="1" x14ac:dyDescent="0.25">
      <c r="A7680" s="841" t="s">
        <v>243</v>
      </c>
      <c r="C7680" s="841" t="s">
        <v>3052</v>
      </c>
      <c r="E7680" s="1912" t="s">
        <v>3053</v>
      </c>
      <c r="F7680" s="1912"/>
      <c r="G7680" s="1912"/>
      <c r="H7680" s="1912"/>
      <c r="M7680" s="1357"/>
      <c r="Q7680" s="1357"/>
      <c r="S7680" s="1420"/>
      <c r="T7680" s="1420"/>
      <c r="V7680" s="1357">
        <v>27</v>
      </c>
    </row>
    <row r="7681" spans="1:22" s="841" customFormat="1" ht="15.75" x14ac:dyDescent="0.25">
      <c r="A7681" s="841" t="s">
        <v>243</v>
      </c>
      <c r="C7681" s="841" t="s">
        <v>3054</v>
      </c>
      <c r="E7681" s="1913" t="s">
        <v>5107</v>
      </c>
      <c r="F7681" s="1913"/>
      <c r="G7681" s="1913"/>
      <c r="H7681" s="1913"/>
      <c r="M7681" s="1357"/>
      <c r="Q7681" s="1357"/>
      <c r="S7681" s="1420">
        <v>43221</v>
      </c>
      <c r="T7681" s="1420"/>
      <c r="V7681" s="1357">
        <v>45</v>
      </c>
    </row>
    <row r="7682" spans="1:22" s="841" customFormat="1" ht="15" x14ac:dyDescent="0.25">
      <c r="A7682" s="841" t="s">
        <v>243</v>
      </c>
      <c r="C7682" s="841" t="s">
        <v>3055</v>
      </c>
      <c r="E7682" s="1914" t="s">
        <v>3056</v>
      </c>
      <c r="F7682" s="1914"/>
      <c r="G7682" s="1914"/>
      <c r="H7682" s="1914"/>
      <c r="M7682" s="1357"/>
      <c r="Q7682" s="1357"/>
      <c r="S7682" s="1420"/>
      <c r="T7682" s="1420"/>
      <c r="V7682" s="1357">
        <v>52</v>
      </c>
    </row>
    <row r="7683" spans="1:22" s="841" customFormat="1" ht="15" x14ac:dyDescent="0.25">
      <c r="A7683" s="841" t="s">
        <v>243</v>
      </c>
      <c r="E7683" s="1914" t="s">
        <v>3057</v>
      </c>
      <c r="F7683" s="1914"/>
      <c r="G7683" s="1914"/>
      <c r="H7683" s="1914"/>
      <c r="M7683" s="1357"/>
      <c r="Q7683" s="1357"/>
      <c r="S7683" s="1420"/>
      <c r="T7683" s="1420"/>
      <c r="V7683" s="1357">
        <v>53</v>
      </c>
    </row>
    <row r="7684" spans="1:22" s="841" customFormat="1" ht="15" x14ac:dyDescent="0.25">
      <c r="A7684" s="841" t="s">
        <v>243</v>
      </c>
      <c r="E7684" s="1925" t="s">
        <v>5652</v>
      </c>
      <c r="F7684" s="1925"/>
      <c r="G7684" s="1925"/>
      <c r="H7684" s="1925"/>
      <c r="K7684" s="841" t="s">
        <v>5652</v>
      </c>
      <c r="M7684" s="1357"/>
      <c r="Q7684" s="1357"/>
      <c r="S7684" s="1420"/>
      <c r="T7684" s="1420"/>
      <c r="V7684" s="1357">
        <v>12</v>
      </c>
    </row>
    <row r="7685" spans="1:22" s="841" customFormat="1" ht="15" x14ac:dyDescent="0.25">
      <c r="A7685" s="841" t="s">
        <v>243</v>
      </c>
      <c r="E7685" s="1909" t="s">
        <v>438</v>
      </c>
      <c r="F7685" s="1697"/>
      <c r="G7685" s="1697"/>
      <c r="H7685" s="1697"/>
      <c r="K7685" s="841" t="s">
        <v>3197</v>
      </c>
      <c r="M7685" s="1357"/>
      <c r="Q7685" s="1357"/>
      <c r="S7685" s="1420"/>
      <c r="T7685" s="1420"/>
      <c r="V7685" s="1357">
        <v>34</v>
      </c>
    </row>
    <row r="7686" spans="1:22" s="841" customFormat="1" ht="15" x14ac:dyDescent="0.25">
      <c r="A7686" s="841" t="s">
        <v>243</v>
      </c>
      <c r="E7686" s="1689" t="s">
        <v>4248</v>
      </c>
      <c r="F7686" s="1689"/>
      <c r="G7686" s="1689"/>
      <c r="H7686" s="1689"/>
      <c r="K7686" s="841" t="s">
        <v>3197</v>
      </c>
      <c r="M7686" s="1357"/>
      <c r="Q7686" s="1357"/>
      <c r="S7686" s="1420"/>
      <c r="T7686" s="1420"/>
      <c r="V7686" s="1357">
        <v>616</v>
      </c>
    </row>
    <row r="7687" spans="1:22" s="841" customFormat="1" ht="15" x14ac:dyDescent="0.25">
      <c r="A7687" s="841" t="s">
        <v>243</v>
      </c>
      <c r="E7687" s="1916" t="s">
        <v>3061</v>
      </c>
      <c r="F7687" s="1697"/>
      <c r="G7687" s="1697"/>
      <c r="H7687" s="1697"/>
      <c r="K7687" s="841" t="s">
        <v>3062</v>
      </c>
      <c r="M7687" s="1357"/>
      <c r="Q7687" s="1357"/>
      <c r="S7687" s="1420"/>
      <c r="T7687" s="1420"/>
      <c r="V7687" s="1357">
        <v>11</v>
      </c>
    </row>
    <row r="7688" spans="1:22" s="841" customFormat="1" ht="15" x14ac:dyDescent="0.25">
      <c r="A7688" s="841" t="s">
        <v>243</v>
      </c>
      <c r="E7688" s="1689" t="s">
        <v>3063</v>
      </c>
      <c r="F7688" s="1689"/>
      <c r="G7688" s="1689"/>
      <c r="H7688" s="1689"/>
      <c r="K7688" s="841" t="s">
        <v>3197</v>
      </c>
      <c r="M7688" s="1357"/>
      <c r="Q7688" s="1357"/>
      <c r="S7688" s="1420"/>
      <c r="T7688" s="1420"/>
      <c r="V7688" s="1357">
        <v>280</v>
      </c>
    </row>
    <row r="7689" spans="1:22" s="841" customFormat="1" ht="15" x14ac:dyDescent="0.25">
      <c r="A7689" s="841" t="s">
        <v>243</v>
      </c>
      <c r="E7689" s="1689" t="s">
        <v>3064</v>
      </c>
      <c r="F7689" s="1689"/>
      <c r="G7689" s="1689"/>
      <c r="H7689" s="1689"/>
      <c r="K7689" s="841" t="s">
        <v>3197</v>
      </c>
      <c r="M7689" s="1357"/>
      <c r="Q7689" s="1357"/>
      <c r="S7689" s="1420"/>
      <c r="T7689" s="1420"/>
      <c r="V7689" s="1357">
        <v>411</v>
      </c>
    </row>
    <row r="7690" spans="1:22" s="841" customFormat="1" ht="15" x14ac:dyDescent="0.25">
      <c r="A7690" s="841" t="s">
        <v>243</v>
      </c>
      <c r="E7690" s="1689" t="s">
        <v>3199</v>
      </c>
      <c r="F7690" s="1689"/>
      <c r="G7690" s="1689"/>
      <c r="H7690" s="1689"/>
      <c r="K7690" s="841" t="s">
        <v>3197</v>
      </c>
      <c r="M7690" s="1357"/>
      <c r="Q7690" s="1357"/>
      <c r="S7690" s="1420"/>
      <c r="T7690" s="1420"/>
      <c r="V7690" s="1357">
        <v>386</v>
      </c>
    </row>
    <row r="7691" spans="1:22" s="841" customFormat="1" ht="15" x14ac:dyDescent="0.25">
      <c r="A7691" s="841" t="s">
        <v>243</v>
      </c>
      <c r="E7691" s="1689" t="s">
        <v>3200</v>
      </c>
      <c r="F7691" s="1689"/>
      <c r="G7691" s="1689"/>
      <c r="H7691" s="1689"/>
      <c r="K7691" s="841" t="s">
        <v>3197</v>
      </c>
      <c r="M7691" s="1357"/>
      <c r="Q7691" s="1357"/>
      <c r="S7691" s="1420"/>
      <c r="T7691" s="1420"/>
      <c r="V7691" s="1357">
        <v>275</v>
      </c>
    </row>
    <row r="7692" spans="1:22" s="841" customFormat="1" ht="15" x14ac:dyDescent="0.25">
      <c r="A7692" s="841" t="s">
        <v>243</v>
      </c>
      <c r="E7692" s="1694" t="s">
        <v>3067</v>
      </c>
      <c r="F7692" s="1907"/>
      <c r="G7692" s="1907"/>
      <c r="H7692" s="1907"/>
      <c r="K7692" s="841" t="s">
        <v>3068</v>
      </c>
      <c r="M7692" s="1357"/>
      <c r="Q7692" s="1357"/>
      <c r="S7692" s="1420"/>
      <c r="T7692" s="1420"/>
      <c r="V7692" s="1357">
        <v>46</v>
      </c>
    </row>
    <row r="7693" spans="1:22" s="841" customFormat="1" ht="15" x14ac:dyDescent="0.25">
      <c r="A7693" s="841" t="s">
        <v>243</v>
      </c>
      <c r="E7693" s="1690" t="s">
        <v>11</v>
      </c>
      <c r="F7693" s="1690"/>
      <c r="G7693" s="1408" t="s">
        <v>23</v>
      </c>
      <c r="H7693" s="391">
        <v>24.48</v>
      </c>
      <c r="K7693" s="841" t="s">
        <v>3197</v>
      </c>
      <c r="L7693" s="841" t="s">
        <v>442</v>
      </c>
      <c r="M7693" s="1357"/>
      <c r="P7693" s="841" t="s">
        <v>3201</v>
      </c>
      <c r="Q7693" s="1357"/>
      <c r="S7693" s="1420"/>
      <c r="T7693" s="1420"/>
      <c r="V7693" s="1357">
        <v>14</v>
      </c>
    </row>
    <row r="7694" spans="1:22" s="841" customFormat="1" ht="15" x14ac:dyDescent="0.25">
      <c r="A7694" s="841" t="s">
        <v>243</v>
      </c>
      <c r="E7694" s="1690" t="s">
        <v>4249</v>
      </c>
      <c r="F7694" s="1690"/>
      <c r="G7694" s="1408" t="s">
        <v>23</v>
      </c>
      <c r="H7694" s="391">
        <v>2.56</v>
      </c>
      <c r="K7694" s="841" t="s">
        <v>3197</v>
      </c>
      <c r="L7694" s="841" t="s">
        <v>442</v>
      </c>
      <c r="M7694" s="1357"/>
      <c r="P7694" s="841" t="s">
        <v>5674</v>
      </c>
      <c r="Q7694" s="1357"/>
      <c r="S7694" s="1420"/>
      <c r="T7694" s="1420"/>
      <c r="V7694" s="1357">
        <v>141</v>
      </c>
    </row>
    <row r="7695" spans="1:22" s="841" customFormat="1" ht="15" x14ac:dyDescent="0.25">
      <c r="A7695" s="841" t="s">
        <v>243</v>
      </c>
      <c r="E7695" s="1690" t="s">
        <v>5109</v>
      </c>
      <c r="F7695" s="1690"/>
      <c r="G7695" s="1408" t="s">
        <v>23</v>
      </c>
      <c r="H7695" s="391">
        <v>0.56999999999999995</v>
      </c>
      <c r="K7695" s="841" t="s">
        <v>3197</v>
      </c>
      <c r="L7695" s="841" t="s">
        <v>443</v>
      </c>
      <c r="M7695" s="1357"/>
      <c r="P7695" s="841" t="s">
        <v>3202</v>
      </c>
      <c r="Q7695" s="1357"/>
      <c r="S7695" s="1420"/>
      <c r="T7695" s="1420">
        <v>44926</v>
      </c>
      <c r="V7695" s="1357">
        <v>64</v>
      </c>
    </row>
    <row r="7696" spans="1:22" s="841" customFormat="1" ht="15" x14ac:dyDescent="0.25">
      <c r="A7696" s="841" t="s">
        <v>243</v>
      </c>
      <c r="E7696" s="1690" t="s">
        <v>5383</v>
      </c>
      <c r="F7696" s="1908"/>
      <c r="G7696" s="1408" t="s">
        <v>23</v>
      </c>
      <c r="H7696" s="391">
        <v>-0.08</v>
      </c>
      <c r="K7696" s="841" t="s">
        <v>3197</v>
      </c>
      <c r="L7696" s="841" t="s">
        <v>442</v>
      </c>
      <c r="M7696" s="1357"/>
      <c r="P7696" s="841" t="s">
        <v>3954</v>
      </c>
      <c r="Q7696" s="1357"/>
      <c r="S7696" s="1420"/>
      <c r="T7696" s="1420">
        <v>43585</v>
      </c>
      <c r="V7696" s="1357">
        <v>80</v>
      </c>
    </row>
    <row r="7697" spans="1:22" s="841" customFormat="1" ht="15" x14ac:dyDescent="0.25">
      <c r="A7697" s="841" t="s">
        <v>243</v>
      </c>
      <c r="E7697" s="1690" t="s">
        <v>84</v>
      </c>
      <c r="F7697" s="1690"/>
      <c r="G7697" s="1408" t="s">
        <v>24</v>
      </c>
      <c r="H7697" s="393">
        <v>4.3E-3</v>
      </c>
      <c r="K7697" s="841" t="s">
        <v>3197</v>
      </c>
      <c r="L7697" s="841" t="s">
        <v>442</v>
      </c>
      <c r="M7697" s="1357"/>
      <c r="P7697" s="841" t="s">
        <v>3203</v>
      </c>
      <c r="Q7697" s="1357"/>
      <c r="S7697" s="1420"/>
      <c r="T7697" s="1420"/>
      <c r="V7697" s="1357">
        <v>28</v>
      </c>
    </row>
    <row r="7698" spans="1:22" s="841" customFormat="1" ht="15" x14ac:dyDescent="0.25">
      <c r="A7698" s="841" t="s">
        <v>243</v>
      </c>
      <c r="E7698" s="1690" t="s">
        <v>18</v>
      </c>
      <c r="F7698" s="1690"/>
      <c r="G7698" s="1408" t="s">
        <v>24</v>
      </c>
      <c r="H7698" s="393">
        <v>5.9999999999999995E-4</v>
      </c>
      <c r="K7698" s="841" t="s">
        <v>3197</v>
      </c>
      <c r="L7698" s="841" t="s">
        <v>443</v>
      </c>
      <c r="M7698" s="1357"/>
      <c r="P7698" s="841" t="s">
        <v>3204</v>
      </c>
      <c r="Q7698" s="1357"/>
      <c r="S7698" s="1420"/>
      <c r="T7698" s="1420"/>
      <c r="V7698" s="1357">
        <v>24</v>
      </c>
    </row>
    <row r="7699" spans="1:22" s="841" customFormat="1" ht="15" x14ac:dyDescent="0.25">
      <c r="A7699" s="841" t="s">
        <v>243</v>
      </c>
      <c r="E7699" s="1690" t="s">
        <v>5129</v>
      </c>
      <c r="F7699" s="1908"/>
      <c r="G7699" s="1408" t="s">
        <v>24</v>
      </c>
      <c r="H7699" s="393">
        <v>-5.9999999999999995E-4</v>
      </c>
      <c r="K7699" s="841" t="s">
        <v>3197</v>
      </c>
      <c r="L7699" s="841" t="s">
        <v>443</v>
      </c>
      <c r="M7699" s="1357"/>
      <c r="P7699" s="841" t="s">
        <v>3205</v>
      </c>
      <c r="Q7699" s="1357"/>
      <c r="S7699" s="1420"/>
      <c r="T7699" s="1420">
        <v>43585</v>
      </c>
      <c r="V7699" s="1357">
        <v>139</v>
      </c>
    </row>
    <row r="7700" spans="1:22" s="841" customFormat="1" ht="15" x14ac:dyDescent="0.25">
      <c r="A7700" s="841" t="s">
        <v>243</v>
      </c>
      <c r="E7700" s="1690" t="s">
        <v>5130</v>
      </c>
      <c r="F7700" s="1908"/>
      <c r="G7700" s="1408" t="s">
        <v>24</v>
      </c>
      <c r="H7700" s="393">
        <v>1.1000000000000001E-3</v>
      </c>
      <c r="K7700" s="841" t="s">
        <v>3197</v>
      </c>
      <c r="L7700" s="841" t="s">
        <v>443</v>
      </c>
      <c r="M7700" s="1357"/>
      <c r="P7700" s="841" t="s">
        <v>3207</v>
      </c>
      <c r="Q7700" s="1357"/>
      <c r="S7700" s="1420"/>
      <c r="T7700" s="1420">
        <v>43585</v>
      </c>
      <c r="V7700" s="1357">
        <v>96</v>
      </c>
    </row>
    <row r="7701" spans="1:22" s="841" customFormat="1" ht="15" x14ac:dyDescent="0.25">
      <c r="A7701" s="841" t="s">
        <v>243</v>
      </c>
      <c r="E7701" s="1690" t="s">
        <v>221</v>
      </c>
      <c r="F7701" s="1690"/>
      <c r="G7701" s="1408" t="s">
        <v>24</v>
      </c>
      <c r="H7701" s="393">
        <v>5.4000000000000003E-3</v>
      </c>
      <c r="K7701" s="841" t="s">
        <v>3197</v>
      </c>
      <c r="L7701" s="841" t="s">
        <v>444</v>
      </c>
      <c r="M7701" s="1357"/>
      <c r="P7701" s="841" t="s">
        <v>3208</v>
      </c>
      <c r="Q7701" s="1357"/>
      <c r="S7701" s="1420"/>
      <c r="T7701" s="1420"/>
      <c r="V7701" s="1357">
        <v>47</v>
      </c>
    </row>
    <row r="7702" spans="1:22" s="841" customFormat="1" ht="15" x14ac:dyDescent="0.25">
      <c r="A7702" s="841" t="s">
        <v>243</v>
      </c>
      <c r="E7702" s="1690" t="s">
        <v>217</v>
      </c>
      <c r="F7702" s="1690"/>
      <c r="G7702" s="1408" t="s">
        <v>24</v>
      </c>
      <c r="H7702" s="393">
        <v>4.3E-3</v>
      </c>
      <c r="K7702" s="841" t="s">
        <v>3197</v>
      </c>
      <c r="L7702" s="841" t="s">
        <v>444</v>
      </c>
      <c r="M7702" s="1357"/>
      <c r="P7702" s="841" t="s">
        <v>3209</v>
      </c>
      <c r="Q7702" s="1357"/>
      <c r="S7702" s="1420"/>
      <c r="T7702" s="1420"/>
      <c r="V7702" s="1357">
        <v>74</v>
      </c>
    </row>
    <row r="7703" spans="1:22" s="841" customFormat="1" ht="15" x14ac:dyDescent="0.25">
      <c r="A7703" s="841" t="s">
        <v>243</v>
      </c>
      <c r="E7703" s="1694" t="s">
        <v>3079</v>
      </c>
      <c r="F7703" s="1690"/>
      <c r="G7703" s="1408"/>
      <c r="H7703" s="1408"/>
      <c r="K7703" s="841" t="s">
        <v>3080</v>
      </c>
      <c r="M7703" s="1357"/>
      <c r="Q7703" s="1357"/>
      <c r="S7703" s="1420"/>
      <c r="T7703" s="1420"/>
      <c r="V7703" s="1357">
        <v>48</v>
      </c>
    </row>
    <row r="7704" spans="1:22" s="841" customFormat="1" ht="15" x14ac:dyDescent="0.25">
      <c r="A7704" s="841" t="s">
        <v>243</v>
      </c>
      <c r="E7704" s="1690" t="s">
        <v>2449</v>
      </c>
      <c r="F7704" s="1690"/>
      <c r="G7704" s="1408" t="s">
        <v>24</v>
      </c>
      <c r="H7704" s="393">
        <v>3.2000000000000002E-3</v>
      </c>
      <c r="K7704" s="841" t="s">
        <v>3197</v>
      </c>
      <c r="L7704" s="841" t="s">
        <v>3046</v>
      </c>
      <c r="M7704" s="1357"/>
      <c r="P7704" s="841" t="s">
        <v>3210</v>
      </c>
      <c r="Q7704" s="1357"/>
      <c r="S7704" s="1420"/>
      <c r="T7704" s="1420"/>
      <c r="V7704" s="1357">
        <v>55</v>
      </c>
    </row>
    <row r="7705" spans="1:22" s="841" customFormat="1" ht="15" x14ac:dyDescent="0.25">
      <c r="A7705" s="841" t="s">
        <v>243</v>
      </c>
      <c r="E7705" s="1690" t="s">
        <v>2450</v>
      </c>
      <c r="F7705" s="1690"/>
      <c r="G7705" s="1408" t="s">
        <v>24</v>
      </c>
      <c r="H7705" s="393">
        <v>4.0000000000000002E-4</v>
      </c>
      <c r="K7705" s="841" t="s">
        <v>3197</v>
      </c>
      <c r="L7705" s="841" t="s">
        <v>3046</v>
      </c>
      <c r="M7705" s="1357"/>
      <c r="P7705" s="841" t="s">
        <v>3210</v>
      </c>
      <c r="Q7705" s="1357"/>
      <c r="S7705" s="1420"/>
      <c r="T7705" s="1420"/>
      <c r="V7705" s="1357">
        <v>65</v>
      </c>
    </row>
    <row r="7706" spans="1:22" s="841" customFormat="1" ht="15" x14ac:dyDescent="0.25">
      <c r="A7706" s="841" t="s">
        <v>243</v>
      </c>
      <c r="E7706" s="1690" t="s">
        <v>439</v>
      </c>
      <c r="F7706" s="1690"/>
      <c r="G7706" s="1408" t="s">
        <v>24</v>
      </c>
      <c r="H7706" s="393">
        <v>2.9999999999999997E-4</v>
      </c>
      <c r="K7706" s="841" t="s">
        <v>3197</v>
      </c>
      <c r="L7706" s="841" t="s">
        <v>3046</v>
      </c>
      <c r="M7706" s="1357"/>
      <c r="P7706" s="841" t="s">
        <v>3212</v>
      </c>
      <c r="Q7706" s="1357"/>
      <c r="S7706" s="1420"/>
      <c r="T7706" s="1420"/>
      <c r="V7706" s="1357">
        <v>57</v>
      </c>
    </row>
    <row r="7707" spans="1:22" s="841" customFormat="1" ht="15" x14ac:dyDescent="0.25">
      <c r="A7707" s="841" t="s">
        <v>243</v>
      </c>
      <c r="E7707" s="1690" t="s">
        <v>32</v>
      </c>
      <c r="F7707" s="1690"/>
      <c r="G7707" s="1408" t="s">
        <v>23</v>
      </c>
      <c r="H7707" s="391">
        <v>0.25</v>
      </c>
      <c r="K7707" s="841" t="s">
        <v>3197</v>
      </c>
      <c r="L7707" s="841" t="s">
        <v>3046</v>
      </c>
      <c r="M7707" s="1357"/>
      <c r="P7707" s="841" t="s">
        <v>3213</v>
      </c>
      <c r="Q7707" s="1357"/>
      <c r="S7707" s="1420"/>
      <c r="T7707" s="1420"/>
      <c r="V7707" s="1357">
        <v>63</v>
      </c>
    </row>
    <row r="7708" spans="1:22" s="841" customFormat="1" x14ac:dyDescent="0.25">
      <c r="A7708" s="841" t="s">
        <v>243</v>
      </c>
      <c r="E7708" s="1909" t="s">
        <v>3214</v>
      </c>
      <c r="F7708" s="1915"/>
      <c r="G7708" s="1915"/>
      <c r="H7708" s="1915"/>
      <c r="K7708" s="841" t="s">
        <v>5110</v>
      </c>
      <c r="M7708" s="1357"/>
      <c r="Q7708" s="1357"/>
      <c r="S7708" s="1420"/>
      <c r="T7708" s="1420"/>
      <c r="V7708" s="1357">
        <v>54</v>
      </c>
    </row>
    <row r="7709" spans="1:22" s="841" customFormat="1" ht="15" x14ac:dyDescent="0.25">
      <c r="A7709" s="841" t="s">
        <v>243</v>
      </c>
      <c r="E7709" s="1689" t="s">
        <v>4250</v>
      </c>
      <c r="F7709" s="1689"/>
      <c r="G7709" s="1689"/>
      <c r="H7709" s="1689"/>
      <c r="K7709" s="841" t="s">
        <v>5110</v>
      </c>
      <c r="M7709" s="1357"/>
      <c r="Q7709" s="1357"/>
      <c r="S7709" s="1420"/>
      <c r="T7709" s="1420"/>
      <c r="V7709" s="1357">
        <v>334</v>
      </c>
    </row>
    <row r="7710" spans="1:22" s="841" customFormat="1" ht="15" x14ac:dyDescent="0.25">
      <c r="A7710" s="841" t="s">
        <v>243</v>
      </c>
      <c r="E7710" s="1916" t="s">
        <v>3061</v>
      </c>
      <c r="F7710" s="1697"/>
      <c r="G7710" s="1697"/>
      <c r="H7710" s="1697"/>
      <c r="K7710" s="841" t="s">
        <v>3086</v>
      </c>
      <c r="M7710" s="1357"/>
      <c r="Q7710" s="1357"/>
      <c r="S7710" s="1420"/>
      <c r="T7710" s="1420"/>
      <c r="V7710" s="1357">
        <v>11</v>
      </c>
    </row>
    <row r="7711" spans="1:22" s="841" customFormat="1" ht="15" x14ac:dyDescent="0.25">
      <c r="A7711" s="841" t="s">
        <v>243</v>
      </c>
      <c r="E7711" s="1689" t="s">
        <v>3063</v>
      </c>
      <c r="F7711" s="1689"/>
      <c r="G7711" s="1689"/>
      <c r="H7711" s="1689"/>
      <c r="K7711" s="841" t="s">
        <v>5110</v>
      </c>
      <c r="M7711" s="1357"/>
      <c r="Q7711" s="1357"/>
      <c r="S7711" s="1420"/>
      <c r="T7711" s="1420"/>
      <c r="V7711" s="1357">
        <v>280</v>
      </c>
    </row>
    <row r="7712" spans="1:22" s="841" customFormat="1" ht="15" x14ac:dyDescent="0.25">
      <c r="A7712" s="841" t="s">
        <v>243</v>
      </c>
      <c r="E7712" s="1689" t="s">
        <v>3064</v>
      </c>
      <c r="F7712" s="1689"/>
      <c r="G7712" s="1689"/>
      <c r="H7712" s="1689"/>
      <c r="K7712" s="841" t="s">
        <v>5110</v>
      </c>
      <c r="M7712" s="1357"/>
      <c r="Q7712" s="1357"/>
      <c r="S7712" s="1420"/>
      <c r="T7712" s="1420"/>
      <c r="V7712" s="1357">
        <v>411</v>
      </c>
    </row>
    <row r="7713" spans="1:22" s="841" customFormat="1" ht="15" x14ac:dyDescent="0.25">
      <c r="A7713" s="841" t="s">
        <v>243</v>
      </c>
      <c r="E7713" s="1689" t="s">
        <v>3199</v>
      </c>
      <c r="F7713" s="1689"/>
      <c r="G7713" s="1689"/>
      <c r="H7713" s="1689"/>
      <c r="K7713" s="841" t="s">
        <v>5110</v>
      </c>
      <c r="M7713" s="1357"/>
      <c r="Q7713" s="1357"/>
      <c r="S7713" s="1420"/>
      <c r="T7713" s="1420"/>
      <c r="V7713" s="1357">
        <v>386</v>
      </c>
    </row>
    <row r="7714" spans="1:22" s="841" customFormat="1" ht="15" x14ac:dyDescent="0.25">
      <c r="A7714" s="841" t="s">
        <v>243</v>
      </c>
      <c r="E7714" s="1689" t="s">
        <v>3200</v>
      </c>
      <c r="F7714" s="1689"/>
      <c r="G7714" s="1689"/>
      <c r="H7714" s="1689"/>
      <c r="K7714" s="841" t="s">
        <v>5110</v>
      </c>
      <c r="M7714" s="1357"/>
      <c r="Q7714" s="1357"/>
      <c r="S7714" s="1420"/>
      <c r="T7714" s="1420"/>
      <c r="V7714" s="1357">
        <v>275</v>
      </c>
    </row>
    <row r="7715" spans="1:22" s="841" customFormat="1" ht="15" x14ac:dyDescent="0.25">
      <c r="A7715" s="841" t="s">
        <v>243</v>
      </c>
      <c r="E7715" s="1694" t="s">
        <v>3067</v>
      </c>
      <c r="F7715" s="1907"/>
      <c r="G7715" s="1907"/>
      <c r="H7715" s="1907"/>
      <c r="K7715" s="841" t="s">
        <v>3087</v>
      </c>
      <c r="M7715" s="1357"/>
      <c r="Q7715" s="1357"/>
      <c r="S7715" s="1420"/>
      <c r="T7715" s="1420"/>
      <c r="V7715" s="1357">
        <v>46</v>
      </c>
    </row>
    <row r="7716" spans="1:22" s="841" customFormat="1" ht="15" x14ac:dyDescent="0.25">
      <c r="A7716" s="841" t="s">
        <v>243</v>
      </c>
      <c r="E7716" s="1690" t="s">
        <v>11</v>
      </c>
      <c r="F7716" s="1690"/>
      <c r="G7716" s="1408" t="s">
        <v>23</v>
      </c>
      <c r="H7716" s="391">
        <v>37.42</v>
      </c>
      <c r="K7716" s="841" t="s">
        <v>5110</v>
      </c>
      <c r="L7716" s="841" t="s">
        <v>442</v>
      </c>
      <c r="M7716" s="1357"/>
      <c r="P7716" s="841" t="s">
        <v>5111</v>
      </c>
      <c r="Q7716" s="1357"/>
      <c r="S7716" s="1420"/>
      <c r="T7716" s="1420"/>
      <c r="V7716" s="1357">
        <v>14</v>
      </c>
    </row>
    <row r="7717" spans="1:22" s="841" customFormat="1" ht="15" x14ac:dyDescent="0.25">
      <c r="A7717" s="841" t="s">
        <v>243</v>
      </c>
      <c r="E7717" s="1690" t="s">
        <v>4249</v>
      </c>
      <c r="F7717" s="1690"/>
      <c r="G7717" s="1408" t="s">
        <v>23</v>
      </c>
      <c r="H7717" s="391">
        <v>7.48</v>
      </c>
      <c r="K7717" s="841" t="s">
        <v>5110</v>
      </c>
      <c r="L7717" s="841" t="s">
        <v>442</v>
      </c>
      <c r="M7717" s="1357"/>
      <c r="P7717" s="841" t="s">
        <v>5675</v>
      </c>
      <c r="Q7717" s="1357"/>
      <c r="S7717" s="1420"/>
      <c r="T7717" s="1420"/>
      <c r="V7717" s="1357">
        <v>141</v>
      </c>
    </row>
    <row r="7718" spans="1:22" s="841" customFormat="1" ht="15" x14ac:dyDescent="0.25">
      <c r="A7718" s="841" t="s">
        <v>243</v>
      </c>
      <c r="E7718" s="1690" t="s">
        <v>5109</v>
      </c>
      <c r="F7718" s="1690"/>
      <c r="G7718" s="1408" t="s">
        <v>23</v>
      </c>
      <c r="H7718" s="391">
        <v>0.56999999999999995</v>
      </c>
      <c r="K7718" s="841" t="s">
        <v>5110</v>
      </c>
      <c r="L7718" s="841" t="s">
        <v>443</v>
      </c>
      <c r="M7718" s="1357"/>
      <c r="P7718" s="841" t="s">
        <v>5112</v>
      </c>
      <c r="Q7718" s="1357"/>
      <c r="S7718" s="1420"/>
      <c r="T7718" s="1420">
        <v>44926</v>
      </c>
      <c r="V7718" s="1357">
        <v>64</v>
      </c>
    </row>
    <row r="7719" spans="1:22" s="841" customFormat="1" ht="15" x14ac:dyDescent="0.25">
      <c r="A7719" s="841" t="s">
        <v>243</v>
      </c>
      <c r="E7719" s="1690" t="s">
        <v>84</v>
      </c>
      <c r="F7719" s="1690"/>
      <c r="G7719" s="1408" t="s">
        <v>24</v>
      </c>
      <c r="H7719" s="393">
        <v>1.6500000000000001E-2</v>
      </c>
      <c r="K7719" s="841" t="s">
        <v>5110</v>
      </c>
      <c r="L7719" s="841" t="s">
        <v>442</v>
      </c>
      <c r="M7719" s="1357"/>
      <c r="P7719" s="841" t="s">
        <v>5113</v>
      </c>
      <c r="Q7719" s="1357"/>
      <c r="S7719" s="1420"/>
      <c r="T7719" s="1420"/>
      <c r="V7719" s="1357">
        <v>28</v>
      </c>
    </row>
    <row r="7720" spans="1:22" s="841" customFormat="1" ht="15" x14ac:dyDescent="0.25">
      <c r="A7720" s="841" t="s">
        <v>243</v>
      </c>
      <c r="E7720" s="1690" t="s">
        <v>18</v>
      </c>
      <c r="F7720" s="1690"/>
      <c r="G7720" s="1408" t="s">
        <v>24</v>
      </c>
      <c r="H7720" s="393">
        <v>5.9999999999999995E-4</v>
      </c>
      <c r="K7720" s="841" t="s">
        <v>5110</v>
      </c>
      <c r="L7720" s="841" t="s">
        <v>443</v>
      </c>
      <c r="M7720" s="1357"/>
      <c r="P7720" s="841" t="s">
        <v>5114</v>
      </c>
      <c r="Q7720" s="1357"/>
      <c r="S7720" s="1420"/>
      <c r="T7720" s="1420"/>
      <c r="V7720" s="1357">
        <v>24</v>
      </c>
    </row>
    <row r="7721" spans="1:22" s="841" customFormat="1" ht="15" x14ac:dyDescent="0.25">
      <c r="A7721" s="841" t="s">
        <v>243</v>
      </c>
      <c r="E7721" s="1690" t="s">
        <v>5129</v>
      </c>
      <c r="F7721" s="1908"/>
      <c r="G7721" s="1408" t="s">
        <v>24</v>
      </c>
      <c r="H7721" s="393">
        <v>-5.9999999999999995E-4</v>
      </c>
      <c r="K7721" s="841" t="s">
        <v>5110</v>
      </c>
      <c r="L7721" s="841" t="s">
        <v>443</v>
      </c>
      <c r="M7721" s="1357"/>
      <c r="P7721" s="841" t="s">
        <v>4818</v>
      </c>
      <c r="Q7721" s="1357"/>
      <c r="S7721" s="1420"/>
      <c r="T7721" s="1420">
        <v>43585</v>
      </c>
      <c r="V7721" s="1357">
        <v>139</v>
      </c>
    </row>
    <row r="7722" spans="1:22" s="841" customFormat="1" ht="15" x14ac:dyDescent="0.25">
      <c r="A7722" s="841" t="s">
        <v>243</v>
      </c>
      <c r="E7722" s="1690" t="s">
        <v>5130</v>
      </c>
      <c r="F7722" s="1908"/>
      <c r="G7722" s="1408" t="s">
        <v>24</v>
      </c>
      <c r="H7722" s="393">
        <v>1.1000000000000001E-3</v>
      </c>
      <c r="K7722" s="841" t="s">
        <v>5110</v>
      </c>
      <c r="L7722" s="841" t="s">
        <v>443</v>
      </c>
      <c r="M7722" s="1357"/>
      <c r="P7722" s="841" t="s">
        <v>5124</v>
      </c>
      <c r="Q7722" s="1357"/>
      <c r="S7722" s="1420"/>
      <c r="T7722" s="1420">
        <v>43585</v>
      </c>
      <c r="V7722" s="1357">
        <v>96</v>
      </c>
    </row>
    <row r="7723" spans="1:22" s="841" customFormat="1" ht="15" x14ac:dyDescent="0.25">
      <c r="A7723" s="841" t="s">
        <v>243</v>
      </c>
      <c r="E7723" s="1690" t="s">
        <v>5383</v>
      </c>
      <c r="F7723" s="1908"/>
      <c r="G7723" s="1408" t="s">
        <v>24</v>
      </c>
      <c r="H7723" s="393">
        <v>-1E-4</v>
      </c>
      <c r="K7723" s="841" t="s">
        <v>5110</v>
      </c>
      <c r="L7723" s="841" t="s">
        <v>442</v>
      </c>
      <c r="M7723" s="1357"/>
      <c r="P7723" s="841" t="s">
        <v>5391</v>
      </c>
      <c r="Q7723" s="1357"/>
      <c r="S7723" s="1420"/>
      <c r="T7723" s="1420">
        <v>43585</v>
      </c>
      <c r="V7723" s="1357">
        <v>80</v>
      </c>
    </row>
    <row r="7724" spans="1:22" s="841" customFormat="1" ht="15" x14ac:dyDescent="0.25">
      <c r="A7724" s="841" t="s">
        <v>243</v>
      </c>
      <c r="E7724" s="1690" t="s">
        <v>221</v>
      </c>
      <c r="F7724" s="1690"/>
      <c r="G7724" s="1408" t="s">
        <v>24</v>
      </c>
      <c r="H7724" s="393">
        <v>4.4999999999999997E-3</v>
      </c>
      <c r="K7724" s="841" t="s">
        <v>5110</v>
      </c>
      <c r="L7724" s="841" t="s">
        <v>444</v>
      </c>
      <c r="M7724" s="1357"/>
      <c r="P7724" s="841" t="s">
        <v>5115</v>
      </c>
      <c r="Q7724" s="1357"/>
      <c r="S7724" s="1420"/>
      <c r="T7724" s="1420"/>
      <c r="V7724" s="1357">
        <v>47</v>
      </c>
    </row>
    <row r="7725" spans="1:22" s="841" customFormat="1" ht="15" x14ac:dyDescent="0.25">
      <c r="A7725" s="841" t="s">
        <v>243</v>
      </c>
      <c r="E7725" s="1690" t="s">
        <v>217</v>
      </c>
      <c r="F7725" s="1690"/>
      <c r="G7725" s="1408" t="s">
        <v>24</v>
      </c>
      <c r="H7725" s="393">
        <v>4.0000000000000001E-3</v>
      </c>
      <c r="K7725" s="841" t="s">
        <v>5110</v>
      </c>
      <c r="L7725" s="841" t="s">
        <v>444</v>
      </c>
      <c r="M7725" s="1357"/>
      <c r="P7725" s="841" t="s">
        <v>5116</v>
      </c>
      <c r="Q7725" s="1357"/>
      <c r="S7725" s="1420"/>
      <c r="T7725" s="1420"/>
      <c r="V7725" s="1357">
        <v>74</v>
      </c>
    </row>
    <row r="7726" spans="1:22" s="841" customFormat="1" ht="15" x14ac:dyDescent="0.25">
      <c r="A7726" s="841" t="s">
        <v>243</v>
      </c>
      <c r="E7726" s="1694" t="s">
        <v>3079</v>
      </c>
      <c r="F7726" s="1690"/>
      <c r="G7726" s="1408"/>
      <c r="H7726" s="1408"/>
      <c r="K7726" s="841" t="s">
        <v>3093</v>
      </c>
      <c r="M7726" s="1357"/>
      <c r="Q7726" s="1357"/>
      <c r="S7726" s="1420"/>
      <c r="T7726" s="1420"/>
      <c r="V7726" s="1357">
        <v>48</v>
      </c>
    </row>
    <row r="7727" spans="1:22" s="841" customFormat="1" ht="15" x14ac:dyDescent="0.25">
      <c r="A7727" s="841" t="s">
        <v>243</v>
      </c>
      <c r="E7727" s="1690" t="s">
        <v>2449</v>
      </c>
      <c r="F7727" s="1690"/>
      <c r="G7727" s="1408" t="s">
        <v>24</v>
      </c>
      <c r="H7727" s="393">
        <v>3.2000000000000002E-3</v>
      </c>
      <c r="K7727" s="841" t="s">
        <v>5110</v>
      </c>
      <c r="L7727" s="841" t="s">
        <v>3046</v>
      </c>
      <c r="M7727" s="1357"/>
      <c r="P7727" s="841" t="s">
        <v>5117</v>
      </c>
      <c r="Q7727" s="1357"/>
      <c r="S7727" s="1420"/>
      <c r="T7727" s="1420"/>
      <c r="V7727" s="1357">
        <v>55</v>
      </c>
    </row>
    <row r="7728" spans="1:22" s="841" customFormat="1" ht="15" x14ac:dyDescent="0.25">
      <c r="A7728" s="841" t="s">
        <v>243</v>
      </c>
      <c r="E7728" s="1690" t="s">
        <v>2450</v>
      </c>
      <c r="F7728" s="1690"/>
      <c r="G7728" s="1408" t="s">
        <v>24</v>
      </c>
      <c r="H7728" s="393">
        <v>4.0000000000000002E-4</v>
      </c>
      <c r="K7728" s="841" t="s">
        <v>5110</v>
      </c>
      <c r="L7728" s="841" t="s">
        <v>3046</v>
      </c>
      <c r="M7728" s="1357"/>
      <c r="P7728" s="841" t="s">
        <v>5117</v>
      </c>
      <c r="Q7728" s="1357"/>
      <c r="S7728" s="1420"/>
      <c r="T7728" s="1420"/>
      <c r="V7728" s="1357">
        <v>65</v>
      </c>
    </row>
    <row r="7729" spans="1:22" s="841" customFormat="1" ht="15" x14ac:dyDescent="0.25">
      <c r="A7729" s="841" t="s">
        <v>243</v>
      </c>
      <c r="E7729" s="1690" t="s">
        <v>439</v>
      </c>
      <c r="F7729" s="1690"/>
      <c r="G7729" s="1408" t="s">
        <v>24</v>
      </c>
      <c r="H7729" s="393">
        <v>2.9999999999999997E-4</v>
      </c>
      <c r="K7729" s="841" t="s">
        <v>5110</v>
      </c>
      <c r="L7729" s="841" t="s">
        <v>3046</v>
      </c>
      <c r="M7729" s="1357"/>
      <c r="P7729" s="841" t="s">
        <v>5118</v>
      </c>
      <c r="Q7729" s="1357"/>
      <c r="S7729" s="1420"/>
      <c r="T7729" s="1420"/>
      <c r="V7729" s="1357">
        <v>57</v>
      </c>
    </row>
    <row r="7730" spans="1:22" s="841" customFormat="1" ht="15" x14ac:dyDescent="0.25">
      <c r="A7730" s="841" t="s">
        <v>243</v>
      </c>
      <c r="E7730" s="1690" t="s">
        <v>32</v>
      </c>
      <c r="F7730" s="1690"/>
      <c r="G7730" s="1408" t="s">
        <v>23</v>
      </c>
      <c r="H7730" s="391">
        <v>0.25</v>
      </c>
      <c r="K7730" s="841" t="s">
        <v>5110</v>
      </c>
      <c r="L7730" s="841" t="s">
        <v>3046</v>
      </c>
      <c r="M7730" s="1357"/>
      <c r="P7730" s="841" t="s">
        <v>5119</v>
      </c>
      <c r="Q7730" s="1357"/>
      <c r="S7730" s="1420"/>
      <c r="T7730" s="1420"/>
      <c r="V7730" s="1357">
        <v>63</v>
      </c>
    </row>
    <row r="7731" spans="1:22" s="841" customFormat="1" x14ac:dyDescent="0.25">
      <c r="A7731" s="841" t="s">
        <v>243</v>
      </c>
      <c r="E7731" s="1909" t="s">
        <v>616</v>
      </c>
      <c r="F7731" s="1915"/>
      <c r="G7731" s="1915"/>
      <c r="H7731" s="1915"/>
      <c r="K7731" s="841" t="s">
        <v>6095</v>
      </c>
      <c r="M7731" s="1357"/>
      <c r="Q7731" s="1357"/>
      <c r="S7731" s="1420"/>
      <c r="T7731" s="1420"/>
      <c r="V7731" s="1357">
        <v>53</v>
      </c>
    </row>
    <row r="7732" spans="1:22" s="841" customFormat="1" ht="15" x14ac:dyDescent="0.25">
      <c r="A7732" s="841" t="s">
        <v>243</v>
      </c>
      <c r="E7732" s="1689" t="s">
        <v>4251</v>
      </c>
      <c r="F7732" s="1689"/>
      <c r="G7732" s="1689"/>
      <c r="H7732" s="1689"/>
      <c r="K7732" s="841" t="s">
        <v>6095</v>
      </c>
      <c r="M7732" s="1357"/>
      <c r="Q7732" s="1357"/>
      <c r="S7732" s="1420"/>
      <c r="T7732" s="1420"/>
      <c r="V7732" s="1357">
        <v>385</v>
      </c>
    </row>
    <row r="7733" spans="1:22" s="841" customFormat="1" ht="15" x14ac:dyDescent="0.25">
      <c r="A7733" s="841" t="s">
        <v>243</v>
      </c>
      <c r="E7733" s="1916" t="s">
        <v>3061</v>
      </c>
      <c r="F7733" s="1697"/>
      <c r="G7733" s="1697"/>
      <c r="H7733" s="1697"/>
      <c r="K7733" s="841" t="s">
        <v>3098</v>
      </c>
      <c r="M7733" s="1357"/>
      <c r="Q7733" s="1357"/>
      <c r="S7733" s="1420"/>
      <c r="T7733" s="1420"/>
      <c r="V7733" s="1357">
        <v>11</v>
      </c>
    </row>
    <row r="7734" spans="1:22" s="841" customFormat="1" ht="15" x14ac:dyDescent="0.25">
      <c r="A7734" s="841" t="s">
        <v>243</v>
      </c>
      <c r="E7734" s="1689" t="s">
        <v>3063</v>
      </c>
      <c r="F7734" s="1689"/>
      <c r="G7734" s="1689"/>
      <c r="H7734" s="1689"/>
      <c r="K7734" s="841" t="s">
        <v>6095</v>
      </c>
      <c r="M7734" s="1357"/>
      <c r="Q7734" s="1357"/>
      <c r="S7734" s="1420"/>
      <c r="T7734" s="1420"/>
      <c r="V7734" s="1357">
        <v>280</v>
      </c>
    </row>
    <row r="7735" spans="1:22" s="841" customFormat="1" ht="15" x14ac:dyDescent="0.25">
      <c r="A7735" s="841" t="s">
        <v>243</v>
      </c>
      <c r="E7735" s="1689" t="s">
        <v>3064</v>
      </c>
      <c r="F7735" s="1689"/>
      <c r="G7735" s="1689"/>
      <c r="H7735" s="1689"/>
      <c r="K7735" s="841" t="s">
        <v>6095</v>
      </c>
      <c r="M7735" s="1357"/>
      <c r="Q7735" s="1357"/>
      <c r="S7735" s="1420"/>
      <c r="T7735" s="1420"/>
      <c r="V7735" s="1357">
        <v>411</v>
      </c>
    </row>
    <row r="7736" spans="1:22" s="841" customFormat="1" ht="15" x14ac:dyDescent="0.25">
      <c r="A7736" s="841" t="s">
        <v>243</v>
      </c>
      <c r="E7736" s="1689" t="s">
        <v>3199</v>
      </c>
      <c r="F7736" s="1689"/>
      <c r="G7736" s="1689"/>
      <c r="H7736" s="1689"/>
      <c r="K7736" s="841" t="s">
        <v>6095</v>
      </c>
      <c r="M7736" s="1357"/>
      <c r="Q7736" s="1357"/>
      <c r="S7736" s="1420"/>
      <c r="T7736" s="1420"/>
      <c r="V7736" s="1357">
        <v>386</v>
      </c>
    </row>
    <row r="7737" spans="1:22" s="841" customFormat="1" ht="15" x14ac:dyDescent="0.25">
      <c r="A7737" s="841" t="s">
        <v>243</v>
      </c>
      <c r="E7737" s="2104" t="s">
        <v>5378</v>
      </c>
      <c r="F7737" s="2104"/>
      <c r="G7737" s="2104"/>
      <c r="H7737" s="2104"/>
      <c r="K7737" s="841" t="s">
        <v>6095</v>
      </c>
      <c r="M7737" s="1357"/>
      <c r="Q7737" s="1357"/>
      <c r="S7737" s="1420"/>
      <c r="T7737" s="1420"/>
      <c r="V7737" s="1357">
        <v>658</v>
      </c>
    </row>
    <row r="7738" spans="1:22" s="841" customFormat="1" ht="15" x14ac:dyDescent="0.25">
      <c r="A7738" s="841" t="s">
        <v>243</v>
      </c>
      <c r="E7738" s="1689" t="s">
        <v>3200</v>
      </c>
      <c r="F7738" s="1689"/>
      <c r="G7738" s="1689"/>
      <c r="H7738" s="1689"/>
      <c r="K7738" s="841" t="s">
        <v>6095</v>
      </c>
      <c r="M7738" s="1357"/>
      <c r="Q7738" s="1357"/>
      <c r="S7738" s="1420"/>
      <c r="T7738" s="1420"/>
      <c r="V7738" s="1357">
        <v>275</v>
      </c>
    </row>
    <row r="7739" spans="1:22" s="841" customFormat="1" ht="15" x14ac:dyDescent="0.25">
      <c r="A7739" s="841" t="s">
        <v>243</v>
      </c>
      <c r="E7739" s="1694" t="s">
        <v>3067</v>
      </c>
      <c r="F7739" s="1907"/>
      <c r="G7739" s="1907"/>
      <c r="H7739" s="1907"/>
      <c r="K7739" s="841" t="s">
        <v>3099</v>
      </c>
      <c r="M7739" s="1357"/>
      <c r="Q7739" s="1357"/>
      <c r="S7739" s="1420"/>
      <c r="T7739" s="1420"/>
      <c r="V7739" s="1357">
        <v>46</v>
      </c>
    </row>
    <row r="7740" spans="1:22" s="841" customFormat="1" ht="15" x14ac:dyDescent="0.25">
      <c r="A7740" s="841" t="s">
        <v>243</v>
      </c>
      <c r="E7740" s="1690" t="s">
        <v>11</v>
      </c>
      <c r="F7740" s="1690"/>
      <c r="G7740" s="1408" t="s">
        <v>23</v>
      </c>
      <c r="H7740" s="391">
        <v>340.6</v>
      </c>
      <c r="K7740" s="841" t="s">
        <v>6095</v>
      </c>
      <c r="L7740" s="841" t="s">
        <v>442</v>
      </c>
      <c r="M7740" s="1357"/>
      <c r="P7740" s="841" t="s">
        <v>6096</v>
      </c>
      <c r="Q7740" s="1357"/>
      <c r="S7740" s="1420"/>
      <c r="T7740" s="1420"/>
      <c r="V7740" s="1357">
        <v>14</v>
      </c>
    </row>
    <row r="7741" spans="1:22" s="841" customFormat="1" ht="15" x14ac:dyDescent="0.25">
      <c r="A7741" s="841" t="s">
        <v>243</v>
      </c>
      <c r="E7741" s="1690" t="s">
        <v>84</v>
      </c>
      <c r="F7741" s="1690"/>
      <c r="G7741" s="1408" t="s">
        <v>33</v>
      </c>
      <c r="H7741" s="393">
        <v>3.5825</v>
      </c>
      <c r="K7741" s="841" t="s">
        <v>6095</v>
      </c>
      <c r="L7741" s="841" t="s">
        <v>442</v>
      </c>
      <c r="M7741" s="1357"/>
      <c r="P7741" s="841" t="s">
        <v>6097</v>
      </c>
      <c r="Q7741" s="1357"/>
      <c r="S7741" s="1420"/>
      <c r="T7741" s="1420"/>
      <c r="V7741" s="1357">
        <v>28</v>
      </c>
    </row>
    <row r="7742" spans="1:22" s="841" customFormat="1" ht="15" x14ac:dyDescent="0.25">
      <c r="A7742" s="841" t="s">
        <v>243</v>
      </c>
      <c r="E7742" s="1690" t="s">
        <v>18</v>
      </c>
      <c r="F7742" s="1690"/>
      <c r="G7742" s="1408" t="s">
        <v>33</v>
      </c>
      <c r="H7742" s="393">
        <v>0.223</v>
      </c>
      <c r="K7742" s="841" t="s">
        <v>6095</v>
      </c>
      <c r="L7742" s="841" t="s">
        <v>443</v>
      </c>
      <c r="M7742" s="1357"/>
      <c r="P7742" s="841" t="s">
        <v>6098</v>
      </c>
      <c r="Q7742" s="1357"/>
      <c r="S7742" s="1420"/>
      <c r="T7742" s="1420"/>
      <c r="V7742" s="1357">
        <v>24</v>
      </c>
    </row>
    <row r="7743" spans="1:22" s="841" customFormat="1" ht="15" x14ac:dyDescent="0.25">
      <c r="A7743" s="841" t="s">
        <v>243</v>
      </c>
      <c r="E7743" s="1690" t="s">
        <v>5129</v>
      </c>
      <c r="F7743" s="1908"/>
      <c r="G7743" s="1408" t="s">
        <v>24</v>
      </c>
      <c r="H7743" s="393">
        <v>-5.9999999999999995E-4</v>
      </c>
      <c r="K7743" s="841" t="s">
        <v>6095</v>
      </c>
      <c r="L7743" s="841" t="s">
        <v>443</v>
      </c>
      <c r="M7743" s="1357"/>
      <c r="P7743" s="841" t="s">
        <v>6104</v>
      </c>
      <c r="Q7743" s="1357"/>
      <c r="S7743" s="1420"/>
      <c r="T7743" s="1420">
        <v>43585</v>
      </c>
      <c r="V7743" s="1357">
        <v>139</v>
      </c>
    </row>
    <row r="7744" spans="1:22" s="841" customFormat="1" ht="15" x14ac:dyDescent="0.25">
      <c r="A7744" s="841" t="s">
        <v>243</v>
      </c>
      <c r="E7744" s="1690" t="s">
        <v>5305</v>
      </c>
      <c r="F7744" s="1908"/>
      <c r="G7744" s="1408" t="s">
        <v>33</v>
      </c>
      <c r="H7744" s="393">
        <v>-0.6694</v>
      </c>
      <c r="K7744" s="841" t="s">
        <v>6095</v>
      </c>
      <c r="L7744" s="841" t="s">
        <v>443</v>
      </c>
      <c r="M7744" s="1357"/>
      <c r="P7744" s="841" t="s">
        <v>6105</v>
      </c>
      <c r="Q7744" s="1357"/>
      <c r="S7744" s="1420"/>
      <c r="T7744" s="1420">
        <v>43585</v>
      </c>
      <c r="V7744" s="1357">
        <v>156</v>
      </c>
    </row>
    <row r="7745" spans="1:22" s="841" customFormat="1" ht="15" x14ac:dyDescent="0.25">
      <c r="A7745" s="841" t="s">
        <v>243</v>
      </c>
      <c r="E7745" s="1690" t="s">
        <v>5130</v>
      </c>
      <c r="F7745" s="1908"/>
      <c r="G7745" s="1408" t="s">
        <v>33</v>
      </c>
      <c r="H7745" s="393">
        <v>1.0766</v>
      </c>
      <c r="K7745" s="841" t="s">
        <v>6095</v>
      </c>
      <c r="L7745" s="841" t="s">
        <v>443</v>
      </c>
      <c r="M7745" s="1357"/>
      <c r="P7745" s="841" t="s">
        <v>6105</v>
      </c>
      <c r="Q7745" s="1357"/>
      <c r="S7745" s="1420"/>
      <c r="T7745" s="1420">
        <v>43585</v>
      </c>
      <c r="V7745" s="1357">
        <v>96</v>
      </c>
    </row>
    <row r="7746" spans="1:22" s="841" customFormat="1" ht="15" x14ac:dyDescent="0.25">
      <c r="A7746" s="841" t="s">
        <v>243</v>
      </c>
      <c r="E7746" s="1690" t="s">
        <v>5383</v>
      </c>
      <c r="F7746" s="1908"/>
      <c r="G7746" s="1408" t="s">
        <v>33</v>
      </c>
      <c r="H7746" s="393">
        <v>-1.55E-2</v>
      </c>
      <c r="K7746" s="841" t="s">
        <v>6095</v>
      </c>
      <c r="L7746" s="841" t="s">
        <v>442</v>
      </c>
      <c r="M7746" s="1357"/>
      <c r="P7746" s="841" t="s">
        <v>6213</v>
      </c>
      <c r="Q7746" s="1357"/>
      <c r="S7746" s="1420"/>
      <c r="T7746" s="1420">
        <v>43585</v>
      </c>
      <c r="V7746" s="1357">
        <v>80</v>
      </c>
    </row>
    <row r="7747" spans="1:22" s="841" customFormat="1" ht="15" x14ac:dyDescent="0.25">
      <c r="A7747" s="841" t="s">
        <v>243</v>
      </c>
      <c r="E7747" s="1690" t="s">
        <v>221</v>
      </c>
      <c r="F7747" s="1690"/>
      <c r="G7747" s="1408" t="s">
        <v>33</v>
      </c>
      <c r="H7747" s="393">
        <v>2.0112000000000001</v>
      </c>
      <c r="K7747" s="841" t="s">
        <v>6095</v>
      </c>
      <c r="L7747" s="841" t="s">
        <v>444</v>
      </c>
      <c r="M7747" s="1357"/>
      <c r="P7747" s="841" t="s">
        <v>6099</v>
      </c>
      <c r="Q7747" s="1357"/>
      <c r="S7747" s="1420"/>
      <c r="T7747" s="1420"/>
      <c r="V7747" s="1357">
        <v>47</v>
      </c>
    </row>
    <row r="7748" spans="1:22" s="841" customFormat="1" ht="15" x14ac:dyDescent="0.25">
      <c r="A7748" s="841" t="s">
        <v>243</v>
      </c>
      <c r="E7748" s="1690" t="s">
        <v>217</v>
      </c>
      <c r="F7748" s="1690"/>
      <c r="G7748" s="1408" t="s">
        <v>33</v>
      </c>
      <c r="H7748" s="393">
        <v>1.6106</v>
      </c>
      <c r="K7748" s="841" t="s">
        <v>6095</v>
      </c>
      <c r="L7748" s="841" t="s">
        <v>444</v>
      </c>
      <c r="M7748" s="1357"/>
      <c r="P7748" s="841" t="s">
        <v>6100</v>
      </c>
      <c r="Q7748" s="1357"/>
      <c r="S7748" s="1420"/>
      <c r="T7748" s="1420"/>
      <c r="V7748" s="1357">
        <v>74</v>
      </c>
    </row>
    <row r="7749" spans="1:22" s="841" customFormat="1" ht="15" x14ac:dyDescent="0.25">
      <c r="A7749" s="841" t="s">
        <v>243</v>
      </c>
      <c r="E7749" s="1694" t="s">
        <v>3079</v>
      </c>
      <c r="F7749" s="1690"/>
      <c r="G7749" s="1408"/>
      <c r="H7749" s="1408"/>
      <c r="K7749" s="841" t="s">
        <v>3218</v>
      </c>
      <c r="M7749" s="1357"/>
      <c r="Q7749" s="1357"/>
      <c r="S7749" s="1420"/>
      <c r="T7749" s="1420"/>
      <c r="V7749" s="1357">
        <v>48</v>
      </c>
    </row>
    <row r="7750" spans="1:22" s="841" customFormat="1" ht="15" x14ac:dyDescent="0.25">
      <c r="A7750" s="841" t="s">
        <v>243</v>
      </c>
      <c r="E7750" s="1690" t="s">
        <v>2449</v>
      </c>
      <c r="F7750" s="1690"/>
      <c r="G7750" s="1408" t="s">
        <v>24</v>
      </c>
      <c r="H7750" s="393">
        <v>3.2000000000000002E-3</v>
      </c>
      <c r="K7750" s="841" t="s">
        <v>6095</v>
      </c>
      <c r="L7750" s="841" t="s">
        <v>3046</v>
      </c>
      <c r="M7750" s="1357"/>
      <c r="P7750" s="841" t="s">
        <v>6101</v>
      </c>
      <c r="Q7750" s="1357"/>
      <c r="S7750" s="1420"/>
      <c r="T7750" s="1420"/>
      <c r="V7750" s="1357">
        <v>55</v>
      </c>
    </row>
    <row r="7751" spans="1:22" s="841" customFormat="1" ht="15" x14ac:dyDescent="0.25">
      <c r="A7751" s="841" t="s">
        <v>243</v>
      </c>
      <c r="E7751" s="1690" t="s">
        <v>2450</v>
      </c>
      <c r="F7751" s="1690"/>
      <c r="G7751" s="1408" t="s">
        <v>24</v>
      </c>
      <c r="H7751" s="393">
        <v>4.0000000000000002E-4</v>
      </c>
      <c r="K7751" s="841" t="s">
        <v>6095</v>
      </c>
      <c r="L7751" s="841" t="s">
        <v>3046</v>
      </c>
      <c r="M7751" s="1357"/>
      <c r="P7751" s="841" t="s">
        <v>6101</v>
      </c>
      <c r="Q7751" s="1357"/>
      <c r="S7751" s="1420"/>
      <c r="T7751" s="1420"/>
      <c r="V7751" s="1357">
        <v>65</v>
      </c>
    </row>
    <row r="7752" spans="1:22" s="841" customFormat="1" ht="15" x14ac:dyDescent="0.25">
      <c r="A7752" s="841" t="s">
        <v>243</v>
      </c>
      <c r="E7752" s="1690" t="s">
        <v>439</v>
      </c>
      <c r="F7752" s="1690"/>
      <c r="G7752" s="1408" t="s">
        <v>24</v>
      </c>
      <c r="H7752" s="393">
        <v>2.9999999999999997E-4</v>
      </c>
      <c r="K7752" s="841" t="s">
        <v>6095</v>
      </c>
      <c r="L7752" s="841" t="s">
        <v>3046</v>
      </c>
      <c r="M7752" s="1357"/>
      <c r="P7752" s="841" t="s">
        <v>6102</v>
      </c>
      <c r="Q7752" s="1357"/>
      <c r="S7752" s="1420"/>
      <c r="T7752" s="1420"/>
      <c r="V7752" s="1357">
        <v>57</v>
      </c>
    </row>
    <row r="7753" spans="1:22" s="841" customFormat="1" ht="15" x14ac:dyDescent="0.25">
      <c r="A7753" s="841" t="s">
        <v>243</v>
      </c>
      <c r="E7753" s="1690" t="s">
        <v>32</v>
      </c>
      <c r="F7753" s="1690"/>
      <c r="G7753" s="1408" t="s">
        <v>23</v>
      </c>
      <c r="H7753" s="391">
        <v>0.25</v>
      </c>
      <c r="K7753" s="841" t="s">
        <v>6095</v>
      </c>
      <c r="L7753" s="841" t="s">
        <v>3046</v>
      </c>
      <c r="M7753" s="1357"/>
      <c r="P7753" s="841" t="s">
        <v>6103</v>
      </c>
      <c r="Q7753" s="1357"/>
      <c r="S7753" s="1420"/>
      <c r="T7753" s="1420"/>
      <c r="V7753" s="1357">
        <v>63</v>
      </c>
    </row>
    <row r="7754" spans="1:22" s="841" customFormat="1" x14ac:dyDescent="0.25">
      <c r="A7754" s="841" t="s">
        <v>243</v>
      </c>
      <c r="E7754" s="1909" t="s">
        <v>617</v>
      </c>
      <c r="F7754" s="1915"/>
      <c r="G7754" s="1915"/>
      <c r="H7754" s="1915"/>
      <c r="K7754" s="841" t="s">
        <v>3406</v>
      </c>
      <c r="M7754" s="1357"/>
      <c r="Q7754" s="1357"/>
      <c r="S7754" s="1420"/>
      <c r="T7754" s="1420"/>
      <c r="V7754" s="1357">
        <v>47</v>
      </c>
    </row>
    <row r="7755" spans="1:22" s="841" customFormat="1" ht="15" x14ac:dyDescent="0.25">
      <c r="A7755" s="841" t="s">
        <v>243</v>
      </c>
      <c r="E7755" s="1689" t="s">
        <v>4252</v>
      </c>
      <c r="F7755" s="1689"/>
      <c r="G7755" s="1689"/>
      <c r="H7755" s="1689"/>
      <c r="K7755" s="841" t="s">
        <v>3406</v>
      </c>
      <c r="M7755" s="1357"/>
      <c r="Q7755" s="1357"/>
      <c r="S7755" s="1420"/>
      <c r="T7755" s="1420"/>
      <c r="V7755" s="1357">
        <v>719</v>
      </c>
    </row>
    <row r="7756" spans="1:22" s="841" customFormat="1" ht="15" x14ac:dyDescent="0.25">
      <c r="A7756" s="841" t="s">
        <v>243</v>
      </c>
      <c r="E7756" s="1916" t="s">
        <v>3061</v>
      </c>
      <c r="F7756" s="1697"/>
      <c r="G7756" s="1697"/>
      <c r="H7756" s="1697"/>
      <c r="K7756" s="841" t="s">
        <v>3221</v>
      </c>
      <c r="M7756" s="1357"/>
      <c r="Q7756" s="1357"/>
      <c r="S7756" s="1420"/>
      <c r="T7756" s="1420"/>
      <c r="V7756" s="1357">
        <v>11</v>
      </c>
    </row>
    <row r="7757" spans="1:22" s="841" customFormat="1" ht="15" x14ac:dyDescent="0.25">
      <c r="A7757" s="841" t="s">
        <v>243</v>
      </c>
      <c r="E7757" s="1689" t="s">
        <v>3063</v>
      </c>
      <c r="F7757" s="1689"/>
      <c r="G7757" s="1689"/>
      <c r="H7757" s="1689"/>
      <c r="K7757" s="841" t="s">
        <v>3406</v>
      </c>
      <c r="M7757" s="1357"/>
      <c r="Q7757" s="1357"/>
      <c r="S7757" s="1420"/>
      <c r="T7757" s="1420"/>
      <c r="V7757" s="1357">
        <v>280</v>
      </c>
    </row>
    <row r="7758" spans="1:22" s="841" customFormat="1" ht="15" x14ac:dyDescent="0.25">
      <c r="A7758" s="841" t="s">
        <v>243</v>
      </c>
      <c r="E7758" s="1689" t="s">
        <v>3064</v>
      </c>
      <c r="F7758" s="1689"/>
      <c r="G7758" s="1689"/>
      <c r="H7758" s="1689"/>
      <c r="K7758" s="841" t="s">
        <v>3406</v>
      </c>
      <c r="M7758" s="1357"/>
      <c r="Q7758" s="1357"/>
      <c r="S7758" s="1420"/>
      <c r="T7758" s="1420"/>
      <c r="V7758" s="1357">
        <v>411</v>
      </c>
    </row>
    <row r="7759" spans="1:22" s="841" customFormat="1" ht="15" x14ac:dyDescent="0.25">
      <c r="A7759" s="841" t="s">
        <v>243</v>
      </c>
      <c r="E7759" s="1689" t="s">
        <v>3199</v>
      </c>
      <c r="F7759" s="1689"/>
      <c r="G7759" s="1689"/>
      <c r="H7759" s="1689"/>
      <c r="K7759" s="841" t="s">
        <v>3406</v>
      </c>
      <c r="M7759" s="1357"/>
      <c r="Q7759" s="1357"/>
      <c r="S7759" s="1420"/>
      <c r="T7759" s="1420"/>
      <c r="V7759" s="1357">
        <v>386</v>
      </c>
    </row>
    <row r="7760" spans="1:22" s="841" customFormat="1" ht="15" x14ac:dyDescent="0.25">
      <c r="A7760" s="841" t="s">
        <v>243</v>
      </c>
      <c r="E7760" s="1689" t="s">
        <v>3200</v>
      </c>
      <c r="F7760" s="1689"/>
      <c r="G7760" s="1689"/>
      <c r="H7760" s="1689"/>
      <c r="K7760" s="841" t="s">
        <v>3406</v>
      </c>
      <c r="M7760" s="1357"/>
      <c r="Q7760" s="1357"/>
      <c r="S7760" s="1420"/>
      <c r="T7760" s="1420"/>
      <c r="V7760" s="1357">
        <v>275</v>
      </c>
    </row>
    <row r="7761" spans="1:22" s="841" customFormat="1" ht="15" x14ac:dyDescent="0.25">
      <c r="A7761" s="841" t="s">
        <v>243</v>
      </c>
      <c r="E7761" s="1694" t="s">
        <v>3067</v>
      </c>
      <c r="F7761" s="1907"/>
      <c r="G7761" s="1907"/>
      <c r="H7761" s="1907"/>
      <c r="K7761" s="841" t="s">
        <v>3224</v>
      </c>
      <c r="M7761" s="1357"/>
      <c r="Q7761" s="1357"/>
      <c r="S7761" s="1420"/>
      <c r="T7761" s="1420"/>
      <c r="V7761" s="1357">
        <v>46</v>
      </c>
    </row>
    <row r="7762" spans="1:22" s="841" customFormat="1" ht="15" x14ac:dyDescent="0.25">
      <c r="A7762" s="841" t="s">
        <v>243</v>
      </c>
      <c r="E7762" s="1690" t="s">
        <v>12</v>
      </c>
      <c r="F7762" s="1690"/>
      <c r="G7762" s="1408" t="s">
        <v>23</v>
      </c>
      <c r="H7762" s="391">
        <v>10.59</v>
      </c>
      <c r="K7762" s="841" t="s">
        <v>3406</v>
      </c>
      <c r="L7762" s="841" t="s">
        <v>442</v>
      </c>
      <c r="M7762" s="1357"/>
      <c r="P7762" s="841" t="s">
        <v>3408</v>
      </c>
      <c r="Q7762" s="1357"/>
      <c r="S7762" s="1420"/>
      <c r="T7762" s="1420"/>
      <c r="V7762" s="1357">
        <v>31</v>
      </c>
    </row>
    <row r="7763" spans="1:22" s="841" customFormat="1" ht="15" x14ac:dyDescent="0.25">
      <c r="A7763" s="841" t="s">
        <v>243</v>
      </c>
      <c r="E7763" s="1690" t="s">
        <v>84</v>
      </c>
      <c r="F7763" s="1690"/>
      <c r="G7763" s="1408" t="s">
        <v>24</v>
      </c>
      <c r="H7763" s="393">
        <v>9.4999999999999998E-3</v>
      </c>
      <c r="K7763" s="841" t="s">
        <v>3406</v>
      </c>
      <c r="L7763" s="841" t="s">
        <v>442</v>
      </c>
      <c r="M7763" s="1357"/>
      <c r="P7763" s="841" t="s">
        <v>3409</v>
      </c>
      <c r="Q7763" s="1357"/>
      <c r="S7763" s="1420"/>
      <c r="T7763" s="1420"/>
      <c r="V7763" s="1357">
        <v>28</v>
      </c>
    </row>
    <row r="7764" spans="1:22" s="841" customFormat="1" ht="15" x14ac:dyDescent="0.25">
      <c r="A7764" s="841" t="s">
        <v>243</v>
      </c>
      <c r="E7764" s="1690" t="s">
        <v>18</v>
      </c>
      <c r="F7764" s="1690"/>
      <c r="G7764" s="1408" t="s">
        <v>24</v>
      </c>
      <c r="H7764" s="393">
        <v>5.9999999999999995E-4</v>
      </c>
      <c r="K7764" s="841" t="s">
        <v>3406</v>
      </c>
      <c r="L7764" s="841" t="s">
        <v>443</v>
      </c>
      <c r="M7764" s="1357"/>
      <c r="P7764" s="841" t="s">
        <v>3549</v>
      </c>
      <c r="Q7764" s="1357"/>
      <c r="S7764" s="1420"/>
      <c r="T7764" s="1420"/>
      <c r="V7764" s="1357">
        <v>24</v>
      </c>
    </row>
    <row r="7765" spans="1:22" s="841" customFormat="1" ht="15" x14ac:dyDescent="0.25">
      <c r="A7765" s="841" t="s">
        <v>243</v>
      </c>
      <c r="E7765" s="1690" t="s">
        <v>5129</v>
      </c>
      <c r="F7765" s="1908"/>
      <c r="G7765" s="1408" t="s">
        <v>24</v>
      </c>
      <c r="H7765" s="393">
        <v>-5.9999999999999995E-4</v>
      </c>
      <c r="K7765" s="841" t="s">
        <v>3406</v>
      </c>
      <c r="L7765" s="841" t="s">
        <v>443</v>
      </c>
      <c r="M7765" s="1357"/>
      <c r="P7765" s="841" t="s">
        <v>3550</v>
      </c>
      <c r="Q7765" s="1357"/>
      <c r="S7765" s="1420"/>
      <c r="T7765" s="1420">
        <v>43585</v>
      </c>
      <c r="V7765" s="1357">
        <v>139</v>
      </c>
    </row>
    <row r="7766" spans="1:22" s="841" customFormat="1" ht="15" x14ac:dyDescent="0.25">
      <c r="A7766" s="841" t="s">
        <v>243</v>
      </c>
      <c r="E7766" s="1690" t="s">
        <v>5130</v>
      </c>
      <c r="F7766" s="1908"/>
      <c r="G7766" s="1408" t="s">
        <v>24</v>
      </c>
      <c r="H7766" s="393">
        <v>1.1000000000000001E-3</v>
      </c>
      <c r="K7766" s="841" t="s">
        <v>3406</v>
      </c>
      <c r="L7766" s="841" t="s">
        <v>443</v>
      </c>
      <c r="M7766" s="1357"/>
      <c r="P7766" s="841" t="s">
        <v>3411</v>
      </c>
      <c r="Q7766" s="1357"/>
      <c r="S7766" s="1420"/>
      <c r="T7766" s="1420">
        <v>43585</v>
      </c>
      <c r="V7766" s="1357">
        <v>96</v>
      </c>
    </row>
    <row r="7767" spans="1:22" s="841" customFormat="1" ht="15" x14ac:dyDescent="0.25">
      <c r="A7767" s="841" t="s">
        <v>243</v>
      </c>
      <c r="E7767" s="1690" t="s">
        <v>5383</v>
      </c>
      <c r="F7767" s="1908"/>
      <c r="G7767" s="1408" t="s">
        <v>24</v>
      </c>
      <c r="H7767" s="393">
        <v>-1E-4</v>
      </c>
      <c r="K7767" s="841" t="s">
        <v>3406</v>
      </c>
      <c r="L7767" s="841" t="s">
        <v>442</v>
      </c>
      <c r="M7767" s="1357"/>
      <c r="P7767" s="841" t="s">
        <v>4147</v>
      </c>
      <c r="Q7767" s="1357"/>
      <c r="S7767" s="1420"/>
      <c r="T7767" s="1420">
        <v>43585</v>
      </c>
      <c r="V7767" s="1357">
        <v>80</v>
      </c>
    </row>
    <row r="7768" spans="1:22" s="841" customFormat="1" ht="15" x14ac:dyDescent="0.25">
      <c r="A7768" s="841" t="s">
        <v>243</v>
      </c>
      <c r="E7768" s="1690" t="s">
        <v>221</v>
      </c>
      <c r="F7768" s="1690"/>
      <c r="G7768" s="1408" t="s">
        <v>24</v>
      </c>
      <c r="H7768" s="393">
        <v>4.4999999999999997E-3</v>
      </c>
      <c r="K7768" s="841" t="s">
        <v>3406</v>
      </c>
      <c r="L7768" s="841" t="s">
        <v>444</v>
      </c>
      <c r="M7768" s="1357"/>
      <c r="P7768" s="841" t="s">
        <v>3412</v>
      </c>
      <c r="Q7768" s="1357"/>
      <c r="S7768" s="1420"/>
      <c r="T7768" s="1420"/>
      <c r="V7768" s="1357">
        <v>47</v>
      </c>
    </row>
    <row r="7769" spans="1:22" s="841" customFormat="1" ht="15" x14ac:dyDescent="0.25">
      <c r="A7769" s="841" t="s">
        <v>243</v>
      </c>
      <c r="E7769" s="1690" t="s">
        <v>217</v>
      </c>
      <c r="F7769" s="1690"/>
      <c r="G7769" s="1408" t="s">
        <v>24</v>
      </c>
      <c r="H7769" s="393">
        <v>4.0000000000000001E-3</v>
      </c>
      <c r="K7769" s="841" t="s">
        <v>3406</v>
      </c>
      <c r="L7769" s="841" t="s">
        <v>444</v>
      </c>
      <c r="M7769" s="1357"/>
      <c r="P7769" s="841" t="s">
        <v>3413</v>
      </c>
      <c r="Q7769" s="1357"/>
      <c r="S7769" s="1420"/>
      <c r="T7769" s="1420"/>
      <c r="V7769" s="1357">
        <v>74</v>
      </c>
    </row>
    <row r="7770" spans="1:22" s="841" customFormat="1" ht="15" x14ac:dyDescent="0.25">
      <c r="A7770" s="841" t="s">
        <v>243</v>
      </c>
      <c r="E7770" s="1694" t="s">
        <v>3079</v>
      </c>
      <c r="F7770" s="1690"/>
      <c r="G7770" s="1408"/>
      <c r="H7770" s="1408"/>
      <c r="K7770" s="841" t="s">
        <v>3225</v>
      </c>
      <c r="M7770" s="1357"/>
      <c r="Q7770" s="1357"/>
      <c r="S7770" s="1420"/>
      <c r="T7770" s="1420"/>
      <c r="V7770" s="1357">
        <v>48</v>
      </c>
    </row>
    <row r="7771" spans="1:22" s="841" customFormat="1" ht="15" x14ac:dyDescent="0.25">
      <c r="A7771" s="841" t="s">
        <v>243</v>
      </c>
      <c r="E7771" s="1690" t="s">
        <v>2449</v>
      </c>
      <c r="F7771" s="1690"/>
      <c r="G7771" s="1408" t="s">
        <v>24</v>
      </c>
      <c r="H7771" s="393">
        <v>3.2000000000000002E-3</v>
      </c>
      <c r="K7771" s="841" t="s">
        <v>3406</v>
      </c>
      <c r="L7771" s="841" t="s">
        <v>3046</v>
      </c>
      <c r="M7771" s="1357"/>
      <c r="P7771" s="841" t="s">
        <v>3414</v>
      </c>
      <c r="Q7771" s="1357"/>
      <c r="S7771" s="1420"/>
      <c r="T7771" s="1420"/>
      <c r="V7771" s="1357">
        <v>55</v>
      </c>
    </row>
    <row r="7772" spans="1:22" s="841" customFormat="1" ht="15" x14ac:dyDescent="0.25">
      <c r="A7772" s="841" t="s">
        <v>243</v>
      </c>
      <c r="E7772" s="1690" t="s">
        <v>2450</v>
      </c>
      <c r="F7772" s="1690"/>
      <c r="G7772" s="1408" t="s">
        <v>24</v>
      </c>
      <c r="H7772" s="393">
        <v>4.0000000000000002E-4</v>
      </c>
      <c r="K7772" s="841" t="s">
        <v>3406</v>
      </c>
      <c r="L7772" s="841" t="s">
        <v>3046</v>
      </c>
      <c r="M7772" s="1357"/>
      <c r="P7772" s="841" t="s">
        <v>3414</v>
      </c>
      <c r="Q7772" s="1357"/>
      <c r="S7772" s="1420"/>
      <c r="T7772" s="1420"/>
      <c r="V7772" s="1357">
        <v>65</v>
      </c>
    </row>
    <row r="7773" spans="1:22" s="841" customFormat="1" ht="15" x14ac:dyDescent="0.25">
      <c r="A7773" s="841" t="s">
        <v>243</v>
      </c>
      <c r="E7773" s="1690" t="s">
        <v>439</v>
      </c>
      <c r="F7773" s="1690"/>
      <c r="G7773" s="1408" t="s">
        <v>24</v>
      </c>
      <c r="H7773" s="393">
        <v>2.9999999999999997E-4</v>
      </c>
      <c r="K7773" s="841" t="s">
        <v>3406</v>
      </c>
      <c r="L7773" s="841" t="s">
        <v>3046</v>
      </c>
      <c r="M7773" s="1357"/>
      <c r="P7773" s="841" t="s">
        <v>3415</v>
      </c>
      <c r="Q7773" s="1357"/>
      <c r="S7773" s="1420"/>
      <c r="T7773" s="1420"/>
      <c r="V7773" s="1357">
        <v>57</v>
      </c>
    </row>
    <row r="7774" spans="1:22" s="841" customFormat="1" ht="15" x14ac:dyDescent="0.25">
      <c r="A7774" s="841" t="s">
        <v>243</v>
      </c>
      <c r="E7774" s="1690" t="s">
        <v>32</v>
      </c>
      <c r="F7774" s="1690"/>
      <c r="G7774" s="1408" t="s">
        <v>23</v>
      </c>
      <c r="H7774" s="391">
        <v>0.25</v>
      </c>
      <c r="K7774" s="841" t="s">
        <v>3406</v>
      </c>
      <c r="L7774" s="841" t="s">
        <v>3046</v>
      </c>
      <c r="M7774" s="1357"/>
      <c r="P7774" s="841" t="s">
        <v>3416</v>
      </c>
      <c r="Q7774" s="1357"/>
      <c r="S7774" s="1420"/>
      <c r="T7774" s="1420"/>
      <c r="V7774" s="1357">
        <v>63</v>
      </c>
    </row>
    <row r="7775" spans="1:22" s="841" customFormat="1" x14ac:dyDescent="0.25">
      <c r="A7775" s="841" t="s">
        <v>243</v>
      </c>
      <c r="E7775" s="1909" t="s">
        <v>629</v>
      </c>
      <c r="F7775" s="1915"/>
      <c r="G7775" s="1915"/>
      <c r="H7775" s="1915"/>
      <c r="K7775" s="841" t="s">
        <v>3571</v>
      </c>
      <c r="M7775" s="1357"/>
      <c r="Q7775" s="1357"/>
      <c r="S7775" s="1420"/>
      <c r="T7775" s="1420"/>
      <c r="V7775" s="1357">
        <v>40</v>
      </c>
    </row>
    <row r="7776" spans="1:22" s="841" customFormat="1" ht="15" x14ac:dyDescent="0.25">
      <c r="A7776" s="841" t="s">
        <v>243</v>
      </c>
      <c r="E7776" s="1689" t="s">
        <v>3959</v>
      </c>
      <c r="F7776" s="1689"/>
      <c r="G7776" s="1689"/>
      <c r="H7776" s="1689"/>
      <c r="K7776" s="841" t="s">
        <v>3571</v>
      </c>
      <c r="M7776" s="1357"/>
      <c r="Q7776" s="1357"/>
      <c r="S7776" s="1420"/>
      <c r="T7776" s="1420"/>
      <c r="V7776" s="1357">
        <v>250</v>
      </c>
    </row>
    <row r="7777" spans="1:22" s="841" customFormat="1" ht="15" x14ac:dyDescent="0.25">
      <c r="A7777" s="841" t="s">
        <v>243</v>
      </c>
      <c r="E7777" s="1916" t="s">
        <v>3061</v>
      </c>
      <c r="F7777" s="1697"/>
      <c r="G7777" s="1697"/>
      <c r="H7777" s="1697"/>
      <c r="K7777" s="841" t="s">
        <v>3107</v>
      </c>
      <c r="M7777" s="1357"/>
      <c r="Q7777" s="1357"/>
      <c r="S7777" s="1420"/>
      <c r="T7777" s="1420"/>
      <c r="V7777" s="1357">
        <v>11</v>
      </c>
    </row>
    <row r="7778" spans="1:22" s="841" customFormat="1" ht="15" x14ac:dyDescent="0.25">
      <c r="A7778" s="841" t="s">
        <v>243</v>
      </c>
      <c r="E7778" s="1689" t="s">
        <v>3063</v>
      </c>
      <c r="F7778" s="1689"/>
      <c r="G7778" s="1689"/>
      <c r="H7778" s="1689"/>
      <c r="K7778" s="841" t="s">
        <v>3571</v>
      </c>
      <c r="M7778" s="1357"/>
      <c r="Q7778" s="1357"/>
      <c r="S7778" s="1420"/>
      <c r="T7778" s="1420"/>
      <c r="V7778" s="1357">
        <v>280</v>
      </c>
    </row>
    <row r="7779" spans="1:22" s="841" customFormat="1" ht="15" x14ac:dyDescent="0.25">
      <c r="A7779" s="841" t="s">
        <v>243</v>
      </c>
      <c r="E7779" s="1689" t="s">
        <v>3064</v>
      </c>
      <c r="F7779" s="1689"/>
      <c r="G7779" s="1689"/>
      <c r="H7779" s="1689"/>
      <c r="K7779" s="841" t="s">
        <v>3571</v>
      </c>
      <c r="M7779" s="1357"/>
      <c r="Q7779" s="1357"/>
      <c r="S7779" s="1420"/>
      <c r="T7779" s="1420"/>
      <c r="V7779" s="1357">
        <v>411</v>
      </c>
    </row>
    <row r="7780" spans="1:22" s="841" customFormat="1" ht="15" x14ac:dyDescent="0.25">
      <c r="A7780" s="841" t="s">
        <v>243</v>
      </c>
      <c r="E7780" s="1689" t="s">
        <v>3199</v>
      </c>
      <c r="F7780" s="1689"/>
      <c r="G7780" s="1689"/>
      <c r="H7780" s="1689"/>
      <c r="K7780" s="841" t="s">
        <v>3571</v>
      </c>
      <c r="M7780" s="1357"/>
      <c r="Q7780" s="1357"/>
      <c r="S7780" s="1420"/>
      <c r="T7780" s="1420"/>
      <c r="V7780" s="1357">
        <v>386</v>
      </c>
    </row>
    <row r="7781" spans="1:22" s="841" customFormat="1" ht="15" x14ac:dyDescent="0.25">
      <c r="A7781" s="841" t="s">
        <v>243</v>
      </c>
      <c r="E7781" s="1689" t="s">
        <v>3200</v>
      </c>
      <c r="F7781" s="1689"/>
      <c r="G7781" s="1689"/>
      <c r="H7781" s="1689"/>
      <c r="K7781" s="841" t="s">
        <v>3571</v>
      </c>
      <c r="M7781" s="1357"/>
      <c r="Q7781" s="1357"/>
      <c r="S7781" s="1420"/>
      <c r="T7781" s="1420"/>
      <c r="V7781" s="1357">
        <v>275</v>
      </c>
    </row>
    <row r="7782" spans="1:22" s="841" customFormat="1" ht="15" x14ac:dyDescent="0.25">
      <c r="A7782" s="841" t="s">
        <v>243</v>
      </c>
      <c r="E7782" s="1694" t="s">
        <v>3067</v>
      </c>
      <c r="F7782" s="1907"/>
      <c r="G7782" s="1907"/>
      <c r="H7782" s="1907"/>
      <c r="K7782" s="841" t="s">
        <v>3108</v>
      </c>
      <c r="M7782" s="1357"/>
      <c r="Q7782" s="1357"/>
      <c r="S7782" s="1420"/>
      <c r="T7782" s="1420"/>
      <c r="V7782" s="1357">
        <v>46</v>
      </c>
    </row>
    <row r="7783" spans="1:22" s="841" customFormat="1" ht="15" x14ac:dyDescent="0.25">
      <c r="A7783" s="841" t="s">
        <v>243</v>
      </c>
      <c r="E7783" s="1690" t="s">
        <v>12</v>
      </c>
      <c r="F7783" s="1690"/>
      <c r="G7783" s="1408" t="s">
        <v>23</v>
      </c>
      <c r="H7783" s="391">
        <v>3.88</v>
      </c>
      <c r="K7783" s="841" t="s">
        <v>3571</v>
      </c>
      <c r="L7783" s="841" t="s">
        <v>442</v>
      </c>
      <c r="M7783" s="1357"/>
      <c r="P7783" s="841" t="s">
        <v>3573</v>
      </c>
      <c r="Q7783" s="1357"/>
      <c r="S7783" s="1420"/>
      <c r="T7783" s="1420"/>
      <c r="V7783" s="1357">
        <v>31</v>
      </c>
    </row>
    <row r="7784" spans="1:22" s="841" customFormat="1" ht="15" x14ac:dyDescent="0.25">
      <c r="A7784" s="841" t="s">
        <v>243</v>
      </c>
      <c r="E7784" s="1690" t="s">
        <v>84</v>
      </c>
      <c r="F7784" s="1690"/>
      <c r="G7784" s="1408" t="s">
        <v>33</v>
      </c>
      <c r="H7784" s="393">
        <v>10.1477</v>
      </c>
      <c r="K7784" s="841" t="s">
        <v>3571</v>
      </c>
      <c r="L7784" s="841" t="s">
        <v>442</v>
      </c>
      <c r="M7784" s="1357"/>
      <c r="P7784" s="841" t="s">
        <v>3574</v>
      </c>
      <c r="Q7784" s="1357"/>
      <c r="S7784" s="1420"/>
      <c r="T7784" s="1420"/>
      <c r="V7784" s="1357">
        <v>28</v>
      </c>
    </row>
    <row r="7785" spans="1:22" s="841" customFormat="1" ht="15" x14ac:dyDescent="0.25">
      <c r="A7785" s="841" t="s">
        <v>243</v>
      </c>
      <c r="E7785" s="1690" t="s">
        <v>18</v>
      </c>
      <c r="F7785" s="1690"/>
      <c r="G7785" s="1408" t="s">
        <v>33</v>
      </c>
      <c r="H7785" s="393">
        <v>0.16980000000000001</v>
      </c>
      <c r="K7785" s="841" t="s">
        <v>3571</v>
      </c>
      <c r="L7785" s="841" t="s">
        <v>443</v>
      </c>
      <c r="M7785" s="1357"/>
      <c r="P7785" s="841" t="s">
        <v>3575</v>
      </c>
      <c r="Q7785" s="1357"/>
      <c r="S7785" s="1420"/>
      <c r="T7785" s="1420"/>
      <c r="V7785" s="1357">
        <v>24</v>
      </c>
    </row>
    <row r="7786" spans="1:22" s="841" customFormat="1" ht="15" x14ac:dyDescent="0.25">
      <c r="A7786" s="841" t="s">
        <v>243</v>
      </c>
      <c r="E7786" s="1690" t="s">
        <v>5129</v>
      </c>
      <c r="F7786" s="1908"/>
      <c r="G7786" s="1408" t="s">
        <v>24</v>
      </c>
      <c r="H7786" s="393">
        <v>-5.9999999999999995E-4</v>
      </c>
      <c r="K7786" s="841" t="s">
        <v>3571</v>
      </c>
      <c r="L7786" s="841" t="s">
        <v>443</v>
      </c>
      <c r="M7786" s="1357"/>
      <c r="P7786" s="841" t="s">
        <v>3717</v>
      </c>
      <c r="Q7786" s="1357"/>
      <c r="S7786" s="1420"/>
      <c r="T7786" s="1420">
        <v>43585</v>
      </c>
      <c r="V7786" s="1357">
        <v>139</v>
      </c>
    </row>
    <row r="7787" spans="1:22" s="841" customFormat="1" ht="15" x14ac:dyDescent="0.25">
      <c r="A7787" s="841" t="s">
        <v>243</v>
      </c>
      <c r="E7787" s="1690" t="s">
        <v>5130</v>
      </c>
      <c r="F7787" s="1908"/>
      <c r="G7787" s="1408" t="s">
        <v>33</v>
      </c>
      <c r="H7787" s="393">
        <v>0.3916</v>
      </c>
      <c r="K7787" s="841" t="s">
        <v>3571</v>
      </c>
      <c r="L7787" s="841" t="s">
        <v>443</v>
      </c>
      <c r="M7787" s="1357"/>
      <c r="P7787" s="841" t="s">
        <v>3718</v>
      </c>
      <c r="Q7787" s="1357"/>
      <c r="S7787" s="1420"/>
      <c r="T7787" s="1420">
        <v>43585</v>
      </c>
      <c r="V7787" s="1357">
        <v>96</v>
      </c>
    </row>
    <row r="7788" spans="1:22" s="841" customFormat="1" ht="15" x14ac:dyDescent="0.25">
      <c r="A7788" s="841" t="s">
        <v>243</v>
      </c>
      <c r="E7788" s="1690" t="s">
        <v>5383</v>
      </c>
      <c r="F7788" s="1908"/>
      <c r="G7788" s="1408" t="s">
        <v>33</v>
      </c>
      <c r="H7788" s="393">
        <v>-7.1099999999999997E-2</v>
      </c>
      <c r="K7788" s="841" t="s">
        <v>3571</v>
      </c>
      <c r="L7788" s="841" t="s">
        <v>442</v>
      </c>
      <c r="M7788" s="1357"/>
      <c r="P7788" s="841" t="s">
        <v>4150</v>
      </c>
      <c r="Q7788" s="1357"/>
      <c r="S7788" s="1420"/>
      <c r="T7788" s="1420">
        <v>43585</v>
      </c>
      <c r="V7788" s="1357">
        <v>80</v>
      </c>
    </row>
    <row r="7789" spans="1:22" s="841" customFormat="1" ht="15" x14ac:dyDescent="0.25">
      <c r="A7789" s="841" t="s">
        <v>243</v>
      </c>
      <c r="E7789" s="1690" t="s">
        <v>221</v>
      </c>
      <c r="F7789" s="1690"/>
      <c r="G7789" s="1408" t="s">
        <v>33</v>
      </c>
      <c r="H7789" s="393">
        <v>1.4891000000000001</v>
      </c>
      <c r="K7789" s="841" t="s">
        <v>3571</v>
      </c>
      <c r="L7789" s="841" t="s">
        <v>444</v>
      </c>
      <c r="M7789" s="1357"/>
      <c r="P7789" s="841" t="s">
        <v>3576</v>
      </c>
      <c r="Q7789" s="1357"/>
      <c r="S7789" s="1420"/>
      <c r="T7789" s="1420"/>
      <c r="V7789" s="1357">
        <v>47</v>
      </c>
    </row>
    <row r="7790" spans="1:22" s="841" customFormat="1" ht="15" x14ac:dyDescent="0.25">
      <c r="A7790" s="841" t="s">
        <v>243</v>
      </c>
      <c r="E7790" s="1690" t="s">
        <v>217</v>
      </c>
      <c r="F7790" s="1690"/>
      <c r="G7790" s="1408" t="s">
        <v>33</v>
      </c>
      <c r="H7790" s="393">
        <v>1.2261</v>
      </c>
      <c r="K7790" s="841" t="s">
        <v>3571</v>
      </c>
      <c r="L7790" s="841" t="s">
        <v>444</v>
      </c>
      <c r="M7790" s="1357"/>
      <c r="P7790" s="841" t="s">
        <v>3577</v>
      </c>
      <c r="Q7790" s="1357"/>
      <c r="S7790" s="1420"/>
      <c r="T7790" s="1420"/>
      <c r="V7790" s="1357">
        <v>74</v>
      </c>
    </row>
    <row r="7791" spans="1:22" s="841" customFormat="1" ht="15" x14ac:dyDescent="0.25">
      <c r="A7791" s="841" t="s">
        <v>243</v>
      </c>
      <c r="E7791" s="1694" t="s">
        <v>3079</v>
      </c>
      <c r="F7791" s="1690"/>
      <c r="G7791" s="1408"/>
      <c r="H7791" s="1408"/>
      <c r="K7791" s="841" t="s">
        <v>3111</v>
      </c>
      <c r="M7791" s="1357"/>
      <c r="Q7791" s="1357"/>
      <c r="S7791" s="1420"/>
      <c r="T7791" s="1420"/>
      <c r="V7791" s="1357">
        <v>48</v>
      </c>
    </row>
    <row r="7792" spans="1:22" s="841" customFormat="1" ht="15" x14ac:dyDescent="0.25">
      <c r="A7792" s="841" t="s">
        <v>243</v>
      </c>
      <c r="E7792" s="1690" t="s">
        <v>2449</v>
      </c>
      <c r="F7792" s="1690"/>
      <c r="G7792" s="1408" t="s">
        <v>24</v>
      </c>
      <c r="H7792" s="393">
        <v>3.2000000000000002E-3</v>
      </c>
      <c r="K7792" s="841" t="s">
        <v>3571</v>
      </c>
      <c r="L7792" s="841" t="s">
        <v>3046</v>
      </c>
      <c r="M7792" s="1357"/>
      <c r="P7792" s="841" t="s">
        <v>3578</v>
      </c>
      <c r="Q7792" s="1357"/>
      <c r="S7792" s="1420"/>
      <c r="T7792" s="1420"/>
      <c r="V7792" s="1357">
        <v>55</v>
      </c>
    </row>
    <row r="7793" spans="1:22" s="841" customFormat="1" ht="15" x14ac:dyDescent="0.25">
      <c r="A7793" s="841" t="s">
        <v>243</v>
      </c>
      <c r="E7793" s="1690" t="s">
        <v>2450</v>
      </c>
      <c r="F7793" s="1690"/>
      <c r="G7793" s="1408" t="s">
        <v>24</v>
      </c>
      <c r="H7793" s="393">
        <v>4.0000000000000002E-4</v>
      </c>
      <c r="K7793" s="841" t="s">
        <v>3571</v>
      </c>
      <c r="L7793" s="841" t="s">
        <v>3046</v>
      </c>
      <c r="M7793" s="1357"/>
      <c r="P7793" s="841" t="s">
        <v>3578</v>
      </c>
      <c r="Q7793" s="1357"/>
      <c r="S7793" s="1420"/>
      <c r="T7793" s="1420"/>
      <c r="V7793" s="1357">
        <v>65</v>
      </c>
    </row>
    <row r="7794" spans="1:22" s="841" customFormat="1" ht="15" x14ac:dyDescent="0.25">
      <c r="A7794" s="841" t="s">
        <v>243</v>
      </c>
      <c r="E7794" s="1690" t="s">
        <v>439</v>
      </c>
      <c r="F7794" s="1690"/>
      <c r="G7794" s="1408" t="s">
        <v>24</v>
      </c>
      <c r="H7794" s="393">
        <v>2.9999999999999997E-4</v>
      </c>
      <c r="K7794" s="841" t="s">
        <v>3571</v>
      </c>
      <c r="L7794" s="841" t="s">
        <v>3046</v>
      </c>
      <c r="M7794" s="1357"/>
      <c r="P7794" s="841" t="s">
        <v>3579</v>
      </c>
      <c r="Q7794" s="1357"/>
      <c r="S7794" s="1420"/>
      <c r="T7794" s="1420"/>
      <c r="V7794" s="1357">
        <v>57</v>
      </c>
    </row>
    <row r="7795" spans="1:22" s="841" customFormat="1" ht="15" x14ac:dyDescent="0.25">
      <c r="A7795" s="841" t="s">
        <v>243</v>
      </c>
      <c r="E7795" s="1690" t="s">
        <v>32</v>
      </c>
      <c r="F7795" s="1690"/>
      <c r="G7795" s="1408" t="s">
        <v>23</v>
      </c>
      <c r="H7795" s="391">
        <v>0.25</v>
      </c>
      <c r="K7795" s="841" t="s">
        <v>3571</v>
      </c>
      <c r="L7795" s="841" t="s">
        <v>3046</v>
      </c>
      <c r="M7795" s="1357"/>
      <c r="P7795" s="841" t="s">
        <v>3580</v>
      </c>
      <c r="Q7795" s="1357"/>
      <c r="S7795" s="1420"/>
      <c r="T7795" s="1420"/>
      <c r="V7795" s="1357">
        <v>63</v>
      </c>
    </row>
    <row r="7796" spans="1:22" s="841" customFormat="1" x14ac:dyDescent="0.25">
      <c r="A7796" s="841" t="s">
        <v>243</v>
      </c>
      <c r="E7796" s="1909" t="s">
        <v>615</v>
      </c>
      <c r="F7796" s="1915"/>
      <c r="G7796" s="1915"/>
      <c r="H7796" s="1915"/>
      <c r="K7796" s="841" t="s">
        <v>3112</v>
      </c>
      <c r="M7796" s="1357"/>
      <c r="Q7796" s="1357"/>
      <c r="S7796" s="1420"/>
      <c r="T7796" s="1420"/>
      <c r="V7796" s="1357">
        <v>38</v>
      </c>
    </row>
    <row r="7797" spans="1:22" s="841" customFormat="1" ht="15" x14ac:dyDescent="0.25">
      <c r="A7797" s="841" t="s">
        <v>243</v>
      </c>
      <c r="E7797" s="1689" t="s">
        <v>4253</v>
      </c>
      <c r="F7797" s="1689"/>
      <c r="G7797" s="1689"/>
      <c r="H7797" s="1689"/>
      <c r="K7797" s="841" t="s">
        <v>3112</v>
      </c>
      <c r="M7797" s="1357"/>
      <c r="Q7797" s="1357"/>
      <c r="S7797" s="1420"/>
      <c r="T7797" s="1420"/>
      <c r="V7797" s="1357">
        <v>542</v>
      </c>
    </row>
    <row r="7798" spans="1:22" s="841" customFormat="1" ht="15" x14ac:dyDescent="0.25">
      <c r="A7798" s="841" t="s">
        <v>243</v>
      </c>
      <c r="E7798" s="1916" t="s">
        <v>3061</v>
      </c>
      <c r="F7798" s="1697"/>
      <c r="G7798" s="1697"/>
      <c r="H7798" s="1697"/>
      <c r="K7798" s="841" t="s">
        <v>3114</v>
      </c>
      <c r="M7798" s="1357"/>
      <c r="Q7798" s="1357"/>
      <c r="S7798" s="1420"/>
      <c r="T7798" s="1420"/>
      <c r="V7798" s="1357">
        <v>11</v>
      </c>
    </row>
    <row r="7799" spans="1:22" s="841" customFormat="1" ht="15" x14ac:dyDescent="0.25">
      <c r="A7799" s="841" t="s">
        <v>243</v>
      </c>
      <c r="E7799" s="1689" t="s">
        <v>3063</v>
      </c>
      <c r="F7799" s="1689"/>
      <c r="G7799" s="1689"/>
      <c r="H7799" s="1689"/>
      <c r="K7799" s="841" t="s">
        <v>3112</v>
      </c>
      <c r="M7799" s="1357"/>
      <c r="Q7799" s="1357"/>
      <c r="S7799" s="1420"/>
      <c r="T7799" s="1420"/>
      <c r="V7799" s="1357">
        <v>280</v>
      </c>
    </row>
    <row r="7800" spans="1:22" s="841" customFormat="1" ht="15" x14ac:dyDescent="0.25">
      <c r="A7800" s="841" t="s">
        <v>243</v>
      </c>
      <c r="E7800" s="1689" t="s">
        <v>3064</v>
      </c>
      <c r="F7800" s="1689"/>
      <c r="G7800" s="1689"/>
      <c r="H7800" s="1689"/>
      <c r="K7800" s="841" t="s">
        <v>3112</v>
      </c>
      <c r="M7800" s="1357"/>
      <c r="Q7800" s="1357"/>
      <c r="S7800" s="1420"/>
      <c r="T7800" s="1420"/>
      <c r="V7800" s="1357">
        <v>411</v>
      </c>
    </row>
    <row r="7801" spans="1:22" s="841" customFormat="1" ht="15" x14ac:dyDescent="0.25">
      <c r="A7801" s="841" t="s">
        <v>243</v>
      </c>
      <c r="E7801" s="1689" t="s">
        <v>3199</v>
      </c>
      <c r="F7801" s="1689"/>
      <c r="G7801" s="1689"/>
      <c r="H7801" s="1689"/>
      <c r="K7801" s="841" t="s">
        <v>3112</v>
      </c>
      <c r="M7801" s="1357"/>
      <c r="Q7801" s="1357"/>
      <c r="S7801" s="1420"/>
      <c r="T7801" s="1420"/>
      <c r="V7801" s="1357">
        <v>386</v>
      </c>
    </row>
    <row r="7802" spans="1:22" s="841" customFormat="1" ht="15" x14ac:dyDescent="0.25">
      <c r="A7802" s="841" t="s">
        <v>243</v>
      </c>
      <c r="E7802" s="1689" t="s">
        <v>3200</v>
      </c>
      <c r="F7802" s="1689"/>
      <c r="G7802" s="1689"/>
      <c r="H7802" s="1689"/>
      <c r="K7802" s="841" t="s">
        <v>3112</v>
      </c>
      <c r="M7802" s="1357"/>
      <c r="Q7802" s="1357"/>
      <c r="S7802" s="1420"/>
      <c r="T7802" s="1420"/>
      <c r="V7802" s="1357">
        <v>275</v>
      </c>
    </row>
    <row r="7803" spans="1:22" s="841" customFormat="1" ht="15" x14ac:dyDescent="0.25">
      <c r="A7803" s="841" t="s">
        <v>243</v>
      </c>
      <c r="E7803" s="1694" t="s">
        <v>3067</v>
      </c>
      <c r="F7803" s="1907"/>
      <c r="G7803" s="1907"/>
      <c r="H7803" s="1907"/>
      <c r="K7803" s="841" t="s">
        <v>3115</v>
      </c>
      <c r="M7803" s="1357"/>
      <c r="Q7803" s="1357"/>
      <c r="S7803" s="1420"/>
      <c r="T7803" s="1420"/>
      <c r="V7803" s="1357">
        <v>46</v>
      </c>
    </row>
    <row r="7804" spans="1:22" s="841" customFormat="1" ht="15" x14ac:dyDescent="0.25">
      <c r="A7804" s="841" t="s">
        <v>243</v>
      </c>
      <c r="E7804" s="1690" t="s">
        <v>12</v>
      </c>
      <c r="F7804" s="1690"/>
      <c r="G7804" s="1408" t="s">
        <v>23</v>
      </c>
      <c r="H7804" s="391">
        <v>4.5599999999999996</v>
      </c>
      <c r="K7804" s="841" t="s">
        <v>3112</v>
      </c>
      <c r="L7804" s="841" t="s">
        <v>442</v>
      </c>
      <c r="M7804" s="1357"/>
      <c r="P7804" s="841" t="s">
        <v>3116</v>
      </c>
      <c r="Q7804" s="1357"/>
      <c r="S7804" s="1420"/>
      <c r="T7804" s="1420"/>
      <c r="V7804" s="1357">
        <v>31</v>
      </c>
    </row>
    <row r="7805" spans="1:22" s="841" customFormat="1" ht="15" x14ac:dyDescent="0.25">
      <c r="A7805" s="841" t="s">
        <v>243</v>
      </c>
      <c r="E7805" s="1690" t="s">
        <v>84</v>
      </c>
      <c r="F7805" s="1690"/>
      <c r="G7805" s="1408" t="s">
        <v>33</v>
      </c>
      <c r="H7805" s="393">
        <v>15.1656</v>
      </c>
      <c r="K7805" s="841" t="s">
        <v>3112</v>
      </c>
      <c r="L7805" s="841" t="s">
        <v>442</v>
      </c>
      <c r="M7805" s="1357"/>
      <c r="P7805" s="841" t="s">
        <v>3117</v>
      </c>
      <c r="Q7805" s="1357"/>
      <c r="S7805" s="1420"/>
      <c r="T7805" s="1420"/>
      <c r="V7805" s="1357">
        <v>28</v>
      </c>
    </row>
    <row r="7806" spans="1:22" s="841" customFormat="1" ht="15" x14ac:dyDescent="0.25">
      <c r="A7806" s="841" t="s">
        <v>243</v>
      </c>
      <c r="E7806" s="1690" t="s">
        <v>18</v>
      </c>
      <c r="F7806" s="1690"/>
      <c r="G7806" s="1408" t="s">
        <v>33</v>
      </c>
      <c r="H7806" s="393">
        <v>0.1663</v>
      </c>
      <c r="K7806" s="841" t="s">
        <v>3112</v>
      </c>
      <c r="L7806" s="841" t="s">
        <v>443</v>
      </c>
      <c r="M7806" s="1357"/>
      <c r="P7806" s="841" t="s">
        <v>3497</v>
      </c>
      <c r="Q7806" s="1357"/>
      <c r="S7806" s="1420"/>
      <c r="T7806" s="1420"/>
      <c r="V7806" s="1357">
        <v>24</v>
      </c>
    </row>
    <row r="7807" spans="1:22" s="841" customFormat="1" ht="15" x14ac:dyDescent="0.25">
      <c r="A7807" s="841" t="s">
        <v>243</v>
      </c>
      <c r="E7807" s="1690" t="s">
        <v>5129</v>
      </c>
      <c r="F7807" s="1908"/>
      <c r="G7807" s="1408" t="s">
        <v>24</v>
      </c>
      <c r="H7807" s="393">
        <v>-5.9999999999999995E-4</v>
      </c>
      <c r="K7807" s="841" t="s">
        <v>3112</v>
      </c>
      <c r="L7807" s="841" t="s">
        <v>443</v>
      </c>
      <c r="M7807" s="1357"/>
      <c r="P7807" s="841" t="s">
        <v>3119</v>
      </c>
      <c r="Q7807" s="1357"/>
      <c r="S7807" s="1420"/>
      <c r="T7807" s="1420">
        <v>43585</v>
      </c>
      <c r="V7807" s="1357">
        <v>139</v>
      </c>
    </row>
    <row r="7808" spans="1:22" s="841" customFormat="1" ht="15" x14ac:dyDescent="0.25">
      <c r="A7808" s="841" t="s">
        <v>243</v>
      </c>
      <c r="E7808" s="1690" t="s">
        <v>5130</v>
      </c>
      <c r="F7808" s="1908"/>
      <c r="G7808" s="1408" t="s">
        <v>33</v>
      </c>
      <c r="H7808" s="393">
        <v>0.39040000000000002</v>
      </c>
      <c r="K7808" s="841" t="s">
        <v>3112</v>
      </c>
      <c r="L7808" s="841" t="s">
        <v>443</v>
      </c>
      <c r="M7808" s="1357"/>
      <c r="P7808" s="841" t="s">
        <v>3118</v>
      </c>
      <c r="Q7808" s="1357"/>
      <c r="S7808" s="1420"/>
      <c r="T7808" s="1420">
        <v>43585</v>
      </c>
      <c r="V7808" s="1357">
        <v>96</v>
      </c>
    </row>
    <row r="7809" spans="1:22" s="841" customFormat="1" ht="15" x14ac:dyDescent="0.25">
      <c r="A7809" s="841" t="s">
        <v>243</v>
      </c>
      <c r="E7809" s="1690" t="s">
        <v>5383</v>
      </c>
      <c r="F7809" s="1908"/>
      <c r="G7809" s="1408" t="s">
        <v>33</v>
      </c>
      <c r="H7809" s="393">
        <v>-7.6499999999999999E-2</v>
      </c>
      <c r="K7809" s="841" t="s">
        <v>3112</v>
      </c>
      <c r="L7809" s="841" t="s">
        <v>442</v>
      </c>
      <c r="M7809" s="1357"/>
      <c r="P7809" s="841" t="s">
        <v>4153</v>
      </c>
      <c r="Q7809" s="1357"/>
      <c r="S7809" s="1420"/>
      <c r="T7809" s="1420">
        <v>43585</v>
      </c>
      <c r="V7809" s="1357">
        <v>80</v>
      </c>
    </row>
    <row r="7810" spans="1:22" s="841" customFormat="1" ht="15" x14ac:dyDescent="0.25">
      <c r="A7810" s="841" t="s">
        <v>243</v>
      </c>
      <c r="E7810" s="1690" t="s">
        <v>221</v>
      </c>
      <c r="F7810" s="1690"/>
      <c r="G7810" s="1408" t="s">
        <v>33</v>
      </c>
      <c r="H7810" s="393">
        <v>1.4815</v>
      </c>
      <c r="K7810" s="841" t="s">
        <v>3112</v>
      </c>
      <c r="L7810" s="841" t="s">
        <v>444</v>
      </c>
      <c r="M7810" s="1357"/>
      <c r="P7810" s="841" t="s">
        <v>3120</v>
      </c>
      <c r="Q7810" s="1357"/>
      <c r="S7810" s="1420"/>
      <c r="T7810" s="1420"/>
      <c r="V7810" s="1357">
        <v>47</v>
      </c>
    </row>
    <row r="7811" spans="1:22" s="841" customFormat="1" ht="15" x14ac:dyDescent="0.25">
      <c r="A7811" s="841" t="s">
        <v>243</v>
      </c>
      <c r="E7811" s="1690" t="s">
        <v>217</v>
      </c>
      <c r="F7811" s="1690"/>
      <c r="G7811" s="1408" t="s">
        <v>33</v>
      </c>
      <c r="H7811" s="393">
        <v>1.2009000000000001</v>
      </c>
      <c r="K7811" s="841" t="s">
        <v>3112</v>
      </c>
      <c r="L7811" s="841" t="s">
        <v>444</v>
      </c>
      <c r="M7811" s="1357"/>
      <c r="P7811" s="841" t="s">
        <v>3121</v>
      </c>
      <c r="Q7811" s="1357"/>
      <c r="S7811" s="1420"/>
      <c r="T7811" s="1420"/>
      <c r="V7811" s="1357">
        <v>74</v>
      </c>
    </row>
    <row r="7812" spans="1:22" s="841" customFormat="1" ht="15" x14ac:dyDescent="0.25">
      <c r="A7812" s="841" t="s">
        <v>243</v>
      </c>
      <c r="E7812" s="1694" t="s">
        <v>3079</v>
      </c>
      <c r="F7812" s="1690"/>
      <c r="G7812" s="1408"/>
      <c r="H7812" s="1408"/>
      <c r="K7812" s="841" t="s">
        <v>3122</v>
      </c>
      <c r="M7812" s="1357"/>
      <c r="Q7812" s="1357"/>
      <c r="S7812" s="1420"/>
      <c r="T7812" s="1420"/>
      <c r="V7812" s="1357">
        <v>48</v>
      </c>
    </row>
    <row r="7813" spans="1:22" s="841" customFormat="1" ht="15" x14ac:dyDescent="0.25">
      <c r="A7813" s="841" t="s">
        <v>243</v>
      </c>
      <c r="E7813" s="1690" t="s">
        <v>2449</v>
      </c>
      <c r="F7813" s="1690"/>
      <c r="G7813" s="1408" t="s">
        <v>24</v>
      </c>
      <c r="H7813" s="393">
        <v>3.2000000000000002E-3</v>
      </c>
      <c r="K7813" s="841" t="s">
        <v>3112</v>
      </c>
      <c r="L7813" s="841" t="s">
        <v>3046</v>
      </c>
      <c r="M7813" s="1357"/>
      <c r="P7813" s="841" t="s">
        <v>3123</v>
      </c>
      <c r="Q7813" s="1357"/>
      <c r="S7813" s="1420"/>
      <c r="T7813" s="1420"/>
      <c r="V7813" s="1357">
        <v>55</v>
      </c>
    </row>
    <row r="7814" spans="1:22" s="841" customFormat="1" ht="15" x14ac:dyDescent="0.25">
      <c r="A7814" s="841" t="s">
        <v>243</v>
      </c>
      <c r="E7814" s="1690" t="s">
        <v>2450</v>
      </c>
      <c r="F7814" s="1690"/>
      <c r="G7814" s="1408" t="s">
        <v>24</v>
      </c>
      <c r="H7814" s="393">
        <v>4.0000000000000002E-4</v>
      </c>
      <c r="K7814" s="841" t="s">
        <v>3112</v>
      </c>
      <c r="L7814" s="841" t="s">
        <v>3046</v>
      </c>
      <c r="M7814" s="1357"/>
      <c r="P7814" s="841" t="s">
        <v>3123</v>
      </c>
      <c r="Q7814" s="1357"/>
      <c r="S7814" s="1420"/>
      <c r="T7814" s="1420"/>
      <c r="V7814" s="1357">
        <v>65</v>
      </c>
    </row>
    <row r="7815" spans="1:22" s="841" customFormat="1" ht="15" x14ac:dyDescent="0.25">
      <c r="A7815" s="841" t="s">
        <v>243</v>
      </c>
      <c r="E7815" s="1690" t="s">
        <v>439</v>
      </c>
      <c r="F7815" s="1690"/>
      <c r="G7815" s="1408" t="s">
        <v>24</v>
      </c>
      <c r="H7815" s="393">
        <v>2.9999999999999997E-4</v>
      </c>
      <c r="K7815" s="841" t="s">
        <v>3112</v>
      </c>
      <c r="L7815" s="841" t="s">
        <v>3046</v>
      </c>
      <c r="M7815" s="1357"/>
      <c r="P7815" s="841" t="s">
        <v>3124</v>
      </c>
      <c r="Q7815" s="1357"/>
      <c r="S7815" s="1420"/>
      <c r="T7815" s="1420"/>
      <c r="V7815" s="1357">
        <v>57</v>
      </c>
    </row>
    <row r="7816" spans="1:22" s="841" customFormat="1" ht="15" x14ac:dyDescent="0.25">
      <c r="A7816" s="841" t="s">
        <v>243</v>
      </c>
      <c r="E7816" s="1690" t="s">
        <v>32</v>
      </c>
      <c r="F7816" s="1690"/>
      <c r="G7816" s="1408" t="s">
        <v>23</v>
      </c>
      <c r="H7816" s="391">
        <v>0.25</v>
      </c>
      <c r="K7816" s="841" t="s">
        <v>3112</v>
      </c>
      <c r="L7816" s="841" t="s">
        <v>3046</v>
      </c>
      <c r="M7816" s="1357"/>
      <c r="P7816" s="841" t="s">
        <v>3125</v>
      </c>
      <c r="Q7816" s="1357"/>
      <c r="S7816" s="1420"/>
      <c r="T7816" s="1420"/>
      <c r="V7816" s="1357">
        <v>63</v>
      </c>
    </row>
    <row r="7817" spans="1:22" s="841" customFormat="1" x14ac:dyDescent="0.25">
      <c r="A7817" s="841" t="s">
        <v>243</v>
      </c>
      <c r="E7817" s="1909" t="s">
        <v>631</v>
      </c>
      <c r="F7817" s="1915"/>
      <c r="G7817" s="1915"/>
      <c r="H7817" s="1915"/>
      <c r="K7817" s="841" t="s">
        <v>4091</v>
      </c>
      <c r="M7817" s="1357"/>
      <c r="Q7817" s="1357"/>
      <c r="S7817" s="1420"/>
      <c r="T7817" s="1420"/>
      <c r="V7817" s="1357">
        <v>36</v>
      </c>
    </row>
    <row r="7818" spans="1:22" s="841" customFormat="1" ht="15" x14ac:dyDescent="0.25">
      <c r="A7818" s="841" t="s">
        <v>243</v>
      </c>
      <c r="E7818" s="1689" t="s">
        <v>4254</v>
      </c>
      <c r="F7818" s="1689"/>
      <c r="G7818" s="1689"/>
      <c r="H7818" s="1689"/>
      <c r="K7818" s="841" t="s">
        <v>4091</v>
      </c>
      <c r="M7818" s="1357"/>
      <c r="Q7818" s="1357"/>
      <c r="S7818" s="1420"/>
      <c r="T7818" s="1420"/>
      <c r="V7818" s="1357">
        <v>490</v>
      </c>
    </row>
    <row r="7819" spans="1:22" s="841" customFormat="1" ht="15" x14ac:dyDescent="0.25">
      <c r="A7819" s="841" t="s">
        <v>243</v>
      </c>
      <c r="E7819" s="1916" t="s">
        <v>3061</v>
      </c>
      <c r="F7819" s="1697"/>
      <c r="G7819" s="1697"/>
      <c r="H7819" s="1697"/>
      <c r="K7819" s="841" t="s">
        <v>3128</v>
      </c>
      <c r="M7819" s="1357"/>
      <c r="Q7819" s="1357"/>
      <c r="S7819" s="1420"/>
      <c r="T7819" s="1420"/>
      <c r="V7819" s="1357">
        <v>11</v>
      </c>
    </row>
    <row r="7820" spans="1:22" s="841" customFormat="1" ht="15" x14ac:dyDescent="0.25">
      <c r="A7820" s="841" t="s">
        <v>243</v>
      </c>
      <c r="E7820" s="1689" t="s">
        <v>3063</v>
      </c>
      <c r="F7820" s="1689"/>
      <c r="G7820" s="1689"/>
      <c r="H7820" s="1689"/>
      <c r="K7820" s="841" t="s">
        <v>4091</v>
      </c>
      <c r="M7820" s="1357"/>
      <c r="Q7820" s="1357"/>
      <c r="S7820" s="1420"/>
      <c r="T7820" s="1420"/>
      <c r="V7820" s="1357">
        <v>280</v>
      </c>
    </row>
    <row r="7821" spans="1:22" s="841" customFormat="1" ht="15" x14ac:dyDescent="0.25">
      <c r="A7821" s="841" t="s">
        <v>243</v>
      </c>
      <c r="E7821" s="1689" t="s">
        <v>3064</v>
      </c>
      <c r="F7821" s="1689"/>
      <c r="G7821" s="1689"/>
      <c r="H7821" s="1689"/>
      <c r="K7821" s="841" t="s">
        <v>4091</v>
      </c>
      <c r="M7821" s="1357"/>
      <c r="Q7821" s="1357"/>
      <c r="S7821" s="1420"/>
      <c r="T7821" s="1420"/>
      <c r="V7821" s="1357">
        <v>411</v>
      </c>
    </row>
    <row r="7822" spans="1:22" s="841" customFormat="1" ht="15" x14ac:dyDescent="0.25">
      <c r="A7822" s="841" t="s">
        <v>243</v>
      </c>
      <c r="E7822" s="1689" t="s">
        <v>3129</v>
      </c>
      <c r="F7822" s="1689"/>
      <c r="G7822" s="1689"/>
      <c r="H7822" s="1689"/>
      <c r="K7822" s="841" t="s">
        <v>4091</v>
      </c>
      <c r="M7822" s="1357"/>
      <c r="Q7822" s="1357"/>
      <c r="S7822" s="1420"/>
      <c r="T7822" s="1420"/>
      <c r="V7822" s="1357">
        <v>211</v>
      </c>
    </row>
    <row r="7823" spans="1:22" s="841" customFormat="1" ht="15" x14ac:dyDescent="0.25">
      <c r="A7823" s="841" t="s">
        <v>243</v>
      </c>
      <c r="E7823" s="1689" t="s">
        <v>3200</v>
      </c>
      <c r="F7823" s="1689"/>
      <c r="G7823" s="1689"/>
      <c r="H7823" s="1689"/>
      <c r="K7823" s="841" t="s">
        <v>4091</v>
      </c>
      <c r="M7823" s="1357"/>
      <c r="Q7823" s="1357"/>
      <c r="S7823" s="1420"/>
      <c r="T7823" s="1420"/>
      <c r="V7823" s="1357">
        <v>275</v>
      </c>
    </row>
    <row r="7824" spans="1:22" s="841" customFormat="1" ht="15" x14ac:dyDescent="0.25">
      <c r="A7824" s="841" t="s">
        <v>243</v>
      </c>
      <c r="E7824" s="1694" t="s">
        <v>3933</v>
      </c>
      <c r="F7824" s="1907"/>
      <c r="G7824" s="1907"/>
      <c r="H7824" s="1907"/>
      <c r="K7824" s="841" t="s">
        <v>3130</v>
      </c>
      <c r="M7824" s="1357"/>
      <c r="Q7824" s="1357"/>
      <c r="S7824" s="1420"/>
      <c r="T7824" s="1420"/>
      <c r="V7824" s="1357">
        <v>77</v>
      </c>
    </row>
    <row r="7825" spans="1:22" s="841" customFormat="1" ht="15" x14ac:dyDescent="0.25">
      <c r="A7825" s="841" t="s">
        <v>243</v>
      </c>
      <c r="E7825" s="1690" t="s">
        <v>371</v>
      </c>
      <c r="F7825" s="1690"/>
      <c r="G7825" s="1408" t="s">
        <v>33</v>
      </c>
      <c r="H7825" s="393">
        <v>1.0712999999999999</v>
      </c>
      <c r="K7825" s="841" t="s">
        <v>4091</v>
      </c>
      <c r="L7825" s="841" t="s">
        <v>442</v>
      </c>
      <c r="M7825" s="1357"/>
      <c r="P7825" s="841" t="s">
        <v>4094</v>
      </c>
      <c r="Q7825" s="1357"/>
      <c r="S7825" s="1420"/>
      <c r="T7825" s="1420"/>
      <c r="V7825" s="1357">
        <v>56</v>
      </c>
    </row>
    <row r="7826" spans="1:22" s="841" customFormat="1" x14ac:dyDescent="0.25">
      <c r="A7826" s="841" t="s">
        <v>243</v>
      </c>
      <c r="E7826" s="1909" t="s">
        <v>618</v>
      </c>
      <c r="F7826" s="1915"/>
      <c r="G7826" s="1915"/>
      <c r="H7826" s="1915"/>
      <c r="K7826" s="841" t="s">
        <v>3487</v>
      </c>
      <c r="M7826" s="1357"/>
      <c r="Q7826" s="1357"/>
      <c r="S7826" s="1420"/>
      <c r="T7826" s="1420"/>
      <c r="V7826" s="1357">
        <v>31</v>
      </c>
    </row>
    <row r="7827" spans="1:22" s="841" customFormat="1" ht="15" x14ac:dyDescent="0.25">
      <c r="A7827" s="841" t="s">
        <v>243</v>
      </c>
      <c r="E7827" s="1689" t="s">
        <v>3372</v>
      </c>
      <c r="F7827" s="1689"/>
      <c r="G7827" s="1689"/>
      <c r="H7827" s="1689"/>
      <c r="K7827" s="841" t="s">
        <v>3487</v>
      </c>
      <c r="M7827" s="1357"/>
      <c r="Q7827" s="1357"/>
      <c r="S7827" s="1420"/>
      <c r="T7827" s="1420"/>
      <c r="V7827" s="1357">
        <v>285</v>
      </c>
    </row>
    <row r="7828" spans="1:22" s="841" customFormat="1" ht="15" x14ac:dyDescent="0.25">
      <c r="A7828" s="841" t="s">
        <v>243</v>
      </c>
      <c r="E7828" s="1916" t="s">
        <v>3061</v>
      </c>
      <c r="F7828" s="1697"/>
      <c r="G7828" s="1697"/>
      <c r="H7828" s="1697"/>
      <c r="K7828" s="841" t="s">
        <v>3266</v>
      </c>
      <c r="M7828" s="1357"/>
      <c r="Q7828" s="1357"/>
      <c r="S7828" s="1420"/>
      <c r="T7828" s="1420"/>
      <c r="V7828" s="1357">
        <v>11</v>
      </c>
    </row>
    <row r="7829" spans="1:22" s="841" customFormat="1" ht="15" x14ac:dyDescent="0.25">
      <c r="A7829" s="841" t="s">
        <v>243</v>
      </c>
      <c r="E7829" s="1689" t="s">
        <v>3063</v>
      </c>
      <c r="F7829" s="1689"/>
      <c r="G7829" s="1689"/>
      <c r="H7829" s="1689"/>
      <c r="K7829" s="841" t="s">
        <v>3487</v>
      </c>
      <c r="M7829" s="1357"/>
      <c r="Q7829" s="1357"/>
      <c r="S7829" s="1420"/>
      <c r="T7829" s="1420"/>
      <c r="V7829" s="1357">
        <v>280</v>
      </c>
    </row>
    <row r="7830" spans="1:22" s="841" customFormat="1" ht="15" x14ac:dyDescent="0.25">
      <c r="A7830" s="841" t="s">
        <v>243</v>
      </c>
      <c r="E7830" s="1689" t="s">
        <v>3064</v>
      </c>
      <c r="F7830" s="1689"/>
      <c r="G7830" s="1689"/>
      <c r="H7830" s="1689"/>
      <c r="K7830" s="841" t="s">
        <v>3487</v>
      </c>
      <c r="M7830" s="1357"/>
      <c r="Q7830" s="1357"/>
      <c r="S7830" s="1420"/>
      <c r="T7830" s="1420"/>
      <c r="V7830" s="1357">
        <v>411</v>
      </c>
    </row>
    <row r="7831" spans="1:22" s="841" customFormat="1" ht="15" x14ac:dyDescent="0.25">
      <c r="A7831" s="841" t="s">
        <v>243</v>
      </c>
      <c r="E7831" s="1689" t="s">
        <v>3129</v>
      </c>
      <c r="F7831" s="1689"/>
      <c r="G7831" s="1689"/>
      <c r="H7831" s="1689"/>
      <c r="K7831" s="841" t="s">
        <v>3487</v>
      </c>
      <c r="M7831" s="1357"/>
      <c r="Q7831" s="1357"/>
      <c r="S7831" s="1420"/>
      <c r="T7831" s="1420"/>
      <c r="V7831" s="1357">
        <v>211</v>
      </c>
    </row>
    <row r="7832" spans="1:22" s="841" customFormat="1" ht="15" x14ac:dyDescent="0.25">
      <c r="A7832" s="841" t="s">
        <v>243</v>
      </c>
      <c r="E7832" s="1689" t="s">
        <v>3200</v>
      </c>
      <c r="F7832" s="1689"/>
      <c r="G7832" s="1689"/>
      <c r="H7832" s="1689"/>
      <c r="K7832" s="841" t="s">
        <v>3487</v>
      </c>
      <c r="M7832" s="1357"/>
      <c r="Q7832" s="1357"/>
      <c r="S7832" s="1420"/>
      <c r="T7832" s="1420"/>
      <c r="V7832" s="1357">
        <v>275</v>
      </c>
    </row>
    <row r="7833" spans="1:22" s="841" customFormat="1" ht="15" x14ac:dyDescent="0.25">
      <c r="A7833" s="841" t="s">
        <v>243</v>
      </c>
      <c r="E7833" s="1694" t="s">
        <v>3067</v>
      </c>
      <c r="F7833" s="1907"/>
      <c r="G7833" s="1907"/>
      <c r="H7833" s="1907"/>
      <c r="K7833" s="841" t="s">
        <v>3267</v>
      </c>
      <c r="M7833" s="1357"/>
      <c r="Q7833" s="1357"/>
      <c r="S7833" s="1420"/>
      <c r="T7833" s="1420"/>
      <c r="V7833" s="1357">
        <v>46</v>
      </c>
    </row>
    <row r="7834" spans="1:22" s="841" customFormat="1" ht="15" x14ac:dyDescent="0.25">
      <c r="A7834" s="841" t="s">
        <v>243</v>
      </c>
      <c r="E7834" s="1690" t="s">
        <v>11</v>
      </c>
      <c r="F7834" s="1690"/>
      <c r="G7834" s="1408" t="s">
        <v>23</v>
      </c>
      <c r="H7834" s="391">
        <v>5.4</v>
      </c>
      <c r="K7834" s="841" t="s">
        <v>3487</v>
      </c>
      <c r="L7834" s="841" t="s">
        <v>442</v>
      </c>
      <c r="M7834" s="1357"/>
      <c r="P7834" s="841" t="s">
        <v>3488</v>
      </c>
      <c r="Q7834" s="1357"/>
      <c r="S7834" s="1420"/>
      <c r="T7834" s="1420"/>
      <c r="V7834" s="1357">
        <v>14</v>
      </c>
    </row>
    <row r="7835" spans="1:22" s="841" customFormat="1" ht="18.75" x14ac:dyDescent="0.25">
      <c r="A7835" s="841" t="s">
        <v>243</v>
      </c>
      <c r="E7835" s="1374" t="s">
        <v>85</v>
      </c>
      <c r="F7835" s="661"/>
      <c r="G7835" s="661"/>
      <c r="H7835" s="662"/>
      <c r="K7835" s="841" t="s">
        <v>4255</v>
      </c>
      <c r="M7835" s="1357"/>
      <c r="Q7835" s="1357"/>
      <c r="S7835" s="1420"/>
      <c r="T7835" s="1420"/>
      <c r="V7835" s="1357">
        <v>10</v>
      </c>
    </row>
    <row r="7836" spans="1:22" s="841" customFormat="1" ht="15" x14ac:dyDescent="0.25">
      <c r="A7836" s="841" t="s">
        <v>243</v>
      </c>
      <c r="E7836" s="1690" t="s">
        <v>3133</v>
      </c>
      <c r="F7836" s="1690"/>
      <c r="G7836" s="1408" t="s">
        <v>33</v>
      </c>
      <c r="H7836" s="393">
        <v>-0.6</v>
      </c>
      <c r="M7836" s="1357"/>
      <c r="Q7836" s="1357"/>
      <c r="S7836" s="1420"/>
      <c r="T7836" s="1420"/>
      <c r="V7836" s="1357">
        <v>68</v>
      </c>
    </row>
    <row r="7837" spans="1:22" s="841" customFormat="1" ht="15" x14ac:dyDescent="0.25">
      <c r="A7837" s="841" t="s">
        <v>243</v>
      </c>
      <c r="E7837" s="1690" t="s">
        <v>3134</v>
      </c>
      <c r="F7837" s="1690"/>
      <c r="G7837" s="1408" t="s">
        <v>86</v>
      </c>
      <c r="H7837" s="391">
        <v>-1</v>
      </c>
      <c r="M7837" s="1357"/>
      <c r="Q7837" s="1357"/>
      <c r="S7837" s="1420"/>
      <c r="T7837" s="1420"/>
      <c r="V7837" s="1357">
        <v>87</v>
      </c>
    </row>
    <row r="7838" spans="1:22" s="841" customFormat="1" ht="36" x14ac:dyDescent="0.25">
      <c r="A7838" s="841" t="s">
        <v>243</v>
      </c>
      <c r="E7838" s="1374" t="s">
        <v>87</v>
      </c>
      <c r="F7838" s="661"/>
      <c r="G7838" s="661"/>
      <c r="H7838" s="662"/>
      <c r="K7838" s="841" t="s">
        <v>4256</v>
      </c>
      <c r="M7838" s="1357"/>
      <c r="Q7838" s="1357"/>
      <c r="S7838" s="1420"/>
      <c r="T7838" s="1420"/>
      <c r="V7838" s="1357">
        <v>24</v>
      </c>
    </row>
    <row r="7839" spans="1:22" s="841" customFormat="1" ht="15" x14ac:dyDescent="0.25">
      <c r="A7839" s="841" t="s">
        <v>243</v>
      </c>
      <c r="E7839" s="1689" t="s">
        <v>3063</v>
      </c>
      <c r="F7839" s="1689"/>
      <c r="G7839" s="1689"/>
      <c r="H7839" s="1689"/>
      <c r="M7839" s="1357"/>
      <c r="Q7839" s="1357"/>
      <c r="S7839" s="1420"/>
      <c r="T7839" s="1420"/>
      <c r="V7839" s="1357">
        <v>280</v>
      </c>
    </row>
    <row r="7840" spans="1:22" s="841" customFormat="1" ht="15" x14ac:dyDescent="0.25">
      <c r="A7840" s="841" t="s">
        <v>243</v>
      </c>
      <c r="E7840" s="1689" t="s">
        <v>3136</v>
      </c>
      <c r="F7840" s="1689"/>
      <c r="G7840" s="1689"/>
      <c r="H7840" s="1689"/>
      <c r="M7840" s="1357"/>
      <c r="Q7840" s="1357"/>
      <c r="S7840" s="1420"/>
      <c r="T7840" s="1420"/>
      <c r="V7840" s="1357">
        <v>353</v>
      </c>
    </row>
    <row r="7841" spans="1:22" s="841" customFormat="1" ht="15" x14ac:dyDescent="0.25">
      <c r="A7841" s="841" t="s">
        <v>243</v>
      </c>
      <c r="E7841" s="1689" t="s">
        <v>3200</v>
      </c>
      <c r="F7841" s="1689"/>
      <c r="G7841" s="1689"/>
      <c r="H7841" s="1689"/>
      <c r="M7841" s="1357"/>
      <c r="Q7841" s="1357"/>
      <c r="S7841" s="1420"/>
      <c r="T7841" s="1420"/>
      <c r="V7841" s="1357">
        <v>275</v>
      </c>
    </row>
    <row r="7842" spans="1:22" s="841" customFormat="1" ht="15" x14ac:dyDescent="0.25">
      <c r="A7842" s="841" t="s">
        <v>243</v>
      </c>
      <c r="E7842" s="1370" t="s">
        <v>3137</v>
      </c>
      <c r="F7842" s="500"/>
      <c r="G7842" s="500"/>
      <c r="H7842" s="501"/>
      <c r="K7842" s="841" t="s">
        <v>4257</v>
      </c>
      <c r="M7842" s="1357"/>
      <c r="Q7842" s="1357"/>
      <c r="S7842" s="1420"/>
      <c r="T7842" s="1420"/>
      <c r="V7842" s="1357">
        <v>23</v>
      </c>
    </row>
    <row r="7843" spans="1:22" s="841" customFormat="1" ht="15" x14ac:dyDescent="0.25">
      <c r="A7843" s="841" t="s">
        <v>243</v>
      </c>
      <c r="E7843" s="1688" t="s">
        <v>3355</v>
      </c>
      <c r="F7843" s="1688"/>
      <c r="G7843" s="1408" t="s">
        <v>23</v>
      </c>
      <c r="H7843" s="391">
        <v>15</v>
      </c>
      <c r="M7843" s="1357"/>
      <c r="Q7843" s="1357"/>
      <c r="S7843" s="1420"/>
      <c r="T7843" s="1420"/>
      <c r="V7843" s="1357">
        <v>19</v>
      </c>
    </row>
    <row r="7844" spans="1:22" s="841" customFormat="1" ht="15" x14ac:dyDescent="0.25">
      <c r="A7844" s="841" t="s">
        <v>243</v>
      </c>
      <c r="E7844" s="2093" t="s">
        <v>3140</v>
      </c>
      <c r="F7844" s="2093"/>
      <c r="G7844" s="1408" t="s">
        <v>23</v>
      </c>
      <c r="H7844" s="391">
        <v>15</v>
      </c>
      <c r="M7844" s="1357"/>
      <c r="Q7844" s="1357"/>
      <c r="S7844" s="1420"/>
      <c r="T7844" s="1420"/>
      <c r="V7844" s="1357">
        <v>20</v>
      </c>
    </row>
    <row r="7845" spans="1:22" s="841" customFormat="1" ht="15" x14ac:dyDescent="0.25">
      <c r="A7845" s="841" t="s">
        <v>243</v>
      </c>
      <c r="E7845" s="1688" t="s">
        <v>4770</v>
      </c>
      <c r="F7845" s="1688"/>
      <c r="G7845" s="1408" t="s">
        <v>23</v>
      </c>
      <c r="H7845" s="391">
        <v>15</v>
      </c>
      <c r="M7845" s="1357"/>
      <c r="Q7845" s="1357"/>
      <c r="S7845" s="1420"/>
      <c r="T7845" s="1420"/>
      <c r="V7845" s="1357">
        <v>15</v>
      </c>
    </row>
    <row r="7846" spans="1:22" s="841" customFormat="1" ht="15" x14ac:dyDescent="0.25">
      <c r="A7846" s="841" t="s">
        <v>243</v>
      </c>
      <c r="E7846" s="1688" t="s">
        <v>3145</v>
      </c>
      <c r="F7846" s="1688"/>
      <c r="G7846" s="1408" t="s">
        <v>23</v>
      </c>
      <c r="H7846" s="391">
        <v>15</v>
      </c>
      <c r="M7846" s="1357"/>
      <c r="Q7846" s="1357"/>
      <c r="S7846" s="1420"/>
      <c r="T7846" s="1420"/>
      <c r="V7846" s="1357">
        <v>17</v>
      </c>
    </row>
    <row r="7847" spans="1:22" s="841" customFormat="1" ht="15" x14ac:dyDescent="0.25">
      <c r="A7847" s="841" t="s">
        <v>243</v>
      </c>
      <c r="E7847" s="1688" t="s">
        <v>3147</v>
      </c>
      <c r="F7847" s="1688"/>
      <c r="G7847" s="1408" t="s">
        <v>23</v>
      </c>
      <c r="H7847" s="391">
        <v>15</v>
      </c>
      <c r="M7847" s="1357"/>
      <c r="Q7847" s="1357"/>
      <c r="S7847" s="1420"/>
      <c r="T7847" s="1420"/>
      <c r="V7847" s="1357">
        <v>15</v>
      </c>
    </row>
    <row r="7848" spans="1:22" s="841" customFormat="1" ht="15" x14ac:dyDescent="0.25">
      <c r="A7848" s="841" t="s">
        <v>243</v>
      </c>
      <c r="E7848" s="1688" t="s">
        <v>3148</v>
      </c>
      <c r="F7848" s="1688"/>
      <c r="G7848" s="1408" t="s">
        <v>23</v>
      </c>
      <c r="H7848" s="391">
        <v>15</v>
      </c>
      <c r="M7848" s="1357"/>
      <c r="Q7848" s="1357"/>
      <c r="S7848" s="1420"/>
      <c r="T7848" s="1420"/>
      <c r="V7848" s="1357">
        <v>56</v>
      </c>
    </row>
    <row r="7849" spans="1:22" s="841" customFormat="1" ht="15" x14ac:dyDescent="0.25">
      <c r="A7849" s="841" t="s">
        <v>243</v>
      </c>
      <c r="E7849" s="1688" t="s">
        <v>88</v>
      </c>
      <c r="F7849" s="1688"/>
      <c r="G7849" s="1408" t="s">
        <v>23</v>
      </c>
      <c r="H7849" s="391">
        <v>30</v>
      </c>
      <c r="M7849" s="1357"/>
      <c r="Q7849" s="1357"/>
      <c r="S7849" s="1420"/>
      <c r="T7849" s="1420"/>
      <c r="V7849" s="1357">
        <v>89</v>
      </c>
    </row>
    <row r="7850" spans="1:22" s="841" customFormat="1" ht="15" x14ac:dyDescent="0.25">
      <c r="A7850" s="841" t="s">
        <v>243</v>
      </c>
      <c r="E7850" s="1688" t="s">
        <v>123</v>
      </c>
      <c r="F7850" s="1688"/>
      <c r="G7850" s="1408" t="s">
        <v>23</v>
      </c>
      <c r="H7850" s="391">
        <v>15</v>
      </c>
      <c r="M7850" s="1357"/>
      <c r="Q7850" s="1357"/>
      <c r="S7850" s="1420"/>
      <c r="T7850" s="1420"/>
      <c r="V7850" s="1357">
        <v>35</v>
      </c>
    </row>
    <row r="7851" spans="1:22" s="841" customFormat="1" ht="15" x14ac:dyDescent="0.25">
      <c r="A7851" s="841" t="s">
        <v>243</v>
      </c>
      <c r="E7851" s="1688" t="s">
        <v>3151</v>
      </c>
      <c r="F7851" s="1688"/>
      <c r="G7851" s="1408" t="s">
        <v>23</v>
      </c>
      <c r="H7851" s="391">
        <v>15</v>
      </c>
      <c r="M7851" s="1357"/>
      <c r="Q7851" s="1357"/>
      <c r="S7851" s="1420"/>
      <c r="T7851" s="1420"/>
      <c r="V7851" s="1357">
        <v>19</v>
      </c>
    </row>
    <row r="7852" spans="1:22" s="841" customFormat="1" ht="15" x14ac:dyDescent="0.25">
      <c r="A7852" s="841" t="s">
        <v>243</v>
      </c>
      <c r="E7852" s="1688" t="s">
        <v>94</v>
      </c>
      <c r="F7852" s="1688"/>
      <c r="G7852" s="1408" t="s">
        <v>23</v>
      </c>
      <c r="H7852" s="391">
        <v>30</v>
      </c>
      <c r="M7852" s="1357"/>
      <c r="Q7852" s="1357"/>
      <c r="S7852" s="1420"/>
      <c r="T7852" s="1420"/>
      <c r="V7852" s="1357">
        <v>19</v>
      </c>
    </row>
    <row r="7853" spans="1:22" s="841" customFormat="1" ht="15" x14ac:dyDescent="0.25">
      <c r="A7853" s="841" t="s">
        <v>243</v>
      </c>
      <c r="E7853" s="1688" t="s">
        <v>92</v>
      </c>
      <c r="F7853" s="1688"/>
      <c r="G7853" s="1408" t="s">
        <v>23</v>
      </c>
      <c r="H7853" s="391">
        <v>30</v>
      </c>
      <c r="M7853" s="1357"/>
      <c r="Q7853" s="1357"/>
      <c r="S7853" s="1420"/>
      <c r="T7853" s="1420"/>
      <c r="V7853" s="1357">
        <v>74</v>
      </c>
    </row>
    <row r="7854" spans="1:22" s="841" customFormat="1" ht="15" x14ac:dyDescent="0.25">
      <c r="A7854" s="841" t="s">
        <v>243</v>
      </c>
      <c r="E7854" s="1370" t="s">
        <v>3152</v>
      </c>
      <c r="F7854" s="500"/>
      <c r="G7854" s="500"/>
      <c r="H7854" s="501"/>
      <c r="K7854" s="841" t="s">
        <v>4258</v>
      </c>
      <c r="M7854" s="1357"/>
      <c r="Q7854" s="1357"/>
      <c r="S7854" s="1420"/>
      <c r="T7854" s="1420"/>
      <c r="V7854" s="1357">
        <v>22</v>
      </c>
    </row>
    <row r="7855" spans="1:22" s="841" customFormat="1" ht="15" x14ac:dyDescent="0.25">
      <c r="A7855" s="841" t="s">
        <v>243</v>
      </c>
      <c r="E7855" s="1688" t="s">
        <v>5137</v>
      </c>
      <c r="F7855" s="1688"/>
      <c r="G7855" s="1408" t="s">
        <v>86</v>
      </c>
      <c r="H7855" s="391">
        <v>1.5</v>
      </c>
      <c r="M7855" s="1357"/>
      <c r="Q7855" s="1357"/>
      <c r="S7855" s="1420"/>
      <c r="T7855" s="1420"/>
      <c r="V7855" s="1357">
        <v>24</v>
      </c>
    </row>
    <row r="7856" spans="1:22" s="841" customFormat="1" ht="15" x14ac:dyDescent="0.25">
      <c r="A7856" s="841" t="s">
        <v>243</v>
      </c>
      <c r="E7856" s="1688" t="s">
        <v>4772</v>
      </c>
      <c r="F7856" s="1688"/>
      <c r="G7856" s="1408" t="s">
        <v>86</v>
      </c>
      <c r="H7856" s="391">
        <v>19.559999999999999</v>
      </c>
      <c r="M7856" s="1357"/>
      <c r="Q7856" s="1357"/>
      <c r="S7856" s="1420"/>
      <c r="T7856" s="1420"/>
      <c r="V7856" s="1357">
        <v>24</v>
      </c>
    </row>
    <row r="7857" spans="1:22" s="841" customFormat="1" ht="15" x14ac:dyDescent="0.25">
      <c r="A7857" s="841" t="s">
        <v>243</v>
      </c>
      <c r="E7857" s="1688" t="s">
        <v>3288</v>
      </c>
      <c r="F7857" s="1688"/>
      <c r="G7857" s="1408" t="s">
        <v>23</v>
      </c>
      <c r="H7857" s="391">
        <v>30</v>
      </c>
      <c r="M7857" s="1357"/>
      <c r="Q7857" s="1357"/>
      <c r="S7857" s="1420"/>
      <c r="T7857" s="1420"/>
      <c r="V7857" s="1357">
        <v>47</v>
      </c>
    </row>
    <row r="7858" spans="1:22" s="841" customFormat="1" ht="15" x14ac:dyDescent="0.25">
      <c r="A7858" s="841" t="s">
        <v>243</v>
      </c>
      <c r="E7858" s="1688" t="s">
        <v>3157</v>
      </c>
      <c r="F7858" s="1688"/>
      <c r="G7858" s="1408" t="s">
        <v>23</v>
      </c>
      <c r="H7858" s="391">
        <v>165</v>
      </c>
      <c r="M7858" s="1357"/>
      <c r="Q7858" s="1357"/>
      <c r="S7858" s="1420"/>
      <c r="T7858" s="1420"/>
      <c r="V7858" s="1357">
        <v>69</v>
      </c>
    </row>
    <row r="7859" spans="1:22" s="841" customFormat="1" ht="15" x14ac:dyDescent="0.25">
      <c r="A7859" s="841" t="s">
        <v>243</v>
      </c>
      <c r="E7859" s="1688" t="s">
        <v>5653</v>
      </c>
      <c r="F7859" s="1688"/>
      <c r="G7859" s="1408" t="s">
        <v>23</v>
      </c>
      <c r="H7859" s="391">
        <v>65</v>
      </c>
      <c r="M7859" s="1357"/>
      <c r="Q7859" s="1357"/>
      <c r="S7859" s="1420"/>
      <c r="T7859" s="1420"/>
      <c r="V7859" s="1357">
        <v>79</v>
      </c>
    </row>
    <row r="7860" spans="1:22" s="841" customFormat="1" ht="15" x14ac:dyDescent="0.25">
      <c r="A7860" s="841" t="s">
        <v>243</v>
      </c>
      <c r="E7860" s="1688" t="s">
        <v>4259</v>
      </c>
      <c r="F7860" s="1688"/>
      <c r="G7860" s="1408" t="s">
        <v>23</v>
      </c>
      <c r="H7860" s="391">
        <v>185</v>
      </c>
      <c r="M7860" s="1357"/>
      <c r="Q7860" s="1357"/>
      <c r="S7860" s="1420"/>
      <c r="T7860" s="1420"/>
      <c r="V7860" s="1357">
        <v>86</v>
      </c>
    </row>
    <row r="7861" spans="1:22" s="841" customFormat="1" ht="15" x14ac:dyDescent="0.25">
      <c r="A7861" s="841" t="s">
        <v>243</v>
      </c>
      <c r="E7861" s="1688" t="s">
        <v>4260</v>
      </c>
      <c r="F7861" s="1688"/>
      <c r="G7861" s="1408" t="s">
        <v>23</v>
      </c>
      <c r="H7861" s="391">
        <v>185</v>
      </c>
      <c r="M7861" s="1357"/>
      <c r="Q7861" s="1357"/>
      <c r="S7861" s="1420"/>
      <c r="T7861" s="1420"/>
      <c r="V7861" s="1357">
        <v>86</v>
      </c>
    </row>
    <row r="7862" spans="1:22" s="841" customFormat="1" ht="15" x14ac:dyDescent="0.25">
      <c r="A7862" s="841" t="s">
        <v>243</v>
      </c>
      <c r="E7862" s="1688" t="s">
        <v>4261</v>
      </c>
      <c r="F7862" s="1688"/>
      <c r="G7862" s="1408" t="s">
        <v>23</v>
      </c>
      <c r="H7862" s="391">
        <v>415</v>
      </c>
      <c r="M7862" s="1357"/>
      <c r="Q7862" s="1357"/>
      <c r="S7862" s="1420"/>
      <c r="T7862" s="1420"/>
      <c r="V7862" s="1357">
        <v>85</v>
      </c>
    </row>
    <row r="7863" spans="1:22" s="841" customFormat="1" ht="15" x14ac:dyDescent="0.25">
      <c r="A7863" s="841" t="s">
        <v>243</v>
      </c>
      <c r="E7863" s="1688" t="s">
        <v>4777</v>
      </c>
      <c r="F7863" s="1688"/>
      <c r="G7863" s="1408" t="s">
        <v>23</v>
      </c>
      <c r="H7863" s="391">
        <v>65</v>
      </c>
      <c r="M7863" s="1357"/>
      <c r="Q7863" s="1357"/>
      <c r="S7863" s="1420"/>
      <c r="T7863" s="1420"/>
      <c r="V7863" s="1357">
        <v>57</v>
      </c>
    </row>
    <row r="7864" spans="1:22" s="841" customFormat="1" ht="15" x14ac:dyDescent="0.25">
      <c r="A7864" s="841" t="s">
        <v>243</v>
      </c>
      <c r="E7864" s="1688" t="s">
        <v>4778</v>
      </c>
      <c r="F7864" s="1688"/>
      <c r="G7864" s="1408" t="s">
        <v>23</v>
      </c>
      <c r="H7864" s="391">
        <v>185</v>
      </c>
      <c r="M7864" s="1357"/>
      <c r="Q7864" s="1357"/>
      <c r="S7864" s="1420"/>
      <c r="T7864" s="1420"/>
      <c r="V7864" s="1357">
        <v>56</v>
      </c>
    </row>
    <row r="7865" spans="1:22" s="841" customFormat="1" ht="15" x14ac:dyDescent="0.25">
      <c r="A7865" s="841" t="s">
        <v>243</v>
      </c>
      <c r="E7865" s="1370" t="s">
        <v>3164</v>
      </c>
      <c r="F7865" s="1403"/>
      <c r="G7865" s="502"/>
      <c r="H7865" s="395"/>
      <c r="M7865" s="1357"/>
      <c r="Q7865" s="1357"/>
      <c r="S7865" s="1420"/>
      <c r="T7865" s="1420"/>
      <c r="V7865" s="1357">
        <v>5</v>
      </c>
    </row>
    <row r="7866" spans="1:22" s="841" customFormat="1" ht="15" x14ac:dyDescent="0.25">
      <c r="A7866" s="841" t="s">
        <v>243</v>
      </c>
      <c r="E7866" s="1688" t="s">
        <v>3434</v>
      </c>
      <c r="F7866" s="1688"/>
      <c r="G7866" s="1408" t="s">
        <v>23</v>
      </c>
      <c r="H7866" s="391">
        <v>500</v>
      </c>
      <c r="M7866" s="1357"/>
      <c r="Q7866" s="1357"/>
      <c r="S7866" s="1420"/>
      <c r="T7866" s="1420"/>
      <c r="V7866" s="1357">
        <v>64</v>
      </c>
    </row>
    <row r="7867" spans="1:22" s="841" customFormat="1" ht="15" x14ac:dyDescent="0.25">
      <c r="A7867" s="841" t="s">
        <v>243</v>
      </c>
      <c r="E7867" s="1688" t="s">
        <v>3489</v>
      </c>
      <c r="F7867" s="1688"/>
      <c r="G7867" s="1408" t="s">
        <v>23</v>
      </c>
      <c r="H7867" s="391">
        <v>300</v>
      </c>
      <c r="M7867" s="1357"/>
      <c r="Q7867" s="1357"/>
      <c r="S7867" s="1420"/>
      <c r="T7867" s="1420"/>
      <c r="V7867" s="1357">
        <v>67</v>
      </c>
    </row>
    <row r="7868" spans="1:22" s="841" customFormat="1" ht="15" x14ac:dyDescent="0.25">
      <c r="A7868" s="841" t="s">
        <v>243</v>
      </c>
      <c r="E7868" s="1688" t="s">
        <v>3490</v>
      </c>
      <c r="F7868" s="1688"/>
      <c r="G7868" s="1408" t="s">
        <v>23</v>
      </c>
      <c r="H7868" s="391">
        <v>1000</v>
      </c>
      <c r="M7868" s="1357"/>
      <c r="Q7868" s="1357"/>
      <c r="S7868" s="1420"/>
      <c r="T7868" s="1420"/>
      <c r="V7868" s="1357">
        <v>66</v>
      </c>
    </row>
    <row r="7869" spans="1:22" s="841" customFormat="1" ht="15" x14ac:dyDescent="0.25">
      <c r="A7869" s="841" t="s">
        <v>243</v>
      </c>
      <c r="E7869" s="1688" t="s">
        <v>3502</v>
      </c>
      <c r="F7869" s="1688"/>
      <c r="G7869" s="1408" t="s">
        <v>23</v>
      </c>
      <c r="H7869" s="391">
        <v>22.35</v>
      </c>
      <c r="M7869" s="1357"/>
      <c r="Q7869" s="1357"/>
      <c r="S7869" s="1420"/>
      <c r="T7869" s="1420"/>
      <c r="V7869" s="1357">
        <v>104</v>
      </c>
    </row>
    <row r="7870" spans="1:22" s="841" customFormat="1" x14ac:dyDescent="0.25">
      <c r="A7870" s="841" t="s">
        <v>243</v>
      </c>
      <c r="E7870" s="1931" t="s">
        <v>77</v>
      </c>
      <c r="F7870" s="1931"/>
      <c r="G7870" s="1931"/>
      <c r="H7870" s="1931"/>
      <c r="K7870" s="841" t="s">
        <v>4262</v>
      </c>
      <c r="M7870" s="1357"/>
      <c r="Q7870" s="1357"/>
      <c r="S7870" s="1420"/>
      <c r="T7870" s="1420"/>
      <c r="V7870" s="1357">
        <v>38</v>
      </c>
    </row>
    <row r="7871" spans="1:22" s="841" customFormat="1" ht="15" x14ac:dyDescent="0.25">
      <c r="A7871" s="841" t="s">
        <v>243</v>
      </c>
      <c r="E7871" s="1689" t="s">
        <v>3063</v>
      </c>
      <c r="F7871" s="1689"/>
      <c r="G7871" s="1689"/>
      <c r="H7871" s="1689"/>
      <c r="M7871" s="1357"/>
      <c r="Q7871" s="1357"/>
      <c r="S7871" s="1420"/>
      <c r="T7871" s="1420"/>
      <c r="V7871" s="1357">
        <v>280</v>
      </c>
    </row>
    <row r="7872" spans="1:22" s="841" customFormat="1" ht="15" x14ac:dyDescent="0.25">
      <c r="A7872" s="841" t="s">
        <v>243</v>
      </c>
      <c r="E7872" s="1689" t="s">
        <v>3064</v>
      </c>
      <c r="F7872" s="1689"/>
      <c r="G7872" s="1689"/>
      <c r="H7872" s="1689"/>
      <c r="M7872" s="1357"/>
      <c r="Q7872" s="1357"/>
      <c r="S7872" s="1420"/>
      <c r="T7872" s="1420"/>
      <c r="V7872" s="1357">
        <v>411</v>
      </c>
    </row>
    <row r="7873" spans="1:22" s="841" customFormat="1" ht="15" x14ac:dyDescent="0.25">
      <c r="A7873" s="841" t="s">
        <v>243</v>
      </c>
      <c r="E7873" s="1689" t="s">
        <v>3129</v>
      </c>
      <c r="F7873" s="1689"/>
      <c r="G7873" s="1689"/>
      <c r="H7873" s="1689"/>
      <c r="M7873" s="1357"/>
      <c r="Q7873" s="1357"/>
      <c r="S7873" s="1420"/>
      <c r="T7873" s="1420"/>
      <c r="V7873" s="1357">
        <v>211</v>
      </c>
    </row>
    <row r="7874" spans="1:22" s="841" customFormat="1" ht="15" x14ac:dyDescent="0.25">
      <c r="A7874" s="841" t="s">
        <v>243</v>
      </c>
      <c r="E7874" s="1689" t="s">
        <v>3200</v>
      </c>
      <c r="F7874" s="1689"/>
      <c r="G7874" s="1689"/>
      <c r="H7874" s="1689"/>
      <c r="M7874" s="1357"/>
      <c r="Q7874" s="1357"/>
      <c r="S7874" s="1420"/>
      <c r="T7874" s="1420"/>
      <c r="V7874" s="1357">
        <v>275</v>
      </c>
    </row>
    <row r="7875" spans="1:22" s="841" customFormat="1" ht="15" x14ac:dyDescent="0.25">
      <c r="A7875" s="841" t="s">
        <v>243</v>
      </c>
      <c r="E7875" s="1689" t="s">
        <v>3291</v>
      </c>
      <c r="F7875" s="1689"/>
      <c r="G7875" s="1689"/>
      <c r="H7875" s="1689"/>
      <c r="M7875" s="1357"/>
      <c r="Q7875" s="1357"/>
      <c r="S7875" s="1420"/>
      <c r="T7875" s="1420"/>
      <c r="V7875" s="1357">
        <v>142</v>
      </c>
    </row>
    <row r="7876" spans="1:22" s="841" customFormat="1" ht="15" x14ac:dyDescent="0.25">
      <c r="A7876" s="841" t="s">
        <v>243</v>
      </c>
      <c r="E7876" s="1690" t="s">
        <v>3176</v>
      </c>
      <c r="F7876" s="1690"/>
      <c r="G7876" s="502" t="s">
        <v>23</v>
      </c>
      <c r="H7876" s="395">
        <v>100</v>
      </c>
      <c r="M7876" s="1357"/>
      <c r="Q7876" s="1357"/>
      <c r="S7876" s="1420"/>
      <c r="T7876" s="1420"/>
      <c r="V7876" s="1357">
        <v>106</v>
      </c>
    </row>
    <row r="7877" spans="1:22" s="841" customFormat="1" ht="15" x14ac:dyDescent="0.25">
      <c r="A7877" s="841" t="s">
        <v>243</v>
      </c>
      <c r="E7877" s="1690" t="s">
        <v>5140</v>
      </c>
      <c r="F7877" s="1690"/>
      <c r="G7877" s="502" t="s">
        <v>23</v>
      </c>
      <c r="H7877" s="395">
        <v>20</v>
      </c>
      <c r="M7877" s="1357"/>
      <c r="Q7877" s="1357"/>
      <c r="S7877" s="1420"/>
      <c r="T7877" s="1420"/>
      <c r="V7877" s="1357">
        <v>34</v>
      </c>
    </row>
    <row r="7878" spans="1:22" s="841" customFormat="1" ht="15" x14ac:dyDescent="0.25">
      <c r="A7878" s="841" t="s">
        <v>243</v>
      </c>
      <c r="E7878" s="1690" t="s">
        <v>5141</v>
      </c>
      <c r="F7878" s="1690"/>
      <c r="G7878" s="502" t="s">
        <v>3179</v>
      </c>
      <c r="H7878" s="395">
        <v>0.5</v>
      </c>
      <c r="M7878" s="1357"/>
      <c r="Q7878" s="1357"/>
      <c r="S7878" s="1420"/>
      <c r="T7878" s="1420"/>
      <c r="V7878" s="1357">
        <v>51</v>
      </c>
    </row>
    <row r="7879" spans="1:22" s="841" customFormat="1" ht="15" x14ac:dyDescent="0.25">
      <c r="A7879" s="841" t="s">
        <v>243</v>
      </c>
      <c r="E7879" s="1690" t="s">
        <v>3180</v>
      </c>
      <c r="F7879" s="1690"/>
      <c r="G7879" s="502" t="s">
        <v>3179</v>
      </c>
      <c r="H7879" s="395">
        <v>0.3</v>
      </c>
      <c r="M7879" s="1357"/>
      <c r="Q7879" s="1357"/>
      <c r="S7879" s="1420"/>
      <c r="T7879" s="1420"/>
      <c r="V7879" s="1357">
        <v>75</v>
      </c>
    </row>
    <row r="7880" spans="1:22" s="841" customFormat="1" ht="15" x14ac:dyDescent="0.25">
      <c r="A7880" s="841" t="s">
        <v>243</v>
      </c>
      <c r="E7880" s="1690" t="s">
        <v>3181</v>
      </c>
      <c r="F7880" s="1690"/>
      <c r="G7880" s="502" t="s">
        <v>3179</v>
      </c>
      <c r="H7880" s="395">
        <v>-0.3</v>
      </c>
      <c r="M7880" s="1357"/>
      <c r="Q7880" s="1357"/>
      <c r="S7880" s="1420"/>
      <c r="T7880" s="1420"/>
      <c r="V7880" s="1357">
        <v>72</v>
      </c>
    </row>
    <row r="7881" spans="1:22" s="841" customFormat="1" ht="15" x14ac:dyDescent="0.25">
      <c r="A7881" s="841" t="s">
        <v>243</v>
      </c>
      <c r="E7881" s="1690" t="s">
        <v>3292</v>
      </c>
      <c r="F7881" s="1690"/>
      <c r="G7881" s="502"/>
      <c r="H7881" s="503"/>
      <c r="M7881" s="1357"/>
      <c r="Q7881" s="1357"/>
      <c r="S7881" s="1420"/>
      <c r="T7881" s="1420"/>
      <c r="V7881" s="1357">
        <v>34</v>
      </c>
    </row>
    <row r="7882" spans="1:22" s="841" customFormat="1" ht="15" x14ac:dyDescent="0.25">
      <c r="A7882" s="841" t="s">
        <v>243</v>
      </c>
      <c r="E7882" s="1691" t="s">
        <v>3183</v>
      </c>
      <c r="F7882" s="1691"/>
      <c r="G7882" s="502" t="s">
        <v>23</v>
      </c>
      <c r="H7882" s="395">
        <v>0.25</v>
      </c>
      <c r="M7882" s="1357"/>
      <c r="Q7882" s="1357"/>
      <c r="S7882" s="1420"/>
      <c r="T7882" s="1420"/>
      <c r="V7882" s="1357">
        <v>57</v>
      </c>
    </row>
    <row r="7883" spans="1:22" s="841" customFormat="1" ht="15" x14ac:dyDescent="0.25">
      <c r="A7883" s="841" t="s">
        <v>243</v>
      </c>
      <c r="E7883" s="1691" t="s">
        <v>3184</v>
      </c>
      <c r="F7883" s="1691"/>
      <c r="G7883" s="502" t="s">
        <v>23</v>
      </c>
      <c r="H7883" s="395">
        <v>0.5</v>
      </c>
      <c r="M7883" s="1357"/>
      <c r="Q7883" s="1357"/>
      <c r="S7883" s="1420"/>
      <c r="T7883" s="1420"/>
      <c r="V7883" s="1357">
        <v>60</v>
      </c>
    </row>
    <row r="7884" spans="1:22" s="841" customFormat="1" ht="15" x14ac:dyDescent="0.25">
      <c r="A7884" s="841" t="s">
        <v>243</v>
      </c>
      <c r="E7884" s="1690" t="s">
        <v>3185</v>
      </c>
      <c r="F7884" s="1690"/>
      <c r="G7884" s="502"/>
      <c r="H7884" s="503"/>
      <c r="M7884" s="1357"/>
      <c r="Q7884" s="1357"/>
      <c r="S7884" s="1420"/>
      <c r="T7884" s="1420"/>
      <c r="V7884" s="1357">
        <v>91</v>
      </c>
    </row>
    <row r="7885" spans="1:22" s="841" customFormat="1" ht="15" x14ac:dyDescent="0.25">
      <c r="A7885" s="841" t="s">
        <v>243</v>
      </c>
      <c r="E7885" s="1690" t="s">
        <v>3186</v>
      </c>
      <c r="F7885" s="1690"/>
      <c r="G7885" s="502"/>
      <c r="H7885" s="503"/>
      <c r="M7885" s="1357"/>
      <c r="Q7885" s="1357"/>
      <c r="S7885" s="1420"/>
      <c r="T7885" s="1420"/>
      <c r="V7885" s="1357">
        <v>96</v>
      </c>
    </row>
    <row r="7886" spans="1:22" s="841" customFormat="1" ht="15" x14ac:dyDescent="0.25">
      <c r="A7886" s="841" t="s">
        <v>243</v>
      </c>
      <c r="E7886" s="1690" t="s">
        <v>3293</v>
      </c>
      <c r="F7886" s="1690"/>
      <c r="G7886" s="502"/>
      <c r="H7886" s="503"/>
      <c r="M7886" s="1357"/>
      <c r="Q7886" s="1357"/>
      <c r="S7886" s="1420"/>
      <c r="T7886" s="1420"/>
      <c r="V7886" s="1357">
        <v>77</v>
      </c>
    </row>
    <row r="7887" spans="1:22" s="841" customFormat="1" ht="15" x14ac:dyDescent="0.25">
      <c r="A7887" s="841" t="s">
        <v>243</v>
      </c>
      <c r="E7887" s="1691" t="s">
        <v>3188</v>
      </c>
      <c r="F7887" s="1691"/>
      <c r="G7887" s="502" t="s">
        <v>23</v>
      </c>
      <c r="H7887" s="503" t="s">
        <v>3189</v>
      </c>
      <c r="M7887" s="1357"/>
      <c r="Q7887" s="1357"/>
      <c r="S7887" s="1420"/>
      <c r="T7887" s="1420"/>
      <c r="V7887" s="1357">
        <v>18</v>
      </c>
    </row>
    <row r="7888" spans="1:22" s="841" customFormat="1" ht="15" x14ac:dyDescent="0.25">
      <c r="A7888" s="841" t="s">
        <v>243</v>
      </c>
      <c r="E7888" s="1691" t="s">
        <v>3190</v>
      </c>
      <c r="F7888" s="1691"/>
      <c r="G7888" s="502" t="s">
        <v>23</v>
      </c>
      <c r="H7888" s="395">
        <v>2</v>
      </c>
      <c r="M7888" s="1357"/>
      <c r="Q7888" s="1357"/>
      <c r="S7888" s="1420"/>
      <c r="T7888" s="1420"/>
      <c r="V7888" s="1357">
        <v>69</v>
      </c>
    </row>
    <row r="7889" spans="1:22" s="841" customFormat="1" ht="18.75" x14ac:dyDescent="0.25">
      <c r="A7889" s="841" t="s">
        <v>243</v>
      </c>
      <c r="E7889" s="1374" t="s">
        <v>147</v>
      </c>
      <c r="F7889" s="661"/>
      <c r="G7889" s="661"/>
      <c r="H7889" s="662"/>
      <c r="K7889" s="841" t="s">
        <v>4263</v>
      </c>
      <c r="M7889" s="1357"/>
      <c r="Q7889" s="1357"/>
      <c r="S7889" s="1420"/>
      <c r="T7889" s="1420"/>
      <c r="V7889" s="1357">
        <v>12</v>
      </c>
    </row>
    <row r="7890" spans="1:22" s="841" customFormat="1" ht="15" x14ac:dyDescent="0.25">
      <c r="A7890" s="841" t="s">
        <v>243</v>
      </c>
      <c r="E7890" s="1704" t="s">
        <v>3192</v>
      </c>
      <c r="F7890" s="1704"/>
      <c r="G7890" s="1704"/>
      <c r="H7890" s="1704"/>
      <c r="M7890" s="1357"/>
      <c r="Q7890" s="1357"/>
      <c r="S7890" s="1420"/>
      <c r="T7890" s="1420"/>
      <c r="V7890" s="1357">
        <v>203</v>
      </c>
    </row>
    <row r="7891" spans="1:22" s="841" customFormat="1" ht="15" x14ac:dyDescent="0.25">
      <c r="A7891" s="841" t="s">
        <v>243</v>
      </c>
      <c r="E7891" s="1690" t="s">
        <v>3295</v>
      </c>
      <c r="F7891" s="1690"/>
      <c r="G7891" s="1408"/>
      <c r="H7891" s="393">
        <v>1.0561</v>
      </c>
      <c r="M7891" s="1357"/>
      <c r="Q7891" s="1357"/>
      <c r="S7891" s="1420"/>
      <c r="T7891" s="1420"/>
      <c r="V7891" s="1357">
        <v>57</v>
      </c>
    </row>
    <row r="7892" spans="1:22" s="841" customFormat="1" ht="15" x14ac:dyDescent="0.25">
      <c r="A7892" s="841" t="s">
        <v>243</v>
      </c>
      <c r="E7892" s="1690" t="s">
        <v>3297</v>
      </c>
      <c r="F7892" s="1690"/>
      <c r="G7892" s="1408"/>
      <c r="H7892" s="393">
        <v>1.0455000000000001</v>
      </c>
      <c r="J7892" s="841" t="s">
        <v>4264</v>
      </c>
      <c r="M7892" s="1357"/>
      <c r="Q7892" s="1357"/>
      <c r="S7892" s="1420"/>
      <c r="T7892" s="1420"/>
      <c r="V7892" s="1357">
        <v>55</v>
      </c>
    </row>
    <row r="7893" spans="1:22" s="841" customFormat="1" ht="23.25" x14ac:dyDescent="0.25">
      <c r="A7893" s="841" t="s">
        <v>207</v>
      </c>
      <c r="C7893" s="841" t="s">
        <v>3050</v>
      </c>
      <c r="E7893" s="2100" t="s">
        <v>207</v>
      </c>
      <c r="F7893" s="2100"/>
      <c r="G7893" s="2100"/>
      <c r="H7893" s="2100"/>
      <c r="I7893" s="841" t="s">
        <v>628</v>
      </c>
      <c r="J7893" s="841" t="s">
        <v>3672</v>
      </c>
      <c r="K7893" s="841" t="s">
        <v>207</v>
      </c>
      <c r="M7893" s="1357">
        <v>9</v>
      </c>
      <c r="Q7893" s="1357"/>
      <c r="S7893" s="1420"/>
      <c r="T7893" s="1420"/>
      <c r="V7893" s="1357">
        <v>24</v>
      </c>
    </row>
    <row r="7894" spans="1:22" s="841" customFormat="1" x14ac:dyDescent="0.25">
      <c r="A7894" s="841" t="s">
        <v>207</v>
      </c>
      <c r="C7894" s="841" t="s">
        <v>3052</v>
      </c>
      <c r="E7894" s="2101" t="s">
        <v>3053</v>
      </c>
      <c r="F7894" s="2101"/>
      <c r="G7894" s="2101"/>
      <c r="H7894" s="2101"/>
      <c r="M7894" s="1357"/>
      <c r="Q7894" s="1357"/>
      <c r="S7894" s="1420"/>
      <c r="T7894" s="1420"/>
      <c r="V7894" s="1357">
        <v>27</v>
      </c>
    </row>
    <row r="7895" spans="1:22" s="841" customFormat="1" ht="15.75" x14ac:dyDescent="0.25">
      <c r="A7895" s="841" t="s">
        <v>207</v>
      </c>
      <c r="C7895" s="841" t="s">
        <v>3054</v>
      </c>
      <c r="E7895" s="2094" t="s">
        <v>5101</v>
      </c>
      <c r="F7895" s="2094"/>
      <c r="G7895" s="2094"/>
      <c r="H7895" s="2094"/>
      <c r="M7895" s="1357"/>
      <c r="Q7895" s="1357"/>
      <c r="S7895" s="1420">
        <v>43101</v>
      </c>
      <c r="T7895" s="1420"/>
      <c r="V7895" s="1357">
        <v>49</v>
      </c>
    </row>
    <row r="7896" spans="1:22" s="841" customFormat="1" ht="15" x14ac:dyDescent="0.25">
      <c r="A7896" s="841" t="s">
        <v>207</v>
      </c>
      <c r="C7896" s="841" t="s">
        <v>3055</v>
      </c>
      <c r="E7896" s="2095" t="s">
        <v>3056</v>
      </c>
      <c r="F7896" s="2095"/>
      <c r="G7896" s="2095"/>
      <c r="H7896" s="2095"/>
      <c r="M7896" s="1357"/>
      <c r="Q7896" s="1357"/>
      <c r="S7896" s="1420"/>
      <c r="T7896" s="1420"/>
      <c r="V7896" s="1357">
        <v>52</v>
      </c>
    </row>
    <row r="7897" spans="1:22" s="841" customFormat="1" ht="15" x14ac:dyDescent="0.25">
      <c r="A7897" s="841" t="s">
        <v>207</v>
      </c>
      <c r="E7897" s="2095" t="s">
        <v>3057</v>
      </c>
      <c r="F7897" s="2095"/>
      <c r="G7897" s="2095"/>
      <c r="H7897" s="2095"/>
      <c r="M7897" s="1357"/>
      <c r="Q7897" s="1357"/>
      <c r="S7897" s="1420"/>
      <c r="T7897" s="1420"/>
      <c r="V7897" s="1357">
        <v>53</v>
      </c>
    </row>
    <row r="7898" spans="1:22" s="841" customFormat="1" ht="15" x14ac:dyDescent="0.25">
      <c r="A7898" s="841" t="s">
        <v>207</v>
      </c>
      <c r="E7898" s="2096" t="s">
        <v>5654</v>
      </c>
      <c r="F7898" s="2096"/>
      <c r="G7898" s="2096"/>
      <c r="H7898" s="2096"/>
      <c r="K7898" s="841" t="s">
        <v>5654</v>
      </c>
      <c r="M7898" s="1357"/>
      <c r="Q7898" s="1357"/>
      <c r="S7898" s="1420"/>
      <c r="T7898" s="1420"/>
      <c r="V7898" s="1357">
        <v>12</v>
      </c>
    </row>
    <row r="7899" spans="1:22" s="841" customFormat="1" x14ac:dyDescent="0.25">
      <c r="A7899" s="841" t="s">
        <v>207</v>
      </c>
      <c r="E7899" s="2097" t="s">
        <v>438</v>
      </c>
      <c r="F7899" s="2097"/>
      <c r="G7899" s="2097"/>
      <c r="H7899" s="2097"/>
      <c r="K7899" s="841" t="s">
        <v>3197</v>
      </c>
      <c r="M7899" s="1357"/>
      <c r="Q7899" s="1357"/>
      <c r="S7899" s="1420"/>
      <c r="T7899" s="1420"/>
      <c r="V7899" s="1357">
        <v>34</v>
      </c>
    </row>
    <row r="7900" spans="1:22" s="841" customFormat="1" ht="15" x14ac:dyDescent="0.25">
      <c r="A7900" s="841" t="s">
        <v>207</v>
      </c>
      <c r="E7900" s="1949" t="s">
        <v>3679</v>
      </c>
      <c r="F7900" s="1949"/>
      <c r="G7900" s="1949"/>
      <c r="H7900" s="1949"/>
      <c r="K7900" s="841" t="s">
        <v>3197</v>
      </c>
      <c r="M7900" s="1357"/>
      <c r="Q7900" s="1357"/>
      <c r="S7900" s="1420"/>
      <c r="T7900" s="1420"/>
      <c r="V7900" s="1357">
        <v>291</v>
      </c>
    </row>
    <row r="7901" spans="1:22" s="841" customFormat="1" ht="15" x14ac:dyDescent="0.25">
      <c r="A7901" s="841" t="s">
        <v>207</v>
      </c>
      <c r="E7901" s="1250" t="s">
        <v>3061</v>
      </c>
      <c r="F7901" s="1251"/>
      <c r="G7901" s="1251"/>
      <c r="H7901" s="1251"/>
      <c r="K7901" s="841" t="s">
        <v>3062</v>
      </c>
      <c r="M7901" s="1357"/>
      <c r="Q7901" s="1357"/>
      <c r="S7901" s="1420"/>
      <c r="T7901" s="1420"/>
      <c r="V7901" s="1357">
        <v>11</v>
      </c>
    </row>
    <row r="7902" spans="1:22" s="841" customFormat="1" ht="15" x14ac:dyDescent="0.25">
      <c r="A7902" s="841" t="s">
        <v>207</v>
      </c>
      <c r="E7902" s="1949" t="s">
        <v>3063</v>
      </c>
      <c r="F7902" s="1949"/>
      <c r="G7902" s="1949"/>
      <c r="H7902" s="1949"/>
      <c r="K7902" s="841" t="s">
        <v>3197</v>
      </c>
      <c r="M7902" s="1357"/>
      <c r="Q7902" s="1357"/>
      <c r="S7902" s="1420"/>
      <c r="T7902" s="1420"/>
      <c r="V7902" s="1357">
        <v>280</v>
      </c>
    </row>
    <row r="7903" spans="1:22" s="841" customFormat="1" ht="15" x14ac:dyDescent="0.25">
      <c r="A7903" s="841" t="s">
        <v>207</v>
      </c>
      <c r="E7903" s="2098" t="s">
        <v>3064</v>
      </c>
      <c r="F7903" s="2098"/>
      <c r="G7903" s="2098"/>
      <c r="H7903" s="2098"/>
      <c r="K7903" s="841" t="s">
        <v>3197</v>
      </c>
      <c r="M7903" s="1357"/>
      <c r="Q7903" s="1357"/>
      <c r="S7903" s="1420"/>
      <c r="T7903" s="1420"/>
      <c r="V7903" s="1357">
        <v>411</v>
      </c>
    </row>
    <row r="7904" spans="1:22" s="841" customFormat="1" ht="15" x14ac:dyDescent="0.25">
      <c r="A7904" s="841" t="s">
        <v>207</v>
      </c>
      <c r="E7904" s="1949" t="s">
        <v>3065</v>
      </c>
      <c r="F7904" s="1949"/>
      <c r="G7904" s="1949"/>
      <c r="H7904" s="1949"/>
      <c r="K7904" s="841" t="s">
        <v>3197</v>
      </c>
      <c r="M7904" s="1357"/>
      <c r="Q7904" s="1357"/>
      <c r="S7904" s="1420"/>
      <c r="T7904" s="1420"/>
      <c r="V7904" s="1357">
        <v>387</v>
      </c>
    </row>
    <row r="7905" spans="1:22" s="841" customFormat="1" ht="15" x14ac:dyDescent="0.25">
      <c r="A7905" s="841" t="s">
        <v>207</v>
      </c>
      <c r="E7905" s="1949" t="s">
        <v>3810</v>
      </c>
      <c r="F7905" s="1949"/>
      <c r="G7905" s="1949"/>
      <c r="H7905" s="1949"/>
      <c r="K7905" s="841" t="s">
        <v>3197</v>
      </c>
      <c r="M7905" s="1357"/>
      <c r="Q7905" s="1357"/>
      <c r="S7905" s="1420"/>
      <c r="T7905" s="1420"/>
      <c r="V7905" s="1357">
        <v>246</v>
      </c>
    </row>
    <row r="7906" spans="1:22" s="841" customFormat="1" ht="15" x14ac:dyDescent="0.25">
      <c r="A7906" s="841" t="s">
        <v>207</v>
      </c>
      <c r="E7906" s="1250" t="s">
        <v>3067</v>
      </c>
      <c r="F7906" s="1251"/>
      <c r="G7906" s="1251"/>
      <c r="H7906" s="1251"/>
      <c r="K7906" s="841" t="s">
        <v>3068</v>
      </c>
      <c r="M7906" s="1357"/>
      <c r="Q7906" s="1357"/>
      <c r="S7906" s="1420"/>
      <c r="T7906" s="1420"/>
      <c r="V7906" s="1357">
        <v>46</v>
      </c>
    </row>
    <row r="7907" spans="1:22" s="841" customFormat="1" ht="15" x14ac:dyDescent="0.25">
      <c r="A7907" s="841" t="s">
        <v>207</v>
      </c>
      <c r="E7907" s="1956" t="s">
        <v>11</v>
      </c>
      <c r="F7907" s="1956"/>
      <c r="G7907" s="1379" t="s">
        <v>23</v>
      </c>
      <c r="H7907" s="1252">
        <v>17.53</v>
      </c>
      <c r="K7907" s="841" t="s">
        <v>3197</v>
      </c>
      <c r="L7907" s="841" t="s">
        <v>442</v>
      </c>
      <c r="M7907" s="1357"/>
      <c r="P7907" s="841" t="s">
        <v>3201</v>
      </c>
      <c r="Q7907" s="1357"/>
      <c r="S7907" s="1420"/>
      <c r="T7907" s="1420"/>
      <c r="V7907" s="1357">
        <v>14</v>
      </c>
    </row>
    <row r="7908" spans="1:22" s="841" customFormat="1" ht="15" x14ac:dyDescent="0.25">
      <c r="A7908" s="841" t="s">
        <v>207</v>
      </c>
      <c r="E7908" s="1956" t="s">
        <v>423</v>
      </c>
      <c r="F7908" s="1956"/>
      <c r="G7908" s="1379" t="s">
        <v>23</v>
      </c>
      <c r="H7908" s="1252">
        <v>0.79</v>
      </c>
      <c r="K7908" s="841" t="s">
        <v>3197</v>
      </c>
      <c r="L7908" s="841" t="s">
        <v>443</v>
      </c>
      <c r="M7908" s="1357"/>
      <c r="P7908" s="841" t="s">
        <v>3202</v>
      </c>
      <c r="Q7908" s="1357"/>
      <c r="S7908" s="1420"/>
      <c r="T7908" s="1420">
        <v>43404</v>
      </c>
      <c r="V7908" s="1357">
        <v>78</v>
      </c>
    </row>
    <row r="7909" spans="1:22" s="841" customFormat="1" ht="15" x14ac:dyDescent="0.25">
      <c r="A7909" s="841" t="s">
        <v>207</v>
      </c>
      <c r="E7909" s="1956" t="s">
        <v>3677</v>
      </c>
      <c r="F7909" s="1956"/>
      <c r="G7909" s="1379" t="s">
        <v>23</v>
      </c>
      <c r="H7909" s="1216">
        <v>0.06</v>
      </c>
      <c r="K7909" s="841" t="s">
        <v>3197</v>
      </c>
      <c r="L7909" s="841" t="s">
        <v>442</v>
      </c>
      <c r="M7909" s="1357"/>
      <c r="P7909" s="841" t="s">
        <v>3207</v>
      </c>
      <c r="Q7909" s="1357"/>
      <c r="S7909" s="1420"/>
      <c r="T7909" s="1420">
        <v>43830</v>
      </c>
      <c r="V7909" s="1357">
        <v>107</v>
      </c>
    </row>
    <row r="7910" spans="1:22" s="841" customFormat="1" ht="15" x14ac:dyDescent="0.25">
      <c r="A7910" s="841" t="s">
        <v>207</v>
      </c>
      <c r="E7910" s="1956" t="s">
        <v>84</v>
      </c>
      <c r="F7910" s="1956"/>
      <c r="G7910" s="1379" t="s">
        <v>24</v>
      </c>
      <c r="H7910" s="1215">
        <v>7.6E-3</v>
      </c>
      <c r="K7910" s="841" t="s">
        <v>3197</v>
      </c>
      <c r="L7910" s="841" t="s">
        <v>442</v>
      </c>
      <c r="M7910" s="1357"/>
      <c r="P7910" s="841" t="s">
        <v>3203</v>
      </c>
      <c r="Q7910" s="1357"/>
      <c r="S7910" s="1420"/>
      <c r="T7910" s="1420"/>
      <c r="V7910" s="1357">
        <v>28</v>
      </c>
    </row>
    <row r="7911" spans="1:22" s="841" customFormat="1" ht="15" x14ac:dyDescent="0.25">
      <c r="A7911" s="841" t="s">
        <v>207</v>
      </c>
      <c r="E7911" s="1956" t="s">
        <v>3678</v>
      </c>
      <c r="F7911" s="1956"/>
      <c r="G7911" s="1379" t="s">
        <v>24</v>
      </c>
      <c r="H7911" s="1253">
        <v>5.9999999999999995E-4</v>
      </c>
      <c r="K7911" s="841" t="s">
        <v>3197</v>
      </c>
      <c r="L7911" s="841" t="s">
        <v>443</v>
      </c>
      <c r="M7911" s="1357"/>
      <c r="P7911" s="841" t="s">
        <v>3207</v>
      </c>
      <c r="Q7911" s="1357"/>
      <c r="S7911" s="1420"/>
      <c r="T7911" s="1420">
        <v>43830</v>
      </c>
      <c r="V7911" s="1357">
        <v>99</v>
      </c>
    </row>
    <row r="7912" spans="1:22" s="841" customFormat="1" ht="15" x14ac:dyDescent="0.25">
      <c r="A7912" s="841" t="s">
        <v>207</v>
      </c>
      <c r="E7912" s="1956" t="s">
        <v>5655</v>
      </c>
      <c r="F7912" s="1956"/>
      <c r="G7912" s="1254" t="s">
        <v>24</v>
      </c>
      <c r="H7912" s="1255">
        <v>1.2999999999999999E-3</v>
      </c>
      <c r="K7912" s="841" t="s">
        <v>3197</v>
      </c>
      <c r="L7912" s="841" t="s">
        <v>443</v>
      </c>
      <c r="M7912" s="1357"/>
      <c r="P7912" s="841" t="s">
        <v>3205</v>
      </c>
      <c r="Q7912" s="1357"/>
      <c r="S7912" s="1420"/>
      <c r="T7912" s="1420">
        <v>43830</v>
      </c>
      <c r="V7912" s="1357">
        <v>142</v>
      </c>
    </row>
    <row r="7913" spans="1:22" s="841" customFormat="1" ht="15" x14ac:dyDescent="0.25">
      <c r="A7913" s="841" t="s">
        <v>207</v>
      </c>
      <c r="E7913" s="1956" t="s">
        <v>5656</v>
      </c>
      <c r="F7913" s="1956"/>
      <c r="G7913" s="1379" t="s">
        <v>24</v>
      </c>
      <c r="H7913" s="1256">
        <v>-2.0999999999999999E-3</v>
      </c>
      <c r="K7913" s="841" t="s">
        <v>3197</v>
      </c>
      <c r="L7913" s="841" t="s">
        <v>443</v>
      </c>
      <c r="M7913" s="1357"/>
      <c r="P7913" s="841" t="s">
        <v>3207</v>
      </c>
      <c r="Q7913" s="1357"/>
      <c r="S7913" s="1420"/>
      <c r="T7913" s="1420">
        <v>43465</v>
      </c>
      <c r="V7913" s="1357">
        <v>107</v>
      </c>
    </row>
    <row r="7914" spans="1:22" s="841" customFormat="1" ht="15" x14ac:dyDescent="0.25">
      <c r="A7914" s="841" t="s">
        <v>207</v>
      </c>
      <c r="E7914" s="1956" t="s">
        <v>5657</v>
      </c>
      <c r="F7914" s="1956"/>
      <c r="G7914" s="1254" t="s">
        <v>24</v>
      </c>
      <c r="H7914" s="1236">
        <v>2.9999999999999997E-4</v>
      </c>
      <c r="K7914" s="841" t="s">
        <v>3197</v>
      </c>
      <c r="L7914" s="841" t="s">
        <v>443</v>
      </c>
      <c r="M7914" s="1357"/>
      <c r="P7914" s="841" t="s">
        <v>6363</v>
      </c>
      <c r="Q7914" s="1357"/>
      <c r="S7914" s="1420"/>
      <c r="T7914" s="1420">
        <v>43465</v>
      </c>
      <c r="V7914" s="1357">
        <v>110</v>
      </c>
    </row>
    <row r="7915" spans="1:22" s="841" customFormat="1" ht="15" x14ac:dyDescent="0.25">
      <c r="A7915" s="841" t="s">
        <v>207</v>
      </c>
      <c r="E7915" s="1956" t="s">
        <v>5658</v>
      </c>
      <c r="F7915" s="1956"/>
      <c r="G7915" s="1254" t="s">
        <v>24</v>
      </c>
      <c r="H7915" s="1257">
        <v>-1.9E-3</v>
      </c>
      <c r="K7915" s="841" t="s">
        <v>3197</v>
      </c>
      <c r="L7915" s="841" t="s">
        <v>443</v>
      </c>
      <c r="M7915" s="1357"/>
      <c r="P7915" s="841" t="s">
        <v>3205</v>
      </c>
      <c r="Q7915" s="1357"/>
      <c r="S7915" s="1420"/>
      <c r="T7915" s="1420">
        <v>43465</v>
      </c>
      <c r="V7915" s="1357">
        <v>138</v>
      </c>
    </row>
    <row r="7916" spans="1:22" s="841" customFormat="1" ht="15" x14ac:dyDescent="0.25">
      <c r="A7916" s="841" t="s">
        <v>207</v>
      </c>
      <c r="E7916" s="1956" t="s">
        <v>221</v>
      </c>
      <c r="F7916" s="1956"/>
      <c r="G7916" s="1379" t="s">
        <v>24</v>
      </c>
      <c r="H7916" s="1215">
        <v>7.1999999999999998E-3</v>
      </c>
      <c r="K7916" s="841" t="s">
        <v>3197</v>
      </c>
      <c r="L7916" s="841" t="s">
        <v>444</v>
      </c>
      <c r="M7916" s="1357"/>
      <c r="P7916" s="841" t="s">
        <v>3208</v>
      </c>
      <c r="Q7916" s="1357"/>
      <c r="S7916" s="1420"/>
      <c r="T7916" s="1420"/>
      <c r="V7916" s="1357">
        <v>47</v>
      </c>
    </row>
    <row r="7917" spans="1:22" s="841" customFormat="1" ht="15" x14ac:dyDescent="0.25">
      <c r="A7917" s="841" t="s">
        <v>207</v>
      </c>
      <c r="E7917" s="1956" t="s">
        <v>217</v>
      </c>
      <c r="F7917" s="1956"/>
      <c r="G7917" s="1379" t="s">
        <v>24</v>
      </c>
      <c r="H7917" s="1215">
        <v>7.0000000000000001E-3</v>
      </c>
      <c r="K7917" s="841" t="s">
        <v>3197</v>
      </c>
      <c r="L7917" s="841" t="s">
        <v>444</v>
      </c>
      <c r="M7917" s="1357"/>
      <c r="P7917" s="841" t="s">
        <v>3209</v>
      </c>
      <c r="Q7917" s="1357"/>
      <c r="S7917" s="1420"/>
      <c r="T7917" s="1420"/>
      <c r="V7917" s="1357">
        <v>74</v>
      </c>
    </row>
    <row r="7918" spans="1:22" s="841" customFormat="1" ht="15" x14ac:dyDescent="0.25">
      <c r="A7918" s="841" t="s">
        <v>207</v>
      </c>
      <c r="E7918" s="1250" t="s">
        <v>3079</v>
      </c>
      <c r="F7918" s="1251"/>
      <c r="G7918" s="1251"/>
      <c r="H7918" s="1258"/>
      <c r="K7918" s="841" t="s">
        <v>3080</v>
      </c>
      <c r="M7918" s="1357"/>
      <c r="Q7918" s="1357"/>
      <c r="S7918" s="1420"/>
      <c r="T7918" s="1420"/>
      <c r="V7918" s="1357">
        <v>48</v>
      </c>
    </row>
    <row r="7919" spans="1:22" s="841" customFormat="1" ht="15" x14ac:dyDescent="0.25">
      <c r="A7919" s="841" t="s">
        <v>207</v>
      </c>
      <c r="E7919" s="1957" t="s">
        <v>2449</v>
      </c>
      <c r="F7919" s="1957"/>
      <c r="G7919" s="1259" t="s">
        <v>24</v>
      </c>
      <c r="H7919" s="1215">
        <v>3.2000000000000002E-3</v>
      </c>
      <c r="K7919" s="841" t="s">
        <v>3197</v>
      </c>
      <c r="L7919" s="841" t="s">
        <v>3046</v>
      </c>
      <c r="M7919" s="1357"/>
      <c r="P7919" s="841" t="s">
        <v>3210</v>
      </c>
      <c r="Q7919" s="1357"/>
      <c r="S7919" s="1420"/>
      <c r="T7919" s="1420"/>
      <c r="V7919" s="1357">
        <v>55</v>
      </c>
    </row>
    <row r="7920" spans="1:22" s="841" customFormat="1" ht="15" x14ac:dyDescent="0.25">
      <c r="A7920" s="841" t="s">
        <v>207</v>
      </c>
      <c r="E7920" s="1379" t="s">
        <v>2450</v>
      </c>
      <c r="F7920" s="1379"/>
      <c r="G7920" s="1259" t="s">
        <v>24</v>
      </c>
      <c r="H7920" s="1215">
        <v>4.0000000000000002E-4</v>
      </c>
      <c r="K7920" s="841" t="s">
        <v>3197</v>
      </c>
      <c r="L7920" s="841" t="s">
        <v>3046</v>
      </c>
      <c r="M7920" s="1357"/>
      <c r="P7920" s="841" t="s">
        <v>3210</v>
      </c>
      <c r="Q7920" s="1357"/>
      <c r="S7920" s="1420"/>
      <c r="T7920" s="1420"/>
      <c r="V7920" s="1357">
        <v>65</v>
      </c>
    </row>
    <row r="7921" spans="1:22" s="841" customFormat="1" ht="15" x14ac:dyDescent="0.25">
      <c r="A7921" s="841" t="s">
        <v>207</v>
      </c>
      <c r="E7921" s="1957" t="s">
        <v>439</v>
      </c>
      <c r="F7921" s="1957"/>
      <c r="G7921" s="1259" t="s">
        <v>24</v>
      </c>
      <c r="H7921" s="1215">
        <v>2.9999999999999997E-4</v>
      </c>
      <c r="K7921" s="841" t="s">
        <v>3197</v>
      </c>
      <c r="L7921" s="841" t="s">
        <v>3046</v>
      </c>
      <c r="M7921" s="1357"/>
      <c r="P7921" s="841" t="s">
        <v>3212</v>
      </c>
      <c r="Q7921" s="1357"/>
      <c r="S7921" s="1420"/>
      <c r="T7921" s="1420"/>
      <c r="V7921" s="1357">
        <v>57</v>
      </c>
    </row>
    <row r="7922" spans="1:22" s="841" customFormat="1" ht="15" x14ac:dyDescent="0.25">
      <c r="A7922" s="841" t="s">
        <v>207</v>
      </c>
      <c r="E7922" s="1957" t="s">
        <v>32</v>
      </c>
      <c r="F7922" s="1957"/>
      <c r="G7922" s="1259" t="s">
        <v>23</v>
      </c>
      <c r="H7922" s="1216">
        <v>0.25</v>
      </c>
      <c r="K7922" s="841" t="s">
        <v>3197</v>
      </c>
      <c r="L7922" s="841" t="s">
        <v>3046</v>
      </c>
      <c r="M7922" s="1357"/>
      <c r="P7922" s="841" t="s">
        <v>3213</v>
      </c>
      <c r="Q7922" s="1357"/>
      <c r="S7922" s="1420"/>
      <c r="T7922" s="1420"/>
      <c r="V7922" s="1357">
        <v>63</v>
      </c>
    </row>
    <row r="7923" spans="1:22" s="841" customFormat="1" x14ac:dyDescent="0.25">
      <c r="A7923" s="841" t="s">
        <v>207</v>
      </c>
      <c r="E7923" s="2097" t="s">
        <v>3214</v>
      </c>
      <c r="F7923" s="2097"/>
      <c r="G7923" s="2097"/>
      <c r="H7923" s="2102"/>
      <c r="K7923" s="841" t="s">
        <v>5110</v>
      </c>
      <c r="M7923" s="1357"/>
      <c r="Q7923" s="1357"/>
      <c r="S7923" s="1420"/>
      <c r="T7923" s="1420"/>
      <c r="V7923" s="1357">
        <v>54</v>
      </c>
    </row>
    <row r="7924" spans="1:22" s="841" customFormat="1" ht="15" x14ac:dyDescent="0.25">
      <c r="A7924" s="841" t="s">
        <v>207</v>
      </c>
      <c r="E7924" s="1949" t="s">
        <v>3679</v>
      </c>
      <c r="F7924" s="1949"/>
      <c r="G7924" s="1949"/>
      <c r="H7924" s="1950"/>
      <c r="K7924" s="841" t="s">
        <v>5110</v>
      </c>
      <c r="M7924" s="1357"/>
      <c r="Q7924" s="1357"/>
      <c r="S7924" s="1420"/>
      <c r="T7924" s="1420"/>
      <c r="V7924" s="1357">
        <v>291</v>
      </c>
    </row>
    <row r="7925" spans="1:22" s="841" customFormat="1" ht="15" x14ac:dyDescent="0.25">
      <c r="A7925" s="841" t="s">
        <v>207</v>
      </c>
      <c r="E7925" s="1250" t="s">
        <v>3061</v>
      </c>
      <c r="F7925" s="1251"/>
      <c r="G7925" s="1251"/>
      <c r="H7925" s="1258"/>
      <c r="K7925" s="841" t="s">
        <v>3086</v>
      </c>
      <c r="M7925" s="1357"/>
      <c r="Q7925" s="1357"/>
      <c r="S7925" s="1420"/>
      <c r="T7925" s="1420"/>
      <c r="V7925" s="1357">
        <v>11</v>
      </c>
    </row>
    <row r="7926" spans="1:22" s="841" customFormat="1" ht="15" x14ac:dyDescent="0.25">
      <c r="A7926" s="841" t="s">
        <v>207</v>
      </c>
      <c r="E7926" s="2085" t="s">
        <v>3063</v>
      </c>
      <c r="F7926" s="2085"/>
      <c r="G7926" s="2085"/>
      <c r="H7926" s="2092"/>
      <c r="K7926" s="841" t="s">
        <v>5110</v>
      </c>
      <c r="M7926" s="1357"/>
      <c r="Q7926" s="1357"/>
      <c r="S7926" s="1420"/>
      <c r="T7926" s="1420"/>
      <c r="V7926" s="1357">
        <v>280</v>
      </c>
    </row>
    <row r="7927" spans="1:22" s="841" customFormat="1" ht="15" x14ac:dyDescent="0.25">
      <c r="A7927" s="841" t="s">
        <v>207</v>
      </c>
      <c r="E7927" s="1949" t="s">
        <v>4723</v>
      </c>
      <c r="F7927" s="1949"/>
      <c r="G7927" s="1949"/>
      <c r="H7927" s="1950"/>
      <c r="K7927" s="841" t="s">
        <v>5110</v>
      </c>
      <c r="M7927" s="1357"/>
      <c r="Q7927" s="1357"/>
      <c r="S7927" s="1420"/>
      <c r="T7927" s="1420"/>
      <c r="V7927" s="1357">
        <v>381</v>
      </c>
    </row>
    <row r="7928" spans="1:22" s="841" customFormat="1" ht="15" x14ac:dyDescent="0.25">
      <c r="A7928" s="841" t="s">
        <v>207</v>
      </c>
      <c r="E7928" s="2098" t="s">
        <v>4039</v>
      </c>
      <c r="F7928" s="2098"/>
      <c r="G7928" s="2098"/>
      <c r="H7928" s="2099"/>
      <c r="K7928" s="841" t="s">
        <v>5110</v>
      </c>
      <c r="M7928" s="1357"/>
      <c r="Q7928" s="1357"/>
      <c r="S7928" s="1420"/>
      <c r="T7928" s="1420"/>
      <c r="V7928" s="1357">
        <v>387</v>
      </c>
    </row>
    <row r="7929" spans="1:22" s="841" customFormat="1" ht="15" x14ac:dyDescent="0.25">
      <c r="A7929" s="841" t="s">
        <v>207</v>
      </c>
      <c r="E7929" s="1949" t="s">
        <v>3810</v>
      </c>
      <c r="F7929" s="1949"/>
      <c r="G7929" s="1949"/>
      <c r="H7929" s="1950"/>
      <c r="K7929" s="841" t="s">
        <v>5110</v>
      </c>
      <c r="M7929" s="1357"/>
      <c r="Q7929" s="1357"/>
      <c r="S7929" s="1420"/>
      <c r="T7929" s="1420"/>
      <c r="V7929" s="1357">
        <v>246</v>
      </c>
    </row>
    <row r="7930" spans="1:22" s="841" customFormat="1" ht="15" x14ac:dyDescent="0.25">
      <c r="A7930" s="841" t="s">
        <v>207</v>
      </c>
      <c r="E7930" s="1250" t="s">
        <v>3067</v>
      </c>
      <c r="F7930" s="1251"/>
      <c r="G7930" s="1251"/>
      <c r="H7930" s="1258"/>
      <c r="K7930" s="841" t="s">
        <v>3087</v>
      </c>
      <c r="M7930" s="1357"/>
      <c r="Q7930" s="1357"/>
      <c r="S7930" s="1420"/>
      <c r="T7930" s="1420"/>
      <c r="V7930" s="1357">
        <v>46</v>
      </c>
    </row>
    <row r="7931" spans="1:22" s="841" customFormat="1" ht="15" x14ac:dyDescent="0.25">
      <c r="A7931" s="841" t="s">
        <v>207</v>
      </c>
      <c r="E7931" s="1956" t="s">
        <v>11</v>
      </c>
      <c r="F7931" s="1956"/>
      <c r="G7931" s="1379" t="s">
        <v>23</v>
      </c>
      <c r="H7931" s="1252">
        <v>16.61</v>
      </c>
      <c r="K7931" s="841" t="s">
        <v>5110</v>
      </c>
      <c r="L7931" s="841" t="s">
        <v>442</v>
      </c>
      <c r="M7931" s="1357"/>
      <c r="P7931" s="841" t="s">
        <v>5111</v>
      </c>
      <c r="Q7931" s="1357"/>
      <c r="S7931" s="1420"/>
      <c r="T7931" s="1420"/>
      <c r="V7931" s="1357">
        <v>14</v>
      </c>
    </row>
    <row r="7932" spans="1:22" s="841" customFormat="1" ht="15" x14ac:dyDescent="0.25">
      <c r="A7932" s="841" t="s">
        <v>207</v>
      </c>
      <c r="E7932" s="1956" t="s">
        <v>423</v>
      </c>
      <c r="F7932" s="1956"/>
      <c r="G7932" s="1379" t="s">
        <v>23</v>
      </c>
      <c r="H7932" s="1252">
        <v>0.79</v>
      </c>
      <c r="K7932" s="841" t="s">
        <v>5110</v>
      </c>
      <c r="L7932" s="841" t="s">
        <v>443</v>
      </c>
      <c r="M7932" s="1357"/>
      <c r="P7932" s="841" t="s">
        <v>5112</v>
      </c>
      <c r="Q7932" s="1357"/>
      <c r="S7932" s="1420"/>
      <c r="T7932" s="1420">
        <v>43404</v>
      </c>
      <c r="V7932" s="1357">
        <v>78</v>
      </c>
    </row>
    <row r="7933" spans="1:22" s="841" customFormat="1" ht="15" x14ac:dyDescent="0.25">
      <c r="A7933" s="841" t="s">
        <v>207</v>
      </c>
      <c r="E7933" s="1956" t="s">
        <v>84</v>
      </c>
      <c r="F7933" s="1956"/>
      <c r="G7933" s="1379" t="s">
        <v>24</v>
      </c>
      <c r="H7933" s="1215">
        <v>1.67E-2</v>
      </c>
      <c r="K7933" s="841" t="s">
        <v>5110</v>
      </c>
      <c r="L7933" s="841" t="s">
        <v>442</v>
      </c>
      <c r="M7933" s="1357"/>
      <c r="P7933" s="841" t="s">
        <v>5113</v>
      </c>
      <c r="Q7933" s="1357"/>
      <c r="S7933" s="1420"/>
      <c r="T7933" s="1420"/>
      <c r="V7933" s="1357">
        <v>28</v>
      </c>
    </row>
    <row r="7934" spans="1:22" s="841" customFormat="1" ht="15" x14ac:dyDescent="0.25">
      <c r="A7934" s="841" t="s">
        <v>207</v>
      </c>
      <c r="E7934" s="1956" t="s">
        <v>3678</v>
      </c>
      <c r="F7934" s="1956"/>
      <c r="G7934" s="1379" t="s">
        <v>24</v>
      </c>
      <c r="H7934" s="1260">
        <v>5.9999999999999995E-4</v>
      </c>
      <c r="K7934" s="841" t="s">
        <v>5110</v>
      </c>
      <c r="L7934" s="841" t="s">
        <v>443</v>
      </c>
      <c r="M7934" s="1357"/>
      <c r="P7934" s="841" t="s">
        <v>5124</v>
      </c>
      <c r="Q7934" s="1357"/>
      <c r="S7934" s="1420"/>
      <c r="T7934" s="1420">
        <v>43830</v>
      </c>
      <c r="V7934" s="1357">
        <v>99</v>
      </c>
    </row>
    <row r="7935" spans="1:22" s="841" customFormat="1" ht="15" x14ac:dyDescent="0.25">
      <c r="A7935" s="841" t="s">
        <v>207</v>
      </c>
      <c r="E7935" s="1956" t="s">
        <v>5655</v>
      </c>
      <c r="F7935" s="1956"/>
      <c r="G7935" s="1254" t="s">
        <v>24</v>
      </c>
      <c r="H7935" s="1257">
        <v>1.2999999999999999E-3</v>
      </c>
      <c r="K7935" s="841" t="s">
        <v>5110</v>
      </c>
      <c r="L7935" s="841" t="s">
        <v>443</v>
      </c>
      <c r="M7935" s="1357"/>
      <c r="P7935" s="841" t="s">
        <v>4818</v>
      </c>
      <c r="Q7935" s="1357"/>
      <c r="S7935" s="1420"/>
      <c r="T7935" s="1420">
        <v>43830</v>
      </c>
      <c r="V7935" s="1357">
        <v>142</v>
      </c>
    </row>
    <row r="7936" spans="1:22" s="841" customFormat="1" ht="15" x14ac:dyDescent="0.25">
      <c r="A7936" s="841" t="s">
        <v>207</v>
      </c>
      <c r="E7936" s="1956" t="s">
        <v>3677</v>
      </c>
      <c r="F7936" s="1956"/>
      <c r="G7936" s="1379" t="s">
        <v>24</v>
      </c>
      <c r="H7936" s="1215">
        <v>1E-4</v>
      </c>
      <c r="K7936" s="841" t="s">
        <v>5110</v>
      </c>
      <c r="L7936" s="841" t="s">
        <v>442</v>
      </c>
      <c r="M7936" s="1357"/>
      <c r="P7936" s="841" t="s">
        <v>5124</v>
      </c>
      <c r="Q7936" s="1357"/>
      <c r="S7936" s="1420"/>
      <c r="T7936" s="1420">
        <v>43830</v>
      </c>
      <c r="V7936" s="1357">
        <v>107</v>
      </c>
    </row>
    <row r="7937" spans="1:22" s="841" customFormat="1" ht="15" x14ac:dyDescent="0.25">
      <c r="A7937" s="841" t="s">
        <v>207</v>
      </c>
      <c r="E7937" s="1956" t="s">
        <v>5144</v>
      </c>
      <c r="F7937" s="1956"/>
      <c r="G7937" s="1379" t="s">
        <v>24</v>
      </c>
      <c r="H7937" s="1256">
        <v>-2.0999999999999999E-3</v>
      </c>
      <c r="K7937" s="841" t="s">
        <v>5110</v>
      </c>
      <c r="L7937" s="841" t="s">
        <v>443</v>
      </c>
      <c r="M7937" s="1357"/>
      <c r="P7937" s="841" t="s">
        <v>5124</v>
      </c>
      <c r="Q7937" s="1357"/>
      <c r="S7937" s="1420"/>
      <c r="T7937" s="1420">
        <v>43465</v>
      </c>
      <c r="V7937" s="1357">
        <v>99</v>
      </c>
    </row>
    <row r="7938" spans="1:22" s="841" customFormat="1" ht="15" x14ac:dyDescent="0.25">
      <c r="A7938" s="841" t="s">
        <v>207</v>
      </c>
      <c r="E7938" s="1956" t="s">
        <v>5659</v>
      </c>
      <c r="F7938" s="1956"/>
      <c r="G7938" s="1254" t="s">
        <v>24</v>
      </c>
      <c r="H7938" s="1257">
        <v>-1.9E-3</v>
      </c>
      <c r="K7938" s="841" t="s">
        <v>5110</v>
      </c>
      <c r="L7938" s="841" t="s">
        <v>443</v>
      </c>
      <c r="M7938" s="1357"/>
      <c r="P7938" s="841" t="s">
        <v>4818</v>
      </c>
      <c r="Q7938" s="1357"/>
      <c r="S7938" s="1420"/>
      <c r="T7938" s="1420">
        <v>43465</v>
      </c>
      <c r="V7938" s="1357">
        <v>142</v>
      </c>
    </row>
    <row r="7939" spans="1:22" s="841" customFormat="1" ht="15" x14ac:dyDescent="0.25">
      <c r="A7939" s="841" t="s">
        <v>207</v>
      </c>
      <c r="E7939" s="1956" t="s">
        <v>5657</v>
      </c>
      <c r="F7939" s="1956"/>
      <c r="G7939" s="1254" t="s">
        <v>24</v>
      </c>
      <c r="H7939" s="1236">
        <v>2.9999999999999997E-4</v>
      </c>
      <c r="K7939" s="841" t="s">
        <v>5110</v>
      </c>
      <c r="L7939" s="841" t="s">
        <v>443</v>
      </c>
      <c r="M7939" s="1357"/>
      <c r="P7939" s="841" t="s">
        <v>6364</v>
      </c>
      <c r="Q7939" s="1357"/>
      <c r="S7939" s="1420"/>
      <c r="T7939" s="1420">
        <v>43465</v>
      </c>
      <c r="V7939" s="1357">
        <v>110</v>
      </c>
    </row>
    <row r="7940" spans="1:22" s="841" customFormat="1" ht="15" x14ac:dyDescent="0.25">
      <c r="A7940" s="841" t="s">
        <v>207</v>
      </c>
      <c r="E7940" s="1956" t="s">
        <v>221</v>
      </c>
      <c r="F7940" s="1956"/>
      <c r="G7940" s="1379" t="s">
        <v>24</v>
      </c>
      <c r="H7940" s="1215">
        <v>6.7000000000000002E-3</v>
      </c>
      <c r="K7940" s="841" t="s">
        <v>5110</v>
      </c>
      <c r="L7940" s="841" t="s">
        <v>444</v>
      </c>
      <c r="M7940" s="1357"/>
      <c r="P7940" s="841" t="s">
        <v>5115</v>
      </c>
      <c r="Q7940" s="1357"/>
      <c r="S7940" s="1420"/>
      <c r="T7940" s="1420"/>
      <c r="V7940" s="1357">
        <v>47</v>
      </c>
    </row>
    <row r="7941" spans="1:22" s="841" customFormat="1" ht="15" x14ac:dyDescent="0.25">
      <c r="A7941" s="841" t="s">
        <v>207</v>
      </c>
      <c r="E7941" s="1956" t="s">
        <v>217</v>
      </c>
      <c r="F7941" s="1956"/>
      <c r="G7941" s="1379" t="s">
        <v>24</v>
      </c>
      <c r="H7941" s="1215">
        <v>6.4999999999999997E-3</v>
      </c>
      <c r="K7941" s="841" t="s">
        <v>5110</v>
      </c>
      <c r="L7941" s="841" t="s">
        <v>444</v>
      </c>
      <c r="M7941" s="1357"/>
      <c r="P7941" s="841" t="s">
        <v>5116</v>
      </c>
      <c r="Q7941" s="1357"/>
      <c r="S7941" s="1420"/>
      <c r="T7941" s="1420"/>
      <c r="V7941" s="1357">
        <v>74</v>
      </c>
    </row>
    <row r="7942" spans="1:22" s="841" customFormat="1" ht="15" x14ac:dyDescent="0.25">
      <c r="A7942" s="841" t="s">
        <v>207</v>
      </c>
      <c r="E7942" s="1261" t="s">
        <v>3079</v>
      </c>
      <c r="F7942" s="1251"/>
      <c r="G7942" s="1251"/>
      <c r="H7942" s="1258"/>
      <c r="K7942" s="841" t="s">
        <v>3093</v>
      </c>
      <c r="M7942" s="1357"/>
      <c r="Q7942" s="1357"/>
      <c r="S7942" s="1420"/>
      <c r="T7942" s="1420"/>
      <c r="V7942" s="1357">
        <v>48</v>
      </c>
    </row>
    <row r="7943" spans="1:22" s="841" customFormat="1" ht="15" x14ac:dyDescent="0.25">
      <c r="A7943" s="841" t="s">
        <v>207</v>
      </c>
      <c r="E7943" s="1957" t="s">
        <v>2449</v>
      </c>
      <c r="F7943" s="1957"/>
      <c r="G7943" s="1259" t="s">
        <v>24</v>
      </c>
      <c r="H7943" s="1215">
        <v>3.2000000000000002E-3</v>
      </c>
      <c r="K7943" s="841" t="s">
        <v>5110</v>
      </c>
      <c r="L7943" s="841" t="s">
        <v>3046</v>
      </c>
      <c r="M7943" s="1357"/>
      <c r="P7943" s="841" t="s">
        <v>5117</v>
      </c>
      <c r="Q7943" s="1357"/>
      <c r="S7943" s="1420"/>
      <c r="T7943" s="1420"/>
      <c r="V7943" s="1357">
        <v>55</v>
      </c>
    </row>
    <row r="7944" spans="1:22" s="841" customFormat="1" ht="15" x14ac:dyDescent="0.25">
      <c r="A7944" s="841" t="s">
        <v>207</v>
      </c>
      <c r="E7944" s="1379" t="s">
        <v>2450</v>
      </c>
      <c r="F7944" s="1379"/>
      <c r="G7944" s="1259" t="s">
        <v>24</v>
      </c>
      <c r="H7944" s="1215">
        <v>4.0000000000000002E-4</v>
      </c>
      <c r="K7944" s="841" t="s">
        <v>5110</v>
      </c>
      <c r="L7944" s="841" t="s">
        <v>3046</v>
      </c>
      <c r="M7944" s="1357"/>
      <c r="P7944" s="841" t="s">
        <v>5117</v>
      </c>
      <c r="Q7944" s="1357"/>
      <c r="S7944" s="1420"/>
      <c r="T7944" s="1420"/>
      <c r="V7944" s="1357">
        <v>65</v>
      </c>
    </row>
    <row r="7945" spans="1:22" s="841" customFormat="1" ht="15" x14ac:dyDescent="0.25">
      <c r="A7945" s="841" t="s">
        <v>207</v>
      </c>
      <c r="E7945" s="1957" t="s">
        <v>439</v>
      </c>
      <c r="F7945" s="1957"/>
      <c r="G7945" s="1259" t="s">
        <v>24</v>
      </c>
      <c r="H7945" s="1215">
        <v>2.9999999999999997E-4</v>
      </c>
      <c r="K7945" s="841" t="s">
        <v>5110</v>
      </c>
      <c r="L7945" s="841" t="s">
        <v>3046</v>
      </c>
      <c r="M7945" s="1357"/>
      <c r="P7945" s="841" t="s">
        <v>5118</v>
      </c>
      <c r="Q7945" s="1357"/>
      <c r="S7945" s="1420"/>
      <c r="T7945" s="1420"/>
      <c r="V7945" s="1357">
        <v>57</v>
      </c>
    </row>
    <row r="7946" spans="1:22" s="841" customFormat="1" ht="15" x14ac:dyDescent="0.25">
      <c r="A7946" s="841" t="s">
        <v>207</v>
      </c>
      <c r="E7946" s="1957" t="s">
        <v>32</v>
      </c>
      <c r="F7946" s="1957"/>
      <c r="G7946" s="1259" t="s">
        <v>23</v>
      </c>
      <c r="H7946" s="1216">
        <v>0.25</v>
      </c>
      <c r="K7946" s="841" t="s">
        <v>5110</v>
      </c>
      <c r="L7946" s="841" t="s">
        <v>3046</v>
      </c>
      <c r="M7946" s="1357"/>
      <c r="P7946" s="841" t="s">
        <v>5119</v>
      </c>
      <c r="Q7946" s="1357"/>
      <c r="S7946" s="1420"/>
      <c r="T7946" s="1420"/>
      <c r="V7946" s="1357">
        <v>63</v>
      </c>
    </row>
    <row r="7947" spans="1:22" s="841" customFormat="1" x14ac:dyDescent="0.25">
      <c r="A7947" s="841" t="s">
        <v>207</v>
      </c>
      <c r="E7947" s="2097" t="s">
        <v>3216</v>
      </c>
      <c r="F7947" s="2097"/>
      <c r="G7947" s="2097"/>
      <c r="H7947" s="2102"/>
      <c r="K7947" s="841" t="s">
        <v>5180</v>
      </c>
      <c r="M7947" s="1357"/>
      <c r="Q7947" s="1357"/>
      <c r="S7947" s="1420"/>
      <c r="T7947" s="1420"/>
      <c r="V7947" s="1357">
        <v>51</v>
      </c>
    </row>
    <row r="7948" spans="1:22" s="841" customFormat="1" ht="15" x14ac:dyDescent="0.25">
      <c r="A7948" s="841" t="s">
        <v>207</v>
      </c>
      <c r="E7948" s="1949" t="s">
        <v>5660</v>
      </c>
      <c r="F7948" s="1949"/>
      <c r="G7948" s="1949"/>
      <c r="H7948" s="1950"/>
      <c r="K7948" s="841" t="s">
        <v>5180</v>
      </c>
      <c r="M7948" s="1357"/>
      <c r="Q7948" s="1357"/>
      <c r="S7948" s="1420"/>
      <c r="T7948" s="1420"/>
      <c r="V7948" s="1357">
        <v>520</v>
      </c>
    </row>
    <row r="7949" spans="1:22" s="841" customFormat="1" ht="15" x14ac:dyDescent="0.25">
      <c r="A7949" s="841" t="s">
        <v>207</v>
      </c>
      <c r="E7949" s="1250" t="s">
        <v>3061</v>
      </c>
      <c r="F7949" s="1251"/>
      <c r="G7949" s="1251"/>
      <c r="H7949" s="1258"/>
      <c r="K7949" s="841" t="s">
        <v>3098</v>
      </c>
      <c r="M7949" s="1357"/>
      <c r="Q7949" s="1357"/>
      <c r="S7949" s="1420"/>
      <c r="T7949" s="1420"/>
      <c r="V7949" s="1357">
        <v>11</v>
      </c>
    </row>
    <row r="7950" spans="1:22" s="841" customFormat="1" ht="15" x14ac:dyDescent="0.25">
      <c r="A7950" s="841" t="s">
        <v>207</v>
      </c>
      <c r="E7950" s="1949" t="s">
        <v>3063</v>
      </c>
      <c r="F7950" s="1949"/>
      <c r="G7950" s="1949"/>
      <c r="H7950" s="1950"/>
      <c r="K7950" s="841" t="s">
        <v>5180</v>
      </c>
      <c r="M7950" s="1357"/>
      <c r="Q7950" s="1357"/>
      <c r="S7950" s="1420"/>
      <c r="T7950" s="1420"/>
      <c r="V7950" s="1357">
        <v>280</v>
      </c>
    </row>
    <row r="7951" spans="1:22" s="841" customFormat="1" ht="15" x14ac:dyDescent="0.25">
      <c r="A7951" s="841" t="s">
        <v>207</v>
      </c>
      <c r="E7951" s="1949" t="s">
        <v>3064</v>
      </c>
      <c r="F7951" s="1949"/>
      <c r="G7951" s="1949"/>
      <c r="H7951" s="1950"/>
      <c r="K7951" s="841" t="s">
        <v>5180</v>
      </c>
      <c r="M7951" s="1357"/>
      <c r="Q7951" s="1357"/>
      <c r="S7951" s="1420"/>
      <c r="T7951" s="1420"/>
      <c r="V7951" s="1357">
        <v>411</v>
      </c>
    </row>
    <row r="7952" spans="1:22" s="841" customFormat="1" ht="15" x14ac:dyDescent="0.25">
      <c r="A7952" s="841" t="s">
        <v>207</v>
      </c>
      <c r="E7952" s="1949" t="s">
        <v>3065</v>
      </c>
      <c r="F7952" s="1949"/>
      <c r="G7952" s="1949"/>
      <c r="H7952" s="1950"/>
      <c r="K7952" s="841" t="s">
        <v>5180</v>
      </c>
      <c r="M7952" s="1357"/>
      <c r="Q7952" s="1357"/>
      <c r="S7952" s="1420"/>
      <c r="T7952" s="1420"/>
      <c r="V7952" s="1357">
        <v>387</v>
      </c>
    </row>
    <row r="7953" spans="1:22" s="841" customFormat="1" ht="15" x14ac:dyDescent="0.25">
      <c r="A7953" s="841" t="s">
        <v>207</v>
      </c>
      <c r="E7953" s="1949" t="s">
        <v>3810</v>
      </c>
      <c r="F7953" s="1949"/>
      <c r="G7953" s="1949"/>
      <c r="H7953" s="1950"/>
      <c r="K7953" s="841" t="s">
        <v>5180</v>
      </c>
      <c r="M7953" s="1357"/>
      <c r="Q7953" s="1357"/>
      <c r="S7953" s="1420"/>
      <c r="T7953" s="1420"/>
      <c r="V7953" s="1357">
        <v>246</v>
      </c>
    </row>
    <row r="7954" spans="1:22" s="841" customFormat="1" ht="15" x14ac:dyDescent="0.25">
      <c r="A7954" s="841" t="s">
        <v>207</v>
      </c>
      <c r="E7954" s="1250" t="s">
        <v>3067</v>
      </c>
      <c r="F7954" s="1251"/>
      <c r="G7954" s="1251"/>
      <c r="H7954" s="1258"/>
      <c r="K7954" s="841" t="s">
        <v>3099</v>
      </c>
      <c r="M7954" s="1357"/>
      <c r="Q7954" s="1357"/>
      <c r="S7954" s="1420"/>
      <c r="T7954" s="1420"/>
      <c r="V7954" s="1357">
        <v>46</v>
      </c>
    </row>
    <row r="7955" spans="1:22" s="841" customFormat="1" ht="15" x14ac:dyDescent="0.25">
      <c r="A7955" s="841" t="s">
        <v>207</v>
      </c>
      <c r="E7955" s="1956" t="s">
        <v>11</v>
      </c>
      <c r="F7955" s="1956"/>
      <c r="G7955" s="1379" t="s">
        <v>23</v>
      </c>
      <c r="H7955" s="1252">
        <v>55.16</v>
      </c>
      <c r="K7955" s="841" t="s">
        <v>5180</v>
      </c>
      <c r="L7955" s="841" t="s">
        <v>442</v>
      </c>
      <c r="M7955" s="1357"/>
      <c r="P7955" s="841" t="s">
        <v>5181</v>
      </c>
      <c r="Q7955" s="1357"/>
      <c r="S7955" s="1420"/>
      <c r="T7955" s="1420"/>
      <c r="V7955" s="1357">
        <v>14</v>
      </c>
    </row>
    <row r="7956" spans="1:22" s="841" customFormat="1" ht="15" x14ac:dyDescent="0.25">
      <c r="A7956" s="841" t="s">
        <v>207</v>
      </c>
      <c r="E7956" s="1956" t="s">
        <v>84</v>
      </c>
      <c r="F7956" s="1956"/>
      <c r="G7956" s="1379" t="s">
        <v>33</v>
      </c>
      <c r="H7956" s="1256">
        <v>4.7229999999999999</v>
      </c>
      <c r="K7956" s="841" t="s">
        <v>5180</v>
      </c>
      <c r="L7956" s="841" t="s">
        <v>442</v>
      </c>
      <c r="M7956" s="1357"/>
      <c r="P7956" s="841" t="s">
        <v>5182</v>
      </c>
      <c r="Q7956" s="1357"/>
      <c r="S7956" s="1420"/>
      <c r="T7956" s="1420"/>
      <c r="V7956" s="1357">
        <v>28</v>
      </c>
    </row>
    <row r="7957" spans="1:22" s="841" customFormat="1" ht="15" x14ac:dyDescent="0.25">
      <c r="A7957" s="841" t="s">
        <v>207</v>
      </c>
      <c r="E7957" s="1956" t="s">
        <v>3678</v>
      </c>
      <c r="F7957" s="1956"/>
      <c r="G7957" s="1379" t="s">
        <v>33</v>
      </c>
      <c r="H7957" s="1260">
        <v>0.24909999999999999</v>
      </c>
      <c r="K7957" s="841" t="s">
        <v>5180</v>
      </c>
      <c r="L7957" s="841" t="s">
        <v>443</v>
      </c>
      <c r="M7957" s="1357"/>
      <c r="P7957" s="841" t="s">
        <v>5463</v>
      </c>
      <c r="Q7957" s="1357"/>
      <c r="S7957" s="1420"/>
      <c r="T7957" s="1420">
        <v>43830</v>
      </c>
      <c r="V7957" s="1357">
        <v>99</v>
      </c>
    </row>
    <row r="7958" spans="1:22" s="841" customFormat="1" ht="15" x14ac:dyDescent="0.25">
      <c r="A7958" s="841" t="s">
        <v>207</v>
      </c>
      <c r="E7958" s="1956" t="s">
        <v>5655</v>
      </c>
      <c r="F7958" s="1956"/>
      <c r="G7958" s="1254" t="s">
        <v>33</v>
      </c>
      <c r="H7958" s="1257">
        <v>0.52700000000000002</v>
      </c>
      <c r="K7958" s="841" t="s">
        <v>5180</v>
      </c>
      <c r="L7958" s="841" t="s">
        <v>443</v>
      </c>
      <c r="M7958" s="1357"/>
      <c r="P7958" s="841" t="s">
        <v>5661</v>
      </c>
      <c r="Q7958" s="1357"/>
      <c r="S7958" s="1420"/>
      <c r="T7958" s="1420">
        <v>43830</v>
      </c>
      <c r="V7958" s="1357">
        <v>142</v>
      </c>
    </row>
    <row r="7959" spans="1:22" s="841" customFormat="1" ht="15" x14ac:dyDescent="0.25">
      <c r="A7959" s="841" t="s">
        <v>207</v>
      </c>
      <c r="E7959" s="1956" t="s">
        <v>3677</v>
      </c>
      <c r="F7959" s="1956"/>
      <c r="G7959" s="1379" t="s">
        <v>33</v>
      </c>
      <c r="H7959" s="1215">
        <v>2.8799999999999999E-2</v>
      </c>
      <c r="K7959" s="841" t="s">
        <v>5180</v>
      </c>
      <c r="L7959" s="841" t="s">
        <v>442</v>
      </c>
      <c r="M7959" s="1357"/>
      <c r="P7959" s="841" t="s">
        <v>5463</v>
      </c>
      <c r="Q7959" s="1357"/>
      <c r="S7959" s="1420"/>
      <c r="T7959" s="1420">
        <v>43830</v>
      </c>
      <c r="V7959" s="1357">
        <v>107</v>
      </c>
    </row>
    <row r="7960" spans="1:22" s="841" customFormat="1" ht="15" x14ac:dyDescent="0.25">
      <c r="A7960" s="841" t="s">
        <v>207</v>
      </c>
      <c r="E7960" s="1956" t="s">
        <v>5144</v>
      </c>
      <c r="F7960" s="1956"/>
      <c r="G7960" s="1379" t="s">
        <v>33</v>
      </c>
      <c r="H7960" s="1260">
        <v>0.4476</v>
      </c>
      <c r="K7960" s="841" t="s">
        <v>5180</v>
      </c>
      <c r="L7960" s="841" t="s">
        <v>443</v>
      </c>
      <c r="M7960" s="1357"/>
      <c r="P7960" s="841" t="s">
        <v>5463</v>
      </c>
      <c r="Q7960" s="1357"/>
      <c r="S7960" s="1420"/>
      <c r="T7960" s="1420">
        <v>43465</v>
      </c>
      <c r="V7960" s="1357">
        <v>99</v>
      </c>
    </row>
    <row r="7961" spans="1:22" s="841" customFormat="1" ht="15" x14ac:dyDescent="0.25">
      <c r="A7961" s="841" t="s">
        <v>207</v>
      </c>
      <c r="E7961" s="1956" t="s">
        <v>5662</v>
      </c>
      <c r="F7961" s="1956"/>
      <c r="G7961" s="1254" t="s">
        <v>33</v>
      </c>
      <c r="H7961" s="1257">
        <v>-1.2509999999999999</v>
      </c>
      <c r="K7961" s="841" t="s">
        <v>5180</v>
      </c>
      <c r="L7961" s="841" t="s">
        <v>443</v>
      </c>
      <c r="M7961" s="1357"/>
      <c r="P7961" s="841" t="s">
        <v>5463</v>
      </c>
      <c r="Q7961" s="1357"/>
      <c r="S7961" s="1420"/>
      <c r="T7961" s="1420">
        <v>43465</v>
      </c>
      <c r="V7961" s="1357">
        <v>156</v>
      </c>
    </row>
    <row r="7962" spans="1:22" s="841" customFormat="1" ht="15" x14ac:dyDescent="0.25">
      <c r="A7962" s="841" t="s">
        <v>207</v>
      </c>
      <c r="E7962" s="1956" t="s">
        <v>5659</v>
      </c>
      <c r="F7962" s="1956"/>
      <c r="G7962" s="1254" t="s">
        <v>24</v>
      </c>
      <c r="H7962" s="1257">
        <v>-1.9E-3</v>
      </c>
      <c r="K7962" s="841" t="s">
        <v>5180</v>
      </c>
      <c r="L7962" s="841" t="s">
        <v>443</v>
      </c>
      <c r="M7962" s="1357"/>
      <c r="P7962" s="841" t="s">
        <v>5461</v>
      </c>
      <c r="Q7962" s="1357"/>
      <c r="S7962" s="1420"/>
      <c r="T7962" s="1420">
        <v>43465</v>
      </c>
      <c r="V7962" s="1357">
        <v>142</v>
      </c>
    </row>
    <row r="7963" spans="1:22" s="841" customFormat="1" ht="15" x14ac:dyDescent="0.25">
      <c r="A7963" s="841" t="s">
        <v>207</v>
      </c>
      <c r="E7963" s="1956" t="s">
        <v>5657</v>
      </c>
      <c r="F7963" s="1956"/>
      <c r="G7963" s="1254" t="s">
        <v>33</v>
      </c>
      <c r="H7963" s="1236">
        <v>0.11219999999999999</v>
      </c>
      <c r="K7963" s="841" t="s">
        <v>5180</v>
      </c>
      <c r="L7963" s="841" t="s">
        <v>443</v>
      </c>
      <c r="M7963" s="1357"/>
      <c r="P7963" s="841" t="s">
        <v>6365</v>
      </c>
      <c r="Q7963" s="1357"/>
      <c r="S7963" s="1420"/>
      <c r="T7963" s="1420">
        <v>43465</v>
      </c>
      <c r="V7963" s="1357">
        <v>110</v>
      </c>
    </row>
    <row r="7964" spans="1:22" s="841" customFormat="1" ht="15" x14ac:dyDescent="0.25">
      <c r="A7964" s="841" t="s">
        <v>207</v>
      </c>
      <c r="E7964" s="1956" t="s">
        <v>221</v>
      </c>
      <c r="F7964" s="1956"/>
      <c r="G7964" s="1379" t="s">
        <v>33</v>
      </c>
      <c r="H7964" s="1215">
        <v>2.4338000000000002</v>
      </c>
      <c r="K7964" s="841" t="s">
        <v>5180</v>
      </c>
      <c r="L7964" s="841" t="s">
        <v>444</v>
      </c>
      <c r="M7964" s="1357"/>
      <c r="P7964" s="841" t="s">
        <v>5184</v>
      </c>
      <c r="Q7964" s="1357"/>
      <c r="S7964" s="1420"/>
      <c r="T7964" s="1420"/>
      <c r="V7964" s="1357">
        <v>47</v>
      </c>
    </row>
    <row r="7965" spans="1:22" s="841" customFormat="1" ht="15" x14ac:dyDescent="0.25">
      <c r="A7965" s="841" t="s">
        <v>207</v>
      </c>
      <c r="E7965" s="1956" t="s">
        <v>217</v>
      </c>
      <c r="F7965" s="1956"/>
      <c r="G7965" s="1379" t="s">
        <v>33</v>
      </c>
      <c r="H7965" s="1215">
        <v>2.2764000000000002</v>
      </c>
      <c r="K7965" s="841" t="s">
        <v>5180</v>
      </c>
      <c r="L7965" s="841" t="s">
        <v>444</v>
      </c>
      <c r="M7965" s="1357"/>
      <c r="P7965" s="841" t="s">
        <v>5185</v>
      </c>
      <c r="Q7965" s="1357"/>
      <c r="S7965" s="1420"/>
      <c r="T7965" s="1420"/>
      <c r="V7965" s="1357">
        <v>74</v>
      </c>
    </row>
    <row r="7966" spans="1:22" s="841" customFormat="1" ht="15" x14ac:dyDescent="0.25">
      <c r="A7966" s="841" t="s">
        <v>207</v>
      </c>
      <c r="E7966" s="1956" t="s">
        <v>223</v>
      </c>
      <c r="F7966" s="1956"/>
      <c r="G7966" s="1379" t="s">
        <v>33</v>
      </c>
      <c r="H7966" s="1215">
        <v>3.1194999999999999</v>
      </c>
      <c r="K7966" s="841" t="s">
        <v>5180</v>
      </c>
      <c r="L7966" s="841" t="s">
        <v>444</v>
      </c>
      <c r="M7966" s="1357"/>
      <c r="P7966" s="841" t="s">
        <v>5465</v>
      </c>
      <c r="Q7966" s="1357"/>
      <c r="S7966" s="1420"/>
      <c r="T7966" s="1420"/>
      <c r="V7966" s="1357">
        <v>66</v>
      </c>
    </row>
    <row r="7967" spans="1:22" s="841" customFormat="1" ht="15" x14ac:dyDescent="0.25">
      <c r="A7967" s="841" t="s">
        <v>207</v>
      </c>
      <c r="E7967" s="1956" t="s">
        <v>219</v>
      </c>
      <c r="F7967" s="1956"/>
      <c r="G7967" s="1379" t="s">
        <v>33</v>
      </c>
      <c r="H7967" s="1215">
        <v>2.8917000000000002</v>
      </c>
      <c r="K7967" s="841" t="s">
        <v>5180</v>
      </c>
      <c r="L7967" s="841" t="s">
        <v>444</v>
      </c>
      <c r="M7967" s="1357"/>
      <c r="P7967" s="841" t="s">
        <v>5466</v>
      </c>
      <c r="Q7967" s="1357"/>
      <c r="S7967" s="1420"/>
      <c r="T7967" s="1420"/>
      <c r="V7967" s="1357">
        <v>93</v>
      </c>
    </row>
    <row r="7968" spans="1:22" s="841" customFormat="1" ht="15" x14ac:dyDescent="0.25">
      <c r="A7968" s="841" t="s">
        <v>207</v>
      </c>
      <c r="E7968" s="1250" t="s">
        <v>3079</v>
      </c>
      <c r="F7968" s="1262"/>
      <c r="G7968" s="1262"/>
      <c r="H7968" s="1263"/>
      <c r="K7968" s="841" t="s">
        <v>3218</v>
      </c>
      <c r="M7968" s="1357"/>
      <c r="Q7968" s="1357"/>
      <c r="S7968" s="1420"/>
      <c r="T7968" s="1420"/>
      <c r="V7968" s="1357">
        <v>48</v>
      </c>
    </row>
    <row r="7969" spans="1:22" s="841" customFormat="1" ht="15" x14ac:dyDescent="0.25">
      <c r="A7969" s="841" t="s">
        <v>207</v>
      </c>
      <c r="E7969" s="1957" t="s">
        <v>2449</v>
      </c>
      <c r="F7969" s="1957"/>
      <c r="G7969" s="1259" t="s">
        <v>24</v>
      </c>
      <c r="H7969" s="1215">
        <v>3.2000000000000002E-3</v>
      </c>
      <c r="K7969" s="841" t="s">
        <v>5180</v>
      </c>
      <c r="L7969" s="841" t="s">
        <v>3046</v>
      </c>
      <c r="M7969" s="1357"/>
      <c r="P7969" s="841" t="s">
        <v>5186</v>
      </c>
      <c r="Q7969" s="1357"/>
      <c r="S7969" s="1420"/>
      <c r="T7969" s="1420"/>
      <c r="V7969" s="1357">
        <v>55</v>
      </c>
    </row>
    <row r="7970" spans="1:22" s="841" customFormat="1" ht="15" x14ac:dyDescent="0.25">
      <c r="A7970" s="841" t="s">
        <v>207</v>
      </c>
      <c r="E7970" s="1379" t="s">
        <v>2450</v>
      </c>
      <c r="F7970" s="1379"/>
      <c r="G7970" s="1259" t="s">
        <v>24</v>
      </c>
      <c r="H7970" s="1215">
        <v>4.0000000000000002E-4</v>
      </c>
      <c r="K7970" s="841" t="s">
        <v>5180</v>
      </c>
      <c r="L7970" s="841" t="s">
        <v>3046</v>
      </c>
      <c r="M7970" s="1357"/>
      <c r="P7970" s="841" t="s">
        <v>5186</v>
      </c>
      <c r="Q7970" s="1357"/>
      <c r="S7970" s="1420"/>
      <c r="T7970" s="1420"/>
      <c r="V7970" s="1357">
        <v>65</v>
      </c>
    </row>
    <row r="7971" spans="1:22" s="841" customFormat="1" ht="15" x14ac:dyDescent="0.25">
      <c r="A7971" s="841" t="s">
        <v>207</v>
      </c>
      <c r="E7971" s="1957" t="s">
        <v>439</v>
      </c>
      <c r="F7971" s="1957"/>
      <c r="G7971" s="1259" t="s">
        <v>24</v>
      </c>
      <c r="H7971" s="1215">
        <v>2.9999999999999997E-4</v>
      </c>
      <c r="K7971" s="841" t="s">
        <v>5180</v>
      </c>
      <c r="L7971" s="841" t="s">
        <v>3046</v>
      </c>
      <c r="M7971" s="1357"/>
      <c r="P7971" s="841" t="s">
        <v>5187</v>
      </c>
      <c r="Q7971" s="1357"/>
      <c r="S7971" s="1420"/>
      <c r="T7971" s="1420"/>
      <c r="V7971" s="1357">
        <v>57</v>
      </c>
    </row>
    <row r="7972" spans="1:22" s="841" customFormat="1" ht="15" x14ac:dyDescent="0.25">
      <c r="A7972" s="841" t="s">
        <v>207</v>
      </c>
      <c r="E7972" s="1957" t="s">
        <v>32</v>
      </c>
      <c r="F7972" s="1957"/>
      <c r="G7972" s="1259" t="s">
        <v>23</v>
      </c>
      <c r="H7972" s="1216">
        <v>0.25</v>
      </c>
      <c r="K7972" s="841" t="s">
        <v>5180</v>
      </c>
      <c r="L7972" s="841" t="s">
        <v>3046</v>
      </c>
      <c r="M7972" s="1357"/>
      <c r="P7972" s="841" t="s">
        <v>5188</v>
      </c>
      <c r="Q7972" s="1357"/>
      <c r="S7972" s="1420"/>
      <c r="T7972" s="1420"/>
      <c r="V7972" s="1357">
        <v>63</v>
      </c>
    </row>
    <row r="7973" spans="1:22" s="841" customFormat="1" x14ac:dyDescent="0.25">
      <c r="A7973" s="841" t="s">
        <v>207</v>
      </c>
      <c r="E7973" s="2097" t="s">
        <v>3219</v>
      </c>
      <c r="F7973" s="2097"/>
      <c r="G7973" s="2097"/>
      <c r="H7973" s="2102"/>
      <c r="K7973" s="841" t="s">
        <v>5189</v>
      </c>
      <c r="M7973" s="1357"/>
      <c r="Q7973" s="1357"/>
      <c r="S7973" s="1420"/>
      <c r="T7973" s="1420"/>
      <c r="V7973" s="1357">
        <v>56</v>
      </c>
    </row>
    <row r="7974" spans="1:22" s="841" customFormat="1" ht="15" x14ac:dyDescent="0.25">
      <c r="A7974" s="841" t="s">
        <v>207</v>
      </c>
      <c r="E7974" s="1949" t="s">
        <v>3681</v>
      </c>
      <c r="F7974" s="1949"/>
      <c r="G7974" s="1949"/>
      <c r="H7974" s="1950"/>
      <c r="K7974" s="841" t="s">
        <v>5189</v>
      </c>
      <c r="M7974" s="1357"/>
      <c r="Q7974" s="1357"/>
      <c r="S7974" s="1420"/>
      <c r="T7974" s="1420"/>
      <c r="V7974" s="1357">
        <v>391</v>
      </c>
    </row>
    <row r="7975" spans="1:22" s="841" customFormat="1" ht="15" x14ac:dyDescent="0.25">
      <c r="A7975" s="841" t="s">
        <v>207</v>
      </c>
      <c r="E7975" s="1250" t="s">
        <v>3061</v>
      </c>
      <c r="F7975" s="1251"/>
      <c r="G7975" s="1251"/>
      <c r="H7975" s="1258"/>
      <c r="K7975" s="841" t="s">
        <v>3221</v>
      </c>
      <c r="M7975" s="1357"/>
      <c r="Q7975" s="1357"/>
      <c r="S7975" s="1420"/>
      <c r="T7975" s="1420"/>
      <c r="V7975" s="1357">
        <v>11</v>
      </c>
    </row>
    <row r="7976" spans="1:22" s="841" customFormat="1" ht="15" x14ac:dyDescent="0.25">
      <c r="A7976" s="841" t="s">
        <v>207</v>
      </c>
      <c r="E7976" s="1949" t="s">
        <v>3063</v>
      </c>
      <c r="F7976" s="1949"/>
      <c r="G7976" s="1949"/>
      <c r="H7976" s="1950"/>
      <c r="K7976" s="841" t="s">
        <v>5189</v>
      </c>
      <c r="M7976" s="1357"/>
      <c r="Q7976" s="1357"/>
      <c r="S7976" s="1420"/>
      <c r="T7976" s="1420"/>
      <c r="V7976" s="1357">
        <v>280</v>
      </c>
    </row>
    <row r="7977" spans="1:22" s="841" customFormat="1" ht="15" x14ac:dyDescent="0.25">
      <c r="A7977" s="841" t="s">
        <v>207</v>
      </c>
      <c r="E7977" s="1949" t="s">
        <v>3064</v>
      </c>
      <c r="F7977" s="1949"/>
      <c r="G7977" s="1949"/>
      <c r="H7977" s="1950"/>
      <c r="K7977" s="841" t="s">
        <v>5189</v>
      </c>
      <c r="M7977" s="1357"/>
      <c r="Q7977" s="1357"/>
      <c r="S7977" s="1420"/>
      <c r="T7977" s="1420"/>
      <c r="V7977" s="1357">
        <v>411</v>
      </c>
    </row>
    <row r="7978" spans="1:22" s="841" customFormat="1" ht="15" x14ac:dyDescent="0.25">
      <c r="A7978" s="841" t="s">
        <v>207</v>
      </c>
      <c r="E7978" s="1949" t="s">
        <v>3065</v>
      </c>
      <c r="F7978" s="1949"/>
      <c r="G7978" s="1949"/>
      <c r="H7978" s="1950"/>
      <c r="K7978" s="841" t="s">
        <v>5189</v>
      </c>
      <c r="M7978" s="1357"/>
      <c r="Q7978" s="1357"/>
      <c r="S7978" s="1420"/>
      <c r="T7978" s="1420"/>
      <c r="V7978" s="1357">
        <v>387</v>
      </c>
    </row>
    <row r="7979" spans="1:22" s="841" customFormat="1" ht="15" x14ac:dyDescent="0.25">
      <c r="A7979" s="841" t="s">
        <v>207</v>
      </c>
      <c r="E7979" s="1949" t="s">
        <v>5528</v>
      </c>
      <c r="F7979" s="1949"/>
      <c r="G7979" s="1949"/>
      <c r="H7979" s="1950"/>
      <c r="K7979" s="841" t="s">
        <v>5189</v>
      </c>
      <c r="M7979" s="1357"/>
      <c r="Q7979" s="1357"/>
      <c r="S7979" s="1420"/>
      <c r="T7979" s="1420"/>
      <c r="V7979" s="1357">
        <v>510</v>
      </c>
    </row>
    <row r="7980" spans="1:22" s="841" customFormat="1" ht="15" x14ac:dyDescent="0.25">
      <c r="A7980" s="841" t="s">
        <v>207</v>
      </c>
      <c r="E7980" s="1949" t="s">
        <v>3810</v>
      </c>
      <c r="F7980" s="1949"/>
      <c r="G7980" s="1949"/>
      <c r="H7980" s="1950"/>
      <c r="K7980" s="841" t="s">
        <v>5189</v>
      </c>
      <c r="M7980" s="1357"/>
      <c r="Q7980" s="1357"/>
      <c r="S7980" s="1420"/>
      <c r="T7980" s="1420"/>
      <c r="V7980" s="1357">
        <v>246</v>
      </c>
    </row>
    <row r="7981" spans="1:22" s="841" customFormat="1" ht="15" x14ac:dyDescent="0.25">
      <c r="A7981" s="841" t="s">
        <v>207</v>
      </c>
      <c r="E7981" s="1250" t="s">
        <v>3067</v>
      </c>
      <c r="F7981" s="1251"/>
      <c r="G7981" s="1251"/>
      <c r="H7981" s="1258"/>
      <c r="K7981" s="841" t="s">
        <v>3224</v>
      </c>
      <c r="M7981" s="1357"/>
      <c r="Q7981" s="1357"/>
      <c r="S7981" s="1420"/>
      <c r="T7981" s="1420"/>
      <c r="V7981" s="1357">
        <v>46</v>
      </c>
    </row>
    <row r="7982" spans="1:22" s="841" customFormat="1" ht="15" x14ac:dyDescent="0.25">
      <c r="A7982" s="841" t="s">
        <v>207</v>
      </c>
      <c r="E7982" s="1951" t="s">
        <v>11</v>
      </c>
      <c r="F7982" s="1951"/>
      <c r="G7982" s="1377" t="s">
        <v>23</v>
      </c>
      <c r="H7982" s="1264">
        <v>1159.1600000000001</v>
      </c>
      <c r="K7982" s="841" t="s">
        <v>5189</v>
      </c>
      <c r="L7982" s="841" t="s">
        <v>442</v>
      </c>
      <c r="M7982" s="1357"/>
      <c r="P7982" s="841" t="s">
        <v>5190</v>
      </c>
      <c r="Q7982" s="1357"/>
      <c r="S7982" s="1420"/>
      <c r="T7982" s="1420"/>
      <c r="V7982" s="1357">
        <v>14</v>
      </c>
    </row>
    <row r="7983" spans="1:22" s="841" customFormat="1" ht="15" x14ac:dyDescent="0.25">
      <c r="A7983" s="841" t="s">
        <v>207</v>
      </c>
      <c r="E7983" s="1951" t="s">
        <v>84</v>
      </c>
      <c r="F7983" s="1951"/>
      <c r="G7983" s="1377" t="s">
        <v>33</v>
      </c>
      <c r="H7983" s="1265">
        <v>2.4885000000000002</v>
      </c>
      <c r="K7983" s="841" t="s">
        <v>5189</v>
      </c>
      <c r="L7983" s="841" t="s">
        <v>442</v>
      </c>
      <c r="M7983" s="1357"/>
      <c r="P7983" s="841" t="s">
        <v>5191</v>
      </c>
      <c r="Q7983" s="1357"/>
      <c r="S7983" s="1420"/>
      <c r="T7983" s="1420"/>
      <c r="V7983" s="1357">
        <v>28</v>
      </c>
    </row>
    <row r="7984" spans="1:22" s="841" customFormat="1" ht="15" x14ac:dyDescent="0.25">
      <c r="A7984" s="841" t="s">
        <v>207</v>
      </c>
      <c r="E7984" s="1956" t="s">
        <v>5655</v>
      </c>
      <c r="F7984" s="1956"/>
      <c r="G7984" s="1377" t="s">
        <v>33</v>
      </c>
      <c r="H7984" s="1266">
        <v>0.60829999999999995</v>
      </c>
      <c r="K7984" s="841" t="s">
        <v>5189</v>
      </c>
      <c r="L7984" s="841" t="s">
        <v>443</v>
      </c>
      <c r="M7984" s="1357"/>
      <c r="P7984" s="841" t="s">
        <v>5663</v>
      </c>
      <c r="Q7984" s="1357"/>
      <c r="S7984" s="1420"/>
      <c r="T7984" s="1420">
        <v>43830</v>
      </c>
      <c r="V7984" s="1357">
        <v>142</v>
      </c>
    </row>
    <row r="7985" spans="1:22" s="841" customFormat="1" ht="15" x14ac:dyDescent="0.25">
      <c r="A7985" s="841" t="s">
        <v>207</v>
      </c>
      <c r="E7985" s="1951" t="s">
        <v>3678</v>
      </c>
      <c r="F7985" s="1951"/>
      <c r="G7985" s="1377" t="s">
        <v>33</v>
      </c>
      <c r="H7985" s="1266">
        <v>0.28370000000000001</v>
      </c>
      <c r="K7985" s="841" t="s">
        <v>5189</v>
      </c>
      <c r="L7985" s="841" t="s">
        <v>443</v>
      </c>
      <c r="M7985" s="1357"/>
      <c r="P7985" s="841" t="s">
        <v>5469</v>
      </c>
      <c r="Q7985" s="1357"/>
      <c r="S7985" s="1420"/>
      <c r="T7985" s="1420">
        <v>43830</v>
      </c>
      <c r="V7985" s="1357">
        <v>99</v>
      </c>
    </row>
    <row r="7986" spans="1:22" s="841" customFormat="1" ht="15" x14ac:dyDescent="0.25">
      <c r="A7986" s="841" t="s">
        <v>207</v>
      </c>
      <c r="E7986" s="1951" t="s">
        <v>3677</v>
      </c>
      <c r="F7986" s="1951"/>
      <c r="G7986" s="1377" t="s">
        <v>33</v>
      </c>
      <c r="H7986" s="1267">
        <v>3.3000000000000002E-2</v>
      </c>
      <c r="K7986" s="841" t="s">
        <v>5189</v>
      </c>
      <c r="L7986" s="841" t="s">
        <v>442</v>
      </c>
      <c r="M7986" s="1357"/>
      <c r="P7986" s="841" t="s">
        <v>5469</v>
      </c>
      <c r="Q7986" s="1357"/>
      <c r="S7986" s="1420"/>
      <c r="T7986" s="1420">
        <v>43830</v>
      </c>
      <c r="V7986" s="1357">
        <v>107</v>
      </c>
    </row>
    <row r="7987" spans="1:22" s="841" customFormat="1" ht="15" x14ac:dyDescent="0.25">
      <c r="A7987" s="841" t="s">
        <v>207</v>
      </c>
      <c r="E7987" s="1951" t="s">
        <v>5144</v>
      </c>
      <c r="F7987" s="1951"/>
      <c r="G7987" s="1377" t="s">
        <v>33</v>
      </c>
      <c r="H7987" s="1266">
        <v>-0.92010000000000003</v>
      </c>
      <c r="K7987" s="841" t="s">
        <v>5189</v>
      </c>
      <c r="L7987" s="841" t="s">
        <v>443</v>
      </c>
      <c r="M7987" s="1357"/>
      <c r="P7987" s="841" t="s">
        <v>5469</v>
      </c>
      <c r="Q7987" s="1357"/>
      <c r="S7987" s="1420"/>
      <c r="T7987" s="1420">
        <v>43465</v>
      </c>
      <c r="V7987" s="1357">
        <v>99</v>
      </c>
    </row>
    <row r="7988" spans="1:22" s="841" customFormat="1" ht="15" x14ac:dyDescent="0.25">
      <c r="A7988" s="841" t="s">
        <v>207</v>
      </c>
      <c r="E7988" s="1956" t="s">
        <v>5659</v>
      </c>
      <c r="F7988" s="1956"/>
      <c r="G7988" s="1377" t="s">
        <v>24</v>
      </c>
      <c r="H7988" s="1266">
        <v>-1.9E-3</v>
      </c>
      <c r="K7988" s="841" t="s">
        <v>5189</v>
      </c>
      <c r="L7988" s="841" t="s">
        <v>443</v>
      </c>
      <c r="M7988" s="1357"/>
      <c r="P7988" s="841" t="s">
        <v>5467</v>
      </c>
      <c r="Q7988" s="1357"/>
      <c r="S7988" s="1420"/>
      <c r="T7988" s="1420">
        <v>43465</v>
      </c>
      <c r="V7988" s="1357">
        <v>142</v>
      </c>
    </row>
    <row r="7989" spans="1:22" s="841" customFormat="1" ht="15" x14ac:dyDescent="0.25">
      <c r="A7989" s="841" t="s">
        <v>207</v>
      </c>
      <c r="E7989" s="1951" t="s">
        <v>5657</v>
      </c>
      <c r="F7989" s="1951"/>
      <c r="G7989" s="1254" t="s">
        <v>33</v>
      </c>
      <c r="H7989" s="1236">
        <v>0.128</v>
      </c>
      <c r="K7989" s="841" t="s">
        <v>5189</v>
      </c>
      <c r="L7989" s="841" t="s">
        <v>443</v>
      </c>
      <c r="M7989" s="1357"/>
      <c r="P7989" s="841" t="s">
        <v>6366</v>
      </c>
      <c r="Q7989" s="1357"/>
      <c r="S7989" s="1420"/>
      <c r="T7989" s="1420">
        <v>43465</v>
      </c>
      <c r="V7989" s="1357">
        <v>110</v>
      </c>
    </row>
    <row r="7990" spans="1:22" s="841" customFormat="1" ht="15" x14ac:dyDescent="0.25">
      <c r="A7990" s="841" t="s">
        <v>207</v>
      </c>
      <c r="E7990" s="1951" t="s">
        <v>223</v>
      </c>
      <c r="F7990" s="1951"/>
      <c r="G7990" s="1377" t="s">
        <v>33</v>
      </c>
      <c r="H7990" s="1267">
        <v>3.1194999999999999</v>
      </c>
      <c r="K7990" s="841" t="s">
        <v>5189</v>
      </c>
      <c r="L7990" s="841" t="s">
        <v>444</v>
      </c>
      <c r="M7990" s="1357"/>
      <c r="P7990" s="841" t="s">
        <v>5471</v>
      </c>
      <c r="Q7990" s="1357"/>
      <c r="S7990" s="1420"/>
      <c r="T7990" s="1420"/>
      <c r="V7990" s="1357">
        <v>66</v>
      </c>
    </row>
    <row r="7991" spans="1:22" s="841" customFormat="1" ht="15" x14ac:dyDescent="0.25">
      <c r="A7991" s="841" t="s">
        <v>207</v>
      </c>
      <c r="E7991" s="1951" t="s">
        <v>219</v>
      </c>
      <c r="F7991" s="1951"/>
      <c r="G7991" s="1377" t="s">
        <v>33</v>
      </c>
      <c r="H7991" s="1267">
        <v>2.8917000000000002</v>
      </c>
      <c r="K7991" s="841" t="s">
        <v>5189</v>
      </c>
      <c r="L7991" s="841" t="s">
        <v>444</v>
      </c>
      <c r="M7991" s="1357"/>
      <c r="P7991" s="841" t="s">
        <v>5472</v>
      </c>
      <c r="Q7991" s="1357"/>
      <c r="S7991" s="1420"/>
      <c r="T7991" s="1420"/>
      <c r="V7991" s="1357">
        <v>93</v>
      </c>
    </row>
    <row r="7992" spans="1:22" s="841" customFormat="1" ht="15" x14ac:dyDescent="0.25">
      <c r="A7992" s="841" t="s">
        <v>207</v>
      </c>
      <c r="E7992" s="1250" t="s">
        <v>3079</v>
      </c>
      <c r="F7992" s="1251"/>
      <c r="G7992" s="1251"/>
      <c r="H7992" s="1258"/>
      <c r="K7992" s="841" t="s">
        <v>3225</v>
      </c>
      <c r="M7992" s="1357"/>
      <c r="Q7992" s="1357"/>
      <c r="S7992" s="1420"/>
      <c r="T7992" s="1420"/>
      <c r="V7992" s="1357">
        <v>48</v>
      </c>
    </row>
    <row r="7993" spans="1:22" s="841" customFormat="1" ht="15" x14ac:dyDescent="0.25">
      <c r="A7993" s="841" t="s">
        <v>207</v>
      </c>
      <c r="E7993" s="1957" t="s">
        <v>2449</v>
      </c>
      <c r="F7993" s="1957"/>
      <c r="G7993" s="1259" t="s">
        <v>24</v>
      </c>
      <c r="H7993" s="1215">
        <v>3.2000000000000002E-3</v>
      </c>
      <c r="K7993" s="841" t="s">
        <v>5189</v>
      </c>
      <c r="L7993" s="841" t="s">
        <v>3046</v>
      </c>
      <c r="M7993" s="1357"/>
      <c r="P7993" s="841" t="s">
        <v>5195</v>
      </c>
      <c r="Q7993" s="1357"/>
      <c r="S7993" s="1420"/>
      <c r="T7993" s="1420"/>
      <c r="V7993" s="1357">
        <v>55</v>
      </c>
    </row>
    <row r="7994" spans="1:22" s="841" customFormat="1" ht="15" x14ac:dyDescent="0.25">
      <c r="A7994" s="841" t="s">
        <v>207</v>
      </c>
      <c r="E7994" s="1379" t="s">
        <v>2450</v>
      </c>
      <c r="F7994" s="1379"/>
      <c r="G7994" s="1259" t="s">
        <v>24</v>
      </c>
      <c r="H7994" s="1215">
        <v>4.0000000000000002E-4</v>
      </c>
      <c r="K7994" s="841" t="s">
        <v>5189</v>
      </c>
      <c r="L7994" s="841" t="s">
        <v>3046</v>
      </c>
      <c r="M7994" s="1357"/>
      <c r="P7994" s="841" t="s">
        <v>5195</v>
      </c>
      <c r="Q7994" s="1357"/>
      <c r="S7994" s="1420"/>
      <c r="T7994" s="1420"/>
      <c r="V7994" s="1357">
        <v>65</v>
      </c>
    </row>
    <row r="7995" spans="1:22" s="841" customFormat="1" ht="15" x14ac:dyDescent="0.25">
      <c r="A7995" s="841" t="s">
        <v>207</v>
      </c>
      <c r="E7995" s="1957" t="s">
        <v>439</v>
      </c>
      <c r="F7995" s="1957"/>
      <c r="G7995" s="1259" t="s">
        <v>24</v>
      </c>
      <c r="H7995" s="1215">
        <v>2.9999999999999997E-4</v>
      </c>
      <c r="K7995" s="841" t="s">
        <v>5189</v>
      </c>
      <c r="L7995" s="841" t="s">
        <v>3046</v>
      </c>
      <c r="M7995" s="1357"/>
      <c r="P7995" s="841" t="s">
        <v>5196</v>
      </c>
      <c r="Q7995" s="1357"/>
      <c r="S7995" s="1420"/>
      <c r="T7995" s="1420"/>
      <c r="V7995" s="1357">
        <v>57</v>
      </c>
    </row>
    <row r="7996" spans="1:22" s="841" customFormat="1" ht="15" x14ac:dyDescent="0.25">
      <c r="A7996" s="841" t="s">
        <v>207</v>
      </c>
      <c r="E7996" s="1957" t="s">
        <v>32</v>
      </c>
      <c r="F7996" s="1957"/>
      <c r="G7996" s="1259" t="s">
        <v>23</v>
      </c>
      <c r="H7996" s="1216">
        <v>0.25</v>
      </c>
      <c r="K7996" s="841" t="s">
        <v>5189</v>
      </c>
      <c r="L7996" s="841" t="s">
        <v>3046</v>
      </c>
      <c r="M7996" s="1357"/>
      <c r="P7996" s="841" t="s">
        <v>5197</v>
      </c>
      <c r="Q7996" s="1357"/>
      <c r="S7996" s="1420"/>
      <c r="T7996" s="1420"/>
      <c r="V7996" s="1357">
        <v>63</v>
      </c>
    </row>
    <row r="7997" spans="1:22" s="841" customFormat="1" x14ac:dyDescent="0.25">
      <c r="A7997" s="841" t="s">
        <v>207</v>
      </c>
      <c r="E7997" s="2097" t="s">
        <v>621</v>
      </c>
      <c r="F7997" s="2097"/>
      <c r="G7997" s="2097"/>
      <c r="H7997" s="2102"/>
      <c r="K7997" s="841" t="s">
        <v>3226</v>
      </c>
      <c r="M7997" s="1357"/>
      <c r="Q7997" s="1357"/>
      <c r="S7997" s="1420"/>
      <c r="T7997" s="1420"/>
      <c r="V7997" s="1357">
        <v>32</v>
      </c>
    </row>
    <row r="7998" spans="1:22" s="841" customFormat="1" ht="15" x14ac:dyDescent="0.25">
      <c r="A7998" s="841" t="s">
        <v>207</v>
      </c>
      <c r="E7998" s="1949" t="s">
        <v>3682</v>
      </c>
      <c r="F7998" s="1949"/>
      <c r="G7998" s="1949"/>
      <c r="H7998" s="1950"/>
      <c r="K7998" s="841" t="s">
        <v>3226</v>
      </c>
      <c r="M7998" s="1357"/>
      <c r="Q7998" s="1357"/>
      <c r="S7998" s="1420"/>
      <c r="T7998" s="1420"/>
      <c r="V7998" s="1357">
        <v>351</v>
      </c>
    </row>
    <row r="7999" spans="1:22" s="841" customFormat="1" ht="15" x14ac:dyDescent="0.25">
      <c r="A7999" s="841" t="s">
        <v>207</v>
      </c>
      <c r="E7999" s="1250" t="s">
        <v>3061</v>
      </c>
      <c r="F7999" s="1251"/>
      <c r="G7999" s="1251"/>
      <c r="H7999" s="1258"/>
      <c r="K7999" s="841" t="s">
        <v>3107</v>
      </c>
      <c r="M7999" s="1357"/>
      <c r="Q7999" s="1357"/>
      <c r="S7999" s="1420"/>
      <c r="T7999" s="1420"/>
      <c r="V7999" s="1357">
        <v>11</v>
      </c>
    </row>
    <row r="8000" spans="1:22" s="841" customFormat="1" ht="15" x14ac:dyDescent="0.25">
      <c r="A8000" s="841" t="s">
        <v>207</v>
      </c>
      <c r="E8000" s="1949" t="s">
        <v>3063</v>
      </c>
      <c r="F8000" s="1949"/>
      <c r="G8000" s="1949"/>
      <c r="H8000" s="1950"/>
      <c r="K8000" s="841" t="s">
        <v>3226</v>
      </c>
      <c r="M8000" s="1357"/>
      <c r="Q8000" s="1357"/>
      <c r="S8000" s="1420"/>
      <c r="T8000" s="1420"/>
      <c r="V8000" s="1357">
        <v>280</v>
      </c>
    </row>
    <row r="8001" spans="1:22" s="841" customFormat="1" ht="15" x14ac:dyDescent="0.25">
      <c r="A8001" s="841" t="s">
        <v>207</v>
      </c>
      <c r="E8001" s="1949" t="s">
        <v>3064</v>
      </c>
      <c r="F8001" s="1949"/>
      <c r="G8001" s="1949"/>
      <c r="H8001" s="1950"/>
      <c r="K8001" s="841" t="s">
        <v>3226</v>
      </c>
      <c r="M8001" s="1357"/>
      <c r="Q8001" s="1357"/>
      <c r="S8001" s="1420"/>
      <c r="T8001" s="1420"/>
      <c r="V8001" s="1357">
        <v>411</v>
      </c>
    </row>
    <row r="8002" spans="1:22" s="841" customFormat="1" ht="15" x14ac:dyDescent="0.25">
      <c r="A8002" s="841" t="s">
        <v>207</v>
      </c>
      <c r="E8002" s="1949" t="s">
        <v>3065</v>
      </c>
      <c r="F8002" s="1949"/>
      <c r="G8002" s="1949"/>
      <c r="H8002" s="1950"/>
      <c r="K8002" s="841" t="s">
        <v>3226</v>
      </c>
      <c r="M8002" s="1357"/>
      <c r="Q8002" s="1357"/>
      <c r="S8002" s="1420"/>
      <c r="T8002" s="1420"/>
      <c r="V8002" s="1357">
        <v>387</v>
      </c>
    </row>
    <row r="8003" spans="1:22" s="841" customFormat="1" ht="15" x14ac:dyDescent="0.25">
      <c r="A8003" s="841" t="s">
        <v>207</v>
      </c>
      <c r="E8003" s="1949" t="s">
        <v>5528</v>
      </c>
      <c r="F8003" s="1949"/>
      <c r="G8003" s="1949"/>
      <c r="H8003" s="1950"/>
      <c r="K8003" s="841" t="s">
        <v>3226</v>
      </c>
      <c r="M8003" s="1357"/>
      <c r="Q8003" s="1357"/>
      <c r="S8003" s="1420"/>
      <c r="T8003" s="1420"/>
      <c r="V8003" s="1357">
        <v>510</v>
      </c>
    </row>
    <row r="8004" spans="1:22" s="841" customFormat="1" ht="15" x14ac:dyDescent="0.25">
      <c r="A8004" s="841" t="s">
        <v>207</v>
      </c>
      <c r="E8004" s="1949" t="s">
        <v>3810</v>
      </c>
      <c r="F8004" s="1949"/>
      <c r="G8004" s="1949"/>
      <c r="H8004" s="1950"/>
      <c r="K8004" s="841" t="s">
        <v>3226</v>
      </c>
      <c r="M8004" s="1357"/>
      <c r="Q8004" s="1357"/>
      <c r="S8004" s="1420"/>
      <c r="T8004" s="1420"/>
      <c r="V8004" s="1357">
        <v>246</v>
      </c>
    </row>
    <row r="8005" spans="1:22" s="841" customFormat="1" ht="15" x14ac:dyDescent="0.25">
      <c r="A8005" s="841" t="s">
        <v>207</v>
      </c>
      <c r="E8005" s="1250" t="s">
        <v>3067</v>
      </c>
      <c r="F8005" s="1251"/>
      <c r="G8005" s="1251"/>
      <c r="H8005" s="1258"/>
      <c r="K8005" s="841" t="s">
        <v>3108</v>
      </c>
      <c r="M8005" s="1357"/>
      <c r="Q8005" s="1357"/>
      <c r="S8005" s="1420"/>
      <c r="T8005" s="1420"/>
      <c r="V8005" s="1357">
        <v>46</v>
      </c>
    </row>
    <row r="8006" spans="1:22" s="841" customFormat="1" ht="15" x14ac:dyDescent="0.25">
      <c r="A8006" s="841" t="s">
        <v>207</v>
      </c>
      <c r="E8006" s="1956" t="s">
        <v>11</v>
      </c>
      <c r="F8006" s="1956"/>
      <c r="G8006" s="1377" t="s">
        <v>23</v>
      </c>
      <c r="H8006" s="1264">
        <v>8820.2900000000009</v>
      </c>
      <c r="K8006" s="841" t="s">
        <v>3226</v>
      </c>
      <c r="L8006" s="841" t="s">
        <v>442</v>
      </c>
      <c r="M8006" s="1357"/>
      <c r="P8006" s="841" t="s">
        <v>3228</v>
      </c>
      <c r="Q8006" s="1357"/>
      <c r="S8006" s="1420"/>
      <c r="T8006" s="1420"/>
      <c r="V8006" s="1357">
        <v>14</v>
      </c>
    </row>
    <row r="8007" spans="1:22" s="841" customFormat="1" ht="15" x14ac:dyDescent="0.25">
      <c r="A8007" s="841" t="s">
        <v>207</v>
      </c>
      <c r="E8007" s="1956" t="s">
        <v>84</v>
      </c>
      <c r="F8007" s="1956"/>
      <c r="G8007" s="1377" t="s">
        <v>33</v>
      </c>
      <c r="H8007" s="1265">
        <v>2.1497000000000002</v>
      </c>
      <c r="K8007" s="841" t="s">
        <v>3226</v>
      </c>
      <c r="L8007" s="841" t="s">
        <v>442</v>
      </c>
      <c r="M8007" s="1357"/>
      <c r="P8007" s="841" t="s">
        <v>3229</v>
      </c>
      <c r="Q8007" s="1357"/>
      <c r="S8007" s="1420"/>
      <c r="T8007" s="1420"/>
      <c r="V8007" s="1357">
        <v>28</v>
      </c>
    </row>
    <row r="8008" spans="1:22" s="841" customFormat="1" ht="15" x14ac:dyDescent="0.25">
      <c r="A8008" s="841" t="s">
        <v>207</v>
      </c>
      <c r="E8008" s="1956" t="s">
        <v>3678</v>
      </c>
      <c r="F8008" s="1956"/>
      <c r="G8008" s="1377" t="s">
        <v>33</v>
      </c>
      <c r="H8008" s="1266">
        <v>0.27710000000000001</v>
      </c>
      <c r="K8008" s="841" t="s">
        <v>3226</v>
      </c>
      <c r="L8008" s="841" t="s">
        <v>443</v>
      </c>
      <c r="M8008" s="1357"/>
      <c r="P8008" s="841" t="s">
        <v>3232</v>
      </c>
      <c r="Q8008" s="1357"/>
      <c r="S8008" s="1420"/>
      <c r="T8008" s="1420">
        <v>43830</v>
      </c>
      <c r="V8008" s="1357">
        <v>99</v>
      </c>
    </row>
    <row r="8009" spans="1:22" s="841" customFormat="1" ht="15" x14ac:dyDescent="0.25">
      <c r="A8009" s="841" t="s">
        <v>207</v>
      </c>
      <c r="E8009" s="1956" t="s">
        <v>3677</v>
      </c>
      <c r="F8009" s="1956"/>
      <c r="G8009" s="1377" t="s">
        <v>33</v>
      </c>
      <c r="H8009" s="1265">
        <v>3.2199999999999999E-2</v>
      </c>
      <c r="K8009" s="841" t="s">
        <v>3226</v>
      </c>
      <c r="L8009" s="841" t="s">
        <v>442</v>
      </c>
      <c r="M8009" s="1357"/>
      <c r="P8009" s="841" t="s">
        <v>3232</v>
      </c>
      <c r="Q8009" s="1357"/>
      <c r="S8009" s="1420"/>
      <c r="T8009" s="1420">
        <v>43830</v>
      </c>
      <c r="V8009" s="1357">
        <v>107</v>
      </c>
    </row>
    <row r="8010" spans="1:22" s="841" customFormat="1" ht="15" x14ac:dyDescent="0.25">
      <c r="A8010" s="841" t="s">
        <v>207</v>
      </c>
      <c r="E8010" s="1956" t="s">
        <v>5106</v>
      </c>
      <c r="F8010" s="1956"/>
      <c r="G8010" s="1377" t="s">
        <v>33</v>
      </c>
      <c r="H8010" s="1266">
        <v>-0.90469999999999995</v>
      </c>
      <c r="K8010" s="841" t="s">
        <v>3226</v>
      </c>
      <c r="L8010" s="841" t="s">
        <v>443</v>
      </c>
      <c r="M8010" s="1357"/>
      <c r="P8010" s="841" t="s">
        <v>3232</v>
      </c>
      <c r="Q8010" s="1357"/>
      <c r="S8010" s="1420"/>
      <c r="T8010" s="1420">
        <v>43830</v>
      </c>
      <c r="V8010" s="1357">
        <v>99</v>
      </c>
    </row>
    <row r="8011" spans="1:22" s="841" customFormat="1" ht="15" x14ac:dyDescent="0.25">
      <c r="A8011" s="841" t="s">
        <v>207</v>
      </c>
      <c r="E8011" s="1956" t="s">
        <v>223</v>
      </c>
      <c r="F8011" s="1956"/>
      <c r="G8011" s="1377" t="s">
        <v>33</v>
      </c>
      <c r="H8011" s="1265">
        <v>3.3239000000000001</v>
      </c>
      <c r="K8011" s="841" t="s">
        <v>3226</v>
      </c>
      <c r="L8011" s="841" t="s">
        <v>444</v>
      </c>
      <c r="M8011" s="1357"/>
      <c r="P8011" s="841" t="s">
        <v>3233</v>
      </c>
      <c r="Q8011" s="1357"/>
      <c r="S8011" s="1420"/>
      <c r="T8011" s="1420"/>
      <c r="V8011" s="1357">
        <v>66</v>
      </c>
    </row>
    <row r="8012" spans="1:22" s="841" customFormat="1" ht="15" x14ac:dyDescent="0.25">
      <c r="A8012" s="841" t="s">
        <v>207</v>
      </c>
      <c r="E8012" s="1956" t="s">
        <v>219</v>
      </c>
      <c r="F8012" s="1956"/>
      <c r="G8012" s="1377" t="s">
        <v>33</v>
      </c>
      <c r="H8012" s="1265">
        <v>3.1551999999999998</v>
      </c>
      <c r="K8012" s="841" t="s">
        <v>3226</v>
      </c>
      <c r="L8012" s="841" t="s">
        <v>444</v>
      </c>
      <c r="M8012" s="1357"/>
      <c r="P8012" s="841" t="s">
        <v>3234</v>
      </c>
      <c r="Q8012" s="1357"/>
      <c r="S8012" s="1420"/>
      <c r="T8012" s="1420"/>
      <c r="V8012" s="1357">
        <v>93</v>
      </c>
    </row>
    <row r="8013" spans="1:22" s="841" customFormat="1" ht="15" x14ac:dyDescent="0.25">
      <c r="A8013" s="841" t="s">
        <v>207</v>
      </c>
      <c r="E8013" s="1250" t="s">
        <v>3079</v>
      </c>
      <c r="F8013" s="1251"/>
      <c r="G8013" s="1251"/>
      <c r="H8013" s="1258"/>
      <c r="K8013" s="841" t="s">
        <v>3111</v>
      </c>
      <c r="M8013" s="1357"/>
      <c r="Q8013" s="1357"/>
      <c r="S8013" s="1420"/>
      <c r="T8013" s="1420"/>
      <c r="V8013" s="1357">
        <v>48</v>
      </c>
    </row>
    <row r="8014" spans="1:22" s="841" customFormat="1" ht="15" x14ac:dyDescent="0.25">
      <c r="A8014" s="841" t="s">
        <v>207</v>
      </c>
      <c r="E8014" s="1957" t="s">
        <v>2449</v>
      </c>
      <c r="F8014" s="1957"/>
      <c r="G8014" s="1259" t="s">
        <v>24</v>
      </c>
      <c r="H8014" s="1215">
        <v>3.2000000000000002E-3</v>
      </c>
      <c r="K8014" s="841" t="s">
        <v>3226</v>
      </c>
      <c r="L8014" s="841" t="s">
        <v>3046</v>
      </c>
      <c r="M8014" s="1357"/>
      <c r="P8014" s="841" t="s">
        <v>3235</v>
      </c>
      <c r="Q8014" s="1357"/>
      <c r="S8014" s="1420"/>
      <c r="T8014" s="1420"/>
      <c r="V8014" s="1357">
        <v>55</v>
      </c>
    </row>
    <row r="8015" spans="1:22" s="841" customFormat="1" ht="15" x14ac:dyDescent="0.25">
      <c r="A8015" s="841" t="s">
        <v>207</v>
      </c>
      <c r="E8015" s="1379" t="s">
        <v>2450</v>
      </c>
      <c r="F8015" s="1379"/>
      <c r="G8015" s="1259" t="s">
        <v>24</v>
      </c>
      <c r="H8015" s="1215">
        <v>4.0000000000000002E-4</v>
      </c>
      <c r="K8015" s="841" t="s">
        <v>3226</v>
      </c>
      <c r="L8015" s="841" t="s">
        <v>3046</v>
      </c>
      <c r="M8015" s="1357"/>
      <c r="P8015" s="841" t="s">
        <v>3235</v>
      </c>
      <c r="Q8015" s="1357"/>
      <c r="S8015" s="1420"/>
      <c r="T8015" s="1420"/>
      <c r="V8015" s="1357">
        <v>65</v>
      </c>
    </row>
    <row r="8016" spans="1:22" s="841" customFormat="1" ht="15" x14ac:dyDescent="0.25">
      <c r="A8016" s="841" t="s">
        <v>207</v>
      </c>
      <c r="E8016" s="1957" t="s">
        <v>439</v>
      </c>
      <c r="F8016" s="1957"/>
      <c r="G8016" s="1259" t="s">
        <v>24</v>
      </c>
      <c r="H8016" s="1215">
        <v>2.9999999999999997E-4</v>
      </c>
      <c r="K8016" s="841" t="s">
        <v>3226</v>
      </c>
      <c r="L8016" s="841" t="s">
        <v>3046</v>
      </c>
      <c r="M8016" s="1357"/>
      <c r="P8016" s="841" t="s">
        <v>3236</v>
      </c>
      <c r="Q8016" s="1357"/>
      <c r="S8016" s="1420"/>
      <c r="T8016" s="1420"/>
      <c r="V8016" s="1357">
        <v>57</v>
      </c>
    </row>
    <row r="8017" spans="1:22" s="841" customFormat="1" ht="15" x14ac:dyDescent="0.25">
      <c r="A8017" s="841" t="s">
        <v>207</v>
      </c>
      <c r="E8017" s="1957" t="s">
        <v>32</v>
      </c>
      <c r="F8017" s="1957"/>
      <c r="G8017" s="1259" t="s">
        <v>23</v>
      </c>
      <c r="H8017" s="1216">
        <v>0.25</v>
      </c>
      <c r="K8017" s="841" t="s">
        <v>3226</v>
      </c>
      <c r="L8017" s="841" t="s">
        <v>3046</v>
      </c>
      <c r="M8017" s="1357"/>
      <c r="P8017" s="841" t="s">
        <v>3237</v>
      </c>
      <c r="Q8017" s="1357"/>
      <c r="S8017" s="1420"/>
      <c r="T8017" s="1420"/>
      <c r="V8017" s="1357">
        <v>63</v>
      </c>
    </row>
    <row r="8018" spans="1:22" s="841" customFormat="1" x14ac:dyDescent="0.25">
      <c r="A8018" s="841" t="s">
        <v>207</v>
      </c>
      <c r="E8018" s="2097" t="s">
        <v>617</v>
      </c>
      <c r="F8018" s="2097"/>
      <c r="G8018" s="2097"/>
      <c r="H8018" s="2102"/>
      <c r="K8018" s="841" t="s">
        <v>3238</v>
      </c>
      <c r="M8018" s="1357"/>
      <c r="Q8018" s="1357"/>
      <c r="S8018" s="1420"/>
      <c r="T8018" s="1420"/>
      <c r="V8018" s="1357">
        <v>47</v>
      </c>
    </row>
    <row r="8019" spans="1:22" s="841" customFormat="1" ht="15" x14ac:dyDescent="0.25">
      <c r="A8019" s="841" t="s">
        <v>207</v>
      </c>
      <c r="E8019" s="1949" t="s">
        <v>3683</v>
      </c>
      <c r="F8019" s="1949"/>
      <c r="G8019" s="1949"/>
      <c r="H8019" s="1950"/>
      <c r="K8019" s="841" t="s">
        <v>3238</v>
      </c>
      <c r="M8019" s="1357"/>
      <c r="Q8019" s="1357"/>
      <c r="S8019" s="1420"/>
      <c r="T8019" s="1420"/>
      <c r="V8019" s="1357">
        <v>699</v>
      </c>
    </row>
    <row r="8020" spans="1:22" s="841" customFormat="1" ht="15" x14ac:dyDescent="0.25">
      <c r="A8020" s="841" t="s">
        <v>207</v>
      </c>
      <c r="E8020" s="1250" t="s">
        <v>3061</v>
      </c>
      <c r="F8020" s="1251"/>
      <c r="G8020" s="1251"/>
      <c r="H8020" s="1258"/>
      <c r="K8020" s="841" t="s">
        <v>3114</v>
      </c>
      <c r="M8020" s="1357"/>
      <c r="Q8020" s="1357"/>
      <c r="S8020" s="1420"/>
      <c r="T8020" s="1420"/>
      <c r="V8020" s="1357">
        <v>11</v>
      </c>
    </row>
    <row r="8021" spans="1:22" s="841" customFormat="1" ht="15" x14ac:dyDescent="0.25">
      <c r="A8021" s="841" t="s">
        <v>207</v>
      </c>
      <c r="E8021" s="1949" t="s">
        <v>3063</v>
      </c>
      <c r="F8021" s="1949"/>
      <c r="G8021" s="1949"/>
      <c r="H8021" s="1950"/>
      <c r="K8021" s="841" t="s">
        <v>3238</v>
      </c>
      <c r="M8021" s="1357"/>
      <c r="Q8021" s="1357"/>
      <c r="S8021" s="1420"/>
      <c r="T8021" s="1420"/>
      <c r="V8021" s="1357">
        <v>280</v>
      </c>
    </row>
    <row r="8022" spans="1:22" s="841" customFormat="1" ht="15" x14ac:dyDescent="0.25">
      <c r="A8022" s="841" t="s">
        <v>207</v>
      </c>
      <c r="E8022" s="1949" t="s">
        <v>3064</v>
      </c>
      <c r="F8022" s="1949"/>
      <c r="G8022" s="1949"/>
      <c r="H8022" s="1950"/>
      <c r="K8022" s="841" t="s">
        <v>3238</v>
      </c>
      <c r="M8022" s="1357"/>
      <c r="Q8022" s="1357"/>
      <c r="S8022" s="1420"/>
      <c r="T8022" s="1420"/>
      <c r="V8022" s="1357">
        <v>411</v>
      </c>
    </row>
    <row r="8023" spans="1:22" s="841" customFormat="1" ht="15" x14ac:dyDescent="0.25">
      <c r="A8023" s="841" t="s">
        <v>207</v>
      </c>
      <c r="E8023" s="2098" t="s">
        <v>3065</v>
      </c>
      <c r="F8023" s="2098"/>
      <c r="G8023" s="2098"/>
      <c r="H8023" s="2099"/>
      <c r="K8023" s="841" t="s">
        <v>3238</v>
      </c>
      <c r="M8023" s="1357"/>
      <c r="Q8023" s="1357"/>
      <c r="S8023" s="1420"/>
      <c r="T8023" s="1420"/>
      <c r="V8023" s="1357">
        <v>387</v>
      </c>
    </row>
    <row r="8024" spans="1:22" s="841" customFormat="1" ht="15" x14ac:dyDescent="0.25">
      <c r="A8024" s="841" t="s">
        <v>207</v>
      </c>
      <c r="E8024" s="1949" t="s">
        <v>3810</v>
      </c>
      <c r="F8024" s="1949"/>
      <c r="G8024" s="1949"/>
      <c r="H8024" s="1950"/>
      <c r="K8024" s="841" t="s">
        <v>3238</v>
      </c>
      <c r="M8024" s="1357"/>
      <c r="Q8024" s="1357"/>
      <c r="S8024" s="1420"/>
      <c r="T8024" s="1420"/>
      <c r="V8024" s="1357">
        <v>246</v>
      </c>
    </row>
    <row r="8025" spans="1:22" s="841" customFormat="1" ht="15" x14ac:dyDescent="0.25">
      <c r="A8025" s="841" t="s">
        <v>207</v>
      </c>
      <c r="E8025" s="1250" t="s">
        <v>3067</v>
      </c>
      <c r="F8025" s="1251"/>
      <c r="G8025" s="1251"/>
      <c r="H8025" s="1258"/>
      <c r="K8025" s="841" t="s">
        <v>3115</v>
      </c>
      <c r="M8025" s="1357"/>
      <c r="Q8025" s="1357"/>
      <c r="S8025" s="1420"/>
      <c r="T8025" s="1420"/>
      <c r="V8025" s="1357">
        <v>46</v>
      </c>
    </row>
    <row r="8026" spans="1:22" s="841" customFormat="1" ht="15" x14ac:dyDescent="0.25">
      <c r="A8026" s="841" t="s">
        <v>207</v>
      </c>
      <c r="E8026" s="1956" t="s">
        <v>12</v>
      </c>
      <c r="F8026" s="1956"/>
      <c r="G8026" s="1377" t="s">
        <v>23</v>
      </c>
      <c r="H8026" s="1264">
        <v>4.5999999999999996</v>
      </c>
      <c r="K8026" s="841" t="s">
        <v>3238</v>
      </c>
      <c r="L8026" s="841" t="s">
        <v>442</v>
      </c>
      <c r="M8026" s="1357"/>
      <c r="P8026" s="841" t="s">
        <v>3240</v>
      </c>
      <c r="Q8026" s="1357"/>
      <c r="S8026" s="1420"/>
      <c r="T8026" s="1420"/>
      <c r="V8026" s="1357">
        <v>31</v>
      </c>
    </row>
    <row r="8027" spans="1:22" s="841" customFormat="1" ht="15" x14ac:dyDescent="0.25">
      <c r="A8027" s="841" t="s">
        <v>207</v>
      </c>
      <c r="E8027" s="1956" t="s">
        <v>84</v>
      </c>
      <c r="F8027" s="1956"/>
      <c r="G8027" s="1377" t="s">
        <v>24</v>
      </c>
      <c r="H8027" s="1265">
        <v>1.8800000000000001E-2</v>
      </c>
      <c r="K8027" s="841" t="s">
        <v>3238</v>
      </c>
      <c r="L8027" s="841" t="s">
        <v>442</v>
      </c>
      <c r="M8027" s="1357"/>
      <c r="P8027" s="841" t="s">
        <v>3241</v>
      </c>
      <c r="Q8027" s="1357"/>
      <c r="S8027" s="1420"/>
      <c r="T8027" s="1420"/>
      <c r="V8027" s="1357">
        <v>28</v>
      </c>
    </row>
    <row r="8028" spans="1:22" s="841" customFormat="1" ht="15" x14ac:dyDescent="0.25">
      <c r="A8028" s="841" t="s">
        <v>207</v>
      </c>
      <c r="E8028" s="1956" t="s">
        <v>5655</v>
      </c>
      <c r="F8028" s="1956"/>
      <c r="G8028" s="1254" t="s">
        <v>24</v>
      </c>
      <c r="H8028" s="1257">
        <v>1.2999999999999999E-3</v>
      </c>
      <c r="K8028" s="841" t="s">
        <v>3238</v>
      </c>
      <c r="L8028" s="841" t="s">
        <v>443</v>
      </c>
      <c r="M8028" s="1357"/>
      <c r="P8028" s="841" t="s">
        <v>3663</v>
      </c>
      <c r="Q8028" s="1357"/>
      <c r="S8028" s="1420"/>
      <c r="T8028" s="1420">
        <v>43830</v>
      </c>
      <c r="V8028" s="1357">
        <v>142</v>
      </c>
    </row>
    <row r="8029" spans="1:22" s="841" customFormat="1" ht="15" x14ac:dyDescent="0.25">
      <c r="A8029" s="841" t="s">
        <v>207</v>
      </c>
      <c r="E8029" s="1951" t="s">
        <v>3678</v>
      </c>
      <c r="F8029" s="1951"/>
      <c r="G8029" s="1377" t="s">
        <v>24</v>
      </c>
      <c r="H8029" s="1266">
        <v>5.9999999999999995E-4</v>
      </c>
      <c r="K8029" s="841" t="s">
        <v>3238</v>
      </c>
      <c r="L8029" s="841" t="s">
        <v>443</v>
      </c>
      <c r="M8029" s="1357"/>
      <c r="P8029" s="841" t="s">
        <v>3244</v>
      </c>
      <c r="Q8029" s="1357"/>
      <c r="S8029" s="1420"/>
      <c r="T8029" s="1420">
        <v>43830</v>
      </c>
      <c r="V8029" s="1357">
        <v>99</v>
      </c>
    </row>
    <row r="8030" spans="1:22" s="841" customFormat="1" ht="15" x14ac:dyDescent="0.25">
      <c r="A8030" s="841" t="s">
        <v>207</v>
      </c>
      <c r="E8030" s="1951" t="s">
        <v>3677</v>
      </c>
      <c r="F8030" s="1951"/>
      <c r="G8030" s="1377" t="s">
        <v>24</v>
      </c>
      <c r="H8030" s="1265">
        <v>1E-4</v>
      </c>
      <c r="K8030" s="841" t="s">
        <v>3238</v>
      </c>
      <c r="L8030" s="841" t="s">
        <v>442</v>
      </c>
      <c r="M8030" s="1357"/>
      <c r="P8030" s="841" t="s">
        <v>3244</v>
      </c>
      <c r="Q8030" s="1357"/>
      <c r="S8030" s="1420"/>
      <c r="T8030" s="1420">
        <v>43830</v>
      </c>
      <c r="V8030" s="1357">
        <v>107</v>
      </c>
    </row>
    <row r="8031" spans="1:22" s="841" customFormat="1" ht="15" x14ac:dyDescent="0.25">
      <c r="A8031" s="841" t="s">
        <v>207</v>
      </c>
      <c r="E8031" s="1951" t="s">
        <v>5144</v>
      </c>
      <c r="F8031" s="1951"/>
      <c r="G8031" s="1268" t="s">
        <v>24</v>
      </c>
      <c r="H8031" s="1266">
        <v>-2.0999999999999999E-3</v>
      </c>
      <c r="K8031" s="841" t="s">
        <v>3238</v>
      </c>
      <c r="L8031" s="841" t="s">
        <v>443</v>
      </c>
      <c r="M8031" s="1357"/>
      <c r="P8031" s="841" t="s">
        <v>3244</v>
      </c>
      <c r="Q8031" s="1357"/>
      <c r="S8031" s="1420"/>
      <c r="T8031" s="1420">
        <v>43465</v>
      </c>
      <c r="V8031" s="1357">
        <v>99</v>
      </c>
    </row>
    <row r="8032" spans="1:22" s="841" customFormat="1" ht="15" x14ac:dyDescent="0.25">
      <c r="A8032" s="841" t="s">
        <v>207</v>
      </c>
      <c r="E8032" s="1956" t="s">
        <v>5659</v>
      </c>
      <c r="F8032" s="1956"/>
      <c r="G8032" s="1254" t="s">
        <v>24</v>
      </c>
      <c r="H8032" s="1257">
        <v>-1.9E-3</v>
      </c>
      <c r="K8032" s="841" t="s">
        <v>3238</v>
      </c>
      <c r="L8032" s="841" t="s">
        <v>443</v>
      </c>
      <c r="M8032" s="1357"/>
      <c r="P8032" s="841" t="s">
        <v>3663</v>
      </c>
      <c r="Q8032" s="1357"/>
      <c r="S8032" s="1420"/>
      <c r="T8032" s="1420">
        <v>43465</v>
      </c>
      <c r="V8032" s="1357">
        <v>142</v>
      </c>
    </row>
    <row r="8033" spans="1:22" s="841" customFormat="1" ht="15" x14ac:dyDescent="0.25">
      <c r="A8033" s="841" t="s">
        <v>207</v>
      </c>
      <c r="E8033" s="1951" t="s">
        <v>5657</v>
      </c>
      <c r="F8033" s="1951"/>
      <c r="G8033" s="1254" t="s">
        <v>24</v>
      </c>
      <c r="H8033" s="1236">
        <v>2.9999999999999997E-4</v>
      </c>
      <c r="K8033" s="841" t="s">
        <v>3238</v>
      </c>
      <c r="L8033" s="841" t="s">
        <v>443</v>
      </c>
      <c r="M8033" s="1357"/>
      <c r="P8033" s="841" t="s">
        <v>6367</v>
      </c>
      <c r="Q8033" s="1357"/>
      <c r="S8033" s="1420"/>
      <c r="T8033" s="1420">
        <v>43465</v>
      </c>
      <c r="V8033" s="1357">
        <v>110</v>
      </c>
    </row>
    <row r="8034" spans="1:22" s="841" customFormat="1" ht="15" x14ac:dyDescent="0.25">
      <c r="A8034" s="841" t="s">
        <v>207</v>
      </c>
      <c r="E8034" s="1951" t="s">
        <v>221</v>
      </c>
      <c r="F8034" s="1951"/>
      <c r="G8034" s="1377" t="s">
        <v>24</v>
      </c>
      <c r="H8034" s="1265">
        <v>6.7000000000000002E-3</v>
      </c>
      <c r="K8034" s="841" t="s">
        <v>3238</v>
      </c>
      <c r="L8034" s="841" t="s">
        <v>444</v>
      </c>
      <c r="M8034" s="1357"/>
      <c r="P8034" s="841" t="s">
        <v>3245</v>
      </c>
      <c r="Q8034" s="1357"/>
      <c r="S8034" s="1420"/>
      <c r="T8034" s="1420"/>
      <c r="V8034" s="1357">
        <v>47</v>
      </c>
    </row>
    <row r="8035" spans="1:22" s="841" customFormat="1" ht="15" x14ac:dyDescent="0.25">
      <c r="A8035" s="841" t="s">
        <v>207</v>
      </c>
      <c r="E8035" s="1951" t="s">
        <v>217</v>
      </c>
      <c r="F8035" s="1951"/>
      <c r="G8035" s="1377" t="s">
        <v>24</v>
      </c>
      <c r="H8035" s="1265">
        <v>6.4999999999999997E-3</v>
      </c>
      <c r="K8035" s="841" t="s">
        <v>3238</v>
      </c>
      <c r="L8035" s="841" t="s">
        <v>444</v>
      </c>
      <c r="M8035" s="1357"/>
      <c r="P8035" s="841" t="s">
        <v>3246</v>
      </c>
      <c r="Q8035" s="1357"/>
      <c r="S8035" s="1420"/>
      <c r="T8035" s="1420"/>
      <c r="V8035" s="1357">
        <v>74</v>
      </c>
    </row>
    <row r="8036" spans="1:22" s="841" customFormat="1" ht="15" x14ac:dyDescent="0.25">
      <c r="A8036" s="841" t="s">
        <v>207</v>
      </c>
      <c r="E8036" s="1250" t="s">
        <v>3079</v>
      </c>
      <c r="F8036" s="1251"/>
      <c r="G8036" s="1251"/>
      <c r="H8036" s="1258"/>
      <c r="K8036" s="841" t="s">
        <v>3122</v>
      </c>
      <c r="M8036" s="1357"/>
      <c r="Q8036" s="1357"/>
      <c r="S8036" s="1420"/>
      <c r="T8036" s="1420"/>
      <c r="V8036" s="1357">
        <v>48</v>
      </c>
    </row>
    <row r="8037" spans="1:22" s="841" customFormat="1" ht="15" x14ac:dyDescent="0.25">
      <c r="A8037" s="841" t="s">
        <v>207</v>
      </c>
      <c r="E8037" s="1957" t="s">
        <v>2449</v>
      </c>
      <c r="F8037" s="1957"/>
      <c r="G8037" s="1259" t="s">
        <v>24</v>
      </c>
      <c r="H8037" s="1215">
        <v>3.2000000000000002E-3</v>
      </c>
      <c r="K8037" s="841" t="s">
        <v>3238</v>
      </c>
      <c r="L8037" s="841" t="s">
        <v>3046</v>
      </c>
      <c r="M8037" s="1357"/>
      <c r="P8037" s="841" t="s">
        <v>3247</v>
      </c>
      <c r="Q8037" s="1357"/>
      <c r="S8037" s="1420"/>
      <c r="T8037" s="1420"/>
      <c r="V8037" s="1357">
        <v>55</v>
      </c>
    </row>
    <row r="8038" spans="1:22" s="841" customFormat="1" ht="15" x14ac:dyDescent="0.25">
      <c r="A8038" s="841" t="s">
        <v>207</v>
      </c>
      <c r="E8038" s="1379" t="s">
        <v>2450</v>
      </c>
      <c r="F8038" s="1379"/>
      <c r="G8038" s="1259" t="s">
        <v>24</v>
      </c>
      <c r="H8038" s="1215">
        <v>4.0000000000000002E-4</v>
      </c>
      <c r="K8038" s="841" t="s">
        <v>3238</v>
      </c>
      <c r="L8038" s="841" t="s">
        <v>3046</v>
      </c>
      <c r="M8038" s="1357"/>
      <c r="P8038" s="841" t="s">
        <v>3247</v>
      </c>
      <c r="Q8038" s="1357"/>
      <c r="S8038" s="1420"/>
      <c r="T8038" s="1420"/>
      <c r="V8038" s="1357">
        <v>65</v>
      </c>
    </row>
    <row r="8039" spans="1:22" s="841" customFormat="1" ht="15" x14ac:dyDescent="0.25">
      <c r="A8039" s="841" t="s">
        <v>207</v>
      </c>
      <c r="E8039" s="1957" t="s">
        <v>439</v>
      </c>
      <c r="F8039" s="1957"/>
      <c r="G8039" s="1259" t="s">
        <v>24</v>
      </c>
      <c r="H8039" s="1215">
        <v>2.9999999999999997E-4</v>
      </c>
      <c r="K8039" s="841" t="s">
        <v>3238</v>
      </c>
      <c r="L8039" s="841" t="s">
        <v>3046</v>
      </c>
      <c r="M8039" s="1357"/>
      <c r="P8039" s="841" t="s">
        <v>3248</v>
      </c>
      <c r="Q8039" s="1357"/>
      <c r="S8039" s="1420"/>
      <c r="T8039" s="1420"/>
      <c r="V8039" s="1357">
        <v>57</v>
      </c>
    </row>
    <row r="8040" spans="1:22" s="841" customFormat="1" ht="15" x14ac:dyDescent="0.25">
      <c r="A8040" s="841" t="s">
        <v>207</v>
      </c>
      <c r="E8040" s="1957" t="s">
        <v>32</v>
      </c>
      <c r="F8040" s="1957"/>
      <c r="G8040" s="1259" t="s">
        <v>23</v>
      </c>
      <c r="H8040" s="1216">
        <v>0.25</v>
      </c>
      <c r="K8040" s="841" t="s">
        <v>3238</v>
      </c>
      <c r="L8040" s="841" t="s">
        <v>3046</v>
      </c>
      <c r="M8040" s="1357"/>
      <c r="P8040" s="841" t="s">
        <v>3249</v>
      </c>
      <c r="Q8040" s="1357"/>
      <c r="S8040" s="1420"/>
      <c r="T8040" s="1420"/>
      <c r="V8040" s="1357">
        <v>63</v>
      </c>
    </row>
    <row r="8041" spans="1:22" s="841" customFormat="1" x14ac:dyDescent="0.25">
      <c r="A8041" s="841" t="s">
        <v>207</v>
      </c>
      <c r="E8041" s="2097" t="s">
        <v>629</v>
      </c>
      <c r="F8041" s="2097"/>
      <c r="G8041" s="2097"/>
      <c r="H8041" s="2102"/>
      <c r="K8041" s="841" t="s">
        <v>3250</v>
      </c>
      <c r="M8041" s="1357"/>
      <c r="Q8041" s="1357"/>
      <c r="S8041" s="1420"/>
      <c r="T8041" s="1420"/>
      <c r="V8041" s="1357">
        <v>40</v>
      </c>
    </row>
    <row r="8042" spans="1:22" s="841" customFormat="1" ht="15" x14ac:dyDescent="0.25">
      <c r="A8042" s="841" t="s">
        <v>207</v>
      </c>
      <c r="E8042" s="1949" t="s">
        <v>3374</v>
      </c>
      <c r="F8042" s="1949"/>
      <c r="G8042" s="1949"/>
      <c r="H8042" s="1950"/>
      <c r="K8042" s="841" t="s">
        <v>3250</v>
      </c>
      <c r="M8042" s="1357"/>
      <c r="Q8042" s="1357"/>
      <c r="S8042" s="1420"/>
      <c r="T8042" s="1420"/>
      <c r="V8042" s="1357">
        <v>188</v>
      </c>
    </row>
    <row r="8043" spans="1:22" s="841" customFormat="1" ht="15" x14ac:dyDescent="0.25">
      <c r="A8043" s="841" t="s">
        <v>207</v>
      </c>
      <c r="E8043" s="1250" t="s">
        <v>3061</v>
      </c>
      <c r="F8043" s="1251"/>
      <c r="G8043" s="1251"/>
      <c r="H8043" s="1258"/>
      <c r="K8043" s="841" t="s">
        <v>3128</v>
      </c>
      <c r="M8043" s="1357"/>
      <c r="Q8043" s="1357"/>
      <c r="S8043" s="1420"/>
      <c r="T8043" s="1420"/>
      <c r="V8043" s="1357">
        <v>11</v>
      </c>
    </row>
    <row r="8044" spans="1:22" s="841" customFormat="1" ht="15" x14ac:dyDescent="0.25">
      <c r="A8044" s="841" t="s">
        <v>207</v>
      </c>
      <c r="E8044" s="1949" t="s">
        <v>3063</v>
      </c>
      <c r="F8044" s="1949"/>
      <c r="G8044" s="1949"/>
      <c r="H8044" s="1950"/>
      <c r="K8044" s="841" t="s">
        <v>3250</v>
      </c>
      <c r="M8044" s="1357"/>
      <c r="Q8044" s="1357"/>
      <c r="S8044" s="1420"/>
      <c r="T8044" s="1420"/>
      <c r="V8044" s="1357">
        <v>280</v>
      </c>
    </row>
    <row r="8045" spans="1:22" s="841" customFormat="1" ht="15" x14ac:dyDescent="0.25">
      <c r="A8045" s="841" t="s">
        <v>207</v>
      </c>
      <c r="E8045" s="1949" t="s">
        <v>3064</v>
      </c>
      <c r="F8045" s="1949"/>
      <c r="G8045" s="1949"/>
      <c r="H8045" s="1950"/>
      <c r="K8045" s="841" t="s">
        <v>3250</v>
      </c>
      <c r="M8045" s="1357"/>
      <c r="Q8045" s="1357"/>
      <c r="S8045" s="1420"/>
      <c r="T8045" s="1420"/>
      <c r="V8045" s="1357">
        <v>411</v>
      </c>
    </row>
    <row r="8046" spans="1:22" s="841" customFormat="1" ht="15" x14ac:dyDescent="0.25">
      <c r="A8046" s="841" t="s">
        <v>207</v>
      </c>
      <c r="E8046" s="1949" t="s">
        <v>3065</v>
      </c>
      <c r="F8046" s="1949"/>
      <c r="G8046" s="1949"/>
      <c r="H8046" s="1950"/>
      <c r="K8046" s="841" t="s">
        <v>3250</v>
      </c>
      <c r="M8046" s="1357"/>
      <c r="Q8046" s="1357"/>
      <c r="S8046" s="1420"/>
      <c r="T8046" s="1420"/>
      <c r="V8046" s="1357">
        <v>387</v>
      </c>
    </row>
    <row r="8047" spans="1:22" s="841" customFormat="1" ht="15" x14ac:dyDescent="0.25">
      <c r="A8047" s="841" t="s">
        <v>207</v>
      </c>
      <c r="E8047" s="1949" t="s">
        <v>3810</v>
      </c>
      <c r="F8047" s="1949"/>
      <c r="G8047" s="1949"/>
      <c r="H8047" s="1950"/>
      <c r="K8047" s="841" t="s">
        <v>3250</v>
      </c>
      <c r="M8047" s="1357"/>
      <c r="Q8047" s="1357"/>
      <c r="S8047" s="1420"/>
      <c r="T8047" s="1420"/>
      <c r="V8047" s="1357">
        <v>246</v>
      </c>
    </row>
    <row r="8048" spans="1:22" s="841" customFormat="1" ht="15" x14ac:dyDescent="0.25">
      <c r="A8048" s="841" t="s">
        <v>207</v>
      </c>
      <c r="E8048" s="1250" t="s">
        <v>3067</v>
      </c>
      <c r="F8048" s="1251"/>
      <c r="G8048" s="1251"/>
      <c r="H8048" s="1258"/>
      <c r="K8048" s="841" t="s">
        <v>3130</v>
      </c>
      <c r="M8048" s="1357"/>
      <c r="Q8048" s="1357"/>
      <c r="S8048" s="1420"/>
      <c r="T8048" s="1420"/>
      <c r="V8048" s="1357">
        <v>46</v>
      </c>
    </row>
    <row r="8049" spans="1:22" s="841" customFormat="1" ht="15" x14ac:dyDescent="0.25">
      <c r="A8049" s="841" t="s">
        <v>207</v>
      </c>
      <c r="E8049" s="1956" t="s">
        <v>12</v>
      </c>
      <c r="F8049" s="1956"/>
      <c r="G8049" s="1377" t="s">
        <v>23</v>
      </c>
      <c r="H8049" s="1264">
        <v>5.55</v>
      </c>
      <c r="K8049" s="841" t="s">
        <v>3250</v>
      </c>
      <c r="L8049" s="841" t="s">
        <v>442</v>
      </c>
      <c r="M8049" s="1357"/>
      <c r="P8049" s="841" t="s">
        <v>3252</v>
      </c>
      <c r="Q8049" s="1357"/>
      <c r="S8049" s="1420"/>
      <c r="T8049" s="1420"/>
      <c r="V8049" s="1357">
        <v>31</v>
      </c>
    </row>
    <row r="8050" spans="1:22" s="841" customFormat="1" ht="15" x14ac:dyDescent="0.25">
      <c r="A8050" s="841" t="s">
        <v>207</v>
      </c>
      <c r="E8050" s="1956" t="s">
        <v>84</v>
      </c>
      <c r="F8050" s="1956"/>
      <c r="G8050" s="1377" t="s">
        <v>33</v>
      </c>
      <c r="H8050" s="1265">
        <v>7.9340999999999999</v>
      </c>
      <c r="K8050" s="841" t="s">
        <v>3250</v>
      </c>
      <c r="L8050" s="841" t="s">
        <v>442</v>
      </c>
      <c r="M8050" s="1357"/>
      <c r="P8050" s="841" t="s">
        <v>3253</v>
      </c>
      <c r="Q8050" s="1357"/>
      <c r="S8050" s="1420"/>
      <c r="T8050" s="1420"/>
      <c r="V8050" s="1357">
        <v>28</v>
      </c>
    </row>
    <row r="8051" spans="1:22" s="841" customFormat="1" ht="15" x14ac:dyDescent="0.25">
      <c r="A8051" s="841" t="s">
        <v>207</v>
      </c>
      <c r="E8051" s="1951" t="s">
        <v>3678</v>
      </c>
      <c r="F8051" s="1951"/>
      <c r="G8051" s="1377" t="s">
        <v>33</v>
      </c>
      <c r="H8051" s="1266">
        <v>0.21460000000000001</v>
      </c>
      <c r="K8051" s="841" t="s">
        <v>3250</v>
      </c>
      <c r="L8051" s="841" t="s">
        <v>443</v>
      </c>
      <c r="M8051" s="1357"/>
      <c r="P8051" s="841" t="s">
        <v>3257</v>
      </c>
      <c r="Q8051" s="1357"/>
      <c r="S8051" s="1420"/>
      <c r="T8051" s="1420">
        <v>43830</v>
      </c>
      <c r="V8051" s="1357">
        <v>99</v>
      </c>
    </row>
    <row r="8052" spans="1:22" s="841" customFormat="1" ht="15" x14ac:dyDescent="0.25">
      <c r="A8052" s="841" t="s">
        <v>207</v>
      </c>
      <c r="E8052" s="1951" t="s">
        <v>3677</v>
      </c>
      <c r="F8052" s="1951"/>
      <c r="G8052" s="1377" t="s">
        <v>33</v>
      </c>
      <c r="H8052" s="1265">
        <v>2.3E-2</v>
      </c>
      <c r="K8052" s="841" t="s">
        <v>3250</v>
      </c>
      <c r="L8052" s="841" t="s">
        <v>442</v>
      </c>
      <c r="M8052" s="1357"/>
      <c r="P8052" s="841" t="s">
        <v>3257</v>
      </c>
      <c r="Q8052" s="1357"/>
      <c r="S8052" s="1420"/>
      <c r="T8052" s="1420">
        <v>43830</v>
      </c>
      <c r="V8052" s="1357">
        <v>107</v>
      </c>
    </row>
    <row r="8053" spans="1:22" s="841" customFormat="1" ht="15" x14ac:dyDescent="0.25">
      <c r="A8053" s="841" t="s">
        <v>207</v>
      </c>
      <c r="E8053" s="1951" t="s">
        <v>5144</v>
      </c>
      <c r="F8053" s="1951"/>
      <c r="G8053" s="1377" t="s">
        <v>33</v>
      </c>
      <c r="H8053" s="1266">
        <v>-0.70689999999999997</v>
      </c>
      <c r="K8053" s="841" t="s">
        <v>3250</v>
      </c>
      <c r="L8053" s="841" t="s">
        <v>443</v>
      </c>
      <c r="M8053" s="1357"/>
      <c r="P8053" s="841" t="s">
        <v>3257</v>
      </c>
      <c r="Q8053" s="1357"/>
      <c r="S8053" s="1420"/>
      <c r="T8053" s="1420">
        <v>43465</v>
      </c>
      <c r="V8053" s="1357">
        <v>99</v>
      </c>
    </row>
    <row r="8054" spans="1:22" s="841" customFormat="1" ht="15" x14ac:dyDescent="0.25">
      <c r="A8054" s="841" t="s">
        <v>207</v>
      </c>
      <c r="E8054" s="1951" t="s">
        <v>5657</v>
      </c>
      <c r="F8054" s="1951"/>
      <c r="G8054" s="1254" t="s">
        <v>33</v>
      </c>
      <c r="H8054" s="1236">
        <v>9.8299999999999998E-2</v>
      </c>
      <c r="K8054" s="841" t="s">
        <v>3250</v>
      </c>
      <c r="L8054" s="841" t="s">
        <v>443</v>
      </c>
      <c r="M8054" s="1357"/>
      <c r="P8054" s="841" t="s">
        <v>6368</v>
      </c>
      <c r="Q8054" s="1357"/>
      <c r="S8054" s="1420"/>
      <c r="T8054" s="1420">
        <v>43465</v>
      </c>
      <c r="V8054" s="1357">
        <v>110</v>
      </c>
    </row>
    <row r="8055" spans="1:22" s="841" customFormat="1" ht="15" x14ac:dyDescent="0.25">
      <c r="A8055" s="841" t="s">
        <v>207</v>
      </c>
      <c r="E8055" s="1951" t="s">
        <v>221</v>
      </c>
      <c r="F8055" s="1951"/>
      <c r="G8055" s="1377" t="s">
        <v>33</v>
      </c>
      <c r="H8055" s="1265">
        <v>1.6787000000000001</v>
      </c>
      <c r="K8055" s="841" t="s">
        <v>3250</v>
      </c>
      <c r="L8055" s="841" t="s">
        <v>444</v>
      </c>
      <c r="M8055" s="1357"/>
      <c r="P8055" s="841" t="s">
        <v>3258</v>
      </c>
      <c r="Q8055" s="1357"/>
      <c r="S8055" s="1420"/>
      <c r="T8055" s="1420"/>
      <c r="V8055" s="1357">
        <v>47</v>
      </c>
    </row>
    <row r="8056" spans="1:22" s="841" customFormat="1" ht="15" x14ac:dyDescent="0.25">
      <c r="A8056" s="841" t="s">
        <v>207</v>
      </c>
      <c r="E8056" s="1951" t="s">
        <v>217</v>
      </c>
      <c r="F8056" s="1951"/>
      <c r="G8056" s="1377" t="s">
        <v>33</v>
      </c>
      <c r="H8056" s="1265">
        <v>2.6722000000000001</v>
      </c>
      <c r="K8056" s="841" t="s">
        <v>3250</v>
      </c>
      <c r="L8056" s="841" t="s">
        <v>444</v>
      </c>
      <c r="M8056" s="1357"/>
      <c r="P8056" s="841" t="s">
        <v>3259</v>
      </c>
      <c r="Q8056" s="1357"/>
      <c r="S8056" s="1420"/>
      <c r="T8056" s="1420"/>
      <c r="V8056" s="1357">
        <v>74</v>
      </c>
    </row>
    <row r="8057" spans="1:22" s="841" customFormat="1" ht="15" x14ac:dyDescent="0.25">
      <c r="A8057" s="841" t="s">
        <v>207</v>
      </c>
      <c r="E8057" s="1261" t="s">
        <v>3079</v>
      </c>
      <c r="F8057" s="1251"/>
      <c r="G8057" s="1251"/>
      <c r="H8057" s="1258"/>
      <c r="K8057" s="841" t="s">
        <v>3260</v>
      </c>
      <c r="M8057" s="1357"/>
      <c r="Q8057" s="1357"/>
      <c r="S8057" s="1420"/>
      <c r="T8057" s="1420"/>
      <c r="V8057" s="1357">
        <v>48</v>
      </c>
    </row>
    <row r="8058" spans="1:22" s="841" customFormat="1" ht="15" x14ac:dyDescent="0.25">
      <c r="A8058" s="841" t="s">
        <v>207</v>
      </c>
      <c r="E8058" s="1957" t="s">
        <v>2449</v>
      </c>
      <c r="F8058" s="1957"/>
      <c r="G8058" s="1259" t="s">
        <v>24</v>
      </c>
      <c r="H8058" s="1215">
        <v>3.2000000000000002E-3</v>
      </c>
      <c r="K8058" s="841" t="s">
        <v>3250</v>
      </c>
      <c r="L8058" s="841" t="s">
        <v>3046</v>
      </c>
      <c r="M8058" s="1357"/>
      <c r="P8058" s="841" t="s">
        <v>3261</v>
      </c>
      <c r="Q8058" s="1357"/>
      <c r="S8058" s="1420"/>
      <c r="T8058" s="1420"/>
      <c r="V8058" s="1357">
        <v>55</v>
      </c>
    </row>
    <row r="8059" spans="1:22" s="841" customFormat="1" ht="15" x14ac:dyDescent="0.25">
      <c r="A8059" s="841" t="s">
        <v>207</v>
      </c>
      <c r="E8059" s="1379" t="s">
        <v>2450</v>
      </c>
      <c r="F8059" s="1379"/>
      <c r="G8059" s="1259" t="s">
        <v>24</v>
      </c>
      <c r="H8059" s="1215">
        <v>4.0000000000000002E-4</v>
      </c>
      <c r="K8059" s="841" t="s">
        <v>3250</v>
      </c>
      <c r="L8059" s="841" t="s">
        <v>3046</v>
      </c>
      <c r="M8059" s="1357"/>
      <c r="P8059" s="841" t="s">
        <v>3261</v>
      </c>
      <c r="Q8059" s="1357"/>
      <c r="S8059" s="1420"/>
      <c r="T8059" s="1420"/>
      <c r="V8059" s="1357">
        <v>65</v>
      </c>
    </row>
    <row r="8060" spans="1:22" s="841" customFormat="1" ht="15" x14ac:dyDescent="0.25">
      <c r="A8060" s="841" t="s">
        <v>207</v>
      </c>
      <c r="E8060" s="1957" t="s">
        <v>439</v>
      </c>
      <c r="F8060" s="1957"/>
      <c r="G8060" s="1259" t="s">
        <v>24</v>
      </c>
      <c r="H8060" s="1215">
        <v>2.9999999999999997E-4</v>
      </c>
      <c r="K8060" s="841" t="s">
        <v>3250</v>
      </c>
      <c r="L8060" s="841" t="s">
        <v>3046</v>
      </c>
      <c r="M8060" s="1357"/>
      <c r="P8060" s="841" t="s">
        <v>3262</v>
      </c>
      <c r="Q8060" s="1357"/>
      <c r="S8060" s="1420"/>
      <c r="T8060" s="1420"/>
      <c r="V8060" s="1357">
        <v>57</v>
      </c>
    </row>
    <row r="8061" spans="1:22" s="841" customFormat="1" ht="15" x14ac:dyDescent="0.25">
      <c r="A8061" s="841" t="s">
        <v>207</v>
      </c>
      <c r="E8061" s="1957" t="s">
        <v>32</v>
      </c>
      <c r="F8061" s="1957"/>
      <c r="G8061" s="1259" t="s">
        <v>23</v>
      </c>
      <c r="H8061" s="1216">
        <v>0.25</v>
      </c>
      <c r="K8061" s="841" t="s">
        <v>3250</v>
      </c>
      <c r="L8061" s="841" t="s">
        <v>3046</v>
      </c>
      <c r="M8061" s="1357"/>
      <c r="P8061" s="841" t="s">
        <v>3263</v>
      </c>
      <c r="Q8061" s="1357"/>
      <c r="S8061" s="1420"/>
      <c r="T8061" s="1420"/>
      <c r="V8061" s="1357">
        <v>63</v>
      </c>
    </row>
    <row r="8062" spans="1:22" s="841" customFormat="1" x14ac:dyDescent="0.25">
      <c r="A8062" s="841" t="s">
        <v>207</v>
      </c>
      <c r="E8062" s="2097" t="s">
        <v>615</v>
      </c>
      <c r="F8062" s="2097"/>
      <c r="G8062" s="2097"/>
      <c r="H8062" s="2102"/>
      <c r="K8062" s="841" t="s">
        <v>3264</v>
      </c>
      <c r="M8062" s="1357"/>
      <c r="Q8062" s="1357"/>
      <c r="S8062" s="1420"/>
      <c r="T8062" s="1420"/>
      <c r="V8062" s="1357">
        <v>38</v>
      </c>
    </row>
    <row r="8063" spans="1:22" s="841" customFormat="1" ht="15" x14ac:dyDescent="0.25">
      <c r="A8063" s="841" t="s">
        <v>207</v>
      </c>
      <c r="E8063" s="1949" t="s">
        <v>3693</v>
      </c>
      <c r="F8063" s="1949"/>
      <c r="G8063" s="1949"/>
      <c r="H8063" s="1950"/>
      <c r="K8063" s="841" t="s">
        <v>3264</v>
      </c>
      <c r="M8063" s="1357"/>
      <c r="Q8063" s="1357"/>
      <c r="S8063" s="1420"/>
      <c r="T8063" s="1420"/>
      <c r="V8063" s="1357">
        <v>526</v>
      </c>
    </row>
    <row r="8064" spans="1:22" s="841" customFormat="1" ht="15" x14ac:dyDescent="0.25">
      <c r="A8064" s="841" t="s">
        <v>207</v>
      </c>
      <c r="E8064" s="1250" t="s">
        <v>3061</v>
      </c>
      <c r="F8064" s="1251"/>
      <c r="G8064" s="1251"/>
      <c r="H8064" s="1258"/>
      <c r="K8064" s="841" t="s">
        <v>3266</v>
      </c>
      <c r="M8064" s="1357"/>
      <c r="Q8064" s="1357"/>
      <c r="S8064" s="1420"/>
      <c r="T8064" s="1420"/>
      <c r="V8064" s="1357">
        <v>11</v>
      </c>
    </row>
    <row r="8065" spans="1:22" s="841" customFormat="1" ht="15" x14ac:dyDescent="0.25">
      <c r="A8065" s="841" t="s">
        <v>207</v>
      </c>
      <c r="E8065" s="1949" t="s">
        <v>3063</v>
      </c>
      <c r="F8065" s="1949"/>
      <c r="G8065" s="1949"/>
      <c r="H8065" s="1950"/>
      <c r="K8065" s="841" t="s">
        <v>3264</v>
      </c>
      <c r="M8065" s="1357"/>
      <c r="Q8065" s="1357"/>
      <c r="S8065" s="1420"/>
      <c r="T8065" s="1420"/>
      <c r="V8065" s="1357">
        <v>280</v>
      </c>
    </row>
    <row r="8066" spans="1:22" s="841" customFormat="1" ht="15" x14ac:dyDescent="0.25">
      <c r="A8066" s="841" t="s">
        <v>207</v>
      </c>
      <c r="E8066" s="1949" t="s">
        <v>3064</v>
      </c>
      <c r="F8066" s="1949"/>
      <c r="G8066" s="1949"/>
      <c r="H8066" s="1950"/>
      <c r="K8066" s="841" t="s">
        <v>3264</v>
      </c>
      <c r="M8066" s="1357"/>
      <c r="Q8066" s="1357"/>
      <c r="S8066" s="1420"/>
      <c r="T8066" s="1420"/>
      <c r="V8066" s="1357">
        <v>411</v>
      </c>
    </row>
    <row r="8067" spans="1:22" s="841" customFormat="1" ht="15" x14ac:dyDescent="0.25">
      <c r="A8067" s="841" t="s">
        <v>207</v>
      </c>
      <c r="E8067" s="2098" t="s">
        <v>3065</v>
      </c>
      <c r="F8067" s="2098"/>
      <c r="G8067" s="2098"/>
      <c r="H8067" s="2099"/>
      <c r="K8067" s="841" t="s">
        <v>3264</v>
      </c>
      <c r="M8067" s="1357"/>
      <c r="Q8067" s="1357"/>
      <c r="S8067" s="1420"/>
      <c r="T8067" s="1420"/>
      <c r="V8067" s="1357">
        <v>387</v>
      </c>
    </row>
    <row r="8068" spans="1:22" s="841" customFormat="1" ht="15" x14ac:dyDescent="0.25">
      <c r="A8068" s="841" t="s">
        <v>207</v>
      </c>
      <c r="E8068" s="1949" t="s">
        <v>3810</v>
      </c>
      <c r="F8068" s="1949"/>
      <c r="G8068" s="1949"/>
      <c r="H8068" s="1950"/>
      <c r="K8068" s="841" t="s">
        <v>3264</v>
      </c>
      <c r="M8068" s="1357"/>
      <c r="Q8068" s="1357"/>
      <c r="S8068" s="1420"/>
      <c r="T8068" s="1420"/>
      <c r="V8068" s="1357">
        <v>246</v>
      </c>
    </row>
    <row r="8069" spans="1:22" s="841" customFormat="1" ht="15" x14ac:dyDescent="0.25">
      <c r="A8069" s="841" t="s">
        <v>207</v>
      </c>
      <c r="E8069" s="1250" t="s">
        <v>3067</v>
      </c>
      <c r="F8069" s="1251"/>
      <c r="G8069" s="1251"/>
      <c r="H8069" s="1258"/>
      <c r="K8069" s="841" t="s">
        <v>3267</v>
      </c>
      <c r="M8069" s="1357"/>
      <c r="Q8069" s="1357"/>
      <c r="S8069" s="1420"/>
      <c r="T8069" s="1420"/>
      <c r="V8069" s="1357">
        <v>46</v>
      </c>
    </row>
    <row r="8070" spans="1:22" s="841" customFormat="1" ht="15" x14ac:dyDescent="0.25">
      <c r="A8070" s="841" t="s">
        <v>207</v>
      </c>
      <c r="E8070" s="1956" t="s">
        <v>12</v>
      </c>
      <c r="F8070" s="1956"/>
      <c r="G8070" s="1377" t="s">
        <v>23</v>
      </c>
      <c r="H8070" s="1264">
        <v>1.99</v>
      </c>
      <c r="K8070" s="841" t="s">
        <v>3264</v>
      </c>
      <c r="L8070" s="841" t="s">
        <v>442</v>
      </c>
      <c r="M8070" s="1357"/>
      <c r="P8070" s="841" t="s">
        <v>3268</v>
      </c>
      <c r="Q8070" s="1357"/>
      <c r="S8070" s="1420"/>
      <c r="T8070" s="1420"/>
      <c r="V8070" s="1357">
        <v>31</v>
      </c>
    </row>
    <row r="8071" spans="1:22" s="841" customFormat="1" ht="15" x14ac:dyDescent="0.25">
      <c r="A8071" s="841" t="s">
        <v>207</v>
      </c>
      <c r="E8071" s="1956" t="s">
        <v>84</v>
      </c>
      <c r="F8071" s="1956"/>
      <c r="G8071" s="1377" t="s">
        <v>33</v>
      </c>
      <c r="H8071" s="1265">
        <v>30.683299999999999</v>
      </c>
      <c r="K8071" s="841" t="s">
        <v>3264</v>
      </c>
      <c r="L8071" s="841" t="s">
        <v>442</v>
      </c>
      <c r="M8071" s="1357"/>
      <c r="P8071" s="841" t="s">
        <v>3269</v>
      </c>
      <c r="Q8071" s="1357"/>
      <c r="S8071" s="1420"/>
      <c r="T8071" s="1420"/>
      <c r="V8071" s="1357">
        <v>28</v>
      </c>
    </row>
    <row r="8072" spans="1:22" s="841" customFormat="1" ht="15" x14ac:dyDescent="0.25">
      <c r="A8072" s="841" t="s">
        <v>207</v>
      </c>
      <c r="E8072" s="1956" t="s">
        <v>5655</v>
      </c>
      <c r="F8072" s="1956"/>
      <c r="G8072" s="1254" t="s">
        <v>33</v>
      </c>
      <c r="H8072" s="1257">
        <v>0.48209999999999997</v>
      </c>
      <c r="K8072" s="841" t="s">
        <v>3264</v>
      </c>
      <c r="L8072" s="841" t="s">
        <v>443</v>
      </c>
      <c r="M8072" s="1357"/>
      <c r="P8072" s="841" t="s">
        <v>3664</v>
      </c>
      <c r="Q8072" s="1357"/>
      <c r="S8072" s="1420"/>
      <c r="T8072" s="1420">
        <v>43830</v>
      </c>
      <c r="V8072" s="1357">
        <v>142</v>
      </c>
    </row>
    <row r="8073" spans="1:22" s="841" customFormat="1" ht="15" x14ac:dyDescent="0.25">
      <c r="A8073" s="841" t="s">
        <v>207</v>
      </c>
      <c r="E8073" s="1956" t="s">
        <v>3678</v>
      </c>
      <c r="F8073" s="1956"/>
      <c r="G8073" s="1377" t="s">
        <v>33</v>
      </c>
      <c r="H8073" s="1266">
        <v>0.2248</v>
      </c>
      <c r="K8073" s="841" t="s">
        <v>3264</v>
      </c>
      <c r="L8073" s="841" t="s">
        <v>443</v>
      </c>
      <c r="M8073" s="1357"/>
      <c r="P8073" s="841" t="s">
        <v>3273</v>
      </c>
      <c r="Q8073" s="1357"/>
      <c r="S8073" s="1420"/>
      <c r="T8073" s="1420">
        <v>43830</v>
      </c>
      <c r="V8073" s="1357">
        <v>99</v>
      </c>
    </row>
    <row r="8074" spans="1:22" s="841" customFormat="1" ht="15" x14ac:dyDescent="0.25">
      <c r="A8074" s="841" t="s">
        <v>207</v>
      </c>
      <c r="E8074" s="1956" t="s">
        <v>3677</v>
      </c>
      <c r="F8074" s="1956"/>
      <c r="G8074" s="1377" t="s">
        <v>33</v>
      </c>
      <c r="H8074" s="1265">
        <v>2.4199999999999999E-2</v>
      </c>
      <c r="K8074" s="841" t="s">
        <v>3264</v>
      </c>
      <c r="L8074" s="841" t="s">
        <v>442</v>
      </c>
      <c r="M8074" s="1357"/>
      <c r="P8074" s="841" t="s">
        <v>3273</v>
      </c>
      <c r="Q8074" s="1357"/>
      <c r="S8074" s="1420"/>
      <c r="T8074" s="1420">
        <v>43830</v>
      </c>
      <c r="V8074" s="1357">
        <v>107</v>
      </c>
    </row>
    <row r="8075" spans="1:22" s="841" customFormat="1" ht="15" x14ac:dyDescent="0.25">
      <c r="A8075" s="841" t="s">
        <v>207</v>
      </c>
      <c r="E8075" s="1956" t="s">
        <v>5144</v>
      </c>
      <c r="F8075" s="1956"/>
      <c r="G8075" s="1377" t="s">
        <v>33</v>
      </c>
      <c r="H8075" s="1266">
        <v>-0.75700000000000001</v>
      </c>
      <c r="K8075" s="841" t="s">
        <v>3264</v>
      </c>
      <c r="L8075" s="841" t="s">
        <v>443</v>
      </c>
      <c r="M8075" s="1357"/>
      <c r="P8075" s="841" t="s">
        <v>3273</v>
      </c>
      <c r="Q8075" s="1357"/>
      <c r="S8075" s="1420"/>
      <c r="T8075" s="1420">
        <v>43465</v>
      </c>
      <c r="V8075" s="1357">
        <v>99</v>
      </c>
    </row>
    <row r="8076" spans="1:22" s="841" customFormat="1" ht="15" x14ac:dyDescent="0.25">
      <c r="A8076" s="841" t="s">
        <v>207</v>
      </c>
      <c r="E8076" s="1956" t="s">
        <v>5657</v>
      </c>
      <c r="F8076" s="1956"/>
      <c r="G8076" s="1254" t="s">
        <v>33</v>
      </c>
      <c r="H8076" s="1236">
        <v>0.1053</v>
      </c>
      <c r="K8076" s="841" t="s">
        <v>3264</v>
      </c>
      <c r="L8076" s="841" t="s">
        <v>443</v>
      </c>
      <c r="M8076" s="1357"/>
      <c r="P8076" s="841" t="s">
        <v>6369</v>
      </c>
      <c r="Q8076" s="1357"/>
      <c r="S8076" s="1420"/>
      <c r="T8076" s="1420">
        <v>43465</v>
      </c>
      <c r="V8076" s="1357">
        <v>110</v>
      </c>
    </row>
    <row r="8077" spans="1:22" s="841" customFormat="1" ht="15" x14ac:dyDescent="0.25">
      <c r="A8077" s="841" t="s">
        <v>207</v>
      </c>
      <c r="E8077" s="1956" t="s">
        <v>5659</v>
      </c>
      <c r="F8077" s="1956"/>
      <c r="G8077" s="1254" t="s">
        <v>24</v>
      </c>
      <c r="H8077" s="1257">
        <v>-1.9E-3</v>
      </c>
      <c r="K8077" s="841" t="s">
        <v>3264</v>
      </c>
      <c r="L8077" s="841" t="s">
        <v>443</v>
      </c>
      <c r="M8077" s="1357"/>
      <c r="P8077" s="841" t="s">
        <v>3271</v>
      </c>
      <c r="Q8077" s="1357"/>
      <c r="S8077" s="1420"/>
      <c r="T8077" s="1420">
        <v>43465</v>
      </c>
      <c r="V8077" s="1357">
        <v>142</v>
      </c>
    </row>
    <row r="8078" spans="1:22" s="841" customFormat="1" ht="15" x14ac:dyDescent="0.25">
      <c r="A8078" s="841" t="s">
        <v>207</v>
      </c>
      <c r="E8078" s="1956" t="s">
        <v>221</v>
      </c>
      <c r="F8078" s="1956"/>
      <c r="G8078" s="1377" t="s">
        <v>33</v>
      </c>
      <c r="H8078" s="1265">
        <v>1.6503000000000001</v>
      </c>
      <c r="K8078" s="841" t="s">
        <v>3264</v>
      </c>
      <c r="L8078" s="841" t="s">
        <v>444</v>
      </c>
      <c r="M8078" s="1357"/>
      <c r="P8078" s="841" t="s">
        <v>3274</v>
      </c>
      <c r="Q8078" s="1357"/>
      <c r="S8078" s="1420"/>
      <c r="T8078" s="1420"/>
      <c r="V8078" s="1357">
        <v>47</v>
      </c>
    </row>
    <row r="8079" spans="1:22" s="841" customFormat="1" ht="15" x14ac:dyDescent="0.25">
      <c r="A8079" s="841" t="s">
        <v>207</v>
      </c>
      <c r="E8079" s="1956" t="s">
        <v>217</v>
      </c>
      <c r="F8079" s="1956"/>
      <c r="G8079" s="1377" t="s">
        <v>33</v>
      </c>
      <c r="H8079" s="1265">
        <v>2.6269999999999998</v>
      </c>
      <c r="K8079" s="841" t="s">
        <v>3264</v>
      </c>
      <c r="L8079" s="841" t="s">
        <v>444</v>
      </c>
      <c r="M8079" s="1357"/>
      <c r="P8079" s="841" t="s">
        <v>3275</v>
      </c>
      <c r="Q8079" s="1357"/>
      <c r="S8079" s="1420"/>
      <c r="T8079" s="1420"/>
      <c r="V8079" s="1357">
        <v>74</v>
      </c>
    </row>
    <row r="8080" spans="1:22" s="841" customFormat="1" ht="15" x14ac:dyDescent="0.25">
      <c r="A8080" s="841" t="s">
        <v>207</v>
      </c>
      <c r="E8080" s="1261" t="s">
        <v>3079</v>
      </c>
      <c r="F8080" s="1251"/>
      <c r="G8080" s="1251"/>
      <c r="H8080" s="1258"/>
      <c r="K8080" s="841" t="s">
        <v>3276</v>
      </c>
      <c r="M8080" s="1357"/>
      <c r="Q8080" s="1357"/>
      <c r="S8080" s="1420"/>
      <c r="T8080" s="1420"/>
      <c r="V8080" s="1357">
        <v>48</v>
      </c>
    </row>
    <row r="8081" spans="1:22" s="841" customFormat="1" ht="15" x14ac:dyDescent="0.25">
      <c r="A8081" s="841" t="s">
        <v>207</v>
      </c>
      <c r="E8081" s="1957" t="s">
        <v>2449</v>
      </c>
      <c r="F8081" s="1957"/>
      <c r="G8081" s="1259" t="s">
        <v>24</v>
      </c>
      <c r="H8081" s="1215">
        <v>3.2000000000000002E-3</v>
      </c>
      <c r="K8081" s="841" t="s">
        <v>3264</v>
      </c>
      <c r="L8081" s="841" t="s">
        <v>3046</v>
      </c>
      <c r="M8081" s="1357"/>
      <c r="P8081" s="841" t="s">
        <v>3277</v>
      </c>
      <c r="Q8081" s="1357"/>
      <c r="S8081" s="1420"/>
      <c r="T8081" s="1420"/>
      <c r="V8081" s="1357">
        <v>55</v>
      </c>
    </row>
    <row r="8082" spans="1:22" s="841" customFormat="1" ht="15" x14ac:dyDescent="0.25">
      <c r="A8082" s="841" t="s">
        <v>207</v>
      </c>
      <c r="E8082" s="1379" t="s">
        <v>2450</v>
      </c>
      <c r="F8082" s="1379"/>
      <c r="G8082" s="1259" t="s">
        <v>24</v>
      </c>
      <c r="H8082" s="1215">
        <v>4.0000000000000002E-4</v>
      </c>
      <c r="K8082" s="841" t="s">
        <v>3264</v>
      </c>
      <c r="L8082" s="841" t="s">
        <v>3046</v>
      </c>
      <c r="M8082" s="1357"/>
      <c r="P8082" s="841" t="s">
        <v>3277</v>
      </c>
      <c r="Q8082" s="1357"/>
      <c r="S8082" s="1420"/>
      <c r="T8082" s="1420"/>
      <c r="V8082" s="1357">
        <v>65</v>
      </c>
    </row>
    <row r="8083" spans="1:22" s="841" customFormat="1" ht="15" x14ac:dyDescent="0.25">
      <c r="A8083" s="841" t="s">
        <v>207</v>
      </c>
      <c r="E8083" s="1957" t="s">
        <v>439</v>
      </c>
      <c r="F8083" s="1957"/>
      <c r="G8083" s="1259" t="s">
        <v>24</v>
      </c>
      <c r="H8083" s="1215">
        <v>2.9999999999999997E-4</v>
      </c>
      <c r="K8083" s="841" t="s">
        <v>3264</v>
      </c>
      <c r="L8083" s="841" t="s">
        <v>3046</v>
      </c>
      <c r="M8083" s="1357"/>
      <c r="P8083" s="841" t="s">
        <v>3278</v>
      </c>
      <c r="Q8083" s="1357"/>
      <c r="S8083" s="1420"/>
      <c r="T8083" s="1420"/>
      <c r="V8083" s="1357">
        <v>57</v>
      </c>
    </row>
    <row r="8084" spans="1:22" s="841" customFormat="1" ht="15" x14ac:dyDescent="0.25">
      <c r="A8084" s="841" t="s">
        <v>207</v>
      </c>
      <c r="E8084" s="1957" t="s">
        <v>32</v>
      </c>
      <c r="F8084" s="1957"/>
      <c r="G8084" s="1259" t="s">
        <v>23</v>
      </c>
      <c r="H8084" s="1216">
        <v>0.25</v>
      </c>
      <c r="K8084" s="841" t="s">
        <v>3264</v>
      </c>
      <c r="L8084" s="841" t="s">
        <v>3046</v>
      </c>
      <c r="M8084" s="1357"/>
      <c r="P8084" s="841" t="s">
        <v>3279</v>
      </c>
      <c r="Q8084" s="1357"/>
      <c r="S8084" s="1420"/>
      <c r="T8084" s="1420"/>
      <c r="V8084" s="1357">
        <v>63</v>
      </c>
    </row>
    <row r="8085" spans="1:22" s="841" customFormat="1" x14ac:dyDescent="0.25">
      <c r="A8085" s="841" t="s">
        <v>207</v>
      </c>
      <c r="E8085" s="2097" t="s">
        <v>618</v>
      </c>
      <c r="F8085" s="2097"/>
      <c r="G8085" s="2097"/>
      <c r="H8085" s="2102"/>
      <c r="K8085" s="841" t="s">
        <v>3280</v>
      </c>
      <c r="M8085" s="1357"/>
      <c r="Q8085" s="1357"/>
      <c r="S8085" s="1420"/>
      <c r="T8085" s="1420"/>
      <c r="V8085" s="1357">
        <v>31</v>
      </c>
    </row>
    <row r="8086" spans="1:22" s="841" customFormat="1" ht="15" x14ac:dyDescent="0.25">
      <c r="A8086" s="841" t="s">
        <v>207</v>
      </c>
      <c r="E8086" s="1949" t="s">
        <v>3127</v>
      </c>
      <c r="F8086" s="1949"/>
      <c r="G8086" s="1949"/>
      <c r="H8086" s="1950"/>
      <c r="K8086" s="841" t="s">
        <v>3280</v>
      </c>
      <c r="M8086" s="1357"/>
      <c r="Q8086" s="1357"/>
      <c r="S8086" s="1420"/>
      <c r="T8086" s="1420"/>
      <c r="V8086" s="1357">
        <v>286</v>
      </c>
    </row>
    <row r="8087" spans="1:22" s="841" customFormat="1" ht="15" x14ac:dyDescent="0.25">
      <c r="A8087" s="841" t="s">
        <v>207</v>
      </c>
      <c r="E8087" s="1250" t="s">
        <v>3061</v>
      </c>
      <c r="F8087" s="1251"/>
      <c r="G8087" s="1251"/>
      <c r="H8087" s="1258"/>
      <c r="K8087" s="841" t="s">
        <v>3281</v>
      </c>
      <c r="M8087" s="1357"/>
      <c r="Q8087" s="1357"/>
      <c r="S8087" s="1420"/>
      <c r="T8087" s="1420"/>
      <c r="V8087" s="1357">
        <v>11</v>
      </c>
    </row>
    <row r="8088" spans="1:22" s="841" customFormat="1" ht="15" x14ac:dyDescent="0.25">
      <c r="A8088" s="841" t="s">
        <v>207</v>
      </c>
      <c r="E8088" s="2098" t="s">
        <v>3063</v>
      </c>
      <c r="F8088" s="2098"/>
      <c r="G8088" s="2098"/>
      <c r="H8088" s="2099"/>
      <c r="K8088" s="841" t="s">
        <v>3280</v>
      </c>
      <c r="M8088" s="1357"/>
      <c r="Q8088" s="1357"/>
      <c r="S8088" s="1420"/>
      <c r="T8088" s="1420"/>
      <c r="V8088" s="1357">
        <v>280</v>
      </c>
    </row>
    <row r="8089" spans="1:22" s="841" customFormat="1" ht="15" x14ac:dyDescent="0.25">
      <c r="A8089" s="841" t="s">
        <v>207</v>
      </c>
      <c r="E8089" s="1949" t="s">
        <v>3064</v>
      </c>
      <c r="F8089" s="1949"/>
      <c r="G8089" s="1949"/>
      <c r="H8089" s="1950"/>
      <c r="K8089" s="841" t="s">
        <v>3280</v>
      </c>
      <c r="M8089" s="1357"/>
      <c r="Q8089" s="1357"/>
      <c r="S8089" s="1420"/>
      <c r="T8089" s="1420"/>
      <c r="V8089" s="1357">
        <v>411</v>
      </c>
    </row>
    <row r="8090" spans="1:22" s="841" customFormat="1" ht="15" x14ac:dyDescent="0.25">
      <c r="A8090" s="841" t="s">
        <v>207</v>
      </c>
      <c r="E8090" s="2098" t="s">
        <v>3129</v>
      </c>
      <c r="F8090" s="2098"/>
      <c r="G8090" s="2098"/>
      <c r="H8090" s="2099"/>
      <c r="K8090" s="841" t="s">
        <v>3280</v>
      </c>
      <c r="M8090" s="1357"/>
      <c r="Q8090" s="1357"/>
      <c r="S8090" s="1420"/>
      <c r="T8090" s="1420"/>
      <c r="V8090" s="1357">
        <v>211</v>
      </c>
    </row>
    <row r="8091" spans="1:22" s="841" customFormat="1" ht="15" x14ac:dyDescent="0.25">
      <c r="A8091" s="841" t="s">
        <v>207</v>
      </c>
      <c r="E8091" s="1949" t="s">
        <v>3810</v>
      </c>
      <c r="F8091" s="1949"/>
      <c r="G8091" s="1949"/>
      <c r="H8091" s="1950"/>
      <c r="K8091" s="841" t="s">
        <v>3280</v>
      </c>
      <c r="M8091" s="1357"/>
      <c r="Q8091" s="1357"/>
      <c r="S8091" s="1420"/>
      <c r="T8091" s="1420"/>
      <c r="V8091" s="1357">
        <v>246</v>
      </c>
    </row>
    <row r="8092" spans="1:22" s="841" customFormat="1" ht="15" x14ac:dyDescent="0.25">
      <c r="A8092" s="841" t="s">
        <v>207</v>
      </c>
      <c r="E8092" s="1250" t="s">
        <v>3067</v>
      </c>
      <c r="F8092" s="1251"/>
      <c r="G8092" s="1251"/>
      <c r="H8092" s="1258"/>
      <c r="K8092" s="841" t="s">
        <v>3282</v>
      </c>
      <c r="M8092" s="1357"/>
      <c r="Q8092" s="1357"/>
      <c r="S8092" s="1420"/>
      <c r="T8092" s="1420"/>
      <c r="V8092" s="1357">
        <v>46</v>
      </c>
    </row>
    <row r="8093" spans="1:22" s="841" customFormat="1" ht="15" x14ac:dyDescent="0.25">
      <c r="A8093" s="841" t="s">
        <v>207</v>
      </c>
      <c r="E8093" s="1951" t="s">
        <v>11</v>
      </c>
      <c r="F8093" s="1951"/>
      <c r="G8093" s="1377" t="s">
        <v>23</v>
      </c>
      <c r="H8093" s="1264">
        <v>5.4</v>
      </c>
      <c r="K8093" s="841" t="s">
        <v>3280</v>
      </c>
      <c r="L8093" s="841" t="s">
        <v>442</v>
      </c>
      <c r="M8093" s="1357"/>
      <c r="P8093" s="841" t="s">
        <v>3283</v>
      </c>
      <c r="Q8093" s="1357"/>
      <c r="S8093" s="1420"/>
      <c r="T8093" s="1420"/>
      <c r="V8093" s="1357">
        <v>14</v>
      </c>
    </row>
    <row r="8094" spans="1:22" s="841" customFormat="1" x14ac:dyDescent="0.25">
      <c r="A8094" s="841" t="s">
        <v>207</v>
      </c>
      <c r="E8094" s="1269" t="s">
        <v>85</v>
      </c>
      <c r="F8094" s="1270"/>
      <c r="G8094" s="1270"/>
      <c r="H8094" s="1271"/>
      <c r="K8094" s="841" t="s">
        <v>3701</v>
      </c>
      <c r="M8094" s="1357"/>
      <c r="Q8094" s="1357"/>
      <c r="S8094" s="1420"/>
      <c r="T8094" s="1420"/>
      <c r="V8094" s="1357">
        <v>10</v>
      </c>
    </row>
    <row r="8095" spans="1:22" s="841" customFormat="1" ht="15" x14ac:dyDescent="0.25">
      <c r="A8095" s="841" t="s">
        <v>207</v>
      </c>
      <c r="E8095" s="1986" t="s">
        <v>5557</v>
      </c>
      <c r="F8095" s="1986"/>
      <c r="G8095" s="1272" t="s">
        <v>33</v>
      </c>
      <c r="H8095" s="1273">
        <v>-0.6</v>
      </c>
      <c r="M8095" s="1357"/>
      <c r="Q8095" s="1357"/>
      <c r="S8095" s="1420"/>
      <c r="T8095" s="1420"/>
      <c r="V8095" s="1357">
        <v>62</v>
      </c>
    </row>
    <row r="8096" spans="1:22" s="841" customFormat="1" ht="15" x14ac:dyDescent="0.25">
      <c r="A8096" s="841" t="s">
        <v>207</v>
      </c>
      <c r="E8096" s="1986" t="s">
        <v>3134</v>
      </c>
      <c r="F8096" s="1986"/>
      <c r="G8096" s="1274" t="s">
        <v>86</v>
      </c>
      <c r="H8096" s="1275">
        <v>-1</v>
      </c>
      <c r="M8096" s="1357"/>
      <c r="Q8096" s="1357"/>
      <c r="S8096" s="1420"/>
      <c r="T8096" s="1420"/>
      <c r="V8096" s="1357">
        <v>87</v>
      </c>
    </row>
    <row r="8097" spans="1:22" s="841" customFormat="1" x14ac:dyDescent="0.25">
      <c r="A8097" s="841" t="s">
        <v>207</v>
      </c>
      <c r="E8097" s="1276" t="s">
        <v>87</v>
      </c>
      <c r="F8097" s="1270"/>
      <c r="G8097" s="1270"/>
      <c r="H8097" s="1277"/>
      <c r="K8097" s="841" t="s">
        <v>3703</v>
      </c>
      <c r="M8097" s="1357"/>
      <c r="Q8097" s="1357"/>
      <c r="S8097" s="1420"/>
      <c r="T8097" s="1420"/>
      <c r="V8097" s="1357">
        <v>24</v>
      </c>
    </row>
    <row r="8098" spans="1:22" s="841" customFormat="1" ht="15" x14ac:dyDescent="0.25">
      <c r="A8098" s="841" t="s">
        <v>207</v>
      </c>
      <c r="E8098" s="1278" t="s">
        <v>3061</v>
      </c>
      <c r="F8098" s="1270"/>
      <c r="G8098" s="1270"/>
      <c r="H8098" s="1277"/>
      <c r="M8098" s="1357"/>
      <c r="Q8098" s="1357"/>
      <c r="S8098" s="1420"/>
      <c r="T8098" s="1420"/>
      <c r="V8098" s="1357">
        <v>11</v>
      </c>
    </row>
    <row r="8099" spans="1:22" s="841" customFormat="1" ht="15" x14ac:dyDescent="0.25">
      <c r="A8099" s="841" t="s">
        <v>207</v>
      </c>
      <c r="E8099" s="2085" t="s">
        <v>3063</v>
      </c>
      <c r="F8099" s="2085"/>
      <c r="G8099" s="2085"/>
      <c r="H8099" s="2092"/>
      <c r="M8099" s="1357"/>
      <c r="Q8099" s="1357"/>
      <c r="S8099" s="1420"/>
      <c r="T8099" s="1420"/>
      <c r="V8099" s="1357">
        <v>280</v>
      </c>
    </row>
    <row r="8100" spans="1:22" s="841" customFormat="1" ht="15" x14ac:dyDescent="0.25">
      <c r="A8100" s="841" t="s">
        <v>207</v>
      </c>
      <c r="E8100" s="2085" t="s">
        <v>3136</v>
      </c>
      <c r="F8100" s="2085"/>
      <c r="G8100" s="2085"/>
      <c r="H8100" s="2092"/>
      <c r="M8100" s="1357"/>
      <c r="Q8100" s="1357"/>
      <c r="S8100" s="1420"/>
      <c r="T8100" s="1420"/>
      <c r="V8100" s="1357">
        <v>353</v>
      </c>
    </row>
    <row r="8101" spans="1:22" s="841" customFormat="1" ht="15" x14ac:dyDescent="0.25">
      <c r="A8101" s="841" t="s">
        <v>207</v>
      </c>
      <c r="E8101" s="1949" t="s">
        <v>3810</v>
      </c>
      <c r="F8101" s="1949"/>
      <c r="G8101" s="1949"/>
      <c r="H8101" s="1950"/>
      <c r="M8101" s="1357"/>
      <c r="Q8101" s="1357"/>
      <c r="S8101" s="1420"/>
      <c r="T8101" s="1420"/>
      <c r="V8101" s="1357">
        <v>246</v>
      </c>
    </row>
    <row r="8102" spans="1:22" s="841" customFormat="1" ht="15" x14ac:dyDescent="0.25">
      <c r="A8102" s="841" t="s">
        <v>207</v>
      </c>
      <c r="E8102" s="1278" t="s">
        <v>3137</v>
      </c>
      <c r="F8102" s="1270"/>
      <c r="G8102" s="1270"/>
      <c r="H8102" s="1277"/>
      <c r="K8102" s="841" t="s">
        <v>3704</v>
      </c>
      <c r="M8102" s="1357"/>
      <c r="Q8102" s="1357"/>
      <c r="S8102" s="1420"/>
      <c r="T8102" s="1420"/>
      <c r="V8102" s="1357">
        <v>23</v>
      </c>
    </row>
    <row r="8103" spans="1:22" s="841" customFormat="1" ht="15" x14ac:dyDescent="0.25">
      <c r="A8103" s="841" t="s">
        <v>207</v>
      </c>
      <c r="E8103" s="1958" t="s">
        <v>3355</v>
      </c>
      <c r="F8103" s="1958"/>
      <c r="G8103" s="1279" t="s">
        <v>23</v>
      </c>
      <c r="H8103" s="1146">
        <v>15</v>
      </c>
      <c r="M8103" s="1357"/>
      <c r="Q8103" s="1357"/>
      <c r="S8103" s="1420"/>
      <c r="T8103" s="1420"/>
      <c r="V8103" s="1357">
        <v>19</v>
      </c>
    </row>
    <row r="8104" spans="1:22" s="841" customFormat="1" ht="15" x14ac:dyDescent="0.25">
      <c r="A8104" s="841" t="s">
        <v>207</v>
      </c>
      <c r="E8104" s="1958" t="s">
        <v>4770</v>
      </c>
      <c r="F8104" s="1958"/>
      <c r="G8104" s="1279" t="s">
        <v>23</v>
      </c>
      <c r="H8104" s="1146">
        <v>15</v>
      </c>
      <c r="M8104" s="1357"/>
      <c r="Q8104" s="1357"/>
      <c r="S8104" s="1420"/>
      <c r="T8104" s="1420"/>
      <c r="V8104" s="1357">
        <v>15</v>
      </c>
    </row>
    <row r="8105" spans="1:22" s="841" customFormat="1" ht="15" x14ac:dyDescent="0.25">
      <c r="A8105" s="841" t="s">
        <v>207</v>
      </c>
      <c r="E8105" s="1958" t="s">
        <v>3147</v>
      </c>
      <c r="F8105" s="1958"/>
      <c r="G8105" s="1279" t="s">
        <v>23</v>
      </c>
      <c r="H8105" s="1146">
        <v>15</v>
      </c>
      <c r="M8105" s="1357"/>
      <c r="Q8105" s="1357"/>
      <c r="S8105" s="1420"/>
      <c r="T8105" s="1420"/>
      <c r="V8105" s="1357">
        <v>15</v>
      </c>
    </row>
    <row r="8106" spans="1:22" s="841" customFormat="1" ht="15" x14ac:dyDescent="0.25">
      <c r="A8106" s="841" t="s">
        <v>207</v>
      </c>
      <c r="E8106" s="1958" t="s">
        <v>5640</v>
      </c>
      <c r="F8106" s="1958"/>
      <c r="G8106" s="1279" t="s">
        <v>23</v>
      </c>
      <c r="H8106" s="1146">
        <v>15</v>
      </c>
      <c r="M8106" s="1357"/>
      <c r="Q8106" s="1357"/>
      <c r="S8106" s="1420"/>
      <c r="T8106" s="1420"/>
      <c r="V8106" s="1357">
        <v>23</v>
      </c>
    </row>
    <row r="8107" spans="1:22" s="841" customFormat="1" ht="15" x14ac:dyDescent="0.25">
      <c r="A8107" s="841" t="s">
        <v>207</v>
      </c>
      <c r="E8107" s="1958" t="s">
        <v>5629</v>
      </c>
      <c r="F8107" s="1958"/>
      <c r="G8107" s="1279" t="s">
        <v>23</v>
      </c>
      <c r="H8107" s="1146">
        <v>15</v>
      </c>
      <c r="M8107" s="1357"/>
      <c r="Q8107" s="1357"/>
      <c r="S8107" s="1420"/>
      <c r="T8107" s="1420"/>
      <c r="V8107" s="1357">
        <v>39</v>
      </c>
    </row>
    <row r="8108" spans="1:22" s="841" customFormat="1" ht="15" x14ac:dyDescent="0.25">
      <c r="A8108" s="841" t="s">
        <v>207</v>
      </c>
      <c r="E8108" s="1958" t="s">
        <v>5664</v>
      </c>
      <c r="F8108" s="1958"/>
      <c r="G8108" s="1279" t="s">
        <v>23</v>
      </c>
      <c r="H8108" s="1146">
        <v>15</v>
      </c>
      <c r="M8108" s="1357"/>
      <c r="Q8108" s="1357"/>
      <c r="S8108" s="1420"/>
      <c r="T8108" s="1420"/>
      <c r="V8108" s="1357">
        <v>42</v>
      </c>
    </row>
    <row r="8109" spans="1:22" s="841" customFormat="1" ht="15" x14ac:dyDescent="0.25">
      <c r="A8109" s="841" t="s">
        <v>207</v>
      </c>
      <c r="E8109" s="1958" t="s">
        <v>3151</v>
      </c>
      <c r="F8109" s="1958"/>
      <c r="G8109" s="1279" t="s">
        <v>23</v>
      </c>
      <c r="H8109" s="1146">
        <v>15</v>
      </c>
      <c r="M8109" s="1357"/>
      <c r="Q8109" s="1357"/>
      <c r="S8109" s="1420"/>
      <c r="T8109" s="1420"/>
      <c r="V8109" s="1357">
        <v>19</v>
      </c>
    </row>
    <row r="8110" spans="1:22" s="841" customFormat="1" ht="15" x14ac:dyDescent="0.25">
      <c r="A8110" s="841" t="s">
        <v>207</v>
      </c>
      <c r="E8110" s="1958" t="s">
        <v>88</v>
      </c>
      <c r="F8110" s="1958"/>
      <c r="G8110" s="1279" t="s">
        <v>23</v>
      </c>
      <c r="H8110" s="1146">
        <v>30</v>
      </c>
      <c r="M8110" s="1357"/>
      <c r="Q8110" s="1357"/>
      <c r="S8110" s="1420"/>
      <c r="T8110" s="1420"/>
      <c r="V8110" s="1357">
        <v>89</v>
      </c>
    </row>
    <row r="8111" spans="1:22" s="841" customFormat="1" ht="15" x14ac:dyDescent="0.25">
      <c r="A8111" s="841" t="s">
        <v>207</v>
      </c>
      <c r="E8111" s="1958" t="s">
        <v>94</v>
      </c>
      <c r="F8111" s="1958"/>
      <c r="G8111" s="1279" t="s">
        <v>23</v>
      </c>
      <c r="H8111" s="1146">
        <v>30</v>
      </c>
      <c r="M8111" s="1357"/>
      <c r="Q8111" s="1357"/>
      <c r="S8111" s="1420"/>
      <c r="T8111" s="1420"/>
      <c r="V8111" s="1357">
        <v>19</v>
      </c>
    </row>
    <row r="8112" spans="1:22" s="841" customFormat="1" ht="15" x14ac:dyDescent="0.25">
      <c r="A8112" s="841" t="s">
        <v>207</v>
      </c>
      <c r="E8112" s="1958" t="s">
        <v>92</v>
      </c>
      <c r="F8112" s="1958"/>
      <c r="G8112" s="1279" t="s">
        <v>23</v>
      </c>
      <c r="H8112" s="1146">
        <v>30</v>
      </c>
      <c r="M8112" s="1357"/>
      <c r="Q8112" s="1357"/>
      <c r="S8112" s="1420"/>
      <c r="T8112" s="1420"/>
      <c r="V8112" s="1357">
        <v>74</v>
      </c>
    </row>
    <row r="8113" spans="1:22" s="841" customFormat="1" ht="15" x14ac:dyDescent="0.25">
      <c r="A8113" s="841" t="s">
        <v>207</v>
      </c>
      <c r="E8113" s="1278" t="s">
        <v>3152</v>
      </c>
      <c r="F8113" s="1270"/>
      <c r="G8113" s="1280"/>
      <c r="H8113" s="1281"/>
      <c r="K8113" s="841" t="s">
        <v>3705</v>
      </c>
      <c r="M8113" s="1357"/>
      <c r="Q8113" s="1357"/>
      <c r="S8113" s="1420"/>
      <c r="T8113" s="1420"/>
      <c r="V8113" s="1357">
        <v>22</v>
      </c>
    </row>
    <row r="8114" spans="1:22" s="841" customFormat="1" ht="15" x14ac:dyDescent="0.25">
      <c r="A8114" s="841" t="s">
        <v>207</v>
      </c>
      <c r="E8114" s="1987" t="s">
        <v>5665</v>
      </c>
      <c r="F8114" s="1987"/>
      <c r="G8114" s="1279" t="s">
        <v>86</v>
      </c>
      <c r="H8114" s="1146">
        <v>1.5</v>
      </c>
      <c r="M8114" s="1357"/>
      <c r="Q8114" s="1357"/>
      <c r="S8114" s="1420"/>
      <c r="T8114" s="1420"/>
      <c r="V8114" s="1357">
        <v>24</v>
      </c>
    </row>
    <row r="8115" spans="1:22" s="841" customFormat="1" ht="15" x14ac:dyDescent="0.25">
      <c r="A8115" s="841" t="s">
        <v>207</v>
      </c>
      <c r="E8115" s="1987" t="s">
        <v>5666</v>
      </c>
      <c r="F8115" s="1987"/>
      <c r="G8115" s="1279" t="s">
        <v>86</v>
      </c>
      <c r="H8115" s="1146">
        <v>19.559999999999999</v>
      </c>
      <c r="M8115" s="1357"/>
      <c r="Q8115" s="1357"/>
      <c r="S8115" s="1420"/>
      <c r="T8115" s="1420"/>
      <c r="V8115" s="1357">
        <v>24</v>
      </c>
    </row>
    <row r="8116" spans="1:22" s="841" customFormat="1" ht="15" x14ac:dyDescent="0.25">
      <c r="A8116" s="841" t="s">
        <v>207</v>
      </c>
      <c r="E8116" s="1987" t="s">
        <v>117</v>
      </c>
      <c r="F8116" s="1987"/>
      <c r="G8116" s="1279" t="s">
        <v>23</v>
      </c>
      <c r="H8116" s="1146">
        <v>30</v>
      </c>
      <c r="M8116" s="1357"/>
      <c r="Q8116" s="1357"/>
      <c r="S8116" s="1420"/>
      <c r="T8116" s="1420"/>
      <c r="V8116" s="1357">
        <v>47</v>
      </c>
    </row>
    <row r="8117" spans="1:22" s="841" customFormat="1" ht="15" x14ac:dyDescent="0.25">
      <c r="A8117" s="841" t="s">
        <v>207</v>
      </c>
      <c r="E8117" s="1987" t="s">
        <v>5667</v>
      </c>
      <c r="F8117" s="1987"/>
      <c r="G8117" s="1279" t="s">
        <v>23</v>
      </c>
      <c r="H8117" s="1146">
        <v>65</v>
      </c>
      <c r="M8117" s="1357"/>
      <c r="Q8117" s="1357"/>
      <c r="S8117" s="1420"/>
      <c r="T8117" s="1420"/>
      <c r="V8117" s="1357">
        <v>52</v>
      </c>
    </row>
    <row r="8118" spans="1:22" s="841" customFormat="1" ht="15" x14ac:dyDescent="0.25">
      <c r="A8118" s="841" t="s">
        <v>207</v>
      </c>
      <c r="E8118" s="1987" t="s">
        <v>5668</v>
      </c>
      <c r="F8118" s="1987"/>
      <c r="G8118" s="1279" t="s">
        <v>23</v>
      </c>
      <c r="H8118" s="1146">
        <v>185</v>
      </c>
      <c r="M8118" s="1357"/>
      <c r="Q8118" s="1357"/>
      <c r="S8118" s="1420"/>
      <c r="T8118" s="1420"/>
      <c r="V8118" s="1357">
        <v>51</v>
      </c>
    </row>
    <row r="8119" spans="1:22" s="841" customFormat="1" ht="15" x14ac:dyDescent="0.25">
      <c r="A8119" s="841" t="s">
        <v>207</v>
      </c>
      <c r="E8119" s="1987" t="s">
        <v>5669</v>
      </c>
      <c r="F8119" s="1987"/>
      <c r="G8119" s="1279" t="s">
        <v>23</v>
      </c>
      <c r="H8119" s="1146">
        <v>185</v>
      </c>
      <c r="M8119" s="1357"/>
      <c r="Q8119" s="1357"/>
      <c r="S8119" s="1420"/>
      <c r="T8119" s="1420"/>
      <c r="V8119" s="1357">
        <v>51</v>
      </c>
    </row>
    <row r="8120" spans="1:22" s="841" customFormat="1" ht="15" x14ac:dyDescent="0.25">
      <c r="A8120" s="841" t="s">
        <v>207</v>
      </c>
      <c r="E8120" s="1987" t="s">
        <v>5670</v>
      </c>
      <c r="F8120" s="1987"/>
      <c r="G8120" s="1279" t="s">
        <v>23</v>
      </c>
      <c r="H8120" s="1146">
        <v>415</v>
      </c>
      <c r="M8120" s="1357"/>
      <c r="Q8120" s="1357"/>
      <c r="S8120" s="1420"/>
      <c r="T8120" s="1420"/>
      <c r="V8120" s="1357">
        <v>51</v>
      </c>
    </row>
    <row r="8121" spans="1:22" s="841" customFormat="1" ht="15" x14ac:dyDescent="0.25">
      <c r="A8121" s="841" t="s">
        <v>207</v>
      </c>
      <c r="E8121" s="1987" t="s">
        <v>5671</v>
      </c>
      <c r="F8121" s="1987"/>
      <c r="G8121" s="1279" t="s">
        <v>23</v>
      </c>
      <c r="H8121" s="1146">
        <v>65</v>
      </c>
      <c r="M8121" s="1357"/>
      <c r="Q8121" s="1357"/>
      <c r="S8121" s="1420"/>
      <c r="T8121" s="1420"/>
      <c r="V8121" s="1357">
        <v>57</v>
      </c>
    </row>
    <row r="8122" spans="1:22" s="841" customFormat="1" ht="15" x14ac:dyDescent="0.25">
      <c r="A8122" s="841" t="s">
        <v>207</v>
      </c>
      <c r="E8122" s="1987" t="s">
        <v>5672</v>
      </c>
      <c r="F8122" s="1987"/>
      <c r="G8122" s="1279" t="s">
        <v>23</v>
      </c>
      <c r="H8122" s="1146">
        <v>185</v>
      </c>
      <c r="M8122" s="1357"/>
      <c r="Q8122" s="1357"/>
      <c r="S8122" s="1420"/>
      <c r="T8122" s="1420"/>
      <c r="V8122" s="1357">
        <v>56</v>
      </c>
    </row>
    <row r="8123" spans="1:22" s="841" customFormat="1" ht="15" x14ac:dyDescent="0.25">
      <c r="A8123" s="841" t="s">
        <v>207</v>
      </c>
      <c r="E8123" s="1278" t="s">
        <v>3164</v>
      </c>
      <c r="F8123" s="1270"/>
      <c r="G8123" s="1280"/>
      <c r="H8123" s="1281"/>
      <c r="M8123" s="1357"/>
      <c r="Q8123" s="1357"/>
      <c r="S8123" s="1420"/>
      <c r="T8123" s="1420"/>
      <c r="V8123" s="1357">
        <v>5</v>
      </c>
    </row>
    <row r="8124" spans="1:22" s="841" customFormat="1" ht="15" x14ac:dyDescent="0.25">
      <c r="A8124" s="841" t="s">
        <v>207</v>
      </c>
      <c r="E8124" s="1987" t="s">
        <v>3491</v>
      </c>
      <c r="F8124" s="1987"/>
      <c r="G8124" s="1279" t="s">
        <v>23</v>
      </c>
      <c r="H8124" s="1146">
        <v>22.35</v>
      </c>
      <c r="M8124" s="1357"/>
      <c r="Q8124" s="1357"/>
      <c r="S8124" s="1420"/>
      <c r="T8124" s="1420"/>
      <c r="V8124" s="1357">
        <v>59</v>
      </c>
    </row>
    <row r="8125" spans="1:22" s="841" customFormat="1" x14ac:dyDescent="0.25">
      <c r="A8125" s="841" t="s">
        <v>207</v>
      </c>
      <c r="E8125" s="1269" t="s">
        <v>77</v>
      </c>
      <c r="F8125" s="1270"/>
      <c r="G8125" s="1270"/>
      <c r="H8125" s="1277"/>
      <c r="K8125" s="841" t="s">
        <v>3706</v>
      </c>
      <c r="M8125" s="1357"/>
      <c r="Q8125" s="1357"/>
      <c r="S8125" s="1420"/>
      <c r="T8125" s="1420"/>
      <c r="V8125" s="1357">
        <v>38</v>
      </c>
    </row>
    <row r="8126" spans="1:22" s="841" customFormat="1" ht="15" x14ac:dyDescent="0.25">
      <c r="A8126" s="841" t="s">
        <v>207</v>
      </c>
      <c r="E8126" s="1954" t="s">
        <v>3063</v>
      </c>
      <c r="F8126" s="1954"/>
      <c r="G8126" s="1954"/>
      <c r="H8126" s="1955"/>
      <c r="M8126" s="1357"/>
      <c r="Q8126" s="1357"/>
      <c r="S8126" s="1420"/>
      <c r="T8126" s="1420"/>
      <c r="V8126" s="1357">
        <v>280</v>
      </c>
    </row>
    <row r="8127" spans="1:22" s="841" customFormat="1" ht="15" x14ac:dyDescent="0.25">
      <c r="A8127" s="841" t="s">
        <v>207</v>
      </c>
      <c r="E8127" s="1954" t="s">
        <v>3064</v>
      </c>
      <c r="F8127" s="1954"/>
      <c r="G8127" s="1954"/>
      <c r="H8127" s="1955"/>
      <c r="M8127" s="1357"/>
      <c r="Q8127" s="1357"/>
      <c r="S8127" s="1420"/>
      <c r="T8127" s="1420"/>
      <c r="V8127" s="1357">
        <v>411</v>
      </c>
    </row>
    <row r="8128" spans="1:22" s="841" customFormat="1" ht="15" x14ac:dyDescent="0.25">
      <c r="A8128" s="841" t="s">
        <v>207</v>
      </c>
      <c r="E8128" s="1954" t="s">
        <v>3129</v>
      </c>
      <c r="F8128" s="1954"/>
      <c r="G8128" s="1954"/>
      <c r="H8128" s="1955"/>
      <c r="M8128" s="1357"/>
      <c r="Q8128" s="1357"/>
      <c r="S8128" s="1420"/>
      <c r="T8128" s="1420"/>
      <c r="V8128" s="1357">
        <v>211</v>
      </c>
    </row>
    <row r="8129" spans="1:22" s="841" customFormat="1" ht="15" x14ac:dyDescent="0.25">
      <c r="A8129" s="841" t="s">
        <v>207</v>
      </c>
      <c r="E8129" s="1949" t="s">
        <v>3810</v>
      </c>
      <c r="F8129" s="1949"/>
      <c r="G8129" s="1949"/>
      <c r="H8129" s="1950"/>
      <c r="M8129" s="1357"/>
      <c r="Q8129" s="1357"/>
      <c r="S8129" s="1420"/>
      <c r="T8129" s="1420"/>
      <c r="V8129" s="1357">
        <v>246</v>
      </c>
    </row>
    <row r="8130" spans="1:22" s="841" customFormat="1" ht="15" x14ac:dyDescent="0.25">
      <c r="A8130" s="841" t="s">
        <v>207</v>
      </c>
      <c r="E8130" s="1954" t="s">
        <v>3291</v>
      </c>
      <c r="F8130" s="1954"/>
      <c r="G8130" s="1954"/>
      <c r="H8130" s="1955"/>
      <c r="M8130" s="1357"/>
      <c r="Q8130" s="1357"/>
      <c r="S8130" s="1420"/>
      <c r="T8130" s="1420"/>
      <c r="V8130" s="1357">
        <v>142</v>
      </c>
    </row>
    <row r="8131" spans="1:22" s="841" customFormat="1" ht="15" x14ac:dyDescent="0.25">
      <c r="A8131" s="841" t="s">
        <v>207</v>
      </c>
      <c r="E8131" s="1952" t="s">
        <v>3176</v>
      </c>
      <c r="F8131" s="1952"/>
      <c r="G8131" s="1282" t="s">
        <v>23</v>
      </c>
      <c r="H8131" s="1283">
        <v>100</v>
      </c>
      <c r="M8131" s="1357"/>
      <c r="Q8131" s="1357"/>
      <c r="S8131" s="1420"/>
      <c r="T8131" s="1420"/>
      <c r="V8131" s="1357">
        <v>106</v>
      </c>
    </row>
    <row r="8132" spans="1:22" s="841" customFormat="1" ht="15" x14ac:dyDescent="0.25">
      <c r="A8132" s="841" t="s">
        <v>207</v>
      </c>
      <c r="E8132" s="1952" t="s">
        <v>3177</v>
      </c>
      <c r="F8132" s="1952"/>
      <c r="G8132" s="1282" t="s">
        <v>23</v>
      </c>
      <c r="H8132" s="1283">
        <v>20</v>
      </c>
      <c r="M8132" s="1357"/>
      <c r="Q8132" s="1357"/>
      <c r="S8132" s="1420"/>
      <c r="T8132" s="1420"/>
      <c r="V8132" s="1357">
        <v>34</v>
      </c>
    </row>
    <row r="8133" spans="1:22" s="841" customFormat="1" ht="15" x14ac:dyDescent="0.25">
      <c r="A8133" s="841" t="s">
        <v>207</v>
      </c>
      <c r="E8133" s="1952" t="s">
        <v>3178</v>
      </c>
      <c r="F8133" s="1952"/>
      <c r="G8133" s="1282" t="s">
        <v>3179</v>
      </c>
      <c r="H8133" s="1283">
        <v>0.5</v>
      </c>
      <c r="M8133" s="1357"/>
      <c r="Q8133" s="1357"/>
      <c r="S8133" s="1420"/>
      <c r="T8133" s="1420"/>
      <c r="V8133" s="1357">
        <v>51</v>
      </c>
    </row>
    <row r="8134" spans="1:22" s="841" customFormat="1" ht="15" x14ac:dyDescent="0.25">
      <c r="A8134" s="841" t="s">
        <v>207</v>
      </c>
      <c r="E8134" s="1952" t="s">
        <v>3180</v>
      </c>
      <c r="F8134" s="1952"/>
      <c r="G8134" s="1282" t="s">
        <v>3179</v>
      </c>
      <c r="H8134" s="1283">
        <v>0.3</v>
      </c>
      <c r="M8134" s="1357"/>
      <c r="Q8134" s="1357"/>
      <c r="S8134" s="1420"/>
      <c r="T8134" s="1420"/>
      <c r="V8134" s="1357">
        <v>75</v>
      </c>
    </row>
    <row r="8135" spans="1:22" s="841" customFormat="1" ht="15" x14ac:dyDescent="0.25">
      <c r="A8135" s="841" t="s">
        <v>207</v>
      </c>
      <c r="E8135" s="1952" t="s">
        <v>3181</v>
      </c>
      <c r="F8135" s="1952"/>
      <c r="G8135" s="1282" t="s">
        <v>3179</v>
      </c>
      <c r="H8135" s="1283">
        <v>-0.3</v>
      </c>
      <c r="M8135" s="1357"/>
      <c r="Q8135" s="1357"/>
      <c r="S8135" s="1420"/>
      <c r="T8135" s="1420"/>
      <c r="V8135" s="1357">
        <v>72</v>
      </c>
    </row>
    <row r="8136" spans="1:22" s="841" customFormat="1" ht="15" x14ac:dyDescent="0.25">
      <c r="A8136" s="841" t="s">
        <v>207</v>
      </c>
      <c r="E8136" s="1952" t="s">
        <v>3182</v>
      </c>
      <c r="F8136" s="1952"/>
      <c r="G8136" s="1235"/>
      <c r="H8136" s="1233"/>
      <c r="M8136" s="1357"/>
      <c r="Q8136" s="1357"/>
      <c r="S8136" s="1420"/>
      <c r="T8136" s="1420"/>
      <c r="V8136" s="1357">
        <v>35</v>
      </c>
    </row>
    <row r="8137" spans="1:22" s="841" customFormat="1" ht="15" x14ac:dyDescent="0.25">
      <c r="A8137" s="841" t="s">
        <v>207</v>
      </c>
      <c r="E8137" s="1953" t="s">
        <v>3183</v>
      </c>
      <c r="F8137" s="1953"/>
      <c r="G8137" s="1282" t="s">
        <v>23</v>
      </c>
      <c r="H8137" s="1283">
        <v>0.25</v>
      </c>
      <c r="M8137" s="1357"/>
      <c r="Q8137" s="1357"/>
      <c r="S8137" s="1420"/>
      <c r="T8137" s="1420"/>
      <c r="V8137" s="1357">
        <v>57</v>
      </c>
    </row>
    <row r="8138" spans="1:22" s="841" customFormat="1" ht="15" x14ac:dyDescent="0.25">
      <c r="A8138" s="841" t="s">
        <v>207</v>
      </c>
      <c r="E8138" s="1953" t="s">
        <v>3184</v>
      </c>
      <c r="F8138" s="1953"/>
      <c r="G8138" s="1282" t="s">
        <v>23</v>
      </c>
      <c r="H8138" s="1283">
        <v>0.5</v>
      </c>
      <c r="M8138" s="1357"/>
      <c r="Q8138" s="1357"/>
      <c r="S8138" s="1420"/>
      <c r="T8138" s="1420"/>
      <c r="V8138" s="1357">
        <v>60</v>
      </c>
    </row>
    <row r="8139" spans="1:22" s="841" customFormat="1" ht="15" x14ac:dyDescent="0.25">
      <c r="A8139" s="841" t="s">
        <v>207</v>
      </c>
      <c r="E8139" s="1952" t="s">
        <v>3185</v>
      </c>
      <c r="F8139" s="1952"/>
      <c r="G8139" s="1235"/>
      <c r="H8139" s="1234"/>
      <c r="M8139" s="1357"/>
      <c r="Q8139" s="1357"/>
      <c r="S8139" s="1420"/>
      <c r="T8139" s="1420"/>
      <c r="V8139" s="1357">
        <v>91</v>
      </c>
    </row>
    <row r="8140" spans="1:22" s="841" customFormat="1" ht="15" x14ac:dyDescent="0.25">
      <c r="A8140" s="841" t="s">
        <v>207</v>
      </c>
      <c r="E8140" s="1952" t="s">
        <v>3186</v>
      </c>
      <c r="F8140" s="1952"/>
      <c r="G8140" s="1235"/>
      <c r="H8140" s="1234"/>
      <c r="M8140" s="1357"/>
      <c r="Q8140" s="1357"/>
      <c r="S8140" s="1420"/>
      <c r="T8140" s="1420"/>
      <c r="V8140" s="1357">
        <v>96</v>
      </c>
    </row>
    <row r="8141" spans="1:22" s="841" customFormat="1" ht="15" x14ac:dyDescent="0.25">
      <c r="A8141" s="841" t="s">
        <v>207</v>
      </c>
      <c r="E8141" s="1952" t="s">
        <v>3187</v>
      </c>
      <c r="F8141" s="1952"/>
      <c r="G8141" s="1235"/>
      <c r="H8141" s="1234"/>
      <c r="M8141" s="1357"/>
      <c r="Q8141" s="1357"/>
      <c r="S8141" s="1420"/>
      <c r="T8141" s="1420"/>
      <c r="V8141" s="1357">
        <v>78</v>
      </c>
    </row>
    <row r="8142" spans="1:22" s="841" customFormat="1" ht="15" x14ac:dyDescent="0.25">
      <c r="A8142" s="841" t="s">
        <v>207</v>
      </c>
      <c r="E8142" s="1953" t="s">
        <v>3188</v>
      </c>
      <c r="F8142" s="1953"/>
      <c r="G8142" s="1282" t="s">
        <v>23</v>
      </c>
      <c r="H8142" s="1283" t="s">
        <v>3189</v>
      </c>
      <c r="M8142" s="1357"/>
      <c r="Q8142" s="1357"/>
      <c r="S8142" s="1420"/>
      <c r="T8142" s="1420"/>
      <c r="V8142" s="1357">
        <v>18</v>
      </c>
    </row>
    <row r="8143" spans="1:22" s="841" customFormat="1" ht="15" x14ac:dyDescent="0.25">
      <c r="A8143" s="841" t="s">
        <v>207</v>
      </c>
      <c r="E8143" s="1953" t="s">
        <v>3190</v>
      </c>
      <c r="F8143" s="1953"/>
      <c r="G8143" s="1282" t="s">
        <v>23</v>
      </c>
      <c r="H8143" s="1283">
        <v>2</v>
      </c>
      <c r="M8143" s="1357"/>
      <c r="Q8143" s="1357"/>
      <c r="S8143" s="1420"/>
      <c r="T8143" s="1420"/>
      <c r="V8143" s="1357">
        <v>69</v>
      </c>
    </row>
    <row r="8144" spans="1:22" s="841" customFormat="1" ht="20.25" x14ac:dyDescent="0.3">
      <c r="A8144" s="841" t="s">
        <v>207</v>
      </c>
      <c r="E8144" s="1284" t="s">
        <v>147</v>
      </c>
      <c r="F8144" s="1270"/>
      <c r="G8144" s="1270"/>
      <c r="H8144" s="1277"/>
      <c r="K8144" s="841" t="s">
        <v>3709</v>
      </c>
      <c r="M8144" s="1357"/>
      <c r="Q8144" s="1357"/>
      <c r="S8144" s="1420"/>
      <c r="T8144" s="1420"/>
      <c r="V8144" s="1357">
        <v>12</v>
      </c>
    </row>
    <row r="8145" spans="1:22" s="841" customFormat="1" ht="15" x14ac:dyDescent="0.25">
      <c r="A8145" s="841" t="s">
        <v>207</v>
      </c>
      <c r="E8145" s="1954" t="s">
        <v>3192</v>
      </c>
      <c r="F8145" s="1954"/>
      <c r="G8145" s="1954"/>
      <c r="H8145" s="1955"/>
      <c r="M8145" s="1357"/>
      <c r="Q8145" s="1357"/>
      <c r="S8145" s="1420"/>
      <c r="T8145" s="1420"/>
      <c r="V8145" s="1357">
        <v>203</v>
      </c>
    </row>
    <row r="8146" spans="1:22" s="841" customFormat="1" ht="15" x14ac:dyDescent="0.25">
      <c r="A8146" s="841" t="s">
        <v>207</v>
      </c>
      <c r="E8146" s="1952" t="s">
        <v>21</v>
      </c>
      <c r="F8146" s="1952"/>
      <c r="G8146" s="1235"/>
      <c r="H8146" s="1236">
        <v>1.0486</v>
      </c>
      <c r="M8146" s="1357"/>
      <c r="Q8146" s="1357"/>
      <c r="S8146" s="1420"/>
      <c r="T8146" s="1420"/>
      <c r="V8146" s="1357">
        <v>57</v>
      </c>
    </row>
    <row r="8147" spans="1:22" s="841" customFormat="1" ht="15" x14ac:dyDescent="0.25">
      <c r="A8147" s="841" t="s">
        <v>207</v>
      </c>
      <c r="E8147" s="1952" t="s">
        <v>22</v>
      </c>
      <c r="F8147" s="1952"/>
      <c r="G8147" s="1235"/>
      <c r="H8147" s="1236">
        <v>1.0145</v>
      </c>
      <c r="M8147" s="1357"/>
      <c r="Q8147" s="1357"/>
      <c r="S8147" s="1420"/>
      <c r="T8147" s="1420"/>
      <c r="V8147" s="1357">
        <v>57</v>
      </c>
    </row>
    <row r="8148" spans="1:22" s="841" customFormat="1" ht="15" x14ac:dyDescent="0.25">
      <c r="A8148" s="841" t="s">
        <v>207</v>
      </c>
      <c r="E8148" s="1952" t="s">
        <v>20</v>
      </c>
      <c r="F8148" s="1952"/>
      <c r="G8148" s="1235"/>
      <c r="H8148" s="1236">
        <v>1.044</v>
      </c>
      <c r="M8148" s="1357"/>
      <c r="Q8148" s="1357"/>
      <c r="S8148" s="1420"/>
      <c r="T8148" s="1420"/>
      <c r="V8148" s="1357">
        <v>55</v>
      </c>
    </row>
    <row r="8149" spans="1:22" s="841" customFormat="1" ht="15" x14ac:dyDescent="0.25">
      <c r="A8149" s="841" t="s">
        <v>207</v>
      </c>
      <c r="E8149" s="1952" t="s">
        <v>17</v>
      </c>
      <c r="F8149" s="1952"/>
      <c r="G8149" s="1235"/>
      <c r="H8149" s="1236">
        <v>1.0044999999999999</v>
      </c>
      <c r="J8149" s="841" t="s">
        <v>3710</v>
      </c>
      <c r="M8149" s="1357"/>
      <c r="Q8149" s="1357"/>
      <c r="S8149" s="1420"/>
      <c r="T8149" s="1420"/>
      <c r="V8149" s="1357">
        <v>55</v>
      </c>
    </row>
    <row r="8150" spans="1:22" s="841" customFormat="1" ht="23.25" x14ac:dyDescent="0.25">
      <c r="A8150" s="841" t="s">
        <v>185</v>
      </c>
      <c r="B8150" s="841" t="s">
        <v>4326</v>
      </c>
      <c r="C8150" s="841" t="s">
        <v>3050</v>
      </c>
      <c r="E8150" s="1911" t="s">
        <v>185</v>
      </c>
      <c r="F8150" s="1699"/>
      <c r="G8150" s="1699"/>
      <c r="H8150" s="1699"/>
      <c r="I8150" s="841" t="s">
        <v>628</v>
      </c>
      <c r="J8150" s="841" t="s">
        <v>4327</v>
      </c>
      <c r="K8150" s="841" t="s">
        <v>185</v>
      </c>
      <c r="M8150" s="1357">
        <v>7</v>
      </c>
      <c r="Q8150" s="1357"/>
      <c r="S8150" s="1420"/>
      <c r="T8150" s="1420"/>
      <c r="V8150" s="1357">
        <v>32</v>
      </c>
    </row>
    <row r="8151" spans="1:22" s="841" customFormat="1" ht="23.25" x14ac:dyDescent="0.25">
      <c r="A8151" s="841" t="s">
        <v>185</v>
      </c>
      <c r="B8151" s="841" t="s">
        <v>4326</v>
      </c>
      <c r="C8151" s="841" t="s">
        <v>3052</v>
      </c>
      <c r="E8151" s="1911" t="s">
        <v>2466</v>
      </c>
      <c r="F8151" s="1911"/>
      <c r="G8151" s="1911"/>
      <c r="H8151" s="1911"/>
      <c r="M8151" s="1357"/>
      <c r="Q8151" s="1357"/>
      <c r="S8151" s="1420"/>
      <c r="T8151" s="1420"/>
      <c r="V8151" s="1357">
        <v>41</v>
      </c>
    </row>
    <row r="8152" spans="1:22" s="841" customFormat="1" x14ac:dyDescent="0.25">
      <c r="A8152" s="841" t="s">
        <v>185</v>
      </c>
      <c r="B8152" s="841" t="s">
        <v>4326</v>
      </c>
      <c r="C8152" s="841" t="s">
        <v>3054</v>
      </c>
      <c r="E8152" s="1912" t="s">
        <v>3053</v>
      </c>
      <c r="F8152" s="1700"/>
      <c r="G8152" s="1700"/>
      <c r="H8152" s="1700"/>
      <c r="M8152" s="1357"/>
      <c r="Q8152" s="1357"/>
      <c r="S8152" s="1420"/>
      <c r="T8152" s="1420"/>
      <c r="V8152" s="1357">
        <v>27</v>
      </c>
    </row>
    <row r="8153" spans="1:22" s="841" customFormat="1" ht="15.75" x14ac:dyDescent="0.25">
      <c r="A8153" s="841" t="s">
        <v>185</v>
      </c>
      <c r="B8153" s="841" t="s">
        <v>4326</v>
      </c>
      <c r="C8153" s="841" t="s">
        <v>3055</v>
      </c>
      <c r="E8153" s="1913" t="s">
        <v>5101</v>
      </c>
      <c r="F8153" s="1701"/>
      <c r="G8153" s="1701"/>
      <c r="H8153" s="1701"/>
      <c r="M8153" s="1357"/>
      <c r="Q8153" s="1357"/>
      <c r="S8153" s="1420">
        <v>43101</v>
      </c>
      <c r="T8153" s="1420"/>
      <c r="V8153" s="1357">
        <v>49</v>
      </c>
    </row>
    <row r="8154" spans="1:22" s="841" customFormat="1" ht="15" x14ac:dyDescent="0.25">
      <c r="A8154" s="841" t="s">
        <v>185</v>
      </c>
      <c r="B8154" s="841" t="s">
        <v>4326</v>
      </c>
      <c r="E8154" s="1914" t="s">
        <v>3056</v>
      </c>
      <c r="F8154" s="1702"/>
      <c r="G8154" s="1702"/>
      <c r="H8154" s="1702"/>
      <c r="M8154" s="1357"/>
      <c r="Q8154" s="1357"/>
      <c r="S8154" s="1420"/>
      <c r="T8154" s="1420"/>
      <c r="V8154" s="1357">
        <v>52</v>
      </c>
    </row>
    <row r="8155" spans="1:22" s="841" customFormat="1" ht="15" x14ac:dyDescent="0.25">
      <c r="A8155" s="841" t="s">
        <v>185</v>
      </c>
      <c r="B8155" s="841" t="s">
        <v>4326</v>
      </c>
      <c r="E8155" s="1914" t="s">
        <v>3057</v>
      </c>
      <c r="F8155" s="1702"/>
      <c r="G8155" s="1702"/>
      <c r="H8155" s="1702"/>
      <c r="M8155" s="1357"/>
      <c r="Q8155" s="1357"/>
      <c r="S8155" s="1420"/>
      <c r="T8155" s="1420"/>
      <c r="V8155" s="1357">
        <v>53</v>
      </c>
    </row>
    <row r="8156" spans="1:22" s="841" customFormat="1" ht="15" x14ac:dyDescent="0.25">
      <c r="A8156" s="841" t="s">
        <v>185</v>
      </c>
      <c r="B8156" s="841" t="s">
        <v>4326</v>
      </c>
      <c r="E8156" s="1925" t="s">
        <v>5625</v>
      </c>
      <c r="F8156" s="1925"/>
      <c r="G8156" s="1925"/>
      <c r="H8156" s="1925"/>
      <c r="K8156" s="841" t="s">
        <v>5625</v>
      </c>
      <c r="M8156" s="1357"/>
      <c r="Q8156" s="1357"/>
      <c r="S8156" s="1420"/>
      <c r="T8156" s="1420"/>
      <c r="V8156" s="1357">
        <v>12</v>
      </c>
    </row>
    <row r="8157" spans="1:22" s="841" customFormat="1" ht="15" x14ac:dyDescent="0.25">
      <c r="A8157" s="841" t="s">
        <v>185</v>
      </c>
      <c r="B8157" s="841" t="s">
        <v>4326</v>
      </c>
      <c r="E8157" s="1909" t="s">
        <v>438</v>
      </c>
      <c r="F8157" s="1689"/>
      <c r="G8157" s="1689"/>
      <c r="H8157" s="1689"/>
      <c r="K8157" s="841" t="s">
        <v>3197</v>
      </c>
      <c r="M8157" s="1357"/>
      <c r="Q8157" s="1357"/>
      <c r="S8157" s="1420"/>
      <c r="T8157" s="1420"/>
      <c r="V8157" s="1357">
        <v>34</v>
      </c>
    </row>
    <row r="8158" spans="1:22" s="841" customFormat="1" ht="15" x14ac:dyDescent="0.25">
      <c r="A8158" s="841" t="s">
        <v>185</v>
      </c>
      <c r="B8158" s="841" t="s">
        <v>4326</v>
      </c>
      <c r="E8158" s="1689" t="s">
        <v>3564</v>
      </c>
      <c r="F8158" s="1689"/>
      <c r="G8158" s="1689"/>
      <c r="H8158" s="1689"/>
      <c r="K8158" s="841" t="s">
        <v>3197</v>
      </c>
      <c r="M8158" s="1357"/>
      <c r="Q8158" s="1357"/>
      <c r="S8158" s="1420"/>
      <c r="T8158" s="1420"/>
      <c r="V8158" s="1357">
        <v>648</v>
      </c>
    </row>
    <row r="8159" spans="1:22" s="841" customFormat="1" ht="15" x14ac:dyDescent="0.25">
      <c r="A8159" s="841" t="s">
        <v>185</v>
      </c>
      <c r="B8159" s="841" t="s">
        <v>4326</v>
      </c>
      <c r="E8159" s="1916" t="s">
        <v>3061</v>
      </c>
      <c r="F8159" s="1689"/>
      <c r="G8159" s="1689"/>
      <c r="H8159" s="1689"/>
      <c r="K8159" s="841" t="s">
        <v>3062</v>
      </c>
      <c r="M8159" s="1357"/>
      <c r="Q8159" s="1357"/>
      <c r="S8159" s="1420"/>
      <c r="T8159" s="1420"/>
      <c r="V8159" s="1357">
        <v>11</v>
      </c>
    </row>
    <row r="8160" spans="1:22" s="841" customFormat="1" ht="15" x14ac:dyDescent="0.25">
      <c r="A8160" s="841" t="s">
        <v>185</v>
      </c>
      <c r="B8160" s="841" t="s">
        <v>4326</v>
      </c>
      <c r="E8160" s="1689" t="s">
        <v>3063</v>
      </c>
      <c r="F8160" s="1689"/>
      <c r="G8160" s="1689"/>
      <c r="H8160" s="1689"/>
      <c r="K8160" s="841" t="s">
        <v>3197</v>
      </c>
      <c r="M8160" s="1357"/>
      <c r="Q8160" s="1357"/>
      <c r="S8160" s="1420"/>
      <c r="T8160" s="1420"/>
      <c r="V8160" s="1357">
        <v>280</v>
      </c>
    </row>
    <row r="8161" spans="1:22" s="841" customFormat="1" ht="15" x14ac:dyDescent="0.25">
      <c r="A8161" s="841" t="s">
        <v>185</v>
      </c>
      <c r="B8161" s="841" t="s">
        <v>4326</v>
      </c>
      <c r="E8161" s="1689" t="s">
        <v>3064</v>
      </c>
      <c r="F8161" s="1689"/>
      <c r="G8161" s="1689"/>
      <c r="H8161" s="1689"/>
      <c r="K8161" s="841" t="s">
        <v>3197</v>
      </c>
      <c r="M8161" s="1357"/>
      <c r="Q8161" s="1357"/>
      <c r="S8161" s="1420"/>
      <c r="T8161" s="1420"/>
      <c r="V8161" s="1357">
        <v>411</v>
      </c>
    </row>
    <row r="8162" spans="1:22" s="841" customFormat="1" ht="15" x14ac:dyDescent="0.25">
      <c r="A8162" s="841" t="s">
        <v>185</v>
      </c>
      <c r="B8162" s="841" t="s">
        <v>4326</v>
      </c>
      <c r="E8162" s="1689" t="s">
        <v>3199</v>
      </c>
      <c r="F8162" s="1689"/>
      <c r="G8162" s="1689"/>
      <c r="H8162" s="1689"/>
      <c r="K8162" s="841" t="s">
        <v>3197</v>
      </c>
      <c r="M8162" s="1357"/>
      <c r="Q8162" s="1357"/>
      <c r="S8162" s="1420"/>
      <c r="T8162" s="1420"/>
      <c r="V8162" s="1357">
        <v>386</v>
      </c>
    </row>
    <row r="8163" spans="1:22" s="841" customFormat="1" ht="15" x14ac:dyDescent="0.25">
      <c r="A8163" s="841" t="s">
        <v>185</v>
      </c>
      <c r="B8163" s="841" t="s">
        <v>4326</v>
      </c>
      <c r="E8163" s="1689" t="s">
        <v>3200</v>
      </c>
      <c r="F8163" s="1689"/>
      <c r="G8163" s="1689"/>
      <c r="H8163" s="1689"/>
      <c r="K8163" s="841" t="s">
        <v>3197</v>
      </c>
      <c r="M8163" s="1357"/>
      <c r="Q8163" s="1357"/>
      <c r="S8163" s="1420"/>
      <c r="T8163" s="1420"/>
      <c r="V8163" s="1357">
        <v>275</v>
      </c>
    </row>
    <row r="8164" spans="1:22" s="841" customFormat="1" ht="15" x14ac:dyDescent="0.25">
      <c r="A8164" s="841" t="s">
        <v>185</v>
      </c>
      <c r="B8164" s="841" t="s">
        <v>4326</v>
      </c>
      <c r="E8164" s="1694" t="s">
        <v>3067</v>
      </c>
      <c r="F8164" s="1907"/>
      <c r="G8164" s="1907"/>
      <c r="H8164" s="1907"/>
      <c r="K8164" s="841" t="s">
        <v>3068</v>
      </c>
      <c r="M8164" s="1357"/>
      <c r="Q8164" s="1357"/>
      <c r="S8164" s="1420"/>
      <c r="T8164" s="1420"/>
      <c r="V8164" s="1357">
        <v>46</v>
      </c>
    </row>
    <row r="8165" spans="1:22" s="841" customFormat="1" ht="15" x14ac:dyDescent="0.25">
      <c r="A8165" s="841" t="s">
        <v>185</v>
      </c>
      <c r="B8165" s="841" t="s">
        <v>4326</v>
      </c>
      <c r="E8165" s="1690" t="s">
        <v>11</v>
      </c>
      <c r="F8165" s="1690"/>
      <c r="G8165" s="1408" t="s">
        <v>23</v>
      </c>
      <c r="H8165" s="391">
        <v>34.69</v>
      </c>
      <c r="K8165" s="841" t="s">
        <v>3197</v>
      </c>
      <c r="L8165" s="841" t="s">
        <v>442</v>
      </c>
      <c r="M8165" s="1357"/>
      <c r="P8165" s="841" t="s">
        <v>3201</v>
      </c>
      <c r="Q8165" s="1357"/>
      <c r="S8165" s="1420"/>
      <c r="T8165" s="1420"/>
      <c r="V8165" s="1357">
        <v>14</v>
      </c>
    </row>
    <row r="8166" spans="1:22" s="841" customFormat="1" ht="15" x14ac:dyDescent="0.25">
      <c r="A8166" s="841" t="s">
        <v>185</v>
      </c>
      <c r="B8166" s="841" t="s">
        <v>4326</v>
      </c>
      <c r="E8166" s="1690" t="s">
        <v>5673</v>
      </c>
      <c r="F8166" s="1690"/>
      <c r="G8166" s="1408" t="s">
        <v>23</v>
      </c>
      <c r="H8166" s="391">
        <v>4.1100000000000003</v>
      </c>
      <c r="K8166" s="841" t="s">
        <v>3197</v>
      </c>
      <c r="L8166" s="841" t="s">
        <v>442</v>
      </c>
      <c r="M8166" s="1357"/>
      <c r="P8166" s="841" t="s">
        <v>5682</v>
      </c>
      <c r="Q8166" s="1357"/>
      <c r="S8166" s="1420"/>
      <c r="T8166" s="1420"/>
      <c r="V8166" s="1357">
        <v>152</v>
      </c>
    </row>
    <row r="8167" spans="1:22" s="841" customFormat="1" ht="15" x14ac:dyDescent="0.25">
      <c r="A8167" s="841" t="s">
        <v>185</v>
      </c>
      <c r="B8167" s="841" t="s">
        <v>4326</v>
      </c>
      <c r="E8167" s="1690" t="s">
        <v>423</v>
      </c>
      <c r="F8167" s="1690"/>
      <c r="G8167" s="1408" t="s">
        <v>23</v>
      </c>
      <c r="H8167" s="391">
        <v>0.79</v>
      </c>
      <c r="K8167" s="841" t="s">
        <v>3197</v>
      </c>
      <c r="L8167" s="841" t="s">
        <v>443</v>
      </c>
      <c r="M8167" s="1357"/>
      <c r="P8167" s="841" t="s">
        <v>3202</v>
      </c>
      <c r="Q8167" s="1357"/>
      <c r="S8167" s="1420"/>
      <c r="T8167" s="1420">
        <v>43404</v>
      </c>
      <c r="V8167" s="1357">
        <v>78</v>
      </c>
    </row>
    <row r="8168" spans="1:22" s="841" customFormat="1" ht="15" x14ac:dyDescent="0.25">
      <c r="A8168" s="841" t="s">
        <v>185</v>
      </c>
      <c r="B8168" s="841" t="s">
        <v>4326</v>
      </c>
      <c r="E8168" s="1690" t="s">
        <v>84</v>
      </c>
      <c r="F8168" s="1690"/>
      <c r="G8168" s="1408" t="s">
        <v>24</v>
      </c>
      <c r="H8168" s="393">
        <v>7.6E-3</v>
      </c>
      <c r="K8168" s="841" t="s">
        <v>3197</v>
      </c>
      <c r="L8168" s="841" t="s">
        <v>442</v>
      </c>
      <c r="M8168" s="1357"/>
      <c r="P8168" s="841" t="s">
        <v>3203</v>
      </c>
      <c r="Q8168" s="1357"/>
      <c r="S8168" s="1420"/>
      <c r="T8168" s="1420"/>
      <c r="V8168" s="1357">
        <v>28</v>
      </c>
    </row>
    <row r="8169" spans="1:22" s="841" customFormat="1" ht="15" x14ac:dyDescent="0.25">
      <c r="A8169" s="841" t="s">
        <v>185</v>
      </c>
      <c r="B8169" s="841" t="s">
        <v>4326</v>
      </c>
      <c r="E8169" s="1690" t="s">
        <v>18</v>
      </c>
      <c r="F8169" s="1690"/>
      <c r="G8169" s="1408" t="s">
        <v>24</v>
      </c>
      <c r="H8169" s="393">
        <v>1.1000000000000001E-3</v>
      </c>
      <c r="K8169" s="841" t="s">
        <v>3197</v>
      </c>
      <c r="L8169" s="841" t="s">
        <v>443</v>
      </c>
      <c r="M8169" s="1357"/>
      <c r="P8169" s="841" t="s">
        <v>3204</v>
      </c>
      <c r="Q8169" s="1357"/>
      <c r="S8169" s="1420"/>
      <c r="T8169" s="1420"/>
      <c r="V8169" s="1357">
        <v>24</v>
      </c>
    </row>
    <row r="8170" spans="1:22" s="841" customFormat="1" ht="15" x14ac:dyDescent="0.25">
      <c r="A8170" s="841" t="s">
        <v>185</v>
      </c>
      <c r="B8170" s="841" t="s">
        <v>4326</v>
      </c>
      <c r="E8170" s="1690" t="s">
        <v>5143</v>
      </c>
      <c r="F8170" s="1908"/>
      <c r="G8170" s="1408" t="s">
        <v>24</v>
      </c>
      <c r="H8170" s="393">
        <v>-1E-4</v>
      </c>
      <c r="K8170" s="841" t="s">
        <v>3197</v>
      </c>
      <c r="L8170" s="841" t="s">
        <v>443</v>
      </c>
      <c r="M8170" s="1357"/>
      <c r="P8170" s="841" t="s">
        <v>3205</v>
      </c>
      <c r="Q8170" s="1357"/>
      <c r="S8170" s="1420"/>
      <c r="T8170" s="1420">
        <v>43465</v>
      </c>
      <c r="V8170" s="1357">
        <v>142</v>
      </c>
    </row>
    <row r="8171" spans="1:22" s="841" customFormat="1" ht="15" x14ac:dyDescent="0.25">
      <c r="A8171" s="841" t="s">
        <v>185</v>
      </c>
      <c r="B8171" s="841" t="s">
        <v>4326</v>
      </c>
      <c r="E8171" s="1690" t="s">
        <v>5144</v>
      </c>
      <c r="F8171" s="1908"/>
      <c r="G8171" s="1408" t="s">
        <v>24</v>
      </c>
      <c r="H8171" s="393">
        <v>5.1999999999999998E-3</v>
      </c>
      <c r="K8171" s="841" t="s">
        <v>3197</v>
      </c>
      <c r="L8171" s="841" t="s">
        <v>443</v>
      </c>
      <c r="M8171" s="1357"/>
      <c r="P8171" s="841" t="s">
        <v>3207</v>
      </c>
      <c r="Q8171" s="1357"/>
      <c r="S8171" s="1420"/>
      <c r="T8171" s="1420">
        <v>43465</v>
      </c>
      <c r="V8171" s="1357">
        <v>99</v>
      </c>
    </row>
    <row r="8172" spans="1:22" s="841" customFormat="1" ht="15" x14ac:dyDescent="0.25">
      <c r="A8172" s="841" t="s">
        <v>185</v>
      </c>
      <c r="B8172" s="841" t="s">
        <v>4326</v>
      </c>
      <c r="E8172" s="1690" t="s">
        <v>221</v>
      </c>
      <c r="F8172" s="1690"/>
      <c r="G8172" s="1408" t="s">
        <v>24</v>
      </c>
      <c r="H8172" s="393">
        <v>6.1999999999999998E-3</v>
      </c>
      <c r="K8172" s="841" t="s">
        <v>3197</v>
      </c>
      <c r="L8172" s="841" t="s">
        <v>444</v>
      </c>
      <c r="M8172" s="1357"/>
      <c r="P8172" s="841" t="s">
        <v>3208</v>
      </c>
      <c r="Q8172" s="1357"/>
      <c r="S8172" s="1420"/>
      <c r="T8172" s="1420"/>
      <c r="V8172" s="1357">
        <v>47</v>
      </c>
    </row>
    <row r="8173" spans="1:22" s="841" customFormat="1" ht="15" x14ac:dyDescent="0.25">
      <c r="A8173" s="841" t="s">
        <v>185</v>
      </c>
      <c r="B8173" s="841" t="s">
        <v>4326</v>
      </c>
      <c r="E8173" s="1690" t="s">
        <v>217</v>
      </c>
      <c r="F8173" s="1690"/>
      <c r="G8173" s="1408" t="s">
        <v>24</v>
      </c>
      <c r="H8173" s="393">
        <v>4.8999999999999998E-3</v>
      </c>
      <c r="K8173" s="841" t="s">
        <v>3197</v>
      </c>
      <c r="L8173" s="841" t="s">
        <v>444</v>
      </c>
      <c r="M8173" s="1357"/>
      <c r="P8173" s="841" t="s">
        <v>3209</v>
      </c>
      <c r="Q8173" s="1357"/>
      <c r="S8173" s="1420"/>
      <c r="T8173" s="1420"/>
      <c r="V8173" s="1357">
        <v>74</v>
      </c>
    </row>
    <row r="8174" spans="1:22" s="841" customFormat="1" ht="15" x14ac:dyDescent="0.25">
      <c r="A8174" s="841" t="s">
        <v>185</v>
      </c>
      <c r="B8174" s="841" t="s">
        <v>4326</v>
      </c>
      <c r="E8174" s="1694" t="s">
        <v>3079</v>
      </c>
      <c r="F8174" s="1690"/>
      <c r="G8174" s="1690"/>
      <c r="H8174" s="1690"/>
      <c r="K8174" s="841" t="s">
        <v>3080</v>
      </c>
      <c r="M8174" s="1357"/>
      <c r="Q8174" s="1357"/>
      <c r="S8174" s="1420"/>
      <c r="T8174" s="1420"/>
      <c r="V8174" s="1357">
        <v>48</v>
      </c>
    </row>
    <row r="8175" spans="1:22" s="841" customFormat="1" ht="15" x14ac:dyDescent="0.25">
      <c r="A8175" s="841" t="s">
        <v>185</v>
      </c>
      <c r="B8175" s="841" t="s">
        <v>4326</v>
      </c>
      <c r="E8175" s="1690" t="s">
        <v>2449</v>
      </c>
      <c r="F8175" s="1690"/>
      <c r="G8175" s="1408" t="s">
        <v>24</v>
      </c>
      <c r="H8175" s="393">
        <v>3.2000000000000002E-3</v>
      </c>
      <c r="K8175" s="841" t="s">
        <v>3197</v>
      </c>
      <c r="L8175" s="841" t="s">
        <v>3046</v>
      </c>
      <c r="M8175" s="1357"/>
      <c r="P8175" s="841" t="s">
        <v>3210</v>
      </c>
      <c r="Q8175" s="1357"/>
      <c r="S8175" s="1420"/>
      <c r="T8175" s="1420"/>
      <c r="V8175" s="1357">
        <v>55</v>
      </c>
    </row>
    <row r="8176" spans="1:22" s="841" customFormat="1" ht="15" x14ac:dyDescent="0.25">
      <c r="A8176" s="841" t="s">
        <v>185</v>
      </c>
      <c r="B8176" s="841" t="s">
        <v>4326</v>
      </c>
      <c r="E8176" s="1690" t="s">
        <v>2450</v>
      </c>
      <c r="F8176" s="1690"/>
      <c r="G8176" s="1408" t="s">
        <v>24</v>
      </c>
      <c r="H8176" s="393">
        <v>4.0000000000000002E-4</v>
      </c>
      <c r="K8176" s="841" t="s">
        <v>3197</v>
      </c>
      <c r="L8176" s="841" t="s">
        <v>3046</v>
      </c>
      <c r="M8176" s="1357"/>
      <c r="P8176" s="841" t="s">
        <v>3210</v>
      </c>
      <c r="Q8176" s="1357"/>
      <c r="S8176" s="1420"/>
      <c r="T8176" s="1420"/>
      <c r="V8176" s="1357">
        <v>65</v>
      </c>
    </row>
    <row r="8177" spans="1:22" s="841" customFormat="1" ht="15" x14ac:dyDescent="0.25">
      <c r="A8177" s="841" t="s">
        <v>185</v>
      </c>
      <c r="B8177" s="841" t="s">
        <v>4326</v>
      </c>
      <c r="E8177" s="1690" t="s">
        <v>439</v>
      </c>
      <c r="F8177" s="1690"/>
      <c r="G8177" s="1408" t="s">
        <v>24</v>
      </c>
      <c r="H8177" s="393">
        <v>2.9999999999999997E-4</v>
      </c>
      <c r="K8177" s="841" t="s">
        <v>3197</v>
      </c>
      <c r="L8177" s="841" t="s">
        <v>3046</v>
      </c>
      <c r="M8177" s="1357"/>
      <c r="P8177" s="841" t="s">
        <v>3212</v>
      </c>
      <c r="Q8177" s="1357"/>
      <c r="S8177" s="1420"/>
      <c r="T8177" s="1420"/>
      <c r="V8177" s="1357">
        <v>57</v>
      </c>
    </row>
    <row r="8178" spans="1:22" s="841" customFormat="1" ht="15" x14ac:dyDescent="0.25">
      <c r="A8178" s="841" t="s">
        <v>185</v>
      </c>
      <c r="B8178" s="841" t="s">
        <v>4326</v>
      </c>
      <c r="E8178" s="1690" t="s">
        <v>32</v>
      </c>
      <c r="F8178" s="1690"/>
      <c r="G8178" s="1408" t="s">
        <v>23</v>
      </c>
      <c r="H8178" s="391">
        <v>0.25</v>
      </c>
      <c r="K8178" s="841" t="s">
        <v>3197</v>
      </c>
      <c r="L8178" s="841" t="s">
        <v>3046</v>
      </c>
      <c r="M8178" s="1357"/>
      <c r="P8178" s="841" t="s">
        <v>3213</v>
      </c>
      <c r="Q8178" s="1357"/>
      <c r="S8178" s="1420"/>
      <c r="T8178" s="1420"/>
      <c r="V8178" s="1357">
        <v>63</v>
      </c>
    </row>
    <row r="8179" spans="1:22" s="841" customFormat="1" x14ac:dyDescent="0.25">
      <c r="A8179" s="841" t="s">
        <v>185</v>
      </c>
      <c r="B8179" s="841" t="s">
        <v>4326</v>
      </c>
      <c r="E8179" s="1909" t="s">
        <v>3214</v>
      </c>
      <c r="F8179" s="1923"/>
      <c r="G8179" s="1923"/>
      <c r="H8179" s="1923"/>
      <c r="K8179" s="841" t="s">
        <v>5110</v>
      </c>
      <c r="M8179" s="1357"/>
      <c r="Q8179" s="1357"/>
      <c r="S8179" s="1420"/>
      <c r="T8179" s="1420"/>
      <c r="V8179" s="1357">
        <v>54</v>
      </c>
    </row>
    <row r="8180" spans="1:22" s="841" customFormat="1" ht="15" x14ac:dyDescent="0.25">
      <c r="A8180" s="841" t="s">
        <v>185</v>
      </c>
      <c r="B8180" s="841" t="s">
        <v>4326</v>
      </c>
      <c r="E8180" s="1689" t="s">
        <v>3955</v>
      </c>
      <c r="F8180" s="1689"/>
      <c r="G8180" s="1689"/>
      <c r="H8180" s="1689"/>
      <c r="K8180" s="841" t="s">
        <v>5110</v>
      </c>
      <c r="M8180" s="1357"/>
      <c r="Q8180" s="1357"/>
      <c r="S8180" s="1420"/>
      <c r="T8180" s="1420"/>
      <c r="V8180" s="1357">
        <v>336</v>
      </c>
    </row>
    <row r="8181" spans="1:22" s="841" customFormat="1" ht="15" x14ac:dyDescent="0.25">
      <c r="A8181" s="841" t="s">
        <v>185</v>
      </c>
      <c r="B8181" s="841" t="s">
        <v>4326</v>
      </c>
      <c r="E8181" s="1916" t="s">
        <v>3061</v>
      </c>
      <c r="F8181" s="1689"/>
      <c r="G8181" s="1689"/>
      <c r="H8181" s="1689"/>
      <c r="K8181" s="841" t="s">
        <v>3086</v>
      </c>
      <c r="M8181" s="1357"/>
      <c r="Q8181" s="1357"/>
      <c r="S8181" s="1420"/>
      <c r="T8181" s="1420"/>
      <c r="V8181" s="1357">
        <v>11</v>
      </c>
    </row>
    <row r="8182" spans="1:22" s="841" customFormat="1" ht="15" x14ac:dyDescent="0.25">
      <c r="A8182" s="841" t="s">
        <v>185</v>
      </c>
      <c r="B8182" s="841" t="s">
        <v>4326</v>
      </c>
      <c r="E8182" s="1689" t="s">
        <v>3063</v>
      </c>
      <c r="F8182" s="1689"/>
      <c r="G8182" s="1689"/>
      <c r="H8182" s="1689"/>
      <c r="K8182" s="841" t="s">
        <v>5110</v>
      </c>
      <c r="M8182" s="1357"/>
      <c r="Q8182" s="1357"/>
      <c r="S8182" s="1420"/>
      <c r="T8182" s="1420"/>
      <c r="V8182" s="1357">
        <v>280</v>
      </c>
    </row>
    <row r="8183" spans="1:22" s="841" customFormat="1" ht="15" x14ac:dyDescent="0.25">
      <c r="A8183" s="841" t="s">
        <v>185</v>
      </c>
      <c r="B8183" s="841" t="s">
        <v>4326</v>
      </c>
      <c r="E8183" s="1689" t="s">
        <v>3064</v>
      </c>
      <c r="F8183" s="1689"/>
      <c r="G8183" s="1689"/>
      <c r="H8183" s="1689"/>
      <c r="K8183" s="841" t="s">
        <v>5110</v>
      </c>
      <c r="M8183" s="1357"/>
      <c r="Q8183" s="1357"/>
      <c r="S8183" s="1420"/>
      <c r="T8183" s="1420"/>
      <c r="V8183" s="1357">
        <v>411</v>
      </c>
    </row>
    <row r="8184" spans="1:22" s="841" customFormat="1" ht="15" x14ac:dyDescent="0.25">
      <c r="A8184" s="841" t="s">
        <v>185</v>
      </c>
      <c r="B8184" s="841" t="s">
        <v>4326</v>
      </c>
      <c r="E8184" s="1689" t="s">
        <v>3199</v>
      </c>
      <c r="F8184" s="1689"/>
      <c r="G8184" s="1689"/>
      <c r="H8184" s="1689"/>
      <c r="K8184" s="841" t="s">
        <v>5110</v>
      </c>
      <c r="M8184" s="1357"/>
      <c r="Q8184" s="1357"/>
      <c r="S8184" s="1420"/>
      <c r="T8184" s="1420"/>
      <c r="V8184" s="1357">
        <v>386</v>
      </c>
    </row>
    <row r="8185" spans="1:22" s="841" customFormat="1" ht="15" x14ac:dyDescent="0.25">
      <c r="A8185" s="841" t="s">
        <v>185</v>
      </c>
      <c r="B8185" s="841" t="s">
        <v>4326</v>
      </c>
      <c r="E8185" s="1689" t="s">
        <v>3200</v>
      </c>
      <c r="F8185" s="1689"/>
      <c r="G8185" s="1689"/>
      <c r="H8185" s="1689"/>
      <c r="K8185" s="841" t="s">
        <v>5110</v>
      </c>
      <c r="M8185" s="1357"/>
      <c r="Q8185" s="1357"/>
      <c r="S8185" s="1420"/>
      <c r="T8185" s="1420"/>
      <c r="V8185" s="1357">
        <v>275</v>
      </c>
    </row>
    <row r="8186" spans="1:22" s="841" customFormat="1" ht="15" x14ac:dyDescent="0.25">
      <c r="A8186" s="841" t="s">
        <v>185</v>
      </c>
      <c r="B8186" s="841" t="s">
        <v>4326</v>
      </c>
      <c r="E8186" s="1694" t="s">
        <v>3067</v>
      </c>
      <c r="F8186" s="1907"/>
      <c r="G8186" s="1907"/>
      <c r="H8186" s="1907"/>
      <c r="K8186" s="841" t="s">
        <v>3087</v>
      </c>
      <c r="M8186" s="1357"/>
      <c r="Q8186" s="1357"/>
      <c r="S8186" s="1420"/>
      <c r="T8186" s="1420"/>
      <c r="V8186" s="1357">
        <v>46</v>
      </c>
    </row>
    <row r="8187" spans="1:22" s="841" customFormat="1" ht="15" x14ac:dyDescent="0.25">
      <c r="A8187" s="841" t="s">
        <v>185</v>
      </c>
      <c r="B8187" s="841" t="s">
        <v>4326</v>
      </c>
      <c r="E8187" s="1690" t="s">
        <v>11</v>
      </c>
      <c r="F8187" s="1690"/>
      <c r="G8187" s="1408" t="s">
        <v>23</v>
      </c>
      <c r="H8187" s="391">
        <v>35.159999999999997</v>
      </c>
      <c r="K8187" s="841" t="s">
        <v>5110</v>
      </c>
      <c r="L8187" s="841" t="s">
        <v>442</v>
      </c>
      <c r="M8187" s="1357"/>
      <c r="P8187" s="841" t="s">
        <v>5111</v>
      </c>
      <c r="Q8187" s="1357"/>
      <c r="S8187" s="1420"/>
      <c r="T8187" s="1420"/>
      <c r="V8187" s="1357">
        <v>14</v>
      </c>
    </row>
    <row r="8188" spans="1:22" s="841" customFormat="1" ht="15" x14ac:dyDescent="0.25">
      <c r="A8188" s="841" t="s">
        <v>185</v>
      </c>
      <c r="B8188" s="841" t="s">
        <v>4326</v>
      </c>
      <c r="E8188" s="1690" t="s">
        <v>5673</v>
      </c>
      <c r="F8188" s="1690"/>
      <c r="G8188" s="1408" t="s">
        <v>23</v>
      </c>
      <c r="H8188" s="391">
        <v>8.52</v>
      </c>
      <c r="K8188" s="841" t="s">
        <v>5110</v>
      </c>
      <c r="L8188" s="841" t="s">
        <v>442</v>
      </c>
      <c r="M8188" s="1357"/>
      <c r="P8188" s="841" t="s">
        <v>6370</v>
      </c>
      <c r="Q8188" s="1357"/>
      <c r="S8188" s="1420"/>
      <c r="T8188" s="1420"/>
      <c r="V8188" s="1357">
        <v>152</v>
      </c>
    </row>
    <row r="8189" spans="1:22" s="841" customFormat="1" ht="15" x14ac:dyDescent="0.25">
      <c r="A8189" s="841" t="s">
        <v>185</v>
      </c>
      <c r="B8189" s="841" t="s">
        <v>4326</v>
      </c>
      <c r="E8189" s="1690" t="s">
        <v>423</v>
      </c>
      <c r="F8189" s="1690"/>
      <c r="G8189" s="1408" t="s">
        <v>23</v>
      </c>
      <c r="H8189" s="391">
        <v>0.79</v>
      </c>
      <c r="K8189" s="841" t="s">
        <v>5110</v>
      </c>
      <c r="L8189" s="841" t="s">
        <v>443</v>
      </c>
      <c r="M8189" s="1357"/>
      <c r="P8189" s="841" t="s">
        <v>5112</v>
      </c>
      <c r="Q8189" s="1357"/>
      <c r="S8189" s="1420"/>
      <c r="T8189" s="1420">
        <v>43404</v>
      </c>
      <c r="V8189" s="1357">
        <v>78</v>
      </c>
    </row>
    <row r="8190" spans="1:22" s="841" customFormat="1" ht="15" x14ac:dyDescent="0.25">
      <c r="A8190" s="841" t="s">
        <v>185</v>
      </c>
      <c r="B8190" s="841" t="s">
        <v>4326</v>
      </c>
      <c r="E8190" s="1690" t="s">
        <v>84</v>
      </c>
      <c r="F8190" s="1690"/>
      <c r="G8190" s="1408" t="s">
        <v>24</v>
      </c>
      <c r="H8190" s="393">
        <v>1.44E-2</v>
      </c>
      <c r="K8190" s="841" t="s">
        <v>5110</v>
      </c>
      <c r="L8190" s="841" t="s">
        <v>442</v>
      </c>
      <c r="M8190" s="1357"/>
      <c r="P8190" s="841" t="s">
        <v>5113</v>
      </c>
      <c r="Q8190" s="1357"/>
      <c r="S8190" s="1420"/>
      <c r="T8190" s="1420"/>
      <c r="V8190" s="1357">
        <v>28</v>
      </c>
    </row>
    <row r="8191" spans="1:22" s="841" customFormat="1" ht="15" x14ac:dyDescent="0.25">
      <c r="A8191" s="841" t="s">
        <v>185</v>
      </c>
      <c r="B8191" s="841" t="s">
        <v>4326</v>
      </c>
      <c r="E8191" s="1690" t="s">
        <v>18</v>
      </c>
      <c r="F8191" s="1690"/>
      <c r="G8191" s="1408" t="s">
        <v>24</v>
      </c>
      <c r="H8191" s="393">
        <v>8.0000000000000004E-4</v>
      </c>
      <c r="K8191" s="841" t="s">
        <v>5110</v>
      </c>
      <c r="L8191" s="841" t="s">
        <v>443</v>
      </c>
      <c r="M8191" s="1357"/>
      <c r="P8191" s="841" t="s">
        <v>5114</v>
      </c>
      <c r="Q8191" s="1357"/>
      <c r="S8191" s="1420"/>
      <c r="T8191" s="1420"/>
      <c r="V8191" s="1357">
        <v>24</v>
      </c>
    </row>
    <row r="8192" spans="1:22" s="841" customFormat="1" ht="15" x14ac:dyDescent="0.25">
      <c r="A8192" s="841" t="s">
        <v>185</v>
      </c>
      <c r="B8192" s="841" t="s">
        <v>4326</v>
      </c>
      <c r="E8192" s="1690" t="s">
        <v>5143</v>
      </c>
      <c r="F8192" s="1908"/>
      <c r="G8192" s="1408" t="s">
        <v>24</v>
      </c>
      <c r="H8192" s="393">
        <v>-1E-4</v>
      </c>
      <c r="K8192" s="841" t="s">
        <v>5110</v>
      </c>
      <c r="L8192" s="841" t="s">
        <v>443</v>
      </c>
      <c r="M8192" s="1357"/>
      <c r="P8192" s="841" t="s">
        <v>4818</v>
      </c>
      <c r="Q8192" s="1357"/>
      <c r="S8192" s="1420"/>
      <c r="T8192" s="1420">
        <v>43465</v>
      </c>
      <c r="V8192" s="1357">
        <v>142</v>
      </c>
    </row>
    <row r="8193" spans="1:22" s="841" customFormat="1" ht="15" x14ac:dyDescent="0.25">
      <c r="A8193" s="841" t="s">
        <v>185</v>
      </c>
      <c r="B8193" s="841" t="s">
        <v>4326</v>
      </c>
      <c r="E8193" s="1690" t="s">
        <v>5144</v>
      </c>
      <c r="F8193" s="1908"/>
      <c r="G8193" s="1408" t="s">
        <v>24</v>
      </c>
      <c r="H8193" s="393">
        <v>5.3E-3</v>
      </c>
      <c r="K8193" s="841" t="s">
        <v>5110</v>
      </c>
      <c r="L8193" s="841" t="s">
        <v>443</v>
      </c>
      <c r="M8193" s="1357"/>
      <c r="P8193" s="841" t="s">
        <v>5124</v>
      </c>
      <c r="Q8193" s="1357"/>
      <c r="S8193" s="1420"/>
      <c r="T8193" s="1420">
        <v>43465</v>
      </c>
      <c r="V8193" s="1357">
        <v>99</v>
      </c>
    </row>
    <row r="8194" spans="1:22" s="841" customFormat="1" ht="15" x14ac:dyDescent="0.25">
      <c r="A8194" s="841" t="s">
        <v>185</v>
      </c>
      <c r="B8194" s="841" t="s">
        <v>4326</v>
      </c>
      <c r="E8194" s="1690" t="s">
        <v>221</v>
      </c>
      <c r="F8194" s="1690"/>
      <c r="G8194" s="1408" t="s">
        <v>24</v>
      </c>
      <c r="H8194" s="393">
        <v>5.5999999999999999E-3</v>
      </c>
      <c r="K8194" s="841" t="s">
        <v>5110</v>
      </c>
      <c r="L8194" s="841" t="s">
        <v>444</v>
      </c>
      <c r="M8194" s="1357"/>
      <c r="P8194" s="841" t="s">
        <v>5115</v>
      </c>
      <c r="Q8194" s="1357"/>
      <c r="S8194" s="1420"/>
      <c r="T8194" s="1420"/>
      <c r="V8194" s="1357">
        <v>47</v>
      </c>
    </row>
    <row r="8195" spans="1:22" s="841" customFormat="1" ht="15" x14ac:dyDescent="0.25">
      <c r="A8195" s="841" t="s">
        <v>185</v>
      </c>
      <c r="B8195" s="841" t="s">
        <v>4326</v>
      </c>
      <c r="E8195" s="1690" t="s">
        <v>217</v>
      </c>
      <c r="F8195" s="1690"/>
      <c r="G8195" s="1408" t="s">
        <v>24</v>
      </c>
      <c r="H8195" s="393">
        <v>4.4999999999999997E-3</v>
      </c>
      <c r="K8195" s="841" t="s">
        <v>5110</v>
      </c>
      <c r="L8195" s="841" t="s">
        <v>444</v>
      </c>
      <c r="M8195" s="1357"/>
      <c r="P8195" s="841" t="s">
        <v>5116</v>
      </c>
      <c r="Q8195" s="1357"/>
      <c r="S8195" s="1420"/>
      <c r="T8195" s="1420"/>
      <c r="V8195" s="1357">
        <v>74</v>
      </c>
    </row>
    <row r="8196" spans="1:22" s="841" customFormat="1" ht="15" x14ac:dyDescent="0.25">
      <c r="A8196" s="841" t="s">
        <v>185</v>
      </c>
      <c r="B8196" s="841" t="s">
        <v>4326</v>
      </c>
      <c r="E8196" s="1694" t="s">
        <v>3079</v>
      </c>
      <c r="F8196" s="1690"/>
      <c r="G8196" s="1690"/>
      <c r="H8196" s="1690"/>
      <c r="K8196" s="841" t="s">
        <v>3093</v>
      </c>
      <c r="M8196" s="1357"/>
      <c r="Q8196" s="1357"/>
      <c r="S8196" s="1420"/>
      <c r="T8196" s="1420"/>
      <c r="V8196" s="1357">
        <v>48</v>
      </c>
    </row>
    <row r="8197" spans="1:22" s="841" customFormat="1" ht="15" x14ac:dyDescent="0.25">
      <c r="A8197" s="841" t="s">
        <v>185</v>
      </c>
      <c r="B8197" s="841" t="s">
        <v>4326</v>
      </c>
      <c r="E8197" s="1690" t="s">
        <v>2449</v>
      </c>
      <c r="F8197" s="1690"/>
      <c r="G8197" s="1408" t="s">
        <v>24</v>
      </c>
      <c r="H8197" s="393">
        <v>3.2000000000000002E-3</v>
      </c>
      <c r="K8197" s="841" t="s">
        <v>5110</v>
      </c>
      <c r="L8197" s="841" t="s">
        <v>3046</v>
      </c>
      <c r="M8197" s="1357"/>
      <c r="P8197" s="841" t="s">
        <v>5117</v>
      </c>
      <c r="Q8197" s="1357"/>
      <c r="S8197" s="1420"/>
      <c r="T8197" s="1420"/>
      <c r="V8197" s="1357">
        <v>55</v>
      </c>
    </row>
    <row r="8198" spans="1:22" s="841" customFormat="1" ht="15" x14ac:dyDescent="0.25">
      <c r="A8198" s="841" t="s">
        <v>185</v>
      </c>
      <c r="B8198" s="841" t="s">
        <v>4326</v>
      </c>
      <c r="E8198" s="1690" t="s">
        <v>2450</v>
      </c>
      <c r="F8198" s="1690"/>
      <c r="G8198" s="1408" t="s">
        <v>24</v>
      </c>
      <c r="H8198" s="393">
        <v>4.0000000000000002E-4</v>
      </c>
      <c r="K8198" s="841" t="s">
        <v>5110</v>
      </c>
      <c r="L8198" s="841" t="s">
        <v>3046</v>
      </c>
      <c r="M8198" s="1357"/>
      <c r="P8198" s="841" t="s">
        <v>5117</v>
      </c>
      <c r="Q8198" s="1357"/>
      <c r="S8198" s="1420"/>
      <c r="T8198" s="1420"/>
      <c r="V8198" s="1357">
        <v>65</v>
      </c>
    </row>
    <row r="8199" spans="1:22" s="841" customFormat="1" ht="15" x14ac:dyDescent="0.25">
      <c r="A8199" s="841" t="s">
        <v>185</v>
      </c>
      <c r="B8199" s="841" t="s">
        <v>4326</v>
      </c>
      <c r="E8199" s="1690" t="s">
        <v>439</v>
      </c>
      <c r="F8199" s="1690"/>
      <c r="G8199" s="1408" t="s">
        <v>24</v>
      </c>
      <c r="H8199" s="393">
        <v>2.9999999999999997E-4</v>
      </c>
      <c r="K8199" s="841" t="s">
        <v>5110</v>
      </c>
      <c r="L8199" s="841" t="s">
        <v>3046</v>
      </c>
      <c r="M8199" s="1357"/>
      <c r="P8199" s="841" t="s">
        <v>5118</v>
      </c>
      <c r="Q8199" s="1357"/>
      <c r="S8199" s="1420"/>
      <c r="T8199" s="1420"/>
      <c r="V8199" s="1357">
        <v>57</v>
      </c>
    </row>
    <row r="8200" spans="1:22" s="841" customFormat="1" ht="15" x14ac:dyDescent="0.25">
      <c r="A8200" s="841" t="s">
        <v>185</v>
      </c>
      <c r="B8200" s="841" t="s">
        <v>4326</v>
      </c>
      <c r="E8200" s="1690" t="s">
        <v>32</v>
      </c>
      <c r="F8200" s="1690"/>
      <c r="G8200" s="1408" t="s">
        <v>23</v>
      </c>
      <c r="H8200" s="391">
        <v>0.25</v>
      </c>
      <c r="K8200" s="841" t="s">
        <v>5110</v>
      </c>
      <c r="L8200" s="841" t="s">
        <v>3046</v>
      </c>
      <c r="M8200" s="1357"/>
      <c r="P8200" s="841" t="s">
        <v>5119</v>
      </c>
      <c r="Q8200" s="1357"/>
      <c r="S8200" s="1420"/>
      <c r="T8200" s="1420"/>
      <c r="V8200" s="1357">
        <v>63</v>
      </c>
    </row>
    <row r="8201" spans="1:22" s="841" customFormat="1" x14ac:dyDescent="0.25">
      <c r="A8201" s="841" t="s">
        <v>185</v>
      </c>
      <c r="B8201" s="841" t="s">
        <v>4326</v>
      </c>
      <c r="E8201" s="1909" t="s">
        <v>616</v>
      </c>
      <c r="F8201" s="1923"/>
      <c r="G8201" s="1923"/>
      <c r="H8201" s="1923"/>
      <c r="K8201" s="841" t="s">
        <v>6095</v>
      </c>
      <c r="M8201" s="1357"/>
      <c r="Q8201" s="1357"/>
      <c r="S8201" s="1420"/>
      <c r="T8201" s="1420"/>
      <c r="V8201" s="1357">
        <v>53</v>
      </c>
    </row>
    <row r="8202" spans="1:22" s="841" customFormat="1" ht="15" x14ac:dyDescent="0.25">
      <c r="A8202" s="841" t="s">
        <v>185</v>
      </c>
      <c r="B8202" s="841" t="s">
        <v>4326</v>
      </c>
      <c r="E8202" s="1689" t="s">
        <v>3926</v>
      </c>
      <c r="F8202" s="1689"/>
      <c r="G8202" s="1689"/>
      <c r="H8202" s="1689"/>
      <c r="K8202" s="841" t="s">
        <v>6095</v>
      </c>
      <c r="M8202" s="1357"/>
      <c r="Q8202" s="1357"/>
      <c r="S8202" s="1420"/>
      <c r="T8202" s="1420"/>
      <c r="V8202" s="1357">
        <v>386</v>
      </c>
    </row>
    <row r="8203" spans="1:22" s="841" customFormat="1" ht="15" x14ac:dyDescent="0.25">
      <c r="A8203" s="841" t="s">
        <v>185</v>
      </c>
      <c r="B8203" s="841" t="s">
        <v>4326</v>
      </c>
      <c r="E8203" s="1916" t="s">
        <v>3061</v>
      </c>
      <c r="F8203" s="1689"/>
      <c r="G8203" s="1689"/>
      <c r="H8203" s="1689"/>
      <c r="K8203" s="841" t="s">
        <v>3098</v>
      </c>
      <c r="M8203" s="1357"/>
      <c r="Q8203" s="1357"/>
      <c r="S8203" s="1420"/>
      <c r="T8203" s="1420"/>
      <c r="V8203" s="1357">
        <v>11</v>
      </c>
    </row>
    <row r="8204" spans="1:22" s="841" customFormat="1" ht="15" x14ac:dyDescent="0.25">
      <c r="A8204" s="841" t="s">
        <v>185</v>
      </c>
      <c r="B8204" s="841" t="s">
        <v>4326</v>
      </c>
      <c r="E8204" s="1689" t="s">
        <v>3063</v>
      </c>
      <c r="F8204" s="1689"/>
      <c r="G8204" s="1689"/>
      <c r="H8204" s="1689"/>
      <c r="K8204" s="841" t="s">
        <v>6095</v>
      </c>
      <c r="M8204" s="1357"/>
      <c r="Q8204" s="1357"/>
      <c r="S8204" s="1420"/>
      <c r="T8204" s="1420"/>
      <c r="V8204" s="1357">
        <v>280</v>
      </c>
    </row>
    <row r="8205" spans="1:22" s="841" customFormat="1" ht="15" x14ac:dyDescent="0.25">
      <c r="A8205" s="841" t="s">
        <v>185</v>
      </c>
      <c r="B8205" s="841" t="s">
        <v>4326</v>
      </c>
      <c r="E8205" s="1689" t="s">
        <v>3064</v>
      </c>
      <c r="F8205" s="1689"/>
      <c r="G8205" s="1689"/>
      <c r="H8205" s="1689"/>
      <c r="K8205" s="841" t="s">
        <v>6095</v>
      </c>
      <c r="M8205" s="1357"/>
      <c r="Q8205" s="1357"/>
      <c r="S8205" s="1420"/>
      <c r="T8205" s="1420"/>
      <c r="V8205" s="1357">
        <v>411</v>
      </c>
    </row>
    <row r="8206" spans="1:22" s="841" customFormat="1" ht="15" x14ac:dyDescent="0.25">
      <c r="A8206" s="841" t="s">
        <v>185</v>
      </c>
      <c r="B8206" s="841" t="s">
        <v>4326</v>
      </c>
      <c r="E8206" s="1689" t="s">
        <v>3199</v>
      </c>
      <c r="F8206" s="1689"/>
      <c r="G8206" s="1689"/>
      <c r="H8206" s="1689"/>
      <c r="K8206" s="841" t="s">
        <v>6095</v>
      </c>
      <c r="M8206" s="1357"/>
      <c r="Q8206" s="1357"/>
      <c r="S8206" s="1420"/>
      <c r="T8206" s="1420"/>
      <c r="V8206" s="1357">
        <v>386</v>
      </c>
    </row>
    <row r="8207" spans="1:22" s="841" customFormat="1" ht="15" x14ac:dyDescent="0.25">
      <c r="A8207" s="841" t="s">
        <v>185</v>
      </c>
      <c r="B8207" s="841" t="s">
        <v>4326</v>
      </c>
      <c r="E8207" s="1689" t="s">
        <v>3223</v>
      </c>
      <c r="F8207" s="1689"/>
      <c r="G8207" s="1689"/>
      <c r="H8207" s="1689"/>
      <c r="K8207" s="841" t="s">
        <v>6095</v>
      </c>
      <c r="M8207" s="1357"/>
      <c r="Q8207" s="1357"/>
      <c r="S8207" s="1420"/>
      <c r="T8207" s="1420"/>
      <c r="V8207" s="1357">
        <v>626</v>
      </c>
    </row>
    <row r="8208" spans="1:22" s="841" customFormat="1" ht="15" x14ac:dyDescent="0.25">
      <c r="A8208" s="841" t="s">
        <v>185</v>
      </c>
      <c r="B8208" s="841" t="s">
        <v>4326</v>
      </c>
      <c r="E8208" s="1689" t="s">
        <v>3200</v>
      </c>
      <c r="F8208" s="1689"/>
      <c r="G8208" s="1689"/>
      <c r="H8208" s="1689"/>
      <c r="K8208" s="841" t="s">
        <v>6095</v>
      </c>
      <c r="M8208" s="1357"/>
      <c r="Q8208" s="1357"/>
      <c r="S8208" s="1420"/>
      <c r="T8208" s="1420"/>
      <c r="V8208" s="1357">
        <v>275</v>
      </c>
    </row>
    <row r="8209" spans="1:22" s="841" customFormat="1" ht="15" x14ac:dyDescent="0.25">
      <c r="A8209" s="841" t="s">
        <v>185</v>
      </c>
      <c r="B8209" s="841" t="s">
        <v>4326</v>
      </c>
      <c r="E8209" s="1694" t="s">
        <v>3067</v>
      </c>
      <c r="F8209" s="1907"/>
      <c r="G8209" s="1907"/>
      <c r="H8209" s="1907"/>
      <c r="K8209" s="841" t="s">
        <v>3099</v>
      </c>
      <c r="M8209" s="1357"/>
      <c r="Q8209" s="1357"/>
      <c r="S8209" s="1420"/>
      <c r="T8209" s="1420"/>
      <c r="V8209" s="1357">
        <v>46</v>
      </c>
    </row>
    <row r="8210" spans="1:22" s="841" customFormat="1" ht="15" x14ac:dyDescent="0.25">
      <c r="A8210" s="841" t="s">
        <v>185</v>
      </c>
      <c r="B8210" s="841" t="s">
        <v>4326</v>
      </c>
      <c r="E8210" s="1690" t="s">
        <v>11</v>
      </c>
      <c r="F8210" s="1690"/>
      <c r="G8210" s="1408" t="s">
        <v>23</v>
      </c>
      <c r="H8210" s="391">
        <v>202.64</v>
      </c>
      <c r="K8210" s="841" t="s">
        <v>6095</v>
      </c>
      <c r="L8210" s="841" t="s">
        <v>442</v>
      </c>
      <c r="M8210" s="1357"/>
      <c r="P8210" s="841" t="s">
        <v>6096</v>
      </c>
      <c r="Q8210" s="1357"/>
      <c r="S8210" s="1420"/>
      <c r="T8210" s="1420"/>
      <c r="V8210" s="1357">
        <v>14</v>
      </c>
    </row>
    <row r="8211" spans="1:22" s="841" customFormat="1" ht="15" x14ac:dyDescent="0.25">
      <c r="A8211" s="841" t="s">
        <v>185</v>
      </c>
      <c r="B8211" s="841" t="s">
        <v>4326</v>
      </c>
      <c r="E8211" s="1690" t="s">
        <v>84</v>
      </c>
      <c r="F8211" s="1690"/>
      <c r="G8211" s="1408" t="s">
        <v>33</v>
      </c>
      <c r="H8211" s="393">
        <v>4.069</v>
      </c>
      <c r="K8211" s="841" t="s">
        <v>6095</v>
      </c>
      <c r="L8211" s="841" t="s">
        <v>442</v>
      </c>
      <c r="M8211" s="1357"/>
      <c r="P8211" s="841" t="s">
        <v>6097</v>
      </c>
      <c r="Q8211" s="1357"/>
      <c r="S8211" s="1420"/>
      <c r="T8211" s="1420"/>
      <c r="V8211" s="1357">
        <v>28</v>
      </c>
    </row>
    <row r="8212" spans="1:22" s="841" customFormat="1" ht="15" x14ac:dyDescent="0.25">
      <c r="A8212" s="841" t="s">
        <v>185</v>
      </c>
      <c r="B8212" s="841" t="s">
        <v>4326</v>
      </c>
      <c r="E8212" s="1690" t="s">
        <v>18</v>
      </c>
      <c r="F8212" s="1690"/>
      <c r="G8212" s="1408" t="s">
        <v>33</v>
      </c>
      <c r="H8212" s="393">
        <v>0.40710000000000002</v>
      </c>
      <c r="K8212" s="841" t="s">
        <v>6095</v>
      </c>
      <c r="L8212" s="841" t="s">
        <v>443</v>
      </c>
      <c r="M8212" s="1357"/>
      <c r="P8212" s="841" t="s">
        <v>6098</v>
      </c>
      <c r="Q8212" s="1357"/>
      <c r="S8212" s="1420"/>
      <c r="T8212" s="1420"/>
      <c r="V8212" s="1357">
        <v>24</v>
      </c>
    </row>
    <row r="8213" spans="1:22" s="841" customFormat="1" ht="15" x14ac:dyDescent="0.25">
      <c r="A8213" s="841" t="s">
        <v>185</v>
      </c>
      <c r="B8213" s="841" t="s">
        <v>4326</v>
      </c>
      <c r="E8213" s="1690" t="s">
        <v>5143</v>
      </c>
      <c r="F8213" s="1908"/>
      <c r="G8213" s="1408" t="s">
        <v>24</v>
      </c>
      <c r="H8213" s="393">
        <v>-1E-4</v>
      </c>
      <c r="K8213" s="841" t="s">
        <v>6095</v>
      </c>
      <c r="L8213" s="841" t="s">
        <v>443</v>
      </c>
      <c r="M8213" s="1357"/>
      <c r="P8213" s="841" t="s">
        <v>6104</v>
      </c>
      <c r="Q8213" s="1357"/>
      <c r="S8213" s="1420"/>
      <c r="T8213" s="1420">
        <v>43465</v>
      </c>
      <c r="V8213" s="1357">
        <v>142</v>
      </c>
    </row>
    <row r="8214" spans="1:22" s="841" customFormat="1" ht="15" x14ac:dyDescent="0.25">
      <c r="A8214" s="841" t="s">
        <v>185</v>
      </c>
      <c r="B8214" s="841" t="s">
        <v>4326</v>
      </c>
      <c r="E8214" s="1690" t="s">
        <v>5144</v>
      </c>
      <c r="F8214" s="1908"/>
      <c r="G8214" s="1408" t="s">
        <v>33</v>
      </c>
      <c r="H8214" s="393">
        <v>2.1242000000000001</v>
      </c>
      <c r="K8214" s="841" t="s">
        <v>6095</v>
      </c>
      <c r="L8214" s="841" t="s">
        <v>443</v>
      </c>
      <c r="M8214" s="1357"/>
      <c r="P8214" s="841" t="s">
        <v>6105</v>
      </c>
      <c r="Q8214" s="1357"/>
      <c r="S8214" s="1420"/>
      <c r="T8214" s="1420">
        <v>43465</v>
      </c>
      <c r="V8214" s="1357">
        <v>99</v>
      </c>
    </row>
    <row r="8215" spans="1:22" s="841" customFormat="1" ht="15" x14ac:dyDescent="0.25">
      <c r="A8215" s="841" t="s">
        <v>185</v>
      </c>
      <c r="B8215" s="841" t="s">
        <v>4326</v>
      </c>
      <c r="E8215" s="1690" t="s">
        <v>221</v>
      </c>
      <c r="F8215" s="1690"/>
      <c r="G8215" s="1408" t="s">
        <v>33</v>
      </c>
      <c r="H8215" s="393">
        <v>2.2679999999999998</v>
      </c>
      <c r="K8215" s="841" t="s">
        <v>6095</v>
      </c>
      <c r="L8215" s="841" t="s">
        <v>444</v>
      </c>
      <c r="M8215" s="1357"/>
      <c r="P8215" s="841" t="s">
        <v>6099</v>
      </c>
      <c r="Q8215" s="1357"/>
      <c r="S8215" s="1420"/>
      <c r="T8215" s="1420"/>
      <c r="V8215" s="1357">
        <v>47</v>
      </c>
    </row>
    <row r="8216" spans="1:22" s="841" customFormat="1" ht="15" x14ac:dyDescent="0.25">
      <c r="A8216" s="841" t="s">
        <v>185</v>
      </c>
      <c r="B8216" s="841" t="s">
        <v>4326</v>
      </c>
      <c r="E8216" s="1690" t="s">
        <v>217</v>
      </c>
      <c r="F8216" s="1690"/>
      <c r="G8216" s="1408" t="s">
        <v>33</v>
      </c>
      <c r="H8216" s="393">
        <v>1.7506999999999999</v>
      </c>
      <c r="K8216" s="841" t="s">
        <v>6095</v>
      </c>
      <c r="L8216" s="841" t="s">
        <v>444</v>
      </c>
      <c r="M8216" s="1357"/>
      <c r="P8216" s="841" t="s">
        <v>6100</v>
      </c>
      <c r="Q8216" s="1357"/>
      <c r="S8216" s="1420"/>
      <c r="T8216" s="1420"/>
      <c r="V8216" s="1357">
        <v>74</v>
      </c>
    </row>
    <row r="8217" spans="1:22" s="841" customFormat="1" ht="15" x14ac:dyDescent="0.25">
      <c r="A8217" s="841" t="s">
        <v>185</v>
      </c>
      <c r="B8217" s="841" t="s">
        <v>4326</v>
      </c>
      <c r="E8217" s="1690" t="s">
        <v>223</v>
      </c>
      <c r="F8217" s="1690"/>
      <c r="G8217" s="1408" t="s">
        <v>33</v>
      </c>
      <c r="H8217" s="393">
        <v>2.6989000000000001</v>
      </c>
      <c r="K8217" s="841" t="s">
        <v>6095</v>
      </c>
      <c r="L8217" s="841" t="s">
        <v>444</v>
      </c>
      <c r="M8217" s="1357"/>
      <c r="P8217" s="841" t="s">
        <v>6107</v>
      </c>
      <c r="Q8217" s="1357"/>
      <c r="S8217" s="1420"/>
      <c r="T8217" s="1420"/>
      <c r="V8217" s="1357">
        <v>66</v>
      </c>
    </row>
    <row r="8218" spans="1:22" s="841" customFormat="1" ht="15" x14ac:dyDescent="0.25">
      <c r="A8218" s="841" t="s">
        <v>185</v>
      </c>
      <c r="B8218" s="841" t="s">
        <v>4326</v>
      </c>
      <c r="E8218" s="1690" t="s">
        <v>219</v>
      </c>
      <c r="F8218" s="1690"/>
      <c r="G8218" s="1408" t="s">
        <v>33</v>
      </c>
      <c r="H8218" s="393">
        <v>2.1234999999999999</v>
      </c>
      <c r="K8218" s="841" t="s">
        <v>6095</v>
      </c>
      <c r="L8218" s="841" t="s">
        <v>444</v>
      </c>
      <c r="M8218" s="1357"/>
      <c r="P8218" s="841" t="s">
        <v>6108</v>
      </c>
      <c r="Q8218" s="1357"/>
      <c r="S8218" s="1420"/>
      <c r="T8218" s="1420"/>
      <c r="V8218" s="1357">
        <v>93</v>
      </c>
    </row>
    <row r="8219" spans="1:22" s="841" customFormat="1" ht="15" x14ac:dyDescent="0.25">
      <c r="A8219" s="841" t="s">
        <v>185</v>
      </c>
      <c r="B8219" s="841" t="s">
        <v>4326</v>
      </c>
      <c r="E8219" s="1694" t="s">
        <v>3079</v>
      </c>
      <c r="F8219" s="1690"/>
      <c r="G8219" s="1690"/>
      <c r="H8219" s="1690"/>
      <c r="K8219" s="841" t="s">
        <v>3218</v>
      </c>
      <c r="M8219" s="1357"/>
      <c r="Q8219" s="1357"/>
      <c r="S8219" s="1420"/>
      <c r="T8219" s="1420"/>
      <c r="V8219" s="1357">
        <v>48</v>
      </c>
    </row>
    <row r="8220" spans="1:22" s="841" customFormat="1" ht="15" x14ac:dyDescent="0.25">
      <c r="A8220" s="841" t="s">
        <v>185</v>
      </c>
      <c r="B8220" s="841" t="s">
        <v>4326</v>
      </c>
      <c r="E8220" s="1690" t="s">
        <v>2449</v>
      </c>
      <c r="F8220" s="1690"/>
      <c r="G8220" s="1408" t="s">
        <v>24</v>
      </c>
      <c r="H8220" s="393">
        <v>3.2000000000000002E-3</v>
      </c>
      <c r="K8220" s="841" t="s">
        <v>6095</v>
      </c>
      <c r="L8220" s="841" t="s">
        <v>3046</v>
      </c>
      <c r="M8220" s="1357"/>
      <c r="P8220" s="841" t="s">
        <v>6101</v>
      </c>
      <c r="Q8220" s="1357"/>
      <c r="S8220" s="1420"/>
      <c r="T8220" s="1420"/>
      <c r="V8220" s="1357">
        <v>55</v>
      </c>
    </row>
    <row r="8221" spans="1:22" s="841" customFormat="1" ht="15" x14ac:dyDescent="0.25">
      <c r="A8221" s="841" t="s">
        <v>185</v>
      </c>
      <c r="B8221" s="841" t="s">
        <v>4326</v>
      </c>
      <c r="E8221" s="1690" t="s">
        <v>2450</v>
      </c>
      <c r="F8221" s="1690"/>
      <c r="G8221" s="1408" t="s">
        <v>24</v>
      </c>
      <c r="H8221" s="393">
        <v>4.0000000000000002E-4</v>
      </c>
      <c r="K8221" s="841" t="s">
        <v>6095</v>
      </c>
      <c r="L8221" s="841" t="s">
        <v>3046</v>
      </c>
      <c r="M8221" s="1357"/>
      <c r="P8221" s="841" t="s">
        <v>6101</v>
      </c>
      <c r="Q8221" s="1357"/>
      <c r="S8221" s="1420"/>
      <c r="T8221" s="1420"/>
      <c r="V8221" s="1357">
        <v>65</v>
      </c>
    </row>
    <row r="8222" spans="1:22" s="841" customFormat="1" ht="15" x14ac:dyDescent="0.25">
      <c r="A8222" s="841" t="s">
        <v>185</v>
      </c>
      <c r="B8222" s="841" t="s">
        <v>4326</v>
      </c>
      <c r="E8222" s="1690" t="s">
        <v>439</v>
      </c>
      <c r="F8222" s="1690"/>
      <c r="G8222" s="1408" t="s">
        <v>24</v>
      </c>
      <c r="H8222" s="393">
        <v>2.9999999999999997E-4</v>
      </c>
      <c r="K8222" s="841" t="s">
        <v>6095</v>
      </c>
      <c r="L8222" s="841" t="s">
        <v>3046</v>
      </c>
      <c r="M8222" s="1357"/>
      <c r="P8222" s="841" t="s">
        <v>6102</v>
      </c>
      <c r="Q8222" s="1357"/>
      <c r="S8222" s="1420"/>
      <c r="T8222" s="1420"/>
      <c r="V8222" s="1357">
        <v>57</v>
      </c>
    </row>
    <row r="8223" spans="1:22" s="841" customFormat="1" ht="15" x14ac:dyDescent="0.25">
      <c r="A8223" s="841" t="s">
        <v>185</v>
      </c>
      <c r="B8223" s="841" t="s">
        <v>4326</v>
      </c>
      <c r="E8223" s="1690" t="s">
        <v>32</v>
      </c>
      <c r="F8223" s="1690"/>
      <c r="G8223" s="1408" t="s">
        <v>23</v>
      </c>
      <c r="H8223" s="391">
        <v>0.25</v>
      </c>
      <c r="K8223" s="841" t="s">
        <v>6095</v>
      </c>
      <c r="L8223" s="841" t="s">
        <v>3046</v>
      </c>
      <c r="M8223" s="1357"/>
      <c r="P8223" s="841" t="s">
        <v>6103</v>
      </c>
      <c r="Q8223" s="1357"/>
      <c r="S8223" s="1420"/>
      <c r="T8223" s="1420"/>
      <c r="V8223" s="1357">
        <v>63</v>
      </c>
    </row>
    <row r="8224" spans="1:22" s="841" customFormat="1" x14ac:dyDescent="0.25">
      <c r="A8224" s="841" t="s">
        <v>185</v>
      </c>
      <c r="B8224" s="841" t="s">
        <v>4326</v>
      </c>
      <c r="E8224" s="1909" t="s">
        <v>617</v>
      </c>
      <c r="F8224" s="1923"/>
      <c r="G8224" s="1923"/>
      <c r="H8224" s="1923"/>
      <c r="K8224" s="841" t="s">
        <v>3406</v>
      </c>
      <c r="M8224" s="1357"/>
      <c r="Q8224" s="1357"/>
      <c r="S8224" s="1420"/>
      <c r="T8224" s="1420"/>
      <c r="V8224" s="1357">
        <v>47</v>
      </c>
    </row>
    <row r="8225" spans="1:22" s="841" customFormat="1" ht="15" x14ac:dyDescent="0.25">
      <c r="A8225" s="841" t="s">
        <v>185</v>
      </c>
      <c r="B8225" s="841" t="s">
        <v>4326</v>
      </c>
      <c r="E8225" s="1689" t="s">
        <v>4328</v>
      </c>
      <c r="F8225" s="1689"/>
      <c r="G8225" s="1689"/>
      <c r="H8225" s="1689"/>
      <c r="K8225" s="841" t="s">
        <v>3406</v>
      </c>
      <c r="M8225" s="1357"/>
      <c r="Q8225" s="1357"/>
      <c r="S8225" s="1420"/>
      <c r="T8225" s="1420"/>
      <c r="V8225" s="1357">
        <v>719</v>
      </c>
    </row>
    <row r="8226" spans="1:22" s="841" customFormat="1" ht="15" x14ac:dyDescent="0.25">
      <c r="A8226" s="841" t="s">
        <v>185</v>
      </c>
      <c r="B8226" s="841" t="s">
        <v>4326</v>
      </c>
      <c r="E8226" s="1916" t="s">
        <v>3061</v>
      </c>
      <c r="F8226" s="1689"/>
      <c r="G8226" s="1689"/>
      <c r="H8226" s="1689"/>
      <c r="K8226" s="841" t="s">
        <v>3221</v>
      </c>
      <c r="M8226" s="1357"/>
      <c r="Q8226" s="1357"/>
      <c r="S8226" s="1420"/>
      <c r="T8226" s="1420"/>
      <c r="V8226" s="1357">
        <v>11</v>
      </c>
    </row>
    <row r="8227" spans="1:22" s="841" customFormat="1" ht="15" x14ac:dyDescent="0.25">
      <c r="A8227" s="841" t="s">
        <v>185</v>
      </c>
      <c r="B8227" s="841" t="s">
        <v>4326</v>
      </c>
      <c r="E8227" s="1689" t="s">
        <v>3063</v>
      </c>
      <c r="F8227" s="1689"/>
      <c r="G8227" s="1689"/>
      <c r="H8227" s="1689"/>
      <c r="K8227" s="841" t="s">
        <v>3406</v>
      </c>
      <c r="M8227" s="1357"/>
      <c r="Q8227" s="1357"/>
      <c r="S8227" s="1420"/>
      <c r="T8227" s="1420"/>
      <c r="V8227" s="1357">
        <v>280</v>
      </c>
    </row>
    <row r="8228" spans="1:22" s="841" customFormat="1" ht="15" x14ac:dyDescent="0.25">
      <c r="A8228" s="841" t="s">
        <v>185</v>
      </c>
      <c r="B8228" s="841" t="s">
        <v>4326</v>
      </c>
      <c r="E8228" s="1689" t="s">
        <v>3064</v>
      </c>
      <c r="F8228" s="1689"/>
      <c r="G8228" s="1689"/>
      <c r="H8228" s="1689"/>
      <c r="K8228" s="841" t="s">
        <v>3406</v>
      </c>
      <c r="M8228" s="1357"/>
      <c r="Q8228" s="1357"/>
      <c r="S8228" s="1420"/>
      <c r="T8228" s="1420"/>
      <c r="V8228" s="1357">
        <v>411</v>
      </c>
    </row>
    <row r="8229" spans="1:22" s="841" customFormat="1" ht="15" x14ac:dyDescent="0.25">
      <c r="A8229" s="841" t="s">
        <v>185</v>
      </c>
      <c r="B8229" s="841" t="s">
        <v>4326</v>
      </c>
      <c r="E8229" s="1689" t="s">
        <v>3199</v>
      </c>
      <c r="F8229" s="1689"/>
      <c r="G8229" s="1689"/>
      <c r="H8229" s="1689"/>
      <c r="K8229" s="841" t="s">
        <v>3406</v>
      </c>
      <c r="M8229" s="1357"/>
      <c r="Q8229" s="1357"/>
      <c r="S8229" s="1420"/>
      <c r="T8229" s="1420"/>
      <c r="V8229" s="1357">
        <v>386</v>
      </c>
    </row>
    <row r="8230" spans="1:22" s="841" customFormat="1" ht="15" x14ac:dyDescent="0.25">
      <c r="A8230" s="841" t="s">
        <v>185</v>
      </c>
      <c r="B8230" s="841" t="s">
        <v>4326</v>
      </c>
      <c r="E8230" s="1689" t="s">
        <v>3200</v>
      </c>
      <c r="F8230" s="1689"/>
      <c r="G8230" s="1689"/>
      <c r="H8230" s="1689"/>
      <c r="K8230" s="841" t="s">
        <v>3406</v>
      </c>
      <c r="M8230" s="1357"/>
      <c r="Q8230" s="1357"/>
      <c r="S8230" s="1420"/>
      <c r="T8230" s="1420"/>
      <c r="V8230" s="1357">
        <v>275</v>
      </c>
    </row>
    <row r="8231" spans="1:22" s="841" customFormat="1" ht="15" x14ac:dyDescent="0.25">
      <c r="A8231" s="841" t="s">
        <v>185</v>
      </c>
      <c r="B8231" s="841" t="s">
        <v>4326</v>
      </c>
      <c r="E8231" s="1694" t="s">
        <v>3067</v>
      </c>
      <c r="F8231" s="1907"/>
      <c r="G8231" s="1907"/>
      <c r="H8231" s="1907"/>
      <c r="K8231" s="841" t="s">
        <v>3224</v>
      </c>
      <c r="M8231" s="1357"/>
      <c r="Q8231" s="1357"/>
      <c r="S8231" s="1420"/>
      <c r="T8231" s="1420"/>
      <c r="V8231" s="1357">
        <v>46</v>
      </c>
    </row>
    <row r="8232" spans="1:22" s="841" customFormat="1" ht="15" x14ac:dyDescent="0.25">
      <c r="A8232" s="841" t="s">
        <v>185</v>
      </c>
      <c r="B8232" s="841" t="s">
        <v>4326</v>
      </c>
      <c r="E8232" s="1690" t="s">
        <v>11</v>
      </c>
      <c r="F8232" s="1690"/>
      <c r="G8232" s="1408" t="s">
        <v>23</v>
      </c>
      <c r="H8232" s="391">
        <v>24.35</v>
      </c>
      <c r="K8232" s="841" t="s">
        <v>3406</v>
      </c>
      <c r="L8232" s="841" t="s">
        <v>442</v>
      </c>
      <c r="M8232" s="1357"/>
      <c r="P8232" s="841" t="s">
        <v>3408</v>
      </c>
      <c r="Q8232" s="1357"/>
      <c r="S8232" s="1420"/>
      <c r="T8232" s="1420"/>
      <c r="V8232" s="1357">
        <v>14</v>
      </c>
    </row>
    <row r="8233" spans="1:22" s="841" customFormat="1" ht="15" x14ac:dyDescent="0.25">
      <c r="A8233" s="841" t="s">
        <v>185</v>
      </c>
      <c r="B8233" s="841" t="s">
        <v>4326</v>
      </c>
      <c r="E8233" s="1690" t="s">
        <v>84</v>
      </c>
      <c r="F8233" s="1690"/>
      <c r="G8233" s="1408" t="s">
        <v>24</v>
      </c>
      <c r="H8233" s="393">
        <v>0.1421</v>
      </c>
      <c r="K8233" s="841" t="s">
        <v>3406</v>
      </c>
      <c r="L8233" s="841" t="s">
        <v>442</v>
      </c>
      <c r="M8233" s="1357"/>
      <c r="P8233" s="841" t="s">
        <v>3409</v>
      </c>
      <c r="Q8233" s="1357"/>
      <c r="S8233" s="1420"/>
      <c r="T8233" s="1420"/>
      <c r="V8233" s="1357">
        <v>28</v>
      </c>
    </row>
    <row r="8234" spans="1:22" s="841" customFormat="1" ht="15" x14ac:dyDescent="0.25">
      <c r="A8234" s="841" t="s">
        <v>185</v>
      </c>
      <c r="B8234" s="841" t="s">
        <v>4326</v>
      </c>
      <c r="E8234" s="1690" t="s">
        <v>18</v>
      </c>
      <c r="F8234" s="1690"/>
      <c r="G8234" s="1408" t="s">
        <v>24</v>
      </c>
      <c r="H8234" s="393">
        <v>1E-3</v>
      </c>
      <c r="K8234" s="841" t="s">
        <v>3406</v>
      </c>
      <c r="L8234" s="841" t="s">
        <v>443</v>
      </c>
      <c r="M8234" s="1357"/>
      <c r="P8234" s="841" t="s">
        <v>3549</v>
      </c>
      <c r="Q8234" s="1357"/>
      <c r="S8234" s="1420"/>
      <c r="T8234" s="1420"/>
      <c r="V8234" s="1357">
        <v>24</v>
      </c>
    </row>
    <row r="8235" spans="1:22" s="841" customFormat="1" ht="15" x14ac:dyDescent="0.25">
      <c r="A8235" s="841" t="s">
        <v>185</v>
      </c>
      <c r="B8235" s="841" t="s">
        <v>4326</v>
      </c>
      <c r="E8235" s="1690" t="s">
        <v>5144</v>
      </c>
      <c r="F8235" s="1908"/>
      <c r="G8235" s="1408" t="s">
        <v>24</v>
      </c>
      <c r="H8235" s="393">
        <v>5.3E-3</v>
      </c>
      <c r="K8235" s="841" t="s">
        <v>3406</v>
      </c>
      <c r="L8235" s="841" t="s">
        <v>443</v>
      </c>
      <c r="M8235" s="1357"/>
      <c r="P8235" s="841" t="s">
        <v>3411</v>
      </c>
      <c r="Q8235" s="1357"/>
      <c r="S8235" s="1420"/>
      <c r="T8235" s="1420">
        <v>43465</v>
      </c>
      <c r="V8235" s="1357">
        <v>99</v>
      </c>
    </row>
    <row r="8236" spans="1:22" s="841" customFormat="1" ht="15" x14ac:dyDescent="0.25">
      <c r="A8236" s="841" t="s">
        <v>185</v>
      </c>
      <c r="B8236" s="841" t="s">
        <v>4326</v>
      </c>
      <c r="E8236" s="1690" t="s">
        <v>221</v>
      </c>
      <c r="F8236" s="1690"/>
      <c r="G8236" s="1408" t="s">
        <v>24</v>
      </c>
      <c r="H8236" s="393">
        <v>5.5999999999999999E-3</v>
      </c>
      <c r="K8236" s="841" t="s">
        <v>3406</v>
      </c>
      <c r="L8236" s="841" t="s">
        <v>444</v>
      </c>
      <c r="M8236" s="1357"/>
      <c r="P8236" s="841" t="s">
        <v>3412</v>
      </c>
      <c r="Q8236" s="1357"/>
      <c r="S8236" s="1420"/>
      <c r="T8236" s="1420"/>
      <c r="V8236" s="1357">
        <v>47</v>
      </c>
    </row>
    <row r="8237" spans="1:22" s="841" customFormat="1" ht="15" x14ac:dyDescent="0.25">
      <c r="A8237" s="841" t="s">
        <v>185</v>
      </c>
      <c r="B8237" s="841" t="s">
        <v>4326</v>
      </c>
      <c r="E8237" s="1690" t="s">
        <v>217</v>
      </c>
      <c r="F8237" s="1690"/>
      <c r="G8237" s="1408" t="s">
        <v>24</v>
      </c>
      <c r="H8237" s="393">
        <v>4.4999999999999997E-3</v>
      </c>
      <c r="K8237" s="841" t="s">
        <v>3406</v>
      </c>
      <c r="L8237" s="841" t="s">
        <v>444</v>
      </c>
      <c r="M8237" s="1357"/>
      <c r="P8237" s="841" t="s">
        <v>3413</v>
      </c>
      <c r="Q8237" s="1357"/>
      <c r="S8237" s="1420"/>
      <c r="T8237" s="1420"/>
      <c r="V8237" s="1357">
        <v>74</v>
      </c>
    </row>
    <row r="8238" spans="1:22" s="841" customFormat="1" ht="15" x14ac:dyDescent="0.25">
      <c r="A8238" s="841" t="s">
        <v>185</v>
      </c>
      <c r="B8238" s="841" t="s">
        <v>4326</v>
      </c>
      <c r="E8238" s="1694" t="s">
        <v>3079</v>
      </c>
      <c r="F8238" s="1690"/>
      <c r="G8238" s="1690"/>
      <c r="H8238" s="1690"/>
      <c r="K8238" s="841" t="s">
        <v>3225</v>
      </c>
      <c r="M8238" s="1357"/>
      <c r="Q8238" s="1357"/>
      <c r="S8238" s="1420"/>
      <c r="T8238" s="1420"/>
      <c r="V8238" s="1357">
        <v>48</v>
      </c>
    </row>
    <row r="8239" spans="1:22" s="841" customFormat="1" ht="15" x14ac:dyDescent="0.25">
      <c r="A8239" s="841" t="s">
        <v>185</v>
      </c>
      <c r="B8239" s="841" t="s">
        <v>4326</v>
      </c>
      <c r="E8239" s="1690" t="s">
        <v>2449</v>
      </c>
      <c r="F8239" s="1690"/>
      <c r="G8239" s="1408" t="s">
        <v>24</v>
      </c>
      <c r="H8239" s="393">
        <v>3.2000000000000002E-3</v>
      </c>
      <c r="K8239" s="841" t="s">
        <v>3406</v>
      </c>
      <c r="L8239" s="841" t="s">
        <v>3046</v>
      </c>
      <c r="M8239" s="1357"/>
      <c r="P8239" s="841" t="s">
        <v>3414</v>
      </c>
      <c r="Q8239" s="1357"/>
      <c r="S8239" s="1420"/>
      <c r="T8239" s="1420"/>
      <c r="V8239" s="1357">
        <v>55</v>
      </c>
    </row>
    <row r="8240" spans="1:22" s="841" customFormat="1" ht="15" x14ac:dyDescent="0.25">
      <c r="A8240" s="841" t="s">
        <v>185</v>
      </c>
      <c r="B8240" s="841" t="s">
        <v>4326</v>
      </c>
      <c r="E8240" s="1690" t="s">
        <v>2450</v>
      </c>
      <c r="F8240" s="1690"/>
      <c r="G8240" s="1408" t="s">
        <v>24</v>
      </c>
      <c r="H8240" s="393">
        <v>4.0000000000000002E-4</v>
      </c>
      <c r="K8240" s="841" t="s">
        <v>3406</v>
      </c>
      <c r="L8240" s="841" t="s">
        <v>3046</v>
      </c>
      <c r="M8240" s="1357"/>
      <c r="P8240" s="841" t="s">
        <v>3414</v>
      </c>
      <c r="Q8240" s="1357"/>
      <c r="S8240" s="1420"/>
      <c r="T8240" s="1420"/>
      <c r="V8240" s="1357">
        <v>65</v>
      </c>
    </row>
    <row r="8241" spans="1:22" s="841" customFormat="1" ht="15" x14ac:dyDescent="0.25">
      <c r="A8241" s="841" t="s">
        <v>185</v>
      </c>
      <c r="B8241" s="841" t="s">
        <v>4326</v>
      </c>
      <c r="E8241" s="1690" t="s">
        <v>439</v>
      </c>
      <c r="F8241" s="1690"/>
      <c r="G8241" s="1408" t="s">
        <v>24</v>
      </c>
      <c r="H8241" s="393">
        <v>2.9999999999999997E-4</v>
      </c>
      <c r="K8241" s="841" t="s">
        <v>3406</v>
      </c>
      <c r="L8241" s="841" t="s">
        <v>3046</v>
      </c>
      <c r="M8241" s="1357"/>
      <c r="P8241" s="841" t="s">
        <v>3415</v>
      </c>
      <c r="Q8241" s="1357"/>
      <c r="S8241" s="1420"/>
      <c r="T8241" s="1420"/>
      <c r="V8241" s="1357">
        <v>57</v>
      </c>
    </row>
    <row r="8242" spans="1:22" s="841" customFormat="1" ht="15" x14ac:dyDescent="0.25">
      <c r="A8242" s="841" t="s">
        <v>185</v>
      </c>
      <c r="B8242" s="841" t="s">
        <v>4326</v>
      </c>
      <c r="E8242" s="1690" t="s">
        <v>32</v>
      </c>
      <c r="F8242" s="1690"/>
      <c r="G8242" s="1408" t="s">
        <v>23</v>
      </c>
      <c r="H8242" s="391">
        <v>0.25</v>
      </c>
      <c r="K8242" s="841" t="s">
        <v>3406</v>
      </c>
      <c r="L8242" s="841" t="s">
        <v>3046</v>
      </c>
      <c r="M8242" s="1357"/>
      <c r="P8242" s="841" t="s">
        <v>3416</v>
      </c>
      <c r="Q8242" s="1357"/>
      <c r="S8242" s="1420"/>
      <c r="T8242" s="1420"/>
      <c r="V8242" s="1357">
        <v>63</v>
      </c>
    </row>
    <row r="8243" spans="1:22" s="841" customFormat="1" x14ac:dyDescent="0.25">
      <c r="A8243" s="841" t="s">
        <v>185</v>
      </c>
      <c r="B8243" s="841" t="s">
        <v>4326</v>
      </c>
      <c r="E8243" s="1909" t="s">
        <v>629</v>
      </c>
      <c r="F8243" s="1923"/>
      <c r="G8243" s="1923"/>
      <c r="H8243" s="1923"/>
      <c r="K8243" s="841" t="s">
        <v>3571</v>
      </c>
      <c r="M8243" s="1357"/>
      <c r="Q8243" s="1357"/>
      <c r="S8243" s="1420"/>
      <c r="T8243" s="1420"/>
      <c r="V8243" s="1357">
        <v>40</v>
      </c>
    </row>
    <row r="8244" spans="1:22" s="841" customFormat="1" ht="15" x14ac:dyDescent="0.25">
      <c r="A8244" s="841" t="s">
        <v>185</v>
      </c>
      <c r="B8244" s="841" t="s">
        <v>4326</v>
      </c>
      <c r="E8244" s="1689" t="s">
        <v>3251</v>
      </c>
      <c r="F8244" s="1689"/>
      <c r="G8244" s="1689"/>
      <c r="H8244" s="1689"/>
      <c r="K8244" s="841" t="s">
        <v>3571</v>
      </c>
      <c r="M8244" s="1357"/>
      <c r="Q8244" s="1357"/>
      <c r="S8244" s="1420"/>
      <c r="T8244" s="1420"/>
      <c r="V8244" s="1357">
        <v>253</v>
      </c>
    </row>
    <row r="8245" spans="1:22" s="841" customFormat="1" ht="15" x14ac:dyDescent="0.25">
      <c r="A8245" s="841" t="s">
        <v>185</v>
      </c>
      <c r="B8245" s="841" t="s">
        <v>4326</v>
      </c>
      <c r="E8245" s="1916" t="s">
        <v>3061</v>
      </c>
      <c r="F8245" s="1689"/>
      <c r="G8245" s="1689"/>
      <c r="H8245" s="1689"/>
      <c r="K8245" s="841" t="s">
        <v>3107</v>
      </c>
      <c r="M8245" s="1357"/>
      <c r="Q8245" s="1357"/>
      <c r="S8245" s="1420"/>
      <c r="T8245" s="1420"/>
      <c r="V8245" s="1357">
        <v>11</v>
      </c>
    </row>
    <row r="8246" spans="1:22" s="841" customFormat="1" ht="15" x14ac:dyDescent="0.25">
      <c r="A8246" s="841" t="s">
        <v>185</v>
      </c>
      <c r="B8246" s="841" t="s">
        <v>4326</v>
      </c>
      <c r="E8246" s="1689" t="s">
        <v>3063</v>
      </c>
      <c r="F8246" s="1689"/>
      <c r="G8246" s="1689"/>
      <c r="H8246" s="1689"/>
      <c r="K8246" s="841" t="s">
        <v>3571</v>
      </c>
      <c r="M8246" s="1357"/>
      <c r="Q8246" s="1357"/>
      <c r="S8246" s="1420"/>
      <c r="T8246" s="1420"/>
      <c r="V8246" s="1357">
        <v>280</v>
      </c>
    </row>
    <row r="8247" spans="1:22" s="841" customFormat="1" ht="15" x14ac:dyDescent="0.25">
      <c r="A8247" s="841" t="s">
        <v>185</v>
      </c>
      <c r="B8247" s="841" t="s">
        <v>4326</v>
      </c>
      <c r="E8247" s="1689" t="s">
        <v>3064</v>
      </c>
      <c r="F8247" s="1689"/>
      <c r="G8247" s="1689"/>
      <c r="H8247" s="1689"/>
      <c r="K8247" s="841" t="s">
        <v>3571</v>
      </c>
      <c r="M8247" s="1357"/>
      <c r="Q8247" s="1357"/>
      <c r="S8247" s="1420"/>
      <c r="T8247" s="1420"/>
      <c r="V8247" s="1357">
        <v>411</v>
      </c>
    </row>
    <row r="8248" spans="1:22" s="841" customFormat="1" ht="15" x14ac:dyDescent="0.25">
      <c r="A8248" s="841" t="s">
        <v>185</v>
      </c>
      <c r="B8248" s="841" t="s">
        <v>4326</v>
      </c>
      <c r="E8248" s="1689" t="s">
        <v>3199</v>
      </c>
      <c r="F8248" s="1689"/>
      <c r="G8248" s="1689"/>
      <c r="H8248" s="1689"/>
      <c r="K8248" s="841" t="s">
        <v>3571</v>
      </c>
      <c r="M8248" s="1357"/>
      <c r="Q8248" s="1357"/>
      <c r="S8248" s="1420"/>
      <c r="T8248" s="1420"/>
      <c r="V8248" s="1357">
        <v>386</v>
      </c>
    </row>
    <row r="8249" spans="1:22" s="841" customFormat="1" ht="15" x14ac:dyDescent="0.25">
      <c r="A8249" s="841" t="s">
        <v>185</v>
      </c>
      <c r="B8249" s="841" t="s">
        <v>4326</v>
      </c>
      <c r="E8249" s="1689" t="s">
        <v>3200</v>
      </c>
      <c r="F8249" s="1689"/>
      <c r="G8249" s="1689"/>
      <c r="H8249" s="1689"/>
      <c r="K8249" s="841" t="s">
        <v>3571</v>
      </c>
      <c r="M8249" s="1357"/>
      <c r="Q8249" s="1357"/>
      <c r="S8249" s="1420"/>
      <c r="T8249" s="1420"/>
      <c r="V8249" s="1357">
        <v>275</v>
      </c>
    </row>
    <row r="8250" spans="1:22" s="841" customFormat="1" ht="15" x14ac:dyDescent="0.25">
      <c r="A8250" s="841" t="s">
        <v>185</v>
      </c>
      <c r="B8250" s="841" t="s">
        <v>4326</v>
      </c>
      <c r="E8250" s="1694" t="s">
        <v>3067</v>
      </c>
      <c r="F8250" s="1907"/>
      <c r="G8250" s="1907"/>
      <c r="H8250" s="1907"/>
      <c r="K8250" s="841" t="s">
        <v>3108</v>
      </c>
      <c r="M8250" s="1357"/>
      <c r="Q8250" s="1357"/>
      <c r="S8250" s="1420"/>
      <c r="T8250" s="1420"/>
      <c r="V8250" s="1357">
        <v>46</v>
      </c>
    </row>
    <row r="8251" spans="1:22" s="841" customFormat="1" ht="15" x14ac:dyDescent="0.25">
      <c r="A8251" s="841" t="s">
        <v>185</v>
      </c>
      <c r="B8251" s="841" t="s">
        <v>4326</v>
      </c>
      <c r="E8251" s="1690" t="s">
        <v>11</v>
      </c>
      <c r="F8251" s="1690"/>
      <c r="G8251" s="1408" t="s">
        <v>23</v>
      </c>
      <c r="H8251" s="391">
        <v>4.55</v>
      </c>
      <c r="K8251" s="841" t="s">
        <v>3571</v>
      </c>
      <c r="L8251" s="841" t="s">
        <v>442</v>
      </c>
      <c r="M8251" s="1357"/>
      <c r="P8251" s="841" t="s">
        <v>3573</v>
      </c>
      <c r="Q8251" s="1357"/>
      <c r="S8251" s="1420"/>
      <c r="T8251" s="1420"/>
      <c r="V8251" s="1357">
        <v>14</v>
      </c>
    </row>
    <row r="8252" spans="1:22" s="841" customFormat="1" ht="15" x14ac:dyDescent="0.25">
      <c r="A8252" s="841" t="s">
        <v>185</v>
      </c>
      <c r="B8252" s="841" t="s">
        <v>4326</v>
      </c>
      <c r="E8252" s="1690" t="s">
        <v>84</v>
      </c>
      <c r="F8252" s="1690"/>
      <c r="G8252" s="1408" t="s">
        <v>33</v>
      </c>
      <c r="H8252" s="393">
        <v>17.616700000000002</v>
      </c>
      <c r="K8252" s="841" t="s">
        <v>3571</v>
      </c>
      <c r="L8252" s="841" t="s">
        <v>442</v>
      </c>
      <c r="M8252" s="1357"/>
      <c r="P8252" s="841" t="s">
        <v>3574</v>
      </c>
      <c r="Q8252" s="1357"/>
      <c r="S8252" s="1420"/>
      <c r="T8252" s="1420"/>
      <c r="V8252" s="1357">
        <v>28</v>
      </c>
    </row>
    <row r="8253" spans="1:22" s="841" customFormat="1" ht="15" x14ac:dyDescent="0.25">
      <c r="A8253" s="841" t="s">
        <v>185</v>
      </c>
      <c r="B8253" s="841" t="s">
        <v>4326</v>
      </c>
      <c r="E8253" s="1690" t="s">
        <v>18</v>
      </c>
      <c r="F8253" s="1690"/>
      <c r="G8253" s="1408" t="s">
        <v>33</v>
      </c>
      <c r="H8253" s="393">
        <v>0.3916</v>
      </c>
      <c r="K8253" s="841" t="s">
        <v>3571</v>
      </c>
      <c r="L8253" s="841" t="s">
        <v>443</v>
      </c>
      <c r="M8253" s="1357"/>
      <c r="P8253" s="841" t="s">
        <v>3575</v>
      </c>
      <c r="Q8253" s="1357"/>
      <c r="S8253" s="1420"/>
      <c r="T8253" s="1420"/>
      <c r="V8253" s="1357">
        <v>24</v>
      </c>
    </row>
    <row r="8254" spans="1:22" s="841" customFormat="1" ht="15" x14ac:dyDescent="0.25">
      <c r="A8254" s="841" t="s">
        <v>185</v>
      </c>
      <c r="B8254" s="841" t="s">
        <v>4326</v>
      </c>
      <c r="E8254" s="1690" t="s">
        <v>5144</v>
      </c>
      <c r="F8254" s="1908"/>
      <c r="G8254" s="1408" t="s">
        <v>33</v>
      </c>
      <c r="H8254" s="393">
        <v>1.8519000000000001</v>
      </c>
      <c r="K8254" s="841" t="s">
        <v>3571</v>
      </c>
      <c r="L8254" s="841" t="s">
        <v>443</v>
      </c>
      <c r="M8254" s="1357"/>
      <c r="P8254" s="841" t="s">
        <v>3718</v>
      </c>
      <c r="Q8254" s="1357"/>
      <c r="S8254" s="1420"/>
      <c r="T8254" s="1420">
        <v>43465</v>
      </c>
      <c r="V8254" s="1357">
        <v>99</v>
      </c>
    </row>
    <row r="8255" spans="1:22" s="841" customFormat="1" ht="15" x14ac:dyDescent="0.25">
      <c r="A8255" s="841" t="s">
        <v>185</v>
      </c>
      <c r="B8255" s="841" t="s">
        <v>4326</v>
      </c>
      <c r="E8255" s="1690" t="s">
        <v>221</v>
      </c>
      <c r="F8255" s="1690"/>
      <c r="G8255" s="1408" t="s">
        <v>33</v>
      </c>
      <c r="H8255" s="393">
        <v>1.7192000000000001</v>
      </c>
      <c r="K8255" s="841" t="s">
        <v>3571</v>
      </c>
      <c r="L8255" s="841" t="s">
        <v>444</v>
      </c>
      <c r="M8255" s="1357"/>
      <c r="P8255" s="841" t="s">
        <v>3576</v>
      </c>
      <c r="Q8255" s="1357"/>
      <c r="S8255" s="1420"/>
      <c r="T8255" s="1420"/>
      <c r="V8255" s="1357">
        <v>47</v>
      </c>
    </row>
    <row r="8256" spans="1:22" s="841" customFormat="1" ht="15" x14ac:dyDescent="0.25">
      <c r="A8256" s="841" t="s">
        <v>185</v>
      </c>
      <c r="B8256" s="841" t="s">
        <v>4326</v>
      </c>
      <c r="E8256" s="1690" t="s">
        <v>217</v>
      </c>
      <c r="F8256" s="1690"/>
      <c r="G8256" s="1408" t="s">
        <v>33</v>
      </c>
      <c r="H8256" s="393">
        <v>1.3823000000000001</v>
      </c>
      <c r="K8256" s="841" t="s">
        <v>3571</v>
      </c>
      <c r="L8256" s="841" t="s">
        <v>444</v>
      </c>
      <c r="M8256" s="1357"/>
      <c r="P8256" s="841" t="s">
        <v>3577</v>
      </c>
      <c r="Q8256" s="1357"/>
      <c r="S8256" s="1420"/>
      <c r="T8256" s="1420"/>
      <c r="V8256" s="1357">
        <v>74</v>
      </c>
    </row>
    <row r="8257" spans="1:22" s="841" customFormat="1" ht="15" x14ac:dyDescent="0.25">
      <c r="A8257" s="841" t="s">
        <v>185</v>
      </c>
      <c r="B8257" s="841" t="s">
        <v>4326</v>
      </c>
      <c r="E8257" s="1694" t="s">
        <v>3079</v>
      </c>
      <c r="F8257" s="1690"/>
      <c r="G8257" s="1690"/>
      <c r="H8257" s="1690"/>
      <c r="K8257" s="841" t="s">
        <v>3111</v>
      </c>
      <c r="M8257" s="1357"/>
      <c r="Q8257" s="1357"/>
      <c r="S8257" s="1420"/>
      <c r="T8257" s="1420"/>
      <c r="V8257" s="1357">
        <v>48</v>
      </c>
    </row>
    <row r="8258" spans="1:22" s="841" customFormat="1" ht="15" x14ac:dyDescent="0.25">
      <c r="A8258" s="841" t="s">
        <v>185</v>
      </c>
      <c r="B8258" s="841" t="s">
        <v>4326</v>
      </c>
      <c r="E8258" s="1690" t="s">
        <v>2449</v>
      </c>
      <c r="F8258" s="1690"/>
      <c r="G8258" s="1408" t="s">
        <v>24</v>
      </c>
      <c r="H8258" s="393">
        <v>3.2000000000000002E-3</v>
      </c>
      <c r="K8258" s="841" t="s">
        <v>3571</v>
      </c>
      <c r="L8258" s="841" t="s">
        <v>3046</v>
      </c>
      <c r="M8258" s="1357"/>
      <c r="P8258" s="841" t="s">
        <v>3578</v>
      </c>
      <c r="Q8258" s="1357"/>
      <c r="S8258" s="1420"/>
      <c r="T8258" s="1420"/>
      <c r="V8258" s="1357">
        <v>55</v>
      </c>
    </row>
    <row r="8259" spans="1:22" s="841" customFormat="1" ht="15" x14ac:dyDescent="0.25">
      <c r="A8259" s="841" t="s">
        <v>185</v>
      </c>
      <c r="B8259" s="841" t="s">
        <v>4326</v>
      </c>
      <c r="E8259" s="1690" t="s">
        <v>2450</v>
      </c>
      <c r="F8259" s="1690"/>
      <c r="G8259" s="1408" t="s">
        <v>24</v>
      </c>
      <c r="H8259" s="393">
        <v>4.0000000000000002E-4</v>
      </c>
      <c r="K8259" s="841" t="s">
        <v>3571</v>
      </c>
      <c r="L8259" s="841" t="s">
        <v>3046</v>
      </c>
      <c r="M8259" s="1357"/>
      <c r="P8259" s="841" t="s">
        <v>3578</v>
      </c>
      <c r="Q8259" s="1357"/>
      <c r="S8259" s="1420"/>
      <c r="T8259" s="1420"/>
      <c r="V8259" s="1357">
        <v>65</v>
      </c>
    </row>
    <row r="8260" spans="1:22" s="841" customFormat="1" ht="15" x14ac:dyDescent="0.25">
      <c r="A8260" s="841" t="s">
        <v>185</v>
      </c>
      <c r="B8260" s="841" t="s">
        <v>4326</v>
      </c>
      <c r="E8260" s="1690" t="s">
        <v>439</v>
      </c>
      <c r="F8260" s="1690"/>
      <c r="G8260" s="1408" t="s">
        <v>24</v>
      </c>
      <c r="H8260" s="393">
        <v>2.9999999999999997E-4</v>
      </c>
      <c r="K8260" s="841" t="s">
        <v>3571</v>
      </c>
      <c r="L8260" s="841" t="s">
        <v>3046</v>
      </c>
      <c r="M8260" s="1357"/>
      <c r="P8260" s="841" t="s">
        <v>3579</v>
      </c>
      <c r="Q8260" s="1357"/>
      <c r="S8260" s="1420"/>
      <c r="T8260" s="1420"/>
      <c r="V8260" s="1357">
        <v>57</v>
      </c>
    </row>
    <row r="8261" spans="1:22" s="841" customFormat="1" ht="15" x14ac:dyDescent="0.25">
      <c r="A8261" s="841" t="s">
        <v>185</v>
      </c>
      <c r="B8261" s="841" t="s">
        <v>4326</v>
      </c>
      <c r="E8261" s="1690" t="s">
        <v>32</v>
      </c>
      <c r="F8261" s="1690"/>
      <c r="G8261" s="1408" t="s">
        <v>23</v>
      </c>
      <c r="H8261" s="391">
        <v>0.25</v>
      </c>
      <c r="K8261" s="841" t="s">
        <v>3571</v>
      </c>
      <c r="L8261" s="841" t="s">
        <v>3046</v>
      </c>
      <c r="M8261" s="1357"/>
      <c r="P8261" s="841" t="s">
        <v>3580</v>
      </c>
      <c r="Q8261" s="1357"/>
      <c r="S8261" s="1420"/>
      <c r="T8261" s="1420"/>
      <c r="V8261" s="1357">
        <v>63</v>
      </c>
    </row>
    <row r="8262" spans="1:22" s="841" customFormat="1" x14ac:dyDescent="0.25">
      <c r="A8262" s="841" t="s">
        <v>185</v>
      </c>
      <c r="B8262" s="841" t="s">
        <v>4326</v>
      </c>
      <c r="E8262" s="1909" t="s">
        <v>615</v>
      </c>
      <c r="F8262" s="1923"/>
      <c r="G8262" s="1923"/>
      <c r="H8262" s="1923"/>
      <c r="K8262" s="841" t="s">
        <v>3112</v>
      </c>
      <c r="M8262" s="1357"/>
      <c r="Q8262" s="1357"/>
      <c r="S8262" s="1420"/>
      <c r="T8262" s="1420"/>
      <c r="V8262" s="1357">
        <v>38</v>
      </c>
    </row>
    <row r="8263" spans="1:22" s="841" customFormat="1" ht="15" x14ac:dyDescent="0.25">
      <c r="A8263" s="841" t="s">
        <v>185</v>
      </c>
      <c r="B8263" s="841" t="s">
        <v>4326</v>
      </c>
      <c r="E8263" s="1689" t="s">
        <v>4329</v>
      </c>
      <c r="F8263" s="1689"/>
      <c r="G8263" s="1689"/>
      <c r="H8263" s="1689"/>
      <c r="K8263" s="841" t="s">
        <v>3112</v>
      </c>
      <c r="M8263" s="1357"/>
      <c r="Q8263" s="1357"/>
      <c r="S8263" s="1420"/>
      <c r="T8263" s="1420"/>
      <c r="V8263" s="1357">
        <v>526</v>
      </c>
    </row>
    <row r="8264" spans="1:22" s="841" customFormat="1" ht="15" x14ac:dyDescent="0.25">
      <c r="A8264" s="841" t="s">
        <v>185</v>
      </c>
      <c r="B8264" s="841" t="s">
        <v>4326</v>
      </c>
      <c r="E8264" s="1916" t="s">
        <v>3061</v>
      </c>
      <c r="F8264" s="1689"/>
      <c r="G8264" s="1689"/>
      <c r="H8264" s="1689"/>
      <c r="K8264" s="841" t="s">
        <v>3114</v>
      </c>
      <c r="M8264" s="1357"/>
      <c r="Q8264" s="1357"/>
      <c r="S8264" s="1420"/>
      <c r="T8264" s="1420"/>
      <c r="V8264" s="1357">
        <v>11</v>
      </c>
    </row>
    <row r="8265" spans="1:22" s="841" customFormat="1" ht="15" x14ac:dyDescent="0.25">
      <c r="A8265" s="841" t="s">
        <v>185</v>
      </c>
      <c r="B8265" s="841" t="s">
        <v>4326</v>
      </c>
      <c r="E8265" s="1689" t="s">
        <v>3063</v>
      </c>
      <c r="F8265" s="1689"/>
      <c r="G8265" s="1689"/>
      <c r="H8265" s="1689"/>
      <c r="K8265" s="841" t="s">
        <v>3112</v>
      </c>
      <c r="M8265" s="1357"/>
      <c r="Q8265" s="1357"/>
      <c r="S8265" s="1420"/>
      <c r="T8265" s="1420"/>
      <c r="V8265" s="1357">
        <v>280</v>
      </c>
    </row>
    <row r="8266" spans="1:22" s="841" customFormat="1" ht="15" x14ac:dyDescent="0.25">
      <c r="A8266" s="841" t="s">
        <v>185</v>
      </c>
      <c r="B8266" s="841" t="s">
        <v>4326</v>
      </c>
      <c r="E8266" s="1689" t="s">
        <v>3064</v>
      </c>
      <c r="F8266" s="1689"/>
      <c r="G8266" s="1689"/>
      <c r="H8266" s="1689"/>
      <c r="K8266" s="841" t="s">
        <v>3112</v>
      </c>
      <c r="M8266" s="1357"/>
      <c r="Q8266" s="1357"/>
      <c r="S8266" s="1420"/>
      <c r="T8266" s="1420"/>
      <c r="V8266" s="1357">
        <v>411</v>
      </c>
    </row>
    <row r="8267" spans="1:22" s="841" customFormat="1" ht="15" x14ac:dyDescent="0.25">
      <c r="A8267" s="841" t="s">
        <v>185</v>
      </c>
      <c r="B8267" s="841" t="s">
        <v>4326</v>
      </c>
      <c r="E8267" s="1689" t="s">
        <v>3199</v>
      </c>
      <c r="F8267" s="1689"/>
      <c r="G8267" s="1689"/>
      <c r="H8267" s="1689"/>
      <c r="K8267" s="841" t="s">
        <v>3112</v>
      </c>
      <c r="M8267" s="1357"/>
      <c r="Q8267" s="1357"/>
      <c r="S8267" s="1420"/>
      <c r="T8267" s="1420"/>
      <c r="V8267" s="1357">
        <v>386</v>
      </c>
    </row>
    <row r="8268" spans="1:22" s="841" customFormat="1" ht="15" x14ac:dyDescent="0.25">
      <c r="A8268" s="841" t="s">
        <v>185</v>
      </c>
      <c r="B8268" s="841" t="s">
        <v>4326</v>
      </c>
      <c r="E8268" s="1689" t="s">
        <v>3200</v>
      </c>
      <c r="F8268" s="1689"/>
      <c r="G8268" s="1689"/>
      <c r="H8268" s="1689"/>
      <c r="K8268" s="841" t="s">
        <v>3112</v>
      </c>
      <c r="M8268" s="1357"/>
      <c r="Q8268" s="1357"/>
      <c r="S8268" s="1420"/>
      <c r="T8268" s="1420"/>
      <c r="V8268" s="1357">
        <v>275</v>
      </c>
    </row>
    <row r="8269" spans="1:22" s="841" customFormat="1" ht="15" x14ac:dyDescent="0.25">
      <c r="A8269" s="841" t="s">
        <v>185</v>
      </c>
      <c r="B8269" s="841" t="s">
        <v>4326</v>
      </c>
      <c r="E8269" s="1694" t="s">
        <v>3067</v>
      </c>
      <c r="F8269" s="1907"/>
      <c r="G8269" s="1907"/>
      <c r="H8269" s="1907"/>
      <c r="K8269" s="841" t="s">
        <v>3115</v>
      </c>
      <c r="M8269" s="1357"/>
      <c r="Q8269" s="1357"/>
      <c r="S8269" s="1420"/>
      <c r="T8269" s="1420"/>
      <c r="V8269" s="1357">
        <v>46</v>
      </c>
    </row>
    <row r="8270" spans="1:22" s="841" customFormat="1" ht="15" x14ac:dyDescent="0.25">
      <c r="A8270" s="841" t="s">
        <v>185</v>
      </c>
      <c r="B8270" s="841" t="s">
        <v>4326</v>
      </c>
      <c r="E8270" s="1690" t="s">
        <v>12</v>
      </c>
      <c r="F8270" s="1690"/>
      <c r="G8270" s="1408" t="s">
        <v>23</v>
      </c>
      <c r="H8270" s="391">
        <v>2.9</v>
      </c>
      <c r="K8270" s="841" t="s">
        <v>3112</v>
      </c>
      <c r="L8270" s="841" t="s">
        <v>442</v>
      </c>
      <c r="M8270" s="1357"/>
      <c r="P8270" s="841" t="s">
        <v>3116</v>
      </c>
      <c r="Q8270" s="1357"/>
      <c r="S8270" s="1420"/>
      <c r="T8270" s="1420"/>
      <c r="V8270" s="1357">
        <v>31</v>
      </c>
    </row>
    <row r="8271" spans="1:22" s="841" customFormat="1" ht="15" x14ac:dyDescent="0.25">
      <c r="A8271" s="841" t="s">
        <v>185</v>
      </c>
      <c r="B8271" s="841" t="s">
        <v>4326</v>
      </c>
      <c r="E8271" s="1690" t="s">
        <v>84</v>
      </c>
      <c r="F8271" s="1690"/>
      <c r="G8271" s="1408" t="s">
        <v>33</v>
      </c>
      <c r="H8271" s="393">
        <v>29.001899999999999</v>
      </c>
      <c r="K8271" s="841" t="s">
        <v>3112</v>
      </c>
      <c r="L8271" s="841" t="s">
        <v>442</v>
      </c>
      <c r="M8271" s="1357"/>
      <c r="P8271" s="841" t="s">
        <v>3117</v>
      </c>
      <c r="Q8271" s="1357"/>
      <c r="S8271" s="1420"/>
      <c r="T8271" s="1420"/>
      <c r="V8271" s="1357">
        <v>28</v>
      </c>
    </row>
    <row r="8272" spans="1:22" s="841" customFormat="1" ht="15" x14ac:dyDescent="0.25">
      <c r="A8272" s="841" t="s">
        <v>185</v>
      </c>
      <c r="B8272" s="841" t="s">
        <v>4326</v>
      </c>
      <c r="E8272" s="1690" t="s">
        <v>18</v>
      </c>
      <c r="F8272" s="1690"/>
      <c r="G8272" s="1408" t="s">
        <v>33</v>
      </c>
      <c r="H8272" s="393">
        <v>0.36349999999999999</v>
      </c>
      <c r="K8272" s="841" t="s">
        <v>3112</v>
      </c>
      <c r="L8272" s="841" t="s">
        <v>443</v>
      </c>
      <c r="M8272" s="1357"/>
      <c r="P8272" s="841" t="s">
        <v>3497</v>
      </c>
      <c r="Q8272" s="1357"/>
      <c r="S8272" s="1420"/>
      <c r="T8272" s="1420"/>
      <c r="V8272" s="1357">
        <v>24</v>
      </c>
    </row>
    <row r="8273" spans="1:22" s="841" customFormat="1" ht="15" x14ac:dyDescent="0.25">
      <c r="A8273" s="841" t="s">
        <v>185</v>
      </c>
      <c r="B8273" s="841" t="s">
        <v>4326</v>
      </c>
      <c r="E8273" s="1690" t="s">
        <v>5143</v>
      </c>
      <c r="F8273" s="1908"/>
      <c r="G8273" s="1408" t="s">
        <v>24</v>
      </c>
      <c r="H8273" s="393">
        <v>-1E-4</v>
      </c>
      <c r="K8273" s="841" t="s">
        <v>3112</v>
      </c>
      <c r="L8273" s="841" t="s">
        <v>443</v>
      </c>
      <c r="M8273" s="1357"/>
      <c r="P8273" s="841" t="s">
        <v>3119</v>
      </c>
      <c r="Q8273" s="1357"/>
      <c r="S8273" s="1420"/>
      <c r="T8273" s="1420">
        <v>43465</v>
      </c>
      <c r="V8273" s="1357">
        <v>142</v>
      </c>
    </row>
    <row r="8274" spans="1:22" s="841" customFormat="1" ht="15" x14ac:dyDescent="0.25">
      <c r="A8274" s="841" t="s">
        <v>185</v>
      </c>
      <c r="B8274" s="841" t="s">
        <v>4326</v>
      </c>
      <c r="E8274" s="1690" t="s">
        <v>5144</v>
      </c>
      <c r="F8274" s="1908"/>
      <c r="G8274" s="1408" t="s">
        <v>33</v>
      </c>
      <c r="H8274" s="393">
        <v>1.8494999999999999</v>
      </c>
      <c r="K8274" s="841" t="s">
        <v>3112</v>
      </c>
      <c r="L8274" s="841" t="s">
        <v>443</v>
      </c>
      <c r="M8274" s="1357"/>
      <c r="P8274" s="841" t="s">
        <v>3118</v>
      </c>
      <c r="Q8274" s="1357"/>
      <c r="S8274" s="1420"/>
      <c r="T8274" s="1420">
        <v>43465</v>
      </c>
      <c r="V8274" s="1357">
        <v>99</v>
      </c>
    </row>
    <row r="8275" spans="1:22" s="841" customFormat="1" ht="15" x14ac:dyDescent="0.25">
      <c r="A8275" s="841" t="s">
        <v>185</v>
      </c>
      <c r="B8275" s="841" t="s">
        <v>4326</v>
      </c>
      <c r="E8275" s="1690" t="s">
        <v>221</v>
      </c>
      <c r="F8275" s="1690"/>
      <c r="G8275" s="1408" t="s">
        <v>33</v>
      </c>
      <c r="H8275" s="393">
        <v>1.7102999999999999</v>
      </c>
      <c r="K8275" s="841" t="s">
        <v>3112</v>
      </c>
      <c r="L8275" s="841" t="s">
        <v>444</v>
      </c>
      <c r="M8275" s="1357"/>
      <c r="P8275" s="841" t="s">
        <v>3120</v>
      </c>
      <c r="Q8275" s="1357"/>
      <c r="S8275" s="1420"/>
      <c r="T8275" s="1420"/>
      <c r="V8275" s="1357">
        <v>47</v>
      </c>
    </row>
    <row r="8276" spans="1:22" s="841" customFormat="1" ht="15" x14ac:dyDescent="0.25">
      <c r="A8276" s="841" t="s">
        <v>185</v>
      </c>
      <c r="B8276" s="841" t="s">
        <v>4326</v>
      </c>
      <c r="E8276" s="1690" t="s">
        <v>217</v>
      </c>
      <c r="F8276" s="1690"/>
      <c r="G8276" s="1408" t="s">
        <v>33</v>
      </c>
      <c r="H8276" s="393">
        <v>1.3533999999999999</v>
      </c>
      <c r="K8276" s="841" t="s">
        <v>3112</v>
      </c>
      <c r="L8276" s="841" t="s">
        <v>444</v>
      </c>
      <c r="M8276" s="1357"/>
      <c r="P8276" s="841" t="s">
        <v>3121</v>
      </c>
      <c r="Q8276" s="1357"/>
      <c r="S8276" s="1420"/>
      <c r="T8276" s="1420"/>
      <c r="V8276" s="1357">
        <v>74</v>
      </c>
    </row>
    <row r="8277" spans="1:22" s="841" customFormat="1" ht="15" x14ac:dyDescent="0.25">
      <c r="A8277" s="841" t="s">
        <v>185</v>
      </c>
      <c r="B8277" s="841" t="s">
        <v>4326</v>
      </c>
      <c r="E8277" s="1694" t="s">
        <v>3079</v>
      </c>
      <c r="F8277" s="1690"/>
      <c r="G8277" s="1690"/>
      <c r="H8277" s="1690"/>
      <c r="K8277" s="841" t="s">
        <v>3122</v>
      </c>
      <c r="M8277" s="1357"/>
      <c r="Q8277" s="1357"/>
      <c r="S8277" s="1420"/>
      <c r="T8277" s="1420"/>
      <c r="V8277" s="1357">
        <v>48</v>
      </c>
    </row>
    <row r="8278" spans="1:22" s="841" customFormat="1" ht="15" x14ac:dyDescent="0.25">
      <c r="A8278" s="841" t="s">
        <v>185</v>
      </c>
      <c r="B8278" s="841" t="s">
        <v>4326</v>
      </c>
      <c r="E8278" s="1690" t="s">
        <v>2449</v>
      </c>
      <c r="F8278" s="1690"/>
      <c r="G8278" s="1408" t="s">
        <v>24</v>
      </c>
      <c r="H8278" s="393">
        <v>3.2000000000000002E-3</v>
      </c>
      <c r="K8278" s="841" t="s">
        <v>3112</v>
      </c>
      <c r="L8278" s="841" t="s">
        <v>3046</v>
      </c>
      <c r="M8278" s="1357"/>
      <c r="P8278" s="841" t="s">
        <v>3123</v>
      </c>
      <c r="Q8278" s="1357"/>
      <c r="S8278" s="1420"/>
      <c r="T8278" s="1420"/>
      <c r="V8278" s="1357">
        <v>55</v>
      </c>
    </row>
    <row r="8279" spans="1:22" s="841" customFormat="1" ht="15" x14ac:dyDescent="0.25">
      <c r="A8279" s="841" t="s">
        <v>185</v>
      </c>
      <c r="B8279" s="841" t="s">
        <v>4326</v>
      </c>
      <c r="E8279" s="1690" t="s">
        <v>2450</v>
      </c>
      <c r="F8279" s="1690"/>
      <c r="G8279" s="1408" t="s">
        <v>24</v>
      </c>
      <c r="H8279" s="393">
        <v>4.0000000000000002E-4</v>
      </c>
      <c r="K8279" s="841" t="s">
        <v>3112</v>
      </c>
      <c r="L8279" s="841" t="s">
        <v>3046</v>
      </c>
      <c r="M8279" s="1357"/>
      <c r="P8279" s="841" t="s">
        <v>3123</v>
      </c>
      <c r="Q8279" s="1357"/>
      <c r="S8279" s="1420"/>
      <c r="T8279" s="1420"/>
      <c r="V8279" s="1357">
        <v>65</v>
      </c>
    </row>
    <row r="8280" spans="1:22" s="841" customFormat="1" ht="15" x14ac:dyDescent="0.25">
      <c r="A8280" s="841" t="s">
        <v>185</v>
      </c>
      <c r="B8280" s="841" t="s">
        <v>4326</v>
      </c>
      <c r="E8280" s="1690" t="s">
        <v>439</v>
      </c>
      <c r="F8280" s="1690"/>
      <c r="G8280" s="1408" t="s">
        <v>24</v>
      </c>
      <c r="H8280" s="393">
        <v>2.9999999999999997E-4</v>
      </c>
      <c r="K8280" s="841" t="s">
        <v>3112</v>
      </c>
      <c r="L8280" s="841" t="s">
        <v>3046</v>
      </c>
      <c r="M8280" s="1357"/>
      <c r="P8280" s="841" t="s">
        <v>3124</v>
      </c>
      <c r="Q8280" s="1357"/>
      <c r="S8280" s="1420"/>
      <c r="T8280" s="1420"/>
      <c r="V8280" s="1357">
        <v>57</v>
      </c>
    </row>
    <row r="8281" spans="1:22" s="841" customFormat="1" ht="15" x14ac:dyDescent="0.25">
      <c r="A8281" s="841" t="s">
        <v>185</v>
      </c>
      <c r="B8281" s="841" t="s">
        <v>4326</v>
      </c>
      <c r="E8281" s="1690" t="s">
        <v>32</v>
      </c>
      <c r="F8281" s="1690"/>
      <c r="G8281" s="1408" t="s">
        <v>23</v>
      </c>
      <c r="H8281" s="391">
        <v>0.25</v>
      </c>
      <c r="K8281" s="841" t="s">
        <v>3112</v>
      </c>
      <c r="L8281" s="841" t="s">
        <v>3046</v>
      </c>
      <c r="M8281" s="1357"/>
      <c r="P8281" s="841" t="s">
        <v>3125</v>
      </c>
      <c r="Q8281" s="1357"/>
      <c r="S8281" s="1420"/>
      <c r="T8281" s="1420"/>
      <c r="V8281" s="1357">
        <v>63</v>
      </c>
    </row>
    <row r="8282" spans="1:22" s="841" customFormat="1" x14ac:dyDescent="0.25">
      <c r="A8282" s="841" t="s">
        <v>185</v>
      </c>
      <c r="B8282" s="841" t="s">
        <v>4326</v>
      </c>
      <c r="E8282" s="1909" t="s">
        <v>618</v>
      </c>
      <c r="F8282" s="1923"/>
      <c r="G8282" s="1923"/>
      <c r="H8282" s="1923"/>
      <c r="K8282" s="841" t="s">
        <v>3126</v>
      </c>
      <c r="M8282" s="1357"/>
      <c r="Q8282" s="1357"/>
      <c r="S8282" s="1420"/>
      <c r="T8282" s="1420"/>
      <c r="V8282" s="1357">
        <v>31</v>
      </c>
    </row>
    <row r="8283" spans="1:22" s="841" customFormat="1" ht="15" x14ac:dyDescent="0.25">
      <c r="A8283" s="841" t="s">
        <v>185</v>
      </c>
      <c r="B8283" s="841" t="s">
        <v>4326</v>
      </c>
      <c r="E8283" s="1689" t="s">
        <v>3372</v>
      </c>
      <c r="F8283" s="1689"/>
      <c r="G8283" s="1689"/>
      <c r="H8283" s="1689"/>
      <c r="K8283" s="841" t="s">
        <v>3126</v>
      </c>
      <c r="M8283" s="1357"/>
      <c r="Q8283" s="1357"/>
      <c r="S8283" s="1420"/>
      <c r="T8283" s="1420"/>
      <c r="V8283" s="1357">
        <v>285</v>
      </c>
    </row>
    <row r="8284" spans="1:22" s="841" customFormat="1" ht="15" x14ac:dyDescent="0.25">
      <c r="A8284" s="841" t="s">
        <v>185</v>
      </c>
      <c r="B8284" s="841" t="s">
        <v>4326</v>
      </c>
      <c r="E8284" s="1916" t="s">
        <v>3061</v>
      </c>
      <c r="F8284" s="1689"/>
      <c r="G8284" s="1689"/>
      <c r="H8284" s="1689"/>
      <c r="K8284" s="841" t="s">
        <v>3128</v>
      </c>
      <c r="M8284" s="1357"/>
      <c r="Q8284" s="1357"/>
      <c r="S8284" s="1420"/>
      <c r="T8284" s="1420"/>
      <c r="V8284" s="1357">
        <v>11</v>
      </c>
    </row>
    <row r="8285" spans="1:22" s="841" customFormat="1" ht="15" x14ac:dyDescent="0.25">
      <c r="A8285" s="841" t="s">
        <v>185</v>
      </c>
      <c r="B8285" s="841" t="s">
        <v>4326</v>
      </c>
      <c r="E8285" s="1689" t="s">
        <v>3063</v>
      </c>
      <c r="F8285" s="1689"/>
      <c r="G8285" s="1689"/>
      <c r="H8285" s="1689"/>
      <c r="K8285" s="841" t="s">
        <v>3126</v>
      </c>
      <c r="M8285" s="1357"/>
      <c r="Q8285" s="1357"/>
      <c r="S8285" s="1420"/>
      <c r="T8285" s="1420"/>
      <c r="V8285" s="1357">
        <v>280</v>
      </c>
    </row>
    <row r="8286" spans="1:22" s="841" customFormat="1" ht="15" x14ac:dyDescent="0.25">
      <c r="A8286" s="841" t="s">
        <v>185</v>
      </c>
      <c r="B8286" s="841" t="s">
        <v>4326</v>
      </c>
      <c r="E8286" s="1689" t="s">
        <v>3064</v>
      </c>
      <c r="F8286" s="1689"/>
      <c r="G8286" s="1689"/>
      <c r="H8286" s="1689"/>
      <c r="K8286" s="841" t="s">
        <v>3126</v>
      </c>
      <c r="M8286" s="1357"/>
      <c r="Q8286" s="1357"/>
      <c r="S8286" s="1420"/>
      <c r="T8286" s="1420"/>
      <c r="V8286" s="1357">
        <v>411</v>
      </c>
    </row>
    <row r="8287" spans="1:22" s="841" customFormat="1" ht="15" x14ac:dyDescent="0.25">
      <c r="A8287" s="841" t="s">
        <v>185</v>
      </c>
      <c r="B8287" s="841" t="s">
        <v>4326</v>
      </c>
      <c r="E8287" s="1689" t="s">
        <v>3129</v>
      </c>
      <c r="F8287" s="1689"/>
      <c r="G8287" s="1689"/>
      <c r="H8287" s="1689"/>
      <c r="K8287" s="841" t="s">
        <v>3126</v>
      </c>
      <c r="M8287" s="1357"/>
      <c r="Q8287" s="1357"/>
      <c r="S8287" s="1420"/>
      <c r="T8287" s="1420"/>
      <c r="V8287" s="1357">
        <v>211</v>
      </c>
    </row>
    <row r="8288" spans="1:22" s="841" customFormat="1" ht="15" x14ac:dyDescent="0.25">
      <c r="A8288" s="841" t="s">
        <v>185</v>
      </c>
      <c r="B8288" s="841" t="s">
        <v>4326</v>
      </c>
      <c r="E8288" s="1689" t="s">
        <v>3200</v>
      </c>
      <c r="F8288" s="1689"/>
      <c r="G8288" s="1689"/>
      <c r="H8288" s="1689"/>
      <c r="K8288" s="841" t="s">
        <v>3126</v>
      </c>
      <c r="M8288" s="1357"/>
      <c r="Q8288" s="1357"/>
      <c r="S8288" s="1420"/>
      <c r="T8288" s="1420"/>
      <c r="V8288" s="1357">
        <v>275</v>
      </c>
    </row>
    <row r="8289" spans="1:22" s="841" customFormat="1" ht="15" x14ac:dyDescent="0.25">
      <c r="A8289" s="841" t="s">
        <v>185</v>
      </c>
      <c r="B8289" s="841" t="s">
        <v>4326</v>
      </c>
      <c r="E8289" s="1694" t="s">
        <v>3067</v>
      </c>
      <c r="F8289" s="1907"/>
      <c r="G8289" s="1907"/>
      <c r="H8289" s="1907"/>
      <c r="K8289" s="841" t="s">
        <v>3130</v>
      </c>
      <c r="M8289" s="1357"/>
      <c r="Q8289" s="1357"/>
      <c r="S8289" s="1420"/>
      <c r="T8289" s="1420"/>
      <c r="V8289" s="1357">
        <v>46</v>
      </c>
    </row>
    <row r="8290" spans="1:22" s="841" customFormat="1" ht="15" x14ac:dyDescent="0.25">
      <c r="A8290" s="841" t="s">
        <v>185</v>
      </c>
      <c r="B8290" s="841" t="s">
        <v>4326</v>
      </c>
      <c r="E8290" s="1690" t="s">
        <v>11</v>
      </c>
      <c r="F8290" s="1690"/>
      <c r="G8290" s="1408" t="s">
        <v>23</v>
      </c>
      <c r="H8290" s="391">
        <v>5.4</v>
      </c>
      <c r="K8290" s="841" t="s">
        <v>3126</v>
      </c>
      <c r="L8290" s="841" t="s">
        <v>442</v>
      </c>
      <c r="M8290" s="1357"/>
      <c r="P8290" s="841" t="s">
        <v>3131</v>
      </c>
      <c r="Q8290" s="1357"/>
      <c r="S8290" s="1420"/>
      <c r="T8290" s="1420"/>
      <c r="V8290" s="1357">
        <v>14</v>
      </c>
    </row>
    <row r="8291" spans="1:22" s="841" customFormat="1" ht="18.75" x14ac:dyDescent="0.3">
      <c r="A8291" s="841" t="s">
        <v>185</v>
      </c>
      <c r="B8291" s="841" t="s">
        <v>4326</v>
      </c>
      <c r="E8291" s="2103" t="s">
        <v>85</v>
      </c>
      <c r="F8291" s="1964"/>
      <c r="G8291" s="1964"/>
      <c r="H8291" s="1964"/>
      <c r="K8291" s="841" t="s">
        <v>4330</v>
      </c>
      <c r="M8291" s="1357"/>
      <c r="Q8291" s="1357"/>
      <c r="S8291" s="1420"/>
      <c r="T8291" s="1420"/>
      <c r="V8291" s="1357">
        <v>10</v>
      </c>
    </row>
    <row r="8292" spans="1:22" s="841" customFormat="1" ht="15" x14ac:dyDescent="0.25">
      <c r="A8292" s="841" t="s">
        <v>185</v>
      </c>
      <c r="B8292" s="841" t="s">
        <v>4326</v>
      </c>
      <c r="E8292" s="1690" t="s">
        <v>3133</v>
      </c>
      <c r="F8292" s="1690"/>
      <c r="G8292" s="1408" t="s">
        <v>33</v>
      </c>
      <c r="H8292" s="393">
        <v>-0.6</v>
      </c>
      <c r="M8292" s="1357"/>
      <c r="Q8292" s="1357"/>
      <c r="S8292" s="1420"/>
      <c r="T8292" s="1420"/>
      <c r="V8292" s="1357">
        <v>68</v>
      </c>
    </row>
    <row r="8293" spans="1:22" s="841" customFormat="1" ht="15" x14ac:dyDescent="0.25">
      <c r="A8293" s="841" t="s">
        <v>185</v>
      </c>
      <c r="B8293" s="841" t="s">
        <v>4326</v>
      </c>
      <c r="E8293" s="1690" t="s">
        <v>3134</v>
      </c>
      <c r="F8293" s="1690"/>
      <c r="G8293" s="1408" t="s">
        <v>86</v>
      </c>
      <c r="H8293" s="391">
        <v>-1</v>
      </c>
      <c r="M8293" s="1357"/>
      <c r="Q8293" s="1357"/>
      <c r="S8293" s="1420"/>
      <c r="T8293" s="1420"/>
      <c r="V8293" s="1357">
        <v>87</v>
      </c>
    </row>
    <row r="8294" spans="1:22" s="841" customFormat="1" ht="18.75" x14ac:dyDescent="0.3">
      <c r="A8294" s="841" t="s">
        <v>185</v>
      </c>
      <c r="B8294" s="841" t="s">
        <v>4326</v>
      </c>
      <c r="E8294" s="1931" t="s">
        <v>87</v>
      </c>
      <c r="F8294" s="1964"/>
      <c r="G8294" s="1964"/>
      <c r="H8294" s="1964"/>
      <c r="K8294" s="841" t="s">
        <v>4331</v>
      </c>
      <c r="M8294" s="1357"/>
      <c r="Q8294" s="1357"/>
      <c r="S8294" s="1420"/>
      <c r="T8294" s="1420"/>
      <c r="V8294" s="1357">
        <v>24</v>
      </c>
    </row>
    <row r="8295" spans="1:22" s="841" customFormat="1" ht="15" x14ac:dyDescent="0.25">
      <c r="A8295" s="841" t="s">
        <v>185</v>
      </c>
      <c r="B8295" s="841" t="s">
        <v>4326</v>
      </c>
      <c r="E8295" s="1689" t="s">
        <v>3063</v>
      </c>
      <c r="F8295" s="1689"/>
      <c r="G8295" s="1689"/>
      <c r="H8295" s="1689"/>
      <c r="M8295" s="1357"/>
      <c r="Q8295" s="1357"/>
      <c r="S8295" s="1420"/>
      <c r="T8295" s="1420"/>
      <c r="V8295" s="1357">
        <v>280</v>
      </c>
    </row>
    <row r="8296" spans="1:22" s="841" customFormat="1" ht="15" x14ac:dyDescent="0.25">
      <c r="A8296" s="841" t="s">
        <v>185</v>
      </c>
      <c r="B8296" s="841" t="s">
        <v>4326</v>
      </c>
      <c r="E8296" s="1689" t="s">
        <v>3136</v>
      </c>
      <c r="F8296" s="1689"/>
      <c r="G8296" s="1689"/>
      <c r="H8296" s="1689"/>
      <c r="M8296" s="1357"/>
      <c r="Q8296" s="1357"/>
      <c r="S8296" s="1420"/>
      <c r="T8296" s="1420"/>
      <c r="V8296" s="1357">
        <v>353</v>
      </c>
    </row>
    <row r="8297" spans="1:22" s="841" customFormat="1" ht="15" x14ac:dyDescent="0.25">
      <c r="A8297" s="841" t="s">
        <v>185</v>
      </c>
      <c r="B8297" s="841" t="s">
        <v>4326</v>
      </c>
      <c r="E8297" s="1689" t="s">
        <v>3200</v>
      </c>
      <c r="F8297" s="1689"/>
      <c r="G8297" s="1689"/>
      <c r="H8297" s="1689"/>
      <c r="M8297" s="1357"/>
      <c r="Q8297" s="1357"/>
      <c r="S8297" s="1420"/>
      <c r="T8297" s="1420"/>
      <c r="V8297" s="1357">
        <v>275</v>
      </c>
    </row>
    <row r="8298" spans="1:22" s="841" customFormat="1" ht="15" x14ac:dyDescent="0.25">
      <c r="A8298" s="841" t="s">
        <v>185</v>
      </c>
      <c r="B8298" s="841" t="s">
        <v>4326</v>
      </c>
      <c r="E8298" s="1694" t="s">
        <v>3137</v>
      </c>
      <c r="F8298" s="1908"/>
      <c r="G8298" s="1908"/>
      <c r="H8298" s="1908"/>
      <c r="K8298" s="841" t="s">
        <v>4332</v>
      </c>
      <c r="M8298" s="1357"/>
      <c r="Q8298" s="1357"/>
      <c r="S8298" s="1420"/>
      <c r="T8298" s="1420"/>
      <c r="V8298" s="1357">
        <v>23</v>
      </c>
    </row>
    <row r="8299" spans="1:22" s="841" customFormat="1" ht="15" x14ac:dyDescent="0.25">
      <c r="A8299" s="841" t="s">
        <v>185</v>
      </c>
      <c r="B8299" s="841" t="s">
        <v>4326</v>
      </c>
      <c r="E8299" s="1688" t="s">
        <v>3355</v>
      </c>
      <c r="F8299" s="1688"/>
      <c r="G8299" s="1408" t="s">
        <v>23</v>
      </c>
      <c r="H8299" s="391">
        <v>15</v>
      </c>
      <c r="M8299" s="1357"/>
      <c r="Q8299" s="1357"/>
      <c r="S8299" s="1420"/>
      <c r="T8299" s="1420"/>
      <c r="V8299" s="1357">
        <v>19</v>
      </c>
    </row>
    <row r="8300" spans="1:22" s="841" customFormat="1" ht="15" x14ac:dyDescent="0.25">
      <c r="A8300" s="841" t="s">
        <v>185</v>
      </c>
      <c r="B8300" s="841" t="s">
        <v>4326</v>
      </c>
      <c r="E8300" s="1688" t="s">
        <v>3147</v>
      </c>
      <c r="F8300" s="1688"/>
      <c r="G8300" s="1408" t="s">
        <v>23</v>
      </c>
      <c r="H8300" s="391">
        <v>15</v>
      </c>
      <c r="M8300" s="1357"/>
      <c r="Q8300" s="1357"/>
      <c r="S8300" s="1420"/>
      <c r="T8300" s="1420"/>
      <c r="V8300" s="1357">
        <v>15</v>
      </c>
    </row>
    <row r="8301" spans="1:22" s="841" customFormat="1" ht="15" x14ac:dyDescent="0.25">
      <c r="A8301" s="841" t="s">
        <v>185</v>
      </c>
      <c r="B8301" s="841" t="s">
        <v>4326</v>
      </c>
      <c r="E8301" s="1688" t="s">
        <v>3148</v>
      </c>
      <c r="F8301" s="1688"/>
      <c r="G8301" s="1408" t="s">
        <v>23</v>
      </c>
      <c r="H8301" s="391">
        <v>15</v>
      </c>
      <c r="M8301" s="1357"/>
      <c r="Q8301" s="1357"/>
      <c r="S8301" s="1420"/>
      <c r="T8301" s="1420"/>
      <c r="V8301" s="1357">
        <v>56</v>
      </c>
    </row>
    <row r="8302" spans="1:22" s="841" customFormat="1" ht="15" x14ac:dyDescent="0.25">
      <c r="A8302" s="841" t="s">
        <v>185</v>
      </c>
      <c r="B8302" s="841" t="s">
        <v>4326</v>
      </c>
      <c r="E8302" s="1688" t="s">
        <v>88</v>
      </c>
      <c r="F8302" s="1688"/>
      <c r="G8302" s="1408" t="s">
        <v>23</v>
      </c>
      <c r="H8302" s="391">
        <v>30</v>
      </c>
      <c r="M8302" s="1357"/>
      <c r="Q8302" s="1357"/>
      <c r="S8302" s="1420"/>
      <c r="T8302" s="1420"/>
      <c r="V8302" s="1357">
        <v>89</v>
      </c>
    </row>
    <row r="8303" spans="1:22" s="841" customFormat="1" ht="15" x14ac:dyDescent="0.25">
      <c r="A8303" s="841" t="s">
        <v>185</v>
      </c>
      <c r="B8303" s="841" t="s">
        <v>4326</v>
      </c>
      <c r="E8303" s="1688" t="s">
        <v>123</v>
      </c>
      <c r="F8303" s="1688"/>
      <c r="G8303" s="1408" t="s">
        <v>23</v>
      </c>
      <c r="H8303" s="391">
        <v>15</v>
      </c>
      <c r="M8303" s="1357"/>
      <c r="Q8303" s="1357"/>
      <c r="S8303" s="1420"/>
      <c r="T8303" s="1420"/>
      <c r="V8303" s="1357">
        <v>35</v>
      </c>
    </row>
    <row r="8304" spans="1:22" s="841" customFormat="1" ht="15" x14ac:dyDescent="0.25">
      <c r="A8304" s="841" t="s">
        <v>185</v>
      </c>
      <c r="B8304" s="841" t="s">
        <v>4326</v>
      </c>
      <c r="E8304" s="1688" t="s">
        <v>3150</v>
      </c>
      <c r="F8304" s="1688"/>
      <c r="G8304" s="1408" t="s">
        <v>23</v>
      </c>
      <c r="H8304" s="391">
        <v>15</v>
      </c>
      <c r="M8304" s="1357"/>
      <c r="Q8304" s="1357"/>
      <c r="S8304" s="1420"/>
      <c r="T8304" s="1420"/>
      <c r="V8304" s="1357">
        <v>24</v>
      </c>
    </row>
    <row r="8305" spans="1:22" s="841" customFormat="1" ht="15" x14ac:dyDescent="0.25">
      <c r="A8305" s="841" t="s">
        <v>185</v>
      </c>
      <c r="B8305" s="841" t="s">
        <v>4326</v>
      </c>
      <c r="E8305" s="1688" t="s">
        <v>3151</v>
      </c>
      <c r="F8305" s="1688"/>
      <c r="G8305" s="1408" t="s">
        <v>23</v>
      </c>
      <c r="H8305" s="391">
        <v>15</v>
      </c>
      <c r="M8305" s="1357"/>
      <c r="Q8305" s="1357"/>
      <c r="S8305" s="1420"/>
      <c r="T8305" s="1420"/>
      <c r="V8305" s="1357">
        <v>19</v>
      </c>
    </row>
    <row r="8306" spans="1:22" s="841" customFormat="1" ht="15" x14ac:dyDescent="0.25">
      <c r="A8306" s="841" t="s">
        <v>185</v>
      </c>
      <c r="B8306" s="841" t="s">
        <v>4326</v>
      </c>
      <c r="E8306" s="1688" t="s">
        <v>94</v>
      </c>
      <c r="F8306" s="1688"/>
      <c r="G8306" s="1408" t="s">
        <v>23</v>
      </c>
      <c r="H8306" s="391">
        <v>30</v>
      </c>
      <c r="M8306" s="1357"/>
      <c r="Q8306" s="1357"/>
      <c r="S8306" s="1420"/>
      <c r="T8306" s="1420"/>
      <c r="V8306" s="1357">
        <v>19</v>
      </c>
    </row>
    <row r="8307" spans="1:22" s="841" customFormat="1" ht="15" x14ac:dyDescent="0.25">
      <c r="A8307" s="841" t="s">
        <v>185</v>
      </c>
      <c r="B8307" s="841" t="s">
        <v>4326</v>
      </c>
      <c r="E8307" s="1688" t="s">
        <v>92</v>
      </c>
      <c r="F8307" s="1688"/>
      <c r="G8307" s="1408" t="s">
        <v>23</v>
      </c>
      <c r="H8307" s="391">
        <v>30</v>
      </c>
      <c r="M8307" s="1357"/>
      <c r="Q8307" s="1357"/>
      <c r="S8307" s="1420"/>
      <c r="T8307" s="1420"/>
      <c r="V8307" s="1357">
        <v>74</v>
      </c>
    </row>
    <row r="8308" spans="1:22" s="841" customFormat="1" ht="15" x14ac:dyDescent="0.25">
      <c r="A8308" s="841" t="s">
        <v>185</v>
      </c>
      <c r="B8308" s="841" t="s">
        <v>4326</v>
      </c>
      <c r="E8308" s="1694" t="s">
        <v>3152</v>
      </c>
      <c r="F8308" s="1908"/>
      <c r="G8308" s="1908"/>
      <c r="H8308" s="1908"/>
      <c r="K8308" s="841" t="s">
        <v>4333</v>
      </c>
      <c r="M8308" s="1357"/>
      <c r="Q8308" s="1357"/>
      <c r="S8308" s="1420"/>
      <c r="T8308" s="1420"/>
      <c r="V8308" s="1357">
        <v>22</v>
      </c>
    </row>
    <row r="8309" spans="1:22" s="841" customFormat="1" ht="15" x14ac:dyDescent="0.25">
      <c r="A8309" s="841" t="s">
        <v>185</v>
      </c>
      <c r="B8309" s="841" t="s">
        <v>4326</v>
      </c>
      <c r="E8309" s="1688" t="s">
        <v>5137</v>
      </c>
      <c r="F8309" s="1688"/>
      <c r="G8309" s="1408" t="s">
        <v>86</v>
      </c>
      <c r="H8309" s="391">
        <v>1.5</v>
      </c>
      <c r="M8309" s="1357"/>
      <c r="Q8309" s="1357"/>
      <c r="S8309" s="1420"/>
      <c r="T8309" s="1420"/>
      <c r="V8309" s="1357">
        <v>24</v>
      </c>
    </row>
    <row r="8310" spans="1:22" s="841" customFormat="1" ht="15" x14ac:dyDescent="0.25">
      <c r="A8310" s="841" t="s">
        <v>185</v>
      </c>
      <c r="B8310" s="841" t="s">
        <v>4326</v>
      </c>
      <c r="E8310" s="1688" t="s">
        <v>4772</v>
      </c>
      <c r="F8310" s="1688"/>
      <c r="G8310" s="1408" t="s">
        <v>86</v>
      </c>
      <c r="H8310" s="391">
        <v>19.559999999999999</v>
      </c>
      <c r="M8310" s="1357"/>
      <c r="Q8310" s="1357"/>
      <c r="S8310" s="1420"/>
      <c r="T8310" s="1420"/>
      <c r="V8310" s="1357">
        <v>24</v>
      </c>
    </row>
    <row r="8311" spans="1:22" s="841" customFormat="1" ht="15" x14ac:dyDescent="0.25">
      <c r="A8311" s="841" t="s">
        <v>185</v>
      </c>
      <c r="B8311" s="841" t="s">
        <v>4326</v>
      </c>
      <c r="E8311" s="1688" t="s">
        <v>4773</v>
      </c>
      <c r="F8311" s="1688"/>
      <c r="G8311" s="1408" t="s">
        <v>23</v>
      </c>
      <c r="H8311" s="391">
        <v>65</v>
      </c>
      <c r="M8311" s="1357"/>
      <c r="Q8311" s="1357"/>
      <c r="S8311" s="1420"/>
      <c r="T8311" s="1420"/>
      <c r="V8311" s="1357">
        <v>52</v>
      </c>
    </row>
    <row r="8312" spans="1:22" s="841" customFormat="1" ht="15" x14ac:dyDescent="0.25">
      <c r="A8312" s="841" t="s">
        <v>185</v>
      </c>
      <c r="B8312" s="841" t="s">
        <v>4326</v>
      </c>
      <c r="E8312" s="1688" t="s">
        <v>4775</v>
      </c>
      <c r="F8312" s="1688"/>
      <c r="G8312" s="1408" t="s">
        <v>23</v>
      </c>
      <c r="H8312" s="391">
        <v>185</v>
      </c>
      <c r="M8312" s="1357"/>
      <c r="Q8312" s="1357"/>
      <c r="S8312" s="1420"/>
      <c r="T8312" s="1420"/>
      <c r="V8312" s="1357">
        <v>51</v>
      </c>
    </row>
    <row r="8313" spans="1:22" s="841" customFormat="1" ht="15" x14ac:dyDescent="0.25">
      <c r="A8313" s="841" t="s">
        <v>185</v>
      </c>
      <c r="B8313" s="841" t="s">
        <v>4326</v>
      </c>
      <c r="E8313" s="1688" t="s">
        <v>3288</v>
      </c>
      <c r="F8313" s="1688"/>
      <c r="G8313" s="1408" t="s">
        <v>23</v>
      </c>
      <c r="H8313" s="391">
        <v>30</v>
      </c>
      <c r="M8313" s="1357"/>
      <c r="Q8313" s="1357"/>
      <c r="S8313" s="1420"/>
      <c r="T8313" s="1420"/>
      <c r="V8313" s="1357">
        <v>47</v>
      </c>
    </row>
    <row r="8314" spans="1:22" s="841" customFormat="1" ht="15" x14ac:dyDescent="0.25">
      <c r="A8314" s="841" t="s">
        <v>185</v>
      </c>
      <c r="B8314" s="841" t="s">
        <v>4326</v>
      </c>
      <c r="E8314" s="1688" t="s">
        <v>4777</v>
      </c>
      <c r="F8314" s="1688"/>
      <c r="G8314" s="1408" t="s">
        <v>23</v>
      </c>
      <c r="H8314" s="391">
        <v>65</v>
      </c>
      <c r="M8314" s="1357"/>
      <c r="Q8314" s="1357"/>
      <c r="S8314" s="1420"/>
      <c r="T8314" s="1420"/>
      <c r="V8314" s="1357">
        <v>57</v>
      </c>
    </row>
    <row r="8315" spans="1:22" s="841" customFormat="1" ht="15" x14ac:dyDescent="0.25">
      <c r="A8315" s="841" t="s">
        <v>185</v>
      </c>
      <c r="B8315" s="841" t="s">
        <v>4326</v>
      </c>
      <c r="E8315" s="1694" t="s">
        <v>3164</v>
      </c>
      <c r="F8315" s="1908"/>
      <c r="G8315" s="1908"/>
      <c r="H8315" s="1908"/>
      <c r="M8315" s="1357"/>
      <c r="Q8315" s="1357"/>
      <c r="S8315" s="1420"/>
      <c r="T8315" s="1420"/>
      <c r="V8315" s="1357">
        <v>5</v>
      </c>
    </row>
    <row r="8316" spans="1:22" s="841" customFormat="1" ht="15" x14ac:dyDescent="0.25">
      <c r="A8316" s="841" t="s">
        <v>185</v>
      </c>
      <c r="B8316" s="841" t="s">
        <v>4326</v>
      </c>
      <c r="E8316" s="1688" t="s">
        <v>3434</v>
      </c>
      <c r="F8316" s="1688"/>
      <c r="G8316" s="1408" t="s">
        <v>23</v>
      </c>
      <c r="H8316" s="391">
        <v>500</v>
      </c>
      <c r="M8316" s="1357"/>
      <c r="Q8316" s="1357"/>
      <c r="S8316" s="1420"/>
      <c r="T8316" s="1420"/>
      <c r="V8316" s="1357">
        <v>64</v>
      </c>
    </row>
    <row r="8317" spans="1:22" s="841" customFormat="1" ht="15" x14ac:dyDescent="0.25">
      <c r="A8317" s="841" t="s">
        <v>185</v>
      </c>
      <c r="B8317" s="841" t="s">
        <v>4326</v>
      </c>
      <c r="E8317" s="1688" t="s">
        <v>3489</v>
      </c>
      <c r="F8317" s="1688"/>
      <c r="G8317" s="1408" t="s">
        <v>23</v>
      </c>
      <c r="H8317" s="391">
        <v>300</v>
      </c>
      <c r="M8317" s="1357"/>
      <c r="Q8317" s="1357"/>
      <c r="S8317" s="1420"/>
      <c r="T8317" s="1420"/>
      <c r="V8317" s="1357">
        <v>67</v>
      </c>
    </row>
    <row r="8318" spans="1:22" s="841" customFormat="1" ht="15" x14ac:dyDescent="0.25">
      <c r="A8318" s="841" t="s">
        <v>185</v>
      </c>
      <c r="B8318" s="841" t="s">
        <v>4326</v>
      </c>
      <c r="E8318" s="1688" t="s">
        <v>3490</v>
      </c>
      <c r="F8318" s="1688"/>
      <c r="G8318" s="1408" t="s">
        <v>23</v>
      </c>
      <c r="H8318" s="391">
        <v>1000</v>
      </c>
      <c r="M8318" s="1357"/>
      <c r="Q8318" s="1357"/>
      <c r="S8318" s="1420"/>
      <c r="T8318" s="1420"/>
      <c r="V8318" s="1357">
        <v>66</v>
      </c>
    </row>
    <row r="8319" spans="1:22" s="841" customFormat="1" ht="15" x14ac:dyDescent="0.25">
      <c r="A8319" s="841" t="s">
        <v>185</v>
      </c>
      <c r="B8319" s="841" t="s">
        <v>4326</v>
      </c>
      <c r="E8319" s="1688" t="s">
        <v>3167</v>
      </c>
      <c r="F8319" s="1688"/>
      <c r="G8319" s="1408" t="s">
        <v>23</v>
      </c>
      <c r="H8319" s="391">
        <v>30</v>
      </c>
      <c r="M8319" s="1357"/>
      <c r="Q8319" s="1357"/>
      <c r="S8319" s="1420"/>
      <c r="T8319" s="1420"/>
      <c r="V8319" s="1357">
        <v>39</v>
      </c>
    </row>
    <row r="8320" spans="1:22" s="841" customFormat="1" ht="15" x14ac:dyDescent="0.25">
      <c r="A8320" s="841" t="s">
        <v>185</v>
      </c>
      <c r="B8320" s="841" t="s">
        <v>4326</v>
      </c>
      <c r="E8320" s="1688" t="s">
        <v>3502</v>
      </c>
      <c r="F8320" s="1688"/>
      <c r="G8320" s="1408" t="s">
        <v>23</v>
      </c>
      <c r="H8320" s="391">
        <v>22.35</v>
      </c>
      <c r="M8320" s="1357"/>
      <c r="Q8320" s="1357"/>
      <c r="S8320" s="1420"/>
      <c r="T8320" s="1420"/>
      <c r="V8320" s="1357">
        <v>104</v>
      </c>
    </row>
    <row r="8321" spans="1:22" s="841" customFormat="1" ht="18.75" x14ac:dyDescent="0.3">
      <c r="A8321" s="841" t="s">
        <v>185</v>
      </c>
      <c r="B8321" s="841" t="s">
        <v>4326</v>
      </c>
      <c r="E8321" s="1931" t="s">
        <v>77</v>
      </c>
      <c r="F8321" s="1964"/>
      <c r="G8321" s="1964"/>
      <c r="H8321" s="1964"/>
      <c r="K8321" s="841" t="s">
        <v>4334</v>
      </c>
      <c r="M8321" s="1357"/>
      <c r="Q8321" s="1357"/>
      <c r="S8321" s="1420"/>
      <c r="T8321" s="1420"/>
      <c r="V8321" s="1357">
        <v>38</v>
      </c>
    </row>
    <row r="8322" spans="1:22" s="841" customFormat="1" ht="15" x14ac:dyDescent="0.25">
      <c r="A8322" s="841" t="s">
        <v>185</v>
      </c>
      <c r="B8322" s="841" t="s">
        <v>4326</v>
      </c>
      <c r="E8322" s="1689" t="s">
        <v>3063</v>
      </c>
      <c r="F8322" s="1689"/>
      <c r="G8322" s="1689"/>
      <c r="H8322" s="1689"/>
      <c r="M8322" s="1357"/>
      <c r="Q8322" s="1357"/>
      <c r="S8322" s="1420"/>
      <c r="T8322" s="1420"/>
      <c r="V8322" s="1357">
        <v>280</v>
      </c>
    </row>
    <row r="8323" spans="1:22" s="841" customFormat="1" ht="15" x14ac:dyDescent="0.25">
      <c r="A8323" s="841" t="s">
        <v>185</v>
      </c>
      <c r="B8323" s="841" t="s">
        <v>4326</v>
      </c>
      <c r="E8323" s="1689" t="s">
        <v>3064</v>
      </c>
      <c r="F8323" s="1689"/>
      <c r="G8323" s="1689"/>
      <c r="H8323" s="1689"/>
      <c r="M8323" s="1357"/>
      <c r="Q8323" s="1357"/>
      <c r="S8323" s="1420"/>
      <c r="T8323" s="1420"/>
      <c r="V8323" s="1357">
        <v>411</v>
      </c>
    </row>
    <row r="8324" spans="1:22" s="841" customFormat="1" ht="15" x14ac:dyDescent="0.25">
      <c r="A8324" s="841" t="s">
        <v>185</v>
      </c>
      <c r="B8324" s="841" t="s">
        <v>4326</v>
      </c>
      <c r="E8324" s="1689" t="s">
        <v>3129</v>
      </c>
      <c r="F8324" s="1689"/>
      <c r="G8324" s="1689"/>
      <c r="H8324" s="1689"/>
      <c r="M8324" s="1357"/>
      <c r="Q8324" s="1357"/>
      <c r="S8324" s="1420"/>
      <c r="T8324" s="1420"/>
      <c r="V8324" s="1357">
        <v>211</v>
      </c>
    </row>
    <row r="8325" spans="1:22" s="841" customFormat="1" ht="15" x14ac:dyDescent="0.25">
      <c r="A8325" s="841" t="s">
        <v>185</v>
      </c>
      <c r="B8325" s="841" t="s">
        <v>4326</v>
      </c>
      <c r="E8325" s="1689" t="s">
        <v>3200</v>
      </c>
      <c r="F8325" s="1689"/>
      <c r="G8325" s="1689"/>
      <c r="H8325" s="1689"/>
      <c r="M8325" s="1357"/>
      <c r="Q8325" s="1357"/>
      <c r="S8325" s="1420"/>
      <c r="T8325" s="1420"/>
      <c r="V8325" s="1357">
        <v>275</v>
      </c>
    </row>
    <row r="8326" spans="1:22" s="841" customFormat="1" ht="15" x14ac:dyDescent="0.25">
      <c r="A8326" s="841" t="s">
        <v>185</v>
      </c>
      <c r="B8326" s="841" t="s">
        <v>4326</v>
      </c>
      <c r="E8326" s="1689" t="s">
        <v>3291</v>
      </c>
      <c r="F8326" s="1689"/>
      <c r="G8326" s="1689"/>
      <c r="H8326" s="1689"/>
      <c r="M8326" s="1357"/>
      <c r="Q8326" s="1357"/>
      <c r="S8326" s="1420"/>
      <c r="T8326" s="1420"/>
      <c r="V8326" s="1357">
        <v>142</v>
      </c>
    </row>
    <row r="8327" spans="1:22" s="841" customFormat="1" ht="15" x14ac:dyDescent="0.25">
      <c r="A8327" s="841" t="s">
        <v>185</v>
      </c>
      <c r="B8327" s="841" t="s">
        <v>4326</v>
      </c>
      <c r="E8327" s="1690" t="s">
        <v>3176</v>
      </c>
      <c r="F8327" s="1690"/>
      <c r="G8327" s="502" t="s">
        <v>23</v>
      </c>
      <c r="H8327" s="395">
        <v>100</v>
      </c>
      <c r="M8327" s="1357"/>
      <c r="Q8327" s="1357"/>
      <c r="S8327" s="1420"/>
      <c r="T8327" s="1420"/>
      <c r="V8327" s="1357">
        <v>106</v>
      </c>
    </row>
    <row r="8328" spans="1:22" s="841" customFormat="1" ht="15" x14ac:dyDescent="0.25">
      <c r="A8328" s="841" t="s">
        <v>185</v>
      </c>
      <c r="B8328" s="841" t="s">
        <v>4326</v>
      </c>
      <c r="E8328" s="1690" t="s">
        <v>3177</v>
      </c>
      <c r="F8328" s="1690"/>
      <c r="G8328" s="502" t="s">
        <v>23</v>
      </c>
      <c r="H8328" s="395">
        <v>20</v>
      </c>
      <c r="M8328" s="1357"/>
      <c r="Q8328" s="1357"/>
      <c r="S8328" s="1420"/>
      <c r="T8328" s="1420"/>
      <c r="V8328" s="1357">
        <v>34</v>
      </c>
    </row>
    <row r="8329" spans="1:22" s="841" customFormat="1" ht="15" x14ac:dyDescent="0.25">
      <c r="A8329" s="841" t="s">
        <v>185</v>
      </c>
      <c r="B8329" s="841" t="s">
        <v>4326</v>
      </c>
      <c r="E8329" s="1690" t="s">
        <v>3178</v>
      </c>
      <c r="F8329" s="1690"/>
      <c r="G8329" s="502" t="s">
        <v>3179</v>
      </c>
      <c r="H8329" s="395">
        <v>0.5</v>
      </c>
      <c r="M8329" s="1357"/>
      <c r="Q8329" s="1357"/>
      <c r="S8329" s="1420"/>
      <c r="T8329" s="1420"/>
      <c r="V8329" s="1357">
        <v>51</v>
      </c>
    </row>
    <row r="8330" spans="1:22" s="841" customFormat="1" ht="15" x14ac:dyDescent="0.25">
      <c r="A8330" s="841" t="s">
        <v>185</v>
      </c>
      <c r="B8330" s="841" t="s">
        <v>4326</v>
      </c>
      <c r="E8330" s="1690" t="s">
        <v>3180</v>
      </c>
      <c r="F8330" s="1690"/>
      <c r="G8330" s="502" t="s">
        <v>3179</v>
      </c>
      <c r="H8330" s="395">
        <v>0.3</v>
      </c>
      <c r="M8330" s="1357"/>
      <c r="Q8330" s="1357"/>
      <c r="S8330" s="1420"/>
      <c r="T8330" s="1420"/>
      <c r="V8330" s="1357">
        <v>75</v>
      </c>
    </row>
    <row r="8331" spans="1:22" s="841" customFormat="1" ht="15" x14ac:dyDescent="0.25">
      <c r="A8331" s="841" t="s">
        <v>185</v>
      </c>
      <c r="B8331" s="841" t="s">
        <v>4326</v>
      </c>
      <c r="E8331" s="1690" t="s">
        <v>3181</v>
      </c>
      <c r="F8331" s="1690"/>
      <c r="G8331" s="502" t="s">
        <v>3179</v>
      </c>
      <c r="H8331" s="395">
        <v>-0.3</v>
      </c>
      <c r="M8331" s="1357"/>
      <c r="Q8331" s="1357"/>
      <c r="S8331" s="1420"/>
      <c r="T8331" s="1420"/>
      <c r="V8331" s="1357">
        <v>72</v>
      </c>
    </row>
    <row r="8332" spans="1:22" s="841" customFormat="1" ht="15" x14ac:dyDescent="0.25">
      <c r="A8332" s="841" t="s">
        <v>185</v>
      </c>
      <c r="B8332" s="841" t="s">
        <v>4326</v>
      </c>
      <c r="E8332" s="1690" t="s">
        <v>3292</v>
      </c>
      <c r="F8332" s="1690"/>
      <c r="G8332" s="1908"/>
      <c r="H8332" s="1908"/>
      <c r="M8332" s="1357"/>
      <c r="Q8332" s="1357"/>
      <c r="S8332" s="1420"/>
      <c r="T8332" s="1420"/>
      <c r="V8332" s="1357">
        <v>34</v>
      </c>
    </row>
    <row r="8333" spans="1:22" s="841" customFormat="1" ht="15" x14ac:dyDescent="0.25">
      <c r="A8333" s="841" t="s">
        <v>185</v>
      </c>
      <c r="B8333" s="841" t="s">
        <v>4326</v>
      </c>
      <c r="E8333" s="1691" t="s">
        <v>3183</v>
      </c>
      <c r="F8333" s="1691"/>
      <c r="G8333" s="502" t="s">
        <v>23</v>
      </c>
      <c r="H8333" s="395">
        <v>0.25</v>
      </c>
      <c r="M8333" s="1357"/>
      <c r="Q8333" s="1357"/>
      <c r="S8333" s="1420"/>
      <c r="T8333" s="1420"/>
      <c r="V8333" s="1357">
        <v>57</v>
      </c>
    </row>
    <row r="8334" spans="1:22" s="841" customFormat="1" ht="15" x14ac:dyDescent="0.25">
      <c r="A8334" s="841" t="s">
        <v>185</v>
      </c>
      <c r="B8334" s="841" t="s">
        <v>4326</v>
      </c>
      <c r="E8334" s="1691" t="s">
        <v>3184</v>
      </c>
      <c r="F8334" s="1691"/>
      <c r="G8334" s="502" t="s">
        <v>23</v>
      </c>
      <c r="H8334" s="395">
        <v>0.5</v>
      </c>
      <c r="M8334" s="1357"/>
      <c r="Q8334" s="1357"/>
      <c r="S8334" s="1420"/>
      <c r="T8334" s="1420"/>
      <c r="V8334" s="1357">
        <v>60</v>
      </c>
    </row>
    <row r="8335" spans="1:22" s="841" customFormat="1" ht="15" x14ac:dyDescent="0.25">
      <c r="A8335" s="841" t="s">
        <v>185</v>
      </c>
      <c r="B8335" s="841" t="s">
        <v>4326</v>
      </c>
      <c r="E8335" s="1690" t="s">
        <v>3185</v>
      </c>
      <c r="F8335" s="1690"/>
      <c r="G8335" s="1908"/>
      <c r="H8335" s="1908"/>
      <c r="M8335" s="1357"/>
      <c r="Q8335" s="1357"/>
      <c r="S8335" s="1420"/>
      <c r="T8335" s="1420"/>
      <c r="V8335" s="1357">
        <v>91</v>
      </c>
    </row>
    <row r="8336" spans="1:22" s="841" customFormat="1" ht="15" x14ac:dyDescent="0.25">
      <c r="A8336" s="841" t="s">
        <v>185</v>
      </c>
      <c r="B8336" s="841" t="s">
        <v>4326</v>
      </c>
      <c r="E8336" s="1690" t="s">
        <v>3186</v>
      </c>
      <c r="F8336" s="1690"/>
      <c r="G8336" s="1908"/>
      <c r="H8336" s="1908"/>
      <c r="M8336" s="1357"/>
      <c r="Q8336" s="1357"/>
      <c r="S8336" s="1420"/>
      <c r="T8336" s="1420"/>
      <c r="V8336" s="1357">
        <v>96</v>
      </c>
    </row>
    <row r="8337" spans="1:22" s="841" customFormat="1" ht="15" x14ac:dyDescent="0.25">
      <c r="A8337" s="841" t="s">
        <v>185</v>
      </c>
      <c r="B8337" s="841" t="s">
        <v>4326</v>
      </c>
      <c r="E8337" s="1690" t="s">
        <v>3293</v>
      </c>
      <c r="F8337" s="1690"/>
      <c r="G8337" s="1908"/>
      <c r="H8337" s="1908"/>
      <c r="M8337" s="1357"/>
      <c r="Q8337" s="1357"/>
      <c r="S8337" s="1420"/>
      <c r="T8337" s="1420"/>
      <c r="V8337" s="1357">
        <v>77</v>
      </c>
    </row>
    <row r="8338" spans="1:22" s="841" customFormat="1" ht="15" x14ac:dyDescent="0.25">
      <c r="A8338" s="841" t="s">
        <v>185</v>
      </c>
      <c r="B8338" s="841" t="s">
        <v>4326</v>
      </c>
      <c r="E8338" s="1691" t="s">
        <v>3188</v>
      </c>
      <c r="F8338" s="1691"/>
      <c r="G8338" s="502" t="s">
        <v>23</v>
      </c>
      <c r="H8338" s="503" t="s">
        <v>3189</v>
      </c>
      <c r="M8338" s="1357"/>
      <c r="Q8338" s="1357"/>
      <c r="S8338" s="1420"/>
      <c r="T8338" s="1420"/>
      <c r="V8338" s="1357">
        <v>18</v>
      </c>
    </row>
    <row r="8339" spans="1:22" s="841" customFormat="1" ht="15" x14ac:dyDescent="0.25">
      <c r="A8339" s="841" t="s">
        <v>185</v>
      </c>
      <c r="B8339" s="841" t="s">
        <v>4326</v>
      </c>
      <c r="E8339" s="1691" t="s">
        <v>3190</v>
      </c>
      <c r="F8339" s="1691"/>
      <c r="G8339" s="502" t="s">
        <v>23</v>
      </c>
      <c r="H8339" s="395">
        <v>2</v>
      </c>
      <c r="M8339" s="1357"/>
      <c r="Q8339" s="1357"/>
      <c r="S8339" s="1420"/>
      <c r="T8339" s="1420"/>
      <c r="V8339" s="1357">
        <v>69</v>
      </c>
    </row>
    <row r="8340" spans="1:22" s="841" customFormat="1" ht="18.75" x14ac:dyDescent="0.3">
      <c r="A8340" s="841" t="s">
        <v>185</v>
      </c>
      <c r="B8340" s="841" t="s">
        <v>4326</v>
      </c>
      <c r="E8340" s="1931" t="s">
        <v>147</v>
      </c>
      <c r="F8340" s="1964"/>
      <c r="G8340" s="1964"/>
      <c r="H8340" s="1964"/>
      <c r="K8340" s="841" t="s">
        <v>4335</v>
      </c>
      <c r="M8340" s="1357"/>
      <c r="Q8340" s="1357"/>
      <c r="S8340" s="1420"/>
      <c r="T8340" s="1420"/>
      <c r="V8340" s="1357">
        <v>12</v>
      </c>
    </row>
    <row r="8341" spans="1:22" s="841" customFormat="1" ht="15" x14ac:dyDescent="0.25">
      <c r="A8341" s="841" t="s">
        <v>185</v>
      </c>
      <c r="B8341" s="841" t="s">
        <v>4326</v>
      </c>
      <c r="E8341" s="1704" t="s">
        <v>3192</v>
      </c>
      <c r="F8341" s="1704"/>
      <c r="G8341" s="1704"/>
      <c r="H8341" s="1704"/>
      <c r="M8341" s="1357"/>
      <c r="Q8341" s="1357"/>
      <c r="S8341" s="1420"/>
      <c r="T8341" s="1420"/>
      <c r="V8341" s="1357">
        <v>203</v>
      </c>
    </row>
    <row r="8342" spans="1:22" s="841" customFormat="1" ht="15" x14ac:dyDescent="0.25">
      <c r="A8342" s="841" t="s">
        <v>185</v>
      </c>
      <c r="B8342" s="841" t="s">
        <v>4326</v>
      </c>
      <c r="E8342" s="1690" t="s">
        <v>3295</v>
      </c>
      <c r="F8342" s="1690"/>
      <c r="G8342" s="1408"/>
      <c r="H8342" s="393">
        <v>1.0809</v>
      </c>
      <c r="M8342" s="1357"/>
      <c r="Q8342" s="1357"/>
      <c r="S8342" s="1420"/>
      <c r="T8342" s="1420"/>
      <c r="V8342" s="1357">
        <v>57</v>
      </c>
    </row>
    <row r="8343" spans="1:22" s="841" customFormat="1" ht="15" x14ac:dyDescent="0.25">
      <c r="A8343" s="841" t="s">
        <v>185</v>
      </c>
      <c r="B8343" s="841" t="s">
        <v>4326</v>
      </c>
      <c r="E8343" s="1690" t="s">
        <v>3297</v>
      </c>
      <c r="F8343" s="1690"/>
      <c r="G8343" s="1408"/>
      <c r="H8343" s="393">
        <v>1.07</v>
      </c>
      <c r="J8343" s="841" t="s">
        <v>4336</v>
      </c>
      <c r="M8343" s="1357"/>
      <c r="Q8343" s="1357"/>
      <c r="S8343" s="1420"/>
      <c r="T8343" s="1420"/>
      <c r="V8343" s="1357">
        <v>55</v>
      </c>
    </row>
    <row r="8344" spans="1:22" s="841" customFormat="1" ht="23.25" x14ac:dyDescent="0.25">
      <c r="A8344" s="841" t="s">
        <v>244</v>
      </c>
      <c r="C8344" s="841" t="s">
        <v>3050</v>
      </c>
      <c r="E8344" s="1911" t="s">
        <v>244</v>
      </c>
      <c r="F8344" s="1911"/>
      <c r="G8344" s="1911"/>
      <c r="H8344" s="1911"/>
      <c r="I8344" s="841" t="s">
        <v>628</v>
      </c>
      <c r="J8344" s="841" t="s">
        <v>4748</v>
      </c>
      <c r="K8344" s="841" t="s">
        <v>244</v>
      </c>
      <c r="M8344" s="1357">
        <v>8</v>
      </c>
      <c r="Q8344" s="1357"/>
      <c r="S8344" s="1420"/>
      <c r="T8344" s="1420"/>
      <c r="V8344" s="1357">
        <v>38</v>
      </c>
    </row>
    <row r="8345" spans="1:22" s="841" customFormat="1" x14ac:dyDescent="0.25">
      <c r="A8345" s="841" t="s">
        <v>244</v>
      </c>
      <c r="C8345" s="841" t="s">
        <v>3052</v>
      </c>
      <c r="E8345" s="1912" t="s">
        <v>3053</v>
      </c>
      <c r="F8345" s="1912"/>
      <c r="G8345" s="1912"/>
      <c r="H8345" s="1912"/>
      <c r="M8345" s="1357"/>
      <c r="Q8345" s="1357"/>
      <c r="S8345" s="1420"/>
      <c r="T8345" s="1420"/>
      <c r="V8345" s="1357">
        <v>27</v>
      </c>
    </row>
    <row r="8346" spans="1:22" s="841" customFormat="1" ht="15.75" x14ac:dyDescent="0.25">
      <c r="A8346" s="841" t="s">
        <v>244</v>
      </c>
      <c r="C8346" s="841" t="s">
        <v>3054</v>
      </c>
      <c r="E8346" s="1913" t="s">
        <v>5107</v>
      </c>
      <c r="F8346" s="1913"/>
      <c r="G8346" s="1913"/>
      <c r="H8346" s="1913"/>
      <c r="M8346" s="1357"/>
      <c r="Q8346" s="1357"/>
      <c r="S8346" s="1420">
        <v>43221</v>
      </c>
      <c r="T8346" s="1420"/>
      <c r="V8346" s="1357">
        <v>45</v>
      </c>
    </row>
    <row r="8347" spans="1:22" s="841" customFormat="1" ht="15" x14ac:dyDescent="0.25">
      <c r="A8347" s="841" t="s">
        <v>244</v>
      </c>
      <c r="C8347" s="841" t="s">
        <v>3055</v>
      </c>
      <c r="E8347" s="1914" t="s">
        <v>3056</v>
      </c>
      <c r="F8347" s="1914"/>
      <c r="G8347" s="1914"/>
      <c r="H8347" s="1914"/>
      <c r="M8347" s="1357"/>
      <c r="Q8347" s="1357"/>
      <c r="S8347" s="1420"/>
      <c r="T8347" s="1420"/>
      <c r="V8347" s="1357">
        <v>52</v>
      </c>
    </row>
    <row r="8348" spans="1:22" s="841" customFormat="1" ht="15" x14ac:dyDescent="0.25">
      <c r="A8348" s="841" t="s">
        <v>244</v>
      </c>
      <c r="E8348" s="1914" t="s">
        <v>3057</v>
      </c>
      <c r="F8348" s="1914"/>
      <c r="G8348" s="1914"/>
      <c r="H8348" s="1914"/>
      <c r="M8348" s="1357"/>
      <c r="Q8348" s="1357"/>
      <c r="S8348" s="1420"/>
      <c r="T8348" s="1420"/>
      <c r="V8348" s="1357">
        <v>53</v>
      </c>
    </row>
    <row r="8349" spans="1:22" s="841" customFormat="1" ht="15" x14ac:dyDescent="0.25">
      <c r="A8349" s="841" t="s">
        <v>244</v>
      </c>
      <c r="E8349" s="1925" t="s">
        <v>5676</v>
      </c>
      <c r="F8349" s="1925"/>
      <c r="G8349" s="1925"/>
      <c r="H8349" s="1925"/>
      <c r="K8349" s="841" t="s">
        <v>5676</v>
      </c>
      <c r="M8349" s="1357"/>
      <c r="Q8349" s="1357"/>
      <c r="S8349" s="1420"/>
      <c r="T8349" s="1420"/>
      <c r="V8349" s="1357">
        <v>12</v>
      </c>
    </row>
    <row r="8350" spans="1:22" s="841" customFormat="1" ht="15" x14ac:dyDescent="0.25">
      <c r="A8350" s="841" t="s">
        <v>244</v>
      </c>
      <c r="E8350" s="1909" t="s">
        <v>438</v>
      </c>
      <c r="F8350" s="1697"/>
      <c r="G8350" s="1697"/>
      <c r="H8350" s="1697"/>
      <c r="K8350" s="841" t="s">
        <v>3197</v>
      </c>
      <c r="M8350" s="1357"/>
      <c r="Q8350" s="1357"/>
      <c r="S8350" s="1420"/>
      <c r="T8350" s="1420"/>
      <c r="V8350" s="1357">
        <v>34</v>
      </c>
    </row>
    <row r="8351" spans="1:22" s="841" customFormat="1" ht="15" x14ac:dyDescent="0.25">
      <c r="A8351" s="841" t="s">
        <v>244</v>
      </c>
      <c r="E8351" s="1689" t="s">
        <v>4749</v>
      </c>
      <c r="F8351" s="1689"/>
      <c r="G8351" s="1689"/>
      <c r="H8351" s="1689"/>
      <c r="K8351" s="841" t="s">
        <v>3197</v>
      </c>
      <c r="M8351" s="1357"/>
      <c r="Q8351" s="1357"/>
      <c r="S8351" s="1420"/>
      <c r="T8351" s="1420"/>
      <c r="V8351" s="1357">
        <v>608</v>
      </c>
    </row>
    <row r="8352" spans="1:22" s="841" customFormat="1" ht="15" x14ac:dyDescent="0.25">
      <c r="A8352" s="841" t="s">
        <v>244</v>
      </c>
      <c r="E8352" s="1916" t="s">
        <v>3061</v>
      </c>
      <c r="F8352" s="1697"/>
      <c r="G8352" s="1697"/>
      <c r="H8352" s="1697"/>
      <c r="K8352" s="841" t="s">
        <v>3062</v>
      </c>
      <c r="M8352" s="1357"/>
      <c r="Q8352" s="1357"/>
      <c r="S8352" s="1420"/>
      <c r="T8352" s="1420"/>
      <c r="V8352" s="1357">
        <v>11</v>
      </c>
    </row>
    <row r="8353" spans="1:22" s="841" customFormat="1" ht="15" x14ac:dyDescent="0.25">
      <c r="A8353" s="841" t="s">
        <v>244</v>
      </c>
      <c r="E8353" s="1689" t="s">
        <v>3063</v>
      </c>
      <c r="F8353" s="1689"/>
      <c r="G8353" s="1689"/>
      <c r="H8353" s="1689"/>
      <c r="K8353" s="841" t="s">
        <v>3197</v>
      </c>
      <c r="M8353" s="1357"/>
      <c r="Q8353" s="1357"/>
      <c r="S8353" s="1420"/>
      <c r="T8353" s="1420"/>
      <c r="V8353" s="1357">
        <v>280</v>
      </c>
    </row>
    <row r="8354" spans="1:22" s="841" customFormat="1" ht="15" x14ac:dyDescent="0.25">
      <c r="A8354" s="841" t="s">
        <v>244</v>
      </c>
      <c r="E8354" s="1689" t="s">
        <v>3064</v>
      </c>
      <c r="F8354" s="1689"/>
      <c r="G8354" s="1689"/>
      <c r="H8354" s="1689"/>
      <c r="K8354" s="841" t="s">
        <v>3197</v>
      </c>
      <c r="M8354" s="1357"/>
      <c r="Q8354" s="1357"/>
      <c r="S8354" s="1420"/>
      <c r="T8354" s="1420"/>
      <c r="V8354" s="1357">
        <v>411</v>
      </c>
    </row>
    <row r="8355" spans="1:22" s="841" customFormat="1" ht="15" x14ac:dyDescent="0.25">
      <c r="A8355" s="841" t="s">
        <v>244</v>
      </c>
      <c r="E8355" s="1689" t="s">
        <v>3199</v>
      </c>
      <c r="F8355" s="1689"/>
      <c r="G8355" s="1689"/>
      <c r="H8355" s="1689"/>
      <c r="K8355" s="841" t="s">
        <v>3197</v>
      </c>
      <c r="M8355" s="1357"/>
      <c r="Q8355" s="1357"/>
      <c r="S8355" s="1420"/>
      <c r="T8355" s="1420"/>
      <c r="V8355" s="1357">
        <v>386</v>
      </c>
    </row>
    <row r="8356" spans="1:22" s="841" customFormat="1" ht="15" x14ac:dyDescent="0.25">
      <c r="A8356" s="841" t="s">
        <v>244</v>
      </c>
      <c r="E8356" s="1689" t="s">
        <v>3200</v>
      </c>
      <c r="F8356" s="1689"/>
      <c r="G8356" s="1689"/>
      <c r="H8356" s="1689"/>
      <c r="K8356" s="841" t="s">
        <v>3197</v>
      </c>
      <c r="M8356" s="1357"/>
      <c r="Q8356" s="1357"/>
      <c r="S8356" s="1420"/>
      <c r="T8356" s="1420"/>
      <c r="V8356" s="1357">
        <v>275</v>
      </c>
    </row>
    <row r="8357" spans="1:22" s="841" customFormat="1" ht="15" x14ac:dyDescent="0.25">
      <c r="A8357" s="841" t="s">
        <v>244</v>
      </c>
      <c r="E8357" s="1694" t="s">
        <v>3067</v>
      </c>
      <c r="F8357" s="1907"/>
      <c r="G8357" s="1907"/>
      <c r="H8357" s="1907"/>
      <c r="K8357" s="841" t="s">
        <v>3068</v>
      </c>
      <c r="M8357" s="1357"/>
      <c r="Q8357" s="1357"/>
      <c r="S8357" s="1420"/>
      <c r="T8357" s="1420"/>
      <c r="V8357" s="1357">
        <v>46</v>
      </c>
    </row>
    <row r="8358" spans="1:22" s="841" customFormat="1" ht="15" x14ac:dyDescent="0.25">
      <c r="A8358" s="841" t="s">
        <v>244</v>
      </c>
      <c r="E8358" s="1690" t="s">
        <v>11</v>
      </c>
      <c r="F8358" s="1690"/>
      <c r="G8358" s="1408" t="s">
        <v>23</v>
      </c>
      <c r="H8358" s="391">
        <v>18.98</v>
      </c>
      <c r="K8358" s="841" t="s">
        <v>3197</v>
      </c>
      <c r="L8358" s="841" t="s">
        <v>442</v>
      </c>
      <c r="M8358" s="1357"/>
      <c r="P8358" s="841" t="s">
        <v>3201</v>
      </c>
      <c r="Q8358" s="1357"/>
      <c r="S8358" s="1420"/>
      <c r="T8358" s="1420"/>
      <c r="V8358" s="1357">
        <v>14</v>
      </c>
    </row>
    <row r="8359" spans="1:22" s="841" customFormat="1" ht="15" x14ac:dyDescent="0.25">
      <c r="A8359" s="841" t="s">
        <v>244</v>
      </c>
      <c r="E8359" s="1690" t="s">
        <v>5109</v>
      </c>
      <c r="F8359" s="1690"/>
      <c r="G8359" s="1408" t="s">
        <v>23</v>
      </c>
      <c r="H8359" s="391">
        <v>0.56999999999999995</v>
      </c>
      <c r="K8359" s="841" t="s">
        <v>3197</v>
      </c>
      <c r="L8359" s="841" t="s">
        <v>443</v>
      </c>
      <c r="M8359" s="1357"/>
      <c r="P8359" s="841" t="s">
        <v>3202</v>
      </c>
      <c r="Q8359" s="1357"/>
      <c r="S8359" s="1420"/>
      <c r="T8359" s="1420">
        <v>44926</v>
      </c>
      <c r="V8359" s="1357">
        <v>64</v>
      </c>
    </row>
    <row r="8360" spans="1:22" s="841" customFormat="1" ht="15" x14ac:dyDescent="0.25">
      <c r="A8360" s="841" t="s">
        <v>244</v>
      </c>
      <c r="E8360" s="1690" t="s">
        <v>84</v>
      </c>
      <c r="F8360" s="1690"/>
      <c r="G8360" s="1408" t="s">
        <v>24</v>
      </c>
      <c r="H8360" s="393">
        <v>4.7000000000000002E-3</v>
      </c>
      <c r="K8360" s="841" t="s">
        <v>3197</v>
      </c>
      <c r="L8360" s="841" t="s">
        <v>442</v>
      </c>
      <c r="M8360" s="1357"/>
      <c r="P8360" s="841" t="s">
        <v>3203</v>
      </c>
      <c r="Q8360" s="1357"/>
      <c r="S8360" s="1420"/>
      <c r="T8360" s="1420"/>
      <c r="V8360" s="1357">
        <v>28</v>
      </c>
    </row>
    <row r="8361" spans="1:22" s="841" customFormat="1" ht="15" x14ac:dyDescent="0.25">
      <c r="A8361" s="841" t="s">
        <v>244</v>
      </c>
      <c r="E8361" s="1690" t="s">
        <v>18</v>
      </c>
      <c r="F8361" s="1690"/>
      <c r="G8361" s="1408" t="s">
        <v>24</v>
      </c>
      <c r="H8361" s="393">
        <v>1E-3</v>
      </c>
      <c r="K8361" s="841" t="s">
        <v>3197</v>
      </c>
      <c r="L8361" s="841" t="s">
        <v>443</v>
      </c>
      <c r="M8361" s="1357"/>
      <c r="P8361" s="841" t="s">
        <v>3204</v>
      </c>
      <c r="Q8361" s="1357"/>
      <c r="S8361" s="1420"/>
      <c r="T8361" s="1420"/>
      <c r="V8361" s="1357">
        <v>24</v>
      </c>
    </row>
    <row r="8362" spans="1:22" s="841" customFormat="1" ht="15" x14ac:dyDescent="0.25">
      <c r="A8362" s="841" t="s">
        <v>244</v>
      </c>
      <c r="E8362" s="1690" t="s">
        <v>5129</v>
      </c>
      <c r="F8362" s="1908"/>
      <c r="G8362" s="1408" t="s">
        <v>24</v>
      </c>
      <c r="H8362" s="393">
        <v>-5.0000000000000001E-4</v>
      </c>
      <c r="K8362" s="841" t="s">
        <v>3197</v>
      </c>
      <c r="L8362" s="841" t="s">
        <v>443</v>
      </c>
      <c r="M8362" s="1357"/>
      <c r="P8362" s="841" t="s">
        <v>3205</v>
      </c>
      <c r="Q8362" s="1357"/>
      <c r="S8362" s="1420"/>
      <c r="T8362" s="1420">
        <v>43585</v>
      </c>
      <c r="V8362" s="1357">
        <v>139</v>
      </c>
    </row>
    <row r="8363" spans="1:22" s="841" customFormat="1" ht="15" x14ac:dyDescent="0.25">
      <c r="A8363" s="841" t="s">
        <v>244</v>
      </c>
      <c r="E8363" s="1690" t="s">
        <v>5130</v>
      </c>
      <c r="F8363" s="1908"/>
      <c r="G8363" s="1408" t="s">
        <v>24</v>
      </c>
      <c r="H8363" s="393">
        <v>-1.2999999999999999E-3</v>
      </c>
      <c r="K8363" s="841" t="s">
        <v>3197</v>
      </c>
      <c r="L8363" s="841" t="s">
        <v>443</v>
      </c>
      <c r="M8363" s="1357"/>
      <c r="P8363" s="841" t="s">
        <v>3207</v>
      </c>
      <c r="Q8363" s="1357"/>
      <c r="S8363" s="1420"/>
      <c r="T8363" s="1420">
        <v>43585</v>
      </c>
      <c r="V8363" s="1357">
        <v>96</v>
      </c>
    </row>
    <row r="8364" spans="1:22" s="841" customFormat="1" ht="15" x14ac:dyDescent="0.25">
      <c r="A8364" s="841" t="s">
        <v>244</v>
      </c>
      <c r="E8364" s="1690" t="s">
        <v>5424</v>
      </c>
      <c r="F8364" s="1908"/>
      <c r="G8364" s="1408" t="s">
        <v>24</v>
      </c>
      <c r="H8364" s="393">
        <v>4.0000000000000002E-4</v>
      </c>
      <c r="K8364" s="841" t="s">
        <v>3197</v>
      </c>
      <c r="L8364" s="841" t="s">
        <v>443</v>
      </c>
      <c r="M8364" s="1357"/>
      <c r="P8364" s="841" t="s">
        <v>5103</v>
      </c>
      <c r="Q8364" s="1357"/>
      <c r="S8364" s="1420"/>
      <c r="T8364" s="1420">
        <v>43585</v>
      </c>
      <c r="V8364" s="1357">
        <v>146</v>
      </c>
    </row>
    <row r="8365" spans="1:22" s="841" customFormat="1" ht="15" x14ac:dyDescent="0.25">
      <c r="A8365" s="841" t="s">
        <v>244</v>
      </c>
      <c r="E8365" s="1690" t="s">
        <v>221</v>
      </c>
      <c r="F8365" s="1690"/>
      <c r="G8365" s="1408" t="s">
        <v>24</v>
      </c>
      <c r="H8365" s="393">
        <v>7.3000000000000001E-3</v>
      </c>
      <c r="K8365" s="841" t="s">
        <v>3197</v>
      </c>
      <c r="L8365" s="841" t="s">
        <v>444</v>
      </c>
      <c r="M8365" s="1357"/>
      <c r="P8365" s="841" t="s">
        <v>3208</v>
      </c>
      <c r="Q8365" s="1357"/>
      <c r="S8365" s="1420"/>
      <c r="T8365" s="1420"/>
      <c r="V8365" s="1357">
        <v>47</v>
      </c>
    </row>
    <row r="8366" spans="1:22" s="841" customFormat="1" ht="15" x14ac:dyDescent="0.25">
      <c r="A8366" s="841" t="s">
        <v>244</v>
      </c>
      <c r="E8366" s="1690" t="s">
        <v>217</v>
      </c>
      <c r="F8366" s="1690"/>
      <c r="G8366" s="1408" t="s">
        <v>24</v>
      </c>
      <c r="H8366" s="393">
        <v>6.1000000000000004E-3</v>
      </c>
      <c r="K8366" s="841" t="s">
        <v>3197</v>
      </c>
      <c r="L8366" s="841" t="s">
        <v>444</v>
      </c>
      <c r="M8366" s="1357"/>
      <c r="P8366" s="841" t="s">
        <v>3209</v>
      </c>
      <c r="Q8366" s="1357"/>
      <c r="S8366" s="1420"/>
      <c r="T8366" s="1420"/>
      <c r="V8366" s="1357">
        <v>74</v>
      </c>
    </row>
    <row r="8367" spans="1:22" s="841" customFormat="1" ht="15" x14ac:dyDescent="0.25">
      <c r="A8367" s="841" t="s">
        <v>244</v>
      </c>
      <c r="E8367" s="1694" t="s">
        <v>3079</v>
      </c>
      <c r="F8367" s="1690"/>
      <c r="G8367" s="1408"/>
      <c r="H8367" s="1408"/>
      <c r="K8367" s="841" t="s">
        <v>3080</v>
      </c>
      <c r="M8367" s="1357"/>
      <c r="Q8367" s="1357"/>
      <c r="S8367" s="1420"/>
      <c r="T8367" s="1420"/>
      <c r="V8367" s="1357">
        <v>48</v>
      </c>
    </row>
    <row r="8368" spans="1:22" s="841" customFormat="1" ht="15" x14ac:dyDescent="0.25">
      <c r="A8368" s="841" t="s">
        <v>244</v>
      </c>
      <c r="E8368" s="1690" t="s">
        <v>2449</v>
      </c>
      <c r="F8368" s="1690"/>
      <c r="G8368" s="1408" t="s">
        <v>24</v>
      </c>
      <c r="H8368" s="393">
        <v>3.2000000000000002E-3</v>
      </c>
      <c r="K8368" s="841" t="s">
        <v>3197</v>
      </c>
      <c r="L8368" s="841" t="s">
        <v>3046</v>
      </c>
      <c r="M8368" s="1357"/>
      <c r="P8368" s="841" t="s">
        <v>3210</v>
      </c>
      <c r="Q8368" s="1357"/>
      <c r="S8368" s="1420"/>
      <c r="T8368" s="1420"/>
      <c r="V8368" s="1357">
        <v>55</v>
      </c>
    </row>
    <row r="8369" spans="1:22" s="841" customFormat="1" ht="15" x14ac:dyDescent="0.25">
      <c r="A8369" s="841" t="s">
        <v>244</v>
      </c>
      <c r="E8369" s="1690" t="s">
        <v>2450</v>
      </c>
      <c r="F8369" s="1690"/>
      <c r="G8369" s="1408" t="s">
        <v>24</v>
      </c>
      <c r="H8369" s="393">
        <v>4.0000000000000002E-4</v>
      </c>
      <c r="K8369" s="841" t="s">
        <v>3197</v>
      </c>
      <c r="L8369" s="841" t="s">
        <v>3046</v>
      </c>
      <c r="M8369" s="1357"/>
      <c r="P8369" s="841" t="s">
        <v>3210</v>
      </c>
      <c r="Q8369" s="1357"/>
      <c r="S8369" s="1420"/>
      <c r="T8369" s="1420"/>
      <c r="V8369" s="1357">
        <v>65</v>
      </c>
    </row>
    <row r="8370" spans="1:22" s="841" customFormat="1" ht="15" x14ac:dyDescent="0.25">
      <c r="A8370" s="841" t="s">
        <v>244</v>
      </c>
      <c r="E8370" s="1690" t="s">
        <v>439</v>
      </c>
      <c r="F8370" s="1690"/>
      <c r="G8370" s="1408" t="s">
        <v>24</v>
      </c>
      <c r="H8370" s="393">
        <v>2.9999999999999997E-4</v>
      </c>
      <c r="K8370" s="841" t="s">
        <v>3197</v>
      </c>
      <c r="L8370" s="841" t="s">
        <v>3046</v>
      </c>
      <c r="M8370" s="1357"/>
      <c r="P8370" s="841" t="s">
        <v>3212</v>
      </c>
      <c r="Q8370" s="1357"/>
      <c r="S8370" s="1420"/>
      <c r="T8370" s="1420"/>
      <c r="V8370" s="1357">
        <v>57</v>
      </c>
    </row>
    <row r="8371" spans="1:22" s="841" customFormat="1" ht="15" x14ac:dyDescent="0.25">
      <c r="A8371" s="841" t="s">
        <v>244</v>
      </c>
      <c r="E8371" s="1690" t="s">
        <v>32</v>
      </c>
      <c r="F8371" s="1690"/>
      <c r="G8371" s="1408" t="s">
        <v>23</v>
      </c>
      <c r="H8371" s="391">
        <v>0.25</v>
      </c>
      <c r="K8371" s="841" t="s">
        <v>3197</v>
      </c>
      <c r="L8371" s="841" t="s">
        <v>3046</v>
      </c>
      <c r="M8371" s="1357"/>
      <c r="P8371" s="841" t="s">
        <v>3213</v>
      </c>
      <c r="Q8371" s="1357"/>
      <c r="S8371" s="1420"/>
      <c r="T8371" s="1420"/>
      <c r="V8371" s="1357">
        <v>63</v>
      </c>
    </row>
    <row r="8372" spans="1:22" s="841" customFormat="1" x14ac:dyDescent="0.25">
      <c r="A8372" s="841" t="s">
        <v>244</v>
      </c>
      <c r="E8372" s="1909" t="s">
        <v>3214</v>
      </c>
      <c r="F8372" s="1915"/>
      <c r="G8372" s="1915"/>
      <c r="H8372" s="1915"/>
      <c r="K8372" s="841" t="s">
        <v>5110</v>
      </c>
      <c r="M8372" s="1357"/>
      <c r="Q8372" s="1357"/>
      <c r="S8372" s="1420"/>
      <c r="T8372" s="1420"/>
      <c r="V8372" s="1357">
        <v>54</v>
      </c>
    </row>
    <row r="8373" spans="1:22" s="841" customFormat="1" ht="15" x14ac:dyDescent="0.25">
      <c r="A8373" s="841" t="s">
        <v>244</v>
      </c>
      <c r="E8373" s="1689" t="s">
        <v>4750</v>
      </c>
      <c r="F8373" s="1689"/>
      <c r="G8373" s="1689"/>
      <c r="H8373" s="1689"/>
      <c r="K8373" s="841" t="s">
        <v>5110</v>
      </c>
      <c r="M8373" s="1357"/>
      <c r="Q8373" s="1357"/>
      <c r="S8373" s="1420"/>
      <c r="T8373" s="1420"/>
      <c r="V8373" s="1357">
        <v>485</v>
      </c>
    </row>
    <row r="8374" spans="1:22" s="841" customFormat="1" ht="15" x14ac:dyDescent="0.25">
      <c r="A8374" s="841" t="s">
        <v>244</v>
      </c>
      <c r="E8374" s="1916" t="s">
        <v>3061</v>
      </c>
      <c r="F8374" s="1697"/>
      <c r="G8374" s="1697"/>
      <c r="H8374" s="1697"/>
      <c r="K8374" s="841" t="s">
        <v>3086</v>
      </c>
      <c r="M8374" s="1357"/>
      <c r="Q8374" s="1357"/>
      <c r="S8374" s="1420"/>
      <c r="T8374" s="1420"/>
      <c r="V8374" s="1357">
        <v>11</v>
      </c>
    </row>
    <row r="8375" spans="1:22" s="841" customFormat="1" ht="15" x14ac:dyDescent="0.25">
      <c r="A8375" s="841" t="s">
        <v>244</v>
      </c>
      <c r="E8375" s="1689" t="s">
        <v>3063</v>
      </c>
      <c r="F8375" s="1689"/>
      <c r="G8375" s="1689"/>
      <c r="H8375" s="1689"/>
      <c r="K8375" s="841" t="s">
        <v>5110</v>
      </c>
      <c r="M8375" s="1357"/>
      <c r="Q8375" s="1357"/>
      <c r="S8375" s="1420"/>
      <c r="T8375" s="1420"/>
      <c r="V8375" s="1357">
        <v>280</v>
      </c>
    </row>
    <row r="8376" spans="1:22" s="841" customFormat="1" ht="15" x14ac:dyDescent="0.25">
      <c r="A8376" s="841" t="s">
        <v>244</v>
      </c>
      <c r="E8376" s="1689" t="s">
        <v>3064</v>
      </c>
      <c r="F8376" s="1689"/>
      <c r="G8376" s="1689"/>
      <c r="H8376" s="1689"/>
      <c r="K8376" s="841" t="s">
        <v>5110</v>
      </c>
      <c r="M8376" s="1357"/>
      <c r="Q8376" s="1357"/>
      <c r="S8376" s="1420"/>
      <c r="T8376" s="1420"/>
      <c r="V8376" s="1357">
        <v>411</v>
      </c>
    </row>
    <row r="8377" spans="1:22" s="841" customFormat="1" ht="15" x14ac:dyDescent="0.25">
      <c r="A8377" s="841" t="s">
        <v>244</v>
      </c>
      <c r="E8377" s="1689" t="s">
        <v>3199</v>
      </c>
      <c r="F8377" s="1689"/>
      <c r="G8377" s="1689"/>
      <c r="H8377" s="1689"/>
      <c r="K8377" s="841" t="s">
        <v>5110</v>
      </c>
      <c r="M8377" s="1357"/>
      <c r="Q8377" s="1357"/>
      <c r="S8377" s="1420"/>
      <c r="T8377" s="1420"/>
      <c r="V8377" s="1357">
        <v>386</v>
      </c>
    </row>
    <row r="8378" spans="1:22" s="841" customFormat="1" ht="15" x14ac:dyDescent="0.25">
      <c r="A8378" s="841" t="s">
        <v>244</v>
      </c>
      <c r="E8378" s="1689" t="s">
        <v>3200</v>
      </c>
      <c r="F8378" s="1689"/>
      <c r="G8378" s="1689"/>
      <c r="H8378" s="1689"/>
      <c r="K8378" s="841" t="s">
        <v>5110</v>
      </c>
      <c r="M8378" s="1357"/>
      <c r="Q8378" s="1357"/>
      <c r="S8378" s="1420"/>
      <c r="T8378" s="1420"/>
      <c r="V8378" s="1357">
        <v>275</v>
      </c>
    </row>
    <row r="8379" spans="1:22" s="841" customFormat="1" ht="15" x14ac:dyDescent="0.25">
      <c r="A8379" s="841" t="s">
        <v>244</v>
      </c>
      <c r="E8379" s="1694" t="s">
        <v>3067</v>
      </c>
      <c r="F8379" s="1907"/>
      <c r="G8379" s="1907"/>
      <c r="H8379" s="1907"/>
      <c r="K8379" s="841" t="s">
        <v>3087</v>
      </c>
      <c r="M8379" s="1357"/>
      <c r="Q8379" s="1357"/>
      <c r="S8379" s="1420"/>
      <c r="T8379" s="1420"/>
      <c r="V8379" s="1357">
        <v>46</v>
      </c>
    </row>
    <row r="8380" spans="1:22" s="841" customFormat="1" ht="15" x14ac:dyDescent="0.25">
      <c r="A8380" s="841" t="s">
        <v>244</v>
      </c>
      <c r="E8380" s="1690" t="s">
        <v>11</v>
      </c>
      <c r="F8380" s="1690"/>
      <c r="G8380" s="1408" t="s">
        <v>23</v>
      </c>
      <c r="H8380" s="391">
        <v>31.36</v>
      </c>
      <c r="K8380" s="841" t="s">
        <v>5110</v>
      </c>
      <c r="L8380" s="841" t="s">
        <v>442</v>
      </c>
      <c r="M8380" s="1357"/>
      <c r="P8380" s="841" t="s">
        <v>5111</v>
      </c>
      <c r="Q8380" s="1357"/>
      <c r="S8380" s="1420"/>
      <c r="T8380" s="1420"/>
      <c r="V8380" s="1357">
        <v>14</v>
      </c>
    </row>
    <row r="8381" spans="1:22" s="841" customFormat="1" ht="15" x14ac:dyDescent="0.25">
      <c r="A8381" s="841" t="s">
        <v>244</v>
      </c>
      <c r="E8381" s="1690" t="s">
        <v>5109</v>
      </c>
      <c r="F8381" s="1690"/>
      <c r="G8381" s="1408" t="s">
        <v>23</v>
      </c>
      <c r="H8381" s="391">
        <v>0.56999999999999995</v>
      </c>
      <c r="K8381" s="841" t="s">
        <v>5110</v>
      </c>
      <c r="L8381" s="841" t="s">
        <v>443</v>
      </c>
      <c r="M8381" s="1357"/>
      <c r="P8381" s="841" t="s">
        <v>5112</v>
      </c>
      <c r="Q8381" s="1357"/>
      <c r="S8381" s="1420"/>
      <c r="T8381" s="1420">
        <v>44926</v>
      </c>
      <c r="V8381" s="1357">
        <v>64</v>
      </c>
    </row>
    <row r="8382" spans="1:22" s="841" customFormat="1" ht="15" x14ac:dyDescent="0.25">
      <c r="A8382" s="841" t="s">
        <v>244</v>
      </c>
      <c r="E8382" s="1690" t="s">
        <v>84</v>
      </c>
      <c r="F8382" s="1690"/>
      <c r="G8382" s="1408" t="s">
        <v>24</v>
      </c>
      <c r="H8382" s="393">
        <v>8.8999999999999999E-3</v>
      </c>
      <c r="K8382" s="841" t="s">
        <v>5110</v>
      </c>
      <c r="L8382" s="841" t="s">
        <v>442</v>
      </c>
      <c r="M8382" s="1357"/>
      <c r="P8382" s="841" t="s">
        <v>5113</v>
      </c>
      <c r="Q8382" s="1357"/>
      <c r="S8382" s="1420"/>
      <c r="T8382" s="1420"/>
      <c r="V8382" s="1357">
        <v>28</v>
      </c>
    </row>
    <row r="8383" spans="1:22" s="841" customFormat="1" ht="15" x14ac:dyDescent="0.25">
      <c r="A8383" s="841" t="s">
        <v>244</v>
      </c>
      <c r="E8383" s="1690" t="s">
        <v>18</v>
      </c>
      <c r="F8383" s="1690"/>
      <c r="G8383" s="1408" t="s">
        <v>24</v>
      </c>
      <c r="H8383" s="393">
        <v>8.9999999999999998E-4</v>
      </c>
      <c r="K8383" s="841" t="s">
        <v>5110</v>
      </c>
      <c r="L8383" s="841" t="s">
        <v>443</v>
      </c>
      <c r="M8383" s="1357"/>
      <c r="P8383" s="841" t="s">
        <v>5114</v>
      </c>
      <c r="Q8383" s="1357"/>
      <c r="S8383" s="1420"/>
      <c r="T8383" s="1420"/>
      <c r="V8383" s="1357">
        <v>24</v>
      </c>
    </row>
    <row r="8384" spans="1:22" s="841" customFormat="1" ht="15" x14ac:dyDescent="0.25">
      <c r="A8384" s="841" t="s">
        <v>244</v>
      </c>
      <c r="E8384" s="1690" t="s">
        <v>5129</v>
      </c>
      <c r="F8384" s="1908"/>
      <c r="G8384" s="1408" t="s">
        <v>24</v>
      </c>
      <c r="H8384" s="393">
        <v>-5.0000000000000001E-4</v>
      </c>
      <c r="K8384" s="841" t="s">
        <v>5110</v>
      </c>
      <c r="L8384" s="841" t="s">
        <v>443</v>
      </c>
      <c r="M8384" s="1357"/>
      <c r="P8384" s="841" t="s">
        <v>4818</v>
      </c>
      <c r="Q8384" s="1357"/>
      <c r="S8384" s="1420"/>
      <c r="T8384" s="1420">
        <v>43585</v>
      </c>
      <c r="V8384" s="1357">
        <v>139</v>
      </c>
    </row>
    <row r="8385" spans="1:22" s="841" customFormat="1" ht="15" x14ac:dyDescent="0.25">
      <c r="A8385" s="841" t="s">
        <v>244</v>
      </c>
      <c r="E8385" s="1690" t="s">
        <v>5130</v>
      </c>
      <c r="F8385" s="1908"/>
      <c r="G8385" s="1408" t="s">
        <v>24</v>
      </c>
      <c r="H8385" s="393">
        <v>-1.2999999999999999E-3</v>
      </c>
      <c r="K8385" s="841" t="s">
        <v>5110</v>
      </c>
      <c r="L8385" s="841" t="s">
        <v>443</v>
      </c>
      <c r="M8385" s="1357"/>
      <c r="P8385" s="841" t="s">
        <v>5124</v>
      </c>
      <c r="Q8385" s="1357"/>
      <c r="S8385" s="1420"/>
      <c r="T8385" s="1420">
        <v>43585</v>
      </c>
      <c r="V8385" s="1357">
        <v>96</v>
      </c>
    </row>
    <row r="8386" spans="1:22" s="841" customFormat="1" ht="15" x14ac:dyDescent="0.25">
      <c r="A8386" s="841" t="s">
        <v>244</v>
      </c>
      <c r="E8386" s="1690" t="s">
        <v>5424</v>
      </c>
      <c r="F8386" s="1908"/>
      <c r="G8386" s="1408" t="s">
        <v>24</v>
      </c>
      <c r="H8386" s="393">
        <v>4.0000000000000002E-4</v>
      </c>
      <c r="K8386" s="841" t="s">
        <v>5110</v>
      </c>
      <c r="L8386" s="841" t="s">
        <v>443</v>
      </c>
      <c r="M8386" s="1357"/>
      <c r="P8386" s="841" t="s">
        <v>5287</v>
      </c>
      <c r="Q8386" s="1357"/>
      <c r="S8386" s="1420"/>
      <c r="T8386" s="1420">
        <v>43585</v>
      </c>
      <c r="V8386" s="1357">
        <v>146</v>
      </c>
    </row>
    <row r="8387" spans="1:22" s="841" customFormat="1" ht="15" x14ac:dyDescent="0.25">
      <c r="A8387" s="841" t="s">
        <v>244</v>
      </c>
      <c r="E8387" s="1690" t="s">
        <v>221</v>
      </c>
      <c r="F8387" s="1690"/>
      <c r="G8387" s="1408" t="s">
        <v>24</v>
      </c>
      <c r="H8387" s="393">
        <v>6.7000000000000002E-3</v>
      </c>
      <c r="K8387" s="841" t="s">
        <v>5110</v>
      </c>
      <c r="L8387" s="841" t="s">
        <v>444</v>
      </c>
      <c r="M8387" s="1357"/>
      <c r="P8387" s="841" t="s">
        <v>5115</v>
      </c>
      <c r="Q8387" s="1357"/>
      <c r="S8387" s="1420"/>
      <c r="T8387" s="1420"/>
      <c r="V8387" s="1357">
        <v>47</v>
      </c>
    </row>
    <row r="8388" spans="1:22" s="841" customFormat="1" ht="15" x14ac:dyDescent="0.25">
      <c r="A8388" s="841" t="s">
        <v>244</v>
      </c>
      <c r="E8388" s="1690" t="s">
        <v>217</v>
      </c>
      <c r="F8388" s="1690"/>
      <c r="G8388" s="1408" t="s">
        <v>24</v>
      </c>
      <c r="H8388" s="393">
        <v>5.5999999999999999E-3</v>
      </c>
      <c r="K8388" s="841" t="s">
        <v>5110</v>
      </c>
      <c r="L8388" s="841" t="s">
        <v>444</v>
      </c>
      <c r="M8388" s="1357"/>
      <c r="P8388" s="841" t="s">
        <v>5116</v>
      </c>
      <c r="Q8388" s="1357"/>
      <c r="S8388" s="1420"/>
      <c r="T8388" s="1420"/>
      <c r="V8388" s="1357">
        <v>74</v>
      </c>
    </row>
    <row r="8389" spans="1:22" s="841" customFormat="1" ht="15" x14ac:dyDescent="0.25">
      <c r="A8389" s="841" t="s">
        <v>244</v>
      </c>
      <c r="E8389" s="1694" t="s">
        <v>3079</v>
      </c>
      <c r="F8389" s="1690"/>
      <c r="G8389" s="1408"/>
      <c r="H8389" s="1408"/>
      <c r="K8389" s="841" t="s">
        <v>3093</v>
      </c>
      <c r="M8389" s="1357"/>
      <c r="Q8389" s="1357"/>
      <c r="S8389" s="1420"/>
      <c r="T8389" s="1420"/>
      <c r="V8389" s="1357">
        <v>48</v>
      </c>
    </row>
    <row r="8390" spans="1:22" s="841" customFormat="1" ht="15" x14ac:dyDescent="0.25">
      <c r="A8390" s="841" t="s">
        <v>244</v>
      </c>
      <c r="E8390" s="1690" t="s">
        <v>2449</v>
      </c>
      <c r="F8390" s="1690"/>
      <c r="G8390" s="1408" t="s">
        <v>24</v>
      </c>
      <c r="H8390" s="393">
        <v>3.2000000000000002E-3</v>
      </c>
      <c r="K8390" s="841" t="s">
        <v>5110</v>
      </c>
      <c r="L8390" s="841" t="s">
        <v>3046</v>
      </c>
      <c r="M8390" s="1357"/>
      <c r="P8390" s="841" t="s">
        <v>5117</v>
      </c>
      <c r="Q8390" s="1357"/>
      <c r="S8390" s="1420"/>
      <c r="T8390" s="1420"/>
      <c r="V8390" s="1357">
        <v>55</v>
      </c>
    </row>
    <row r="8391" spans="1:22" s="841" customFormat="1" ht="15" x14ac:dyDescent="0.25">
      <c r="A8391" s="841" t="s">
        <v>244</v>
      </c>
      <c r="E8391" s="1690" t="s">
        <v>2450</v>
      </c>
      <c r="F8391" s="1690"/>
      <c r="G8391" s="1408" t="s">
        <v>24</v>
      </c>
      <c r="H8391" s="393">
        <v>4.0000000000000002E-4</v>
      </c>
      <c r="K8391" s="841" t="s">
        <v>5110</v>
      </c>
      <c r="L8391" s="841" t="s">
        <v>3046</v>
      </c>
      <c r="M8391" s="1357"/>
      <c r="P8391" s="841" t="s">
        <v>5117</v>
      </c>
      <c r="Q8391" s="1357"/>
      <c r="S8391" s="1420"/>
      <c r="T8391" s="1420"/>
      <c r="V8391" s="1357">
        <v>65</v>
      </c>
    </row>
    <row r="8392" spans="1:22" s="841" customFormat="1" ht="15" x14ac:dyDescent="0.25">
      <c r="A8392" s="841" t="s">
        <v>244</v>
      </c>
      <c r="E8392" s="1690" t="s">
        <v>439</v>
      </c>
      <c r="F8392" s="1690"/>
      <c r="G8392" s="1408" t="s">
        <v>24</v>
      </c>
      <c r="H8392" s="393">
        <v>2.9999999999999997E-4</v>
      </c>
      <c r="K8392" s="841" t="s">
        <v>5110</v>
      </c>
      <c r="L8392" s="841" t="s">
        <v>3046</v>
      </c>
      <c r="M8392" s="1357"/>
      <c r="P8392" s="841" t="s">
        <v>5118</v>
      </c>
      <c r="Q8392" s="1357"/>
      <c r="S8392" s="1420"/>
      <c r="T8392" s="1420"/>
      <c r="V8392" s="1357">
        <v>57</v>
      </c>
    </row>
    <row r="8393" spans="1:22" s="841" customFormat="1" ht="15" x14ac:dyDescent="0.25">
      <c r="A8393" s="841" t="s">
        <v>244</v>
      </c>
      <c r="E8393" s="1690" t="s">
        <v>32</v>
      </c>
      <c r="F8393" s="1690"/>
      <c r="G8393" s="1408" t="s">
        <v>23</v>
      </c>
      <c r="H8393" s="391">
        <v>0.25</v>
      </c>
      <c r="K8393" s="841" t="s">
        <v>5110</v>
      </c>
      <c r="L8393" s="841" t="s">
        <v>3046</v>
      </c>
      <c r="M8393" s="1357"/>
      <c r="P8393" s="841" t="s">
        <v>5119</v>
      </c>
      <c r="Q8393" s="1357"/>
      <c r="S8393" s="1420"/>
      <c r="T8393" s="1420"/>
      <c r="V8393" s="1357">
        <v>63</v>
      </c>
    </row>
    <row r="8394" spans="1:22" s="841" customFormat="1" x14ac:dyDescent="0.25">
      <c r="A8394" s="841" t="s">
        <v>244</v>
      </c>
      <c r="E8394" s="1909" t="s">
        <v>616</v>
      </c>
      <c r="F8394" s="1915"/>
      <c r="G8394" s="1915"/>
      <c r="H8394" s="1915"/>
      <c r="K8394" s="841" t="s">
        <v>6095</v>
      </c>
      <c r="M8394" s="1357"/>
      <c r="Q8394" s="1357"/>
      <c r="S8394" s="1420"/>
      <c r="T8394" s="1420"/>
      <c r="V8394" s="1357">
        <v>53</v>
      </c>
    </row>
    <row r="8395" spans="1:22" s="841" customFormat="1" ht="15" x14ac:dyDescent="0.25">
      <c r="A8395" s="841" t="s">
        <v>244</v>
      </c>
      <c r="E8395" s="1689" t="s">
        <v>4751</v>
      </c>
      <c r="F8395" s="1689"/>
      <c r="G8395" s="1689"/>
      <c r="H8395" s="1689"/>
      <c r="K8395" s="841" t="s">
        <v>6095</v>
      </c>
      <c r="M8395" s="1357"/>
      <c r="Q8395" s="1357"/>
      <c r="S8395" s="1420"/>
      <c r="T8395" s="1420"/>
      <c r="V8395" s="1357">
        <v>1345</v>
      </c>
    </row>
    <row r="8396" spans="1:22" s="841" customFormat="1" ht="15" x14ac:dyDescent="0.25">
      <c r="A8396" s="841" t="s">
        <v>244</v>
      </c>
      <c r="E8396" s="1916" t="s">
        <v>3061</v>
      </c>
      <c r="F8396" s="1697"/>
      <c r="G8396" s="1697"/>
      <c r="H8396" s="1697"/>
      <c r="K8396" s="841" t="s">
        <v>3098</v>
      </c>
      <c r="M8396" s="1357"/>
      <c r="Q8396" s="1357"/>
      <c r="S8396" s="1420"/>
      <c r="T8396" s="1420"/>
      <c r="V8396" s="1357">
        <v>11</v>
      </c>
    </row>
    <row r="8397" spans="1:22" s="841" customFormat="1" ht="15" x14ac:dyDescent="0.25">
      <c r="A8397" s="841" t="s">
        <v>244</v>
      </c>
      <c r="E8397" s="1689" t="s">
        <v>3063</v>
      </c>
      <c r="F8397" s="1689"/>
      <c r="G8397" s="1689"/>
      <c r="H8397" s="1689"/>
      <c r="K8397" s="841" t="s">
        <v>6095</v>
      </c>
      <c r="M8397" s="1357"/>
      <c r="Q8397" s="1357"/>
      <c r="S8397" s="1420"/>
      <c r="T8397" s="1420"/>
      <c r="V8397" s="1357">
        <v>280</v>
      </c>
    </row>
    <row r="8398" spans="1:22" s="841" customFormat="1" ht="15" x14ac:dyDescent="0.25">
      <c r="A8398" s="841" t="s">
        <v>244</v>
      </c>
      <c r="E8398" s="1689" t="s">
        <v>3064</v>
      </c>
      <c r="F8398" s="1689"/>
      <c r="G8398" s="1689"/>
      <c r="H8398" s="1689"/>
      <c r="K8398" s="841" t="s">
        <v>6095</v>
      </c>
      <c r="M8398" s="1357"/>
      <c r="Q8398" s="1357"/>
      <c r="S8398" s="1420"/>
      <c r="T8398" s="1420"/>
      <c r="V8398" s="1357">
        <v>411</v>
      </c>
    </row>
    <row r="8399" spans="1:22" s="841" customFormat="1" ht="15" x14ac:dyDescent="0.25">
      <c r="A8399" s="841" t="s">
        <v>244</v>
      </c>
      <c r="E8399" s="1689" t="s">
        <v>3199</v>
      </c>
      <c r="F8399" s="1689"/>
      <c r="G8399" s="1689"/>
      <c r="H8399" s="1689"/>
      <c r="K8399" s="841" t="s">
        <v>6095</v>
      </c>
      <c r="M8399" s="1357"/>
      <c r="Q8399" s="1357"/>
      <c r="S8399" s="1420"/>
      <c r="T8399" s="1420"/>
      <c r="V8399" s="1357">
        <v>386</v>
      </c>
    </row>
    <row r="8400" spans="1:22" s="841" customFormat="1" ht="15" x14ac:dyDescent="0.25">
      <c r="A8400" s="841" t="s">
        <v>244</v>
      </c>
      <c r="E8400" s="2104" t="s">
        <v>3627</v>
      </c>
      <c r="F8400" s="2104"/>
      <c r="G8400" s="2104"/>
      <c r="H8400" s="2104"/>
      <c r="K8400" s="841" t="s">
        <v>6095</v>
      </c>
      <c r="M8400" s="1357"/>
      <c r="Q8400" s="1357"/>
      <c r="S8400" s="1420"/>
      <c r="T8400" s="1420"/>
      <c r="V8400" s="1357">
        <v>610</v>
      </c>
    </row>
    <row r="8401" spans="1:22" s="841" customFormat="1" ht="15" x14ac:dyDescent="0.25">
      <c r="A8401" s="841" t="s">
        <v>244</v>
      </c>
      <c r="E8401" s="2104" t="s">
        <v>3569</v>
      </c>
      <c r="F8401" s="2104"/>
      <c r="G8401" s="2104"/>
      <c r="H8401" s="2104"/>
      <c r="K8401" s="841" t="s">
        <v>6095</v>
      </c>
      <c r="M8401" s="1357"/>
      <c r="Q8401" s="1357"/>
      <c r="S8401" s="1420"/>
      <c r="T8401" s="1420"/>
      <c r="V8401" s="1357">
        <v>626</v>
      </c>
    </row>
    <row r="8402" spans="1:22" s="841" customFormat="1" ht="15" x14ac:dyDescent="0.25">
      <c r="A8402" s="841" t="s">
        <v>244</v>
      </c>
      <c r="E8402" s="1689" t="s">
        <v>3200</v>
      </c>
      <c r="F8402" s="1689"/>
      <c r="G8402" s="1689"/>
      <c r="H8402" s="1689"/>
      <c r="K8402" s="841" t="s">
        <v>6095</v>
      </c>
      <c r="M8402" s="1357"/>
      <c r="Q8402" s="1357"/>
      <c r="S8402" s="1420"/>
      <c r="T8402" s="1420"/>
      <c r="V8402" s="1357">
        <v>275</v>
      </c>
    </row>
    <row r="8403" spans="1:22" s="841" customFormat="1" ht="15" x14ac:dyDescent="0.25">
      <c r="A8403" s="841" t="s">
        <v>244</v>
      </c>
      <c r="E8403" s="1694" t="s">
        <v>3067</v>
      </c>
      <c r="F8403" s="1907"/>
      <c r="G8403" s="1907"/>
      <c r="H8403" s="1907"/>
      <c r="K8403" s="841" t="s">
        <v>3099</v>
      </c>
      <c r="M8403" s="1357"/>
      <c r="Q8403" s="1357"/>
      <c r="S8403" s="1420"/>
      <c r="T8403" s="1420"/>
      <c r="V8403" s="1357">
        <v>46</v>
      </c>
    </row>
    <row r="8404" spans="1:22" s="841" customFormat="1" ht="15" x14ac:dyDescent="0.25">
      <c r="A8404" s="841" t="s">
        <v>244</v>
      </c>
      <c r="E8404" s="1690" t="s">
        <v>11</v>
      </c>
      <c r="F8404" s="1690"/>
      <c r="G8404" s="1408" t="s">
        <v>23</v>
      </c>
      <c r="H8404" s="391">
        <v>160.31</v>
      </c>
      <c r="K8404" s="841" t="s">
        <v>6095</v>
      </c>
      <c r="L8404" s="841" t="s">
        <v>442</v>
      </c>
      <c r="M8404" s="1357"/>
      <c r="P8404" s="841" t="s">
        <v>6096</v>
      </c>
      <c r="Q8404" s="1357"/>
      <c r="S8404" s="1420"/>
      <c r="T8404" s="1420"/>
      <c r="V8404" s="1357">
        <v>14</v>
      </c>
    </row>
    <row r="8405" spans="1:22" s="841" customFormat="1" ht="15" x14ac:dyDescent="0.25">
      <c r="A8405" s="841" t="s">
        <v>244</v>
      </c>
      <c r="E8405" s="1690" t="s">
        <v>84</v>
      </c>
      <c r="F8405" s="1690"/>
      <c r="G8405" s="1408" t="s">
        <v>33</v>
      </c>
      <c r="H8405" s="393">
        <v>2.7323</v>
      </c>
      <c r="K8405" s="841" t="s">
        <v>6095</v>
      </c>
      <c r="L8405" s="841" t="s">
        <v>442</v>
      </c>
      <c r="M8405" s="1357"/>
      <c r="P8405" s="841" t="s">
        <v>6097</v>
      </c>
      <c r="Q8405" s="1357"/>
      <c r="S8405" s="1420"/>
      <c r="T8405" s="1420"/>
      <c r="V8405" s="1357">
        <v>28</v>
      </c>
    </row>
    <row r="8406" spans="1:22" s="841" customFormat="1" ht="15" x14ac:dyDescent="0.25">
      <c r="A8406" s="841" t="s">
        <v>244</v>
      </c>
      <c r="E8406" s="1690" t="s">
        <v>18</v>
      </c>
      <c r="F8406" s="1690"/>
      <c r="G8406" s="1408" t="s">
        <v>33</v>
      </c>
      <c r="H8406" s="393">
        <v>0.32769999999999999</v>
      </c>
      <c r="K8406" s="841" t="s">
        <v>6095</v>
      </c>
      <c r="L8406" s="841" t="s">
        <v>443</v>
      </c>
      <c r="M8406" s="1357"/>
      <c r="P8406" s="841" t="s">
        <v>6098</v>
      </c>
      <c r="Q8406" s="1357"/>
      <c r="S8406" s="1420"/>
      <c r="T8406" s="1420"/>
      <c r="V8406" s="1357">
        <v>24</v>
      </c>
    </row>
    <row r="8407" spans="1:22" s="841" customFormat="1" ht="15" x14ac:dyDescent="0.25">
      <c r="A8407" s="841" t="s">
        <v>244</v>
      </c>
      <c r="E8407" s="1690" t="s">
        <v>5129</v>
      </c>
      <c r="F8407" s="1908"/>
      <c r="G8407" s="1408" t="s">
        <v>24</v>
      </c>
      <c r="H8407" s="393">
        <v>-5.0000000000000001E-4</v>
      </c>
      <c r="K8407" s="841" t="s">
        <v>6095</v>
      </c>
      <c r="L8407" s="841" t="s">
        <v>443</v>
      </c>
      <c r="M8407" s="1357"/>
      <c r="P8407" s="841" t="s">
        <v>6104</v>
      </c>
      <c r="Q8407" s="1357"/>
      <c r="S8407" s="1420"/>
      <c r="T8407" s="1420">
        <v>43585</v>
      </c>
      <c r="V8407" s="1357">
        <v>139</v>
      </c>
    </row>
    <row r="8408" spans="1:22" s="841" customFormat="1" ht="15" x14ac:dyDescent="0.25">
      <c r="A8408" s="841" t="s">
        <v>244</v>
      </c>
      <c r="E8408" s="1690" t="s">
        <v>5305</v>
      </c>
      <c r="F8408" s="1908"/>
      <c r="G8408" s="1408" t="s">
        <v>33</v>
      </c>
      <c r="H8408" s="393">
        <v>-1.2741</v>
      </c>
      <c r="K8408" s="841" t="s">
        <v>6095</v>
      </c>
      <c r="L8408" s="841" t="s">
        <v>443</v>
      </c>
      <c r="M8408" s="1357"/>
      <c r="P8408" s="841" t="s">
        <v>6105</v>
      </c>
      <c r="Q8408" s="1357"/>
      <c r="S8408" s="1420"/>
      <c r="T8408" s="1420">
        <v>43585</v>
      </c>
      <c r="V8408" s="1357">
        <v>156</v>
      </c>
    </row>
    <row r="8409" spans="1:22" s="841" customFormat="1" ht="15" x14ac:dyDescent="0.25">
      <c r="A8409" s="841" t="s">
        <v>244</v>
      </c>
      <c r="E8409" s="1690" t="s">
        <v>5130</v>
      </c>
      <c r="F8409" s="1908"/>
      <c r="G8409" s="1408" t="s">
        <v>33</v>
      </c>
      <c r="H8409" s="393">
        <v>0.745</v>
      </c>
      <c r="K8409" s="841" t="s">
        <v>6095</v>
      </c>
      <c r="L8409" s="841" t="s">
        <v>443</v>
      </c>
      <c r="M8409" s="1357"/>
      <c r="P8409" s="841" t="s">
        <v>6105</v>
      </c>
      <c r="Q8409" s="1357"/>
      <c r="S8409" s="1420"/>
      <c r="T8409" s="1420">
        <v>43585</v>
      </c>
      <c r="V8409" s="1357">
        <v>96</v>
      </c>
    </row>
    <row r="8410" spans="1:22" s="841" customFormat="1" ht="15" x14ac:dyDescent="0.25">
      <c r="A8410" s="841" t="s">
        <v>244</v>
      </c>
      <c r="E8410" s="1690" t="s">
        <v>5424</v>
      </c>
      <c r="F8410" s="1908"/>
      <c r="G8410" s="1408" t="s">
        <v>33</v>
      </c>
      <c r="H8410" s="393">
        <v>0.1673</v>
      </c>
      <c r="K8410" s="841" t="s">
        <v>6095</v>
      </c>
      <c r="L8410" s="841" t="s">
        <v>443</v>
      </c>
      <c r="M8410" s="1357"/>
      <c r="P8410" s="841" t="s">
        <v>6112</v>
      </c>
      <c r="Q8410" s="1357"/>
      <c r="S8410" s="1420"/>
      <c r="T8410" s="1420">
        <v>43585</v>
      </c>
      <c r="V8410" s="1357">
        <v>146</v>
      </c>
    </row>
    <row r="8411" spans="1:22" s="841" customFormat="1" ht="15" x14ac:dyDescent="0.25">
      <c r="A8411" s="841" t="s">
        <v>244</v>
      </c>
      <c r="E8411" s="1690" t="s">
        <v>221</v>
      </c>
      <c r="F8411" s="1690"/>
      <c r="G8411" s="1408" t="s">
        <v>33</v>
      </c>
      <c r="H8411" s="393">
        <v>2.7038000000000002</v>
      </c>
      <c r="K8411" s="841" t="s">
        <v>6095</v>
      </c>
      <c r="L8411" s="841" t="s">
        <v>444</v>
      </c>
      <c r="M8411" s="1357"/>
      <c r="P8411" s="841" t="s">
        <v>6099</v>
      </c>
      <c r="Q8411" s="1357"/>
      <c r="S8411" s="1420"/>
      <c r="T8411" s="1420"/>
      <c r="V8411" s="1357">
        <v>47</v>
      </c>
    </row>
    <row r="8412" spans="1:22" s="841" customFormat="1" ht="15" x14ac:dyDescent="0.25">
      <c r="A8412" s="841" t="s">
        <v>244</v>
      </c>
      <c r="E8412" s="1690" t="s">
        <v>217</v>
      </c>
      <c r="F8412" s="1690"/>
      <c r="G8412" s="1408" t="s">
        <v>33</v>
      </c>
      <c r="H8412" s="393">
        <v>2.1415000000000002</v>
      </c>
      <c r="K8412" s="841" t="s">
        <v>6095</v>
      </c>
      <c r="L8412" s="841" t="s">
        <v>444</v>
      </c>
      <c r="M8412" s="1357"/>
      <c r="P8412" s="841" t="s">
        <v>6100</v>
      </c>
      <c r="Q8412" s="1357"/>
      <c r="S8412" s="1420"/>
      <c r="T8412" s="1420"/>
      <c r="V8412" s="1357">
        <v>74</v>
      </c>
    </row>
    <row r="8413" spans="1:22" s="841" customFormat="1" ht="15" x14ac:dyDescent="0.25">
      <c r="A8413" s="841" t="s">
        <v>244</v>
      </c>
      <c r="E8413" s="1694" t="s">
        <v>3079</v>
      </c>
      <c r="F8413" s="1690"/>
      <c r="G8413" s="1408"/>
      <c r="H8413" s="1408"/>
      <c r="K8413" s="841" t="s">
        <v>3218</v>
      </c>
      <c r="M8413" s="1357"/>
      <c r="Q8413" s="1357"/>
      <c r="S8413" s="1420"/>
      <c r="T8413" s="1420"/>
      <c r="V8413" s="1357">
        <v>48</v>
      </c>
    </row>
    <row r="8414" spans="1:22" s="841" customFormat="1" ht="15" x14ac:dyDescent="0.25">
      <c r="A8414" s="841" t="s">
        <v>244</v>
      </c>
      <c r="E8414" s="1690" t="s">
        <v>2449</v>
      </c>
      <c r="F8414" s="1690"/>
      <c r="G8414" s="1408" t="s">
        <v>24</v>
      </c>
      <c r="H8414" s="393">
        <v>3.2000000000000002E-3</v>
      </c>
      <c r="K8414" s="841" t="s">
        <v>6095</v>
      </c>
      <c r="L8414" s="841" t="s">
        <v>3046</v>
      </c>
      <c r="M8414" s="1357"/>
      <c r="P8414" s="841" t="s">
        <v>6101</v>
      </c>
      <c r="Q8414" s="1357"/>
      <c r="S8414" s="1420"/>
      <c r="T8414" s="1420"/>
      <c r="V8414" s="1357">
        <v>55</v>
      </c>
    </row>
    <row r="8415" spans="1:22" s="841" customFormat="1" ht="15" x14ac:dyDescent="0.25">
      <c r="A8415" s="841" t="s">
        <v>244</v>
      </c>
      <c r="E8415" s="1690" t="s">
        <v>2450</v>
      </c>
      <c r="F8415" s="1690"/>
      <c r="G8415" s="1408" t="s">
        <v>24</v>
      </c>
      <c r="H8415" s="393">
        <v>4.0000000000000002E-4</v>
      </c>
      <c r="K8415" s="841" t="s">
        <v>6095</v>
      </c>
      <c r="L8415" s="841" t="s">
        <v>3046</v>
      </c>
      <c r="M8415" s="1357"/>
      <c r="P8415" s="841" t="s">
        <v>6101</v>
      </c>
      <c r="Q8415" s="1357"/>
      <c r="S8415" s="1420"/>
      <c r="T8415" s="1420"/>
      <c r="V8415" s="1357">
        <v>65</v>
      </c>
    </row>
    <row r="8416" spans="1:22" s="841" customFormat="1" ht="15" x14ac:dyDescent="0.25">
      <c r="A8416" s="841" t="s">
        <v>244</v>
      </c>
      <c r="E8416" s="1690" t="s">
        <v>439</v>
      </c>
      <c r="F8416" s="1690"/>
      <c r="G8416" s="1408" t="s">
        <v>24</v>
      </c>
      <c r="H8416" s="393">
        <v>2.9999999999999997E-4</v>
      </c>
      <c r="K8416" s="841" t="s">
        <v>6095</v>
      </c>
      <c r="L8416" s="841" t="s">
        <v>3046</v>
      </c>
      <c r="M8416" s="1357"/>
      <c r="P8416" s="841" t="s">
        <v>6102</v>
      </c>
      <c r="Q8416" s="1357"/>
      <c r="S8416" s="1420"/>
      <c r="T8416" s="1420"/>
      <c r="V8416" s="1357">
        <v>57</v>
      </c>
    </row>
    <row r="8417" spans="1:22" s="841" customFormat="1" ht="15" x14ac:dyDescent="0.25">
      <c r="A8417" s="841" t="s">
        <v>244</v>
      </c>
      <c r="E8417" s="1690" t="s">
        <v>32</v>
      </c>
      <c r="F8417" s="1690"/>
      <c r="G8417" s="1408" t="s">
        <v>23</v>
      </c>
      <c r="H8417" s="391">
        <v>0.25</v>
      </c>
      <c r="K8417" s="841" t="s">
        <v>6095</v>
      </c>
      <c r="L8417" s="841" t="s">
        <v>3046</v>
      </c>
      <c r="M8417" s="1357"/>
      <c r="P8417" s="841" t="s">
        <v>6103</v>
      </c>
      <c r="Q8417" s="1357"/>
      <c r="S8417" s="1420"/>
      <c r="T8417" s="1420"/>
      <c r="V8417" s="1357">
        <v>63</v>
      </c>
    </row>
    <row r="8418" spans="1:22" s="841" customFormat="1" x14ac:dyDescent="0.25">
      <c r="A8418" s="841" t="s">
        <v>244</v>
      </c>
      <c r="E8418" s="1909" t="s">
        <v>621</v>
      </c>
      <c r="F8418" s="1915"/>
      <c r="G8418" s="1915"/>
      <c r="H8418" s="1915"/>
      <c r="K8418" s="841" t="s">
        <v>4394</v>
      </c>
      <c r="M8418" s="1357"/>
      <c r="Q8418" s="1357"/>
      <c r="S8418" s="1420"/>
      <c r="T8418" s="1420"/>
      <c r="V8418" s="1357">
        <v>32</v>
      </c>
    </row>
    <row r="8419" spans="1:22" s="841" customFormat="1" ht="15" x14ac:dyDescent="0.25">
      <c r="A8419" s="841" t="s">
        <v>244</v>
      </c>
      <c r="E8419" s="1689" t="s">
        <v>4752</v>
      </c>
      <c r="F8419" s="1689"/>
      <c r="G8419" s="1689"/>
      <c r="H8419" s="1689"/>
      <c r="K8419" s="841" t="s">
        <v>4394</v>
      </c>
      <c r="M8419" s="1357"/>
      <c r="Q8419" s="1357"/>
      <c r="S8419" s="1420"/>
      <c r="T8419" s="1420"/>
      <c r="V8419" s="1357">
        <v>371</v>
      </c>
    </row>
    <row r="8420" spans="1:22" s="841" customFormat="1" ht="15" x14ac:dyDescent="0.25">
      <c r="A8420" s="841" t="s">
        <v>244</v>
      </c>
      <c r="E8420" s="1916" t="s">
        <v>3061</v>
      </c>
      <c r="F8420" s="1697"/>
      <c r="G8420" s="1697"/>
      <c r="H8420" s="1697"/>
      <c r="K8420" s="841" t="s">
        <v>3221</v>
      </c>
      <c r="M8420" s="1357"/>
      <c r="Q8420" s="1357"/>
      <c r="S8420" s="1420"/>
      <c r="T8420" s="1420"/>
      <c r="V8420" s="1357">
        <v>11</v>
      </c>
    </row>
    <row r="8421" spans="1:22" s="841" customFormat="1" ht="15" x14ac:dyDescent="0.25">
      <c r="A8421" s="841" t="s">
        <v>244</v>
      </c>
      <c r="E8421" s="1689" t="s">
        <v>3063</v>
      </c>
      <c r="F8421" s="1689"/>
      <c r="G8421" s="1689"/>
      <c r="H8421" s="1689"/>
      <c r="K8421" s="841" t="s">
        <v>4394</v>
      </c>
      <c r="M8421" s="1357"/>
      <c r="Q8421" s="1357"/>
      <c r="S8421" s="1420"/>
      <c r="T8421" s="1420"/>
      <c r="V8421" s="1357">
        <v>280</v>
      </c>
    </row>
    <row r="8422" spans="1:22" s="841" customFormat="1" ht="15" x14ac:dyDescent="0.25">
      <c r="A8422" s="841" t="s">
        <v>244</v>
      </c>
      <c r="E8422" s="1689" t="s">
        <v>3064</v>
      </c>
      <c r="F8422" s="1689"/>
      <c r="G8422" s="1689"/>
      <c r="H8422" s="1689"/>
      <c r="K8422" s="841" t="s">
        <v>4394</v>
      </c>
      <c r="M8422" s="1357"/>
      <c r="Q8422" s="1357"/>
      <c r="S8422" s="1420"/>
      <c r="T8422" s="1420"/>
      <c r="V8422" s="1357">
        <v>411</v>
      </c>
    </row>
    <row r="8423" spans="1:22" s="841" customFormat="1" ht="15" x14ac:dyDescent="0.25">
      <c r="A8423" s="841" t="s">
        <v>244</v>
      </c>
      <c r="E8423" s="1689" t="s">
        <v>3199</v>
      </c>
      <c r="F8423" s="1689"/>
      <c r="G8423" s="1689"/>
      <c r="H8423" s="1689"/>
      <c r="K8423" s="841" t="s">
        <v>4394</v>
      </c>
      <c r="M8423" s="1357"/>
      <c r="Q8423" s="1357"/>
      <c r="S8423" s="1420"/>
      <c r="T8423" s="1420"/>
      <c r="V8423" s="1357">
        <v>386</v>
      </c>
    </row>
    <row r="8424" spans="1:22" s="841" customFormat="1" ht="15" x14ac:dyDescent="0.25">
      <c r="A8424" s="841" t="s">
        <v>244</v>
      </c>
      <c r="E8424" s="1689" t="s">
        <v>3200</v>
      </c>
      <c r="F8424" s="1689"/>
      <c r="G8424" s="1689"/>
      <c r="H8424" s="1689"/>
      <c r="K8424" s="841" t="s">
        <v>4394</v>
      </c>
      <c r="M8424" s="1357"/>
      <c r="Q8424" s="1357"/>
      <c r="S8424" s="1420"/>
      <c r="T8424" s="1420"/>
      <c r="V8424" s="1357">
        <v>275</v>
      </c>
    </row>
    <row r="8425" spans="1:22" s="841" customFormat="1" ht="15" x14ac:dyDescent="0.25">
      <c r="A8425" s="841" t="s">
        <v>244</v>
      </c>
      <c r="E8425" s="1694" t="s">
        <v>3067</v>
      </c>
      <c r="F8425" s="1907"/>
      <c r="G8425" s="1907"/>
      <c r="H8425" s="1907"/>
      <c r="K8425" s="841" t="s">
        <v>3224</v>
      </c>
      <c r="M8425" s="1357"/>
      <c r="Q8425" s="1357"/>
      <c r="S8425" s="1420"/>
      <c r="T8425" s="1420"/>
      <c r="V8425" s="1357">
        <v>46</v>
      </c>
    </row>
    <row r="8426" spans="1:22" s="841" customFormat="1" ht="15" x14ac:dyDescent="0.25">
      <c r="A8426" s="841" t="s">
        <v>244</v>
      </c>
      <c r="E8426" s="1690" t="s">
        <v>11</v>
      </c>
      <c r="F8426" s="1690"/>
      <c r="G8426" s="1408" t="s">
        <v>23</v>
      </c>
      <c r="H8426" s="391">
        <v>6440.97</v>
      </c>
      <c r="K8426" s="841" t="s">
        <v>4394</v>
      </c>
      <c r="L8426" s="841" t="s">
        <v>442</v>
      </c>
      <c r="M8426" s="1357"/>
      <c r="P8426" s="841" t="s">
        <v>4396</v>
      </c>
      <c r="Q8426" s="1357"/>
      <c r="S8426" s="1420"/>
      <c r="T8426" s="1420"/>
      <c r="V8426" s="1357">
        <v>14</v>
      </c>
    </row>
    <row r="8427" spans="1:22" s="841" customFormat="1" ht="15" x14ac:dyDescent="0.25">
      <c r="A8427" s="841" t="s">
        <v>244</v>
      </c>
      <c r="E8427" s="1690" t="s">
        <v>84</v>
      </c>
      <c r="F8427" s="1690"/>
      <c r="G8427" s="1408" t="s">
        <v>33</v>
      </c>
      <c r="H8427" s="393">
        <v>0.75239999999999996</v>
      </c>
      <c r="K8427" s="841" t="s">
        <v>4394</v>
      </c>
      <c r="L8427" s="841" t="s">
        <v>442</v>
      </c>
      <c r="M8427" s="1357"/>
      <c r="P8427" s="841" t="s">
        <v>4397</v>
      </c>
      <c r="Q8427" s="1357"/>
      <c r="S8427" s="1420"/>
      <c r="T8427" s="1420"/>
      <c r="V8427" s="1357">
        <v>28</v>
      </c>
    </row>
    <row r="8428" spans="1:22" s="841" customFormat="1" ht="15" x14ac:dyDescent="0.25">
      <c r="A8428" s="841" t="s">
        <v>244</v>
      </c>
      <c r="E8428" s="1690" t="s">
        <v>4813</v>
      </c>
      <c r="F8428" s="1690"/>
      <c r="G8428" s="1408" t="s">
        <v>33</v>
      </c>
      <c r="H8428" s="393">
        <v>0.40139999999999998</v>
      </c>
      <c r="K8428" s="841" t="s">
        <v>4394</v>
      </c>
      <c r="L8428" s="841" t="s">
        <v>443</v>
      </c>
      <c r="M8428" s="1357"/>
      <c r="P8428" s="841" t="s">
        <v>4398</v>
      </c>
      <c r="Q8428" s="1357"/>
      <c r="S8428" s="1420"/>
      <c r="T8428" s="1420"/>
      <c r="V8428" s="1357">
        <v>25</v>
      </c>
    </row>
    <row r="8429" spans="1:22" s="841" customFormat="1" ht="15" x14ac:dyDescent="0.25">
      <c r="A8429" s="841" t="s">
        <v>244</v>
      </c>
      <c r="E8429" s="1690" t="s">
        <v>5130</v>
      </c>
      <c r="F8429" s="1908"/>
      <c r="G8429" s="1408" t="s">
        <v>33</v>
      </c>
      <c r="H8429" s="393">
        <v>-0.61129999999999995</v>
      </c>
      <c r="K8429" s="841" t="s">
        <v>4394</v>
      </c>
      <c r="L8429" s="841" t="s">
        <v>443</v>
      </c>
      <c r="M8429" s="1357"/>
      <c r="P8429" s="841" t="s">
        <v>4400</v>
      </c>
      <c r="Q8429" s="1357"/>
      <c r="S8429" s="1420"/>
      <c r="T8429" s="1420">
        <v>43585</v>
      </c>
      <c r="V8429" s="1357">
        <v>96</v>
      </c>
    </row>
    <row r="8430" spans="1:22" s="841" customFormat="1" ht="15" x14ac:dyDescent="0.25">
      <c r="A8430" s="841" t="s">
        <v>244</v>
      </c>
      <c r="E8430" s="1690" t="s">
        <v>221</v>
      </c>
      <c r="F8430" s="1690"/>
      <c r="G8430" s="1408" t="s">
        <v>33</v>
      </c>
      <c r="H8430" s="393">
        <v>3.1855000000000002</v>
      </c>
      <c r="K8430" s="841" t="s">
        <v>4394</v>
      </c>
      <c r="L8430" s="841" t="s">
        <v>444</v>
      </c>
      <c r="M8430" s="1357"/>
      <c r="P8430" s="841" t="s">
        <v>4401</v>
      </c>
      <c r="Q8430" s="1357"/>
      <c r="S8430" s="1420"/>
      <c r="T8430" s="1420"/>
      <c r="V8430" s="1357">
        <v>47</v>
      </c>
    </row>
    <row r="8431" spans="1:22" s="841" customFormat="1" ht="15" x14ac:dyDescent="0.25">
      <c r="A8431" s="841" t="s">
        <v>244</v>
      </c>
      <c r="E8431" s="1690" t="s">
        <v>217</v>
      </c>
      <c r="F8431" s="1690"/>
      <c r="G8431" s="1408" t="s">
        <v>33</v>
      </c>
      <c r="H8431" s="393">
        <v>2.6236999999999999</v>
      </c>
      <c r="K8431" s="841" t="s">
        <v>4394</v>
      </c>
      <c r="L8431" s="841" t="s">
        <v>444</v>
      </c>
      <c r="M8431" s="1357"/>
      <c r="P8431" s="841" t="s">
        <v>5532</v>
      </c>
      <c r="Q8431" s="1357"/>
      <c r="S8431" s="1420"/>
      <c r="T8431" s="1420"/>
      <c r="V8431" s="1357">
        <v>74</v>
      </c>
    </row>
    <row r="8432" spans="1:22" s="841" customFormat="1" ht="15" x14ac:dyDescent="0.25">
      <c r="A8432" s="841" t="s">
        <v>244</v>
      </c>
      <c r="E8432" s="1694" t="s">
        <v>3079</v>
      </c>
      <c r="F8432" s="1690"/>
      <c r="G8432" s="1408"/>
      <c r="H8432" s="1408"/>
      <c r="K8432" s="841" t="s">
        <v>3225</v>
      </c>
      <c r="M8432" s="1357"/>
      <c r="Q8432" s="1357"/>
      <c r="S8432" s="1420"/>
      <c r="T8432" s="1420"/>
      <c r="V8432" s="1357">
        <v>48</v>
      </c>
    </row>
    <row r="8433" spans="1:22" s="841" customFormat="1" ht="15" x14ac:dyDescent="0.25">
      <c r="A8433" s="841" t="s">
        <v>244</v>
      </c>
      <c r="E8433" s="1690" t="s">
        <v>2449</v>
      </c>
      <c r="F8433" s="1690"/>
      <c r="G8433" s="1408" t="s">
        <v>24</v>
      </c>
      <c r="H8433" s="393">
        <v>3.2000000000000002E-3</v>
      </c>
      <c r="K8433" s="841" t="s">
        <v>4394</v>
      </c>
      <c r="L8433" s="841" t="s">
        <v>3046</v>
      </c>
      <c r="M8433" s="1357"/>
      <c r="P8433" s="841" t="s">
        <v>4403</v>
      </c>
      <c r="Q8433" s="1357"/>
      <c r="S8433" s="1420"/>
      <c r="T8433" s="1420"/>
      <c r="V8433" s="1357">
        <v>55</v>
      </c>
    </row>
    <row r="8434" spans="1:22" s="841" customFormat="1" ht="15" x14ac:dyDescent="0.25">
      <c r="A8434" s="841" t="s">
        <v>244</v>
      </c>
      <c r="E8434" s="1690" t="s">
        <v>2450</v>
      </c>
      <c r="F8434" s="1690"/>
      <c r="G8434" s="1408" t="s">
        <v>24</v>
      </c>
      <c r="H8434" s="393">
        <v>4.0000000000000002E-4</v>
      </c>
      <c r="K8434" s="841" t="s">
        <v>4394</v>
      </c>
      <c r="L8434" s="841" t="s">
        <v>3046</v>
      </c>
      <c r="M8434" s="1357"/>
      <c r="P8434" s="841" t="s">
        <v>4403</v>
      </c>
      <c r="Q8434" s="1357"/>
      <c r="S8434" s="1420"/>
      <c r="T8434" s="1420"/>
      <c r="V8434" s="1357">
        <v>65</v>
      </c>
    </row>
    <row r="8435" spans="1:22" s="841" customFormat="1" ht="15" x14ac:dyDescent="0.25">
      <c r="A8435" s="841" t="s">
        <v>244</v>
      </c>
      <c r="E8435" s="1690" t="s">
        <v>439</v>
      </c>
      <c r="F8435" s="1690"/>
      <c r="G8435" s="1408" t="s">
        <v>24</v>
      </c>
      <c r="H8435" s="393">
        <v>2.9999999999999997E-4</v>
      </c>
      <c r="K8435" s="841" t="s">
        <v>4394</v>
      </c>
      <c r="L8435" s="841" t="s">
        <v>3046</v>
      </c>
      <c r="M8435" s="1357"/>
      <c r="P8435" s="841" t="s">
        <v>4404</v>
      </c>
      <c r="Q8435" s="1357"/>
      <c r="S8435" s="1420"/>
      <c r="T8435" s="1420"/>
      <c r="V8435" s="1357">
        <v>57</v>
      </c>
    </row>
    <row r="8436" spans="1:22" s="841" customFormat="1" ht="15" x14ac:dyDescent="0.25">
      <c r="A8436" s="841" t="s">
        <v>244</v>
      </c>
      <c r="E8436" s="1690" t="s">
        <v>32</v>
      </c>
      <c r="F8436" s="1690"/>
      <c r="G8436" s="1408" t="s">
        <v>23</v>
      </c>
      <c r="H8436" s="391">
        <v>0.25</v>
      </c>
      <c r="K8436" s="841" t="s">
        <v>4394</v>
      </c>
      <c r="L8436" s="841" t="s">
        <v>3046</v>
      </c>
      <c r="M8436" s="1357"/>
      <c r="P8436" s="841" t="s">
        <v>4405</v>
      </c>
      <c r="Q8436" s="1357"/>
      <c r="S8436" s="1420"/>
      <c r="T8436" s="1420"/>
      <c r="V8436" s="1357">
        <v>63</v>
      </c>
    </row>
    <row r="8437" spans="1:22" s="841" customFormat="1" x14ac:dyDescent="0.25">
      <c r="A8437" s="841" t="s">
        <v>244</v>
      </c>
      <c r="E8437" s="1909" t="s">
        <v>617</v>
      </c>
      <c r="F8437" s="1915"/>
      <c r="G8437" s="1915"/>
      <c r="H8437" s="1915"/>
      <c r="K8437" s="841" t="s">
        <v>3457</v>
      </c>
      <c r="M8437" s="1357"/>
      <c r="Q8437" s="1357"/>
      <c r="S8437" s="1420"/>
      <c r="T8437" s="1420"/>
      <c r="V8437" s="1357">
        <v>47</v>
      </c>
    </row>
    <row r="8438" spans="1:22" s="841" customFormat="1" ht="15" x14ac:dyDescent="0.25">
      <c r="A8438" s="841" t="s">
        <v>244</v>
      </c>
      <c r="E8438" s="1689" t="s">
        <v>4753</v>
      </c>
      <c r="F8438" s="1689"/>
      <c r="G8438" s="1689"/>
      <c r="H8438" s="1689"/>
      <c r="K8438" s="841" t="s">
        <v>3457</v>
      </c>
      <c r="M8438" s="1357"/>
      <c r="Q8438" s="1357"/>
      <c r="S8438" s="1420"/>
      <c r="T8438" s="1420"/>
      <c r="V8438" s="1357">
        <v>654</v>
      </c>
    </row>
    <row r="8439" spans="1:22" s="841" customFormat="1" ht="15" x14ac:dyDescent="0.25">
      <c r="A8439" s="841" t="s">
        <v>244</v>
      </c>
      <c r="E8439" s="1916" t="s">
        <v>3061</v>
      </c>
      <c r="F8439" s="1697"/>
      <c r="G8439" s="1697"/>
      <c r="H8439" s="1697"/>
      <c r="K8439" s="841" t="s">
        <v>3107</v>
      </c>
      <c r="M8439" s="1357"/>
      <c r="Q8439" s="1357"/>
      <c r="S8439" s="1420"/>
      <c r="T8439" s="1420"/>
      <c r="V8439" s="1357">
        <v>11</v>
      </c>
    </row>
    <row r="8440" spans="1:22" s="841" customFormat="1" ht="15" x14ac:dyDescent="0.25">
      <c r="A8440" s="841" t="s">
        <v>244</v>
      </c>
      <c r="E8440" s="1689" t="s">
        <v>3063</v>
      </c>
      <c r="F8440" s="1689"/>
      <c r="G8440" s="1689"/>
      <c r="H8440" s="1689"/>
      <c r="K8440" s="841" t="s">
        <v>3457</v>
      </c>
      <c r="M8440" s="1357"/>
      <c r="Q8440" s="1357"/>
      <c r="S8440" s="1420"/>
      <c r="T8440" s="1420"/>
      <c r="V8440" s="1357">
        <v>280</v>
      </c>
    </row>
    <row r="8441" spans="1:22" s="841" customFormat="1" ht="15" x14ac:dyDescent="0.25">
      <c r="A8441" s="841" t="s">
        <v>244</v>
      </c>
      <c r="E8441" s="1689" t="s">
        <v>3064</v>
      </c>
      <c r="F8441" s="1689"/>
      <c r="G8441" s="1689"/>
      <c r="H8441" s="1689"/>
      <c r="K8441" s="841" t="s">
        <v>3457</v>
      </c>
      <c r="M8441" s="1357"/>
      <c r="Q8441" s="1357"/>
      <c r="S8441" s="1420"/>
      <c r="T8441" s="1420"/>
      <c r="V8441" s="1357">
        <v>411</v>
      </c>
    </row>
    <row r="8442" spans="1:22" s="841" customFormat="1" ht="15" x14ac:dyDescent="0.25">
      <c r="A8442" s="841" t="s">
        <v>244</v>
      </c>
      <c r="E8442" s="1689" t="s">
        <v>3199</v>
      </c>
      <c r="F8442" s="1689"/>
      <c r="G8442" s="1689"/>
      <c r="H8442" s="1689"/>
      <c r="K8442" s="841" t="s">
        <v>3457</v>
      </c>
      <c r="M8442" s="1357"/>
      <c r="Q8442" s="1357"/>
      <c r="S8442" s="1420"/>
      <c r="T8442" s="1420"/>
      <c r="V8442" s="1357">
        <v>386</v>
      </c>
    </row>
    <row r="8443" spans="1:22" s="841" customFormat="1" ht="15" x14ac:dyDescent="0.25">
      <c r="A8443" s="841" t="s">
        <v>244</v>
      </c>
      <c r="E8443" s="1689" t="s">
        <v>3200</v>
      </c>
      <c r="F8443" s="1689"/>
      <c r="G8443" s="1689"/>
      <c r="H8443" s="1689"/>
      <c r="K8443" s="841" t="s">
        <v>3457</v>
      </c>
      <c r="M8443" s="1357"/>
      <c r="Q8443" s="1357"/>
      <c r="S8443" s="1420"/>
      <c r="T8443" s="1420"/>
      <c r="V8443" s="1357">
        <v>275</v>
      </c>
    </row>
    <row r="8444" spans="1:22" s="841" customFormat="1" ht="15" x14ac:dyDescent="0.25">
      <c r="A8444" s="841" t="s">
        <v>244</v>
      </c>
      <c r="E8444" s="1694" t="s">
        <v>3067</v>
      </c>
      <c r="F8444" s="1907"/>
      <c r="G8444" s="1907"/>
      <c r="H8444" s="1907"/>
      <c r="K8444" s="841" t="s">
        <v>3108</v>
      </c>
      <c r="M8444" s="1357"/>
      <c r="Q8444" s="1357"/>
      <c r="S8444" s="1420"/>
      <c r="T8444" s="1420"/>
      <c r="V8444" s="1357">
        <v>46</v>
      </c>
    </row>
    <row r="8445" spans="1:22" s="841" customFormat="1" ht="15" x14ac:dyDescent="0.25">
      <c r="A8445" s="841" t="s">
        <v>244</v>
      </c>
      <c r="E8445" s="1690" t="s">
        <v>12</v>
      </c>
      <c r="F8445" s="1690"/>
      <c r="G8445" s="1408" t="s">
        <v>23</v>
      </c>
      <c r="H8445" s="391">
        <v>2.13</v>
      </c>
      <c r="K8445" s="841" t="s">
        <v>3457</v>
      </c>
      <c r="L8445" s="841" t="s">
        <v>442</v>
      </c>
      <c r="M8445" s="1357"/>
      <c r="P8445" s="841" t="s">
        <v>3458</v>
      </c>
      <c r="Q8445" s="1357"/>
      <c r="S8445" s="1420"/>
      <c r="T8445" s="1420"/>
      <c r="V8445" s="1357">
        <v>31</v>
      </c>
    </row>
    <row r="8446" spans="1:22" s="841" customFormat="1" ht="15" x14ac:dyDescent="0.25">
      <c r="A8446" s="841" t="s">
        <v>244</v>
      </c>
      <c r="E8446" s="1690" t="s">
        <v>84</v>
      </c>
      <c r="F8446" s="1690"/>
      <c r="G8446" s="1408" t="s">
        <v>24</v>
      </c>
      <c r="H8446" s="393">
        <v>2.81E-2</v>
      </c>
      <c r="K8446" s="841" t="s">
        <v>3457</v>
      </c>
      <c r="L8446" s="841" t="s">
        <v>442</v>
      </c>
      <c r="M8446" s="1357"/>
      <c r="P8446" s="841" t="s">
        <v>3459</v>
      </c>
      <c r="Q8446" s="1357"/>
      <c r="S8446" s="1420"/>
      <c r="T8446" s="1420"/>
      <c r="V8446" s="1357">
        <v>28</v>
      </c>
    </row>
    <row r="8447" spans="1:22" s="841" customFormat="1" ht="15" x14ac:dyDescent="0.25">
      <c r="A8447" s="841" t="s">
        <v>244</v>
      </c>
      <c r="E8447" s="1690" t="s">
        <v>18</v>
      </c>
      <c r="F8447" s="1690"/>
      <c r="G8447" s="1408" t="s">
        <v>24</v>
      </c>
      <c r="H8447" s="393">
        <v>8.9999999999999998E-4</v>
      </c>
      <c r="K8447" s="841" t="s">
        <v>3457</v>
      </c>
      <c r="L8447" s="841" t="s">
        <v>443</v>
      </c>
      <c r="M8447" s="1357"/>
      <c r="P8447" s="841" t="s">
        <v>3460</v>
      </c>
      <c r="Q8447" s="1357"/>
      <c r="S8447" s="1420"/>
      <c r="T8447" s="1420"/>
      <c r="V8447" s="1357">
        <v>24</v>
      </c>
    </row>
    <row r="8448" spans="1:22" s="841" customFormat="1" ht="15" x14ac:dyDescent="0.25">
      <c r="A8448" s="841" t="s">
        <v>244</v>
      </c>
      <c r="E8448" s="1690" t="s">
        <v>5129</v>
      </c>
      <c r="F8448" s="1908"/>
      <c r="G8448" s="1408" t="s">
        <v>24</v>
      </c>
      <c r="H8448" s="393">
        <v>-5.0000000000000001E-4</v>
      </c>
      <c r="K8448" s="841" t="s">
        <v>3457</v>
      </c>
      <c r="L8448" s="841" t="s">
        <v>443</v>
      </c>
      <c r="M8448" s="1357"/>
      <c r="P8448" s="841" t="s">
        <v>3526</v>
      </c>
      <c r="Q8448" s="1357"/>
      <c r="S8448" s="1420"/>
      <c r="T8448" s="1420">
        <v>43585</v>
      </c>
      <c r="V8448" s="1357">
        <v>139</v>
      </c>
    </row>
    <row r="8449" spans="1:22" s="841" customFormat="1" ht="15" x14ac:dyDescent="0.25">
      <c r="A8449" s="841" t="s">
        <v>244</v>
      </c>
      <c r="E8449" s="1690" t="s">
        <v>5130</v>
      </c>
      <c r="F8449" s="1908"/>
      <c r="G8449" s="1408" t="s">
        <v>24</v>
      </c>
      <c r="H8449" s="393">
        <v>-1.2999999999999999E-3</v>
      </c>
      <c r="K8449" s="841" t="s">
        <v>3457</v>
      </c>
      <c r="L8449" s="841" t="s">
        <v>443</v>
      </c>
      <c r="M8449" s="1357"/>
      <c r="P8449" s="841" t="s">
        <v>3527</v>
      </c>
      <c r="Q8449" s="1357"/>
      <c r="S8449" s="1420"/>
      <c r="T8449" s="1420">
        <v>43585</v>
      </c>
      <c r="V8449" s="1357">
        <v>96</v>
      </c>
    </row>
    <row r="8450" spans="1:22" s="841" customFormat="1" ht="15" x14ac:dyDescent="0.25">
      <c r="A8450" s="841" t="s">
        <v>244</v>
      </c>
      <c r="E8450" s="1690" t="s">
        <v>5424</v>
      </c>
      <c r="F8450" s="1908"/>
      <c r="G8450" s="1408" t="s">
        <v>24</v>
      </c>
      <c r="H8450" s="393">
        <v>4.0000000000000002E-4</v>
      </c>
      <c r="K8450" s="841" t="s">
        <v>3457</v>
      </c>
      <c r="L8450" s="841" t="s">
        <v>443</v>
      </c>
      <c r="M8450" s="1357"/>
      <c r="P8450" s="841" t="s">
        <v>5292</v>
      </c>
      <c r="Q8450" s="1357"/>
      <c r="S8450" s="1420"/>
      <c r="T8450" s="1420">
        <v>43585</v>
      </c>
      <c r="V8450" s="1357">
        <v>146</v>
      </c>
    </row>
    <row r="8451" spans="1:22" s="841" customFormat="1" ht="15" x14ac:dyDescent="0.25">
      <c r="A8451" s="841" t="s">
        <v>244</v>
      </c>
      <c r="E8451" s="1690" t="s">
        <v>221</v>
      </c>
      <c r="F8451" s="1690"/>
      <c r="G8451" s="1408" t="s">
        <v>24</v>
      </c>
      <c r="H8451" s="393">
        <v>6.7000000000000002E-3</v>
      </c>
      <c r="K8451" s="841" t="s">
        <v>3457</v>
      </c>
      <c r="L8451" s="841" t="s">
        <v>444</v>
      </c>
      <c r="M8451" s="1357"/>
      <c r="P8451" s="841" t="s">
        <v>3462</v>
      </c>
      <c r="Q8451" s="1357"/>
      <c r="S8451" s="1420"/>
      <c r="T8451" s="1420"/>
      <c r="V8451" s="1357">
        <v>47</v>
      </c>
    </row>
    <row r="8452" spans="1:22" s="841" customFormat="1" ht="15" x14ac:dyDescent="0.25">
      <c r="A8452" s="841" t="s">
        <v>244</v>
      </c>
      <c r="E8452" s="1690" t="s">
        <v>217</v>
      </c>
      <c r="F8452" s="1690"/>
      <c r="G8452" s="1408" t="s">
        <v>24</v>
      </c>
      <c r="H8452" s="393">
        <v>5.5999999999999999E-3</v>
      </c>
      <c r="K8452" s="841" t="s">
        <v>3457</v>
      </c>
      <c r="L8452" s="841" t="s">
        <v>444</v>
      </c>
      <c r="M8452" s="1357"/>
      <c r="P8452" s="841" t="s">
        <v>3463</v>
      </c>
      <c r="Q8452" s="1357"/>
      <c r="S8452" s="1420"/>
      <c r="T8452" s="1420"/>
      <c r="V8452" s="1357">
        <v>74</v>
      </c>
    </row>
    <row r="8453" spans="1:22" s="841" customFormat="1" ht="15" x14ac:dyDescent="0.25">
      <c r="A8453" s="841" t="s">
        <v>244</v>
      </c>
      <c r="E8453" s="1694" t="s">
        <v>3079</v>
      </c>
      <c r="F8453" s="1690"/>
      <c r="G8453" s="1408"/>
      <c r="H8453" s="1408"/>
      <c r="K8453" s="841" t="s">
        <v>3111</v>
      </c>
      <c r="M8453" s="1357"/>
      <c r="Q8453" s="1357"/>
      <c r="S8453" s="1420"/>
      <c r="T8453" s="1420"/>
      <c r="V8453" s="1357">
        <v>48</v>
      </c>
    </row>
    <row r="8454" spans="1:22" s="841" customFormat="1" ht="15" x14ac:dyDescent="0.25">
      <c r="A8454" s="841" t="s">
        <v>244</v>
      </c>
      <c r="E8454" s="1690" t="s">
        <v>2449</v>
      </c>
      <c r="F8454" s="1690"/>
      <c r="G8454" s="1408" t="s">
        <v>24</v>
      </c>
      <c r="H8454" s="393">
        <v>3.2000000000000002E-3</v>
      </c>
      <c r="K8454" s="841" t="s">
        <v>3457</v>
      </c>
      <c r="L8454" s="841" t="s">
        <v>3046</v>
      </c>
      <c r="M8454" s="1357"/>
      <c r="P8454" s="841" t="s">
        <v>3464</v>
      </c>
      <c r="Q8454" s="1357"/>
      <c r="S8454" s="1420"/>
      <c r="T8454" s="1420"/>
      <c r="V8454" s="1357">
        <v>55</v>
      </c>
    </row>
    <row r="8455" spans="1:22" s="841" customFormat="1" ht="15" x14ac:dyDescent="0.25">
      <c r="A8455" s="841" t="s">
        <v>244</v>
      </c>
      <c r="E8455" s="1690" t="s">
        <v>2450</v>
      </c>
      <c r="F8455" s="1690"/>
      <c r="G8455" s="1408" t="s">
        <v>24</v>
      </c>
      <c r="H8455" s="393">
        <v>4.0000000000000002E-4</v>
      </c>
      <c r="K8455" s="841" t="s">
        <v>3457</v>
      </c>
      <c r="L8455" s="841" t="s">
        <v>3046</v>
      </c>
      <c r="M8455" s="1357"/>
      <c r="P8455" s="841" t="s">
        <v>3464</v>
      </c>
      <c r="Q8455" s="1357"/>
      <c r="S8455" s="1420"/>
      <c r="T8455" s="1420"/>
      <c r="V8455" s="1357">
        <v>65</v>
      </c>
    </row>
    <row r="8456" spans="1:22" s="841" customFormat="1" ht="15" x14ac:dyDescent="0.25">
      <c r="A8456" s="841" t="s">
        <v>244</v>
      </c>
      <c r="E8456" s="1690" t="s">
        <v>439</v>
      </c>
      <c r="F8456" s="1690"/>
      <c r="G8456" s="1408" t="s">
        <v>24</v>
      </c>
      <c r="H8456" s="393">
        <v>2.9999999999999997E-4</v>
      </c>
      <c r="K8456" s="841" t="s">
        <v>3457</v>
      </c>
      <c r="L8456" s="841" t="s">
        <v>3046</v>
      </c>
      <c r="M8456" s="1357"/>
      <c r="P8456" s="841" t="s">
        <v>3465</v>
      </c>
      <c r="Q8456" s="1357"/>
      <c r="S8456" s="1420"/>
      <c r="T8456" s="1420"/>
      <c r="V8456" s="1357">
        <v>57</v>
      </c>
    </row>
    <row r="8457" spans="1:22" s="841" customFormat="1" ht="15" x14ac:dyDescent="0.25">
      <c r="A8457" s="841" t="s">
        <v>244</v>
      </c>
      <c r="E8457" s="1690" t="s">
        <v>32</v>
      </c>
      <c r="F8457" s="1690"/>
      <c r="G8457" s="1408" t="s">
        <v>23</v>
      </c>
      <c r="H8457" s="391">
        <v>0.25</v>
      </c>
      <c r="K8457" s="841" t="s">
        <v>3457</v>
      </c>
      <c r="L8457" s="841" t="s">
        <v>3046</v>
      </c>
      <c r="M8457" s="1357"/>
      <c r="P8457" s="841" t="s">
        <v>3466</v>
      </c>
      <c r="Q8457" s="1357"/>
      <c r="S8457" s="1420"/>
      <c r="T8457" s="1420"/>
      <c r="V8457" s="1357">
        <v>63</v>
      </c>
    </row>
    <row r="8458" spans="1:22" s="841" customFormat="1" x14ac:dyDescent="0.25">
      <c r="A8458" s="841" t="s">
        <v>244</v>
      </c>
      <c r="E8458" s="1909" t="s">
        <v>629</v>
      </c>
      <c r="F8458" s="1915"/>
      <c r="G8458" s="1915"/>
      <c r="H8458" s="1915"/>
      <c r="K8458" s="841" t="s">
        <v>3467</v>
      </c>
      <c r="M8458" s="1357"/>
      <c r="Q8458" s="1357"/>
      <c r="S8458" s="1420"/>
      <c r="T8458" s="1420"/>
      <c r="V8458" s="1357">
        <v>40</v>
      </c>
    </row>
    <row r="8459" spans="1:22" s="841" customFormat="1" ht="15" x14ac:dyDescent="0.25">
      <c r="A8459" s="841" t="s">
        <v>244</v>
      </c>
      <c r="E8459" s="1689" t="s">
        <v>4754</v>
      </c>
      <c r="F8459" s="1689"/>
      <c r="G8459" s="1689"/>
      <c r="H8459" s="1689"/>
      <c r="K8459" s="841" t="s">
        <v>3467</v>
      </c>
      <c r="M8459" s="1357"/>
      <c r="Q8459" s="1357"/>
      <c r="S8459" s="1420"/>
      <c r="T8459" s="1420"/>
      <c r="V8459" s="1357">
        <v>900</v>
      </c>
    </row>
    <row r="8460" spans="1:22" s="841" customFormat="1" ht="15" x14ac:dyDescent="0.25">
      <c r="A8460" s="841" t="s">
        <v>244</v>
      </c>
      <c r="E8460" s="1916" t="s">
        <v>3061</v>
      </c>
      <c r="F8460" s="1697"/>
      <c r="G8460" s="1697"/>
      <c r="H8460" s="1697"/>
      <c r="K8460" s="841" t="s">
        <v>3114</v>
      </c>
      <c r="M8460" s="1357"/>
      <c r="Q8460" s="1357"/>
      <c r="S8460" s="1420"/>
      <c r="T8460" s="1420"/>
      <c r="V8460" s="1357">
        <v>11</v>
      </c>
    </row>
    <row r="8461" spans="1:22" s="841" customFormat="1" ht="15" x14ac:dyDescent="0.25">
      <c r="A8461" s="841" t="s">
        <v>244</v>
      </c>
      <c r="E8461" s="1689" t="s">
        <v>3063</v>
      </c>
      <c r="F8461" s="1689"/>
      <c r="G8461" s="1689"/>
      <c r="H8461" s="1689"/>
      <c r="K8461" s="841" t="s">
        <v>3467</v>
      </c>
      <c r="M8461" s="1357"/>
      <c r="Q8461" s="1357"/>
      <c r="S8461" s="1420"/>
      <c r="T8461" s="1420"/>
      <c r="V8461" s="1357">
        <v>280</v>
      </c>
    </row>
    <row r="8462" spans="1:22" s="841" customFormat="1" ht="15" x14ac:dyDescent="0.25">
      <c r="A8462" s="841" t="s">
        <v>244</v>
      </c>
      <c r="E8462" s="1689" t="s">
        <v>3064</v>
      </c>
      <c r="F8462" s="1689"/>
      <c r="G8462" s="1689"/>
      <c r="H8462" s="1689"/>
      <c r="K8462" s="841" t="s">
        <v>3467</v>
      </c>
      <c r="M8462" s="1357"/>
      <c r="Q8462" s="1357"/>
      <c r="S8462" s="1420"/>
      <c r="T8462" s="1420"/>
      <c r="V8462" s="1357">
        <v>411</v>
      </c>
    </row>
    <row r="8463" spans="1:22" s="841" customFormat="1" ht="15" x14ac:dyDescent="0.25">
      <c r="A8463" s="841" t="s">
        <v>244</v>
      </c>
      <c r="E8463" s="1689" t="s">
        <v>3199</v>
      </c>
      <c r="F8463" s="1689"/>
      <c r="G8463" s="1689"/>
      <c r="H8463" s="1689"/>
      <c r="K8463" s="841" t="s">
        <v>3467</v>
      </c>
      <c r="M8463" s="1357"/>
      <c r="Q8463" s="1357"/>
      <c r="S8463" s="1420"/>
      <c r="T8463" s="1420"/>
      <c r="V8463" s="1357">
        <v>386</v>
      </c>
    </row>
    <row r="8464" spans="1:22" s="841" customFormat="1" ht="15" x14ac:dyDescent="0.25">
      <c r="A8464" s="841" t="s">
        <v>244</v>
      </c>
      <c r="E8464" s="1689" t="s">
        <v>3200</v>
      </c>
      <c r="F8464" s="1689"/>
      <c r="G8464" s="1689"/>
      <c r="H8464" s="1689"/>
      <c r="K8464" s="841" t="s">
        <v>3467</v>
      </c>
      <c r="M8464" s="1357"/>
      <c r="Q8464" s="1357"/>
      <c r="S8464" s="1420"/>
      <c r="T8464" s="1420"/>
      <c r="V8464" s="1357">
        <v>275</v>
      </c>
    </row>
    <row r="8465" spans="1:22" s="841" customFormat="1" ht="15" x14ac:dyDescent="0.25">
      <c r="A8465" s="841" t="s">
        <v>244</v>
      </c>
      <c r="E8465" s="1694" t="s">
        <v>3067</v>
      </c>
      <c r="F8465" s="1907"/>
      <c r="G8465" s="1907"/>
      <c r="H8465" s="1907"/>
      <c r="K8465" s="841" t="s">
        <v>3115</v>
      </c>
      <c r="M8465" s="1357"/>
      <c r="Q8465" s="1357"/>
      <c r="S8465" s="1420"/>
      <c r="T8465" s="1420"/>
      <c r="V8465" s="1357">
        <v>46</v>
      </c>
    </row>
    <row r="8466" spans="1:22" s="841" customFormat="1" ht="15" x14ac:dyDescent="0.25">
      <c r="A8466" s="841" t="s">
        <v>244</v>
      </c>
      <c r="E8466" s="1690" t="s">
        <v>12</v>
      </c>
      <c r="F8466" s="1690"/>
      <c r="G8466" s="1408" t="s">
        <v>23</v>
      </c>
      <c r="H8466" s="391">
        <v>11.83</v>
      </c>
      <c r="K8466" s="841" t="s">
        <v>3467</v>
      </c>
      <c r="L8466" s="841" t="s">
        <v>442</v>
      </c>
      <c r="M8466" s="1357"/>
      <c r="P8466" s="841" t="s">
        <v>3468</v>
      </c>
      <c r="Q8466" s="1357"/>
      <c r="S8466" s="1420"/>
      <c r="T8466" s="1420"/>
      <c r="V8466" s="1357">
        <v>31</v>
      </c>
    </row>
    <row r="8467" spans="1:22" s="841" customFormat="1" ht="15" x14ac:dyDescent="0.25">
      <c r="A8467" s="841" t="s">
        <v>244</v>
      </c>
      <c r="E8467" s="1690" t="s">
        <v>84</v>
      </c>
      <c r="F8467" s="1690"/>
      <c r="G8467" s="1408" t="s">
        <v>33</v>
      </c>
      <c r="H8467" s="393">
        <v>4.7157</v>
      </c>
      <c r="K8467" s="841" t="s">
        <v>3467</v>
      </c>
      <c r="L8467" s="841" t="s">
        <v>442</v>
      </c>
      <c r="M8467" s="1357"/>
      <c r="P8467" s="841" t="s">
        <v>3469</v>
      </c>
      <c r="Q8467" s="1357"/>
      <c r="S8467" s="1420"/>
      <c r="T8467" s="1420"/>
      <c r="V8467" s="1357">
        <v>28</v>
      </c>
    </row>
    <row r="8468" spans="1:22" s="841" customFormat="1" ht="15" x14ac:dyDescent="0.25">
      <c r="A8468" s="841" t="s">
        <v>244</v>
      </c>
      <c r="E8468" s="1690" t="s">
        <v>18</v>
      </c>
      <c r="F8468" s="1690"/>
      <c r="G8468" s="1408" t="s">
        <v>33</v>
      </c>
      <c r="H8468" s="393">
        <v>0.26019999999999999</v>
      </c>
      <c r="K8468" s="841" t="s">
        <v>3467</v>
      </c>
      <c r="L8468" s="841" t="s">
        <v>443</v>
      </c>
      <c r="M8468" s="1357"/>
      <c r="P8468" s="841" t="s">
        <v>3470</v>
      </c>
      <c r="Q8468" s="1357"/>
      <c r="S8468" s="1420"/>
      <c r="T8468" s="1420"/>
      <c r="V8468" s="1357">
        <v>24</v>
      </c>
    </row>
    <row r="8469" spans="1:22" s="841" customFormat="1" ht="15" x14ac:dyDescent="0.25">
      <c r="A8469" s="841" t="s">
        <v>244</v>
      </c>
      <c r="E8469" s="1690" t="s">
        <v>5129</v>
      </c>
      <c r="F8469" s="1908"/>
      <c r="G8469" s="1408" t="s">
        <v>24</v>
      </c>
      <c r="H8469" s="393">
        <v>-5.0000000000000001E-4</v>
      </c>
      <c r="K8469" s="841" t="s">
        <v>3467</v>
      </c>
      <c r="L8469" s="841" t="s">
        <v>443</v>
      </c>
      <c r="M8469" s="1357"/>
      <c r="P8469" s="841" t="s">
        <v>4194</v>
      </c>
      <c r="Q8469" s="1357"/>
      <c r="S8469" s="1420"/>
      <c r="T8469" s="1420">
        <v>43585</v>
      </c>
      <c r="V8469" s="1357">
        <v>139</v>
      </c>
    </row>
    <row r="8470" spans="1:22" s="841" customFormat="1" ht="15" x14ac:dyDescent="0.25">
      <c r="A8470" s="841" t="s">
        <v>244</v>
      </c>
      <c r="E8470" s="1690" t="s">
        <v>5130</v>
      </c>
      <c r="F8470" s="1908"/>
      <c r="G8470" s="1408" t="s">
        <v>33</v>
      </c>
      <c r="H8470" s="393">
        <v>-0.48320000000000002</v>
      </c>
      <c r="K8470" s="841" t="s">
        <v>3467</v>
      </c>
      <c r="L8470" s="841" t="s">
        <v>443</v>
      </c>
      <c r="M8470" s="1357"/>
      <c r="P8470" s="841" t="s">
        <v>3880</v>
      </c>
      <c r="Q8470" s="1357"/>
      <c r="S8470" s="1420"/>
      <c r="T8470" s="1420">
        <v>43585</v>
      </c>
      <c r="V8470" s="1357">
        <v>96</v>
      </c>
    </row>
    <row r="8471" spans="1:22" s="841" customFormat="1" ht="15" x14ac:dyDescent="0.25">
      <c r="A8471" s="841" t="s">
        <v>244</v>
      </c>
      <c r="E8471" s="1690" t="s">
        <v>5424</v>
      </c>
      <c r="F8471" s="1908"/>
      <c r="G8471" s="1408" t="s">
        <v>33</v>
      </c>
      <c r="H8471" s="393">
        <v>0.15679999999999999</v>
      </c>
      <c r="K8471" s="841" t="s">
        <v>3467</v>
      </c>
      <c r="L8471" s="841" t="s">
        <v>443</v>
      </c>
      <c r="M8471" s="1357"/>
      <c r="P8471" s="841" t="s">
        <v>5454</v>
      </c>
      <c r="Q8471" s="1357"/>
      <c r="S8471" s="1420"/>
      <c r="T8471" s="1420">
        <v>43585</v>
      </c>
      <c r="V8471" s="1357">
        <v>146</v>
      </c>
    </row>
    <row r="8472" spans="1:22" s="841" customFormat="1" ht="15" x14ac:dyDescent="0.25">
      <c r="A8472" s="841" t="s">
        <v>244</v>
      </c>
      <c r="E8472" s="1690" t="s">
        <v>221</v>
      </c>
      <c r="F8472" s="1690"/>
      <c r="G8472" s="1408" t="s">
        <v>33</v>
      </c>
      <c r="H8472" s="393">
        <v>2.0531000000000001</v>
      </c>
      <c r="K8472" s="841" t="s">
        <v>3467</v>
      </c>
      <c r="L8472" s="841" t="s">
        <v>444</v>
      </c>
      <c r="M8472" s="1357"/>
      <c r="P8472" s="841" t="s">
        <v>3472</v>
      </c>
      <c r="Q8472" s="1357"/>
      <c r="S8472" s="1420"/>
      <c r="T8472" s="1420"/>
      <c r="V8472" s="1357">
        <v>47</v>
      </c>
    </row>
    <row r="8473" spans="1:22" s="841" customFormat="1" ht="15" x14ac:dyDescent="0.25">
      <c r="A8473" s="841" t="s">
        <v>244</v>
      </c>
      <c r="E8473" s="1690" t="s">
        <v>217</v>
      </c>
      <c r="F8473" s="1690"/>
      <c r="G8473" s="1408" t="s">
        <v>33</v>
      </c>
      <c r="H8473" s="393">
        <v>1.7005999999999999</v>
      </c>
      <c r="K8473" s="841" t="s">
        <v>3467</v>
      </c>
      <c r="L8473" s="841" t="s">
        <v>444</v>
      </c>
      <c r="M8473" s="1357"/>
      <c r="P8473" s="841" t="s">
        <v>3473</v>
      </c>
      <c r="Q8473" s="1357"/>
      <c r="S8473" s="1420"/>
      <c r="T8473" s="1420"/>
      <c r="V8473" s="1357">
        <v>74</v>
      </c>
    </row>
    <row r="8474" spans="1:22" s="841" customFormat="1" ht="15" x14ac:dyDescent="0.25">
      <c r="A8474" s="841" t="s">
        <v>244</v>
      </c>
      <c r="E8474" s="1694" t="s">
        <v>3079</v>
      </c>
      <c r="F8474" s="1690"/>
      <c r="G8474" s="1408"/>
      <c r="H8474" s="1408"/>
      <c r="K8474" s="841" t="s">
        <v>3122</v>
      </c>
      <c r="M8474" s="1357"/>
      <c r="Q8474" s="1357"/>
      <c r="S8474" s="1420"/>
      <c r="T8474" s="1420"/>
      <c r="V8474" s="1357">
        <v>48</v>
      </c>
    </row>
    <row r="8475" spans="1:22" s="841" customFormat="1" ht="15" x14ac:dyDescent="0.25">
      <c r="A8475" s="841" t="s">
        <v>244</v>
      </c>
      <c r="E8475" s="1690" t="s">
        <v>2449</v>
      </c>
      <c r="F8475" s="1690"/>
      <c r="G8475" s="1408" t="s">
        <v>24</v>
      </c>
      <c r="H8475" s="393">
        <v>3.2000000000000002E-3</v>
      </c>
      <c r="K8475" s="841" t="s">
        <v>3467</v>
      </c>
      <c r="L8475" s="841" t="s">
        <v>3046</v>
      </c>
      <c r="M8475" s="1357"/>
      <c r="P8475" s="841" t="s">
        <v>3474</v>
      </c>
      <c r="Q8475" s="1357"/>
      <c r="S8475" s="1420"/>
      <c r="T8475" s="1420"/>
      <c r="V8475" s="1357">
        <v>55</v>
      </c>
    </row>
    <row r="8476" spans="1:22" s="841" customFormat="1" ht="15" x14ac:dyDescent="0.25">
      <c r="A8476" s="841" t="s">
        <v>244</v>
      </c>
      <c r="E8476" s="1690" t="s">
        <v>2450</v>
      </c>
      <c r="F8476" s="1690"/>
      <c r="G8476" s="1408" t="s">
        <v>24</v>
      </c>
      <c r="H8476" s="393">
        <v>4.0000000000000002E-4</v>
      </c>
      <c r="K8476" s="841" t="s">
        <v>3467</v>
      </c>
      <c r="L8476" s="841" t="s">
        <v>3046</v>
      </c>
      <c r="M8476" s="1357"/>
      <c r="P8476" s="841" t="s">
        <v>3474</v>
      </c>
      <c r="Q8476" s="1357"/>
      <c r="S8476" s="1420"/>
      <c r="T8476" s="1420"/>
      <c r="V8476" s="1357">
        <v>65</v>
      </c>
    </row>
    <row r="8477" spans="1:22" s="841" customFormat="1" ht="15" x14ac:dyDescent="0.25">
      <c r="A8477" s="841" t="s">
        <v>244</v>
      </c>
      <c r="E8477" s="1690" t="s">
        <v>439</v>
      </c>
      <c r="F8477" s="1690"/>
      <c r="G8477" s="1408" t="s">
        <v>24</v>
      </c>
      <c r="H8477" s="393">
        <v>2.9999999999999997E-4</v>
      </c>
      <c r="K8477" s="841" t="s">
        <v>3467</v>
      </c>
      <c r="L8477" s="841" t="s">
        <v>3046</v>
      </c>
      <c r="M8477" s="1357"/>
      <c r="P8477" s="841" t="s">
        <v>3475</v>
      </c>
      <c r="Q8477" s="1357"/>
      <c r="S8477" s="1420"/>
      <c r="T8477" s="1420"/>
      <c r="V8477" s="1357">
        <v>57</v>
      </c>
    </row>
    <row r="8478" spans="1:22" s="841" customFormat="1" ht="15" x14ac:dyDescent="0.25">
      <c r="A8478" s="841" t="s">
        <v>244</v>
      </c>
      <c r="E8478" s="1690" t="s">
        <v>32</v>
      </c>
      <c r="F8478" s="1690"/>
      <c r="G8478" s="1408" t="s">
        <v>23</v>
      </c>
      <c r="H8478" s="391">
        <v>0.25</v>
      </c>
      <c r="K8478" s="841" t="s">
        <v>3467</v>
      </c>
      <c r="L8478" s="841" t="s">
        <v>3046</v>
      </c>
      <c r="M8478" s="1357"/>
      <c r="P8478" s="841" t="s">
        <v>3476</v>
      </c>
      <c r="Q8478" s="1357"/>
      <c r="S8478" s="1420"/>
      <c r="T8478" s="1420"/>
      <c r="V8478" s="1357">
        <v>63</v>
      </c>
    </row>
    <row r="8479" spans="1:22" s="841" customFormat="1" x14ac:dyDescent="0.25">
      <c r="A8479" s="841" t="s">
        <v>244</v>
      </c>
      <c r="E8479" s="1909" t="s">
        <v>615</v>
      </c>
      <c r="F8479" s="1915"/>
      <c r="G8479" s="1915"/>
      <c r="H8479" s="1915"/>
      <c r="K8479" s="841" t="s">
        <v>3477</v>
      </c>
      <c r="M8479" s="1357"/>
      <c r="Q8479" s="1357"/>
      <c r="S8479" s="1420"/>
      <c r="T8479" s="1420"/>
      <c r="V8479" s="1357">
        <v>38</v>
      </c>
    </row>
    <row r="8480" spans="1:22" s="841" customFormat="1" ht="15" x14ac:dyDescent="0.25">
      <c r="A8480" s="841" t="s">
        <v>244</v>
      </c>
      <c r="E8480" s="1689" t="s">
        <v>4755</v>
      </c>
      <c r="F8480" s="1689"/>
      <c r="G8480" s="1689"/>
      <c r="H8480" s="1689"/>
      <c r="K8480" s="841" t="s">
        <v>3477</v>
      </c>
      <c r="M8480" s="1357"/>
      <c r="Q8480" s="1357"/>
      <c r="S8480" s="1420"/>
      <c r="T8480" s="1420"/>
      <c r="V8480" s="1357">
        <v>1352</v>
      </c>
    </row>
    <row r="8481" spans="1:22" s="841" customFormat="1" ht="15" x14ac:dyDescent="0.25">
      <c r="A8481" s="841" t="s">
        <v>244</v>
      </c>
      <c r="E8481" s="1916" t="s">
        <v>3061</v>
      </c>
      <c r="F8481" s="1697"/>
      <c r="G8481" s="1697"/>
      <c r="H8481" s="1697"/>
      <c r="K8481" s="841" t="s">
        <v>3128</v>
      </c>
      <c r="M8481" s="1357"/>
      <c r="Q8481" s="1357"/>
      <c r="S8481" s="1420"/>
      <c r="T8481" s="1420"/>
      <c r="V8481" s="1357">
        <v>11</v>
      </c>
    </row>
    <row r="8482" spans="1:22" s="841" customFormat="1" ht="15" x14ac:dyDescent="0.25">
      <c r="A8482" s="841" t="s">
        <v>244</v>
      </c>
      <c r="E8482" s="1689" t="s">
        <v>3063</v>
      </c>
      <c r="F8482" s="1689"/>
      <c r="G8482" s="1689"/>
      <c r="H8482" s="1689"/>
      <c r="K8482" s="841" t="s">
        <v>3477</v>
      </c>
      <c r="M8482" s="1357"/>
      <c r="Q8482" s="1357"/>
      <c r="S8482" s="1420"/>
      <c r="T8482" s="1420"/>
      <c r="V8482" s="1357">
        <v>280</v>
      </c>
    </row>
    <row r="8483" spans="1:22" s="841" customFormat="1" ht="15" x14ac:dyDescent="0.25">
      <c r="A8483" s="841" t="s">
        <v>244</v>
      </c>
      <c r="E8483" s="1689" t="s">
        <v>3064</v>
      </c>
      <c r="F8483" s="1689"/>
      <c r="G8483" s="1689"/>
      <c r="H8483" s="1689"/>
      <c r="K8483" s="841" t="s">
        <v>3477</v>
      </c>
      <c r="M8483" s="1357"/>
      <c r="Q8483" s="1357"/>
      <c r="S8483" s="1420"/>
      <c r="T8483" s="1420"/>
      <c r="V8483" s="1357">
        <v>411</v>
      </c>
    </row>
    <row r="8484" spans="1:22" s="841" customFormat="1" ht="15" x14ac:dyDescent="0.25">
      <c r="A8484" s="841" t="s">
        <v>244</v>
      </c>
      <c r="E8484" s="1689" t="s">
        <v>3199</v>
      </c>
      <c r="F8484" s="1689"/>
      <c r="G8484" s="1689"/>
      <c r="H8484" s="1689"/>
      <c r="K8484" s="841" t="s">
        <v>3477</v>
      </c>
      <c r="M8484" s="1357"/>
      <c r="Q8484" s="1357"/>
      <c r="S8484" s="1420"/>
      <c r="T8484" s="1420"/>
      <c r="V8484" s="1357">
        <v>386</v>
      </c>
    </row>
    <row r="8485" spans="1:22" s="841" customFormat="1" ht="15" x14ac:dyDescent="0.25">
      <c r="A8485" s="841" t="s">
        <v>244</v>
      </c>
      <c r="E8485" s="1689" t="s">
        <v>3200</v>
      </c>
      <c r="F8485" s="1689"/>
      <c r="G8485" s="1689"/>
      <c r="H8485" s="1689"/>
      <c r="K8485" s="841" t="s">
        <v>3477</v>
      </c>
      <c r="M8485" s="1357"/>
      <c r="Q8485" s="1357"/>
      <c r="S8485" s="1420"/>
      <c r="T8485" s="1420"/>
      <c r="V8485" s="1357">
        <v>275</v>
      </c>
    </row>
    <row r="8486" spans="1:22" s="841" customFormat="1" ht="15" x14ac:dyDescent="0.25">
      <c r="A8486" s="841" t="s">
        <v>244</v>
      </c>
      <c r="E8486" s="1694" t="s">
        <v>3067</v>
      </c>
      <c r="F8486" s="1907"/>
      <c r="G8486" s="1907"/>
      <c r="H8486" s="1907"/>
      <c r="K8486" s="841" t="s">
        <v>3130</v>
      </c>
      <c r="M8486" s="1357"/>
      <c r="Q8486" s="1357"/>
      <c r="S8486" s="1420"/>
      <c r="T8486" s="1420"/>
      <c r="V8486" s="1357">
        <v>46</v>
      </c>
    </row>
    <row r="8487" spans="1:22" s="841" customFormat="1" ht="15" x14ac:dyDescent="0.25">
      <c r="A8487" s="841" t="s">
        <v>244</v>
      </c>
      <c r="E8487" s="1690" t="s">
        <v>12</v>
      </c>
      <c r="F8487" s="1690"/>
      <c r="G8487" s="1408" t="s">
        <v>23</v>
      </c>
      <c r="H8487" s="391">
        <v>3.22</v>
      </c>
      <c r="K8487" s="841" t="s">
        <v>3477</v>
      </c>
      <c r="L8487" s="841" t="s">
        <v>442</v>
      </c>
      <c r="M8487" s="1357"/>
      <c r="P8487" s="841" t="s">
        <v>3478</v>
      </c>
      <c r="Q8487" s="1357"/>
      <c r="S8487" s="1420"/>
      <c r="T8487" s="1420"/>
      <c r="V8487" s="1357">
        <v>31</v>
      </c>
    </row>
    <row r="8488" spans="1:22" s="841" customFormat="1" ht="15" x14ac:dyDescent="0.25">
      <c r="A8488" s="841" t="s">
        <v>244</v>
      </c>
      <c r="E8488" s="1690" t="s">
        <v>84</v>
      </c>
      <c r="F8488" s="1690"/>
      <c r="G8488" s="1408" t="s">
        <v>33</v>
      </c>
      <c r="H8488" s="393">
        <v>13.4579</v>
      </c>
      <c r="K8488" s="841" t="s">
        <v>3477</v>
      </c>
      <c r="L8488" s="841" t="s">
        <v>442</v>
      </c>
      <c r="M8488" s="1357"/>
      <c r="P8488" s="841" t="s">
        <v>3479</v>
      </c>
      <c r="Q8488" s="1357"/>
      <c r="S8488" s="1420"/>
      <c r="T8488" s="1420"/>
      <c r="V8488" s="1357">
        <v>28</v>
      </c>
    </row>
    <row r="8489" spans="1:22" s="841" customFormat="1" ht="15" x14ac:dyDescent="0.25">
      <c r="A8489" s="841" t="s">
        <v>244</v>
      </c>
      <c r="E8489" s="1690" t="s">
        <v>18</v>
      </c>
      <c r="F8489" s="1690"/>
      <c r="G8489" s="1408" t="s">
        <v>33</v>
      </c>
      <c r="H8489" s="393">
        <v>0.25409999999999999</v>
      </c>
      <c r="K8489" s="841" t="s">
        <v>3477</v>
      </c>
      <c r="L8489" s="841" t="s">
        <v>443</v>
      </c>
      <c r="M8489" s="1357"/>
      <c r="P8489" s="841" t="s">
        <v>3480</v>
      </c>
      <c r="Q8489" s="1357"/>
      <c r="S8489" s="1420"/>
      <c r="T8489" s="1420"/>
      <c r="V8489" s="1357">
        <v>24</v>
      </c>
    </row>
    <row r="8490" spans="1:22" s="841" customFormat="1" ht="15" x14ac:dyDescent="0.25">
      <c r="A8490" s="841" t="s">
        <v>244</v>
      </c>
      <c r="E8490" s="1690" t="s">
        <v>5129</v>
      </c>
      <c r="F8490" s="1908"/>
      <c r="G8490" s="1408" t="s">
        <v>24</v>
      </c>
      <c r="H8490" s="393">
        <v>-5.0000000000000001E-4</v>
      </c>
      <c r="K8490" s="841" t="s">
        <v>3477</v>
      </c>
      <c r="L8490" s="841" t="s">
        <v>443</v>
      </c>
      <c r="M8490" s="1357"/>
      <c r="P8490" s="841" t="s">
        <v>4196</v>
      </c>
      <c r="Q8490" s="1357"/>
      <c r="S8490" s="1420"/>
      <c r="T8490" s="1420">
        <v>43585</v>
      </c>
      <c r="V8490" s="1357">
        <v>139</v>
      </c>
    </row>
    <row r="8491" spans="1:22" s="841" customFormat="1" ht="15" x14ac:dyDescent="0.25">
      <c r="A8491" s="841" t="s">
        <v>244</v>
      </c>
      <c r="E8491" s="1690" t="s">
        <v>5130</v>
      </c>
      <c r="F8491" s="1908"/>
      <c r="G8491" s="1408" t="s">
        <v>33</v>
      </c>
      <c r="H8491" s="393">
        <v>-0.46079999999999999</v>
      </c>
      <c r="K8491" s="841" t="s">
        <v>3477</v>
      </c>
      <c r="L8491" s="841" t="s">
        <v>443</v>
      </c>
      <c r="M8491" s="1357"/>
      <c r="P8491" s="841" t="s">
        <v>3882</v>
      </c>
      <c r="Q8491" s="1357"/>
      <c r="S8491" s="1420"/>
      <c r="T8491" s="1420">
        <v>43585</v>
      </c>
      <c r="V8491" s="1357">
        <v>96</v>
      </c>
    </row>
    <row r="8492" spans="1:22" s="841" customFormat="1" ht="15" x14ac:dyDescent="0.25">
      <c r="A8492" s="841" t="s">
        <v>244</v>
      </c>
      <c r="E8492" s="1690" t="s">
        <v>5424</v>
      </c>
      <c r="F8492" s="1908"/>
      <c r="G8492" s="1408" t="s">
        <v>33</v>
      </c>
      <c r="H8492" s="393">
        <v>0.14940000000000001</v>
      </c>
      <c r="K8492" s="841" t="s">
        <v>3477</v>
      </c>
      <c r="L8492" s="841" t="s">
        <v>443</v>
      </c>
      <c r="M8492" s="1357"/>
      <c r="P8492" s="841" t="s">
        <v>5367</v>
      </c>
      <c r="Q8492" s="1357"/>
      <c r="S8492" s="1420"/>
      <c r="T8492" s="1420">
        <v>43585</v>
      </c>
      <c r="V8492" s="1357">
        <v>146</v>
      </c>
    </row>
    <row r="8493" spans="1:22" s="841" customFormat="1" ht="15" x14ac:dyDescent="0.25">
      <c r="A8493" s="841" t="s">
        <v>244</v>
      </c>
      <c r="E8493" s="1690" t="s">
        <v>221</v>
      </c>
      <c r="F8493" s="1690"/>
      <c r="G8493" s="1408" t="s">
        <v>33</v>
      </c>
      <c r="H8493" s="393">
        <v>2.0379999999999998</v>
      </c>
      <c r="K8493" s="841" t="s">
        <v>3477</v>
      </c>
      <c r="L8493" s="841" t="s">
        <v>444</v>
      </c>
      <c r="M8493" s="1357"/>
      <c r="P8493" s="841" t="s">
        <v>3482</v>
      </c>
      <c r="Q8493" s="1357"/>
      <c r="S8493" s="1420"/>
      <c r="T8493" s="1420"/>
      <c r="V8493" s="1357">
        <v>47</v>
      </c>
    </row>
    <row r="8494" spans="1:22" s="841" customFormat="1" ht="15" x14ac:dyDescent="0.25">
      <c r="A8494" s="841" t="s">
        <v>244</v>
      </c>
      <c r="E8494" s="1690" t="s">
        <v>217</v>
      </c>
      <c r="F8494" s="1690"/>
      <c r="G8494" s="1408" t="s">
        <v>33</v>
      </c>
      <c r="H8494" s="393">
        <v>1.6609</v>
      </c>
      <c r="K8494" s="841" t="s">
        <v>3477</v>
      </c>
      <c r="L8494" s="841" t="s">
        <v>444</v>
      </c>
      <c r="M8494" s="1357"/>
      <c r="P8494" s="841" t="s">
        <v>3483</v>
      </c>
      <c r="Q8494" s="1357"/>
      <c r="S8494" s="1420"/>
      <c r="T8494" s="1420"/>
      <c r="V8494" s="1357">
        <v>74</v>
      </c>
    </row>
    <row r="8495" spans="1:22" s="841" customFormat="1" ht="15" x14ac:dyDescent="0.25">
      <c r="A8495" s="841" t="s">
        <v>244</v>
      </c>
      <c r="E8495" s="1694" t="s">
        <v>3079</v>
      </c>
      <c r="F8495" s="1690"/>
      <c r="G8495" s="1408"/>
      <c r="H8495" s="1408"/>
      <c r="K8495" s="841" t="s">
        <v>3260</v>
      </c>
      <c r="M8495" s="1357"/>
      <c r="Q8495" s="1357"/>
      <c r="S8495" s="1420"/>
      <c r="T8495" s="1420"/>
      <c r="V8495" s="1357">
        <v>48</v>
      </c>
    </row>
    <row r="8496" spans="1:22" s="841" customFormat="1" ht="15" x14ac:dyDescent="0.25">
      <c r="A8496" s="841" t="s">
        <v>244</v>
      </c>
      <c r="E8496" s="1690" t="s">
        <v>2449</v>
      </c>
      <c r="F8496" s="1690"/>
      <c r="G8496" s="1408" t="s">
        <v>24</v>
      </c>
      <c r="H8496" s="393">
        <v>3.2000000000000002E-3</v>
      </c>
      <c r="K8496" s="841" t="s">
        <v>3477</v>
      </c>
      <c r="L8496" s="841" t="s">
        <v>3046</v>
      </c>
      <c r="M8496" s="1357"/>
      <c r="P8496" s="841" t="s">
        <v>3484</v>
      </c>
      <c r="Q8496" s="1357"/>
      <c r="S8496" s="1420"/>
      <c r="T8496" s="1420"/>
      <c r="V8496" s="1357">
        <v>55</v>
      </c>
    </row>
    <row r="8497" spans="1:22" s="841" customFormat="1" ht="15" x14ac:dyDescent="0.25">
      <c r="A8497" s="841" t="s">
        <v>244</v>
      </c>
      <c r="E8497" s="1690" t="s">
        <v>2450</v>
      </c>
      <c r="F8497" s="1690"/>
      <c r="G8497" s="1408" t="s">
        <v>24</v>
      </c>
      <c r="H8497" s="393">
        <v>4.0000000000000002E-4</v>
      </c>
      <c r="K8497" s="841" t="s">
        <v>3477</v>
      </c>
      <c r="L8497" s="841" t="s">
        <v>3046</v>
      </c>
      <c r="M8497" s="1357"/>
      <c r="P8497" s="841" t="s">
        <v>3484</v>
      </c>
      <c r="Q8497" s="1357"/>
      <c r="S8497" s="1420"/>
      <c r="T8497" s="1420"/>
      <c r="V8497" s="1357">
        <v>65</v>
      </c>
    </row>
    <row r="8498" spans="1:22" s="841" customFormat="1" ht="15" x14ac:dyDescent="0.25">
      <c r="A8498" s="841" t="s">
        <v>244</v>
      </c>
      <c r="E8498" s="1690" t="s">
        <v>439</v>
      </c>
      <c r="F8498" s="1690"/>
      <c r="G8498" s="1408" t="s">
        <v>24</v>
      </c>
      <c r="H8498" s="393">
        <v>2.9999999999999997E-4</v>
      </c>
      <c r="K8498" s="841" t="s">
        <v>3477</v>
      </c>
      <c r="L8498" s="841" t="s">
        <v>3046</v>
      </c>
      <c r="M8498" s="1357"/>
      <c r="P8498" s="841" t="s">
        <v>3485</v>
      </c>
      <c r="Q8498" s="1357"/>
      <c r="S8498" s="1420"/>
      <c r="T8498" s="1420"/>
      <c r="V8498" s="1357">
        <v>57</v>
      </c>
    </row>
    <row r="8499" spans="1:22" s="841" customFormat="1" ht="15" x14ac:dyDescent="0.25">
      <c r="A8499" s="841" t="s">
        <v>244</v>
      </c>
      <c r="E8499" s="1690" t="s">
        <v>32</v>
      </c>
      <c r="F8499" s="1690"/>
      <c r="G8499" s="1408" t="s">
        <v>23</v>
      </c>
      <c r="H8499" s="391">
        <v>0.25</v>
      </c>
      <c r="K8499" s="841" t="s">
        <v>3477</v>
      </c>
      <c r="L8499" s="841" t="s">
        <v>3046</v>
      </c>
      <c r="M8499" s="1357"/>
      <c r="P8499" s="841" t="s">
        <v>3486</v>
      </c>
      <c r="Q8499" s="1357"/>
      <c r="S8499" s="1420"/>
      <c r="T8499" s="1420"/>
      <c r="V8499" s="1357">
        <v>63</v>
      </c>
    </row>
    <row r="8500" spans="1:22" s="841" customFormat="1" x14ac:dyDescent="0.25">
      <c r="A8500" s="841" t="s">
        <v>244</v>
      </c>
      <c r="E8500" s="1909" t="s">
        <v>618</v>
      </c>
      <c r="F8500" s="1915"/>
      <c r="G8500" s="1915"/>
      <c r="H8500" s="1915"/>
      <c r="K8500" s="841" t="s">
        <v>3487</v>
      </c>
      <c r="M8500" s="1357"/>
      <c r="Q8500" s="1357"/>
      <c r="S8500" s="1420"/>
      <c r="T8500" s="1420"/>
      <c r="V8500" s="1357">
        <v>31</v>
      </c>
    </row>
    <row r="8501" spans="1:22" s="841" customFormat="1" ht="15" x14ac:dyDescent="0.25">
      <c r="A8501" s="841" t="s">
        <v>244</v>
      </c>
      <c r="E8501" s="1689" t="s">
        <v>4309</v>
      </c>
      <c r="F8501" s="1689"/>
      <c r="G8501" s="1689"/>
      <c r="H8501" s="1689"/>
      <c r="K8501" s="841" t="s">
        <v>3487</v>
      </c>
      <c r="M8501" s="1357"/>
      <c r="Q8501" s="1357"/>
      <c r="S8501" s="1420"/>
      <c r="T8501" s="1420"/>
      <c r="V8501" s="1357">
        <v>284</v>
      </c>
    </row>
    <row r="8502" spans="1:22" s="841" customFormat="1" ht="15" x14ac:dyDescent="0.25">
      <c r="A8502" s="841" t="s">
        <v>244</v>
      </c>
      <c r="E8502" s="1916" t="s">
        <v>3061</v>
      </c>
      <c r="F8502" s="1697"/>
      <c r="G8502" s="1697"/>
      <c r="H8502" s="1697"/>
      <c r="K8502" s="841" t="s">
        <v>3266</v>
      </c>
      <c r="M8502" s="1357"/>
      <c r="Q8502" s="1357"/>
      <c r="S8502" s="1420"/>
      <c r="T8502" s="1420"/>
      <c r="V8502" s="1357">
        <v>11</v>
      </c>
    </row>
    <row r="8503" spans="1:22" s="841" customFormat="1" ht="15" x14ac:dyDescent="0.25">
      <c r="A8503" s="841" t="s">
        <v>244</v>
      </c>
      <c r="E8503" s="1689" t="s">
        <v>3063</v>
      </c>
      <c r="F8503" s="1689"/>
      <c r="G8503" s="1689"/>
      <c r="H8503" s="1689"/>
      <c r="K8503" s="841" t="s">
        <v>3487</v>
      </c>
      <c r="M8503" s="1357"/>
      <c r="Q8503" s="1357"/>
      <c r="S8503" s="1420"/>
      <c r="T8503" s="1420"/>
      <c r="V8503" s="1357">
        <v>280</v>
      </c>
    </row>
    <row r="8504" spans="1:22" s="841" customFormat="1" ht="15" x14ac:dyDescent="0.25">
      <c r="A8504" s="841" t="s">
        <v>244</v>
      </c>
      <c r="E8504" s="1689" t="s">
        <v>3064</v>
      </c>
      <c r="F8504" s="1689"/>
      <c r="G8504" s="1689"/>
      <c r="H8504" s="1689"/>
      <c r="K8504" s="841" t="s">
        <v>3487</v>
      </c>
      <c r="M8504" s="1357"/>
      <c r="Q8504" s="1357"/>
      <c r="S8504" s="1420"/>
      <c r="T8504" s="1420"/>
      <c r="V8504" s="1357">
        <v>411</v>
      </c>
    </row>
    <row r="8505" spans="1:22" s="841" customFormat="1" ht="15" x14ac:dyDescent="0.25">
      <c r="A8505" s="841" t="s">
        <v>244</v>
      </c>
      <c r="E8505" s="1689" t="s">
        <v>3129</v>
      </c>
      <c r="F8505" s="1689"/>
      <c r="G8505" s="1689"/>
      <c r="H8505" s="1689"/>
      <c r="K8505" s="841" t="s">
        <v>3487</v>
      </c>
      <c r="M8505" s="1357"/>
      <c r="Q8505" s="1357"/>
      <c r="S8505" s="1420"/>
      <c r="T8505" s="1420"/>
      <c r="V8505" s="1357">
        <v>211</v>
      </c>
    </row>
    <row r="8506" spans="1:22" s="841" customFormat="1" ht="15" x14ac:dyDescent="0.25">
      <c r="A8506" s="841" t="s">
        <v>244</v>
      </c>
      <c r="E8506" s="1689" t="s">
        <v>3200</v>
      </c>
      <c r="F8506" s="1689"/>
      <c r="G8506" s="1689"/>
      <c r="H8506" s="1689"/>
      <c r="K8506" s="841" t="s">
        <v>3487</v>
      </c>
      <c r="M8506" s="1357"/>
      <c r="Q8506" s="1357"/>
      <c r="S8506" s="1420"/>
      <c r="T8506" s="1420"/>
      <c r="V8506" s="1357">
        <v>275</v>
      </c>
    </row>
    <row r="8507" spans="1:22" s="841" customFormat="1" ht="15" x14ac:dyDescent="0.25">
      <c r="A8507" s="841" t="s">
        <v>244</v>
      </c>
      <c r="E8507" s="1694" t="s">
        <v>3067</v>
      </c>
      <c r="F8507" s="1907"/>
      <c r="G8507" s="1907"/>
      <c r="H8507" s="1907"/>
      <c r="K8507" s="841" t="s">
        <v>3267</v>
      </c>
      <c r="M8507" s="1357"/>
      <c r="Q8507" s="1357"/>
      <c r="S8507" s="1420"/>
      <c r="T8507" s="1420"/>
      <c r="V8507" s="1357">
        <v>46</v>
      </c>
    </row>
    <row r="8508" spans="1:22" s="841" customFormat="1" ht="15" x14ac:dyDescent="0.25">
      <c r="A8508" s="841" t="s">
        <v>244</v>
      </c>
      <c r="E8508" s="1690" t="s">
        <v>11</v>
      </c>
      <c r="F8508" s="1690"/>
      <c r="G8508" s="1408" t="s">
        <v>23</v>
      </c>
      <c r="H8508" s="391">
        <v>5.4</v>
      </c>
      <c r="K8508" s="841" t="s">
        <v>3487</v>
      </c>
      <c r="L8508" s="841" t="s">
        <v>442</v>
      </c>
      <c r="M8508" s="1357"/>
      <c r="P8508" s="841" t="s">
        <v>3488</v>
      </c>
      <c r="Q8508" s="1357"/>
      <c r="S8508" s="1420"/>
      <c r="T8508" s="1420"/>
      <c r="V8508" s="1357">
        <v>14</v>
      </c>
    </row>
    <row r="8509" spans="1:22" s="841" customFormat="1" ht="18.75" x14ac:dyDescent="0.25">
      <c r="A8509" s="841" t="s">
        <v>244</v>
      </c>
      <c r="E8509" s="1374" t="s">
        <v>85</v>
      </c>
      <c r="F8509" s="661"/>
      <c r="G8509" s="661"/>
      <c r="H8509" s="662"/>
      <c r="K8509" s="841" t="s">
        <v>4756</v>
      </c>
      <c r="M8509" s="1357"/>
      <c r="Q8509" s="1357"/>
      <c r="S8509" s="1420"/>
      <c r="T8509" s="1420"/>
      <c r="V8509" s="1357">
        <v>10</v>
      </c>
    </row>
    <row r="8510" spans="1:22" s="841" customFormat="1" ht="15" x14ac:dyDescent="0.25">
      <c r="A8510" s="841" t="s">
        <v>244</v>
      </c>
      <c r="E8510" s="1690" t="s">
        <v>3133</v>
      </c>
      <c r="F8510" s="1690"/>
      <c r="G8510" s="1408" t="s">
        <v>33</v>
      </c>
      <c r="H8510" s="393">
        <v>-0.6</v>
      </c>
      <c r="M8510" s="1357"/>
      <c r="Q8510" s="1357"/>
      <c r="S8510" s="1420"/>
      <c r="T8510" s="1420"/>
      <c r="V8510" s="1357">
        <v>68</v>
      </c>
    </row>
    <row r="8511" spans="1:22" s="841" customFormat="1" ht="15" x14ac:dyDescent="0.25">
      <c r="A8511" s="841" t="s">
        <v>244</v>
      </c>
      <c r="E8511" s="1690" t="s">
        <v>3134</v>
      </c>
      <c r="F8511" s="1690"/>
      <c r="G8511" s="1408" t="s">
        <v>86</v>
      </c>
      <c r="H8511" s="391">
        <v>-1</v>
      </c>
      <c r="M8511" s="1357"/>
      <c r="Q8511" s="1357"/>
      <c r="S8511" s="1420"/>
      <c r="T8511" s="1420"/>
      <c r="V8511" s="1357">
        <v>87</v>
      </c>
    </row>
    <row r="8512" spans="1:22" s="841" customFormat="1" ht="36" x14ac:dyDescent="0.25">
      <c r="A8512" s="841" t="s">
        <v>244</v>
      </c>
      <c r="E8512" s="1374" t="s">
        <v>87</v>
      </c>
      <c r="F8512" s="661"/>
      <c r="G8512" s="661"/>
      <c r="H8512" s="662"/>
      <c r="K8512" s="841" t="s">
        <v>4757</v>
      </c>
      <c r="M8512" s="1357"/>
      <c r="Q8512" s="1357"/>
      <c r="S8512" s="1420"/>
      <c r="T8512" s="1420"/>
      <c r="V8512" s="1357">
        <v>24</v>
      </c>
    </row>
    <row r="8513" spans="1:22" s="841" customFormat="1" ht="15" x14ac:dyDescent="0.25">
      <c r="A8513" s="841" t="s">
        <v>244</v>
      </c>
      <c r="E8513" s="1689" t="s">
        <v>3063</v>
      </c>
      <c r="F8513" s="1689"/>
      <c r="G8513" s="1689"/>
      <c r="H8513" s="1689"/>
      <c r="M8513" s="1357"/>
      <c r="Q8513" s="1357"/>
      <c r="S8513" s="1420"/>
      <c r="T8513" s="1420"/>
      <c r="V8513" s="1357">
        <v>280</v>
      </c>
    </row>
    <row r="8514" spans="1:22" s="841" customFormat="1" ht="15" x14ac:dyDescent="0.25">
      <c r="A8514" s="841" t="s">
        <v>244</v>
      </c>
      <c r="E8514" s="1689" t="s">
        <v>3136</v>
      </c>
      <c r="F8514" s="1689"/>
      <c r="G8514" s="1689"/>
      <c r="H8514" s="1689"/>
      <c r="M8514" s="1357"/>
      <c r="Q8514" s="1357"/>
      <c r="S8514" s="1420"/>
      <c r="T8514" s="1420"/>
      <c r="V8514" s="1357">
        <v>353</v>
      </c>
    </row>
    <row r="8515" spans="1:22" s="841" customFormat="1" ht="15" x14ac:dyDescent="0.25">
      <c r="A8515" s="841" t="s">
        <v>244</v>
      </c>
      <c r="E8515" s="1689" t="s">
        <v>3200</v>
      </c>
      <c r="F8515" s="1689"/>
      <c r="G8515" s="1689"/>
      <c r="H8515" s="1689"/>
      <c r="M8515" s="1357"/>
      <c r="Q8515" s="1357"/>
      <c r="S8515" s="1420"/>
      <c r="T8515" s="1420"/>
      <c r="V8515" s="1357">
        <v>275</v>
      </c>
    </row>
    <row r="8516" spans="1:22" s="841" customFormat="1" ht="15" x14ac:dyDescent="0.25">
      <c r="A8516" s="841" t="s">
        <v>244</v>
      </c>
      <c r="E8516" s="1370" t="s">
        <v>3137</v>
      </c>
      <c r="F8516" s="500"/>
      <c r="G8516" s="500"/>
      <c r="H8516" s="501"/>
      <c r="K8516" s="841" t="s">
        <v>4758</v>
      </c>
      <c r="M8516" s="1357"/>
      <c r="Q8516" s="1357"/>
      <c r="S8516" s="1420"/>
      <c r="T8516" s="1420"/>
      <c r="V8516" s="1357">
        <v>23</v>
      </c>
    </row>
    <row r="8517" spans="1:22" s="841" customFormat="1" ht="15" x14ac:dyDescent="0.25">
      <c r="A8517" s="841" t="s">
        <v>244</v>
      </c>
      <c r="E8517" s="1688" t="s">
        <v>3355</v>
      </c>
      <c r="F8517" s="1688"/>
      <c r="G8517" s="1408" t="s">
        <v>23</v>
      </c>
      <c r="H8517" s="391">
        <v>15</v>
      </c>
      <c r="M8517" s="1357"/>
      <c r="Q8517" s="1357"/>
      <c r="S8517" s="1420"/>
      <c r="T8517" s="1420"/>
      <c r="V8517" s="1357">
        <v>19</v>
      </c>
    </row>
    <row r="8518" spans="1:22" s="841" customFormat="1" ht="15" x14ac:dyDescent="0.25">
      <c r="A8518" s="841" t="s">
        <v>244</v>
      </c>
      <c r="E8518" s="1688" t="s">
        <v>3140</v>
      </c>
      <c r="F8518" s="1688"/>
      <c r="G8518" s="1408" t="s">
        <v>23</v>
      </c>
      <c r="H8518" s="391">
        <v>15</v>
      </c>
      <c r="M8518" s="1357"/>
      <c r="Q8518" s="1357"/>
      <c r="S8518" s="1420"/>
      <c r="T8518" s="1420"/>
      <c r="V8518" s="1357">
        <v>20</v>
      </c>
    </row>
    <row r="8519" spans="1:22" s="841" customFormat="1" ht="15" x14ac:dyDescent="0.25">
      <c r="A8519" s="841" t="s">
        <v>244</v>
      </c>
      <c r="E8519" s="1688" t="s">
        <v>3141</v>
      </c>
      <c r="F8519" s="1688"/>
      <c r="G8519" s="1408" t="s">
        <v>23</v>
      </c>
      <c r="H8519" s="391">
        <v>15</v>
      </c>
      <c r="M8519" s="1357"/>
      <c r="Q8519" s="1357"/>
      <c r="S8519" s="1420"/>
      <c r="T8519" s="1420"/>
      <c r="V8519" s="1357">
        <v>26</v>
      </c>
    </row>
    <row r="8520" spans="1:22" s="841" customFormat="1" ht="15" x14ac:dyDescent="0.25">
      <c r="A8520" s="841" t="s">
        <v>244</v>
      </c>
      <c r="E8520" s="1688" t="s">
        <v>3142</v>
      </c>
      <c r="F8520" s="1688"/>
      <c r="G8520" s="1408" t="s">
        <v>23</v>
      </c>
      <c r="H8520" s="391">
        <v>15</v>
      </c>
      <c r="M8520" s="1357"/>
      <c r="Q8520" s="1357"/>
      <c r="S8520" s="1420"/>
      <c r="T8520" s="1420"/>
      <c r="V8520" s="1357">
        <v>39</v>
      </c>
    </row>
    <row r="8521" spans="1:22" s="841" customFormat="1" ht="15" x14ac:dyDescent="0.25">
      <c r="A8521" s="841" t="s">
        <v>244</v>
      </c>
      <c r="E8521" s="1688" t="s">
        <v>3143</v>
      </c>
      <c r="F8521" s="1688"/>
      <c r="G8521" s="1408" t="s">
        <v>23</v>
      </c>
      <c r="H8521" s="391">
        <v>15</v>
      </c>
      <c r="M8521" s="1357"/>
      <c r="Q8521" s="1357"/>
      <c r="S8521" s="1420"/>
      <c r="T8521" s="1420"/>
      <c r="V8521" s="1357">
        <v>37</v>
      </c>
    </row>
    <row r="8522" spans="1:22" s="841" customFormat="1" ht="15" x14ac:dyDescent="0.25">
      <c r="A8522" s="841" t="s">
        <v>244</v>
      </c>
      <c r="E8522" s="1688" t="s">
        <v>4770</v>
      </c>
      <c r="F8522" s="1688"/>
      <c r="G8522" s="1408" t="s">
        <v>23</v>
      </c>
      <c r="H8522" s="391">
        <v>15</v>
      </c>
      <c r="M8522" s="1357"/>
      <c r="Q8522" s="1357"/>
      <c r="S8522" s="1420"/>
      <c r="T8522" s="1420"/>
      <c r="V8522" s="1357">
        <v>15</v>
      </c>
    </row>
    <row r="8523" spans="1:22" s="841" customFormat="1" ht="15" x14ac:dyDescent="0.25">
      <c r="A8523" s="841" t="s">
        <v>244</v>
      </c>
      <c r="E8523" s="1688" t="s">
        <v>3145</v>
      </c>
      <c r="F8523" s="1688"/>
      <c r="G8523" s="1408" t="s">
        <v>23</v>
      </c>
      <c r="H8523" s="391">
        <v>15</v>
      </c>
      <c r="M8523" s="1357"/>
      <c r="Q8523" s="1357"/>
      <c r="S8523" s="1420"/>
      <c r="T8523" s="1420"/>
      <c r="V8523" s="1357">
        <v>17</v>
      </c>
    </row>
    <row r="8524" spans="1:22" s="841" customFormat="1" ht="15" x14ac:dyDescent="0.25">
      <c r="A8524" s="841" t="s">
        <v>244</v>
      </c>
      <c r="E8524" s="1688" t="s">
        <v>3146</v>
      </c>
      <c r="F8524" s="1688"/>
      <c r="G8524" s="1408" t="s">
        <v>23</v>
      </c>
      <c r="H8524" s="391">
        <v>15</v>
      </c>
      <c r="M8524" s="1357"/>
      <c r="Q8524" s="1357"/>
      <c r="S8524" s="1420"/>
      <c r="T8524" s="1420"/>
      <c r="V8524" s="1357">
        <v>19</v>
      </c>
    </row>
    <row r="8525" spans="1:22" s="841" customFormat="1" ht="15" x14ac:dyDescent="0.25">
      <c r="A8525" s="841" t="s">
        <v>244</v>
      </c>
      <c r="E8525" s="1688" t="s">
        <v>3147</v>
      </c>
      <c r="F8525" s="1688"/>
      <c r="G8525" s="1408" t="s">
        <v>23</v>
      </c>
      <c r="H8525" s="391">
        <v>15</v>
      </c>
      <c r="M8525" s="1357"/>
      <c r="Q8525" s="1357"/>
      <c r="S8525" s="1420"/>
      <c r="T8525" s="1420"/>
      <c r="V8525" s="1357">
        <v>15</v>
      </c>
    </row>
    <row r="8526" spans="1:22" s="841" customFormat="1" ht="15" x14ac:dyDescent="0.25">
      <c r="A8526" s="841" t="s">
        <v>244</v>
      </c>
      <c r="E8526" s="1688" t="s">
        <v>3148</v>
      </c>
      <c r="F8526" s="1688"/>
      <c r="G8526" s="1408" t="s">
        <v>23</v>
      </c>
      <c r="H8526" s="391">
        <v>15</v>
      </c>
      <c r="M8526" s="1357"/>
      <c r="Q8526" s="1357"/>
      <c r="S8526" s="1420"/>
      <c r="T8526" s="1420"/>
      <c r="V8526" s="1357">
        <v>56</v>
      </c>
    </row>
    <row r="8527" spans="1:22" s="841" customFormat="1" ht="15" x14ac:dyDescent="0.25">
      <c r="A8527" s="841" t="s">
        <v>244</v>
      </c>
      <c r="E8527" s="1688" t="s">
        <v>123</v>
      </c>
      <c r="F8527" s="1688"/>
      <c r="G8527" s="1408" t="s">
        <v>23</v>
      </c>
      <c r="H8527" s="391">
        <v>15</v>
      </c>
      <c r="M8527" s="1357"/>
      <c r="Q8527" s="1357"/>
      <c r="S8527" s="1420"/>
      <c r="T8527" s="1420"/>
      <c r="V8527" s="1357">
        <v>35</v>
      </c>
    </row>
    <row r="8528" spans="1:22" s="841" customFormat="1" ht="15" x14ac:dyDescent="0.25">
      <c r="A8528" s="841" t="s">
        <v>244</v>
      </c>
      <c r="E8528" s="1688" t="s">
        <v>3151</v>
      </c>
      <c r="F8528" s="1688"/>
      <c r="G8528" s="1408" t="s">
        <v>23</v>
      </c>
      <c r="H8528" s="391">
        <v>15</v>
      </c>
      <c r="M8528" s="1357"/>
      <c r="Q8528" s="1357"/>
      <c r="S8528" s="1420"/>
      <c r="T8528" s="1420"/>
      <c r="V8528" s="1357">
        <v>19</v>
      </c>
    </row>
    <row r="8529" spans="1:22" s="841" customFormat="1" ht="15" x14ac:dyDescent="0.25">
      <c r="A8529" s="841" t="s">
        <v>244</v>
      </c>
      <c r="E8529" s="1688" t="s">
        <v>88</v>
      </c>
      <c r="F8529" s="1688"/>
      <c r="G8529" s="1408" t="s">
        <v>23</v>
      </c>
      <c r="H8529" s="391">
        <v>30</v>
      </c>
      <c r="M8529" s="1357"/>
      <c r="Q8529" s="1357"/>
      <c r="S8529" s="1420"/>
      <c r="T8529" s="1420"/>
      <c r="V8529" s="1357">
        <v>89</v>
      </c>
    </row>
    <row r="8530" spans="1:22" s="841" customFormat="1" ht="15" x14ac:dyDescent="0.25">
      <c r="A8530" s="841" t="s">
        <v>244</v>
      </c>
      <c r="E8530" s="1688" t="s">
        <v>94</v>
      </c>
      <c r="F8530" s="1688"/>
      <c r="G8530" s="1408" t="s">
        <v>23</v>
      </c>
      <c r="H8530" s="391">
        <v>30</v>
      </c>
      <c r="M8530" s="1357"/>
      <c r="Q8530" s="1357"/>
      <c r="S8530" s="1420"/>
      <c r="T8530" s="1420"/>
      <c r="V8530" s="1357">
        <v>19</v>
      </c>
    </row>
    <row r="8531" spans="1:22" s="841" customFormat="1" ht="15" x14ac:dyDescent="0.25">
      <c r="A8531" s="841" t="s">
        <v>244</v>
      </c>
      <c r="E8531" s="1688" t="s">
        <v>92</v>
      </c>
      <c r="F8531" s="1688"/>
      <c r="G8531" s="1408" t="s">
        <v>23</v>
      </c>
      <c r="H8531" s="391">
        <v>30</v>
      </c>
      <c r="M8531" s="1357"/>
      <c r="Q8531" s="1357"/>
      <c r="S8531" s="1420"/>
      <c r="T8531" s="1420"/>
      <c r="V8531" s="1357">
        <v>74</v>
      </c>
    </row>
    <row r="8532" spans="1:22" s="841" customFormat="1" ht="15" x14ac:dyDescent="0.25">
      <c r="A8532" s="841" t="s">
        <v>244</v>
      </c>
      <c r="E8532" s="1370" t="s">
        <v>3152</v>
      </c>
      <c r="F8532" s="500"/>
      <c r="G8532" s="500"/>
      <c r="H8532" s="501"/>
      <c r="K8532" s="841" t="s">
        <v>4759</v>
      </c>
      <c r="M8532" s="1357"/>
      <c r="Q8532" s="1357"/>
      <c r="S8532" s="1420"/>
      <c r="T8532" s="1420"/>
      <c r="V8532" s="1357">
        <v>22</v>
      </c>
    </row>
    <row r="8533" spans="1:22" s="841" customFormat="1" ht="15" x14ac:dyDescent="0.25">
      <c r="A8533" s="841" t="s">
        <v>244</v>
      </c>
      <c r="E8533" s="1688" t="s">
        <v>5137</v>
      </c>
      <c r="F8533" s="1688"/>
      <c r="G8533" s="1408" t="s">
        <v>86</v>
      </c>
      <c r="H8533" s="391">
        <v>1.5</v>
      </c>
      <c r="M8533" s="1357"/>
      <c r="Q8533" s="1357"/>
      <c r="S8533" s="1420"/>
      <c r="T8533" s="1420"/>
      <c r="V8533" s="1357">
        <v>24</v>
      </c>
    </row>
    <row r="8534" spans="1:22" s="841" customFormat="1" ht="15" x14ac:dyDescent="0.25">
      <c r="A8534" s="841" t="s">
        <v>244</v>
      </c>
      <c r="E8534" s="1688" t="s">
        <v>4772</v>
      </c>
      <c r="F8534" s="1688"/>
      <c r="G8534" s="1408" t="s">
        <v>86</v>
      </c>
      <c r="H8534" s="391">
        <v>19.559999999999999</v>
      </c>
      <c r="M8534" s="1357"/>
      <c r="Q8534" s="1357"/>
      <c r="S8534" s="1420"/>
      <c r="T8534" s="1420"/>
      <c r="V8534" s="1357">
        <v>24</v>
      </c>
    </row>
    <row r="8535" spans="1:22" s="841" customFormat="1" ht="15" x14ac:dyDescent="0.25">
      <c r="A8535" s="841" t="s">
        <v>244</v>
      </c>
      <c r="E8535" s="1688" t="s">
        <v>3288</v>
      </c>
      <c r="F8535" s="1688"/>
      <c r="G8535" s="1408" t="s">
        <v>23</v>
      </c>
      <c r="H8535" s="391">
        <v>30</v>
      </c>
      <c r="M8535" s="1357"/>
      <c r="Q8535" s="1357"/>
      <c r="S8535" s="1420"/>
      <c r="T8535" s="1420"/>
      <c r="V8535" s="1357">
        <v>47</v>
      </c>
    </row>
    <row r="8536" spans="1:22" s="841" customFormat="1" ht="15" x14ac:dyDescent="0.25">
      <c r="A8536" s="841" t="s">
        <v>244</v>
      </c>
      <c r="E8536" s="1688" t="s">
        <v>3157</v>
      </c>
      <c r="F8536" s="1688"/>
      <c r="G8536" s="1408" t="s">
        <v>23</v>
      </c>
      <c r="H8536" s="391">
        <v>165</v>
      </c>
      <c r="M8536" s="1357"/>
      <c r="Q8536" s="1357"/>
      <c r="S8536" s="1420"/>
      <c r="T8536" s="1420"/>
      <c r="V8536" s="1357">
        <v>69</v>
      </c>
    </row>
    <row r="8537" spans="1:22" s="841" customFormat="1" ht="15" x14ac:dyDescent="0.25">
      <c r="A8537" s="841" t="s">
        <v>244</v>
      </c>
      <c r="E8537" s="1688" t="s">
        <v>4773</v>
      </c>
      <c r="F8537" s="1688"/>
      <c r="G8537" s="1408" t="s">
        <v>23</v>
      </c>
      <c r="H8537" s="391">
        <v>65</v>
      </c>
      <c r="M8537" s="1357"/>
      <c r="Q8537" s="1357"/>
      <c r="S8537" s="1420"/>
      <c r="T8537" s="1420"/>
      <c r="V8537" s="1357">
        <v>52</v>
      </c>
    </row>
    <row r="8538" spans="1:22" s="841" customFormat="1" ht="15" x14ac:dyDescent="0.25">
      <c r="A8538" s="841" t="s">
        <v>244</v>
      </c>
      <c r="E8538" s="1688" t="s">
        <v>4774</v>
      </c>
      <c r="F8538" s="1688"/>
      <c r="G8538" s="1408" t="s">
        <v>23</v>
      </c>
      <c r="H8538" s="391">
        <v>185</v>
      </c>
      <c r="M8538" s="1357"/>
      <c r="Q8538" s="1357"/>
      <c r="S8538" s="1420"/>
      <c r="T8538" s="1420"/>
      <c r="V8538" s="1357">
        <v>51</v>
      </c>
    </row>
    <row r="8539" spans="1:22" s="841" customFormat="1" ht="15" x14ac:dyDescent="0.25">
      <c r="A8539" s="841" t="s">
        <v>244</v>
      </c>
      <c r="E8539" s="1688" t="s">
        <v>4775</v>
      </c>
      <c r="F8539" s="1688"/>
      <c r="G8539" s="1408" t="s">
        <v>23</v>
      </c>
      <c r="H8539" s="391">
        <v>185</v>
      </c>
      <c r="M8539" s="1357"/>
      <c r="Q8539" s="1357"/>
      <c r="S8539" s="1420"/>
      <c r="T8539" s="1420"/>
      <c r="V8539" s="1357">
        <v>51</v>
      </c>
    </row>
    <row r="8540" spans="1:22" s="841" customFormat="1" ht="15" x14ac:dyDescent="0.25">
      <c r="A8540" s="841" t="s">
        <v>244</v>
      </c>
      <c r="E8540" s="1688" t="s">
        <v>4776</v>
      </c>
      <c r="F8540" s="1688"/>
      <c r="G8540" s="1408" t="s">
        <v>23</v>
      </c>
      <c r="H8540" s="391">
        <v>415</v>
      </c>
      <c r="M8540" s="1357"/>
      <c r="Q8540" s="1357"/>
      <c r="S8540" s="1420"/>
      <c r="T8540" s="1420"/>
      <c r="V8540" s="1357">
        <v>50</v>
      </c>
    </row>
    <row r="8541" spans="1:22" s="841" customFormat="1" ht="15" x14ac:dyDescent="0.25">
      <c r="A8541" s="841" t="s">
        <v>244</v>
      </c>
      <c r="E8541" s="1688" t="s">
        <v>4777</v>
      </c>
      <c r="F8541" s="1688"/>
      <c r="G8541" s="1408" t="s">
        <v>23</v>
      </c>
      <c r="H8541" s="391">
        <v>65</v>
      </c>
      <c r="M8541" s="1357"/>
      <c r="Q8541" s="1357"/>
      <c r="S8541" s="1420"/>
      <c r="T8541" s="1420"/>
      <c r="V8541" s="1357">
        <v>57</v>
      </c>
    </row>
    <row r="8542" spans="1:22" s="841" customFormat="1" ht="15" x14ac:dyDescent="0.25">
      <c r="A8542" s="841" t="s">
        <v>244</v>
      </c>
      <c r="E8542" s="1688" t="s">
        <v>4778</v>
      </c>
      <c r="F8542" s="1688"/>
      <c r="G8542" s="1408" t="s">
        <v>23</v>
      </c>
      <c r="H8542" s="391">
        <v>185</v>
      </c>
      <c r="M8542" s="1357"/>
      <c r="Q8542" s="1357"/>
      <c r="S8542" s="1420"/>
      <c r="T8542" s="1420"/>
      <c r="V8542" s="1357">
        <v>56</v>
      </c>
    </row>
    <row r="8543" spans="1:22" s="841" customFormat="1" ht="15" x14ac:dyDescent="0.25">
      <c r="A8543" s="841" t="s">
        <v>244</v>
      </c>
      <c r="E8543" s="1370" t="s">
        <v>3164</v>
      </c>
      <c r="F8543" s="1403"/>
      <c r="G8543" s="502"/>
      <c r="H8543" s="395"/>
      <c r="M8543" s="1357"/>
      <c r="Q8543" s="1357"/>
      <c r="S8543" s="1420"/>
      <c r="T8543" s="1420"/>
      <c r="V8543" s="1357">
        <v>5</v>
      </c>
    </row>
    <row r="8544" spans="1:22" s="841" customFormat="1" ht="15" x14ac:dyDescent="0.25">
      <c r="A8544" s="841" t="s">
        <v>244</v>
      </c>
      <c r="E8544" s="1688" t="s">
        <v>3167</v>
      </c>
      <c r="F8544" s="1688"/>
      <c r="G8544" s="1408" t="s">
        <v>23</v>
      </c>
      <c r="H8544" s="391">
        <v>30</v>
      </c>
      <c r="M8544" s="1357"/>
      <c r="Q8544" s="1357"/>
      <c r="S8544" s="1420"/>
      <c r="T8544" s="1420"/>
      <c r="V8544" s="1357">
        <v>39</v>
      </c>
    </row>
    <row r="8545" spans="1:22" s="841" customFormat="1" ht="15" x14ac:dyDescent="0.25">
      <c r="A8545" s="841" t="s">
        <v>244</v>
      </c>
      <c r="E8545" s="1688" t="s">
        <v>3168</v>
      </c>
      <c r="F8545" s="1688"/>
      <c r="G8545" s="1408" t="s">
        <v>23</v>
      </c>
      <c r="H8545" s="391">
        <v>165</v>
      </c>
      <c r="M8545" s="1357"/>
      <c r="Q8545" s="1357"/>
      <c r="S8545" s="1420"/>
      <c r="T8545" s="1420"/>
      <c r="V8545" s="1357">
        <v>34</v>
      </c>
    </row>
    <row r="8546" spans="1:22" s="841" customFormat="1" ht="15" x14ac:dyDescent="0.25">
      <c r="A8546" s="841" t="s">
        <v>244</v>
      </c>
      <c r="E8546" s="1688" t="s">
        <v>3434</v>
      </c>
      <c r="F8546" s="1688"/>
      <c r="G8546" s="1408" t="s">
        <v>23</v>
      </c>
      <c r="H8546" s="391">
        <v>500</v>
      </c>
      <c r="M8546" s="1357"/>
      <c r="Q8546" s="1357"/>
      <c r="S8546" s="1420"/>
      <c r="T8546" s="1420"/>
      <c r="V8546" s="1357">
        <v>64</v>
      </c>
    </row>
    <row r="8547" spans="1:22" s="841" customFormat="1" ht="15" x14ac:dyDescent="0.25">
      <c r="A8547" s="841" t="s">
        <v>244</v>
      </c>
      <c r="E8547" s="1688" t="s">
        <v>3489</v>
      </c>
      <c r="F8547" s="1688"/>
      <c r="G8547" s="1408" t="s">
        <v>23</v>
      </c>
      <c r="H8547" s="391">
        <v>300</v>
      </c>
      <c r="M8547" s="1357"/>
      <c r="Q8547" s="1357"/>
      <c r="S8547" s="1420"/>
      <c r="T8547" s="1420"/>
      <c r="V8547" s="1357">
        <v>67</v>
      </c>
    </row>
    <row r="8548" spans="1:22" s="841" customFormat="1" ht="15" x14ac:dyDescent="0.25">
      <c r="A8548" s="841" t="s">
        <v>244</v>
      </c>
      <c r="E8548" s="1688" t="s">
        <v>3490</v>
      </c>
      <c r="F8548" s="1688"/>
      <c r="G8548" s="1408" t="s">
        <v>23</v>
      </c>
      <c r="H8548" s="391">
        <v>1000</v>
      </c>
      <c r="M8548" s="1357"/>
      <c r="Q8548" s="1357"/>
      <c r="S8548" s="1420"/>
      <c r="T8548" s="1420"/>
      <c r="V8548" s="1357">
        <v>66</v>
      </c>
    </row>
    <row r="8549" spans="1:22" s="841" customFormat="1" ht="15" x14ac:dyDescent="0.25">
      <c r="A8549" s="841" t="s">
        <v>244</v>
      </c>
      <c r="E8549" s="1688" t="s">
        <v>3491</v>
      </c>
      <c r="F8549" s="1688"/>
      <c r="G8549" s="1408" t="s">
        <v>23</v>
      </c>
      <c r="H8549" s="391">
        <v>22.35</v>
      </c>
      <c r="M8549" s="1357"/>
      <c r="Q8549" s="1357"/>
      <c r="S8549" s="1420"/>
      <c r="T8549" s="1420"/>
      <c r="V8549" s="1357">
        <v>59</v>
      </c>
    </row>
    <row r="8550" spans="1:22" s="841" customFormat="1" ht="15" x14ac:dyDescent="0.25">
      <c r="A8550" s="841" t="s">
        <v>244</v>
      </c>
      <c r="E8550" s="1688" t="s">
        <v>3166</v>
      </c>
      <c r="F8550" s="1688"/>
      <c r="G8550" s="1408"/>
      <c r="H8550" s="391"/>
      <c r="M8550" s="1357"/>
      <c r="Q8550" s="1357"/>
      <c r="S8550" s="1420"/>
      <c r="T8550" s="1420"/>
      <c r="V8550" s="1357">
        <v>44</v>
      </c>
    </row>
    <row r="8551" spans="1:22" s="841" customFormat="1" ht="36" x14ac:dyDescent="0.25">
      <c r="A8551" s="841" t="s">
        <v>244</v>
      </c>
      <c r="E8551" s="1374" t="s">
        <v>77</v>
      </c>
      <c r="F8551" s="661"/>
      <c r="G8551" s="661"/>
      <c r="H8551" s="662"/>
      <c r="K8551" s="841" t="s">
        <v>4760</v>
      </c>
      <c r="M8551" s="1357"/>
      <c r="Q8551" s="1357"/>
      <c r="S8551" s="1420"/>
      <c r="T8551" s="1420"/>
      <c r="V8551" s="1357">
        <v>38</v>
      </c>
    </row>
    <row r="8552" spans="1:22" s="841" customFormat="1" ht="15" x14ac:dyDescent="0.25">
      <c r="A8552" s="841" t="s">
        <v>244</v>
      </c>
      <c r="E8552" s="1689" t="s">
        <v>3063</v>
      </c>
      <c r="F8552" s="1689"/>
      <c r="G8552" s="1689"/>
      <c r="H8552" s="1689"/>
      <c r="M8552" s="1357"/>
      <c r="Q8552" s="1357"/>
      <c r="S8552" s="1420"/>
      <c r="T8552" s="1420"/>
      <c r="V8552" s="1357">
        <v>280</v>
      </c>
    </row>
    <row r="8553" spans="1:22" s="841" customFormat="1" ht="15" x14ac:dyDescent="0.25">
      <c r="A8553" s="841" t="s">
        <v>244</v>
      </c>
      <c r="E8553" s="1689" t="s">
        <v>3064</v>
      </c>
      <c r="F8553" s="1689"/>
      <c r="G8553" s="1689"/>
      <c r="H8553" s="1689"/>
      <c r="M8553" s="1357"/>
      <c r="Q8553" s="1357"/>
      <c r="S8553" s="1420"/>
      <c r="T8553" s="1420"/>
      <c r="V8553" s="1357">
        <v>411</v>
      </c>
    </row>
    <row r="8554" spans="1:22" s="841" customFormat="1" ht="15" x14ac:dyDescent="0.25">
      <c r="A8554" s="841" t="s">
        <v>244</v>
      </c>
      <c r="E8554" s="1689" t="s">
        <v>3129</v>
      </c>
      <c r="F8554" s="1689"/>
      <c r="G8554" s="1689"/>
      <c r="H8554" s="1689"/>
      <c r="M8554" s="1357"/>
      <c r="Q8554" s="1357"/>
      <c r="S8554" s="1420"/>
      <c r="T8554" s="1420"/>
      <c r="V8554" s="1357">
        <v>211</v>
      </c>
    </row>
    <row r="8555" spans="1:22" s="841" customFormat="1" ht="15" x14ac:dyDescent="0.25">
      <c r="A8555" s="841" t="s">
        <v>244</v>
      </c>
      <c r="E8555" s="1689" t="s">
        <v>3200</v>
      </c>
      <c r="F8555" s="1689"/>
      <c r="G8555" s="1689"/>
      <c r="H8555" s="1689"/>
      <c r="M8555" s="1357"/>
      <c r="Q8555" s="1357"/>
      <c r="S8555" s="1420"/>
      <c r="T8555" s="1420"/>
      <c r="V8555" s="1357">
        <v>275</v>
      </c>
    </row>
    <row r="8556" spans="1:22" s="841" customFormat="1" ht="15" x14ac:dyDescent="0.25">
      <c r="A8556" s="841" t="s">
        <v>244</v>
      </c>
      <c r="E8556" s="1689" t="s">
        <v>3291</v>
      </c>
      <c r="F8556" s="1689"/>
      <c r="G8556" s="1689"/>
      <c r="H8556" s="1689"/>
      <c r="M8556" s="1357"/>
      <c r="Q8556" s="1357"/>
      <c r="S8556" s="1420"/>
      <c r="T8556" s="1420"/>
      <c r="V8556" s="1357">
        <v>142</v>
      </c>
    </row>
    <row r="8557" spans="1:22" s="841" customFormat="1" ht="15" x14ac:dyDescent="0.25">
      <c r="A8557" s="841" t="s">
        <v>244</v>
      </c>
      <c r="E8557" s="1690" t="s">
        <v>3176</v>
      </c>
      <c r="F8557" s="1690"/>
      <c r="G8557" s="502" t="s">
        <v>23</v>
      </c>
      <c r="H8557" s="395">
        <v>100</v>
      </c>
      <c r="M8557" s="1357"/>
      <c r="Q8557" s="1357"/>
      <c r="S8557" s="1420"/>
      <c r="T8557" s="1420"/>
      <c r="V8557" s="1357">
        <v>106</v>
      </c>
    </row>
    <row r="8558" spans="1:22" s="841" customFormat="1" ht="15" x14ac:dyDescent="0.25">
      <c r="A8558" s="841" t="s">
        <v>244</v>
      </c>
      <c r="E8558" s="1690" t="s">
        <v>5140</v>
      </c>
      <c r="F8558" s="1690"/>
      <c r="G8558" s="502" t="s">
        <v>23</v>
      </c>
      <c r="H8558" s="395">
        <v>20</v>
      </c>
      <c r="M8558" s="1357"/>
      <c r="Q8558" s="1357"/>
      <c r="S8558" s="1420"/>
      <c r="T8558" s="1420"/>
      <c r="V8558" s="1357">
        <v>34</v>
      </c>
    </row>
    <row r="8559" spans="1:22" s="841" customFormat="1" ht="15" x14ac:dyDescent="0.25">
      <c r="A8559" s="841" t="s">
        <v>244</v>
      </c>
      <c r="E8559" s="1690" t="s">
        <v>5141</v>
      </c>
      <c r="F8559" s="1690"/>
      <c r="G8559" s="502" t="s">
        <v>3179</v>
      </c>
      <c r="H8559" s="395">
        <v>0.5</v>
      </c>
      <c r="M8559" s="1357"/>
      <c r="Q8559" s="1357"/>
      <c r="S8559" s="1420"/>
      <c r="T8559" s="1420"/>
      <c r="V8559" s="1357">
        <v>51</v>
      </c>
    </row>
    <row r="8560" spans="1:22" s="841" customFormat="1" ht="15" x14ac:dyDescent="0.25">
      <c r="A8560" s="841" t="s">
        <v>244</v>
      </c>
      <c r="E8560" s="1690" t="s">
        <v>3180</v>
      </c>
      <c r="F8560" s="1690"/>
      <c r="G8560" s="502" t="s">
        <v>3179</v>
      </c>
      <c r="H8560" s="395">
        <v>0.3</v>
      </c>
      <c r="M8560" s="1357"/>
      <c r="Q8560" s="1357"/>
      <c r="S8560" s="1420"/>
      <c r="T8560" s="1420"/>
      <c r="V8560" s="1357">
        <v>75</v>
      </c>
    </row>
    <row r="8561" spans="1:22" s="841" customFormat="1" ht="15" x14ac:dyDescent="0.25">
      <c r="A8561" s="841" t="s">
        <v>244</v>
      </c>
      <c r="E8561" s="1690" t="s">
        <v>3181</v>
      </c>
      <c r="F8561" s="1690"/>
      <c r="G8561" s="502" t="s">
        <v>3179</v>
      </c>
      <c r="H8561" s="395">
        <v>-0.3</v>
      </c>
      <c r="M8561" s="1357"/>
      <c r="Q8561" s="1357"/>
      <c r="S8561" s="1420"/>
      <c r="T8561" s="1420"/>
      <c r="V8561" s="1357">
        <v>72</v>
      </c>
    </row>
    <row r="8562" spans="1:22" s="841" customFormat="1" ht="15" x14ac:dyDescent="0.25">
      <c r="A8562" s="841" t="s">
        <v>244</v>
      </c>
      <c r="E8562" s="1690" t="s">
        <v>3292</v>
      </c>
      <c r="F8562" s="1690"/>
      <c r="G8562" s="502"/>
      <c r="H8562" s="503"/>
      <c r="M8562" s="1357"/>
      <c r="Q8562" s="1357"/>
      <c r="S8562" s="1420"/>
      <c r="T8562" s="1420"/>
      <c r="V8562" s="1357">
        <v>34</v>
      </c>
    </row>
    <row r="8563" spans="1:22" s="841" customFormat="1" ht="15" x14ac:dyDescent="0.25">
      <c r="A8563" s="841" t="s">
        <v>244</v>
      </c>
      <c r="E8563" s="1691" t="s">
        <v>3183</v>
      </c>
      <c r="F8563" s="1691"/>
      <c r="G8563" s="502" t="s">
        <v>23</v>
      </c>
      <c r="H8563" s="395">
        <v>0.25</v>
      </c>
      <c r="M8563" s="1357"/>
      <c r="Q8563" s="1357"/>
      <c r="S8563" s="1420"/>
      <c r="T8563" s="1420"/>
      <c r="V8563" s="1357">
        <v>57</v>
      </c>
    </row>
    <row r="8564" spans="1:22" s="841" customFormat="1" ht="15" x14ac:dyDescent="0.25">
      <c r="A8564" s="841" t="s">
        <v>244</v>
      </c>
      <c r="E8564" s="1691" t="s">
        <v>3184</v>
      </c>
      <c r="F8564" s="1691"/>
      <c r="G8564" s="502" t="s">
        <v>23</v>
      </c>
      <c r="H8564" s="395">
        <v>0.5</v>
      </c>
      <c r="M8564" s="1357"/>
      <c r="Q8564" s="1357"/>
      <c r="S8564" s="1420"/>
      <c r="T8564" s="1420"/>
      <c r="V8564" s="1357">
        <v>60</v>
      </c>
    </row>
    <row r="8565" spans="1:22" s="841" customFormat="1" ht="15" x14ac:dyDescent="0.25">
      <c r="A8565" s="841" t="s">
        <v>244</v>
      </c>
      <c r="E8565" s="1690" t="s">
        <v>3185</v>
      </c>
      <c r="F8565" s="1690"/>
      <c r="G8565" s="502"/>
      <c r="H8565" s="503"/>
      <c r="M8565" s="1357"/>
      <c r="Q8565" s="1357"/>
      <c r="S8565" s="1420"/>
      <c r="T8565" s="1420"/>
      <c r="V8565" s="1357">
        <v>91</v>
      </c>
    </row>
    <row r="8566" spans="1:22" s="841" customFormat="1" ht="15" x14ac:dyDescent="0.25">
      <c r="A8566" s="841" t="s">
        <v>244</v>
      </c>
      <c r="E8566" s="1690" t="s">
        <v>3186</v>
      </c>
      <c r="F8566" s="1690"/>
      <c r="G8566" s="502"/>
      <c r="H8566" s="503"/>
      <c r="M8566" s="1357"/>
      <c r="Q8566" s="1357"/>
      <c r="S8566" s="1420"/>
      <c r="T8566" s="1420"/>
      <c r="V8566" s="1357">
        <v>96</v>
      </c>
    </row>
    <row r="8567" spans="1:22" s="841" customFormat="1" ht="15" x14ac:dyDescent="0.25">
      <c r="A8567" s="841" t="s">
        <v>244</v>
      </c>
      <c r="E8567" s="1690" t="s">
        <v>3293</v>
      </c>
      <c r="F8567" s="1690"/>
      <c r="G8567" s="502"/>
      <c r="H8567" s="503"/>
      <c r="M8567" s="1357"/>
      <c r="Q8567" s="1357"/>
      <c r="S8567" s="1420"/>
      <c r="T8567" s="1420"/>
      <c r="V8567" s="1357">
        <v>77</v>
      </c>
    </row>
    <row r="8568" spans="1:22" s="841" customFormat="1" ht="15" x14ac:dyDescent="0.25">
      <c r="A8568" s="841" t="s">
        <v>244</v>
      </c>
      <c r="E8568" s="1691" t="s">
        <v>3188</v>
      </c>
      <c r="F8568" s="1691"/>
      <c r="G8568" s="502" t="s">
        <v>23</v>
      </c>
      <c r="H8568" s="503" t="s">
        <v>3189</v>
      </c>
      <c r="M8568" s="1357"/>
      <c r="Q8568" s="1357"/>
      <c r="S8568" s="1420"/>
      <c r="T8568" s="1420"/>
      <c r="V8568" s="1357">
        <v>18</v>
      </c>
    </row>
    <row r="8569" spans="1:22" s="841" customFormat="1" ht="15" x14ac:dyDescent="0.25">
      <c r="A8569" s="841" t="s">
        <v>244</v>
      </c>
      <c r="E8569" s="1691" t="s">
        <v>3190</v>
      </c>
      <c r="F8569" s="1691"/>
      <c r="G8569" s="502" t="s">
        <v>23</v>
      </c>
      <c r="H8569" s="395">
        <v>2</v>
      </c>
      <c r="M8569" s="1357"/>
      <c r="Q8569" s="1357"/>
      <c r="S8569" s="1420"/>
      <c r="T8569" s="1420"/>
      <c r="V8569" s="1357">
        <v>69</v>
      </c>
    </row>
    <row r="8570" spans="1:22" s="841" customFormat="1" ht="18.75" x14ac:dyDescent="0.25">
      <c r="A8570" s="841" t="s">
        <v>244</v>
      </c>
      <c r="E8570" s="1374" t="s">
        <v>147</v>
      </c>
      <c r="F8570" s="661"/>
      <c r="G8570" s="661"/>
      <c r="H8570" s="662"/>
      <c r="K8570" s="841" t="s">
        <v>4761</v>
      </c>
      <c r="M8570" s="1357"/>
      <c r="Q8570" s="1357"/>
      <c r="S8570" s="1420"/>
      <c r="T8570" s="1420"/>
      <c r="V8570" s="1357">
        <v>12</v>
      </c>
    </row>
    <row r="8571" spans="1:22" s="841" customFormat="1" ht="15" x14ac:dyDescent="0.25">
      <c r="A8571" s="841" t="s">
        <v>244</v>
      </c>
      <c r="E8571" s="1704" t="s">
        <v>3192</v>
      </c>
      <c r="F8571" s="1704"/>
      <c r="G8571" s="1704"/>
      <c r="H8571" s="1704"/>
      <c r="M8571" s="1357"/>
      <c r="Q8571" s="1357"/>
      <c r="S8571" s="1420"/>
      <c r="T8571" s="1420"/>
      <c r="V8571" s="1357">
        <v>203</v>
      </c>
    </row>
    <row r="8572" spans="1:22" s="841" customFormat="1" ht="15" x14ac:dyDescent="0.25">
      <c r="A8572" s="841" t="s">
        <v>244</v>
      </c>
      <c r="E8572" s="1690" t="s">
        <v>3295</v>
      </c>
      <c r="F8572" s="1690"/>
      <c r="G8572" s="1408"/>
      <c r="H8572" s="393">
        <v>1.0548</v>
      </c>
      <c r="M8572" s="1357"/>
      <c r="Q8572" s="1357"/>
      <c r="S8572" s="1420"/>
      <c r="T8572" s="1420"/>
      <c r="V8572" s="1357">
        <v>57</v>
      </c>
    </row>
    <row r="8573" spans="1:22" s="841" customFormat="1" ht="15" x14ac:dyDescent="0.25">
      <c r="A8573" s="841" t="s">
        <v>244</v>
      </c>
      <c r="E8573" s="1690" t="s">
        <v>3296</v>
      </c>
      <c r="F8573" s="1690"/>
      <c r="G8573" s="1408"/>
      <c r="H8573" s="393">
        <v>1.0172000000000001</v>
      </c>
      <c r="M8573" s="1357"/>
      <c r="Q8573" s="1357"/>
      <c r="S8573" s="1420"/>
      <c r="T8573" s="1420"/>
      <c r="V8573" s="1357">
        <v>57</v>
      </c>
    </row>
    <row r="8574" spans="1:22" s="841" customFormat="1" ht="15" x14ac:dyDescent="0.25">
      <c r="A8574" s="841" t="s">
        <v>244</v>
      </c>
      <c r="E8574" s="1690" t="s">
        <v>3297</v>
      </c>
      <c r="F8574" s="1690"/>
      <c r="G8574" s="1408"/>
      <c r="H8574" s="393">
        <v>1.0443</v>
      </c>
      <c r="M8574" s="1357"/>
      <c r="Q8574" s="1357"/>
      <c r="S8574" s="1420"/>
      <c r="T8574" s="1420"/>
      <c r="V8574" s="1357">
        <v>55</v>
      </c>
    </row>
    <row r="8575" spans="1:22" s="841" customFormat="1" ht="15" x14ac:dyDescent="0.25">
      <c r="A8575" s="841" t="s">
        <v>244</v>
      </c>
      <c r="E8575" s="1690" t="s">
        <v>3298</v>
      </c>
      <c r="F8575" s="1690"/>
      <c r="G8575" s="1408"/>
      <c r="H8575" s="393">
        <v>1.0069999999999999</v>
      </c>
      <c r="J8575" s="841" t="s">
        <v>4762</v>
      </c>
      <c r="M8575" s="1357"/>
      <c r="Q8575" s="1357"/>
      <c r="S8575" s="1420"/>
      <c r="T8575" s="1420"/>
      <c r="V8575" s="1357">
        <v>55</v>
      </c>
    </row>
    <row r="8576" spans="1:22" s="841" customFormat="1" ht="23.25" x14ac:dyDescent="0.25">
      <c r="A8576" s="841" t="s">
        <v>4874</v>
      </c>
      <c r="B8576" s="841" t="s">
        <v>5677</v>
      </c>
      <c r="C8576" s="841" t="s">
        <v>3050</v>
      </c>
      <c r="E8576" s="2044" t="s">
        <v>4874</v>
      </c>
      <c r="F8576" s="2044"/>
      <c r="G8576" s="2044"/>
      <c r="H8576" s="2044"/>
      <c r="I8576" s="841" t="s">
        <v>628</v>
      </c>
      <c r="J8576" s="841" t="s">
        <v>5678</v>
      </c>
      <c r="K8576" s="841" t="s">
        <v>4874</v>
      </c>
      <c r="M8576" s="1357">
        <v>9</v>
      </c>
      <c r="Q8576" s="1357"/>
      <c r="S8576" s="1420"/>
      <c r="T8576" s="1420"/>
      <c r="V8576" s="1357">
        <v>29</v>
      </c>
    </row>
    <row r="8577" spans="1:22" s="841" customFormat="1" ht="23.25" x14ac:dyDescent="0.25">
      <c r="A8577" s="841" t="s">
        <v>4874</v>
      </c>
      <c r="B8577" s="841" t="s">
        <v>5677</v>
      </c>
      <c r="C8577" s="841" t="s">
        <v>3052</v>
      </c>
      <c r="E8577" s="2044" t="s">
        <v>5100</v>
      </c>
      <c r="F8577" s="2044"/>
      <c r="G8577" s="2044"/>
      <c r="H8577" s="2044"/>
      <c r="M8577" s="1357"/>
      <c r="Q8577" s="1357"/>
      <c r="S8577" s="1420"/>
      <c r="T8577" s="1420"/>
      <c r="V8577" s="1357">
        <v>21</v>
      </c>
    </row>
    <row r="8578" spans="1:22" s="841" customFormat="1" x14ac:dyDescent="0.25">
      <c r="A8578" s="841" t="s">
        <v>4874</v>
      </c>
      <c r="B8578" s="841" t="s">
        <v>5677</v>
      </c>
      <c r="C8578" s="841" t="s">
        <v>3054</v>
      </c>
      <c r="E8578" s="2140" t="s">
        <v>3053</v>
      </c>
      <c r="F8578" s="2140"/>
      <c r="G8578" s="2140"/>
      <c r="H8578" s="2140"/>
      <c r="M8578" s="1357"/>
      <c r="Q8578" s="1357"/>
      <c r="S8578" s="1420"/>
      <c r="T8578" s="1420"/>
      <c r="V8578" s="1357">
        <v>27</v>
      </c>
    </row>
    <row r="8579" spans="1:22" s="841" customFormat="1" ht="15.75" x14ac:dyDescent="0.25">
      <c r="A8579" s="841" t="s">
        <v>4874</v>
      </c>
      <c r="B8579" s="841" t="s">
        <v>5677</v>
      </c>
      <c r="C8579" s="841" t="s">
        <v>3055</v>
      </c>
      <c r="E8579" s="2141" t="s">
        <v>5200</v>
      </c>
      <c r="F8579" s="2141"/>
      <c r="G8579" s="2141"/>
      <c r="H8579" s="2141"/>
      <c r="M8579" s="1357"/>
      <c r="Q8579" s="1357"/>
      <c r="R8579" s="841">
        <v>43101</v>
      </c>
      <c r="S8579" s="1420"/>
      <c r="T8579" s="1420"/>
      <c r="V8579" s="1357">
        <v>30</v>
      </c>
    </row>
    <row r="8580" spans="1:22" s="841" customFormat="1" ht="15.75" x14ac:dyDescent="0.25">
      <c r="A8580" s="841" t="s">
        <v>4874</v>
      </c>
      <c r="B8580" s="841" t="s">
        <v>5677</v>
      </c>
      <c r="E8580" s="2141" t="s">
        <v>5201</v>
      </c>
      <c r="F8580" s="2141"/>
      <c r="G8580" s="2141"/>
      <c r="H8580" s="2141"/>
      <c r="M8580" s="1357"/>
      <c r="Q8580" s="1357"/>
      <c r="S8580" s="1420">
        <v>43221</v>
      </c>
      <c r="T8580" s="1420"/>
      <c r="V8580" s="1357">
        <v>31</v>
      </c>
    </row>
    <row r="8581" spans="1:22" s="841" customFormat="1" ht="15" x14ac:dyDescent="0.25">
      <c r="A8581" s="841" t="s">
        <v>4874</v>
      </c>
      <c r="B8581" s="841" t="s">
        <v>5677</v>
      </c>
      <c r="E8581" s="2142" t="s">
        <v>3616</v>
      </c>
      <c r="F8581" s="2142"/>
      <c r="G8581" s="2142"/>
      <c r="H8581" s="2142"/>
      <c r="M8581" s="1357"/>
      <c r="Q8581" s="1357"/>
      <c r="S8581" s="1420"/>
      <c r="T8581" s="1420"/>
      <c r="V8581" s="1357">
        <v>53</v>
      </c>
    </row>
    <row r="8582" spans="1:22" s="841" customFormat="1" ht="15" x14ac:dyDescent="0.25">
      <c r="A8582" s="841" t="s">
        <v>4874</v>
      </c>
      <c r="B8582" s="841" t="s">
        <v>5677</v>
      </c>
      <c r="E8582" s="2142" t="s">
        <v>3057</v>
      </c>
      <c r="F8582" s="2142"/>
      <c r="G8582" s="2142"/>
      <c r="H8582" s="2142"/>
      <c r="M8582" s="1357"/>
      <c r="Q8582" s="1357"/>
      <c r="S8582" s="1420"/>
      <c r="T8582" s="1420"/>
      <c r="V8582" s="1357">
        <v>53</v>
      </c>
    </row>
    <row r="8583" spans="1:22" s="841" customFormat="1" x14ac:dyDescent="0.25">
      <c r="A8583" s="841" t="s">
        <v>4874</v>
      </c>
      <c r="B8583" s="841" t="s">
        <v>5677</v>
      </c>
      <c r="E8583" s="2143" t="s">
        <v>438</v>
      </c>
      <c r="F8583" s="2143"/>
      <c r="G8583" s="2143"/>
      <c r="H8583" s="2143"/>
      <c r="K8583" s="841" t="s">
        <v>3197</v>
      </c>
      <c r="M8583" s="1357"/>
      <c r="Q8583" s="1357"/>
      <c r="S8583" s="1420"/>
      <c r="T8583" s="1420"/>
      <c r="V8583" s="1357">
        <v>34</v>
      </c>
    </row>
    <row r="8584" spans="1:22" s="841" customFormat="1" ht="15" x14ac:dyDescent="0.25">
      <c r="A8584" s="841" t="s">
        <v>4874</v>
      </c>
      <c r="B8584" s="841" t="s">
        <v>5677</v>
      </c>
      <c r="E8584" s="1969" t="s">
        <v>5679</v>
      </c>
      <c r="F8584" s="1969"/>
      <c r="G8584" s="1969"/>
      <c r="H8584" s="1969"/>
      <c r="K8584" s="841" t="s">
        <v>3197</v>
      </c>
      <c r="M8584" s="1357"/>
      <c r="Q8584" s="1357"/>
      <c r="S8584" s="1420"/>
      <c r="T8584" s="1420"/>
      <c r="V8584" s="1357">
        <v>772</v>
      </c>
    </row>
    <row r="8585" spans="1:22" s="841" customFormat="1" ht="15" x14ac:dyDescent="0.25">
      <c r="A8585" s="841" t="s">
        <v>4874</v>
      </c>
      <c r="B8585" s="841" t="s">
        <v>5677</v>
      </c>
      <c r="E8585" s="2017" t="s">
        <v>3061</v>
      </c>
      <c r="F8585" s="2017"/>
      <c r="G8585" s="2048"/>
      <c r="H8585" s="2048"/>
      <c r="K8585" s="841" t="s">
        <v>3062</v>
      </c>
      <c r="M8585" s="1357"/>
      <c r="Q8585" s="1357"/>
      <c r="S8585" s="1420"/>
      <c r="T8585" s="1420"/>
      <c r="V8585" s="1357">
        <v>11</v>
      </c>
    </row>
    <row r="8586" spans="1:22" s="841" customFormat="1" ht="15" x14ac:dyDescent="0.25">
      <c r="A8586" s="841" t="s">
        <v>4874</v>
      </c>
      <c r="B8586" s="841" t="s">
        <v>5677</v>
      </c>
      <c r="E8586" s="1969" t="s">
        <v>3063</v>
      </c>
      <c r="F8586" s="1969"/>
      <c r="G8586" s="1969"/>
      <c r="H8586" s="1969"/>
      <c r="K8586" s="841" t="s">
        <v>3197</v>
      </c>
      <c r="M8586" s="1357"/>
      <c r="Q8586" s="1357"/>
      <c r="S8586" s="1420"/>
      <c r="T8586" s="1420"/>
      <c r="V8586" s="1357">
        <v>280</v>
      </c>
    </row>
    <row r="8587" spans="1:22" s="841" customFormat="1" ht="15" x14ac:dyDescent="0.25">
      <c r="A8587" s="841" t="s">
        <v>4874</v>
      </c>
      <c r="B8587" s="841" t="s">
        <v>5677</v>
      </c>
      <c r="E8587" s="1969" t="s">
        <v>3064</v>
      </c>
      <c r="F8587" s="1969"/>
      <c r="G8587" s="1969"/>
      <c r="H8587" s="1969"/>
      <c r="K8587" s="841" t="s">
        <v>3197</v>
      </c>
      <c r="M8587" s="1357"/>
      <c r="Q8587" s="1357"/>
      <c r="S8587" s="1420"/>
      <c r="T8587" s="1420"/>
      <c r="V8587" s="1357">
        <v>411</v>
      </c>
    </row>
    <row r="8588" spans="1:22" s="841" customFormat="1" ht="15" x14ac:dyDescent="0.25">
      <c r="A8588" s="841" t="s">
        <v>4874</v>
      </c>
      <c r="B8588" s="841" t="s">
        <v>5677</v>
      </c>
      <c r="E8588" s="1969" t="s">
        <v>5516</v>
      </c>
      <c r="F8588" s="1969"/>
      <c r="G8588" s="1969"/>
      <c r="H8588" s="1969"/>
      <c r="K8588" s="841" t="s">
        <v>3197</v>
      </c>
      <c r="M8588" s="1357"/>
      <c r="Q8588" s="1357"/>
      <c r="S8588" s="1420"/>
      <c r="T8588" s="1420"/>
      <c r="V8588" s="1357">
        <v>387</v>
      </c>
    </row>
    <row r="8589" spans="1:22" s="841" customFormat="1" ht="15" x14ac:dyDescent="0.25">
      <c r="A8589" s="841" t="s">
        <v>4874</v>
      </c>
      <c r="B8589" s="841" t="s">
        <v>5677</v>
      </c>
      <c r="E8589" s="1969" t="s">
        <v>3390</v>
      </c>
      <c r="F8589" s="1969"/>
      <c r="G8589" s="1969"/>
      <c r="H8589" s="1969"/>
      <c r="K8589" s="841" t="s">
        <v>3197</v>
      </c>
      <c r="M8589" s="1357"/>
      <c r="Q8589" s="1357"/>
      <c r="S8589" s="1420"/>
      <c r="T8589" s="1420"/>
      <c r="V8589" s="1357">
        <v>274</v>
      </c>
    </row>
    <row r="8590" spans="1:22" s="841" customFormat="1" ht="15" x14ac:dyDescent="0.25">
      <c r="A8590" s="841" t="s">
        <v>4874</v>
      </c>
      <c r="B8590" s="841" t="s">
        <v>5677</v>
      </c>
      <c r="E8590" s="1285" t="s">
        <v>5517</v>
      </c>
      <c r="F8590" s="1285"/>
      <c r="G8590" s="1111"/>
      <c r="H8590" s="621"/>
      <c r="K8590" s="841" t="s">
        <v>3068</v>
      </c>
      <c r="M8590" s="1357"/>
      <c r="Q8590" s="1357"/>
      <c r="S8590" s="1420"/>
      <c r="T8590" s="1420"/>
      <c r="V8590" s="1357">
        <v>46</v>
      </c>
    </row>
    <row r="8591" spans="1:22" s="841" customFormat="1" ht="15" x14ac:dyDescent="0.25">
      <c r="A8591" s="841" t="s">
        <v>4874</v>
      </c>
      <c r="B8591" s="841" t="s">
        <v>5677</v>
      </c>
      <c r="E8591" s="621" t="s">
        <v>11</v>
      </c>
      <c r="F8591" s="621"/>
      <c r="G8591" s="1111" t="s">
        <v>23</v>
      </c>
      <c r="H8591" s="1114">
        <v>21.63</v>
      </c>
      <c r="K8591" s="841" t="s">
        <v>3197</v>
      </c>
      <c r="L8591" s="841" t="s">
        <v>442</v>
      </c>
      <c r="M8591" s="1357"/>
      <c r="P8591" s="841" t="s">
        <v>3201</v>
      </c>
      <c r="Q8591" s="1357"/>
      <c r="S8591" s="1420"/>
      <c r="T8591" s="1420"/>
      <c r="V8591" s="1357">
        <v>14</v>
      </c>
    </row>
    <row r="8592" spans="1:22" s="841" customFormat="1" ht="15" x14ac:dyDescent="0.25">
      <c r="A8592" s="841" t="s">
        <v>4874</v>
      </c>
      <c r="B8592" s="841" t="s">
        <v>5677</v>
      </c>
      <c r="E8592" s="621" t="s">
        <v>5109</v>
      </c>
      <c r="F8592" s="621"/>
      <c r="G8592" s="1111" t="s">
        <v>23</v>
      </c>
      <c r="H8592" s="1114">
        <v>0.56999999999999995</v>
      </c>
      <c r="K8592" s="841" t="s">
        <v>3197</v>
      </c>
      <c r="L8592" s="841" t="s">
        <v>443</v>
      </c>
      <c r="M8592" s="1357"/>
      <c r="P8592" s="841" t="s">
        <v>3202</v>
      </c>
      <c r="Q8592" s="1357"/>
      <c r="S8592" s="1420"/>
      <c r="T8592" s="1420">
        <v>44926</v>
      </c>
      <c r="V8592" s="1357">
        <v>64</v>
      </c>
    </row>
    <row r="8593" spans="1:22" s="841" customFormat="1" ht="15" x14ac:dyDescent="0.25">
      <c r="A8593" s="841" t="s">
        <v>4874</v>
      </c>
      <c r="B8593" s="841" t="s">
        <v>5677</v>
      </c>
      <c r="E8593" s="621" t="s">
        <v>5680</v>
      </c>
      <c r="F8593" s="621"/>
      <c r="G8593" s="1111" t="s">
        <v>23</v>
      </c>
      <c r="H8593" s="1114">
        <v>0.12</v>
      </c>
      <c r="K8593" s="841" t="s">
        <v>3197</v>
      </c>
      <c r="L8593" s="841" t="s">
        <v>442</v>
      </c>
      <c r="M8593" s="1357"/>
      <c r="P8593" s="841" t="s">
        <v>3207</v>
      </c>
      <c r="Q8593" s="1357"/>
      <c r="S8593" s="1420"/>
      <c r="T8593" s="1420">
        <v>43373</v>
      </c>
      <c r="V8593" s="1357">
        <v>108</v>
      </c>
    </row>
    <row r="8594" spans="1:22" s="841" customFormat="1" ht="15" x14ac:dyDescent="0.25">
      <c r="A8594" s="841" t="s">
        <v>4874</v>
      </c>
      <c r="B8594" s="841" t="s">
        <v>5677</v>
      </c>
      <c r="E8594" s="621" t="s">
        <v>5681</v>
      </c>
      <c r="F8594" s="621"/>
      <c r="G8594" s="1111" t="s">
        <v>23</v>
      </c>
      <c r="H8594" s="1114">
        <v>0.06</v>
      </c>
      <c r="K8594" s="841" t="s">
        <v>3197</v>
      </c>
      <c r="L8594" s="841" t="s">
        <v>442</v>
      </c>
      <c r="M8594" s="1357"/>
      <c r="P8594" s="841" t="s">
        <v>3364</v>
      </c>
      <c r="Q8594" s="1357"/>
      <c r="S8594" s="1420"/>
      <c r="T8594" s="1420">
        <v>43373</v>
      </c>
      <c r="V8594" s="1357">
        <v>92</v>
      </c>
    </row>
    <row r="8595" spans="1:22" s="841" customFormat="1" ht="15" x14ac:dyDescent="0.25">
      <c r="A8595" s="841" t="s">
        <v>4874</v>
      </c>
      <c r="B8595" s="841" t="s">
        <v>5677</v>
      </c>
      <c r="E8595" s="621" t="s">
        <v>5203</v>
      </c>
      <c r="F8595" s="621"/>
      <c r="G8595" s="1111" t="s">
        <v>23</v>
      </c>
      <c r="H8595" s="1114">
        <v>0.11</v>
      </c>
      <c r="K8595" s="841" t="s">
        <v>3197</v>
      </c>
      <c r="L8595" s="841" t="s">
        <v>442</v>
      </c>
      <c r="M8595" s="1357"/>
      <c r="P8595" s="841" t="s">
        <v>6371</v>
      </c>
      <c r="Q8595" s="1357"/>
      <c r="S8595" s="1420"/>
      <c r="T8595" s="1420"/>
      <c r="V8595" s="1357">
        <v>152</v>
      </c>
    </row>
    <row r="8596" spans="1:22" s="841" customFormat="1" ht="15" x14ac:dyDescent="0.25">
      <c r="A8596" s="841" t="s">
        <v>4874</v>
      </c>
      <c r="B8596" s="841" t="s">
        <v>5677</v>
      </c>
      <c r="E8596" s="625" t="s">
        <v>5204</v>
      </c>
      <c r="F8596" s="625"/>
      <c r="G8596" s="1111" t="s">
        <v>23</v>
      </c>
      <c r="H8596" s="1114">
        <v>0.14000000000000001</v>
      </c>
      <c r="K8596" s="841" t="s">
        <v>3197</v>
      </c>
      <c r="L8596" s="841" t="s">
        <v>442</v>
      </c>
      <c r="M8596" s="1357"/>
      <c r="P8596" s="841" t="s">
        <v>6372</v>
      </c>
      <c r="Q8596" s="1357"/>
      <c r="S8596" s="1420"/>
      <c r="T8596" s="1420">
        <v>43465</v>
      </c>
      <c r="V8596" s="1357">
        <v>96</v>
      </c>
    </row>
    <row r="8597" spans="1:22" s="841" customFormat="1" ht="15" x14ac:dyDescent="0.25">
      <c r="A8597" s="841" t="s">
        <v>4874</v>
      </c>
      <c r="B8597" s="841" t="s">
        <v>5677</v>
      </c>
      <c r="E8597" s="621" t="s">
        <v>84</v>
      </c>
      <c r="F8597" s="621"/>
      <c r="G8597" s="1111" t="s">
        <v>24</v>
      </c>
      <c r="H8597" s="1117">
        <v>8.8000000000000005E-3</v>
      </c>
      <c r="K8597" s="841" t="s">
        <v>3197</v>
      </c>
      <c r="L8597" s="841" t="s">
        <v>442</v>
      </c>
      <c r="M8597" s="1357"/>
      <c r="P8597" s="841" t="s">
        <v>3203</v>
      </c>
      <c r="Q8597" s="1357"/>
      <c r="S8597" s="1420"/>
      <c r="T8597" s="1420"/>
      <c r="V8597" s="1357">
        <v>28</v>
      </c>
    </row>
    <row r="8598" spans="1:22" s="841" customFormat="1" ht="15" x14ac:dyDescent="0.25">
      <c r="A8598" s="841" t="s">
        <v>4874</v>
      </c>
      <c r="B8598" s="841" t="s">
        <v>5677</v>
      </c>
      <c r="E8598" s="621" t="s">
        <v>4813</v>
      </c>
      <c r="F8598" s="621"/>
      <c r="G8598" s="1111" t="s">
        <v>24</v>
      </c>
      <c r="H8598" s="1117">
        <v>5.0000000000000001E-4</v>
      </c>
      <c r="K8598" s="841" t="s">
        <v>3197</v>
      </c>
      <c r="L8598" s="841" t="s">
        <v>443</v>
      </c>
      <c r="M8598" s="1357"/>
      <c r="P8598" s="841" t="s">
        <v>3204</v>
      </c>
      <c r="Q8598" s="1357"/>
      <c r="S8598" s="1420"/>
      <c r="T8598" s="1420"/>
      <c r="V8598" s="1357">
        <v>25</v>
      </c>
    </row>
    <row r="8599" spans="1:22" s="841" customFormat="1" ht="34.5" x14ac:dyDescent="0.25">
      <c r="A8599" s="841" t="s">
        <v>4874</v>
      </c>
      <c r="B8599" s="841" t="s">
        <v>5677</v>
      </c>
      <c r="E8599" s="1116" t="s">
        <v>5683</v>
      </c>
      <c r="F8599" s="1116"/>
      <c r="G8599" s="1111" t="s">
        <v>24</v>
      </c>
      <c r="H8599" s="1117">
        <v>6.1999999999999998E-3</v>
      </c>
      <c r="K8599" s="841" t="s">
        <v>3197</v>
      </c>
      <c r="L8599" s="841" t="s">
        <v>443</v>
      </c>
      <c r="M8599" s="1357"/>
      <c r="P8599" s="841" t="s">
        <v>3205</v>
      </c>
      <c r="Q8599" s="1357"/>
      <c r="S8599" s="1420"/>
      <c r="T8599" s="1420"/>
      <c r="V8599" s="1357">
        <v>146</v>
      </c>
    </row>
    <row r="8600" spans="1:22" s="841" customFormat="1" ht="45.75" x14ac:dyDescent="0.25">
      <c r="A8600" s="841" t="s">
        <v>4874</v>
      </c>
      <c r="B8600" s="841" t="s">
        <v>5677</v>
      </c>
      <c r="E8600" s="1116" t="s">
        <v>5325</v>
      </c>
      <c r="F8600" s="1116"/>
      <c r="G8600" s="1111" t="s">
        <v>24</v>
      </c>
      <c r="H8600" s="1117">
        <v>4.0000000000000002E-4</v>
      </c>
      <c r="K8600" s="841" t="s">
        <v>3197</v>
      </c>
      <c r="L8600" s="841" t="s">
        <v>443</v>
      </c>
      <c r="M8600" s="1357"/>
      <c r="P8600" s="841" t="s">
        <v>3205</v>
      </c>
      <c r="Q8600" s="1357"/>
      <c r="S8600" s="1420"/>
      <c r="T8600" s="1420">
        <v>43585</v>
      </c>
      <c r="V8600" s="1357">
        <v>154</v>
      </c>
    </row>
    <row r="8601" spans="1:22" s="841" customFormat="1" ht="15" x14ac:dyDescent="0.25">
      <c r="A8601" s="841" t="s">
        <v>4874</v>
      </c>
      <c r="B8601" s="841" t="s">
        <v>5677</v>
      </c>
      <c r="E8601" s="621" t="s">
        <v>5684</v>
      </c>
      <c r="F8601" s="621"/>
      <c r="G8601" s="1111" t="s">
        <v>24</v>
      </c>
      <c r="H8601" s="1117">
        <v>2.9999999999999997E-4</v>
      </c>
      <c r="K8601" s="841" t="s">
        <v>3197</v>
      </c>
      <c r="L8601" s="841" t="s">
        <v>443</v>
      </c>
      <c r="M8601" s="1357"/>
      <c r="P8601" s="841" t="s">
        <v>3207</v>
      </c>
      <c r="Q8601" s="1357"/>
      <c r="S8601" s="1420"/>
      <c r="T8601" s="1420">
        <v>43373</v>
      </c>
      <c r="V8601" s="1357">
        <v>100</v>
      </c>
    </row>
    <row r="8602" spans="1:22" s="841" customFormat="1" ht="15" x14ac:dyDescent="0.25">
      <c r="A8602" s="841" t="s">
        <v>4874</v>
      </c>
      <c r="B8602" s="841" t="s">
        <v>5677</v>
      </c>
      <c r="E8602" s="621" t="s">
        <v>5685</v>
      </c>
      <c r="F8602" s="621"/>
      <c r="G8602" s="1111" t="s">
        <v>24</v>
      </c>
      <c r="H8602" s="1117">
        <v>-2.9999999999999997E-4</v>
      </c>
      <c r="K8602" s="841" t="s">
        <v>3197</v>
      </c>
      <c r="L8602" s="841" t="s">
        <v>443</v>
      </c>
      <c r="M8602" s="1357"/>
      <c r="P8602" s="841" t="s">
        <v>3207</v>
      </c>
      <c r="Q8602" s="1357"/>
      <c r="S8602" s="1420"/>
      <c r="T8602" s="1420">
        <v>43373</v>
      </c>
      <c r="V8602" s="1357">
        <v>107</v>
      </c>
    </row>
    <row r="8603" spans="1:22" s="841" customFormat="1" ht="15" x14ac:dyDescent="0.25">
      <c r="A8603" s="841" t="s">
        <v>4874</v>
      </c>
      <c r="B8603" s="841" t="s">
        <v>5677</v>
      </c>
      <c r="E8603" s="621" t="s">
        <v>5210</v>
      </c>
      <c r="F8603" s="621"/>
      <c r="G8603" s="1111" t="s">
        <v>24</v>
      </c>
      <c r="H8603" s="1117">
        <v>-3.0000000000000001E-3</v>
      </c>
      <c r="K8603" s="841" t="s">
        <v>3197</v>
      </c>
      <c r="L8603" s="841" t="s">
        <v>443</v>
      </c>
      <c r="M8603" s="1357"/>
      <c r="P8603" s="841" t="s">
        <v>3207</v>
      </c>
      <c r="Q8603" s="1357"/>
      <c r="S8603" s="1420"/>
      <c r="T8603" s="1420">
        <v>43585</v>
      </c>
      <c r="V8603" s="1357">
        <v>108</v>
      </c>
    </row>
    <row r="8604" spans="1:22" s="841" customFormat="1" ht="45.75" x14ac:dyDescent="0.25">
      <c r="A8604" s="841" t="s">
        <v>4874</v>
      </c>
      <c r="B8604" s="841" t="s">
        <v>5677</v>
      </c>
      <c r="E8604" s="1116" t="s">
        <v>5326</v>
      </c>
      <c r="F8604" s="1116"/>
      <c r="G8604" s="1111" t="s">
        <v>24</v>
      </c>
      <c r="H8604" s="1117">
        <v>2.0000000000000001E-4</v>
      </c>
      <c r="K8604" s="841" t="s">
        <v>3197</v>
      </c>
      <c r="L8604" s="841" t="s">
        <v>443</v>
      </c>
      <c r="M8604" s="1357"/>
      <c r="P8604" s="841" t="s">
        <v>5103</v>
      </c>
      <c r="Q8604" s="1357"/>
      <c r="S8604" s="1420"/>
      <c r="T8604" s="1420">
        <v>43585</v>
      </c>
      <c r="V8604" s="1357">
        <v>160</v>
      </c>
    </row>
    <row r="8605" spans="1:22" s="841" customFormat="1" ht="15" x14ac:dyDescent="0.25">
      <c r="A8605" s="841" t="s">
        <v>4874</v>
      </c>
      <c r="B8605" s="841" t="s">
        <v>5677</v>
      </c>
      <c r="E8605" s="621" t="s">
        <v>221</v>
      </c>
      <c r="F8605" s="621"/>
      <c r="G8605" s="1111" t="s">
        <v>24</v>
      </c>
      <c r="H8605" s="1117">
        <v>7.4999999999999997E-3</v>
      </c>
      <c r="K8605" s="841" t="s">
        <v>3197</v>
      </c>
      <c r="L8605" s="841" t="s">
        <v>444</v>
      </c>
      <c r="M8605" s="1357"/>
      <c r="P8605" s="841" t="s">
        <v>3208</v>
      </c>
      <c r="Q8605" s="1357"/>
      <c r="S8605" s="1420"/>
      <c r="T8605" s="1420"/>
      <c r="V8605" s="1357">
        <v>47</v>
      </c>
    </row>
    <row r="8606" spans="1:22" s="841" customFormat="1" ht="15" x14ac:dyDescent="0.25">
      <c r="A8606" s="841" t="s">
        <v>4874</v>
      </c>
      <c r="B8606" s="841" t="s">
        <v>5677</v>
      </c>
      <c r="E8606" s="621" t="s">
        <v>217</v>
      </c>
      <c r="F8606" s="621"/>
      <c r="G8606" s="1111" t="s">
        <v>24</v>
      </c>
      <c r="H8606" s="1117">
        <v>4.0000000000000001E-3</v>
      </c>
      <c r="K8606" s="841" t="s">
        <v>3197</v>
      </c>
      <c r="L8606" s="841" t="s">
        <v>444</v>
      </c>
      <c r="M8606" s="1357"/>
      <c r="P8606" s="841" t="s">
        <v>3209</v>
      </c>
      <c r="Q8606" s="1357"/>
      <c r="S8606" s="1420"/>
      <c r="T8606" s="1420"/>
      <c r="V8606" s="1357">
        <v>74</v>
      </c>
    </row>
    <row r="8607" spans="1:22" s="841" customFormat="1" ht="15" x14ac:dyDescent="0.25">
      <c r="A8607" s="841" t="s">
        <v>4874</v>
      </c>
      <c r="B8607" s="841" t="s">
        <v>5677</v>
      </c>
      <c r="E8607" s="1285" t="s">
        <v>5522</v>
      </c>
      <c r="F8607" s="1285"/>
      <c r="G8607" s="1111"/>
      <c r="H8607" s="1117"/>
      <c r="K8607" s="841" t="s">
        <v>3080</v>
      </c>
      <c r="M8607" s="1357"/>
      <c r="Q8607" s="1357"/>
      <c r="S8607" s="1420"/>
      <c r="T8607" s="1420"/>
      <c r="V8607" s="1357">
        <v>48</v>
      </c>
    </row>
    <row r="8608" spans="1:22" s="841" customFormat="1" ht="15" x14ac:dyDescent="0.25">
      <c r="A8608" s="841" t="s">
        <v>4874</v>
      </c>
      <c r="B8608" s="841" t="s">
        <v>5677</v>
      </c>
      <c r="E8608" s="621" t="s">
        <v>2449</v>
      </c>
      <c r="F8608" s="621"/>
      <c r="G8608" s="1111" t="s">
        <v>24</v>
      </c>
      <c r="H8608" s="1117">
        <v>3.2000000000000002E-3</v>
      </c>
      <c r="K8608" s="841" t="s">
        <v>3197</v>
      </c>
      <c r="L8608" s="841" t="s">
        <v>3046</v>
      </c>
      <c r="M8608" s="1357"/>
      <c r="P8608" s="841" t="s">
        <v>3210</v>
      </c>
      <c r="Q8608" s="1357"/>
      <c r="S8608" s="1420"/>
      <c r="T8608" s="1420"/>
      <c r="V8608" s="1357">
        <v>55</v>
      </c>
    </row>
    <row r="8609" spans="1:22" s="841" customFormat="1" ht="15" x14ac:dyDescent="0.25">
      <c r="A8609" s="841" t="s">
        <v>4874</v>
      </c>
      <c r="B8609" s="841" t="s">
        <v>5677</v>
      </c>
      <c r="E8609" s="621" t="s">
        <v>2450</v>
      </c>
      <c r="F8609" s="621"/>
      <c r="G8609" s="1111" t="s">
        <v>24</v>
      </c>
      <c r="H8609" s="1117">
        <v>4.0000000000000002E-4</v>
      </c>
      <c r="K8609" s="841" t="s">
        <v>3197</v>
      </c>
      <c r="L8609" s="841" t="s">
        <v>3046</v>
      </c>
      <c r="M8609" s="1357"/>
      <c r="P8609" s="841" t="s">
        <v>3210</v>
      </c>
      <c r="Q8609" s="1357"/>
      <c r="S8609" s="1420"/>
      <c r="T8609" s="1420"/>
      <c r="V8609" s="1357">
        <v>65</v>
      </c>
    </row>
    <row r="8610" spans="1:22" s="841" customFormat="1" ht="15" x14ac:dyDescent="0.25">
      <c r="A8610" s="841" t="s">
        <v>4874</v>
      </c>
      <c r="B8610" s="841" t="s">
        <v>5677</v>
      </c>
      <c r="E8610" s="621" t="s">
        <v>439</v>
      </c>
      <c r="F8610" s="621"/>
      <c r="G8610" s="1111" t="s">
        <v>24</v>
      </c>
      <c r="H8610" s="1117">
        <v>2.9999999999999997E-4</v>
      </c>
      <c r="K8610" s="841" t="s">
        <v>3197</v>
      </c>
      <c r="L8610" s="841" t="s">
        <v>3046</v>
      </c>
      <c r="M8610" s="1357"/>
      <c r="P8610" s="841" t="s">
        <v>3212</v>
      </c>
      <c r="Q8610" s="1357"/>
      <c r="S8610" s="1420"/>
      <c r="T8610" s="1420"/>
      <c r="V8610" s="1357">
        <v>57</v>
      </c>
    </row>
    <row r="8611" spans="1:22" s="841" customFormat="1" ht="15" x14ac:dyDescent="0.25">
      <c r="A8611" s="841" t="s">
        <v>4874</v>
      </c>
      <c r="B8611" s="841" t="s">
        <v>5677</v>
      </c>
      <c r="E8611" s="621" t="s">
        <v>5686</v>
      </c>
      <c r="F8611" s="621"/>
      <c r="G8611" s="1111" t="s">
        <v>23</v>
      </c>
      <c r="H8611" s="1416">
        <v>0.25</v>
      </c>
      <c r="K8611" s="841" t="s">
        <v>3197</v>
      </c>
      <c r="M8611" s="1357"/>
      <c r="Q8611" s="1357"/>
      <c r="S8611" s="1420"/>
      <c r="T8611" s="1420"/>
      <c r="V8611" s="1357">
        <v>63</v>
      </c>
    </row>
    <row r="8612" spans="1:22" s="841" customFormat="1" ht="54" x14ac:dyDescent="0.25">
      <c r="A8612" s="841" t="s">
        <v>4874</v>
      </c>
      <c r="B8612" s="841" t="s">
        <v>5677</v>
      </c>
      <c r="E8612" s="1409" t="s">
        <v>632</v>
      </c>
      <c r="F8612" s="1409"/>
      <c r="G8612" s="1286"/>
      <c r="H8612" s="1287"/>
      <c r="K8612" s="841" t="s">
        <v>5110</v>
      </c>
      <c r="M8612" s="1357"/>
      <c r="Q8612" s="1357"/>
      <c r="S8612" s="1420"/>
      <c r="T8612" s="1420"/>
      <c r="V8612" s="1357">
        <v>54</v>
      </c>
    </row>
    <row r="8613" spans="1:22" s="841" customFormat="1" ht="15" x14ac:dyDescent="0.25">
      <c r="A8613" s="841" t="s">
        <v>4874</v>
      </c>
      <c r="B8613" s="841" t="s">
        <v>5677</v>
      </c>
      <c r="E8613" s="1969" t="s">
        <v>5687</v>
      </c>
      <c r="F8613" s="1969"/>
      <c r="G8613" s="1969"/>
      <c r="H8613" s="1969"/>
      <c r="K8613" s="841" t="s">
        <v>5110</v>
      </c>
      <c r="M8613" s="1357"/>
      <c r="Q8613" s="1357"/>
      <c r="S8613" s="1420"/>
      <c r="T8613" s="1420"/>
      <c r="V8613" s="1357">
        <v>334</v>
      </c>
    </row>
    <row r="8614" spans="1:22" s="841" customFormat="1" ht="15" x14ac:dyDescent="0.25">
      <c r="A8614" s="841" t="s">
        <v>4874</v>
      </c>
      <c r="B8614" s="841" t="s">
        <v>5677</v>
      </c>
      <c r="E8614" s="1288" t="s">
        <v>3061</v>
      </c>
      <c r="F8614" s="1288"/>
      <c r="G8614" s="1289"/>
      <c r="H8614" s="1290"/>
      <c r="K8614" s="841" t="s">
        <v>3086</v>
      </c>
      <c r="M8614" s="1357"/>
      <c r="Q8614" s="1357"/>
      <c r="S8614" s="1420"/>
      <c r="T8614" s="1420"/>
      <c r="V8614" s="1357">
        <v>11</v>
      </c>
    </row>
    <row r="8615" spans="1:22" s="841" customFormat="1" ht="15" x14ac:dyDescent="0.25">
      <c r="A8615" s="841" t="s">
        <v>4874</v>
      </c>
      <c r="B8615" s="841" t="s">
        <v>5677</v>
      </c>
      <c r="E8615" s="1969" t="s">
        <v>3063</v>
      </c>
      <c r="F8615" s="1969"/>
      <c r="G8615" s="1969"/>
      <c r="H8615" s="1969"/>
      <c r="K8615" s="841" t="s">
        <v>5110</v>
      </c>
      <c r="M8615" s="1357"/>
      <c r="Q8615" s="1357"/>
      <c r="S8615" s="1420"/>
      <c r="T8615" s="1420"/>
      <c r="V8615" s="1357">
        <v>280</v>
      </c>
    </row>
    <row r="8616" spans="1:22" s="841" customFormat="1" ht="15" x14ac:dyDescent="0.25">
      <c r="A8616" s="841" t="s">
        <v>4874</v>
      </c>
      <c r="B8616" s="841" t="s">
        <v>5677</v>
      </c>
      <c r="E8616" s="1969" t="s">
        <v>3064</v>
      </c>
      <c r="F8616" s="1969"/>
      <c r="G8616" s="1969"/>
      <c r="H8616" s="1969"/>
      <c r="K8616" s="841" t="s">
        <v>5110</v>
      </c>
      <c r="M8616" s="1357"/>
      <c r="Q8616" s="1357"/>
      <c r="S8616" s="1420"/>
      <c r="T8616" s="1420"/>
      <c r="V8616" s="1357">
        <v>411</v>
      </c>
    </row>
    <row r="8617" spans="1:22" s="841" customFormat="1" ht="15" x14ac:dyDescent="0.25">
      <c r="A8617" s="841" t="s">
        <v>4874</v>
      </c>
      <c r="B8617" s="841" t="s">
        <v>5677</v>
      </c>
      <c r="E8617" s="1969" t="s">
        <v>5516</v>
      </c>
      <c r="F8617" s="1969"/>
      <c r="G8617" s="1969"/>
      <c r="H8617" s="1969"/>
      <c r="K8617" s="841" t="s">
        <v>5110</v>
      </c>
      <c r="M8617" s="1357"/>
      <c r="Q8617" s="1357"/>
      <c r="S8617" s="1420"/>
      <c r="T8617" s="1420"/>
      <c r="V8617" s="1357">
        <v>387</v>
      </c>
    </row>
    <row r="8618" spans="1:22" s="841" customFormat="1" ht="15" x14ac:dyDescent="0.25">
      <c r="A8618" s="841" t="s">
        <v>4874</v>
      </c>
      <c r="B8618" s="841" t="s">
        <v>5677</v>
      </c>
      <c r="E8618" s="1969" t="s">
        <v>3390</v>
      </c>
      <c r="F8618" s="1969"/>
      <c r="G8618" s="1969"/>
      <c r="H8618" s="1969"/>
      <c r="K8618" s="841" t="s">
        <v>5110</v>
      </c>
      <c r="M8618" s="1357"/>
      <c r="Q8618" s="1357"/>
      <c r="S8618" s="1420"/>
      <c r="T8618" s="1420"/>
      <c r="V8618" s="1357">
        <v>274</v>
      </c>
    </row>
    <row r="8619" spans="1:22" s="841" customFormat="1" ht="15" x14ac:dyDescent="0.25">
      <c r="A8619" s="841" t="s">
        <v>4874</v>
      </c>
      <c r="B8619" s="841" t="s">
        <v>5677</v>
      </c>
      <c r="E8619" s="1285" t="s">
        <v>5517</v>
      </c>
      <c r="F8619" s="1285"/>
      <c r="G8619" s="1111"/>
      <c r="H8619" s="621"/>
      <c r="K8619" s="841" t="s">
        <v>3087</v>
      </c>
      <c r="M8619" s="1357"/>
      <c r="Q8619" s="1357"/>
      <c r="S8619" s="1420"/>
      <c r="T8619" s="1420"/>
      <c r="V8619" s="1357">
        <v>46</v>
      </c>
    </row>
    <row r="8620" spans="1:22" s="841" customFormat="1" ht="15" x14ac:dyDescent="0.25">
      <c r="A8620" s="841" t="s">
        <v>4874</v>
      </c>
      <c r="B8620" s="841" t="s">
        <v>5677</v>
      </c>
      <c r="E8620" s="621" t="s">
        <v>11</v>
      </c>
      <c r="F8620" s="621"/>
      <c r="G8620" s="1111" t="s">
        <v>23</v>
      </c>
      <c r="H8620" s="1114">
        <v>29</v>
      </c>
      <c r="K8620" s="841" t="s">
        <v>5110</v>
      </c>
      <c r="L8620" s="841" t="s">
        <v>442</v>
      </c>
      <c r="M8620" s="1357"/>
      <c r="P8620" s="841" t="s">
        <v>5111</v>
      </c>
      <c r="Q8620" s="1357"/>
      <c r="S8620" s="1420"/>
      <c r="T8620" s="1420"/>
      <c r="V8620" s="1357">
        <v>14</v>
      </c>
    </row>
    <row r="8621" spans="1:22" s="841" customFormat="1" ht="23.25" x14ac:dyDescent="0.25">
      <c r="A8621" s="841" t="s">
        <v>4874</v>
      </c>
      <c r="B8621" s="841" t="s">
        <v>5677</v>
      </c>
      <c r="E8621" s="1291" t="s">
        <v>5109</v>
      </c>
      <c r="F8621" s="1291"/>
      <c r="G8621" s="1169" t="s">
        <v>23</v>
      </c>
      <c r="H8621" s="1114">
        <v>0.56999999999999995</v>
      </c>
      <c r="K8621" s="841" t="s">
        <v>5110</v>
      </c>
      <c r="L8621" s="841" t="s">
        <v>443</v>
      </c>
      <c r="M8621" s="1357"/>
      <c r="P8621" s="841" t="s">
        <v>5112</v>
      </c>
      <c r="Q8621" s="1357"/>
      <c r="S8621" s="1420"/>
      <c r="T8621" s="1420">
        <v>44926</v>
      </c>
      <c r="V8621" s="1357">
        <v>64</v>
      </c>
    </row>
    <row r="8622" spans="1:22" s="841" customFormat="1" ht="15" x14ac:dyDescent="0.25">
      <c r="A8622" s="841" t="s">
        <v>4874</v>
      </c>
      <c r="B8622" s="841" t="s">
        <v>5677</v>
      </c>
      <c r="E8622" s="621" t="s">
        <v>5681</v>
      </c>
      <c r="F8622" s="621"/>
      <c r="G8622" s="1111" t="s">
        <v>23</v>
      </c>
      <c r="H8622" s="1114">
        <v>0.21</v>
      </c>
      <c r="K8622" s="841" t="s">
        <v>5110</v>
      </c>
      <c r="L8622" s="841" t="s">
        <v>442</v>
      </c>
      <c r="M8622" s="1357"/>
      <c r="P8622" s="841" t="s">
        <v>5388</v>
      </c>
      <c r="Q8622" s="1357"/>
      <c r="S8622" s="1420"/>
      <c r="T8622" s="1420">
        <v>43373</v>
      </c>
      <c r="V8622" s="1357">
        <v>92</v>
      </c>
    </row>
    <row r="8623" spans="1:22" s="841" customFormat="1" ht="15" x14ac:dyDescent="0.25">
      <c r="A8623" s="841" t="s">
        <v>4874</v>
      </c>
      <c r="B8623" s="841" t="s">
        <v>5677</v>
      </c>
      <c r="E8623" s="621" t="s">
        <v>5203</v>
      </c>
      <c r="F8623" s="621"/>
      <c r="G8623" s="1111" t="s">
        <v>23</v>
      </c>
      <c r="H8623" s="1114">
        <v>0.12</v>
      </c>
      <c r="K8623" s="841" t="s">
        <v>5110</v>
      </c>
      <c r="L8623" s="841" t="s">
        <v>442</v>
      </c>
      <c r="M8623" s="1357"/>
      <c r="P8623" s="841" t="s">
        <v>6373</v>
      </c>
      <c r="Q8623" s="1357"/>
      <c r="S8623" s="1420"/>
      <c r="T8623" s="1420"/>
      <c r="V8623" s="1357">
        <v>152</v>
      </c>
    </row>
    <row r="8624" spans="1:22" s="841" customFormat="1" ht="15" x14ac:dyDescent="0.25">
      <c r="A8624" s="841" t="s">
        <v>4874</v>
      </c>
      <c r="B8624" s="841" t="s">
        <v>5677</v>
      </c>
      <c r="E8624" s="625" t="s">
        <v>5204</v>
      </c>
      <c r="F8624" s="625"/>
      <c r="G8624" s="1111" t="s">
        <v>23</v>
      </c>
      <c r="H8624" s="1114">
        <v>0.4</v>
      </c>
      <c r="K8624" s="841" t="s">
        <v>5110</v>
      </c>
      <c r="L8624" s="841" t="s">
        <v>442</v>
      </c>
      <c r="M8624" s="1357"/>
      <c r="P8624" s="841" t="s">
        <v>6374</v>
      </c>
      <c r="Q8624" s="1357"/>
      <c r="S8624" s="1420"/>
      <c r="T8624" s="1420">
        <v>43465</v>
      </c>
      <c r="V8624" s="1357">
        <v>96</v>
      </c>
    </row>
    <row r="8625" spans="1:22" s="841" customFormat="1" ht="15" x14ac:dyDescent="0.25">
      <c r="A8625" s="841" t="s">
        <v>4874</v>
      </c>
      <c r="B8625" s="841" t="s">
        <v>5677</v>
      </c>
      <c r="E8625" s="621" t="s">
        <v>84</v>
      </c>
      <c r="F8625" s="621"/>
      <c r="G8625" s="1111" t="s">
        <v>24</v>
      </c>
      <c r="H8625" s="1117">
        <v>1.8499999999999999E-2</v>
      </c>
      <c r="K8625" s="841" t="s">
        <v>5110</v>
      </c>
      <c r="L8625" s="841" t="s">
        <v>442</v>
      </c>
      <c r="M8625" s="1357"/>
      <c r="P8625" s="841" t="s">
        <v>5113</v>
      </c>
      <c r="Q8625" s="1357"/>
      <c r="S8625" s="1420"/>
      <c r="T8625" s="1420"/>
      <c r="V8625" s="1357">
        <v>28</v>
      </c>
    </row>
    <row r="8626" spans="1:22" s="841" customFormat="1" ht="15" x14ac:dyDescent="0.25">
      <c r="A8626" s="841" t="s">
        <v>4874</v>
      </c>
      <c r="B8626" s="841" t="s">
        <v>5677</v>
      </c>
      <c r="E8626" s="621" t="s">
        <v>4813</v>
      </c>
      <c r="F8626" s="621"/>
      <c r="G8626" s="1111" t="s">
        <v>24</v>
      </c>
      <c r="H8626" s="1117">
        <v>4.0000000000000002E-4</v>
      </c>
      <c r="K8626" s="841" t="s">
        <v>5110</v>
      </c>
      <c r="L8626" s="841" t="s">
        <v>443</v>
      </c>
      <c r="M8626" s="1357"/>
      <c r="P8626" s="841" t="s">
        <v>5114</v>
      </c>
      <c r="Q8626" s="1357"/>
      <c r="S8626" s="1420"/>
      <c r="T8626" s="1420"/>
      <c r="V8626" s="1357">
        <v>25</v>
      </c>
    </row>
    <row r="8627" spans="1:22" s="841" customFormat="1" ht="34.5" x14ac:dyDescent="0.25">
      <c r="A8627" s="841" t="s">
        <v>4874</v>
      </c>
      <c r="B8627" s="841" t="s">
        <v>5677</v>
      </c>
      <c r="E8627" s="1116" t="s">
        <v>5688</v>
      </c>
      <c r="F8627" s="1116"/>
      <c r="G8627" s="1111" t="s">
        <v>24</v>
      </c>
      <c r="H8627" s="1117">
        <v>6.1999999999999998E-3</v>
      </c>
      <c r="K8627" s="841" t="s">
        <v>5110</v>
      </c>
      <c r="L8627" s="841" t="s">
        <v>443</v>
      </c>
      <c r="M8627" s="1357"/>
      <c r="P8627" s="841" t="s">
        <v>4818</v>
      </c>
      <c r="Q8627" s="1357"/>
      <c r="S8627" s="1420"/>
      <c r="T8627" s="1420">
        <v>43373</v>
      </c>
      <c r="V8627" s="1357">
        <v>143</v>
      </c>
    </row>
    <row r="8628" spans="1:22" s="841" customFormat="1" ht="45.75" x14ac:dyDescent="0.25">
      <c r="A8628" s="841" t="s">
        <v>4874</v>
      </c>
      <c r="B8628" s="841" t="s">
        <v>5677</v>
      </c>
      <c r="E8628" s="1116" t="s">
        <v>5689</v>
      </c>
      <c r="F8628" s="1116"/>
      <c r="G8628" s="1111" t="s">
        <v>24</v>
      </c>
      <c r="H8628" s="1117">
        <v>4.0000000000000002E-4</v>
      </c>
      <c r="K8628" s="841" t="s">
        <v>5110</v>
      </c>
      <c r="L8628" s="841" t="s">
        <v>443</v>
      </c>
      <c r="M8628" s="1357"/>
      <c r="P8628" s="841" t="s">
        <v>4818</v>
      </c>
      <c r="Q8628" s="1357"/>
      <c r="S8628" s="1420"/>
      <c r="T8628" s="1420">
        <v>43585</v>
      </c>
      <c r="V8628" s="1357">
        <v>151</v>
      </c>
    </row>
    <row r="8629" spans="1:22" s="841" customFormat="1" ht="15" x14ac:dyDescent="0.25">
      <c r="A8629" s="841" t="s">
        <v>4874</v>
      </c>
      <c r="B8629" s="841" t="s">
        <v>5677</v>
      </c>
      <c r="E8629" s="621" t="s">
        <v>5684</v>
      </c>
      <c r="F8629" s="621"/>
      <c r="G8629" s="1111" t="s">
        <v>24</v>
      </c>
      <c r="H8629" s="1117">
        <v>2.9999999999999997E-4</v>
      </c>
      <c r="K8629" s="841" t="s">
        <v>5110</v>
      </c>
      <c r="L8629" s="841" t="s">
        <v>443</v>
      </c>
      <c r="M8629" s="1357"/>
      <c r="P8629" s="841" t="s">
        <v>5124</v>
      </c>
      <c r="Q8629" s="1357"/>
      <c r="S8629" s="1420"/>
      <c r="T8629" s="1420">
        <v>43373</v>
      </c>
      <c r="V8629" s="1357">
        <v>100</v>
      </c>
    </row>
    <row r="8630" spans="1:22" s="841" customFormat="1" ht="15" x14ac:dyDescent="0.25">
      <c r="A8630" s="841" t="s">
        <v>4874</v>
      </c>
      <c r="B8630" s="841" t="s">
        <v>5677</v>
      </c>
      <c r="E8630" s="621" t="s">
        <v>5685</v>
      </c>
      <c r="F8630" s="621"/>
      <c r="G8630" s="1111" t="s">
        <v>24</v>
      </c>
      <c r="H8630" s="1117">
        <v>-2.9999999999999997E-4</v>
      </c>
      <c r="K8630" s="841" t="s">
        <v>5110</v>
      </c>
      <c r="L8630" s="841" t="s">
        <v>443</v>
      </c>
      <c r="M8630" s="1357"/>
      <c r="P8630" s="841" t="s">
        <v>5124</v>
      </c>
      <c r="Q8630" s="1357"/>
      <c r="S8630" s="1420"/>
      <c r="T8630" s="1420">
        <v>43373</v>
      </c>
      <c r="V8630" s="1357">
        <v>107</v>
      </c>
    </row>
    <row r="8631" spans="1:22" s="841" customFormat="1" ht="15" x14ac:dyDescent="0.25">
      <c r="A8631" s="841" t="s">
        <v>4874</v>
      </c>
      <c r="B8631" s="841" t="s">
        <v>5677</v>
      </c>
      <c r="E8631" s="621" t="s">
        <v>5210</v>
      </c>
      <c r="F8631" s="621"/>
      <c r="G8631" s="1111" t="s">
        <v>24</v>
      </c>
      <c r="H8631" s="1117">
        <v>-3.0000000000000001E-3</v>
      </c>
      <c r="K8631" s="841" t="s">
        <v>5110</v>
      </c>
      <c r="L8631" s="841" t="s">
        <v>443</v>
      </c>
      <c r="M8631" s="1357"/>
      <c r="P8631" s="841" t="s">
        <v>5124</v>
      </c>
      <c r="Q8631" s="1357"/>
      <c r="S8631" s="1420"/>
      <c r="T8631" s="1420">
        <v>43585</v>
      </c>
      <c r="V8631" s="1357">
        <v>108</v>
      </c>
    </row>
    <row r="8632" spans="1:22" s="841" customFormat="1" ht="15" x14ac:dyDescent="0.25">
      <c r="A8632" s="841" t="s">
        <v>4874</v>
      </c>
      <c r="B8632" s="841" t="s">
        <v>5677</v>
      </c>
      <c r="E8632" s="621" t="s">
        <v>5680</v>
      </c>
      <c r="F8632" s="621"/>
      <c r="G8632" s="1111" t="s">
        <v>24</v>
      </c>
      <c r="H8632" s="1117">
        <v>2.0000000000000001E-4</v>
      </c>
      <c r="K8632" s="841" t="s">
        <v>5110</v>
      </c>
      <c r="L8632" s="841" t="s">
        <v>442</v>
      </c>
      <c r="M8632" s="1357"/>
      <c r="P8632" s="841" t="s">
        <v>5124</v>
      </c>
      <c r="Q8632" s="1357"/>
      <c r="S8632" s="1420"/>
      <c r="T8632" s="1420">
        <v>43373</v>
      </c>
      <c r="V8632" s="1357">
        <v>108</v>
      </c>
    </row>
    <row r="8633" spans="1:22" s="841" customFormat="1" ht="15" x14ac:dyDescent="0.25">
      <c r="A8633" s="841" t="s">
        <v>4874</v>
      </c>
      <c r="B8633" s="841" t="s">
        <v>5677</v>
      </c>
      <c r="E8633" s="621" t="s">
        <v>5203</v>
      </c>
      <c r="F8633" s="621"/>
      <c r="G8633" s="1111" t="s">
        <v>24</v>
      </c>
      <c r="H8633" s="1117">
        <v>1E-4</v>
      </c>
      <c r="K8633" s="841" t="s">
        <v>5110</v>
      </c>
      <c r="L8633" s="841" t="s">
        <v>442</v>
      </c>
      <c r="M8633" s="1357"/>
      <c r="P8633" s="841" t="s">
        <v>6375</v>
      </c>
      <c r="Q8633" s="1357"/>
      <c r="S8633" s="1420"/>
      <c r="T8633" s="1420"/>
      <c r="V8633" s="1357">
        <v>152</v>
      </c>
    </row>
    <row r="8634" spans="1:22" s="841" customFormat="1" ht="45.75" x14ac:dyDescent="0.25">
      <c r="A8634" s="841" t="s">
        <v>4874</v>
      </c>
      <c r="B8634" s="841" t="s">
        <v>5677</v>
      </c>
      <c r="E8634" s="1116" t="s">
        <v>5690</v>
      </c>
      <c r="F8634" s="1116"/>
      <c r="G8634" s="1111" t="s">
        <v>24</v>
      </c>
      <c r="H8634" s="1117">
        <v>2.0000000000000001E-4</v>
      </c>
      <c r="K8634" s="841" t="s">
        <v>5110</v>
      </c>
      <c r="L8634" s="841" t="s">
        <v>443</v>
      </c>
      <c r="M8634" s="1357"/>
      <c r="P8634" s="841" t="s">
        <v>5287</v>
      </c>
      <c r="Q8634" s="1357"/>
      <c r="S8634" s="1420"/>
      <c r="T8634" s="1420">
        <v>43585</v>
      </c>
      <c r="V8634" s="1357">
        <v>158</v>
      </c>
    </row>
    <row r="8635" spans="1:22" s="841" customFormat="1" ht="45.75" x14ac:dyDescent="0.25">
      <c r="A8635" s="841" t="s">
        <v>4874</v>
      </c>
      <c r="B8635" s="841" t="s">
        <v>5677</v>
      </c>
      <c r="E8635" s="1116" t="s">
        <v>5691</v>
      </c>
      <c r="F8635" s="1116"/>
      <c r="G8635" s="1111" t="s">
        <v>24</v>
      </c>
      <c r="H8635" s="1117">
        <v>8.9999999999999998E-4</v>
      </c>
      <c r="K8635" s="841" t="s">
        <v>5110</v>
      </c>
      <c r="L8635" s="841" t="s">
        <v>442</v>
      </c>
      <c r="M8635" s="1357"/>
      <c r="P8635" s="841" t="s">
        <v>5285</v>
      </c>
      <c r="Q8635" s="1357"/>
      <c r="S8635" s="1420"/>
      <c r="T8635" s="1420">
        <v>43585</v>
      </c>
      <c r="V8635" s="1357">
        <v>148</v>
      </c>
    </row>
    <row r="8636" spans="1:22" s="841" customFormat="1" ht="15" x14ac:dyDescent="0.25">
      <c r="A8636" s="841" t="s">
        <v>4874</v>
      </c>
      <c r="B8636" s="841" t="s">
        <v>5677</v>
      </c>
      <c r="E8636" s="621" t="s">
        <v>221</v>
      </c>
      <c r="F8636" s="621"/>
      <c r="G8636" s="1111" t="s">
        <v>24</v>
      </c>
      <c r="H8636" s="1117">
        <v>6.7000000000000002E-3</v>
      </c>
      <c r="K8636" s="841" t="s">
        <v>5110</v>
      </c>
      <c r="L8636" s="841" t="s">
        <v>444</v>
      </c>
      <c r="M8636" s="1357"/>
      <c r="P8636" s="841" t="s">
        <v>5115</v>
      </c>
      <c r="Q8636" s="1357"/>
      <c r="S8636" s="1420"/>
      <c r="T8636" s="1420"/>
      <c r="V8636" s="1357">
        <v>47</v>
      </c>
    </row>
    <row r="8637" spans="1:22" s="841" customFormat="1" ht="15" x14ac:dyDescent="0.25">
      <c r="A8637" s="841" t="s">
        <v>4874</v>
      </c>
      <c r="B8637" s="841" t="s">
        <v>5677</v>
      </c>
      <c r="E8637" s="621" t="s">
        <v>217</v>
      </c>
      <c r="F8637" s="621"/>
      <c r="G8637" s="1111" t="s">
        <v>24</v>
      </c>
      <c r="H8637" s="1117">
        <v>3.5000000000000001E-3</v>
      </c>
      <c r="K8637" s="841" t="s">
        <v>5110</v>
      </c>
      <c r="L8637" s="841" t="s">
        <v>444</v>
      </c>
      <c r="M8637" s="1357"/>
      <c r="P8637" s="841" t="s">
        <v>5116</v>
      </c>
      <c r="Q8637" s="1357"/>
      <c r="S8637" s="1420"/>
      <c r="T8637" s="1420"/>
      <c r="V8637" s="1357">
        <v>74</v>
      </c>
    </row>
    <row r="8638" spans="1:22" s="841" customFormat="1" ht="15" x14ac:dyDescent="0.25">
      <c r="A8638" s="841" t="s">
        <v>4874</v>
      </c>
      <c r="B8638" s="841" t="s">
        <v>5677</v>
      </c>
      <c r="E8638" s="1285" t="s">
        <v>5522</v>
      </c>
      <c r="F8638" s="1285"/>
      <c r="G8638" s="1111"/>
      <c r="H8638" s="1117"/>
      <c r="K8638" s="841" t="s">
        <v>3093</v>
      </c>
      <c r="M8638" s="1357"/>
      <c r="Q8638" s="1357"/>
      <c r="S8638" s="1420"/>
      <c r="T8638" s="1420"/>
      <c r="V8638" s="1357">
        <v>48</v>
      </c>
    </row>
    <row r="8639" spans="1:22" s="841" customFormat="1" ht="15" x14ac:dyDescent="0.25">
      <c r="A8639" s="841" t="s">
        <v>4874</v>
      </c>
      <c r="B8639" s="841" t="s">
        <v>5677</v>
      </c>
      <c r="E8639" s="621" t="s">
        <v>2449</v>
      </c>
      <c r="F8639" s="621"/>
      <c r="G8639" s="1111" t="s">
        <v>24</v>
      </c>
      <c r="H8639" s="1117">
        <v>3.2000000000000002E-3</v>
      </c>
      <c r="K8639" s="841" t="s">
        <v>5110</v>
      </c>
      <c r="L8639" s="841" t="s">
        <v>3046</v>
      </c>
      <c r="M8639" s="1357"/>
      <c r="P8639" s="841" t="s">
        <v>5117</v>
      </c>
      <c r="Q8639" s="1357"/>
      <c r="S8639" s="1420"/>
      <c r="T8639" s="1420"/>
      <c r="V8639" s="1357">
        <v>55</v>
      </c>
    </row>
    <row r="8640" spans="1:22" s="841" customFormat="1" ht="15" x14ac:dyDescent="0.25">
      <c r="A8640" s="841" t="s">
        <v>4874</v>
      </c>
      <c r="B8640" s="841" t="s">
        <v>5677</v>
      </c>
      <c r="E8640" s="621" t="s">
        <v>2450</v>
      </c>
      <c r="F8640" s="621"/>
      <c r="G8640" s="1111" t="s">
        <v>24</v>
      </c>
      <c r="H8640" s="1117">
        <v>4.0000000000000002E-4</v>
      </c>
      <c r="K8640" s="841" t="s">
        <v>5110</v>
      </c>
      <c r="L8640" s="841" t="s">
        <v>3046</v>
      </c>
      <c r="M8640" s="1357"/>
      <c r="P8640" s="841" t="s">
        <v>5117</v>
      </c>
      <c r="Q8640" s="1357"/>
      <c r="S8640" s="1420"/>
      <c r="T8640" s="1420"/>
      <c r="V8640" s="1357">
        <v>65</v>
      </c>
    </row>
    <row r="8641" spans="1:22" s="841" customFormat="1" ht="15" x14ac:dyDescent="0.25">
      <c r="A8641" s="841" t="s">
        <v>4874</v>
      </c>
      <c r="B8641" s="841" t="s">
        <v>5677</v>
      </c>
      <c r="E8641" s="621" t="s">
        <v>439</v>
      </c>
      <c r="F8641" s="621"/>
      <c r="G8641" s="1111" t="s">
        <v>24</v>
      </c>
      <c r="H8641" s="1117">
        <v>2.9999999999999997E-4</v>
      </c>
      <c r="K8641" s="841" t="s">
        <v>5110</v>
      </c>
      <c r="L8641" s="841" t="s">
        <v>3046</v>
      </c>
      <c r="M8641" s="1357"/>
      <c r="P8641" s="841" t="s">
        <v>5118</v>
      </c>
      <c r="Q8641" s="1357"/>
      <c r="S8641" s="1420"/>
      <c r="T8641" s="1420"/>
      <c r="V8641" s="1357">
        <v>57</v>
      </c>
    </row>
    <row r="8642" spans="1:22" s="841" customFormat="1" ht="15" x14ac:dyDescent="0.25">
      <c r="A8642" s="841" t="s">
        <v>4874</v>
      </c>
      <c r="B8642" s="841" t="s">
        <v>5677</v>
      </c>
      <c r="E8642" s="621" t="s">
        <v>5686</v>
      </c>
      <c r="F8642" s="621"/>
      <c r="G8642" s="1111" t="s">
        <v>23</v>
      </c>
      <c r="H8642" s="1416">
        <v>0.25</v>
      </c>
      <c r="K8642" s="841" t="s">
        <v>5110</v>
      </c>
      <c r="M8642" s="1357"/>
      <c r="Q8642" s="1357"/>
      <c r="S8642" s="1420"/>
      <c r="T8642" s="1420"/>
      <c r="V8642" s="1357">
        <v>63</v>
      </c>
    </row>
    <row r="8643" spans="1:22" s="841" customFormat="1" ht="54" x14ac:dyDescent="0.25">
      <c r="A8643" s="841" t="s">
        <v>4874</v>
      </c>
      <c r="B8643" s="841" t="s">
        <v>5677</v>
      </c>
      <c r="E8643" s="1409" t="s">
        <v>4819</v>
      </c>
      <c r="F8643" s="1409"/>
      <c r="G8643" s="1286"/>
      <c r="H8643" s="1287"/>
      <c r="K8643" s="841" t="s">
        <v>6095</v>
      </c>
      <c r="M8643" s="1357"/>
      <c r="Q8643" s="1357"/>
      <c r="S8643" s="1420"/>
      <c r="T8643" s="1420"/>
      <c r="V8643" s="1357">
        <v>53</v>
      </c>
    </row>
    <row r="8644" spans="1:22" s="841" customFormat="1" ht="15" x14ac:dyDescent="0.25">
      <c r="A8644" s="841" t="s">
        <v>4874</v>
      </c>
      <c r="B8644" s="841" t="s">
        <v>5677</v>
      </c>
      <c r="E8644" s="2048" t="s">
        <v>5692</v>
      </c>
      <c r="F8644" s="2048"/>
      <c r="G8644" s="2048"/>
      <c r="H8644" s="2048"/>
      <c r="K8644" s="841" t="s">
        <v>6095</v>
      </c>
      <c r="M8644" s="1357"/>
      <c r="Q8644" s="1357"/>
      <c r="S8644" s="1420"/>
      <c r="T8644" s="1420"/>
      <c r="V8644" s="1357">
        <v>393</v>
      </c>
    </row>
    <row r="8645" spans="1:22" s="841" customFormat="1" ht="15" x14ac:dyDescent="0.25">
      <c r="A8645" s="841" t="s">
        <v>4874</v>
      </c>
      <c r="B8645" s="841" t="s">
        <v>5677</v>
      </c>
      <c r="E8645" s="1392" t="s">
        <v>3061</v>
      </c>
      <c r="F8645" s="1392"/>
      <c r="G8645" s="1289"/>
      <c r="H8645" s="1396"/>
      <c r="K8645" s="841" t="s">
        <v>3098</v>
      </c>
      <c r="M8645" s="1357"/>
      <c r="Q8645" s="1357"/>
      <c r="S8645" s="1420"/>
      <c r="T8645" s="1420"/>
      <c r="V8645" s="1357">
        <v>11</v>
      </c>
    </row>
    <row r="8646" spans="1:22" s="841" customFormat="1" ht="15" x14ac:dyDescent="0.25">
      <c r="A8646" s="841" t="s">
        <v>4874</v>
      </c>
      <c r="B8646" s="841" t="s">
        <v>5677</v>
      </c>
      <c r="E8646" s="1969" t="s">
        <v>3063</v>
      </c>
      <c r="F8646" s="1969"/>
      <c r="G8646" s="1969"/>
      <c r="H8646" s="1969"/>
      <c r="K8646" s="841" t="s">
        <v>6095</v>
      </c>
      <c r="M8646" s="1357"/>
      <c r="Q8646" s="1357"/>
      <c r="S8646" s="1420"/>
      <c r="T8646" s="1420"/>
      <c r="V8646" s="1357">
        <v>280</v>
      </c>
    </row>
    <row r="8647" spans="1:22" s="841" customFormat="1" ht="15" x14ac:dyDescent="0.25">
      <c r="A8647" s="841" t="s">
        <v>4874</v>
      </c>
      <c r="B8647" s="841" t="s">
        <v>5677</v>
      </c>
      <c r="E8647" s="1969" t="s">
        <v>3064</v>
      </c>
      <c r="F8647" s="1969"/>
      <c r="G8647" s="1969"/>
      <c r="H8647" s="1969"/>
      <c r="K8647" s="841" t="s">
        <v>6095</v>
      </c>
      <c r="M8647" s="1357"/>
      <c r="Q8647" s="1357"/>
      <c r="S8647" s="1420"/>
      <c r="T8647" s="1420"/>
      <c r="V8647" s="1357">
        <v>411</v>
      </c>
    </row>
    <row r="8648" spans="1:22" s="841" customFormat="1" ht="15" x14ac:dyDescent="0.25">
      <c r="A8648" s="841" t="s">
        <v>4874</v>
      </c>
      <c r="B8648" s="841" t="s">
        <v>5677</v>
      </c>
      <c r="E8648" s="1969" t="s">
        <v>5516</v>
      </c>
      <c r="F8648" s="1969"/>
      <c r="G8648" s="1969"/>
      <c r="H8648" s="1969"/>
      <c r="K8648" s="841" t="s">
        <v>6095</v>
      </c>
      <c r="M8648" s="1357"/>
      <c r="Q8648" s="1357"/>
      <c r="S8648" s="1420"/>
      <c r="T8648" s="1420"/>
      <c r="V8648" s="1357">
        <v>387</v>
      </c>
    </row>
    <row r="8649" spans="1:22" s="841" customFormat="1" ht="15" x14ac:dyDescent="0.25">
      <c r="A8649" s="841" t="s">
        <v>4874</v>
      </c>
      <c r="B8649" s="841" t="s">
        <v>5677</v>
      </c>
      <c r="E8649" s="1969" t="s">
        <v>3390</v>
      </c>
      <c r="F8649" s="1969"/>
      <c r="G8649" s="1969"/>
      <c r="H8649" s="1969"/>
      <c r="K8649" s="841" t="s">
        <v>6095</v>
      </c>
      <c r="M8649" s="1357"/>
      <c r="Q8649" s="1357"/>
      <c r="S8649" s="1420"/>
      <c r="T8649" s="1420"/>
      <c r="V8649" s="1357">
        <v>274</v>
      </c>
    </row>
    <row r="8650" spans="1:22" s="841" customFormat="1" ht="15" x14ac:dyDescent="0.25">
      <c r="A8650" s="841" t="s">
        <v>4874</v>
      </c>
      <c r="B8650" s="841" t="s">
        <v>5677</v>
      </c>
      <c r="E8650" s="1285" t="s">
        <v>5517</v>
      </c>
      <c r="F8650" s="1285"/>
      <c r="G8650" s="1111"/>
      <c r="H8650" s="621"/>
      <c r="K8650" s="841" t="s">
        <v>3099</v>
      </c>
      <c r="M8650" s="1357"/>
      <c r="Q8650" s="1357"/>
      <c r="S8650" s="1420"/>
      <c r="T8650" s="1420"/>
      <c r="V8650" s="1357">
        <v>46</v>
      </c>
    </row>
    <row r="8651" spans="1:22" s="841" customFormat="1" ht="15" x14ac:dyDescent="0.25">
      <c r="A8651" s="841" t="s">
        <v>4874</v>
      </c>
      <c r="B8651" s="841" t="s">
        <v>5677</v>
      </c>
      <c r="E8651" s="621" t="s">
        <v>11</v>
      </c>
      <c r="F8651" s="621"/>
      <c r="G8651" s="1111" t="s">
        <v>23</v>
      </c>
      <c r="H8651" s="1114">
        <v>142.24</v>
      </c>
      <c r="K8651" s="841" t="s">
        <v>6095</v>
      </c>
      <c r="L8651" s="841" t="s">
        <v>442</v>
      </c>
      <c r="M8651" s="1357"/>
      <c r="P8651" s="841" t="s">
        <v>6096</v>
      </c>
      <c r="Q8651" s="1357"/>
      <c r="S8651" s="1420"/>
      <c r="T8651" s="1420"/>
      <c r="V8651" s="1357">
        <v>14</v>
      </c>
    </row>
    <row r="8652" spans="1:22" s="841" customFormat="1" ht="15" x14ac:dyDescent="0.25">
      <c r="A8652" s="841" t="s">
        <v>4874</v>
      </c>
      <c r="B8652" s="841" t="s">
        <v>5677</v>
      </c>
      <c r="E8652" s="621" t="s">
        <v>5203</v>
      </c>
      <c r="F8652" s="621"/>
      <c r="G8652" s="1111" t="s">
        <v>23</v>
      </c>
      <c r="H8652" s="1114">
        <v>0.56999999999999995</v>
      </c>
      <c r="K8652" s="841" t="s">
        <v>6095</v>
      </c>
      <c r="L8652" s="841" t="s">
        <v>442</v>
      </c>
      <c r="M8652" s="1357"/>
      <c r="P8652" s="841" t="s">
        <v>6376</v>
      </c>
      <c r="Q8652" s="1357"/>
      <c r="S8652" s="1420"/>
      <c r="T8652" s="1420"/>
      <c r="V8652" s="1357">
        <v>152</v>
      </c>
    </row>
    <row r="8653" spans="1:22" s="841" customFormat="1" ht="15" x14ac:dyDescent="0.25">
      <c r="A8653" s="841" t="s">
        <v>4874</v>
      </c>
      <c r="B8653" s="841" t="s">
        <v>5677</v>
      </c>
      <c r="E8653" s="625" t="s">
        <v>5204</v>
      </c>
      <c r="F8653" s="625"/>
      <c r="G8653" s="1111" t="s">
        <v>23</v>
      </c>
      <c r="H8653" s="1114">
        <v>4.21</v>
      </c>
      <c r="K8653" s="841" t="s">
        <v>6095</v>
      </c>
      <c r="L8653" s="841" t="s">
        <v>442</v>
      </c>
      <c r="M8653" s="1357"/>
      <c r="P8653" s="841" t="s">
        <v>6377</v>
      </c>
      <c r="Q8653" s="1357"/>
      <c r="S8653" s="1420"/>
      <c r="T8653" s="1420">
        <v>43465</v>
      </c>
      <c r="V8653" s="1357">
        <v>96</v>
      </c>
    </row>
    <row r="8654" spans="1:22" s="841" customFormat="1" ht="15" x14ac:dyDescent="0.25">
      <c r="A8654" s="841" t="s">
        <v>4874</v>
      </c>
      <c r="B8654" s="841" t="s">
        <v>5677</v>
      </c>
      <c r="E8654" s="621" t="s">
        <v>84</v>
      </c>
      <c r="F8654" s="621"/>
      <c r="G8654" s="1111" t="s">
        <v>33</v>
      </c>
      <c r="H8654" s="1117">
        <v>4.2415000000000003</v>
      </c>
      <c r="K8654" s="841" t="s">
        <v>6095</v>
      </c>
      <c r="L8654" s="841" t="s">
        <v>442</v>
      </c>
      <c r="M8654" s="1357"/>
      <c r="P8654" s="841" t="s">
        <v>6097</v>
      </c>
      <c r="Q8654" s="1357"/>
      <c r="S8654" s="1420"/>
      <c r="T8654" s="1420"/>
      <c r="V8654" s="1357">
        <v>28</v>
      </c>
    </row>
    <row r="8655" spans="1:22" s="841" customFormat="1" ht="15" x14ac:dyDescent="0.25">
      <c r="A8655" s="841" t="s">
        <v>4874</v>
      </c>
      <c r="B8655" s="841" t="s">
        <v>5677</v>
      </c>
      <c r="E8655" s="621" t="s">
        <v>4813</v>
      </c>
      <c r="F8655" s="621"/>
      <c r="G8655" s="1111" t="s">
        <v>33</v>
      </c>
      <c r="H8655" s="1117">
        <v>0.15890000000000001</v>
      </c>
      <c r="K8655" s="841" t="s">
        <v>6095</v>
      </c>
      <c r="L8655" s="841" t="s">
        <v>443</v>
      </c>
      <c r="M8655" s="1357"/>
      <c r="P8655" s="841" t="s">
        <v>6098</v>
      </c>
      <c r="Q8655" s="1357"/>
      <c r="S8655" s="1420"/>
      <c r="T8655" s="1420"/>
      <c r="V8655" s="1357">
        <v>25</v>
      </c>
    </row>
    <row r="8656" spans="1:22" s="841" customFormat="1" ht="45.75" x14ac:dyDescent="0.25">
      <c r="A8656" s="841" t="s">
        <v>4874</v>
      </c>
      <c r="B8656" s="841" t="s">
        <v>5677</v>
      </c>
      <c r="E8656" s="1116" t="s">
        <v>5693</v>
      </c>
      <c r="F8656" s="1116"/>
      <c r="G8656" s="1111" t="s">
        <v>33</v>
      </c>
      <c r="H8656" s="1117">
        <v>2.3302999999999998</v>
      </c>
      <c r="K8656" s="841" t="s">
        <v>6095</v>
      </c>
      <c r="L8656" s="841" t="s">
        <v>443</v>
      </c>
      <c r="M8656" s="1357"/>
      <c r="P8656" s="841" t="s">
        <v>6378</v>
      </c>
      <c r="Q8656" s="1357"/>
      <c r="S8656" s="1420"/>
      <c r="T8656" s="1420">
        <v>43373</v>
      </c>
      <c r="V8656" s="1357">
        <v>161</v>
      </c>
    </row>
    <row r="8657" spans="1:22" s="841" customFormat="1" ht="45.75" x14ac:dyDescent="0.25">
      <c r="A8657" s="841" t="s">
        <v>4874</v>
      </c>
      <c r="B8657" s="841" t="s">
        <v>5677</v>
      </c>
      <c r="E8657" s="1116" t="s">
        <v>5694</v>
      </c>
      <c r="F8657" s="1116"/>
      <c r="G8657" s="1111" t="s">
        <v>33</v>
      </c>
      <c r="H8657" s="1117">
        <v>-1.6412</v>
      </c>
      <c r="K8657" s="841" t="s">
        <v>6095</v>
      </c>
      <c r="L8657" s="841" t="s">
        <v>443</v>
      </c>
      <c r="M8657" s="1357"/>
      <c r="P8657" s="841" t="s">
        <v>6378</v>
      </c>
      <c r="Q8657" s="1357"/>
      <c r="S8657" s="1420"/>
      <c r="T8657" s="1421" t="s">
        <v>5695</v>
      </c>
      <c r="V8657" s="1357">
        <v>179</v>
      </c>
    </row>
    <row r="8658" spans="1:22" s="841" customFormat="1" ht="45.75" x14ac:dyDescent="0.25">
      <c r="A8658" s="841" t="s">
        <v>4874</v>
      </c>
      <c r="B8658" s="841" t="s">
        <v>5677</v>
      </c>
      <c r="E8658" s="1116" t="s">
        <v>5696</v>
      </c>
      <c r="F8658" s="1116"/>
      <c r="G8658" s="1111" t="s">
        <v>24</v>
      </c>
      <c r="H8658" s="1117">
        <v>4.0000000000000002E-4</v>
      </c>
      <c r="K8658" s="841" t="s">
        <v>6095</v>
      </c>
      <c r="L8658" s="841" t="s">
        <v>443</v>
      </c>
      <c r="M8658" s="1357"/>
      <c r="P8658" s="841" t="s">
        <v>6104</v>
      </c>
      <c r="Q8658" s="1357"/>
      <c r="S8658" s="1420"/>
      <c r="T8658" s="1420">
        <v>43585</v>
      </c>
      <c r="V8658" s="1357">
        <v>150</v>
      </c>
    </row>
    <row r="8659" spans="1:22" s="841" customFormat="1" ht="15" x14ac:dyDescent="0.25">
      <c r="A8659" s="841" t="s">
        <v>4874</v>
      </c>
      <c r="B8659" s="841" t="s">
        <v>5677</v>
      </c>
      <c r="E8659" s="621" t="s">
        <v>5684</v>
      </c>
      <c r="F8659" s="621"/>
      <c r="G8659" s="1111" t="s">
        <v>33</v>
      </c>
      <c r="H8659" s="1117">
        <v>0.1169</v>
      </c>
      <c r="K8659" s="841" t="s">
        <v>6095</v>
      </c>
      <c r="L8659" s="841" t="s">
        <v>443</v>
      </c>
      <c r="M8659" s="1357"/>
      <c r="P8659" s="841" t="s">
        <v>6105</v>
      </c>
      <c r="Q8659" s="1357"/>
      <c r="S8659" s="1420"/>
      <c r="T8659" s="1420">
        <v>43373</v>
      </c>
      <c r="V8659" s="1357">
        <v>100</v>
      </c>
    </row>
    <row r="8660" spans="1:22" s="841" customFormat="1" ht="15" x14ac:dyDescent="0.25">
      <c r="A8660" s="841" t="s">
        <v>4874</v>
      </c>
      <c r="B8660" s="841" t="s">
        <v>5677</v>
      </c>
      <c r="E8660" s="621" t="s">
        <v>5685</v>
      </c>
      <c r="F8660" s="621"/>
      <c r="G8660" s="1111" t="s">
        <v>33</v>
      </c>
      <c r="H8660" s="1117">
        <v>-0.12239999999999999</v>
      </c>
      <c r="K8660" s="841" t="s">
        <v>6095</v>
      </c>
      <c r="L8660" s="841" t="s">
        <v>443</v>
      </c>
      <c r="M8660" s="1357"/>
      <c r="P8660" s="841" t="s">
        <v>6105</v>
      </c>
      <c r="Q8660" s="1357"/>
      <c r="S8660" s="1420"/>
      <c r="T8660" s="1420">
        <v>43373</v>
      </c>
      <c r="V8660" s="1357">
        <v>107</v>
      </c>
    </row>
    <row r="8661" spans="1:22" s="841" customFormat="1" ht="15" x14ac:dyDescent="0.25">
      <c r="A8661" s="841" t="s">
        <v>4874</v>
      </c>
      <c r="B8661" s="841" t="s">
        <v>5677</v>
      </c>
      <c r="E8661" s="621" t="s">
        <v>5210</v>
      </c>
      <c r="F8661" s="621"/>
      <c r="G8661" s="1111" t="s">
        <v>33</v>
      </c>
      <c r="H8661" s="1117">
        <v>1.84E-2</v>
      </c>
      <c r="K8661" s="841" t="s">
        <v>6095</v>
      </c>
      <c r="L8661" s="841" t="s">
        <v>443</v>
      </c>
      <c r="M8661" s="1357"/>
      <c r="P8661" s="841" t="s">
        <v>6105</v>
      </c>
      <c r="Q8661" s="1357"/>
      <c r="S8661" s="1420"/>
      <c r="T8661" s="1420">
        <v>43585</v>
      </c>
      <c r="V8661" s="1357">
        <v>108</v>
      </c>
    </row>
    <row r="8662" spans="1:22" s="841" customFormat="1" ht="57" x14ac:dyDescent="0.25">
      <c r="A8662" s="841" t="s">
        <v>4874</v>
      </c>
      <c r="B8662" s="841" t="s">
        <v>5677</v>
      </c>
      <c r="E8662" s="1116" t="s">
        <v>5697</v>
      </c>
      <c r="F8662" s="1116"/>
      <c r="G8662" s="1111" t="s">
        <v>33</v>
      </c>
      <c r="H8662" s="1117">
        <v>-1.1367</v>
      </c>
      <c r="K8662" s="841" t="s">
        <v>6095</v>
      </c>
      <c r="L8662" s="841" t="s">
        <v>443</v>
      </c>
      <c r="M8662" s="1357"/>
      <c r="P8662" s="841" t="s">
        <v>6105</v>
      </c>
      <c r="Q8662" s="1357"/>
      <c r="S8662" s="1420"/>
      <c r="T8662" s="1420">
        <v>43585</v>
      </c>
      <c r="V8662" s="1357">
        <v>166</v>
      </c>
    </row>
    <row r="8663" spans="1:22" s="841" customFormat="1" ht="15" x14ac:dyDescent="0.25">
      <c r="A8663" s="841" t="s">
        <v>4874</v>
      </c>
      <c r="B8663" s="841" t="s">
        <v>5677</v>
      </c>
      <c r="E8663" s="621" t="s">
        <v>5680</v>
      </c>
      <c r="F8663" s="621"/>
      <c r="G8663" s="1111" t="s">
        <v>33</v>
      </c>
      <c r="H8663" s="1117">
        <v>6.2E-2</v>
      </c>
      <c r="K8663" s="841" t="s">
        <v>6095</v>
      </c>
      <c r="L8663" s="841" t="s">
        <v>442</v>
      </c>
      <c r="M8663" s="1357"/>
      <c r="P8663" s="841" t="s">
        <v>6105</v>
      </c>
      <c r="Q8663" s="1357"/>
      <c r="S8663" s="1420"/>
      <c r="T8663" s="1420">
        <v>43373</v>
      </c>
      <c r="V8663" s="1357">
        <v>108</v>
      </c>
    </row>
    <row r="8664" spans="1:22" s="841" customFormat="1" ht="15" x14ac:dyDescent="0.25">
      <c r="A8664" s="841" t="s">
        <v>4874</v>
      </c>
      <c r="B8664" s="841" t="s">
        <v>5677</v>
      </c>
      <c r="E8664" s="621" t="s">
        <v>5203</v>
      </c>
      <c r="F8664" s="621"/>
      <c r="G8664" s="1111" t="s">
        <v>33</v>
      </c>
      <c r="H8664" s="1117">
        <v>1.6799999999999999E-2</v>
      </c>
      <c r="K8664" s="841" t="s">
        <v>6095</v>
      </c>
      <c r="L8664" s="841" t="s">
        <v>442</v>
      </c>
      <c r="M8664" s="1357"/>
      <c r="P8664" s="841" t="s">
        <v>6379</v>
      </c>
      <c r="Q8664" s="1357"/>
      <c r="S8664" s="1420"/>
      <c r="T8664" s="1420"/>
      <c r="V8664" s="1357">
        <v>152</v>
      </c>
    </row>
    <row r="8665" spans="1:22" s="841" customFormat="1" ht="45.75" x14ac:dyDescent="0.25">
      <c r="A8665" s="841" t="s">
        <v>4874</v>
      </c>
      <c r="B8665" s="841" t="s">
        <v>5677</v>
      </c>
      <c r="E8665" s="1116" t="s">
        <v>5327</v>
      </c>
      <c r="F8665" s="1116"/>
      <c r="G8665" s="1111" t="s">
        <v>33</v>
      </c>
      <c r="H8665" s="1117">
        <v>7.9600000000000004E-2</v>
      </c>
      <c r="K8665" s="841" t="s">
        <v>6095</v>
      </c>
      <c r="L8665" s="841" t="s">
        <v>442</v>
      </c>
      <c r="M8665" s="1357"/>
      <c r="P8665" s="841" t="s">
        <v>6111</v>
      </c>
      <c r="Q8665" s="1357"/>
      <c r="S8665" s="1420"/>
      <c r="T8665" s="1420">
        <v>43585</v>
      </c>
      <c r="V8665" s="1357">
        <v>146</v>
      </c>
    </row>
    <row r="8666" spans="1:22" s="841" customFormat="1" ht="45.75" x14ac:dyDescent="0.25">
      <c r="A8666" s="841" t="s">
        <v>4874</v>
      </c>
      <c r="B8666" s="841" t="s">
        <v>5677</v>
      </c>
      <c r="E8666" s="1116" t="s">
        <v>5698</v>
      </c>
      <c r="F8666" s="1116"/>
      <c r="G8666" s="1111" t="s">
        <v>33</v>
      </c>
      <c r="H8666" s="1117">
        <v>9.0499999999999997E-2</v>
      </c>
      <c r="K8666" s="841" t="s">
        <v>6095</v>
      </c>
      <c r="L8666" s="841" t="s">
        <v>443</v>
      </c>
      <c r="M8666" s="1357"/>
      <c r="P8666" s="841" t="s">
        <v>6112</v>
      </c>
      <c r="Q8666" s="1357"/>
      <c r="S8666" s="1420"/>
      <c r="T8666" s="1420">
        <v>43585</v>
      </c>
      <c r="V8666" s="1357">
        <v>156</v>
      </c>
    </row>
    <row r="8667" spans="1:22" s="841" customFormat="1" ht="15" x14ac:dyDescent="0.25">
      <c r="A8667" s="841" t="s">
        <v>4874</v>
      </c>
      <c r="B8667" s="841" t="s">
        <v>5677</v>
      </c>
      <c r="E8667" s="621" t="s">
        <v>221</v>
      </c>
      <c r="F8667" s="621"/>
      <c r="G8667" s="1111" t="s">
        <v>33</v>
      </c>
      <c r="H8667" s="1117">
        <v>2.6739000000000002</v>
      </c>
      <c r="K8667" s="841" t="s">
        <v>6095</v>
      </c>
      <c r="L8667" s="841" t="s">
        <v>444</v>
      </c>
      <c r="M8667" s="1357"/>
      <c r="P8667" s="841" t="s">
        <v>6099</v>
      </c>
      <c r="Q8667" s="1357"/>
      <c r="S8667" s="1420"/>
      <c r="T8667" s="1420"/>
      <c r="V8667" s="1357">
        <v>47</v>
      </c>
    </row>
    <row r="8668" spans="1:22" s="841" customFormat="1" ht="15" x14ac:dyDescent="0.25">
      <c r="A8668" s="841" t="s">
        <v>4874</v>
      </c>
      <c r="B8668" s="841" t="s">
        <v>5677</v>
      </c>
      <c r="E8668" s="621" t="s">
        <v>217</v>
      </c>
      <c r="F8668" s="621"/>
      <c r="G8668" s="1111" t="s">
        <v>33</v>
      </c>
      <c r="H8668" s="1117">
        <v>1.3420000000000001</v>
      </c>
      <c r="K8668" s="841" t="s">
        <v>6095</v>
      </c>
      <c r="L8668" s="841" t="s">
        <v>444</v>
      </c>
      <c r="M8668" s="1357"/>
      <c r="P8668" s="841" t="s">
        <v>6100</v>
      </c>
      <c r="Q8668" s="1357"/>
      <c r="S8668" s="1420"/>
      <c r="T8668" s="1420"/>
      <c r="V8668" s="1357">
        <v>74</v>
      </c>
    </row>
    <row r="8669" spans="1:22" s="841" customFormat="1" ht="15" x14ac:dyDescent="0.25">
      <c r="A8669" s="841" t="s">
        <v>4874</v>
      </c>
      <c r="B8669" s="841" t="s">
        <v>5677</v>
      </c>
      <c r="E8669" s="621" t="s">
        <v>5360</v>
      </c>
      <c r="F8669" s="621"/>
      <c r="G8669" s="1111" t="s">
        <v>33</v>
      </c>
      <c r="H8669" s="1117">
        <v>2.8029999999999999</v>
      </c>
      <c r="K8669" s="841" t="s">
        <v>6095</v>
      </c>
      <c r="L8669" s="841" t="s">
        <v>444</v>
      </c>
      <c r="M8669" s="1357"/>
      <c r="P8669" s="841" t="s">
        <v>6380</v>
      </c>
      <c r="Q8669" s="1357"/>
      <c r="S8669" s="1420"/>
      <c r="T8669" s="1420"/>
      <c r="V8669" s="1357">
        <v>66</v>
      </c>
    </row>
    <row r="8670" spans="1:22" s="841" customFormat="1" ht="15" x14ac:dyDescent="0.25">
      <c r="A8670" s="841" t="s">
        <v>4874</v>
      </c>
      <c r="B8670" s="841" t="s">
        <v>5677</v>
      </c>
      <c r="E8670" s="621" t="s">
        <v>5699</v>
      </c>
      <c r="F8670" s="621"/>
      <c r="G8670" s="1111" t="s">
        <v>33</v>
      </c>
      <c r="H8670" s="1117">
        <v>1.452</v>
      </c>
      <c r="K8670" s="841" t="s">
        <v>6095</v>
      </c>
      <c r="L8670" s="841" t="s">
        <v>444</v>
      </c>
      <c r="M8670" s="1357"/>
      <c r="P8670" s="841" t="s">
        <v>6381</v>
      </c>
      <c r="Q8670" s="1357"/>
      <c r="S8670" s="1420"/>
      <c r="T8670" s="1420"/>
      <c r="V8670" s="1357">
        <v>93</v>
      </c>
    </row>
    <row r="8671" spans="1:22" s="841" customFormat="1" ht="15" x14ac:dyDescent="0.25">
      <c r="A8671" s="841" t="s">
        <v>4874</v>
      </c>
      <c r="B8671" s="841" t="s">
        <v>5677</v>
      </c>
      <c r="E8671" s="1285" t="s">
        <v>5522</v>
      </c>
      <c r="F8671" s="1285"/>
      <c r="G8671" s="1111"/>
      <c r="H8671" s="1117"/>
      <c r="K8671" s="841" t="s">
        <v>3218</v>
      </c>
      <c r="M8671" s="1357"/>
      <c r="Q8671" s="1357"/>
      <c r="S8671" s="1420"/>
      <c r="T8671" s="1420"/>
      <c r="V8671" s="1357">
        <v>48</v>
      </c>
    </row>
    <row r="8672" spans="1:22" s="841" customFormat="1" ht="15" x14ac:dyDescent="0.25">
      <c r="A8672" s="841" t="s">
        <v>4874</v>
      </c>
      <c r="B8672" s="841" t="s">
        <v>5677</v>
      </c>
      <c r="E8672" s="621" t="s">
        <v>2449</v>
      </c>
      <c r="F8672" s="621"/>
      <c r="G8672" s="1111" t="s">
        <v>24</v>
      </c>
      <c r="H8672" s="1117">
        <v>3.2000000000000002E-3</v>
      </c>
      <c r="K8672" s="841" t="s">
        <v>6095</v>
      </c>
      <c r="L8672" s="841" t="s">
        <v>3046</v>
      </c>
      <c r="M8672" s="1357"/>
      <c r="P8672" s="841" t="s">
        <v>6101</v>
      </c>
      <c r="Q8672" s="1357"/>
      <c r="S8672" s="1420"/>
      <c r="T8672" s="1420"/>
      <c r="V8672" s="1357">
        <v>55</v>
      </c>
    </row>
    <row r="8673" spans="1:22" s="841" customFormat="1" ht="15" x14ac:dyDescent="0.25">
      <c r="A8673" s="841" t="s">
        <v>4874</v>
      </c>
      <c r="B8673" s="841" t="s">
        <v>5677</v>
      </c>
      <c r="E8673" s="621" t="s">
        <v>2450</v>
      </c>
      <c r="F8673" s="621"/>
      <c r="G8673" s="1111" t="s">
        <v>24</v>
      </c>
      <c r="H8673" s="1117">
        <v>4.0000000000000002E-4</v>
      </c>
      <c r="K8673" s="841" t="s">
        <v>6095</v>
      </c>
      <c r="L8673" s="841" t="s">
        <v>3046</v>
      </c>
      <c r="M8673" s="1357"/>
      <c r="P8673" s="841" t="s">
        <v>6101</v>
      </c>
      <c r="Q8673" s="1357"/>
      <c r="S8673" s="1420"/>
      <c r="T8673" s="1420"/>
      <c r="V8673" s="1357">
        <v>65</v>
      </c>
    </row>
    <row r="8674" spans="1:22" s="841" customFormat="1" ht="15" x14ac:dyDescent="0.25">
      <c r="A8674" s="841" t="s">
        <v>4874</v>
      </c>
      <c r="B8674" s="841" t="s">
        <v>5677</v>
      </c>
      <c r="E8674" s="621" t="s">
        <v>439</v>
      </c>
      <c r="F8674" s="621"/>
      <c r="G8674" s="1111" t="s">
        <v>24</v>
      </c>
      <c r="H8674" s="1117">
        <v>2.9999999999999997E-4</v>
      </c>
      <c r="K8674" s="841" t="s">
        <v>6095</v>
      </c>
      <c r="L8674" s="841" t="s">
        <v>3046</v>
      </c>
      <c r="M8674" s="1357"/>
      <c r="P8674" s="841" t="s">
        <v>6102</v>
      </c>
      <c r="Q8674" s="1357"/>
      <c r="S8674" s="1420"/>
      <c r="T8674" s="1420"/>
      <c r="V8674" s="1357">
        <v>57</v>
      </c>
    </row>
    <row r="8675" spans="1:22" s="841" customFormat="1" ht="15" x14ac:dyDescent="0.25">
      <c r="A8675" s="841" t="s">
        <v>4874</v>
      </c>
      <c r="B8675" s="841" t="s">
        <v>5677</v>
      </c>
      <c r="E8675" s="621" t="s">
        <v>5686</v>
      </c>
      <c r="F8675" s="621"/>
      <c r="G8675" s="1111" t="s">
        <v>23</v>
      </c>
      <c r="H8675" s="1416">
        <v>0.25</v>
      </c>
      <c r="K8675" s="841" t="s">
        <v>6095</v>
      </c>
      <c r="M8675" s="1357"/>
      <c r="Q8675" s="1357"/>
      <c r="S8675" s="1420"/>
      <c r="T8675" s="1420"/>
      <c r="V8675" s="1357">
        <v>63</v>
      </c>
    </row>
    <row r="8676" spans="1:22" s="841" customFormat="1" ht="36" x14ac:dyDescent="0.25">
      <c r="A8676" s="841" t="s">
        <v>4874</v>
      </c>
      <c r="B8676" s="841" t="s">
        <v>5677</v>
      </c>
      <c r="E8676" s="1409" t="s">
        <v>621</v>
      </c>
      <c r="F8676" s="1409"/>
      <c r="G8676" s="1286"/>
      <c r="H8676" s="1287"/>
      <c r="K8676" s="841" t="s">
        <v>4394</v>
      </c>
      <c r="M8676" s="1357"/>
      <c r="Q8676" s="1357"/>
      <c r="S8676" s="1420"/>
      <c r="T8676" s="1420"/>
      <c r="V8676" s="1357">
        <v>32</v>
      </c>
    </row>
    <row r="8677" spans="1:22" s="841" customFormat="1" ht="15" x14ac:dyDescent="0.25">
      <c r="A8677" s="841" t="s">
        <v>4874</v>
      </c>
      <c r="B8677" s="841" t="s">
        <v>5677</v>
      </c>
      <c r="E8677" s="1969" t="s">
        <v>5359</v>
      </c>
      <c r="F8677" s="1969"/>
      <c r="G8677" s="1969"/>
      <c r="H8677" s="1969"/>
      <c r="K8677" s="841" t="s">
        <v>4394</v>
      </c>
      <c r="M8677" s="1357"/>
      <c r="Q8677" s="1357"/>
      <c r="S8677" s="1420"/>
      <c r="T8677" s="1420"/>
      <c r="V8677" s="1357">
        <v>323</v>
      </c>
    </row>
    <row r="8678" spans="1:22" s="841" customFormat="1" ht="15" x14ac:dyDescent="0.25">
      <c r="A8678" s="841" t="s">
        <v>4874</v>
      </c>
      <c r="B8678" s="841" t="s">
        <v>5677</v>
      </c>
      <c r="E8678" s="1288" t="s">
        <v>3061</v>
      </c>
      <c r="F8678" s="1288"/>
      <c r="G8678" s="1289"/>
      <c r="H8678" s="1290"/>
      <c r="K8678" s="841" t="s">
        <v>3221</v>
      </c>
      <c r="M8678" s="1357"/>
      <c r="Q8678" s="1357"/>
      <c r="S8678" s="1420"/>
      <c r="T8678" s="1420"/>
      <c r="V8678" s="1357">
        <v>11</v>
      </c>
    </row>
    <row r="8679" spans="1:22" s="841" customFormat="1" ht="15" x14ac:dyDescent="0.25">
      <c r="A8679" s="841" t="s">
        <v>4874</v>
      </c>
      <c r="B8679" s="841" t="s">
        <v>5677</v>
      </c>
      <c r="E8679" s="1969" t="s">
        <v>3063</v>
      </c>
      <c r="F8679" s="1969"/>
      <c r="G8679" s="1969"/>
      <c r="H8679" s="1969"/>
      <c r="K8679" s="841" t="s">
        <v>4394</v>
      </c>
      <c r="M8679" s="1357"/>
      <c r="Q8679" s="1357"/>
      <c r="S8679" s="1420"/>
      <c r="T8679" s="1420"/>
      <c r="V8679" s="1357">
        <v>280</v>
      </c>
    </row>
    <row r="8680" spans="1:22" s="841" customFormat="1" ht="15" x14ac:dyDescent="0.25">
      <c r="A8680" s="841" t="s">
        <v>4874</v>
      </c>
      <c r="B8680" s="841" t="s">
        <v>5677</v>
      </c>
      <c r="E8680" s="1969" t="s">
        <v>3064</v>
      </c>
      <c r="F8680" s="1969"/>
      <c r="G8680" s="1969"/>
      <c r="H8680" s="1969"/>
      <c r="K8680" s="841" t="s">
        <v>4394</v>
      </c>
      <c r="M8680" s="1357"/>
      <c r="Q8680" s="1357"/>
      <c r="S8680" s="1420"/>
      <c r="T8680" s="1420"/>
      <c r="V8680" s="1357">
        <v>411</v>
      </c>
    </row>
    <row r="8681" spans="1:22" s="841" customFormat="1" ht="15" x14ac:dyDescent="0.25">
      <c r="A8681" s="841" t="s">
        <v>4874</v>
      </c>
      <c r="B8681" s="841" t="s">
        <v>5677</v>
      </c>
      <c r="E8681" s="1969" t="s">
        <v>5516</v>
      </c>
      <c r="F8681" s="1969"/>
      <c r="G8681" s="1969"/>
      <c r="H8681" s="1969"/>
      <c r="K8681" s="841" t="s">
        <v>4394</v>
      </c>
      <c r="M8681" s="1357"/>
      <c r="Q8681" s="1357"/>
      <c r="S8681" s="1420"/>
      <c r="T8681" s="1420"/>
      <c r="V8681" s="1357">
        <v>387</v>
      </c>
    </row>
    <row r="8682" spans="1:22" s="841" customFormat="1" ht="15" x14ac:dyDescent="0.25">
      <c r="A8682" s="841" t="s">
        <v>4874</v>
      </c>
      <c r="B8682" s="841" t="s">
        <v>5677</v>
      </c>
      <c r="E8682" s="1969" t="s">
        <v>3390</v>
      </c>
      <c r="F8682" s="1969"/>
      <c r="G8682" s="1969"/>
      <c r="H8682" s="1969"/>
      <c r="K8682" s="841" t="s">
        <v>4394</v>
      </c>
      <c r="M8682" s="1357"/>
      <c r="Q8682" s="1357"/>
      <c r="S8682" s="1420"/>
      <c r="T8682" s="1420"/>
      <c r="V8682" s="1357">
        <v>274</v>
      </c>
    </row>
    <row r="8683" spans="1:22" s="841" customFormat="1" ht="15" x14ac:dyDescent="0.25">
      <c r="A8683" s="841" t="s">
        <v>4874</v>
      </c>
      <c r="B8683" s="841" t="s">
        <v>5677</v>
      </c>
      <c r="E8683" s="1285" t="s">
        <v>5517</v>
      </c>
      <c r="F8683" s="1285"/>
      <c r="G8683" s="1111"/>
      <c r="H8683" s="621"/>
      <c r="K8683" s="841" t="s">
        <v>3224</v>
      </c>
      <c r="M8683" s="1357"/>
      <c r="Q8683" s="1357"/>
      <c r="S8683" s="1420"/>
      <c r="T8683" s="1420"/>
      <c r="V8683" s="1357">
        <v>46</v>
      </c>
    </row>
    <row r="8684" spans="1:22" s="841" customFormat="1" ht="15" x14ac:dyDescent="0.25">
      <c r="A8684" s="841" t="s">
        <v>4874</v>
      </c>
      <c r="B8684" s="841" t="s">
        <v>5677</v>
      </c>
      <c r="E8684" s="621" t="s">
        <v>11</v>
      </c>
      <c r="F8684" s="621"/>
      <c r="G8684" s="1111" t="s">
        <v>23</v>
      </c>
      <c r="H8684" s="1114">
        <v>6128.34</v>
      </c>
      <c r="K8684" s="841" t="s">
        <v>4394</v>
      </c>
      <c r="L8684" s="841" t="s">
        <v>442</v>
      </c>
      <c r="M8684" s="1357"/>
      <c r="P8684" s="841" t="s">
        <v>4396</v>
      </c>
      <c r="Q8684" s="1357"/>
      <c r="S8684" s="1420"/>
      <c r="T8684" s="1420"/>
      <c r="V8684" s="1357">
        <v>14</v>
      </c>
    </row>
    <row r="8685" spans="1:22" s="841" customFormat="1" ht="15" x14ac:dyDescent="0.25">
      <c r="A8685" s="841" t="s">
        <v>4874</v>
      </c>
      <c r="B8685" s="841" t="s">
        <v>5677</v>
      </c>
      <c r="E8685" s="621" t="s">
        <v>5203</v>
      </c>
      <c r="F8685" s="621"/>
      <c r="G8685" s="1111" t="s">
        <v>23</v>
      </c>
      <c r="H8685" s="1114">
        <v>24.34</v>
      </c>
      <c r="K8685" s="841" t="s">
        <v>4394</v>
      </c>
      <c r="L8685" s="841" t="s">
        <v>442</v>
      </c>
      <c r="M8685" s="1357"/>
      <c r="P8685" s="841" t="s">
        <v>6382</v>
      </c>
      <c r="Q8685" s="1357"/>
      <c r="S8685" s="1420"/>
      <c r="T8685" s="1420"/>
      <c r="V8685" s="1357">
        <v>152</v>
      </c>
    </row>
    <row r="8686" spans="1:22" s="841" customFormat="1" ht="15" x14ac:dyDescent="0.25">
      <c r="A8686" s="841" t="s">
        <v>4874</v>
      </c>
      <c r="B8686" s="841" t="s">
        <v>5677</v>
      </c>
      <c r="E8686" s="625" t="s">
        <v>5204</v>
      </c>
      <c r="F8686" s="625"/>
      <c r="G8686" s="1111" t="s">
        <v>23</v>
      </c>
      <c r="H8686" s="1114">
        <v>97.02</v>
      </c>
      <c r="K8686" s="841" t="s">
        <v>4394</v>
      </c>
      <c r="L8686" s="841" t="s">
        <v>442</v>
      </c>
      <c r="M8686" s="1357"/>
      <c r="P8686" s="841" t="s">
        <v>6383</v>
      </c>
      <c r="Q8686" s="1357"/>
      <c r="S8686" s="1420"/>
      <c r="T8686" s="1420">
        <v>43465</v>
      </c>
      <c r="V8686" s="1357">
        <v>96</v>
      </c>
    </row>
    <row r="8687" spans="1:22" s="841" customFormat="1" ht="15" x14ac:dyDescent="0.25">
      <c r="A8687" s="841" t="s">
        <v>4874</v>
      </c>
      <c r="B8687" s="841" t="s">
        <v>5677</v>
      </c>
      <c r="E8687" s="621" t="s">
        <v>84</v>
      </c>
      <c r="F8687" s="621"/>
      <c r="G8687" s="1111" t="s">
        <v>33</v>
      </c>
      <c r="H8687" s="1117">
        <v>2.2623000000000002</v>
      </c>
      <c r="K8687" s="841" t="s">
        <v>4394</v>
      </c>
      <c r="L8687" s="841" t="s">
        <v>442</v>
      </c>
      <c r="M8687" s="1357"/>
      <c r="P8687" s="841" t="s">
        <v>4397</v>
      </c>
      <c r="Q8687" s="1357"/>
      <c r="S8687" s="1420"/>
      <c r="T8687" s="1420"/>
      <c r="V8687" s="1357">
        <v>28</v>
      </c>
    </row>
    <row r="8688" spans="1:22" s="841" customFormat="1" ht="15" x14ac:dyDescent="0.25">
      <c r="A8688" s="841" t="s">
        <v>4874</v>
      </c>
      <c r="B8688" s="841" t="s">
        <v>5677</v>
      </c>
      <c r="E8688" s="621" t="s">
        <v>4813</v>
      </c>
      <c r="F8688" s="621"/>
      <c r="G8688" s="1111" t="s">
        <v>33</v>
      </c>
      <c r="H8688" s="1117">
        <v>0.16300000000000001</v>
      </c>
      <c r="K8688" s="841" t="s">
        <v>4394</v>
      </c>
      <c r="L8688" s="841" t="s">
        <v>443</v>
      </c>
      <c r="M8688" s="1357"/>
      <c r="P8688" s="841" t="s">
        <v>4398</v>
      </c>
      <c r="Q8688" s="1357"/>
      <c r="S8688" s="1420"/>
      <c r="T8688" s="1420"/>
      <c r="V8688" s="1357">
        <v>25</v>
      </c>
    </row>
    <row r="8689" spans="1:22" s="841" customFormat="1" ht="15" x14ac:dyDescent="0.25">
      <c r="A8689" s="841" t="s">
        <v>4874</v>
      </c>
      <c r="B8689" s="841" t="s">
        <v>5677</v>
      </c>
      <c r="E8689" s="621" t="s">
        <v>5684</v>
      </c>
      <c r="F8689" s="621"/>
      <c r="G8689" s="1111" t="s">
        <v>33</v>
      </c>
      <c r="H8689" s="1117">
        <v>0.15840000000000001</v>
      </c>
      <c r="K8689" s="841" t="s">
        <v>4394</v>
      </c>
      <c r="L8689" s="841" t="s">
        <v>443</v>
      </c>
      <c r="M8689" s="1357"/>
      <c r="P8689" s="841" t="s">
        <v>4400</v>
      </c>
      <c r="Q8689" s="1357"/>
      <c r="S8689" s="1420"/>
      <c r="T8689" s="1420">
        <v>43373</v>
      </c>
      <c r="V8689" s="1357">
        <v>100</v>
      </c>
    </row>
    <row r="8690" spans="1:22" s="841" customFormat="1" ht="15" x14ac:dyDescent="0.25">
      <c r="A8690" s="841" t="s">
        <v>4874</v>
      </c>
      <c r="B8690" s="841" t="s">
        <v>5677</v>
      </c>
      <c r="E8690" s="621" t="s">
        <v>5685</v>
      </c>
      <c r="F8690" s="621"/>
      <c r="G8690" s="1111" t="s">
        <v>33</v>
      </c>
      <c r="H8690" s="1117">
        <v>-0.16589999999999999</v>
      </c>
      <c r="K8690" s="841" t="s">
        <v>4394</v>
      </c>
      <c r="L8690" s="841" t="s">
        <v>443</v>
      </c>
      <c r="M8690" s="1357"/>
      <c r="P8690" s="841" t="s">
        <v>4400</v>
      </c>
      <c r="Q8690" s="1357"/>
      <c r="S8690" s="1420"/>
      <c r="T8690" s="1420">
        <v>43373</v>
      </c>
      <c r="V8690" s="1357">
        <v>107</v>
      </c>
    </row>
    <row r="8691" spans="1:22" s="841" customFormat="1" ht="15" x14ac:dyDescent="0.25">
      <c r="A8691" s="841" t="s">
        <v>4874</v>
      </c>
      <c r="B8691" s="841" t="s">
        <v>5677</v>
      </c>
      <c r="E8691" s="621" t="s">
        <v>5210</v>
      </c>
      <c r="F8691" s="621"/>
      <c r="G8691" s="1111" t="s">
        <v>33</v>
      </c>
      <c r="H8691" s="1117">
        <v>-1.3234999999999999</v>
      </c>
      <c r="K8691" s="841" t="s">
        <v>4394</v>
      </c>
      <c r="L8691" s="841" t="s">
        <v>443</v>
      </c>
      <c r="M8691" s="1357"/>
      <c r="P8691" s="841" t="s">
        <v>4400</v>
      </c>
      <c r="Q8691" s="1357"/>
      <c r="S8691" s="1420"/>
      <c r="T8691" s="1420">
        <v>43585</v>
      </c>
      <c r="V8691" s="1357">
        <v>108</v>
      </c>
    </row>
    <row r="8692" spans="1:22" s="841" customFormat="1" ht="15" x14ac:dyDescent="0.25">
      <c r="A8692" s="841" t="s">
        <v>4874</v>
      </c>
      <c r="B8692" s="841" t="s">
        <v>5677</v>
      </c>
      <c r="E8692" s="621" t="s">
        <v>5680</v>
      </c>
      <c r="F8692" s="621"/>
      <c r="G8692" s="1111" t="s">
        <v>33</v>
      </c>
      <c r="H8692" s="1117">
        <v>8.4000000000000005E-2</v>
      </c>
      <c r="K8692" s="841" t="s">
        <v>4394</v>
      </c>
      <c r="L8692" s="841" t="s">
        <v>442</v>
      </c>
      <c r="M8692" s="1357"/>
      <c r="P8692" s="841" t="s">
        <v>4400</v>
      </c>
      <c r="Q8692" s="1357"/>
      <c r="S8692" s="1420"/>
      <c r="T8692" s="1420">
        <v>43373</v>
      </c>
      <c r="V8692" s="1357">
        <v>108</v>
      </c>
    </row>
    <row r="8693" spans="1:22" s="841" customFormat="1" ht="15" x14ac:dyDescent="0.25">
      <c r="A8693" s="841" t="s">
        <v>4874</v>
      </c>
      <c r="B8693" s="841" t="s">
        <v>5677</v>
      </c>
      <c r="E8693" s="621" t="s">
        <v>5203</v>
      </c>
      <c r="F8693" s="621"/>
      <c r="G8693" s="1111" t="s">
        <v>33</v>
      </c>
      <c r="H8693" s="1117">
        <v>8.9999999999999993E-3</v>
      </c>
      <c r="K8693" s="841" t="s">
        <v>4394</v>
      </c>
      <c r="L8693" s="841" t="s">
        <v>442</v>
      </c>
      <c r="M8693" s="1357"/>
      <c r="P8693" s="841" t="s">
        <v>6384</v>
      </c>
      <c r="Q8693" s="1357"/>
      <c r="S8693" s="1420"/>
      <c r="T8693" s="1420"/>
      <c r="V8693" s="1357">
        <v>152</v>
      </c>
    </row>
    <row r="8694" spans="1:22" s="841" customFormat="1" ht="45.75" x14ac:dyDescent="0.25">
      <c r="A8694" s="841" t="s">
        <v>4874</v>
      </c>
      <c r="B8694" s="841" t="s">
        <v>5677</v>
      </c>
      <c r="E8694" s="1116" t="s">
        <v>5327</v>
      </c>
      <c r="F8694" s="1116"/>
      <c r="G8694" s="1111" t="s">
        <v>33</v>
      </c>
      <c r="H8694" s="1117">
        <v>-7.2300000000000003E-2</v>
      </c>
      <c r="K8694" s="841" t="s">
        <v>4394</v>
      </c>
      <c r="L8694" s="841" t="s">
        <v>442</v>
      </c>
      <c r="M8694" s="1357"/>
      <c r="P8694" s="841" t="s">
        <v>4399</v>
      </c>
      <c r="Q8694" s="1357"/>
      <c r="S8694" s="1420"/>
      <c r="T8694" s="1420">
        <v>43585</v>
      </c>
      <c r="V8694" s="1357">
        <v>146</v>
      </c>
    </row>
    <row r="8695" spans="1:22" s="841" customFormat="1" ht="15" x14ac:dyDescent="0.25">
      <c r="A8695" s="841" t="s">
        <v>4874</v>
      </c>
      <c r="B8695" s="841" t="s">
        <v>5677</v>
      </c>
      <c r="E8695" s="621" t="s">
        <v>221</v>
      </c>
      <c r="F8695" s="621"/>
      <c r="G8695" s="1111" t="s">
        <v>33</v>
      </c>
      <c r="H8695" s="1117">
        <v>3.2305000000000001</v>
      </c>
      <c r="K8695" s="841" t="s">
        <v>4394</v>
      </c>
      <c r="L8695" s="841" t="s">
        <v>444</v>
      </c>
      <c r="M8695" s="1357"/>
      <c r="P8695" s="841" t="s">
        <v>4401</v>
      </c>
      <c r="Q8695" s="1357"/>
      <c r="S8695" s="1420"/>
      <c r="T8695" s="1420"/>
      <c r="V8695" s="1357">
        <v>47</v>
      </c>
    </row>
    <row r="8696" spans="1:22" s="841" customFormat="1" ht="15" x14ac:dyDescent="0.25">
      <c r="A8696" s="841" t="s">
        <v>4874</v>
      </c>
      <c r="B8696" s="841" t="s">
        <v>5677</v>
      </c>
      <c r="E8696" s="621" t="s">
        <v>217</v>
      </c>
      <c r="F8696" s="621"/>
      <c r="G8696" s="1111" t="s">
        <v>33</v>
      </c>
      <c r="H8696" s="1117">
        <v>1.4016</v>
      </c>
      <c r="K8696" s="841" t="s">
        <v>4394</v>
      </c>
      <c r="L8696" s="841" t="s">
        <v>444</v>
      </c>
      <c r="M8696" s="1357"/>
      <c r="P8696" s="841" t="s">
        <v>5532</v>
      </c>
      <c r="Q8696" s="1357"/>
      <c r="S8696" s="1420"/>
      <c r="T8696" s="1420"/>
      <c r="V8696" s="1357">
        <v>74</v>
      </c>
    </row>
    <row r="8697" spans="1:22" s="841" customFormat="1" ht="15" x14ac:dyDescent="0.25">
      <c r="A8697" s="841" t="s">
        <v>4874</v>
      </c>
      <c r="B8697" s="841" t="s">
        <v>5677</v>
      </c>
      <c r="E8697" s="1285" t="s">
        <v>5522</v>
      </c>
      <c r="F8697" s="1285"/>
      <c r="G8697" s="1292"/>
      <c r="H8697" s="1117"/>
      <c r="K8697" s="841" t="s">
        <v>3225</v>
      </c>
      <c r="M8697" s="1357"/>
      <c r="Q8697" s="1357"/>
      <c r="S8697" s="1420"/>
      <c r="T8697" s="1420"/>
      <c r="V8697" s="1357">
        <v>48</v>
      </c>
    </row>
    <row r="8698" spans="1:22" s="841" customFormat="1" ht="15" x14ac:dyDescent="0.25">
      <c r="A8698" s="841" t="s">
        <v>4874</v>
      </c>
      <c r="B8698" s="841" t="s">
        <v>5677</v>
      </c>
      <c r="E8698" s="621" t="s">
        <v>2449</v>
      </c>
      <c r="F8698" s="621"/>
      <c r="G8698" s="1111" t="s">
        <v>24</v>
      </c>
      <c r="H8698" s="1117">
        <v>3.2000000000000002E-3</v>
      </c>
      <c r="K8698" s="841" t="s">
        <v>4394</v>
      </c>
      <c r="L8698" s="841" t="s">
        <v>3046</v>
      </c>
      <c r="M8698" s="1357"/>
      <c r="P8698" s="841" t="s">
        <v>4403</v>
      </c>
      <c r="Q8698" s="1357"/>
      <c r="S8698" s="1420"/>
      <c r="T8698" s="1420"/>
      <c r="V8698" s="1357">
        <v>55</v>
      </c>
    </row>
    <row r="8699" spans="1:22" s="841" customFormat="1" ht="15" x14ac:dyDescent="0.25">
      <c r="A8699" s="841" t="s">
        <v>4874</v>
      </c>
      <c r="B8699" s="841" t="s">
        <v>5677</v>
      </c>
      <c r="E8699" s="621" t="s">
        <v>2450</v>
      </c>
      <c r="F8699" s="621"/>
      <c r="G8699" s="1111" t="s">
        <v>24</v>
      </c>
      <c r="H8699" s="1117">
        <v>4.0000000000000002E-4</v>
      </c>
      <c r="K8699" s="841" t="s">
        <v>4394</v>
      </c>
      <c r="L8699" s="841" t="s">
        <v>3046</v>
      </c>
      <c r="M8699" s="1357"/>
      <c r="P8699" s="841" t="s">
        <v>4403</v>
      </c>
      <c r="Q8699" s="1357"/>
      <c r="S8699" s="1420"/>
      <c r="T8699" s="1420"/>
      <c r="V8699" s="1357">
        <v>65</v>
      </c>
    </row>
    <row r="8700" spans="1:22" s="841" customFormat="1" ht="15" x14ac:dyDescent="0.25">
      <c r="A8700" s="841" t="s">
        <v>4874</v>
      </c>
      <c r="B8700" s="841" t="s">
        <v>5677</v>
      </c>
      <c r="E8700" s="621" t="s">
        <v>439</v>
      </c>
      <c r="F8700" s="621"/>
      <c r="G8700" s="1111" t="s">
        <v>24</v>
      </c>
      <c r="H8700" s="1117">
        <v>2.9999999999999997E-4</v>
      </c>
      <c r="K8700" s="841" t="s">
        <v>4394</v>
      </c>
      <c r="L8700" s="841" t="s">
        <v>3046</v>
      </c>
      <c r="M8700" s="1357"/>
      <c r="P8700" s="841" t="s">
        <v>4404</v>
      </c>
      <c r="Q8700" s="1357"/>
      <c r="S8700" s="1420"/>
      <c r="T8700" s="1420"/>
      <c r="V8700" s="1357">
        <v>57</v>
      </c>
    </row>
    <row r="8701" spans="1:22" s="841" customFormat="1" ht="15" x14ac:dyDescent="0.25">
      <c r="A8701" s="841" t="s">
        <v>4874</v>
      </c>
      <c r="B8701" s="841" t="s">
        <v>5677</v>
      </c>
      <c r="E8701" s="621" t="s">
        <v>5686</v>
      </c>
      <c r="F8701" s="621"/>
      <c r="G8701" s="1111" t="s">
        <v>23</v>
      </c>
      <c r="H8701" s="1416">
        <v>0.25</v>
      </c>
      <c r="K8701" s="841" t="s">
        <v>4394</v>
      </c>
      <c r="M8701" s="1357"/>
      <c r="Q8701" s="1357"/>
      <c r="S8701" s="1420"/>
      <c r="T8701" s="1420"/>
      <c r="V8701" s="1357">
        <v>63</v>
      </c>
    </row>
    <row r="8702" spans="1:22" s="841" customFormat="1" ht="36" x14ac:dyDescent="0.25">
      <c r="A8702" s="841" t="s">
        <v>4874</v>
      </c>
      <c r="B8702" s="841" t="s">
        <v>5677</v>
      </c>
      <c r="E8702" s="1409" t="s">
        <v>1713</v>
      </c>
      <c r="F8702" s="1409"/>
      <c r="G8702" s="1286"/>
      <c r="H8702" s="1287"/>
      <c r="K8702" s="841" t="s">
        <v>5700</v>
      </c>
      <c r="M8702" s="1357"/>
      <c r="Q8702" s="1357"/>
      <c r="S8702" s="1420"/>
      <c r="T8702" s="1420"/>
      <c r="V8702" s="1357">
        <v>37</v>
      </c>
    </row>
    <row r="8703" spans="1:22" s="841" customFormat="1" ht="15" x14ac:dyDescent="0.25">
      <c r="A8703" s="841" t="s">
        <v>4874</v>
      </c>
      <c r="B8703" s="841" t="s">
        <v>5677</v>
      </c>
      <c r="E8703" s="1969" t="s">
        <v>3932</v>
      </c>
      <c r="F8703" s="1969"/>
      <c r="G8703" s="1969"/>
      <c r="H8703" s="1969"/>
      <c r="K8703" s="841" t="s">
        <v>5700</v>
      </c>
      <c r="M8703" s="1357"/>
      <c r="Q8703" s="1357"/>
      <c r="S8703" s="1420"/>
      <c r="T8703" s="1420"/>
      <c r="V8703" s="1357">
        <v>220</v>
      </c>
    </row>
    <row r="8704" spans="1:22" s="841" customFormat="1" ht="15" x14ac:dyDescent="0.25">
      <c r="A8704" s="841" t="s">
        <v>4874</v>
      </c>
      <c r="B8704" s="841" t="s">
        <v>5677</v>
      </c>
      <c r="E8704" s="1288" t="s">
        <v>3061</v>
      </c>
      <c r="F8704" s="1288"/>
      <c r="G8704" s="1289"/>
      <c r="H8704" s="1290"/>
      <c r="K8704" s="841" t="s">
        <v>3107</v>
      </c>
      <c r="M8704" s="1357"/>
      <c r="Q8704" s="1357"/>
      <c r="S8704" s="1420"/>
      <c r="T8704" s="1420"/>
      <c r="V8704" s="1357">
        <v>11</v>
      </c>
    </row>
    <row r="8705" spans="1:22" s="841" customFormat="1" ht="15" x14ac:dyDescent="0.25">
      <c r="A8705" s="841" t="s">
        <v>4874</v>
      </c>
      <c r="B8705" s="841" t="s">
        <v>5677</v>
      </c>
      <c r="E8705" s="1969" t="s">
        <v>3063</v>
      </c>
      <c r="F8705" s="1969"/>
      <c r="G8705" s="1969"/>
      <c r="H8705" s="1969"/>
      <c r="K8705" s="841" t="s">
        <v>5700</v>
      </c>
      <c r="M8705" s="1357"/>
      <c r="Q8705" s="1357"/>
      <c r="S8705" s="1420"/>
      <c r="T8705" s="1420"/>
      <c r="V8705" s="1357">
        <v>280</v>
      </c>
    </row>
    <row r="8706" spans="1:22" s="841" customFormat="1" ht="15" x14ac:dyDescent="0.25">
      <c r="A8706" s="841" t="s">
        <v>4874</v>
      </c>
      <c r="B8706" s="841" t="s">
        <v>5677</v>
      </c>
      <c r="E8706" s="1969" t="s">
        <v>3064</v>
      </c>
      <c r="F8706" s="1969"/>
      <c r="G8706" s="1969"/>
      <c r="H8706" s="1969"/>
      <c r="K8706" s="841" t="s">
        <v>5700</v>
      </c>
      <c r="M8706" s="1357"/>
      <c r="Q8706" s="1357"/>
      <c r="S8706" s="1420"/>
      <c r="T8706" s="1420"/>
      <c r="V8706" s="1357">
        <v>411</v>
      </c>
    </row>
    <row r="8707" spans="1:22" s="841" customFormat="1" ht="15" x14ac:dyDescent="0.25">
      <c r="A8707" s="841" t="s">
        <v>4874</v>
      </c>
      <c r="B8707" s="841" t="s">
        <v>5677</v>
      </c>
      <c r="E8707" s="1969" t="s">
        <v>3129</v>
      </c>
      <c r="F8707" s="1969"/>
      <c r="G8707" s="1969"/>
      <c r="H8707" s="1969"/>
      <c r="K8707" s="841" t="s">
        <v>5700</v>
      </c>
      <c r="M8707" s="1357"/>
      <c r="Q8707" s="1357"/>
      <c r="S8707" s="1420"/>
      <c r="T8707" s="1420"/>
      <c r="V8707" s="1357">
        <v>211</v>
      </c>
    </row>
    <row r="8708" spans="1:22" s="841" customFormat="1" ht="15" x14ac:dyDescent="0.25">
      <c r="A8708" s="841" t="s">
        <v>4874</v>
      </c>
      <c r="B8708" s="841" t="s">
        <v>5677</v>
      </c>
      <c r="E8708" s="1969" t="s">
        <v>3390</v>
      </c>
      <c r="F8708" s="1969"/>
      <c r="G8708" s="1969"/>
      <c r="H8708" s="1969"/>
      <c r="K8708" s="841" t="s">
        <v>5700</v>
      </c>
      <c r="M8708" s="1357"/>
      <c r="Q8708" s="1357"/>
      <c r="S8708" s="1420"/>
      <c r="T8708" s="1420"/>
      <c r="V8708" s="1357">
        <v>274</v>
      </c>
    </row>
    <row r="8709" spans="1:22" s="841" customFormat="1" ht="15" x14ac:dyDescent="0.25">
      <c r="A8709" s="841" t="s">
        <v>4874</v>
      </c>
      <c r="B8709" s="841" t="s">
        <v>5677</v>
      </c>
      <c r="E8709" s="1285" t="s">
        <v>5546</v>
      </c>
      <c r="F8709" s="1285"/>
      <c r="G8709" s="1111"/>
      <c r="H8709" s="621"/>
      <c r="K8709" s="841" t="s">
        <v>3108</v>
      </c>
      <c r="M8709" s="1357"/>
      <c r="Q8709" s="1357"/>
      <c r="S8709" s="1420"/>
      <c r="T8709" s="1420"/>
      <c r="V8709" s="1357">
        <v>77</v>
      </c>
    </row>
    <row r="8710" spans="1:22" s="841" customFormat="1" ht="15" x14ac:dyDescent="0.25">
      <c r="A8710" s="841" t="s">
        <v>4874</v>
      </c>
      <c r="B8710" s="841" t="s">
        <v>5677</v>
      </c>
      <c r="E8710" s="621" t="s">
        <v>5701</v>
      </c>
      <c r="F8710" s="621"/>
      <c r="G8710" s="1111"/>
      <c r="H8710" s="621"/>
      <c r="K8710" s="841" t="s">
        <v>5700</v>
      </c>
      <c r="M8710" s="1357"/>
      <c r="P8710" s="841" t="s">
        <v>6385</v>
      </c>
      <c r="Q8710" s="1357"/>
      <c r="S8710" s="1420"/>
      <c r="T8710" s="1420"/>
      <c r="V8710" s="1357">
        <v>96</v>
      </c>
    </row>
    <row r="8711" spans="1:22" s="841" customFormat="1" ht="15" x14ac:dyDescent="0.25">
      <c r="A8711" s="841" t="s">
        <v>4874</v>
      </c>
      <c r="B8711" s="841" t="s">
        <v>5677</v>
      </c>
      <c r="E8711" s="621" t="s">
        <v>5702</v>
      </c>
      <c r="F8711" s="621"/>
      <c r="G8711" s="1111" t="s">
        <v>33</v>
      </c>
      <c r="H8711" s="1293">
        <v>2.8334000000000001</v>
      </c>
      <c r="K8711" s="841" t="s">
        <v>5700</v>
      </c>
      <c r="M8711" s="1357"/>
      <c r="Q8711" s="1357"/>
      <c r="S8711" s="1420"/>
      <c r="T8711" s="1420"/>
      <c r="V8711" s="1357">
        <v>65</v>
      </c>
    </row>
    <row r="8712" spans="1:22" s="841" customFormat="1" ht="54" x14ac:dyDescent="0.25">
      <c r="A8712" s="841" t="s">
        <v>4874</v>
      </c>
      <c r="B8712" s="841" t="s">
        <v>5677</v>
      </c>
      <c r="E8712" s="1409" t="s">
        <v>617</v>
      </c>
      <c r="F8712" s="1409"/>
      <c r="G8712" s="1286"/>
      <c r="H8712" s="1287"/>
      <c r="K8712" s="841" t="s">
        <v>3238</v>
      </c>
      <c r="M8712" s="1357"/>
      <c r="Q8712" s="1357"/>
      <c r="S8712" s="1420"/>
      <c r="T8712" s="1420"/>
      <c r="V8712" s="1357">
        <v>47</v>
      </c>
    </row>
    <row r="8713" spans="1:22" s="841" customFormat="1" ht="15" x14ac:dyDescent="0.25">
      <c r="A8713" s="841" t="s">
        <v>4874</v>
      </c>
      <c r="B8713" s="841" t="s">
        <v>5677</v>
      </c>
      <c r="E8713" s="1969" t="s">
        <v>5703</v>
      </c>
      <c r="F8713" s="1969"/>
      <c r="G8713" s="1969"/>
      <c r="H8713" s="1969"/>
      <c r="K8713" s="841" t="s">
        <v>3238</v>
      </c>
      <c r="M8713" s="1357"/>
      <c r="Q8713" s="1357"/>
      <c r="S8713" s="1420"/>
      <c r="T8713" s="1420"/>
      <c r="V8713" s="1357">
        <v>623</v>
      </c>
    </row>
    <row r="8714" spans="1:22" s="841" customFormat="1" ht="15" x14ac:dyDescent="0.25">
      <c r="A8714" s="841" t="s">
        <v>4874</v>
      </c>
      <c r="B8714" s="841" t="s">
        <v>5677</v>
      </c>
      <c r="E8714" s="1288" t="s">
        <v>3061</v>
      </c>
      <c r="F8714" s="1288"/>
      <c r="G8714" s="1289"/>
      <c r="H8714" s="1290"/>
      <c r="K8714" s="841" t="s">
        <v>3114</v>
      </c>
      <c r="M8714" s="1357"/>
      <c r="Q8714" s="1357"/>
      <c r="S8714" s="1420"/>
      <c r="T8714" s="1420"/>
      <c r="V8714" s="1357">
        <v>11</v>
      </c>
    </row>
    <row r="8715" spans="1:22" s="841" customFormat="1" ht="15" x14ac:dyDescent="0.25">
      <c r="A8715" s="841" t="s">
        <v>4874</v>
      </c>
      <c r="B8715" s="841" t="s">
        <v>5677</v>
      </c>
      <c r="E8715" s="1969" t="s">
        <v>3063</v>
      </c>
      <c r="F8715" s="1969"/>
      <c r="G8715" s="1969"/>
      <c r="H8715" s="1969"/>
      <c r="K8715" s="841" t="s">
        <v>3238</v>
      </c>
      <c r="M8715" s="1357"/>
      <c r="Q8715" s="1357"/>
      <c r="S8715" s="1420"/>
      <c r="T8715" s="1420"/>
      <c r="V8715" s="1357">
        <v>280</v>
      </c>
    </row>
    <row r="8716" spans="1:22" s="841" customFormat="1" ht="15" x14ac:dyDescent="0.25">
      <c r="A8716" s="841" t="s">
        <v>4874</v>
      </c>
      <c r="B8716" s="841" t="s">
        <v>5677</v>
      </c>
      <c r="E8716" s="1969" t="s">
        <v>3064</v>
      </c>
      <c r="F8716" s="1969"/>
      <c r="G8716" s="1969"/>
      <c r="H8716" s="1969"/>
      <c r="K8716" s="841" t="s">
        <v>3238</v>
      </c>
      <c r="M8716" s="1357"/>
      <c r="Q8716" s="1357"/>
      <c r="S8716" s="1420"/>
      <c r="T8716" s="1420"/>
      <c r="V8716" s="1357">
        <v>411</v>
      </c>
    </row>
    <row r="8717" spans="1:22" s="841" customFormat="1" ht="15" x14ac:dyDescent="0.25">
      <c r="A8717" s="841" t="s">
        <v>4874</v>
      </c>
      <c r="B8717" s="841" t="s">
        <v>5677</v>
      </c>
      <c r="E8717" s="1969" t="s">
        <v>5516</v>
      </c>
      <c r="F8717" s="1969"/>
      <c r="G8717" s="1969"/>
      <c r="H8717" s="1969"/>
      <c r="K8717" s="841" t="s">
        <v>3238</v>
      </c>
      <c r="M8717" s="1357"/>
      <c r="Q8717" s="1357"/>
      <c r="S8717" s="1420"/>
      <c r="T8717" s="1420"/>
      <c r="V8717" s="1357">
        <v>387</v>
      </c>
    </row>
    <row r="8718" spans="1:22" s="841" customFormat="1" ht="15" x14ac:dyDescent="0.25">
      <c r="A8718" s="841" t="s">
        <v>4874</v>
      </c>
      <c r="B8718" s="841" t="s">
        <v>5677</v>
      </c>
      <c r="E8718" s="1969" t="s">
        <v>3390</v>
      </c>
      <c r="F8718" s="1969"/>
      <c r="G8718" s="1969"/>
      <c r="H8718" s="1969"/>
      <c r="K8718" s="841" t="s">
        <v>3238</v>
      </c>
      <c r="M8718" s="1357"/>
      <c r="Q8718" s="1357"/>
      <c r="S8718" s="1420"/>
      <c r="T8718" s="1420"/>
      <c r="V8718" s="1357">
        <v>274</v>
      </c>
    </row>
    <row r="8719" spans="1:22" s="841" customFormat="1" ht="15" x14ac:dyDescent="0.25">
      <c r="A8719" s="841" t="s">
        <v>4874</v>
      </c>
      <c r="B8719" s="841" t="s">
        <v>5677</v>
      </c>
      <c r="E8719" s="1285" t="s">
        <v>5517</v>
      </c>
      <c r="F8719" s="1285"/>
      <c r="G8719" s="1111"/>
      <c r="H8719" s="621"/>
      <c r="K8719" s="841" t="s">
        <v>3115</v>
      </c>
      <c r="M8719" s="1357"/>
      <c r="Q8719" s="1357"/>
      <c r="S8719" s="1420"/>
      <c r="T8719" s="1420"/>
      <c r="V8719" s="1357">
        <v>46</v>
      </c>
    </row>
    <row r="8720" spans="1:22" s="841" customFormat="1" ht="15" x14ac:dyDescent="0.25">
      <c r="A8720" s="841" t="s">
        <v>4874</v>
      </c>
      <c r="B8720" s="841" t="s">
        <v>5677</v>
      </c>
      <c r="E8720" s="621" t="s">
        <v>11</v>
      </c>
      <c r="F8720" s="621"/>
      <c r="G8720" s="1111" t="s">
        <v>23</v>
      </c>
      <c r="H8720" s="1114">
        <v>8.68</v>
      </c>
      <c r="K8720" s="841" t="s">
        <v>3238</v>
      </c>
      <c r="L8720" s="841" t="s">
        <v>442</v>
      </c>
      <c r="M8720" s="1357"/>
      <c r="P8720" s="841" t="s">
        <v>3240</v>
      </c>
      <c r="Q8720" s="1357"/>
      <c r="S8720" s="1420"/>
      <c r="T8720" s="1420"/>
      <c r="V8720" s="1357">
        <v>14</v>
      </c>
    </row>
    <row r="8721" spans="1:22" s="841" customFormat="1" ht="15" x14ac:dyDescent="0.25">
      <c r="A8721" s="841" t="s">
        <v>4874</v>
      </c>
      <c r="B8721" s="841" t="s">
        <v>5677</v>
      </c>
      <c r="E8721" s="621" t="s">
        <v>5203</v>
      </c>
      <c r="F8721" s="621"/>
      <c r="G8721" s="1111" t="s">
        <v>23</v>
      </c>
      <c r="H8721" s="1114">
        <v>0.03</v>
      </c>
      <c r="K8721" s="841" t="s">
        <v>3238</v>
      </c>
      <c r="L8721" s="841" t="s">
        <v>442</v>
      </c>
      <c r="M8721" s="1357"/>
      <c r="P8721" s="841" t="s">
        <v>6386</v>
      </c>
      <c r="Q8721" s="1357"/>
      <c r="S8721" s="1420"/>
      <c r="T8721" s="1420"/>
      <c r="V8721" s="1357">
        <v>152</v>
      </c>
    </row>
    <row r="8722" spans="1:22" s="841" customFormat="1" ht="15" x14ac:dyDescent="0.25">
      <c r="A8722" s="841" t="s">
        <v>4874</v>
      </c>
      <c r="B8722" s="841" t="s">
        <v>5677</v>
      </c>
      <c r="E8722" s="625" t="s">
        <v>5204</v>
      </c>
      <c r="F8722" s="625"/>
      <c r="G8722" s="1111" t="s">
        <v>23</v>
      </c>
      <c r="H8722" s="1114">
        <v>0.08</v>
      </c>
      <c r="K8722" s="841" t="s">
        <v>3238</v>
      </c>
      <c r="L8722" s="841" t="s">
        <v>442</v>
      </c>
      <c r="M8722" s="1357"/>
      <c r="P8722" s="841" t="s">
        <v>6387</v>
      </c>
      <c r="Q8722" s="1357"/>
      <c r="S8722" s="1420"/>
      <c r="T8722" s="1420">
        <v>43465</v>
      </c>
      <c r="V8722" s="1357">
        <v>96</v>
      </c>
    </row>
    <row r="8723" spans="1:22" s="841" customFormat="1" ht="15" x14ac:dyDescent="0.25">
      <c r="A8723" s="841" t="s">
        <v>4874</v>
      </c>
      <c r="B8723" s="841" t="s">
        <v>5677</v>
      </c>
      <c r="E8723" s="621" t="s">
        <v>84</v>
      </c>
      <c r="F8723" s="621"/>
      <c r="G8723" s="1111" t="s">
        <v>24</v>
      </c>
      <c r="H8723" s="1117">
        <v>1.9699999999999999E-2</v>
      </c>
      <c r="K8723" s="841" t="s">
        <v>3238</v>
      </c>
      <c r="L8723" s="841" t="s">
        <v>442</v>
      </c>
      <c r="M8723" s="1357"/>
      <c r="P8723" s="841" t="s">
        <v>3241</v>
      </c>
      <c r="Q8723" s="1357"/>
      <c r="S8723" s="1420"/>
      <c r="T8723" s="1420"/>
      <c r="V8723" s="1357">
        <v>28</v>
      </c>
    </row>
    <row r="8724" spans="1:22" s="841" customFormat="1" ht="15" x14ac:dyDescent="0.25">
      <c r="A8724" s="841" t="s">
        <v>4874</v>
      </c>
      <c r="B8724" s="841" t="s">
        <v>5677</v>
      </c>
      <c r="E8724" s="621" t="s">
        <v>4813</v>
      </c>
      <c r="F8724" s="621"/>
      <c r="G8724" s="1111" t="s">
        <v>24</v>
      </c>
      <c r="H8724" s="1117">
        <v>5.0000000000000001E-4</v>
      </c>
      <c r="K8724" s="841" t="s">
        <v>3238</v>
      </c>
      <c r="L8724" s="841" t="s">
        <v>443</v>
      </c>
      <c r="M8724" s="1357"/>
      <c r="P8724" s="841" t="s">
        <v>3242</v>
      </c>
      <c r="Q8724" s="1357"/>
      <c r="S8724" s="1420"/>
      <c r="T8724" s="1420"/>
      <c r="V8724" s="1357">
        <v>25</v>
      </c>
    </row>
    <row r="8725" spans="1:22" s="841" customFormat="1" ht="34.5" x14ac:dyDescent="0.25">
      <c r="A8725" s="841" t="s">
        <v>4874</v>
      </c>
      <c r="B8725" s="841" t="s">
        <v>5677</v>
      </c>
      <c r="E8725" s="1116" t="s">
        <v>5704</v>
      </c>
      <c r="F8725" s="1116"/>
      <c r="G8725" s="1111" t="s">
        <v>24</v>
      </c>
      <c r="H8725" s="1117">
        <v>6.1999999999999998E-3</v>
      </c>
      <c r="K8725" s="841" t="s">
        <v>3238</v>
      </c>
      <c r="L8725" s="841" t="s">
        <v>443</v>
      </c>
      <c r="M8725" s="1357"/>
      <c r="P8725" s="841" t="s">
        <v>3663</v>
      </c>
      <c r="Q8725" s="1357"/>
      <c r="S8725" s="1420"/>
      <c r="T8725" s="1420">
        <v>43373</v>
      </c>
      <c r="V8725" s="1357">
        <v>145</v>
      </c>
    </row>
    <row r="8726" spans="1:22" s="841" customFormat="1" ht="45.75" x14ac:dyDescent="0.25">
      <c r="A8726" s="841" t="s">
        <v>4874</v>
      </c>
      <c r="B8726" s="841" t="s">
        <v>5677</v>
      </c>
      <c r="E8726" s="1116" t="s">
        <v>5325</v>
      </c>
      <c r="F8726" s="1116"/>
      <c r="G8726" s="1111" t="s">
        <v>24</v>
      </c>
      <c r="H8726" s="1117">
        <v>4.0000000000000002E-4</v>
      </c>
      <c r="K8726" s="841" t="s">
        <v>3238</v>
      </c>
      <c r="L8726" s="841" t="s">
        <v>443</v>
      </c>
      <c r="M8726" s="1357"/>
      <c r="P8726" s="841" t="s">
        <v>3663</v>
      </c>
      <c r="Q8726" s="1357"/>
      <c r="S8726" s="1420"/>
      <c r="T8726" s="1420">
        <v>43585</v>
      </c>
      <c r="V8726" s="1357">
        <v>154</v>
      </c>
    </row>
    <row r="8727" spans="1:22" s="841" customFormat="1" ht="15" x14ac:dyDescent="0.25">
      <c r="A8727" s="841" t="s">
        <v>4874</v>
      </c>
      <c r="B8727" s="841" t="s">
        <v>5677</v>
      </c>
      <c r="E8727" s="621" t="s">
        <v>5684</v>
      </c>
      <c r="F8727" s="621"/>
      <c r="G8727" s="1111" t="s">
        <v>24</v>
      </c>
      <c r="H8727" s="1117">
        <v>2.9999999999999997E-4</v>
      </c>
      <c r="K8727" s="841" t="s">
        <v>3238</v>
      </c>
      <c r="L8727" s="841" t="s">
        <v>443</v>
      </c>
      <c r="M8727" s="1357"/>
      <c r="P8727" s="841" t="s">
        <v>3244</v>
      </c>
      <c r="Q8727" s="1357"/>
      <c r="S8727" s="1420"/>
      <c r="T8727" s="1420">
        <v>43373</v>
      </c>
      <c r="V8727" s="1357">
        <v>100</v>
      </c>
    </row>
    <row r="8728" spans="1:22" s="841" customFormat="1" ht="15" x14ac:dyDescent="0.25">
      <c r="A8728" s="841" t="s">
        <v>4874</v>
      </c>
      <c r="B8728" s="841" t="s">
        <v>5677</v>
      </c>
      <c r="E8728" s="621" t="s">
        <v>5685</v>
      </c>
      <c r="F8728" s="621"/>
      <c r="G8728" s="1111" t="s">
        <v>24</v>
      </c>
      <c r="H8728" s="1117">
        <v>-2.9999999999999997E-4</v>
      </c>
      <c r="K8728" s="841" t="s">
        <v>3238</v>
      </c>
      <c r="L8728" s="841" t="s">
        <v>443</v>
      </c>
      <c r="M8728" s="1357"/>
      <c r="P8728" s="841" t="s">
        <v>3244</v>
      </c>
      <c r="Q8728" s="1357"/>
      <c r="S8728" s="1420"/>
      <c r="T8728" s="1420">
        <v>43373</v>
      </c>
      <c r="V8728" s="1357">
        <v>107</v>
      </c>
    </row>
    <row r="8729" spans="1:22" s="841" customFormat="1" ht="15" x14ac:dyDescent="0.25">
      <c r="A8729" s="841" t="s">
        <v>4874</v>
      </c>
      <c r="B8729" s="841" t="s">
        <v>5677</v>
      </c>
      <c r="E8729" s="621" t="s">
        <v>5210</v>
      </c>
      <c r="F8729" s="621"/>
      <c r="G8729" s="1111" t="s">
        <v>24</v>
      </c>
      <c r="H8729" s="1117">
        <v>-2.8999999999999998E-3</v>
      </c>
      <c r="K8729" s="841" t="s">
        <v>3238</v>
      </c>
      <c r="L8729" s="841" t="s">
        <v>443</v>
      </c>
      <c r="M8729" s="1357"/>
      <c r="P8729" s="841" t="s">
        <v>3244</v>
      </c>
      <c r="Q8729" s="1357"/>
      <c r="S8729" s="1420"/>
      <c r="T8729" s="1420">
        <v>43585</v>
      </c>
      <c r="V8729" s="1357">
        <v>108</v>
      </c>
    </row>
    <row r="8730" spans="1:22" s="841" customFormat="1" ht="15" x14ac:dyDescent="0.25">
      <c r="A8730" s="841" t="s">
        <v>4874</v>
      </c>
      <c r="B8730" s="841" t="s">
        <v>5677</v>
      </c>
      <c r="E8730" s="621" t="s">
        <v>5680</v>
      </c>
      <c r="F8730" s="621"/>
      <c r="G8730" s="1111" t="s">
        <v>24</v>
      </c>
      <c r="H8730" s="1117">
        <v>2.0000000000000001E-4</v>
      </c>
      <c r="K8730" s="841" t="s">
        <v>3238</v>
      </c>
      <c r="L8730" s="841" t="s">
        <v>442</v>
      </c>
      <c r="M8730" s="1357"/>
      <c r="P8730" s="841" t="s">
        <v>3244</v>
      </c>
      <c r="Q8730" s="1357"/>
      <c r="S8730" s="1420"/>
      <c r="T8730" s="1420">
        <v>43373</v>
      </c>
      <c r="V8730" s="1357">
        <v>108</v>
      </c>
    </row>
    <row r="8731" spans="1:22" s="841" customFormat="1" ht="45.75" x14ac:dyDescent="0.25">
      <c r="A8731" s="841" t="s">
        <v>4874</v>
      </c>
      <c r="B8731" s="841" t="s">
        <v>5677</v>
      </c>
      <c r="E8731" s="1116" t="s">
        <v>5326</v>
      </c>
      <c r="F8731" s="1116"/>
      <c r="G8731" s="1111" t="s">
        <v>24</v>
      </c>
      <c r="H8731" s="1117">
        <v>2.0000000000000001E-4</v>
      </c>
      <c r="K8731" s="841" t="s">
        <v>3238</v>
      </c>
      <c r="L8731" s="841" t="s">
        <v>443</v>
      </c>
      <c r="M8731" s="1357"/>
      <c r="P8731" s="841" t="s">
        <v>5365</v>
      </c>
      <c r="Q8731" s="1357"/>
      <c r="S8731" s="1420"/>
      <c r="T8731" s="1420">
        <v>43585</v>
      </c>
      <c r="V8731" s="1357">
        <v>160</v>
      </c>
    </row>
    <row r="8732" spans="1:22" s="841" customFormat="1" ht="15" x14ac:dyDescent="0.25">
      <c r="A8732" s="841" t="s">
        <v>4874</v>
      </c>
      <c r="B8732" s="841" t="s">
        <v>5677</v>
      </c>
      <c r="E8732" s="621" t="s">
        <v>5203</v>
      </c>
      <c r="F8732" s="621"/>
      <c r="G8732" s="1111" t="s">
        <v>24</v>
      </c>
      <c r="H8732" s="1117">
        <v>1E-4</v>
      </c>
      <c r="K8732" s="841" t="s">
        <v>3238</v>
      </c>
      <c r="L8732" s="841" t="s">
        <v>442</v>
      </c>
      <c r="M8732" s="1357"/>
      <c r="P8732" s="841" t="s">
        <v>6388</v>
      </c>
      <c r="Q8732" s="1357"/>
      <c r="S8732" s="1420"/>
      <c r="T8732" s="1420"/>
      <c r="V8732" s="1357">
        <v>152</v>
      </c>
    </row>
    <row r="8733" spans="1:22" s="841" customFormat="1" ht="45.75" x14ac:dyDescent="0.25">
      <c r="A8733" s="841" t="s">
        <v>4874</v>
      </c>
      <c r="B8733" s="841" t="s">
        <v>5677</v>
      </c>
      <c r="E8733" s="1116" t="s">
        <v>5327</v>
      </c>
      <c r="F8733" s="1116"/>
      <c r="G8733" s="1111" t="s">
        <v>24</v>
      </c>
      <c r="H8733" s="1117">
        <v>-5.0000000000000001E-4</v>
      </c>
      <c r="K8733" s="841" t="s">
        <v>3238</v>
      </c>
      <c r="L8733" s="841" t="s">
        <v>442</v>
      </c>
      <c r="M8733" s="1357"/>
      <c r="P8733" s="841" t="s">
        <v>3243</v>
      </c>
      <c r="Q8733" s="1357"/>
      <c r="S8733" s="1420"/>
      <c r="T8733" s="1420">
        <v>43585</v>
      </c>
      <c r="V8733" s="1357">
        <v>146</v>
      </c>
    </row>
    <row r="8734" spans="1:22" s="841" customFormat="1" ht="15" x14ac:dyDescent="0.25">
      <c r="A8734" s="841" t="s">
        <v>4874</v>
      </c>
      <c r="B8734" s="841" t="s">
        <v>5677</v>
      </c>
      <c r="E8734" s="621" t="s">
        <v>221</v>
      </c>
      <c r="F8734" s="621"/>
      <c r="G8734" s="1111" t="s">
        <v>24</v>
      </c>
      <c r="H8734" s="1117">
        <v>6.3E-3</v>
      </c>
      <c r="K8734" s="841" t="s">
        <v>3238</v>
      </c>
      <c r="L8734" s="841" t="s">
        <v>444</v>
      </c>
      <c r="M8734" s="1357"/>
      <c r="P8734" s="841" t="s">
        <v>3245</v>
      </c>
      <c r="Q8734" s="1357"/>
      <c r="S8734" s="1420"/>
      <c r="T8734" s="1420"/>
      <c r="V8734" s="1357">
        <v>47</v>
      </c>
    </row>
    <row r="8735" spans="1:22" s="841" customFormat="1" ht="15" x14ac:dyDescent="0.25">
      <c r="A8735" s="841" t="s">
        <v>4874</v>
      </c>
      <c r="B8735" s="841" t="s">
        <v>5677</v>
      </c>
      <c r="E8735" s="621" t="s">
        <v>217</v>
      </c>
      <c r="F8735" s="621"/>
      <c r="G8735" s="1111" t="s">
        <v>24</v>
      </c>
      <c r="H8735" s="1117">
        <v>3.7000000000000002E-3</v>
      </c>
      <c r="K8735" s="841" t="s">
        <v>3238</v>
      </c>
      <c r="L8735" s="841" t="s">
        <v>444</v>
      </c>
      <c r="M8735" s="1357"/>
      <c r="P8735" s="841" t="s">
        <v>3246</v>
      </c>
      <c r="Q8735" s="1357"/>
      <c r="S8735" s="1420"/>
      <c r="T8735" s="1420"/>
      <c r="V8735" s="1357">
        <v>74</v>
      </c>
    </row>
    <row r="8736" spans="1:22" s="841" customFormat="1" ht="15" x14ac:dyDescent="0.25">
      <c r="A8736" s="841" t="s">
        <v>4874</v>
      </c>
      <c r="B8736" s="841" t="s">
        <v>5677</v>
      </c>
      <c r="E8736" s="1285" t="s">
        <v>5522</v>
      </c>
      <c r="F8736" s="1285"/>
      <c r="G8736" s="1292"/>
      <c r="H8736" s="1117"/>
      <c r="K8736" s="841" t="s">
        <v>3122</v>
      </c>
      <c r="M8736" s="1357"/>
      <c r="Q8736" s="1357"/>
      <c r="S8736" s="1420"/>
      <c r="T8736" s="1420"/>
      <c r="V8736" s="1357">
        <v>48</v>
      </c>
    </row>
    <row r="8737" spans="1:22" s="841" customFormat="1" ht="15" x14ac:dyDescent="0.25">
      <c r="A8737" s="841" t="s">
        <v>4874</v>
      </c>
      <c r="B8737" s="841" t="s">
        <v>5677</v>
      </c>
      <c r="E8737" s="621" t="s">
        <v>2449</v>
      </c>
      <c r="F8737" s="621"/>
      <c r="G8737" s="1111" t="s">
        <v>24</v>
      </c>
      <c r="H8737" s="1117">
        <v>3.2000000000000002E-3</v>
      </c>
      <c r="K8737" s="841" t="s">
        <v>3238</v>
      </c>
      <c r="L8737" s="841" t="s">
        <v>3046</v>
      </c>
      <c r="M8737" s="1357"/>
      <c r="P8737" s="841" t="s">
        <v>3247</v>
      </c>
      <c r="Q8737" s="1357"/>
      <c r="S8737" s="1420"/>
      <c r="T8737" s="1420"/>
      <c r="V8737" s="1357">
        <v>55</v>
      </c>
    </row>
    <row r="8738" spans="1:22" s="841" customFormat="1" ht="15" x14ac:dyDescent="0.25">
      <c r="A8738" s="841" t="s">
        <v>4874</v>
      </c>
      <c r="B8738" s="841" t="s">
        <v>5677</v>
      </c>
      <c r="E8738" s="621" t="s">
        <v>2450</v>
      </c>
      <c r="F8738" s="621"/>
      <c r="G8738" s="1111" t="s">
        <v>24</v>
      </c>
      <c r="H8738" s="1117">
        <v>4.0000000000000002E-4</v>
      </c>
      <c r="K8738" s="841" t="s">
        <v>3238</v>
      </c>
      <c r="L8738" s="841" t="s">
        <v>3046</v>
      </c>
      <c r="M8738" s="1357"/>
      <c r="P8738" s="841" t="s">
        <v>3247</v>
      </c>
      <c r="Q8738" s="1357"/>
      <c r="S8738" s="1420"/>
      <c r="T8738" s="1420"/>
      <c r="V8738" s="1357">
        <v>65</v>
      </c>
    </row>
    <row r="8739" spans="1:22" s="841" customFormat="1" ht="15" x14ac:dyDescent="0.25">
      <c r="A8739" s="841" t="s">
        <v>4874</v>
      </c>
      <c r="B8739" s="841" t="s">
        <v>5677</v>
      </c>
      <c r="E8739" s="621" t="s">
        <v>439</v>
      </c>
      <c r="F8739" s="621"/>
      <c r="G8739" s="1111" t="s">
        <v>24</v>
      </c>
      <c r="H8739" s="1117">
        <v>2.9999999999999997E-4</v>
      </c>
      <c r="K8739" s="841" t="s">
        <v>3238</v>
      </c>
      <c r="L8739" s="841" t="s">
        <v>3046</v>
      </c>
      <c r="M8739" s="1357"/>
      <c r="P8739" s="841" t="s">
        <v>3248</v>
      </c>
      <c r="Q8739" s="1357"/>
      <c r="S8739" s="1420"/>
      <c r="T8739" s="1420"/>
      <c r="V8739" s="1357">
        <v>57</v>
      </c>
    </row>
    <row r="8740" spans="1:22" s="841" customFormat="1" ht="15" x14ac:dyDescent="0.25">
      <c r="A8740" s="841" t="s">
        <v>4874</v>
      </c>
      <c r="B8740" s="841" t="s">
        <v>5677</v>
      </c>
      <c r="E8740" s="621" t="s">
        <v>5686</v>
      </c>
      <c r="F8740" s="621"/>
      <c r="G8740" s="1111" t="s">
        <v>23</v>
      </c>
      <c r="H8740" s="1416">
        <v>0.25</v>
      </c>
      <c r="K8740" s="841" t="s">
        <v>3238</v>
      </c>
      <c r="M8740" s="1357"/>
      <c r="Q8740" s="1357"/>
      <c r="S8740" s="1420"/>
      <c r="T8740" s="1420"/>
      <c r="V8740" s="1357">
        <v>63</v>
      </c>
    </row>
    <row r="8741" spans="1:22" s="841" customFormat="1" ht="36" x14ac:dyDescent="0.25">
      <c r="A8741" s="841" t="s">
        <v>4874</v>
      </c>
      <c r="B8741" s="841" t="s">
        <v>5677</v>
      </c>
      <c r="E8741" s="1409" t="s">
        <v>629</v>
      </c>
      <c r="F8741" s="1409"/>
      <c r="G8741" s="1286"/>
      <c r="H8741" s="1287"/>
      <c r="K8741" s="841" t="s">
        <v>3250</v>
      </c>
      <c r="M8741" s="1357"/>
      <c r="Q8741" s="1357"/>
      <c r="S8741" s="1420"/>
      <c r="T8741" s="1420"/>
      <c r="V8741" s="1357">
        <v>40</v>
      </c>
    </row>
    <row r="8742" spans="1:22" s="841" customFormat="1" ht="15" x14ac:dyDescent="0.25">
      <c r="A8742" s="841" t="s">
        <v>4874</v>
      </c>
      <c r="B8742" s="841" t="s">
        <v>5677</v>
      </c>
      <c r="E8742" s="1969" t="s">
        <v>5705</v>
      </c>
      <c r="F8742" s="1969"/>
      <c r="G8742" s="1969"/>
      <c r="H8742" s="1969"/>
      <c r="K8742" s="841" t="s">
        <v>3250</v>
      </c>
      <c r="M8742" s="1357"/>
      <c r="Q8742" s="1357"/>
      <c r="S8742" s="1420"/>
      <c r="T8742" s="1420"/>
      <c r="V8742" s="1357">
        <v>237</v>
      </c>
    </row>
    <row r="8743" spans="1:22" s="841" customFormat="1" ht="15" x14ac:dyDescent="0.25">
      <c r="A8743" s="841" t="s">
        <v>4874</v>
      </c>
      <c r="B8743" s="841" t="s">
        <v>5677</v>
      </c>
      <c r="E8743" s="1288" t="s">
        <v>3061</v>
      </c>
      <c r="F8743" s="1288"/>
      <c r="G8743" s="1289"/>
      <c r="H8743" s="1290"/>
      <c r="K8743" s="841" t="s">
        <v>3128</v>
      </c>
      <c r="M8743" s="1357"/>
      <c r="Q8743" s="1357"/>
      <c r="S8743" s="1420"/>
      <c r="T8743" s="1420"/>
      <c r="V8743" s="1357">
        <v>11</v>
      </c>
    </row>
    <row r="8744" spans="1:22" s="841" customFormat="1" ht="15" x14ac:dyDescent="0.25">
      <c r="A8744" s="841" t="s">
        <v>4874</v>
      </c>
      <c r="B8744" s="841" t="s">
        <v>5677</v>
      </c>
      <c r="E8744" s="1969" t="s">
        <v>3063</v>
      </c>
      <c r="F8744" s="1969"/>
      <c r="G8744" s="1969"/>
      <c r="H8744" s="1969"/>
      <c r="K8744" s="841" t="s">
        <v>3250</v>
      </c>
      <c r="M8744" s="1357"/>
      <c r="Q8744" s="1357"/>
      <c r="S8744" s="1420"/>
      <c r="T8744" s="1420"/>
      <c r="V8744" s="1357">
        <v>280</v>
      </c>
    </row>
    <row r="8745" spans="1:22" s="841" customFormat="1" ht="15" x14ac:dyDescent="0.25">
      <c r="A8745" s="841" t="s">
        <v>4874</v>
      </c>
      <c r="B8745" s="841" t="s">
        <v>5677</v>
      </c>
      <c r="E8745" s="1969" t="s">
        <v>3064</v>
      </c>
      <c r="F8745" s="1969"/>
      <c r="G8745" s="1969"/>
      <c r="H8745" s="1969"/>
      <c r="K8745" s="841" t="s">
        <v>3250</v>
      </c>
      <c r="M8745" s="1357"/>
      <c r="Q8745" s="1357"/>
      <c r="S8745" s="1420"/>
      <c r="T8745" s="1420"/>
      <c r="V8745" s="1357">
        <v>411</v>
      </c>
    </row>
    <row r="8746" spans="1:22" s="841" customFormat="1" ht="15" x14ac:dyDescent="0.25">
      <c r="A8746" s="841" t="s">
        <v>4874</v>
      </c>
      <c r="B8746" s="841" t="s">
        <v>5677</v>
      </c>
      <c r="E8746" s="1969" t="s">
        <v>5516</v>
      </c>
      <c r="F8746" s="1969"/>
      <c r="G8746" s="1969"/>
      <c r="H8746" s="1969"/>
      <c r="K8746" s="841" t="s">
        <v>3250</v>
      </c>
      <c r="M8746" s="1357"/>
      <c r="Q8746" s="1357"/>
      <c r="S8746" s="1420"/>
      <c r="T8746" s="1420"/>
      <c r="V8746" s="1357">
        <v>387</v>
      </c>
    </row>
    <row r="8747" spans="1:22" s="841" customFormat="1" ht="15" x14ac:dyDescent="0.25">
      <c r="A8747" s="841" t="s">
        <v>4874</v>
      </c>
      <c r="B8747" s="841" t="s">
        <v>5677</v>
      </c>
      <c r="E8747" s="1969" t="s">
        <v>3390</v>
      </c>
      <c r="F8747" s="1969"/>
      <c r="G8747" s="1969"/>
      <c r="H8747" s="1969"/>
      <c r="K8747" s="841" t="s">
        <v>3250</v>
      </c>
      <c r="M8747" s="1357"/>
      <c r="Q8747" s="1357"/>
      <c r="S8747" s="1420"/>
      <c r="T8747" s="1420"/>
      <c r="V8747" s="1357">
        <v>274</v>
      </c>
    </row>
    <row r="8748" spans="1:22" s="841" customFormat="1" ht="15" x14ac:dyDescent="0.25">
      <c r="A8748" s="841" t="s">
        <v>4874</v>
      </c>
      <c r="B8748" s="841" t="s">
        <v>5677</v>
      </c>
      <c r="E8748" s="1285" t="s">
        <v>5517</v>
      </c>
      <c r="F8748" s="1285"/>
      <c r="G8748" s="1111"/>
      <c r="H8748" s="621"/>
      <c r="K8748" s="841" t="s">
        <v>3130</v>
      </c>
      <c r="M8748" s="1357"/>
      <c r="Q8748" s="1357"/>
      <c r="S8748" s="1420"/>
      <c r="T8748" s="1420"/>
      <c r="V8748" s="1357">
        <v>46</v>
      </c>
    </row>
    <row r="8749" spans="1:22" s="841" customFormat="1" ht="15" x14ac:dyDescent="0.25">
      <c r="A8749" s="841" t="s">
        <v>4874</v>
      </c>
      <c r="B8749" s="841" t="s">
        <v>5677</v>
      </c>
      <c r="E8749" s="621" t="s">
        <v>5552</v>
      </c>
      <c r="F8749" s="621"/>
      <c r="G8749" s="1111" t="s">
        <v>23</v>
      </c>
      <c r="H8749" s="1114">
        <v>4.2300000000000004</v>
      </c>
      <c r="K8749" s="841" t="s">
        <v>3250</v>
      </c>
      <c r="L8749" s="841" t="s">
        <v>442</v>
      </c>
      <c r="M8749" s="1357"/>
      <c r="P8749" s="841" t="s">
        <v>3252</v>
      </c>
      <c r="Q8749" s="1357"/>
      <c r="S8749" s="1420"/>
      <c r="T8749" s="1420"/>
      <c r="V8749" s="1357">
        <v>31</v>
      </c>
    </row>
    <row r="8750" spans="1:22" s="841" customFormat="1" ht="15" x14ac:dyDescent="0.25">
      <c r="A8750" s="841" t="s">
        <v>4874</v>
      </c>
      <c r="B8750" s="841" t="s">
        <v>5677</v>
      </c>
      <c r="E8750" s="621" t="s">
        <v>5203</v>
      </c>
      <c r="F8750" s="621"/>
      <c r="G8750" s="1111" t="s">
        <v>23</v>
      </c>
      <c r="H8750" s="1114">
        <v>0.02</v>
      </c>
      <c r="K8750" s="841" t="s">
        <v>3250</v>
      </c>
      <c r="L8750" s="841" t="s">
        <v>442</v>
      </c>
      <c r="M8750" s="1357"/>
      <c r="P8750" s="841" t="s">
        <v>6389</v>
      </c>
      <c r="Q8750" s="1357"/>
      <c r="S8750" s="1420"/>
      <c r="T8750" s="1420"/>
      <c r="V8750" s="1357">
        <v>152</v>
      </c>
    </row>
    <row r="8751" spans="1:22" s="841" customFormat="1" ht="15" x14ac:dyDescent="0.25">
      <c r="A8751" s="841" t="s">
        <v>4874</v>
      </c>
      <c r="B8751" s="841" t="s">
        <v>5677</v>
      </c>
      <c r="E8751" s="625" t="s">
        <v>5204</v>
      </c>
      <c r="F8751" s="625"/>
      <c r="G8751" s="1111" t="s">
        <v>23</v>
      </c>
      <c r="H8751" s="1114">
        <v>0.04</v>
      </c>
      <c r="K8751" s="841" t="s">
        <v>3250</v>
      </c>
      <c r="L8751" s="841" t="s">
        <v>442</v>
      </c>
      <c r="M8751" s="1357"/>
      <c r="P8751" s="841" t="s">
        <v>6390</v>
      </c>
      <c r="Q8751" s="1357"/>
      <c r="S8751" s="1420"/>
      <c r="T8751" s="1420">
        <v>43465</v>
      </c>
      <c r="V8751" s="1357">
        <v>96</v>
      </c>
    </row>
    <row r="8752" spans="1:22" s="841" customFormat="1" ht="15" x14ac:dyDescent="0.25">
      <c r="A8752" s="841" t="s">
        <v>4874</v>
      </c>
      <c r="B8752" s="841" t="s">
        <v>5677</v>
      </c>
      <c r="E8752" s="621" t="s">
        <v>84</v>
      </c>
      <c r="F8752" s="621"/>
      <c r="G8752" s="1111" t="s">
        <v>33</v>
      </c>
      <c r="H8752" s="1117">
        <v>9.9581999999999997</v>
      </c>
      <c r="K8752" s="841" t="s">
        <v>3250</v>
      </c>
      <c r="L8752" s="841" t="s">
        <v>442</v>
      </c>
      <c r="M8752" s="1357"/>
      <c r="P8752" s="841" t="s">
        <v>3253</v>
      </c>
      <c r="Q8752" s="1357"/>
      <c r="S8752" s="1420"/>
      <c r="T8752" s="1420"/>
      <c r="V8752" s="1357">
        <v>28</v>
      </c>
    </row>
    <row r="8753" spans="1:22" s="841" customFormat="1" ht="15" x14ac:dyDescent="0.25">
      <c r="A8753" s="841" t="s">
        <v>4874</v>
      </c>
      <c r="B8753" s="841" t="s">
        <v>5677</v>
      </c>
      <c r="E8753" s="621" t="s">
        <v>4813</v>
      </c>
      <c r="F8753" s="621"/>
      <c r="G8753" s="1111" t="s">
        <v>33</v>
      </c>
      <c r="H8753" s="1117">
        <v>0.11700000000000001</v>
      </c>
      <c r="K8753" s="841" t="s">
        <v>3250</v>
      </c>
      <c r="L8753" s="841" t="s">
        <v>443</v>
      </c>
      <c r="M8753" s="1357"/>
      <c r="P8753" s="841" t="s">
        <v>3254</v>
      </c>
      <c r="Q8753" s="1357"/>
      <c r="S8753" s="1420"/>
      <c r="T8753" s="1420"/>
      <c r="V8753" s="1357">
        <v>25</v>
      </c>
    </row>
    <row r="8754" spans="1:22" s="841" customFormat="1" ht="34.5" x14ac:dyDescent="0.25">
      <c r="A8754" s="841" t="s">
        <v>4874</v>
      </c>
      <c r="B8754" s="841" t="s">
        <v>5677</v>
      </c>
      <c r="E8754" s="1116" t="s">
        <v>5704</v>
      </c>
      <c r="F8754" s="1116"/>
      <c r="G8754" s="1111" t="s">
        <v>33</v>
      </c>
      <c r="H8754" s="1117">
        <v>2.3976999999999999</v>
      </c>
      <c r="K8754" s="841" t="s">
        <v>3250</v>
      </c>
      <c r="L8754" s="841" t="s">
        <v>443</v>
      </c>
      <c r="M8754" s="1357"/>
      <c r="P8754" s="841" t="s">
        <v>5706</v>
      </c>
      <c r="Q8754" s="1357"/>
      <c r="S8754" s="1420"/>
      <c r="T8754" s="1420">
        <v>43373</v>
      </c>
      <c r="V8754" s="1357">
        <v>145</v>
      </c>
    </row>
    <row r="8755" spans="1:22" s="841" customFormat="1" ht="45.75" x14ac:dyDescent="0.25">
      <c r="A8755" s="841" t="s">
        <v>4874</v>
      </c>
      <c r="B8755" s="841" t="s">
        <v>5677</v>
      </c>
      <c r="E8755" s="1116" t="s">
        <v>5325</v>
      </c>
      <c r="F8755" s="1116"/>
      <c r="G8755" s="1111" t="s">
        <v>24</v>
      </c>
      <c r="H8755" s="1117">
        <v>4.0000000000000002E-4</v>
      </c>
      <c r="K8755" s="841" t="s">
        <v>3250</v>
      </c>
      <c r="L8755" s="841" t="s">
        <v>443</v>
      </c>
      <c r="M8755" s="1357"/>
      <c r="P8755" s="841" t="s">
        <v>3255</v>
      </c>
      <c r="Q8755" s="1357"/>
      <c r="S8755" s="1420"/>
      <c r="T8755" s="1420">
        <v>43585</v>
      </c>
      <c r="V8755" s="1357">
        <v>154</v>
      </c>
    </row>
    <row r="8756" spans="1:22" s="841" customFormat="1" ht="15" x14ac:dyDescent="0.25">
      <c r="A8756" s="841" t="s">
        <v>4874</v>
      </c>
      <c r="B8756" s="841" t="s">
        <v>5677</v>
      </c>
      <c r="E8756" s="621" t="s">
        <v>5684</v>
      </c>
      <c r="F8756" s="621"/>
      <c r="G8756" s="1111" t="s">
        <v>33</v>
      </c>
      <c r="H8756" s="1117">
        <v>0.121</v>
      </c>
      <c r="K8756" s="841" t="s">
        <v>3250</v>
      </c>
      <c r="L8756" s="841" t="s">
        <v>443</v>
      </c>
      <c r="M8756" s="1357"/>
      <c r="P8756" s="841" t="s">
        <v>3257</v>
      </c>
      <c r="Q8756" s="1357"/>
      <c r="S8756" s="1420"/>
      <c r="T8756" s="1420">
        <v>43373</v>
      </c>
      <c r="V8756" s="1357">
        <v>100</v>
      </c>
    </row>
    <row r="8757" spans="1:22" s="841" customFormat="1" ht="15" x14ac:dyDescent="0.25">
      <c r="A8757" s="841" t="s">
        <v>4874</v>
      </c>
      <c r="B8757" s="841" t="s">
        <v>5677</v>
      </c>
      <c r="E8757" s="621" t="s">
        <v>5685</v>
      </c>
      <c r="F8757" s="621"/>
      <c r="G8757" s="1111" t="s">
        <v>33</v>
      </c>
      <c r="H8757" s="1117">
        <v>-0.12670000000000001</v>
      </c>
      <c r="K8757" s="841" t="s">
        <v>3250</v>
      </c>
      <c r="L8757" s="841" t="s">
        <v>443</v>
      </c>
      <c r="M8757" s="1357"/>
      <c r="P8757" s="841" t="s">
        <v>3257</v>
      </c>
      <c r="Q8757" s="1357"/>
      <c r="S8757" s="1420"/>
      <c r="T8757" s="1420">
        <v>43373</v>
      </c>
      <c r="V8757" s="1357">
        <v>107</v>
      </c>
    </row>
    <row r="8758" spans="1:22" s="841" customFormat="1" ht="15" x14ac:dyDescent="0.25">
      <c r="A8758" s="841" t="s">
        <v>4874</v>
      </c>
      <c r="B8758" s="841" t="s">
        <v>5677</v>
      </c>
      <c r="E8758" s="621" t="s">
        <v>5210</v>
      </c>
      <c r="F8758" s="621"/>
      <c r="G8758" s="1111" t="s">
        <v>33</v>
      </c>
      <c r="H8758" s="1117">
        <v>-1.0740000000000001</v>
      </c>
      <c r="K8758" s="841" t="s">
        <v>3250</v>
      </c>
      <c r="L8758" s="841" t="s">
        <v>443</v>
      </c>
      <c r="M8758" s="1357"/>
      <c r="P8758" s="841" t="s">
        <v>3257</v>
      </c>
      <c r="Q8758" s="1357"/>
      <c r="S8758" s="1420"/>
      <c r="T8758" s="1420">
        <v>43585</v>
      </c>
      <c r="V8758" s="1357">
        <v>108</v>
      </c>
    </row>
    <row r="8759" spans="1:22" s="841" customFormat="1" ht="15" x14ac:dyDescent="0.25">
      <c r="A8759" s="841" t="s">
        <v>4874</v>
      </c>
      <c r="B8759" s="841" t="s">
        <v>5677</v>
      </c>
      <c r="E8759" s="621" t="s">
        <v>5680</v>
      </c>
      <c r="F8759" s="621"/>
      <c r="G8759" s="1111" t="s">
        <v>33</v>
      </c>
      <c r="H8759" s="1117">
        <v>6.4100000000000004E-2</v>
      </c>
      <c r="K8759" s="841" t="s">
        <v>3250</v>
      </c>
      <c r="L8759" s="841" t="s">
        <v>442</v>
      </c>
      <c r="M8759" s="1357"/>
      <c r="P8759" s="841" t="s">
        <v>3257</v>
      </c>
      <c r="Q8759" s="1357"/>
      <c r="S8759" s="1420"/>
      <c r="T8759" s="1420">
        <v>43373</v>
      </c>
      <c r="V8759" s="1357">
        <v>108</v>
      </c>
    </row>
    <row r="8760" spans="1:22" s="841" customFormat="1" ht="45.75" x14ac:dyDescent="0.25">
      <c r="A8760" s="841" t="s">
        <v>4874</v>
      </c>
      <c r="B8760" s="841" t="s">
        <v>5677</v>
      </c>
      <c r="E8760" s="1116" t="s">
        <v>5326</v>
      </c>
      <c r="F8760" s="1116"/>
      <c r="G8760" s="1111" t="s">
        <v>33</v>
      </c>
      <c r="H8760" s="1117">
        <v>8.9499999999999996E-2</v>
      </c>
      <c r="K8760" s="841" t="s">
        <v>3250</v>
      </c>
      <c r="L8760" s="841" t="s">
        <v>443</v>
      </c>
      <c r="M8760" s="1357"/>
      <c r="P8760" s="841" t="s">
        <v>5294</v>
      </c>
      <c r="Q8760" s="1357"/>
      <c r="S8760" s="1420"/>
      <c r="T8760" s="1420">
        <v>43585</v>
      </c>
      <c r="V8760" s="1357">
        <v>160</v>
      </c>
    </row>
    <row r="8761" spans="1:22" s="841" customFormat="1" ht="15" x14ac:dyDescent="0.25">
      <c r="A8761" s="841" t="s">
        <v>4874</v>
      </c>
      <c r="B8761" s="841" t="s">
        <v>5677</v>
      </c>
      <c r="E8761" s="621" t="s">
        <v>5203</v>
      </c>
      <c r="F8761" s="621"/>
      <c r="G8761" s="1111" t="s">
        <v>33</v>
      </c>
      <c r="H8761" s="1117">
        <v>3.9600000000000003E-2</v>
      </c>
      <c r="K8761" s="841" t="s">
        <v>3250</v>
      </c>
      <c r="L8761" s="841" t="s">
        <v>442</v>
      </c>
      <c r="M8761" s="1357"/>
      <c r="P8761" s="841" t="s">
        <v>6391</v>
      </c>
      <c r="Q8761" s="1357"/>
      <c r="S8761" s="1420"/>
      <c r="T8761" s="1420"/>
      <c r="V8761" s="1357">
        <v>152</v>
      </c>
    </row>
    <row r="8762" spans="1:22" s="841" customFormat="1" ht="45.75" x14ac:dyDescent="0.25">
      <c r="A8762" s="841" t="s">
        <v>4874</v>
      </c>
      <c r="B8762" s="841" t="s">
        <v>5677</v>
      </c>
      <c r="E8762" s="1116" t="s">
        <v>5327</v>
      </c>
      <c r="F8762" s="1116"/>
      <c r="G8762" s="1111" t="s">
        <v>33</v>
      </c>
      <c r="H8762" s="1117">
        <v>-0.38500000000000001</v>
      </c>
      <c r="K8762" s="841" t="s">
        <v>3250</v>
      </c>
      <c r="L8762" s="841" t="s">
        <v>442</v>
      </c>
      <c r="M8762" s="1357"/>
      <c r="P8762" s="841" t="s">
        <v>3256</v>
      </c>
      <c r="Q8762" s="1357"/>
      <c r="S8762" s="1420"/>
      <c r="T8762" s="1420">
        <v>43585</v>
      </c>
      <c r="V8762" s="1357">
        <v>146</v>
      </c>
    </row>
    <row r="8763" spans="1:22" s="841" customFormat="1" ht="15" x14ac:dyDescent="0.25">
      <c r="A8763" s="841" t="s">
        <v>4874</v>
      </c>
      <c r="B8763" s="841" t="s">
        <v>5677</v>
      </c>
      <c r="E8763" s="621" t="s">
        <v>221</v>
      </c>
      <c r="F8763" s="621"/>
      <c r="G8763" s="1111" t="s">
        <v>33</v>
      </c>
      <c r="H8763" s="1117">
        <v>2.0777999999999999</v>
      </c>
      <c r="K8763" s="841" t="s">
        <v>3250</v>
      </c>
      <c r="L8763" s="841" t="s">
        <v>444</v>
      </c>
      <c r="M8763" s="1357"/>
      <c r="P8763" s="841" t="s">
        <v>3258</v>
      </c>
      <c r="Q8763" s="1357"/>
      <c r="S8763" s="1420"/>
      <c r="T8763" s="1420"/>
      <c r="V8763" s="1357">
        <v>47</v>
      </c>
    </row>
    <row r="8764" spans="1:22" s="841" customFormat="1" ht="15" x14ac:dyDescent="0.25">
      <c r="A8764" s="841" t="s">
        <v>4874</v>
      </c>
      <c r="B8764" s="841" t="s">
        <v>5677</v>
      </c>
      <c r="E8764" s="621" t="s">
        <v>217</v>
      </c>
      <c r="F8764" s="621"/>
      <c r="G8764" s="1111" t="s">
        <v>33</v>
      </c>
      <c r="H8764" s="1117">
        <v>0.9929</v>
      </c>
      <c r="K8764" s="841" t="s">
        <v>3250</v>
      </c>
      <c r="L8764" s="841" t="s">
        <v>444</v>
      </c>
      <c r="M8764" s="1357"/>
      <c r="P8764" s="841" t="s">
        <v>3259</v>
      </c>
      <c r="Q8764" s="1357"/>
      <c r="S8764" s="1420"/>
      <c r="T8764" s="1420"/>
      <c r="V8764" s="1357">
        <v>74</v>
      </c>
    </row>
    <row r="8765" spans="1:22" s="841" customFormat="1" ht="15" x14ac:dyDescent="0.25">
      <c r="A8765" s="841" t="s">
        <v>4874</v>
      </c>
      <c r="B8765" s="841" t="s">
        <v>5677</v>
      </c>
      <c r="E8765" s="1285" t="s">
        <v>5522</v>
      </c>
      <c r="F8765" s="1285"/>
      <c r="G8765" s="1292"/>
      <c r="H8765" s="1117"/>
      <c r="K8765" s="841" t="s">
        <v>3260</v>
      </c>
      <c r="M8765" s="1357"/>
      <c r="Q8765" s="1357"/>
      <c r="S8765" s="1420"/>
      <c r="T8765" s="1420"/>
      <c r="V8765" s="1357">
        <v>48</v>
      </c>
    </row>
    <row r="8766" spans="1:22" s="841" customFormat="1" ht="15" x14ac:dyDescent="0.25">
      <c r="A8766" s="841" t="s">
        <v>4874</v>
      </c>
      <c r="B8766" s="841" t="s">
        <v>5677</v>
      </c>
      <c r="E8766" s="621" t="s">
        <v>2449</v>
      </c>
      <c r="F8766" s="621"/>
      <c r="G8766" s="1111" t="s">
        <v>24</v>
      </c>
      <c r="H8766" s="1117">
        <v>3.2000000000000002E-3</v>
      </c>
      <c r="K8766" s="841" t="s">
        <v>3250</v>
      </c>
      <c r="L8766" s="841" t="s">
        <v>3046</v>
      </c>
      <c r="M8766" s="1357"/>
      <c r="P8766" s="841" t="s">
        <v>3261</v>
      </c>
      <c r="Q8766" s="1357"/>
      <c r="S8766" s="1420"/>
      <c r="T8766" s="1420"/>
      <c r="V8766" s="1357">
        <v>55</v>
      </c>
    </row>
    <row r="8767" spans="1:22" s="841" customFormat="1" ht="15" x14ac:dyDescent="0.25">
      <c r="A8767" s="841" t="s">
        <v>4874</v>
      </c>
      <c r="B8767" s="841" t="s">
        <v>5677</v>
      </c>
      <c r="E8767" s="621" t="s">
        <v>2450</v>
      </c>
      <c r="F8767" s="621"/>
      <c r="G8767" s="1111" t="s">
        <v>24</v>
      </c>
      <c r="H8767" s="1117">
        <v>4.0000000000000002E-4</v>
      </c>
      <c r="K8767" s="841" t="s">
        <v>3250</v>
      </c>
      <c r="L8767" s="841" t="s">
        <v>3046</v>
      </c>
      <c r="M8767" s="1357"/>
      <c r="P8767" s="841" t="s">
        <v>3261</v>
      </c>
      <c r="Q8767" s="1357"/>
      <c r="S8767" s="1420"/>
      <c r="T8767" s="1420"/>
      <c r="V8767" s="1357">
        <v>65</v>
      </c>
    </row>
    <row r="8768" spans="1:22" s="841" customFormat="1" ht="15" x14ac:dyDescent="0.25">
      <c r="A8768" s="841" t="s">
        <v>4874</v>
      </c>
      <c r="B8768" s="841" t="s">
        <v>5677</v>
      </c>
      <c r="E8768" s="621" t="s">
        <v>439</v>
      </c>
      <c r="F8768" s="621"/>
      <c r="G8768" s="1111" t="s">
        <v>24</v>
      </c>
      <c r="H8768" s="1117">
        <v>2.9999999999999997E-4</v>
      </c>
      <c r="K8768" s="841" t="s">
        <v>3250</v>
      </c>
      <c r="L8768" s="841" t="s">
        <v>3046</v>
      </c>
      <c r="M8768" s="1357"/>
      <c r="P8768" s="841" t="s">
        <v>3262</v>
      </c>
      <c r="Q8768" s="1357"/>
      <c r="S8768" s="1420"/>
      <c r="T8768" s="1420"/>
      <c r="V8768" s="1357">
        <v>57</v>
      </c>
    </row>
    <row r="8769" spans="1:22" s="841" customFormat="1" ht="15" x14ac:dyDescent="0.25">
      <c r="A8769" s="841" t="s">
        <v>4874</v>
      </c>
      <c r="B8769" s="841" t="s">
        <v>5677</v>
      </c>
      <c r="E8769" s="621" t="s">
        <v>5686</v>
      </c>
      <c r="F8769" s="621"/>
      <c r="G8769" s="1111" t="s">
        <v>23</v>
      </c>
      <c r="H8769" s="1416">
        <v>0.25</v>
      </c>
      <c r="K8769" s="841" t="s">
        <v>3250</v>
      </c>
      <c r="M8769" s="1357"/>
      <c r="Q8769" s="1357"/>
      <c r="S8769" s="1420"/>
      <c r="T8769" s="1420"/>
      <c r="V8769" s="1357">
        <v>63</v>
      </c>
    </row>
    <row r="8770" spans="1:22" s="841" customFormat="1" ht="36" x14ac:dyDescent="0.25">
      <c r="A8770" s="841" t="s">
        <v>4874</v>
      </c>
      <c r="B8770" s="841" t="s">
        <v>5677</v>
      </c>
      <c r="E8770" s="1409" t="s">
        <v>615</v>
      </c>
      <c r="F8770" s="1409"/>
      <c r="G8770" s="1286"/>
      <c r="H8770" s="1287"/>
      <c r="K8770" s="841" t="s">
        <v>3264</v>
      </c>
      <c r="M8770" s="1357"/>
      <c r="Q8770" s="1357"/>
      <c r="S8770" s="1420"/>
      <c r="T8770" s="1420"/>
      <c r="V8770" s="1357">
        <v>38</v>
      </c>
    </row>
    <row r="8771" spans="1:22" s="841" customFormat="1" ht="15" x14ac:dyDescent="0.25">
      <c r="A8771" s="841" t="s">
        <v>4874</v>
      </c>
      <c r="B8771" s="841" t="s">
        <v>5677</v>
      </c>
      <c r="E8771" s="1969" t="s">
        <v>5707</v>
      </c>
      <c r="F8771" s="1969"/>
      <c r="G8771" s="1969"/>
      <c r="H8771" s="1969"/>
      <c r="K8771" s="841" t="s">
        <v>3264</v>
      </c>
      <c r="M8771" s="1357"/>
      <c r="Q8771" s="1357"/>
      <c r="S8771" s="1420"/>
      <c r="T8771" s="1420"/>
      <c r="V8771" s="1357">
        <v>555</v>
      </c>
    </row>
    <row r="8772" spans="1:22" s="841" customFormat="1" ht="15" x14ac:dyDescent="0.25">
      <c r="A8772" s="841" t="s">
        <v>4874</v>
      </c>
      <c r="B8772" s="841" t="s">
        <v>5677</v>
      </c>
      <c r="E8772" s="1288" t="s">
        <v>3061</v>
      </c>
      <c r="F8772" s="1288"/>
      <c r="G8772" s="1289"/>
      <c r="H8772" s="1290"/>
      <c r="K8772" s="841" t="s">
        <v>3266</v>
      </c>
      <c r="M8772" s="1357"/>
      <c r="Q8772" s="1357"/>
      <c r="S8772" s="1420"/>
      <c r="T8772" s="1420"/>
      <c r="V8772" s="1357">
        <v>11</v>
      </c>
    </row>
    <row r="8773" spans="1:22" s="841" customFormat="1" ht="15" x14ac:dyDescent="0.25">
      <c r="A8773" s="841" t="s">
        <v>4874</v>
      </c>
      <c r="B8773" s="841" t="s">
        <v>5677</v>
      </c>
      <c r="E8773" s="1969" t="s">
        <v>3063</v>
      </c>
      <c r="F8773" s="1969"/>
      <c r="G8773" s="1969"/>
      <c r="H8773" s="1969"/>
      <c r="K8773" s="841" t="s">
        <v>3264</v>
      </c>
      <c r="M8773" s="1357"/>
      <c r="Q8773" s="1357"/>
      <c r="S8773" s="1420"/>
      <c r="T8773" s="1420"/>
      <c r="V8773" s="1357">
        <v>280</v>
      </c>
    </row>
    <row r="8774" spans="1:22" s="841" customFormat="1" ht="15" x14ac:dyDescent="0.25">
      <c r="A8774" s="841" t="s">
        <v>4874</v>
      </c>
      <c r="B8774" s="841" t="s">
        <v>5677</v>
      </c>
      <c r="E8774" s="1969" t="s">
        <v>3064</v>
      </c>
      <c r="F8774" s="1969"/>
      <c r="G8774" s="1969"/>
      <c r="H8774" s="1969"/>
      <c r="K8774" s="841" t="s">
        <v>3264</v>
      </c>
      <c r="M8774" s="1357"/>
      <c r="Q8774" s="1357"/>
      <c r="S8774" s="1420"/>
      <c r="T8774" s="1420"/>
      <c r="V8774" s="1357">
        <v>411</v>
      </c>
    </row>
    <row r="8775" spans="1:22" s="841" customFormat="1" ht="15" x14ac:dyDescent="0.25">
      <c r="A8775" s="841" t="s">
        <v>4874</v>
      </c>
      <c r="B8775" s="841" t="s">
        <v>5677</v>
      </c>
      <c r="E8775" s="1969" t="s">
        <v>5516</v>
      </c>
      <c r="F8775" s="1969"/>
      <c r="G8775" s="1969"/>
      <c r="H8775" s="1969"/>
      <c r="K8775" s="841" t="s">
        <v>3264</v>
      </c>
      <c r="M8775" s="1357"/>
      <c r="Q8775" s="1357"/>
      <c r="S8775" s="1420"/>
      <c r="T8775" s="1420"/>
      <c r="V8775" s="1357">
        <v>387</v>
      </c>
    </row>
    <row r="8776" spans="1:22" s="841" customFormat="1" ht="15" x14ac:dyDescent="0.25">
      <c r="A8776" s="841" t="s">
        <v>4874</v>
      </c>
      <c r="B8776" s="841" t="s">
        <v>5677</v>
      </c>
      <c r="E8776" s="1969" t="s">
        <v>3390</v>
      </c>
      <c r="F8776" s="1969"/>
      <c r="G8776" s="1969"/>
      <c r="H8776" s="1969"/>
      <c r="K8776" s="841" t="s">
        <v>3264</v>
      </c>
      <c r="M8776" s="1357"/>
      <c r="Q8776" s="1357"/>
      <c r="S8776" s="1420"/>
      <c r="T8776" s="1420"/>
      <c r="V8776" s="1357">
        <v>274</v>
      </c>
    </row>
    <row r="8777" spans="1:22" s="841" customFormat="1" ht="15" x14ac:dyDescent="0.25">
      <c r="A8777" s="841" t="s">
        <v>4874</v>
      </c>
      <c r="B8777" s="841" t="s">
        <v>5677</v>
      </c>
      <c r="E8777" s="1285" t="s">
        <v>5517</v>
      </c>
      <c r="F8777" s="1285"/>
      <c r="G8777" s="1111"/>
      <c r="H8777" s="621"/>
      <c r="K8777" s="841" t="s">
        <v>3267</v>
      </c>
      <c r="M8777" s="1357"/>
      <c r="Q8777" s="1357"/>
      <c r="S8777" s="1420"/>
      <c r="T8777" s="1420"/>
      <c r="V8777" s="1357">
        <v>46</v>
      </c>
    </row>
    <row r="8778" spans="1:22" s="841" customFormat="1" ht="15" x14ac:dyDescent="0.25">
      <c r="A8778" s="841" t="s">
        <v>4874</v>
      </c>
      <c r="B8778" s="841" t="s">
        <v>5677</v>
      </c>
      <c r="E8778" s="621" t="s">
        <v>5554</v>
      </c>
      <c r="F8778" s="621"/>
      <c r="G8778" s="1111" t="s">
        <v>23</v>
      </c>
      <c r="H8778" s="1114">
        <v>1.2</v>
      </c>
      <c r="K8778" s="841" t="s">
        <v>3264</v>
      </c>
      <c r="L8778" s="841" t="s">
        <v>442</v>
      </c>
      <c r="M8778" s="1357"/>
      <c r="P8778" s="841" t="s">
        <v>3268</v>
      </c>
      <c r="Q8778" s="1357"/>
      <c r="S8778" s="1420"/>
      <c r="T8778" s="1420"/>
      <c r="V8778" s="1357">
        <v>32</v>
      </c>
    </row>
    <row r="8779" spans="1:22" s="841" customFormat="1" ht="15" x14ac:dyDescent="0.25">
      <c r="A8779" s="841" t="s">
        <v>4874</v>
      </c>
      <c r="B8779" s="841" t="s">
        <v>5677</v>
      </c>
      <c r="E8779" s="625" t="s">
        <v>5204</v>
      </c>
      <c r="F8779" s="625"/>
      <c r="G8779" s="1111" t="s">
        <v>23</v>
      </c>
      <c r="H8779" s="1114">
        <v>0.01</v>
      </c>
      <c r="K8779" s="841" t="s">
        <v>3264</v>
      </c>
      <c r="L8779" s="841" t="s">
        <v>442</v>
      </c>
      <c r="M8779" s="1357"/>
      <c r="P8779" s="841" t="s">
        <v>6392</v>
      </c>
      <c r="Q8779" s="1357"/>
      <c r="S8779" s="1420"/>
      <c r="T8779" s="1420">
        <v>43465</v>
      </c>
      <c r="V8779" s="1357">
        <v>96</v>
      </c>
    </row>
    <row r="8780" spans="1:22" s="841" customFormat="1" ht="15" x14ac:dyDescent="0.25">
      <c r="A8780" s="841" t="s">
        <v>4874</v>
      </c>
      <c r="B8780" s="841" t="s">
        <v>5677</v>
      </c>
      <c r="E8780" s="621" t="s">
        <v>84</v>
      </c>
      <c r="F8780" s="621"/>
      <c r="G8780" s="1111" t="s">
        <v>33</v>
      </c>
      <c r="H8780" s="1117">
        <v>6.3791000000000002</v>
      </c>
      <c r="K8780" s="841" t="s">
        <v>3264</v>
      </c>
      <c r="L8780" s="841" t="s">
        <v>442</v>
      </c>
      <c r="M8780" s="1357"/>
      <c r="P8780" s="841" t="s">
        <v>3269</v>
      </c>
      <c r="Q8780" s="1357"/>
      <c r="S8780" s="1420"/>
      <c r="T8780" s="1420"/>
      <c r="V8780" s="1357">
        <v>28</v>
      </c>
    </row>
    <row r="8781" spans="1:22" s="841" customFormat="1" ht="15" x14ac:dyDescent="0.25">
      <c r="A8781" s="841" t="s">
        <v>4874</v>
      </c>
      <c r="B8781" s="841" t="s">
        <v>5677</v>
      </c>
      <c r="E8781" s="621" t="s">
        <v>4813</v>
      </c>
      <c r="F8781" s="621"/>
      <c r="G8781" s="1111" t="s">
        <v>33</v>
      </c>
      <c r="H8781" s="1117">
        <v>0.1288</v>
      </c>
      <c r="K8781" s="841" t="s">
        <v>3264</v>
      </c>
      <c r="L8781" s="841" t="s">
        <v>443</v>
      </c>
      <c r="M8781" s="1357"/>
      <c r="P8781" s="841" t="s">
        <v>3270</v>
      </c>
      <c r="Q8781" s="1357"/>
      <c r="S8781" s="1420"/>
      <c r="T8781" s="1420"/>
      <c r="V8781" s="1357">
        <v>25</v>
      </c>
    </row>
    <row r="8782" spans="1:22" s="841" customFormat="1" ht="34.5" x14ac:dyDescent="0.25">
      <c r="A8782" s="841" t="s">
        <v>4874</v>
      </c>
      <c r="B8782" s="841" t="s">
        <v>5677</v>
      </c>
      <c r="E8782" s="1116" t="s">
        <v>5708</v>
      </c>
      <c r="F8782" s="1116"/>
      <c r="G8782" s="1111" t="s">
        <v>33</v>
      </c>
      <c r="H8782" s="1117">
        <v>2.2128000000000001</v>
      </c>
      <c r="K8782" s="841" t="s">
        <v>3264</v>
      </c>
      <c r="L8782" s="841" t="s">
        <v>443</v>
      </c>
      <c r="M8782" s="1357"/>
      <c r="P8782" s="841" t="s">
        <v>3664</v>
      </c>
      <c r="Q8782" s="1357"/>
      <c r="S8782" s="1420"/>
      <c r="T8782" s="1420">
        <v>43373</v>
      </c>
      <c r="V8782" s="1357">
        <v>145</v>
      </c>
    </row>
    <row r="8783" spans="1:22" s="841" customFormat="1" ht="45.75" x14ac:dyDescent="0.25">
      <c r="A8783" s="841" t="s">
        <v>4874</v>
      </c>
      <c r="B8783" s="841" t="s">
        <v>5677</v>
      </c>
      <c r="E8783" s="1116" t="s">
        <v>5206</v>
      </c>
      <c r="F8783" s="1116"/>
      <c r="G8783" s="1111" t="s">
        <v>24</v>
      </c>
      <c r="H8783" s="1117">
        <v>4.0000000000000002E-4</v>
      </c>
      <c r="K8783" s="841" t="s">
        <v>3264</v>
      </c>
      <c r="L8783" s="841" t="s">
        <v>443</v>
      </c>
      <c r="M8783" s="1357"/>
      <c r="P8783" s="841" t="s">
        <v>3271</v>
      </c>
      <c r="Q8783" s="1357"/>
      <c r="S8783" s="1420"/>
      <c r="T8783" s="1420">
        <v>43585</v>
      </c>
      <c r="V8783" s="1357">
        <v>153</v>
      </c>
    </row>
    <row r="8784" spans="1:22" s="841" customFormat="1" ht="15" x14ac:dyDescent="0.25">
      <c r="A8784" s="841" t="s">
        <v>4874</v>
      </c>
      <c r="B8784" s="841" t="s">
        <v>5677</v>
      </c>
      <c r="E8784" s="621" t="s">
        <v>5684</v>
      </c>
      <c r="F8784" s="621"/>
      <c r="G8784" s="1111" t="s">
        <v>33</v>
      </c>
      <c r="H8784" s="1117">
        <v>0.1116</v>
      </c>
      <c r="K8784" s="841" t="s">
        <v>3264</v>
      </c>
      <c r="L8784" s="841" t="s">
        <v>443</v>
      </c>
      <c r="M8784" s="1357"/>
      <c r="P8784" s="841" t="s">
        <v>3273</v>
      </c>
      <c r="Q8784" s="1357"/>
      <c r="S8784" s="1420"/>
      <c r="T8784" s="1420">
        <v>43373</v>
      </c>
      <c r="V8784" s="1357">
        <v>100</v>
      </c>
    </row>
    <row r="8785" spans="1:22" s="841" customFormat="1" ht="15" x14ac:dyDescent="0.25">
      <c r="A8785" s="841" t="s">
        <v>4874</v>
      </c>
      <c r="B8785" s="841" t="s">
        <v>5677</v>
      </c>
      <c r="E8785" s="621" t="s">
        <v>5685</v>
      </c>
      <c r="F8785" s="621"/>
      <c r="G8785" s="1111" t="s">
        <v>33</v>
      </c>
      <c r="H8785" s="1117">
        <v>-0.1169</v>
      </c>
      <c r="K8785" s="841" t="s">
        <v>3264</v>
      </c>
      <c r="L8785" s="841" t="s">
        <v>443</v>
      </c>
      <c r="M8785" s="1357"/>
      <c r="P8785" s="841" t="s">
        <v>3273</v>
      </c>
      <c r="Q8785" s="1357"/>
      <c r="S8785" s="1420"/>
      <c r="T8785" s="1420">
        <v>43373</v>
      </c>
      <c r="V8785" s="1357">
        <v>107</v>
      </c>
    </row>
    <row r="8786" spans="1:22" s="841" customFormat="1" ht="15" x14ac:dyDescent="0.25">
      <c r="A8786" s="841" t="s">
        <v>4874</v>
      </c>
      <c r="B8786" s="841" t="s">
        <v>5677</v>
      </c>
      <c r="E8786" s="621" t="s">
        <v>5210</v>
      </c>
      <c r="F8786" s="621"/>
      <c r="G8786" s="1111" t="s">
        <v>33</v>
      </c>
      <c r="H8786" s="1117">
        <v>-1.0519000000000001</v>
      </c>
      <c r="K8786" s="841" t="s">
        <v>3264</v>
      </c>
      <c r="L8786" s="841" t="s">
        <v>443</v>
      </c>
      <c r="M8786" s="1357"/>
      <c r="P8786" s="841" t="s">
        <v>3273</v>
      </c>
      <c r="Q8786" s="1357"/>
      <c r="S8786" s="1420"/>
      <c r="T8786" s="1420">
        <v>43585</v>
      </c>
      <c r="V8786" s="1357">
        <v>108</v>
      </c>
    </row>
    <row r="8787" spans="1:22" s="841" customFormat="1" ht="15" x14ac:dyDescent="0.25">
      <c r="A8787" s="841" t="s">
        <v>4874</v>
      </c>
      <c r="B8787" s="841" t="s">
        <v>5677</v>
      </c>
      <c r="E8787" s="621" t="s">
        <v>5680</v>
      </c>
      <c r="F8787" s="621"/>
      <c r="G8787" s="1111" t="s">
        <v>33</v>
      </c>
      <c r="H8787" s="1117">
        <v>5.9200000000000003E-2</v>
      </c>
      <c r="K8787" s="841" t="s">
        <v>3264</v>
      </c>
      <c r="L8787" s="841" t="s">
        <v>442</v>
      </c>
      <c r="M8787" s="1357"/>
      <c r="P8787" s="841" t="s">
        <v>3273</v>
      </c>
      <c r="Q8787" s="1357"/>
      <c r="S8787" s="1420"/>
      <c r="T8787" s="1420">
        <v>43373</v>
      </c>
      <c r="V8787" s="1357">
        <v>108</v>
      </c>
    </row>
    <row r="8788" spans="1:22" s="841" customFormat="1" ht="45.75" x14ac:dyDescent="0.25">
      <c r="A8788" s="841" t="s">
        <v>4874</v>
      </c>
      <c r="B8788" s="841" t="s">
        <v>5677</v>
      </c>
      <c r="E8788" s="1116" t="s">
        <v>5326</v>
      </c>
      <c r="F8788" s="1116"/>
      <c r="G8788" s="1111" t="s">
        <v>33</v>
      </c>
      <c r="H8788" s="1117">
        <v>8.6999999999999994E-2</v>
      </c>
      <c r="K8788" s="841" t="s">
        <v>3264</v>
      </c>
      <c r="L8788" s="841" t="s">
        <v>443</v>
      </c>
      <c r="M8788" s="1357"/>
      <c r="P8788" s="841" t="s">
        <v>5295</v>
      </c>
      <c r="Q8788" s="1357"/>
      <c r="S8788" s="1420"/>
      <c r="T8788" s="1420">
        <v>43585</v>
      </c>
      <c r="V8788" s="1357">
        <v>160</v>
      </c>
    </row>
    <row r="8789" spans="1:22" s="841" customFormat="1" ht="15" x14ac:dyDescent="0.25">
      <c r="A8789" s="841" t="s">
        <v>4874</v>
      </c>
      <c r="B8789" s="841" t="s">
        <v>5677</v>
      </c>
      <c r="E8789" s="621" t="s">
        <v>5203</v>
      </c>
      <c r="F8789" s="621"/>
      <c r="G8789" s="1111" t="s">
        <v>33</v>
      </c>
      <c r="H8789" s="1117">
        <v>2.53E-2</v>
      </c>
      <c r="K8789" s="841" t="s">
        <v>3264</v>
      </c>
      <c r="L8789" s="841" t="s">
        <v>442</v>
      </c>
      <c r="M8789" s="1357"/>
      <c r="P8789" s="841" t="s">
        <v>6393</v>
      </c>
      <c r="Q8789" s="1357"/>
      <c r="S8789" s="1420"/>
      <c r="T8789" s="1420"/>
      <c r="V8789" s="1357">
        <v>152</v>
      </c>
    </row>
    <row r="8790" spans="1:22" s="841" customFormat="1" ht="45.75" x14ac:dyDescent="0.25">
      <c r="A8790" s="841" t="s">
        <v>4874</v>
      </c>
      <c r="B8790" s="841" t="s">
        <v>5677</v>
      </c>
      <c r="E8790" s="1116" t="s">
        <v>5327</v>
      </c>
      <c r="F8790" s="1116"/>
      <c r="G8790" s="1111" t="s">
        <v>33</v>
      </c>
      <c r="H8790" s="1117">
        <v>0.58540000000000003</v>
      </c>
      <c r="K8790" s="841" t="s">
        <v>3264</v>
      </c>
      <c r="L8790" s="841" t="s">
        <v>442</v>
      </c>
      <c r="M8790" s="1357"/>
      <c r="P8790" s="841" t="s">
        <v>3272</v>
      </c>
      <c r="Q8790" s="1357"/>
      <c r="S8790" s="1420"/>
      <c r="T8790" s="1420">
        <v>43585</v>
      </c>
      <c r="V8790" s="1357">
        <v>146</v>
      </c>
    </row>
    <row r="8791" spans="1:22" s="841" customFormat="1" ht="15" x14ac:dyDescent="0.25">
      <c r="A8791" s="841" t="s">
        <v>4874</v>
      </c>
      <c r="B8791" s="841" t="s">
        <v>5677</v>
      </c>
      <c r="E8791" s="621" t="s">
        <v>221</v>
      </c>
      <c r="F8791" s="621"/>
      <c r="G8791" s="1111" t="s">
        <v>33</v>
      </c>
      <c r="H8791" s="1117">
        <v>2.6888000000000001</v>
      </c>
      <c r="K8791" s="841" t="s">
        <v>3264</v>
      </c>
      <c r="L8791" s="841" t="s">
        <v>444</v>
      </c>
      <c r="M8791" s="1357"/>
      <c r="P8791" s="841" t="s">
        <v>3274</v>
      </c>
      <c r="Q8791" s="1357"/>
      <c r="S8791" s="1420"/>
      <c r="T8791" s="1420"/>
      <c r="V8791" s="1357">
        <v>47</v>
      </c>
    </row>
    <row r="8792" spans="1:22" s="841" customFormat="1" ht="15" x14ac:dyDescent="0.25">
      <c r="A8792" s="841" t="s">
        <v>4874</v>
      </c>
      <c r="B8792" s="841" t="s">
        <v>5677</v>
      </c>
      <c r="E8792" s="621" t="s">
        <v>217</v>
      </c>
      <c r="F8792" s="621"/>
      <c r="G8792" s="1111" t="s">
        <v>33</v>
      </c>
      <c r="H8792" s="1117">
        <v>1.4379</v>
      </c>
      <c r="K8792" s="841" t="s">
        <v>3264</v>
      </c>
      <c r="L8792" s="841" t="s">
        <v>444</v>
      </c>
      <c r="M8792" s="1357"/>
      <c r="P8792" s="841" t="s">
        <v>3275</v>
      </c>
      <c r="Q8792" s="1357"/>
      <c r="S8792" s="1420"/>
      <c r="T8792" s="1420"/>
      <c r="V8792" s="1357">
        <v>74</v>
      </c>
    </row>
    <row r="8793" spans="1:22" s="841" customFormat="1" ht="15" x14ac:dyDescent="0.25">
      <c r="A8793" s="841" t="s">
        <v>4874</v>
      </c>
      <c r="B8793" s="841" t="s">
        <v>5677</v>
      </c>
      <c r="E8793" s="1285" t="s">
        <v>5522</v>
      </c>
      <c r="F8793" s="1285"/>
      <c r="G8793" s="1292"/>
      <c r="H8793" s="1117"/>
      <c r="K8793" s="841" t="s">
        <v>3276</v>
      </c>
      <c r="M8793" s="1357"/>
      <c r="Q8793" s="1357"/>
      <c r="S8793" s="1420"/>
      <c r="T8793" s="1420"/>
      <c r="V8793" s="1357">
        <v>48</v>
      </c>
    </row>
    <row r="8794" spans="1:22" s="841" customFormat="1" ht="15" x14ac:dyDescent="0.25">
      <c r="A8794" s="841" t="s">
        <v>4874</v>
      </c>
      <c r="B8794" s="841" t="s">
        <v>5677</v>
      </c>
      <c r="E8794" s="621" t="s">
        <v>2449</v>
      </c>
      <c r="F8794" s="621"/>
      <c r="G8794" s="1111" t="s">
        <v>24</v>
      </c>
      <c r="H8794" s="1117">
        <v>3.2000000000000002E-3</v>
      </c>
      <c r="K8794" s="841" t="s">
        <v>3264</v>
      </c>
      <c r="L8794" s="841" t="s">
        <v>3046</v>
      </c>
      <c r="M8794" s="1357"/>
      <c r="P8794" s="841" t="s">
        <v>3277</v>
      </c>
      <c r="Q8794" s="1357"/>
      <c r="S8794" s="1420"/>
      <c r="T8794" s="1420"/>
      <c r="V8794" s="1357">
        <v>55</v>
      </c>
    </row>
    <row r="8795" spans="1:22" s="841" customFormat="1" ht="15" x14ac:dyDescent="0.25">
      <c r="A8795" s="841" t="s">
        <v>4874</v>
      </c>
      <c r="B8795" s="841" t="s">
        <v>5677</v>
      </c>
      <c r="E8795" s="621" t="s">
        <v>2450</v>
      </c>
      <c r="F8795" s="621"/>
      <c r="G8795" s="1111" t="s">
        <v>24</v>
      </c>
      <c r="H8795" s="1117">
        <v>4.0000000000000002E-4</v>
      </c>
      <c r="K8795" s="841" t="s">
        <v>3264</v>
      </c>
      <c r="L8795" s="841" t="s">
        <v>3046</v>
      </c>
      <c r="M8795" s="1357"/>
      <c r="P8795" s="841" t="s">
        <v>3277</v>
      </c>
      <c r="Q8795" s="1357"/>
      <c r="S8795" s="1420"/>
      <c r="T8795" s="1420"/>
      <c r="V8795" s="1357">
        <v>65</v>
      </c>
    </row>
    <row r="8796" spans="1:22" s="841" customFormat="1" ht="15" x14ac:dyDescent="0.25">
      <c r="A8796" s="841" t="s">
        <v>4874</v>
      </c>
      <c r="B8796" s="841" t="s">
        <v>5677</v>
      </c>
      <c r="E8796" s="621" t="s">
        <v>439</v>
      </c>
      <c r="F8796" s="621"/>
      <c r="G8796" s="1111" t="s">
        <v>24</v>
      </c>
      <c r="H8796" s="1117">
        <v>2.9999999999999997E-4</v>
      </c>
      <c r="K8796" s="841" t="s">
        <v>3264</v>
      </c>
      <c r="L8796" s="841" t="s">
        <v>3046</v>
      </c>
      <c r="M8796" s="1357"/>
      <c r="P8796" s="841" t="s">
        <v>3278</v>
      </c>
      <c r="Q8796" s="1357"/>
      <c r="S8796" s="1420"/>
      <c r="T8796" s="1420"/>
      <c r="V8796" s="1357">
        <v>57</v>
      </c>
    </row>
    <row r="8797" spans="1:22" s="841" customFormat="1" ht="15" x14ac:dyDescent="0.25">
      <c r="A8797" s="841" t="s">
        <v>4874</v>
      </c>
      <c r="B8797" s="841" t="s">
        <v>5677</v>
      </c>
      <c r="E8797" s="621" t="s">
        <v>5686</v>
      </c>
      <c r="F8797" s="621"/>
      <c r="G8797" s="1111" t="s">
        <v>23</v>
      </c>
      <c r="H8797" s="1114">
        <v>0.25</v>
      </c>
      <c r="K8797" s="841" t="s">
        <v>3264</v>
      </c>
      <c r="M8797" s="1357"/>
      <c r="P8797" s="841" t="s">
        <v>3279</v>
      </c>
      <c r="Q8797" s="1357"/>
      <c r="S8797" s="1420"/>
      <c r="T8797" s="1420"/>
      <c r="V8797" s="1357">
        <v>63</v>
      </c>
    </row>
    <row r="8798" spans="1:22" s="841" customFormat="1" x14ac:dyDescent="0.25">
      <c r="A8798" s="841" t="s">
        <v>4874</v>
      </c>
      <c r="B8798" s="841" t="s">
        <v>5677</v>
      </c>
      <c r="E8798" s="1294" t="s">
        <v>5556</v>
      </c>
      <c r="F8798" s="1294"/>
      <c r="G8798" s="1111"/>
      <c r="H8798" s="621"/>
      <c r="K8798" s="841" t="s">
        <v>3280</v>
      </c>
      <c r="M8798" s="1357"/>
      <c r="Q8798" s="1357"/>
      <c r="S8798" s="1420"/>
      <c r="T8798" s="1420"/>
      <c r="V8798" s="1357">
        <v>31</v>
      </c>
    </row>
    <row r="8799" spans="1:22" s="841" customFormat="1" ht="15" x14ac:dyDescent="0.25">
      <c r="A8799" s="841" t="s">
        <v>4874</v>
      </c>
      <c r="B8799" s="841" t="s">
        <v>5677</v>
      </c>
      <c r="E8799" s="1969" t="s">
        <v>3127</v>
      </c>
      <c r="F8799" s="1969"/>
      <c r="G8799" s="1969"/>
      <c r="H8799" s="1969"/>
      <c r="K8799" s="841" t="s">
        <v>3280</v>
      </c>
      <c r="M8799" s="1357"/>
      <c r="Q8799" s="1357"/>
      <c r="S8799" s="1420"/>
      <c r="T8799" s="1420"/>
      <c r="V8799" s="1357">
        <v>286</v>
      </c>
    </row>
    <row r="8800" spans="1:22" s="841" customFormat="1" ht="15" x14ac:dyDescent="0.25">
      <c r="A8800" s="841" t="s">
        <v>4874</v>
      </c>
      <c r="B8800" s="841" t="s">
        <v>5677</v>
      </c>
      <c r="E8800" s="1288" t="s">
        <v>3061</v>
      </c>
      <c r="F8800" s="1288"/>
      <c r="G8800" s="1289"/>
      <c r="H8800" s="1290"/>
      <c r="K8800" s="841" t="s">
        <v>3281</v>
      </c>
      <c r="M8800" s="1357"/>
      <c r="Q8800" s="1357"/>
      <c r="S8800" s="1420"/>
      <c r="T8800" s="1420"/>
      <c r="V8800" s="1357">
        <v>11</v>
      </c>
    </row>
    <row r="8801" spans="1:22" s="841" customFormat="1" ht="15" x14ac:dyDescent="0.25">
      <c r="A8801" s="841" t="s">
        <v>4874</v>
      </c>
      <c r="B8801" s="841" t="s">
        <v>5677</v>
      </c>
      <c r="E8801" s="2048" t="s">
        <v>3063</v>
      </c>
      <c r="F8801" s="2048"/>
      <c r="G8801" s="2048"/>
      <c r="H8801" s="2048"/>
      <c r="K8801" s="841" t="s">
        <v>3280</v>
      </c>
      <c r="M8801" s="1357"/>
      <c r="Q8801" s="1357"/>
      <c r="S8801" s="1420"/>
      <c r="T8801" s="1420"/>
      <c r="V8801" s="1357">
        <v>280</v>
      </c>
    </row>
    <row r="8802" spans="1:22" s="841" customFormat="1" ht="15" x14ac:dyDescent="0.25">
      <c r="A8802" s="841" t="s">
        <v>4874</v>
      </c>
      <c r="B8802" s="841" t="s">
        <v>5677</v>
      </c>
      <c r="E8802" s="1969" t="s">
        <v>3064</v>
      </c>
      <c r="F8802" s="1969"/>
      <c r="G8802" s="1969"/>
      <c r="H8802" s="1969"/>
      <c r="K8802" s="841" t="s">
        <v>3280</v>
      </c>
      <c r="M8802" s="1357"/>
      <c r="Q8802" s="1357"/>
      <c r="S8802" s="1420"/>
      <c r="T8802" s="1420"/>
      <c r="V8802" s="1357">
        <v>411</v>
      </c>
    </row>
    <row r="8803" spans="1:22" s="841" customFormat="1" ht="15" x14ac:dyDescent="0.25">
      <c r="A8803" s="841" t="s">
        <v>4874</v>
      </c>
      <c r="B8803" s="841" t="s">
        <v>5677</v>
      </c>
      <c r="E8803" s="1969" t="s">
        <v>3129</v>
      </c>
      <c r="F8803" s="1969"/>
      <c r="G8803" s="1969"/>
      <c r="H8803" s="1969"/>
      <c r="K8803" s="841" t="s">
        <v>3280</v>
      </c>
      <c r="M8803" s="1357"/>
      <c r="Q8803" s="1357"/>
      <c r="S8803" s="1420"/>
      <c r="T8803" s="1420"/>
      <c r="V8803" s="1357">
        <v>211</v>
      </c>
    </row>
    <row r="8804" spans="1:22" s="841" customFormat="1" ht="15" x14ac:dyDescent="0.25">
      <c r="A8804" s="841" t="s">
        <v>4874</v>
      </c>
      <c r="B8804" s="841" t="s">
        <v>5677</v>
      </c>
      <c r="E8804" s="1969" t="s">
        <v>4503</v>
      </c>
      <c r="F8804" s="1969"/>
      <c r="G8804" s="1969"/>
      <c r="H8804" s="1969"/>
      <c r="K8804" s="841" t="s">
        <v>3280</v>
      </c>
      <c r="M8804" s="1357"/>
      <c r="Q8804" s="1357"/>
      <c r="S8804" s="1420"/>
      <c r="T8804" s="1420"/>
      <c r="V8804" s="1357">
        <v>275</v>
      </c>
    </row>
    <row r="8805" spans="1:22" s="841" customFormat="1" ht="15" x14ac:dyDescent="0.25">
      <c r="A8805" s="841" t="s">
        <v>4874</v>
      </c>
      <c r="B8805" s="841" t="s">
        <v>5677</v>
      </c>
      <c r="E8805" s="1285" t="s">
        <v>5369</v>
      </c>
      <c r="F8805" s="1285"/>
      <c r="G8805" s="1111"/>
      <c r="H8805" s="621"/>
      <c r="K8805" s="841" t="s">
        <v>3282</v>
      </c>
      <c r="M8805" s="1357"/>
      <c r="Q8805" s="1357"/>
      <c r="S8805" s="1420"/>
      <c r="T8805" s="1420"/>
      <c r="V8805" s="1357">
        <v>47</v>
      </c>
    </row>
    <row r="8806" spans="1:22" s="841" customFormat="1" ht="15" x14ac:dyDescent="0.25">
      <c r="A8806" s="841" t="s">
        <v>4874</v>
      </c>
      <c r="B8806" s="841" t="s">
        <v>5677</v>
      </c>
      <c r="E8806" s="621" t="s">
        <v>11</v>
      </c>
      <c r="F8806" s="621"/>
      <c r="G8806" s="1111" t="s">
        <v>23</v>
      </c>
      <c r="H8806" s="1295">
        <v>5.4</v>
      </c>
      <c r="K8806" s="841" t="s">
        <v>3280</v>
      </c>
      <c r="L8806" s="841" t="s">
        <v>442</v>
      </c>
      <c r="M8806" s="1357"/>
      <c r="P8806" s="841" t="s">
        <v>3283</v>
      </c>
      <c r="Q8806" s="1357"/>
      <c r="S8806" s="1420"/>
      <c r="T8806" s="1420"/>
      <c r="V8806" s="1357">
        <v>14</v>
      </c>
    </row>
    <row r="8807" spans="1:22" s="841" customFormat="1" ht="18.75" x14ac:dyDescent="0.3">
      <c r="A8807" s="841" t="s">
        <v>4874</v>
      </c>
      <c r="B8807" s="841" t="s">
        <v>5677</v>
      </c>
      <c r="E8807" s="1296" t="s">
        <v>85</v>
      </c>
      <c r="F8807" s="1296"/>
      <c r="G8807" s="1297"/>
      <c r="H8807" s="1298"/>
      <c r="K8807" s="841" t="s">
        <v>5270</v>
      </c>
      <c r="M8807" s="1357"/>
      <c r="Q8807" s="1357"/>
      <c r="S8807" s="1420"/>
      <c r="T8807" s="1420"/>
      <c r="V8807" s="1357">
        <v>10</v>
      </c>
    </row>
    <row r="8808" spans="1:22" s="841" customFormat="1" ht="22.5" x14ac:dyDescent="0.25">
      <c r="A8808" s="841" t="s">
        <v>4874</v>
      </c>
      <c r="B8808" s="841" t="s">
        <v>5677</v>
      </c>
      <c r="E8808" s="725" t="s">
        <v>3133</v>
      </c>
      <c r="F8808" s="725"/>
      <c r="G8808" s="1111" t="s">
        <v>33</v>
      </c>
      <c r="H8808" s="1114">
        <v>-0.6</v>
      </c>
      <c r="M8808" s="1357"/>
      <c r="Q8808" s="1357"/>
      <c r="S8808" s="1420"/>
      <c r="T8808" s="1420"/>
      <c r="V8808" s="1357">
        <v>68</v>
      </c>
    </row>
    <row r="8809" spans="1:22" s="841" customFormat="1" ht="22.5" x14ac:dyDescent="0.25">
      <c r="A8809" s="841" t="s">
        <v>4874</v>
      </c>
      <c r="B8809" s="841" t="s">
        <v>5677</v>
      </c>
      <c r="E8809" s="725" t="s">
        <v>3134</v>
      </c>
      <c r="F8809" s="725"/>
      <c r="G8809" s="1111" t="s">
        <v>86</v>
      </c>
      <c r="H8809" s="1114">
        <v>-1</v>
      </c>
      <c r="M8809" s="1357"/>
      <c r="Q8809" s="1357"/>
      <c r="S8809" s="1420"/>
      <c r="T8809" s="1420"/>
      <c r="V8809" s="1357">
        <v>87</v>
      </c>
    </row>
    <row r="8810" spans="1:22" s="841" customFormat="1" ht="18.75" x14ac:dyDescent="0.3">
      <c r="A8810" s="841" t="s">
        <v>4874</v>
      </c>
      <c r="B8810" s="841" t="s">
        <v>5677</v>
      </c>
      <c r="E8810" s="1299" t="s">
        <v>87</v>
      </c>
      <c r="F8810" s="1299"/>
      <c r="G8810" s="1297"/>
      <c r="H8810" s="1298"/>
      <c r="K8810" s="841" t="s">
        <v>5274</v>
      </c>
      <c r="M8810" s="1357"/>
      <c r="Q8810" s="1357"/>
      <c r="S8810" s="1420"/>
      <c r="T8810" s="1420"/>
      <c r="V8810" s="1357">
        <v>24</v>
      </c>
    </row>
    <row r="8811" spans="1:22" s="841" customFormat="1" ht="15" x14ac:dyDescent="0.25">
      <c r="A8811" s="841" t="s">
        <v>4874</v>
      </c>
      <c r="B8811" s="841" t="s">
        <v>5677</v>
      </c>
      <c r="E8811" s="2144" t="s">
        <v>3061</v>
      </c>
      <c r="F8811" s="2144"/>
      <c r="G8811" s="2048"/>
      <c r="H8811" s="2048"/>
      <c r="M8811" s="1357"/>
      <c r="Q8811" s="1357"/>
      <c r="S8811" s="1420"/>
      <c r="T8811" s="1420"/>
      <c r="V8811" s="1357">
        <v>11</v>
      </c>
    </row>
    <row r="8812" spans="1:22" s="841" customFormat="1" ht="15" x14ac:dyDescent="0.25">
      <c r="A8812" s="841" t="s">
        <v>4874</v>
      </c>
      <c r="B8812" s="841" t="s">
        <v>5677</v>
      </c>
      <c r="E8812" s="1969" t="s">
        <v>3063</v>
      </c>
      <c r="F8812" s="1969"/>
      <c r="G8812" s="1969"/>
      <c r="H8812" s="1969"/>
      <c r="M8812" s="1357"/>
      <c r="Q8812" s="1357"/>
      <c r="S8812" s="1420"/>
      <c r="T8812" s="1420"/>
      <c r="V8812" s="1357">
        <v>280</v>
      </c>
    </row>
    <row r="8813" spans="1:22" s="841" customFormat="1" ht="15" x14ac:dyDescent="0.25">
      <c r="A8813" s="841" t="s">
        <v>4874</v>
      </c>
      <c r="B8813" s="841" t="s">
        <v>5677</v>
      </c>
      <c r="E8813" s="1969" t="s">
        <v>3136</v>
      </c>
      <c r="F8813" s="1969"/>
      <c r="G8813" s="1969"/>
      <c r="H8813" s="1969"/>
      <c r="M8813" s="1357"/>
      <c r="Q8813" s="1357"/>
      <c r="S8813" s="1420"/>
      <c r="T8813" s="1420"/>
      <c r="V8813" s="1357">
        <v>353</v>
      </c>
    </row>
    <row r="8814" spans="1:22" s="841" customFormat="1" ht="15" x14ac:dyDescent="0.25">
      <c r="A8814" s="841" t="s">
        <v>4874</v>
      </c>
      <c r="B8814" s="841" t="s">
        <v>5677</v>
      </c>
      <c r="E8814" s="1969" t="s">
        <v>3390</v>
      </c>
      <c r="F8814" s="1969"/>
      <c r="G8814" s="1969"/>
      <c r="H8814" s="1969"/>
      <c r="M8814" s="1357"/>
      <c r="Q8814" s="1357"/>
      <c r="S8814" s="1420"/>
      <c r="T8814" s="1420"/>
      <c r="V8814" s="1357">
        <v>274</v>
      </c>
    </row>
    <row r="8815" spans="1:22" s="841" customFormat="1" ht="15" x14ac:dyDescent="0.25">
      <c r="A8815" s="841" t="s">
        <v>4874</v>
      </c>
      <c r="B8815" s="841" t="s">
        <v>5677</v>
      </c>
      <c r="E8815" s="2145" t="s">
        <v>3137</v>
      </c>
      <c r="F8815" s="2145"/>
      <c r="G8815" s="2146"/>
      <c r="H8815" s="2"/>
      <c r="K8815" s="841" t="s">
        <v>5275</v>
      </c>
      <c r="M8815" s="1357"/>
      <c r="Q8815" s="1357"/>
      <c r="S8815" s="1420"/>
      <c r="T8815" s="1420"/>
      <c r="V8815" s="1357">
        <v>23</v>
      </c>
    </row>
    <row r="8816" spans="1:22" s="841" customFormat="1" ht="15" x14ac:dyDescent="0.25">
      <c r="A8816" s="841" t="s">
        <v>4874</v>
      </c>
      <c r="B8816" s="841" t="s">
        <v>5677</v>
      </c>
      <c r="E8816" s="1141" t="s">
        <v>3355</v>
      </c>
      <c r="F8816" s="1141"/>
      <c r="G8816" s="1111" t="s">
        <v>23</v>
      </c>
      <c r="H8816" s="723">
        <v>15</v>
      </c>
      <c r="M8816" s="1357"/>
      <c r="Q8816" s="1357"/>
      <c r="S8816" s="1420"/>
      <c r="T8816" s="1420"/>
      <c r="V8816" s="1357">
        <v>19</v>
      </c>
    </row>
    <row r="8817" spans="1:22" s="841" customFormat="1" ht="15" x14ac:dyDescent="0.25">
      <c r="A8817" s="841" t="s">
        <v>4874</v>
      </c>
      <c r="B8817" s="841" t="s">
        <v>5677</v>
      </c>
      <c r="E8817" s="1141" t="s">
        <v>3140</v>
      </c>
      <c r="F8817" s="1141"/>
      <c r="G8817" s="1111" t="s">
        <v>23</v>
      </c>
      <c r="H8817" s="723">
        <v>15</v>
      </c>
      <c r="M8817" s="1357"/>
      <c r="Q8817" s="1357"/>
      <c r="S8817" s="1420"/>
      <c r="T8817" s="1420"/>
      <c r="V8817" s="1357">
        <v>20</v>
      </c>
    </row>
    <row r="8818" spans="1:22" s="841" customFormat="1" ht="15" x14ac:dyDescent="0.25">
      <c r="A8818" s="841" t="s">
        <v>4874</v>
      </c>
      <c r="B8818" s="841" t="s">
        <v>5677</v>
      </c>
      <c r="E8818" s="1141" t="s">
        <v>3142</v>
      </c>
      <c r="F8818" s="1141"/>
      <c r="G8818" s="1111" t="s">
        <v>23</v>
      </c>
      <c r="H8818" s="723">
        <v>15</v>
      </c>
      <c r="M8818" s="1357"/>
      <c r="Q8818" s="1357"/>
      <c r="S8818" s="1420"/>
      <c r="T8818" s="1420"/>
      <c r="V8818" s="1357">
        <v>39</v>
      </c>
    </row>
    <row r="8819" spans="1:22" s="841" customFormat="1" ht="15" x14ac:dyDescent="0.25">
      <c r="A8819" s="841" t="s">
        <v>4874</v>
      </c>
      <c r="B8819" s="841" t="s">
        <v>5677</v>
      </c>
      <c r="E8819" s="1141" t="s">
        <v>3143</v>
      </c>
      <c r="F8819" s="1141"/>
      <c r="G8819" s="1111" t="s">
        <v>23</v>
      </c>
      <c r="H8819" s="723">
        <v>15</v>
      </c>
      <c r="M8819" s="1357"/>
      <c r="Q8819" s="1357"/>
      <c r="S8819" s="1420"/>
      <c r="T8819" s="1420"/>
      <c r="V8819" s="1357">
        <v>37</v>
      </c>
    </row>
    <row r="8820" spans="1:22" s="841" customFormat="1" ht="15" x14ac:dyDescent="0.25">
      <c r="A8820" s="841" t="s">
        <v>4874</v>
      </c>
      <c r="B8820" s="841" t="s">
        <v>5677</v>
      </c>
      <c r="E8820" s="1141" t="s">
        <v>3144</v>
      </c>
      <c r="F8820" s="1141"/>
      <c r="G8820" s="1111" t="s">
        <v>23</v>
      </c>
      <c r="H8820" s="723">
        <v>15</v>
      </c>
      <c r="M8820" s="1357"/>
      <c r="Q8820" s="1357"/>
      <c r="S8820" s="1420"/>
      <c r="T8820" s="1420"/>
      <c r="V8820" s="1357">
        <v>15</v>
      </c>
    </row>
    <row r="8821" spans="1:22" s="841" customFormat="1" ht="15" x14ac:dyDescent="0.25">
      <c r="A8821" s="841" t="s">
        <v>4874</v>
      </c>
      <c r="B8821" s="841" t="s">
        <v>5677</v>
      </c>
      <c r="E8821" s="1141" t="s">
        <v>3145</v>
      </c>
      <c r="F8821" s="1141"/>
      <c r="G8821" s="1111" t="s">
        <v>23</v>
      </c>
      <c r="H8821" s="723">
        <v>15</v>
      </c>
      <c r="M8821" s="1357"/>
      <c r="Q8821" s="1357"/>
      <c r="S8821" s="1420"/>
      <c r="T8821" s="1420"/>
      <c r="V8821" s="1357">
        <v>17</v>
      </c>
    </row>
    <row r="8822" spans="1:22" s="841" customFormat="1" ht="15" x14ac:dyDescent="0.25">
      <c r="A8822" s="841" t="s">
        <v>4874</v>
      </c>
      <c r="B8822" s="841" t="s">
        <v>5677</v>
      </c>
      <c r="E8822" s="1141" t="s">
        <v>3147</v>
      </c>
      <c r="F8822" s="1141"/>
      <c r="G8822" s="1111" t="s">
        <v>23</v>
      </c>
      <c r="H8822" s="723">
        <v>15</v>
      </c>
      <c r="M8822" s="1357"/>
      <c r="Q8822" s="1357"/>
      <c r="S8822" s="1420"/>
      <c r="T8822" s="1420"/>
      <c r="V8822" s="1357">
        <v>15</v>
      </c>
    </row>
    <row r="8823" spans="1:22" s="841" customFormat="1" ht="15" x14ac:dyDescent="0.25">
      <c r="A8823" s="841" t="s">
        <v>4874</v>
      </c>
      <c r="B8823" s="841" t="s">
        <v>5677</v>
      </c>
      <c r="E8823" s="1141" t="s">
        <v>123</v>
      </c>
      <c r="F8823" s="1141"/>
      <c r="G8823" s="1111" t="s">
        <v>23</v>
      </c>
      <c r="H8823" s="723">
        <v>15</v>
      </c>
      <c r="M8823" s="1357"/>
      <c r="Q8823" s="1357"/>
      <c r="S8823" s="1420"/>
      <c r="T8823" s="1420"/>
      <c r="V8823" s="1357">
        <v>35</v>
      </c>
    </row>
    <row r="8824" spans="1:22" s="841" customFormat="1" ht="15" x14ac:dyDescent="0.25">
      <c r="A8824" s="841" t="s">
        <v>4874</v>
      </c>
      <c r="B8824" s="841" t="s">
        <v>5677</v>
      </c>
      <c r="E8824" s="1141" t="s">
        <v>3151</v>
      </c>
      <c r="F8824" s="1141"/>
      <c r="G8824" s="1111" t="s">
        <v>23</v>
      </c>
      <c r="H8824" s="723">
        <v>15</v>
      </c>
      <c r="M8824" s="1357"/>
      <c r="Q8824" s="1357"/>
      <c r="S8824" s="1420"/>
      <c r="T8824" s="1420"/>
      <c r="V8824" s="1357">
        <v>19</v>
      </c>
    </row>
    <row r="8825" spans="1:22" s="841" customFormat="1" ht="23.25" x14ac:dyDescent="0.25">
      <c r="A8825" s="841" t="s">
        <v>4874</v>
      </c>
      <c r="B8825" s="841" t="s">
        <v>5677</v>
      </c>
      <c r="E8825" s="1141" t="s">
        <v>88</v>
      </c>
      <c r="F8825" s="1141"/>
      <c r="G8825" s="1111" t="s">
        <v>23</v>
      </c>
      <c r="H8825" s="723">
        <v>30</v>
      </c>
      <c r="M8825" s="1357"/>
      <c r="Q8825" s="1357"/>
      <c r="S8825" s="1420"/>
      <c r="T8825" s="1420"/>
      <c r="V8825" s="1357">
        <v>89</v>
      </c>
    </row>
    <row r="8826" spans="1:22" s="841" customFormat="1" ht="15" x14ac:dyDescent="0.25">
      <c r="A8826" s="841" t="s">
        <v>4874</v>
      </c>
      <c r="B8826" s="841" t="s">
        <v>5677</v>
      </c>
      <c r="E8826" s="1141" t="s">
        <v>94</v>
      </c>
      <c r="F8826" s="1141"/>
      <c r="G8826" s="1111" t="s">
        <v>23</v>
      </c>
      <c r="H8826" s="723">
        <v>30</v>
      </c>
      <c r="M8826" s="1357"/>
      <c r="Q8826" s="1357"/>
      <c r="S8826" s="1420"/>
      <c r="T8826" s="1420"/>
      <c r="V8826" s="1357">
        <v>19</v>
      </c>
    </row>
    <row r="8827" spans="1:22" s="841" customFormat="1" ht="23.25" x14ac:dyDescent="0.25">
      <c r="A8827" s="841" t="s">
        <v>4874</v>
      </c>
      <c r="B8827" s="841" t="s">
        <v>5677</v>
      </c>
      <c r="E8827" s="1141" t="s">
        <v>92</v>
      </c>
      <c r="F8827" s="1141"/>
      <c r="G8827" s="1111" t="s">
        <v>23</v>
      </c>
      <c r="H8827" s="723">
        <v>30</v>
      </c>
      <c r="M8827" s="1357"/>
      <c r="Q8827" s="1357"/>
      <c r="S8827" s="1420"/>
      <c r="T8827" s="1420"/>
      <c r="V8827" s="1357">
        <v>74</v>
      </c>
    </row>
    <row r="8828" spans="1:22" s="841" customFormat="1" ht="15" x14ac:dyDescent="0.25">
      <c r="A8828" s="841" t="s">
        <v>4874</v>
      </c>
      <c r="B8828" s="841" t="s">
        <v>5677</v>
      </c>
      <c r="E8828" s="1300" t="s">
        <v>3152</v>
      </c>
      <c r="F8828" s="1300"/>
      <c r="G8828" s="1075"/>
      <c r="H8828" s="2"/>
      <c r="K8828" s="841" t="s">
        <v>5276</v>
      </c>
      <c r="M8828" s="1357"/>
      <c r="Q8828" s="1357"/>
      <c r="S8828" s="1420"/>
      <c r="T8828" s="1420"/>
      <c r="V8828" s="1357">
        <v>22</v>
      </c>
    </row>
    <row r="8829" spans="1:22" s="841" customFormat="1" ht="15" x14ac:dyDescent="0.25">
      <c r="A8829" s="841" t="s">
        <v>4874</v>
      </c>
      <c r="B8829" s="841" t="s">
        <v>5677</v>
      </c>
      <c r="E8829" s="1141" t="s">
        <v>5137</v>
      </c>
      <c r="F8829" s="1141"/>
      <c r="G8829" s="1113" t="s">
        <v>86</v>
      </c>
      <c r="H8829" s="1173">
        <v>1.5</v>
      </c>
      <c r="M8829" s="1357"/>
      <c r="Q8829" s="1357"/>
      <c r="S8829" s="1420"/>
      <c r="T8829" s="1420"/>
      <c r="V8829" s="1357">
        <v>24</v>
      </c>
    </row>
    <row r="8830" spans="1:22" s="841" customFormat="1" ht="15" x14ac:dyDescent="0.25">
      <c r="A8830" s="841" t="s">
        <v>4874</v>
      </c>
      <c r="B8830" s="841" t="s">
        <v>5677</v>
      </c>
      <c r="E8830" s="1141" t="s">
        <v>4772</v>
      </c>
      <c r="F8830" s="1141"/>
      <c r="G8830" s="1113" t="s">
        <v>86</v>
      </c>
      <c r="H8830" s="1173">
        <v>19.559999999999999</v>
      </c>
      <c r="M8830" s="1357"/>
      <c r="Q8830" s="1357"/>
      <c r="S8830" s="1420"/>
      <c r="T8830" s="1420"/>
      <c r="V8830" s="1357">
        <v>24</v>
      </c>
    </row>
    <row r="8831" spans="1:22" s="841" customFormat="1" ht="15" x14ac:dyDescent="0.25">
      <c r="A8831" s="841" t="s">
        <v>4874</v>
      </c>
      <c r="B8831" s="841" t="s">
        <v>5677</v>
      </c>
      <c r="E8831" s="1141" t="s">
        <v>3288</v>
      </c>
      <c r="F8831" s="1141"/>
      <c r="G8831" s="1113" t="s">
        <v>23</v>
      </c>
      <c r="H8831" s="1173">
        <v>30</v>
      </c>
      <c r="M8831" s="1357"/>
      <c r="Q8831" s="1357"/>
      <c r="S8831" s="1420"/>
      <c r="T8831" s="1420"/>
      <c r="V8831" s="1357">
        <v>47</v>
      </c>
    </row>
    <row r="8832" spans="1:22" s="841" customFormat="1" ht="23.25" x14ac:dyDescent="0.25">
      <c r="A8832" s="841" t="s">
        <v>4874</v>
      </c>
      <c r="B8832" s="841" t="s">
        <v>5677</v>
      </c>
      <c r="E8832" s="1141" t="s">
        <v>4773</v>
      </c>
      <c r="F8832" s="1141"/>
      <c r="G8832" s="1113" t="s">
        <v>23</v>
      </c>
      <c r="H8832" s="1173">
        <v>65</v>
      </c>
      <c r="M8832" s="1357"/>
      <c r="Q8832" s="1357"/>
      <c r="S8832" s="1420"/>
      <c r="T8832" s="1420"/>
      <c r="V8832" s="1357">
        <v>52</v>
      </c>
    </row>
    <row r="8833" spans="1:22" s="841" customFormat="1" ht="23.25" x14ac:dyDescent="0.25">
      <c r="A8833" s="841" t="s">
        <v>4874</v>
      </c>
      <c r="B8833" s="841" t="s">
        <v>5677</v>
      </c>
      <c r="E8833" s="1141" t="s">
        <v>4774</v>
      </c>
      <c r="F8833" s="1141"/>
      <c r="G8833" s="1113" t="s">
        <v>23</v>
      </c>
      <c r="H8833" s="1173">
        <v>185</v>
      </c>
      <c r="M8833" s="1357"/>
      <c r="Q8833" s="1357"/>
      <c r="S8833" s="1420"/>
      <c r="T8833" s="1420"/>
      <c r="V8833" s="1357">
        <v>51</v>
      </c>
    </row>
    <row r="8834" spans="1:22" s="841" customFormat="1" ht="15" x14ac:dyDescent="0.25">
      <c r="A8834" s="841" t="s">
        <v>4874</v>
      </c>
      <c r="B8834" s="841" t="s">
        <v>5677</v>
      </c>
      <c r="E8834" s="1300" t="s">
        <v>3164</v>
      </c>
      <c r="F8834" s="1300"/>
      <c r="G8834" s="1075"/>
      <c r="H8834" s="2"/>
      <c r="M8834" s="1357"/>
      <c r="Q8834" s="1357"/>
      <c r="S8834" s="1420"/>
      <c r="T8834" s="1420"/>
      <c r="V8834" s="1357">
        <v>5</v>
      </c>
    </row>
    <row r="8835" spans="1:22" s="841" customFormat="1" ht="15" x14ac:dyDescent="0.25">
      <c r="A8835" s="841" t="s">
        <v>4874</v>
      </c>
      <c r="B8835" s="841" t="s">
        <v>5677</v>
      </c>
      <c r="E8835" s="1301" t="s">
        <v>5709</v>
      </c>
      <c r="F8835" s="1301"/>
      <c r="G8835" s="1113" t="s">
        <v>23</v>
      </c>
      <c r="H8835" s="1173">
        <v>65</v>
      </c>
      <c r="M8835" s="1357"/>
      <c r="Q8835" s="1357"/>
      <c r="S8835" s="1420"/>
      <c r="T8835" s="1420"/>
      <c r="V8835" s="1357">
        <v>57</v>
      </c>
    </row>
    <row r="8836" spans="1:22" s="841" customFormat="1" ht="15" x14ac:dyDescent="0.25">
      <c r="A8836" s="841" t="s">
        <v>4874</v>
      </c>
      <c r="B8836" s="841" t="s">
        <v>5677</v>
      </c>
      <c r="E8836" s="1301" t="s">
        <v>4778</v>
      </c>
      <c r="F8836" s="1301"/>
      <c r="G8836" s="1113" t="s">
        <v>23</v>
      </c>
      <c r="H8836" s="1173">
        <v>185</v>
      </c>
      <c r="M8836" s="1357"/>
      <c r="Q8836" s="1357"/>
      <c r="S8836" s="1420"/>
      <c r="T8836" s="1420"/>
      <c r="V8836" s="1357">
        <v>56</v>
      </c>
    </row>
    <row r="8837" spans="1:22" s="841" customFormat="1" ht="15" x14ac:dyDescent="0.25">
      <c r="A8837" s="841" t="s">
        <v>4874</v>
      </c>
      <c r="B8837" s="841" t="s">
        <v>5677</v>
      </c>
      <c r="E8837" s="1301" t="s">
        <v>4773</v>
      </c>
      <c r="F8837" s="1301"/>
      <c r="G8837" s="1113" t="s">
        <v>23</v>
      </c>
      <c r="H8837" s="1173">
        <v>65</v>
      </c>
      <c r="M8837" s="1357"/>
      <c r="Q8837" s="1357"/>
      <c r="S8837" s="1420"/>
      <c r="T8837" s="1420"/>
      <c r="V8837" s="1357">
        <v>52</v>
      </c>
    </row>
    <row r="8838" spans="1:22" s="841" customFormat="1" ht="15" x14ac:dyDescent="0.25">
      <c r="A8838" s="841" t="s">
        <v>4874</v>
      </c>
      <c r="B8838" s="841" t="s">
        <v>5677</v>
      </c>
      <c r="E8838" s="1301" t="s">
        <v>4774</v>
      </c>
      <c r="F8838" s="1301"/>
      <c r="G8838" s="1113" t="s">
        <v>23</v>
      </c>
      <c r="H8838" s="1173">
        <v>185</v>
      </c>
      <c r="M8838" s="1357"/>
      <c r="Q8838" s="1357"/>
      <c r="S8838" s="1420"/>
      <c r="T8838" s="1420"/>
      <c r="V8838" s="1357">
        <v>51</v>
      </c>
    </row>
    <row r="8839" spans="1:22" s="841" customFormat="1" ht="15" x14ac:dyDescent="0.25">
      <c r="A8839" s="841" t="s">
        <v>4874</v>
      </c>
      <c r="B8839" s="841" t="s">
        <v>5677</v>
      </c>
      <c r="E8839" s="1301" t="s">
        <v>4775</v>
      </c>
      <c r="F8839" s="1301"/>
      <c r="G8839" s="1113" t="s">
        <v>23</v>
      </c>
      <c r="H8839" s="1173">
        <v>185</v>
      </c>
      <c r="M8839" s="1357"/>
      <c r="Q8839" s="1357"/>
      <c r="S8839" s="1420"/>
      <c r="T8839" s="1420"/>
      <c r="V8839" s="1357">
        <v>51</v>
      </c>
    </row>
    <row r="8840" spans="1:22" s="841" customFormat="1" ht="15" x14ac:dyDescent="0.25">
      <c r="A8840" s="841" t="s">
        <v>4874</v>
      </c>
      <c r="B8840" s="841" t="s">
        <v>5677</v>
      </c>
      <c r="E8840" s="1301" t="s">
        <v>4776</v>
      </c>
      <c r="F8840" s="1301"/>
      <c r="G8840" s="1113" t="s">
        <v>23</v>
      </c>
      <c r="H8840" s="1173">
        <v>415</v>
      </c>
      <c r="M8840" s="1357"/>
      <c r="Q8840" s="1357"/>
      <c r="S8840" s="1420"/>
      <c r="T8840" s="1420"/>
      <c r="V8840" s="1357">
        <v>50</v>
      </c>
    </row>
    <row r="8841" spans="1:22" s="841" customFormat="1" ht="15" x14ac:dyDescent="0.25">
      <c r="A8841" s="841" t="s">
        <v>4874</v>
      </c>
      <c r="B8841" s="841" t="s">
        <v>5677</v>
      </c>
      <c r="E8841" s="1302" t="s">
        <v>5575</v>
      </c>
      <c r="F8841" s="1302"/>
      <c r="G8841" s="1145" t="s">
        <v>23</v>
      </c>
      <c r="H8841" s="1146">
        <v>22.35</v>
      </c>
      <c r="M8841" s="1357"/>
      <c r="Q8841" s="1357"/>
      <c r="S8841" s="1420"/>
      <c r="T8841" s="1420">
        <v>43343</v>
      </c>
      <c r="V8841" s="1357">
        <v>138</v>
      </c>
    </row>
    <row r="8842" spans="1:22" s="841" customFormat="1" ht="56.25" x14ac:dyDescent="0.25">
      <c r="A8842" s="841" t="s">
        <v>4874</v>
      </c>
      <c r="B8842" s="841" t="s">
        <v>5677</v>
      </c>
      <c r="E8842" s="1303" t="s">
        <v>5278</v>
      </c>
      <c r="F8842" s="1303"/>
      <c r="G8842" s="1145" t="s">
        <v>23</v>
      </c>
      <c r="H8842" s="1146">
        <v>28.09</v>
      </c>
      <c r="M8842" s="1357"/>
      <c r="Q8842" s="1357"/>
      <c r="S8842" s="1420"/>
      <c r="T8842" s="1420">
        <v>43465</v>
      </c>
      <c r="V8842" s="1357">
        <v>164</v>
      </c>
    </row>
    <row r="8843" spans="1:22" s="841" customFormat="1" ht="15" x14ac:dyDescent="0.25">
      <c r="A8843" s="841" t="s">
        <v>4874</v>
      </c>
      <c r="B8843" s="841" t="s">
        <v>5677</v>
      </c>
      <c r="E8843" s="1302" t="s">
        <v>5576</v>
      </c>
      <c r="F8843" s="1302"/>
      <c r="G8843" s="1145" t="s">
        <v>23</v>
      </c>
      <c r="H8843" s="1146">
        <v>43.63</v>
      </c>
      <c r="M8843" s="1357"/>
      <c r="Q8843" s="1357"/>
      <c r="S8843" s="1420"/>
      <c r="T8843" s="1420"/>
      <c r="V8843" s="1357">
        <v>137</v>
      </c>
    </row>
    <row r="8844" spans="1:22" s="841" customFormat="1" ht="15" x14ac:dyDescent="0.25">
      <c r="A8844" s="841" t="s">
        <v>4874</v>
      </c>
      <c r="B8844" s="841" t="s">
        <v>5677</v>
      </c>
      <c r="E8844" s="1301" t="s">
        <v>4784</v>
      </c>
      <c r="F8844" s="1301"/>
      <c r="G8844" s="1113" t="s">
        <v>23</v>
      </c>
      <c r="H8844" s="1173">
        <v>500</v>
      </c>
      <c r="M8844" s="1357"/>
      <c r="Q8844" s="1357"/>
      <c r="S8844" s="1420"/>
      <c r="T8844" s="1420"/>
      <c r="V8844" s="1357">
        <v>64</v>
      </c>
    </row>
    <row r="8845" spans="1:22" s="841" customFormat="1" ht="18.75" x14ac:dyDescent="0.3">
      <c r="A8845" s="841" t="s">
        <v>4874</v>
      </c>
      <c r="B8845" s="841" t="s">
        <v>5677</v>
      </c>
      <c r="E8845" s="1294" t="s">
        <v>77</v>
      </c>
      <c r="F8845" s="1294"/>
      <c r="G8845" s="1297"/>
      <c r="H8845" s="1298"/>
      <c r="K8845" s="841" t="s">
        <v>5280</v>
      </c>
      <c r="M8845" s="1357"/>
      <c r="Q8845" s="1357"/>
      <c r="S8845" s="1420"/>
      <c r="T8845" s="1420"/>
      <c r="V8845" s="1357">
        <v>38</v>
      </c>
    </row>
    <row r="8846" spans="1:22" s="841" customFormat="1" ht="15" x14ac:dyDescent="0.25">
      <c r="A8846" s="841" t="s">
        <v>4874</v>
      </c>
      <c r="B8846" s="841" t="s">
        <v>5677</v>
      </c>
      <c r="E8846" s="2147" t="s">
        <v>3061</v>
      </c>
      <c r="F8846" s="2147"/>
      <c r="G8846" s="1969"/>
      <c r="H8846" s="1969"/>
      <c r="K8846" s="841" t="s">
        <v>3281</v>
      </c>
      <c r="M8846" s="1357"/>
      <c r="Q8846" s="1357"/>
      <c r="S8846" s="1420"/>
      <c r="T8846" s="1420"/>
      <c r="V8846" s="1357">
        <v>11</v>
      </c>
    </row>
    <row r="8847" spans="1:22" s="841" customFormat="1" ht="15" x14ac:dyDescent="0.25">
      <c r="A8847" s="841" t="s">
        <v>4874</v>
      </c>
      <c r="B8847" s="841" t="s">
        <v>5677</v>
      </c>
      <c r="E8847" s="1969" t="s">
        <v>3063</v>
      </c>
      <c r="F8847" s="1969"/>
      <c r="G8847" s="1969"/>
      <c r="H8847" s="1969"/>
      <c r="M8847" s="1357"/>
      <c r="Q8847" s="1357"/>
      <c r="S8847" s="1420"/>
      <c r="T8847" s="1420"/>
      <c r="V8847" s="1357">
        <v>280</v>
      </c>
    </row>
    <row r="8848" spans="1:22" s="841" customFormat="1" ht="15" x14ac:dyDescent="0.25">
      <c r="A8848" s="841" t="s">
        <v>4874</v>
      </c>
      <c r="B8848" s="841" t="s">
        <v>5677</v>
      </c>
      <c r="E8848" s="1969" t="s">
        <v>3064</v>
      </c>
      <c r="F8848" s="1969"/>
      <c r="G8848" s="1969"/>
      <c r="H8848" s="1969"/>
      <c r="M8848" s="1357"/>
      <c r="Q8848" s="1357"/>
      <c r="S8848" s="1420"/>
      <c r="T8848" s="1420"/>
      <c r="V8848" s="1357">
        <v>411</v>
      </c>
    </row>
    <row r="8849" spans="1:22" s="841" customFormat="1" ht="15" x14ac:dyDescent="0.25">
      <c r="A8849" s="841" t="s">
        <v>4874</v>
      </c>
      <c r="B8849" s="841" t="s">
        <v>5677</v>
      </c>
      <c r="E8849" s="1969" t="s">
        <v>3129</v>
      </c>
      <c r="F8849" s="1969"/>
      <c r="G8849" s="1969"/>
      <c r="H8849" s="1969"/>
      <c r="M8849" s="1357"/>
      <c r="Q8849" s="1357"/>
      <c r="S8849" s="1420"/>
      <c r="T8849" s="1420"/>
      <c r="V8849" s="1357">
        <v>211</v>
      </c>
    </row>
    <row r="8850" spans="1:22" s="841" customFormat="1" ht="15" x14ac:dyDescent="0.25">
      <c r="A8850" s="841" t="s">
        <v>4874</v>
      </c>
      <c r="B8850" s="841" t="s">
        <v>5677</v>
      </c>
      <c r="E8850" s="1969" t="s">
        <v>3390</v>
      </c>
      <c r="F8850" s="1969"/>
      <c r="G8850" s="1969"/>
      <c r="H8850" s="1969"/>
      <c r="M8850" s="1357"/>
      <c r="Q8850" s="1357"/>
      <c r="S8850" s="1420"/>
      <c r="T8850" s="1420"/>
      <c r="V8850" s="1357">
        <v>274</v>
      </c>
    </row>
    <row r="8851" spans="1:22" s="841" customFormat="1" ht="33.75" x14ac:dyDescent="0.25">
      <c r="A8851" s="841" t="s">
        <v>4874</v>
      </c>
      <c r="B8851" s="841" t="s">
        <v>5677</v>
      </c>
      <c r="E8851" s="725" t="s">
        <v>3291</v>
      </c>
      <c r="F8851" s="725"/>
      <c r="G8851" s="1304"/>
      <c r="H8851" s="1305"/>
      <c r="M8851" s="1357"/>
      <c r="Q8851" s="1357"/>
      <c r="S8851" s="1420"/>
      <c r="T8851" s="1420"/>
      <c r="V8851" s="1357">
        <v>142</v>
      </c>
    </row>
    <row r="8852" spans="1:22" s="841" customFormat="1" ht="23.25" x14ac:dyDescent="0.25">
      <c r="A8852" s="841" t="s">
        <v>4874</v>
      </c>
      <c r="B8852" s="841" t="s">
        <v>5677</v>
      </c>
      <c r="E8852" s="1382" t="s">
        <v>3176</v>
      </c>
      <c r="F8852" s="1382"/>
      <c r="G8852" s="1139" t="s">
        <v>23</v>
      </c>
      <c r="H8852" s="1140">
        <v>100</v>
      </c>
      <c r="M8852" s="1357"/>
      <c r="Q8852" s="1357"/>
      <c r="S8852" s="1420"/>
      <c r="T8852" s="1420"/>
      <c r="V8852" s="1357">
        <v>106</v>
      </c>
    </row>
    <row r="8853" spans="1:22" s="841" customFormat="1" ht="15" x14ac:dyDescent="0.25">
      <c r="A8853" s="841" t="s">
        <v>4874</v>
      </c>
      <c r="B8853" s="841" t="s">
        <v>5677</v>
      </c>
      <c r="E8853" s="1131" t="s">
        <v>5140</v>
      </c>
      <c r="F8853" s="1131"/>
      <c r="G8853" s="1139" t="s">
        <v>23</v>
      </c>
      <c r="H8853" s="1140">
        <v>20</v>
      </c>
      <c r="M8853" s="1357"/>
      <c r="Q8853" s="1357"/>
      <c r="S8853" s="1420"/>
      <c r="T8853" s="1420"/>
      <c r="V8853" s="1357">
        <v>34</v>
      </c>
    </row>
    <row r="8854" spans="1:22" s="841" customFormat="1" ht="15" x14ac:dyDescent="0.25">
      <c r="A8854" s="841" t="s">
        <v>4874</v>
      </c>
      <c r="B8854" s="841" t="s">
        <v>5677</v>
      </c>
      <c r="E8854" s="1131" t="s">
        <v>5141</v>
      </c>
      <c r="F8854" s="1131"/>
      <c r="G8854" s="1139" t="s">
        <v>3179</v>
      </c>
      <c r="H8854" s="1140">
        <v>0.5</v>
      </c>
      <c r="M8854" s="1357"/>
      <c r="Q8854" s="1357"/>
      <c r="S8854" s="1420"/>
      <c r="T8854" s="1420"/>
      <c r="V8854" s="1357">
        <v>51</v>
      </c>
    </row>
    <row r="8855" spans="1:22" s="841" customFormat="1" ht="23.25" x14ac:dyDescent="0.25">
      <c r="A8855" s="841" t="s">
        <v>4874</v>
      </c>
      <c r="B8855" s="841" t="s">
        <v>5677</v>
      </c>
      <c r="E8855" s="1131" t="s">
        <v>3180</v>
      </c>
      <c r="F8855" s="1131"/>
      <c r="G8855" s="1139" t="s">
        <v>3179</v>
      </c>
      <c r="H8855" s="1140">
        <v>0.3</v>
      </c>
      <c r="M8855" s="1357"/>
      <c r="Q8855" s="1357"/>
      <c r="S8855" s="1420"/>
      <c r="T8855" s="1420"/>
      <c r="V8855" s="1357">
        <v>75</v>
      </c>
    </row>
    <row r="8856" spans="1:22" s="841" customFormat="1" ht="23.25" x14ac:dyDescent="0.25">
      <c r="A8856" s="841" t="s">
        <v>4874</v>
      </c>
      <c r="B8856" s="841" t="s">
        <v>5677</v>
      </c>
      <c r="E8856" s="1131" t="s">
        <v>3181</v>
      </c>
      <c r="F8856" s="1131"/>
      <c r="G8856" s="1139" t="s">
        <v>3179</v>
      </c>
      <c r="H8856" s="1149">
        <v>-0.3</v>
      </c>
      <c r="M8856" s="1357"/>
      <c r="Q8856" s="1357"/>
      <c r="S8856" s="1420"/>
      <c r="T8856" s="1420"/>
      <c r="V8856" s="1357">
        <v>72</v>
      </c>
    </row>
    <row r="8857" spans="1:22" s="841" customFormat="1" ht="15" x14ac:dyDescent="0.25">
      <c r="A8857" s="841" t="s">
        <v>4874</v>
      </c>
      <c r="B8857" s="841" t="s">
        <v>5677</v>
      </c>
      <c r="E8857" s="1131" t="s">
        <v>3292</v>
      </c>
      <c r="F8857" s="1131"/>
      <c r="G8857" s="1150"/>
      <c r="H8857" s="1151"/>
      <c r="M8857" s="1357"/>
      <c r="Q8857" s="1357"/>
      <c r="S8857" s="1420"/>
      <c r="T8857" s="1420"/>
      <c r="V8857" s="1357">
        <v>34</v>
      </c>
    </row>
    <row r="8858" spans="1:22" s="841" customFormat="1" ht="23.25" x14ac:dyDescent="0.25">
      <c r="A8858" s="841" t="s">
        <v>4874</v>
      </c>
      <c r="B8858" s="841" t="s">
        <v>5677</v>
      </c>
      <c r="E8858" s="1152" t="s">
        <v>3183</v>
      </c>
      <c r="F8858" s="1152"/>
      <c r="G8858" s="1139" t="s">
        <v>23</v>
      </c>
      <c r="H8858" s="1140">
        <v>0.25</v>
      </c>
      <c r="M8858" s="1357"/>
      <c r="Q8858" s="1357"/>
      <c r="S8858" s="1420"/>
      <c r="T8858" s="1420"/>
      <c r="V8858" s="1357">
        <v>57</v>
      </c>
    </row>
    <row r="8859" spans="1:22" s="841" customFormat="1" ht="23.25" x14ac:dyDescent="0.25">
      <c r="A8859" s="841" t="s">
        <v>4874</v>
      </c>
      <c r="B8859" s="841" t="s">
        <v>5677</v>
      </c>
      <c r="E8859" s="1152" t="s">
        <v>3184</v>
      </c>
      <c r="F8859" s="1152"/>
      <c r="G8859" s="1139" t="s">
        <v>23</v>
      </c>
      <c r="H8859" s="1140">
        <v>0.5</v>
      </c>
      <c r="M8859" s="1357"/>
      <c r="Q8859" s="1357"/>
      <c r="S8859" s="1420"/>
      <c r="T8859" s="1420"/>
      <c r="V8859" s="1357">
        <v>60</v>
      </c>
    </row>
    <row r="8860" spans="1:22" s="841" customFormat="1" ht="23.25" x14ac:dyDescent="0.25">
      <c r="A8860" s="841" t="s">
        <v>4874</v>
      </c>
      <c r="B8860" s="841" t="s">
        <v>5677</v>
      </c>
      <c r="E8860" s="1131" t="s">
        <v>3185</v>
      </c>
      <c r="F8860" s="1131"/>
      <c r="G8860" s="1150"/>
      <c r="H8860" s="1151"/>
      <c r="M8860" s="1357"/>
      <c r="Q8860" s="1357"/>
      <c r="S8860" s="1420"/>
      <c r="T8860" s="1420"/>
      <c r="V8860" s="1357">
        <v>91</v>
      </c>
    </row>
    <row r="8861" spans="1:22" s="841" customFormat="1" ht="23.25" x14ac:dyDescent="0.25">
      <c r="A8861" s="841" t="s">
        <v>4874</v>
      </c>
      <c r="B8861" s="841" t="s">
        <v>5677</v>
      </c>
      <c r="E8861" s="1131" t="s">
        <v>3186</v>
      </c>
      <c r="F8861" s="1131"/>
      <c r="G8861" s="1150"/>
      <c r="H8861" s="1151"/>
      <c r="M8861" s="1357"/>
      <c r="Q8861" s="1357"/>
      <c r="S8861" s="1420"/>
      <c r="T8861" s="1420"/>
      <c r="V8861" s="1357">
        <v>96</v>
      </c>
    </row>
    <row r="8862" spans="1:22" s="841" customFormat="1" ht="23.25" x14ac:dyDescent="0.25">
      <c r="A8862" s="841" t="s">
        <v>4874</v>
      </c>
      <c r="B8862" s="841" t="s">
        <v>5677</v>
      </c>
      <c r="E8862" s="1131" t="s">
        <v>3293</v>
      </c>
      <c r="F8862" s="1131"/>
      <c r="G8862" s="1150"/>
      <c r="H8862" s="1151"/>
      <c r="M8862" s="1357"/>
      <c r="Q8862" s="1357"/>
      <c r="S8862" s="1420"/>
      <c r="T8862" s="1420"/>
      <c r="V8862" s="1357">
        <v>77</v>
      </c>
    </row>
    <row r="8863" spans="1:22" s="841" customFormat="1" ht="15" x14ac:dyDescent="0.25">
      <c r="A8863" s="841" t="s">
        <v>4874</v>
      </c>
      <c r="B8863" s="841" t="s">
        <v>5677</v>
      </c>
      <c r="E8863" s="1152" t="s">
        <v>3188</v>
      </c>
      <c r="F8863" s="1152"/>
      <c r="G8863" s="1139" t="s">
        <v>23</v>
      </c>
      <c r="H8863" s="1153" t="s">
        <v>3189</v>
      </c>
      <c r="M8863" s="1357"/>
      <c r="Q8863" s="1357"/>
      <c r="S8863" s="1420"/>
      <c r="T8863" s="1420"/>
      <c r="V8863" s="1357">
        <v>18</v>
      </c>
    </row>
    <row r="8864" spans="1:22" s="841" customFormat="1" ht="23.25" x14ac:dyDescent="0.25">
      <c r="A8864" s="841" t="s">
        <v>4874</v>
      </c>
      <c r="B8864" s="841" t="s">
        <v>5677</v>
      </c>
      <c r="E8864" s="1152" t="s">
        <v>3190</v>
      </c>
      <c r="F8864" s="1152"/>
      <c r="G8864" s="1139" t="s">
        <v>23</v>
      </c>
      <c r="H8864" s="1140">
        <v>2</v>
      </c>
      <c r="M8864" s="1357"/>
      <c r="Q8864" s="1357"/>
      <c r="S8864" s="1420"/>
      <c r="T8864" s="1420"/>
      <c r="V8864" s="1357">
        <v>69</v>
      </c>
    </row>
    <row r="8865" spans="1:22" s="841" customFormat="1" ht="18.75" x14ac:dyDescent="0.3">
      <c r="A8865" s="841" t="s">
        <v>4874</v>
      </c>
      <c r="B8865" s="841" t="s">
        <v>5677</v>
      </c>
      <c r="E8865" s="1296" t="s">
        <v>147</v>
      </c>
      <c r="F8865" s="1296"/>
      <c r="G8865" s="1297"/>
      <c r="H8865" s="1298"/>
      <c r="K8865" s="841" t="s">
        <v>5281</v>
      </c>
      <c r="M8865" s="1357"/>
      <c r="Q8865" s="1357"/>
      <c r="S8865" s="1420"/>
      <c r="T8865" s="1420"/>
      <c r="V8865" s="1357">
        <v>12</v>
      </c>
    </row>
    <row r="8866" spans="1:22" s="841" customFormat="1" ht="15" x14ac:dyDescent="0.25">
      <c r="A8866" s="841" t="s">
        <v>4874</v>
      </c>
      <c r="B8866" s="841" t="s">
        <v>5677</v>
      </c>
      <c r="E8866" s="2000" t="s">
        <v>3192</v>
      </c>
      <c r="F8866" s="2000"/>
      <c r="G8866" s="2000"/>
      <c r="H8866" s="2000"/>
      <c r="M8866" s="1357"/>
      <c r="Q8866" s="1357"/>
      <c r="S8866" s="1420"/>
      <c r="T8866" s="1420"/>
      <c r="V8866" s="1357">
        <v>203</v>
      </c>
    </row>
    <row r="8867" spans="1:22" s="841" customFormat="1" ht="15" x14ac:dyDescent="0.25">
      <c r="A8867" s="841" t="s">
        <v>4874</v>
      </c>
      <c r="B8867" s="841" t="s">
        <v>5677</v>
      </c>
      <c r="E8867" s="2084" t="s">
        <v>3295</v>
      </c>
      <c r="F8867" s="2084"/>
      <c r="G8867" s="2084"/>
      <c r="H8867" s="1417">
        <v>1.0368999999999999</v>
      </c>
      <c r="M8867" s="1357"/>
      <c r="Q8867" s="1357"/>
      <c r="S8867" s="1420"/>
      <c r="T8867" s="1420"/>
      <c r="V8867" s="1357">
        <v>57</v>
      </c>
    </row>
    <row r="8868" spans="1:22" s="841" customFormat="1" ht="15" x14ac:dyDescent="0.25">
      <c r="A8868" s="841" t="s">
        <v>4874</v>
      </c>
      <c r="B8868" s="841" t="s">
        <v>5677</v>
      </c>
      <c r="E8868" s="2084" t="s">
        <v>3296</v>
      </c>
      <c r="F8868" s="2084"/>
      <c r="G8868" s="2084"/>
      <c r="H8868" s="1417">
        <v>1.0145</v>
      </c>
      <c r="M8868" s="1357"/>
      <c r="Q8868" s="1357"/>
      <c r="S8868" s="1420"/>
      <c r="T8868" s="1420"/>
      <c r="V8868" s="1357">
        <v>57</v>
      </c>
    </row>
    <row r="8869" spans="1:22" s="841" customFormat="1" ht="15" x14ac:dyDescent="0.25">
      <c r="A8869" s="841" t="s">
        <v>4874</v>
      </c>
      <c r="B8869" s="841" t="s">
        <v>5677</v>
      </c>
      <c r="E8869" s="2084" t="s">
        <v>3297</v>
      </c>
      <c r="F8869" s="2084"/>
      <c r="G8869" s="2084"/>
      <c r="H8869" s="1417">
        <v>1.0266</v>
      </c>
      <c r="M8869" s="1357"/>
      <c r="Q8869" s="1357"/>
      <c r="S8869" s="1420"/>
      <c r="T8869" s="1420"/>
      <c r="V8869" s="1357">
        <v>55</v>
      </c>
    </row>
    <row r="8870" spans="1:22" s="841" customFormat="1" ht="15" x14ac:dyDescent="0.25">
      <c r="A8870" s="841" t="s">
        <v>4874</v>
      </c>
      <c r="B8870" s="841" t="s">
        <v>5677</v>
      </c>
      <c r="E8870" s="2084" t="s">
        <v>3298</v>
      </c>
      <c r="F8870" s="2084"/>
      <c r="G8870" s="2084"/>
      <c r="H8870" s="1417">
        <v>1.0044999999999999</v>
      </c>
      <c r="J8870" s="841" t="s">
        <v>5710</v>
      </c>
      <c r="M8870" s="1357"/>
      <c r="Q8870" s="1357"/>
      <c r="S8870" s="1420"/>
      <c r="T8870" s="1420"/>
      <c r="V8870" s="1357">
        <v>55</v>
      </c>
    </row>
    <row r="8871" spans="1:22" s="841" customFormat="1" ht="23.25" x14ac:dyDescent="0.25">
      <c r="A8871" s="841" t="s">
        <v>173</v>
      </c>
      <c r="C8871" s="841" t="s">
        <v>3050</v>
      </c>
      <c r="E8871" s="2086" t="s">
        <v>173</v>
      </c>
      <c r="F8871" s="2086"/>
      <c r="G8871" s="2086"/>
      <c r="H8871" s="2086"/>
      <c r="I8871" s="841" t="s">
        <v>628</v>
      </c>
      <c r="J8871" s="841" t="s">
        <v>3362</v>
      </c>
      <c r="K8871" s="841" t="s">
        <v>173</v>
      </c>
      <c r="M8871" s="1357">
        <v>9</v>
      </c>
      <c r="Q8871" s="1357"/>
      <c r="S8871" s="1420"/>
      <c r="T8871" s="1420"/>
      <c r="V8871" s="1357">
        <v>20</v>
      </c>
    </row>
    <row r="8872" spans="1:22" s="841" customFormat="1" x14ac:dyDescent="0.25">
      <c r="A8872" s="841" t="s">
        <v>173</v>
      </c>
      <c r="C8872" s="841" t="s">
        <v>3052</v>
      </c>
      <c r="E8872" s="2001" t="s">
        <v>3053</v>
      </c>
      <c r="F8872" s="2001"/>
      <c r="G8872" s="2001"/>
      <c r="H8872" s="2001"/>
      <c r="M8872" s="1357"/>
      <c r="Q8872" s="1357"/>
      <c r="S8872" s="1420"/>
      <c r="T8872" s="1420"/>
      <c r="V8872" s="1357">
        <v>27</v>
      </c>
    </row>
    <row r="8873" spans="1:22" s="841" customFormat="1" ht="15.75" x14ac:dyDescent="0.25">
      <c r="A8873" s="841" t="s">
        <v>173</v>
      </c>
      <c r="C8873" s="841" t="s">
        <v>3054</v>
      </c>
      <c r="E8873" s="2087" t="s">
        <v>5101</v>
      </c>
      <c r="F8873" s="2087"/>
      <c r="G8873" s="2087"/>
      <c r="H8873" s="2087"/>
      <c r="M8873" s="1357"/>
      <c r="Q8873" s="1357"/>
      <c r="S8873" s="1420">
        <v>43101</v>
      </c>
      <c r="T8873" s="1420"/>
      <c r="V8873" s="1357">
        <v>49</v>
      </c>
    </row>
    <row r="8874" spans="1:22" s="841" customFormat="1" ht="15" x14ac:dyDescent="0.25">
      <c r="A8874" s="841" t="s">
        <v>173</v>
      </c>
      <c r="C8874" s="841" t="s">
        <v>3055</v>
      </c>
      <c r="E8874" s="2088" t="s">
        <v>3056</v>
      </c>
      <c r="F8874" s="2088"/>
      <c r="G8874" s="2088"/>
      <c r="H8874" s="2088"/>
      <c r="M8874" s="1357"/>
      <c r="Q8874" s="1357"/>
      <c r="S8874" s="1420"/>
      <c r="T8874" s="1420"/>
      <c r="V8874" s="1357">
        <v>52</v>
      </c>
    </row>
    <row r="8875" spans="1:22" s="841" customFormat="1" ht="15" x14ac:dyDescent="0.25">
      <c r="A8875" s="841" t="s">
        <v>173</v>
      </c>
      <c r="E8875" s="2088" t="s">
        <v>3057</v>
      </c>
      <c r="F8875" s="2088"/>
      <c r="G8875" s="2088"/>
      <c r="H8875" s="2088"/>
      <c r="M8875" s="1357"/>
      <c r="Q8875" s="1357"/>
      <c r="S8875" s="1420"/>
      <c r="T8875" s="1420"/>
      <c r="V8875" s="1357">
        <v>53</v>
      </c>
    </row>
    <row r="8876" spans="1:22" s="841" customFormat="1" ht="15" x14ac:dyDescent="0.25">
      <c r="A8876" s="841" t="s">
        <v>173</v>
      </c>
      <c r="E8876" s="2089" t="s">
        <v>5711</v>
      </c>
      <c r="F8876" s="2089"/>
      <c r="G8876" s="2089"/>
      <c r="H8876" s="2089"/>
      <c r="K8876" s="841" t="s">
        <v>5711</v>
      </c>
      <c r="M8876" s="1357"/>
      <c r="Q8876" s="1357"/>
      <c r="S8876" s="1420"/>
      <c r="T8876" s="1420"/>
      <c r="V8876" s="1357">
        <v>12</v>
      </c>
    </row>
    <row r="8877" spans="1:22" s="841" customFormat="1" ht="15" x14ac:dyDescent="0.25">
      <c r="A8877" s="841" t="s">
        <v>173</v>
      </c>
      <c r="E8877" s="1967" t="s">
        <v>438</v>
      </c>
      <c r="F8877" s="1977"/>
      <c r="G8877" s="1977"/>
      <c r="H8877" s="1977"/>
      <c r="K8877" s="841" t="s">
        <v>3197</v>
      </c>
      <c r="M8877" s="1357"/>
      <c r="Q8877" s="1357"/>
      <c r="S8877" s="1420"/>
      <c r="T8877" s="1420"/>
      <c r="V8877" s="1357">
        <v>34</v>
      </c>
    </row>
    <row r="8878" spans="1:22" s="841" customFormat="1" ht="15" x14ac:dyDescent="0.25">
      <c r="A8878" s="841" t="s">
        <v>173</v>
      </c>
      <c r="E8878" s="1939" t="s">
        <v>3363</v>
      </c>
      <c r="F8878" s="1939"/>
      <c r="G8878" s="1939"/>
      <c r="H8878" s="1939"/>
      <c r="K8878" s="841" t="s">
        <v>3197</v>
      </c>
      <c r="M8878" s="1357"/>
      <c r="Q8878" s="1357"/>
      <c r="S8878" s="1420"/>
      <c r="T8878" s="1420"/>
      <c r="V8878" s="1357">
        <v>552</v>
      </c>
    </row>
    <row r="8879" spans="1:22" s="841" customFormat="1" ht="15" x14ac:dyDescent="0.25">
      <c r="A8879" s="841" t="s">
        <v>173</v>
      </c>
      <c r="E8879" s="1944" t="s">
        <v>3061</v>
      </c>
      <c r="F8879" s="1697"/>
      <c r="G8879" s="1697"/>
      <c r="H8879" s="1697"/>
      <c r="K8879" s="841" t="s">
        <v>3062</v>
      </c>
      <c r="M8879" s="1357"/>
      <c r="Q8879" s="1357"/>
      <c r="S8879" s="1420"/>
      <c r="T8879" s="1420"/>
      <c r="V8879" s="1357">
        <v>11</v>
      </c>
    </row>
    <row r="8880" spans="1:22" s="841" customFormat="1" ht="15" x14ac:dyDescent="0.25">
      <c r="A8880" s="841" t="s">
        <v>173</v>
      </c>
      <c r="E8880" s="2004" t="s">
        <v>3063</v>
      </c>
      <c r="F8880" s="2004"/>
      <c r="G8880" s="2004"/>
      <c r="H8880" s="2004"/>
      <c r="K8880" s="841" t="s">
        <v>3197</v>
      </c>
      <c r="M8880" s="1357"/>
      <c r="Q8880" s="1357"/>
      <c r="S8880" s="1420"/>
      <c r="T8880" s="1420"/>
      <c r="V8880" s="1357">
        <v>280</v>
      </c>
    </row>
    <row r="8881" spans="1:22" s="841" customFormat="1" ht="15" x14ac:dyDescent="0.25">
      <c r="A8881" s="841" t="s">
        <v>173</v>
      </c>
      <c r="E8881" s="2004" t="s">
        <v>3064</v>
      </c>
      <c r="F8881" s="2004"/>
      <c r="G8881" s="2004"/>
      <c r="H8881" s="2004"/>
      <c r="K8881" s="841" t="s">
        <v>3197</v>
      </c>
      <c r="M8881" s="1357"/>
      <c r="Q8881" s="1357"/>
      <c r="S8881" s="1420"/>
      <c r="T8881" s="1420"/>
      <c r="V8881" s="1357">
        <v>411</v>
      </c>
    </row>
    <row r="8882" spans="1:22" s="841" customFormat="1" ht="15" x14ac:dyDescent="0.25">
      <c r="A8882" s="841" t="s">
        <v>173</v>
      </c>
      <c r="E8882" s="2004" t="s">
        <v>3199</v>
      </c>
      <c r="F8882" s="2004"/>
      <c r="G8882" s="2004"/>
      <c r="H8882" s="2004"/>
      <c r="K8882" s="841" t="s">
        <v>3197</v>
      </c>
      <c r="M8882" s="1357"/>
      <c r="Q8882" s="1357"/>
      <c r="S8882" s="1420"/>
      <c r="T8882" s="1420"/>
      <c r="V8882" s="1357">
        <v>386</v>
      </c>
    </row>
    <row r="8883" spans="1:22" s="841" customFormat="1" ht="15" x14ac:dyDescent="0.25">
      <c r="A8883" s="841" t="s">
        <v>173</v>
      </c>
      <c r="E8883" s="2004" t="s">
        <v>3200</v>
      </c>
      <c r="F8883" s="2004"/>
      <c r="G8883" s="2004"/>
      <c r="H8883" s="2004"/>
      <c r="K8883" s="841" t="s">
        <v>3197</v>
      </c>
      <c r="M8883" s="1357"/>
      <c r="Q8883" s="1357"/>
      <c r="S8883" s="1420"/>
      <c r="T8883" s="1420"/>
      <c r="V8883" s="1357">
        <v>275</v>
      </c>
    </row>
    <row r="8884" spans="1:22" s="841" customFormat="1" ht="15" x14ac:dyDescent="0.25">
      <c r="A8884" s="841" t="s">
        <v>173</v>
      </c>
      <c r="E8884" s="1919" t="s">
        <v>3067</v>
      </c>
      <c r="F8884" s="1907"/>
      <c r="G8884" s="1907"/>
      <c r="H8884" s="1907"/>
      <c r="K8884" s="841" t="s">
        <v>3068</v>
      </c>
      <c r="M8884" s="1357"/>
      <c r="Q8884" s="1357"/>
      <c r="S8884" s="1420"/>
      <c r="T8884" s="1420"/>
      <c r="V8884" s="1357">
        <v>46</v>
      </c>
    </row>
    <row r="8885" spans="1:22" s="841" customFormat="1" ht="15" x14ac:dyDescent="0.25">
      <c r="A8885" s="841" t="s">
        <v>173</v>
      </c>
      <c r="E8885" s="1918" t="s">
        <v>11</v>
      </c>
      <c r="F8885" s="1918"/>
      <c r="G8885" s="664" t="s">
        <v>23</v>
      </c>
      <c r="H8885" s="391">
        <v>20.6</v>
      </c>
      <c r="K8885" s="841" t="s">
        <v>3197</v>
      </c>
      <c r="L8885" s="841" t="s">
        <v>442</v>
      </c>
      <c r="M8885" s="1357"/>
      <c r="P8885" s="841" t="s">
        <v>3201</v>
      </c>
      <c r="Q8885" s="1357"/>
      <c r="S8885" s="1420"/>
      <c r="T8885" s="1420"/>
      <c r="V8885" s="1357">
        <v>14</v>
      </c>
    </row>
    <row r="8886" spans="1:22" s="841" customFormat="1" ht="15" x14ac:dyDescent="0.25">
      <c r="A8886" s="841" t="s">
        <v>173</v>
      </c>
      <c r="E8886" s="1918" t="s">
        <v>423</v>
      </c>
      <c r="F8886" s="1918"/>
      <c r="G8886" s="664" t="s">
        <v>23</v>
      </c>
      <c r="H8886" s="699">
        <v>0.79</v>
      </c>
      <c r="K8886" s="841" t="s">
        <v>3197</v>
      </c>
      <c r="L8886" s="841" t="s">
        <v>443</v>
      </c>
      <c r="M8886" s="1357"/>
      <c r="P8886" s="841" t="s">
        <v>3202</v>
      </c>
      <c r="Q8886" s="1357"/>
      <c r="S8886" s="1420"/>
      <c r="T8886" s="1420">
        <v>43404</v>
      </c>
      <c r="V8886" s="1357">
        <v>78</v>
      </c>
    </row>
    <row r="8887" spans="1:22" s="841" customFormat="1" ht="15" x14ac:dyDescent="0.25">
      <c r="A8887" s="841" t="s">
        <v>173</v>
      </c>
      <c r="E8887" s="1918" t="s">
        <v>84</v>
      </c>
      <c r="F8887" s="1918"/>
      <c r="G8887" s="664" t="s">
        <v>24</v>
      </c>
      <c r="H8887" s="393">
        <v>3.8E-3</v>
      </c>
      <c r="K8887" s="841" t="s">
        <v>3197</v>
      </c>
      <c r="L8887" s="841" t="s">
        <v>442</v>
      </c>
      <c r="M8887" s="1357"/>
      <c r="P8887" s="841" t="s">
        <v>3203</v>
      </c>
      <c r="Q8887" s="1357"/>
      <c r="S8887" s="1420"/>
      <c r="T8887" s="1420"/>
      <c r="V8887" s="1357">
        <v>28</v>
      </c>
    </row>
    <row r="8888" spans="1:22" s="841" customFormat="1" ht="15" x14ac:dyDescent="0.25">
      <c r="A8888" s="841" t="s">
        <v>173</v>
      </c>
      <c r="E8888" s="1918" t="s">
        <v>5460</v>
      </c>
      <c r="F8888" s="1908"/>
      <c r="G8888" s="664" t="s">
        <v>24</v>
      </c>
      <c r="H8888" s="393">
        <v>1E-4</v>
      </c>
      <c r="K8888" s="841" t="s">
        <v>3197</v>
      </c>
      <c r="L8888" s="841" t="s">
        <v>442</v>
      </c>
      <c r="M8888" s="1357"/>
      <c r="P8888" s="841" t="s">
        <v>3206</v>
      </c>
      <c r="Q8888" s="1357"/>
      <c r="S8888" s="1420"/>
      <c r="T8888" s="1420">
        <v>43465</v>
      </c>
      <c r="V8888" s="1357">
        <v>132</v>
      </c>
    </row>
    <row r="8889" spans="1:22" s="841" customFormat="1" ht="15" x14ac:dyDescent="0.25">
      <c r="A8889" s="841" t="s">
        <v>173</v>
      </c>
      <c r="E8889" s="1918" t="s">
        <v>221</v>
      </c>
      <c r="F8889" s="1918"/>
      <c r="G8889" s="664" t="s">
        <v>24</v>
      </c>
      <c r="H8889" s="393">
        <v>8.0000000000000002E-3</v>
      </c>
      <c r="K8889" s="841" t="s">
        <v>3197</v>
      </c>
      <c r="L8889" s="841" t="s">
        <v>444</v>
      </c>
      <c r="M8889" s="1357"/>
      <c r="P8889" s="841" t="s">
        <v>3208</v>
      </c>
      <c r="Q8889" s="1357"/>
      <c r="S8889" s="1420"/>
      <c r="T8889" s="1420"/>
      <c r="V8889" s="1357">
        <v>47</v>
      </c>
    </row>
    <row r="8890" spans="1:22" s="841" customFormat="1" ht="15" x14ac:dyDescent="0.25">
      <c r="A8890" s="841" t="s">
        <v>173</v>
      </c>
      <c r="E8890" s="1918" t="s">
        <v>217</v>
      </c>
      <c r="F8890" s="1918"/>
      <c r="G8890" s="664" t="s">
        <v>24</v>
      </c>
      <c r="H8890" s="393">
        <v>6.0000000000000001E-3</v>
      </c>
      <c r="K8890" s="841" t="s">
        <v>3197</v>
      </c>
      <c r="L8890" s="841" t="s">
        <v>444</v>
      </c>
      <c r="M8890" s="1357"/>
      <c r="P8890" s="841" t="s">
        <v>3209</v>
      </c>
      <c r="Q8890" s="1357"/>
      <c r="S8890" s="1420"/>
      <c r="T8890" s="1420"/>
      <c r="V8890" s="1357">
        <v>74</v>
      </c>
    </row>
    <row r="8891" spans="1:22" s="841" customFormat="1" ht="15" x14ac:dyDescent="0.25">
      <c r="A8891" s="841" t="s">
        <v>173</v>
      </c>
      <c r="E8891" s="1919" t="s">
        <v>3079</v>
      </c>
      <c r="F8891" s="1690"/>
      <c r="G8891" s="679"/>
      <c r="H8891" s="1093"/>
      <c r="K8891" s="841" t="s">
        <v>3080</v>
      </c>
      <c r="M8891" s="1357"/>
      <c r="Q8891" s="1357"/>
      <c r="S8891" s="1420"/>
      <c r="T8891" s="1420"/>
      <c r="V8891" s="1357">
        <v>48</v>
      </c>
    </row>
    <row r="8892" spans="1:22" s="841" customFormat="1" ht="15" x14ac:dyDescent="0.25">
      <c r="A8892" s="841" t="s">
        <v>173</v>
      </c>
      <c r="E8892" s="1920" t="s">
        <v>2449</v>
      </c>
      <c r="F8892" s="1690"/>
      <c r="G8892" s="664" t="s">
        <v>24</v>
      </c>
      <c r="H8892" s="739">
        <v>3.2000000000000002E-3</v>
      </c>
      <c r="K8892" s="841" t="s">
        <v>3197</v>
      </c>
      <c r="L8892" s="841" t="s">
        <v>3046</v>
      </c>
      <c r="M8892" s="1357"/>
      <c r="P8892" s="841" t="s">
        <v>3210</v>
      </c>
      <c r="Q8892" s="1357"/>
      <c r="S8892" s="1420"/>
      <c r="T8892" s="1420"/>
      <c r="V8892" s="1357">
        <v>55</v>
      </c>
    </row>
    <row r="8893" spans="1:22" s="841" customFormat="1" ht="15" x14ac:dyDescent="0.25">
      <c r="A8893" s="841" t="s">
        <v>173</v>
      </c>
      <c r="E8893" s="1920" t="s">
        <v>2450</v>
      </c>
      <c r="F8893" s="1690"/>
      <c r="G8893" s="664" t="s">
        <v>24</v>
      </c>
      <c r="H8893" s="739">
        <v>4.0000000000000002E-4</v>
      </c>
      <c r="K8893" s="841" t="s">
        <v>3197</v>
      </c>
      <c r="L8893" s="841" t="s">
        <v>3046</v>
      </c>
      <c r="M8893" s="1357"/>
      <c r="P8893" s="841" t="s">
        <v>3210</v>
      </c>
      <c r="Q8893" s="1357"/>
      <c r="S8893" s="1420"/>
      <c r="T8893" s="1420"/>
      <c r="V8893" s="1357">
        <v>65</v>
      </c>
    </row>
    <row r="8894" spans="1:22" s="841" customFormat="1" ht="15" x14ac:dyDescent="0.25">
      <c r="A8894" s="841" t="s">
        <v>173</v>
      </c>
      <c r="E8894" s="1920" t="s">
        <v>439</v>
      </c>
      <c r="F8894" s="1690"/>
      <c r="G8894" s="664" t="s">
        <v>24</v>
      </c>
      <c r="H8894" s="739">
        <v>2.9999999999999997E-4</v>
      </c>
      <c r="K8894" s="841" t="s">
        <v>3197</v>
      </c>
      <c r="L8894" s="841" t="s">
        <v>3046</v>
      </c>
      <c r="M8894" s="1357"/>
      <c r="P8894" s="841" t="s">
        <v>3212</v>
      </c>
      <c r="Q8894" s="1357"/>
      <c r="S8894" s="1420"/>
      <c r="T8894" s="1420"/>
      <c r="V8894" s="1357">
        <v>57</v>
      </c>
    </row>
    <row r="8895" spans="1:22" s="841" customFormat="1" ht="15" x14ac:dyDescent="0.25">
      <c r="A8895" s="841" t="s">
        <v>173</v>
      </c>
      <c r="E8895" s="1920" t="s">
        <v>32</v>
      </c>
      <c r="F8895" s="1690"/>
      <c r="G8895" s="664" t="s">
        <v>23</v>
      </c>
      <c r="H8895" s="738">
        <v>0.25</v>
      </c>
      <c r="K8895" s="841" t="s">
        <v>3197</v>
      </c>
      <c r="L8895" s="841" t="s">
        <v>3046</v>
      </c>
      <c r="M8895" s="1357"/>
      <c r="P8895" s="841" t="s">
        <v>3213</v>
      </c>
      <c r="Q8895" s="1357"/>
      <c r="S8895" s="1420"/>
      <c r="T8895" s="1420"/>
      <c r="V8895" s="1357">
        <v>63</v>
      </c>
    </row>
    <row r="8896" spans="1:22" s="841" customFormat="1" x14ac:dyDescent="0.25">
      <c r="A8896" s="841" t="s">
        <v>173</v>
      </c>
      <c r="E8896" s="1967" t="s">
        <v>3214</v>
      </c>
      <c r="F8896" s="1967"/>
      <c r="G8896" s="1967"/>
      <c r="H8896" s="1967"/>
      <c r="K8896" s="841" t="s">
        <v>5110</v>
      </c>
      <c r="M8896" s="1357"/>
      <c r="Q8896" s="1357"/>
      <c r="S8896" s="1420"/>
      <c r="T8896" s="1420"/>
      <c r="V8896" s="1357">
        <v>54</v>
      </c>
    </row>
    <row r="8897" spans="1:22" s="841" customFormat="1" ht="15" x14ac:dyDescent="0.25">
      <c r="A8897" s="841" t="s">
        <v>173</v>
      </c>
      <c r="E8897" s="1939" t="s">
        <v>3366</v>
      </c>
      <c r="F8897" s="1939"/>
      <c r="G8897" s="1939"/>
      <c r="H8897" s="1940"/>
      <c r="K8897" s="841" t="s">
        <v>5110</v>
      </c>
      <c r="M8897" s="1357"/>
      <c r="Q8897" s="1357"/>
      <c r="S8897" s="1420"/>
      <c r="T8897" s="1420"/>
      <c r="V8897" s="1357">
        <v>266</v>
      </c>
    </row>
    <row r="8898" spans="1:22" s="841" customFormat="1" ht="15" x14ac:dyDescent="0.25">
      <c r="A8898" s="841" t="s">
        <v>173</v>
      </c>
      <c r="E8898" s="1944" t="s">
        <v>3061</v>
      </c>
      <c r="F8898" s="1697"/>
      <c r="G8898" s="1697"/>
      <c r="H8898" s="1697"/>
      <c r="K8898" s="841" t="s">
        <v>3086</v>
      </c>
      <c r="M8898" s="1357"/>
      <c r="Q8898" s="1357"/>
      <c r="S8898" s="1420"/>
      <c r="T8898" s="1420"/>
      <c r="V8898" s="1357">
        <v>11</v>
      </c>
    </row>
    <row r="8899" spans="1:22" s="841" customFormat="1" ht="15" x14ac:dyDescent="0.25">
      <c r="A8899" s="841" t="s">
        <v>173</v>
      </c>
      <c r="E8899" s="1939" t="s">
        <v>3063</v>
      </c>
      <c r="F8899" s="1939"/>
      <c r="G8899" s="1939"/>
      <c r="H8899" s="1940"/>
      <c r="K8899" s="841" t="s">
        <v>5110</v>
      </c>
      <c r="M8899" s="1357"/>
      <c r="Q8899" s="1357"/>
      <c r="S8899" s="1420"/>
      <c r="T8899" s="1420"/>
      <c r="V8899" s="1357">
        <v>280</v>
      </c>
    </row>
    <row r="8900" spans="1:22" s="841" customFormat="1" ht="15" x14ac:dyDescent="0.25">
      <c r="A8900" s="841" t="s">
        <v>173</v>
      </c>
      <c r="E8900" s="1939" t="s">
        <v>3064</v>
      </c>
      <c r="F8900" s="1939"/>
      <c r="G8900" s="1939"/>
      <c r="H8900" s="1940"/>
      <c r="K8900" s="841" t="s">
        <v>5110</v>
      </c>
      <c r="M8900" s="1357"/>
      <c r="Q8900" s="1357"/>
      <c r="S8900" s="1420"/>
      <c r="T8900" s="1420"/>
      <c r="V8900" s="1357">
        <v>411</v>
      </c>
    </row>
    <row r="8901" spans="1:22" s="841" customFormat="1" ht="15" x14ac:dyDescent="0.25">
      <c r="A8901" s="841" t="s">
        <v>173</v>
      </c>
      <c r="E8901" s="1939" t="s">
        <v>3199</v>
      </c>
      <c r="F8901" s="1939"/>
      <c r="G8901" s="1939"/>
      <c r="H8901" s="1940"/>
      <c r="K8901" s="841" t="s">
        <v>5110</v>
      </c>
      <c r="M8901" s="1357"/>
      <c r="Q8901" s="1357"/>
      <c r="S8901" s="1420"/>
      <c r="T8901" s="1420"/>
      <c r="V8901" s="1357">
        <v>386</v>
      </c>
    </row>
    <row r="8902" spans="1:22" s="841" customFormat="1" ht="15" x14ac:dyDescent="0.25">
      <c r="A8902" s="841" t="s">
        <v>173</v>
      </c>
      <c r="E8902" s="1939" t="s">
        <v>3367</v>
      </c>
      <c r="F8902" s="1939"/>
      <c r="G8902" s="1939"/>
      <c r="H8902" s="1940"/>
      <c r="K8902" s="841" t="s">
        <v>5110</v>
      </c>
      <c r="M8902" s="1357"/>
      <c r="Q8902" s="1357"/>
      <c r="S8902" s="1420"/>
      <c r="T8902" s="1420"/>
      <c r="V8902" s="1357">
        <v>274</v>
      </c>
    </row>
    <row r="8903" spans="1:22" s="841" customFormat="1" ht="15" x14ac:dyDescent="0.25">
      <c r="A8903" s="841" t="s">
        <v>173</v>
      </c>
      <c r="E8903" s="1919" t="s">
        <v>3067</v>
      </c>
      <c r="F8903" s="1907"/>
      <c r="G8903" s="1907"/>
      <c r="H8903" s="1907"/>
      <c r="K8903" s="841" t="s">
        <v>3087</v>
      </c>
      <c r="M8903" s="1357"/>
      <c r="Q8903" s="1357"/>
      <c r="S8903" s="1420"/>
      <c r="T8903" s="1420"/>
      <c r="V8903" s="1357">
        <v>46</v>
      </c>
    </row>
    <row r="8904" spans="1:22" s="841" customFormat="1" ht="15" x14ac:dyDescent="0.25">
      <c r="A8904" s="841" t="s">
        <v>173</v>
      </c>
      <c r="E8904" s="1918" t="s">
        <v>11</v>
      </c>
      <c r="F8904" s="1918"/>
      <c r="G8904" s="1306" t="s">
        <v>23</v>
      </c>
      <c r="H8904" s="391">
        <v>30.41</v>
      </c>
      <c r="K8904" s="841" t="s">
        <v>5110</v>
      </c>
      <c r="L8904" s="841" t="s">
        <v>442</v>
      </c>
      <c r="M8904" s="1357"/>
      <c r="P8904" s="841" t="s">
        <v>5111</v>
      </c>
      <c r="Q8904" s="1357"/>
      <c r="S8904" s="1420"/>
      <c r="T8904" s="1420"/>
      <c r="V8904" s="1357">
        <v>14</v>
      </c>
    </row>
    <row r="8905" spans="1:22" s="841" customFormat="1" ht="15" x14ac:dyDescent="0.25">
      <c r="A8905" s="841" t="s">
        <v>173</v>
      </c>
      <c r="E8905" s="1918" t="s">
        <v>423</v>
      </c>
      <c r="F8905" s="1918"/>
      <c r="G8905" s="664" t="s">
        <v>23</v>
      </c>
      <c r="H8905" s="699">
        <v>0.79</v>
      </c>
      <c r="K8905" s="841" t="s">
        <v>5110</v>
      </c>
      <c r="L8905" s="841" t="s">
        <v>443</v>
      </c>
      <c r="M8905" s="1357"/>
      <c r="P8905" s="841" t="s">
        <v>5112</v>
      </c>
      <c r="Q8905" s="1357"/>
      <c r="S8905" s="1420"/>
      <c r="T8905" s="1420">
        <v>43404</v>
      </c>
      <c r="V8905" s="1357">
        <v>78</v>
      </c>
    </row>
    <row r="8906" spans="1:22" s="841" customFormat="1" ht="15" x14ac:dyDescent="0.25">
      <c r="A8906" s="841" t="s">
        <v>173</v>
      </c>
      <c r="E8906" s="1918" t="s">
        <v>84</v>
      </c>
      <c r="F8906" s="1918"/>
      <c r="G8906" s="1306" t="s">
        <v>24</v>
      </c>
      <c r="H8906" s="393">
        <v>8.0000000000000002E-3</v>
      </c>
      <c r="K8906" s="841" t="s">
        <v>5110</v>
      </c>
      <c r="L8906" s="841" t="s">
        <v>442</v>
      </c>
      <c r="M8906" s="1357"/>
      <c r="P8906" s="841" t="s">
        <v>5113</v>
      </c>
      <c r="Q8906" s="1357"/>
      <c r="S8906" s="1420"/>
      <c r="T8906" s="1420"/>
      <c r="V8906" s="1357">
        <v>28</v>
      </c>
    </row>
    <row r="8907" spans="1:22" s="841" customFormat="1" ht="15" x14ac:dyDescent="0.25">
      <c r="A8907" s="841" t="s">
        <v>173</v>
      </c>
      <c r="E8907" s="1918" t="s">
        <v>5460</v>
      </c>
      <c r="F8907" s="1908"/>
      <c r="G8907" s="1306" t="s">
        <v>24</v>
      </c>
      <c r="H8907" s="393">
        <v>4.0000000000000002E-4</v>
      </c>
      <c r="K8907" s="841" t="s">
        <v>5110</v>
      </c>
      <c r="L8907" s="841" t="s">
        <v>442</v>
      </c>
      <c r="M8907" s="1357"/>
      <c r="P8907" s="841" t="s">
        <v>5285</v>
      </c>
      <c r="Q8907" s="1357"/>
      <c r="S8907" s="1420"/>
      <c r="T8907" s="1420">
        <v>43465</v>
      </c>
      <c r="V8907" s="1357">
        <v>132</v>
      </c>
    </row>
    <row r="8908" spans="1:22" s="841" customFormat="1" ht="15" x14ac:dyDescent="0.25">
      <c r="A8908" s="841" t="s">
        <v>173</v>
      </c>
      <c r="E8908" s="1918" t="s">
        <v>221</v>
      </c>
      <c r="F8908" s="1918"/>
      <c r="G8908" s="664" t="s">
        <v>24</v>
      </c>
      <c r="H8908" s="393">
        <v>7.1000000000000004E-3</v>
      </c>
      <c r="K8908" s="841" t="s">
        <v>5110</v>
      </c>
      <c r="L8908" s="841" t="s">
        <v>444</v>
      </c>
      <c r="M8908" s="1357"/>
      <c r="P8908" s="841" t="s">
        <v>5115</v>
      </c>
      <c r="Q8908" s="1357"/>
      <c r="S8908" s="1420"/>
      <c r="T8908" s="1420"/>
      <c r="V8908" s="1357">
        <v>47</v>
      </c>
    </row>
    <row r="8909" spans="1:22" s="841" customFormat="1" ht="15" x14ac:dyDescent="0.25">
      <c r="A8909" s="841" t="s">
        <v>173</v>
      </c>
      <c r="E8909" s="1918" t="s">
        <v>217</v>
      </c>
      <c r="F8909" s="1918"/>
      <c r="G8909" s="664" t="s">
        <v>24</v>
      </c>
      <c r="H8909" s="393">
        <v>5.3E-3</v>
      </c>
      <c r="K8909" s="841" t="s">
        <v>5110</v>
      </c>
      <c r="L8909" s="841" t="s">
        <v>444</v>
      </c>
      <c r="M8909" s="1357"/>
      <c r="P8909" s="841" t="s">
        <v>5116</v>
      </c>
      <c r="Q8909" s="1357"/>
      <c r="S8909" s="1420"/>
      <c r="T8909" s="1420"/>
      <c r="V8909" s="1357">
        <v>74</v>
      </c>
    </row>
    <row r="8910" spans="1:22" s="841" customFormat="1" ht="15" x14ac:dyDescent="0.25">
      <c r="A8910" s="841" t="s">
        <v>173</v>
      </c>
      <c r="E8910" s="1919" t="s">
        <v>3079</v>
      </c>
      <c r="F8910" s="1942"/>
      <c r="G8910" s="679"/>
      <c r="H8910" s="1093"/>
      <c r="K8910" s="841" t="s">
        <v>3093</v>
      </c>
      <c r="M8910" s="1357"/>
      <c r="Q8910" s="1357"/>
      <c r="S8910" s="1420"/>
      <c r="T8910" s="1420"/>
      <c r="V8910" s="1357">
        <v>48</v>
      </c>
    </row>
    <row r="8911" spans="1:22" s="841" customFormat="1" ht="15" x14ac:dyDescent="0.25">
      <c r="A8911" s="841" t="s">
        <v>173</v>
      </c>
      <c r="E8911" s="1920" t="s">
        <v>2449</v>
      </c>
      <c r="F8911" s="1690"/>
      <c r="G8911" s="664" t="s">
        <v>24</v>
      </c>
      <c r="H8911" s="739">
        <v>3.2000000000000002E-3</v>
      </c>
      <c r="K8911" s="841" t="s">
        <v>5110</v>
      </c>
      <c r="L8911" s="841" t="s">
        <v>3046</v>
      </c>
      <c r="M8911" s="1357"/>
      <c r="P8911" s="841" t="s">
        <v>5117</v>
      </c>
      <c r="Q8911" s="1357"/>
      <c r="S8911" s="1420"/>
      <c r="T8911" s="1420"/>
      <c r="V8911" s="1357">
        <v>55</v>
      </c>
    </row>
    <row r="8912" spans="1:22" s="841" customFormat="1" ht="15" x14ac:dyDescent="0.25">
      <c r="A8912" s="841" t="s">
        <v>173</v>
      </c>
      <c r="E8912" s="1920" t="s">
        <v>2450</v>
      </c>
      <c r="F8912" s="1690"/>
      <c r="G8912" s="664" t="s">
        <v>24</v>
      </c>
      <c r="H8912" s="739">
        <v>4.0000000000000002E-4</v>
      </c>
      <c r="K8912" s="841" t="s">
        <v>5110</v>
      </c>
      <c r="L8912" s="841" t="s">
        <v>3046</v>
      </c>
      <c r="M8912" s="1357"/>
      <c r="P8912" s="841" t="s">
        <v>5117</v>
      </c>
      <c r="Q8912" s="1357"/>
      <c r="S8912" s="1420"/>
      <c r="T8912" s="1420"/>
      <c r="V8912" s="1357">
        <v>65</v>
      </c>
    </row>
    <row r="8913" spans="1:22" s="841" customFormat="1" ht="15" x14ac:dyDescent="0.25">
      <c r="A8913" s="841" t="s">
        <v>173</v>
      </c>
      <c r="E8913" s="1920" t="s">
        <v>439</v>
      </c>
      <c r="F8913" s="1690"/>
      <c r="G8913" s="664" t="s">
        <v>24</v>
      </c>
      <c r="H8913" s="739">
        <v>2.9999999999999997E-4</v>
      </c>
      <c r="K8913" s="841" t="s">
        <v>5110</v>
      </c>
      <c r="L8913" s="841" t="s">
        <v>3046</v>
      </c>
      <c r="M8913" s="1357"/>
      <c r="P8913" s="841" t="s">
        <v>5118</v>
      </c>
      <c r="Q8913" s="1357"/>
      <c r="S8913" s="1420"/>
      <c r="T8913" s="1420"/>
      <c r="V8913" s="1357">
        <v>57</v>
      </c>
    </row>
    <row r="8914" spans="1:22" s="841" customFormat="1" ht="15" x14ac:dyDescent="0.25">
      <c r="A8914" s="841" t="s">
        <v>173</v>
      </c>
      <c r="E8914" s="1920" t="s">
        <v>32</v>
      </c>
      <c r="F8914" s="1690"/>
      <c r="G8914" s="664" t="s">
        <v>23</v>
      </c>
      <c r="H8914" s="738">
        <v>0.25</v>
      </c>
      <c r="K8914" s="841" t="s">
        <v>5110</v>
      </c>
      <c r="L8914" s="841" t="s">
        <v>3046</v>
      </c>
      <c r="M8914" s="1357"/>
      <c r="P8914" s="841" t="s">
        <v>5119</v>
      </c>
      <c r="Q8914" s="1357"/>
      <c r="S8914" s="1420"/>
      <c r="T8914" s="1420"/>
      <c r="V8914" s="1357">
        <v>63</v>
      </c>
    </row>
    <row r="8915" spans="1:22" s="841" customFormat="1" x14ac:dyDescent="0.25">
      <c r="A8915" s="841" t="s">
        <v>173</v>
      </c>
      <c r="E8915" s="1967" t="s">
        <v>616</v>
      </c>
      <c r="F8915" s="1967"/>
      <c r="G8915" s="1967"/>
      <c r="H8915" s="1968"/>
      <c r="K8915" s="841" t="s">
        <v>6095</v>
      </c>
      <c r="M8915" s="1357"/>
      <c r="Q8915" s="1357"/>
      <c r="S8915" s="1420"/>
      <c r="T8915" s="1420"/>
      <c r="V8915" s="1357">
        <v>53</v>
      </c>
    </row>
    <row r="8916" spans="1:22" s="841" customFormat="1" ht="15" x14ac:dyDescent="0.25">
      <c r="A8916" s="841" t="s">
        <v>173</v>
      </c>
      <c r="E8916" s="1939" t="s">
        <v>3368</v>
      </c>
      <c r="F8916" s="1939"/>
      <c r="G8916" s="1939"/>
      <c r="H8916" s="1940"/>
      <c r="K8916" s="841" t="s">
        <v>6095</v>
      </c>
      <c r="M8916" s="1357"/>
      <c r="Q8916" s="1357"/>
      <c r="S8916" s="1420"/>
      <c r="T8916" s="1420"/>
      <c r="V8916" s="1357">
        <v>309</v>
      </c>
    </row>
    <row r="8917" spans="1:22" s="841" customFormat="1" ht="15" x14ac:dyDescent="0.25">
      <c r="A8917" s="841" t="s">
        <v>173</v>
      </c>
      <c r="E8917" s="1944" t="s">
        <v>3061</v>
      </c>
      <c r="F8917" s="1697"/>
      <c r="G8917" s="1697"/>
      <c r="H8917" s="1697"/>
      <c r="K8917" s="841" t="s">
        <v>3098</v>
      </c>
      <c r="M8917" s="1357"/>
      <c r="Q8917" s="1357"/>
      <c r="S8917" s="1420"/>
      <c r="T8917" s="1420"/>
      <c r="V8917" s="1357">
        <v>11</v>
      </c>
    </row>
    <row r="8918" spans="1:22" s="841" customFormat="1" ht="15" x14ac:dyDescent="0.25">
      <c r="A8918" s="841" t="s">
        <v>173</v>
      </c>
      <c r="E8918" s="1939" t="s">
        <v>3063</v>
      </c>
      <c r="F8918" s="1939"/>
      <c r="G8918" s="1939"/>
      <c r="H8918" s="1940"/>
      <c r="K8918" s="841" t="s">
        <v>6095</v>
      </c>
      <c r="M8918" s="1357"/>
      <c r="Q8918" s="1357"/>
      <c r="S8918" s="1420"/>
      <c r="T8918" s="1420"/>
      <c r="V8918" s="1357">
        <v>280</v>
      </c>
    </row>
    <row r="8919" spans="1:22" s="841" customFormat="1" ht="15" x14ac:dyDescent="0.25">
      <c r="A8919" s="841" t="s">
        <v>173</v>
      </c>
      <c r="E8919" s="1939" t="s">
        <v>3064</v>
      </c>
      <c r="F8919" s="1939"/>
      <c r="G8919" s="1939"/>
      <c r="H8919" s="1940"/>
      <c r="K8919" s="841" t="s">
        <v>6095</v>
      </c>
      <c r="M8919" s="1357"/>
      <c r="Q8919" s="1357"/>
      <c r="S8919" s="1420"/>
      <c r="T8919" s="1420"/>
      <c r="V8919" s="1357">
        <v>411</v>
      </c>
    </row>
    <row r="8920" spans="1:22" s="841" customFormat="1" ht="15" x14ac:dyDescent="0.25">
      <c r="A8920" s="841" t="s">
        <v>173</v>
      </c>
      <c r="E8920" s="1939" t="s">
        <v>3199</v>
      </c>
      <c r="F8920" s="1939"/>
      <c r="G8920" s="1939"/>
      <c r="H8920" s="1940"/>
      <c r="K8920" s="841" t="s">
        <v>6095</v>
      </c>
      <c r="M8920" s="1357"/>
      <c r="Q8920" s="1357"/>
      <c r="S8920" s="1420"/>
      <c r="T8920" s="1420"/>
      <c r="V8920" s="1357">
        <v>386</v>
      </c>
    </row>
    <row r="8921" spans="1:22" s="841" customFormat="1" ht="15" x14ac:dyDescent="0.25">
      <c r="A8921" s="841" t="s">
        <v>173</v>
      </c>
      <c r="E8921" s="1939" t="s">
        <v>3569</v>
      </c>
      <c r="F8921" s="1939"/>
      <c r="G8921" s="1939"/>
      <c r="H8921" s="1940"/>
      <c r="K8921" s="841" t="s">
        <v>6095</v>
      </c>
      <c r="M8921" s="1357"/>
      <c r="Q8921" s="1357"/>
      <c r="S8921" s="1420"/>
      <c r="T8921" s="1420"/>
      <c r="V8921" s="1357">
        <v>626</v>
      </c>
    </row>
    <row r="8922" spans="1:22" s="841" customFormat="1" ht="15" x14ac:dyDescent="0.25">
      <c r="A8922" s="841" t="s">
        <v>173</v>
      </c>
      <c r="E8922" s="1939" t="s">
        <v>3200</v>
      </c>
      <c r="F8922" s="1939"/>
      <c r="G8922" s="1939"/>
      <c r="H8922" s="1940"/>
      <c r="K8922" s="841" t="s">
        <v>6095</v>
      </c>
      <c r="M8922" s="1357"/>
      <c r="Q8922" s="1357"/>
      <c r="S8922" s="1420"/>
      <c r="T8922" s="1420"/>
      <c r="V8922" s="1357">
        <v>275</v>
      </c>
    </row>
    <row r="8923" spans="1:22" s="841" customFormat="1" ht="15" x14ac:dyDescent="0.25">
      <c r="A8923" s="841" t="s">
        <v>173</v>
      </c>
      <c r="E8923" s="1919" t="s">
        <v>3067</v>
      </c>
      <c r="F8923" s="1943"/>
      <c r="G8923" s="1907"/>
      <c r="H8923" s="1907"/>
      <c r="K8923" s="841" t="s">
        <v>3099</v>
      </c>
      <c r="M8923" s="1357"/>
      <c r="Q8923" s="1357"/>
      <c r="S8923" s="1420"/>
      <c r="T8923" s="1420"/>
      <c r="V8923" s="1357">
        <v>46</v>
      </c>
    </row>
    <row r="8924" spans="1:22" s="841" customFormat="1" ht="15" x14ac:dyDescent="0.25">
      <c r="A8924" s="841" t="s">
        <v>173</v>
      </c>
      <c r="E8924" s="1918" t="s">
        <v>11</v>
      </c>
      <c r="F8924" s="1918"/>
      <c r="G8924" s="1306" t="s">
        <v>23</v>
      </c>
      <c r="H8924" s="391">
        <v>234.12</v>
      </c>
      <c r="K8924" s="841" t="s">
        <v>6095</v>
      </c>
      <c r="L8924" s="841" t="s">
        <v>442</v>
      </c>
      <c r="M8924" s="1357"/>
      <c r="P8924" s="841" t="s">
        <v>6096</v>
      </c>
      <c r="Q8924" s="1357"/>
      <c r="S8924" s="1420"/>
      <c r="T8924" s="1420"/>
      <c r="V8924" s="1357">
        <v>14</v>
      </c>
    </row>
    <row r="8925" spans="1:22" s="841" customFormat="1" ht="15" x14ac:dyDescent="0.25">
      <c r="A8925" s="841" t="s">
        <v>173</v>
      </c>
      <c r="E8925" s="1918" t="s">
        <v>84</v>
      </c>
      <c r="F8925" s="1918"/>
      <c r="G8925" s="664" t="s">
        <v>33</v>
      </c>
      <c r="H8925" s="393">
        <v>2.8302999999999998</v>
      </c>
      <c r="K8925" s="841" t="s">
        <v>6095</v>
      </c>
      <c r="L8925" s="841" t="s">
        <v>442</v>
      </c>
      <c r="M8925" s="1357"/>
      <c r="P8925" s="841" t="s">
        <v>6097</v>
      </c>
      <c r="Q8925" s="1357"/>
      <c r="S8925" s="1420"/>
      <c r="T8925" s="1420"/>
      <c r="V8925" s="1357">
        <v>28</v>
      </c>
    </row>
    <row r="8926" spans="1:22" s="841" customFormat="1" ht="15" x14ac:dyDescent="0.25">
      <c r="A8926" s="841" t="s">
        <v>173</v>
      </c>
      <c r="E8926" s="1918" t="s">
        <v>5460</v>
      </c>
      <c r="F8926" s="1908"/>
      <c r="G8926" s="664" t="s">
        <v>33</v>
      </c>
      <c r="H8926" s="393">
        <v>0.10680000000000001</v>
      </c>
      <c r="K8926" s="841" t="s">
        <v>6095</v>
      </c>
      <c r="L8926" s="841" t="s">
        <v>442</v>
      </c>
      <c r="M8926" s="1357"/>
      <c r="P8926" s="841" t="s">
        <v>6111</v>
      </c>
      <c r="Q8926" s="1357"/>
      <c r="S8926" s="1420"/>
      <c r="T8926" s="1420">
        <v>43465</v>
      </c>
      <c r="V8926" s="1357">
        <v>132</v>
      </c>
    </row>
    <row r="8927" spans="1:22" s="841" customFormat="1" ht="15" x14ac:dyDescent="0.25">
      <c r="A8927" s="841" t="s">
        <v>173</v>
      </c>
      <c r="E8927" s="1918" t="s">
        <v>221</v>
      </c>
      <c r="F8927" s="1918"/>
      <c r="G8927" s="664" t="s">
        <v>33</v>
      </c>
      <c r="H8927" s="393">
        <v>2.4295</v>
      </c>
      <c r="K8927" s="841" t="s">
        <v>6095</v>
      </c>
      <c r="L8927" s="841" t="s">
        <v>444</v>
      </c>
      <c r="M8927" s="1357"/>
      <c r="P8927" s="841" t="s">
        <v>6099</v>
      </c>
      <c r="Q8927" s="1357"/>
      <c r="S8927" s="1420"/>
      <c r="T8927" s="1420"/>
      <c r="V8927" s="1357">
        <v>47</v>
      </c>
    </row>
    <row r="8928" spans="1:22" s="841" customFormat="1" ht="15" x14ac:dyDescent="0.25">
      <c r="A8928" s="841" t="s">
        <v>173</v>
      </c>
      <c r="E8928" s="1918" t="s">
        <v>217</v>
      </c>
      <c r="F8928" s="1918"/>
      <c r="G8928" s="664" t="s">
        <v>33</v>
      </c>
      <c r="H8928" s="393">
        <v>1.7948</v>
      </c>
      <c r="K8928" s="841" t="s">
        <v>6095</v>
      </c>
      <c r="L8928" s="841" t="s">
        <v>444</v>
      </c>
      <c r="M8928" s="1357"/>
      <c r="P8928" s="841" t="s">
        <v>6100</v>
      </c>
      <c r="Q8928" s="1357"/>
      <c r="S8928" s="1420"/>
      <c r="T8928" s="1420"/>
      <c r="V8928" s="1357">
        <v>74</v>
      </c>
    </row>
    <row r="8929" spans="1:22" s="841" customFormat="1" ht="15" x14ac:dyDescent="0.25">
      <c r="A8929" s="841" t="s">
        <v>173</v>
      </c>
      <c r="E8929" s="1919" t="s">
        <v>3079</v>
      </c>
      <c r="F8929" s="1942"/>
      <c r="G8929" s="679"/>
      <c r="H8929" s="1093"/>
      <c r="K8929" s="841" t="s">
        <v>3218</v>
      </c>
      <c r="M8929" s="1357"/>
      <c r="Q8929" s="1357"/>
      <c r="S8929" s="1420"/>
      <c r="T8929" s="1420"/>
      <c r="V8929" s="1357">
        <v>48</v>
      </c>
    </row>
    <row r="8930" spans="1:22" s="841" customFormat="1" ht="15" x14ac:dyDescent="0.25">
      <c r="A8930" s="841" t="s">
        <v>173</v>
      </c>
      <c r="E8930" s="1920" t="s">
        <v>2449</v>
      </c>
      <c r="F8930" s="1690"/>
      <c r="G8930" s="664" t="s">
        <v>24</v>
      </c>
      <c r="H8930" s="739">
        <v>3.2000000000000002E-3</v>
      </c>
      <c r="K8930" s="841" t="s">
        <v>6095</v>
      </c>
      <c r="L8930" s="841" t="s">
        <v>3046</v>
      </c>
      <c r="M8930" s="1357"/>
      <c r="P8930" s="841" t="s">
        <v>6101</v>
      </c>
      <c r="Q8930" s="1357"/>
      <c r="S8930" s="1420"/>
      <c r="T8930" s="1420"/>
      <c r="V8930" s="1357">
        <v>55</v>
      </c>
    </row>
    <row r="8931" spans="1:22" s="841" customFormat="1" ht="15" x14ac:dyDescent="0.25">
      <c r="A8931" s="841" t="s">
        <v>173</v>
      </c>
      <c r="E8931" s="1920" t="s">
        <v>2450</v>
      </c>
      <c r="F8931" s="1690"/>
      <c r="G8931" s="664" t="s">
        <v>24</v>
      </c>
      <c r="H8931" s="739">
        <v>4.0000000000000002E-4</v>
      </c>
      <c r="K8931" s="841" t="s">
        <v>6095</v>
      </c>
      <c r="L8931" s="841" t="s">
        <v>3046</v>
      </c>
      <c r="M8931" s="1357"/>
      <c r="P8931" s="841" t="s">
        <v>6101</v>
      </c>
      <c r="Q8931" s="1357"/>
      <c r="S8931" s="1420"/>
      <c r="T8931" s="1420"/>
      <c r="V8931" s="1357">
        <v>65</v>
      </c>
    </row>
    <row r="8932" spans="1:22" s="841" customFormat="1" ht="15" x14ac:dyDescent="0.25">
      <c r="A8932" s="841" t="s">
        <v>173</v>
      </c>
      <c r="E8932" s="1920" t="s">
        <v>439</v>
      </c>
      <c r="F8932" s="1690"/>
      <c r="G8932" s="664" t="s">
        <v>24</v>
      </c>
      <c r="H8932" s="739">
        <v>2.9999999999999997E-4</v>
      </c>
      <c r="K8932" s="841" t="s">
        <v>6095</v>
      </c>
      <c r="L8932" s="841" t="s">
        <v>3046</v>
      </c>
      <c r="M8932" s="1357"/>
      <c r="P8932" s="841" t="s">
        <v>6102</v>
      </c>
      <c r="Q8932" s="1357"/>
      <c r="S8932" s="1420"/>
      <c r="T8932" s="1420"/>
      <c r="V8932" s="1357">
        <v>57</v>
      </c>
    </row>
    <row r="8933" spans="1:22" s="841" customFormat="1" ht="15" x14ac:dyDescent="0.25">
      <c r="A8933" s="841" t="s">
        <v>173</v>
      </c>
      <c r="E8933" s="1920" t="s">
        <v>32</v>
      </c>
      <c r="F8933" s="1690"/>
      <c r="G8933" s="664" t="s">
        <v>23</v>
      </c>
      <c r="H8933" s="738">
        <v>0.25</v>
      </c>
      <c r="K8933" s="841" t="s">
        <v>6095</v>
      </c>
      <c r="L8933" s="841" t="s">
        <v>3046</v>
      </c>
      <c r="M8933" s="1357"/>
      <c r="P8933" s="841" t="s">
        <v>6103</v>
      </c>
      <c r="Q8933" s="1357"/>
      <c r="S8933" s="1420"/>
      <c r="T8933" s="1420"/>
      <c r="V8933" s="1357">
        <v>63</v>
      </c>
    </row>
    <row r="8934" spans="1:22" s="841" customFormat="1" x14ac:dyDescent="0.25">
      <c r="A8934" s="841" t="s">
        <v>173</v>
      </c>
      <c r="E8934" s="1967" t="s">
        <v>622</v>
      </c>
      <c r="F8934" s="1967"/>
      <c r="G8934" s="1967"/>
      <c r="H8934" s="1968"/>
      <c r="K8934" s="841" t="s">
        <v>3513</v>
      </c>
      <c r="M8934" s="1357"/>
      <c r="Q8934" s="1357"/>
      <c r="S8934" s="1420"/>
      <c r="T8934" s="1420"/>
      <c r="V8934" s="1357">
        <v>43</v>
      </c>
    </row>
    <row r="8935" spans="1:22" s="841" customFormat="1" ht="15" x14ac:dyDescent="0.25">
      <c r="A8935" s="841" t="s">
        <v>173</v>
      </c>
      <c r="E8935" s="1939" t="s">
        <v>3369</v>
      </c>
      <c r="F8935" s="1939"/>
      <c r="G8935" s="1939"/>
      <c r="H8935" s="1940"/>
      <c r="K8935" s="841" t="s">
        <v>3513</v>
      </c>
      <c r="M8935" s="1357"/>
      <c r="Q8935" s="1357"/>
      <c r="S8935" s="1420"/>
      <c r="T8935" s="1420"/>
      <c r="V8935" s="1357">
        <v>250</v>
      </c>
    </row>
    <row r="8936" spans="1:22" s="841" customFormat="1" ht="15" x14ac:dyDescent="0.25">
      <c r="A8936" s="841" t="s">
        <v>173</v>
      </c>
      <c r="E8936" s="1944" t="s">
        <v>3061</v>
      </c>
      <c r="F8936" s="1697"/>
      <c r="G8936" s="1697"/>
      <c r="H8936" s="1697"/>
      <c r="K8936" s="841" t="s">
        <v>3221</v>
      </c>
      <c r="M8936" s="1357"/>
      <c r="Q8936" s="1357"/>
      <c r="S8936" s="1420"/>
      <c r="T8936" s="1420"/>
      <c r="V8936" s="1357">
        <v>11</v>
      </c>
    </row>
    <row r="8937" spans="1:22" s="841" customFormat="1" ht="15" x14ac:dyDescent="0.25">
      <c r="A8937" s="841" t="s">
        <v>173</v>
      </c>
      <c r="E8937" s="1939" t="s">
        <v>3063</v>
      </c>
      <c r="F8937" s="1939"/>
      <c r="G8937" s="1939"/>
      <c r="H8937" s="1940"/>
      <c r="K8937" s="841" t="s">
        <v>3513</v>
      </c>
      <c r="M8937" s="1357"/>
      <c r="Q8937" s="1357"/>
      <c r="S8937" s="1420"/>
      <c r="T8937" s="1420"/>
      <c r="V8937" s="1357">
        <v>280</v>
      </c>
    </row>
    <row r="8938" spans="1:22" s="841" customFormat="1" ht="15" x14ac:dyDescent="0.25">
      <c r="A8938" s="841" t="s">
        <v>173</v>
      </c>
      <c r="E8938" s="1939" t="s">
        <v>3064</v>
      </c>
      <c r="F8938" s="1939"/>
      <c r="G8938" s="1939"/>
      <c r="H8938" s="1940"/>
      <c r="K8938" s="841" t="s">
        <v>3513</v>
      </c>
      <c r="M8938" s="1357"/>
      <c r="Q8938" s="1357"/>
      <c r="S8938" s="1420"/>
      <c r="T8938" s="1420"/>
      <c r="V8938" s="1357">
        <v>411</v>
      </c>
    </row>
    <row r="8939" spans="1:22" s="841" customFormat="1" ht="15" x14ac:dyDescent="0.25">
      <c r="A8939" s="841" t="s">
        <v>173</v>
      </c>
      <c r="E8939" s="1939" t="s">
        <v>3129</v>
      </c>
      <c r="F8939" s="1939"/>
      <c r="G8939" s="1939"/>
      <c r="H8939" s="1940"/>
      <c r="K8939" s="841" t="s">
        <v>3513</v>
      </c>
      <c r="M8939" s="1357"/>
      <c r="Q8939" s="1357"/>
      <c r="S8939" s="1420"/>
      <c r="T8939" s="1420"/>
      <c r="V8939" s="1357">
        <v>211</v>
      </c>
    </row>
    <row r="8940" spans="1:22" s="841" customFormat="1" ht="15" x14ac:dyDescent="0.25">
      <c r="A8940" s="841" t="s">
        <v>173</v>
      </c>
      <c r="E8940" s="1939" t="s">
        <v>3200</v>
      </c>
      <c r="F8940" s="1939"/>
      <c r="G8940" s="1939"/>
      <c r="H8940" s="1940"/>
      <c r="K8940" s="841" t="s">
        <v>3513</v>
      </c>
      <c r="M8940" s="1357"/>
      <c r="Q8940" s="1357"/>
      <c r="S8940" s="1420"/>
      <c r="T8940" s="1420"/>
      <c r="V8940" s="1357">
        <v>275</v>
      </c>
    </row>
    <row r="8941" spans="1:22" s="841" customFormat="1" ht="15" x14ac:dyDescent="0.25">
      <c r="A8941" s="841" t="s">
        <v>173</v>
      </c>
      <c r="E8941" s="1919" t="s">
        <v>3370</v>
      </c>
      <c r="F8941" s="1943"/>
      <c r="G8941" s="1907"/>
      <c r="H8941" s="1907"/>
      <c r="K8941" s="841" t="s">
        <v>3224</v>
      </c>
      <c r="M8941" s="1357"/>
      <c r="Q8941" s="1357"/>
      <c r="S8941" s="1420"/>
      <c r="T8941" s="1420"/>
      <c r="V8941" s="1357">
        <v>56</v>
      </c>
    </row>
    <row r="8942" spans="1:22" s="841" customFormat="1" ht="15" x14ac:dyDescent="0.25">
      <c r="A8942" s="841" t="s">
        <v>173</v>
      </c>
      <c r="E8942" s="1918" t="s">
        <v>11</v>
      </c>
      <c r="F8942" s="1918"/>
      <c r="G8942" s="664" t="s">
        <v>23</v>
      </c>
      <c r="H8942" s="391">
        <v>358.26</v>
      </c>
      <c r="K8942" s="841" t="s">
        <v>3513</v>
      </c>
      <c r="L8942" s="841" t="s">
        <v>442</v>
      </c>
      <c r="M8942" s="1357"/>
      <c r="P8942" s="841" t="s">
        <v>3515</v>
      </c>
      <c r="Q8942" s="1357"/>
      <c r="S8942" s="1420"/>
      <c r="T8942" s="1420"/>
      <c r="V8942" s="1357">
        <v>14</v>
      </c>
    </row>
    <row r="8943" spans="1:22" s="841" customFormat="1" ht="15" x14ac:dyDescent="0.25">
      <c r="A8943" s="841" t="s">
        <v>173</v>
      </c>
      <c r="E8943" s="1918" t="s">
        <v>84</v>
      </c>
      <c r="F8943" s="1918"/>
      <c r="G8943" s="664" t="s">
        <v>33</v>
      </c>
      <c r="H8943" s="393">
        <v>1.9882</v>
      </c>
      <c r="K8943" s="841" t="s">
        <v>3513</v>
      </c>
      <c r="L8943" s="841" t="s">
        <v>442</v>
      </c>
      <c r="M8943" s="1357"/>
      <c r="P8943" s="841" t="s">
        <v>3516</v>
      </c>
      <c r="Q8943" s="1357"/>
      <c r="S8943" s="1420"/>
      <c r="T8943" s="1420"/>
      <c r="V8943" s="1357">
        <v>28</v>
      </c>
    </row>
    <row r="8944" spans="1:22" s="841" customFormat="1" ht="15" x14ac:dyDescent="0.25">
      <c r="A8944" s="841" t="s">
        <v>173</v>
      </c>
      <c r="E8944" s="1918" t="s">
        <v>221</v>
      </c>
      <c r="F8944" s="1918"/>
      <c r="G8944" s="664" t="s">
        <v>33</v>
      </c>
      <c r="H8944" s="393">
        <v>2.4295</v>
      </c>
      <c r="K8944" s="841" t="s">
        <v>3513</v>
      </c>
      <c r="L8944" s="841" t="s">
        <v>444</v>
      </c>
      <c r="M8944" s="1357"/>
      <c r="P8944" s="841" t="s">
        <v>3520</v>
      </c>
      <c r="Q8944" s="1357"/>
      <c r="S8944" s="1420"/>
      <c r="T8944" s="1420"/>
      <c r="V8944" s="1357">
        <v>47</v>
      </c>
    </row>
    <row r="8945" spans="1:22" s="841" customFormat="1" ht="15" x14ac:dyDescent="0.25">
      <c r="A8945" s="841" t="s">
        <v>173</v>
      </c>
      <c r="E8945" s="1918" t="s">
        <v>217</v>
      </c>
      <c r="F8945" s="1918"/>
      <c r="G8945" s="664" t="s">
        <v>33</v>
      </c>
      <c r="H8945" s="393">
        <v>1.7948</v>
      </c>
      <c r="K8945" s="841" t="s">
        <v>3513</v>
      </c>
      <c r="L8945" s="841" t="s">
        <v>444</v>
      </c>
      <c r="M8945" s="1357"/>
      <c r="P8945" s="841" t="s">
        <v>3521</v>
      </c>
      <c r="Q8945" s="1357"/>
      <c r="S8945" s="1420"/>
      <c r="T8945" s="1420"/>
      <c r="V8945" s="1357">
        <v>74</v>
      </c>
    </row>
    <row r="8946" spans="1:22" s="841" customFormat="1" x14ac:dyDescent="0.25">
      <c r="A8946" s="841" t="s">
        <v>173</v>
      </c>
      <c r="E8946" s="1967" t="s">
        <v>618</v>
      </c>
      <c r="F8946" s="1967"/>
      <c r="G8946" s="1923"/>
      <c r="H8946" s="1923"/>
      <c r="K8946" s="841" t="s">
        <v>5135</v>
      </c>
      <c r="M8946" s="1357"/>
      <c r="Q8946" s="1357"/>
      <c r="S8946" s="1420"/>
      <c r="T8946" s="1420"/>
      <c r="V8946" s="1357">
        <v>31</v>
      </c>
    </row>
    <row r="8947" spans="1:22" s="841" customFormat="1" ht="15" x14ac:dyDescent="0.25">
      <c r="A8947" s="841" t="s">
        <v>173</v>
      </c>
      <c r="E8947" s="1939" t="s">
        <v>3372</v>
      </c>
      <c r="F8947" s="1939"/>
      <c r="G8947" s="1939"/>
      <c r="H8947" s="1940"/>
      <c r="K8947" s="841" t="s">
        <v>5135</v>
      </c>
      <c r="M8947" s="1357"/>
      <c r="Q8947" s="1357"/>
      <c r="S8947" s="1420"/>
      <c r="T8947" s="1420"/>
      <c r="V8947" s="1357">
        <v>285</v>
      </c>
    </row>
    <row r="8948" spans="1:22" s="841" customFormat="1" ht="15" x14ac:dyDescent="0.25">
      <c r="A8948" s="841" t="s">
        <v>173</v>
      </c>
      <c r="E8948" s="1944" t="s">
        <v>3061</v>
      </c>
      <c r="F8948" s="1697"/>
      <c r="G8948" s="1697"/>
      <c r="H8948" s="1697"/>
      <c r="K8948" s="841" t="s">
        <v>3107</v>
      </c>
      <c r="M8948" s="1357"/>
      <c r="Q8948" s="1357"/>
      <c r="S8948" s="1420"/>
      <c r="T8948" s="1420"/>
      <c r="V8948" s="1357">
        <v>11</v>
      </c>
    </row>
    <row r="8949" spans="1:22" s="841" customFormat="1" ht="15" x14ac:dyDescent="0.25">
      <c r="A8949" s="841" t="s">
        <v>173</v>
      </c>
      <c r="E8949" s="1939" t="s">
        <v>3063</v>
      </c>
      <c r="F8949" s="1939"/>
      <c r="G8949" s="1939"/>
      <c r="H8949" s="1940"/>
      <c r="K8949" s="841" t="s">
        <v>5135</v>
      </c>
      <c r="M8949" s="1357"/>
      <c r="Q8949" s="1357"/>
      <c r="S8949" s="1420"/>
      <c r="T8949" s="1420"/>
      <c r="V8949" s="1357">
        <v>280</v>
      </c>
    </row>
    <row r="8950" spans="1:22" s="841" customFormat="1" ht="15" x14ac:dyDescent="0.25">
      <c r="A8950" s="841" t="s">
        <v>173</v>
      </c>
      <c r="E8950" s="1939" t="s">
        <v>3064</v>
      </c>
      <c r="F8950" s="1939"/>
      <c r="G8950" s="1939"/>
      <c r="H8950" s="1940"/>
      <c r="K8950" s="841" t="s">
        <v>5135</v>
      </c>
      <c r="M8950" s="1357"/>
      <c r="Q8950" s="1357"/>
      <c r="S8950" s="1420"/>
      <c r="T8950" s="1420"/>
      <c r="V8950" s="1357">
        <v>411</v>
      </c>
    </row>
    <row r="8951" spans="1:22" s="841" customFormat="1" ht="15" x14ac:dyDescent="0.25">
      <c r="A8951" s="841" t="s">
        <v>173</v>
      </c>
      <c r="E8951" s="1939" t="s">
        <v>3129</v>
      </c>
      <c r="F8951" s="1939"/>
      <c r="G8951" s="1939"/>
      <c r="H8951" s="1940"/>
      <c r="K8951" s="841" t="s">
        <v>5135</v>
      </c>
      <c r="M8951" s="1357"/>
      <c r="Q8951" s="1357"/>
      <c r="S8951" s="1420"/>
      <c r="T8951" s="1420"/>
      <c r="V8951" s="1357">
        <v>211</v>
      </c>
    </row>
    <row r="8952" spans="1:22" s="841" customFormat="1" ht="15" x14ac:dyDescent="0.25">
      <c r="A8952" s="841" t="s">
        <v>173</v>
      </c>
      <c r="E8952" s="1939" t="s">
        <v>3200</v>
      </c>
      <c r="F8952" s="1939"/>
      <c r="G8952" s="1939"/>
      <c r="H8952" s="1940"/>
      <c r="K8952" s="841" t="s">
        <v>5135</v>
      </c>
      <c r="M8952" s="1357"/>
      <c r="Q8952" s="1357"/>
      <c r="S8952" s="1420"/>
      <c r="T8952" s="1420"/>
      <c r="V8952" s="1357">
        <v>275</v>
      </c>
    </row>
    <row r="8953" spans="1:22" s="841" customFormat="1" ht="15" x14ac:dyDescent="0.25">
      <c r="A8953" s="841" t="s">
        <v>173</v>
      </c>
      <c r="E8953" s="1919" t="s">
        <v>3067</v>
      </c>
      <c r="F8953" s="1943"/>
      <c r="G8953" s="1907"/>
      <c r="H8953" s="1907"/>
      <c r="K8953" s="841" t="s">
        <v>3108</v>
      </c>
      <c r="M8953" s="1357"/>
      <c r="Q8953" s="1357"/>
      <c r="S8953" s="1420"/>
      <c r="T8953" s="1420"/>
      <c r="V8953" s="1357">
        <v>46</v>
      </c>
    </row>
    <row r="8954" spans="1:22" s="841" customFormat="1" ht="15" x14ac:dyDescent="0.25">
      <c r="A8954" s="841" t="s">
        <v>173</v>
      </c>
      <c r="E8954" s="1918" t="s">
        <v>11</v>
      </c>
      <c r="F8954" s="1918"/>
      <c r="G8954" s="664" t="s">
        <v>23</v>
      </c>
      <c r="H8954" s="391">
        <v>5.4</v>
      </c>
      <c r="K8954" s="841" t="s">
        <v>5135</v>
      </c>
      <c r="L8954" s="841" t="s">
        <v>442</v>
      </c>
      <c r="M8954" s="1357"/>
      <c r="P8954" s="841" t="s">
        <v>5136</v>
      </c>
      <c r="Q8954" s="1357"/>
      <c r="S8954" s="1420"/>
      <c r="T8954" s="1420"/>
      <c r="V8954" s="1357">
        <v>14</v>
      </c>
    </row>
    <row r="8955" spans="1:22" s="841" customFormat="1" x14ac:dyDescent="0.25">
      <c r="A8955" s="841" t="s">
        <v>173</v>
      </c>
      <c r="E8955" s="1967" t="s">
        <v>629</v>
      </c>
      <c r="F8955" s="1967"/>
      <c r="G8955" s="1967"/>
      <c r="H8955" s="1968"/>
      <c r="K8955" s="841" t="s">
        <v>3467</v>
      </c>
      <c r="M8955" s="1357"/>
      <c r="Q8955" s="1357"/>
      <c r="S8955" s="1420"/>
      <c r="T8955" s="1420"/>
      <c r="V8955" s="1357">
        <v>40</v>
      </c>
    </row>
    <row r="8956" spans="1:22" s="841" customFormat="1" ht="15" x14ac:dyDescent="0.25">
      <c r="A8956" s="841" t="s">
        <v>173</v>
      </c>
      <c r="E8956" s="1939" t="s">
        <v>3374</v>
      </c>
      <c r="F8956" s="1939"/>
      <c r="G8956" s="1939"/>
      <c r="H8956" s="1940"/>
      <c r="K8956" s="841" t="s">
        <v>3467</v>
      </c>
      <c r="M8956" s="1357"/>
      <c r="Q8956" s="1357"/>
      <c r="S8956" s="1420"/>
      <c r="T8956" s="1420"/>
      <c r="V8956" s="1357">
        <v>188</v>
      </c>
    </row>
    <row r="8957" spans="1:22" s="841" customFormat="1" ht="15" x14ac:dyDescent="0.25">
      <c r="A8957" s="841" t="s">
        <v>173</v>
      </c>
      <c r="E8957" s="1944" t="s">
        <v>3061</v>
      </c>
      <c r="F8957" s="1697"/>
      <c r="G8957" s="1697"/>
      <c r="H8957" s="1697"/>
      <c r="K8957" s="841" t="s">
        <v>3114</v>
      </c>
      <c r="M8957" s="1357"/>
      <c r="Q8957" s="1357"/>
      <c r="S8957" s="1420"/>
      <c r="T8957" s="1420"/>
      <c r="V8957" s="1357">
        <v>11</v>
      </c>
    </row>
    <row r="8958" spans="1:22" s="841" customFormat="1" ht="15" x14ac:dyDescent="0.25">
      <c r="A8958" s="841" t="s">
        <v>173</v>
      </c>
      <c r="E8958" s="1939" t="s">
        <v>3063</v>
      </c>
      <c r="F8958" s="1939"/>
      <c r="G8958" s="1939"/>
      <c r="H8958" s="1940"/>
      <c r="K8958" s="841" t="s">
        <v>3467</v>
      </c>
      <c r="M8958" s="1357"/>
      <c r="Q8958" s="1357"/>
      <c r="S8958" s="1420"/>
      <c r="T8958" s="1420"/>
      <c r="V8958" s="1357">
        <v>280</v>
      </c>
    </row>
    <row r="8959" spans="1:22" s="841" customFormat="1" ht="15" x14ac:dyDescent="0.25">
      <c r="A8959" s="841" t="s">
        <v>173</v>
      </c>
      <c r="E8959" s="1939" t="s">
        <v>3064</v>
      </c>
      <c r="F8959" s="1939"/>
      <c r="G8959" s="1939"/>
      <c r="H8959" s="1940"/>
      <c r="K8959" s="841" t="s">
        <v>3467</v>
      </c>
      <c r="M8959" s="1357"/>
      <c r="Q8959" s="1357"/>
      <c r="S8959" s="1420"/>
      <c r="T8959" s="1420"/>
      <c r="V8959" s="1357">
        <v>411</v>
      </c>
    </row>
    <row r="8960" spans="1:22" s="841" customFormat="1" ht="15" x14ac:dyDescent="0.25">
      <c r="A8960" s="841" t="s">
        <v>173</v>
      </c>
      <c r="E8960" s="1939" t="s">
        <v>3199</v>
      </c>
      <c r="F8960" s="1939"/>
      <c r="G8960" s="1939"/>
      <c r="H8960" s="1940"/>
      <c r="K8960" s="841" t="s">
        <v>3467</v>
      </c>
      <c r="M8960" s="1357"/>
      <c r="Q8960" s="1357"/>
      <c r="S8960" s="1420"/>
      <c r="T8960" s="1420"/>
      <c r="V8960" s="1357">
        <v>386</v>
      </c>
    </row>
    <row r="8961" spans="1:22" s="841" customFormat="1" ht="15" x14ac:dyDescent="0.25">
      <c r="A8961" s="841" t="s">
        <v>173</v>
      </c>
      <c r="E8961" s="1939" t="s">
        <v>3200</v>
      </c>
      <c r="F8961" s="1939"/>
      <c r="G8961" s="1939"/>
      <c r="H8961" s="1940"/>
      <c r="K8961" s="841" t="s">
        <v>3467</v>
      </c>
      <c r="M8961" s="1357"/>
      <c r="Q8961" s="1357"/>
      <c r="S8961" s="1420"/>
      <c r="T8961" s="1420"/>
      <c r="V8961" s="1357">
        <v>275</v>
      </c>
    </row>
    <row r="8962" spans="1:22" s="841" customFormat="1" ht="15" x14ac:dyDescent="0.25">
      <c r="A8962" s="841" t="s">
        <v>173</v>
      </c>
      <c r="E8962" s="1919" t="s">
        <v>3067</v>
      </c>
      <c r="F8962" s="1943"/>
      <c r="G8962" s="1907"/>
      <c r="H8962" s="1907"/>
      <c r="K8962" s="841" t="s">
        <v>3115</v>
      </c>
      <c r="M8962" s="1357"/>
      <c r="Q8962" s="1357"/>
      <c r="S8962" s="1420"/>
      <c r="T8962" s="1420"/>
      <c r="V8962" s="1357">
        <v>46</v>
      </c>
    </row>
    <row r="8963" spans="1:22" s="841" customFormat="1" ht="15" x14ac:dyDescent="0.25">
      <c r="A8963" s="841" t="s">
        <v>173</v>
      </c>
      <c r="E8963" s="1918" t="s">
        <v>12</v>
      </c>
      <c r="F8963" s="1918"/>
      <c r="G8963" s="664" t="s">
        <v>23</v>
      </c>
      <c r="H8963" s="391">
        <v>4.1900000000000004</v>
      </c>
      <c r="K8963" s="841" t="s">
        <v>3467</v>
      </c>
      <c r="L8963" s="841" t="s">
        <v>442</v>
      </c>
      <c r="M8963" s="1357"/>
      <c r="P8963" s="841" t="s">
        <v>3468</v>
      </c>
      <c r="Q8963" s="1357"/>
      <c r="S8963" s="1420"/>
      <c r="T8963" s="1420"/>
      <c r="V8963" s="1357">
        <v>31</v>
      </c>
    </row>
    <row r="8964" spans="1:22" s="841" customFormat="1" ht="15" x14ac:dyDescent="0.25">
      <c r="A8964" s="841" t="s">
        <v>173</v>
      </c>
      <c r="E8964" s="1918" t="s">
        <v>84</v>
      </c>
      <c r="F8964" s="1918"/>
      <c r="G8964" s="664" t="s">
        <v>33</v>
      </c>
      <c r="H8964" s="393">
        <v>20.0593</v>
      </c>
      <c r="K8964" s="841" t="s">
        <v>3467</v>
      </c>
      <c r="L8964" s="841" t="s">
        <v>442</v>
      </c>
      <c r="M8964" s="1357"/>
      <c r="P8964" s="841" t="s">
        <v>3469</v>
      </c>
      <c r="Q8964" s="1357"/>
      <c r="S8964" s="1420"/>
      <c r="T8964" s="1420"/>
      <c r="V8964" s="1357">
        <v>28</v>
      </c>
    </row>
    <row r="8965" spans="1:22" s="841" customFormat="1" ht="15" x14ac:dyDescent="0.25">
      <c r="A8965" s="841" t="s">
        <v>173</v>
      </c>
      <c r="E8965" s="1918" t="s">
        <v>221</v>
      </c>
      <c r="F8965" s="1918"/>
      <c r="G8965" s="664" t="s">
        <v>33</v>
      </c>
      <c r="H8965" s="393">
        <v>2.2686999999999999</v>
      </c>
      <c r="K8965" s="841" t="s">
        <v>3467</v>
      </c>
      <c r="L8965" s="841" t="s">
        <v>444</v>
      </c>
      <c r="M8965" s="1357"/>
      <c r="P8965" s="841" t="s">
        <v>3472</v>
      </c>
      <c r="Q8965" s="1357"/>
      <c r="S8965" s="1420"/>
      <c r="T8965" s="1420"/>
      <c r="V8965" s="1357">
        <v>47</v>
      </c>
    </row>
    <row r="8966" spans="1:22" s="841" customFormat="1" ht="15" x14ac:dyDescent="0.25">
      <c r="A8966" s="841" t="s">
        <v>173</v>
      </c>
      <c r="E8966" s="1918" t="s">
        <v>217</v>
      </c>
      <c r="F8966" s="1918"/>
      <c r="G8966" s="664" t="s">
        <v>33</v>
      </c>
      <c r="H8966" s="393">
        <v>1.6762999999999999</v>
      </c>
      <c r="K8966" s="841" t="s">
        <v>3467</v>
      </c>
      <c r="L8966" s="841" t="s">
        <v>444</v>
      </c>
      <c r="M8966" s="1357"/>
      <c r="P8966" s="841" t="s">
        <v>3473</v>
      </c>
      <c r="Q8966" s="1357"/>
      <c r="S8966" s="1420"/>
      <c r="T8966" s="1420"/>
      <c r="V8966" s="1357">
        <v>74</v>
      </c>
    </row>
    <row r="8967" spans="1:22" s="841" customFormat="1" ht="15" x14ac:dyDescent="0.25">
      <c r="A8967" s="841" t="s">
        <v>173</v>
      </c>
      <c r="E8967" s="1919" t="s">
        <v>3079</v>
      </c>
      <c r="F8967" s="1942"/>
      <c r="G8967" s="679"/>
      <c r="H8967" s="1093"/>
      <c r="K8967" s="841" t="s">
        <v>3122</v>
      </c>
      <c r="M8967" s="1357"/>
      <c r="Q8967" s="1357"/>
      <c r="S8967" s="1420"/>
      <c r="T8967" s="1420"/>
      <c r="V8967" s="1357">
        <v>48</v>
      </c>
    </row>
    <row r="8968" spans="1:22" s="841" customFormat="1" ht="15" x14ac:dyDescent="0.25">
      <c r="A8968" s="841" t="s">
        <v>173</v>
      </c>
      <c r="E8968" s="1920" t="s">
        <v>2449</v>
      </c>
      <c r="F8968" s="1690"/>
      <c r="G8968" s="664" t="s">
        <v>24</v>
      </c>
      <c r="H8968" s="739">
        <v>3.2000000000000002E-3</v>
      </c>
      <c r="K8968" s="841" t="s">
        <v>3467</v>
      </c>
      <c r="L8968" s="841" t="s">
        <v>3046</v>
      </c>
      <c r="M8968" s="1357"/>
      <c r="P8968" s="841" t="s">
        <v>3474</v>
      </c>
      <c r="Q8968" s="1357"/>
      <c r="S8968" s="1420"/>
      <c r="T8968" s="1420"/>
      <c r="V8968" s="1357">
        <v>55</v>
      </c>
    </row>
    <row r="8969" spans="1:22" s="841" customFormat="1" ht="15" x14ac:dyDescent="0.25">
      <c r="A8969" s="841" t="s">
        <v>173</v>
      </c>
      <c r="E8969" s="1920" t="s">
        <v>2450</v>
      </c>
      <c r="F8969" s="1690"/>
      <c r="G8969" s="664" t="s">
        <v>24</v>
      </c>
      <c r="H8969" s="739">
        <v>4.0000000000000002E-4</v>
      </c>
      <c r="K8969" s="841" t="s">
        <v>3467</v>
      </c>
      <c r="L8969" s="841" t="s">
        <v>3046</v>
      </c>
      <c r="M8969" s="1357"/>
      <c r="P8969" s="841" t="s">
        <v>3474</v>
      </c>
      <c r="Q8969" s="1357"/>
      <c r="S8969" s="1420"/>
      <c r="T8969" s="1420"/>
      <c r="V8969" s="1357">
        <v>65</v>
      </c>
    </row>
    <row r="8970" spans="1:22" s="841" customFormat="1" ht="15" x14ac:dyDescent="0.25">
      <c r="A8970" s="841" t="s">
        <v>173</v>
      </c>
      <c r="E8970" s="1920" t="s">
        <v>439</v>
      </c>
      <c r="F8970" s="1690"/>
      <c r="G8970" s="664" t="s">
        <v>24</v>
      </c>
      <c r="H8970" s="739">
        <v>2.9999999999999997E-4</v>
      </c>
      <c r="K8970" s="841" t="s">
        <v>3467</v>
      </c>
      <c r="L8970" s="841" t="s">
        <v>3046</v>
      </c>
      <c r="M8970" s="1357"/>
      <c r="P8970" s="841" t="s">
        <v>3475</v>
      </c>
      <c r="Q8970" s="1357"/>
      <c r="S8970" s="1420"/>
      <c r="T8970" s="1420"/>
      <c r="V8970" s="1357">
        <v>57</v>
      </c>
    </row>
    <row r="8971" spans="1:22" s="841" customFormat="1" ht="15" x14ac:dyDescent="0.25">
      <c r="A8971" s="841" t="s">
        <v>173</v>
      </c>
      <c r="E8971" s="1920" t="s">
        <v>32</v>
      </c>
      <c r="F8971" s="1690"/>
      <c r="G8971" s="664" t="s">
        <v>23</v>
      </c>
      <c r="H8971" s="738">
        <v>0.25</v>
      </c>
      <c r="K8971" s="841" t="s">
        <v>3467</v>
      </c>
      <c r="L8971" s="841" t="s">
        <v>3046</v>
      </c>
      <c r="M8971" s="1357"/>
      <c r="P8971" s="841" t="s">
        <v>3476</v>
      </c>
      <c r="Q8971" s="1357"/>
      <c r="S8971" s="1420"/>
      <c r="T8971" s="1420"/>
      <c r="V8971" s="1357">
        <v>63</v>
      </c>
    </row>
    <row r="8972" spans="1:22" s="841" customFormat="1" x14ac:dyDescent="0.25">
      <c r="A8972" s="841" t="s">
        <v>173</v>
      </c>
      <c r="E8972" s="1967" t="s">
        <v>615</v>
      </c>
      <c r="F8972" s="1967"/>
      <c r="G8972" s="1967"/>
      <c r="H8972" s="1968"/>
      <c r="K8972" s="841" t="s">
        <v>3477</v>
      </c>
      <c r="M8972" s="1357"/>
      <c r="Q8972" s="1357"/>
      <c r="S8972" s="1420"/>
      <c r="T8972" s="1420"/>
      <c r="V8972" s="1357">
        <v>38</v>
      </c>
    </row>
    <row r="8973" spans="1:22" s="841" customFormat="1" ht="15" x14ac:dyDescent="0.25">
      <c r="A8973" s="841" t="s">
        <v>173</v>
      </c>
      <c r="E8973" s="1939" t="s">
        <v>3375</v>
      </c>
      <c r="F8973" s="1939"/>
      <c r="G8973" s="1939"/>
      <c r="H8973" s="1940"/>
      <c r="K8973" s="841" t="s">
        <v>3477</v>
      </c>
      <c r="M8973" s="1357"/>
      <c r="Q8973" s="1357"/>
      <c r="S8973" s="1420"/>
      <c r="T8973" s="1420"/>
      <c r="V8973" s="1357">
        <v>475</v>
      </c>
    </row>
    <row r="8974" spans="1:22" s="841" customFormat="1" ht="15" x14ac:dyDescent="0.25">
      <c r="A8974" s="841" t="s">
        <v>173</v>
      </c>
      <c r="E8974" s="1944" t="s">
        <v>3061</v>
      </c>
      <c r="F8974" s="1697"/>
      <c r="G8974" s="1697"/>
      <c r="H8974" s="1697"/>
      <c r="K8974" s="841" t="s">
        <v>3128</v>
      </c>
      <c r="M8974" s="1357"/>
      <c r="Q8974" s="1357"/>
      <c r="S8974" s="1420"/>
      <c r="T8974" s="1420"/>
      <c r="V8974" s="1357">
        <v>11</v>
      </c>
    </row>
    <row r="8975" spans="1:22" s="841" customFormat="1" ht="15" x14ac:dyDescent="0.25">
      <c r="A8975" s="841" t="s">
        <v>173</v>
      </c>
      <c r="E8975" s="1939" t="s">
        <v>3063</v>
      </c>
      <c r="F8975" s="1939"/>
      <c r="G8975" s="1939"/>
      <c r="H8975" s="1940"/>
      <c r="K8975" s="841" t="s">
        <v>3477</v>
      </c>
      <c r="M8975" s="1357"/>
      <c r="Q8975" s="1357"/>
      <c r="S8975" s="1420"/>
      <c r="T8975" s="1420"/>
      <c r="V8975" s="1357">
        <v>280</v>
      </c>
    </row>
    <row r="8976" spans="1:22" s="841" customFormat="1" ht="15" x14ac:dyDescent="0.25">
      <c r="A8976" s="841" t="s">
        <v>173</v>
      </c>
      <c r="E8976" s="1939" t="s">
        <v>3064</v>
      </c>
      <c r="F8976" s="1939"/>
      <c r="G8976" s="1939"/>
      <c r="H8976" s="1940"/>
      <c r="K8976" s="841" t="s">
        <v>3477</v>
      </c>
      <c r="M8976" s="1357"/>
      <c r="Q8976" s="1357"/>
      <c r="S8976" s="1420"/>
      <c r="T8976" s="1420"/>
      <c r="V8976" s="1357">
        <v>411</v>
      </c>
    </row>
    <row r="8977" spans="1:22" s="841" customFormat="1" ht="15" x14ac:dyDescent="0.25">
      <c r="A8977" s="841" t="s">
        <v>173</v>
      </c>
      <c r="E8977" s="1939" t="s">
        <v>3199</v>
      </c>
      <c r="F8977" s="1939"/>
      <c r="G8977" s="1939"/>
      <c r="H8977" s="1940"/>
      <c r="K8977" s="841" t="s">
        <v>3477</v>
      </c>
      <c r="M8977" s="1357"/>
      <c r="Q8977" s="1357"/>
      <c r="S8977" s="1420"/>
      <c r="T8977" s="1420"/>
      <c r="V8977" s="1357">
        <v>386</v>
      </c>
    </row>
    <row r="8978" spans="1:22" s="841" customFormat="1" ht="15" x14ac:dyDescent="0.25">
      <c r="A8978" s="841" t="s">
        <v>173</v>
      </c>
      <c r="E8978" s="1939" t="s">
        <v>3200</v>
      </c>
      <c r="F8978" s="1939"/>
      <c r="G8978" s="1939"/>
      <c r="H8978" s="1940"/>
      <c r="K8978" s="841" t="s">
        <v>3477</v>
      </c>
      <c r="M8978" s="1357"/>
      <c r="Q8978" s="1357"/>
      <c r="S8978" s="1420"/>
      <c r="T8978" s="1420"/>
      <c r="V8978" s="1357">
        <v>275</v>
      </c>
    </row>
    <row r="8979" spans="1:22" s="841" customFormat="1" ht="15" x14ac:dyDescent="0.25">
      <c r="A8979" s="841" t="s">
        <v>173</v>
      </c>
      <c r="E8979" s="1919" t="s">
        <v>3067</v>
      </c>
      <c r="F8979" s="1943"/>
      <c r="G8979" s="1907"/>
      <c r="H8979" s="1907"/>
      <c r="K8979" s="841" t="s">
        <v>3130</v>
      </c>
      <c r="M8979" s="1357"/>
      <c r="Q8979" s="1357"/>
      <c r="S8979" s="1420"/>
      <c r="T8979" s="1420"/>
      <c r="V8979" s="1357">
        <v>46</v>
      </c>
    </row>
    <row r="8980" spans="1:22" s="841" customFormat="1" ht="15" x14ac:dyDescent="0.25">
      <c r="A8980" s="841" t="s">
        <v>173</v>
      </c>
      <c r="E8980" s="1918" t="s">
        <v>12</v>
      </c>
      <c r="F8980" s="1918"/>
      <c r="G8980" s="664" t="s">
        <v>23</v>
      </c>
      <c r="H8980" s="391">
        <v>1.43</v>
      </c>
      <c r="K8980" s="841" t="s">
        <v>3477</v>
      </c>
      <c r="L8980" s="841" t="s">
        <v>442</v>
      </c>
      <c r="M8980" s="1357"/>
      <c r="P8980" s="841" t="s">
        <v>3478</v>
      </c>
      <c r="Q8980" s="1357"/>
      <c r="S8980" s="1420"/>
      <c r="T8980" s="1420"/>
      <c r="V8980" s="1357">
        <v>31</v>
      </c>
    </row>
    <row r="8981" spans="1:22" s="841" customFormat="1" ht="15" x14ac:dyDescent="0.25">
      <c r="A8981" s="841" t="s">
        <v>173</v>
      </c>
      <c r="E8981" s="1918" t="s">
        <v>84</v>
      </c>
      <c r="F8981" s="1918"/>
      <c r="G8981" s="664" t="s">
        <v>33</v>
      </c>
      <c r="H8981" s="393">
        <v>6.0068000000000001</v>
      </c>
      <c r="K8981" s="841" t="s">
        <v>3477</v>
      </c>
      <c r="L8981" s="841" t="s">
        <v>442</v>
      </c>
      <c r="M8981" s="1357"/>
      <c r="P8981" s="841" t="s">
        <v>3479</v>
      </c>
      <c r="Q8981" s="1357"/>
      <c r="S8981" s="1420"/>
      <c r="T8981" s="1420"/>
      <c r="V8981" s="1357">
        <v>28</v>
      </c>
    </row>
    <row r="8982" spans="1:22" s="841" customFormat="1" ht="15" x14ac:dyDescent="0.25">
      <c r="A8982" s="841" t="s">
        <v>173</v>
      </c>
      <c r="E8982" s="1918" t="s">
        <v>221</v>
      </c>
      <c r="F8982" s="1918"/>
      <c r="G8982" s="664" t="s">
        <v>33</v>
      </c>
      <c r="H8982" s="393">
        <v>2.3374999999999999</v>
      </c>
      <c r="K8982" s="841" t="s">
        <v>3477</v>
      </c>
      <c r="L8982" s="841" t="s">
        <v>444</v>
      </c>
      <c r="M8982" s="1357"/>
      <c r="P8982" s="841" t="s">
        <v>3482</v>
      </c>
      <c r="Q8982" s="1357"/>
      <c r="S8982" s="1420"/>
      <c r="T8982" s="1420"/>
      <c r="V8982" s="1357">
        <v>47</v>
      </c>
    </row>
    <row r="8983" spans="1:22" s="841" customFormat="1" ht="15" x14ac:dyDescent="0.25">
      <c r="A8983" s="841" t="s">
        <v>173</v>
      </c>
      <c r="E8983" s="1918" t="s">
        <v>217</v>
      </c>
      <c r="F8983" s="1918"/>
      <c r="G8983" s="664" t="s">
        <v>33</v>
      </c>
      <c r="H8983" s="393">
        <v>1.657</v>
      </c>
      <c r="K8983" s="841" t="s">
        <v>3477</v>
      </c>
      <c r="L8983" s="841" t="s">
        <v>444</v>
      </c>
      <c r="M8983" s="1357"/>
      <c r="P8983" s="841" t="s">
        <v>3483</v>
      </c>
      <c r="Q8983" s="1357"/>
      <c r="S8983" s="1420"/>
      <c r="T8983" s="1420"/>
      <c r="V8983" s="1357">
        <v>74</v>
      </c>
    </row>
    <row r="8984" spans="1:22" s="841" customFormat="1" ht="15" x14ac:dyDescent="0.25">
      <c r="A8984" s="841" t="s">
        <v>173</v>
      </c>
      <c r="E8984" s="1919" t="s">
        <v>3079</v>
      </c>
      <c r="F8984" s="1942"/>
      <c r="G8984" s="679"/>
      <c r="H8984" s="1093"/>
      <c r="K8984" s="841" t="s">
        <v>3260</v>
      </c>
      <c r="M8984" s="1357"/>
      <c r="Q8984" s="1357"/>
      <c r="S8984" s="1420"/>
      <c r="T8984" s="1420"/>
      <c r="V8984" s="1357">
        <v>48</v>
      </c>
    </row>
    <row r="8985" spans="1:22" s="841" customFormat="1" ht="15" x14ac:dyDescent="0.25">
      <c r="A8985" s="841" t="s">
        <v>173</v>
      </c>
      <c r="E8985" s="1920" t="s">
        <v>2449</v>
      </c>
      <c r="F8985" s="1690"/>
      <c r="G8985" s="664" t="s">
        <v>24</v>
      </c>
      <c r="H8985" s="739">
        <v>3.2000000000000002E-3</v>
      </c>
      <c r="K8985" s="841" t="s">
        <v>3477</v>
      </c>
      <c r="L8985" s="841" t="s">
        <v>3046</v>
      </c>
      <c r="M8985" s="1357"/>
      <c r="P8985" s="841" t="s">
        <v>3484</v>
      </c>
      <c r="Q8985" s="1357"/>
      <c r="S8985" s="1420"/>
      <c r="T8985" s="1420"/>
      <c r="V8985" s="1357">
        <v>55</v>
      </c>
    </row>
    <row r="8986" spans="1:22" s="841" customFormat="1" ht="15" x14ac:dyDescent="0.25">
      <c r="A8986" s="841" t="s">
        <v>173</v>
      </c>
      <c r="E8986" s="1920" t="s">
        <v>2450</v>
      </c>
      <c r="F8986" s="1690"/>
      <c r="G8986" s="664" t="s">
        <v>24</v>
      </c>
      <c r="H8986" s="739">
        <v>4.0000000000000002E-4</v>
      </c>
      <c r="K8986" s="841" t="s">
        <v>3477</v>
      </c>
      <c r="L8986" s="841" t="s">
        <v>3046</v>
      </c>
      <c r="M8986" s="1357"/>
      <c r="P8986" s="841" t="s">
        <v>3484</v>
      </c>
      <c r="Q8986" s="1357"/>
      <c r="S8986" s="1420"/>
      <c r="T8986" s="1420"/>
      <c r="V8986" s="1357">
        <v>65</v>
      </c>
    </row>
    <row r="8987" spans="1:22" s="841" customFormat="1" ht="15" x14ac:dyDescent="0.25">
      <c r="A8987" s="841" t="s">
        <v>173</v>
      </c>
      <c r="E8987" s="1920" t="s">
        <v>439</v>
      </c>
      <c r="F8987" s="1690"/>
      <c r="G8987" s="664" t="s">
        <v>24</v>
      </c>
      <c r="H8987" s="739">
        <v>2.9999999999999997E-4</v>
      </c>
      <c r="K8987" s="841" t="s">
        <v>3477</v>
      </c>
      <c r="L8987" s="841" t="s">
        <v>3046</v>
      </c>
      <c r="M8987" s="1357"/>
      <c r="P8987" s="841" t="s">
        <v>3485</v>
      </c>
      <c r="Q8987" s="1357"/>
      <c r="S8987" s="1420"/>
      <c r="T8987" s="1420"/>
      <c r="V8987" s="1357">
        <v>57</v>
      </c>
    </row>
    <row r="8988" spans="1:22" s="841" customFormat="1" ht="15" x14ac:dyDescent="0.25">
      <c r="A8988" s="841" t="s">
        <v>173</v>
      </c>
      <c r="E8988" s="1920" t="s">
        <v>32</v>
      </c>
      <c r="F8988" s="1690"/>
      <c r="G8988" s="664" t="s">
        <v>23</v>
      </c>
      <c r="H8988" s="738">
        <v>0.25</v>
      </c>
      <c r="K8988" s="841" t="s">
        <v>3477</v>
      </c>
      <c r="L8988" s="841" t="s">
        <v>3046</v>
      </c>
      <c r="M8988" s="1357"/>
      <c r="P8988" s="841" t="s">
        <v>3486</v>
      </c>
      <c r="Q8988" s="1357"/>
      <c r="S8988" s="1420"/>
      <c r="T8988" s="1420"/>
      <c r="V8988" s="1357">
        <v>63</v>
      </c>
    </row>
    <row r="8989" spans="1:22" s="841" customFormat="1" x14ac:dyDescent="0.25">
      <c r="A8989" s="841" t="s">
        <v>173</v>
      </c>
      <c r="E8989" s="1967" t="s">
        <v>617</v>
      </c>
      <c r="F8989" s="1967"/>
      <c r="G8989" s="1967"/>
      <c r="H8989" s="1968"/>
      <c r="K8989" s="841" t="s">
        <v>3634</v>
      </c>
      <c r="M8989" s="1357"/>
      <c r="Q8989" s="1357"/>
      <c r="S8989" s="1420"/>
      <c r="T8989" s="1420"/>
      <c r="V8989" s="1357">
        <v>47</v>
      </c>
    </row>
    <row r="8990" spans="1:22" s="841" customFormat="1" ht="15" x14ac:dyDescent="0.25">
      <c r="A8990" s="841" t="s">
        <v>173</v>
      </c>
      <c r="E8990" s="1939" t="s">
        <v>3377</v>
      </c>
      <c r="F8990" s="1939"/>
      <c r="G8990" s="1939"/>
      <c r="H8990" s="1940"/>
      <c r="K8990" s="841" t="s">
        <v>3634</v>
      </c>
      <c r="M8990" s="1357"/>
      <c r="Q8990" s="1357"/>
      <c r="S8990" s="1420"/>
      <c r="T8990" s="1420"/>
      <c r="V8990" s="1357">
        <v>554</v>
      </c>
    </row>
    <row r="8991" spans="1:22" s="841" customFormat="1" ht="15" x14ac:dyDescent="0.25">
      <c r="A8991" s="841" t="s">
        <v>173</v>
      </c>
      <c r="E8991" s="1944" t="s">
        <v>3061</v>
      </c>
      <c r="F8991" s="1697"/>
      <c r="G8991" s="1697"/>
      <c r="H8991" s="1697"/>
      <c r="K8991" s="841" t="s">
        <v>3266</v>
      </c>
      <c r="M8991" s="1357"/>
      <c r="Q8991" s="1357"/>
      <c r="S8991" s="1420"/>
      <c r="T8991" s="1420"/>
      <c r="V8991" s="1357">
        <v>11</v>
      </c>
    </row>
    <row r="8992" spans="1:22" s="841" customFormat="1" ht="15" x14ac:dyDescent="0.25">
      <c r="A8992" s="841" t="s">
        <v>173</v>
      </c>
      <c r="E8992" s="1939" t="s">
        <v>3063</v>
      </c>
      <c r="F8992" s="1939"/>
      <c r="G8992" s="1939"/>
      <c r="H8992" s="1940"/>
      <c r="K8992" s="841" t="s">
        <v>3634</v>
      </c>
      <c r="M8992" s="1357"/>
      <c r="Q8992" s="1357"/>
      <c r="S8992" s="1420"/>
      <c r="T8992" s="1420"/>
      <c r="V8992" s="1357">
        <v>280</v>
      </c>
    </row>
    <row r="8993" spans="1:22" s="841" customFormat="1" ht="15" x14ac:dyDescent="0.25">
      <c r="A8993" s="841" t="s">
        <v>173</v>
      </c>
      <c r="E8993" s="1939" t="s">
        <v>3064</v>
      </c>
      <c r="F8993" s="1939"/>
      <c r="G8993" s="1939"/>
      <c r="H8993" s="1940"/>
      <c r="K8993" s="841" t="s">
        <v>3634</v>
      </c>
      <c r="M8993" s="1357"/>
      <c r="Q8993" s="1357"/>
      <c r="S8993" s="1420"/>
      <c r="T8993" s="1420"/>
      <c r="V8993" s="1357">
        <v>411</v>
      </c>
    </row>
    <row r="8994" spans="1:22" s="841" customFormat="1" ht="15" x14ac:dyDescent="0.25">
      <c r="A8994" s="841" t="s">
        <v>173</v>
      </c>
      <c r="E8994" s="1939" t="s">
        <v>3199</v>
      </c>
      <c r="F8994" s="1939"/>
      <c r="G8994" s="1939"/>
      <c r="H8994" s="1940"/>
      <c r="K8994" s="841" t="s">
        <v>3634</v>
      </c>
      <c r="M8994" s="1357"/>
      <c r="Q8994" s="1357"/>
      <c r="S8994" s="1420"/>
      <c r="T8994" s="1420"/>
      <c r="V8994" s="1357">
        <v>386</v>
      </c>
    </row>
    <row r="8995" spans="1:22" s="841" customFormat="1" ht="15" x14ac:dyDescent="0.25">
      <c r="A8995" s="841" t="s">
        <v>173</v>
      </c>
      <c r="E8995" s="1939" t="s">
        <v>3200</v>
      </c>
      <c r="F8995" s="1939"/>
      <c r="G8995" s="1939"/>
      <c r="H8995" s="1940"/>
      <c r="K8995" s="841" t="s">
        <v>3634</v>
      </c>
      <c r="M8995" s="1357"/>
      <c r="Q8995" s="1357"/>
      <c r="S8995" s="1420"/>
      <c r="T8995" s="1420"/>
      <c r="V8995" s="1357">
        <v>275</v>
      </c>
    </row>
    <row r="8996" spans="1:22" s="841" customFormat="1" ht="15" x14ac:dyDescent="0.25">
      <c r="A8996" s="841" t="s">
        <v>173</v>
      </c>
      <c r="E8996" s="1919" t="s">
        <v>3067</v>
      </c>
      <c r="F8996" s="1943"/>
      <c r="G8996" s="1907"/>
      <c r="H8996" s="1907"/>
      <c r="K8996" s="841" t="s">
        <v>3267</v>
      </c>
      <c r="M8996" s="1357"/>
      <c r="Q8996" s="1357"/>
      <c r="S8996" s="1420"/>
      <c r="T8996" s="1420"/>
      <c r="V8996" s="1357">
        <v>46</v>
      </c>
    </row>
    <row r="8997" spans="1:22" s="841" customFormat="1" ht="15" x14ac:dyDescent="0.25">
      <c r="A8997" s="841" t="s">
        <v>173</v>
      </c>
      <c r="E8997" s="1918" t="s">
        <v>12</v>
      </c>
      <c r="F8997" s="1918"/>
      <c r="G8997" s="664" t="s">
        <v>23</v>
      </c>
      <c r="H8997" s="391">
        <v>12.96</v>
      </c>
      <c r="K8997" s="841" t="s">
        <v>3634</v>
      </c>
      <c r="L8997" s="841" t="s">
        <v>442</v>
      </c>
      <c r="M8997" s="1357"/>
      <c r="P8997" s="841" t="s">
        <v>3635</v>
      </c>
      <c r="Q8997" s="1357"/>
      <c r="S8997" s="1420"/>
      <c r="T8997" s="1420"/>
      <c r="V8997" s="1357">
        <v>31</v>
      </c>
    </row>
    <row r="8998" spans="1:22" s="841" customFormat="1" ht="15" x14ac:dyDescent="0.25">
      <c r="A8998" s="841" t="s">
        <v>173</v>
      </c>
      <c r="E8998" s="1918" t="s">
        <v>84</v>
      </c>
      <c r="F8998" s="1918"/>
      <c r="G8998" s="664" t="s">
        <v>24</v>
      </c>
      <c r="H8998" s="393">
        <v>8.9999999999999993E-3</v>
      </c>
      <c r="K8998" s="841" t="s">
        <v>3634</v>
      </c>
      <c r="L8998" s="841" t="s">
        <v>442</v>
      </c>
      <c r="M8998" s="1357"/>
      <c r="P8998" s="841" t="s">
        <v>3636</v>
      </c>
      <c r="Q8998" s="1357"/>
      <c r="S8998" s="1420"/>
      <c r="T8998" s="1420"/>
      <c r="V8998" s="1357">
        <v>28</v>
      </c>
    </row>
    <row r="8999" spans="1:22" s="841" customFormat="1" ht="15" x14ac:dyDescent="0.25">
      <c r="A8999" s="841" t="s">
        <v>173</v>
      </c>
      <c r="E8999" s="1918" t="s">
        <v>221</v>
      </c>
      <c r="F8999" s="1918"/>
      <c r="G8999" s="664" t="s">
        <v>24</v>
      </c>
      <c r="H8999" s="393">
        <v>4.1999999999999997E-3</v>
      </c>
      <c r="K8999" s="841" t="s">
        <v>3634</v>
      </c>
      <c r="L8999" s="841" t="s">
        <v>444</v>
      </c>
      <c r="M8999" s="1357"/>
      <c r="P8999" s="841" t="s">
        <v>3639</v>
      </c>
      <c r="Q8999" s="1357"/>
      <c r="S8999" s="1420"/>
      <c r="T8999" s="1420"/>
      <c r="V8999" s="1357">
        <v>47</v>
      </c>
    </row>
    <row r="9000" spans="1:22" s="841" customFormat="1" ht="15" x14ac:dyDescent="0.25">
      <c r="A9000" s="841" t="s">
        <v>173</v>
      </c>
      <c r="E9000" s="1918" t="s">
        <v>217</v>
      </c>
      <c r="F9000" s="1918"/>
      <c r="G9000" s="664" t="s">
        <v>24</v>
      </c>
      <c r="H9000" s="393">
        <v>5.3E-3</v>
      </c>
      <c r="K9000" s="841" t="s">
        <v>3634</v>
      </c>
      <c r="L9000" s="841" t="s">
        <v>444</v>
      </c>
      <c r="M9000" s="1357"/>
      <c r="P9000" s="841" t="s">
        <v>3640</v>
      </c>
      <c r="Q9000" s="1357"/>
      <c r="S9000" s="1420"/>
      <c r="T9000" s="1420"/>
      <c r="V9000" s="1357">
        <v>74</v>
      </c>
    </row>
    <row r="9001" spans="1:22" s="841" customFormat="1" ht="15" x14ac:dyDescent="0.25">
      <c r="A9001" s="841" t="s">
        <v>173</v>
      </c>
      <c r="E9001" s="1919" t="s">
        <v>3079</v>
      </c>
      <c r="F9001" s="1942"/>
      <c r="G9001" s="679"/>
      <c r="H9001" s="1093"/>
      <c r="K9001" s="841" t="s">
        <v>3276</v>
      </c>
      <c r="M9001" s="1357"/>
      <c r="Q9001" s="1357"/>
      <c r="S9001" s="1420"/>
      <c r="T9001" s="1420"/>
      <c r="V9001" s="1357">
        <v>48</v>
      </c>
    </row>
    <row r="9002" spans="1:22" s="841" customFormat="1" ht="15" x14ac:dyDescent="0.25">
      <c r="A9002" s="841" t="s">
        <v>173</v>
      </c>
      <c r="E9002" s="1920" t="s">
        <v>2449</v>
      </c>
      <c r="F9002" s="1690"/>
      <c r="G9002" s="664" t="s">
        <v>24</v>
      </c>
      <c r="H9002" s="739">
        <v>3.2000000000000002E-3</v>
      </c>
      <c r="K9002" s="841" t="s">
        <v>3634</v>
      </c>
      <c r="L9002" s="841" t="s">
        <v>3046</v>
      </c>
      <c r="M9002" s="1357"/>
      <c r="P9002" s="841" t="s">
        <v>3641</v>
      </c>
      <c r="Q9002" s="1357"/>
      <c r="S9002" s="1420"/>
      <c r="T9002" s="1420"/>
      <c r="V9002" s="1357">
        <v>55</v>
      </c>
    </row>
    <row r="9003" spans="1:22" s="841" customFormat="1" ht="15" x14ac:dyDescent="0.25">
      <c r="A9003" s="841" t="s">
        <v>173</v>
      </c>
      <c r="E9003" s="1920" t="s">
        <v>2450</v>
      </c>
      <c r="F9003" s="1690"/>
      <c r="G9003" s="664" t="s">
        <v>24</v>
      </c>
      <c r="H9003" s="739">
        <v>4.0000000000000002E-4</v>
      </c>
      <c r="K9003" s="841" t="s">
        <v>3634</v>
      </c>
      <c r="L9003" s="841" t="s">
        <v>3046</v>
      </c>
      <c r="M9003" s="1357"/>
      <c r="P9003" s="841" t="s">
        <v>3641</v>
      </c>
      <c r="Q9003" s="1357"/>
      <c r="S9003" s="1420"/>
      <c r="T9003" s="1420"/>
      <c r="V9003" s="1357">
        <v>65</v>
      </c>
    </row>
    <row r="9004" spans="1:22" s="841" customFormat="1" ht="15" x14ac:dyDescent="0.25">
      <c r="A9004" s="841" t="s">
        <v>173</v>
      </c>
      <c r="E9004" s="1920" t="s">
        <v>439</v>
      </c>
      <c r="F9004" s="1690"/>
      <c r="G9004" s="664" t="s">
        <v>24</v>
      </c>
      <c r="H9004" s="739">
        <v>2.9999999999999997E-4</v>
      </c>
      <c r="K9004" s="841" t="s">
        <v>3634</v>
      </c>
      <c r="L9004" s="841" t="s">
        <v>3046</v>
      </c>
      <c r="M9004" s="1357"/>
      <c r="P9004" s="841" t="s">
        <v>3642</v>
      </c>
      <c r="Q9004" s="1357"/>
      <c r="S9004" s="1420"/>
      <c r="T9004" s="1420"/>
      <c r="V9004" s="1357">
        <v>57</v>
      </c>
    </row>
    <row r="9005" spans="1:22" s="841" customFormat="1" ht="15" x14ac:dyDescent="0.25">
      <c r="A9005" s="841" t="s">
        <v>173</v>
      </c>
      <c r="E9005" s="1920" t="s">
        <v>32</v>
      </c>
      <c r="F9005" s="1690"/>
      <c r="G9005" s="664" t="s">
        <v>23</v>
      </c>
      <c r="H9005" s="738">
        <v>0.25</v>
      </c>
      <c r="K9005" s="841" t="s">
        <v>3634</v>
      </c>
      <c r="L9005" s="841" t="s">
        <v>3046</v>
      </c>
      <c r="M9005" s="1357"/>
      <c r="P9005" s="841" t="s">
        <v>3643</v>
      </c>
      <c r="Q9005" s="1357"/>
      <c r="S9005" s="1420"/>
      <c r="T9005" s="1420"/>
      <c r="V9005" s="1357">
        <v>63</v>
      </c>
    </row>
    <row r="9006" spans="1:22" s="841" customFormat="1" x14ac:dyDescent="0.25">
      <c r="A9006" s="841" t="s">
        <v>173</v>
      </c>
      <c r="E9006" s="1967" t="s">
        <v>631</v>
      </c>
      <c r="F9006" s="1967"/>
      <c r="G9006" s="1967"/>
      <c r="H9006" s="1968"/>
      <c r="K9006" s="841" t="s">
        <v>3342</v>
      </c>
      <c r="M9006" s="1357"/>
      <c r="Q9006" s="1357"/>
      <c r="S9006" s="1420"/>
      <c r="T9006" s="1420"/>
      <c r="V9006" s="1357">
        <v>36</v>
      </c>
    </row>
    <row r="9007" spans="1:22" s="841" customFormat="1" ht="15" x14ac:dyDescent="0.25">
      <c r="A9007" s="841" t="s">
        <v>173</v>
      </c>
      <c r="E9007" s="1939" t="s">
        <v>3343</v>
      </c>
      <c r="F9007" s="1939"/>
      <c r="G9007" s="1939"/>
      <c r="H9007" s="1940"/>
      <c r="K9007" s="841" t="s">
        <v>3342</v>
      </c>
      <c r="M9007" s="1357"/>
      <c r="Q9007" s="1357"/>
      <c r="S9007" s="1420"/>
      <c r="T9007" s="1420"/>
      <c r="V9007" s="1357">
        <v>219</v>
      </c>
    </row>
    <row r="9008" spans="1:22" s="841" customFormat="1" ht="15" x14ac:dyDescent="0.25">
      <c r="A9008" s="841" t="s">
        <v>173</v>
      </c>
      <c r="E9008" s="1944" t="s">
        <v>3061</v>
      </c>
      <c r="F9008" s="1697"/>
      <c r="G9008" s="1697"/>
      <c r="H9008" s="1697"/>
      <c r="K9008" s="841" t="s">
        <v>3281</v>
      </c>
      <c r="M9008" s="1357"/>
      <c r="Q9008" s="1357"/>
      <c r="S9008" s="1420"/>
      <c r="T9008" s="1420"/>
      <c r="V9008" s="1357">
        <v>11</v>
      </c>
    </row>
    <row r="9009" spans="1:22" s="841" customFormat="1" ht="15" x14ac:dyDescent="0.25">
      <c r="A9009" s="841" t="s">
        <v>173</v>
      </c>
      <c r="E9009" s="1939" t="s">
        <v>3063</v>
      </c>
      <c r="F9009" s="1939"/>
      <c r="G9009" s="1939"/>
      <c r="H9009" s="1940"/>
      <c r="K9009" s="841" t="s">
        <v>3342</v>
      </c>
      <c r="M9009" s="1357"/>
      <c r="Q9009" s="1357"/>
      <c r="S9009" s="1420"/>
      <c r="T9009" s="1420"/>
      <c r="V9009" s="1357">
        <v>280</v>
      </c>
    </row>
    <row r="9010" spans="1:22" s="841" customFormat="1" ht="15" x14ac:dyDescent="0.25">
      <c r="A9010" s="841" t="s">
        <v>173</v>
      </c>
      <c r="E9010" s="1939" t="s">
        <v>3064</v>
      </c>
      <c r="F9010" s="1939"/>
      <c r="G9010" s="1939"/>
      <c r="H9010" s="1940"/>
      <c r="K9010" s="841" t="s">
        <v>3342</v>
      </c>
      <c r="M9010" s="1357"/>
      <c r="Q9010" s="1357"/>
      <c r="S9010" s="1420"/>
      <c r="T9010" s="1420"/>
      <c r="V9010" s="1357">
        <v>411</v>
      </c>
    </row>
    <row r="9011" spans="1:22" s="841" customFormat="1" ht="15" x14ac:dyDescent="0.25">
      <c r="A9011" s="841" t="s">
        <v>173</v>
      </c>
      <c r="E9011" s="1939" t="s">
        <v>3129</v>
      </c>
      <c r="F9011" s="1939"/>
      <c r="G9011" s="1939"/>
      <c r="H9011" s="1940"/>
      <c r="K9011" s="841" t="s">
        <v>3342</v>
      </c>
      <c r="M9011" s="1357"/>
      <c r="Q9011" s="1357"/>
      <c r="S9011" s="1420"/>
      <c r="T9011" s="1420"/>
      <c r="V9011" s="1357">
        <v>211</v>
      </c>
    </row>
    <row r="9012" spans="1:22" s="841" customFormat="1" ht="15" x14ac:dyDescent="0.25">
      <c r="A9012" s="841" t="s">
        <v>173</v>
      </c>
      <c r="E9012" s="1939" t="s">
        <v>3200</v>
      </c>
      <c r="F9012" s="1939"/>
      <c r="G9012" s="1939"/>
      <c r="H9012" s="1940"/>
      <c r="K9012" s="841" t="s">
        <v>3342</v>
      </c>
      <c r="M9012" s="1357"/>
      <c r="Q9012" s="1357"/>
      <c r="S9012" s="1420"/>
      <c r="T9012" s="1420"/>
      <c r="V9012" s="1357">
        <v>275</v>
      </c>
    </row>
    <row r="9013" spans="1:22" s="841" customFormat="1" ht="15" x14ac:dyDescent="0.25">
      <c r="A9013" s="841" t="s">
        <v>173</v>
      </c>
      <c r="E9013" s="1919" t="s">
        <v>3344</v>
      </c>
      <c r="F9013" s="1907"/>
      <c r="G9013" s="1907"/>
      <c r="H9013" s="1907"/>
      <c r="K9013" s="841" t="s">
        <v>3282</v>
      </c>
      <c r="M9013" s="1357"/>
      <c r="Q9013" s="1357"/>
      <c r="S9013" s="1420"/>
      <c r="T9013" s="1420"/>
      <c r="V9013" s="1357">
        <v>77</v>
      </c>
    </row>
    <row r="9014" spans="1:22" s="841" customFormat="1" ht="15" x14ac:dyDescent="0.25">
      <c r="A9014" s="841" t="s">
        <v>173</v>
      </c>
      <c r="E9014" s="1918" t="s">
        <v>3387</v>
      </c>
      <c r="F9014" s="1918"/>
      <c r="G9014" s="664" t="s">
        <v>33</v>
      </c>
      <c r="H9014" s="676">
        <v>1.7182999999999999</v>
      </c>
      <c r="K9014" s="841" t="s">
        <v>3342</v>
      </c>
      <c r="L9014" s="841" t="s">
        <v>442</v>
      </c>
      <c r="M9014" s="1357"/>
      <c r="P9014" s="841" t="s">
        <v>6171</v>
      </c>
      <c r="Q9014" s="1357"/>
      <c r="S9014" s="1420"/>
      <c r="T9014" s="1420"/>
      <c r="V9014" s="1357">
        <v>164</v>
      </c>
    </row>
    <row r="9015" spans="1:22" s="841" customFormat="1" x14ac:dyDescent="0.25">
      <c r="A9015" s="841" t="s">
        <v>173</v>
      </c>
      <c r="E9015" s="1307" t="s">
        <v>85</v>
      </c>
      <c r="F9015" s="703"/>
      <c r="G9015" s="703"/>
      <c r="H9015" s="704"/>
      <c r="K9015" s="841" t="s">
        <v>3388</v>
      </c>
      <c r="M9015" s="1357"/>
      <c r="Q9015" s="1357"/>
      <c r="S9015" s="1420"/>
      <c r="T9015" s="1420"/>
      <c r="V9015" s="1357">
        <v>10</v>
      </c>
    </row>
    <row r="9016" spans="1:22" s="841" customFormat="1" ht="15" x14ac:dyDescent="0.25">
      <c r="A9016" s="841" t="s">
        <v>173</v>
      </c>
      <c r="E9016" s="1690" t="s">
        <v>3133</v>
      </c>
      <c r="F9016" s="1690"/>
      <c r="G9016" s="664" t="s">
        <v>33</v>
      </c>
      <c r="H9016" s="681">
        <v>-0.6</v>
      </c>
      <c r="M9016" s="1357"/>
      <c r="Q9016" s="1357"/>
      <c r="S9016" s="1420"/>
      <c r="T9016" s="1420"/>
      <c r="V9016" s="1357">
        <v>68</v>
      </c>
    </row>
    <row r="9017" spans="1:22" s="841" customFormat="1" ht="15" x14ac:dyDescent="0.25">
      <c r="A9017" s="841" t="s">
        <v>173</v>
      </c>
      <c r="E9017" s="1690" t="s">
        <v>3134</v>
      </c>
      <c r="F9017" s="1690"/>
      <c r="G9017" s="669" t="s">
        <v>86</v>
      </c>
      <c r="H9017" s="706">
        <v>-1</v>
      </c>
      <c r="M9017" s="1357"/>
      <c r="Q9017" s="1357"/>
      <c r="S9017" s="1420"/>
      <c r="T9017" s="1420"/>
      <c r="V9017" s="1357">
        <v>87</v>
      </c>
    </row>
    <row r="9018" spans="1:22" s="841" customFormat="1" ht="36" x14ac:dyDescent="0.25">
      <c r="A9018" s="841" t="s">
        <v>173</v>
      </c>
      <c r="E9018" s="1307" t="s">
        <v>87</v>
      </c>
      <c r="F9018" s="703"/>
      <c r="G9018" s="703"/>
      <c r="H9018" s="728"/>
      <c r="K9018" s="841" t="s">
        <v>3389</v>
      </c>
      <c r="M9018" s="1357"/>
      <c r="Q9018" s="1357"/>
      <c r="S9018" s="1420"/>
      <c r="T9018" s="1420"/>
      <c r="V9018" s="1357">
        <v>24</v>
      </c>
    </row>
    <row r="9019" spans="1:22" s="841" customFormat="1" ht="15" x14ac:dyDescent="0.25">
      <c r="A9019" s="841" t="s">
        <v>173</v>
      </c>
      <c r="E9019" s="1979" t="s">
        <v>3061</v>
      </c>
      <c r="F9019" s="1689"/>
      <c r="G9019" s="1689"/>
      <c r="H9019" s="1689"/>
      <c r="M9019" s="1357"/>
      <c r="Q9019" s="1357"/>
      <c r="S9019" s="1420"/>
      <c r="T9019" s="1420"/>
      <c r="V9019" s="1357">
        <v>11</v>
      </c>
    </row>
    <row r="9020" spans="1:22" s="841" customFormat="1" ht="15" x14ac:dyDescent="0.25">
      <c r="A9020" s="841" t="s">
        <v>173</v>
      </c>
      <c r="E9020" s="1945" t="s">
        <v>3063</v>
      </c>
      <c r="F9020" s="1945"/>
      <c r="G9020" s="1945"/>
      <c r="H9020" s="1946"/>
      <c r="M9020" s="1357"/>
      <c r="Q9020" s="1357"/>
      <c r="S9020" s="1420"/>
      <c r="T9020" s="1420"/>
      <c r="V9020" s="1357">
        <v>280</v>
      </c>
    </row>
    <row r="9021" spans="1:22" s="841" customFormat="1" ht="15" x14ac:dyDescent="0.25">
      <c r="A9021" s="841" t="s">
        <v>173</v>
      </c>
      <c r="E9021" s="1945" t="s">
        <v>3136</v>
      </c>
      <c r="F9021" s="1945"/>
      <c r="G9021" s="1945"/>
      <c r="H9021" s="1946"/>
      <c r="M9021" s="1357"/>
      <c r="Q9021" s="1357"/>
      <c r="S9021" s="1420"/>
      <c r="T9021" s="1420"/>
      <c r="V9021" s="1357">
        <v>353</v>
      </c>
    </row>
    <row r="9022" spans="1:22" s="841" customFormat="1" ht="15" x14ac:dyDescent="0.25">
      <c r="A9022" s="841" t="s">
        <v>173</v>
      </c>
      <c r="E9022" s="1994" t="s">
        <v>3390</v>
      </c>
      <c r="F9022" s="1994"/>
      <c r="G9022" s="1994"/>
      <c r="H9022" s="1995"/>
      <c r="M9022" s="1357"/>
      <c r="Q9022" s="1357"/>
      <c r="S9022" s="1420"/>
      <c r="T9022" s="1420"/>
      <c r="V9022" s="1357">
        <v>274</v>
      </c>
    </row>
    <row r="9023" spans="1:22" s="841" customFormat="1" ht="15" x14ac:dyDescent="0.25">
      <c r="A9023" s="841" t="s">
        <v>173</v>
      </c>
      <c r="E9023" s="1308" t="s">
        <v>3137</v>
      </c>
      <c r="F9023" s="710"/>
      <c r="G9023" s="710"/>
      <c r="H9023" s="711"/>
      <c r="K9023" s="841" t="s">
        <v>3391</v>
      </c>
      <c r="M9023" s="1357"/>
      <c r="Q9023" s="1357"/>
      <c r="S9023" s="1420"/>
      <c r="T9023" s="1420"/>
      <c r="V9023" s="1357">
        <v>23</v>
      </c>
    </row>
    <row r="9024" spans="1:22" s="841" customFormat="1" ht="15" x14ac:dyDescent="0.25">
      <c r="A9024" s="841" t="s">
        <v>173</v>
      </c>
      <c r="E9024" s="1924" t="s">
        <v>5712</v>
      </c>
      <c r="F9024" s="1924"/>
      <c r="G9024" s="664" t="s">
        <v>23</v>
      </c>
      <c r="H9024" s="699">
        <v>15</v>
      </c>
      <c r="M9024" s="1357"/>
      <c r="Q9024" s="1357"/>
      <c r="S9024" s="1420"/>
      <c r="T9024" s="1420"/>
      <c r="V9024" s="1357">
        <v>23</v>
      </c>
    </row>
    <row r="9025" spans="1:22" s="841" customFormat="1" ht="15" x14ac:dyDescent="0.25">
      <c r="A9025" s="841" t="s">
        <v>173</v>
      </c>
      <c r="E9025" s="1924" t="s">
        <v>5713</v>
      </c>
      <c r="F9025" s="1924"/>
      <c r="G9025" s="664" t="s">
        <v>23</v>
      </c>
      <c r="H9025" s="699">
        <v>15</v>
      </c>
      <c r="M9025" s="1357"/>
      <c r="Q9025" s="1357"/>
      <c r="S9025" s="1420"/>
      <c r="T9025" s="1420"/>
      <c r="V9025" s="1357">
        <v>64</v>
      </c>
    </row>
    <row r="9026" spans="1:22" s="841" customFormat="1" ht="15" x14ac:dyDescent="0.25">
      <c r="A9026" s="841" t="s">
        <v>173</v>
      </c>
      <c r="E9026" s="1924" t="s">
        <v>3392</v>
      </c>
      <c r="F9026" s="1924"/>
      <c r="G9026" s="664" t="s">
        <v>23</v>
      </c>
      <c r="H9026" s="699">
        <v>15</v>
      </c>
      <c r="M9026" s="1357"/>
      <c r="Q9026" s="1357"/>
      <c r="S9026" s="1420"/>
      <c r="T9026" s="1420"/>
      <c r="V9026" s="1357">
        <v>43</v>
      </c>
    </row>
    <row r="9027" spans="1:22" s="841" customFormat="1" ht="15" x14ac:dyDescent="0.25">
      <c r="A9027" s="841" t="s">
        <v>173</v>
      </c>
      <c r="E9027" s="1924" t="s">
        <v>3393</v>
      </c>
      <c r="F9027" s="1924"/>
      <c r="G9027" s="664" t="s">
        <v>23</v>
      </c>
      <c r="H9027" s="699">
        <v>30</v>
      </c>
      <c r="M9027" s="1357"/>
      <c r="Q9027" s="1357"/>
      <c r="S9027" s="1420"/>
      <c r="T9027" s="1420"/>
      <c r="V9027" s="1357">
        <v>97</v>
      </c>
    </row>
    <row r="9028" spans="1:22" s="841" customFormat="1" ht="15" x14ac:dyDescent="0.25">
      <c r="A9028" s="841" t="s">
        <v>173</v>
      </c>
      <c r="E9028" s="1924" t="s">
        <v>3394</v>
      </c>
      <c r="F9028" s="1924"/>
      <c r="G9028" s="664" t="s">
        <v>23</v>
      </c>
      <c r="H9028" s="699">
        <v>30</v>
      </c>
      <c r="M9028" s="1357"/>
      <c r="Q9028" s="1357"/>
      <c r="S9028" s="1420"/>
      <c r="T9028" s="1420"/>
      <c r="V9028" s="1357">
        <v>82</v>
      </c>
    </row>
    <row r="9029" spans="1:22" s="841" customFormat="1" ht="15" x14ac:dyDescent="0.25">
      <c r="A9029" s="841" t="s">
        <v>173</v>
      </c>
      <c r="E9029" s="1308" t="s">
        <v>3152</v>
      </c>
      <c r="F9029" s="712"/>
      <c r="G9029" s="712"/>
      <c r="H9029" s="1245"/>
      <c r="K9029" s="841" t="s">
        <v>3395</v>
      </c>
      <c r="M9029" s="1357"/>
      <c r="Q9029" s="1357"/>
      <c r="S9029" s="1420"/>
      <c r="T9029" s="1420"/>
      <c r="V9029" s="1357">
        <v>22</v>
      </c>
    </row>
    <row r="9030" spans="1:22" s="841" customFormat="1" ht="15" x14ac:dyDescent="0.25">
      <c r="A9030" s="841" t="s">
        <v>173</v>
      </c>
      <c r="E9030" s="1924" t="s">
        <v>5714</v>
      </c>
      <c r="F9030" s="1924"/>
      <c r="G9030" s="669" t="s">
        <v>86</v>
      </c>
      <c r="H9030" s="699">
        <v>1.5</v>
      </c>
      <c r="M9030" s="1357"/>
      <c r="Q9030" s="1357"/>
      <c r="S9030" s="1420"/>
      <c r="T9030" s="1420"/>
      <c r="V9030" s="1357">
        <v>32</v>
      </c>
    </row>
    <row r="9031" spans="1:22" s="841" customFormat="1" ht="15" x14ac:dyDescent="0.25">
      <c r="A9031" s="841" t="s">
        <v>173</v>
      </c>
      <c r="E9031" s="1924" t="s">
        <v>5715</v>
      </c>
      <c r="F9031" s="1924"/>
      <c r="G9031" s="669" t="s">
        <v>86</v>
      </c>
      <c r="H9031" s="699">
        <v>19.559999999999999</v>
      </c>
      <c r="M9031" s="1357"/>
      <c r="Q9031" s="1357"/>
      <c r="S9031" s="1420"/>
      <c r="T9031" s="1420"/>
      <c r="V9031" s="1357">
        <v>32</v>
      </c>
    </row>
    <row r="9032" spans="1:22" s="841" customFormat="1" ht="15" x14ac:dyDescent="0.25">
      <c r="A9032" s="841" t="s">
        <v>173</v>
      </c>
      <c r="E9032" s="1924" t="s">
        <v>3396</v>
      </c>
      <c r="F9032" s="1924"/>
      <c r="G9032" s="664" t="s">
        <v>23</v>
      </c>
      <c r="H9032" s="699">
        <v>30</v>
      </c>
      <c r="M9032" s="1357"/>
      <c r="Q9032" s="1357"/>
      <c r="S9032" s="1420"/>
      <c r="T9032" s="1420"/>
      <c r="V9032" s="1357">
        <v>55</v>
      </c>
    </row>
    <row r="9033" spans="1:22" s="841" customFormat="1" ht="15" x14ac:dyDescent="0.25">
      <c r="A9033" s="841" t="s">
        <v>173</v>
      </c>
      <c r="E9033" s="1924" t="s">
        <v>5716</v>
      </c>
      <c r="F9033" s="1924"/>
      <c r="G9033" s="664" t="s">
        <v>23</v>
      </c>
      <c r="H9033" s="699">
        <v>65</v>
      </c>
      <c r="M9033" s="1357"/>
      <c r="Q9033" s="1357"/>
      <c r="S9033" s="1420"/>
      <c r="T9033" s="1420"/>
      <c r="V9033" s="1357">
        <v>60</v>
      </c>
    </row>
    <row r="9034" spans="1:22" s="841" customFormat="1" ht="15" x14ac:dyDescent="0.25">
      <c r="A9034" s="841" t="s">
        <v>173</v>
      </c>
      <c r="E9034" s="1924" t="s">
        <v>5717</v>
      </c>
      <c r="F9034" s="1924"/>
      <c r="G9034" s="664" t="s">
        <v>23</v>
      </c>
      <c r="H9034" s="699">
        <v>185</v>
      </c>
      <c r="M9034" s="1357"/>
      <c r="Q9034" s="1357"/>
      <c r="S9034" s="1420"/>
      <c r="T9034" s="1420"/>
      <c r="V9034" s="1357">
        <v>59</v>
      </c>
    </row>
    <row r="9035" spans="1:22" s="841" customFormat="1" ht="15" x14ac:dyDescent="0.25">
      <c r="A9035" s="841" t="s">
        <v>173</v>
      </c>
      <c r="E9035" s="1924" t="s">
        <v>5718</v>
      </c>
      <c r="F9035" s="1924"/>
      <c r="G9035" s="664" t="s">
        <v>23</v>
      </c>
      <c r="H9035" s="699">
        <v>185</v>
      </c>
      <c r="M9035" s="1357"/>
      <c r="Q9035" s="1357"/>
      <c r="S9035" s="1420"/>
      <c r="T9035" s="1420"/>
      <c r="V9035" s="1357">
        <v>59</v>
      </c>
    </row>
    <row r="9036" spans="1:22" s="841" customFormat="1" ht="15" x14ac:dyDescent="0.25">
      <c r="A9036" s="841" t="s">
        <v>173</v>
      </c>
      <c r="E9036" s="1924" t="s">
        <v>5719</v>
      </c>
      <c r="F9036" s="1924"/>
      <c r="G9036" s="664" t="s">
        <v>23</v>
      </c>
      <c r="H9036" s="699">
        <v>415</v>
      </c>
      <c r="M9036" s="1357"/>
      <c r="Q9036" s="1357"/>
      <c r="S9036" s="1420"/>
      <c r="T9036" s="1420"/>
      <c r="V9036" s="1357">
        <v>58</v>
      </c>
    </row>
    <row r="9037" spans="1:22" s="841" customFormat="1" ht="15" x14ac:dyDescent="0.25">
      <c r="A9037" s="841" t="s">
        <v>173</v>
      </c>
      <c r="E9037" s="1924" t="s">
        <v>5720</v>
      </c>
      <c r="F9037" s="1924"/>
      <c r="G9037" s="664" t="s">
        <v>23</v>
      </c>
      <c r="H9037" s="699">
        <v>65</v>
      </c>
      <c r="M9037" s="1357"/>
      <c r="Q9037" s="1357"/>
      <c r="S9037" s="1420"/>
      <c r="T9037" s="1420"/>
      <c r="V9037" s="1357">
        <v>65</v>
      </c>
    </row>
    <row r="9038" spans="1:22" s="841" customFormat="1" ht="15" x14ac:dyDescent="0.25">
      <c r="A9038" s="841" t="s">
        <v>173</v>
      </c>
      <c r="E9038" s="1924" t="s">
        <v>5721</v>
      </c>
      <c r="F9038" s="1924"/>
      <c r="G9038" s="664" t="s">
        <v>23</v>
      </c>
      <c r="H9038" s="699">
        <v>185</v>
      </c>
      <c r="M9038" s="1357"/>
      <c r="Q9038" s="1357"/>
      <c r="S9038" s="1420"/>
      <c r="T9038" s="1420"/>
      <c r="V9038" s="1357">
        <v>64</v>
      </c>
    </row>
    <row r="9039" spans="1:22" s="841" customFormat="1" ht="15" x14ac:dyDescent="0.25">
      <c r="A9039" s="841" t="s">
        <v>173</v>
      </c>
      <c r="E9039" s="1308" t="s">
        <v>3164</v>
      </c>
      <c r="F9039" s="712"/>
      <c r="G9039" s="712"/>
      <c r="H9039" s="1245"/>
      <c r="M9039" s="1357"/>
      <c r="Q9039" s="1357"/>
      <c r="S9039" s="1420"/>
      <c r="T9039" s="1420"/>
      <c r="V9039" s="1357">
        <v>5</v>
      </c>
    </row>
    <row r="9040" spans="1:22" s="841" customFormat="1" ht="15" x14ac:dyDescent="0.25">
      <c r="A9040" s="841" t="s">
        <v>173</v>
      </c>
      <c r="E9040" s="1924" t="s">
        <v>3397</v>
      </c>
      <c r="F9040" s="1924"/>
      <c r="G9040" s="664" t="s">
        <v>23</v>
      </c>
      <c r="H9040" s="699">
        <v>500</v>
      </c>
      <c r="M9040" s="1357"/>
      <c r="Q9040" s="1357"/>
      <c r="S9040" s="1420"/>
      <c r="T9040" s="1420"/>
      <c r="V9040" s="1357">
        <v>70</v>
      </c>
    </row>
    <row r="9041" spans="1:22" s="841" customFormat="1" ht="15" x14ac:dyDescent="0.25">
      <c r="A9041" s="841" t="s">
        <v>173</v>
      </c>
      <c r="E9041" s="1924" t="s">
        <v>5722</v>
      </c>
      <c r="F9041" s="1924"/>
      <c r="G9041" s="664" t="s">
        <v>23</v>
      </c>
      <c r="H9041" s="699">
        <v>300</v>
      </c>
      <c r="M9041" s="1357"/>
      <c r="Q9041" s="1357"/>
      <c r="S9041" s="1420"/>
      <c r="T9041" s="1420"/>
      <c r="V9041" s="1357">
        <v>75</v>
      </c>
    </row>
    <row r="9042" spans="1:22" s="841" customFormat="1" ht="15" x14ac:dyDescent="0.25">
      <c r="A9042" s="841" t="s">
        <v>173</v>
      </c>
      <c r="E9042" s="1688" t="s">
        <v>5723</v>
      </c>
      <c r="F9042" s="1688"/>
      <c r="G9042" s="669" t="s">
        <v>23</v>
      </c>
      <c r="H9042" s="671">
        <v>22.35</v>
      </c>
      <c r="M9042" s="1357"/>
      <c r="Q9042" s="1357"/>
      <c r="S9042" s="1420"/>
      <c r="T9042" s="1420"/>
      <c r="V9042" s="1357">
        <v>122</v>
      </c>
    </row>
    <row r="9043" spans="1:22" s="841" customFormat="1" ht="15" x14ac:dyDescent="0.25">
      <c r="A9043" s="841" t="s">
        <v>173</v>
      </c>
      <c r="E9043" s="1947" t="s">
        <v>3398</v>
      </c>
      <c r="F9043" s="1947"/>
      <c r="G9043" s="664" t="s">
        <v>23</v>
      </c>
      <c r="H9043" s="699">
        <v>60</v>
      </c>
      <c r="M9043" s="1357"/>
      <c r="Q9043" s="1357"/>
      <c r="S9043" s="1420"/>
      <c r="T9043" s="1420"/>
      <c r="V9043" s="1357">
        <v>43</v>
      </c>
    </row>
    <row r="9044" spans="1:22" s="841" customFormat="1" ht="36" x14ac:dyDescent="0.25">
      <c r="A9044" s="841" t="s">
        <v>173</v>
      </c>
      <c r="E9044" s="1307" t="s">
        <v>77</v>
      </c>
      <c r="F9044" s="703"/>
      <c r="G9044" s="703"/>
      <c r="H9044" s="728"/>
      <c r="K9044" s="841" t="s">
        <v>3399</v>
      </c>
      <c r="M9044" s="1357"/>
      <c r="Q9044" s="1357"/>
      <c r="S9044" s="1420"/>
      <c r="T9044" s="1420"/>
      <c r="V9044" s="1357">
        <v>38</v>
      </c>
    </row>
    <row r="9045" spans="1:22" s="841" customFormat="1" ht="15" x14ac:dyDescent="0.25">
      <c r="A9045" s="841" t="s">
        <v>173</v>
      </c>
      <c r="E9045" s="1945" t="s">
        <v>3063</v>
      </c>
      <c r="F9045" s="1945"/>
      <c r="G9045" s="1945"/>
      <c r="H9045" s="1946"/>
      <c r="M9045" s="1357"/>
      <c r="Q9045" s="1357"/>
      <c r="S9045" s="1420"/>
      <c r="T9045" s="1420"/>
      <c r="V9045" s="1357">
        <v>280</v>
      </c>
    </row>
    <row r="9046" spans="1:22" s="841" customFormat="1" ht="15" x14ac:dyDescent="0.25">
      <c r="A9046" s="841" t="s">
        <v>173</v>
      </c>
      <c r="E9046" s="1945" t="s">
        <v>3064</v>
      </c>
      <c r="F9046" s="1945"/>
      <c r="G9046" s="1945"/>
      <c r="H9046" s="1946"/>
      <c r="M9046" s="1357"/>
      <c r="Q9046" s="1357"/>
      <c r="S9046" s="1420"/>
      <c r="T9046" s="1420"/>
      <c r="V9046" s="1357">
        <v>411</v>
      </c>
    </row>
    <row r="9047" spans="1:22" s="841" customFormat="1" ht="15" x14ac:dyDescent="0.25">
      <c r="A9047" s="841" t="s">
        <v>173</v>
      </c>
      <c r="E9047" s="1945" t="s">
        <v>3129</v>
      </c>
      <c r="F9047" s="1945"/>
      <c r="G9047" s="1945"/>
      <c r="H9047" s="1946"/>
      <c r="M9047" s="1357"/>
      <c r="Q9047" s="1357"/>
      <c r="S9047" s="1420"/>
      <c r="T9047" s="1420"/>
      <c r="V9047" s="1357">
        <v>211</v>
      </c>
    </row>
    <row r="9048" spans="1:22" s="841" customFormat="1" ht="15" x14ac:dyDescent="0.25">
      <c r="A9048" s="841" t="s">
        <v>173</v>
      </c>
      <c r="E9048" s="1945" t="s">
        <v>3390</v>
      </c>
      <c r="F9048" s="1945"/>
      <c r="G9048" s="1945"/>
      <c r="H9048" s="1946"/>
      <c r="M9048" s="1357"/>
      <c r="Q9048" s="1357"/>
      <c r="S9048" s="1420"/>
      <c r="T9048" s="1420"/>
      <c r="V9048" s="1357">
        <v>274</v>
      </c>
    </row>
    <row r="9049" spans="1:22" s="841" customFormat="1" ht="15" x14ac:dyDescent="0.25">
      <c r="A9049" s="841" t="s">
        <v>173</v>
      </c>
      <c r="E9049" s="1945" t="s">
        <v>3291</v>
      </c>
      <c r="F9049" s="1945"/>
      <c r="G9049" s="1945"/>
      <c r="H9049" s="1946"/>
      <c r="M9049" s="1357"/>
      <c r="Q9049" s="1357"/>
      <c r="S9049" s="1420"/>
      <c r="T9049" s="1420"/>
      <c r="V9049" s="1357">
        <v>142</v>
      </c>
    </row>
    <row r="9050" spans="1:22" s="841" customFormat="1" ht="15" x14ac:dyDescent="0.25">
      <c r="A9050" s="841" t="s">
        <v>173</v>
      </c>
      <c r="E9050" s="1918" t="s">
        <v>3176</v>
      </c>
      <c r="F9050" s="1918"/>
      <c r="G9050" s="666" t="s">
        <v>23</v>
      </c>
      <c r="H9050" s="715">
        <v>100</v>
      </c>
      <c r="M9050" s="1357"/>
      <c r="Q9050" s="1357"/>
      <c r="S9050" s="1420"/>
      <c r="T9050" s="1420"/>
      <c r="V9050" s="1357">
        <v>106</v>
      </c>
    </row>
    <row r="9051" spans="1:22" s="841" customFormat="1" ht="15" x14ac:dyDescent="0.25">
      <c r="A9051" s="841" t="s">
        <v>173</v>
      </c>
      <c r="E9051" s="1918" t="s">
        <v>5140</v>
      </c>
      <c r="F9051" s="1918"/>
      <c r="G9051" s="666" t="s">
        <v>23</v>
      </c>
      <c r="H9051" s="715">
        <v>20</v>
      </c>
      <c r="M9051" s="1357"/>
      <c r="Q9051" s="1357"/>
      <c r="S9051" s="1420"/>
      <c r="T9051" s="1420"/>
      <c r="V9051" s="1357">
        <v>34</v>
      </c>
    </row>
    <row r="9052" spans="1:22" s="841" customFormat="1" ht="15" x14ac:dyDescent="0.25">
      <c r="A9052" s="841" t="s">
        <v>173</v>
      </c>
      <c r="E9052" s="1918" t="s">
        <v>5141</v>
      </c>
      <c r="F9052" s="1918"/>
      <c r="G9052" s="672" t="s">
        <v>3179</v>
      </c>
      <c r="H9052" s="715">
        <v>0.5</v>
      </c>
      <c r="M9052" s="1357"/>
      <c r="Q9052" s="1357"/>
      <c r="S9052" s="1420"/>
      <c r="T9052" s="1420"/>
      <c r="V9052" s="1357">
        <v>51</v>
      </c>
    </row>
    <row r="9053" spans="1:22" s="841" customFormat="1" ht="15" x14ac:dyDescent="0.25">
      <c r="A9053" s="841" t="s">
        <v>173</v>
      </c>
      <c r="E9053" s="1918" t="s">
        <v>3180</v>
      </c>
      <c r="F9053" s="1918"/>
      <c r="G9053" s="672" t="s">
        <v>3179</v>
      </c>
      <c r="H9053" s="715">
        <v>0.3</v>
      </c>
      <c r="M9053" s="1357"/>
      <c r="Q9053" s="1357"/>
      <c r="S9053" s="1420"/>
      <c r="T9053" s="1420"/>
      <c r="V9053" s="1357">
        <v>75</v>
      </c>
    </row>
    <row r="9054" spans="1:22" s="841" customFormat="1" ht="15" x14ac:dyDescent="0.25">
      <c r="A9054" s="841" t="s">
        <v>173</v>
      </c>
      <c r="E9054" s="1918" t="s">
        <v>3181</v>
      </c>
      <c r="F9054" s="1918"/>
      <c r="G9054" s="672" t="s">
        <v>3179</v>
      </c>
      <c r="H9054" s="715">
        <v>-0.3</v>
      </c>
      <c r="M9054" s="1357"/>
      <c r="Q9054" s="1357"/>
      <c r="S9054" s="1420"/>
      <c r="T9054" s="1420"/>
      <c r="V9054" s="1357">
        <v>72</v>
      </c>
    </row>
    <row r="9055" spans="1:22" s="841" customFormat="1" ht="15" x14ac:dyDescent="0.25">
      <c r="A9055" s="841" t="s">
        <v>173</v>
      </c>
      <c r="E9055" s="1918" t="s">
        <v>3182</v>
      </c>
      <c r="F9055" s="1918"/>
      <c r="G9055" s="716"/>
      <c r="H9055" s="717"/>
      <c r="M9055" s="1357"/>
      <c r="Q9055" s="1357"/>
      <c r="S9055" s="1420"/>
      <c r="T9055" s="1420"/>
      <c r="V9055" s="1357">
        <v>35</v>
      </c>
    </row>
    <row r="9056" spans="1:22" s="841" customFormat="1" ht="15" x14ac:dyDescent="0.25">
      <c r="A9056" s="841" t="s">
        <v>173</v>
      </c>
      <c r="E9056" s="2028" t="s">
        <v>3183</v>
      </c>
      <c r="F9056" s="2028"/>
      <c r="G9056" s="666" t="s">
        <v>23</v>
      </c>
      <c r="H9056" s="715">
        <v>0.25</v>
      </c>
      <c r="M9056" s="1357"/>
      <c r="Q9056" s="1357"/>
      <c r="S9056" s="1420"/>
      <c r="T9056" s="1420"/>
      <c r="V9056" s="1357">
        <v>57</v>
      </c>
    </row>
    <row r="9057" spans="1:22" s="841" customFormat="1" ht="15" x14ac:dyDescent="0.25">
      <c r="A9057" s="841" t="s">
        <v>173</v>
      </c>
      <c r="E9057" s="2028" t="s">
        <v>3184</v>
      </c>
      <c r="F9057" s="2028"/>
      <c r="G9057" s="666" t="s">
        <v>23</v>
      </c>
      <c r="H9057" s="715">
        <v>0.5</v>
      </c>
      <c r="M9057" s="1357"/>
      <c r="Q9057" s="1357"/>
      <c r="S9057" s="1420"/>
      <c r="T9057" s="1420"/>
      <c r="V9057" s="1357">
        <v>60</v>
      </c>
    </row>
    <row r="9058" spans="1:22" s="841" customFormat="1" ht="15" x14ac:dyDescent="0.25">
      <c r="A9058" s="841" t="s">
        <v>173</v>
      </c>
      <c r="E9058" s="1918" t="s">
        <v>3185</v>
      </c>
      <c r="F9058" s="1918"/>
      <c r="G9058" s="716"/>
      <c r="H9058" s="717"/>
      <c r="M9058" s="1357"/>
      <c r="Q9058" s="1357"/>
      <c r="S9058" s="1420"/>
      <c r="T9058" s="1420"/>
      <c r="V9058" s="1357">
        <v>91</v>
      </c>
    </row>
    <row r="9059" spans="1:22" s="841" customFormat="1" ht="15" x14ac:dyDescent="0.25">
      <c r="A9059" s="841" t="s">
        <v>173</v>
      </c>
      <c r="E9059" s="1918" t="s">
        <v>3186</v>
      </c>
      <c r="F9059" s="1918"/>
      <c r="G9059" s="716"/>
      <c r="H9059" s="717"/>
      <c r="M9059" s="1357"/>
      <c r="Q9059" s="1357"/>
      <c r="S9059" s="1420"/>
      <c r="T9059" s="1420"/>
      <c r="V9059" s="1357">
        <v>96</v>
      </c>
    </row>
    <row r="9060" spans="1:22" s="841" customFormat="1" ht="15" x14ac:dyDescent="0.25">
      <c r="A9060" s="841" t="s">
        <v>173</v>
      </c>
      <c r="E9060" s="1918" t="s">
        <v>3187</v>
      </c>
      <c r="F9060" s="1918"/>
      <c r="G9060" s="716"/>
      <c r="H9060" s="717"/>
      <c r="M9060" s="1357"/>
      <c r="Q9060" s="1357"/>
      <c r="S9060" s="1420"/>
      <c r="T9060" s="1420"/>
      <c r="V9060" s="1357">
        <v>78</v>
      </c>
    </row>
    <row r="9061" spans="1:22" s="841" customFormat="1" ht="15" x14ac:dyDescent="0.25">
      <c r="A9061" s="841" t="s">
        <v>173</v>
      </c>
      <c r="E9061" s="2028" t="s">
        <v>5724</v>
      </c>
      <c r="F9061" s="2028"/>
      <c r="G9061" s="666" t="s">
        <v>23</v>
      </c>
      <c r="H9061" s="715" t="s">
        <v>3189</v>
      </c>
      <c r="M9061" s="1357"/>
      <c r="Q9061" s="1357"/>
      <c r="S9061" s="1420"/>
      <c r="T9061" s="1420"/>
      <c r="V9061" s="1357">
        <v>25</v>
      </c>
    </row>
    <row r="9062" spans="1:22" s="841" customFormat="1" ht="15" x14ac:dyDescent="0.25">
      <c r="A9062" s="841" t="s">
        <v>173</v>
      </c>
      <c r="E9062" s="2028" t="s">
        <v>5725</v>
      </c>
      <c r="F9062" s="2028"/>
      <c r="G9062" s="666" t="s">
        <v>23</v>
      </c>
      <c r="H9062" s="715">
        <v>2</v>
      </c>
      <c r="M9062" s="1357"/>
      <c r="Q9062" s="1357"/>
      <c r="S9062" s="1420"/>
      <c r="T9062" s="1420"/>
      <c r="V9062" s="1357">
        <v>76</v>
      </c>
    </row>
    <row r="9063" spans="1:22" s="841" customFormat="1" x14ac:dyDescent="0.25">
      <c r="A9063" s="841" t="s">
        <v>173</v>
      </c>
      <c r="E9063" s="1307" t="s">
        <v>147</v>
      </c>
      <c r="F9063" s="703"/>
      <c r="G9063" s="703"/>
      <c r="H9063" s="728"/>
      <c r="K9063" s="841" t="s">
        <v>3400</v>
      </c>
      <c r="M9063" s="1357"/>
      <c r="Q9063" s="1357"/>
      <c r="S9063" s="1420"/>
      <c r="T9063" s="1420"/>
      <c r="V9063" s="1357">
        <v>12</v>
      </c>
    </row>
    <row r="9064" spans="1:22" s="841" customFormat="1" ht="15" x14ac:dyDescent="0.25">
      <c r="A9064" s="841" t="s">
        <v>173</v>
      </c>
      <c r="E9064" s="1938" t="s">
        <v>3192</v>
      </c>
      <c r="F9064" s="1938"/>
      <c r="G9064" s="1938"/>
      <c r="H9064" s="2105"/>
      <c r="M9064" s="1357"/>
      <c r="Q9064" s="1357"/>
      <c r="S9064" s="1420"/>
      <c r="T9064" s="1420"/>
      <c r="V9064" s="1357">
        <v>203</v>
      </c>
    </row>
    <row r="9065" spans="1:22" s="841" customFormat="1" ht="15" x14ac:dyDescent="0.25">
      <c r="A9065" s="841" t="s">
        <v>173</v>
      </c>
      <c r="E9065" s="1690" t="s">
        <v>3295</v>
      </c>
      <c r="F9065" s="1690"/>
      <c r="G9065" s="700"/>
      <c r="H9065" s="676">
        <v>1.032</v>
      </c>
      <c r="M9065" s="1357"/>
      <c r="Q9065" s="1357"/>
      <c r="S9065" s="1420"/>
      <c r="T9065" s="1420"/>
      <c r="V9065" s="1357">
        <v>57</v>
      </c>
    </row>
    <row r="9066" spans="1:22" s="841" customFormat="1" ht="15" x14ac:dyDescent="0.25">
      <c r="A9066" s="841" t="s">
        <v>173</v>
      </c>
      <c r="E9066" s="1690" t="s">
        <v>3297</v>
      </c>
      <c r="F9066" s="1690"/>
      <c r="G9066" s="700"/>
      <c r="H9066" s="676">
        <v>1.0217821782178218</v>
      </c>
      <c r="J9066" s="841" t="s">
        <v>3401</v>
      </c>
      <c r="M9066" s="1357"/>
      <c r="Q9066" s="1357"/>
      <c r="S9066" s="1420"/>
      <c r="T9066" s="1420"/>
      <c r="V9066" s="1357">
        <v>55</v>
      </c>
    </row>
    <row r="9067" spans="1:22" s="841" customFormat="1" ht="23.25" x14ac:dyDescent="0.25">
      <c r="A9067" s="841" t="s">
        <v>208</v>
      </c>
      <c r="C9067" s="841" t="s">
        <v>3050</v>
      </c>
      <c r="E9067" s="2106" t="s">
        <v>208</v>
      </c>
      <c r="F9067" s="2106"/>
      <c r="G9067" s="2106"/>
      <c r="H9067" s="2106"/>
      <c r="I9067" s="841" t="s">
        <v>628</v>
      </c>
      <c r="J9067" s="841" t="s">
        <v>4807</v>
      </c>
      <c r="K9067" s="841" t="s">
        <v>208</v>
      </c>
      <c r="M9067" s="1357">
        <v>7</v>
      </c>
      <c r="Q9067" s="1357"/>
      <c r="S9067" s="1420"/>
      <c r="T9067" s="1420"/>
      <c r="V9067" s="1357">
        <v>37</v>
      </c>
    </row>
    <row r="9068" spans="1:22" s="841" customFormat="1" x14ac:dyDescent="0.25">
      <c r="A9068" s="841" t="s">
        <v>208</v>
      </c>
      <c r="C9068" s="841" t="s">
        <v>3052</v>
      </c>
      <c r="E9068" s="1700" t="s">
        <v>3053</v>
      </c>
      <c r="F9068" s="1700"/>
      <c r="G9068" s="1700"/>
      <c r="H9068" s="1700"/>
      <c r="M9068" s="1357"/>
      <c r="Q9068" s="1357"/>
      <c r="S9068" s="1420"/>
      <c r="T9068" s="1420"/>
      <c r="V9068" s="1357">
        <v>27</v>
      </c>
    </row>
    <row r="9069" spans="1:22" s="841" customFormat="1" ht="15.75" x14ac:dyDescent="0.25">
      <c r="A9069" s="841" t="s">
        <v>208</v>
      </c>
      <c r="C9069" s="841" t="s">
        <v>3054</v>
      </c>
      <c r="E9069" s="1701" t="s">
        <v>5107</v>
      </c>
      <c r="F9069" s="1701"/>
      <c r="G9069" s="1701"/>
      <c r="H9069" s="1701"/>
      <c r="M9069" s="1357"/>
      <c r="Q9069" s="1357"/>
      <c r="S9069" s="1420">
        <v>43221</v>
      </c>
      <c r="T9069" s="1420"/>
      <c r="V9069" s="1357">
        <v>45</v>
      </c>
    </row>
    <row r="9070" spans="1:22" s="841" customFormat="1" ht="15" x14ac:dyDescent="0.25">
      <c r="A9070" s="841" t="s">
        <v>208</v>
      </c>
      <c r="C9070" s="841" t="s">
        <v>3055</v>
      </c>
      <c r="E9070" s="1702" t="s">
        <v>3056</v>
      </c>
      <c r="F9070" s="1702"/>
      <c r="G9070" s="1702"/>
      <c r="H9070" s="1702"/>
      <c r="M9070" s="1357"/>
      <c r="Q9070" s="1357"/>
      <c r="S9070" s="1420"/>
      <c r="T9070" s="1420"/>
      <c r="V9070" s="1357">
        <v>52</v>
      </c>
    </row>
    <row r="9071" spans="1:22" s="841" customFormat="1" ht="15" x14ac:dyDescent="0.25">
      <c r="A9071" s="841" t="s">
        <v>208</v>
      </c>
      <c r="E9071" s="1702" t="s">
        <v>3057</v>
      </c>
      <c r="F9071" s="1702"/>
      <c r="G9071" s="1702"/>
      <c r="H9071" s="1702"/>
      <c r="M9071" s="1357"/>
      <c r="Q9071" s="1357"/>
      <c r="S9071" s="1420"/>
      <c r="T9071" s="1420"/>
      <c r="V9071" s="1357">
        <v>53</v>
      </c>
    </row>
    <row r="9072" spans="1:22" s="841" customFormat="1" ht="15" x14ac:dyDescent="0.25">
      <c r="A9072" s="841" t="s">
        <v>208</v>
      </c>
      <c r="E9072" s="1703" t="s">
        <v>5726</v>
      </c>
      <c r="F9072" s="1703"/>
      <c r="G9072" s="1703"/>
      <c r="H9072" s="1703"/>
      <c r="K9072" s="841" t="s">
        <v>5726</v>
      </c>
      <c r="M9072" s="1357"/>
      <c r="Q9072" s="1357"/>
      <c r="S9072" s="1420"/>
      <c r="T9072" s="1420"/>
      <c r="V9072" s="1357">
        <v>12</v>
      </c>
    </row>
    <row r="9073" spans="1:22" s="841" customFormat="1" x14ac:dyDescent="0.25">
      <c r="A9073" s="841" t="s">
        <v>208</v>
      </c>
      <c r="E9073" s="1695" t="s">
        <v>438</v>
      </c>
      <c r="F9073" s="1698"/>
      <c r="G9073" s="1698"/>
      <c r="H9073" s="1698"/>
      <c r="K9073" s="841" t="s">
        <v>3197</v>
      </c>
      <c r="M9073" s="1357"/>
      <c r="Q9073" s="1357"/>
      <c r="S9073" s="1420"/>
      <c r="T9073" s="1420"/>
      <c r="V9073" s="1357">
        <v>34</v>
      </c>
    </row>
    <row r="9074" spans="1:22" s="841" customFormat="1" ht="15" x14ac:dyDescent="0.25">
      <c r="A9074" s="841" t="s">
        <v>208</v>
      </c>
      <c r="E9074" s="1689" t="s">
        <v>4808</v>
      </c>
      <c r="F9074" s="1689"/>
      <c r="G9074" s="1689"/>
      <c r="H9074" s="1689"/>
      <c r="K9074" s="841" t="s">
        <v>3197</v>
      </c>
      <c r="M9074" s="1357"/>
      <c r="Q9074" s="1357"/>
      <c r="S9074" s="1420"/>
      <c r="T9074" s="1420"/>
      <c r="V9074" s="1357">
        <v>349</v>
      </c>
    </row>
    <row r="9075" spans="1:22" s="841" customFormat="1" ht="15" x14ac:dyDescent="0.25">
      <c r="A9075" s="841" t="s">
        <v>208</v>
      </c>
      <c r="E9075" s="1689" t="s">
        <v>4809</v>
      </c>
      <c r="F9075" s="1689"/>
      <c r="G9075" s="1689"/>
      <c r="H9075" s="1689"/>
      <c r="K9075" s="841" t="s">
        <v>3197</v>
      </c>
      <c r="M9075" s="1357"/>
      <c r="Q9075" s="1357"/>
      <c r="S9075" s="1420"/>
      <c r="T9075" s="1420"/>
      <c r="V9075" s="1357">
        <v>266</v>
      </c>
    </row>
    <row r="9076" spans="1:22" s="841" customFormat="1" ht="15" x14ac:dyDescent="0.25">
      <c r="A9076" s="841" t="s">
        <v>208</v>
      </c>
      <c r="E9076" s="1696" t="s">
        <v>3061</v>
      </c>
      <c r="F9076" s="1697"/>
      <c r="G9076" s="1697"/>
      <c r="H9076" s="1697"/>
      <c r="K9076" s="841" t="s">
        <v>3062</v>
      </c>
      <c r="M9076" s="1357"/>
      <c r="Q9076" s="1357"/>
      <c r="S9076" s="1420"/>
      <c r="T9076" s="1420"/>
      <c r="V9076" s="1357">
        <v>11</v>
      </c>
    </row>
    <row r="9077" spans="1:22" s="841" customFormat="1" ht="15" x14ac:dyDescent="0.25">
      <c r="A9077" s="841" t="s">
        <v>208</v>
      </c>
      <c r="E9077" s="1689" t="s">
        <v>3063</v>
      </c>
      <c r="F9077" s="1689"/>
      <c r="G9077" s="1689"/>
      <c r="H9077" s="1689"/>
      <c r="K9077" s="841" t="s">
        <v>3197</v>
      </c>
      <c r="M9077" s="1357"/>
      <c r="Q9077" s="1357"/>
      <c r="S9077" s="1420"/>
      <c r="T9077" s="1420"/>
      <c r="V9077" s="1357">
        <v>280</v>
      </c>
    </row>
    <row r="9078" spans="1:22" s="841" customFormat="1" ht="15" x14ac:dyDescent="0.25">
      <c r="A9078" s="841" t="s">
        <v>208</v>
      </c>
      <c r="E9078" s="1689" t="s">
        <v>3064</v>
      </c>
      <c r="F9078" s="1689"/>
      <c r="G9078" s="1689"/>
      <c r="H9078" s="1689"/>
      <c r="K9078" s="841" t="s">
        <v>3197</v>
      </c>
      <c r="M9078" s="1357"/>
      <c r="Q9078" s="1357"/>
      <c r="S9078" s="1420"/>
      <c r="T9078" s="1420"/>
      <c r="V9078" s="1357">
        <v>411</v>
      </c>
    </row>
    <row r="9079" spans="1:22" s="841" customFormat="1" ht="15" x14ac:dyDescent="0.25">
      <c r="A9079" s="841" t="s">
        <v>208</v>
      </c>
      <c r="E9079" s="1689" t="s">
        <v>3199</v>
      </c>
      <c r="F9079" s="1689"/>
      <c r="G9079" s="1689"/>
      <c r="H9079" s="1689"/>
      <c r="K9079" s="841" t="s">
        <v>3197</v>
      </c>
      <c r="M9079" s="1357"/>
      <c r="Q9079" s="1357"/>
      <c r="S9079" s="1420"/>
      <c r="T9079" s="1420"/>
      <c r="V9079" s="1357">
        <v>386</v>
      </c>
    </row>
    <row r="9080" spans="1:22" s="841" customFormat="1" ht="15" x14ac:dyDescent="0.25">
      <c r="A9080" s="841" t="s">
        <v>208</v>
      </c>
      <c r="E9080" s="1689" t="s">
        <v>3066</v>
      </c>
      <c r="F9080" s="1689"/>
      <c r="G9080" s="1689"/>
      <c r="H9080" s="1689"/>
      <c r="K9080" s="841" t="s">
        <v>3197</v>
      </c>
      <c r="M9080" s="1357"/>
      <c r="Q9080" s="1357"/>
      <c r="S9080" s="1420"/>
      <c r="T9080" s="1420"/>
      <c r="V9080" s="1357">
        <v>275</v>
      </c>
    </row>
    <row r="9081" spans="1:22" s="841" customFormat="1" ht="15" x14ac:dyDescent="0.25">
      <c r="A9081" s="841" t="s">
        <v>208</v>
      </c>
      <c r="E9081" s="1692" t="s">
        <v>3067</v>
      </c>
      <c r="F9081" s="1693"/>
      <c r="G9081" s="1693"/>
      <c r="H9081" s="1693"/>
      <c r="K9081" s="841" t="s">
        <v>3068</v>
      </c>
      <c r="M9081" s="1357"/>
      <c r="Q9081" s="1357"/>
      <c r="S9081" s="1420"/>
      <c r="T9081" s="1420"/>
      <c r="V9081" s="1357">
        <v>46</v>
      </c>
    </row>
    <row r="9082" spans="1:22" s="841" customFormat="1" ht="15" x14ac:dyDescent="0.25">
      <c r="A9082" s="841" t="s">
        <v>208</v>
      </c>
      <c r="E9082" s="1904" t="s">
        <v>4810</v>
      </c>
      <c r="F9082" s="1904"/>
      <c r="G9082" s="1407" t="s">
        <v>23</v>
      </c>
      <c r="H9082" s="600">
        <v>19.920000000000002</v>
      </c>
      <c r="K9082" s="841" t="s">
        <v>3197</v>
      </c>
      <c r="L9082" s="841" t="s">
        <v>442</v>
      </c>
      <c r="M9082" s="1357"/>
      <c r="P9082" s="841" t="s">
        <v>3201</v>
      </c>
      <c r="Q9082" s="1357"/>
      <c r="S9082" s="1420"/>
      <c r="T9082" s="1420"/>
      <c r="V9082" s="1357">
        <v>15</v>
      </c>
    </row>
    <row r="9083" spans="1:22" s="841" customFormat="1" ht="15" x14ac:dyDescent="0.25">
      <c r="A9083" s="841" t="s">
        <v>208</v>
      </c>
      <c r="E9083" s="1904" t="s">
        <v>5727</v>
      </c>
      <c r="F9083" s="1904"/>
      <c r="G9083" s="1408" t="s">
        <v>23</v>
      </c>
      <c r="H9083" s="391">
        <v>0.52</v>
      </c>
      <c r="K9083" s="841" t="s">
        <v>3197</v>
      </c>
      <c r="L9083" s="841" t="s">
        <v>442</v>
      </c>
      <c r="M9083" s="1357"/>
      <c r="P9083" s="841" t="s">
        <v>6394</v>
      </c>
      <c r="Q9083" s="1357"/>
      <c r="S9083" s="1420"/>
      <c r="T9083" s="1420"/>
      <c r="V9083" s="1357">
        <v>129</v>
      </c>
    </row>
    <row r="9084" spans="1:22" s="841" customFormat="1" ht="15" x14ac:dyDescent="0.25">
      <c r="A9084" s="841" t="s">
        <v>208</v>
      </c>
      <c r="E9084" s="1904" t="s">
        <v>5109</v>
      </c>
      <c r="F9084" s="1904"/>
      <c r="G9084" s="1407" t="s">
        <v>23</v>
      </c>
      <c r="H9084" s="600">
        <v>0.56999999999999995</v>
      </c>
      <c r="K9084" s="841" t="s">
        <v>3197</v>
      </c>
      <c r="L9084" s="841" t="s">
        <v>443</v>
      </c>
      <c r="M9084" s="1357"/>
      <c r="P9084" s="841" t="s">
        <v>3202</v>
      </c>
      <c r="Q9084" s="1357"/>
      <c r="S9084" s="1420"/>
      <c r="T9084" s="1420">
        <v>44926</v>
      </c>
      <c r="V9084" s="1357">
        <v>64</v>
      </c>
    </row>
    <row r="9085" spans="1:22" s="841" customFormat="1" ht="15" x14ac:dyDescent="0.25">
      <c r="A9085" s="841" t="s">
        <v>208</v>
      </c>
      <c r="E9085" s="1904" t="s">
        <v>4811</v>
      </c>
      <c r="F9085" s="1904"/>
      <c r="G9085" s="1407" t="s">
        <v>23</v>
      </c>
      <c r="H9085" s="600">
        <v>0.04</v>
      </c>
      <c r="K9085" s="841" t="s">
        <v>3197</v>
      </c>
      <c r="L9085" s="841" t="s">
        <v>442</v>
      </c>
      <c r="M9085" s="1357"/>
      <c r="P9085" s="841" t="s">
        <v>3207</v>
      </c>
      <c r="Q9085" s="1357"/>
      <c r="S9085" s="1420"/>
      <c r="T9085" s="1420">
        <v>43281</v>
      </c>
      <c r="V9085" s="1357">
        <v>103</v>
      </c>
    </row>
    <row r="9086" spans="1:22" s="841" customFormat="1" ht="15" x14ac:dyDescent="0.25">
      <c r="A9086" s="841" t="s">
        <v>208</v>
      </c>
      <c r="E9086" s="1904" t="s">
        <v>4812</v>
      </c>
      <c r="F9086" s="1904"/>
      <c r="G9086" s="1407" t="s">
        <v>23</v>
      </c>
      <c r="H9086" s="600">
        <v>0.66</v>
      </c>
      <c r="K9086" s="841" t="s">
        <v>3197</v>
      </c>
      <c r="L9086" s="841" t="s">
        <v>442</v>
      </c>
      <c r="M9086" s="1357"/>
      <c r="P9086" s="841" t="s">
        <v>6395</v>
      </c>
      <c r="Q9086" s="1357"/>
      <c r="S9086" s="1420"/>
      <c r="T9086" s="1420">
        <v>43281</v>
      </c>
      <c r="V9086" s="1357">
        <v>79</v>
      </c>
    </row>
    <row r="9087" spans="1:22" s="841" customFormat="1" ht="15" x14ac:dyDescent="0.25">
      <c r="A9087" s="841" t="s">
        <v>208</v>
      </c>
      <c r="E9087" s="1904" t="s">
        <v>3109</v>
      </c>
      <c r="F9087" s="1904"/>
      <c r="G9087" s="1407" t="s">
        <v>24</v>
      </c>
      <c r="H9087" s="606">
        <v>8.2000000000000007E-3</v>
      </c>
      <c r="K9087" s="841" t="s">
        <v>3197</v>
      </c>
      <c r="L9087" s="841" t="s">
        <v>442</v>
      </c>
      <c r="M9087" s="1357"/>
      <c r="P9087" s="841" t="s">
        <v>3203</v>
      </c>
      <c r="Q9087" s="1357"/>
      <c r="S9087" s="1420"/>
      <c r="T9087" s="1420"/>
      <c r="V9087" s="1357">
        <v>29</v>
      </c>
    </row>
    <row r="9088" spans="1:22" s="841" customFormat="1" ht="15" x14ac:dyDescent="0.25">
      <c r="A9088" s="841" t="s">
        <v>208</v>
      </c>
      <c r="E9088" s="1904" t="s">
        <v>4813</v>
      </c>
      <c r="F9088" s="1904"/>
      <c r="G9088" s="1407" t="s">
        <v>24</v>
      </c>
      <c r="H9088" s="606">
        <v>4.8999999999999998E-3</v>
      </c>
      <c r="K9088" s="841" t="s">
        <v>3197</v>
      </c>
      <c r="L9088" s="841" t="s">
        <v>443</v>
      </c>
      <c r="M9088" s="1357"/>
      <c r="P9088" s="841" t="s">
        <v>3204</v>
      </c>
      <c r="Q9088" s="1357"/>
      <c r="S9088" s="1420"/>
      <c r="T9088" s="1420"/>
      <c r="V9088" s="1357">
        <v>25</v>
      </c>
    </row>
    <row r="9089" spans="1:22" s="841" customFormat="1" ht="15" x14ac:dyDescent="0.25">
      <c r="A9089" s="841" t="s">
        <v>208</v>
      </c>
      <c r="E9089" s="1904" t="s">
        <v>4814</v>
      </c>
      <c r="F9089" s="1904"/>
      <c r="G9089" s="1407" t="s">
        <v>24</v>
      </c>
      <c r="H9089" s="606">
        <v>-5.0000000000000001E-3</v>
      </c>
      <c r="K9089" s="841" t="s">
        <v>3197</v>
      </c>
      <c r="L9089" s="841" t="s">
        <v>443</v>
      </c>
      <c r="M9089" s="1357"/>
      <c r="P9089" s="841" t="s">
        <v>3207</v>
      </c>
      <c r="Q9089" s="1357"/>
      <c r="S9089" s="1420"/>
      <c r="T9089" s="1420">
        <v>43281</v>
      </c>
      <c r="V9089" s="1357">
        <v>96</v>
      </c>
    </row>
    <row r="9090" spans="1:22" s="841" customFormat="1" ht="15" x14ac:dyDescent="0.25">
      <c r="A9090" s="841" t="s">
        <v>208</v>
      </c>
      <c r="E9090" s="1904" t="s">
        <v>5130</v>
      </c>
      <c r="F9090" s="1904"/>
      <c r="G9090" s="1407" t="s">
        <v>24</v>
      </c>
      <c r="H9090" s="606">
        <v>-2.0999999999999999E-3</v>
      </c>
      <c r="K9090" s="841" t="s">
        <v>3197</v>
      </c>
      <c r="L9090" s="841" t="s">
        <v>443</v>
      </c>
      <c r="M9090" s="1357"/>
      <c r="P9090" s="841" t="s">
        <v>3207</v>
      </c>
      <c r="Q9090" s="1357"/>
      <c r="S9090" s="1420"/>
      <c r="T9090" s="1420">
        <v>43585</v>
      </c>
      <c r="V9090" s="1357">
        <v>96</v>
      </c>
    </row>
    <row r="9091" spans="1:22" s="841" customFormat="1" ht="15" x14ac:dyDescent="0.25">
      <c r="A9091" s="841" t="s">
        <v>208</v>
      </c>
      <c r="E9091" s="1904" t="s">
        <v>5728</v>
      </c>
      <c r="F9091" s="1904"/>
      <c r="G9091" s="1408" t="s">
        <v>24</v>
      </c>
      <c r="H9091" s="393">
        <v>6.0000000000000001E-3</v>
      </c>
      <c r="K9091" s="841" t="s">
        <v>3197</v>
      </c>
      <c r="L9091" s="841" t="s">
        <v>443</v>
      </c>
      <c r="M9091" s="1357"/>
      <c r="P9091" s="841" t="s">
        <v>3205</v>
      </c>
      <c r="Q9091" s="1357"/>
      <c r="S9091" s="1420"/>
      <c r="T9091" s="1420">
        <v>43281</v>
      </c>
      <c r="V9091" s="1357">
        <v>140</v>
      </c>
    </row>
    <row r="9092" spans="1:22" s="841" customFormat="1" ht="15" x14ac:dyDescent="0.25">
      <c r="A9092" s="841" t="s">
        <v>208</v>
      </c>
      <c r="E9092" s="1904" t="s">
        <v>5384</v>
      </c>
      <c r="F9092" s="1904"/>
      <c r="G9092" s="1408" t="s">
        <v>24</v>
      </c>
      <c r="H9092" s="393">
        <v>6.9999999999999999E-4</v>
      </c>
      <c r="K9092" s="841" t="s">
        <v>3197</v>
      </c>
      <c r="L9092" s="841" t="s">
        <v>443</v>
      </c>
      <c r="M9092" s="1357"/>
      <c r="P9092" s="841" t="s">
        <v>3205</v>
      </c>
      <c r="Q9092" s="1357"/>
      <c r="S9092" s="1420"/>
      <c r="T9092" s="1420">
        <v>43585</v>
      </c>
      <c r="V9092" s="1357">
        <v>141</v>
      </c>
    </row>
    <row r="9093" spans="1:22" s="841" customFormat="1" ht="15" x14ac:dyDescent="0.25">
      <c r="A9093" s="841" t="s">
        <v>208</v>
      </c>
      <c r="E9093" s="1904" t="s">
        <v>5729</v>
      </c>
      <c r="F9093" s="1904"/>
      <c r="G9093" s="1408" t="s">
        <v>24</v>
      </c>
      <c r="H9093" s="393">
        <v>2.0000000000000001E-4</v>
      </c>
      <c r="K9093" s="841" t="s">
        <v>3197</v>
      </c>
      <c r="L9093" s="841" t="s">
        <v>442</v>
      </c>
      <c r="M9093" s="1357"/>
      <c r="P9093" s="841" t="s">
        <v>3206</v>
      </c>
      <c r="Q9093" s="1357"/>
      <c r="S9093" s="1420"/>
      <c r="T9093" s="1420">
        <v>43585</v>
      </c>
      <c r="V9093" s="1357">
        <v>138</v>
      </c>
    </row>
    <row r="9094" spans="1:22" s="841" customFormat="1" ht="15" x14ac:dyDescent="0.25">
      <c r="A9094" s="841" t="s">
        <v>208</v>
      </c>
      <c r="E9094" s="1904" t="s">
        <v>4815</v>
      </c>
      <c r="F9094" s="1904"/>
      <c r="G9094" s="1407" t="s">
        <v>24</v>
      </c>
      <c r="H9094" s="606">
        <v>6.3E-3</v>
      </c>
      <c r="K9094" s="841" t="s">
        <v>3197</v>
      </c>
      <c r="L9094" s="841" t="s">
        <v>444</v>
      </c>
      <c r="M9094" s="1357"/>
      <c r="P9094" s="841" t="s">
        <v>4816</v>
      </c>
      <c r="Q9094" s="1357"/>
      <c r="S9094" s="1420"/>
      <c r="T9094" s="1420"/>
      <c r="V9094" s="1357">
        <v>48</v>
      </c>
    </row>
    <row r="9095" spans="1:22" s="841" customFormat="1" ht="15" x14ac:dyDescent="0.25">
      <c r="A9095" s="841" t="s">
        <v>208</v>
      </c>
      <c r="E9095" s="1904" t="s">
        <v>3628</v>
      </c>
      <c r="F9095" s="1904"/>
      <c r="G9095" s="1407" t="s">
        <v>24</v>
      </c>
      <c r="H9095" s="606">
        <v>5.1000000000000004E-3</v>
      </c>
      <c r="K9095" s="841" t="s">
        <v>3197</v>
      </c>
      <c r="L9095" s="841" t="s">
        <v>444</v>
      </c>
      <c r="M9095" s="1357"/>
      <c r="P9095" s="841" t="s">
        <v>4817</v>
      </c>
      <c r="Q9095" s="1357"/>
      <c r="S9095" s="1420"/>
      <c r="T9095" s="1420"/>
      <c r="V9095" s="1357">
        <v>75</v>
      </c>
    </row>
    <row r="9096" spans="1:22" s="841" customFormat="1" ht="15" x14ac:dyDescent="0.25">
      <c r="A9096" s="841" t="s">
        <v>208</v>
      </c>
      <c r="E9096" s="1694" t="s">
        <v>3079</v>
      </c>
      <c r="F9096" s="1690"/>
      <c r="G9096" s="1408"/>
      <c r="H9096" s="1187"/>
      <c r="K9096" s="841" t="s">
        <v>3080</v>
      </c>
      <c r="M9096" s="1357"/>
      <c r="Q9096" s="1357"/>
      <c r="S9096" s="1420"/>
      <c r="T9096" s="1420"/>
      <c r="V9096" s="1357">
        <v>48</v>
      </c>
    </row>
    <row r="9097" spans="1:22" s="841" customFormat="1" ht="15" x14ac:dyDescent="0.25">
      <c r="A9097" s="841" t="s">
        <v>208</v>
      </c>
      <c r="E9097" s="1690" t="s">
        <v>2449</v>
      </c>
      <c r="F9097" s="1690"/>
      <c r="G9097" s="1408" t="s">
        <v>24</v>
      </c>
      <c r="H9097" s="393">
        <v>3.2000000000000002E-3</v>
      </c>
      <c r="K9097" s="841" t="s">
        <v>3197</v>
      </c>
      <c r="L9097" s="841" t="s">
        <v>3046</v>
      </c>
      <c r="M9097" s="1357"/>
      <c r="P9097" s="841" t="s">
        <v>3210</v>
      </c>
      <c r="Q9097" s="1357"/>
      <c r="S9097" s="1420"/>
      <c r="T9097" s="1420"/>
      <c r="V9097" s="1357">
        <v>55</v>
      </c>
    </row>
    <row r="9098" spans="1:22" s="841" customFormat="1" ht="15" x14ac:dyDescent="0.25">
      <c r="A9098" s="841" t="s">
        <v>208</v>
      </c>
      <c r="E9098" s="1690" t="s">
        <v>2450</v>
      </c>
      <c r="F9098" s="1690"/>
      <c r="G9098" s="1408" t="s">
        <v>24</v>
      </c>
      <c r="H9098" s="393">
        <v>4.0000000000000002E-4</v>
      </c>
      <c r="K9098" s="841" t="s">
        <v>3197</v>
      </c>
      <c r="L9098" s="841" t="s">
        <v>3046</v>
      </c>
      <c r="M9098" s="1357"/>
      <c r="P9098" s="841" t="s">
        <v>3210</v>
      </c>
      <c r="Q9098" s="1357"/>
      <c r="S9098" s="1420"/>
      <c r="T9098" s="1420"/>
      <c r="V9098" s="1357">
        <v>65</v>
      </c>
    </row>
    <row r="9099" spans="1:22" s="841" customFormat="1" ht="15" x14ac:dyDescent="0.25">
      <c r="A9099" s="841" t="s">
        <v>208</v>
      </c>
      <c r="E9099" s="1690" t="s">
        <v>439</v>
      </c>
      <c r="F9099" s="1690"/>
      <c r="G9099" s="1408" t="s">
        <v>24</v>
      </c>
      <c r="H9099" s="393">
        <v>2.9999999999999997E-4</v>
      </c>
      <c r="K9099" s="841" t="s">
        <v>3197</v>
      </c>
      <c r="L9099" s="841" t="s">
        <v>3046</v>
      </c>
      <c r="M9099" s="1357"/>
      <c r="P9099" s="841" t="s">
        <v>3212</v>
      </c>
      <c r="Q9099" s="1357"/>
      <c r="S9099" s="1420"/>
      <c r="T9099" s="1420"/>
      <c r="V9099" s="1357">
        <v>57</v>
      </c>
    </row>
    <row r="9100" spans="1:22" s="841" customFormat="1" ht="15" x14ac:dyDescent="0.25">
      <c r="A9100" s="841" t="s">
        <v>208</v>
      </c>
      <c r="E9100" s="1690" t="s">
        <v>32</v>
      </c>
      <c r="F9100" s="1690"/>
      <c r="G9100" s="1408" t="s">
        <v>23</v>
      </c>
      <c r="H9100" s="391">
        <v>0.25</v>
      </c>
      <c r="K9100" s="841" t="s">
        <v>3197</v>
      </c>
      <c r="L9100" s="841" t="s">
        <v>3046</v>
      </c>
      <c r="M9100" s="1357"/>
      <c r="P9100" s="841" t="s">
        <v>3213</v>
      </c>
      <c r="Q9100" s="1357"/>
      <c r="S9100" s="1420"/>
      <c r="T9100" s="1420"/>
      <c r="V9100" s="1357">
        <v>63</v>
      </c>
    </row>
    <row r="9101" spans="1:22" s="841" customFormat="1" x14ac:dyDescent="0.25">
      <c r="A9101" s="841" t="s">
        <v>208</v>
      </c>
      <c r="E9101" s="1695" t="s">
        <v>3214</v>
      </c>
      <c r="F9101" s="1695"/>
      <c r="G9101" s="1695"/>
      <c r="H9101" s="1695"/>
      <c r="K9101" s="841" t="s">
        <v>5110</v>
      </c>
      <c r="M9101" s="1357"/>
      <c r="Q9101" s="1357"/>
      <c r="S9101" s="1420"/>
      <c r="T9101" s="1420"/>
      <c r="V9101" s="1357">
        <v>54</v>
      </c>
    </row>
    <row r="9102" spans="1:22" s="841" customFormat="1" ht="15" x14ac:dyDescent="0.25">
      <c r="A9102" s="841" t="s">
        <v>208</v>
      </c>
      <c r="E9102" s="1689" t="s">
        <v>5730</v>
      </c>
      <c r="F9102" s="1689"/>
      <c r="G9102" s="1689"/>
      <c r="H9102" s="1689"/>
      <c r="K9102" s="841" t="s">
        <v>5110</v>
      </c>
      <c r="M9102" s="1357"/>
      <c r="Q9102" s="1357"/>
      <c r="S9102" s="1420"/>
      <c r="T9102" s="1420"/>
      <c r="V9102" s="1357">
        <v>335</v>
      </c>
    </row>
    <row r="9103" spans="1:22" s="841" customFormat="1" ht="15" x14ac:dyDescent="0.25">
      <c r="A9103" s="841" t="s">
        <v>208</v>
      </c>
      <c r="E9103" s="1696" t="s">
        <v>3061</v>
      </c>
      <c r="F9103" s="1697"/>
      <c r="G9103" s="1697"/>
      <c r="H9103" s="1697"/>
      <c r="K9103" s="841" t="s">
        <v>3086</v>
      </c>
      <c r="M9103" s="1357"/>
      <c r="Q9103" s="1357"/>
      <c r="S9103" s="1420"/>
      <c r="T9103" s="1420"/>
      <c r="V9103" s="1357">
        <v>11</v>
      </c>
    </row>
    <row r="9104" spans="1:22" s="841" customFormat="1" ht="15" x14ac:dyDescent="0.25">
      <c r="A9104" s="841" t="s">
        <v>208</v>
      </c>
      <c r="E9104" s="1689" t="s">
        <v>3063</v>
      </c>
      <c r="F9104" s="1689"/>
      <c r="G9104" s="1689"/>
      <c r="H9104" s="1689"/>
      <c r="K9104" s="841" t="s">
        <v>5110</v>
      </c>
      <c r="M9104" s="1357"/>
      <c r="Q9104" s="1357"/>
      <c r="S9104" s="1420"/>
      <c r="T9104" s="1420"/>
      <c r="V9104" s="1357">
        <v>280</v>
      </c>
    </row>
    <row r="9105" spans="1:22" s="841" customFormat="1" ht="15" x14ac:dyDescent="0.25">
      <c r="A9105" s="841" t="s">
        <v>208</v>
      </c>
      <c r="E9105" s="1689" t="s">
        <v>3064</v>
      </c>
      <c r="F9105" s="1689"/>
      <c r="G9105" s="1689"/>
      <c r="H9105" s="1689"/>
      <c r="K9105" s="841" t="s">
        <v>5110</v>
      </c>
      <c r="M9105" s="1357"/>
      <c r="Q9105" s="1357"/>
      <c r="S9105" s="1420"/>
      <c r="T9105" s="1420"/>
      <c r="V9105" s="1357">
        <v>411</v>
      </c>
    </row>
    <row r="9106" spans="1:22" s="841" customFormat="1" ht="15" x14ac:dyDescent="0.25">
      <c r="A9106" s="841" t="s">
        <v>208</v>
      </c>
      <c r="E9106" s="1689" t="s">
        <v>3199</v>
      </c>
      <c r="F9106" s="1689"/>
      <c r="G9106" s="1689"/>
      <c r="H9106" s="1689"/>
      <c r="K9106" s="841" t="s">
        <v>5110</v>
      </c>
      <c r="M9106" s="1357"/>
      <c r="Q9106" s="1357"/>
      <c r="S9106" s="1420"/>
      <c r="T9106" s="1420"/>
      <c r="V9106" s="1357">
        <v>386</v>
      </c>
    </row>
    <row r="9107" spans="1:22" s="841" customFormat="1" ht="15" x14ac:dyDescent="0.25">
      <c r="A9107" s="841" t="s">
        <v>208</v>
      </c>
      <c r="E9107" s="1689" t="s">
        <v>3066</v>
      </c>
      <c r="F9107" s="1689"/>
      <c r="G9107" s="1689"/>
      <c r="H9107" s="1689"/>
      <c r="K9107" s="841" t="s">
        <v>5110</v>
      </c>
      <c r="M9107" s="1357"/>
      <c r="Q9107" s="1357"/>
      <c r="S9107" s="1420"/>
      <c r="T9107" s="1420"/>
      <c r="V9107" s="1357">
        <v>275</v>
      </c>
    </row>
    <row r="9108" spans="1:22" s="841" customFormat="1" ht="15" x14ac:dyDescent="0.25">
      <c r="A9108" s="841" t="s">
        <v>208</v>
      </c>
      <c r="E9108" s="1692" t="s">
        <v>3067</v>
      </c>
      <c r="F9108" s="1693"/>
      <c r="G9108" s="1693"/>
      <c r="H9108" s="1693"/>
      <c r="K9108" s="841" t="s">
        <v>3087</v>
      </c>
      <c r="M9108" s="1357"/>
      <c r="Q9108" s="1357"/>
      <c r="S9108" s="1420"/>
      <c r="T9108" s="1420"/>
      <c r="V9108" s="1357">
        <v>46</v>
      </c>
    </row>
    <row r="9109" spans="1:22" s="841" customFormat="1" ht="15" x14ac:dyDescent="0.25">
      <c r="A9109" s="841" t="s">
        <v>208</v>
      </c>
      <c r="E9109" s="1904" t="s">
        <v>4810</v>
      </c>
      <c r="F9109" s="1904"/>
      <c r="G9109" s="1407" t="s">
        <v>23</v>
      </c>
      <c r="H9109" s="600">
        <v>30.79</v>
      </c>
      <c r="K9109" s="841" t="s">
        <v>5110</v>
      </c>
      <c r="L9109" s="841" t="s">
        <v>442</v>
      </c>
      <c r="M9109" s="1357"/>
      <c r="P9109" s="841" t="s">
        <v>5111</v>
      </c>
      <c r="Q9109" s="1357"/>
      <c r="S9109" s="1420"/>
      <c r="T9109" s="1420"/>
      <c r="V9109" s="1357">
        <v>15</v>
      </c>
    </row>
    <row r="9110" spans="1:22" s="841" customFormat="1" ht="15" x14ac:dyDescent="0.25">
      <c r="A9110" s="841" t="s">
        <v>208</v>
      </c>
      <c r="E9110" s="1904" t="s">
        <v>5727</v>
      </c>
      <c r="F9110" s="1904"/>
      <c r="G9110" s="1408" t="s">
        <v>23</v>
      </c>
      <c r="H9110" s="391">
        <v>1.1399999999999999</v>
      </c>
      <c r="K9110" s="841" t="s">
        <v>5110</v>
      </c>
      <c r="L9110" s="841" t="s">
        <v>442</v>
      </c>
      <c r="M9110" s="1357"/>
      <c r="P9110" s="841" t="s">
        <v>6396</v>
      </c>
      <c r="Q9110" s="1357"/>
      <c r="S9110" s="1420"/>
      <c r="T9110" s="1420"/>
      <c r="V9110" s="1357">
        <v>129</v>
      </c>
    </row>
    <row r="9111" spans="1:22" s="841" customFormat="1" ht="15" x14ac:dyDescent="0.25">
      <c r="A9111" s="841" t="s">
        <v>208</v>
      </c>
      <c r="E9111" s="1904" t="s">
        <v>5109</v>
      </c>
      <c r="F9111" s="1904"/>
      <c r="G9111" s="1407" t="s">
        <v>23</v>
      </c>
      <c r="H9111" s="600">
        <v>0.56999999999999995</v>
      </c>
      <c r="K9111" s="841" t="s">
        <v>5110</v>
      </c>
      <c r="L9111" s="841" t="s">
        <v>443</v>
      </c>
      <c r="M9111" s="1357"/>
      <c r="P9111" s="841" t="s">
        <v>5112</v>
      </c>
      <c r="Q9111" s="1357"/>
      <c r="S9111" s="1420"/>
      <c r="T9111" s="1420">
        <v>44926</v>
      </c>
      <c r="V9111" s="1357">
        <v>64</v>
      </c>
    </row>
    <row r="9112" spans="1:22" s="841" customFormat="1" ht="15" x14ac:dyDescent="0.25">
      <c r="A9112" s="841" t="s">
        <v>208</v>
      </c>
      <c r="E9112" s="1904" t="s">
        <v>4812</v>
      </c>
      <c r="F9112" s="1904"/>
      <c r="G9112" s="1407" t="s">
        <v>23</v>
      </c>
      <c r="H9112" s="600">
        <v>0.68</v>
      </c>
      <c r="K9112" s="841" t="s">
        <v>5110</v>
      </c>
      <c r="L9112" s="841" t="s">
        <v>442</v>
      </c>
      <c r="M9112" s="1357"/>
      <c r="P9112" s="841" t="s">
        <v>6397</v>
      </c>
      <c r="Q9112" s="1357"/>
      <c r="S9112" s="1420"/>
      <c r="T9112" s="1420">
        <v>43281</v>
      </c>
      <c r="V9112" s="1357">
        <v>79</v>
      </c>
    </row>
    <row r="9113" spans="1:22" s="841" customFormat="1" ht="15" x14ac:dyDescent="0.25">
      <c r="A9113" s="841" t="s">
        <v>208</v>
      </c>
      <c r="E9113" s="1904" t="s">
        <v>3109</v>
      </c>
      <c r="F9113" s="1904"/>
      <c r="G9113" s="1407" t="s">
        <v>24</v>
      </c>
      <c r="H9113" s="606">
        <v>1.11E-2</v>
      </c>
      <c r="K9113" s="841" t="s">
        <v>5110</v>
      </c>
      <c r="L9113" s="841" t="s">
        <v>442</v>
      </c>
      <c r="M9113" s="1357"/>
      <c r="P9113" s="841" t="s">
        <v>5113</v>
      </c>
      <c r="Q9113" s="1357"/>
      <c r="S9113" s="1420"/>
      <c r="T9113" s="1420"/>
      <c r="V9113" s="1357">
        <v>29</v>
      </c>
    </row>
    <row r="9114" spans="1:22" s="841" customFormat="1" ht="15" x14ac:dyDescent="0.25">
      <c r="A9114" s="841" t="s">
        <v>208</v>
      </c>
      <c r="E9114" s="1904" t="s">
        <v>4813</v>
      </c>
      <c r="F9114" s="1904"/>
      <c r="G9114" s="1407" t="s">
        <v>24</v>
      </c>
      <c r="H9114" s="606">
        <v>4.4999999999999997E-3</v>
      </c>
      <c r="K9114" s="841" t="s">
        <v>5110</v>
      </c>
      <c r="L9114" s="841" t="s">
        <v>443</v>
      </c>
      <c r="M9114" s="1357"/>
      <c r="P9114" s="841" t="s">
        <v>5114</v>
      </c>
      <c r="Q9114" s="1357"/>
      <c r="S9114" s="1420"/>
      <c r="T9114" s="1420"/>
      <c r="V9114" s="1357">
        <v>25</v>
      </c>
    </row>
    <row r="9115" spans="1:22" s="841" customFormat="1" ht="15" x14ac:dyDescent="0.25">
      <c r="A9115" s="841" t="s">
        <v>208</v>
      </c>
      <c r="E9115" s="1904" t="s">
        <v>4814</v>
      </c>
      <c r="F9115" s="1904"/>
      <c r="G9115" s="1407" t="s">
        <v>24</v>
      </c>
      <c r="H9115" s="606">
        <v>-5.0000000000000001E-3</v>
      </c>
      <c r="K9115" s="841" t="s">
        <v>5110</v>
      </c>
      <c r="L9115" s="841" t="s">
        <v>443</v>
      </c>
      <c r="M9115" s="1357"/>
      <c r="P9115" s="841" t="s">
        <v>5124</v>
      </c>
      <c r="Q9115" s="1357"/>
      <c r="S9115" s="1420"/>
      <c r="T9115" s="1420">
        <v>43281</v>
      </c>
      <c r="V9115" s="1357">
        <v>96</v>
      </c>
    </row>
    <row r="9116" spans="1:22" s="841" customFormat="1" ht="15" x14ac:dyDescent="0.25">
      <c r="A9116" s="841" t="s">
        <v>208</v>
      </c>
      <c r="E9116" s="1904" t="s">
        <v>5130</v>
      </c>
      <c r="F9116" s="1904"/>
      <c r="G9116" s="1407" t="s">
        <v>24</v>
      </c>
      <c r="H9116" s="606">
        <v>-2.0999999999999999E-3</v>
      </c>
      <c r="K9116" s="841" t="s">
        <v>5110</v>
      </c>
      <c r="L9116" s="841" t="s">
        <v>443</v>
      </c>
      <c r="M9116" s="1357"/>
      <c r="P9116" s="841" t="s">
        <v>5124</v>
      </c>
      <c r="Q9116" s="1357"/>
      <c r="S9116" s="1420"/>
      <c r="T9116" s="1420">
        <v>43585</v>
      </c>
      <c r="V9116" s="1357">
        <v>96</v>
      </c>
    </row>
    <row r="9117" spans="1:22" s="841" customFormat="1" ht="15" x14ac:dyDescent="0.25">
      <c r="A9117" s="841" t="s">
        <v>208</v>
      </c>
      <c r="E9117" s="1904" t="s">
        <v>5728</v>
      </c>
      <c r="F9117" s="1904"/>
      <c r="G9117" s="1408" t="s">
        <v>24</v>
      </c>
      <c r="H9117" s="393">
        <v>6.0000000000000001E-3</v>
      </c>
      <c r="K9117" s="841" t="s">
        <v>5110</v>
      </c>
      <c r="L9117" s="841" t="s">
        <v>443</v>
      </c>
      <c r="M9117" s="1357"/>
      <c r="P9117" s="841" t="s">
        <v>4818</v>
      </c>
      <c r="Q9117" s="1357"/>
      <c r="S9117" s="1420"/>
      <c r="T9117" s="1420">
        <v>43281</v>
      </c>
      <c r="V9117" s="1357">
        <v>140</v>
      </c>
    </row>
    <row r="9118" spans="1:22" s="841" customFormat="1" ht="15" x14ac:dyDescent="0.25">
      <c r="A9118" s="841" t="s">
        <v>208</v>
      </c>
      <c r="E9118" s="1904" t="s">
        <v>5384</v>
      </c>
      <c r="F9118" s="1904"/>
      <c r="G9118" s="1408" t="s">
        <v>24</v>
      </c>
      <c r="H9118" s="393">
        <v>6.9999999999999999E-4</v>
      </c>
      <c r="K9118" s="841" t="s">
        <v>5110</v>
      </c>
      <c r="L9118" s="841" t="s">
        <v>443</v>
      </c>
      <c r="M9118" s="1357"/>
      <c r="P9118" s="841" t="s">
        <v>4818</v>
      </c>
      <c r="Q9118" s="1357"/>
      <c r="S9118" s="1420"/>
      <c r="T9118" s="1420">
        <v>43585</v>
      </c>
      <c r="V9118" s="1357">
        <v>141</v>
      </c>
    </row>
    <row r="9119" spans="1:22" s="841" customFormat="1" ht="15" x14ac:dyDescent="0.25">
      <c r="A9119" s="841" t="s">
        <v>208</v>
      </c>
      <c r="E9119" s="1904" t="s">
        <v>5731</v>
      </c>
      <c r="F9119" s="1962"/>
      <c r="G9119" s="1408" t="s">
        <v>24</v>
      </c>
      <c r="H9119" s="393">
        <v>1E-3</v>
      </c>
      <c r="K9119" s="841" t="s">
        <v>5110</v>
      </c>
      <c r="L9119" s="841" t="s">
        <v>442</v>
      </c>
      <c r="M9119" s="1357"/>
      <c r="P9119" s="841" t="s">
        <v>5285</v>
      </c>
      <c r="Q9119" s="1357"/>
      <c r="S9119" s="1420"/>
      <c r="T9119" s="1420">
        <v>43281</v>
      </c>
      <c r="V9119" s="1357">
        <v>137</v>
      </c>
    </row>
    <row r="9120" spans="1:22" s="841" customFormat="1" ht="15" x14ac:dyDescent="0.25">
      <c r="A9120" s="841" t="s">
        <v>208</v>
      </c>
      <c r="E9120" s="1904" t="s">
        <v>5729</v>
      </c>
      <c r="F9120" s="1904"/>
      <c r="G9120" s="1408" t="s">
        <v>24</v>
      </c>
      <c r="H9120" s="393">
        <v>5.0000000000000001E-4</v>
      </c>
      <c r="K9120" s="841" t="s">
        <v>5110</v>
      </c>
      <c r="L9120" s="841" t="s">
        <v>442</v>
      </c>
      <c r="M9120" s="1357"/>
      <c r="P9120" s="841" t="s">
        <v>5285</v>
      </c>
      <c r="Q9120" s="1357"/>
      <c r="S9120" s="1420"/>
      <c r="T9120" s="1420">
        <v>43585</v>
      </c>
      <c r="V9120" s="1357">
        <v>138</v>
      </c>
    </row>
    <row r="9121" spans="1:22" s="841" customFormat="1" ht="15" x14ac:dyDescent="0.25">
      <c r="A9121" s="841" t="s">
        <v>208</v>
      </c>
      <c r="E9121" s="1904" t="s">
        <v>4815</v>
      </c>
      <c r="F9121" s="1904"/>
      <c r="G9121" s="1407" t="s">
        <v>24</v>
      </c>
      <c r="H9121" s="606">
        <v>5.7999999999999996E-3</v>
      </c>
      <c r="K9121" s="841" t="s">
        <v>5110</v>
      </c>
      <c r="L9121" s="841" t="s">
        <v>444</v>
      </c>
      <c r="M9121" s="1357"/>
      <c r="P9121" s="841" t="s">
        <v>5732</v>
      </c>
      <c r="Q9121" s="1357"/>
      <c r="S9121" s="1420"/>
      <c r="T9121" s="1420"/>
      <c r="V9121" s="1357">
        <v>48</v>
      </c>
    </row>
    <row r="9122" spans="1:22" s="841" customFormat="1" ht="15" x14ac:dyDescent="0.25">
      <c r="A9122" s="841" t="s">
        <v>208</v>
      </c>
      <c r="E9122" s="1904" t="s">
        <v>3628</v>
      </c>
      <c r="F9122" s="1904"/>
      <c r="G9122" s="1407" t="s">
        <v>24</v>
      </c>
      <c r="H9122" s="606">
        <v>4.7000000000000002E-3</v>
      </c>
      <c r="K9122" s="841" t="s">
        <v>5110</v>
      </c>
      <c r="L9122" s="841" t="s">
        <v>444</v>
      </c>
      <c r="M9122" s="1357"/>
      <c r="P9122" s="841" t="s">
        <v>5733</v>
      </c>
      <c r="Q9122" s="1357"/>
      <c r="S9122" s="1420"/>
      <c r="T9122" s="1420"/>
      <c r="V9122" s="1357">
        <v>75</v>
      </c>
    </row>
    <row r="9123" spans="1:22" s="841" customFormat="1" ht="15" x14ac:dyDescent="0.25">
      <c r="A9123" s="841" t="s">
        <v>208</v>
      </c>
      <c r="E9123" s="1694" t="s">
        <v>3079</v>
      </c>
      <c r="F9123" s="1690"/>
      <c r="G9123" s="1408"/>
      <c r="H9123" s="1365"/>
      <c r="K9123" s="841" t="s">
        <v>3093</v>
      </c>
      <c r="M9123" s="1357"/>
      <c r="Q9123" s="1357"/>
      <c r="S9123" s="1420"/>
      <c r="T9123" s="1420"/>
      <c r="V9123" s="1357">
        <v>48</v>
      </c>
    </row>
    <row r="9124" spans="1:22" s="841" customFormat="1" ht="15" x14ac:dyDescent="0.25">
      <c r="A9124" s="841" t="s">
        <v>208</v>
      </c>
      <c r="E9124" s="1690" t="s">
        <v>2449</v>
      </c>
      <c r="F9124" s="1690"/>
      <c r="G9124" s="1408" t="s">
        <v>24</v>
      </c>
      <c r="H9124" s="393">
        <v>3.2000000000000002E-3</v>
      </c>
      <c r="K9124" s="841" t="s">
        <v>5110</v>
      </c>
      <c r="L9124" s="841" t="s">
        <v>3046</v>
      </c>
      <c r="M9124" s="1357"/>
      <c r="P9124" s="841" t="s">
        <v>5117</v>
      </c>
      <c r="Q9124" s="1357"/>
      <c r="S9124" s="1420"/>
      <c r="T9124" s="1420"/>
      <c r="V9124" s="1357">
        <v>55</v>
      </c>
    </row>
    <row r="9125" spans="1:22" s="841" customFormat="1" ht="15" x14ac:dyDescent="0.25">
      <c r="A9125" s="841" t="s">
        <v>208</v>
      </c>
      <c r="E9125" s="1690" t="s">
        <v>2450</v>
      </c>
      <c r="F9125" s="1690"/>
      <c r="G9125" s="1408" t="s">
        <v>24</v>
      </c>
      <c r="H9125" s="393">
        <v>4.0000000000000002E-4</v>
      </c>
      <c r="K9125" s="841" t="s">
        <v>5110</v>
      </c>
      <c r="L9125" s="841" t="s">
        <v>3046</v>
      </c>
      <c r="M9125" s="1357"/>
      <c r="P9125" s="841" t="s">
        <v>5117</v>
      </c>
      <c r="Q9125" s="1357"/>
      <c r="S9125" s="1420"/>
      <c r="T9125" s="1420"/>
      <c r="V9125" s="1357">
        <v>65</v>
      </c>
    </row>
    <row r="9126" spans="1:22" s="841" customFormat="1" ht="15" x14ac:dyDescent="0.25">
      <c r="A9126" s="841" t="s">
        <v>208</v>
      </c>
      <c r="E9126" s="1690" t="s">
        <v>439</v>
      </c>
      <c r="F9126" s="1690"/>
      <c r="G9126" s="1408" t="s">
        <v>24</v>
      </c>
      <c r="H9126" s="393">
        <v>2.9999999999999997E-4</v>
      </c>
      <c r="K9126" s="841" t="s">
        <v>5110</v>
      </c>
      <c r="L9126" s="841" t="s">
        <v>3046</v>
      </c>
      <c r="M9126" s="1357"/>
      <c r="P9126" s="841" t="s">
        <v>5118</v>
      </c>
      <c r="Q9126" s="1357"/>
      <c r="S9126" s="1420"/>
      <c r="T9126" s="1420"/>
      <c r="V9126" s="1357">
        <v>57</v>
      </c>
    </row>
    <row r="9127" spans="1:22" s="841" customFormat="1" ht="15" x14ac:dyDescent="0.25">
      <c r="A9127" s="841" t="s">
        <v>208</v>
      </c>
      <c r="E9127" s="1690" t="s">
        <v>32</v>
      </c>
      <c r="F9127" s="1690"/>
      <c r="G9127" s="1408" t="s">
        <v>23</v>
      </c>
      <c r="H9127" s="391">
        <v>0.25</v>
      </c>
      <c r="K9127" s="841" t="s">
        <v>5110</v>
      </c>
      <c r="L9127" s="841" t="s">
        <v>3046</v>
      </c>
      <c r="M9127" s="1357"/>
      <c r="P9127" s="841" t="s">
        <v>5119</v>
      </c>
      <c r="Q9127" s="1357"/>
      <c r="S9127" s="1420"/>
      <c r="T9127" s="1420"/>
      <c r="V9127" s="1357">
        <v>63</v>
      </c>
    </row>
    <row r="9128" spans="1:22" s="841" customFormat="1" x14ac:dyDescent="0.25">
      <c r="A9128" s="841" t="s">
        <v>208</v>
      </c>
      <c r="E9128" s="1695" t="s">
        <v>616</v>
      </c>
      <c r="F9128" s="1695"/>
      <c r="G9128" s="1695"/>
      <c r="H9128" s="1695"/>
      <c r="K9128" s="841" t="s">
        <v>6095</v>
      </c>
      <c r="M9128" s="1357"/>
      <c r="Q9128" s="1357"/>
      <c r="S9128" s="1420"/>
      <c r="T9128" s="1420"/>
      <c r="V9128" s="1357">
        <v>53</v>
      </c>
    </row>
    <row r="9129" spans="1:22" s="841" customFormat="1" ht="15" x14ac:dyDescent="0.25">
      <c r="A9129" s="841" t="s">
        <v>208</v>
      </c>
      <c r="E9129" s="1689" t="s">
        <v>4820</v>
      </c>
      <c r="F9129" s="1689"/>
      <c r="G9129" s="1689"/>
      <c r="H9129" s="1689"/>
      <c r="K9129" s="841" t="s">
        <v>6095</v>
      </c>
      <c r="M9129" s="1357"/>
      <c r="Q9129" s="1357"/>
      <c r="S9129" s="1420"/>
      <c r="T9129" s="1420"/>
      <c r="V9129" s="1357">
        <v>386</v>
      </c>
    </row>
    <row r="9130" spans="1:22" s="841" customFormat="1" ht="15" x14ac:dyDescent="0.25">
      <c r="A9130" s="841" t="s">
        <v>208</v>
      </c>
      <c r="E9130" s="1696" t="s">
        <v>3061</v>
      </c>
      <c r="F9130" s="1697"/>
      <c r="G9130" s="1697"/>
      <c r="H9130" s="1697"/>
      <c r="K9130" s="841" t="s">
        <v>3098</v>
      </c>
      <c r="M9130" s="1357"/>
      <c r="Q9130" s="1357"/>
      <c r="S9130" s="1420"/>
      <c r="T9130" s="1420"/>
      <c r="V9130" s="1357">
        <v>11</v>
      </c>
    </row>
    <row r="9131" spans="1:22" s="841" customFormat="1" ht="15" x14ac:dyDescent="0.25">
      <c r="A9131" s="841" t="s">
        <v>208</v>
      </c>
      <c r="E9131" s="1689" t="s">
        <v>3063</v>
      </c>
      <c r="F9131" s="1689"/>
      <c r="G9131" s="1689"/>
      <c r="H9131" s="1689"/>
      <c r="K9131" s="841" t="s">
        <v>6095</v>
      </c>
      <c r="M9131" s="1357"/>
      <c r="Q9131" s="1357"/>
      <c r="S9131" s="1420"/>
      <c r="T9131" s="1420"/>
      <c r="V9131" s="1357">
        <v>280</v>
      </c>
    </row>
    <row r="9132" spans="1:22" s="841" customFormat="1" ht="15" x14ac:dyDescent="0.25">
      <c r="A9132" s="841" t="s">
        <v>208</v>
      </c>
      <c r="E9132" s="1689" t="s">
        <v>3064</v>
      </c>
      <c r="F9132" s="1689"/>
      <c r="G9132" s="1689"/>
      <c r="H9132" s="1689"/>
      <c r="K9132" s="841" t="s">
        <v>6095</v>
      </c>
      <c r="M9132" s="1357"/>
      <c r="Q9132" s="1357"/>
      <c r="S9132" s="1420"/>
      <c r="T9132" s="1420"/>
      <c r="V9132" s="1357">
        <v>411</v>
      </c>
    </row>
    <row r="9133" spans="1:22" s="841" customFormat="1" ht="15" x14ac:dyDescent="0.25">
      <c r="A9133" s="841" t="s">
        <v>208</v>
      </c>
      <c r="E9133" s="1689" t="s">
        <v>3199</v>
      </c>
      <c r="F9133" s="1689"/>
      <c r="G9133" s="1689"/>
      <c r="H9133" s="1689"/>
      <c r="K9133" s="841" t="s">
        <v>6095</v>
      </c>
      <c r="M9133" s="1357"/>
      <c r="Q9133" s="1357"/>
      <c r="S9133" s="1420"/>
      <c r="T9133" s="1420"/>
      <c r="V9133" s="1357">
        <v>386</v>
      </c>
    </row>
    <row r="9134" spans="1:22" s="841" customFormat="1" ht="15" x14ac:dyDescent="0.25">
      <c r="A9134" s="841" t="s">
        <v>208</v>
      </c>
      <c r="E9134" s="1689" t="s">
        <v>5132</v>
      </c>
      <c r="F9134" s="1689"/>
      <c r="G9134" s="1689"/>
      <c r="H9134" s="1689"/>
      <c r="K9134" s="841" t="s">
        <v>6095</v>
      </c>
      <c r="M9134" s="1357"/>
      <c r="Q9134" s="1357"/>
      <c r="S9134" s="1420"/>
      <c r="T9134" s="1420"/>
      <c r="V9134" s="1357">
        <v>658</v>
      </c>
    </row>
    <row r="9135" spans="1:22" s="841" customFormat="1" ht="15" x14ac:dyDescent="0.25">
      <c r="A9135" s="841" t="s">
        <v>208</v>
      </c>
      <c r="E9135" s="1689" t="s">
        <v>3066</v>
      </c>
      <c r="F9135" s="1689"/>
      <c r="G9135" s="1689"/>
      <c r="H9135" s="1689"/>
      <c r="K9135" s="841" t="s">
        <v>6095</v>
      </c>
      <c r="M9135" s="1357"/>
      <c r="Q9135" s="1357"/>
      <c r="S9135" s="1420"/>
      <c r="T9135" s="1420"/>
      <c r="V9135" s="1357">
        <v>275</v>
      </c>
    </row>
    <row r="9136" spans="1:22" s="841" customFormat="1" ht="15" x14ac:dyDescent="0.25">
      <c r="A9136" s="841" t="s">
        <v>208</v>
      </c>
      <c r="E9136" s="1692" t="s">
        <v>3067</v>
      </c>
      <c r="F9136" s="1693"/>
      <c r="G9136" s="1693"/>
      <c r="H9136" s="1693"/>
      <c r="K9136" s="841" t="s">
        <v>3099</v>
      </c>
      <c r="M9136" s="1357"/>
      <c r="Q9136" s="1357"/>
      <c r="S9136" s="1420"/>
      <c r="T9136" s="1420"/>
      <c r="V9136" s="1357">
        <v>46</v>
      </c>
    </row>
    <row r="9137" spans="1:22" s="841" customFormat="1" ht="15" x14ac:dyDescent="0.25">
      <c r="A9137" s="841" t="s">
        <v>208</v>
      </c>
      <c r="E9137" s="1904" t="s">
        <v>4810</v>
      </c>
      <c r="F9137" s="1904"/>
      <c r="G9137" s="1407" t="s">
        <v>23</v>
      </c>
      <c r="H9137" s="600">
        <v>293.47000000000003</v>
      </c>
      <c r="K9137" s="841" t="s">
        <v>6095</v>
      </c>
      <c r="L9137" s="841" t="s">
        <v>442</v>
      </c>
      <c r="M9137" s="1357"/>
      <c r="P9137" s="841" t="s">
        <v>6096</v>
      </c>
      <c r="Q9137" s="1357"/>
      <c r="S9137" s="1420"/>
      <c r="T9137" s="1420"/>
      <c r="V9137" s="1357">
        <v>15</v>
      </c>
    </row>
    <row r="9138" spans="1:22" s="841" customFormat="1" ht="15" x14ac:dyDescent="0.25">
      <c r="A9138" s="841" t="s">
        <v>208</v>
      </c>
      <c r="E9138" s="1904" t="s">
        <v>5727</v>
      </c>
      <c r="F9138" s="1904"/>
      <c r="G9138" s="1408" t="s">
        <v>23</v>
      </c>
      <c r="H9138" s="391">
        <v>12.86</v>
      </c>
      <c r="K9138" s="841" t="s">
        <v>6095</v>
      </c>
      <c r="L9138" s="841" t="s">
        <v>442</v>
      </c>
      <c r="M9138" s="1357"/>
      <c r="P9138" s="841" t="s">
        <v>6398</v>
      </c>
      <c r="Q9138" s="1357"/>
      <c r="S9138" s="1420"/>
      <c r="T9138" s="1420"/>
      <c r="V9138" s="1357">
        <v>129</v>
      </c>
    </row>
    <row r="9139" spans="1:22" s="841" customFormat="1" ht="15" x14ac:dyDescent="0.25">
      <c r="A9139" s="841" t="s">
        <v>208</v>
      </c>
      <c r="E9139" s="1904" t="s">
        <v>3109</v>
      </c>
      <c r="F9139" s="1904"/>
      <c r="G9139" s="1407" t="s">
        <v>33</v>
      </c>
      <c r="H9139" s="606">
        <v>2.2595999999999998</v>
      </c>
      <c r="K9139" s="841" t="s">
        <v>6095</v>
      </c>
      <c r="L9139" s="841" t="s">
        <v>442</v>
      </c>
      <c r="M9139" s="1357"/>
      <c r="P9139" s="841" t="s">
        <v>6097</v>
      </c>
      <c r="Q9139" s="1357"/>
      <c r="S9139" s="1420"/>
      <c r="T9139" s="1420"/>
      <c r="V9139" s="1357">
        <v>29</v>
      </c>
    </row>
    <row r="9140" spans="1:22" s="841" customFormat="1" ht="15" x14ac:dyDescent="0.25">
      <c r="A9140" s="841" t="s">
        <v>208</v>
      </c>
      <c r="E9140" s="1904" t="s">
        <v>4813</v>
      </c>
      <c r="F9140" s="1904"/>
      <c r="G9140" s="1407" t="s">
        <v>33</v>
      </c>
      <c r="H9140" s="606">
        <v>1.6712</v>
      </c>
      <c r="K9140" s="841" t="s">
        <v>6095</v>
      </c>
      <c r="L9140" s="841" t="s">
        <v>443</v>
      </c>
      <c r="M9140" s="1357"/>
      <c r="P9140" s="841" t="s">
        <v>6098</v>
      </c>
      <c r="Q9140" s="1357"/>
      <c r="S9140" s="1420"/>
      <c r="T9140" s="1420"/>
      <c r="V9140" s="1357">
        <v>25</v>
      </c>
    </row>
    <row r="9141" spans="1:22" s="841" customFormat="1" ht="15" x14ac:dyDescent="0.25">
      <c r="A9141" s="841" t="s">
        <v>208</v>
      </c>
      <c r="E9141" s="1904" t="s">
        <v>4811</v>
      </c>
      <c r="F9141" s="1904"/>
      <c r="G9141" s="1407" t="s">
        <v>33</v>
      </c>
      <c r="H9141" s="1309">
        <v>-1.1999999999999999E-3</v>
      </c>
      <c r="K9141" s="841" t="s">
        <v>6095</v>
      </c>
      <c r="L9141" s="841" t="s">
        <v>442</v>
      </c>
      <c r="M9141" s="1357"/>
      <c r="P9141" s="841" t="s">
        <v>6105</v>
      </c>
      <c r="Q9141" s="1357"/>
      <c r="S9141" s="1420"/>
      <c r="T9141" s="1420">
        <v>43281</v>
      </c>
      <c r="V9141" s="1357">
        <v>103</v>
      </c>
    </row>
    <row r="9142" spans="1:22" s="841" customFormat="1" ht="15" x14ac:dyDescent="0.25">
      <c r="A9142" s="841" t="s">
        <v>208</v>
      </c>
      <c r="E9142" s="1904" t="s">
        <v>4814</v>
      </c>
      <c r="F9142" s="1904"/>
      <c r="G9142" s="1407" t="s">
        <v>33</v>
      </c>
      <c r="H9142" s="1309">
        <v>-1.7126999999999999</v>
      </c>
      <c r="K9142" s="841" t="s">
        <v>6095</v>
      </c>
      <c r="L9142" s="841" t="s">
        <v>443</v>
      </c>
      <c r="M9142" s="1357"/>
      <c r="P9142" s="841" t="s">
        <v>6105</v>
      </c>
      <c r="Q9142" s="1357"/>
      <c r="S9142" s="1420"/>
      <c r="T9142" s="1420">
        <v>43281</v>
      </c>
      <c r="V9142" s="1357">
        <v>96</v>
      </c>
    </row>
    <row r="9143" spans="1:22" s="841" customFormat="1" ht="15" x14ac:dyDescent="0.25">
      <c r="A9143" s="841" t="s">
        <v>208</v>
      </c>
      <c r="E9143" s="1904" t="s">
        <v>5130</v>
      </c>
      <c r="F9143" s="1904"/>
      <c r="G9143" s="1407" t="s">
        <v>33</v>
      </c>
      <c r="H9143" s="1309">
        <v>-0.71609999999999996</v>
      </c>
      <c r="K9143" s="841" t="s">
        <v>6095</v>
      </c>
      <c r="L9143" s="841" t="s">
        <v>443</v>
      </c>
      <c r="M9143" s="1357"/>
      <c r="P9143" s="841" t="s">
        <v>6105</v>
      </c>
      <c r="Q9143" s="1357"/>
      <c r="S9143" s="1420"/>
      <c r="T9143" s="1420">
        <v>43585</v>
      </c>
      <c r="V9143" s="1357">
        <v>96</v>
      </c>
    </row>
    <row r="9144" spans="1:22" s="841" customFormat="1" ht="15" x14ac:dyDescent="0.25">
      <c r="A9144" s="841" t="s">
        <v>208</v>
      </c>
      <c r="E9144" s="1904" t="s">
        <v>5734</v>
      </c>
      <c r="F9144" s="1904"/>
      <c r="G9144" s="1408" t="s">
        <v>24</v>
      </c>
      <c r="H9144" s="393">
        <v>6.0000000000000001E-3</v>
      </c>
      <c r="K9144" s="841" t="s">
        <v>6095</v>
      </c>
      <c r="L9144" s="841" t="s">
        <v>443</v>
      </c>
      <c r="M9144" s="1357"/>
      <c r="P9144" s="841" t="s">
        <v>6104</v>
      </c>
      <c r="Q9144" s="1357"/>
      <c r="S9144" s="1420"/>
      <c r="T9144" s="1420">
        <v>43281</v>
      </c>
      <c r="V9144" s="1357">
        <v>141</v>
      </c>
    </row>
    <row r="9145" spans="1:22" s="841" customFormat="1" ht="15" x14ac:dyDescent="0.25">
      <c r="A9145" s="841" t="s">
        <v>208</v>
      </c>
      <c r="E9145" s="1904" t="s">
        <v>5384</v>
      </c>
      <c r="F9145" s="1904"/>
      <c r="G9145" s="1408" t="s">
        <v>24</v>
      </c>
      <c r="H9145" s="393">
        <v>6.9999999999999999E-4</v>
      </c>
      <c r="K9145" s="841" t="s">
        <v>6095</v>
      </c>
      <c r="L9145" s="841" t="s">
        <v>443</v>
      </c>
      <c r="M9145" s="1357"/>
      <c r="P9145" s="841" t="s">
        <v>6104</v>
      </c>
      <c r="Q9145" s="1357"/>
      <c r="S9145" s="1420"/>
      <c r="T9145" s="1420">
        <v>43585</v>
      </c>
      <c r="V9145" s="1357">
        <v>141</v>
      </c>
    </row>
    <row r="9146" spans="1:22" s="841" customFormat="1" ht="15" x14ac:dyDescent="0.25">
      <c r="A9146" s="841" t="s">
        <v>208</v>
      </c>
      <c r="E9146" s="1904" t="s">
        <v>5731</v>
      </c>
      <c r="F9146" s="1904"/>
      <c r="G9146" s="1408" t="s">
        <v>33</v>
      </c>
      <c r="H9146" s="393">
        <v>5.5800000000000002E-2</v>
      </c>
      <c r="K9146" s="841" t="s">
        <v>6095</v>
      </c>
      <c r="L9146" s="841" t="s">
        <v>442</v>
      </c>
      <c r="M9146" s="1357"/>
      <c r="P9146" s="841" t="s">
        <v>6111</v>
      </c>
      <c r="Q9146" s="1357"/>
      <c r="S9146" s="1420"/>
      <c r="T9146" s="1420">
        <v>43281</v>
      </c>
      <c r="V9146" s="1357">
        <v>137</v>
      </c>
    </row>
    <row r="9147" spans="1:22" s="841" customFormat="1" ht="15" x14ac:dyDescent="0.25">
      <c r="A9147" s="841" t="s">
        <v>208</v>
      </c>
      <c r="E9147" s="1904" t="s">
        <v>5729</v>
      </c>
      <c r="F9147" s="1904"/>
      <c r="G9147" s="1408" t="s">
        <v>33</v>
      </c>
      <c r="H9147" s="393">
        <v>3.8300000000000001E-2</v>
      </c>
      <c r="K9147" s="841" t="s">
        <v>6095</v>
      </c>
      <c r="L9147" s="841" t="s">
        <v>442</v>
      </c>
      <c r="M9147" s="1357"/>
      <c r="P9147" s="841" t="s">
        <v>6111</v>
      </c>
      <c r="Q9147" s="1357"/>
      <c r="S9147" s="1420"/>
      <c r="T9147" s="1420">
        <v>43585</v>
      </c>
      <c r="V9147" s="1357">
        <v>138</v>
      </c>
    </row>
    <row r="9148" spans="1:22" s="841" customFormat="1" ht="15" x14ac:dyDescent="0.25">
      <c r="A9148" s="841" t="s">
        <v>208</v>
      </c>
      <c r="E9148" s="1904" t="s">
        <v>4815</v>
      </c>
      <c r="F9148" s="1904"/>
      <c r="G9148" s="1407" t="s">
        <v>33</v>
      </c>
      <c r="H9148" s="606">
        <v>2.4327000000000001</v>
      </c>
      <c r="K9148" s="841" t="s">
        <v>6095</v>
      </c>
      <c r="L9148" s="841" t="s">
        <v>444</v>
      </c>
      <c r="M9148" s="1357"/>
      <c r="P9148" s="841" t="s">
        <v>6399</v>
      </c>
      <c r="Q9148" s="1357"/>
      <c r="S9148" s="1420"/>
      <c r="T9148" s="1420"/>
      <c r="V9148" s="1357">
        <v>48</v>
      </c>
    </row>
    <row r="9149" spans="1:22" s="841" customFormat="1" ht="15" x14ac:dyDescent="0.25">
      <c r="A9149" s="841" t="s">
        <v>208</v>
      </c>
      <c r="E9149" s="1904" t="s">
        <v>217</v>
      </c>
      <c r="F9149" s="1904"/>
      <c r="G9149" s="1407" t="s">
        <v>33</v>
      </c>
      <c r="H9149" s="606">
        <v>1.8726</v>
      </c>
      <c r="K9149" s="841" t="s">
        <v>6095</v>
      </c>
      <c r="L9149" s="841" t="s">
        <v>444</v>
      </c>
      <c r="M9149" s="1357"/>
      <c r="P9149" s="841" t="s">
        <v>6100</v>
      </c>
      <c r="Q9149" s="1357"/>
      <c r="S9149" s="1420"/>
      <c r="T9149" s="1420"/>
      <c r="V9149" s="1357">
        <v>74</v>
      </c>
    </row>
    <row r="9150" spans="1:22" s="841" customFormat="1" ht="15" x14ac:dyDescent="0.25">
      <c r="A9150" s="841" t="s">
        <v>208</v>
      </c>
      <c r="E9150" s="1904" t="s">
        <v>4821</v>
      </c>
      <c r="F9150" s="1904"/>
      <c r="G9150" s="1407" t="s">
        <v>33</v>
      </c>
      <c r="H9150" s="606">
        <v>2.7179000000000002</v>
      </c>
      <c r="K9150" s="841" t="s">
        <v>6095</v>
      </c>
      <c r="L9150" s="841" t="s">
        <v>444</v>
      </c>
      <c r="M9150" s="1357"/>
      <c r="P9150" s="841" t="s">
        <v>6400</v>
      </c>
      <c r="Q9150" s="1357"/>
      <c r="S9150" s="1420"/>
      <c r="T9150" s="1420"/>
      <c r="V9150" s="1357">
        <v>67</v>
      </c>
    </row>
    <row r="9151" spans="1:22" s="841" customFormat="1" ht="15" x14ac:dyDescent="0.25">
      <c r="A9151" s="841" t="s">
        <v>208</v>
      </c>
      <c r="E9151" s="1904" t="s">
        <v>219</v>
      </c>
      <c r="F9151" s="1904"/>
      <c r="G9151" s="1407" t="s">
        <v>33</v>
      </c>
      <c r="H9151" s="606">
        <v>2.0872999999999999</v>
      </c>
      <c r="K9151" s="841" t="s">
        <v>6095</v>
      </c>
      <c r="L9151" s="841" t="s">
        <v>444</v>
      </c>
      <c r="M9151" s="1357"/>
      <c r="P9151" s="841" t="s">
        <v>6108</v>
      </c>
      <c r="Q9151" s="1357"/>
      <c r="S9151" s="1420"/>
      <c r="T9151" s="1420"/>
      <c r="V9151" s="1357">
        <v>93</v>
      </c>
    </row>
    <row r="9152" spans="1:22" s="841" customFormat="1" ht="15" x14ac:dyDescent="0.25">
      <c r="A9152" s="841" t="s">
        <v>208</v>
      </c>
      <c r="E9152" s="1694" t="s">
        <v>3079</v>
      </c>
      <c r="F9152" s="1690"/>
      <c r="G9152" s="1408"/>
      <c r="H9152" s="1310"/>
      <c r="K9152" s="841" t="s">
        <v>3218</v>
      </c>
      <c r="M9152" s="1357"/>
      <c r="Q9152" s="1357"/>
      <c r="S9152" s="1420"/>
      <c r="T9152" s="1420"/>
      <c r="V9152" s="1357">
        <v>48</v>
      </c>
    </row>
    <row r="9153" spans="1:22" s="841" customFormat="1" ht="15" x14ac:dyDescent="0.25">
      <c r="A9153" s="841" t="s">
        <v>208</v>
      </c>
      <c r="E9153" s="1904" t="s">
        <v>2449</v>
      </c>
      <c r="F9153" s="1904"/>
      <c r="G9153" s="1407" t="s">
        <v>24</v>
      </c>
      <c r="H9153" s="606">
        <v>3.2000000000000002E-3</v>
      </c>
      <c r="K9153" s="841" t="s">
        <v>6095</v>
      </c>
      <c r="L9153" s="841" t="s">
        <v>3046</v>
      </c>
      <c r="M9153" s="1357"/>
      <c r="P9153" s="841" t="s">
        <v>6101</v>
      </c>
      <c r="Q9153" s="1357"/>
      <c r="S9153" s="1420"/>
      <c r="T9153" s="1420"/>
      <c r="V9153" s="1357">
        <v>55</v>
      </c>
    </row>
    <row r="9154" spans="1:22" s="841" customFormat="1" ht="15" x14ac:dyDescent="0.25">
      <c r="A9154" s="841" t="s">
        <v>208</v>
      </c>
      <c r="E9154" s="1904" t="s">
        <v>2450</v>
      </c>
      <c r="F9154" s="1904"/>
      <c r="G9154" s="1407" t="s">
        <v>24</v>
      </c>
      <c r="H9154" s="606">
        <v>4.0000000000000002E-4</v>
      </c>
      <c r="K9154" s="841" t="s">
        <v>6095</v>
      </c>
      <c r="L9154" s="841" t="s">
        <v>3046</v>
      </c>
      <c r="M9154" s="1357"/>
      <c r="P9154" s="841" t="s">
        <v>6101</v>
      </c>
      <c r="Q9154" s="1357"/>
      <c r="S9154" s="1420"/>
      <c r="T9154" s="1420"/>
      <c r="V9154" s="1357">
        <v>65</v>
      </c>
    </row>
    <row r="9155" spans="1:22" s="841" customFormat="1" ht="15" x14ac:dyDescent="0.25">
      <c r="A9155" s="841" t="s">
        <v>208</v>
      </c>
      <c r="E9155" s="1904" t="s">
        <v>439</v>
      </c>
      <c r="F9155" s="1904"/>
      <c r="G9155" s="1407" t="s">
        <v>24</v>
      </c>
      <c r="H9155" s="606">
        <v>2.9999999999999997E-4</v>
      </c>
      <c r="K9155" s="841" t="s">
        <v>6095</v>
      </c>
      <c r="L9155" s="841" t="s">
        <v>3046</v>
      </c>
      <c r="M9155" s="1357"/>
      <c r="P9155" s="841" t="s">
        <v>6102</v>
      </c>
      <c r="Q9155" s="1357"/>
      <c r="S9155" s="1420"/>
      <c r="T9155" s="1420"/>
      <c r="V9155" s="1357">
        <v>57</v>
      </c>
    </row>
    <row r="9156" spans="1:22" s="841" customFormat="1" ht="15" x14ac:dyDescent="0.25">
      <c r="A9156" s="841" t="s">
        <v>208</v>
      </c>
      <c r="E9156" s="1904" t="s">
        <v>32</v>
      </c>
      <c r="F9156" s="1904"/>
      <c r="G9156" s="1407" t="s">
        <v>23</v>
      </c>
      <c r="H9156" s="600">
        <v>0.25</v>
      </c>
      <c r="K9156" s="841" t="s">
        <v>6095</v>
      </c>
      <c r="L9156" s="841" t="s">
        <v>3046</v>
      </c>
      <c r="M9156" s="1357"/>
      <c r="P9156" s="841" t="s">
        <v>6103</v>
      </c>
      <c r="Q9156" s="1357"/>
      <c r="S9156" s="1420"/>
      <c r="T9156" s="1420"/>
      <c r="V9156" s="1357">
        <v>63</v>
      </c>
    </row>
    <row r="9157" spans="1:22" s="841" customFormat="1" x14ac:dyDescent="0.25">
      <c r="A9157" s="841" t="s">
        <v>208</v>
      </c>
      <c r="E9157" s="1695" t="s">
        <v>617</v>
      </c>
      <c r="F9157" s="1695"/>
      <c r="G9157" s="1695"/>
      <c r="H9157" s="1695"/>
      <c r="K9157" s="841" t="s">
        <v>3406</v>
      </c>
      <c r="M9157" s="1357"/>
      <c r="Q9157" s="1357"/>
      <c r="S9157" s="1420"/>
      <c r="T9157" s="1420"/>
      <c r="V9157" s="1357">
        <v>47</v>
      </c>
    </row>
    <row r="9158" spans="1:22" s="841" customFormat="1" ht="15" x14ac:dyDescent="0.25">
      <c r="A9158" s="841" t="s">
        <v>208</v>
      </c>
      <c r="E9158" s="1689" t="s">
        <v>4252</v>
      </c>
      <c r="F9158" s="1689"/>
      <c r="G9158" s="1689"/>
      <c r="H9158" s="1689"/>
      <c r="K9158" s="841" t="s">
        <v>3406</v>
      </c>
      <c r="M9158" s="1357"/>
      <c r="Q9158" s="1357"/>
      <c r="S9158" s="1420"/>
      <c r="T9158" s="1420"/>
      <c r="V9158" s="1357">
        <v>719</v>
      </c>
    </row>
    <row r="9159" spans="1:22" s="841" customFormat="1" ht="15" x14ac:dyDescent="0.25">
      <c r="A9159" s="841" t="s">
        <v>208</v>
      </c>
      <c r="E9159" s="1696" t="s">
        <v>3061</v>
      </c>
      <c r="F9159" s="1697"/>
      <c r="G9159" s="1697"/>
      <c r="H9159" s="1697"/>
      <c r="K9159" s="841" t="s">
        <v>3221</v>
      </c>
      <c r="M9159" s="1357"/>
      <c r="Q9159" s="1357"/>
      <c r="S9159" s="1420"/>
      <c r="T9159" s="1420"/>
      <c r="V9159" s="1357">
        <v>11</v>
      </c>
    </row>
    <row r="9160" spans="1:22" s="841" customFormat="1" ht="15" x14ac:dyDescent="0.25">
      <c r="A9160" s="841" t="s">
        <v>208</v>
      </c>
      <c r="E9160" s="1689" t="s">
        <v>3063</v>
      </c>
      <c r="F9160" s="1689"/>
      <c r="G9160" s="1689"/>
      <c r="H9160" s="1689"/>
      <c r="K9160" s="841" t="s">
        <v>3406</v>
      </c>
      <c r="M9160" s="1357"/>
      <c r="Q9160" s="1357"/>
      <c r="S9160" s="1420"/>
      <c r="T9160" s="1420"/>
      <c r="V9160" s="1357">
        <v>280</v>
      </c>
    </row>
    <row r="9161" spans="1:22" s="841" customFormat="1" ht="15" x14ac:dyDescent="0.25">
      <c r="A9161" s="841" t="s">
        <v>208</v>
      </c>
      <c r="E9161" s="1689" t="s">
        <v>3064</v>
      </c>
      <c r="F9161" s="1689"/>
      <c r="G9161" s="1689"/>
      <c r="H9161" s="1689"/>
      <c r="K9161" s="841" t="s">
        <v>3406</v>
      </c>
      <c r="M9161" s="1357"/>
      <c r="Q9161" s="1357"/>
      <c r="S9161" s="1420"/>
      <c r="T9161" s="1420"/>
      <c r="V9161" s="1357">
        <v>411</v>
      </c>
    </row>
    <row r="9162" spans="1:22" s="841" customFormat="1" ht="15" x14ac:dyDescent="0.25">
      <c r="A9162" s="841" t="s">
        <v>208</v>
      </c>
      <c r="E9162" s="1689" t="s">
        <v>3199</v>
      </c>
      <c r="F9162" s="1689"/>
      <c r="G9162" s="1689"/>
      <c r="H9162" s="1689"/>
      <c r="K9162" s="841" t="s">
        <v>3406</v>
      </c>
      <c r="M9162" s="1357"/>
      <c r="Q9162" s="1357"/>
      <c r="S9162" s="1420"/>
      <c r="T9162" s="1420"/>
      <c r="V9162" s="1357">
        <v>386</v>
      </c>
    </row>
    <row r="9163" spans="1:22" s="841" customFormat="1" ht="15" x14ac:dyDescent="0.25">
      <c r="A9163" s="841" t="s">
        <v>208</v>
      </c>
      <c r="E9163" s="1689" t="s">
        <v>3066</v>
      </c>
      <c r="F9163" s="1689"/>
      <c r="G9163" s="1689"/>
      <c r="H9163" s="1689"/>
      <c r="K9163" s="841" t="s">
        <v>3406</v>
      </c>
      <c r="M9163" s="1357"/>
      <c r="Q9163" s="1357"/>
      <c r="S9163" s="1420"/>
      <c r="T9163" s="1420"/>
      <c r="V9163" s="1357">
        <v>275</v>
      </c>
    </row>
    <row r="9164" spans="1:22" s="841" customFormat="1" ht="15" x14ac:dyDescent="0.25">
      <c r="A9164" s="841" t="s">
        <v>208</v>
      </c>
      <c r="E9164" s="1692" t="s">
        <v>3067</v>
      </c>
      <c r="F9164" s="1693"/>
      <c r="G9164" s="1693"/>
      <c r="H9164" s="1693"/>
      <c r="K9164" s="841" t="s">
        <v>3224</v>
      </c>
      <c r="M9164" s="1357"/>
      <c r="Q9164" s="1357"/>
      <c r="S9164" s="1420"/>
      <c r="T9164" s="1420"/>
      <c r="V9164" s="1357">
        <v>46</v>
      </c>
    </row>
    <row r="9165" spans="1:22" s="841" customFormat="1" ht="15" x14ac:dyDescent="0.25">
      <c r="A9165" s="841" t="s">
        <v>208</v>
      </c>
      <c r="E9165" s="1904" t="s">
        <v>4823</v>
      </c>
      <c r="F9165" s="1904"/>
      <c r="G9165" s="1407" t="s">
        <v>23</v>
      </c>
      <c r="H9165" s="600">
        <v>4.3499999999999996</v>
      </c>
      <c r="K9165" s="841" t="s">
        <v>3406</v>
      </c>
      <c r="L9165" s="841" t="s">
        <v>442</v>
      </c>
      <c r="M9165" s="1357"/>
      <c r="P9165" s="841" t="s">
        <v>3408</v>
      </c>
      <c r="Q9165" s="1357"/>
      <c r="S9165" s="1420"/>
      <c r="T9165" s="1420"/>
      <c r="V9165" s="1357">
        <v>30</v>
      </c>
    </row>
    <row r="9166" spans="1:22" s="841" customFormat="1" ht="15" x14ac:dyDescent="0.25">
      <c r="A9166" s="841" t="s">
        <v>208</v>
      </c>
      <c r="E9166" s="1904" t="s">
        <v>5727</v>
      </c>
      <c r="F9166" s="1904"/>
      <c r="G9166" s="1408" t="s">
        <v>23</v>
      </c>
      <c r="H9166" s="391">
        <v>0.41</v>
      </c>
      <c r="K9166" s="841" t="s">
        <v>3406</v>
      </c>
      <c r="L9166" s="841" t="s">
        <v>442</v>
      </c>
      <c r="M9166" s="1357"/>
      <c r="P9166" s="841" t="s">
        <v>6401</v>
      </c>
      <c r="Q9166" s="1357"/>
      <c r="S9166" s="1420"/>
      <c r="T9166" s="1420"/>
      <c r="V9166" s="1357">
        <v>129</v>
      </c>
    </row>
    <row r="9167" spans="1:22" s="841" customFormat="1" ht="15" x14ac:dyDescent="0.25">
      <c r="A9167" s="841" t="s">
        <v>208</v>
      </c>
      <c r="E9167" s="1904" t="s">
        <v>84</v>
      </c>
      <c r="F9167" s="1904"/>
      <c r="G9167" s="1407" t="s">
        <v>24</v>
      </c>
      <c r="H9167" s="606">
        <v>1.9900000000000001E-2</v>
      </c>
      <c r="K9167" s="841" t="s">
        <v>3406</v>
      </c>
      <c r="L9167" s="841" t="s">
        <v>442</v>
      </c>
      <c r="M9167" s="1357"/>
      <c r="P9167" s="841" t="s">
        <v>3409</v>
      </c>
      <c r="Q9167" s="1357"/>
      <c r="S9167" s="1420"/>
      <c r="T9167" s="1420"/>
      <c r="V9167" s="1357">
        <v>28</v>
      </c>
    </row>
    <row r="9168" spans="1:22" s="841" customFormat="1" ht="15" x14ac:dyDescent="0.25">
      <c r="A9168" s="841" t="s">
        <v>208</v>
      </c>
      <c r="E9168" s="1904" t="s">
        <v>18</v>
      </c>
      <c r="F9168" s="1904"/>
      <c r="G9168" s="1407" t="s">
        <v>24</v>
      </c>
      <c r="H9168" s="606">
        <v>4.4999999999999997E-3</v>
      </c>
      <c r="K9168" s="841" t="s">
        <v>3406</v>
      </c>
      <c r="L9168" s="841" t="s">
        <v>443</v>
      </c>
      <c r="M9168" s="1357"/>
      <c r="P9168" s="841" t="s">
        <v>3549</v>
      </c>
      <c r="Q9168" s="1357"/>
      <c r="S9168" s="1420"/>
      <c r="T9168" s="1420"/>
      <c r="V9168" s="1357">
        <v>24</v>
      </c>
    </row>
    <row r="9169" spans="1:22" s="841" customFormat="1" ht="15" x14ac:dyDescent="0.25">
      <c r="A9169" s="841" t="s">
        <v>208</v>
      </c>
      <c r="E9169" s="1904" t="s">
        <v>4811</v>
      </c>
      <c r="F9169" s="1904"/>
      <c r="G9169" s="1407" t="s">
        <v>24</v>
      </c>
      <c r="H9169" s="606">
        <v>1E-4</v>
      </c>
      <c r="K9169" s="841" t="s">
        <v>3406</v>
      </c>
      <c r="L9169" s="841" t="s">
        <v>442</v>
      </c>
      <c r="M9169" s="1357"/>
      <c r="P9169" s="841" t="s">
        <v>3411</v>
      </c>
      <c r="Q9169" s="1357"/>
      <c r="S9169" s="1420"/>
      <c r="T9169" s="1420">
        <v>43281</v>
      </c>
      <c r="V9169" s="1357">
        <v>103</v>
      </c>
    </row>
    <row r="9170" spans="1:22" s="841" customFormat="1" ht="15" x14ac:dyDescent="0.25">
      <c r="A9170" s="841" t="s">
        <v>208</v>
      </c>
      <c r="E9170" s="1904" t="s">
        <v>4824</v>
      </c>
      <c r="F9170" s="1904"/>
      <c r="G9170" s="1407" t="s">
        <v>24</v>
      </c>
      <c r="H9170" s="1309">
        <v>-5.0000000000000001E-3</v>
      </c>
      <c r="K9170" s="841" t="s">
        <v>3406</v>
      </c>
      <c r="L9170" s="841" t="s">
        <v>443</v>
      </c>
      <c r="M9170" s="1357"/>
      <c r="P9170" s="841" t="s">
        <v>3411</v>
      </c>
      <c r="Q9170" s="1357"/>
      <c r="S9170" s="1420"/>
      <c r="T9170" s="1420">
        <v>43281</v>
      </c>
      <c r="V9170" s="1357">
        <v>95</v>
      </c>
    </row>
    <row r="9171" spans="1:22" s="841" customFormat="1" ht="15" x14ac:dyDescent="0.25">
      <c r="A9171" s="841" t="s">
        <v>208</v>
      </c>
      <c r="E9171" s="1904" t="s">
        <v>5130</v>
      </c>
      <c r="F9171" s="1962"/>
      <c r="G9171" s="1407" t="s">
        <v>24</v>
      </c>
      <c r="H9171" s="1309">
        <v>-2.0999999999999999E-3</v>
      </c>
      <c r="K9171" s="841" t="s">
        <v>3406</v>
      </c>
      <c r="L9171" s="841" t="s">
        <v>443</v>
      </c>
      <c r="M9171" s="1357"/>
      <c r="P9171" s="841" t="s">
        <v>3411</v>
      </c>
      <c r="Q9171" s="1357"/>
      <c r="S9171" s="1420"/>
      <c r="T9171" s="1420">
        <v>43585</v>
      </c>
      <c r="V9171" s="1357">
        <v>96</v>
      </c>
    </row>
    <row r="9172" spans="1:22" s="841" customFormat="1" ht="15" x14ac:dyDescent="0.25">
      <c r="A9172" s="841" t="s">
        <v>208</v>
      </c>
      <c r="E9172" s="1904" t="s">
        <v>5728</v>
      </c>
      <c r="F9172" s="1904"/>
      <c r="G9172" s="1408" t="s">
        <v>24</v>
      </c>
      <c r="H9172" s="393">
        <v>6.0000000000000001E-3</v>
      </c>
      <c r="K9172" s="841" t="s">
        <v>3406</v>
      </c>
      <c r="L9172" s="841" t="s">
        <v>443</v>
      </c>
      <c r="M9172" s="1357"/>
      <c r="P9172" s="841" t="s">
        <v>3550</v>
      </c>
      <c r="Q9172" s="1357"/>
      <c r="S9172" s="1420"/>
      <c r="T9172" s="1420">
        <v>43281</v>
      </c>
      <c r="V9172" s="1357">
        <v>140</v>
      </c>
    </row>
    <row r="9173" spans="1:22" s="841" customFormat="1" ht="15" x14ac:dyDescent="0.25">
      <c r="A9173" s="841" t="s">
        <v>208</v>
      </c>
      <c r="E9173" s="1904" t="s">
        <v>5384</v>
      </c>
      <c r="F9173" s="1904"/>
      <c r="G9173" s="1408" t="s">
        <v>24</v>
      </c>
      <c r="H9173" s="627">
        <v>8.0000000000000004E-4</v>
      </c>
      <c r="K9173" s="841" t="s">
        <v>3406</v>
      </c>
      <c r="L9173" s="841" t="s">
        <v>443</v>
      </c>
      <c r="M9173" s="1357"/>
      <c r="P9173" s="841" t="s">
        <v>3550</v>
      </c>
      <c r="Q9173" s="1357"/>
      <c r="S9173" s="1420"/>
      <c r="T9173" s="1420">
        <v>43585</v>
      </c>
      <c r="V9173" s="1357">
        <v>141</v>
      </c>
    </row>
    <row r="9174" spans="1:22" s="841" customFormat="1" ht="15" x14ac:dyDescent="0.25">
      <c r="A9174" s="841" t="s">
        <v>208</v>
      </c>
      <c r="E9174" s="1904" t="s">
        <v>4815</v>
      </c>
      <c r="F9174" s="1904"/>
      <c r="G9174" s="1407" t="s">
        <v>24</v>
      </c>
      <c r="H9174" s="606">
        <v>5.7999999999999996E-3</v>
      </c>
      <c r="K9174" s="841" t="s">
        <v>3406</v>
      </c>
      <c r="L9174" s="841" t="s">
        <v>444</v>
      </c>
      <c r="M9174" s="1357"/>
      <c r="P9174" s="841" t="s">
        <v>4825</v>
      </c>
      <c r="Q9174" s="1357"/>
      <c r="S9174" s="1420"/>
      <c r="T9174" s="1420"/>
      <c r="V9174" s="1357">
        <v>48</v>
      </c>
    </row>
    <row r="9175" spans="1:22" s="841" customFormat="1" ht="15" x14ac:dyDescent="0.25">
      <c r="A9175" s="841" t="s">
        <v>208</v>
      </c>
      <c r="E9175" s="1904" t="s">
        <v>3628</v>
      </c>
      <c r="F9175" s="1904"/>
      <c r="G9175" s="1407" t="s">
        <v>24</v>
      </c>
      <c r="H9175" s="606">
        <v>4.7000000000000002E-3</v>
      </c>
      <c r="K9175" s="841" t="s">
        <v>3406</v>
      </c>
      <c r="L9175" s="841" t="s">
        <v>444</v>
      </c>
      <c r="M9175" s="1357"/>
      <c r="P9175" s="841" t="s">
        <v>4826</v>
      </c>
      <c r="Q9175" s="1357"/>
      <c r="S9175" s="1420"/>
      <c r="T9175" s="1420"/>
      <c r="V9175" s="1357">
        <v>75</v>
      </c>
    </row>
    <row r="9176" spans="1:22" s="841" customFormat="1" ht="15" x14ac:dyDescent="0.25">
      <c r="A9176" s="841" t="s">
        <v>208</v>
      </c>
      <c r="E9176" s="1694" t="s">
        <v>3079</v>
      </c>
      <c r="F9176" s="1690"/>
      <c r="G9176" s="1408"/>
      <c r="H9176" s="1408"/>
      <c r="K9176" s="841" t="s">
        <v>3225</v>
      </c>
      <c r="M9176" s="1357"/>
      <c r="Q9176" s="1357"/>
      <c r="S9176" s="1420"/>
      <c r="T9176" s="1420"/>
      <c r="V9176" s="1357">
        <v>48</v>
      </c>
    </row>
    <row r="9177" spans="1:22" s="841" customFormat="1" ht="15" x14ac:dyDescent="0.25">
      <c r="A9177" s="841" t="s">
        <v>208</v>
      </c>
      <c r="E9177" s="1904" t="s">
        <v>2449</v>
      </c>
      <c r="F9177" s="1904"/>
      <c r="G9177" s="1407" t="s">
        <v>24</v>
      </c>
      <c r="H9177" s="606">
        <v>3.2000000000000002E-3</v>
      </c>
      <c r="K9177" s="841" t="s">
        <v>3406</v>
      </c>
      <c r="L9177" s="841" t="s">
        <v>3046</v>
      </c>
      <c r="M9177" s="1357"/>
      <c r="P9177" s="841" t="s">
        <v>3414</v>
      </c>
      <c r="Q9177" s="1357"/>
      <c r="S9177" s="1420"/>
      <c r="T9177" s="1420"/>
      <c r="V9177" s="1357">
        <v>55</v>
      </c>
    </row>
    <row r="9178" spans="1:22" s="841" customFormat="1" ht="15" x14ac:dyDescent="0.25">
      <c r="A9178" s="841" t="s">
        <v>208</v>
      </c>
      <c r="E9178" s="1904" t="s">
        <v>2450</v>
      </c>
      <c r="F9178" s="1904"/>
      <c r="G9178" s="1407" t="s">
        <v>24</v>
      </c>
      <c r="H9178" s="606">
        <v>4.0000000000000002E-4</v>
      </c>
      <c r="K9178" s="841" t="s">
        <v>3406</v>
      </c>
      <c r="L9178" s="841" t="s">
        <v>3046</v>
      </c>
      <c r="M9178" s="1357"/>
      <c r="P9178" s="841" t="s">
        <v>3414</v>
      </c>
      <c r="Q9178" s="1357"/>
      <c r="S9178" s="1420"/>
      <c r="T9178" s="1420"/>
      <c r="V9178" s="1357">
        <v>65</v>
      </c>
    </row>
    <row r="9179" spans="1:22" s="841" customFormat="1" ht="15" x14ac:dyDescent="0.25">
      <c r="A9179" s="841" t="s">
        <v>208</v>
      </c>
      <c r="E9179" s="1904" t="s">
        <v>439</v>
      </c>
      <c r="F9179" s="1904"/>
      <c r="G9179" s="1407" t="s">
        <v>24</v>
      </c>
      <c r="H9179" s="606">
        <v>2.9999999999999997E-4</v>
      </c>
      <c r="K9179" s="841" t="s">
        <v>3406</v>
      </c>
      <c r="L9179" s="841" t="s">
        <v>3046</v>
      </c>
      <c r="M9179" s="1357"/>
      <c r="P9179" s="841" t="s">
        <v>3415</v>
      </c>
      <c r="Q9179" s="1357"/>
      <c r="S9179" s="1420"/>
      <c r="T9179" s="1420"/>
      <c r="V9179" s="1357">
        <v>57</v>
      </c>
    </row>
    <row r="9180" spans="1:22" s="841" customFormat="1" ht="15" x14ac:dyDescent="0.25">
      <c r="A9180" s="841" t="s">
        <v>208</v>
      </c>
      <c r="E9180" s="1904" t="s">
        <v>32</v>
      </c>
      <c r="F9180" s="1904"/>
      <c r="G9180" s="1407" t="s">
        <v>23</v>
      </c>
      <c r="H9180" s="600">
        <v>0.25</v>
      </c>
      <c r="K9180" s="841" t="s">
        <v>3406</v>
      </c>
      <c r="L9180" s="841" t="s">
        <v>3046</v>
      </c>
      <c r="M9180" s="1357"/>
      <c r="P9180" s="841" t="s">
        <v>3416</v>
      </c>
      <c r="Q9180" s="1357"/>
      <c r="S9180" s="1420"/>
      <c r="T9180" s="1420"/>
      <c r="V9180" s="1357">
        <v>63</v>
      </c>
    </row>
    <row r="9181" spans="1:22" s="841" customFormat="1" x14ac:dyDescent="0.25">
      <c r="A9181" s="841" t="s">
        <v>208</v>
      </c>
      <c r="E9181" s="1695" t="s">
        <v>629</v>
      </c>
      <c r="F9181" s="1695"/>
      <c r="G9181" s="1695"/>
      <c r="H9181" s="1695"/>
      <c r="K9181" s="841" t="s">
        <v>3571</v>
      </c>
      <c r="M9181" s="1357"/>
      <c r="Q9181" s="1357"/>
      <c r="S9181" s="1420"/>
      <c r="T9181" s="1420"/>
      <c r="V9181" s="1357">
        <v>40</v>
      </c>
    </row>
    <row r="9182" spans="1:22" s="841" customFormat="1" ht="15" x14ac:dyDescent="0.25">
      <c r="A9182" s="841" t="s">
        <v>208</v>
      </c>
      <c r="E9182" s="1689" t="s">
        <v>3251</v>
      </c>
      <c r="F9182" s="1689"/>
      <c r="G9182" s="1689"/>
      <c r="H9182" s="1689"/>
      <c r="K9182" s="841" t="s">
        <v>3571</v>
      </c>
      <c r="M9182" s="1357"/>
      <c r="Q9182" s="1357"/>
      <c r="S9182" s="1420"/>
      <c r="T9182" s="1420"/>
      <c r="V9182" s="1357">
        <v>253</v>
      </c>
    </row>
    <row r="9183" spans="1:22" s="841" customFormat="1" ht="15" x14ac:dyDescent="0.25">
      <c r="A9183" s="841" t="s">
        <v>208</v>
      </c>
      <c r="E9183" s="1696" t="s">
        <v>3061</v>
      </c>
      <c r="F9183" s="1697"/>
      <c r="G9183" s="1697"/>
      <c r="H9183" s="1697"/>
      <c r="K9183" s="841" t="s">
        <v>3107</v>
      </c>
      <c r="M9183" s="1357"/>
      <c r="Q9183" s="1357"/>
      <c r="S9183" s="1420"/>
      <c r="T9183" s="1420"/>
      <c r="V9183" s="1357">
        <v>11</v>
      </c>
    </row>
    <row r="9184" spans="1:22" s="841" customFormat="1" ht="15" x14ac:dyDescent="0.25">
      <c r="A9184" s="841" t="s">
        <v>208</v>
      </c>
      <c r="E9184" s="1689" t="s">
        <v>3063</v>
      </c>
      <c r="F9184" s="1689"/>
      <c r="G9184" s="1689"/>
      <c r="H9184" s="1689"/>
      <c r="K9184" s="841" t="s">
        <v>3571</v>
      </c>
      <c r="M9184" s="1357"/>
      <c r="Q9184" s="1357"/>
      <c r="S9184" s="1420"/>
      <c r="T9184" s="1420"/>
      <c r="V9184" s="1357">
        <v>280</v>
      </c>
    </row>
    <row r="9185" spans="1:22" s="841" customFormat="1" ht="15" x14ac:dyDescent="0.25">
      <c r="A9185" s="841" t="s">
        <v>208</v>
      </c>
      <c r="E9185" s="1689" t="s">
        <v>3064</v>
      </c>
      <c r="F9185" s="1689"/>
      <c r="G9185" s="1689"/>
      <c r="H9185" s="1689"/>
      <c r="K9185" s="841" t="s">
        <v>3571</v>
      </c>
      <c r="M9185" s="1357"/>
      <c r="Q9185" s="1357"/>
      <c r="S9185" s="1420"/>
      <c r="T9185" s="1420"/>
      <c r="V9185" s="1357">
        <v>411</v>
      </c>
    </row>
    <row r="9186" spans="1:22" s="841" customFormat="1" ht="15" x14ac:dyDescent="0.25">
      <c r="A9186" s="841" t="s">
        <v>208</v>
      </c>
      <c r="E9186" s="1689" t="s">
        <v>3199</v>
      </c>
      <c r="F9186" s="1689"/>
      <c r="G9186" s="1689"/>
      <c r="H9186" s="1689"/>
      <c r="K9186" s="841" t="s">
        <v>3571</v>
      </c>
      <c r="M9186" s="1357"/>
      <c r="Q9186" s="1357"/>
      <c r="S9186" s="1420"/>
      <c r="T9186" s="1420"/>
      <c r="V9186" s="1357">
        <v>386</v>
      </c>
    </row>
    <row r="9187" spans="1:22" s="841" customFormat="1" ht="15" x14ac:dyDescent="0.25">
      <c r="A9187" s="841" t="s">
        <v>208</v>
      </c>
      <c r="E9187" s="1689" t="s">
        <v>3066</v>
      </c>
      <c r="F9187" s="1689"/>
      <c r="G9187" s="1689"/>
      <c r="H9187" s="1689"/>
      <c r="K9187" s="841" t="s">
        <v>3571</v>
      </c>
      <c r="M9187" s="1357"/>
      <c r="Q9187" s="1357"/>
      <c r="S9187" s="1420"/>
      <c r="T9187" s="1420"/>
      <c r="V9187" s="1357">
        <v>275</v>
      </c>
    </row>
    <row r="9188" spans="1:22" s="841" customFormat="1" ht="15" x14ac:dyDescent="0.25">
      <c r="A9188" s="841" t="s">
        <v>208</v>
      </c>
      <c r="E9188" s="1692" t="s">
        <v>3067</v>
      </c>
      <c r="F9188" s="1693"/>
      <c r="G9188" s="1693"/>
      <c r="H9188" s="1693"/>
      <c r="K9188" s="841" t="s">
        <v>3108</v>
      </c>
      <c r="M9188" s="1357"/>
      <c r="Q9188" s="1357"/>
      <c r="S9188" s="1420"/>
      <c r="T9188" s="1420"/>
      <c r="V9188" s="1357">
        <v>46</v>
      </c>
    </row>
    <row r="9189" spans="1:22" s="841" customFormat="1" ht="15" x14ac:dyDescent="0.25">
      <c r="A9189" s="841" t="s">
        <v>208</v>
      </c>
      <c r="E9189" s="1904" t="s">
        <v>4827</v>
      </c>
      <c r="F9189" s="1904"/>
      <c r="G9189" s="1407" t="s">
        <v>23</v>
      </c>
      <c r="H9189" s="600">
        <v>2.69</v>
      </c>
      <c r="K9189" s="841" t="s">
        <v>3571</v>
      </c>
      <c r="L9189" s="841" t="s">
        <v>442</v>
      </c>
      <c r="M9189" s="1357"/>
      <c r="P9189" s="841" t="s">
        <v>3573</v>
      </c>
      <c r="Q9189" s="1357"/>
      <c r="S9189" s="1420"/>
      <c r="T9189" s="1420"/>
      <c r="V9189" s="1357">
        <v>32</v>
      </c>
    </row>
    <row r="9190" spans="1:22" s="841" customFormat="1" ht="15" x14ac:dyDescent="0.25">
      <c r="A9190" s="841" t="s">
        <v>208</v>
      </c>
      <c r="E9190" s="1904" t="s">
        <v>5727</v>
      </c>
      <c r="F9190" s="1904"/>
      <c r="G9190" s="1408" t="s">
        <v>23</v>
      </c>
      <c r="H9190" s="391">
        <v>0.19</v>
      </c>
      <c r="K9190" s="841" t="s">
        <v>3571</v>
      </c>
      <c r="L9190" s="841" t="s">
        <v>442</v>
      </c>
      <c r="M9190" s="1357"/>
      <c r="P9190" s="841" t="s">
        <v>6402</v>
      </c>
      <c r="Q9190" s="1357"/>
      <c r="S9190" s="1420"/>
      <c r="T9190" s="1420"/>
      <c r="V9190" s="1357">
        <v>129</v>
      </c>
    </row>
    <row r="9191" spans="1:22" s="841" customFormat="1" ht="15" x14ac:dyDescent="0.25">
      <c r="A9191" s="841" t="s">
        <v>208</v>
      </c>
      <c r="E9191" s="1904" t="s">
        <v>3109</v>
      </c>
      <c r="F9191" s="1904"/>
      <c r="G9191" s="1407" t="s">
        <v>33</v>
      </c>
      <c r="H9191" s="606">
        <v>19.6568</v>
      </c>
      <c r="K9191" s="841" t="s">
        <v>3571</v>
      </c>
      <c r="L9191" s="841" t="s">
        <v>442</v>
      </c>
      <c r="M9191" s="1357"/>
      <c r="P9191" s="841" t="s">
        <v>3574</v>
      </c>
      <c r="Q9191" s="1357"/>
      <c r="S9191" s="1420"/>
      <c r="T9191" s="1420"/>
      <c r="V9191" s="1357">
        <v>29</v>
      </c>
    </row>
    <row r="9192" spans="1:22" s="841" customFormat="1" ht="15" x14ac:dyDescent="0.25">
      <c r="A9192" s="841" t="s">
        <v>208</v>
      </c>
      <c r="E9192" s="1904" t="s">
        <v>4813</v>
      </c>
      <c r="F9192" s="1904"/>
      <c r="G9192" s="1407" t="s">
        <v>33</v>
      </c>
      <c r="H9192" s="606">
        <v>1.3055000000000001</v>
      </c>
      <c r="K9192" s="841" t="s">
        <v>3571</v>
      </c>
      <c r="L9192" s="841" t="s">
        <v>443</v>
      </c>
      <c r="M9192" s="1357"/>
      <c r="P9192" s="841" t="s">
        <v>3575</v>
      </c>
      <c r="Q9192" s="1357"/>
      <c r="S9192" s="1420"/>
      <c r="T9192" s="1420"/>
      <c r="V9192" s="1357">
        <v>25</v>
      </c>
    </row>
    <row r="9193" spans="1:22" s="841" customFormat="1" ht="15" x14ac:dyDescent="0.25">
      <c r="A9193" s="841" t="s">
        <v>208</v>
      </c>
      <c r="E9193" s="1904" t="s">
        <v>4811</v>
      </c>
      <c r="F9193" s="1904"/>
      <c r="G9193" s="1407" t="s">
        <v>33</v>
      </c>
      <c r="H9193" s="606">
        <v>0.1384</v>
      </c>
      <c r="K9193" s="841" t="s">
        <v>3571</v>
      </c>
      <c r="L9193" s="841" t="s">
        <v>442</v>
      </c>
      <c r="M9193" s="1357"/>
      <c r="P9193" s="841" t="s">
        <v>3718</v>
      </c>
      <c r="Q9193" s="1357"/>
      <c r="S9193" s="1420"/>
      <c r="T9193" s="1420">
        <v>43281</v>
      </c>
      <c r="V9193" s="1357">
        <v>103</v>
      </c>
    </row>
    <row r="9194" spans="1:22" s="841" customFormat="1" ht="15" x14ac:dyDescent="0.25">
      <c r="A9194" s="841" t="s">
        <v>208</v>
      </c>
      <c r="E9194" s="1904" t="s">
        <v>4824</v>
      </c>
      <c r="F9194" s="1904"/>
      <c r="G9194" s="1407" t="s">
        <v>33</v>
      </c>
      <c r="H9194" s="1309">
        <v>-1.7750999999999999</v>
      </c>
      <c r="K9194" s="841" t="s">
        <v>3571</v>
      </c>
      <c r="L9194" s="841" t="s">
        <v>443</v>
      </c>
      <c r="M9194" s="1357"/>
      <c r="P9194" s="841" t="s">
        <v>3718</v>
      </c>
      <c r="Q9194" s="1357"/>
      <c r="S9194" s="1420"/>
      <c r="T9194" s="1420">
        <v>43281</v>
      </c>
      <c r="V9194" s="1357">
        <v>95</v>
      </c>
    </row>
    <row r="9195" spans="1:22" s="841" customFormat="1" ht="15" x14ac:dyDescent="0.25">
      <c r="A9195" s="841" t="s">
        <v>208</v>
      </c>
      <c r="E9195" s="1904" t="s">
        <v>5130</v>
      </c>
      <c r="F9195" s="1904"/>
      <c r="G9195" s="1407" t="s">
        <v>33</v>
      </c>
      <c r="H9195" s="1309">
        <v>-0.7419</v>
      </c>
      <c r="K9195" s="841" t="s">
        <v>3571</v>
      </c>
      <c r="L9195" s="841" t="s">
        <v>443</v>
      </c>
      <c r="M9195" s="1357"/>
      <c r="P9195" s="841" t="s">
        <v>3718</v>
      </c>
      <c r="Q9195" s="1357"/>
      <c r="S9195" s="1420"/>
      <c r="T9195" s="1420">
        <v>43585</v>
      </c>
      <c r="V9195" s="1357">
        <v>96</v>
      </c>
    </row>
    <row r="9196" spans="1:22" s="841" customFormat="1" ht="15" x14ac:dyDescent="0.25">
      <c r="A9196" s="841" t="s">
        <v>208</v>
      </c>
      <c r="E9196" s="1904" t="s">
        <v>5728</v>
      </c>
      <c r="F9196" s="1904"/>
      <c r="G9196" s="1408" t="s">
        <v>24</v>
      </c>
      <c r="H9196" s="393">
        <v>6.0000000000000001E-3</v>
      </c>
      <c r="K9196" s="841" t="s">
        <v>3571</v>
      </c>
      <c r="L9196" s="841" t="s">
        <v>443</v>
      </c>
      <c r="M9196" s="1357"/>
      <c r="P9196" s="841" t="s">
        <v>3717</v>
      </c>
      <c r="Q9196" s="1357"/>
      <c r="S9196" s="1420"/>
      <c r="T9196" s="1420">
        <v>43281</v>
      </c>
      <c r="V9196" s="1357">
        <v>140</v>
      </c>
    </row>
    <row r="9197" spans="1:22" s="841" customFormat="1" ht="15" x14ac:dyDescent="0.25">
      <c r="A9197" s="841" t="s">
        <v>208</v>
      </c>
      <c r="E9197" s="1904" t="s">
        <v>5384</v>
      </c>
      <c r="F9197" s="1962"/>
      <c r="G9197" s="1408" t="s">
        <v>24</v>
      </c>
      <c r="H9197" s="627">
        <v>8.0000000000000004E-4</v>
      </c>
      <c r="K9197" s="841" t="s">
        <v>3571</v>
      </c>
      <c r="L9197" s="841" t="s">
        <v>443</v>
      </c>
      <c r="M9197" s="1357"/>
      <c r="P9197" s="841" t="s">
        <v>3717</v>
      </c>
      <c r="Q9197" s="1357"/>
      <c r="S9197" s="1420"/>
      <c r="T9197" s="1420">
        <v>43585</v>
      </c>
      <c r="V9197" s="1357">
        <v>141</v>
      </c>
    </row>
    <row r="9198" spans="1:22" s="841" customFormat="1" ht="15" x14ac:dyDescent="0.25">
      <c r="A9198" s="841" t="s">
        <v>208</v>
      </c>
      <c r="E9198" s="1904" t="s">
        <v>221</v>
      </c>
      <c r="F9198" s="1904"/>
      <c r="G9198" s="1407" t="s">
        <v>33</v>
      </c>
      <c r="H9198" s="606">
        <v>1.8439000000000001</v>
      </c>
      <c r="K9198" s="841" t="s">
        <v>3571</v>
      </c>
      <c r="L9198" s="841" t="s">
        <v>444</v>
      </c>
      <c r="M9198" s="1357"/>
      <c r="P9198" s="841" t="s">
        <v>3576</v>
      </c>
      <c r="Q9198" s="1357"/>
      <c r="S9198" s="1420"/>
      <c r="T9198" s="1420"/>
      <c r="V9198" s="1357">
        <v>47</v>
      </c>
    </row>
    <row r="9199" spans="1:22" s="841" customFormat="1" ht="15" x14ac:dyDescent="0.25">
      <c r="A9199" s="841" t="s">
        <v>208</v>
      </c>
      <c r="E9199" s="1904" t="s">
        <v>3628</v>
      </c>
      <c r="F9199" s="1904"/>
      <c r="G9199" s="1407" t="s">
        <v>33</v>
      </c>
      <c r="H9199" s="606">
        <v>1.4779</v>
      </c>
      <c r="K9199" s="841" t="s">
        <v>3571</v>
      </c>
      <c r="L9199" s="841" t="s">
        <v>444</v>
      </c>
      <c r="M9199" s="1357"/>
      <c r="P9199" s="841" t="s">
        <v>4828</v>
      </c>
      <c r="Q9199" s="1357"/>
      <c r="S9199" s="1420"/>
      <c r="T9199" s="1420"/>
      <c r="V9199" s="1357">
        <v>75</v>
      </c>
    </row>
    <row r="9200" spans="1:22" s="841" customFormat="1" ht="15" x14ac:dyDescent="0.25">
      <c r="A9200" s="841" t="s">
        <v>208</v>
      </c>
      <c r="E9200" s="1694" t="s">
        <v>3079</v>
      </c>
      <c r="F9200" s="1690"/>
      <c r="G9200" s="1408"/>
      <c r="H9200" s="1408"/>
      <c r="K9200" s="841" t="s">
        <v>3111</v>
      </c>
      <c r="M9200" s="1357"/>
      <c r="Q9200" s="1357"/>
      <c r="S9200" s="1420"/>
      <c r="T9200" s="1420"/>
      <c r="V9200" s="1357">
        <v>48</v>
      </c>
    </row>
    <row r="9201" spans="1:22" s="841" customFormat="1" ht="15" x14ac:dyDescent="0.25">
      <c r="A9201" s="841" t="s">
        <v>208</v>
      </c>
      <c r="E9201" s="1904" t="s">
        <v>2449</v>
      </c>
      <c r="F9201" s="1904"/>
      <c r="G9201" s="1407" t="s">
        <v>24</v>
      </c>
      <c r="H9201" s="606">
        <v>3.2000000000000002E-3</v>
      </c>
      <c r="K9201" s="841" t="s">
        <v>3571</v>
      </c>
      <c r="L9201" s="841" t="s">
        <v>3046</v>
      </c>
      <c r="M9201" s="1357"/>
      <c r="P9201" s="841" t="s">
        <v>3578</v>
      </c>
      <c r="Q9201" s="1357"/>
      <c r="S9201" s="1420"/>
      <c r="T9201" s="1420"/>
      <c r="V9201" s="1357">
        <v>55</v>
      </c>
    </row>
    <row r="9202" spans="1:22" s="841" customFormat="1" ht="15" x14ac:dyDescent="0.25">
      <c r="A9202" s="841" t="s">
        <v>208</v>
      </c>
      <c r="E9202" s="1904" t="s">
        <v>2450</v>
      </c>
      <c r="F9202" s="1904"/>
      <c r="G9202" s="1407" t="s">
        <v>24</v>
      </c>
      <c r="H9202" s="606">
        <v>4.0000000000000002E-4</v>
      </c>
      <c r="K9202" s="841" t="s">
        <v>3571</v>
      </c>
      <c r="L9202" s="841" t="s">
        <v>3046</v>
      </c>
      <c r="M9202" s="1357"/>
      <c r="P9202" s="841" t="s">
        <v>3578</v>
      </c>
      <c r="Q9202" s="1357"/>
      <c r="S9202" s="1420"/>
      <c r="T9202" s="1420"/>
      <c r="V9202" s="1357">
        <v>65</v>
      </c>
    </row>
    <row r="9203" spans="1:22" s="841" customFormat="1" ht="15" x14ac:dyDescent="0.25">
      <c r="A9203" s="841" t="s">
        <v>208</v>
      </c>
      <c r="E9203" s="1904" t="s">
        <v>439</v>
      </c>
      <c r="F9203" s="1904"/>
      <c r="G9203" s="1407" t="s">
        <v>24</v>
      </c>
      <c r="H9203" s="606">
        <v>2.9999999999999997E-4</v>
      </c>
      <c r="K9203" s="841" t="s">
        <v>3571</v>
      </c>
      <c r="L9203" s="841" t="s">
        <v>3046</v>
      </c>
      <c r="M9203" s="1357"/>
      <c r="P9203" s="841" t="s">
        <v>3579</v>
      </c>
      <c r="Q9203" s="1357"/>
      <c r="S9203" s="1420"/>
      <c r="T9203" s="1420"/>
      <c r="V9203" s="1357">
        <v>57</v>
      </c>
    </row>
    <row r="9204" spans="1:22" s="841" customFormat="1" ht="15" x14ac:dyDescent="0.25">
      <c r="A9204" s="841" t="s">
        <v>208</v>
      </c>
      <c r="E9204" s="1904" t="s">
        <v>32</v>
      </c>
      <c r="F9204" s="1904"/>
      <c r="G9204" s="1407" t="s">
        <v>23</v>
      </c>
      <c r="H9204" s="600">
        <v>0.25</v>
      </c>
      <c r="K9204" s="841" t="s">
        <v>3571</v>
      </c>
      <c r="L9204" s="841" t="s">
        <v>3046</v>
      </c>
      <c r="M9204" s="1357"/>
      <c r="P9204" s="841" t="s">
        <v>3580</v>
      </c>
      <c r="Q9204" s="1357"/>
      <c r="S9204" s="1420"/>
      <c r="T9204" s="1420"/>
      <c r="V9204" s="1357">
        <v>63</v>
      </c>
    </row>
    <row r="9205" spans="1:22" s="841" customFormat="1" x14ac:dyDescent="0.25">
      <c r="A9205" s="841" t="s">
        <v>208</v>
      </c>
      <c r="E9205" s="1695" t="s">
        <v>615</v>
      </c>
      <c r="F9205" s="1695"/>
      <c r="G9205" s="1695"/>
      <c r="H9205" s="1695"/>
      <c r="K9205" s="841" t="s">
        <v>3112</v>
      </c>
      <c r="M9205" s="1357"/>
      <c r="Q9205" s="1357"/>
      <c r="S9205" s="1420"/>
      <c r="T9205" s="1420"/>
      <c r="V9205" s="1357">
        <v>38</v>
      </c>
    </row>
    <row r="9206" spans="1:22" s="841" customFormat="1" ht="15" x14ac:dyDescent="0.25">
      <c r="A9206" s="841" t="s">
        <v>208</v>
      </c>
      <c r="E9206" s="1689" t="s">
        <v>4064</v>
      </c>
      <c r="F9206" s="1689"/>
      <c r="G9206" s="1689"/>
      <c r="H9206" s="1689"/>
      <c r="K9206" s="841" t="s">
        <v>3112</v>
      </c>
      <c r="M9206" s="1357"/>
      <c r="Q9206" s="1357"/>
      <c r="S9206" s="1420"/>
      <c r="T9206" s="1420"/>
      <c r="V9206" s="1357">
        <v>542</v>
      </c>
    </row>
    <row r="9207" spans="1:22" s="841" customFormat="1" ht="15" x14ac:dyDescent="0.25">
      <c r="A9207" s="841" t="s">
        <v>208</v>
      </c>
      <c r="E9207" s="1696" t="s">
        <v>3061</v>
      </c>
      <c r="F9207" s="1697"/>
      <c r="G9207" s="1697"/>
      <c r="H9207" s="1697"/>
      <c r="K9207" s="841" t="s">
        <v>3114</v>
      </c>
      <c r="M9207" s="1357"/>
      <c r="Q9207" s="1357"/>
      <c r="S9207" s="1420"/>
      <c r="T9207" s="1420"/>
      <c r="V9207" s="1357">
        <v>11</v>
      </c>
    </row>
    <row r="9208" spans="1:22" s="841" customFormat="1" ht="15" x14ac:dyDescent="0.25">
      <c r="A9208" s="841" t="s">
        <v>208</v>
      </c>
      <c r="E9208" s="1689" t="s">
        <v>3063</v>
      </c>
      <c r="F9208" s="1689"/>
      <c r="G9208" s="1689"/>
      <c r="H9208" s="1689"/>
      <c r="K9208" s="841" t="s">
        <v>3112</v>
      </c>
      <c r="M9208" s="1357"/>
      <c r="Q9208" s="1357"/>
      <c r="S9208" s="1420"/>
      <c r="T9208" s="1420"/>
      <c r="V9208" s="1357">
        <v>280</v>
      </c>
    </row>
    <row r="9209" spans="1:22" s="841" customFormat="1" ht="15" x14ac:dyDescent="0.25">
      <c r="A9209" s="841" t="s">
        <v>208</v>
      </c>
      <c r="E9209" s="1689" t="s">
        <v>3064</v>
      </c>
      <c r="F9209" s="1689"/>
      <c r="G9209" s="1689"/>
      <c r="H9209" s="1689"/>
      <c r="K9209" s="841" t="s">
        <v>3112</v>
      </c>
      <c r="M9209" s="1357"/>
      <c r="Q9209" s="1357"/>
      <c r="S9209" s="1420"/>
      <c r="T9209" s="1420"/>
      <c r="V9209" s="1357">
        <v>411</v>
      </c>
    </row>
    <row r="9210" spans="1:22" s="841" customFormat="1" ht="15" x14ac:dyDescent="0.25">
      <c r="A9210" s="841" t="s">
        <v>208</v>
      </c>
      <c r="E9210" s="1689" t="s">
        <v>3199</v>
      </c>
      <c r="F9210" s="1689"/>
      <c r="G9210" s="1689"/>
      <c r="H9210" s="1689"/>
      <c r="K9210" s="841" t="s">
        <v>3112</v>
      </c>
      <c r="M9210" s="1357"/>
      <c r="Q9210" s="1357"/>
      <c r="S9210" s="1420"/>
      <c r="T9210" s="1420"/>
      <c r="V9210" s="1357">
        <v>386</v>
      </c>
    </row>
    <row r="9211" spans="1:22" s="841" customFormat="1" ht="15" x14ac:dyDescent="0.25">
      <c r="A9211" s="841" t="s">
        <v>208</v>
      </c>
      <c r="E9211" s="1689" t="s">
        <v>3066</v>
      </c>
      <c r="F9211" s="1689"/>
      <c r="G9211" s="1689"/>
      <c r="H9211" s="1689"/>
      <c r="K9211" s="841" t="s">
        <v>3112</v>
      </c>
      <c r="M9211" s="1357"/>
      <c r="Q9211" s="1357"/>
      <c r="S9211" s="1420"/>
      <c r="T9211" s="1420"/>
      <c r="V9211" s="1357">
        <v>275</v>
      </c>
    </row>
    <row r="9212" spans="1:22" s="841" customFormat="1" ht="15" x14ac:dyDescent="0.25">
      <c r="A9212" s="841" t="s">
        <v>208</v>
      </c>
      <c r="E9212" s="1692" t="s">
        <v>3067</v>
      </c>
      <c r="F9212" s="1693"/>
      <c r="G9212" s="1693"/>
      <c r="H9212" s="1693"/>
      <c r="K9212" s="841" t="s">
        <v>3115</v>
      </c>
      <c r="M9212" s="1357"/>
      <c r="Q9212" s="1357"/>
      <c r="S9212" s="1420"/>
      <c r="T9212" s="1420"/>
      <c r="V9212" s="1357">
        <v>46</v>
      </c>
    </row>
    <row r="9213" spans="1:22" s="841" customFormat="1" ht="15" x14ac:dyDescent="0.25">
      <c r="A9213" s="841" t="s">
        <v>208</v>
      </c>
      <c r="E9213" s="1690" t="s">
        <v>4827</v>
      </c>
      <c r="F9213" s="1690"/>
      <c r="G9213" s="1408" t="s">
        <v>23</v>
      </c>
      <c r="H9213" s="391">
        <v>3.37</v>
      </c>
      <c r="K9213" s="841" t="s">
        <v>3112</v>
      </c>
      <c r="L9213" s="841" t="s">
        <v>442</v>
      </c>
      <c r="M9213" s="1357"/>
      <c r="P9213" s="841" t="s">
        <v>3116</v>
      </c>
      <c r="Q9213" s="1357"/>
      <c r="S9213" s="1420"/>
      <c r="T9213" s="1420"/>
      <c r="V9213" s="1357">
        <v>32</v>
      </c>
    </row>
    <row r="9214" spans="1:22" s="841" customFormat="1" ht="15" x14ac:dyDescent="0.25">
      <c r="A9214" s="841" t="s">
        <v>208</v>
      </c>
      <c r="E9214" s="1904" t="s">
        <v>5727</v>
      </c>
      <c r="F9214" s="1904"/>
      <c r="G9214" s="1408" t="s">
        <v>23</v>
      </c>
      <c r="H9214" s="391">
        <v>0.09</v>
      </c>
      <c r="K9214" s="841" t="s">
        <v>3112</v>
      </c>
      <c r="L9214" s="841" t="s">
        <v>442</v>
      </c>
      <c r="M9214" s="1357"/>
      <c r="P9214" s="841" t="s">
        <v>6403</v>
      </c>
      <c r="Q9214" s="1357"/>
      <c r="S9214" s="1420"/>
      <c r="T9214" s="1420"/>
      <c r="V9214" s="1357">
        <v>129</v>
      </c>
    </row>
    <row r="9215" spans="1:22" s="841" customFormat="1" ht="15" x14ac:dyDescent="0.25">
      <c r="A9215" s="841" t="s">
        <v>208</v>
      </c>
      <c r="E9215" s="1690" t="s">
        <v>84</v>
      </c>
      <c r="F9215" s="1690"/>
      <c r="G9215" s="1408" t="s">
        <v>33</v>
      </c>
      <c r="H9215" s="393">
        <v>12.857799999999999</v>
      </c>
      <c r="K9215" s="841" t="s">
        <v>3112</v>
      </c>
      <c r="L9215" s="841" t="s">
        <v>442</v>
      </c>
      <c r="M9215" s="1357"/>
      <c r="P9215" s="841" t="s">
        <v>3117</v>
      </c>
      <c r="Q9215" s="1357"/>
      <c r="S9215" s="1420"/>
      <c r="T9215" s="1420"/>
      <c r="V9215" s="1357">
        <v>28</v>
      </c>
    </row>
    <row r="9216" spans="1:22" s="841" customFormat="1" ht="15" x14ac:dyDescent="0.25">
      <c r="A9216" s="841" t="s">
        <v>208</v>
      </c>
      <c r="E9216" s="1690" t="s">
        <v>4813</v>
      </c>
      <c r="F9216" s="1690"/>
      <c r="G9216" s="1408" t="s">
        <v>33</v>
      </c>
      <c r="H9216" s="393">
        <v>1.2789999999999999</v>
      </c>
      <c r="K9216" s="841" t="s">
        <v>3112</v>
      </c>
      <c r="L9216" s="841" t="s">
        <v>443</v>
      </c>
      <c r="M9216" s="1357"/>
      <c r="P9216" s="841" t="s">
        <v>3497</v>
      </c>
      <c r="Q9216" s="1357"/>
      <c r="S9216" s="1420"/>
      <c r="T9216" s="1420"/>
      <c r="V9216" s="1357">
        <v>25</v>
      </c>
    </row>
    <row r="9217" spans="1:22" s="841" customFormat="1" ht="15" x14ac:dyDescent="0.25">
      <c r="A9217" s="841" t="s">
        <v>208</v>
      </c>
      <c r="E9217" s="1904" t="s">
        <v>4811</v>
      </c>
      <c r="F9217" s="1904"/>
      <c r="G9217" s="1407" t="s">
        <v>33</v>
      </c>
      <c r="H9217" s="606">
        <v>0.4798</v>
      </c>
      <c r="K9217" s="841" t="s">
        <v>3112</v>
      </c>
      <c r="L9217" s="841" t="s">
        <v>442</v>
      </c>
      <c r="M9217" s="1357"/>
      <c r="P9217" s="841" t="s">
        <v>3118</v>
      </c>
      <c r="Q9217" s="1357"/>
      <c r="S9217" s="1420"/>
      <c r="T9217" s="1420">
        <v>43281</v>
      </c>
      <c r="V9217" s="1357">
        <v>103</v>
      </c>
    </row>
    <row r="9218" spans="1:22" s="841" customFormat="1" ht="15" x14ac:dyDescent="0.25">
      <c r="A9218" s="841" t="s">
        <v>208</v>
      </c>
      <c r="E9218" s="1904" t="s">
        <v>4814</v>
      </c>
      <c r="F9218" s="1904"/>
      <c r="G9218" s="1407" t="s">
        <v>33</v>
      </c>
      <c r="H9218" s="1309">
        <v>-1.8512999999999999</v>
      </c>
      <c r="K9218" s="841" t="s">
        <v>3112</v>
      </c>
      <c r="L9218" s="841" t="s">
        <v>443</v>
      </c>
      <c r="M9218" s="1357"/>
      <c r="P9218" s="841" t="s">
        <v>3118</v>
      </c>
      <c r="Q9218" s="1357"/>
      <c r="S9218" s="1420"/>
      <c r="T9218" s="1420">
        <v>43281</v>
      </c>
      <c r="V9218" s="1357">
        <v>96</v>
      </c>
    </row>
    <row r="9219" spans="1:22" s="841" customFormat="1" ht="15" x14ac:dyDescent="0.25">
      <c r="A9219" s="841" t="s">
        <v>208</v>
      </c>
      <c r="E9219" s="1690" t="s">
        <v>5130</v>
      </c>
      <c r="F9219" s="1908"/>
      <c r="G9219" s="1408" t="s">
        <v>33</v>
      </c>
      <c r="H9219" s="604">
        <v>-0.78249999999999997</v>
      </c>
      <c r="K9219" s="841" t="s">
        <v>3112</v>
      </c>
      <c r="L9219" s="841" t="s">
        <v>443</v>
      </c>
      <c r="M9219" s="1357"/>
      <c r="P9219" s="841" t="s">
        <v>3118</v>
      </c>
      <c r="Q9219" s="1357"/>
      <c r="S9219" s="1420"/>
      <c r="T9219" s="1420">
        <v>43585</v>
      </c>
      <c r="V9219" s="1357">
        <v>96</v>
      </c>
    </row>
    <row r="9220" spans="1:22" s="841" customFormat="1" ht="15" x14ac:dyDescent="0.25">
      <c r="A9220" s="841" t="s">
        <v>208</v>
      </c>
      <c r="E9220" s="1904" t="s">
        <v>5735</v>
      </c>
      <c r="F9220" s="1904"/>
      <c r="G9220" s="1408" t="s">
        <v>24</v>
      </c>
      <c r="H9220" s="393">
        <v>6.0000000000000001E-3</v>
      </c>
      <c r="K9220" s="841" t="s">
        <v>3112</v>
      </c>
      <c r="L9220" s="841" t="s">
        <v>443</v>
      </c>
      <c r="M9220" s="1357"/>
      <c r="P9220" s="841" t="s">
        <v>3119</v>
      </c>
      <c r="Q9220" s="1357"/>
      <c r="S9220" s="1420"/>
      <c r="T9220" s="1420">
        <v>43281</v>
      </c>
      <c r="V9220" s="1357">
        <v>141</v>
      </c>
    </row>
    <row r="9221" spans="1:22" s="841" customFormat="1" ht="15" x14ac:dyDescent="0.25">
      <c r="A9221" s="841" t="s">
        <v>208</v>
      </c>
      <c r="E9221" s="1904" t="s">
        <v>5384</v>
      </c>
      <c r="F9221" s="1962"/>
      <c r="G9221" s="1408" t="s">
        <v>24</v>
      </c>
      <c r="H9221" s="393">
        <v>6.9999999999999999E-4</v>
      </c>
      <c r="K9221" s="841" t="s">
        <v>3112</v>
      </c>
      <c r="L9221" s="841" t="s">
        <v>443</v>
      </c>
      <c r="M9221" s="1357"/>
      <c r="P9221" s="841" t="s">
        <v>3119</v>
      </c>
      <c r="Q9221" s="1357"/>
      <c r="S9221" s="1420"/>
      <c r="T9221" s="1420">
        <v>43585</v>
      </c>
      <c r="V9221" s="1357">
        <v>141</v>
      </c>
    </row>
    <row r="9222" spans="1:22" s="841" customFormat="1" ht="15" x14ac:dyDescent="0.25">
      <c r="A9222" s="841" t="s">
        <v>208</v>
      </c>
      <c r="E9222" s="1904" t="s">
        <v>5736</v>
      </c>
      <c r="F9222" s="1962"/>
      <c r="G9222" s="1408" t="s">
        <v>33</v>
      </c>
      <c r="H9222" s="627">
        <v>5.0308000000000002</v>
      </c>
      <c r="K9222" s="841" t="s">
        <v>3112</v>
      </c>
      <c r="L9222" s="841" t="s">
        <v>442</v>
      </c>
      <c r="M9222" s="1357"/>
      <c r="P9222" s="841" t="s">
        <v>4294</v>
      </c>
      <c r="Q9222" s="1357"/>
      <c r="S9222" s="1420"/>
      <c r="T9222" s="1420">
        <v>43585</v>
      </c>
      <c r="V9222" s="1357">
        <v>139</v>
      </c>
    </row>
    <row r="9223" spans="1:22" s="841" customFormat="1" ht="15" x14ac:dyDescent="0.25">
      <c r="A9223" s="841" t="s">
        <v>208</v>
      </c>
      <c r="E9223" s="1690" t="s">
        <v>4815</v>
      </c>
      <c r="F9223" s="1690"/>
      <c r="G9223" s="1408" t="s">
        <v>33</v>
      </c>
      <c r="H9223" s="393">
        <v>1.8346</v>
      </c>
      <c r="K9223" s="841" t="s">
        <v>3112</v>
      </c>
      <c r="L9223" s="841" t="s">
        <v>444</v>
      </c>
      <c r="M9223" s="1357"/>
      <c r="P9223" s="841" t="s">
        <v>4829</v>
      </c>
      <c r="Q9223" s="1357"/>
      <c r="S9223" s="1420"/>
      <c r="T9223" s="1420"/>
      <c r="V9223" s="1357">
        <v>48</v>
      </c>
    </row>
    <row r="9224" spans="1:22" s="841" customFormat="1" ht="15" x14ac:dyDescent="0.25">
      <c r="A9224" s="841" t="s">
        <v>208</v>
      </c>
      <c r="E9224" s="1690" t="s">
        <v>3628</v>
      </c>
      <c r="F9224" s="1690"/>
      <c r="G9224" s="1408" t="s">
        <v>33</v>
      </c>
      <c r="H9224" s="393">
        <v>1.4479</v>
      </c>
      <c r="K9224" s="841" t="s">
        <v>3112</v>
      </c>
      <c r="L9224" s="841" t="s">
        <v>444</v>
      </c>
      <c r="M9224" s="1357"/>
      <c r="P9224" s="841" t="s">
        <v>4830</v>
      </c>
      <c r="Q9224" s="1357"/>
      <c r="S9224" s="1420"/>
      <c r="T9224" s="1420"/>
      <c r="V9224" s="1357">
        <v>75</v>
      </c>
    </row>
    <row r="9225" spans="1:22" s="841" customFormat="1" ht="15" x14ac:dyDescent="0.25">
      <c r="A9225" s="841" t="s">
        <v>208</v>
      </c>
      <c r="E9225" s="1694" t="s">
        <v>3079</v>
      </c>
      <c r="F9225" s="1690"/>
      <c r="G9225" s="1408"/>
      <c r="H9225" s="1408"/>
      <c r="K9225" s="841" t="s">
        <v>3122</v>
      </c>
      <c r="M9225" s="1357"/>
      <c r="Q9225" s="1357"/>
      <c r="S9225" s="1420"/>
      <c r="T9225" s="1420"/>
      <c r="V9225" s="1357">
        <v>48</v>
      </c>
    </row>
    <row r="9226" spans="1:22" s="841" customFormat="1" ht="15" x14ac:dyDescent="0.25">
      <c r="A9226" s="841" t="s">
        <v>208</v>
      </c>
      <c r="E9226" s="1690" t="s">
        <v>2449</v>
      </c>
      <c r="F9226" s="1690"/>
      <c r="G9226" s="1408" t="s">
        <v>24</v>
      </c>
      <c r="H9226" s="393">
        <v>3.2000000000000002E-3</v>
      </c>
      <c r="K9226" s="841" t="s">
        <v>3112</v>
      </c>
      <c r="L9226" s="841" t="s">
        <v>3046</v>
      </c>
      <c r="M9226" s="1357"/>
      <c r="P9226" s="841" t="s">
        <v>3123</v>
      </c>
      <c r="Q9226" s="1357"/>
      <c r="S9226" s="1420"/>
      <c r="T9226" s="1420"/>
      <c r="V9226" s="1357">
        <v>55</v>
      </c>
    </row>
    <row r="9227" spans="1:22" s="841" customFormat="1" ht="15" x14ac:dyDescent="0.25">
      <c r="A9227" s="841" t="s">
        <v>208</v>
      </c>
      <c r="E9227" s="1690" t="s">
        <v>2450</v>
      </c>
      <c r="F9227" s="1690"/>
      <c r="G9227" s="1408" t="s">
        <v>24</v>
      </c>
      <c r="H9227" s="393">
        <v>4.0000000000000002E-4</v>
      </c>
      <c r="K9227" s="841" t="s">
        <v>3112</v>
      </c>
      <c r="L9227" s="841" t="s">
        <v>3046</v>
      </c>
      <c r="M9227" s="1357"/>
      <c r="P9227" s="841" t="s">
        <v>3123</v>
      </c>
      <c r="Q9227" s="1357"/>
      <c r="S9227" s="1420"/>
      <c r="T9227" s="1420"/>
      <c r="V9227" s="1357">
        <v>65</v>
      </c>
    </row>
    <row r="9228" spans="1:22" s="841" customFormat="1" ht="15" x14ac:dyDescent="0.25">
      <c r="A9228" s="841" t="s">
        <v>208</v>
      </c>
      <c r="E9228" s="1690" t="s">
        <v>439</v>
      </c>
      <c r="F9228" s="1690"/>
      <c r="G9228" s="1408" t="s">
        <v>24</v>
      </c>
      <c r="H9228" s="393">
        <v>2.9999999999999997E-4</v>
      </c>
      <c r="K9228" s="841" t="s">
        <v>3112</v>
      </c>
      <c r="L9228" s="841" t="s">
        <v>3046</v>
      </c>
      <c r="M9228" s="1357"/>
      <c r="P9228" s="841" t="s">
        <v>3124</v>
      </c>
      <c r="Q9228" s="1357"/>
      <c r="S9228" s="1420"/>
      <c r="T9228" s="1420"/>
      <c r="V9228" s="1357">
        <v>57</v>
      </c>
    </row>
    <row r="9229" spans="1:22" s="841" customFormat="1" ht="15" x14ac:dyDescent="0.25">
      <c r="A9229" s="841" t="s">
        <v>208</v>
      </c>
      <c r="E9229" s="1690" t="s">
        <v>32</v>
      </c>
      <c r="F9229" s="1690"/>
      <c r="G9229" s="1408" t="s">
        <v>23</v>
      </c>
      <c r="H9229" s="391">
        <v>0.25</v>
      </c>
      <c r="K9229" s="841" t="s">
        <v>3112</v>
      </c>
      <c r="L9229" s="841" t="s">
        <v>3046</v>
      </c>
      <c r="M9229" s="1357"/>
      <c r="P9229" s="841" t="s">
        <v>3125</v>
      </c>
      <c r="Q9229" s="1357"/>
      <c r="S9229" s="1420"/>
      <c r="T9229" s="1420"/>
      <c r="V9229" s="1357">
        <v>63</v>
      </c>
    </row>
    <row r="9230" spans="1:22" s="841" customFormat="1" x14ac:dyDescent="0.25">
      <c r="A9230" s="841" t="s">
        <v>208</v>
      </c>
      <c r="E9230" s="1695" t="s">
        <v>618</v>
      </c>
      <c r="F9230" s="1695"/>
      <c r="G9230" s="1695"/>
      <c r="H9230" s="1695"/>
      <c r="K9230" s="841" t="s">
        <v>3126</v>
      </c>
      <c r="M9230" s="1357"/>
      <c r="Q9230" s="1357"/>
      <c r="S9230" s="1420"/>
      <c r="T9230" s="1420"/>
      <c r="V9230" s="1357">
        <v>31</v>
      </c>
    </row>
    <row r="9231" spans="1:22" s="841" customFormat="1" ht="15" x14ac:dyDescent="0.25">
      <c r="A9231" s="841" t="s">
        <v>208</v>
      </c>
      <c r="E9231" s="1689" t="s">
        <v>3372</v>
      </c>
      <c r="F9231" s="1689"/>
      <c r="G9231" s="1689"/>
      <c r="H9231" s="1689"/>
      <c r="K9231" s="841" t="s">
        <v>3126</v>
      </c>
      <c r="M9231" s="1357"/>
      <c r="Q9231" s="1357"/>
      <c r="S9231" s="1420"/>
      <c r="T9231" s="1420"/>
      <c r="V9231" s="1357">
        <v>285</v>
      </c>
    </row>
    <row r="9232" spans="1:22" s="841" customFormat="1" ht="15" x14ac:dyDescent="0.25">
      <c r="A9232" s="841" t="s">
        <v>208</v>
      </c>
      <c r="E9232" s="1696" t="s">
        <v>3061</v>
      </c>
      <c r="F9232" s="1697"/>
      <c r="G9232" s="1697"/>
      <c r="H9232" s="1697"/>
      <c r="K9232" s="841" t="s">
        <v>3128</v>
      </c>
      <c r="M9232" s="1357"/>
      <c r="Q9232" s="1357"/>
      <c r="S9232" s="1420"/>
      <c r="T9232" s="1420"/>
      <c r="V9232" s="1357">
        <v>11</v>
      </c>
    </row>
    <row r="9233" spans="1:22" s="841" customFormat="1" ht="15" x14ac:dyDescent="0.25">
      <c r="A9233" s="841" t="s">
        <v>208</v>
      </c>
      <c r="E9233" s="1689" t="s">
        <v>3063</v>
      </c>
      <c r="F9233" s="1689"/>
      <c r="G9233" s="1689"/>
      <c r="H9233" s="1689"/>
      <c r="K9233" s="841" t="s">
        <v>3126</v>
      </c>
      <c r="M9233" s="1357"/>
      <c r="Q9233" s="1357"/>
      <c r="S9233" s="1420"/>
      <c r="T9233" s="1420"/>
      <c r="V9233" s="1357">
        <v>280</v>
      </c>
    </row>
    <row r="9234" spans="1:22" s="841" customFormat="1" ht="15" x14ac:dyDescent="0.25">
      <c r="A9234" s="841" t="s">
        <v>208</v>
      </c>
      <c r="E9234" s="1689" t="s">
        <v>3064</v>
      </c>
      <c r="F9234" s="1689"/>
      <c r="G9234" s="1689"/>
      <c r="H9234" s="1689"/>
      <c r="K9234" s="841" t="s">
        <v>3126</v>
      </c>
      <c r="M9234" s="1357"/>
      <c r="Q9234" s="1357"/>
      <c r="S9234" s="1420"/>
      <c r="T9234" s="1420"/>
      <c r="V9234" s="1357">
        <v>411</v>
      </c>
    </row>
    <row r="9235" spans="1:22" s="841" customFormat="1" ht="15" x14ac:dyDescent="0.25">
      <c r="A9235" s="841" t="s">
        <v>208</v>
      </c>
      <c r="E9235" s="1689" t="s">
        <v>3129</v>
      </c>
      <c r="F9235" s="1689"/>
      <c r="G9235" s="1689"/>
      <c r="H9235" s="1689"/>
      <c r="K9235" s="841" t="s">
        <v>3126</v>
      </c>
      <c r="M9235" s="1357"/>
      <c r="Q9235" s="1357"/>
      <c r="S9235" s="1420"/>
      <c r="T9235" s="1420"/>
      <c r="V9235" s="1357">
        <v>211</v>
      </c>
    </row>
    <row r="9236" spans="1:22" s="841" customFormat="1" ht="15" x14ac:dyDescent="0.25">
      <c r="A9236" s="841" t="s">
        <v>208</v>
      </c>
      <c r="E9236" s="1689" t="s">
        <v>3066</v>
      </c>
      <c r="F9236" s="1689"/>
      <c r="G9236" s="1689"/>
      <c r="H9236" s="1689"/>
      <c r="K9236" s="841" t="s">
        <v>3126</v>
      </c>
      <c r="M9236" s="1357"/>
      <c r="Q9236" s="1357"/>
      <c r="S9236" s="1420"/>
      <c r="T9236" s="1420"/>
      <c r="V9236" s="1357">
        <v>275</v>
      </c>
    </row>
    <row r="9237" spans="1:22" s="841" customFormat="1" ht="15" x14ac:dyDescent="0.25">
      <c r="A9237" s="841" t="s">
        <v>208</v>
      </c>
      <c r="E9237" s="1692" t="s">
        <v>3067</v>
      </c>
      <c r="F9237" s="1693"/>
      <c r="G9237" s="1693"/>
      <c r="H9237" s="1693"/>
      <c r="K9237" s="841" t="s">
        <v>3130</v>
      </c>
      <c r="M9237" s="1357"/>
      <c r="Q9237" s="1357"/>
      <c r="S9237" s="1420"/>
      <c r="T9237" s="1420"/>
      <c r="V9237" s="1357">
        <v>46</v>
      </c>
    </row>
    <row r="9238" spans="1:22" s="841" customFormat="1" ht="15" x14ac:dyDescent="0.25">
      <c r="A9238" s="841" t="s">
        <v>208</v>
      </c>
      <c r="E9238" s="1690" t="s">
        <v>4810</v>
      </c>
      <c r="F9238" s="1690"/>
      <c r="G9238" s="695" t="s">
        <v>23</v>
      </c>
      <c r="H9238" s="391">
        <v>17.2</v>
      </c>
      <c r="K9238" s="841" t="s">
        <v>3126</v>
      </c>
      <c r="L9238" s="841" t="s">
        <v>442</v>
      </c>
      <c r="M9238" s="1357"/>
      <c r="P9238" s="841" t="s">
        <v>3131</v>
      </c>
      <c r="Q9238" s="1357"/>
      <c r="S9238" s="1420"/>
      <c r="T9238" s="1420"/>
      <c r="V9238" s="1357">
        <v>15</v>
      </c>
    </row>
    <row r="9239" spans="1:22" s="841" customFormat="1" x14ac:dyDescent="0.25">
      <c r="A9239" s="841" t="s">
        <v>208</v>
      </c>
      <c r="E9239" s="1687" t="s">
        <v>85</v>
      </c>
      <c r="F9239" s="1687"/>
      <c r="G9239" s="1687"/>
      <c r="H9239" s="1687"/>
      <c r="K9239" s="841" t="s">
        <v>4831</v>
      </c>
      <c r="M9239" s="1357"/>
      <c r="Q9239" s="1357"/>
      <c r="S9239" s="1420"/>
      <c r="T9239" s="1420"/>
      <c r="V9239" s="1357">
        <v>10</v>
      </c>
    </row>
    <row r="9240" spans="1:22" s="841" customFormat="1" ht="15" x14ac:dyDescent="0.25">
      <c r="A9240" s="841" t="s">
        <v>208</v>
      </c>
      <c r="E9240" s="1904" t="s">
        <v>4832</v>
      </c>
      <c r="F9240" s="1904"/>
      <c r="G9240" s="1407" t="s">
        <v>33</v>
      </c>
      <c r="H9240" s="606">
        <v>-0.6</v>
      </c>
      <c r="M9240" s="1357"/>
      <c r="Q9240" s="1357"/>
      <c r="S9240" s="1420"/>
      <c r="T9240" s="1420"/>
      <c r="V9240" s="1357">
        <v>69</v>
      </c>
    </row>
    <row r="9241" spans="1:22" s="841" customFormat="1" ht="15" x14ac:dyDescent="0.25">
      <c r="A9241" s="841" t="s">
        <v>208</v>
      </c>
      <c r="E9241" s="1904" t="s">
        <v>3134</v>
      </c>
      <c r="F9241" s="1904"/>
      <c r="G9241" s="1407" t="s">
        <v>86</v>
      </c>
      <c r="H9241" s="600">
        <v>-1</v>
      </c>
      <c r="M9241" s="1357"/>
      <c r="Q9241" s="1357"/>
      <c r="S9241" s="1420"/>
      <c r="T9241" s="1420"/>
      <c r="V9241" s="1357">
        <v>87</v>
      </c>
    </row>
    <row r="9242" spans="1:22" s="841" customFormat="1" x14ac:dyDescent="0.25">
      <c r="A9242" s="841" t="s">
        <v>208</v>
      </c>
      <c r="E9242" s="1687" t="s">
        <v>87</v>
      </c>
      <c r="F9242" s="1687"/>
      <c r="G9242" s="1687"/>
      <c r="H9242" s="1687"/>
      <c r="K9242" s="841" t="s">
        <v>4833</v>
      </c>
      <c r="M9242" s="1357"/>
      <c r="Q9242" s="1357"/>
      <c r="S9242" s="1420"/>
      <c r="T9242" s="1420"/>
      <c r="V9242" s="1357">
        <v>24</v>
      </c>
    </row>
    <row r="9243" spans="1:22" s="841" customFormat="1" ht="15" x14ac:dyDescent="0.25">
      <c r="A9243" s="841" t="s">
        <v>208</v>
      </c>
      <c r="E9243" s="1689" t="s">
        <v>3063</v>
      </c>
      <c r="F9243" s="1689"/>
      <c r="G9243" s="1689"/>
      <c r="H9243" s="1689"/>
      <c r="M9243" s="1357"/>
      <c r="Q9243" s="1357"/>
      <c r="S9243" s="1420"/>
      <c r="T9243" s="1420"/>
      <c r="V9243" s="1357">
        <v>280</v>
      </c>
    </row>
    <row r="9244" spans="1:22" s="841" customFormat="1" ht="15" x14ac:dyDescent="0.25">
      <c r="A9244" s="841" t="s">
        <v>208</v>
      </c>
      <c r="E9244" s="1689" t="s">
        <v>3136</v>
      </c>
      <c r="F9244" s="1689"/>
      <c r="G9244" s="1689"/>
      <c r="H9244" s="1689"/>
      <c r="M9244" s="1357"/>
      <c r="Q9244" s="1357"/>
      <c r="S9244" s="1420"/>
      <c r="T9244" s="1420"/>
      <c r="V9244" s="1357">
        <v>353</v>
      </c>
    </row>
    <row r="9245" spans="1:22" s="841" customFormat="1" ht="15" x14ac:dyDescent="0.25">
      <c r="A9245" s="841" t="s">
        <v>208</v>
      </c>
      <c r="E9245" s="1689" t="s">
        <v>3066</v>
      </c>
      <c r="F9245" s="1689"/>
      <c r="G9245" s="1689"/>
      <c r="H9245" s="1689"/>
      <c r="M9245" s="1357"/>
      <c r="Q9245" s="1357"/>
      <c r="S9245" s="1420"/>
      <c r="T9245" s="1420"/>
      <c r="V9245" s="1357">
        <v>275</v>
      </c>
    </row>
    <row r="9246" spans="1:22" s="841" customFormat="1" ht="15" x14ac:dyDescent="0.25">
      <c r="A9246" s="841" t="s">
        <v>208</v>
      </c>
      <c r="E9246" s="1390" t="s">
        <v>3137</v>
      </c>
      <c r="F9246" s="3"/>
      <c r="G9246" s="3"/>
      <c r="H9246" s="500"/>
      <c r="K9246" s="841" t="s">
        <v>4834</v>
      </c>
      <c r="M9246" s="1357"/>
      <c r="Q9246" s="1357"/>
      <c r="S9246" s="1420"/>
      <c r="T9246" s="1420"/>
      <c r="V9246" s="1357">
        <v>23</v>
      </c>
    </row>
    <row r="9247" spans="1:22" s="841" customFormat="1" ht="15" x14ac:dyDescent="0.25">
      <c r="A9247" s="841" t="s">
        <v>208</v>
      </c>
      <c r="E9247" s="1904" t="s">
        <v>5737</v>
      </c>
      <c r="F9247" s="1904"/>
      <c r="G9247" s="1407" t="s">
        <v>23</v>
      </c>
      <c r="H9247" s="600">
        <v>15</v>
      </c>
      <c r="M9247" s="1357"/>
      <c r="Q9247" s="1357"/>
      <c r="S9247" s="1420"/>
      <c r="T9247" s="1420"/>
      <c r="V9247" s="1357">
        <v>26</v>
      </c>
    </row>
    <row r="9248" spans="1:22" s="841" customFormat="1" ht="15" x14ac:dyDescent="0.25">
      <c r="A9248" s="841" t="s">
        <v>208</v>
      </c>
      <c r="E9248" s="1688" t="s">
        <v>4835</v>
      </c>
      <c r="F9248" s="1688"/>
      <c r="G9248" s="1408" t="s">
        <v>23</v>
      </c>
      <c r="H9248" s="391">
        <v>15</v>
      </c>
      <c r="M9248" s="1357"/>
      <c r="Q9248" s="1357"/>
      <c r="S9248" s="1420"/>
      <c r="T9248" s="1420"/>
      <c r="V9248" s="1357">
        <v>21</v>
      </c>
    </row>
    <row r="9249" spans="1:22" s="841" customFormat="1" ht="15" x14ac:dyDescent="0.25">
      <c r="A9249" s="841" t="s">
        <v>208</v>
      </c>
      <c r="E9249" s="1688" t="s">
        <v>4836</v>
      </c>
      <c r="F9249" s="1688"/>
      <c r="G9249" s="1408" t="s">
        <v>23</v>
      </c>
      <c r="H9249" s="391">
        <v>15</v>
      </c>
      <c r="M9249" s="1357"/>
      <c r="Q9249" s="1357"/>
      <c r="S9249" s="1420"/>
      <c r="T9249" s="1420"/>
      <c r="V9249" s="1357">
        <v>27</v>
      </c>
    </row>
    <row r="9250" spans="1:22" s="841" customFormat="1" ht="15" x14ac:dyDescent="0.25">
      <c r="A9250" s="841" t="s">
        <v>208</v>
      </c>
      <c r="E9250" s="1688" t="s">
        <v>4837</v>
      </c>
      <c r="F9250" s="1688"/>
      <c r="G9250" s="1408" t="s">
        <v>23</v>
      </c>
      <c r="H9250" s="391">
        <v>15</v>
      </c>
      <c r="M9250" s="1357"/>
      <c r="Q9250" s="1357"/>
      <c r="S9250" s="1420"/>
      <c r="T9250" s="1420"/>
      <c r="V9250" s="1357">
        <v>40</v>
      </c>
    </row>
    <row r="9251" spans="1:22" s="841" customFormat="1" ht="15" x14ac:dyDescent="0.25">
      <c r="A9251" s="841" t="s">
        <v>208</v>
      </c>
      <c r="E9251" s="1688" t="s">
        <v>4838</v>
      </c>
      <c r="F9251" s="1688"/>
      <c r="G9251" s="1408" t="s">
        <v>23</v>
      </c>
      <c r="H9251" s="391">
        <v>15</v>
      </c>
      <c r="M9251" s="1357"/>
      <c r="Q9251" s="1357"/>
      <c r="S9251" s="1420"/>
      <c r="T9251" s="1420"/>
      <c r="V9251" s="1357">
        <v>38</v>
      </c>
    </row>
    <row r="9252" spans="1:22" s="841" customFormat="1" ht="15" x14ac:dyDescent="0.25">
      <c r="A9252" s="841" t="s">
        <v>208</v>
      </c>
      <c r="E9252" s="1688" t="s">
        <v>4839</v>
      </c>
      <c r="F9252" s="1688"/>
      <c r="G9252" s="1408" t="s">
        <v>23</v>
      </c>
      <c r="H9252" s="391">
        <v>15</v>
      </c>
      <c r="M9252" s="1357"/>
      <c r="Q9252" s="1357"/>
      <c r="S9252" s="1420"/>
      <c r="T9252" s="1420"/>
      <c r="V9252" s="1357">
        <v>16</v>
      </c>
    </row>
    <row r="9253" spans="1:22" s="841" customFormat="1" ht="15" x14ac:dyDescent="0.25">
      <c r="A9253" s="841" t="s">
        <v>208</v>
      </c>
      <c r="E9253" s="1688" t="s">
        <v>4840</v>
      </c>
      <c r="F9253" s="1688"/>
      <c r="G9253" s="1408" t="s">
        <v>23</v>
      </c>
      <c r="H9253" s="391">
        <v>15</v>
      </c>
      <c r="M9253" s="1357"/>
      <c r="Q9253" s="1357"/>
      <c r="S9253" s="1420"/>
      <c r="T9253" s="1420"/>
      <c r="V9253" s="1357">
        <v>18</v>
      </c>
    </row>
    <row r="9254" spans="1:22" s="841" customFormat="1" ht="15" x14ac:dyDescent="0.25">
      <c r="A9254" s="841" t="s">
        <v>208</v>
      </c>
      <c r="E9254" s="1688" t="s">
        <v>4841</v>
      </c>
      <c r="F9254" s="1688"/>
      <c r="G9254" s="1408" t="s">
        <v>23</v>
      </c>
      <c r="H9254" s="391">
        <v>15</v>
      </c>
      <c r="M9254" s="1357"/>
      <c r="Q9254" s="1357"/>
      <c r="S9254" s="1420"/>
      <c r="T9254" s="1420"/>
      <c r="V9254" s="1357">
        <v>20</v>
      </c>
    </row>
    <row r="9255" spans="1:22" s="841" customFormat="1" ht="15" x14ac:dyDescent="0.25">
      <c r="A9255" s="841" t="s">
        <v>208</v>
      </c>
      <c r="E9255" s="1688" t="s">
        <v>4842</v>
      </c>
      <c r="F9255" s="1688"/>
      <c r="G9255" s="1408" t="s">
        <v>23</v>
      </c>
      <c r="H9255" s="391">
        <v>15</v>
      </c>
      <c r="M9255" s="1357"/>
      <c r="Q9255" s="1357"/>
      <c r="S9255" s="1420"/>
      <c r="T9255" s="1420"/>
      <c r="V9255" s="1357">
        <v>16</v>
      </c>
    </row>
    <row r="9256" spans="1:22" s="841" customFormat="1" ht="15" x14ac:dyDescent="0.25">
      <c r="A9256" s="841" t="s">
        <v>208</v>
      </c>
      <c r="E9256" s="1688" t="s">
        <v>4843</v>
      </c>
      <c r="F9256" s="1688"/>
      <c r="G9256" s="1408" t="s">
        <v>23</v>
      </c>
      <c r="H9256" s="391">
        <v>15</v>
      </c>
      <c r="M9256" s="1357"/>
      <c r="Q9256" s="1357"/>
      <c r="S9256" s="1420"/>
      <c r="T9256" s="1420"/>
      <c r="V9256" s="1357">
        <v>57</v>
      </c>
    </row>
    <row r="9257" spans="1:22" s="841" customFormat="1" ht="15" x14ac:dyDescent="0.25">
      <c r="A9257" s="841" t="s">
        <v>208</v>
      </c>
      <c r="E9257" s="1688" t="s">
        <v>4844</v>
      </c>
      <c r="F9257" s="1688"/>
      <c r="G9257" s="1408" t="s">
        <v>23</v>
      </c>
      <c r="H9257" s="391">
        <v>15</v>
      </c>
      <c r="M9257" s="1357"/>
      <c r="Q9257" s="1357"/>
      <c r="S9257" s="1420"/>
      <c r="T9257" s="1420"/>
      <c r="V9257" s="1357">
        <v>43</v>
      </c>
    </row>
    <row r="9258" spans="1:22" s="841" customFormat="1" ht="15" x14ac:dyDescent="0.25">
      <c r="A9258" s="841" t="s">
        <v>208</v>
      </c>
      <c r="E9258" s="1688" t="s">
        <v>4845</v>
      </c>
      <c r="F9258" s="1688"/>
      <c r="G9258" s="1408" t="s">
        <v>23</v>
      </c>
      <c r="H9258" s="391">
        <v>15</v>
      </c>
      <c r="M9258" s="1357"/>
      <c r="Q9258" s="1357"/>
      <c r="S9258" s="1420"/>
      <c r="T9258" s="1420"/>
      <c r="V9258" s="1357">
        <v>25</v>
      </c>
    </row>
    <row r="9259" spans="1:22" s="841" customFormat="1" ht="15" x14ac:dyDescent="0.25">
      <c r="A9259" s="841" t="s">
        <v>208</v>
      </c>
      <c r="E9259" s="1688" t="s">
        <v>5738</v>
      </c>
      <c r="F9259" s="1688"/>
      <c r="G9259" s="1408" t="s">
        <v>23</v>
      </c>
      <c r="H9259" s="391">
        <v>15</v>
      </c>
      <c r="M9259" s="1357"/>
      <c r="Q9259" s="1357"/>
      <c r="S9259" s="1420"/>
      <c r="T9259" s="1420"/>
      <c r="V9259" s="1357">
        <v>20</v>
      </c>
    </row>
    <row r="9260" spans="1:22" s="841" customFormat="1" ht="15" x14ac:dyDescent="0.25">
      <c r="A9260" s="841" t="s">
        <v>208</v>
      </c>
      <c r="E9260" s="1688" t="s">
        <v>4846</v>
      </c>
      <c r="F9260" s="1688"/>
      <c r="G9260" s="1408" t="s">
        <v>23</v>
      </c>
      <c r="H9260" s="391">
        <v>30</v>
      </c>
      <c r="M9260" s="1357"/>
      <c r="Q9260" s="1357"/>
      <c r="S9260" s="1420"/>
      <c r="T9260" s="1420"/>
      <c r="V9260" s="1357">
        <v>90</v>
      </c>
    </row>
    <row r="9261" spans="1:22" s="841" customFormat="1" ht="15" x14ac:dyDescent="0.25">
      <c r="A9261" s="841" t="s">
        <v>208</v>
      </c>
      <c r="E9261" s="1688" t="s">
        <v>4847</v>
      </c>
      <c r="F9261" s="1688"/>
      <c r="G9261" s="1408" t="s">
        <v>23</v>
      </c>
      <c r="H9261" s="391">
        <v>30</v>
      </c>
      <c r="M9261" s="1357"/>
      <c r="Q9261" s="1357"/>
      <c r="S9261" s="1420"/>
      <c r="T9261" s="1420"/>
      <c r="V9261" s="1357">
        <v>75</v>
      </c>
    </row>
    <row r="9262" spans="1:22" s="841" customFormat="1" ht="15" x14ac:dyDescent="0.25">
      <c r="A9262" s="841" t="s">
        <v>208</v>
      </c>
      <c r="E9262" s="1688" t="s">
        <v>4848</v>
      </c>
      <c r="F9262" s="1688"/>
      <c r="G9262" s="1408" t="s">
        <v>23</v>
      </c>
      <c r="H9262" s="391">
        <v>30</v>
      </c>
      <c r="M9262" s="1357"/>
      <c r="Q9262" s="1357"/>
      <c r="S9262" s="1420"/>
      <c r="T9262" s="1420"/>
      <c r="V9262" s="1357">
        <v>20</v>
      </c>
    </row>
    <row r="9263" spans="1:22" s="841" customFormat="1" ht="15" x14ac:dyDescent="0.25">
      <c r="A9263" s="841" t="s">
        <v>208</v>
      </c>
      <c r="E9263" s="1390" t="s">
        <v>3152</v>
      </c>
      <c r="F9263" s="500"/>
      <c r="G9263" s="397"/>
      <c r="H9263" s="1311"/>
      <c r="K9263" s="841" t="s">
        <v>4849</v>
      </c>
      <c r="M9263" s="1357"/>
      <c r="Q9263" s="1357"/>
      <c r="S9263" s="1420"/>
      <c r="T9263" s="1420"/>
      <c r="V9263" s="1357">
        <v>22</v>
      </c>
    </row>
    <row r="9264" spans="1:22" s="841" customFormat="1" ht="15" x14ac:dyDescent="0.25">
      <c r="A9264" s="841" t="s">
        <v>208</v>
      </c>
      <c r="E9264" s="1688" t="s">
        <v>5137</v>
      </c>
      <c r="F9264" s="1688"/>
      <c r="G9264" s="1408" t="s">
        <v>86</v>
      </c>
      <c r="H9264" s="391">
        <v>1.5</v>
      </c>
      <c r="M9264" s="1357"/>
      <c r="Q9264" s="1357"/>
      <c r="S9264" s="1420"/>
      <c r="T9264" s="1420"/>
      <c r="V9264" s="1357">
        <v>24</v>
      </c>
    </row>
    <row r="9265" spans="1:22" s="841" customFormat="1" ht="15" x14ac:dyDescent="0.25">
      <c r="A9265" s="841" t="s">
        <v>208</v>
      </c>
      <c r="E9265" s="1688" t="s">
        <v>4850</v>
      </c>
      <c r="F9265" s="1688"/>
      <c r="G9265" s="1408" t="s">
        <v>86</v>
      </c>
      <c r="H9265" s="391">
        <v>19.559999999999999</v>
      </c>
      <c r="M9265" s="1357"/>
      <c r="Q9265" s="1357"/>
      <c r="S9265" s="1420"/>
      <c r="T9265" s="1420"/>
      <c r="V9265" s="1357">
        <v>25</v>
      </c>
    </row>
    <row r="9266" spans="1:22" s="841" customFormat="1" ht="15" x14ac:dyDescent="0.25">
      <c r="A9266" s="841" t="s">
        <v>208</v>
      </c>
      <c r="E9266" s="1688" t="s">
        <v>4851</v>
      </c>
      <c r="F9266" s="1688"/>
      <c r="G9266" s="1408" t="s">
        <v>23</v>
      </c>
      <c r="H9266" s="391">
        <v>30</v>
      </c>
      <c r="M9266" s="1357"/>
      <c r="Q9266" s="1357"/>
      <c r="S9266" s="1420"/>
      <c r="T9266" s="1420"/>
      <c r="V9266" s="1357">
        <v>48</v>
      </c>
    </row>
    <row r="9267" spans="1:22" s="841" customFormat="1" ht="15" x14ac:dyDescent="0.25">
      <c r="A9267" s="841" t="s">
        <v>208</v>
      </c>
      <c r="E9267" s="1688" t="s">
        <v>4852</v>
      </c>
      <c r="F9267" s="1688"/>
      <c r="G9267" s="1408" t="s">
        <v>23</v>
      </c>
      <c r="H9267" s="391">
        <v>165</v>
      </c>
      <c r="M9267" s="1357"/>
      <c r="Q9267" s="1357"/>
      <c r="S9267" s="1420"/>
      <c r="T9267" s="1420"/>
      <c r="V9267" s="1357">
        <v>70</v>
      </c>
    </row>
    <row r="9268" spans="1:22" s="841" customFormat="1" ht="15" x14ac:dyDescent="0.25">
      <c r="A9268" s="841" t="s">
        <v>208</v>
      </c>
      <c r="E9268" s="1688" t="s">
        <v>5739</v>
      </c>
      <c r="F9268" s="1688"/>
      <c r="G9268" s="1408" t="s">
        <v>23</v>
      </c>
      <c r="H9268" s="391">
        <v>65</v>
      </c>
      <c r="M9268" s="1357"/>
      <c r="Q9268" s="1357"/>
      <c r="S9268" s="1420"/>
      <c r="T9268" s="1420"/>
      <c r="V9268" s="1357">
        <v>53</v>
      </c>
    </row>
    <row r="9269" spans="1:22" s="841" customFormat="1" ht="15" x14ac:dyDescent="0.25">
      <c r="A9269" s="841" t="s">
        <v>208</v>
      </c>
      <c r="E9269" s="1688" t="s">
        <v>5740</v>
      </c>
      <c r="F9269" s="1688"/>
      <c r="G9269" s="1408" t="s">
        <v>23</v>
      </c>
      <c r="H9269" s="391">
        <v>185</v>
      </c>
      <c r="M9269" s="1357"/>
      <c r="Q9269" s="1357"/>
      <c r="S9269" s="1420"/>
      <c r="T9269" s="1420"/>
      <c r="V9269" s="1357">
        <v>52</v>
      </c>
    </row>
    <row r="9270" spans="1:22" s="841" customFormat="1" ht="15" x14ac:dyDescent="0.25">
      <c r="A9270" s="841" t="s">
        <v>208</v>
      </c>
      <c r="E9270" s="1688" t="s">
        <v>3918</v>
      </c>
      <c r="F9270" s="1688"/>
      <c r="G9270" s="1408" t="s">
        <v>23</v>
      </c>
      <c r="H9270" s="391">
        <v>185</v>
      </c>
      <c r="M9270" s="1357"/>
      <c r="Q9270" s="1357"/>
      <c r="S9270" s="1420"/>
      <c r="T9270" s="1420"/>
      <c r="V9270" s="1357">
        <v>52</v>
      </c>
    </row>
    <row r="9271" spans="1:22" s="841" customFormat="1" ht="15" x14ac:dyDescent="0.25">
      <c r="A9271" s="841" t="s">
        <v>208</v>
      </c>
      <c r="E9271" s="1688" t="s">
        <v>5741</v>
      </c>
      <c r="F9271" s="1688"/>
      <c r="G9271" s="1408" t="s">
        <v>23</v>
      </c>
      <c r="H9271" s="391">
        <v>415</v>
      </c>
      <c r="M9271" s="1357"/>
      <c r="Q9271" s="1357"/>
      <c r="S9271" s="1420"/>
      <c r="T9271" s="1420"/>
      <c r="V9271" s="1357">
        <v>51</v>
      </c>
    </row>
    <row r="9272" spans="1:22" s="841" customFormat="1" ht="15" x14ac:dyDescent="0.25">
      <c r="A9272" s="841" t="s">
        <v>208</v>
      </c>
      <c r="E9272" s="1688" t="s">
        <v>5742</v>
      </c>
      <c r="F9272" s="1688"/>
      <c r="G9272" s="1408" t="s">
        <v>23</v>
      </c>
      <c r="H9272" s="391">
        <v>65</v>
      </c>
      <c r="M9272" s="1357"/>
      <c r="Q9272" s="1357"/>
      <c r="S9272" s="1420"/>
      <c r="T9272" s="1420"/>
      <c r="V9272" s="1357">
        <v>58</v>
      </c>
    </row>
    <row r="9273" spans="1:22" s="841" customFormat="1" ht="15" x14ac:dyDescent="0.25">
      <c r="A9273" s="841" t="s">
        <v>208</v>
      </c>
      <c r="E9273" s="1688" t="s">
        <v>5743</v>
      </c>
      <c r="F9273" s="1688"/>
      <c r="G9273" s="1408" t="s">
        <v>23</v>
      </c>
      <c r="H9273" s="391">
        <v>185</v>
      </c>
      <c r="M9273" s="1357"/>
      <c r="Q9273" s="1357"/>
      <c r="S9273" s="1420"/>
      <c r="T9273" s="1420"/>
      <c r="V9273" s="1357">
        <v>57</v>
      </c>
    </row>
    <row r="9274" spans="1:22" s="841" customFormat="1" ht="15" x14ac:dyDescent="0.25">
      <c r="A9274" s="841" t="s">
        <v>208</v>
      </c>
      <c r="E9274" s="1390" t="s">
        <v>3164</v>
      </c>
      <c r="F9274" s="3"/>
      <c r="G9274" s="397"/>
      <c r="H9274" s="1311"/>
      <c r="M9274" s="1357"/>
      <c r="Q9274" s="1357"/>
      <c r="S9274" s="1420"/>
      <c r="T9274" s="1420"/>
      <c r="V9274" s="1357">
        <v>5</v>
      </c>
    </row>
    <row r="9275" spans="1:22" s="841" customFormat="1" ht="15" x14ac:dyDescent="0.25">
      <c r="A9275" s="841" t="s">
        <v>208</v>
      </c>
      <c r="E9275" s="1688" t="s">
        <v>4853</v>
      </c>
      <c r="F9275" s="1688"/>
      <c r="G9275" s="1408" t="s">
        <v>23</v>
      </c>
      <c r="H9275" s="391">
        <v>30</v>
      </c>
      <c r="M9275" s="1357"/>
      <c r="Q9275" s="1357"/>
      <c r="S9275" s="1420"/>
      <c r="T9275" s="1420"/>
      <c r="V9275" s="1357">
        <v>40</v>
      </c>
    </row>
    <row r="9276" spans="1:22" s="841" customFormat="1" ht="15" x14ac:dyDescent="0.25">
      <c r="A9276" s="841" t="s">
        <v>208</v>
      </c>
      <c r="E9276" s="1688" t="s">
        <v>4854</v>
      </c>
      <c r="F9276" s="1688"/>
      <c r="G9276" s="1408" t="s">
        <v>23</v>
      </c>
      <c r="H9276" s="391">
        <v>165</v>
      </c>
      <c r="M9276" s="1357"/>
      <c r="Q9276" s="1357"/>
      <c r="S9276" s="1420"/>
      <c r="T9276" s="1420"/>
      <c r="V9276" s="1357">
        <v>35</v>
      </c>
    </row>
    <row r="9277" spans="1:22" s="841" customFormat="1" ht="15" x14ac:dyDescent="0.25">
      <c r="A9277" s="841" t="s">
        <v>208</v>
      </c>
      <c r="E9277" s="1688" t="s">
        <v>3920</v>
      </c>
      <c r="F9277" s="1688"/>
      <c r="G9277" s="1408" t="s">
        <v>23</v>
      </c>
      <c r="H9277" s="391">
        <v>500</v>
      </c>
      <c r="M9277" s="1357"/>
      <c r="Q9277" s="1357"/>
      <c r="S9277" s="1420"/>
      <c r="T9277" s="1420"/>
      <c r="V9277" s="1357">
        <v>65</v>
      </c>
    </row>
    <row r="9278" spans="1:22" s="841" customFormat="1" ht="15" x14ac:dyDescent="0.25">
      <c r="A9278" s="841" t="s">
        <v>208</v>
      </c>
      <c r="E9278" s="1688" t="s">
        <v>4855</v>
      </c>
      <c r="F9278" s="1688"/>
      <c r="G9278" s="1408" t="s">
        <v>23</v>
      </c>
      <c r="H9278" s="391">
        <v>300</v>
      </c>
      <c r="M9278" s="1357"/>
      <c r="Q9278" s="1357"/>
      <c r="S9278" s="1420"/>
      <c r="T9278" s="1420"/>
      <c r="V9278" s="1357">
        <v>68</v>
      </c>
    </row>
    <row r="9279" spans="1:22" s="841" customFormat="1" ht="15" x14ac:dyDescent="0.25">
      <c r="A9279" s="841" t="s">
        <v>208</v>
      </c>
      <c r="E9279" s="1688" t="s">
        <v>4856</v>
      </c>
      <c r="F9279" s="1688"/>
      <c r="G9279" s="1408" t="s">
        <v>23</v>
      </c>
      <c r="H9279" s="391">
        <v>1000</v>
      </c>
      <c r="M9279" s="1357"/>
      <c r="Q9279" s="1357"/>
      <c r="S9279" s="1420"/>
      <c r="T9279" s="1420"/>
      <c r="V9279" s="1357">
        <v>67</v>
      </c>
    </row>
    <row r="9280" spans="1:22" s="841" customFormat="1" ht="15" x14ac:dyDescent="0.25">
      <c r="A9280" s="841" t="s">
        <v>208</v>
      </c>
      <c r="E9280" s="1904" t="s">
        <v>5744</v>
      </c>
      <c r="F9280" s="1904"/>
      <c r="G9280" s="1408" t="s">
        <v>23</v>
      </c>
      <c r="H9280" s="391">
        <v>22.35</v>
      </c>
      <c r="M9280" s="1357"/>
      <c r="Q9280" s="1357"/>
      <c r="S9280" s="1420"/>
      <c r="T9280" s="1420"/>
      <c r="V9280" s="1357">
        <v>118</v>
      </c>
    </row>
    <row r="9281" spans="1:22" s="841" customFormat="1" x14ac:dyDescent="0.25">
      <c r="A9281" s="841" t="s">
        <v>208</v>
      </c>
      <c r="E9281" s="1687" t="s">
        <v>77</v>
      </c>
      <c r="F9281" s="1687"/>
      <c r="G9281" s="1687"/>
      <c r="H9281" s="1687"/>
      <c r="K9281" s="841" t="s">
        <v>4857</v>
      </c>
      <c r="M9281" s="1357"/>
      <c r="Q9281" s="1357"/>
      <c r="S9281" s="1420"/>
      <c r="T9281" s="1420"/>
      <c r="V9281" s="1357">
        <v>38</v>
      </c>
    </row>
    <row r="9282" spans="1:22" s="841" customFormat="1" ht="15" x14ac:dyDescent="0.25">
      <c r="A9282" s="841" t="s">
        <v>208</v>
      </c>
      <c r="E9282" s="1689" t="s">
        <v>3063</v>
      </c>
      <c r="F9282" s="1689"/>
      <c r="G9282" s="1689"/>
      <c r="H9282" s="1689"/>
      <c r="M9282" s="1357"/>
      <c r="Q9282" s="1357"/>
      <c r="S9282" s="1420"/>
      <c r="T9282" s="1420"/>
      <c r="V9282" s="1357">
        <v>280</v>
      </c>
    </row>
    <row r="9283" spans="1:22" s="841" customFormat="1" ht="15" x14ac:dyDescent="0.25">
      <c r="A9283" s="841" t="s">
        <v>208</v>
      </c>
      <c r="E9283" s="1689" t="s">
        <v>3064</v>
      </c>
      <c r="F9283" s="1689"/>
      <c r="G9283" s="1689"/>
      <c r="H9283" s="1689"/>
      <c r="M9283" s="1357"/>
      <c r="Q9283" s="1357"/>
      <c r="S9283" s="1420"/>
      <c r="T9283" s="1420"/>
      <c r="V9283" s="1357">
        <v>411</v>
      </c>
    </row>
    <row r="9284" spans="1:22" s="841" customFormat="1" ht="15" x14ac:dyDescent="0.25">
      <c r="A9284" s="841" t="s">
        <v>208</v>
      </c>
      <c r="E9284" s="1689" t="s">
        <v>3129</v>
      </c>
      <c r="F9284" s="1689"/>
      <c r="G9284" s="1689"/>
      <c r="H9284" s="1689"/>
      <c r="M9284" s="1357"/>
      <c r="Q9284" s="1357"/>
      <c r="S9284" s="1420"/>
      <c r="T9284" s="1420"/>
      <c r="V9284" s="1357">
        <v>211</v>
      </c>
    </row>
    <row r="9285" spans="1:22" s="841" customFormat="1" ht="15" x14ac:dyDescent="0.25">
      <c r="A9285" s="841" t="s">
        <v>208</v>
      </c>
      <c r="E9285" s="1689" t="s">
        <v>3066</v>
      </c>
      <c r="F9285" s="1689"/>
      <c r="G9285" s="1689"/>
      <c r="H9285" s="1689"/>
      <c r="M9285" s="1357"/>
      <c r="Q9285" s="1357"/>
      <c r="S9285" s="1420"/>
      <c r="T9285" s="1420"/>
      <c r="V9285" s="1357">
        <v>275</v>
      </c>
    </row>
    <row r="9286" spans="1:22" s="841" customFormat="1" ht="15" x14ac:dyDescent="0.25">
      <c r="A9286" s="841" t="s">
        <v>208</v>
      </c>
      <c r="E9286" s="1689" t="s">
        <v>3559</v>
      </c>
      <c r="F9286" s="1689"/>
      <c r="G9286" s="1689"/>
      <c r="H9286" s="1689"/>
      <c r="M9286" s="1357"/>
      <c r="Q9286" s="1357"/>
      <c r="S9286" s="1420"/>
      <c r="T9286" s="1420"/>
      <c r="V9286" s="1357">
        <v>141</v>
      </c>
    </row>
    <row r="9287" spans="1:22" s="841" customFormat="1" ht="15" x14ac:dyDescent="0.25">
      <c r="A9287" s="841" t="s">
        <v>208</v>
      </c>
      <c r="E9287" s="1690" t="s">
        <v>4858</v>
      </c>
      <c r="F9287" s="1690"/>
      <c r="G9287" s="397" t="s">
        <v>23</v>
      </c>
      <c r="H9287" s="1312">
        <v>100</v>
      </c>
      <c r="M9287" s="1357"/>
      <c r="Q9287" s="1357"/>
      <c r="S9287" s="1420"/>
      <c r="T9287" s="1420"/>
      <c r="V9287" s="1357">
        <v>107</v>
      </c>
    </row>
    <row r="9288" spans="1:22" s="841" customFormat="1" ht="15" x14ac:dyDescent="0.25">
      <c r="A9288" s="841" t="s">
        <v>208</v>
      </c>
      <c r="E9288" s="1690" t="s">
        <v>5745</v>
      </c>
      <c r="F9288" s="1690"/>
      <c r="G9288" s="397" t="s">
        <v>23</v>
      </c>
      <c r="H9288" s="1312">
        <v>20</v>
      </c>
      <c r="M9288" s="1357"/>
      <c r="Q9288" s="1357"/>
      <c r="S9288" s="1420"/>
      <c r="T9288" s="1420"/>
      <c r="V9288" s="1357">
        <v>35</v>
      </c>
    </row>
    <row r="9289" spans="1:22" s="841" customFormat="1" ht="15" x14ac:dyDescent="0.25">
      <c r="A9289" s="841" t="s">
        <v>208</v>
      </c>
      <c r="E9289" s="1690" t="s">
        <v>5746</v>
      </c>
      <c r="F9289" s="1690"/>
      <c r="G9289" s="397" t="s">
        <v>3179</v>
      </c>
      <c r="H9289" s="1312">
        <v>0.5</v>
      </c>
      <c r="M9289" s="1357"/>
      <c r="Q9289" s="1357"/>
      <c r="S9289" s="1420"/>
      <c r="T9289" s="1420"/>
      <c r="V9289" s="1357">
        <v>52</v>
      </c>
    </row>
    <row r="9290" spans="1:22" s="841" customFormat="1" ht="15" x14ac:dyDescent="0.25">
      <c r="A9290" s="841" t="s">
        <v>208</v>
      </c>
      <c r="E9290" s="1690" t="s">
        <v>4859</v>
      </c>
      <c r="F9290" s="1690"/>
      <c r="G9290" s="397" t="s">
        <v>3179</v>
      </c>
      <c r="H9290" s="1312">
        <v>0.3</v>
      </c>
      <c r="M9290" s="1357"/>
      <c r="Q9290" s="1357"/>
      <c r="S9290" s="1420"/>
      <c r="T9290" s="1420"/>
      <c r="V9290" s="1357">
        <v>76</v>
      </c>
    </row>
    <row r="9291" spans="1:22" s="841" customFormat="1" ht="15" x14ac:dyDescent="0.25">
      <c r="A9291" s="841" t="s">
        <v>208</v>
      </c>
      <c r="E9291" s="1690" t="s">
        <v>4860</v>
      </c>
      <c r="F9291" s="1690"/>
      <c r="G9291" s="397" t="s">
        <v>3179</v>
      </c>
      <c r="H9291" s="1312">
        <v>-0.3</v>
      </c>
      <c r="M9291" s="1357"/>
      <c r="Q9291" s="1357"/>
      <c r="S9291" s="1420"/>
      <c r="T9291" s="1420"/>
      <c r="V9291" s="1357">
        <v>73</v>
      </c>
    </row>
    <row r="9292" spans="1:22" s="841" customFormat="1" ht="15" x14ac:dyDescent="0.25">
      <c r="A9292" s="841" t="s">
        <v>208</v>
      </c>
      <c r="E9292" s="1690" t="s">
        <v>3292</v>
      </c>
      <c r="F9292" s="1690"/>
      <c r="G9292" s="3"/>
      <c r="H9292" s="1313"/>
      <c r="M9292" s="1357"/>
      <c r="Q9292" s="1357"/>
      <c r="S9292" s="1420"/>
      <c r="T9292" s="1420"/>
      <c r="V9292" s="1357">
        <v>34</v>
      </c>
    </row>
    <row r="9293" spans="1:22" s="841" customFormat="1" ht="15" x14ac:dyDescent="0.25">
      <c r="A9293" s="841" t="s">
        <v>208</v>
      </c>
      <c r="E9293" s="1691" t="s">
        <v>4861</v>
      </c>
      <c r="F9293" s="1691"/>
      <c r="G9293" s="718" t="s">
        <v>23</v>
      </c>
      <c r="H9293" s="1006">
        <v>0.25</v>
      </c>
      <c r="M9293" s="1357"/>
      <c r="Q9293" s="1357"/>
      <c r="S9293" s="1420"/>
      <c r="T9293" s="1420"/>
      <c r="V9293" s="1357">
        <v>58</v>
      </c>
    </row>
    <row r="9294" spans="1:22" s="841" customFormat="1" ht="15" x14ac:dyDescent="0.25">
      <c r="A9294" s="841" t="s">
        <v>208</v>
      </c>
      <c r="E9294" s="1691" t="s">
        <v>4862</v>
      </c>
      <c r="F9294" s="1691"/>
      <c r="G9294" s="718" t="s">
        <v>23</v>
      </c>
      <c r="H9294" s="1006">
        <v>0.5</v>
      </c>
      <c r="M9294" s="1357"/>
      <c r="Q9294" s="1357"/>
      <c r="S9294" s="1420"/>
      <c r="T9294" s="1420"/>
      <c r="V9294" s="1357">
        <v>61</v>
      </c>
    </row>
    <row r="9295" spans="1:22" s="841" customFormat="1" ht="15" x14ac:dyDescent="0.25">
      <c r="A9295" s="841" t="s">
        <v>208</v>
      </c>
      <c r="E9295" s="1937" t="s">
        <v>3185</v>
      </c>
      <c r="F9295" s="1937"/>
      <c r="G9295" s="396"/>
      <c r="H9295" s="500"/>
      <c r="M9295" s="1357"/>
      <c r="Q9295" s="1357"/>
      <c r="S9295" s="1420"/>
      <c r="T9295" s="1420"/>
      <c r="V9295" s="1357">
        <v>91</v>
      </c>
    </row>
    <row r="9296" spans="1:22" s="841" customFormat="1" ht="15" x14ac:dyDescent="0.25">
      <c r="A9296" s="841" t="s">
        <v>208</v>
      </c>
      <c r="E9296" s="1690" t="s">
        <v>3186</v>
      </c>
      <c r="F9296" s="1690"/>
      <c r="G9296" s="396"/>
      <c r="H9296" s="500"/>
      <c r="M9296" s="1357"/>
      <c r="Q9296" s="1357"/>
      <c r="S9296" s="1420"/>
      <c r="T9296" s="1420"/>
      <c r="V9296" s="1357">
        <v>96</v>
      </c>
    </row>
    <row r="9297" spans="1:22" s="841" customFormat="1" ht="15" x14ac:dyDescent="0.25">
      <c r="A9297" s="841" t="s">
        <v>208</v>
      </c>
      <c r="E9297" s="1690" t="s">
        <v>3293</v>
      </c>
      <c r="F9297" s="1690"/>
      <c r="G9297" s="396"/>
      <c r="H9297" s="500"/>
      <c r="M9297" s="1357"/>
      <c r="Q9297" s="1357"/>
      <c r="S9297" s="1420"/>
      <c r="T9297" s="1420"/>
      <c r="V9297" s="1357">
        <v>77</v>
      </c>
    </row>
    <row r="9298" spans="1:22" s="841" customFormat="1" ht="15" x14ac:dyDescent="0.25">
      <c r="A9298" s="841" t="s">
        <v>208</v>
      </c>
      <c r="E9298" s="1691" t="s">
        <v>4863</v>
      </c>
      <c r="F9298" s="1691"/>
      <c r="G9298" s="718" t="s">
        <v>23</v>
      </c>
      <c r="H9298" s="720" t="s">
        <v>3189</v>
      </c>
      <c r="M9298" s="1357"/>
      <c r="Q9298" s="1357"/>
      <c r="S9298" s="1420"/>
      <c r="T9298" s="1420"/>
      <c r="V9298" s="1357">
        <v>28</v>
      </c>
    </row>
    <row r="9299" spans="1:22" s="841" customFormat="1" ht="15" x14ac:dyDescent="0.25">
      <c r="A9299" s="841" t="s">
        <v>208</v>
      </c>
      <c r="E9299" s="1691" t="s">
        <v>4864</v>
      </c>
      <c r="F9299" s="1691"/>
      <c r="G9299" s="718" t="s">
        <v>23</v>
      </c>
      <c r="H9299" s="1006">
        <v>2</v>
      </c>
      <c r="M9299" s="1357"/>
      <c r="Q9299" s="1357"/>
      <c r="S9299" s="1420"/>
      <c r="T9299" s="1420"/>
      <c r="V9299" s="1357">
        <v>70</v>
      </c>
    </row>
    <row r="9300" spans="1:22" s="841" customFormat="1" x14ac:dyDescent="0.25">
      <c r="A9300" s="841" t="s">
        <v>208</v>
      </c>
      <c r="E9300" s="1687" t="s">
        <v>147</v>
      </c>
      <c r="F9300" s="1687"/>
      <c r="G9300" s="1687"/>
      <c r="H9300" s="1687"/>
      <c r="K9300" s="841" t="s">
        <v>4865</v>
      </c>
      <c r="M9300" s="1357"/>
      <c r="Q9300" s="1357"/>
      <c r="S9300" s="1420"/>
      <c r="T9300" s="1420"/>
      <c r="V9300" s="1357">
        <v>12</v>
      </c>
    </row>
    <row r="9301" spans="1:22" s="841" customFormat="1" ht="15" x14ac:dyDescent="0.25">
      <c r="A9301" s="841" t="s">
        <v>208</v>
      </c>
      <c r="E9301" s="1704" t="s">
        <v>3192</v>
      </c>
      <c r="F9301" s="1704"/>
      <c r="G9301" s="1704"/>
      <c r="H9301" s="1704"/>
      <c r="M9301" s="1357"/>
      <c r="Q9301" s="1357"/>
      <c r="S9301" s="1420"/>
      <c r="T9301" s="1420"/>
      <c r="V9301" s="1357">
        <v>203</v>
      </c>
    </row>
    <row r="9302" spans="1:22" s="841" customFormat="1" ht="15" x14ac:dyDescent="0.25">
      <c r="A9302" s="841" t="s">
        <v>208</v>
      </c>
      <c r="E9302" s="1904" t="s">
        <v>3295</v>
      </c>
      <c r="F9302" s="1904"/>
      <c r="G9302" s="1407"/>
      <c r="H9302" s="1418">
        <v>1.0819000000000001</v>
      </c>
      <c r="M9302" s="1357"/>
      <c r="Q9302" s="1357"/>
      <c r="S9302" s="1420"/>
      <c r="T9302" s="1420"/>
      <c r="V9302" s="1357">
        <v>57</v>
      </c>
    </row>
    <row r="9303" spans="1:22" s="841" customFormat="1" ht="15" x14ac:dyDescent="0.25">
      <c r="A9303" s="841" t="s">
        <v>208</v>
      </c>
      <c r="E9303" s="1904" t="s">
        <v>3297</v>
      </c>
      <c r="F9303" s="1904"/>
      <c r="G9303" s="1407"/>
      <c r="H9303" s="1418">
        <v>1.0710999999999999</v>
      </c>
      <c r="J9303" s="841" t="s">
        <v>4866</v>
      </c>
      <c r="M9303" s="1357"/>
      <c r="Q9303" s="1357"/>
      <c r="S9303" s="1420"/>
      <c r="T9303" s="1420"/>
      <c r="V9303" s="1357">
        <v>55</v>
      </c>
    </row>
    <row r="9304" spans="1:22" s="841" customFormat="1" ht="23.25" x14ac:dyDescent="0.25">
      <c r="A9304" s="841" t="s">
        <v>168</v>
      </c>
      <c r="C9304" s="841" t="s">
        <v>3050</v>
      </c>
      <c r="E9304" s="1911" t="s">
        <v>168</v>
      </c>
      <c r="F9304" s="1699"/>
      <c r="G9304" s="1699"/>
      <c r="H9304" s="1699"/>
      <c r="I9304" s="841" t="s">
        <v>628</v>
      </c>
      <c r="J9304" s="841" t="s">
        <v>4310</v>
      </c>
      <c r="K9304" s="841" t="s">
        <v>168</v>
      </c>
      <c r="M9304" s="1357">
        <v>6</v>
      </c>
      <c r="Q9304" s="1357"/>
      <c r="S9304" s="1420"/>
      <c r="T9304" s="1420"/>
      <c r="V9304" s="1357">
        <v>22</v>
      </c>
    </row>
    <row r="9305" spans="1:22" s="841" customFormat="1" x14ac:dyDescent="0.25">
      <c r="A9305" s="841" t="s">
        <v>168</v>
      </c>
      <c r="C9305" s="841" t="s">
        <v>3052</v>
      </c>
      <c r="E9305" s="1912" t="s">
        <v>3053</v>
      </c>
      <c r="F9305" s="1700"/>
      <c r="G9305" s="1700"/>
      <c r="H9305" s="1700"/>
      <c r="M9305" s="1357"/>
      <c r="Q9305" s="1357"/>
      <c r="S9305" s="1420"/>
      <c r="T9305" s="1420"/>
      <c r="V9305" s="1357">
        <v>27</v>
      </c>
    </row>
    <row r="9306" spans="1:22" s="841" customFormat="1" ht="15.75" x14ac:dyDescent="0.25">
      <c r="A9306" s="841" t="s">
        <v>168</v>
      </c>
      <c r="C9306" s="841" t="s">
        <v>3054</v>
      </c>
      <c r="E9306" s="1913" t="s">
        <v>5101</v>
      </c>
      <c r="F9306" s="1701"/>
      <c r="G9306" s="1701"/>
      <c r="H9306" s="1701"/>
      <c r="M9306" s="1357"/>
      <c r="Q9306" s="1357"/>
      <c r="S9306" s="1420">
        <v>43101</v>
      </c>
      <c r="T9306" s="1420"/>
      <c r="V9306" s="1357">
        <v>49</v>
      </c>
    </row>
    <row r="9307" spans="1:22" s="841" customFormat="1" ht="15" x14ac:dyDescent="0.25">
      <c r="A9307" s="841" t="s">
        <v>168</v>
      </c>
      <c r="C9307" s="841" t="s">
        <v>3055</v>
      </c>
      <c r="E9307" s="1914" t="s">
        <v>3056</v>
      </c>
      <c r="F9307" s="1702"/>
      <c r="G9307" s="1702"/>
      <c r="H9307" s="1702"/>
      <c r="M9307" s="1357"/>
      <c r="Q9307" s="1357"/>
      <c r="S9307" s="1420"/>
      <c r="T9307" s="1420"/>
      <c r="V9307" s="1357">
        <v>52</v>
      </c>
    </row>
    <row r="9308" spans="1:22" s="841" customFormat="1" ht="15" x14ac:dyDescent="0.25">
      <c r="A9308" s="841" t="s">
        <v>168</v>
      </c>
      <c r="E9308" s="1914" t="s">
        <v>3057</v>
      </c>
      <c r="F9308" s="1702"/>
      <c r="G9308" s="1702"/>
      <c r="H9308" s="1702"/>
      <c r="M9308" s="1357"/>
      <c r="Q9308" s="1357"/>
      <c r="S9308" s="1420"/>
      <c r="T9308" s="1420"/>
      <c r="V9308" s="1357">
        <v>53</v>
      </c>
    </row>
    <row r="9309" spans="1:22" s="841" customFormat="1" ht="15" x14ac:dyDescent="0.25">
      <c r="A9309" s="841" t="s">
        <v>168</v>
      </c>
      <c r="E9309" s="1925" t="s">
        <v>5747</v>
      </c>
      <c r="F9309" s="1703"/>
      <c r="G9309" s="1703"/>
      <c r="H9309" s="1703"/>
      <c r="K9309" s="841" t="s">
        <v>5747</v>
      </c>
      <c r="M9309" s="1357"/>
      <c r="Q9309" s="1357"/>
      <c r="S9309" s="1420"/>
      <c r="T9309" s="1420"/>
      <c r="V9309" s="1357">
        <v>12</v>
      </c>
    </row>
    <row r="9310" spans="1:22" s="841" customFormat="1" ht="15" x14ac:dyDescent="0.25">
      <c r="A9310" s="841" t="s">
        <v>168</v>
      </c>
      <c r="E9310" s="1909" t="s">
        <v>438</v>
      </c>
      <c r="F9310" s="1697"/>
      <c r="G9310" s="1697"/>
      <c r="H9310" s="1697"/>
      <c r="K9310" s="841" t="s">
        <v>3197</v>
      </c>
      <c r="M9310" s="1357"/>
      <c r="Q9310" s="1357"/>
      <c r="S9310" s="1420"/>
      <c r="T9310" s="1420"/>
      <c r="V9310" s="1357">
        <v>34</v>
      </c>
    </row>
    <row r="9311" spans="1:22" s="841" customFormat="1" ht="15" x14ac:dyDescent="0.25">
      <c r="A9311" s="841" t="s">
        <v>168</v>
      </c>
      <c r="E9311" s="1689" t="s">
        <v>4311</v>
      </c>
      <c r="F9311" s="1697"/>
      <c r="G9311" s="1697"/>
      <c r="H9311" s="1697"/>
      <c r="K9311" s="841" t="s">
        <v>3197</v>
      </c>
      <c r="M9311" s="1357"/>
      <c r="Q9311" s="1357"/>
      <c r="S9311" s="1420"/>
      <c r="T9311" s="1420"/>
      <c r="V9311" s="1357">
        <v>617</v>
      </c>
    </row>
    <row r="9312" spans="1:22" s="841" customFormat="1" ht="15" x14ac:dyDescent="0.25">
      <c r="A9312" s="841" t="s">
        <v>168</v>
      </c>
      <c r="E9312" s="1916" t="s">
        <v>3061</v>
      </c>
      <c r="F9312" s="1697"/>
      <c r="G9312" s="1697"/>
      <c r="H9312" s="1697"/>
      <c r="K9312" s="841" t="s">
        <v>3062</v>
      </c>
      <c r="M9312" s="1357"/>
      <c r="Q9312" s="1357"/>
      <c r="S9312" s="1420"/>
      <c r="T9312" s="1420"/>
      <c r="V9312" s="1357">
        <v>11</v>
      </c>
    </row>
    <row r="9313" spans="1:22" s="841" customFormat="1" ht="15" x14ac:dyDescent="0.25">
      <c r="A9313" s="841" t="s">
        <v>168</v>
      </c>
      <c r="E9313" s="1689" t="s">
        <v>3063</v>
      </c>
      <c r="F9313" s="1697"/>
      <c r="G9313" s="1697"/>
      <c r="H9313" s="1697"/>
      <c r="K9313" s="841" t="s">
        <v>3197</v>
      </c>
      <c r="M9313" s="1357"/>
      <c r="Q9313" s="1357"/>
      <c r="S9313" s="1420"/>
      <c r="T9313" s="1420"/>
      <c r="V9313" s="1357">
        <v>280</v>
      </c>
    </row>
    <row r="9314" spans="1:22" s="841" customFormat="1" ht="15" x14ac:dyDescent="0.25">
      <c r="A9314" s="841" t="s">
        <v>168</v>
      </c>
      <c r="E9314" s="1689" t="s">
        <v>3064</v>
      </c>
      <c r="F9314" s="1697"/>
      <c r="G9314" s="1697"/>
      <c r="H9314" s="1697"/>
      <c r="K9314" s="841" t="s">
        <v>3197</v>
      </c>
      <c r="M9314" s="1357"/>
      <c r="Q9314" s="1357"/>
      <c r="S9314" s="1420"/>
      <c r="T9314" s="1420"/>
      <c r="V9314" s="1357">
        <v>411</v>
      </c>
    </row>
    <row r="9315" spans="1:22" s="841" customFormat="1" ht="15" x14ac:dyDescent="0.25">
      <c r="A9315" s="841" t="s">
        <v>168</v>
      </c>
      <c r="E9315" s="1689" t="s">
        <v>3199</v>
      </c>
      <c r="F9315" s="1697"/>
      <c r="G9315" s="1697"/>
      <c r="H9315" s="1697"/>
      <c r="K9315" s="841" t="s">
        <v>3197</v>
      </c>
      <c r="M9315" s="1357"/>
      <c r="Q9315" s="1357"/>
      <c r="S9315" s="1420"/>
      <c r="T9315" s="1420"/>
      <c r="V9315" s="1357">
        <v>386</v>
      </c>
    </row>
    <row r="9316" spans="1:22" s="841" customFormat="1" ht="15" x14ac:dyDescent="0.25">
      <c r="A9316" s="841" t="s">
        <v>168</v>
      </c>
      <c r="E9316" s="1689" t="s">
        <v>3200</v>
      </c>
      <c r="F9316" s="1697"/>
      <c r="G9316" s="1697"/>
      <c r="H9316" s="1697"/>
      <c r="K9316" s="841" t="s">
        <v>3197</v>
      </c>
      <c r="M9316" s="1357"/>
      <c r="Q9316" s="1357"/>
      <c r="S9316" s="1420"/>
      <c r="T9316" s="1420"/>
      <c r="V9316" s="1357">
        <v>275</v>
      </c>
    </row>
    <row r="9317" spans="1:22" s="841" customFormat="1" ht="15" x14ac:dyDescent="0.25">
      <c r="A9317" s="841" t="s">
        <v>168</v>
      </c>
      <c r="E9317" s="1694" t="s">
        <v>3067</v>
      </c>
      <c r="F9317" s="1907"/>
      <c r="G9317" s="1907"/>
      <c r="H9317" s="1907"/>
      <c r="K9317" s="841" t="s">
        <v>3068</v>
      </c>
      <c r="M9317" s="1357"/>
      <c r="Q9317" s="1357"/>
      <c r="S9317" s="1420"/>
      <c r="T9317" s="1420"/>
      <c r="V9317" s="1357">
        <v>46</v>
      </c>
    </row>
    <row r="9318" spans="1:22" s="841" customFormat="1" ht="15" x14ac:dyDescent="0.25">
      <c r="A9318" s="841" t="s">
        <v>168</v>
      </c>
      <c r="E9318" s="1690" t="s">
        <v>11</v>
      </c>
      <c r="F9318" s="1690"/>
      <c r="G9318" s="1408" t="s">
        <v>23</v>
      </c>
      <c r="H9318" s="391">
        <v>23.54</v>
      </c>
      <c r="K9318" s="841" t="s">
        <v>3197</v>
      </c>
      <c r="L9318" s="841" t="s">
        <v>442</v>
      </c>
      <c r="M9318" s="1357"/>
      <c r="P9318" s="841" t="s">
        <v>3201</v>
      </c>
      <c r="Q9318" s="1357"/>
      <c r="S9318" s="1420"/>
      <c r="T9318" s="1420"/>
      <c r="V9318" s="1357">
        <v>14</v>
      </c>
    </row>
    <row r="9319" spans="1:22" s="841" customFormat="1" ht="15" x14ac:dyDescent="0.25">
      <c r="A9319" s="841" t="s">
        <v>168</v>
      </c>
      <c r="E9319" s="1690" t="s">
        <v>423</v>
      </c>
      <c r="F9319" s="1690"/>
      <c r="G9319" s="1408" t="s">
        <v>23</v>
      </c>
      <c r="H9319" s="391">
        <v>0.79</v>
      </c>
      <c r="K9319" s="841" t="s">
        <v>3197</v>
      </c>
      <c r="L9319" s="841" t="s">
        <v>443</v>
      </c>
      <c r="M9319" s="1357"/>
      <c r="P9319" s="841" t="s">
        <v>3202</v>
      </c>
      <c r="Q9319" s="1357"/>
      <c r="S9319" s="1420"/>
      <c r="T9319" s="1420">
        <v>43404</v>
      </c>
      <c r="V9319" s="1357">
        <v>78</v>
      </c>
    </row>
    <row r="9320" spans="1:22" s="841" customFormat="1" ht="15" x14ac:dyDescent="0.25">
      <c r="A9320" s="841" t="s">
        <v>168</v>
      </c>
      <c r="E9320" s="1690" t="s">
        <v>3896</v>
      </c>
      <c r="F9320" s="1690"/>
      <c r="G9320" s="1408" t="s">
        <v>23</v>
      </c>
      <c r="H9320" s="391">
        <v>0.37</v>
      </c>
      <c r="K9320" s="841" t="s">
        <v>3197</v>
      </c>
      <c r="L9320" s="841" t="s">
        <v>442</v>
      </c>
      <c r="M9320" s="1357"/>
      <c r="P9320" s="841" t="s">
        <v>3364</v>
      </c>
      <c r="Q9320" s="1357"/>
      <c r="S9320" s="1420"/>
      <c r="T9320" s="1420">
        <v>43830</v>
      </c>
      <c r="V9320" s="1357">
        <v>84</v>
      </c>
    </row>
    <row r="9321" spans="1:22" s="841" customFormat="1" ht="15" x14ac:dyDescent="0.25">
      <c r="A9321" s="841" t="s">
        <v>168</v>
      </c>
      <c r="E9321" s="1690" t="s">
        <v>84</v>
      </c>
      <c r="F9321" s="1690"/>
      <c r="G9321" s="1408" t="s">
        <v>24</v>
      </c>
      <c r="H9321" s="393">
        <v>4.3E-3</v>
      </c>
      <c r="K9321" s="841" t="s">
        <v>3197</v>
      </c>
      <c r="L9321" s="841" t="s">
        <v>442</v>
      </c>
      <c r="M9321" s="1357"/>
      <c r="P9321" s="841" t="s">
        <v>3203</v>
      </c>
      <c r="Q9321" s="1357"/>
      <c r="S9321" s="1420"/>
      <c r="T9321" s="1420"/>
      <c r="V9321" s="1357">
        <v>28</v>
      </c>
    </row>
    <row r="9322" spans="1:22" s="841" customFormat="1" ht="15" x14ac:dyDescent="0.25">
      <c r="A9322" s="841" t="s">
        <v>168</v>
      </c>
      <c r="E9322" s="1690" t="s">
        <v>221</v>
      </c>
      <c r="F9322" s="1690"/>
      <c r="G9322" s="1408" t="s">
        <v>24</v>
      </c>
      <c r="H9322" s="393">
        <v>6.7999999999999996E-3</v>
      </c>
      <c r="K9322" s="841" t="s">
        <v>3197</v>
      </c>
      <c r="L9322" s="841" t="s">
        <v>444</v>
      </c>
      <c r="M9322" s="1357"/>
      <c r="P9322" s="841" t="s">
        <v>3208</v>
      </c>
      <c r="Q9322" s="1357"/>
      <c r="S9322" s="1420"/>
      <c r="T9322" s="1420"/>
      <c r="V9322" s="1357">
        <v>47</v>
      </c>
    </row>
    <row r="9323" spans="1:22" s="841" customFormat="1" ht="15" x14ac:dyDescent="0.25">
      <c r="A9323" s="841" t="s">
        <v>168</v>
      </c>
      <c r="E9323" s="1690" t="s">
        <v>217</v>
      </c>
      <c r="F9323" s="1690"/>
      <c r="G9323" s="1408" t="s">
        <v>24</v>
      </c>
      <c r="H9323" s="393">
        <v>6.1000000000000004E-3</v>
      </c>
      <c r="K9323" s="841" t="s">
        <v>3197</v>
      </c>
      <c r="L9323" s="841" t="s">
        <v>444</v>
      </c>
      <c r="M9323" s="1357"/>
      <c r="P9323" s="841" t="s">
        <v>3209</v>
      </c>
      <c r="Q9323" s="1357"/>
      <c r="S9323" s="1420"/>
      <c r="T9323" s="1420"/>
      <c r="V9323" s="1357">
        <v>74</v>
      </c>
    </row>
    <row r="9324" spans="1:22" s="841" customFormat="1" ht="15" x14ac:dyDescent="0.25">
      <c r="A9324" s="841" t="s">
        <v>168</v>
      </c>
      <c r="E9324" s="1694" t="s">
        <v>3079</v>
      </c>
      <c r="F9324" s="1690"/>
      <c r="G9324" s="1408"/>
      <c r="H9324" s="1408"/>
      <c r="K9324" s="841" t="s">
        <v>3080</v>
      </c>
      <c r="M9324" s="1357"/>
      <c r="Q9324" s="1357"/>
      <c r="S9324" s="1420"/>
      <c r="T9324" s="1420"/>
      <c r="V9324" s="1357">
        <v>48</v>
      </c>
    </row>
    <row r="9325" spans="1:22" s="841" customFormat="1" ht="15" x14ac:dyDescent="0.25">
      <c r="A9325" s="841" t="s">
        <v>168</v>
      </c>
      <c r="E9325" s="1690" t="s">
        <v>2449</v>
      </c>
      <c r="F9325" s="1690"/>
      <c r="G9325" s="1408" t="s">
        <v>24</v>
      </c>
      <c r="H9325" s="393">
        <v>3.2000000000000002E-3</v>
      </c>
      <c r="K9325" s="841" t="s">
        <v>3197</v>
      </c>
      <c r="L9325" s="841" t="s">
        <v>3046</v>
      </c>
      <c r="M9325" s="1357"/>
      <c r="P9325" s="841" t="s">
        <v>3210</v>
      </c>
      <c r="Q9325" s="1357"/>
      <c r="S9325" s="1420"/>
      <c r="T9325" s="1420"/>
      <c r="V9325" s="1357">
        <v>55</v>
      </c>
    </row>
    <row r="9326" spans="1:22" s="841" customFormat="1" ht="15" x14ac:dyDescent="0.25">
      <c r="A9326" s="841" t="s">
        <v>168</v>
      </c>
      <c r="E9326" s="1690" t="s">
        <v>2450</v>
      </c>
      <c r="F9326" s="1690"/>
      <c r="G9326" s="1408" t="s">
        <v>24</v>
      </c>
      <c r="H9326" s="393">
        <v>4.0000000000000002E-4</v>
      </c>
      <c r="K9326" s="841" t="s">
        <v>3197</v>
      </c>
      <c r="L9326" s="841" t="s">
        <v>3046</v>
      </c>
      <c r="M9326" s="1357"/>
      <c r="P9326" s="841" t="s">
        <v>3210</v>
      </c>
      <c r="Q9326" s="1357"/>
      <c r="S9326" s="1420"/>
      <c r="T9326" s="1420"/>
      <c r="V9326" s="1357">
        <v>65</v>
      </c>
    </row>
    <row r="9327" spans="1:22" s="841" customFormat="1" ht="15" x14ac:dyDescent="0.25">
      <c r="A9327" s="841" t="s">
        <v>168</v>
      </c>
      <c r="E9327" s="1690" t="s">
        <v>439</v>
      </c>
      <c r="F9327" s="1690"/>
      <c r="G9327" s="1408" t="s">
        <v>24</v>
      </c>
      <c r="H9327" s="393">
        <v>2.9999999999999997E-4</v>
      </c>
      <c r="K9327" s="841" t="s">
        <v>3197</v>
      </c>
      <c r="L9327" s="841" t="s">
        <v>3046</v>
      </c>
      <c r="M9327" s="1357"/>
      <c r="P9327" s="841" t="s">
        <v>3212</v>
      </c>
      <c r="Q9327" s="1357"/>
      <c r="S9327" s="1420"/>
      <c r="T9327" s="1420"/>
      <c r="V9327" s="1357">
        <v>57</v>
      </c>
    </row>
    <row r="9328" spans="1:22" s="841" customFormat="1" ht="15" x14ac:dyDescent="0.25">
      <c r="A9328" s="841" t="s">
        <v>168</v>
      </c>
      <c r="E9328" s="1690" t="s">
        <v>32</v>
      </c>
      <c r="F9328" s="1690"/>
      <c r="G9328" s="1408" t="s">
        <v>23</v>
      </c>
      <c r="H9328" s="391">
        <v>0.25</v>
      </c>
      <c r="K9328" s="841" t="s">
        <v>3197</v>
      </c>
      <c r="L9328" s="841" t="s">
        <v>3046</v>
      </c>
      <c r="M9328" s="1357"/>
      <c r="P9328" s="841" t="s">
        <v>3213</v>
      </c>
      <c r="Q9328" s="1357"/>
      <c r="S9328" s="1420"/>
      <c r="T9328" s="1420"/>
      <c r="V9328" s="1357">
        <v>63</v>
      </c>
    </row>
    <row r="9329" spans="1:22" s="841" customFormat="1" ht="15" x14ac:dyDescent="0.25">
      <c r="A9329" s="841" t="s">
        <v>168</v>
      </c>
      <c r="E9329" s="1909" t="s">
        <v>3214</v>
      </c>
      <c r="F9329" s="1697"/>
      <c r="G9329" s="1697"/>
      <c r="H9329" s="1697"/>
      <c r="K9329" s="841" t="s">
        <v>5110</v>
      </c>
      <c r="M9329" s="1357"/>
      <c r="Q9329" s="1357"/>
      <c r="S9329" s="1420"/>
      <c r="T9329" s="1420"/>
      <c r="V9329" s="1357">
        <v>54</v>
      </c>
    </row>
    <row r="9330" spans="1:22" s="841" customFormat="1" ht="15" x14ac:dyDescent="0.25">
      <c r="A9330" s="841" t="s">
        <v>168</v>
      </c>
      <c r="E9330" s="1689" t="s">
        <v>3546</v>
      </c>
      <c r="F9330" s="1697"/>
      <c r="G9330" s="1697"/>
      <c r="H9330" s="1697"/>
      <c r="K9330" s="841" t="s">
        <v>5110</v>
      </c>
      <c r="M9330" s="1357"/>
      <c r="Q9330" s="1357"/>
      <c r="S9330" s="1420"/>
      <c r="T9330" s="1420"/>
      <c r="V9330" s="1357">
        <v>331</v>
      </c>
    </row>
    <row r="9331" spans="1:22" s="841" customFormat="1" ht="15" x14ac:dyDescent="0.25">
      <c r="A9331" s="841" t="s">
        <v>168</v>
      </c>
      <c r="E9331" s="1916" t="s">
        <v>3061</v>
      </c>
      <c r="F9331" s="1697"/>
      <c r="G9331" s="1697"/>
      <c r="H9331" s="1697"/>
      <c r="K9331" s="841" t="s">
        <v>3086</v>
      </c>
      <c r="M9331" s="1357"/>
      <c r="Q9331" s="1357"/>
      <c r="S9331" s="1420"/>
      <c r="T9331" s="1420"/>
      <c r="V9331" s="1357">
        <v>11</v>
      </c>
    </row>
    <row r="9332" spans="1:22" s="841" customFormat="1" ht="15" x14ac:dyDescent="0.25">
      <c r="A9332" s="841" t="s">
        <v>168</v>
      </c>
      <c r="E9332" s="1689" t="s">
        <v>3063</v>
      </c>
      <c r="F9332" s="1697"/>
      <c r="G9332" s="1697"/>
      <c r="H9332" s="1697"/>
      <c r="K9332" s="841" t="s">
        <v>5110</v>
      </c>
      <c r="M9332" s="1357"/>
      <c r="Q9332" s="1357"/>
      <c r="S9332" s="1420"/>
      <c r="T9332" s="1420"/>
      <c r="V9332" s="1357">
        <v>280</v>
      </c>
    </row>
    <row r="9333" spans="1:22" s="841" customFormat="1" ht="15" x14ac:dyDescent="0.25">
      <c r="A9333" s="841" t="s">
        <v>168</v>
      </c>
      <c r="E9333" s="1689" t="s">
        <v>3064</v>
      </c>
      <c r="F9333" s="1697"/>
      <c r="G9333" s="1697"/>
      <c r="H9333" s="1697"/>
      <c r="K9333" s="841" t="s">
        <v>5110</v>
      </c>
      <c r="M9333" s="1357"/>
      <c r="Q9333" s="1357"/>
      <c r="S9333" s="1420"/>
      <c r="T9333" s="1420"/>
      <c r="V9333" s="1357">
        <v>411</v>
      </c>
    </row>
    <row r="9334" spans="1:22" s="841" customFormat="1" ht="15" x14ac:dyDescent="0.25">
      <c r="A9334" s="841" t="s">
        <v>168</v>
      </c>
      <c r="E9334" s="1689" t="s">
        <v>3199</v>
      </c>
      <c r="F9334" s="1697"/>
      <c r="G9334" s="1697"/>
      <c r="H9334" s="1697"/>
      <c r="K9334" s="841" t="s">
        <v>5110</v>
      </c>
      <c r="M9334" s="1357"/>
      <c r="Q9334" s="1357"/>
      <c r="S9334" s="1420"/>
      <c r="T9334" s="1420"/>
      <c r="V9334" s="1357">
        <v>386</v>
      </c>
    </row>
    <row r="9335" spans="1:22" s="841" customFormat="1" ht="15" x14ac:dyDescent="0.25">
      <c r="A9335" s="841" t="s">
        <v>168</v>
      </c>
      <c r="E9335" s="1689" t="s">
        <v>3200</v>
      </c>
      <c r="F9335" s="1697"/>
      <c r="G9335" s="1697"/>
      <c r="H9335" s="1697"/>
      <c r="K9335" s="841" t="s">
        <v>5110</v>
      </c>
      <c r="M9335" s="1357"/>
      <c r="Q9335" s="1357"/>
      <c r="S9335" s="1420"/>
      <c r="T9335" s="1420"/>
      <c r="V9335" s="1357">
        <v>275</v>
      </c>
    </row>
    <row r="9336" spans="1:22" s="841" customFormat="1" ht="15" x14ac:dyDescent="0.25">
      <c r="A9336" s="841" t="s">
        <v>168</v>
      </c>
      <c r="E9336" s="1694" t="s">
        <v>3067</v>
      </c>
      <c r="F9336" s="1907"/>
      <c r="G9336" s="1907"/>
      <c r="H9336" s="1907"/>
      <c r="K9336" s="841" t="s">
        <v>3087</v>
      </c>
      <c r="M9336" s="1357"/>
      <c r="Q9336" s="1357"/>
      <c r="S9336" s="1420"/>
      <c r="T9336" s="1420"/>
      <c r="V9336" s="1357">
        <v>46</v>
      </c>
    </row>
    <row r="9337" spans="1:22" s="841" customFormat="1" ht="15" x14ac:dyDescent="0.25">
      <c r="A9337" s="841" t="s">
        <v>168</v>
      </c>
      <c r="E9337" s="1690" t="s">
        <v>11</v>
      </c>
      <c r="F9337" s="1690"/>
      <c r="G9337" s="1408" t="s">
        <v>23</v>
      </c>
      <c r="H9337" s="391">
        <v>24.22</v>
      </c>
      <c r="K9337" s="841" t="s">
        <v>5110</v>
      </c>
      <c r="L9337" s="841" t="s">
        <v>442</v>
      </c>
      <c r="M9337" s="1357"/>
      <c r="P9337" s="841" t="s">
        <v>5111</v>
      </c>
      <c r="Q9337" s="1357"/>
      <c r="S9337" s="1420"/>
      <c r="T9337" s="1420"/>
      <c r="V9337" s="1357">
        <v>14</v>
      </c>
    </row>
    <row r="9338" spans="1:22" s="841" customFormat="1" ht="15" x14ac:dyDescent="0.25">
      <c r="A9338" s="841" t="s">
        <v>168</v>
      </c>
      <c r="E9338" s="1690" t="s">
        <v>423</v>
      </c>
      <c r="F9338" s="1690"/>
      <c r="G9338" s="1408" t="s">
        <v>23</v>
      </c>
      <c r="H9338" s="391">
        <v>0.79</v>
      </c>
      <c r="K9338" s="841" t="s">
        <v>5110</v>
      </c>
      <c r="L9338" s="841" t="s">
        <v>443</v>
      </c>
      <c r="M9338" s="1357"/>
      <c r="P9338" s="841" t="s">
        <v>5112</v>
      </c>
      <c r="Q9338" s="1357"/>
      <c r="S9338" s="1420"/>
      <c r="T9338" s="1420">
        <v>43404</v>
      </c>
      <c r="V9338" s="1357">
        <v>78</v>
      </c>
    </row>
    <row r="9339" spans="1:22" s="841" customFormat="1" ht="15" x14ac:dyDescent="0.25">
      <c r="A9339" s="841" t="s">
        <v>168</v>
      </c>
      <c r="E9339" s="1690" t="s">
        <v>3896</v>
      </c>
      <c r="F9339" s="1690"/>
      <c r="G9339" s="1408" t="s">
        <v>23</v>
      </c>
      <c r="H9339" s="391">
        <v>0.79</v>
      </c>
      <c r="K9339" s="841" t="s">
        <v>5110</v>
      </c>
      <c r="L9339" s="841" t="s">
        <v>442</v>
      </c>
      <c r="M9339" s="1357"/>
      <c r="P9339" s="841" t="s">
        <v>5388</v>
      </c>
      <c r="Q9339" s="1357"/>
      <c r="S9339" s="1420"/>
      <c r="T9339" s="1420">
        <v>43830</v>
      </c>
      <c r="V9339" s="1357">
        <v>84</v>
      </c>
    </row>
    <row r="9340" spans="1:22" s="841" customFormat="1" ht="15" x14ac:dyDescent="0.25">
      <c r="A9340" s="841" t="s">
        <v>168</v>
      </c>
      <c r="E9340" s="1690" t="s">
        <v>84</v>
      </c>
      <c r="F9340" s="1690"/>
      <c r="G9340" s="1408" t="s">
        <v>24</v>
      </c>
      <c r="H9340" s="393">
        <v>1.6500000000000001E-2</v>
      </c>
      <c r="K9340" s="841" t="s">
        <v>5110</v>
      </c>
      <c r="L9340" s="841" t="s">
        <v>442</v>
      </c>
      <c r="M9340" s="1357"/>
      <c r="P9340" s="841" t="s">
        <v>5113</v>
      </c>
      <c r="Q9340" s="1357"/>
      <c r="S9340" s="1420"/>
      <c r="T9340" s="1420"/>
      <c r="V9340" s="1357">
        <v>28</v>
      </c>
    </row>
    <row r="9341" spans="1:22" s="841" customFormat="1" ht="15" x14ac:dyDescent="0.25">
      <c r="A9341" s="841" t="s">
        <v>168</v>
      </c>
      <c r="E9341" s="1690" t="s">
        <v>221</v>
      </c>
      <c r="F9341" s="1690"/>
      <c r="G9341" s="1408" t="s">
        <v>24</v>
      </c>
      <c r="H9341" s="393">
        <v>6.7999999999999996E-3</v>
      </c>
      <c r="K9341" s="841" t="s">
        <v>5110</v>
      </c>
      <c r="L9341" s="841" t="s">
        <v>444</v>
      </c>
      <c r="M9341" s="1357"/>
      <c r="P9341" s="841" t="s">
        <v>5115</v>
      </c>
      <c r="Q9341" s="1357"/>
      <c r="S9341" s="1420"/>
      <c r="T9341" s="1420"/>
      <c r="V9341" s="1357">
        <v>47</v>
      </c>
    </row>
    <row r="9342" spans="1:22" s="841" customFormat="1" ht="15" x14ac:dyDescent="0.25">
      <c r="A9342" s="841" t="s">
        <v>168</v>
      </c>
      <c r="E9342" s="1690" t="s">
        <v>217</v>
      </c>
      <c r="F9342" s="1690"/>
      <c r="G9342" s="1408" t="s">
        <v>24</v>
      </c>
      <c r="H9342" s="393">
        <v>5.7000000000000002E-3</v>
      </c>
      <c r="K9342" s="841" t="s">
        <v>5110</v>
      </c>
      <c r="L9342" s="841" t="s">
        <v>444</v>
      </c>
      <c r="M9342" s="1357"/>
      <c r="P9342" s="841" t="s">
        <v>5116</v>
      </c>
      <c r="Q9342" s="1357"/>
      <c r="S9342" s="1420"/>
      <c r="T9342" s="1420"/>
      <c r="V9342" s="1357">
        <v>74</v>
      </c>
    </row>
    <row r="9343" spans="1:22" s="841" customFormat="1" ht="15" x14ac:dyDescent="0.25">
      <c r="A9343" s="841" t="s">
        <v>168</v>
      </c>
      <c r="E9343" s="1694" t="s">
        <v>3079</v>
      </c>
      <c r="F9343" s="1690"/>
      <c r="G9343" s="1408"/>
      <c r="H9343" s="1408"/>
      <c r="K9343" s="841" t="s">
        <v>3093</v>
      </c>
      <c r="M9343" s="1357"/>
      <c r="Q9343" s="1357"/>
      <c r="S9343" s="1420"/>
      <c r="T9343" s="1420"/>
      <c r="V9343" s="1357">
        <v>48</v>
      </c>
    </row>
    <row r="9344" spans="1:22" s="841" customFormat="1" ht="15" x14ac:dyDescent="0.25">
      <c r="A9344" s="841" t="s">
        <v>168</v>
      </c>
      <c r="E9344" s="1690" t="s">
        <v>2449</v>
      </c>
      <c r="F9344" s="1690"/>
      <c r="G9344" s="1408" t="s">
        <v>24</v>
      </c>
      <c r="H9344" s="393">
        <v>3.2000000000000002E-3</v>
      </c>
      <c r="K9344" s="841" t="s">
        <v>5110</v>
      </c>
      <c r="L9344" s="841" t="s">
        <v>3046</v>
      </c>
      <c r="M9344" s="1357"/>
      <c r="P9344" s="841" t="s">
        <v>5117</v>
      </c>
      <c r="Q9344" s="1357"/>
      <c r="S9344" s="1420"/>
      <c r="T9344" s="1420"/>
      <c r="V9344" s="1357">
        <v>55</v>
      </c>
    </row>
    <row r="9345" spans="1:22" s="841" customFormat="1" ht="15" x14ac:dyDescent="0.25">
      <c r="A9345" s="841" t="s">
        <v>168</v>
      </c>
      <c r="E9345" s="1690" t="s">
        <v>2450</v>
      </c>
      <c r="F9345" s="1690"/>
      <c r="G9345" s="1408" t="s">
        <v>24</v>
      </c>
      <c r="H9345" s="393">
        <v>4.0000000000000002E-4</v>
      </c>
      <c r="K9345" s="841" t="s">
        <v>5110</v>
      </c>
      <c r="L9345" s="841" t="s">
        <v>3046</v>
      </c>
      <c r="M9345" s="1357"/>
      <c r="P9345" s="841" t="s">
        <v>5117</v>
      </c>
      <c r="Q9345" s="1357"/>
      <c r="S9345" s="1420"/>
      <c r="T9345" s="1420"/>
      <c r="V9345" s="1357">
        <v>65</v>
      </c>
    </row>
    <row r="9346" spans="1:22" s="841" customFormat="1" ht="15" x14ac:dyDescent="0.25">
      <c r="A9346" s="841" t="s">
        <v>168</v>
      </c>
      <c r="E9346" s="1690" t="s">
        <v>439</v>
      </c>
      <c r="F9346" s="1690"/>
      <c r="G9346" s="1408" t="s">
        <v>24</v>
      </c>
      <c r="H9346" s="393">
        <v>2.9999999999999997E-4</v>
      </c>
      <c r="K9346" s="841" t="s">
        <v>5110</v>
      </c>
      <c r="L9346" s="841" t="s">
        <v>3046</v>
      </c>
      <c r="M9346" s="1357"/>
      <c r="P9346" s="841" t="s">
        <v>5118</v>
      </c>
      <c r="Q9346" s="1357"/>
      <c r="S9346" s="1420"/>
      <c r="T9346" s="1420"/>
      <c r="V9346" s="1357">
        <v>57</v>
      </c>
    </row>
    <row r="9347" spans="1:22" s="841" customFormat="1" ht="15" x14ac:dyDescent="0.25">
      <c r="A9347" s="841" t="s">
        <v>168</v>
      </c>
      <c r="E9347" s="1690" t="s">
        <v>32</v>
      </c>
      <c r="F9347" s="1690"/>
      <c r="G9347" s="1408" t="s">
        <v>23</v>
      </c>
      <c r="H9347" s="391">
        <v>0.25</v>
      </c>
      <c r="K9347" s="841" t="s">
        <v>5110</v>
      </c>
      <c r="L9347" s="841" t="s">
        <v>3046</v>
      </c>
      <c r="M9347" s="1357"/>
      <c r="P9347" s="841" t="s">
        <v>5119</v>
      </c>
      <c r="Q9347" s="1357"/>
      <c r="S9347" s="1420"/>
      <c r="T9347" s="1420"/>
      <c r="V9347" s="1357">
        <v>63</v>
      </c>
    </row>
    <row r="9348" spans="1:22" s="841" customFormat="1" ht="15" x14ac:dyDescent="0.25">
      <c r="A9348" s="841" t="s">
        <v>168</v>
      </c>
      <c r="E9348" s="1909" t="s">
        <v>616</v>
      </c>
      <c r="F9348" s="1697"/>
      <c r="G9348" s="1697"/>
      <c r="H9348" s="1697"/>
      <c r="K9348" s="841" t="s">
        <v>6095</v>
      </c>
      <c r="M9348" s="1357"/>
      <c r="Q9348" s="1357"/>
      <c r="S9348" s="1420"/>
      <c r="T9348" s="1420"/>
      <c r="V9348" s="1357">
        <v>53</v>
      </c>
    </row>
    <row r="9349" spans="1:22" s="841" customFormat="1" ht="15" x14ac:dyDescent="0.25">
      <c r="A9349" s="841" t="s">
        <v>168</v>
      </c>
      <c r="E9349" s="1689" t="s">
        <v>4312</v>
      </c>
      <c r="F9349" s="1697"/>
      <c r="G9349" s="1697"/>
      <c r="H9349" s="1697"/>
      <c r="K9349" s="841" t="s">
        <v>6095</v>
      </c>
      <c r="M9349" s="1357"/>
      <c r="Q9349" s="1357"/>
      <c r="S9349" s="1420"/>
      <c r="T9349" s="1420"/>
      <c r="V9349" s="1357">
        <v>355</v>
      </c>
    </row>
    <row r="9350" spans="1:22" s="841" customFormat="1" ht="15" x14ac:dyDescent="0.25">
      <c r="A9350" s="841" t="s">
        <v>168</v>
      </c>
      <c r="E9350" s="1916" t="s">
        <v>3061</v>
      </c>
      <c r="F9350" s="1697"/>
      <c r="G9350" s="1697"/>
      <c r="H9350" s="1697"/>
      <c r="K9350" s="841" t="s">
        <v>3098</v>
      </c>
      <c r="M9350" s="1357"/>
      <c r="Q9350" s="1357"/>
      <c r="S9350" s="1420"/>
      <c r="T9350" s="1420"/>
      <c r="V9350" s="1357">
        <v>11</v>
      </c>
    </row>
    <row r="9351" spans="1:22" s="841" customFormat="1" ht="15" x14ac:dyDescent="0.25">
      <c r="A9351" s="841" t="s">
        <v>168</v>
      </c>
      <c r="E9351" s="1689" t="s">
        <v>3063</v>
      </c>
      <c r="F9351" s="1697"/>
      <c r="G9351" s="1697"/>
      <c r="H9351" s="1697"/>
      <c r="K9351" s="841" t="s">
        <v>6095</v>
      </c>
      <c r="M9351" s="1357"/>
      <c r="Q9351" s="1357"/>
      <c r="S9351" s="1420"/>
      <c r="T9351" s="1420"/>
      <c r="V9351" s="1357">
        <v>280</v>
      </c>
    </row>
    <row r="9352" spans="1:22" s="841" customFormat="1" ht="15" x14ac:dyDescent="0.25">
      <c r="A9352" s="841" t="s">
        <v>168</v>
      </c>
      <c r="E9352" s="1689" t="s">
        <v>3064</v>
      </c>
      <c r="F9352" s="1697"/>
      <c r="G9352" s="1697"/>
      <c r="H9352" s="1697"/>
      <c r="K9352" s="841" t="s">
        <v>6095</v>
      </c>
      <c r="M9352" s="1357"/>
      <c r="Q9352" s="1357"/>
      <c r="S9352" s="1420"/>
      <c r="T9352" s="1420"/>
      <c r="V9352" s="1357">
        <v>411</v>
      </c>
    </row>
    <row r="9353" spans="1:22" s="841" customFormat="1" ht="15" x14ac:dyDescent="0.25">
      <c r="A9353" s="841" t="s">
        <v>168</v>
      </c>
      <c r="E9353" s="1689" t="s">
        <v>3199</v>
      </c>
      <c r="F9353" s="1697"/>
      <c r="G9353" s="1697"/>
      <c r="H9353" s="1697"/>
      <c r="K9353" s="841" t="s">
        <v>6095</v>
      </c>
      <c r="M9353" s="1357"/>
      <c r="Q9353" s="1357"/>
      <c r="S9353" s="1420"/>
      <c r="T9353" s="1420"/>
      <c r="V9353" s="1357">
        <v>386</v>
      </c>
    </row>
    <row r="9354" spans="1:22" s="841" customFormat="1" ht="15" x14ac:dyDescent="0.25">
      <c r="A9354" s="841" t="s">
        <v>168</v>
      </c>
      <c r="E9354" s="1689" t="s">
        <v>3200</v>
      </c>
      <c r="F9354" s="1697"/>
      <c r="G9354" s="1697"/>
      <c r="H9354" s="1697"/>
      <c r="K9354" s="841" t="s">
        <v>6095</v>
      </c>
      <c r="M9354" s="1357"/>
      <c r="Q9354" s="1357"/>
      <c r="S9354" s="1420"/>
      <c r="T9354" s="1420"/>
      <c r="V9354" s="1357">
        <v>275</v>
      </c>
    </row>
    <row r="9355" spans="1:22" s="841" customFormat="1" ht="15" x14ac:dyDescent="0.25">
      <c r="A9355" s="841" t="s">
        <v>168</v>
      </c>
      <c r="E9355" s="1694" t="s">
        <v>3067</v>
      </c>
      <c r="F9355" s="1907"/>
      <c r="G9355" s="1907"/>
      <c r="H9355" s="1907"/>
      <c r="K9355" s="841" t="s">
        <v>3099</v>
      </c>
      <c r="M9355" s="1357"/>
      <c r="Q9355" s="1357"/>
      <c r="S9355" s="1420"/>
      <c r="T9355" s="1420"/>
      <c r="V9355" s="1357">
        <v>46</v>
      </c>
    </row>
    <row r="9356" spans="1:22" s="841" customFormat="1" ht="15" x14ac:dyDescent="0.25">
      <c r="A9356" s="841" t="s">
        <v>168</v>
      </c>
      <c r="E9356" s="1690" t="s">
        <v>11</v>
      </c>
      <c r="F9356" s="1690"/>
      <c r="G9356" s="1408" t="s">
        <v>23</v>
      </c>
      <c r="H9356" s="391">
        <v>75.459999999999994</v>
      </c>
      <c r="K9356" s="841" t="s">
        <v>6095</v>
      </c>
      <c r="L9356" s="841" t="s">
        <v>442</v>
      </c>
      <c r="M9356" s="1357"/>
      <c r="P9356" s="841" t="s">
        <v>6096</v>
      </c>
      <c r="Q9356" s="1357"/>
      <c r="S9356" s="1420"/>
      <c r="T9356" s="1420"/>
      <c r="V9356" s="1357">
        <v>14</v>
      </c>
    </row>
    <row r="9357" spans="1:22" s="841" customFormat="1" ht="15" x14ac:dyDescent="0.25">
      <c r="A9357" s="841" t="s">
        <v>168</v>
      </c>
      <c r="E9357" s="1690" t="s">
        <v>84</v>
      </c>
      <c r="F9357" s="1690"/>
      <c r="G9357" s="1408" t="s">
        <v>33</v>
      </c>
      <c r="H9357" s="393">
        <v>3.6124999999999998</v>
      </c>
      <c r="K9357" s="841" t="s">
        <v>6095</v>
      </c>
      <c r="L9357" s="841" t="s">
        <v>442</v>
      </c>
      <c r="M9357" s="1357"/>
      <c r="P9357" s="841" t="s">
        <v>6097</v>
      </c>
      <c r="Q9357" s="1357"/>
      <c r="S9357" s="1420"/>
      <c r="T9357" s="1420"/>
      <c r="V9357" s="1357">
        <v>28</v>
      </c>
    </row>
    <row r="9358" spans="1:22" s="841" customFormat="1" ht="15" x14ac:dyDescent="0.25">
      <c r="A9358" s="841" t="s">
        <v>168</v>
      </c>
      <c r="E9358" s="1690" t="s">
        <v>221</v>
      </c>
      <c r="F9358" s="1690"/>
      <c r="G9358" s="1408" t="s">
        <v>33</v>
      </c>
      <c r="H9358" s="393">
        <v>2.722</v>
      </c>
      <c r="K9358" s="841" t="s">
        <v>6095</v>
      </c>
      <c r="L9358" s="841" t="s">
        <v>444</v>
      </c>
      <c r="M9358" s="1357"/>
      <c r="P9358" s="841" t="s">
        <v>6099</v>
      </c>
      <c r="Q9358" s="1357"/>
      <c r="S9358" s="1420"/>
      <c r="T9358" s="1420"/>
      <c r="V9358" s="1357">
        <v>47</v>
      </c>
    </row>
    <row r="9359" spans="1:22" s="841" customFormat="1" ht="15" x14ac:dyDescent="0.25">
      <c r="A9359" s="841" t="s">
        <v>168</v>
      </c>
      <c r="E9359" s="1690" t="s">
        <v>217</v>
      </c>
      <c r="F9359" s="1690"/>
      <c r="G9359" s="1408" t="s">
        <v>33</v>
      </c>
      <c r="H9359" s="393">
        <v>2.3169</v>
      </c>
      <c r="K9359" s="841" t="s">
        <v>6095</v>
      </c>
      <c r="L9359" s="841" t="s">
        <v>444</v>
      </c>
      <c r="M9359" s="1357"/>
      <c r="P9359" s="841" t="s">
        <v>6100</v>
      </c>
      <c r="Q9359" s="1357"/>
      <c r="S9359" s="1420"/>
      <c r="T9359" s="1420"/>
      <c r="V9359" s="1357">
        <v>74</v>
      </c>
    </row>
    <row r="9360" spans="1:22" s="841" customFormat="1" ht="15" x14ac:dyDescent="0.25">
      <c r="A9360" s="841" t="s">
        <v>168</v>
      </c>
      <c r="E9360" s="1694" t="s">
        <v>3079</v>
      </c>
      <c r="F9360" s="1690"/>
      <c r="G9360" s="1408"/>
      <c r="H9360" s="1408"/>
      <c r="K9360" s="841" t="s">
        <v>3218</v>
      </c>
      <c r="M9360" s="1357"/>
      <c r="Q9360" s="1357"/>
      <c r="S9360" s="1420"/>
      <c r="T9360" s="1420"/>
      <c r="V9360" s="1357">
        <v>48</v>
      </c>
    </row>
    <row r="9361" spans="1:22" s="841" customFormat="1" ht="15" x14ac:dyDescent="0.25">
      <c r="A9361" s="841" t="s">
        <v>168</v>
      </c>
      <c r="E9361" s="1690" t="s">
        <v>2449</v>
      </c>
      <c r="F9361" s="1690"/>
      <c r="G9361" s="1408" t="s">
        <v>24</v>
      </c>
      <c r="H9361" s="393">
        <v>3.2000000000000002E-3</v>
      </c>
      <c r="K9361" s="841" t="s">
        <v>6095</v>
      </c>
      <c r="L9361" s="841" t="s">
        <v>3046</v>
      </c>
      <c r="M9361" s="1357"/>
      <c r="P9361" s="841" t="s">
        <v>6101</v>
      </c>
      <c r="Q9361" s="1357"/>
      <c r="S9361" s="1420"/>
      <c r="T9361" s="1420"/>
      <c r="V9361" s="1357">
        <v>55</v>
      </c>
    </row>
    <row r="9362" spans="1:22" s="841" customFormat="1" ht="15" x14ac:dyDescent="0.25">
      <c r="A9362" s="841" t="s">
        <v>168</v>
      </c>
      <c r="E9362" s="1690" t="s">
        <v>2450</v>
      </c>
      <c r="F9362" s="1690"/>
      <c r="G9362" s="1408" t="s">
        <v>24</v>
      </c>
      <c r="H9362" s="393">
        <v>4.0000000000000002E-4</v>
      </c>
      <c r="K9362" s="841" t="s">
        <v>6095</v>
      </c>
      <c r="L9362" s="841" t="s">
        <v>3046</v>
      </c>
      <c r="M9362" s="1357"/>
      <c r="P9362" s="841" t="s">
        <v>6101</v>
      </c>
      <c r="Q9362" s="1357"/>
      <c r="S9362" s="1420"/>
      <c r="T9362" s="1420"/>
      <c r="V9362" s="1357">
        <v>65</v>
      </c>
    </row>
    <row r="9363" spans="1:22" s="841" customFormat="1" ht="15" x14ac:dyDescent="0.25">
      <c r="A9363" s="841" t="s">
        <v>168</v>
      </c>
      <c r="E9363" s="1690" t="s">
        <v>439</v>
      </c>
      <c r="F9363" s="1690"/>
      <c r="G9363" s="1408" t="s">
        <v>24</v>
      </c>
      <c r="H9363" s="393">
        <v>2.9999999999999997E-4</v>
      </c>
      <c r="K9363" s="841" t="s">
        <v>6095</v>
      </c>
      <c r="L9363" s="841" t="s">
        <v>3046</v>
      </c>
      <c r="M9363" s="1357"/>
      <c r="P9363" s="841" t="s">
        <v>6102</v>
      </c>
      <c r="Q9363" s="1357"/>
      <c r="S9363" s="1420"/>
      <c r="T9363" s="1420"/>
      <c r="V9363" s="1357">
        <v>57</v>
      </c>
    </row>
    <row r="9364" spans="1:22" s="841" customFormat="1" ht="15" x14ac:dyDescent="0.25">
      <c r="A9364" s="841" t="s">
        <v>168</v>
      </c>
      <c r="E9364" s="1690" t="s">
        <v>32</v>
      </c>
      <c r="F9364" s="1690"/>
      <c r="G9364" s="1408" t="s">
        <v>23</v>
      </c>
      <c r="H9364" s="391">
        <v>0.25</v>
      </c>
      <c r="K9364" s="841" t="s">
        <v>6095</v>
      </c>
      <c r="L9364" s="841" t="s">
        <v>3046</v>
      </c>
      <c r="M9364" s="1357"/>
      <c r="P9364" s="841" t="s">
        <v>6103</v>
      </c>
      <c r="Q9364" s="1357"/>
      <c r="S9364" s="1420"/>
      <c r="T9364" s="1420"/>
      <c r="V9364" s="1357">
        <v>63</v>
      </c>
    </row>
    <row r="9365" spans="1:22" s="841" customFormat="1" ht="15" x14ac:dyDescent="0.25">
      <c r="A9365" s="841" t="s">
        <v>168</v>
      </c>
      <c r="E9365" s="1909" t="s">
        <v>629</v>
      </c>
      <c r="F9365" s="1697"/>
      <c r="G9365" s="1697"/>
      <c r="H9365" s="1697"/>
      <c r="K9365" s="841" t="s">
        <v>4226</v>
      </c>
      <c r="M9365" s="1357"/>
      <c r="Q9365" s="1357"/>
      <c r="S9365" s="1420"/>
      <c r="T9365" s="1420"/>
      <c r="V9365" s="1357">
        <v>40</v>
      </c>
    </row>
    <row r="9366" spans="1:22" s="841" customFormat="1" ht="15" x14ac:dyDescent="0.25">
      <c r="A9366" s="841" t="s">
        <v>168</v>
      </c>
      <c r="E9366" s="1689" t="s">
        <v>4313</v>
      </c>
      <c r="F9366" s="1697"/>
      <c r="G9366" s="1697"/>
      <c r="H9366" s="1697"/>
      <c r="K9366" s="841" t="s">
        <v>4226</v>
      </c>
      <c r="M9366" s="1357"/>
      <c r="Q9366" s="1357"/>
      <c r="S9366" s="1420"/>
      <c r="T9366" s="1420"/>
      <c r="V9366" s="1357">
        <v>463</v>
      </c>
    </row>
    <row r="9367" spans="1:22" s="841" customFormat="1" ht="15" x14ac:dyDescent="0.25">
      <c r="A9367" s="841" t="s">
        <v>168</v>
      </c>
      <c r="E9367" s="1916" t="s">
        <v>3061</v>
      </c>
      <c r="F9367" s="1697"/>
      <c r="G9367" s="1697"/>
      <c r="H9367" s="1697"/>
      <c r="K9367" s="841" t="s">
        <v>3221</v>
      </c>
      <c r="M9367" s="1357"/>
      <c r="Q9367" s="1357"/>
      <c r="S9367" s="1420"/>
      <c r="T9367" s="1420"/>
      <c r="V9367" s="1357">
        <v>11</v>
      </c>
    </row>
    <row r="9368" spans="1:22" s="841" customFormat="1" ht="15" x14ac:dyDescent="0.25">
      <c r="A9368" s="841" t="s">
        <v>168</v>
      </c>
      <c r="E9368" s="1689" t="s">
        <v>3063</v>
      </c>
      <c r="F9368" s="1697"/>
      <c r="G9368" s="1697"/>
      <c r="H9368" s="1697"/>
      <c r="K9368" s="841" t="s">
        <v>4226</v>
      </c>
      <c r="M9368" s="1357"/>
      <c r="Q9368" s="1357"/>
      <c r="S9368" s="1420"/>
      <c r="T9368" s="1420"/>
      <c r="V9368" s="1357">
        <v>280</v>
      </c>
    </row>
    <row r="9369" spans="1:22" s="841" customFormat="1" ht="15" x14ac:dyDescent="0.25">
      <c r="A9369" s="841" t="s">
        <v>168</v>
      </c>
      <c r="E9369" s="1689" t="s">
        <v>3064</v>
      </c>
      <c r="F9369" s="1697"/>
      <c r="G9369" s="1697"/>
      <c r="H9369" s="1697"/>
      <c r="K9369" s="841" t="s">
        <v>4226</v>
      </c>
      <c r="M9369" s="1357"/>
      <c r="Q9369" s="1357"/>
      <c r="S9369" s="1420"/>
      <c r="T9369" s="1420"/>
      <c r="V9369" s="1357">
        <v>411</v>
      </c>
    </row>
    <row r="9370" spans="1:22" s="841" customFormat="1" ht="15" x14ac:dyDescent="0.25">
      <c r="A9370" s="841" t="s">
        <v>168</v>
      </c>
      <c r="E9370" s="1689" t="s">
        <v>3199</v>
      </c>
      <c r="F9370" s="1697"/>
      <c r="G9370" s="1697"/>
      <c r="H9370" s="1697"/>
      <c r="K9370" s="841" t="s">
        <v>4226</v>
      </c>
      <c r="M9370" s="1357"/>
      <c r="Q9370" s="1357"/>
      <c r="S9370" s="1420"/>
      <c r="T9370" s="1420"/>
      <c r="V9370" s="1357">
        <v>386</v>
      </c>
    </row>
    <row r="9371" spans="1:22" s="841" customFormat="1" ht="15" x14ac:dyDescent="0.25">
      <c r="A9371" s="841" t="s">
        <v>168</v>
      </c>
      <c r="E9371" s="1689" t="s">
        <v>3200</v>
      </c>
      <c r="F9371" s="1697"/>
      <c r="G9371" s="1697"/>
      <c r="H9371" s="1697"/>
      <c r="K9371" s="841" t="s">
        <v>4226</v>
      </c>
      <c r="M9371" s="1357"/>
      <c r="Q9371" s="1357"/>
      <c r="S9371" s="1420"/>
      <c r="T9371" s="1420"/>
      <c r="V9371" s="1357">
        <v>275</v>
      </c>
    </row>
    <row r="9372" spans="1:22" s="841" customFormat="1" ht="15" x14ac:dyDescent="0.25">
      <c r="A9372" s="841" t="s">
        <v>168</v>
      </c>
      <c r="E9372" s="1694" t="s">
        <v>3067</v>
      </c>
      <c r="F9372" s="1907"/>
      <c r="G9372" s="1907"/>
      <c r="H9372" s="1907"/>
      <c r="K9372" s="841" t="s">
        <v>3224</v>
      </c>
      <c r="M9372" s="1357"/>
      <c r="Q9372" s="1357"/>
      <c r="S9372" s="1420"/>
      <c r="T9372" s="1420"/>
      <c r="V9372" s="1357">
        <v>46</v>
      </c>
    </row>
    <row r="9373" spans="1:22" s="841" customFormat="1" ht="15" x14ac:dyDescent="0.25">
      <c r="A9373" s="841" t="s">
        <v>168</v>
      </c>
      <c r="E9373" s="1690" t="s">
        <v>12</v>
      </c>
      <c r="F9373" s="1690"/>
      <c r="G9373" s="1408" t="s">
        <v>23</v>
      </c>
      <c r="H9373" s="391">
        <v>4.88</v>
      </c>
      <c r="K9373" s="841" t="s">
        <v>4226</v>
      </c>
      <c r="L9373" s="841" t="s">
        <v>442</v>
      </c>
      <c r="M9373" s="1357"/>
      <c r="P9373" s="841" t="s">
        <v>4227</v>
      </c>
      <c r="Q9373" s="1357"/>
      <c r="S9373" s="1420"/>
      <c r="T9373" s="1420"/>
      <c r="V9373" s="1357">
        <v>31</v>
      </c>
    </row>
    <row r="9374" spans="1:22" s="841" customFormat="1" ht="15" x14ac:dyDescent="0.25">
      <c r="A9374" s="841" t="s">
        <v>168</v>
      </c>
      <c r="E9374" s="1690" t="s">
        <v>84</v>
      </c>
      <c r="F9374" s="1690"/>
      <c r="G9374" s="1408" t="s">
        <v>33</v>
      </c>
      <c r="H9374" s="393">
        <v>5.9077000000000002</v>
      </c>
      <c r="K9374" s="841" t="s">
        <v>4226</v>
      </c>
      <c r="L9374" s="841" t="s">
        <v>442</v>
      </c>
      <c r="M9374" s="1357"/>
      <c r="P9374" s="841" t="s">
        <v>4228</v>
      </c>
      <c r="Q9374" s="1357"/>
      <c r="S9374" s="1420"/>
      <c r="T9374" s="1420"/>
      <c r="V9374" s="1357">
        <v>28</v>
      </c>
    </row>
    <row r="9375" spans="1:22" s="841" customFormat="1" ht="15" x14ac:dyDescent="0.25">
      <c r="A9375" s="841" t="s">
        <v>168</v>
      </c>
      <c r="E9375" s="1690" t="s">
        <v>221</v>
      </c>
      <c r="F9375" s="1690"/>
      <c r="G9375" s="1408" t="s">
        <v>33</v>
      </c>
      <c r="H9375" s="393">
        <v>1.7108000000000001</v>
      </c>
      <c r="K9375" s="841" t="s">
        <v>4226</v>
      </c>
      <c r="L9375" s="841" t="s">
        <v>444</v>
      </c>
      <c r="M9375" s="1357"/>
      <c r="P9375" s="841" t="s">
        <v>4232</v>
      </c>
      <c r="Q9375" s="1357"/>
      <c r="S9375" s="1420"/>
      <c r="T9375" s="1420"/>
      <c r="V9375" s="1357">
        <v>47</v>
      </c>
    </row>
    <row r="9376" spans="1:22" s="841" customFormat="1" ht="15" x14ac:dyDescent="0.25">
      <c r="A9376" s="841" t="s">
        <v>168</v>
      </c>
      <c r="E9376" s="1690" t="s">
        <v>217</v>
      </c>
      <c r="F9376" s="1690"/>
      <c r="G9376" s="1408" t="s">
        <v>33</v>
      </c>
      <c r="H9376" s="393">
        <v>1.4553</v>
      </c>
      <c r="K9376" s="841" t="s">
        <v>4226</v>
      </c>
      <c r="L9376" s="841" t="s">
        <v>444</v>
      </c>
      <c r="M9376" s="1357"/>
      <c r="P9376" s="841" t="s">
        <v>4233</v>
      </c>
      <c r="Q9376" s="1357"/>
      <c r="S9376" s="1420"/>
      <c r="T9376" s="1420"/>
      <c r="V9376" s="1357">
        <v>74</v>
      </c>
    </row>
    <row r="9377" spans="1:22" s="841" customFormat="1" ht="15" x14ac:dyDescent="0.25">
      <c r="A9377" s="841" t="s">
        <v>168</v>
      </c>
      <c r="E9377" s="1694" t="s">
        <v>3079</v>
      </c>
      <c r="F9377" s="1690"/>
      <c r="G9377" s="1408"/>
      <c r="H9377" s="1408"/>
      <c r="K9377" s="841" t="s">
        <v>3225</v>
      </c>
      <c r="M9377" s="1357"/>
      <c r="Q9377" s="1357"/>
      <c r="S9377" s="1420"/>
      <c r="T9377" s="1420"/>
      <c r="V9377" s="1357">
        <v>48</v>
      </c>
    </row>
    <row r="9378" spans="1:22" s="841" customFormat="1" ht="15" x14ac:dyDescent="0.25">
      <c r="A9378" s="841" t="s">
        <v>168</v>
      </c>
      <c r="E9378" s="1690" t="s">
        <v>2449</v>
      </c>
      <c r="F9378" s="1690"/>
      <c r="G9378" s="1408" t="s">
        <v>24</v>
      </c>
      <c r="H9378" s="393">
        <v>3.2000000000000002E-3</v>
      </c>
      <c r="K9378" s="841" t="s">
        <v>4226</v>
      </c>
      <c r="L9378" s="841" t="s">
        <v>3046</v>
      </c>
      <c r="M9378" s="1357"/>
      <c r="P9378" s="841" t="s">
        <v>4234</v>
      </c>
      <c r="Q9378" s="1357"/>
      <c r="S9378" s="1420"/>
      <c r="T9378" s="1420"/>
      <c r="V9378" s="1357">
        <v>55</v>
      </c>
    </row>
    <row r="9379" spans="1:22" s="841" customFormat="1" ht="15" x14ac:dyDescent="0.25">
      <c r="A9379" s="841" t="s">
        <v>168</v>
      </c>
      <c r="E9379" s="1690" t="s">
        <v>2450</v>
      </c>
      <c r="F9379" s="1690"/>
      <c r="G9379" s="1408" t="s">
        <v>24</v>
      </c>
      <c r="H9379" s="393">
        <v>4.0000000000000002E-4</v>
      </c>
      <c r="K9379" s="841" t="s">
        <v>4226</v>
      </c>
      <c r="L9379" s="841" t="s">
        <v>3046</v>
      </c>
      <c r="M9379" s="1357"/>
      <c r="P9379" s="841" t="s">
        <v>4234</v>
      </c>
      <c r="Q9379" s="1357"/>
      <c r="S9379" s="1420"/>
      <c r="T9379" s="1420"/>
      <c r="V9379" s="1357">
        <v>65</v>
      </c>
    </row>
    <row r="9380" spans="1:22" s="841" customFormat="1" ht="15" x14ac:dyDescent="0.25">
      <c r="A9380" s="841" t="s">
        <v>168</v>
      </c>
      <c r="E9380" s="1690" t="s">
        <v>439</v>
      </c>
      <c r="F9380" s="1690"/>
      <c r="G9380" s="1408" t="s">
        <v>24</v>
      </c>
      <c r="H9380" s="393">
        <v>2.9999999999999997E-4</v>
      </c>
      <c r="K9380" s="841" t="s">
        <v>4226</v>
      </c>
      <c r="L9380" s="841" t="s">
        <v>3046</v>
      </c>
      <c r="M9380" s="1357"/>
      <c r="P9380" s="841" t="s">
        <v>4235</v>
      </c>
      <c r="Q9380" s="1357"/>
      <c r="S9380" s="1420"/>
      <c r="T9380" s="1420"/>
      <c r="V9380" s="1357">
        <v>57</v>
      </c>
    </row>
    <row r="9381" spans="1:22" s="841" customFormat="1" ht="15" x14ac:dyDescent="0.25">
      <c r="A9381" s="841" t="s">
        <v>168</v>
      </c>
      <c r="E9381" s="1690" t="s">
        <v>32</v>
      </c>
      <c r="F9381" s="1690"/>
      <c r="G9381" s="1408" t="s">
        <v>23</v>
      </c>
      <c r="H9381" s="391">
        <v>0.25</v>
      </c>
      <c r="K9381" s="841" t="s">
        <v>4226</v>
      </c>
      <c r="L9381" s="841" t="s">
        <v>3046</v>
      </c>
      <c r="M9381" s="1357"/>
      <c r="P9381" s="841" t="s">
        <v>4236</v>
      </c>
      <c r="Q9381" s="1357"/>
      <c r="S9381" s="1420"/>
      <c r="T9381" s="1420"/>
      <c r="V9381" s="1357">
        <v>63</v>
      </c>
    </row>
    <row r="9382" spans="1:22" s="841" customFormat="1" ht="15" x14ac:dyDescent="0.25">
      <c r="A9382" s="841" t="s">
        <v>168</v>
      </c>
      <c r="E9382" s="1909" t="s">
        <v>615</v>
      </c>
      <c r="F9382" s="1697"/>
      <c r="G9382" s="1697"/>
      <c r="H9382" s="1697"/>
      <c r="K9382" s="841" t="s">
        <v>3417</v>
      </c>
      <c r="M9382" s="1357"/>
      <c r="Q9382" s="1357"/>
      <c r="S9382" s="1420"/>
      <c r="T9382" s="1420"/>
      <c r="V9382" s="1357">
        <v>38</v>
      </c>
    </row>
    <row r="9383" spans="1:22" s="841" customFormat="1" ht="15" x14ac:dyDescent="0.25">
      <c r="A9383" s="841" t="s">
        <v>168</v>
      </c>
      <c r="E9383" s="1689" t="s">
        <v>4314</v>
      </c>
      <c r="F9383" s="1697"/>
      <c r="G9383" s="1697"/>
      <c r="H9383" s="1697"/>
      <c r="K9383" s="841" t="s">
        <v>3417</v>
      </c>
      <c r="M9383" s="1357"/>
      <c r="Q9383" s="1357"/>
      <c r="S9383" s="1420"/>
      <c r="T9383" s="1420"/>
      <c r="V9383" s="1357">
        <v>546</v>
      </c>
    </row>
    <row r="9384" spans="1:22" s="841" customFormat="1" ht="15" x14ac:dyDescent="0.25">
      <c r="A9384" s="841" t="s">
        <v>168</v>
      </c>
      <c r="E9384" s="1916" t="s">
        <v>3061</v>
      </c>
      <c r="F9384" s="1697"/>
      <c r="G9384" s="1697"/>
      <c r="H9384" s="1697"/>
      <c r="K9384" s="841" t="s">
        <v>3107</v>
      </c>
      <c r="M9384" s="1357"/>
      <c r="Q9384" s="1357"/>
      <c r="S9384" s="1420"/>
      <c r="T9384" s="1420"/>
      <c r="V9384" s="1357">
        <v>11</v>
      </c>
    </row>
    <row r="9385" spans="1:22" s="841" customFormat="1" ht="15" x14ac:dyDescent="0.25">
      <c r="A9385" s="841" t="s">
        <v>168</v>
      </c>
      <c r="E9385" s="1689" t="s">
        <v>3063</v>
      </c>
      <c r="F9385" s="1697"/>
      <c r="G9385" s="1697"/>
      <c r="H9385" s="1697"/>
      <c r="K9385" s="841" t="s">
        <v>3417</v>
      </c>
      <c r="M9385" s="1357"/>
      <c r="Q9385" s="1357"/>
      <c r="S9385" s="1420"/>
      <c r="T9385" s="1420"/>
      <c r="V9385" s="1357">
        <v>280</v>
      </c>
    </row>
    <row r="9386" spans="1:22" s="841" customFormat="1" ht="15" x14ac:dyDescent="0.25">
      <c r="A9386" s="841" t="s">
        <v>168</v>
      </c>
      <c r="E9386" s="1689" t="s">
        <v>3064</v>
      </c>
      <c r="F9386" s="1697"/>
      <c r="G9386" s="1697"/>
      <c r="H9386" s="1697"/>
      <c r="K9386" s="841" t="s">
        <v>3417</v>
      </c>
      <c r="M9386" s="1357"/>
      <c r="Q9386" s="1357"/>
      <c r="S9386" s="1420"/>
      <c r="T9386" s="1420"/>
      <c r="V9386" s="1357">
        <v>411</v>
      </c>
    </row>
    <row r="9387" spans="1:22" s="841" customFormat="1" ht="15" x14ac:dyDescent="0.25">
      <c r="A9387" s="841" t="s">
        <v>168</v>
      </c>
      <c r="E9387" s="1689" t="s">
        <v>3199</v>
      </c>
      <c r="F9387" s="1697"/>
      <c r="G9387" s="1697"/>
      <c r="H9387" s="1697"/>
      <c r="K9387" s="841" t="s">
        <v>3417</v>
      </c>
      <c r="M9387" s="1357"/>
      <c r="Q9387" s="1357"/>
      <c r="S9387" s="1420"/>
      <c r="T9387" s="1420"/>
      <c r="V9387" s="1357">
        <v>386</v>
      </c>
    </row>
    <row r="9388" spans="1:22" s="841" customFormat="1" ht="15" x14ac:dyDescent="0.25">
      <c r="A9388" s="841" t="s">
        <v>168</v>
      </c>
      <c r="E9388" s="1689" t="s">
        <v>3200</v>
      </c>
      <c r="F9388" s="1697"/>
      <c r="G9388" s="1697"/>
      <c r="H9388" s="1697"/>
      <c r="K9388" s="841" t="s">
        <v>3417</v>
      </c>
      <c r="M9388" s="1357"/>
      <c r="Q9388" s="1357"/>
      <c r="S9388" s="1420"/>
      <c r="T9388" s="1420"/>
      <c r="V9388" s="1357">
        <v>275</v>
      </c>
    </row>
    <row r="9389" spans="1:22" s="841" customFormat="1" ht="15" x14ac:dyDescent="0.25">
      <c r="A9389" s="841" t="s">
        <v>168</v>
      </c>
      <c r="E9389" s="1694" t="s">
        <v>3067</v>
      </c>
      <c r="F9389" s="1907"/>
      <c r="G9389" s="1907"/>
      <c r="H9389" s="1907"/>
      <c r="K9389" s="841" t="s">
        <v>3108</v>
      </c>
      <c r="M9389" s="1357"/>
      <c r="Q9389" s="1357"/>
      <c r="S9389" s="1420"/>
      <c r="T9389" s="1420"/>
      <c r="V9389" s="1357">
        <v>46</v>
      </c>
    </row>
    <row r="9390" spans="1:22" s="841" customFormat="1" ht="15" x14ac:dyDescent="0.25">
      <c r="A9390" s="841" t="s">
        <v>168</v>
      </c>
      <c r="E9390" s="1690" t="s">
        <v>12</v>
      </c>
      <c r="F9390" s="1690"/>
      <c r="G9390" s="1408" t="s">
        <v>23</v>
      </c>
      <c r="H9390" s="391">
        <v>3.73</v>
      </c>
      <c r="K9390" s="841" t="s">
        <v>3417</v>
      </c>
      <c r="L9390" s="841" t="s">
        <v>442</v>
      </c>
      <c r="M9390" s="1357"/>
      <c r="P9390" s="841" t="s">
        <v>3419</v>
      </c>
      <c r="Q9390" s="1357"/>
      <c r="S9390" s="1420"/>
      <c r="T9390" s="1420"/>
      <c r="V9390" s="1357">
        <v>31</v>
      </c>
    </row>
    <row r="9391" spans="1:22" s="841" customFormat="1" ht="15" x14ac:dyDescent="0.25">
      <c r="A9391" s="841" t="s">
        <v>168</v>
      </c>
      <c r="E9391" s="1690" t="s">
        <v>84</v>
      </c>
      <c r="F9391" s="1690"/>
      <c r="G9391" s="1408" t="s">
        <v>33</v>
      </c>
      <c r="H9391" s="393">
        <v>3.6400000000000002E-2</v>
      </c>
      <c r="K9391" s="841" t="s">
        <v>3417</v>
      </c>
      <c r="L9391" s="841" t="s">
        <v>442</v>
      </c>
      <c r="M9391" s="1357"/>
      <c r="P9391" s="841" t="s">
        <v>3420</v>
      </c>
      <c r="Q9391" s="1357"/>
      <c r="S9391" s="1420"/>
      <c r="T9391" s="1420"/>
      <c r="V9391" s="1357">
        <v>28</v>
      </c>
    </row>
    <row r="9392" spans="1:22" s="841" customFormat="1" ht="15" x14ac:dyDescent="0.25">
      <c r="A9392" s="841" t="s">
        <v>168</v>
      </c>
      <c r="E9392" s="1690" t="s">
        <v>221</v>
      </c>
      <c r="F9392" s="1690"/>
      <c r="G9392" s="1408" t="s">
        <v>33</v>
      </c>
      <c r="H9392" s="393">
        <v>2.0989</v>
      </c>
      <c r="K9392" s="841" t="s">
        <v>3417</v>
      </c>
      <c r="L9392" s="841" t="s">
        <v>444</v>
      </c>
      <c r="M9392" s="1357"/>
      <c r="P9392" s="841" t="s">
        <v>3424</v>
      </c>
      <c r="Q9392" s="1357"/>
      <c r="S9392" s="1420"/>
      <c r="T9392" s="1420"/>
      <c r="V9392" s="1357">
        <v>47</v>
      </c>
    </row>
    <row r="9393" spans="1:22" s="841" customFormat="1" ht="15" x14ac:dyDescent="0.25">
      <c r="A9393" s="841" t="s">
        <v>168</v>
      </c>
      <c r="E9393" s="1690" t="s">
        <v>217</v>
      </c>
      <c r="F9393" s="1690"/>
      <c r="G9393" s="1408" t="s">
        <v>33</v>
      </c>
      <c r="H9393" s="393">
        <v>1.7864</v>
      </c>
      <c r="K9393" s="841" t="s">
        <v>3417</v>
      </c>
      <c r="L9393" s="841" t="s">
        <v>444</v>
      </c>
      <c r="M9393" s="1357"/>
      <c r="P9393" s="841" t="s">
        <v>3553</v>
      </c>
      <c r="Q9393" s="1357"/>
      <c r="S9393" s="1420"/>
      <c r="T9393" s="1420"/>
      <c r="V9393" s="1357">
        <v>74</v>
      </c>
    </row>
    <row r="9394" spans="1:22" s="841" customFormat="1" ht="15" x14ac:dyDescent="0.25">
      <c r="A9394" s="841" t="s">
        <v>168</v>
      </c>
      <c r="E9394" s="1694" t="s">
        <v>3079</v>
      </c>
      <c r="F9394" s="1690"/>
      <c r="G9394" s="1408"/>
      <c r="H9394" s="1408"/>
      <c r="K9394" s="841" t="s">
        <v>3111</v>
      </c>
      <c r="M9394" s="1357"/>
      <c r="Q9394" s="1357"/>
      <c r="S9394" s="1420"/>
      <c r="T9394" s="1420"/>
      <c r="V9394" s="1357">
        <v>48</v>
      </c>
    </row>
    <row r="9395" spans="1:22" s="841" customFormat="1" ht="15" x14ac:dyDescent="0.25">
      <c r="A9395" s="841" t="s">
        <v>168</v>
      </c>
      <c r="E9395" s="1690" t="s">
        <v>2449</v>
      </c>
      <c r="F9395" s="1690"/>
      <c r="G9395" s="1408" t="s">
        <v>24</v>
      </c>
      <c r="H9395" s="393">
        <v>3.2000000000000002E-3</v>
      </c>
      <c r="K9395" s="841" t="s">
        <v>3417</v>
      </c>
      <c r="L9395" s="841" t="s">
        <v>3046</v>
      </c>
      <c r="M9395" s="1357"/>
      <c r="P9395" s="841" t="s">
        <v>3426</v>
      </c>
      <c r="Q9395" s="1357"/>
      <c r="S9395" s="1420"/>
      <c r="T9395" s="1420"/>
      <c r="V9395" s="1357">
        <v>55</v>
      </c>
    </row>
    <row r="9396" spans="1:22" s="841" customFormat="1" ht="15" x14ac:dyDescent="0.25">
      <c r="A9396" s="841" t="s">
        <v>168</v>
      </c>
      <c r="E9396" s="1690" t="s">
        <v>2450</v>
      </c>
      <c r="F9396" s="1690"/>
      <c r="G9396" s="1408" t="s">
        <v>24</v>
      </c>
      <c r="H9396" s="393">
        <v>4.0000000000000002E-4</v>
      </c>
      <c r="K9396" s="841" t="s">
        <v>3417</v>
      </c>
      <c r="L9396" s="841" t="s">
        <v>3046</v>
      </c>
      <c r="M9396" s="1357"/>
      <c r="P9396" s="841" t="s">
        <v>3426</v>
      </c>
      <c r="Q9396" s="1357"/>
      <c r="S9396" s="1420"/>
      <c r="T9396" s="1420"/>
      <c r="V9396" s="1357">
        <v>65</v>
      </c>
    </row>
    <row r="9397" spans="1:22" s="841" customFormat="1" ht="15" x14ac:dyDescent="0.25">
      <c r="A9397" s="841" t="s">
        <v>168</v>
      </c>
      <c r="E9397" s="1690" t="s">
        <v>439</v>
      </c>
      <c r="F9397" s="1690"/>
      <c r="G9397" s="1408" t="s">
        <v>24</v>
      </c>
      <c r="H9397" s="393">
        <v>2.9999999999999997E-4</v>
      </c>
      <c r="K9397" s="841" t="s">
        <v>3417</v>
      </c>
      <c r="L9397" s="841" t="s">
        <v>3046</v>
      </c>
      <c r="M9397" s="1357"/>
      <c r="P9397" s="841" t="s">
        <v>3427</v>
      </c>
      <c r="Q9397" s="1357"/>
      <c r="S9397" s="1420"/>
      <c r="T9397" s="1420"/>
      <c r="V9397" s="1357">
        <v>57</v>
      </c>
    </row>
    <row r="9398" spans="1:22" s="841" customFormat="1" ht="15" x14ac:dyDescent="0.25">
      <c r="A9398" s="841" t="s">
        <v>168</v>
      </c>
      <c r="E9398" s="1690" t="s">
        <v>32</v>
      </c>
      <c r="F9398" s="1690"/>
      <c r="G9398" s="1408" t="s">
        <v>23</v>
      </c>
      <c r="H9398" s="391">
        <v>0.25</v>
      </c>
      <c r="K9398" s="841" t="s">
        <v>3417</v>
      </c>
      <c r="L9398" s="841" t="s">
        <v>3046</v>
      </c>
      <c r="M9398" s="1357"/>
      <c r="P9398" s="841" t="s">
        <v>3428</v>
      </c>
      <c r="Q9398" s="1357"/>
      <c r="S9398" s="1420"/>
      <c r="T9398" s="1420"/>
      <c r="V9398" s="1357">
        <v>63</v>
      </c>
    </row>
    <row r="9399" spans="1:22" s="841" customFormat="1" ht="15" x14ac:dyDescent="0.25">
      <c r="A9399" s="841" t="s">
        <v>168</v>
      </c>
      <c r="E9399" s="1909" t="s">
        <v>618</v>
      </c>
      <c r="F9399" s="1697"/>
      <c r="G9399" s="1697"/>
      <c r="H9399" s="1697"/>
      <c r="K9399" s="841" t="s">
        <v>3371</v>
      </c>
      <c r="M9399" s="1357"/>
      <c r="Q9399" s="1357"/>
      <c r="S9399" s="1420"/>
      <c r="T9399" s="1420"/>
      <c r="V9399" s="1357">
        <v>31</v>
      </c>
    </row>
    <row r="9400" spans="1:22" s="841" customFormat="1" ht="15" x14ac:dyDescent="0.25">
      <c r="A9400" s="841" t="s">
        <v>168</v>
      </c>
      <c r="E9400" s="1689" t="s">
        <v>3372</v>
      </c>
      <c r="F9400" s="1697"/>
      <c r="G9400" s="1697"/>
      <c r="H9400" s="1697"/>
      <c r="K9400" s="841" t="s">
        <v>3371</v>
      </c>
      <c r="M9400" s="1357"/>
      <c r="Q9400" s="1357"/>
      <c r="S9400" s="1420"/>
      <c r="T9400" s="1420"/>
      <c r="V9400" s="1357">
        <v>285</v>
      </c>
    </row>
    <row r="9401" spans="1:22" s="841" customFormat="1" ht="15" x14ac:dyDescent="0.25">
      <c r="A9401" s="841" t="s">
        <v>168</v>
      </c>
      <c r="E9401" s="1916" t="s">
        <v>3061</v>
      </c>
      <c r="F9401" s="1697"/>
      <c r="G9401" s="1697"/>
      <c r="H9401" s="1697"/>
      <c r="K9401" s="841" t="s">
        <v>3114</v>
      </c>
      <c r="M9401" s="1357"/>
      <c r="Q9401" s="1357"/>
      <c r="S9401" s="1420"/>
      <c r="T9401" s="1420"/>
      <c r="V9401" s="1357">
        <v>11</v>
      </c>
    </row>
    <row r="9402" spans="1:22" s="841" customFormat="1" ht="15" x14ac:dyDescent="0.25">
      <c r="A9402" s="841" t="s">
        <v>168</v>
      </c>
      <c r="E9402" s="1689" t="s">
        <v>3063</v>
      </c>
      <c r="F9402" s="1697"/>
      <c r="G9402" s="1697"/>
      <c r="H9402" s="1697"/>
      <c r="K9402" s="841" t="s">
        <v>3371</v>
      </c>
      <c r="M9402" s="1357"/>
      <c r="Q9402" s="1357"/>
      <c r="S9402" s="1420"/>
      <c r="T9402" s="1420"/>
      <c r="V9402" s="1357">
        <v>280</v>
      </c>
    </row>
    <row r="9403" spans="1:22" s="841" customFormat="1" ht="15" x14ac:dyDescent="0.25">
      <c r="A9403" s="841" t="s">
        <v>168</v>
      </c>
      <c r="E9403" s="1689" t="s">
        <v>3064</v>
      </c>
      <c r="F9403" s="1697"/>
      <c r="G9403" s="1697"/>
      <c r="H9403" s="1697"/>
      <c r="K9403" s="841" t="s">
        <v>3371</v>
      </c>
      <c r="M9403" s="1357"/>
      <c r="Q9403" s="1357"/>
      <c r="S9403" s="1420"/>
      <c r="T9403" s="1420"/>
      <c r="V9403" s="1357">
        <v>411</v>
      </c>
    </row>
    <row r="9404" spans="1:22" s="841" customFormat="1" ht="15" x14ac:dyDescent="0.25">
      <c r="A9404" s="841" t="s">
        <v>168</v>
      </c>
      <c r="E9404" s="1689" t="s">
        <v>3129</v>
      </c>
      <c r="F9404" s="1697"/>
      <c r="G9404" s="1697"/>
      <c r="H9404" s="1697"/>
      <c r="K9404" s="841" t="s">
        <v>3371</v>
      </c>
      <c r="M9404" s="1357"/>
      <c r="Q9404" s="1357"/>
      <c r="S9404" s="1420"/>
      <c r="T9404" s="1420"/>
      <c r="V9404" s="1357">
        <v>211</v>
      </c>
    </row>
    <row r="9405" spans="1:22" s="841" customFormat="1" ht="15" x14ac:dyDescent="0.25">
      <c r="A9405" s="841" t="s">
        <v>168</v>
      </c>
      <c r="E9405" s="1689" t="s">
        <v>3200</v>
      </c>
      <c r="F9405" s="1697"/>
      <c r="G9405" s="1697"/>
      <c r="H9405" s="1697"/>
      <c r="K9405" s="841" t="s">
        <v>3371</v>
      </c>
      <c r="M9405" s="1357"/>
      <c r="Q9405" s="1357"/>
      <c r="S9405" s="1420"/>
      <c r="T9405" s="1420"/>
      <c r="V9405" s="1357">
        <v>275</v>
      </c>
    </row>
    <row r="9406" spans="1:22" s="841" customFormat="1" ht="15" x14ac:dyDescent="0.25">
      <c r="A9406" s="841" t="s">
        <v>168</v>
      </c>
      <c r="E9406" s="1694" t="s">
        <v>3067</v>
      </c>
      <c r="F9406" s="1907"/>
      <c r="G9406" s="1907"/>
      <c r="H9406" s="1907"/>
      <c r="K9406" s="841" t="s">
        <v>3115</v>
      </c>
      <c r="M9406" s="1357"/>
      <c r="Q9406" s="1357"/>
      <c r="S9406" s="1420"/>
      <c r="T9406" s="1420"/>
      <c r="V9406" s="1357">
        <v>46</v>
      </c>
    </row>
    <row r="9407" spans="1:22" s="841" customFormat="1" ht="15" x14ac:dyDescent="0.25">
      <c r="A9407" s="841" t="s">
        <v>168</v>
      </c>
      <c r="E9407" s="1690" t="s">
        <v>11</v>
      </c>
      <c r="F9407" s="1690"/>
      <c r="G9407" s="1408" t="s">
        <v>23</v>
      </c>
      <c r="H9407" s="391">
        <v>10</v>
      </c>
      <c r="K9407" s="841" t="s">
        <v>3371</v>
      </c>
      <c r="L9407" s="841" t="s">
        <v>442</v>
      </c>
      <c r="M9407" s="1357"/>
      <c r="P9407" s="841" t="s">
        <v>3373</v>
      </c>
      <c r="Q9407" s="1357"/>
      <c r="S9407" s="1420"/>
      <c r="T9407" s="1420"/>
      <c r="V9407" s="1357">
        <v>14</v>
      </c>
    </row>
    <row r="9408" spans="1:22" s="841" customFormat="1" ht="18.75" x14ac:dyDescent="0.3">
      <c r="A9408" s="841" t="s">
        <v>168</v>
      </c>
      <c r="E9408" s="1404" t="s">
        <v>85</v>
      </c>
      <c r="F9408" s="657"/>
      <c r="G9408" s="657"/>
      <c r="H9408" s="658"/>
      <c r="K9408" s="841" t="s">
        <v>4315</v>
      </c>
      <c r="M9408" s="1357"/>
      <c r="Q9408" s="1357"/>
      <c r="S9408" s="1420"/>
      <c r="T9408" s="1420"/>
      <c r="V9408" s="1357">
        <v>10</v>
      </c>
    </row>
    <row r="9409" spans="1:22" s="841" customFormat="1" ht="15" x14ac:dyDescent="0.25">
      <c r="A9409" s="841" t="s">
        <v>168</v>
      </c>
      <c r="E9409" s="1690" t="s">
        <v>4316</v>
      </c>
      <c r="F9409" s="1690"/>
      <c r="G9409" s="1408" t="s">
        <v>33</v>
      </c>
      <c r="H9409" s="604">
        <v>-0.6</v>
      </c>
      <c r="M9409" s="1357"/>
      <c r="Q9409" s="1357"/>
      <c r="S9409" s="1420"/>
      <c r="T9409" s="1420"/>
      <c r="V9409" s="1357">
        <v>70</v>
      </c>
    </row>
    <row r="9410" spans="1:22" s="841" customFormat="1" ht="15" x14ac:dyDescent="0.25">
      <c r="A9410" s="841" t="s">
        <v>168</v>
      </c>
      <c r="E9410" s="1690" t="s">
        <v>3134</v>
      </c>
      <c r="F9410" s="1690"/>
      <c r="G9410" s="1408" t="s">
        <v>86</v>
      </c>
      <c r="H9410" s="602">
        <v>-1</v>
      </c>
      <c r="M9410" s="1357"/>
      <c r="Q9410" s="1357"/>
      <c r="S9410" s="1420"/>
      <c r="T9410" s="1420"/>
      <c r="V9410" s="1357">
        <v>87</v>
      </c>
    </row>
    <row r="9411" spans="1:22" s="841" customFormat="1" ht="36.75" x14ac:dyDescent="0.3">
      <c r="A9411" s="841" t="s">
        <v>168</v>
      </c>
      <c r="E9411" s="1374" t="s">
        <v>87</v>
      </c>
      <c r="F9411" s="657"/>
      <c r="G9411" s="657"/>
      <c r="H9411" s="658"/>
      <c r="K9411" s="841" t="s">
        <v>4317</v>
      </c>
      <c r="M9411" s="1357"/>
      <c r="Q9411" s="1357"/>
      <c r="S9411" s="1420"/>
      <c r="T9411" s="1420"/>
      <c r="V9411" s="1357">
        <v>24</v>
      </c>
    </row>
    <row r="9412" spans="1:22" s="841" customFormat="1" ht="15" x14ac:dyDescent="0.25">
      <c r="A9412" s="841" t="s">
        <v>168</v>
      </c>
      <c r="E9412" s="1926" t="s">
        <v>3061</v>
      </c>
      <c r="F9412" s="1689"/>
      <c r="G9412" s="1689"/>
      <c r="H9412" s="1689"/>
      <c r="M9412" s="1357"/>
      <c r="Q9412" s="1357"/>
      <c r="S9412" s="1420"/>
      <c r="T9412" s="1420"/>
      <c r="V9412" s="1357">
        <v>11</v>
      </c>
    </row>
    <row r="9413" spans="1:22" s="841" customFormat="1" ht="15" x14ac:dyDescent="0.25">
      <c r="A9413" s="841" t="s">
        <v>168</v>
      </c>
      <c r="E9413" s="1689" t="s">
        <v>3063</v>
      </c>
      <c r="F9413" s="1689"/>
      <c r="G9413" s="1689"/>
      <c r="H9413" s="1689"/>
      <c r="M9413" s="1357"/>
      <c r="Q9413" s="1357"/>
      <c r="S9413" s="1420"/>
      <c r="T9413" s="1420"/>
      <c r="V9413" s="1357">
        <v>280</v>
      </c>
    </row>
    <row r="9414" spans="1:22" s="841" customFormat="1" ht="15" x14ac:dyDescent="0.25">
      <c r="A9414" s="841" t="s">
        <v>168</v>
      </c>
      <c r="E9414" s="1689" t="s">
        <v>3136</v>
      </c>
      <c r="F9414" s="1689"/>
      <c r="G9414" s="1689"/>
      <c r="H9414" s="1689"/>
      <c r="M9414" s="1357"/>
      <c r="Q9414" s="1357"/>
      <c r="S9414" s="1420"/>
      <c r="T9414" s="1420"/>
      <c r="V9414" s="1357">
        <v>353</v>
      </c>
    </row>
    <row r="9415" spans="1:22" s="841" customFormat="1" ht="15" x14ac:dyDescent="0.25">
      <c r="A9415" s="841" t="s">
        <v>168</v>
      </c>
      <c r="E9415" s="1689" t="s">
        <v>3200</v>
      </c>
      <c r="F9415" s="1697"/>
      <c r="G9415" s="1697"/>
      <c r="H9415" s="1697"/>
      <c r="M9415" s="1357"/>
      <c r="Q9415" s="1357"/>
      <c r="S9415" s="1420"/>
      <c r="T9415" s="1420"/>
      <c r="V9415" s="1357">
        <v>275</v>
      </c>
    </row>
    <row r="9416" spans="1:22" s="841" customFormat="1" ht="15" x14ac:dyDescent="0.25">
      <c r="A9416" s="841" t="s">
        <v>168</v>
      </c>
      <c r="E9416" s="1370" t="s">
        <v>3137</v>
      </c>
      <c r="F9416" s="3"/>
      <c r="G9416" s="3"/>
      <c r="H9416" s="398"/>
      <c r="K9416" s="841" t="s">
        <v>4318</v>
      </c>
      <c r="M9416" s="1357"/>
      <c r="Q9416" s="1357"/>
      <c r="S9416" s="1420"/>
      <c r="T9416" s="1420"/>
      <c r="V9416" s="1357">
        <v>23</v>
      </c>
    </row>
    <row r="9417" spans="1:22" s="841" customFormat="1" ht="15" x14ac:dyDescent="0.25">
      <c r="A9417" s="841" t="s">
        <v>168</v>
      </c>
      <c r="E9417" s="1905" t="s">
        <v>3355</v>
      </c>
      <c r="F9417" s="1905"/>
      <c r="G9417" s="1408" t="s">
        <v>23</v>
      </c>
      <c r="H9417" s="391">
        <v>15</v>
      </c>
      <c r="M9417" s="1357"/>
      <c r="Q9417" s="1357"/>
      <c r="S9417" s="1420"/>
      <c r="T9417" s="1420"/>
      <c r="V9417" s="1357">
        <v>19</v>
      </c>
    </row>
    <row r="9418" spans="1:22" s="841" customFormat="1" ht="15" x14ac:dyDescent="0.25">
      <c r="A9418" s="841" t="s">
        <v>168</v>
      </c>
      <c r="E9418" s="1905" t="s">
        <v>3140</v>
      </c>
      <c r="F9418" s="1905"/>
      <c r="G9418" s="1408" t="s">
        <v>23</v>
      </c>
      <c r="H9418" s="391">
        <v>15</v>
      </c>
      <c r="M9418" s="1357"/>
      <c r="Q9418" s="1357"/>
      <c r="S9418" s="1420"/>
      <c r="T9418" s="1420"/>
      <c r="V9418" s="1357">
        <v>20</v>
      </c>
    </row>
    <row r="9419" spans="1:22" s="841" customFormat="1" ht="15" x14ac:dyDescent="0.25">
      <c r="A9419" s="841" t="s">
        <v>168</v>
      </c>
      <c r="E9419" s="1905" t="s">
        <v>3141</v>
      </c>
      <c r="F9419" s="1905"/>
      <c r="G9419" s="1408" t="s">
        <v>23</v>
      </c>
      <c r="H9419" s="391">
        <v>15</v>
      </c>
      <c r="M9419" s="1357"/>
      <c r="Q9419" s="1357"/>
      <c r="S9419" s="1420"/>
      <c r="T9419" s="1420"/>
      <c r="V9419" s="1357">
        <v>26</v>
      </c>
    </row>
    <row r="9420" spans="1:22" s="841" customFormat="1" ht="15" x14ac:dyDescent="0.25">
      <c r="A9420" s="841" t="s">
        <v>168</v>
      </c>
      <c r="E9420" s="1905" t="s">
        <v>3142</v>
      </c>
      <c r="F9420" s="1905"/>
      <c r="G9420" s="1408" t="s">
        <v>23</v>
      </c>
      <c r="H9420" s="391">
        <v>15</v>
      </c>
      <c r="M9420" s="1357"/>
      <c r="Q9420" s="1357"/>
      <c r="S9420" s="1420"/>
      <c r="T9420" s="1420"/>
      <c r="V9420" s="1357">
        <v>39</v>
      </c>
    </row>
    <row r="9421" spans="1:22" s="841" customFormat="1" ht="15" x14ac:dyDescent="0.25">
      <c r="A9421" s="841" t="s">
        <v>168</v>
      </c>
      <c r="E9421" s="1905" t="s">
        <v>3143</v>
      </c>
      <c r="F9421" s="1905"/>
      <c r="G9421" s="1408" t="s">
        <v>23</v>
      </c>
      <c r="H9421" s="391">
        <v>15</v>
      </c>
      <c r="M9421" s="1357"/>
      <c r="Q9421" s="1357"/>
      <c r="S9421" s="1420"/>
      <c r="T9421" s="1420"/>
      <c r="V9421" s="1357">
        <v>37</v>
      </c>
    </row>
    <row r="9422" spans="1:22" s="841" customFormat="1" ht="15" x14ac:dyDescent="0.25">
      <c r="A9422" s="841" t="s">
        <v>168</v>
      </c>
      <c r="E9422" s="1905" t="s">
        <v>3144</v>
      </c>
      <c r="F9422" s="1905"/>
      <c r="G9422" s="1408" t="s">
        <v>23</v>
      </c>
      <c r="H9422" s="391">
        <v>15</v>
      </c>
      <c r="M9422" s="1357"/>
      <c r="Q9422" s="1357"/>
      <c r="S9422" s="1420"/>
      <c r="T9422" s="1420"/>
      <c r="V9422" s="1357">
        <v>15</v>
      </c>
    </row>
    <row r="9423" spans="1:22" s="841" customFormat="1" ht="15" x14ac:dyDescent="0.25">
      <c r="A9423" s="841" t="s">
        <v>168</v>
      </c>
      <c r="E9423" s="1905" t="s">
        <v>3145</v>
      </c>
      <c r="F9423" s="1905"/>
      <c r="G9423" s="1408" t="s">
        <v>23</v>
      </c>
      <c r="H9423" s="391">
        <v>15</v>
      </c>
      <c r="M9423" s="1357"/>
      <c r="Q9423" s="1357"/>
      <c r="S9423" s="1420"/>
      <c r="T9423" s="1420"/>
      <c r="V9423" s="1357">
        <v>17</v>
      </c>
    </row>
    <row r="9424" spans="1:22" s="841" customFormat="1" ht="15" x14ac:dyDescent="0.25">
      <c r="A9424" s="841" t="s">
        <v>168</v>
      </c>
      <c r="E9424" s="1905" t="s">
        <v>3146</v>
      </c>
      <c r="F9424" s="1905"/>
      <c r="G9424" s="1408" t="s">
        <v>23</v>
      </c>
      <c r="H9424" s="391">
        <v>15</v>
      </c>
      <c r="M9424" s="1357"/>
      <c r="Q9424" s="1357"/>
      <c r="S9424" s="1420"/>
      <c r="T9424" s="1420"/>
      <c r="V9424" s="1357">
        <v>19</v>
      </c>
    </row>
    <row r="9425" spans="1:22" s="841" customFormat="1" ht="15" x14ac:dyDescent="0.25">
      <c r="A9425" s="841" t="s">
        <v>168</v>
      </c>
      <c r="E9425" s="1905" t="s">
        <v>3147</v>
      </c>
      <c r="F9425" s="1905"/>
      <c r="G9425" s="1408" t="s">
        <v>23</v>
      </c>
      <c r="H9425" s="391">
        <v>15</v>
      </c>
      <c r="M9425" s="1357"/>
      <c r="Q9425" s="1357"/>
      <c r="S9425" s="1420"/>
      <c r="T9425" s="1420"/>
      <c r="V9425" s="1357">
        <v>15</v>
      </c>
    </row>
    <row r="9426" spans="1:22" s="841" customFormat="1" ht="15" x14ac:dyDescent="0.25">
      <c r="A9426" s="841" t="s">
        <v>168</v>
      </c>
      <c r="E9426" s="1905" t="s">
        <v>3148</v>
      </c>
      <c r="F9426" s="1905"/>
      <c r="G9426" s="1408" t="s">
        <v>23</v>
      </c>
      <c r="H9426" s="391">
        <v>15</v>
      </c>
      <c r="M9426" s="1357"/>
      <c r="Q9426" s="1357"/>
      <c r="S9426" s="1420"/>
      <c r="T9426" s="1420"/>
      <c r="V9426" s="1357">
        <v>56</v>
      </c>
    </row>
    <row r="9427" spans="1:22" s="841" customFormat="1" ht="15" x14ac:dyDescent="0.25">
      <c r="A9427" s="841" t="s">
        <v>168</v>
      </c>
      <c r="E9427" s="1905" t="s">
        <v>123</v>
      </c>
      <c r="F9427" s="1905"/>
      <c r="G9427" s="1408" t="s">
        <v>23</v>
      </c>
      <c r="H9427" s="391">
        <v>15</v>
      </c>
      <c r="M9427" s="1357"/>
      <c r="Q9427" s="1357"/>
      <c r="S9427" s="1420"/>
      <c r="T9427" s="1420"/>
      <c r="V9427" s="1357">
        <v>35</v>
      </c>
    </row>
    <row r="9428" spans="1:22" s="841" customFormat="1" ht="15" x14ac:dyDescent="0.25">
      <c r="A9428" s="841" t="s">
        <v>168</v>
      </c>
      <c r="E9428" s="1905" t="s">
        <v>3150</v>
      </c>
      <c r="F9428" s="1905"/>
      <c r="G9428" s="1408" t="s">
        <v>23</v>
      </c>
      <c r="H9428" s="391">
        <v>15</v>
      </c>
      <c r="M9428" s="1357"/>
      <c r="Q9428" s="1357"/>
      <c r="S9428" s="1420"/>
      <c r="T9428" s="1420"/>
      <c r="V9428" s="1357">
        <v>24</v>
      </c>
    </row>
    <row r="9429" spans="1:22" s="841" customFormat="1" ht="15" x14ac:dyDescent="0.25">
      <c r="A9429" s="841" t="s">
        <v>168</v>
      </c>
      <c r="E9429" s="1905" t="s">
        <v>3151</v>
      </c>
      <c r="F9429" s="1905"/>
      <c r="G9429" s="1408" t="s">
        <v>23</v>
      </c>
      <c r="H9429" s="391">
        <v>15</v>
      </c>
      <c r="M9429" s="1357"/>
      <c r="Q9429" s="1357"/>
      <c r="S9429" s="1420"/>
      <c r="T9429" s="1420"/>
      <c r="V9429" s="1357">
        <v>19</v>
      </c>
    </row>
    <row r="9430" spans="1:22" s="841" customFormat="1" ht="15" x14ac:dyDescent="0.25">
      <c r="A9430" s="841" t="s">
        <v>168</v>
      </c>
      <c r="E9430" s="1905" t="s">
        <v>88</v>
      </c>
      <c r="F9430" s="1905"/>
      <c r="G9430" s="1408" t="s">
        <v>23</v>
      </c>
      <c r="H9430" s="391">
        <v>30</v>
      </c>
      <c r="M9430" s="1357"/>
      <c r="Q9430" s="1357"/>
      <c r="S9430" s="1420"/>
      <c r="T9430" s="1420"/>
      <c r="V9430" s="1357">
        <v>89</v>
      </c>
    </row>
    <row r="9431" spans="1:22" s="841" customFormat="1" ht="15" x14ac:dyDescent="0.25">
      <c r="A9431" s="841" t="s">
        <v>168</v>
      </c>
      <c r="E9431" s="1905" t="s">
        <v>94</v>
      </c>
      <c r="F9431" s="1905"/>
      <c r="G9431" s="1408" t="s">
        <v>23</v>
      </c>
      <c r="H9431" s="391">
        <v>30</v>
      </c>
      <c r="M9431" s="1357"/>
      <c r="Q9431" s="1357"/>
      <c r="S9431" s="1420"/>
      <c r="T9431" s="1420"/>
      <c r="V9431" s="1357">
        <v>19</v>
      </c>
    </row>
    <row r="9432" spans="1:22" s="841" customFormat="1" ht="15" x14ac:dyDescent="0.25">
      <c r="A9432" s="841" t="s">
        <v>168</v>
      </c>
      <c r="E9432" s="1905" t="s">
        <v>92</v>
      </c>
      <c r="F9432" s="1905"/>
      <c r="G9432" s="1408" t="s">
        <v>23</v>
      </c>
      <c r="H9432" s="391">
        <v>30</v>
      </c>
      <c r="M9432" s="1357"/>
      <c r="Q9432" s="1357"/>
      <c r="S9432" s="1420"/>
      <c r="T9432" s="1420"/>
      <c r="V9432" s="1357">
        <v>74</v>
      </c>
    </row>
    <row r="9433" spans="1:22" s="841" customFormat="1" ht="15" x14ac:dyDescent="0.25">
      <c r="A9433" s="841" t="s">
        <v>168</v>
      </c>
      <c r="E9433" s="1370" t="s">
        <v>3152</v>
      </c>
      <c r="F9433" s="3"/>
      <c r="G9433" s="3"/>
      <c r="H9433" s="505"/>
      <c r="K9433" s="841" t="s">
        <v>4319</v>
      </c>
      <c r="M9433" s="1357"/>
      <c r="Q9433" s="1357"/>
      <c r="S9433" s="1420"/>
      <c r="T9433" s="1420"/>
      <c r="V9433" s="1357">
        <v>22</v>
      </c>
    </row>
    <row r="9434" spans="1:22" s="841" customFormat="1" ht="15" x14ac:dyDescent="0.25">
      <c r="A9434" s="841" t="s">
        <v>168</v>
      </c>
      <c r="E9434" s="1905" t="s">
        <v>5137</v>
      </c>
      <c r="F9434" s="1905"/>
      <c r="G9434" s="1408" t="s">
        <v>86</v>
      </c>
      <c r="H9434" s="391">
        <v>1.5</v>
      </c>
      <c r="M9434" s="1357"/>
      <c r="Q9434" s="1357"/>
      <c r="S9434" s="1420"/>
      <c r="T9434" s="1420"/>
      <c r="V9434" s="1357">
        <v>24</v>
      </c>
    </row>
    <row r="9435" spans="1:22" s="841" customFormat="1" ht="15" x14ac:dyDescent="0.25">
      <c r="A9435" s="841" t="s">
        <v>168</v>
      </c>
      <c r="E9435" s="1905" t="s">
        <v>4772</v>
      </c>
      <c r="F9435" s="1905"/>
      <c r="G9435" s="1408" t="s">
        <v>86</v>
      </c>
      <c r="H9435" s="391">
        <v>19.559999999999999</v>
      </c>
      <c r="M9435" s="1357"/>
      <c r="Q9435" s="1357"/>
      <c r="S9435" s="1420"/>
      <c r="T9435" s="1420"/>
      <c r="V9435" s="1357">
        <v>24</v>
      </c>
    </row>
    <row r="9436" spans="1:22" s="841" customFormat="1" ht="15" x14ac:dyDescent="0.25">
      <c r="A9436" s="841" t="s">
        <v>168</v>
      </c>
      <c r="E9436" s="1905" t="s">
        <v>3288</v>
      </c>
      <c r="F9436" s="1905"/>
      <c r="G9436" s="1408" t="s">
        <v>23</v>
      </c>
      <c r="H9436" s="391">
        <v>30</v>
      </c>
      <c r="M9436" s="1357"/>
      <c r="Q9436" s="1357"/>
      <c r="S9436" s="1420"/>
      <c r="T9436" s="1420"/>
      <c r="V9436" s="1357">
        <v>47</v>
      </c>
    </row>
    <row r="9437" spans="1:22" s="841" customFormat="1" ht="15" x14ac:dyDescent="0.25">
      <c r="A9437" s="841" t="s">
        <v>168</v>
      </c>
      <c r="E9437" s="1905" t="s">
        <v>3157</v>
      </c>
      <c r="F9437" s="1905"/>
      <c r="G9437" s="1408" t="s">
        <v>23</v>
      </c>
      <c r="H9437" s="391">
        <v>165</v>
      </c>
      <c r="M9437" s="1357"/>
      <c r="Q9437" s="1357"/>
      <c r="S9437" s="1420"/>
      <c r="T9437" s="1420"/>
      <c r="V9437" s="1357">
        <v>69</v>
      </c>
    </row>
    <row r="9438" spans="1:22" s="841" customFormat="1" ht="15" x14ac:dyDescent="0.25">
      <c r="A9438" s="841" t="s">
        <v>168</v>
      </c>
      <c r="E9438" s="1905" t="s">
        <v>4773</v>
      </c>
      <c r="F9438" s="1905"/>
      <c r="G9438" s="1408" t="s">
        <v>23</v>
      </c>
      <c r="H9438" s="391">
        <v>65</v>
      </c>
      <c r="M9438" s="1357"/>
      <c r="Q9438" s="1357"/>
      <c r="S9438" s="1420"/>
      <c r="T9438" s="1420"/>
      <c r="V9438" s="1357">
        <v>52</v>
      </c>
    </row>
    <row r="9439" spans="1:22" s="841" customFormat="1" ht="15" x14ac:dyDescent="0.25">
      <c r="A9439" s="841" t="s">
        <v>168</v>
      </c>
      <c r="E9439" s="1905" t="s">
        <v>4774</v>
      </c>
      <c r="F9439" s="1905"/>
      <c r="G9439" s="1408" t="s">
        <v>23</v>
      </c>
      <c r="H9439" s="391">
        <v>185</v>
      </c>
      <c r="M9439" s="1357"/>
      <c r="Q9439" s="1357"/>
      <c r="S9439" s="1420"/>
      <c r="T9439" s="1420"/>
      <c r="V9439" s="1357">
        <v>51</v>
      </c>
    </row>
    <row r="9440" spans="1:22" s="841" customFormat="1" ht="15" x14ac:dyDescent="0.25">
      <c r="A9440" s="841" t="s">
        <v>168</v>
      </c>
      <c r="E9440" s="1905" t="s">
        <v>4775</v>
      </c>
      <c r="F9440" s="1905"/>
      <c r="G9440" s="1408" t="s">
        <v>23</v>
      </c>
      <c r="H9440" s="391">
        <v>185</v>
      </c>
      <c r="M9440" s="1357"/>
      <c r="Q9440" s="1357"/>
      <c r="S9440" s="1420"/>
      <c r="T9440" s="1420"/>
      <c r="V9440" s="1357">
        <v>51</v>
      </c>
    </row>
    <row r="9441" spans="1:22" s="841" customFormat="1" ht="15" x14ac:dyDescent="0.25">
      <c r="A9441" s="841" t="s">
        <v>168</v>
      </c>
      <c r="E9441" s="1905" t="s">
        <v>4776</v>
      </c>
      <c r="F9441" s="1905"/>
      <c r="G9441" s="1408" t="s">
        <v>23</v>
      </c>
      <c r="H9441" s="391">
        <v>415</v>
      </c>
      <c r="M9441" s="1357"/>
      <c r="Q9441" s="1357"/>
      <c r="S9441" s="1420"/>
      <c r="T9441" s="1420"/>
      <c r="V9441" s="1357">
        <v>50</v>
      </c>
    </row>
    <row r="9442" spans="1:22" s="841" customFormat="1" ht="15" x14ac:dyDescent="0.25">
      <c r="A9442" s="841" t="s">
        <v>168</v>
      </c>
      <c r="E9442" s="1905" t="s">
        <v>4777</v>
      </c>
      <c r="F9442" s="1905"/>
      <c r="G9442" s="1408" t="s">
        <v>23</v>
      </c>
      <c r="H9442" s="391">
        <v>65</v>
      </c>
      <c r="M9442" s="1357"/>
      <c r="Q9442" s="1357"/>
      <c r="S9442" s="1420"/>
      <c r="T9442" s="1420"/>
      <c r="V9442" s="1357">
        <v>57</v>
      </c>
    </row>
    <row r="9443" spans="1:22" s="841" customFormat="1" ht="15" x14ac:dyDescent="0.25">
      <c r="A9443" s="841" t="s">
        <v>168</v>
      </c>
      <c r="E9443" s="1905" t="s">
        <v>4778</v>
      </c>
      <c r="F9443" s="1905"/>
      <c r="G9443" s="1408" t="s">
        <v>23</v>
      </c>
      <c r="H9443" s="391">
        <v>185</v>
      </c>
      <c r="M9443" s="1357"/>
      <c r="Q9443" s="1357"/>
      <c r="S9443" s="1420"/>
      <c r="T9443" s="1420"/>
      <c r="V9443" s="1357">
        <v>56</v>
      </c>
    </row>
    <row r="9444" spans="1:22" s="841" customFormat="1" ht="15" x14ac:dyDescent="0.25">
      <c r="A9444" s="841" t="s">
        <v>168</v>
      </c>
      <c r="E9444" s="1370" t="s">
        <v>3164</v>
      </c>
      <c r="F9444" s="3"/>
      <c r="G9444" s="3"/>
      <c r="H9444" s="505"/>
      <c r="M9444" s="1357"/>
      <c r="Q9444" s="1357"/>
      <c r="S9444" s="1420"/>
      <c r="T9444" s="1420"/>
      <c r="V9444" s="1357">
        <v>5</v>
      </c>
    </row>
    <row r="9445" spans="1:22" s="841" customFormat="1" ht="15" x14ac:dyDescent="0.25">
      <c r="A9445" s="841" t="s">
        <v>168</v>
      </c>
      <c r="E9445" s="1905" t="s">
        <v>3502</v>
      </c>
      <c r="F9445" s="1905"/>
      <c r="G9445" s="1408" t="s">
        <v>23</v>
      </c>
      <c r="H9445" s="391">
        <v>22.35</v>
      </c>
      <c r="M9445" s="1357"/>
      <c r="Q9445" s="1357"/>
      <c r="S9445" s="1420"/>
      <c r="T9445" s="1420"/>
      <c r="V9445" s="1357">
        <v>104</v>
      </c>
    </row>
    <row r="9446" spans="1:22" s="841" customFormat="1" ht="15" x14ac:dyDescent="0.25">
      <c r="A9446" s="841" t="s">
        <v>168</v>
      </c>
      <c r="E9446" s="1905" t="s">
        <v>4320</v>
      </c>
      <c r="F9446" s="1905"/>
      <c r="G9446" s="1408" t="s">
        <v>23</v>
      </c>
      <c r="H9446" s="391">
        <v>65</v>
      </c>
      <c r="M9446" s="1357"/>
      <c r="Q9446" s="1357"/>
      <c r="S9446" s="1420"/>
      <c r="T9446" s="1420"/>
      <c r="V9446" s="1357">
        <v>74</v>
      </c>
    </row>
    <row r="9447" spans="1:22" s="841" customFormat="1" ht="36" x14ac:dyDescent="0.25">
      <c r="A9447" s="841" t="s">
        <v>168</v>
      </c>
      <c r="E9447" s="1374" t="s">
        <v>77</v>
      </c>
      <c r="F9447" s="661"/>
      <c r="G9447" s="661"/>
      <c r="H9447" s="661"/>
      <c r="K9447" s="841" t="s">
        <v>4321</v>
      </c>
      <c r="M9447" s="1357"/>
      <c r="Q9447" s="1357"/>
      <c r="S9447" s="1420"/>
      <c r="T9447" s="1420"/>
      <c r="V9447" s="1357">
        <v>38</v>
      </c>
    </row>
    <row r="9448" spans="1:22" s="841" customFormat="1" ht="15" x14ac:dyDescent="0.25">
      <c r="A9448" s="841" t="s">
        <v>168</v>
      </c>
      <c r="E9448" s="1689" t="s">
        <v>3063</v>
      </c>
      <c r="F9448" s="1689"/>
      <c r="G9448" s="1689"/>
      <c r="H9448" s="1689"/>
      <c r="M9448" s="1357"/>
      <c r="Q9448" s="1357"/>
      <c r="S9448" s="1420"/>
      <c r="T9448" s="1420"/>
      <c r="V9448" s="1357">
        <v>280</v>
      </c>
    </row>
    <row r="9449" spans="1:22" s="841" customFormat="1" ht="15" x14ac:dyDescent="0.25">
      <c r="A9449" s="841" t="s">
        <v>168</v>
      </c>
      <c r="E9449" s="1689" t="s">
        <v>3064</v>
      </c>
      <c r="F9449" s="1689"/>
      <c r="G9449" s="1689"/>
      <c r="H9449" s="1689"/>
      <c r="M9449" s="1357"/>
      <c r="Q9449" s="1357"/>
      <c r="S9449" s="1420"/>
      <c r="T9449" s="1420"/>
      <c r="V9449" s="1357">
        <v>411</v>
      </c>
    </row>
    <row r="9450" spans="1:22" s="841" customFormat="1" ht="15" x14ac:dyDescent="0.25">
      <c r="A9450" s="841" t="s">
        <v>168</v>
      </c>
      <c r="E9450" s="1689" t="s">
        <v>3129</v>
      </c>
      <c r="F9450" s="1689"/>
      <c r="G9450" s="1689"/>
      <c r="H9450" s="1689"/>
      <c r="M9450" s="1357"/>
      <c r="Q9450" s="1357"/>
      <c r="S9450" s="1420"/>
      <c r="T9450" s="1420"/>
      <c r="V9450" s="1357">
        <v>211</v>
      </c>
    </row>
    <row r="9451" spans="1:22" s="841" customFormat="1" ht="15" x14ac:dyDescent="0.25">
      <c r="A9451" s="841" t="s">
        <v>168</v>
      </c>
      <c r="E9451" s="1689" t="s">
        <v>3200</v>
      </c>
      <c r="F9451" s="1689"/>
      <c r="G9451" s="1689"/>
      <c r="H9451" s="1689"/>
      <c r="M9451" s="1357"/>
      <c r="Q9451" s="1357"/>
      <c r="S9451" s="1420"/>
      <c r="T9451" s="1420"/>
      <c r="V9451" s="1357">
        <v>275</v>
      </c>
    </row>
    <row r="9452" spans="1:22" s="841" customFormat="1" ht="15" x14ac:dyDescent="0.25">
      <c r="A9452" s="841" t="s">
        <v>168</v>
      </c>
      <c r="E9452" s="1689" t="s">
        <v>3291</v>
      </c>
      <c r="F9452" s="1689"/>
      <c r="G9452" s="1689"/>
      <c r="H9452" s="1689"/>
      <c r="M9452" s="1357"/>
      <c r="Q9452" s="1357"/>
      <c r="S9452" s="1420"/>
      <c r="T9452" s="1420"/>
      <c r="V9452" s="1357">
        <v>142</v>
      </c>
    </row>
    <row r="9453" spans="1:22" s="841" customFormat="1" ht="15" x14ac:dyDescent="0.25">
      <c r="A9453" s="841" t="s">
        <v>168</v>
      </c>
      <c r="E9453" s="1690" t="s">
        <v>3176</v>
      </c>
      <c r="F9453" s="1690"/>
      <c r="G9453" s="502" t="s">
        <v>23</v>
      </c>
      <c r="H9453" s="395">
        <v>100</v>
      </c>
      <c r="M9453" s="1357"/>
      <c r="Q9453" s="1357"/>
      <c r="S9453" s="1420"/>
      <c r="T9453" s="1420"/>
      <c r="V9453" s="1357">
        <v>106</v>
      </c>
    </row>
    <row r="9454" spans="1:22" s="841" customFormat="1" ht="15" x14ac:dyDescent="0.25">
      <c r="A9454" s="841" t="s">
        <v>168</v>
      </c>
      <c r="E9454" s="1690" t="s">
        <v>3177</v>
      </c>
      <c r="F9454" s="1690"/>
      <c r="G9454" s="502" t="s">
        <v>23</v>
      </c>
      <c r="H9454" s="395">
        <v>20</v>
      </c>
      <c r="M9454" s="1357"/>
      <c r="Q9454" s="1357"/>
      <c r="S9454" s="1420"/>
      <c r="T9454" s="1420"/>
      <c r="V9454" s="1357">
        <v>34</v>
      </c>
    </row>
    <row r="9455" spans="1:22" s="841" customFormat="1" ht="15" x14ac:dyDescent="0.25">
      <c r="A9455" s="841" t="s">
        <v>168</v>
      </c>
      <c r="E9455" s="1690" t="s">
        <v>3178</v>
      </c>
      <c r="F9455" s="1690"/>
      <c r="G9455" s="502" t="s">
        <v>3179</v>
      </c>
      <c r="H9455" s="395">
        <v>0.5</v>
      </c>
      <c r="M9455" s="1357"/>
      <c r="Q9455" s="1357"/>
      <c r="S9455" s="1420"/>
      <c r="T9455" s="1420"/>
      <c r="V9455" s="1357">
        <v>51</v>
      </c>
    </row>
    <row r="9456" spans="1:22" s="841" customFormat="1" ht="15" x14ac:dyDescent="0.25">
      <c r="A9456" s="841" t="s">
        <v>168</v>
      </c>
      <c r="E9456" s="1690" t="s">
        <v>3180</v>
      </c>
      <c r="F9456" s="1690"/>
      <c r="G9456" s="502" t="s">
        <v>3179</v>
      </c>
      <c r="H9456" s="395">
        <v>0.3</v>
      </c>
      <c r="M9456" s="1357"/>
      <c r="Q9456" s="1357"/>
      <c r="S9456" s="1420"/>
      <c r="T9456" s="1420"/>
      <c r="V9456" s="1357">
        <v>75</v>
      </c>
    </row>
    <row r="9457" spans="1:22" s="841" customFormat="1" ht="15" x14ac:dyDescent="0.25">
      <c r="A9457" s="841" t="s">
        <v>168</v>
      </c>
      <c r="E9457" s="1690" t="s">
        <v>3181</v>
      </c>
      <c r="F9457" s="1690"/>
      <c r="G9457" s="502" t="s">
        <v>3179</v>
      </c>
      <c r="H9457" s="603">
        <v>-0.3</v>
      </c>
      <c r="M9457" s="1357"/>
      <c r="Q9457" s="1357"/>
      <c r="S9457" s="1420"/>
      <c r="T9457" s="1420"/>
      <c r="V9457" s="1357">
        <v>72</v>
      </c>
    </row>
    <row r="9458" spans="1:22" s="841" customFormat="1" ht="15" x14ac:dyDescent="0.25">
      <c r="A9458" s="841" t="s">
        <v>168</v>
      </c>
      <c r="E9458" s="1690" t="s">
        <v>3292</v>
      </c>
      <c r="F9458" s="1690"/>
      <c r="G9458" s="502"/>
      <c r="H9458" s="503"/>
      <c r="M9458" s="1357"/>
      <c r="Q9458" s="1357"/>
      <c r="S9458" s="1420"/>
      <c r="T9458" s="1420"/>
      <c r="V9458" s="1357">
        <v>34</v>
      </c>
    </row>
    <row r="9459" spans="1:22" s="841" customFormat="1" ht="15" x14ac:dyDescent="0.25">
      <c r="A9459" s="841" t="s">
        <v>168</v>
      </c>
      <c r="E9459" s="1691" t="s">
        <v>3183</v>
      </c>
      <c r="F9459" s="1691"/>
      <c r="G9459" s="502" t="s">
        <v>23</v>
      </c>
      <c r="H9459" s="395">
        <v>0.25</v>
      </c>
      <c r="M9459" s="1357"/>
      <c r="Q9459" s="1357"/>
      <c r="S9459" s="1420"/>
      <c r="T9459" s="1420"/>
      <c r="V9459" s="1357">
        <v>57</v>
      </c>
    </row>
    <row r="9460" spans="1:22" s="841" customFormat="1" ht="15" x14ac:dyDescent="0.25">
      <c r="A9460" s="841" t="s">
        <v>168</v>
      </c>
      <c r="E9460" s="1691" t="s">
        <v>3184</v>
      </c>
      <c r="F9460" s="1691"/>
      <c r="G9460" s="502" t="s">
        <v>23</v>
      </c>
      <c r="H9460" s="395">
        <v>0.5</v>
      </c>
      <c r="M9460" s="1357"/>
      <c r="Q9460" s="1357"/>
      <c r="S9460" s="1420"/>
      <c r="T9460" s="1420"/>
      <c r="V9460" s="1357">
        <v>60</v>
      </c>
    </row>
    <row r="9461" spans="1:22" s="841" customFormat="1" ht="15" x14ac:dyDescent="0.25">
      <c r="A9461" s="841" t="s">
        <v>168</v>
      </c>
      <c r="E9461" s="1690" t="s">
        <v>3185</v>
      </c>
      <c r="F9461" s="1690"/>
      <c r="G9461" s="502"/>
      <c r="H9461" s="503"/>
      <c r="M9461" s="1357"/>
      <c r="Q9461" s="1357"/>
      <c r="S9461" s="1420"/>
      <c r="T9461" s="1420"/>
      <c r="V9461" s="1357">
        <v>91</v>
      </c>
    </row>
    <row r="9462" spans="1:22" s="841" customFormat="1" ht="15" x14ac:dyDescent="0.25">
      <c r="A9462" s="841" t="s">
        <v>168</v>
      </c>
      <c r="E9462" s="1690" t="s">
        <v>3186</v>
      </c>
      <c r="F9462" s="1690"/>
      <c r="G9462" s="502"/>
      <c r="H9462" s="503"/>
      <c r="M9462" s="1357"/>
      <c r="Q9462" s="1357"/>
      <c r="S9462" s="1420"/>
      <c r="T9462" s="1420"/>
      <c r="V9462" s="1357">
        <v>96</v>
      </c>
    </row>
    <row r="9463" spans="1:22" s="841" customFormat="1" ht="15" x14ac:dyDescent="0.25">
      <c r="A9463" s="841" t="s">
        <v>168</v>
      </c>
      <c r="E9463" s="1690" t="s">
        <v>3293</v>
      </c>
      <c r="F9463" s="1690"/>
      <c r="G9463" s="502"/>
      <c r="H9463" s="503"/>
      <c r="M9463" s="1357"/>
      <c r="Q9463" s="1357"/>
      <c r="S9463" s="1420"/>
      <c r="T9463" s="1420"/>
      <c r="V9463" s="1357">
        <v>77</v>
      </c>
    </row>
    <row r="9464" spans="1:22" s="841" customFormat="1" ht="15" x14ac:dyDescent="0.25">
      <c r="A9464" s="841" t="s">
        <v>168</v>
      </c>
      <c r="E9464" s="1691" t="s">
        <v>3188</v>
      </c>
      <c r="F9464" s="1691"/>
      <c r="G9464" s="502" t="s">
        <v>23</v>
      </c>
      <c r="H9464" s="503" t="s">
        <v>3189</v>
      </c>
      <c r="M9464" s="1357"/>
      <c r="Q9464" s="1357"/>
      <c r="S9464" s="1420"/>
      <c r="T9464" s="1420"/>
      <c r="V9464" s="1357">
        <v>18</v>
      </c>
    </row>
    <row r="9465" spans="1:22" s="841" customFormat="1" ht="15" x14ac:dyDescent="0.25">
      <c r="A9465" s="841" t="s">
        <v>168</v>
      </c>
      <c r="E9465" s="1691" t="s">
        <v>3190</v>
      </c>
      <c r="F9465" s="1691"/>
      <c r="G9465" s="502" t="s">
        <v>23</v>
      </c>
      <c r="H9465" s="395">
        <v>2</v>
      </c>
      <c r="M9465" s="1357"/>
      <c r="Q9465" s="1357"/>
      <c r="S9465" s="1420"/>
      <c r="T9465" s="1420"/>
      <c r="V9465" s="1357">
        <v>69</v>
      </c>
    </row>
    <row r="9466" spans="1:22" s="841" customFormat="1" ht="18.75" x14ac:dyDescent="0.3">
      <c r="A9466" s="841" t="s">
        <v>168</v>
      </c>
      <c r="E9466" s="1374" t="s">
        <v>147</v>
      </c>
      <c r="F9466" s="657"/>
      <c r="G9466" s="657"/>
      <c r="H9466" s="658"/>
      <c r="K9466" s="841" t="s">
        <v>4322</v>
      </c>
      <c r="M9466" s="1357"/>
      <c r="Q9466" s="1357"/>
      <c r="S9466" s="1420"/>
      <c r="T9466" s="1420"/>
      <c r="V9466" s="1357">
        <v>12</v>
      </c>
    </row>
    <row r="9467" spans="1:22" s="841" customFormat="1" ht="15" x14ac:dyDescent="0.25">
      <c r="A9467" s="841" t="s">
        <v>168</v>
      </c>
      <c r="E9467" s="1704" t="s">
        <v>3192</v>
      </c>
      <c r="F9467" s="1948"/>
      <c r="G9467" s="1948"/>
      <c r="H9467" s="1948"/>
      <c r="M9467" s="1357"/>
      <c r="Q9467" s="1357"/>
      <c r="S9467" s="1420"/>
      <c r="T9467" s="1420"/>
      <c r="V9467" s="1357">
        <v>203</v>
      </c>
    </row>
    <row r="9468" spans="1:22" s="841" customFormat="1" ht="15" x14ac:dyDescent="0.25">
      <c r="A9468" s="841" t="s">
        <v>168</v>
      </c>
      <c r="E9468" s="1690" t="s">
        <v>3295</v>
      </c>
      <c r="F9468" s="1690"/>
      <c r="G9468" s="1408"/>
      <c r="H9468" s="1413">
        <v>1.0392999999999999</v>
      </c>
      <c r="M9468" s="1357"/>
      <c r="Q9468" s="1357"/>
      <c r="S9468" s="1420"/>
      <c r="T9468" s="1420"/>
      <c r="V9468" s="1357">
        <v>57</v>
      </c>
    </row>
    <row r="9469" spans="1:22" s="841" customFormat="1" ht="15" x14ac:dyDescent="0.25">
      <c r="A9469" s="841" t="s">
        <v>168</v>
      </c>
      <c r="E9469" s="1690" t="s">
        <v>3297</v>
      </c>
      <c r="F9469" s="1690"/>
      <c r="G9469" s="1408"/>
      <c r="H9469" s="1413">
        <v>1.0288999999999999</v>
      </c>
      <c r="J9469" s="841" t="s">
        <v>4323</v>
      </c>
      <c r="M9469" s="1357"/>
      <c r="Q9469" s="1357"/>
      <c r="S9469" s="1420"/>
      <c r="T9469" s="1420"/>
      <c r="V9469" s="1357">
        <v>55</v>
      </c>
    </row>
    <row r="9470" spans="1:22" s="841" customFormat="1" ht="23.25" x14ac:dyDescent="0.25">
      <c r="A9470" s="841" t="s">
        <v>623</v>
      </c>
      <c r="C9470" s="841" t="s">
        <v>3050</v>
      </c>
      <c r="E9470" s="1911" t="s">
        <v>623</v>
      </c>
      <c r="F9470" s="1911"/>
      <c r="G9470" s="1911"/>
      <c r="H9470" s="1911"/>
      <c r="I9470" s="841" t="s">
        <v>628</v>
      </c>
      <c r="J9470" s="841" t="s">
        <v>4337</v>
      </c>
      <c r="K9470" s="841" t="s">
        <v>623</v>
      </c>
      <c r="M9470" s="1357">
        <v>6</v>
      </c>
      <c r="Q9470" s="1357"/>
      <c r="S9470" s="1420"/>
      <c r="T9470" s="1420"/>
      <c r="V9470" s="1357">
        <v>24</v>
      </c>
    </row>
    <row r="9471" spans="1:22" s="841" customFormat="1" x14ac:dyDescent="0.25">
      <c r="A9471" s="841" t="s">
        <v>623</v>
      </c>
      <c r="C9471" s="841" t="s">
        <v>3052</v>
      </c>
      <c r="E9471" s="1912" t="s">
        <v>3053</v>
      </c>
      <c r="F9471" s="1912"/>
      <c r="G9471" s="1912"/>
      <c r="H9471" s="1912"/>
      <c r="M9471" s="1357"/>
      <c r="Q9471" s="1357"/>
      <c r="S9471" s="1420"/>
      <c r="T9471" s="1420"/>
      <c r="V9471" s="1357">
        <v>27</v>
      </c>
    </row>
    <row r="9472" spans="1:22" s="841" customFormat="1" ht="15.75" x14ac:dyDescent="0.25">
      <c r="A9472" s="841" t="s">
        <v>623</v>
      </c>
      <c r="C9472" s="841" t="s">
        <v>3054</v>
      </c>
      <c r="E9472" s="1913" t="s">
        <v>5107</v>
      </c>
      <c r="F9472" s="1913"/>
      <c r="G9472" s="1913"/>
      <c r="H9472" s="1913"/>
      <c r="M9472" s="1357"/>
      <c r="Q9472" s="1357"/>
      <c r="S9472" s="1420">
        <v>43221</v>
      </c>
      <c r="T9472" s="1420"/>
      <c r="V9472" s="1357">
        <v>45</v>
      </c>
    </row>
    <row r="9473" spans="1:22" s="841" customFormat="1" ht="15" x14ac:dyDescent="0.25">
      <c r="A9473" s="841" t="s">
        <v>623</v>
      </c>
      <c r="C9473" s="841" t="s">
        <v>3055</v>
      </c>
      <c r="E9473" s="1914" t="s">
        <v>3056</v>
      </c>
      <c r="F9473" s="1914"/>
      <c r="G9473" s="1914"/>
      <c r="H9473" s="1914"/>
      <c r="M9473" s="1357"/>
      <c r="Q9473" s="1357"/>
      <c r="S9473" s="1420"/>
      <c r="T9473" s="1420"/>
      <c r="V9473" s="1357">
        <v>52</v>
      </c>
    </row>
    <row r="9474" spans="1:22" s="841" customFormat="1" ht="15" x14ac:dyDescent="0.25">
      <c r="A9474" s="841" t="s">
        <v>623</v>
      </c>
      <c r="E9474" s="1914" t="s">
        <v>3057</v>
      </c>
      <c r="F9474" s="1914"/>
      <c r="G9474" s="1914"/>
      <c r="H9474" s="1914"/>
      <c r="M9474" s="1357"/>
      <c r="Q9474" s="1357"/>
      <c r="S9474" s="1420"/>
      <c r="T9474" s="1420"/>
      <c r="V9474" s="1357">
        <v>53</v>
      </c>
    </row>
    <row r="9475" spans="1:22" s="841" customFormat="1" ht="15" x14ac:dyDescent="0.25">
      <c r="A9475" s="841" t="s">
        <v>623</v>
      </c>
      <c r="E9475" s="1925" t="s">
        <v>5748</v>
      </c>
      <c r="F9475" s="1925"/>
      <c r="G9475" s="1925"/>
      <c r="H9475" s="1925"/>
      <c r="K9475" s="841" t="s">
        <v>5748</v>
      </c>
      <c r="M9475" s="1357"/>
      <c r="Q9475" s="1357"/>
      <c r="S9475" s="1420"/>
      <c r="T9475" s="1420"/>
      <c r="V9475" s="1357">
        <v>12</v>
      </c>
    </row>
    <row r="9476" spans="1:22" s="841" customFormat="1" ht="15" x14ac:dyDescent="0.25">
      <c r="A9476" s="841" t="s">
        <v>623</v>
      </c>
      <c r="E9476" s="1909" t="s">
        <v>438</v>
      </c>
      <c r="F9476" s="1697"/>
      <c r="G9476" s="1697"/>
      <c r="H9476" s="1697"/>
      <c r="K9476" s="841" t="s">
        <v>3197</v>
      </c>
      <c r="M9476" s="1357"/>
      <c r="Q9476" s="1357"/>
      <c r="S9476" s="1420"/>
      <c r="T9476" s="1420"/>
      <c r="V9476" s="1357">
        <v>34</v>
      </c>
    </row>
    <row r="9477" spans="1:22" s="841" customFormat="1" ht="15" x14ac:dyDescent="0.25">
      <c r="A9477" s="841" t="s">
        <v>623</v>
      </c>
      <c r="E9477" s="1689" t="s">
        <v>4338</v>
      </c>
      <c r="F9477" s="1689"/>
      <c r="G9477" s="1689"/>
      <c r="H9477" s="1689"/>
      <c r="K9477" s="841" t="s">
        <v>3197</v>
      </c>
      <c r="M9477" s="1357"/>
      <c r="Q9477" s="1357"/>
      <c r="S9477" s="1420"/>
      <c r="T9477" s="1420"/>
      <c r="V9477" s="1357">
        <v>615</v>
      </c>
    </row>
    <row r="9478" spans="1:22" s="841" customFormat="1" ht="15" x14ac:dyDescent="0.25">
      <c r="A9478" s="841" t="s">
        <v>623</v>
      </c>
      <c r="E9478" s="1916" t="s">
        <v>3061</v>
      </c>
      <c r="F9478" s="1697"/>
      <c r="G9478" s="1697"/>
      <c r="H9478" s="1697"/>
      <c r="K9478" s="841" t="s">
        <v>3062</v>
      </c>
      <c r="M9478" s="1357"/>
      <c r="Q9478" s="1357"/>
      <c r="S9478" s="1420"/>
      <c r="T9478" s="1420"/>
      <c r="V9478" s="1357">
        <v>11</v>
      </c>
    </row>
    <row r="9479" spans="1:22" s="841" customFormat="1" ht="15" x14ac:dyDescent="0.25">
      <c r="A9479" s="841" t="s">
        <v>623</v>
      </c>
      <c r="E9479" s="1689" t="s">
        <v>3063</v>
      </c>
      <c r="F9479" s="1689"/>
      <c r="G9479" s="1689"/>
      <c r="H9479" s="1689"/>
      <c r="K9479" s="841" t="s">
        <v>3197</v>
      </c>
      <c r="M9479" s="1357"/>
      <c r="Q9479" s="1357"/>
      <c r="S9479" s="1420"/>
      <c r="T9479" s="1420"/>
      <c r="V9479" s="1357">
        <v>280</v>
      </c>
    </row>
    <row r="9480" spans="1:22" s="841" customFormat="1" ht="15" x14ac:dyDescent="0.25">
      <c r="A9480" s="841" t="s">
        <v>623</v>
      </c>
      <c r="E9480" s="1689" t="s">
        <v>3064</v>
      </c>
      <c r="F9480" s="1689"/>
      <c r="G9480" s="1689"/>
      <c r="H9480" s="1689"/>
      <c r="K9480" s="841" t="s">
        <v>3197</v>
      </c>
      <c r="M9480" s="1357"/>
      <c r="Q9480" s="1357"/>
      <c r="S9480" s="1420"/>
      <c r="T9480" s="1420"/>
      <c r="V9480" s="1357">
        <v>411</v>
      </c>
    </row>
    <row r="9481" spans="1:22" s="841" customFormat="1" ht="15" x14ac:dyDescent="0.25">
      <c r="A9481" s="841" t="s">
        <v>623</v>
      </c>
      <c r="E9481" s="1689" t="s">
        <v>3199</v>
      </c>
      <c r="F9481" s="1689"/>
      <c r="G9481" s="1689"/>
      <c r="H9481" s="1689"/>
      <c r="K9481" s="841" t="s">
        <v>3197</v>
      </c>
      <c r="M9481" s="1357"/>
      <c r="Q9481" s="1357"/>
      <c r="S9481" s="1420"/>
      <c r="T9481" s="1420"/>
      <c r="V9481" s="1357">
        <v>386</v>
      </c>
    </row>
    <row r="9482" spans="1:22" s="841" customFormat="1" ht="15" x14ac:dyDescent="0.25">
      <c r="A9482" s="841" t="s">
        <v>623</v>
      </c>
      <c r="E9482" s="1689" t="s">
        <v>3200</v>
      </c>
      <c r="F9482" s="1689"/>
      <c r="G9482" s="1689"/>
      <c r="H9482" s="1689"/>
      <c r="K9482" s="841" t="s">
        <v>3197</v>
      </c>
      <c r="M9482" s="1357"/>
      <c r="Q9482" s="1357"/>
      <c r="S9482" s="1420"/>
      <c r="T9482" s="1420"/>
      <c r="V9482" s="1357">
        <v>275</v>
      </c>
    </row>
    <row r="9483" spans="1:22" s="841" customFormat="1" ht="15" x14ac:dyDescent="0.25">
      <c r="A9483" s="841" t="s">
        <v>623</v>
      </c>
      <c r="E9483" s="1694" t="s">
        <v>3067</v>
      </c>
      <c r="F9483" s="1907"/>
      <c r="G9483" s="1907"/>
      <c r="H9483" s="1907"/>
      <c r="K9483" s="841" t="s">
        <v>3068</v>
      </c>
      <c r="M9483" s="1357"/>
      <c r="Q9483" s="1357"/>
      <c r="S9483" s="1420"/>
      <c r="T9483" s="1420"/>
      <c r="V9483" s="1357">
        <v>46</v>
      </c>
    </row>
    <row r="9484" spans="1:22" s="841" customFormat="1" ht="15" x14ac:dyDescent="0.25">
      <c r="A9484" s="841" t="s">
        <v>623</v>
      </c>
      <c r="E9484" s="1690" t="s">
        <v>4339</v>
      </c>
      <c r="F9484" s="1690"/>
      <c r="G9484" s="1408" t="s">
        <v>23</v>
      </c>
      <c r="H9484" s="391">
        <v>21.41</v>
      </c>
      <c r="K9484" s="841" t="s">
        <v>3197</v>
      </c>
      <c r="L9484" s="841" t="s">
        <v>442</v>
      </c>
      <c r="M9484" s="1357"/>
      <c r="P9484" s="841" t="s">
        <v>3201</v>
      </c>
      <c r="Q9484" s="1357"/>
      <c r="S9484" s="1420"/>
      <c r="T9484" s="1420"/>
      <c r="V9484" s="1357">
        <v>38</v>
      </c>
    </row>
    <row r="9485" spans="1:22" s="841" customFormat="1" ht="15" x14ac:dyDescent="0.25">
      <c r="A9485" s="841" t="s">
        <v>623</v>
      </c>
      <c r="E9485" s="1690" t="s">
        <v>5109</v>
      </c>
      <c r="F9485" s="1690"/>
      <c r="G9485" s="1408" t="s">
        <v>23</v>
      </c>
      <c r="H9485" s="391">
        <v>0.56999999999999995</v>
      </c>
      <c r="K9485" s="841" t="s">
        <v>3197</v>
      </c>
      <c r="L9485" s="841" t="s">
        <v>443</v>
      </c>
      <c r="M9485" s="1357"/>
      <c r="P9485" s="841" t="s">
        <v>3202</v>
      </c>
      <c r="Q9485" s="1357"/>
      <c r="S9485" s="1420"/>
      <c r="T9485" s="1420">
        <v>44926</v>
      </c>
      <c r="V9485" s="1357">
        <v>64</v>
      </c>
    </row>
    <row r="9486" spans="1:22" s="841" customFormat="1" ht="15" x14ac:dyDescent="0.25">
      <c r="A9486" s="841" t="s">
        <v>623</v>
      </c>
      <c r="E9486" s="1690" t="s">
        <v>5383</v>
      </c>
      <c r="F9486" s="1908"/>
      <c r="G9486" s="1408" t="s">
        <v>23</v>
      </c>
      <c r="H9486" s="391">
        <v>0.11</v>
      </c>
      <c r="K9486" s="841" t="s">
        <v>3197</v>
      </c>
      <c r="L9486" s="841" t="s">
        <v>442</v>
      </c>
      <c r="M9486" s="1357"/>
      <c r="P9486" s="841" t="s">
        <v>3954</v>
      </c>
      <c r="Q9486" s="1357"/>
      <c r="S9486" s="1420"/>
      <c r="T9486" s="1420">
        <v>43585</v>
      </c>
      <c r="V9486" s="1357">
        <v>80</v>
      </c>
    </row>
    <row r="9487" spans="1:22" s="841" customFormat="1" ht="15" x14ac:dyDescent="0.25">
      <c r="A9487" s="841" t="s">
        <v>623</v>
      </c>
      <c r="E9487" s="1690" t="s">
        <v>84</v>
      </c>
      <c r="F9487" s="1690"/>
      <c r="G9487" s="1408" t="s">
        <v>24</v>
      </c>
      <c r="H9487" s="393">
        <v>5.3E-3</v>
      </c>
      <c r="K9487" s="841" t="s">
        <v>3197</v>
      </c>
      <c r="L9487" s="841" t="s">
        <v>442</v>
      </c>
      <c r="M9487" s="1357"/>
      <c r="P9487" s="841" t="s">
        <v>3203</v>
      </c>
      <c r="Q9487" s="1357"/>
      <c r="S9487" s="1420"/>
      <c r="T9487" s="1420"/>
      <c r="V9487" s="1357">
        <v>28</v>
      </c>
    </row>
    <row r="9488" spans="1:22" s="841" customFormat="1" ht="15" x14ac:dyDescent="0.25">
      <c r="A9488" s="841" t="s">
        <v>623</v>
      </c>
      <c r="E9488" s="1690" t="s">
        <v>18</v>
      </c>
      <c r="F9488" s="1690"/>
      <c r="G9488" s="1408" t="s">
        <v>24</v>
      </c>
      <c r="H9488" s="393">
        <v>1.6000000000000001E-3</v>
      </c>
      <c r="K9488" s="841" t="s">
        <v>3197</v>
      </c>
      <c r="L9488" s="841" t="s">
        <v>443</v>
      </c>
      <c r="M9488" s="1357"/>
      <c r="P9488" s="841" t="s">
        <v>3204</v>
      </c>
      <c r="Q9488" s="1357"/>
      <c r="S9488" s="1420"/>
      <c r="T9488" s="1420"/>
      <c r="V9488" s="1357">
        <v>24</v>
      </c>
    </row>
    <row r="9489" spans="1:22" s="841" customFormat="1" ht="15" x14ac:dyDescent="0.25">
      <c r="A9489" s="841" t="s">
        <v>623</v>
      </c>
      <c r="E9489" s="1690" t="s">
        <v>5749</v>
      </c>
      <c r="F9489" s="1908"/>
      <c r="G9489" s="1408" t="s">
        <v>24</v>
      </c>
      <c r="H9489" s="393">
        <v>1.9E-3</v>
      </c>
      <c r="K9489" s="841" t="s">
        <v>3197</v>
      </c>
      <c r="L9489" s="841" t="s">
        <v>443</v>
      </c>
      <c r="M9489" s="1357"/>
      <c r="P9489" s="841" t="s">
        <v>3205</v>
      </c>
      <c r="Q9489" s="1357"/>
      <c r="S9489" s="1420"/>
      <c r="T9489" s="1420">
        <v>43951</v>
      </c>
      <c r="V9489" s="1357">
        <v>139</v>
      </c>
    </row>
    <row r="9490" spans="1:22" s="841" customFormat="1" ht="15" x14ac:dyDescent="0.25">
      <c r="A9490" s="841" t="s">
        <v>623</v>
      </c>
      <c r="E9490" s="1690" t="s">
        <v>5750</v>
      </c>
      <c r="F9490" s="1908"/>
      <c r="G9490" s="1408" t="s">
        <v>24</v>
      </c>
      <c r="H9490" s="1314">
        <v>1E-4</v>
      </c>
      <c r="K9490" s="841" t="s">
        <v>3197</v>
      </c>
      <c r="L9490" s="841" t="s">
        <v>442</v>
      </c>
      <c r="M9490" s="1357"/>
      <c r="P9490" s="841" t="s">
        <v>3206</v>
      </c>
      <c r="Q9490" s="1357"/>
      <c r="S9490" s="1420"/>
      <c r="T9490" s="1420">
        <v>43585</v>
      </c>
      <c r="V9490" s="1357">
        <v>136</v>
      </c>
    </row>
    <row r="9491" spans="1:22" s="841" customFormat="1" ht="15" x14ac:dyDescent="0.25">
      <c r="A9491" s="841" t="s">
        <v>623</v>
      </c>
      <c r="E9491" s="1690" t="s">
        <v>5751</v>
      </c>
      <c r="F9491" s="1908"/>
      <c r="G9491" s="1408" t="s">
        <v>24</v>
      </c>
      <c r="H9491" s="393">
        <v>1.6000000000000001E-3</v>
      </c>
      <c r="K9491" s="841" t="s">
        <v>3197</v>
      </c>
      <c r="L9491" s="841" t="s">
        <v>443</v>
      </c>
      <c r="M9491" s="1357"/>
      <c r="P9491" s="841" t="s">
        <v>3207</v>
      </c>
      <c r="Q9491" s="1357"/>
      <c r="S9491" s="1420"/>
      <c r="T9491" s="1420">
        <v>43951</v>
      </c>
      <c r="V9491" s="1357">
        <v>96</v>
      </c>
    </row>
    <row r="9492" spans="1:22" s="841" customFormat="1" ht="15" x14ac:dyDescent="0.25">
      <c r="A9492" s="841" t="s">
        <v>623</v>
      </c>
      <c r="E9492" s="1690" t="s">
        <v>5752</v>
      </c>
      <c r="F9492" s="1908"/>
      <c r="G9492" s="1408" t="s">
        <v>24</v>
      </c>
      <c r="H9492" s="1314">
        <v>1E-4</v>
      </c>
      <c r="K9492" s="841" t="s">
        <v>3197</v>
      </c>
      <c r="L9492" s="841" t="s">
        <v>443</v>
      </c>
      <c r="M9492" s="1357"/>
      <c r="P9492" s="841" t="s">
        <v>5103</v>
      </c>
      <c r="Q9492" s="1357"/>
      <c r="S9492" s="1420"/>
      <c r="T9492" s="1420">
        <v>43951</v>
      </c>
      <c r="V9492" s="1357">
        <v>146</v>
      </c>
    </row>
    <row r="9493" spans="1:22" s="841" customFormat="1" ht="15" x14ac:dyDescent="0.25">
      <c r="A9493" s="841" t="s">
        <v>623</v>
      </c>
      <c r="E9493" s="1690" t="s">
        <v>221</v>
      </c>
      <c r="F9493" s="1690"/>
      <c r="G9493" s="1408" t="s">
        <v>24</v>
      </c>
      <c r="H9493" s="393">
        <v>6.7000000000000002E-3</v>
      </c>
      <c r="K9493" s="841" t="s">
        <v>3197</v>
      </c>
      <c r="L9493" s="841" t="s">
        <v>444</v>
      </c>
      <c r="M9493" s="1357"/>
      <c r="P9493" s="841" t="s">
        <v>3208</v>
      </c>
      <c r="Q9493" s="1357"/>
      <c r="S9493" s="1420"/>
      <c r="T9493" s="1420"/>
      <c r="V9493" s="1357">
        <v>47</v>
      </c>
    </row>
    <row r="9494" spans="1:22" s="841" customFormat="1" ht="15" x14ac:dyDescent="0.25">
      <c r="A9494" s="841" t="s">
        <v>623</v>
      </c>
      <c r="E9494" s="1690" t="s">
        <v>217</v>
      </c>
      <c r="F9494" s="1690"/>
      <c r="G9494" s="1408" t="s">
        <v>24</v>
      </c>
      <c r="H9494" s="393">
        <v>4.0000000000000001E-3</v>
      </c>
      <c r="K9494" s="841" t="s">
        <v>3197</v>
      </c>
      <c r="L9494" s="841" t="s">
        <v>444</v>
      </c>
      <c r="M9494" s="1357"/>
      <c r="P9494" s="841" t="s">
        <v>3209</v>
      </c>
      <c r="Q9494" s="1357"/>
      <c r="S9494" s="1420"/>
      <c r="T9494" s="1420"/>
      <c r="V9494" s="1357">
        <v>74</v>
      </c>
    </row>
    <row r="9495" spans="1:22" s="841" customFormat="1" ht="15" x14ac:dyDescent="0.25">
      <c r="A9495" s="841" t="s">
        <v>623</v>
      </c>
      <c r="E9495" s="1694" t="s">
        <v>3079</v>
      </c>
      <c r="F9495" s="1690"/>
      <c r="G9495" s="1408"/>
      <c r="H9495" s="1408"/>
      <c r="K9495" s="841" t="s">
        <v>3080</v>
      </c>
      <c r="M9495" s="1357"/>
      <c r="Q9495" s="1357"/>
      <c r="S9495" s="1420"/>
      <c r="T9495" s="1420"/>
      <c r="V9495" s="1357">
        <v>48</v>
      </c>
    </row>
    <row r="9496" spans="1:22" s="841" customFormat="1" ht="15" x14ac:dyDescent="0.25">
      <c r="A9496" s="841" t="s">
        <v>623</v>
      </c>
      <c r="E9496" s="1690" t="s">
        <v>2449</v>
      </c>
      <c r="F9496" s="1690"/>
      <c r="G9496" s="1408" t="s">
        <v>24</v>
      </c>
      <c r="H9496" s="393">
        <v>3.2000000000000002E-3</v>
      </c>
      <c r="K9496" s="841" t="s">
        <v>3197</v>
      </c>
      <c r="L9496" s="841" t="s">
        <v>3046</v>
      </c>
      <c r="M9496" s="1357"/>
      <c r="P9496" s="841" t="s">
        <v>3210</v>
      </c>
      <c r="Q9496" s="1357"/>
      <c r="S9496" s="1420"/>
      <c r="T9496" s="1420"/>
      <c r="V9496" s="1357">
        <v>55</v>
      </c>
    </row>
    <row r="9497" spans="1:22" s="841" customFormat="1" ht="15" x14ac:dyDescent="0.25">
      <c r="A9497" s="841" t="s">
        <v>623</v>
      </c>
      <c r="E9497" s="1690" t="s">
        <v>2450</v>
      </c>
      <c r="F9497" s="1690"/>
      <c r="G9497" s="1408" t="s">
        <v>24</v>
      </c>
      <c r="H9497" s="393">
        <v>4.0000000000000002E-4</v>
      </c>
      <c r="K9497" s="841" t="s">
        <v>3197</v>
      </c>
      <c r="L9497" s="841" t="s">
        <v>3046</v>
      </c>
      <c r="M9497" s="1357"/>
      <c r="P9497" s="841" t="s">
        <v>3210</v>
      </c>
      <c r="Q9497" s="1357"/>
      <c r="S9497" s="1420"/>
      <c r="T9497" s="1420"/>
      <c r="V9497" s="1357">
        <v>65</v>
      </c>
    </row>
    <row r="9498" spans="1:22" s="841" customFormat="1" ht="15" x14ac:dyDescent="0.25">
      <c r="A9498" s="841" t="s">
        <v>623</v>
      </c>
      <c r="E9498" s="1690" t="s">
        <v>439</v>
      </c>
      <c r="F9498" s="1690"/>
      <c r="G9498" s="1408" t="s">
        <v>24</v>
      </c>
      <c r="H9498" s="393">
        <v>2.9999999999999997E-4</v>
      </c>
      <c r="K9498" s="841" t="s">
        <v>3197</v>
      </c>
      <c r="L9498" s="841" t="s">
        <v>3046</v>
      </c>
      <c r="M9498" s="1357"/>
      <c r="P9498" s="841" t="s">
        <v>3212</v>
      </c>
      <c r="Q9498" s="1357"/>
      <c r="S9498" s="1420"/>
      <c r="T9498" s="1420"/>
      <c r="V9498" s="1357">
        <v>57</v>
      </c>
    </row>
    <row r="9499" spans="1:22" s="841" customFormat="1" ht="15" x14ac:dyDescent="0.25">
      <c r="A9499" s="841" t="s">
        <v>623</v>
      </c>
      <c r="E9499" s="1690" t="s">
        <v>32</v>
      </c>
      <c r="F9499" s="1690"/>
      <c r="G9499" s="1408" t="s">
        <v>23</v>
      </c>
      <c r="H9499" s="391">
        <v>0.25</v>
      </c>
      <c r="K9499" s="841" t="s">
        <v>3197</v>
      </c>
      <c r="L9499" s="841" t="s">
        <v>3046</v>
      </c>
      <c r="M9499" s="1357"/>
      <c r="P9499" s="841" t="s">
        <v>3213</v>
      </c>
      <c r="Q9499" s="1357"/>
      <c r="S9499" s="1420"/>
      <c r="T9499" s="1420"/>
      <c r="V9499" s="1357">
        <v>63</v>
      </c>
    </row>
    <row r="9500" spans="1:22" s="841" customFormat="1" x14ac:dyDescent="0.25">
      <c r="A9500" s="841" t="s">
        <v>623</v>
      </c>
      <c r="E9500" s="1909" t="s">
        <v>3214</v>
      </c>
      <c r="F9500" s="1915"/>
      <c r="G9500" s="1915"/>
      <c r="H9500" s="1915"/>
      <c r="K9500" s="841" t="s">
        <v>5110</v>
      </c>
      <c r="M9500" s="1357"/>
      <c r="Q9500" s="1357"/>
      <c r="S9500" s="1420"/>
      <c r="T9500" s="1420"/>
      <c r="V9500" s="1357">
        <v>54</v>
      </c>
    </row>
    <row r="9501" spans="1:22" s="841" customFormat="1" ht="15" x14ac:dyDescent="0.25">
      <c r="A9501" s="841" t="s">
        <v>623</v>
      </c>
      <c r="E9501" s="1689" t="s">
        <v>3567</v>
      </c>
      <c r="F9501" s="1689"/>
      <c r="G9501" s="1689"/>
      <c r="H9501" s="1689"/>
      <c r="K9501" s="841" t="s">
        <v>5110</v>
      </c>
      <c r="M9501" s="1357"/>
      <c r="Q9501" s="1357"/>
      <c r="S9501" s="1420"/>
      <c r="T9501" s="1420"/>
      <c r="V9501" s="1357">
        <v>335</v>
      </c>
    </row>
    <row r="9502" spans="1:22" s="841" customFormat="1" ht="15" x14ac:dyDescent="0.25">
      <c r="A9502" s="841" t="s">
        <v>623</v>
      </c>
      <c r="E9502" s="1916" t="s">
        <v>3061</v>
      </c>
      <c r="F9502" s="1697"/>
      <c r="G9502" s="1697"/>
      <c r="H9502" s="1697"/>
      <c r="K9502" s="841" t="s">
        <v>3086</v>
      </c>
      <c r="M9502" s="1357"/>
      <c r="Q9502" s="1357"/>
      <c r="S9502" s="1420"/>
      <c r="T9502" s="1420"/>
      <c r="V9502" s="1357">
        <v>11</v>
      </c>
    </row>
    <row r="9503" spans="1:22" s="841" customFormat="1" ht="15" x14ac:dyDescent="0.25">
      <c r="A9503" s="841" t="s">
        <v>623</v>
      </c>
      <c r="E9503" s="1689" t="s">
        <v>3063</v>
      </c>
      <c r="F9503" s="1689"/>
      <c r="G9503" s="1689"/>
      <c r="H9503" s="1689"/>
      <c r="K9503" s="841" t="s">
        <v>5110</v>
      </c>
      <c r="M9503" s="1357"/>
      <c r="Q9503" s="1357"/>
      <c r="S9503" s="1420"/>
      <c r="T9503" s="1420"/>
      <c r="V9503" s="1357">
        <v>280</v>
      </c>
    </row>
    <row r="9504" spans="1:22" s="841" customFormat="1" ht="15" x14ac:dyDescent="0.25">
      <c r="A9504" s="841" t="s">
        <v>623</v>
      </c>
      <c r="E9504" s="1689" t="s">
        <v>3064</v>
      </c>
      <c r="F9504" s="1689"/>
      <c r="G9504" s="1689"/>
      <c r="H9504" s="1689"/>
      <c r="K9504" s="841" t="s">
        <v>5110</v>
      </c>
      <c r="M9504" s="1357"/>
      <c r="Q9504" s="1357"/>
      <c r="S9504" s="1420"/>
      <c r="T9504" s="1420"/>
      <c r="V9504" s="1357">
        <v>411</v>
      </c>
    </row>
    <row r="9505" spans="1:22" s="841" customFormat="1" ht="15" x14ac:dyDescent="0.25">
      <c r="A9505" s="841" t="s">
        <v>623</v>
      </c>
      <c r="E9505" s="1689" t="s">
        <v>3199</v>
      </c>
      <c r="F9505" s="1689"/>
      <c r="G9505" s="1689"/>
      <c r="H9505" s="1689"/>
      <c r="K9505" s="841" t="s">
        <v>5110</v>
      </c>
      <c r="M9505" s="1357"/>
      <c r="Q9505" s="1357"/>
      <c r="S9505" s="1420"/>
      <c r="T9505" s="1420"/>
      <c r="V9505" s="1357">
        <v>386</v>
      </c>
    </row>
    <row r="9506" spans="1:22" s="841" customFormat="1" ht="15" x14ac:dyDescent="0.25">
      <c r="A9506" s="841" t="s">
        <v>623</v>
      </c>
      <c r="E9506" s="1689" t="s">
        <v>4340</v>
      </c>
      <c r="F9506" s="1689"/>
      <c r="G9506" s="1689"/>
      <c r="H9506" s="1689"/>
      <c r="K9506" s="841" t="s">
        <v>5110</v>
      </c>
      <c r="M9506" s="1357"/>
      <c r="Q9506" s="1357"/>
      <c r="S9506" s="1420"/>
      <c r="T9506" s="1420"/>
      <c r="V9506" s="1357">
        <v>279</v>
      </c>
    </row>
    <row r="9507" spans="1:22" s="841" customFormat="1" ht="15" x14ac:dyDescent="0.25">
      <c r="A9507" s="841" t="s">
        <v>623</v>
      </c>
      <c r="E9507" s="1694" t="s">
        <v>3067</v>
      </c>
      <c r="F9507" s="1907"/>
      <c r="G9507" s="1907"/>
      <c r="H9507" s="1907"/>
      <c r="K9507" s="841" t="s">
        <v>3087</v>
      </c>
      <c r="M9507" s="1357"/>
      <c r="Q9507" s="1357"/>
      <c r="S9507" s="1420"/>
      <c r="T9507" s="1420"/>
      <c r="V9507" s="1357">
        <v>46</v>
      </c>
    </row>
    <row r="9508" spans="1:22" s="841" customFormat="1" ht="15" x14ac:dyDescent="0.25">
      <c r="A9508" s="841" t="s">
        <v>623</v>
      </c>
      <c r="E9508" s="1690" t="s">
        <v>4339</v>
      </c>
      <c r="F9508" s="1690"/>
      <c r="G9508" s="1408" t="s">
        <v>23</v>
      </c>
      <c r="H9508" s="391">
        <v>21.23</v>
      </c>
      <c r="K9508" s="841" t="s">
        <v>5110</v>
      </c>
      <c r="L9508" s="841" t="s">
        <v>442</v>
      </c>
      <c r="M9508" s="1357"/>
      <c r="P9508" s="841" t="s">
        <v>5111</v>
      </c>
      <c r="Q9508" s="1357"/>
      <c r="S9508" s="1420"/>
      <c r="T9508" s="1420"/>
      <c r="V9508" s="1357">
        <v>38</v>
      </c>
    </row>
    <row r="9509" spans="1:22" s="841" customFormat="1" ht="15" x14ac:dyDescent="0.25">
      <c r="A9509" s="841" t="s">
        <v>623</v>
      </c>
      <c r="E9509" s="1690" t="s">
        <v>5109</v>
      </c>
      <c r="F9509" s="1690"/>
      <c r="G9509" s="1408" t="s">
        <v>23</v>
      </c>
      <c r="H9509" s="391">
        <v>0.56999999999999995</v>
      </c>
      <c r="K9509" s="841" t="s">
        <v>5110</v>
      </c>
      <c r="L9509" s="841" t="s">
        <v>443</v>
      </c>
      <c r="M9509" s="1357"/>
      <c r="P9509" s="841" t="s">
        <v>5112</v>
      </c>
      <c r="Q9509" s="1357"/>
      <c r="S9509" s="1420"/>
      <c r="T9509" s="1420">
        <v>44926</v>
      </c>
      <c r="V9509" s="1357">
        <v>64</v>
      </c>
    </row>
    <row r="9510" spans="1:22" s="841" customFormat="1" ht="15" x14ac:dyDescent="0.25">
      <c r="A9510" s="841" t="s">
        <v>623</v>
      </c>
      <c r="E9510" s="1690" t="s">
        <v>84</v>
      </c>
      <c r="F9510" s="1690"/>
      <c r="G9510" s="1408" t="s">
        <v>24</v>
      </c>
      <c r="H9510" s="393">
        <v>1.4E-2</v>
      </c>
      <c r="K9510" s="841" t="s">
        <v>5110</v>
      </c>
      <c r="L9510" s="841" t="s">
        <v>442</v>
      </c>
      <c r="M9510" s="1357"/>
      <c r="P9510" s="841" t="s">
        <v>5113</v>
      </c>
      <c r="Q9510" s="1357"/>
      <c r="S9510" s="1420"/>
      <c r="T9510" s="1420"/>
      <c r="V9510" s="1357">
        <v>28</v>
      </c>
    </row>
    <row r="9511" spans="1:22" s="841" customFormat="1" ht="15" x14ac:dyDescent="0.25">
      <c r="A9511" s="841" t="s">
        <v>623</v>
      </c>
      <c r="E9511" s="1690" t="s">
        <v>18</v>
      </c>
      <c r="F9511" s="1690"/>
      <c r="G9511" s="1408" t="s">
        <v>24</v>
      </c>
      <c r="H9511" s="393">
        <v>1.4E-3</v>
      </c>
      <c r="K9511" s="841" t="s">
        <v>5110</v>
      </c>
      <c r="L9511" s="841" t="s">
        <v>443</v>
      </c>
      <c r="M9511" s="1357"/>
      <c r="P9511" s="841" t="s">
        <v>5114</v>
      </c>
      <c r="Q9511" s="1357"/>
      <c r="S9511" s="1420"/>
      <c r="T9511" s="1420"/>
      <c r="V9511" s="1357">
        <v>24</v>
      </c>
    </row>
    <row r="9512" spans="1:22" s="841" customFormat="1" ht="15" x14ac:dyDescent="0.25">
      <c r="A9512" s="841" t="s">
        <v>623</v>
      </c>
      <c r="E9512" s="1690" t="s">
        <v>5749</v>
      </c>
      <c r="F9512" s="1908"/>
      <c r="G9512" s="1408" t="s">
        <v>24</v>
      </c>
      <c r="H9512" s="393">
        <v>1.9E-3</v>
      </c>
      <c r="K9512" s="841" t="s">
        <v>5110</v>
      </c>
      <c r="L9512" s="841" t="s">
        <v>443</v>
      </c>
      <c r="M9512" s="1357"/>
      <c r="P9512" s="841" t="s">
        <v>4818</v>
      </c>
      <c r="Q9512" s="1357"/>
      <c r="S9512" s="1420"/>
      <c r="T9512" s="1420">
        <v>43951</v>
      </c>
      <c r="V9512" s="1357">
        <v>139</v>
      </c>
    </row>
    <row r="9513" spans="1:22" s="841" customFormat="1" ht="15" x14ac:dyDescent="0.25">
      <c r="A9513" s="841" t="s">
        <v>623</v>
      </c>
      <c r="E9513" s="1690" t="s">
        <v>5750</v>
      </c>
      <c r="F9513" s="1908"/>
      <c r="G9513" s="1408" t="s">
        <v>24</v>
      </c>
      <c r="H9513" s="1314">
        <v>2.2000000000000001E-3</v>
      </c>
      <c r="K9513" s="841" t="s">
        <v>5110</v>
      </c>
      <c r="L9513" s="841" t="s">
        <v>442</v>
      </c>
      <c r="M9513" s="1357"/>
      <c r="P9513" s="841" t="s">
        <v>5285</v>
      </c>
      <c r="Q9513" s="1357"/>
      <c r="S9513" s="1420"/>
      <c r="T9513" s="1420">
        <v>43585</v>
      </c>
      <c r="V9513" s="1357">
        <v>136</v>
      </c>
    </row>
    <row r="9514" spans="1:22" s="841" customFormat="1" ht="15" x14ac:dyDescent="0.25">
      <c r="A9514" s="841" t="s">
        <v>623</v>
      </c>
      <c r="E9514" s="1690" t="s">
        <v>5751</v>
      </c>
      <c r="F9514" s="1908"/>
      <c r="G9514" s="1408" t="s">
        <v>24</v>
      </c>
      <c r="H9514" s="1314">
        <v>1.6999999999999999E-3</v>
      </c>
      <c r="K9514" s="841" t="s">
        <v>5110</v>
      </c>
      <c r="L9514" s="841" t="s">
        <v>443</v>
      </c>
      <c r="M9514" s="1357"/>
      <c r="P9514" s="841" t="s">
        <v>5124</v>
      </c>
      <c r="Q9514" s="1357"/>
      <c r="S9514" s="1420"/>
      <c r="T9514" s="1420">
        <v>43951</v>
      </c>
      <c r="V9514" s="1357">
        <v>96</v>
      </c>
    </row>
    <row r="9515" spans="1:22" s="841" customFormat="1" ht="15" x14ac:dyDescent="0.25">
      <c r="A9515" s="841" t="s">
        <v>623</v>
      </c>
      <c r="E9515" s="1690" t="s">
        <v>5752</v>
      </c>
      <c r="F9515" s="1908"/>
      <c r="G9515" s="1408" t="s">
        <v>24</v>
      </c>
      <c r="H9515" s="1314">
        <v>1E-4</v>
      </c>
      <c r="K9515" s="841" t="s">
        <v>5110</v>
      </c>
      <c r="L9515" s="841" t="s">
        <v>443</v>
      </c>
      <c r="M9515" s="1357"/>
      <c r="P9515" s="841" t="s">
        <v>5287</v>
      </c>
      <c r="Q9515" s="1357"/>
      <c r="S9515" s="1420"/>
      <c r="T9515" s="1420">
        <v>43951</v>
      </c>
      <c r="V9515" s="1357">
        <v>146</v>
      </c>
    </row>
    <row r="9516" spans="1:22" s="841" customFormat="1" ht="15" x14ac:dyDescent="0.25">
      <c r="A9516" s="841" t="s">
        <v>623</v>
      </c>
      <c r="E9516" s="1690" t="s">
        <v>5383</v>
      </c>
      <c r="F9516" s="1908"/>
      <c r="G9516" s="1408" t="s">
        <v>24</v>
      </c>
      <c r="H9516" s="393">
        <v>1E-4</v>
      </c>
      <c r="K9516" s="841" t="s">
        <v>5110</v>
      </c>
      <c r="L9516" s="841" t="s">
        <v>442</v>
      </c>
      <c r="M9516" s="1357"/>
      <c r="P9516" s="841" t="s">
        <v>5391</v>
      </c>
      <c r="Q9516" s="1357"/>
      <c r="S9516" s="1420"/>
      <c r="T9516" s="1420">
        <v>43585</v>
      </c>
      <c r="V9516" s="1357">
        <v>80</v>
      </c>
    </row>
    <row r="9517" spans="1:22" s="841" customFormat="1" ht="15" x14ac:dyDescent="0.25">
      <c r="A9517" s="841" t="s">
        <v>623</v>
      </c>
      <c r="E9517" s="1690" t="s">
        <v>221</v>
      </c>
      <c r="F9517" s="1690"/>
      <c r="G9517" s="1408" t="s">
        <v>24</v>
      </c>
      <c r="H9517" s="393">
        <v>6.1000000000000004E-3</v>
      </c>
      <c r="K9517" s="841" t="s">
        <v>5110</v>
      </c>
      <c r="L9517" s="841" t="s">
        <v>444</v>
      </c>
      <c r="M9517" s="1357"/>
      <c r="P9517" s="841" t="s">
        <v>5115</v>
      </c>
      <c r="Q9517" s="1357"/>
      <c r="S9517" s="1420"/>
      <c r="T9517" s="1420"/>
      <c r="V9517" s="1357">
        <v>47</v>
      </c>
    </row>
    <row r="9518" spans="1:22" s="841" customFormat="1" ht="15" x14ac:dyDescent="0.25">
      <c r="A9518" s="841" t="s">
        <v>623</v>
      </c>
      <c r="E9518" s="1690" t="s">
        <v>217</v>
      </c>
      <c r="F9518" s="1690"/>
      <c r="G9518" s="1408" t="s">
        <v>24</v>
      </c>
      <c r="H9518" s="393">
        <v>3.2000000000000002E-3</v>
      </c>
      <c r="K9518" s="841" t="s">
        <v>5110</v>
      </c>
      <c r="L9518" s="841" t="s">
        <v>444</v>
      </c>
      <c r="M9518" s="1357"/>
      <c r="P9518" s="841" t="s">
        <v>5116</v>
      </c>
      <c r="Q9518" s="1357"/>
      <c r="S9518" s="1420"/>
      <c r="T9518" s="1420"/>
      <c r="V9518" s="1357">
        <v>74</v>
      </c>
    </row>
    <row r="9519" spans="1:22" s="841" customFormat="1" ht="15" x14ac:dyDescent="0.25">
      <c r="A9519" s="841" t="s">
        <v>623</v>
      </c>
      <c r="E9519" s="1694" t="s">
        <v>3079</v>
      </c>
      <c r="F9519" s="1690"/>
      <c r="G9519" s="1408"/>
      <c r="H9519" s="1408"/>
      <c r="K9519" s="841" t="s">
        <v>3093</v>
      </c>
      <c r="M9519" s="1357"/>
      <c r="Q9519" s="1357"/>
      <c r="S9519" s="1420"/>
      <c r="T9519" s="1420"/>
      <c r="V9519" s="1357">
        <v>48</v>
      </c>
    </row>
    <row r="9520" spans="1:22" s="841" customFormat="1" ht="15" x14ac:dyDescent="0.25">
      <c r="A9520" s="841" t="s">
        <v>623</v>
      </c>
      <c r="E9520" s="1690" t="s">
        <v>2449</v>
      </c>
      <c r="F9520" s="1690"/>
      <c r="G9520" s="1408" t="s">
        <v>24</v>
      </c>
      <c r="H9520" s="393">
        <v>3.2000000000000002E-3</v>
      </c>
      <c r="K9520" s="841" t="s">
        <v>5110</v>
      </c>
      <c r="L9520" s="841" t="s">
        <v>3046</v>
      </c>
      <c r="M9520" s="1357"/>
      <c r="P9520" s="841" t="s">
        <v>5117</v>
      </c>
      <c r="Q9520" s="1357"/>
      <c r="S9520" s="1420"/>
      <c r="T9520" s="1420"/>
      <c r="V9520" s="1357">
        <v>55</v>
      </c>
    </row>
    <row r="9521" spans="1:22" s="841" customFormat="1" ht="15" x14ac:dyDescent="0.25">
      <c r="A9521" s="841" t="s">
        <v>623</v>
      </c>
      <c r="E9521" s="1690" t="s">
        <v>2450</v>
      </c>
      <c r="F9521" s="1690"/>
      <c r="G9521" s="1408" t="s">
        <v>24</v>
      </c>
      <c r="H9521" s="393">
        <v>4.0000000000000002E-4</v>
      </c>
      <c r="K9521" s="841" t="s">
        <v>5110</v>
      </c>
      <c r="L9521" s="841" t="s">
        <v>3046</v>
      </c>
      <c r="M9521" s="1357"/>
      <c r="P9521" s="841" t="s">
        <v>5117</v>
      </c>
      <c r="Q9521" s="1357"/>
      <c r="S9521" s="1420"/>
      <c r="T9521" s="1420"/>
      <c r="V9521" s="1357">
        <v>65</v>
      </c>
    </row>
    <row r="9522" spans="1:22" s="841" customFormat="1" ht="15" x14ac:dyDescent="0.25">
      <c r="A9522" s="841" t="s">
        <v>623</v>
      </c>
      <c r="E9522" s="1690" t="s">
        <v>439</v>
      </c>
      <c r="F9522" s="1690"/>
      <c r="G9522" s="1408" t="s">
        <v>24</v>
      </c>
      <c r="H9522" s="393">
        <v>2.9999999999999997E-4</v>
      </c>
      <c r="K9522" s="841" t="s">
        <v>5110</v>
      </c>
      <c r="L9522" s="841" t="s">
        <v>3046</v>
      </c>
      <c r="M9522" s="1357"/>
      <c r="P9522" s="841" t="s">
        <v>5118</v>
      </c>
      <c r="Q9522" s="1357"/>
      <c r="S9522" s="1420"/>
      <c r="T9522" s="1420"/>
      <c r="V9522" s="1357">
        <v>57</v>
      </c>
    </row>
    <row r="9523" spans="1:22" s="841" customFormat="1" ht="15" x14ac:dyDescent="0.25">
      <c r="A9523" s="841" t="s">
        <v>623</v>
      </c>
      <c r="E9523" s="1690" t="s">
        <v>32</v>
      </c>
      <c r="F9523" s="1690"/>
      <c r="G9523" s="1408" t="s">
        <v>23</v>
      </c>
      <c r="H9523" s="391">
        <v>0.25</v>
      </c>
      <c r="K9523" s="841" t="s">
        <v>5110</v>
      </c>
      <c r="L9523" s="841" t="s">
        <v>3046</v>
      </c>
      <c r="M9523" s="1357"/>
      <c r="P9523" s="841" t="s">
        <v>5119</v>
      </c>
      <c r="Q9523" s="1357"/>
      <c r="S9523" s="1420"/>
      <c r="T9523" s="1420"/>
      <c r="V9523" s="1357">
        <v>63</v>
      </c>
    </row>
    <row r="9524" spans="1:22" s="841" customFormat="1" x14ac:dyDescent="0.25">
      <c r="A9524" s="841" t="s">
        <v>623</v>
      </c>
      <c r="E9524" s="1909" t="s">
        <v>616</v>
      </c>
      <c r="F9524" s="1915"/>
      <c r="G9524" s="1915"/>
      <c r="H9524" s="1915"/>
      <c r="K9524" s="841" t="s">
        <v>6095</v>
      </c>
      <c r="M9524" s="1357"/>
      <c r="Q9524" s="1357"/>
      <c r="S9524" s="1420"/>
      <c r="T9524" s="1420"/>
      <c r="V9524" s="1357">
        <v>53</v>
      </c>
    </row>
    <row r="9525" spans="1:22" s="841" customFormat="1" ht="15" x14ac:dyDescent="0.25">
      <c r="A9525" s="841" t="s">
        <v>623</v>
      </c>
      <c r="E9525" s="1689" t="s">
        <v>3926</v>
      </c>
      <c r="F9525" s="1689"/>
      <c r="G9525" s="1689"/>
      <c r="H9525" s="1689"/>
      <c r="K9525" s="841" t="s">
        <v>6095</v>
      </c>
      <c r="M9525" s="1357"/>
      <c r="Q9525" s="1357"/>
      <c r="S9525" s="1420"/>
      <c r="T9525" s="1420"/>
      <c r="V9525" s="1357">
        <v>386</v>
      </c>
    </row>
    <row r="9526" spans="1:22" s="841" customFormat="1" ht="15" x14ac:dyDescent="0.25">
      <c r="A9526" s="841" t="s">
        <v>623</v>
      </c>
      <c r="E9526" s="1916" t="s">
        <v>3061</v>
      </c>
      <c r="F9526" s="1697"/>
      <c r="G9526" s="1697"/>
      <c r="H9526" s="1697"/>
      <c r="K9526" s="841" t="s">
        <v>3098</v>
      </c>
      <c r="M9526" s="1357"/>
      <c r="Q9526" s="1357"/>
      <c r="S9526" s="1420"/>
      <c r="T9526" s="1420"/>
      <c r="V9526" s="1357">
        <v>11</v>
      </c>
    </row>
    <row r="9527" spans="1:22" s="841" customFormat="1" ht="15" x14ac:dyDescent="0.25">
      <c r="A9527" s="841" t="s">
        <v>623</v>
      </c>
      <c r="E9527" s="1689" t="s">
        <v>3063</v>
      </c>
      <c r="F9527" s="1689"/>
      <c r="G9527" s="1689"/>
      <c r="H9527" s="1689"/>
      <c r="K9527" s="841" t="s">
        <v>6095</v>
      </c>
      <c r="M9527" s="1357"/>
      <c r="Q9527" s="1357"/>
      <c r="S9527" s="1420"/>
      <c r="T9527" s="1420"/>
      <c r="V9527" s="1357">
        <v>280</v>
      </c>
    </row>
    <row r="9528" spans="1:22" s="841" customFormat="1" ht="15" x14ac:dyDescent="0.25">
      <c r="A9528" s="841" t="s">
        <v>623</v>
      </c>
      <c r="E9528" s="1689" t="s">
        <v>3064</v>
      </c>
      <c r="F9528" s="1689"/>
      <c r="G9528" s="1689"/>
      <c r="H9528" s="1689"/>
      <c r="K9528" s="841" t="s">
        <v>6095</v>
      </c>
      <c r="M9528" s="1357"/>
      <c r="Q9528" s="1357"/>
      <c r="S9528" s="1420"/>
      <c r="T9528" s="1420"/>
      <c r="V9528" s="1357">
        <v>411</v>
      </c>
    </row>
    <row r="9529" spans="1:22" s="841" customFormat="1" ht="15" x14ac:dyDescent="0.25">
      <c r="A9529" s="841" t="s">
        <v>623</v>
      </c>
      <c r="E9529" s="1689" t="s">
        <v>3199</v>
      </c>
      <c r="F9529" s="1689"/>
      <c r="G9529" s="1689"/>
      <c r="H9529" s="1689"/>
      <c r="K9529" s="841" t="s">
        <v>6095</v>
      </c>
      <c r="M9529" s="1357"/>
      <c r="Q9529" s="1357"/>
      <c r="S9529" s="1420"/>
      <c r="T9529" s="1420"/>
      <c r="V9529" s="1357">
        <v>386</v>
      </c>
    </row>
    <row r="9530" spans="1:22" s="841" customFormat="1" ht="15" x14ac:dyDescent="0.25">
      <c r="A9530" s="841" t="s">
        <v>623</v>
      </c>
      <c r="E9530" s="1689" t="s">
        <v>3627</v>
      </c>
      <c r="F9530" s="1689"/>
      <c r="G9530" s="1689"/>
      <c r="H9530" s="1689"/>
      <c r="K9530" s="841" t="s">
        <v>6095</v>
      </c>
      <c r="M9530" s="1357"/>
      <c r="Q9530" s="1357"/>
      <c r="S9530" s="1420"/>
      <c r="T9530" s="1420"/>
      <c r="V9530" s="1357">
        <v>610</v>
      </c>
    </row>
    <row r="9531" spans="1:22" s="841" customFormat="1" ht="15" x14ac:dyDescent="0.25">
      <c r="A9531" s="841" t="s">
        <v>623</v>
      </c>
      <c r="E9531" s="1689" t="s">
        <v>3569</v>
      </c>
      <c r="F9531" s="1689"/>
      <c r="G9531" s="1689"/>
      <c r="H9531" s="1689"/>
      <c r="K9531" s="841" t="s">
        <v>6095</v>
      </c>
      <c r="M9531" s="1357"/>
      <c r="Q9531" s="1357"/>
      <c r="S9531" s="1420"/>
      <c r="T9531" s="1420"/>
      <c r="V9531" s="1357">
        <v>626</v>
      </c>
    </row>
    <row r="9532" spans="1:22" s="841" customFormat="1" ht="15" x14ac:dyDescent="0.25">
      <c r="A9532" s="841" t="s">
        <v>623</v>
      </c>
      <c r="E9532" s="1689" t="s">
        <v>4340</v>
      </c>
      <c r="F9532" s="1689"/>
      <c r="G9532" s="1689"/>
      <c r="H9532" s="1689"/>
      <c r="K9532" s="841" t="s">
        <v>6095</v>
      </c>
      <c r="M9532" s="1357"/>
      <c r="Q9532" s="1357"/>
      <c r="S9532" s="1420"/>
      <c r="T9532" s="1420"/>
      <c r="V9532" s="1357">
        <v>279</v>
      </c>
    </row>
    <row r="9533" spans="1:22" s="841" customFormat="1" ht="15" x14ac:dyDescent="0.25">
      <c r="A9533" s="841" t="s">
        <v>623</v>
      </c>
      <c r="E9533" s="1694" t="s">
        <v>3067</v>
      </c>
      <c r="F9533" s="1907"/>
      <c r="G9533" s="1907"/>
      <c r="H9533" s="1907"/>
      <c r="K9533" s="841" t="s">
        <v>3099</v>
      </c>
      <c r="M9533" s="1357"/>
      <c r="Q9533" s="1357"/>
      <c r="S9533" s="1420"/>
      <c r="T9533" s="1420"/>
      <c r="V9533" s="1357">
        <v>46</v>
      </c>
    </row>
    <row r="9534" spans="1:22" s="841" customFormat="1" ht="15" x14ac:dyDescent="0.25">
      <c r="A9534" s="841" t="s">
        <v>623</v>
      </c>
      <c r="E9534" s="1690" t="s">
        <v>4339</v>
      </c>
      <c r="F9534" s="1690"/>
      <c r="G9534" s="1408" t="s">
        <v>23</v>
      </c>
      <c r="H9534" s="391">
        <v>101.42</v>
      </c>
      <c r="K9534" s="841" t="s">
        <v>6095</v>
      </c>
      <c r="L9534" s="841" t="s">
        <v>442</v>
      </c>
      <c r="M9534" s="1357"/>
      <c r="P9534" s="841" t="s">
        <v>6096</v>
      </c>
      <c r="Q9534" s="1357"/>
      <c r="S9534" s="1420"/>
      <c r="T9534" s="1420"/>
      <c r="V9534" s="1357">
        <v>38</v>
      </c>
    </row>
    <row r="9535" spans="1:22" s="841" customFormat="1" ht="15" x14ac:dyDescent="0.25">
      <c r="A9535" s="841" t="s">
        <v>623</v>
      </c>
      <c r="E9535" s="1690" t="s">
        <v>84</v>
      </c>
      <c r="F9535" s="1690"/>
      <c r="G9535" s="1408" t="s">
        <v>33</v>
      </c>
      <c r="H9535" s="393">
        <v>3.3169</v>
      </c>
      <c r="K9535" s="841" t="s">
        <v>6095</v>
      </c>
      <c r="L9535" s="841" t="s">
        <v>442</v>
      </c>
      <c r="M9535" s="1357"/>
      <c r="P9535" s="841" t="s">
        <v>6097</v>
      </c>
      <c r="Q9535" s="1357"/>
      <c r="S9535" s="1420"/>
      <c r="T9535" s="1420"/>
      <c r="V9535" s="1357">
        <v>28</v>
      </c>
    </row>
    <row r="9536" spans="1:22" s="841" customFormat="1" ht="15" x14ac:dyDescent="0.25">
      <c r="A9536" s="841" t="s">
        <v>623</v>
      </c>
      <c r="E9536" s="1690" t="s">
        <v>18</v>
      </c>
      <c r="F9536" s="1690"/>
      <c r="G9536" s="1408" t="s">
        <v>33</v>
      </c>
      <c r="H9536" s="393">
        <v>0.52149999999999996</v>
      </c>
      <c r="K9536" s="841" t="s">
        <v>6095</v>
      </c>
      <c r="L9536" s="841" t="s">
        <v>443</v>
      </c>
      <c r="M9536" s="1357"/>
      <c r="P9536" s="841" t="s">
        <v>6098</v>
      </c>
      <c r="Q9536" s="1357"/>
      <c r="S9536" s="1420"/>
      <c r="T9536" s="1420"/>
      <c r="V9536" s="1357">
        <v>24</v>
      </c>
    </row>
    <row r="9537" spans="1:22" s="841" customFormat="1" ht="15" x14ac:dyDescent="0.25">
      <c r="A9537" s="841" t="s">
        <v>623</v>
      </c>
      <c r="E9537" s="1690" t="s">
        <v>5749</v>
      </c>
      <c r="F9537" s="1908"/>
      <c r="G9537" s="1408" t="s">
        <v>24</v>
      </c>
      <c r="H9537" s="393">
        <v>1.9E-3</v>
      </c>
      <c r="K9537" s="841" t="s">
        <v>6095</v>
      </c>
      <c r="L9537" s="841" t="s">
        <v>443</v>
      </c>
      <c r="M9537" s="1357"/>
      <c r="P9537" s="841" t="s">
        <v>6104</v>
      </c>
      <c r="Q9537" s="1357"/>
      <c r="S9537" s="1420"/>
      <c r="T9537" s="1420">
        <v>43951</v>
      </c>
      <c r="V9537" s="1357">
        <v>139</v>
      </c>
    </row>
    <row r="9538" spans="1:22" s="841" customFormat="1" ht="15" x14ac:dyDescent="0.25">
      <c r="A9538" s="841" t="s">
        <v>623</v>
      </c>
      <c r="E9538" s="1690" t="s">
        <v>5753</v>
      </c>
      <c r="F9538" s="1908"/>
      <c r="G9538" s="1408" t="s">
        <v>33</v>
      </c>
      <c r="H9538" s="1314">
        <v>-0.1338</v>
      </c>
      <c r="K9538" s="841" t="s">
        <v>6095</v>
      </c>
      <c r="L9538" s="841" t="s">
        <v>442</v>
      </c>
      <c r="M9538" s="1357"/>
      <c r="P9538" s="841" t="s">
        <v>6111</v>
      </c>
      <c r="Q9538" s="1357"/>
      <c r="S9538" s="1420"/>
      <c r="T9538" s="1420">
        <v>43585</v>
      </c>
      <c r="V9538" s="1357">
        <v>135</v>
      </c>
    </row>
    <row r="9539" spans="1:22" s="841" customFormat="1" ht="15" x14ac:dyDescent="0.25">
      <c r="A9539" s="841" t="s">
        <v>623</v>
      </c>
      <c r="E9539" s="1690" t="s">
        <v>5754</v>
      </c>
      <c r="F9539" s="1908"/>
      <c r="G9539" s="1408" t="s">
        <v>33</v>
      </c>
      <c r="H9539" s="1314">
        <v>-0.38529999999999998</v>
      </c>
      <c r="K9539" s="841" t="s">
        <v>6095</v>
      </c>
      <c r="L9539" s="841" t="s">
        <v>443</v>
      </c>
      <c r="M9539" s="1357"/>
      <c r="P9539" s="841" t="s">
        <v>6105</v>
      </c>
      <c r="Q9539" s="1357"/>
      <c r="S9539" s="1420"/>
      <c r="T9539" s="1420">
        <v>43951</v>
      </c>
      <c r="V9539" s="1357">
        <v>156</v>
      </c>
    </row>
    <row r="9540" spans="1:22" s="841" customFormat="1" ht="15" x14ac:dyDescent="0.25">
      <c r="A9540" s="841" t="s">
        <v>623</v>
      </c>
      <c r="E9540" s="1690" t="s">
        <v>5751</v>
      </c>
      <c r="F9540" s="1908"/>
      <c r="G9540" s="1408" t="s">
        <v>33</v>
      </c>
      <c r="H9540" s="1314">
        <v>1.3243</v>
      </c>
      <c r="K9540" s="841" t="s">
        <v>6095</v>
      </c>
      <c r="L9540" s="841" t="s">
        <v>443</v>
      </c>
      <c r="M9540" s="1357"/>
      <c r="P9540" s="841" t="s">
        <v>6105</v>
      </c>
      <c r="Q9540" s="1357"/>
      <c r="S9540" s="1420"/>
      <c r="T9540" s="1420">
        <v>43951</v>
      </c>
      <c r="V9540" s="1357">
        <v>96</v>
      </c>
    </row>
    <row r="9541" spans="1:22" s="841" customFormat="1" ht="15" x14ac:dyDescent="0.25">
      <c r="A9541" s="841" t="s">
        <v>623</v>
      </c>
      <c r="E9541" s="1690" t="s">
        <v>5755</v>
      </c>
      <c r="F9541" s="1908"/>
      <c r="G9541" s="1408" t="s">
        <v>33</v>
      </c>
      <c r="H9541" s="1314">
        <v>4.7100000000000003E-2</v>
      </c>
      <c r="K9541" s="841" t="s">
        <v>6095</v>
      </c>
      <c r="L9541" s="841" t="s">
        <v>443</v>
      </c>
      <c r="M9541" s="1357"/>
      <c r="P9541" s="841" t="s">
        <v>6112</v>
      </c>
      <c r="Q9541" s="1357"/>
      <c r="S9541" s="1420"/>
      <c r="T9541" s="1420">
        <v>43951</v>
      </c>
      <c r="V9541" s="1357">
        <v>145</v>
      </c>
    </row>
    <row r="9542" spans="1:22" s="841" customFormat="1" ht="15" x14ac:dyDescent="0.25">
      <c r="A9542" s="841" t="s">
        <v>623</v>
      </c>
      <c r="E9542" s="1690" t="s">
        <v>5383</v>
      </c>
      <c r="F9542" s="1908"/>
      <c r="G9542" s="1408" t="s">
        <v>33</v>
      </c>
      <c r="H9542" s="393">
        <v>1.9099999999999999E-2</v>
      </c>
      <c r="K9542" s="841" t="s">
        <v>6095</v>
      </c>
      <c r="L9542" s="841" t="s">
        <v>442</v>
      </c>
      <c r="M9542" s="1357"/>
      <c r="P9542" s="841" t="s">
        <v>6213</v>
      </c>
      <c r="Q9542" s="1357"/>
      <c r="S9542" s="1420"/>
      <c r="T9542" s="1420">
        <v>43585</v>
      </c>
      <c r="V9542" s="1357">
        <v>80</v>
      </c>
    </row>
    <row r="9543" spans="1:22" s="841" customFormat="1" ht="15" x14ac:dyDescent="0.25">
      <c r="A9543" s="841" t="s">
        <v>623</v>
      </c>
      <c r="E9543" s="1690" t="s">
        <v>221</v>
      </c>
      <c r="F9543" s="1690"/>
      <c r="G9543" s="1408" t="s">
        <v>33</v>
      </c>
      <c r="H9543" s="393">
        <v>2.4243999999999999</v>
      </c>
      <c r="K9543" s="841" t="s">
        <v>6095</v>
      </c>
      <c r="L9543" s="841" t="s">
        <v>444</v>
      </c>
      <c r="M9543" s="1357"/>
      <c r="P9543" s="841" t="s">
        <v>6099</v>
      </c>
      <c r="Q9543" s="1357"/>
      <c r="S9543" s="1420"/>
      <c r="T9543" s="1420"/>
      <c r="V9543" s="1357">
        <v>47</v>
      </c>
    </row>
    <row r="9544" spans="1:22" s="841" customFormat="1" ht="15" x14ac:dyDescent="0.25">
      <c r="A9544" s="841" t="s">
        <v>623</v>
      </c>
      <c r="E9544" s="1690" t="s">
        <v>3628</v>
      </c>
      <c r="F9544" s="1690"/>
      <c r="G9544" s="1408" t="s">
        <v>33</v>
      </c>
      <c r="H9544" s="393">
        <v>1.3674999999999999</v>
      </c>
      <c r="K9544" s="841" t="s">
        <v>6095</v>
      </c>
      <c r="L9544" s="841" t="s">
        <v>444</v>
      </c>
      <c r="M9544" s="1357"/>
      <c r="P9544" s="841" t="s">
        <v>6219</v>
      </c>
      <c r="Q9544" s="1357"/>
      <c r="S9544" s="1420"/>
      <c r="T9544" s="1420"/>
      <c r="V9544" s="1357">
        <v>75</v>
      </c>
    </row>
    <row r="9545" spans="1:22" s="841" customFormat="1" ht="15" x14ac:dyDescent="0.25">
      <c r="A9545" s="841" t="s">
        <v>623</v>
      </c>
      <c r="E9545" s="1694" t="s">
        <v>3079</v>
      </c>
      <c r="F9545" s="1690"/>
      <c r="G9545" s="1408"/>
      <c r="H9545" s="1408"/>
      <c r="K9545" s="841" t="s">
        <v>3218</v>
      </c>
      <c r="M9545" s="1357"/>
      <c r="Q9545" s="1357"/>
      <c r="S9545" s="1420"/>
      <c r="T9545" s="1420"/>
      <c r="V9545" s="1357">
        <v>48</v>
      </c>
    </row>
    <row r="9546" spans="1:22" s="841" customFormat="1" ht="15" x14ac:dyDescent="0.25">
      <c r="A9546" s="841" t="s">
        <v>623</v>
      </c>
      <c r="E9546" s="1690" t="s">
        <v>2449</v>
      </c>
      <c r="F9546" s="1690"/>
      <c r="G9546" s="1408" t="s">
        <v>24</v>
      </c>
      <c r="H9546" s="393">
        <v>3.2000000000000002E-3</v>
      </c>
      <c r="K9546" s="841" t="s">
        <v>6095</v>
      </c>
      <c r="L9546" s="841" t="s">
        <v>3046</v>
      </c>
      <c r="M9546" s="1357"/>
      <c r="P9546" s="841" t="s">
        <v>6101</v>
      </c>
      <c r="Q9546" s="1357"/>
      <c r="S9546" s="1420"/>
      <c r="T9546" s="1420"/>
      <c r="V9546" s="1357">
        <v>55</v>
      </c>
    </row>
    <row r="9547" spans="1:22" s="841" customFormat="1" ht="15" x14ac:dyDescent="0.25">
      <c r="A9547" s="841" t="s">
        <v>623</v>
      </c>
      <c r="E9547" s="1690" t="s">
        <v>2450</v>
      </c>
      <c r="F9547" s="1690"/>
      <c r="G9547" s="1408" t="s">
        <v>24</v>
      </c>
      <c r="H9547" s="393">
        <v>4.0000000000000002E-4</v>
      </c>
      <c r="K9547" s="841" t="s">
        <v>6095</v>
      </c>
      <c r="L9547" s="841" t="s">
        <v>3046</v>
      </c>
      <c r="M9547" s="1357"/>
      <c r="P9547" s="841" t="s">
        <v>6101</v>
      </c>
      <c r="Q9547" s="1357"/>
      <c r="S9547" s="1420"/>
      <c r="T9547" s="1420"/>
      <c r="V9547" s="1357">
        <v>65</v>
      </c>
    </row>
    <row r="9548" spans="1:22" s="841" customFormat="1" ht="15" x14ac:dyDescent="0.25">
      <c r="A9548" s="841" t="s">
        <v>623</v>
      </c>
      <c r="E9548" s="1690" t="s">
        <v>439</v>
      </c>
      <c r="F9548" s="1690"/>
      <c r="G9548" s="1408" t="s">
        <v>24</v>
      </c>
      <c r="H9548" s="393">
        <v>2.9999999999999997E-4</v>
      </c>
      <c r="K9548" s="841" t="s">
        <v>6095</v>
      </c>
      <c r="L9548" s="841" t="s">
        <v>3046</v>
      </c>
      <c r="M9548" s="1357"/>
      <c r="P9548" s="841" t="s">
        <v>6102</v>
      </c>
      <c r="Q9548" s="1357"/>
      <c r="S9548" s="1420"/>
      <c r="T9548" s="1420"/>
      <c r="V9548" s="1357">
        <v>57</v>
      </c>
    </row>
    <row r="9549" spans="1:22" s="841" customFormat="1" ht="15" x14ac:dyDescent="0.25">
      <c r="A9549" s="841" t="s">
        <v>623</v>
      </c>
      <c r="E9549" s="1690" t="s">
        <v>32</v>
      </c>
      <c r="F9549" s="1690"/>
      <c r="G9549" s="1408" t="s">
        <v>23</v>
      </c>
      <c r="H9549" s="391">
        <v>0.25</v>
      </c>
      <c r="K9549" s="841" t="s">
        <v>6095</v>
      </c>
      <c r="L9549" s="841" t="s">
        <v>3046</v>
      </c>
      <c r="M9549" s="1357"/>
      <c r="P9549" s="841" t="s">
        <v>6103</v>
      </c>
      <c r="Q9549" s="1357"/>
      <c r="S9549" s="1420"/>
      <c r="T9549" s="1420"/>
      <c r="V9549" s="1357">
        <v>63</v>
      </c>
    </row>
    <row r="9550" spans="1:22" s="841" customFormat="1" x14ac:dyDescent="0.25">
      <c r="A9550" s="841" t="s">
        <v>623</v>
      </c>
      <c r="E9550" s="1909" t="s">
        <v>617</v>
      </c>
      <c r="F9550" s="1915"/>
      <c r="G9550" s="1915"/>
      <c r="H9550" s="1915"/>
      <c r="K9550" s="841" t="s">
        <v>3406</v>
      </c>
      <c r="M9550" s="1357"/>
      <c r="Q9550" s="1357"/>
      <c r="S9550" s="1420"/>
      <c r="T9550" s="1420"/>
      <c r="V9550" s="1357">
        <v>47</v>
      </c>
    </row>
    <row r="9551" spans="1:22" s="841" customFormat="1" ht="15" x14ac:dyDescent="0.25">
      <c r="A9551" s="841" t="s">
        <v>623</v>
      </c>
      <c r="E9551" s="1689" t="s">
        <v>4063</v>
      </c>
      <c r="F9551" s="1689"/>
      <c r="G9551" s="1689"/>
      <c r="H9551" s="1689"/>
      <c r="K9551" s="841" t="s">
        <v>3406</v>
      </c>
      <c r="M9551" s="1357"/>
      <c r="Q9551" s="1357"/>
      <c r="S9551" s="1420"/>
      <c r="T9551" s="1420"/>
      <c r="V9551" s="1357">
        <v>720</v>
      </c>
    </row>
    <row r="9552" spans="1:22" s="841" customFormat="1" ht="15" x14ac:dyDescent="0.25">
      <c r="A9552" s="841" t="s">
        <v>623</v>
      </c>
      <c r="E9552" s="1916" t="s">
        <v>3061</v>
      </c>
      <c r="F9552" s="1697"/>
      <c r="G9552" s="1697"/>
      <c r="H9552" s="1697"/>
      <c r="K9552" s="841" t="s">
        <v>3221</v>
      </c>
      <c r="M9552" s="1357"/>
      <c r="Q9552" s="1357"/>
      <c r="S9552" s="1420"/>
      <c r="T9552" s="1420"/>
      <c r="V9552" s="1357">
        <v>11</v>
      </c>
    </row>
    <row r="9553" spans="1:22" s="841" customFormat="1" ht="15" x14ac:dyDescent="0.25">
      <c r="A9553" s="841" t="s">
        <v>623</v>
      </c>
      <c r="E9553" s="1689" t="s">
        <v>3063</v>
      </c>
      <c r="F9553" s="1689"/>
      <c r="G9553" s="1689"/>
      <c r="H9553" s="1689"/>
      <c r="K9553" s="841" t="s">
        <v>3406</v>
      </c>
      <c r="M9553" s="1357"/>
      <c r="Q9553" s="1357"/>
      <c r="S9553" s="1420"/>
      <c r="T9553" s="1420"/>
      <c r="V9553" s="1357">
        <v>280</v>
      </c>
    </row>
    <row r="9554" spans="1:22" s="841" customFormat="1" ht="15" x14ac:dyDescent="0.25">
      <c r="A9554" s="841" t="s">
        <v>623</v>
      </c>
      <c r="E9554" s="1689" t="s">
        <v>3064</v>
      </c>
      <c r="F9554" s="1689"/>
      <c r="G9554" s="1689"/>
      <c r="H9554" s="1689"/>
      <c r="K9554" s="841" t="s">
        <v>3406</v>
      </c>
      <c r="M9554" s="1357"/>
      <c r="Q9554" s="1357"/>
      <c r="S9554" s="1420"/>
      <c r="T9554" s="1420"/>
      <c r="V9554" s="1357">
        <v>411</v>
      </c>
    </row>
    <row r="9555" spans="1:22" s="841" customFormat="1" ht="15" x14ac:dyDescent="0.25">
      <c r="A9555" s="841" t="s">
        <v>623</v>
      </c>
      <c r="E9555" s="1689" t="s">
        <v>3199</v>
      </c>
      <c r="F9555" s="1689"/>
      <c r="G9555" s="1689"/>
      <c r="H9555" s="1689"/>
      <c r="K9555" s="841" t="s">
        <v>3406</v>
      </c>
      <c r="M9555" s="1357"/>
      <c r="Q9555" s="1357"/>
      <c r="S9555" s="1420"/>
      <c r="T9555" s="1420"/>
      <c r="V9555" s="1357">
        <v>386</v>
      </c>
    </row>
    <row r="9556" spans="1:22" s="841" customFormat="1" ht="15" x14ac:dyDescent="0.25">
      <c r="A9556" s="841" t="s">
        <v>623</v>
      </c>
      <c r="E9556" s="1689" t="s">
        <v>4340</v>
      </c>
      <c r="F9556" s="1689"/>
      <c r="G9556" s="1689"/>
      <c r="H9556" s="1689"/>
      <c r="K9556" s="841" t="s">
        <v>3406</v>
      </c>
      <c r="M9556" s="1357"/>
      <c r="Q9556" s="1357"/>
      <c r="S9556" s="1420"/>
      <c r="T9556" s="1420"/>
      <c r="V9556" s="1357">
        <v>279</v>
      </c>
    </row>
    <row r="9557" spans="1:22" s="841" customFormat="1" ht="15" x14ac:dyDescent="0.25">
      <c r="A9557" s="841" t="s">
        <v>623</v>
      </c>
      <c r="E9557" s="1694" t="s">
        <v>3067</v>
      </c>
      <c r="F9557" s="1907"/>
      <c r="G9557" s="1907"/>
      <c r="H9557" s="1907"/>
      <c r="K9557" s="841" t="s">
        <v>3224</v>
      </c>
      <c r="M9557" s="1357"/>
      <c r="Q9557" s="1357"/>
      <c r="S9557" s="1420"/>
      <c r="T9557" s="1420"/>
      <c r="V9557" s="1357">
        <v>46</v>
      </c>
    </row>
    <row r="9558" spans="1:22" s="841" customFormat="1" ht="15" x14ac:dyDescent="0.25">
      <c r="A9558" s="841" t="s">
        <v>623</v>
      </c>
      <c r="E9558" s="1690" t="s">
        <v>4339</v>
      </c>
      <c r="F9558" s="1690"/>
      <c r="G9558" s="1408" t="s">
        <v>23</v>
      </c>
      <c r="H9558" s="391">
        <v>0.51</v>
      </c>
      <c r="K9558" s="841" t="s">
        <v>3406</v>
      </c>
      <c r="L9558" s="841" t="s">
        <v>442</v>
      </c>
      <c r="M9558" s="1357"/>
      <c r="P9558" s="841" t="s">
        <v>3408</v>
      </c>
      <c r="Q9558" s="1357"/>
      <c r="S9558" s="1420"/>
      <c r="T9558" s="1420"/>
      <c r="V9558" s="1357">
        <v>38</v>
      </c>
    </row>
    <row r="9559" spans="1:22" s="841" customFormat="1" ht="15" x14ac:dyDescent="0.25">
      <c r="A9559" s="841" t="s">
        <v>623</v>
      </c>
      <c r="E9559" s="1690" t="s">
        <v>84</v>
      </c>
      <c r="F9559" s="1690"/>
      <c r="G9559" s="1408" t="s">
        <v>24</v>
      </c>
      <c r="H9559" s="393">
        <v>1.21E-2</v>
      </c>
      <c r="K9559" s="841" t="s">
        <v>3406</v>
      </c>
      <c r="L9559" s="841" t="s">
        <v>442</v>
      </c>
      <c r="M9559" s="1357"/>
      <c r="P9559" s="841" t="s">
        <v>3409</v>
      </c>
      <c r="Q9559" s="1357"/>
      <c r="S9559" s="1420"/>
      <c r="T9559" s="1420"/>
      <c r="V9559" s="1357">
        <v>28</v>
      </c>
    </row>
    <row r="9560" spans="1:22" s="841" customFormat="1" ht="15" x14ac:dyDescent="0.25">
      <c r="A9560" s="841" t="s">
        <v>623</v>
      </c>
      <c r="E9560" s="1690" t="s">
        <v>18</v>
      </c>
      <c r="F9560" s="1690"/>
      <c r="G9560" s="1408" t="s">
        <v>24</v>
      </c>
      <c r="H9560" s="393">
        <v>1.4E-3</v>
      </c>
      <c r="K9560" s="841" t="s">
        <v>3406</v>
      </c>
      <c r="L9560" s="841" t="s">
        <v>443</v>
      </c>
      <c r="M9560" s="1357"/>
      <c r="P9560" s="841" t="s">
        <v>3549</v>
      </c>
      <c r="Q9560" s="1357"/>
      <c r="S9560" s="1420"/>
      <c r="T9560" s="1420"/>
      <c r="V9560" s="1357">
        <v>24</v>
      </c>
    </row>
    <row r="9561" spans="1:22" s="841" customFormat="1" ht="15" x14ac:dyDescent="0.25">
      <c r="A9561" s="841" t="s">
        <v>623</v>
      </c>
      <c r="E9561" s="1690" t="s">
        <v>5749</v>
      </c>
      <c r="F9561" s="1908"/>
      <c r="G9561" s="1408" t="s">
        <v>24</v>
      </c>
      <c r="H9561" s="393">
        <v>1.9E-3</v>
      </c>
      <c r="K9561" s="841" t="s">
        <v>3406</v>
      </c>
      <c r="L9561" s="841" t="s">
        <v>443</v>
      </c>
      <c r="M9561" s="1357"/>
      <c r="P9561" s="841" t="s">
        <v>3550</v>
      </c>
      <c r="Q9561" s="1357"/>
      <c r="S9561" s="1420"/>
      <c r="T9561" s="1420">
        <v>43951</v>
      </c>
      <c r="V9561" s="1357">
        <v>139</v>
      </c>
    </row>
    <row r="9562" spans="1:22" s="841" customFormat="1" ht="15" x14ac:dyDescent="0.25">
      <c r="A9562" s="841" t="s">
        <v>623</v>
      </c>
      <c r="E9562" s="1690" t="s">
        <v>5750</v>
      </c>
      <c r="F9562" s="1908"/>
      <c r="G9562" s="1408" t="s">
        <v>24</v>
      </c>
      <c r="H9562" s="1314">
        <v>-4.0000000000000002E-4</v>
      </c>
      <c r="K9562" s="841" t="s">
        <v>3406</v>
      </c>
      <c r="L9562" s="841" t="s">
        <v>442</v>
      </c>
      <c r="M9562" s="1357"/>
      <c r="P9562" s="841" t="s">
        <v>3410</v>
      </c>
      <c r="Q9562" s="1357"/>
      <c r="S9562" s="1420"/>
      <c r="T9562" s="1420">
        <v>43585</v>
      </c>
      <c r="V9562" s="1357">
        <v>136</v>
      </c>
    </row>
    <row r="9563" spans="1:22" s="841" customFormat="1" ht="15" x14ac:dyDescent="0.25">
      <c r="A9563" s="841" t="s">
        <v>623</v>
      </c>
      <c r="E9563" s="1690" t="s">
        <v>5751</v>
      </c>
      <c r="F9563" s="1908"/>
      <c r="G9563" s="1408" t="s">
        <v>24</v>
      </c>
      <c r="H9563" s="1314">
        <v>2E-3</v>
      </c>
      <c r="K9563" s="841" t="s">
        <v>3406</v>
      </c>
      <c r="L9563" s="841" t="s">
        <v>443</v>
      </c>
      <c r="M9563" s="1357"/>
      <c r="P9563" s="841" t="s">
        <v>3411</v>
      </c>
      <c r="Q9563" s="1357"/>
      <c r="S9563" s="1420"/>
      <c r="T9563" s="1420">
        <v>43951</v>
      </c>
      <c r="V9563" s="1357">
        <v>96</v>
      </c>
    </row>
    <row r="9564" spans="1:22" s="841" customFormat="1" ht="15" x14ac:dyDescent="0.25">
      <c r="A9564" s="841" t="s">
        <v>623</v>
      </c>
      <c r="E9564" s="1690" t="s">
        <v>5755</v>
      </c>
      <c r="F9564" s="1908"/>
      <c r="G9564" s="1408" t="s">
        <v>24</v>
      </c>
      <c r="H9564" s="1314">
        <v>1E-4</v>
      </c>
      <c r="K9564" s="841" t="s">
        <v>3406</v>
      </c>
      <c r="L9564" s="841" t="s">
        <v>443</v>
      </c>
      <c r="M9564" s="1357"/>
      <c r="P9564" s="841" t="s">
        <v>5104</v>
      </c>
      <c r="Q9564" s="1357"/>
      <c r="S9564" s="1420"/>
      <c r="T9564" s="1420">
        <v>43951</v>
      </c>
      <c r="V9564" s="1357">
        <v>145</v>
      </c>
    </row>
    <row r="9565" spans="1:22" s="841" customFormat="1" ht="15" x14ac:dyDescent="0.25">
      <c r="A9565" s="841" t="s">
        <v>623</v>
      </c>
      <c r="E9565" s="1690" t="s">
        <v>5383</v>
      </c>
      <c r="F9565" s="1908"/>
      <c r="G9565" s="1408" t="s">
        <v>24</v>
      </c>
      <c r="H9565" s="393">
        <v>1E-4</v>
      </c>
      <c r="K9565" s="841" t="s">
        <v>3406</v>
      </c>
      <c r="L9565" s="841" t="s">
        <v>442</v>
      </c>
      <c r="M9565" s="1357"/>
      <c r="P9565" s="841" t="s">
        <v>4147</v>
      </c>
      <c r="Q9565" s="1357"/>
      <c r="S9565" s="1420"/>
      <c r="T9565" s="1420">
        <v>43585</v>
      </c>
      <c r="V9565" s="1357">
        <v>80</v>
      </c>
    </row>
    <row r="9566" spans="1:22" s="841" customFormat="1" ht="15" x14ac:dyDescent="0.25">
      <c r="A9566" s="841" t="s">
        <v>623</v>
      </c>
      <c r="E9566" s="1690" t="s">
        <v>221</v>
      </c>
      <c r="F9566" s="1690"/>
      <c r="G9566" s="1408" t="s">
        <v>24</v>
      </c>
      <c r="H9566" s="393">
        <v>6.1000000000000004E-3</v>
      </c>
      <c r="K9566" s="841" t="s">
        <v>3406</v>
      </c>
      <c r="L9566" s="841" t="s">
        <v>444</v>
      </c>
      <c r="M9566" s="1357"/>
      <c r="P9566" s="841" t="s">
        <v>3412</v>
      </c>
      <c r="Q9566" s="1357"/>
      <c r="S9566" s="1420"/>
      <c r="T9566" s="1420"/>
      <c r="V9566" s="1357">
        <v>47</v>
      </c>
    </row>
    <row r="9567" spans="1:22" s="841" customFormat="1" ht="15" x14ac:dyDescent="0.25">
      <c r="A9567" s="841" t="s">
        <v>623</v>
      </c>
      <c r="E9567" s="1690" t="s">
        <v>217</v>
      </c>
      <c r="F9567" s="1690"/>
      <c r="G9567" s="1408" t="s">
        <v>24</v>
      </c>
      <c r="H9567" s="393">
        <v>3.2000000000000002E-3</v>
      </c>
      <c r="K9567" s="841" t="s">
        <v>3406</v>
      </c>
      <c r="L9567" s="841" t="s">
        <v>444</v>
      </c>
      <c r="M9567" s="1357"/>
      <c r="P9567" s="841" t="s">
        <v>3413</v>
      </c>
      <c r="Q9567" s="1357"/>
      <c r="S9567" s="1420"/>
      <c r="T9567" s="1420"/>
      <c r="V9567" s="1357">
        <v>74</v>
      </c>
    </row>
    <row r="9568" spans="1:22" s="841" customFormat="1" ht="15" x14ac:dyDescent="0.25">
      <c r="A9568" s="841" t="s">
        <v>623</v>
      </c>
      <c r="E9568" s="1694" t="s">
        <v>3079</v>
      </c>
      <c r="F9568" s="1690"/>
      <c r="G9568" s="1408"/>
      <c r="H9568" s="1408"/>
      <c r="K9568" s="841" t="s">
        <v>3225</v>
      </c>
      <c r="M9568" s="1357"/>
      <c r="Q9568" s="1357"/>
      <c r="S9568" s="1420"/>
      <c r="T9568" s="1420"/>
      <c r="V9568" s="1357">
        <v>48</v>
      </c>
    </row>
    <row r="9569" spans="1:22" s="841" customFormat="1" ht="15" x14ac:dyDescent="0.25">
      <c r="A9569" s="841" t="s">
        <v>623</v>
      </c>
      <c r="E9569" s="1690" t="s">
        <v>2449</v>
      </c>
      <c r="F9569" s="1690"/>
      <c r="G9569" s="1408" t="s">
        <v>24</v>
      </c>
      <c r="H9569" s="393">
        <v>3.2000000000000002E-3</v>
      </c>
      <c r="K9569" s="841" t="s">
        <v>3406</v>
      </c>
      <c r="L9569" s="841" t="s">
        <v>3046</v>
      </c>
      <c r="M9569" s="1357"/>
      <c r="P9569" s="841" t="s">
        <v>3414</v>
      </c>
      <c r="Q9569" s="1357"/>
      <c r="S9569" s="1420"/>
      <c r="T9569" s="1420"/>
      <c r="V9569" s="1357">
        <v>55</v>
      </c>
    </row>
    <row r="9570" spans="1:22" s="841" customFormat="1" ht="15" x14ac:dyDescent="0.25">
      <c r="A9570" s="841" t="s">
        <v>623</v>
      </c>
      <c r="E9570" s="1690" t="s">
        <v>2450</v>
      </c>
      <c r="F9570" s="1690"/>
      <c r="G9570" s="1408" t="s">
        <v>24</v>
      </c>
      <c r="H9570" s="393">
        <v>4.0000000000000002E-4</v>
      </c>
      <c r="K9570" s="841" t="s">
        <v>3406</v>
      </c>
      <c r="L9570" s="841" t="s">
        <v>3046</v>
      </c>
      <c r="M9570" s="1357"/>
      <c r="P9570" s="841" t="s">
        <v>3414</v>
      </c>
      <c r="Q9570" s="1357"/>
      <c r="S9570" s="1420"/>
      <c r="T9570" s="1420"/>
      <c r="V9570" s="1357">
        <v>65</v>
      </c>
    </row>
    <row r="9571" spans="1:22" s="841" customFormat="1" ht="15" x14ac:dyDescent="0.25">
      <c r="A9571" s="841" t="s">
        <v>623</v>
      </c>
      <c r="E9571" s="1690" t="s">
        <v>439</v>
      </c>
      <c r="F9571" s="1690"/>
      <c r="G9571" s="1408" t="s">
        <v>24</v>
      </c>
      <c r="H9571" s="393">
        <v>2.9999999999999997E-4</v>
      </c>
      <c r="K9571" s="841" t="s">
        <v>3406</v>
      </c>
      <c r="L9571" s="841" t="s">
        <v>3046</v>
      </c>
      <c r="M9571" s="1357"/>
      <c r="P9571" s="841" t="s">
        <v>3415</v>
      </c>
      <c r="Q9571" s="1357"/>
      <c r="S9571" s="1420"/>
      <c r="T9571" s="1420"/>
      <c r="V9571" s="1357">
        <v>57</v>
      </c>
    </row>
    <row r="9572" spans="1:22" s="841" customFormat="1" ht="15" x14ac:dyDescent="0.25">
      <c r="A9572" s="841" t="s">
        <v>623</v>
      </c>
      <c r="E9572" s="1690" t="s">
        <v>32</v>
      </c>
      <c r="F9572" s="1690"/>
      <c r="G9572" s="1408" t="s">
        <v>23</v>
      </c>
      <c r="H9572" s="391">
        <v>0.25</v>
      </c>
      <c r="K9572" s="841" t="s">
        <v>3406</v>
      </c>
      <c r="L9572" s="841" t="s">
        <v>3046</v>
      </c>
      <c r="M9572" s="1357"/>
      <c r="P9572" s="841" t="s">
        <v>3416</v>
      </c>
      <c r="Q9572" s="1357"/>
      <c r="S9572" s="1420"/>
      <c r="T9572" s="1420"/>
      <c r="V9572" s="1357">
        <v>63</v>
      </c>
    </row>
    <row r="9573" spans="1:22" s="841" customFormat="1" x14ac:dyDescent="0.25">
      <c r="A9573" s="841" t="s">
        <v>623</v>
      </c>
      <c r="E9573" s="1909" t="s">
        <v>615</v>
      </c>
      <c r="F9573" s="1915"/>
      <c r="G9573" s="1915"/>
      <c r="H9573" s="1915"/>
      <c r="K9573" s="841" t="s">
        <v>3417</v>
      </c>
      <c r="M9573" s="1357"/>
      <c r="Q9573" s="1357"/>
      <c r="S9573" s="1420"/>
      <c r="T9573" s="1420"/>
      <c r="V9573" s="1357">
        <v>38</v>
      </c>
    </row>
    <row r="9574" spans="1:22" s="841" customFormat="1" ht="15" x14ac:dyDescent="0.25">
      <c r="A9574" s="841" t="s">
        <v>623</v>
      </c>
      <c r="E9574" s="1689" t="s">
        <v>4064</v>
      </c>
      <c r="F9574" s="1689"/>
      <c r="G9574" s="1689"/>
      <c r="H9574" s="1689"/>
      <c r="K9574" s="841" t="s">
        <v>3417</v>
      </c>
      <c r="M9574" s="1357"/>
      <c r="Q9574" s="1357"/>
      <c r="S9574" s="1420"/>
      <c r="T9574" s="1420"/>
      <c r="V9574" s="1357">
        <v>542</v>
      </c>
    </row>
    <row r="9575" spans="1:22" s="841" customFormat="1" ht="15" x14ac:dyDescent="0.25">
      <c r="A9575" s="841" t="s">
        <v>623</v>
      </c>
      <c r="E9575" s="1916" t="s">
        <v>3061</v>
      </c>
      <c r="F9575" s="1697"/>
      <c r="G9575" s="1697"/>
      <c r="H9575" s="1697"/>
      <c r="K9575" s="841" t="s">
        <v>3107</v>
      </c>
      <c r="M9575" s="1357"/>
      <c r="Q9575" s="1357"/>
      <c r="S9575" s="1420"/>
      <c r="T9575" s="1420"/>
      <c r="V9575" s="1357">
        <v>11</v>
      </c>
    </row>
    <row r="9576" spans="1:22" s="841" customFormat="1" ht="15" x14ac:dyDescent="0.25">
      <c r="A9576" s="841" t="s">
        <v>623</v>
      </c>
      <c r="E9576" s="1689" t="s">
        <v>3063</v>
      </c>
      <c r="F9576" s="1689"/>
      <c r="G9576" s="1689"/>
      <c r="H9576" s="1689"/>
      <c r="K9576" s="841" t="s">
        <v>3417</v>
      </c>
      <c r="M9576" s="1357"/>
      <c r="Q9576" s="1357"/>
      <c r="S9576" s="1420"/>
      <c r="T9576" s="1420"/>
      <c r="V9576" s="1357">
        <v>280</v>
      </c>
    </row>
    <row r="9577" spans="1:22" s="841" customFormat="1" ht="15" x14ac:dyDescent="0.25">
      <c r="A9577" s="841" t="s">
        <v>623</v>
      </c>
      <c r="E9577" s="1689" t="s">
        <v>3064</v>
      </c>
      <c r="F9577" s="1689"/>
      <c r="G9577" s="1689"/>
      <c r="H9577" s="1689"/>
      <c r="K9577" s="841" t="s">
        <v>3417</v>
      </c>
      <c r="M9577" s="1357"/>
      <c r="Q9577" s="1357"/>
      <c r="S9577" s="1420"/>
      <c r="T9577" s="1420"/>
      <c r="V9577" s="1357">
        <v>411</v>
      </c>
    </row>
    <row r="9578" spans="1:22" s="841" customFormat="1" ht="15" x14ac:dyDescent="0.25">
      <c r="A9578" s="841" t="s">
        <v>623</v>
      </c>
      <c r="E9578" s="1689" t="s">
        <v>3199</v>
      </c>
      <c r="F9578" s="1689"/>
      <c r="G9578" s="1689"/>
      <c r="H9578" s="1689"/>
      <c r="K9578" s="841" t="s">
        <v>3417</v>
      </c>
      <c r="M9578" s="1357"/>
      <c r="Q9578" s="1357"/>
      <c r="S9578" s="1420"/>
      <c r="T9578" s="1420"/>
      <c r="V9578" s="1357">
        <v>386</v>
      </c>
    </row>
    <row r="9579" spans="1:22" s="841" customFormat="1" ht="15" x14ac:dyDescent="0.25">
      <c r="A9579" s="841" t="s">
        <v>623</v>
      </c>
      <c r="E9579" s="1689" t="s">
        <v>4340</v>
      </c>
      <c r="F9579" s="1689"/>
      <c r="G9579" s="1689"/>
      <c r="H9579" s="1689"/>
      <c r="K9579" s="841" t="s">
        <v>3417</v>
      </c>
      <c r="M9579" s="1357"/>
      <c r="Q9579" s="1357"/>
      <c r="S9579" s="1420"/>
      <c r="T9579" s="1420"/>
      <c r="V9579" s="1357">
        <v>279</v>
      </c>
    </row>
    <row r="9580" spans="1:22" s="841" customFormat="1" ht="15" x14ac:dyDescent="0.25">
      <c r="A9580" s="841" t="s">
        <v>623</v>
      </c>
      <c r="E9580" s="1694" t="s">
        <v>3067</v>
      </c>
      <c r="F9580" s="1907"/>
      <c r="G9580" s="1907"/>
      <c r="H9580" s="1907"/>
      <c r="K9580" s="841" t="s">
        <v>3108</v>
      </c>
      <c r="M9580" s="1357"/>
      <c r="Q9580" s="1357"/>
      <c r="S9580" s="1420"/>
      <c r="T9580" s="1420"/>
      <c r="V9580" s="1357">
        <v>46</v>
      </c>
    </row>
    <row r="9581" spans="1:22" s="841" customFormat="1" ht="15" x14ac:dyDescent="0.25">
      <c r="A9581" s="841" t="s">
        <v>623</v>
      </c>
      <c r="E9581" s="1690" t="s">
        <v>12</v>
      </c>
      <c r="F9581" s="1690"/>
      <c r="G9581" s="1408" t="s">
        <v>23</v>
      </c>
      <c r="H9581" s="391">
        <v>3.71</v>
      </c>
      <c r="K9581" s="841" t="s">
        <v>3417</v>
      </c>
      <c r="L9581" s="841" t="s">
        <v>442</v>
      </c>
      <c r="M9581" s="1357"/>
      <c r="P9581" s="841" t="s">
        <v>3419</v>
      </c>
      <c r="Q9581" s="1357"/>
      <c r="S9581" s="1420"/>
      <c r="T9581" s="1420"/>
      <c r="V9581" s="1357">
        <v>31</v>
      </c>
    </row>
    <row r="9582" spans="1:22" s="841" customFormat="1" ht="15" x14ac:dyDescent="0.25">
      <c r="A9582" s="841" t="s">
        <v>623</v>
      </c>
      <c r="E9582" s="1690" t="s">
        <v>84</v>
      </c>
      <c r="F9582" s="1690"/>
      <c r="G9582" s="1408" t="s">
        <v>33</v>
      </c>
      <c r="H9582" s="393">
        <v>15.468500000000001</v>
      </c>
      <c r="K9582" s="841" t="s">
        <v>3417</v>
      </c>
      <c r="L9582" s="841" t="s">
        <v>442</v>
      </c>
      <c r="M9582" s="1357"/>
      <c r="P9582" s="841" t="s">
        <v>3420</v>
      </c>
      <c r="Q9582" s="1357"/>
      <c r="S9582" s="1420"/>
      <c r="T9582" s="1420"/>
      <c r="V9582" s="1357">
        <v>28</v>
      </c>
    </row>
    <row r="9583" spans="1:22" s="841" customFormat="1" ht="15" x14ac:dyDescent="0.25">
      <c r="A9583" s="841" t="s">
        <v>623</v>
      </c>
      <c r="E9583" s="1690" t="s">
        <v>18</v>
      </c>
      <c r="F9583" s="1690"/>
      <c r="G9583" s="1408" t="s">
        <v>33</v>
      </c>
      <c r="H9583" s="393">
        <v>0.40310000000000001</v>
      </c>
      <c r="K9583" s="841" t="s">
        <v>3417</v>
      </c>
      <c r="L9583" s="841" t="s">
        <v>443</v>
      </c>
      <c r="M9583" s="1357"/>
      <c r="P9583" s="841" t="s">
        <v>3552</v>
      </c>
      <c r="Q9583" s="1357"/>
      <c r="S9583" s="1420"/>
      <c r="T9583" s="1420"/>
      <c r="V9583" s="1357">
        <v>24</v>
      </c>
    </row>
    <row r="9584" spans="1:22" s="841" customFormat="1" ht="15" x14ac:dyDescent="0.25">
      <c r="A9584" s="841" t="s">
        <v>623</v>
      </c>
      <c r="E9584" s="1690" t="s">
        <v>5749</v>
      </c>
      <c r="F9584" s="1908"/>
      <c r="G9584" s="1408" t="s">
        <v>24</v>
      </c>
      <c r="H9584" s="393">
        <v>1.9E-3</v>
      </c>
      <c r="K9584" s="841" t="s">
        <v>3417</v>
      </c>
      <c r="L9584" s="841" t="s">
        <v>443</v>
      </c>
      <c r="M9584" s="1357"/>
      <c r="P9584" s="841" t="s">
        <v>3421</v>
      </c>
      <c r="Q9584" s="1357"/>
      <c r="S9584" s="1420"/>
      <c r="T9584" s="1420">
        <v>43951</v>
      </c>
      <c r="V9584" s="1357">
        <v>139</v>
      </c>
    </row>
    <row r="9585" spans="1:22" s="841" customFormat="1" ht="15" x14ac:dyDescent="0.25">
      <c r="A9585" s="841" t="s">
        <v>623</v>
      </c>
      <c r="E9585" s="1690" t="s">
        <v>5750</v>
      </c>
      <c r="F9585" s="1908"/>
      <c r="G9585" s="1408" t="s">
        <v>33</v>
      </c>
      <c r="H9585" s="1314">
        <v>-1.5199</v>
      </c>
      <c r="K9585" s="841" t="s">
        <v>3417</v>
      </c>
      <c r="L9585" s="841" t="s">
        <v>442</v>
      </c>
      <c r="M9585" s="1357"/>
      <c r="P9585" s="841" t="s">
        <v>3422</v>
      </c>
      <c r="Q9585" s="1357"/>
      <c r="S9585" s="1420"/>
      <c r="T9585" s="1420">
        <v>43585</v>
      </c>
      <c r="V9585" s="1357">
        <v>136</v>
      </c>
    </row>
    <row r="9586" spans="1:22" s="841" customFormat="1" ht="15" x14ac:dyDescent="0.25">
      <c r="A9586" s="841" t="s">
        <v>623</v>
      </c>
      <c r="E9586" s="1690" t="s">
        <v>5751</v>
      </c>
      <c r="F9586" s="1908"/>
      <c r="G9586" s="1408" t="s">
        <v>33</v>
      </c>
      <c r="H9586" s="1314">
        <v>0.82350000000000001</v>
      </c>
      <c r="K9586" s="841" t="s">
        <v>3417</v>
      </c>
      <c r="L9586" s="841" t="s">
        <v>443</v>
      </c>
      <c r="M9586" s="1357"/>
      <c r="P9586" s="841" t="s">
        <v>3423</v>
      </c>
      <c r="Q9586" s="1357"/>
      <c r="S9586" s="1420"/>
      <c r="T9586" s="1420">
        <v>43951</v>
      </c>
      <c r="V9586" s="1357">
        <v>96</v>
      </c>
    </row>
    <row r="9587" spans="1:22" s="841" customFormat="1" ht="15" x14ac:dyDescent="0.25">
      <c r="A9587" s="841" t="s">
        <v>623</v>
      </c>
      <c r="E9587" s="1690" t="s">
        <v>5752</v>
      </c>
      <c r="F9587" s="1908"/>
      <c r="G9587" s="1408" t="s">
        <v>33</v>
      </c>
      <c r="H9587" s="1314">
        <v>4.4200000000000003E-2</v>
      </c>
      <c r="K9587" s="841" t="s">
        <v>3417</v>
      </c>
      <c r="L9587" s="841" t="s">
        <v>443</v>
      </c>
      <c r="M9587" s="1357"/>
      <c r="P9587" s="841" t="s">
        <v>5105</v>
      </c>
      <c r="Q9587" s="1357"/>
      <c r="S9587" s="1420"/>
      <c r="T9587" s="1420">
        <v>43951</v>
      </c>
      <c r="V9587" s="1357">
        <v>146</v>
      </c>
    </row>
    <row r="9588" spans="1:22" s="841" customFormat="1" ht="15" x14ac:dyDescent="0.25">
      <c r="A9588" s="841" t="s">
        <v>623</v>
      </c>
      <c r="E9588" s="1690" t="s">
        <v>5383</v>
      </c>
      <c r="F9588" s="1908"/>
      <c r="G9588" s="1408" t="s">
        <v>33</v>
      </c>
      <c r="H9588" s="1314">
        <v>0.19059999999999999</v>
      </c>
      <c r="K9588" s="841" t="s">
        <v>3417</v>
      </c>
      <c r="L9588" s="841" t="s">
        <v>442</v>
      </c>
      <c r="M9588" s="1357"/>
      <c r="P9588" s="841" t="s">
        <v>4172</v>
      </c>
      <c r="Q9588" s="1357"/>
      <c r="S9588" s="1420"/>
      <c r="T9588" s="1420">
        <v>43585</v>
      </c>
      <c r="V9588" s="1357">
        <v>80</v>
      </c>
    </row>
    <row r="9589" spans="1:22" s="841" customFormat="1" ht="15" x14ac:dyDescent="0.25">
      <c r="A9589" s="841" t="s">
        <v>623</v>
      </c>
      <c r="E9589" s="1690" t="s">
        <v>221</v>
      </c>
      <c r="F9589" s="1690"/>
      <c r="G9589" s="1408" t="s">
        <v>33</v>
      </c>
      <c r="H9589" s="393">
        <v>1.8284</v>
      </c>
      <c r="K9589" s="841" t="s">
        <v>3417</v>
      </c>
      <c r="L9589" s="841" t="s">
        <v>444</v>
      </c>
      <c r="M9589" s="1357"/>
      <c r="P9589" s="841" t="s">
        <v>3424</v>
      </c>
      <c r="Q9589" s="1357"/>
      <c r="S9589" s="1420"/>
      <c r="T9589" s="1420"/>
      <c r="V9589" s="1357">
        <v>47</v>
      </c>
    </row>
    <row r="9590" spans="1:22" s="841" customFormat="1" ht="15" x14ac:dyDescent="0.25">
      <c r="A9590" s="841" t="s">
        <v>623</v>
      </c>
      <c r="E9590" s="1690" t="s">
        <v>217</v>
      </c>
      <c r="F9590" s="1690"/>
      <c r="G9590" s="1408" t="s">
        <v>33</v>
      </c>
      <c r="H9590" s="393">
        <v>1.0571999999999999</v>
      </c>
      <c r="K9590" s="841" t="s">
        <v>3417</v>
      </c>
      <c r="L9590" s="841" t="s">
        <v>444</v>
      </c>
      <c r="M9590" s="1357"/>
      <c r="P9590" s="841" t="s">
        <v>3553</v>
      </c>
      <c r="Q9590" s="1357"/>
      <c r="S9590" s="1420"/>
      <c r="T9590" s="1420"/>
      <c r="V9590" s="1357">
        <v>74</v>
      </c>
    </row>
    <row r="9591" spans="1:22" s="841" customFormat="1" ht="15" x14ac:dyDescent="0.25">
      <c r="A9591" s="841" t="s">
        <v>623</v>
      </c>
      <c r="E9591" s="1694" t="s">
        <v>3079</v>
      </c>
      <c r="F9591" s="1690"/>
      <c r="G9591" s="1408"/>
      <c r="H9591" s="1408"/>
      <c r="K9591" s="841" t="s">
        <v>3111</v>
      </c>
      <c r="M9591" s="1357"/>
      <c r="Q9591" s="1357"/>
      <c r="S9591" s="1420"/>
      <c r="T9591" s="1420"/>
      <c r="V9591" s="1357">
        <v>48</v>
      </c>
    </row>
    <row r="9592" spans="1:22" s="841" customFormat="1" ht="15" x14ac:dyDescent="0.25">
      <c r="A9592" s="841" t="s">
        <v>623</v>
      </c>
      <c r="E9592" s="1690" t="s">
        <v>2449</v>
      </c>
      <c r="F9592" s="1690"/>
      <c r="G9592" s="1408" t="s">
        <v>24</v>
      </c>
      <c r="H9592" s="393">
        <v>3.2000000000000002E-3</v>
      </c>
      <c r="K9592" s="841" t="s">
        <v>3417</v>
      </c>
      <c r="L9592" s="841" t="s">
        <v>3046</v>
      </c>
      <c r="M9592" s="1357"/>
      <c r="P9592" s="841" t="s">
        <v>3426</v>
      </c>
      <c r="Q9592" s="1357"/>
      <c r="S9592" s="1420"/>
      <c r="T9592" s="1420"/>
      <c r="V9592" s="1357">
        <v>55</v>
      </c>
    </row>
    <row r="9593" spans="1:22" s="841" customFormat="1" ht="15" x14ac:dyDescent="0.25">
      <c r="A9593" s="841" t="s">
        <v>623</v>
      </c>
      <c r="E9593" s="1690" t="s">
        <v>2450</v>
      </c>
      <c r="F9593" s="1690"/>
      <c r="G9593" s="1408" t="s">
        <v>24</v>
      </c>
      <c r="H9593" s="393">
        <v>4.0000000000000002E-4</v>
      </c>
      <c r="K9593" s="841" t="s">
        <v>3417</v>
      </c>
      <c r="L9593" s="841" t="s">
        <v>3046</v>
      </c>
      <c r="M9593" s="1357"/>
      <c r="P9593" s="841" t="s">
        <v>3426</v>
      </c>
      <c r="Q9593" s="1357"/>
      <c r="S9593" s="1420"/>
      <c r="T9593" s="1420"/>
      <c r="V9593" s="1357">
        <v>65</v>
      </c>
    </row>
    <row r="9594" spans="1:22" s="841" customFormat="1" ht="15" x14ac:dyDescent="0.25">
      <c r="A9594" s="841" t="s">
        <v>623</v>
      </c>
      <c r="E9594" s="1690" t="s">
        <v>439</v>
      </c>
      <c r="F9594" s="1690"/>
      <c r="G9594" s="1408" t="s">
        <v>24</v>
      </c>
      <c r="H9594" s="393">
        <v>2.9999999999999997E-4</v>
      </c>
      <c r="K9594" s="841" t="s">
        <v>3417</v>
      </c>
      <c r="L9594" s="841" t="s">
        <v>3046</v>
      </c>
      <c r="M9594" s="1357"/>
      <c r="P9594" s="841" t="s">
        <v>3427</v>
      </c>
      <c r="Q9594" s="1357"/>
      <c r="S9594" s="1420"/>
      <c r="T9594" s="1420"/>
      <c r="V9594" s="1357">
        <v>57</v>
      </c>
    </row>
    <row r="9595" spans="1:22" s="841" customFormat="1" ht="15" x14ac:dyDescent="0.25">
      <c r="A9595" s="841" t="s">
        <v>623</v>
      </c>
      <c r="E9595" s="1690" t="s">
        <v>32</v>
      </c>
      <c r="F9595" s="1690"/>
      <c r="G9595" s="1408" t="s">
        <v>23</v>
      </c>
      <c r="H9595" s="391">
        <v>0.25</v>
      </c>
      <c r="K9595" s="841" t="s">
        <v>3417</v>
      </c>
      <c r="L9595" s="841" t="s">
        <v>3046</v>
      </c>
      <c r="M9595" s="1357"/>
      <c r="P9595" s="841" t="s">
        <v>3428</v>
      </c>
      <c r="Q9595" s="1357"/>
      <c r="S9595" s="1420"/>
      <c r="T9595" s="1420"/>
      <c r="V9595" s="1357">
        <v>63</v>
      </c>
    </row>
    <row r="9596" spans="1:22" s="841" customFormat="1" x14ac:dyDescent="0.25">
      <c r="A9596" s="841" t="s">
        <v>623</v>
      </c>
      <c r="E9596" s="1909" t="s">
        <v>618</v>
      </c>
      <c r="F9596" s="1915"/>
      <c r="G9596" s="1915"/>
      <c r="H9596" s="1915"/>
      <c r="K9596" s="841" t="s">
        <v>3371</v>
      </c>
      <c r="M9596" s="1357"/>
      <c r="Q9596" s="1357"/>
      <c r="S9596" s="1420"/>
      <c r="T9596" s="1420"/>
      <c r="V9596" s="1357">
        <v>31</v>
      </c>
    </row>
    <row r="9597" spans="1:22" s="841" customFormat="1" ht="15" x14ac:dyDescent="0.25">
      <c r="A9597" s="841" t="s">
        <v>623</v>
      </c>
      <c r="E9597" s="1689" t="s">
        <v>3429</v>
      </c>
      <c r="F9597" s="1689"/>
      <c r="G9597" s="1689"/>
      <c r="H9597" s="1689"/>
      <c r="K9597" s="841" t="s">
        <v>3371</v>
      </c>
      <c r="M9597" s="1357"/>
      <c r="Q9597" s="1357"/>
      <c r="S9597" s="1420"/>
      <c r="T9597" s="1420"/>
      <c r="V9597" s="1357">
        <v>285</v>
      </c>
    </row>
    <row r="9598" spans="1:22" s="841" customFormat="1" ht="15" x14ac:dyDescent="0.25">
      <c r="A9598" s="841" t="s">
        <v>623</v>
      </c>
      <c r="E9598" s="1916" t="s">
        <v>3061</v>
      </c>
      <c r="F9598" s="1697"/>
      <c r="G9598" s="1697"/>
      <c r="H9598" s="1697"/>
      <c r="K9598" s="841" t="s">
        <v>3114</v>
      </c>
      <c r="M9598" s="1357"/>
      <c r="Q9598" s="1357"/>
      <c r="S9598" s="1420"/>
      <c r="T9598" s="1420"/>
      <c r="V9598" s="1357">
        <v>11</v>
      </c>
    </row>
    <row r="9599" spans="1:22" s="841" customFormat="1" ht="15" x14ac:dyDescent="0.25">
      <c r="A9599" s="841" t="s">
        <v>623</v>
      </c>
      <c r="E9599" s="1689" t="s">
        <v>3063</v>
      </c>
      <c r="F9599" s="1689"/>
      <c r="G9599" s="1689"/>
      <c r="H9599" s="1689"/>
      <c r="K9599" s="841" t="s">
        <v>3371</v>
      </c>
      <c r="M9599" s="1357"/>
      <c r="Q9599" s="1357"/>
      <c r="S9599" s="1420"/>
      <c r="T9599" s="1420"/>
      <c r="V9599" s="1357">
        <v>280</v>
      </c>
    </row>
    <row r="9600" spans="1:22" s="841" customFormat="1" ht="15" x14ac:dyDescent="0.25">
      <c r="A9600" s="841" t="s">
        <v>623</v>
      </c>
      <c r="E9600" s="1689" t="s">
        <v>3064</v>
      </c>
      <c r="F9600" s="1689"/>
      <c r="G9600" s="1689"/>
      <c r="H9600" s="1689"/>
      <c r="K9600" s="841" t="s">
        <v>3371</v>
      </c>
      <c r="M9600" s="1357"/>
      <c r="Q9600" s="1357"/>
      <c r="S9600" s="1420"/>
      <c r="T9600" s="1420"/>
      <c r="V9600" s="1357">
        <v>411</v>
      </c>
    </row>
    <row r="9601" spans="1:22" s="841" customFormat="1" ht="15" x14ac:dyDescent="0.25">
      <c r="A9601" s="841" t="s">
        <v>623</v>
      </c>
      <c r="E9601" s="1689" t="s">
        <v>3129</v>
      </c>
      <c r="F9601" s="1689"/>
      <c r="G9601" s="1689"/>
      <c r="H9601" s="1689"/>
      <c r="K9601" s="841" t="s">
        <v>3371</v>
      </c>
      <c r="M9601" s="1357"/>
      <c r="Q9601" s="1357"/>
      <c r="S9601" s="1420"/>
      <c r="T9601" s="1420"/>
      <c r="V9601" s="1357">
        <v>211</v>
      </c>
    </row>
    <row r="9602" spans="1:22" s="841" customFormat="1" ht="15" x14ac:dyDescent="0.25">
      <c r="A9602" s="841" t="s">
        <v>623</v>
      </c>
      <c r="E9602" s="1689" t="s">
        <v>4340</v>
      </c>
      <c r="F9602" s="1689"/>
      <c r="G9602" s="1689"/>
      <c r="H9602" s="1689"/>
      <c r="K9602" s="841" t="s">
        <v>3371</v>
      </c>
      <c r="M9602" s="1357"/>
      <c r="Q9602" s="1357"/>
      <c r="S9602" s="1420"/>
      <c r="T9602" s="1420"/>
      <c r="V9602" s="1357">
        <v>279</v>
      </c>
    </row>
    <row r="9603" spans="1:22" s="841" customFormat="1" ht="15" x14ac:dyDescent="0.25">
      <c r="A9603" s="841" t="s">
        <v>623</v>
      </c>
      <c r="E9603" s="1694" t="s">
        <v>3067</v>
      </c>
      <c r="F9603" s="1907"/>
      <c r="G9603" s="1907"/>
      <c r="H9603" s="1907"/>
      <c r="K9603" s="841" t="s">
        <v>3115</v>
      </c>
      <c r="M9603" s="1357"/>
      <c r="Q9603" s="1357"/>
      <c r="S9603" s="1420"/>
      <c r="T9603" s="1420"/>
      <c r="V9603" s="1357">
        <v>46</v>
      </c>
    </row>
    <row r="9604" spans="1:22" s="841" customFormat="1" ht="15" x14ac:dyDescent="0.25">
      <c r="A9604" s="841" t="s">
        <v>623</v>
      </c>
      <c r="E9604" s="1690" t="s">
        <v>11</v>
      </c>
      <c r="F9604" s="1690"/>
      <c r="G9604" s="1408" t="s">
        <v>23</v>
      </c>
      <c r="H9604" s="391">
        <v>5.4</v>
      </c>
      <c r="K9604" s="841" t="s">
        <v>3371</v>
      </c>
      <c r="L9604" s="841" t="s">
        <v>442</v>
      </c>
      <c r="M9604" s="1357"/>
      <c r="P9604" s="841" t="s">
        <v>3373</v>
      </c>
      <c r="Q9604" s="1357"/>
      <c r="S9604" s="1420"/>
      <c r="T9604" s="1420"/>
      <c r="V9604" s="1357">
        <v>14</v>
      </c>
    </row>
    <row r="9605" spans="1:22" s="841" customFormat="1" ht="18.75" x14ac:dyDescent="0.3">
      <c r="A9605" s="841" t="s">
        <v>623</v>
      </c>
      <c r="E9605" s="1374" t="s">
        <v>85</v>
      </c>
      <c r="F9605" s="657"/>
      <c r="G9605" s="657"/>
      <c r="H9605" s="658"/>
      <c r="K9605" s="841" t="s">
        <v>4341</v>
      </c>
      <c r="M9605" s="1357"/>
      <c r="Q9605" s="1357"/>
      <c r="S9605" s="1420"/>
      <c r="T9605" s="1420"/>
      <c r="V9605" s="1357">
        <v>10</v>
      </c>
    </row>
    <row r="9606" spans="1:22" s="841" customFormat="1" ht="15" x14ac:dyDescent="0.25">
      <c r="A9606" s="841" t="s">
        <v>623</v>
      </c>
      <c r="E9606" s="1690" t="s">
        <v>3133</v>
      </c>
      <c r="F9606" s="1690"/>
      <c r="G9606" s="1408" t="s">
        <v>33</v>
      </c>
      <c r="H9606" s="393">
        <v>-0.6</v>
      </c>
      <c r="M9606" s="1357"/>
      <c r="Q9606" s="1357"/>
      <c r="S9606" s="1420"/>
      <c r="T9606" s="1420"/>
      <c r="V9606" s="1357">
        <v>68</v>
      </c>
    </row>
    <row r="9607" spans="1:22" s="841" customFormat="1" ht="15" x14ac:dyDescent="0.25">
      <c r="A9607" s="841" t="s">
        <v>623</v>
      </c>
      <c r="E9607" s="1690" t="s">
        <v>3134</v>
      </c>
      <c r="F9607" s="1690"/>
      <c r="G9607" s="1408" t="s">
        <v>86</v>
      </c>
      <c r="H9607" s="391">
        <v>-1</v>
      </c>
      <c r="M9607" s="1357"/>
      <c r="Q9607" s="1357"/>
      <c r="S9607" s="1420"/>
      <c r="T9607" s="1420"/>
      <c r="V9607" s="1357">
        <v>87</v>
      </c>
    </row>
    <row r="9608" spans="1:22" s="841" customFormat="1" ht="36.75" x14ac:dyDescent="0.3">
      <c r="A9608" s="841" t="s">
        <v>623</v>
      </c>
      <c r="E9608" s="1374" t="s">
        <v>87</v>
      </c>
      <c r="F9608" s="657"/>
      <c r="G9608" s="657"/>
      <c r="H9608" s="658"/>
      <c r="K9608" s="841" t="s">
        <v>4342</v>
      </c>
      <c r="M9608" s="1357"/>
      <c r="Q9608" s="1357"/>
      <c r="S9608" s="1420"/>
      <c r="T9608" s="1420"/>
      <c r="V9608" s="1357">
        <v>24</v>
      </c>
    </row>
    <row r="9609" spans="1:22" s="841" customFormat="1" ht="15" x14ac:dyDescent="0.25">
      <c r="A9609" s="841" t="s">
        <v>623</v>
      </c>
      <c r="E9609" s="1689" t="s">
        <v>3063</v>
      </c>
      <c r="F9609" s="1689"/>
      <c r="G9609" s="1689"/>
      <c r="H9609" s="1689"/>
      <c r="M9609" s="1357"/>
      <c r="Q9609" s="1357"/>
      <c r="S9609" s="1420"/>
      <c r="T9609" s="1420"/>
      <c r="V9609" s="1357">
        <v>280</v>
      </c>
    </row>
    <row r="9610" spans="1:22" s="841" customFormat="1" ht="15" x14ac:dyDescent="0.25">
      <c r="A9610" s="841" t="s">
        <v>623</v>
      </c>
      <c r="E9610" s="1689" t="s">
        <v>3136</v>
      </c>
      <c r="F9610" s="1689"/>
      <c r="G9610" s="1689"/>
      <c r="H9610" s="1689"/>
      <c r="M9610" s="1357"/>
      <c r="Q9610" s="1357"/>
      <c r="S9610" s="1420"/>
      <c r="T9610" s="1420"/>
      <c r="V9610" s="1357">
        <v>353</v>
      </c>
    </row>
    <row r="9611" spans="1:22" s="841" customFormat="1" ht="15" x14ac:dyDescent="0.25">
      <c r="A9611" s="841" t="s">
        <v>623</v>
      </c>
      <c r="E9611" s="1689" t="s">
        <v>4340</v>
      </c>
      <c r="F9611" s="1689"/>
      <c r="G9611" s="1689"/>
      <c r="H9611" s="1689"/>
      <c r="M9611" s="1357"/>
      <c r="Q9611" s="1357"/>
      <c r="S9611" s="1420"/>
      <c r="T9611" s="1420"/>
      <c r="V9611" s="1357">
        <v>279</v>
      </c>
    </row>
    <row r="9612" spans="1:22" s="841" customFormat="1" ht="15" x14ac:dyDescent="0.25">
      <c r="A9612" s="841" t="s">
        <v>623</v>
      </c>
      <c r="E9612" s="1370" t="s">
        <v>3137</v>
      </c>
      <c r="F9612" s="3"/>
      <c r="G9612" s="3"/>
      <c r="H9612" s="398"/>
      <c r="K9612" s="841" t="s">
        <v>4343</v>
      </c>
      <c r="M9612" s="1357"/>
      <c r="Q9612" s="1357"/>
      <c r="S9612" s="1420"/>
      <c r="T9612" s="1420"/>
      <c r="V9612" s="1357">
        <v>23</v>
      </c>
    </row>
    <row r="9613" spans="1:22" s="841" customFormat="1" ht="15" x14ac:dyDescent="0.25">
      <c r="A9613" s="841" t="s">
        <v>623</v>
      </c>
      <c r="E9613" s="1688" t="s">
        <v>3150</v>
      </c>
      <c r="F9613" s="1688"/>
      <c r="G9613" s="1408" t="s">
        <v>23</v>
      </c>
      <c r="H9613" s="391">
        <v>15</v>
      </c>
      <c r="M9613" s="1357"/>
      <c r="Q9613" s="1357"/>
      <c r="S9613" s="1420"/>
      <c r="T9613" s="1420"/>
      <c r="V9613" s="1357">
        <v>24</v>
      </c>
    </row>
    <row r="9614" spans="1:22" s="841" customFormat="1" ht="15" x14ac:dyDescent="0.25">
      <c r="A9614" s="841" t="s">
        <v>623</v>
      </c>
      <c r="E9614" s="1688" t="s">
        <v>3355</v>
      </c>
      <c r="F9614" s="1688"/>
      <c r="G9614" s="1408" t="s">
        <v>23</v>
      </c>
      <c r="H9614" s="391">
        <v>15</v>
      </c>
      <c r="M9614" s="1357"/>
      <c r="Q9614" s="1357"/>
      <c r="S9614" s="1420"/>
      <c r="T9614" s="1420"/>
      <c r="V9614" s="1357">
        <v>19</v>
      </c>
    </row>
    <row r="9615" spans="1:22" s="841" customFormat="1" ht="15" x14ac:dyDescent="0.25">
      <c r="A9615" s="841" t="s">
        <v>623</v>
      </c>
      <c r="E9615" s="1688" t="s">
        <v>3140</v>
      </c>
      <c r="F9615" s="1688"/>
      <c r="G9615" s="1408" t="s">
        <v>23</v>
      </c>
      <c r="H9615" s="391">
        <v>15</v>
      </c>
      <c r="M9615" s="1357"/>
      <c r="Q9615" s="1357"/>
      <c r="S9615" s="1420"/>
      <c r="T9615" s="1420"/>
      <c r="V9615" s="1357">
        <v>20</v>
      </c>
    </row>
    <row r="9616" spans="1:22" s="841" customFormat="1" ht="15" x14ac:dyDescent="0.25">
      <c r="A9616" s="841" t="s">
        <v>623</v>
      </c>
      <c r="E9616" s="1688" t="s">
        <v>3141</v>
      </c>
      <c r="F9616" s="1688"/>
      <c r="G9616" s="1408" t="s">
        <v>23</v>
      </c>
      <c r="H9616" s="391">
        <v>15</v>
      </c>
      <c r="M9616" s="1357"/>
      <c r="Q9616" s="1357"/>
      <c r="S9616" s="1420"/>
      <c r="T9616" s="1420"/>
      <c r="V9616" s="1357">
        <v>26</v>
      </c>
    </row>
    <row r="9617" spans="1:22" s="841" customFormat="1" ht="15" x14ac:dyDescent="0.25">
      <c r="A9617" s="841" t="s">
        <v>623</v>
      </c>
      <c r="E9617" s="1688" t="s">
        <v>3142</v>
      </c>
      <c r="F9617" s="1688"/>
      <c r="G9617" s="1408" t="s">
        <v>23</v>
      </c>
      <c r="H9617" s="391">
        <v>15</v>
      </c>
      <c r="M9617" s="1357"/>
      <c r="Q9617" s="1357"/>
      <c r="S9617" s="1420"/>
      <c r="T9617" s="1420"/>
      <c r="V9617" s="1357">
        <v>39</v>
      </c>
    </row>
    <row r="9618" spans="1:22" s="841" customFormat="1" ht="15" x14ac:dyDescent="0.25">
      <c r="A9618" s="841" t="s">
        <v>623</v>
      </c>
      <c r="E9618" s="1688" t="s">
        <v>3147</v>
      </c>
      <c r="F9618" s="1688"/>
      <c r="G9618" s="1408" t="s">
        <v>23</v>
      </c>
      <c r="H9618" s="391">
        <v>15</v>
      </c>
      <c r="M9618" s="1357"/>
      <c r="Q9618" s="1357"/>
      <c r="S9618" s="1420"/>
      <c r="T9618" s="1420"/>
      <c r="V9618" s="1357">
        <v>15</v>
      </c>
    </row>
    <row r="9619" spans="1:22" s="841" customFormat="1" ht="15" x14ac:dyDescent="0.25">
      <c r="A9619" s="841" t="s">
        <v>623</v>
      </c>
      <c r="E9619" s="1688" t="s">
        <v>3148</v>
      </c>
      <c r="F9619" s="1688"/>
      <c r="G9619" s="1408" t="s">
        <v>23</v>
      </c>
      <c r="H9619" s="391">
        <v>15</v>
      </c>
      <c r="M9619" s="1357"/>
      <c r="Q9619" s="1357"/>
      <c r="S9619" s="1420"/>
      <c r="T9619" s="1420"/>
      <c r="V9619" s="1357">
        <v>56</v>
      </c>
    </row>
    <row r="9620" spans="1:22" s="841" customFormat="1" ht="15" x14ac:dyDescent="0.25">
      <c r="A9620" s="841" t="s">
        <v>623</v>
      </c>
      <c r="E9620" s="1688" t="s">
        <v>123</v>
      </c>
      <c r="F9620" s="1688"/>
      <c r="G9620" s="1408" t="s">
        <v>23</v>
      </c>
      <c r="H9620" s="391">
        <v>15</v>
      </c>
      <c r="M9620" s="1357"/>
      <c r="Q9620" s="1357"/>
      <c r="S9620" s="1420"/>
      <c r="T9620" s="1420"/>
      <c r="V9620" s="1357">
        <v>35</v>
      </c>
    </row>
    <row r="9621" spans="1:22" s="841" customFormat="1" ht="15" x14ac:dyDescent="0.25">
      <c r="A9621" s="841" t="s">
        <v>623</v>
      </c>
      <c r="E9621" s="1688" t="s">
        <v>3151</v>
      </c>
      <c r="F9621" s="1688"/>
      <c r="G9621" s="1408" t="s">
        <v>23</v>
      </c>
      <c r="H9621" s="391">
        <v>15</v>
      </c>
      <c r="M9621" s="1357"/>
      <c r="Q9621" s="1357"/>
      <c r="S9621" s="1420"/>
      <c r="T9621" s="1420"/>
      <c r="V9621" s="1357">
        <v>19</v>
      </c>
    </row>
    <row r="9622" spans="1:22" s="841" customFormat="1" ht="15" x14ac:dyDescent="0.25">
      <c r="A9622" s="841" t="s">
        <v>623</v>
      </c>
      <c r="E9622" s="1688" t="s">
        <v>88</v>
      </c>
      <c r="F9622" s="1688"/>
      <c r="G9622" s="1408" t="s">
        <v>23</v>
      </c>
      <c r="H9622" s="391">
        <v>15</v>
      </c>
      <c r="M9622" s="1357"/>
      <c r="Q9622" s="1357"/>
      <c r="S9622" s="1420"/>
      <c r="T9622" s="1420"/>
      <c r="V9622" s="1357">
        <v>89</v>
      </c>
    </row>
    <row r="9623" spans="1:22" s="841" customFormat="1" ht="15" x14ac:dyDescent="0.25">
      <c r="A9623" s="841" t="s">
        <v>623</v>
      </c>
      <c r="E9623" s="1688" t="s">
        <v>94</v>
      </c>
      <c r="F9623" s="1688"/>
      <c r="G9623" s="1408" t="s">
        <v>23</v>
      </c>
      <c r="H9623" s="391">
        <v>30</v>
      </c>
      <c r="M9623" s="1357"/>
      <c r="Q9623" s="1357"/>
      <c r="S9623" s="1420"/>
      <c r="T9623" s="1420"/>
      <c r="V9623" s="1357">
        <v>19</v>
      </c>
    </row>
    <row r="9624" spans="1:22" s="841" customFormat="1" ht="15" x14ac:dyDescent="0.25">
      <c r="A9624" s="841" t="s">
        <v>623</v>
      </c>
      <c r="E9624" s="1688" t="s">
        <v>92</v>
      </c>
      <c r="F9624" s="1688"/>
      <c r="G9624" s="1408" t="s">
        <v>23</v>
      </c>
      <c r="H9624" s="391">
        <v>30</v>
      </c>
      <c r="M9624" s="1357"/>
      <c r="Q9624" s="1357"/>
      <c r="S9624" s="1420"/>
      <c r="T9624" s="1420"/>
      <c r="V9624" s="1357">
        <v>74</v>
      </c>
    </row>
    <row r="9625" spans="1:22" s="841" customFormat="1" ht="15" x14ac:dyDescent="0.25">
      <c r="A9625" s="841" t="s">
        <v>623</v>
      </c>
      <c r="E9625" s="1370" t="s">
        <v>3152</v>
      </c>
      <c r="F9625" s="3"/>
      <c r="G9625" s="3"/>
      <c r="H9625" s="398"/>
      <c r="K9625" s="841" t="s">
        <v>4344</v>
      </c>
      <c r="M9625" s="1357"/>
      <c r="Q9625" s="1357"/>
      <c r="S9625" s="1420"/>
      <c r="T9625" s="1420"/>
      <c r="V9625" s="1357">
        <v>22</v>
      </c>
    </row>
    <row r="9626" spans="1:22" s="841" customFormat="1" ht="15" x14ac:dyDescent="0.25">
      <c r="A9626" s="841" t="s">
        <v>623</v>
      </c>
      <c r="E9626" s="1688" t="s">
        <v>5137</v>
      </c>
      <c r="F9626" s="1688"/>
      <c r="G9626" s="1408" t="s">
        <v>86</v>
      </c>
      <c r="H9626" s="391">
        <v>1.5</v>
      </c>
      <c r="M9626" s="1357"/>
      <c r="Q9626" s="1357"/>
      <c r="S9626" s="1420"/>
      <c r="T9626" s="1420"/>
      <c r="V9626" s="1357">
        <v>24</v>
      </c>
    </row>
    <row r="9627" spans="1:22" s="841" customFormat="1" ht="15" x14ac:dyDescent="0.25">
      <c r="A9627" s="841" t="s">
        <v>623</v>
      </c>
      <c r="E9627" s="1688" t="s">
        <v>4772</v>
      </c>
      <c r="F9627" s="1688"/>
      <c r="G9627" s="1408" t="s">
        <v>86</v>
      </c>
      <c r="H9627" s="391">
        <v>19.559999999999999</v>
      </c>
      <c r="M9627" s="1357"/>
      <c r="Q9627" s="1357"/>
      <c r="S9627" s="1420"/>
      <c r="T9627" s="1420"/>
      <c r="V9627" s="1357">
        <v>24</v>
      </c>
    </row>
    <row r="9628" spans="1:22" s="841" customFormat="1" ht="15" x14ac:dyDescent="0.25">
      <c r="A9628" s="841" t="s">
        <v>623</v>
      </c>
      <c r="E9628" s="1688" t="s">
        <v>3288</v>
      </c>
      <c r="F9628" s="1688"/>
      <c r="G9628" s="1408" t="s">
        <v>23</v>
      </c>
      <c r="H9628" s="391">
        <v>20</v>
      </c>
      <c r="M9628" s="1357"/>
      <c r="Q9628" s="1357"/>
      <c r="S9628" s="1420"/>
      <c r="T9628" s="1420"/>
      <c r="V9628" s="1357">
        <v>47</v>
      </c>
    </row>
    <row r="9629" spans="1:22" s="841" customFormat="1" ht="15" x14ac:dyDescent="0.25">
      <c r="A9629" s="841" t="s">
        <v>623</v>
      </c>
      <c r="E9629" s="1688" t="s">
        <v>3157</v>
      </c>
      <c r="F9629" s="1688"/>
      <c r="G9629" s="1408" t="s">
        <v>23</v>
      </c>
      <c r="H9629" s="391">
        <v>165</v>
      </c>
      <c r="M9629" s="1357"/>
      <c r="Q9629" s="1357"/>
      <c r="S9629" s="1420"/>
      <c r="T9629" s="1420"/>
      <c r="V9629" s="1357">
        <v>69</v>
      </c>
    </row>
    <row r="9630" spans="1:22" s="841" customFormat="1" ht="15" x14ac:dyDescent="0.25">
      <c r="A9630" s="841" t="s">
        <v>623</v>
      </c>
      <c r="E9630" s="1688" t="s">
        <v>4773</v>
      </c>
      <c r="F9630" s="1688"/>
      <c r="G9630" s="1408" t="s">
        <v>23</v>
      </c>
      <c r="H9630" s="391">
        <v>40</v>
      </c>
      <c r="M9630" s="1357"/>
      <c r="Q9630" s="1357"/>
      <c r="S9630" s="1420"/>
      <c r="T9630" s="1420"/>
      <c r="V9630" s="1357">
        <v>52</v>
      </c>
    </row>
    <row r="9631" spans="1:22" s="841" customFormat="1" ht="15" x14ac:dyDescent="0.25">
      <c r="A9631" s="841" t="s">
        <v>623</v>
      </c>
      <c r="E9631" s="1688" t="s">
        <v>4774</v>
      </c>
      <c r="F9631" s="1688"/>
      <c r="G9631" s="1408" t="s">
        <v>23</v>
      </c>
      <c r="H9631" s="391">
        <v>185</v>
      </c>
      <c r="M9631" s="1357"/>
      <c r="Q9631" s="1357"/>
      <c r="S9631" s="1420"/>
      <c r="T9631" s="1420"/>
      <c r="V9631" s="1357">
        <v>51</v>
      </c>
    </row>
    <row r="9632" spans="1:22" s="841" customFormat="1" ht="15" x14ac:dyDescent="0.25">
      <c r="A9632" s="841" t="s">
        <v>623</v>
      </c>
      <c r="E9632" s="1688" t="s">
        <v>4775</v>
      </c>
      <c r="F9632" s="1688"/>
      <c r="G9632" s="1408" t="s">
        <v>23</v>
      </c>
      <c r="H9632" s="391">
        <v>185</v>
      </c>
      <c r="M9632" s="1357"/>
      <c r="Q9632" s="1357"/>
      <c r="S9632" s="1420"/>
      <c r="T9632" s="1420"/>
      <c r="V9632" s="1357">
        <v>51</v>
      </c>
    </row>
    <row r="9633" spans="1:22" s="841" customFormat="1" ht="15" x14ac:dyDescent="0.25">
      <c r="A9633" s="841" t="s">
        <v>623</v>
      </c>
      <c r="E9633" s="1688" t="s">
        <v>4776</v>
      </c>
      <c r="F9633" s="1688"/>
      <c r="G9633" s="1408" t="s">
        <v>23</v>
      </c>
      <c r="H9633" s="391">
        <v>415</v>
      </c>
      <c r="M9633" s="1357"/>
      <c r="Q9633" s="1357"/>
      <c r="S9633" s="1420"/>
      <c r="T9633" s="1420"/>
      <c r="V9633" s="1357">
        <v>50</v>
      </c>
    </row>
    <row r="9634" spans="1:22" s="841" customFormat="1" ht="15" x14ac:dyDescent="0.25">
      <c r="A9634" s="841" t="s">
        <v>623</v>
      </c>
      <c r="E9634" s="1370" t="s">
        <v>3164</v>
      </c>
      <c r="F9634" s="3"/>
      <c r="G9634" s="3"/>
      <c r="H9634" s="398"/>
      <c r="M9634" s="1357"/>
      <c r="Q9634" s="1357"/>
      <c r="S9634" s="1420"/>
      <c r="T9634" s="1420"/>
      <c r="V9634" s="1357">
        <v>5</v>
      </c>
    </row>
    <row r="9635" spans="1:22" s="841" customFormat="1" ht="15" x14ac:dyDescent="0.25">
      <c r="A9635" s="841" t="s">
        <v>623</v>
      </c>
      <c r="E9635" s="1688" t="s">
        <v>3168</v>
      </c>
      <c r="F9635" s="1688"/>
      <c r="G9635" s="1408" t="s">
        <v>23</v>
      </c>
      <c r="H9635" s="391">
        <v>165</v>
      </c>
      <c r="M9635" s="1357"/>
      <c r="Q9635" s="1357"/>
      <c r="S9635" s="1420"/>
      <c r="T9635" s="1420"/>
      <c r="V9635" s="1357">
        <v>34</v>
      </c>
    </row>
    <row r="9636" spans="1:22" s="841" customFormat="1" ht="15" x14ac:dyDescent="0.25">
      <c r="A9636" s="841" t="s">
        <v>623</v>
      </c>
      <c r="E9636" s="1688" t="s">
        <v>3502</v>
      </c>
      <c r="F9636" s="1688"/>
      <c r="G9636" s="1408" t="s">
        <v>23</v>
      </c>
      <c r="H9636" s="391">
        <v>22.35</v>
      </c>
      <c r="M9636" s="1357"/>
      <c r="Q9636" s="1357"/>
      <c r="S9636" s="1420"/>
      <c r="T9636" s="1420"/>
      <c r="V9636" s="1357">
        <v>104</v>
      </c>
    </row>
    <row r="9637" spans="1:22" s="841" customFormat="1" ht="36.75" x14ac:dyDescent="0.3">
      <c r="A9637" s="841" t="s">
        <v>623</v>
      </c>
      <c r="E9637" s="1374" t="s">
        <v>77</v>
      </c>
      <c r="F9637" s="657"/>
      <c r="G9637" s="657"/>
      <c r="H9637" s="658"/>
      <c r="K9637" s="841" t="s">
        <v>4345</v>
      </c>
      <c r="M9637" s="1357"/>
      <c r="Q9637" s="1357"/>
      <c r="S9637" s="1420"/>
      <c r="T9637" s="1420"/>
      <c r="V9637" s="1357">
        <v>38</v>
      </c>
    </row>
    <row r="9638" spans="1:22" s="841" customFormat="1" ht="15" x14ac:dyDescent="0.25">
      <c r="A9638" s="841" t="s">
        <v>623</v>
      </c>
      <c r="E9638" s="1689" t="s">
        <v>3063</v>
      </c>
      <c r="F9638" s="1689"/>
      <c r="G9638" s="1689"/>
      <c r="H9638" s="1689"/>
      <c r="M9638" s="1357"/>
      <c r="Q9638" s="1357"/>
      <c r="S9638" s="1420"/>
      <c r="T9638" s="1420"/>
      <c r="V9638" s="1357">
        <v>280</v>
      </c>
    </row>
    <row r="9639" spans="1:22" s="841" customFormat="1" ht="15" x14ac:dyDescent="0.25">
      <c r="A9639" s="841" t="s">
        <v>623</v>
      </c>
      <c r="E9639" s="1689" t="s">
        <v>3064</v>
      </c>
      <c r="F9639" s="1689"/>
      <c r="G9639" s="1689"/>
      <c r="H9639" s="1689"/>
      <c r="M9639" s="1357"/>
      <c r="Q9639" s="1357"/>
      <c r="S9639" s="1420"/>
      <c r="T9639" s="1420"/>
      <c r="V9639" s="1357">
        <v>411</v>
      </c>
    </row>
    <row r="9640" spans="1:22" s="841" customFormat="1" ht="15" x14ac:dyDescent="0.25">
      <c r="A9640" s="841" t="s">
        <v>623</v>
      </c>
      <c r="E9640" s="1689" t="s">
        <v>3129</v>
      </c>
      <c r="F9640" s="1689"/>
      <c r="G9640" s="1689"/>
      <c r="H9640" s="1689"/>
      <c r="M9640" s="1357"/>
      <c r="Q9640" s="1357"/>
      <c r="S9640" s="1420"/>
      <c r="T9640" s="1420"/>
      <c r="V9640" s="1357">
        <v>211</v>
      </c>
    </row>
    <row r="9641" spans="1:22" s="841" customFormat="1" ht="15" x14ac:dyDescent="0.25">
      <c r="A9641" s="841" t="s">
        <v>623</v>
      </c>
      <c r="E9641" s="1689" t="s">
        <v>4340</v>
      </c>
      <c r="F9641" s="1689"/>
      <c r="G9641" s="1689"/>
      <c r="H9641" s="1689"/>
      <c r="M9641" s="1357"/>
      <c r="Q9641" s="1357"/>
      <c r="S9641" s="1420"/>
      <c r="T9641" s="1420"/>
      <c r="V9641" s="1357">
        <v>279</v>
      </c>
    </row>
    <row r="9642" spans="1:22" s="841" customFormat="1" ht="15" x14ac:dyDescent="0.25">
      <c r="A9642" s="841" t="s">
        <v>623</v>
      </c>
      <c r="E9642" s="1689" t="s">
        <v>3291</v>
      </c>
      <c r="F9642" s="1689"/>
      <c r="G9642" s="1689"/>
      <c r="H9642" s="1689"/>
      <c r="M9642" s="1357"/>
      <c r="Q9642" s="1357"/>
      <c r="S9642" s="1420"/>
      <c r="T9642" s="1420"/>
      <c r="V9642" s="1357">
        <v>142</v>
      </c>
    </row>
    <row r="9643" spans="1:22" s="841" customFormat="1" ht="15" x14ac:dyDescent="0.25">
      <c r="A9643" s="841" t="s">
        <v>623</v>
      </c>
      <c r="E9643" s="1690" t="s">
        <v>3176</v>
      </c>
      <c r="F9643" s="1690"/>
      <c r="G9643" s="397" t="s">
        <v>23</v>
      </c>
      <c r="H9643" s="391">
        <v>100</v>
      </c>
      <c r="M9643" s="1357"/>
      <c r="Q9643" s="1357"/>
      <c r="S9643" s="1420"/>
      <c r="T9643" s="1420"/>
      <c r="V9643" s="1357">
        <v>106</v>
      </c>
    </row>
    <row r="9644" spans="1:22" s="841" customFormat="1" ht="15" x14ac:dyDescent="0.25">
      <c r="A9644" s="841" t="s">
        <v>623</v>
      </c>
      <c r="E9644" s="1690" t="s">
        <v>3177</v>
      </c>
      <c r="F9644" s="1690"/>
      <c r="G9644" s="397" t="s">
        <v>23</v>
      </c>
      <c r="H9644" s="391">
        <v>20</v>
      </c>
      <c r="M9644" s="1357"/>
      <c r="Q9644" s="1357"/>
      <c r="S9644" s="1420"/>
      <c r="T9644" s="1420"/>
      <c r="V9644" s="1357">
        <v>34</v>
      </c>
    </row>
    <row r="9645" spans="1:22" s="841" customFormat="1" ht="15" x14ac:dyDescent="0.25">
      <c r="A9645" s="841" t="s">
        <v>623</v>
      </c>
      <c r="E9645" s="1690" t="s">
        <v>3178</v>
      </c>
      <c r="F9645" s="1690"/>
      <c r="G9645" s="397" t="s">
        <v>3179</v>
      </c>
      <c r="H9645" s="391">
        <v>0.5</v>
      </c>
      <c r="M9645" s="1357"/>
      <c r="Q9645" s="1357"/>
      <c r="S9645" s="1420"/>
      <c r="T9645" s="1420"/>
      <c r="V9645" s="1357">
        <v>51</v>
      </c>
    </row>
    <row r="9646" spans="1:22" s="841" customFormat="1" ht="15" x14ac:dyDescent="0.25">
      <c r="A9646" s="841" t="s">
        <v>623</v>
      </c>
      <c r="E9646" s="1690" t="s">
        <v>3180</v>
      </c>
      <c r="F9646" s="1690"/>
      <c r="G9646" s="397" t="s">
        <v>3179</v>
      </c>
      <c r="H9646" s="391">
        <v>0.3</v>
      </c>
      <c r="M9646" s="1357"/>
      <c r="Q9646" s="1357"/>
      <c r="S9646" s="1420"/>
      <c r="T9646" s="1420"/>
      <c r="V9646" s="1357">
        <v>75</v>
      </c>
    </row>
    <row r="9647" spans="1:22" s="841" customFormat="1" ht="15" x14ac:dyDescent="0.25">
      <c r="A9647" s="841" t="s">
        <v>623</v>
      </c>
      <c r="E9647" s="1690" t="s">
        <v>3181</v>
      </c>
      <c r="F9647" s="1690"/>
      <c r="G9647" s="397" t="s">
        <v>3179</v>
      </c>
      <c r="H9647" s="391">
        <v>-0.3</v>
      </c>
      <c r="M9647" s="1357"/>
      <c r="Q9647" s="1357"/>
      <c r="S9647" s="1420"/>
      <c r="T9647" s="1420"/>
      <c r="V9647" s="1357">
        <v>72</v>
      </c>
    </row>
    <row r="9648" spans="1:22" s="841" customFormat="1" ht="15" x14ac:dyDescent="0.25">
      <c r="A9648" s="841" t="s">
        <v>623</v>
      </c>
      <c r="E9648" s="1690" t="s">
        <v>3292</v>
      </c>
      <c r="F9648" s="1690"/>
      <c r="G9648" s="397"/>
      <c r="H9648" s="392"/>
      <c r="M9648" s="1357"/>
      <c r="Q9648" s="1357"/>
      <c r="S9648" s="1420"/>
      <c r="T9648" s="1420"/>
      <c r="V9648" s="1357">
        <v>34</v>
      </c>
    </row>
    <row r="9649" spans="1:22" s="841" customFormat="1" ht="15" x14ac:dyDescent="0.25">
      <c r="A9649" s="841" t="s">
        <v>623</v>
      </c>
      <c r="E9649" s="1691" t="s">
        <v>3183</v>
      </c>
      <c r="F9649" s="1691"/>
      <c r="G9649" s="397" t="s">
        <v>23</v>
      </c>
      <c r="H9649" s="391">
        <v>0.25</v>
      </c>
      <c r="M9649" s="1357"/>
      <c r="Q9649" s="1357"/>
      <c r="S9649" s="1420"/>
      <c r="T9649" s="1420"/>
      <c r="V9649" s="1357">
        <v>57</v>
      </c>
    </row>
    <row r="9650" spans="1:22" s="841" customFormat="1" ht="15" x14ac:dyDescent="0.25">
      <c r="A9650" s="841" t="s">
        <v>623</v>
      </c>
      <c r="E9650" s="1691" t="s">
        <v>3184</v>
      </c>
      <c r="F9650" s="1691"/>
      <c r="G9650" s="397" t="s">
        <v>23</v>
      </c>
      <c r="H9650" s="391">
        <v>0.5</v>
      </c>
      <c r="M9650" s="1357"/>
      <c r="Q9650" s="1357"/>
      <c r="S9650" s="1420"/>
      <c r="T9650" s="1420"/>
      <c r="V9650" s="1357">
        <v>60</v>
      </c>
    </row>
    <row r="9651" spans="1:22" s="841" customFormat="1" ht="15" x14ac:dyDescent="0.25">
      <c r="A9651" s="841" t="s">
        <v>623</v>
      </c>
      <c r="E9651" s="1690" t="s">
        <v>3185</v>
      </c>
      <c r="F9651" s="1690"/>
      <c r="G9651" s="397"/>
      <c r="H9651" s="392"/>
      <c r="M9651" s="1357"/>
      <c r="Q9651" s="1357"/>
      <c r="S9651" s="1420"/>
      <c r="T9651" s="1420"/>
      <c r="V9651" s="1357">
        <v>91</v>
      </c>
    </row>
    <row r="9652" spans="1:22" s="841" customFormat="1" ht="15" x14ac:dyDescent="0.25">
      <c r="A9652" s="841" t="s">
        <v>623</v>
      </c>
      <c r="E9652" s="1690" t="s">
        <v>3186</v>
      </c>
      <c r="F9652" s="1690"/>
      <c r="G9652" s="397"/>
      <c r="H9652" s="392"/>
      <c r="M9652" s="1357"/>
      <c r="Q9652" s="1357"/>
      <c r="S9652" s="1420"/>
      <c r="T9652" s="1420"/>
      <c r="V9652" s="1357">
        <v>96</v>
      </c>
    </row>
    <row r="9653" spans="1:22" s="841" customFormat="1" ht="15" x14ac:dyDescent="0.25">
      <c r="A9653" s="841" t="s">
        <v>623</v>
      </c>
      <c r="E9653" s="1690" t="s">
        <v>3293</v>
      </c>
      <c r="F9653" s="1690"/>
      <c r="G9653" s="397"/>
      <c r="H9653" s="392"/>
      <c r="M9653" s="1357"/>
      <c r="Q9653" s="1357"/>
      <c r="S9653" s="1420"/>
      <c r="T9653" s="1420"/>
      <c r="V9653" s="1357">
        <v>77</v>
      </c>
    </row>
    <row r="9654" spans="1:22" s="841" customFormat="1" ht="15" x14ac:dyDescent="0.25">
      <c r="A9654" s="841" t="s">
        <v>623</v>
      </c>
      <c r="E9654" s="1691" t="s">
        <v>3188</v>
      </c>
      <c r="F9654" s="1691"/>
      <c r="G9654" s="397" t="s">
        <v>23</v>
      </c>
      <c r="H9654" s="392" t="s">
        <v>3189</v>
      </c>
      <c r="M9654" s="1357"/>
      <c r="Q9654" s="1357"/>
      <c r="S9654" s="1420"/>
      <c r="T9654" s="1420"/>
      <c r="V9654" s="1357">
        <v>18</v>
      </c>
    </row>
    <row r="9655" spans="1:22" s="841" customFormat="1" ht="15" x14ac:dyDescent="0.25">
      <c r="A9655" s="841" t="s">
        <v>623</v>
      </c>
      <c r="E9655" s="1691" t="s">
        <v>3190</v>
      </c>
      <c r="F9655" s="1691"/>
      <c r="G9655" s="397" t="s">
        <v>23</v>
      </c>
      <c r="H9655" s="391">
        <v>2</v>
      </c>
      <c r="M9655" s="1357"/>
      <c r="Q9655" s="1357"/>
      <c r="S9655" s="1420"/>
      <c r="T9655" s="1420"/>
      <c r="V9655" s="1357">
        <v>69</v>
      </c>
    </row>
    <row r="9656" spans="1:22" s="841" customFormat="1" ht="18.75" x14ac:dyDescent="0.3">
      <c r="A9656" s="841" t="s">
        <v>623</v>
      </c>
      <c r="E9656" s="1374" t="s">
        <v>147</v>
      </c>
      <c r="F9656" s="657"/>
      <c r="G9656" s="657"/>
      <c r="H9656" s="658"/>
      <c r="K9656" s="841" t="s">
        <v>4346</v>
      </c>
      <c r="M9656" s="1357"/>
      <c r="Q9656" s="1357"/>
      <c r="S9656" s="1420"/>
      <c r="T9656" s="1420"/>
      <c r="V9656" s="1357">
        <v>12</v>
      </c>
    </row>
    <row r="9657" spans="1:22" s="841" customFormat="1" ht="15" x14ac:dyDescent="0.25">
      <c r="A9657" s="841" t="s">
        <v>623</v>
      </c>
      <c r="E9657" s="1704" t="s">
        <v>3192</v>
      </c>
      <c r="F9657" s="1704"/>
      <c r="G9657" s="1704"/>
      <c r="H9657" s="1704"/>
      <c r="M9657" s="1357"/>
      <c r="Q9657" s="1357"/>
      <c r="S9657" s="1420"/>
      <c r="T9657" s="1420"/>
      <c r="V9657" s="1357">
        <v>203</v>
      </c>
    </row>
    <row r="9658" spans="1:22" s="841" customFormat="1" ht="15" x14ac:dyDescent="0.25">
      <c r="A9658" s="841" t="s">
        <v>623</v>
      </c>
      <c r="E9658" s="1690" t="s">
        <v>3295</v>
      </c>
      <c r="F9658" s="1690"/>
      <c r="G9658" s="1408"/>
      <c r="H9658" s="393">
        <v>1.071</v>
      </c>
      <c r="M9658" s="1357"/>
      <c r="Q9658" s="1357"/>
      <c r="S9658" s="1420"/>
      <c r="T9658" s="1420"/>
      <c r="V9658" s="1357">
        <v>57</v>
      </c>
    </row>
    <row r="9659" spans="1:22" s="841" customFormat="1" ht="15" x14ac:dyDescent="0.25">
      <c r="A9659" s="841" t="s">
        <v>623</v>
      </c>
      <c r="E9659" s="1690" t="s">
        <v>3297</v>
      </c>
      <c r="F9659" s="1690"/>
      <c r="G9659" s="1408"/>
      <c r="H9659" s="393">
        <v>1.0603</v>
      </c>
      <c r="J9659" s="841" t="s">
        <v>4347</v>
      </c>
      <c r="M9659" s="1357"/>
      <c r="Q9659" s="1357"/>
      <c r="S9659" s="1420"/>
      <c r="T9659" s="1420"/>
      <c r="V9659" s="1357">
        <v>55</v>
      </c>
    </row>
    <row r="9660" spans="1:22" s="841" customFormat="1" ht="23.25" x14ac:dyDescent="0.25">
      <c r="A9660" s="841" t="s">
        <v>190</v>
      </c>
      <c r="C9660" s="841" t="s">
        <v>3050</v>
      </c>
      <c r="E9660" s="1911" t="s">
        <v>190</v>
      </c>
      <c r="F9660" s="1699"/>
      <c r="G9660" s="1699"/>
      <c r="H9660" s="1699"/>
      <c r="I9660" s="841" t="s">
        <v>628</v>
      </c>
      <c r="J9660" s="841" t="s">
        <v>3542</v>
      </c>
      <c r="K9660" s="841" t="s">
        <v>190</v>
      </c>
      <c r="M9660" s="1357">
        <v>6</v>
      </c>
      <c r="Q9660" s="1357"/>
      <c r="S9660" s="1420"/>
      <c r="T9660" s="1420"/>
      <c r="V9660" s="1357">
        <v>27</v>
      </c>
    </row>
    <row r="9661" spans="1:22" s="841" customFormat="1" x14ac:dyDescent="0.25">
      <c r="A9661" s="841" t="s">
        <v>190</v>
      </c>
      <c r="C9661" s="841" t="s">
        <v>3052</v>
      </c>
      <c r="E9661" s="1912" t="s">
        <v>3053</v>
      </c>
      <c r="F9661" s="1700"/>
      <c r="G9661" s="1700"/>
      <c r="H9661" s="1700"/>
      <c r="M9661" s="1357"/>
      <c r="Q9661" s="1357"/>
      <c r="S9661" s="1420"/>
      <c r="T9661" s="1420"/>
      <c r="V9661" s="1357">
        <v>27</v>
      </c>
    </row>
    <row r="9662" spans="1:22" s="841" customFormat="1" ht="15.75" x14ac:dyDescent="0.25">
      <c r="A9662" s="841" t="s">
        <v>190</v>
      </c>
      <c r="C9662" s="841" t="s">
        <v>3054</v>
      </c>
      <c r="E9662" s="1913" t="s">
        <v>5107</v>
      </c>
      <c r="F9662" s="1701"/>
      <c r="G9662" s="1701"/>
      <c r="H9662" s="1701"/>
      <c r="M9662" s="1357"/>
      <c r="Q9662" s="1357"/>
      <c r="S9662" s="1420">
        <v>43221</v>
      </c>
      <c r="T9662" s="1420"/>
      <c r="V9662" s="1357">
        <v>45</v>
      </c>
    </row>
    <row r="9663" spans="1:22" s="841" customFormat="1" ht="15" x14ac:dyDescent="0.25">
      <c r="A9663" s="841" t="s">
        <v>190</v>
      </c>
      <c r="C9663" s="841" t="s">
        <v>3055</v>
      </c>
      <c r="E9663" s="1914" t="s">
        <v>3056</v>
      </c>
      <c r="F9663" s="1702"/>
      <c r="G9663" s="1702"/>
      <c r="H9663" s="1702"/>
      <c r="M9663" s="1357"/>
      <c r="Q9663" s="1357"/>
      <c r="S9663" s="1420"/>
      <c r="T9663" s="1420"/>
      <c r="V9663" s="1357">
        <v>52</v>
      </c>
    </row>
    <row r="9664" spans="1:22" s="841" customFormat="1" ht="15" x14ac:dyDescent="0.25">
      <c r="A9664" s="841" t="s">
        <v>190</v>
      </c>
      <c r="E9664" s="1914" t="s">
        <v>3057</v>
      </c>
      <c r="F9664" s="1702"/>
      <c r="G9664" s="1702"/>
      <c r="H9664" s="1702"/>
      <c r="M9664" s="1357"/>
      <c r="Q9664" s="1357"/>
      <c r="S9664" s="1420"/>
      <c r="T9664" s="1420"/>
      <c r="V9664" s="1357">
        <v>53</v>
      </c>
    </row>
    <row r="9665" spans="1:22" s="841" customFormat="1" ht="15" x14ac:dyDescent="0.25">
      <c r="A9665" s="841" t="s">
        <v>190</v>
      </c>
      <c r="E9665" s="1925" t="s">
        <v>5756</v>
      </c>
      <c r="F9665" s="1703"/>
      <c r="G9665" s="1703"/>
      <c r="H9665" s="1703"/>
      <c r="K9665" s="841" t="s">
        <v>5756</v>
      </c>
      <c r="M9665" s="1357"/>
      <c r="Q9665" s="1357"/>
      <c r="S9665" s="1420"/>
      <c r="T9665" s="1420"/>
      <c r="V9665" s="1357">
        <v>12</v>
      </c>
    </row>
    <row r="9666" spans="1:22" s="841" customFormat="1" ht="15" x14ac:dyDescent="0.25">
      <c r="A9666" s="841" t="s">
        <v>190</v>
      </c>
      <c r="E9666" s="1909" t="s">
        <v>438</v>
      </c>
      <c r="F9666" s="1697"/>
      <c r="G9666" s="1697"/>
      <c r="H9666" s="1697"/>
      <c r="K9666" s="841" t="s">
        <v>3197</v>
      </c>
      <c r="M9666" s="1357"/>
      <c r="Q9666" s="1357"/>
      <c r="S9666" s="1420"/>
      <c r="T9666" s="1420"/>
      <c r="V9666" s="1357">
        <v>34</v>
      </c>
    </row>
    <row r="9667" spans="1:22" s="841" customFormat="1" ht="15" x14ac:dyDescent="0.25">
      <c r="A9667" s="841" t="s">
        <v>190</v>
      </c>
      <c r="E9667" s="1689" t="s">
        <v>3543</v>
      </c>
      <c r="F9667" s="1697"/>
      <c r="G9667" s="1697"/>
      <c r="H9667" s="1697"/>
      <c r="K9667" s="841" t="s">
        <v>3197</v>
      </c>
      <c r="M9667" s="1357"/>
      <c r="Q9667" s="1357"/>
      <c r="S9667" s="1420"/>
      <c r="T9667" s="1420"/>
      <c r="V9667" s="1357">
        <v>618</v>
      </c>
    </row>
    <row r="9668" spans="1:22" s="841" customFormat="1" ht="15" x14ac:dyDescent="0.25">
      <c r="A9668" s="841" t="s">
        <v>190</v>
      </c>
      <c r="E9668" s="1916" t="s">
        <v>3061</v>
      </c>
      <c r="F9668" s="1697"/>
      <c r="G9668" s="1697"/>
      <c r="H9668" s="1697"/>
      <c r="K9668" s="841" t="s">
        <v>3062</v>
      </c>
      <c r="M9668" s="1357"/>
      <c r="Q9668" s="1357"/>
      <c r="S9668" s="1420"/>
      <c r="T9668" s="1420"/>
      <c r="V9668" s="1357">
        <v>11</v>
      </c>
    </row>
    <row r="9669" spans="1:22" s="841" customFormat="1" ht="15" x14ac:dyDescent="0.25">
      <c r="A9669" s="841" t="s">
        <v>190</v>
      </c>
      <c r="E9669" s="1689" t="s">
        <v>3063</v>
      </c>
      <c r="F9669" s="1697"/>
      <c r="G9669" s="1697"/>
      <c r="H9669" s="1697"/>
      <c r="K9669" s="841" t="s">
        <v>3197</v>
      </c>
      <c r="M9669" s="1357"/>
      <c r="Q9669" s="1357"/>
      <c r="S9669" s="1420"/>
      <c r="T9669" s="1420"/>
      <c r="V9669" s="1357">
        <v>280</v>
      </c>
    </row>
    <row r="9670" spans="1:22" s="841" customFormat="1" ht="15" x14ac:dyDescent="0.25">
      <c r="A9670" s="841" t="s">
        <v>190</v>
      </c>
      <c r="E9670" s="1689" t="s">
        <v>3064</v>
      </c>
      <c r="F9670" s="1697"/>
      <c r="G9670" s="1697"/>
      <c r="H9670" s="1697"/>
      <c r="K9670" s="841" t="s">
        <v>3197</v>
      </c>
      <c r="M9670" s="1357"/>
      <c r="Q9670" s="1357"/>
      <c r="S9670" s="1420"/>
      <c r="T9670" s="1420"/>
      <c r="V9670" s="1357">
        <v>411</v>
      </c>
    </row>
    <row r="9671" spans="1:22" s="841" customFormat="1" ht="15" x14ac:dyDescent="0.25">
      <c r="A9671" s="841" t="s">
        <v>190</v>
      </c>
      <c r="E9671" s="1689" t="s">
        <v>3199</v>
      </c>
      <c r="F9671" s="1697"/>
      <c r="G9671" s="1697"/>
      <c r="H9671" s="1697"/>
      <c r="K9671" s="841" t="s">
        <v>3197</v>
      </c>
      <c r="M9671" s="1357"/>
      <c r="Q9671" s="1357"/>
      <c r="S9671" s="1420"/>
      <c r="T9671" s="1420"/>
      <c r="V9671" s="1357">
        <v>386</v>
      </c>
    </row>
    <row r="9672" spans="1:22" s="841" customFormat="1" ht="15" x14ac:dyDescent="0.25">
      <c r="A9672" s="841" t="s">
        <v>190</v>
      </c>
      <c r="E9672" s="1689" t="s">
        <v>3390</v>
      </c>
      <c r="F9672" s="1697"/>
      <c r="G9672" s="1697"/>
      <c r="H9672" s="1697"/>
      <c r="K9672" s="841" t="s">
        <v>3197</v>
      </c>
      <c r="M9672" s="1357"/>
      <c r="Q9672" s="1357"/>
      <c r="S9672" s="1420"/>
      <c r="T9672" s="1420"/>
      <c r="V9672" s="1357">
        <v>274</v>
      </c>
    </row>
    <row r="9673" spans="1:22" s="841" customFormat="1" ht="15" x14ac:dyDescent="0.25">
      <c r="A9673" s="841" t="s">
        <v>190</v>
      </c>
      <c r="E9673" s="1694" t="s">
        <v>3067</v>
      </c>
      <c r="F9673" s="1907"/>
      <c r="G9673" s="1907"/>
      <c r="H9673" s="1907"/>
      <c r="K9673" s="841" t="s">
        <v>3068</v>
      </c>
      <c r="M9673" s="1357"/>
      <c r="Q9673" s="1357"/>
      <c r="S9673" s="1420"/>
      <c r="T9673" s="1420"/>
      <c r="V9673" s="1357">
        <v>46</v>
      </c>
    </row>
    <row r="9674" spans="1:22" s="841" customFormat="1" ht="15" x14ac:dyDescent="0.25">
      <c r="A9674" s="841" t="s">
        <v>190</v>
      </c>
      <c r="E9674" s="1690" t="s">
        <v>11</v>
      </c>
      <c r="F9674" s="1690"/>
      <c r="G9674" s="1408" t="s">
        <v>23</v>
      </c>
      <c r="H9674" s="391">
        <v>33.76</v>
      </c>
      <c r="K9674" s="841" t="s">
        <v>3197</v>
      </c>
      <c r="L9674" s="841" t="s">
        <v>442</v>
      </c>
      <c r="M9674" s="1357"/>
      <c r="P9674" s="841" t="s">
        <v>3201</v>
      </c>
      <c r="Q9674" s="1357"/>
      <c r="S9674" s="1420"/>
      <c r="T9674" s="1420"/>
      <c r="V9674" s="1357">
        <v>14</v>
      </c>
    </row>
    <row r="9675" spans="1:22" s="841" customFormat="1" ht="15" x14ac:dyDescent="0.25">
      <c r="A9675" s="841" t="s">
        <v>190</v>
      </c>
      <c r="E9675" s="1690" t="s">
        <v>5109</v>
      </c>
      <c r="F9675" s="1690"/>
      <c r="G9675" s="1408" t="s">
        <v>23</v>
      </c>
      <c r="H9675" s="391">
        <v>0.56999999999999995</v>
      </c>
      <c r="K9675" s="841" t="s">
        <v>3197</v>
      </c>
      <c r="L9675" s="841" t="s">
        <v>443</v>
      </c>
      <c r="M9675" s="1357"/>
      <c r="P9675" s="841" t="s">
        <v>3202</v>
      </c>
      <c r="Q9675" s="1357"/>
      <c r="S9675" s="1420"/>
      <c r="T9675" s="1420">
        <v>44926</v>
      </c>
      <c r="V9675" s="1357">
        <v>64</v>
      </c>
    </row>
    <row r="9676" spans="1:22" s="841" customFormat="1" ht="15" x14ac:dyDescent="0.25">
      <c r="A9676" s="841" t="s">
        <v>190</v>
      </c>
      <c r="E9676" s="1690" t="s">
        <v>3544</v>
      </c>
      <c r="F9676" s="1690"/>
      <c r="G9676" s="1408" t="s">
        <v>23</v>
      </c>
      <c r="H9676" s="391">
        <v>0.16</v>
      </c>
      <c r="K9676" s="841" t="s">
        <v>3197</v>
      </c>
      <c r="L9676" s="841" t="s">
        <v>442</v>
      </c>
      <c r="M9676" s="1357"/>
      <c r="P9676" s="841" t="s">
        <v>3207</v>
      </c>
      <c r="Q9676" s="1357"/>
      <c r="S9676" s="1420"/>
      <c r="T9676" s="1420">
        <v>43585</v>
      </c>
      <c r="V9676" s="1357">
        <v>104</v>
      </c>
    </row>
    <row r="9677" spans="1:22" s="841" customFormat="1" ht="15" x14ac:dyDescent="0.25">
      <c r="A9677" s="841" t="s">
        <v>190</v>
      </c>
      <c r="E9677" s="1690" t="s">
        <v>84</v>
      </c>
      <c r="F9677" s="1690"/>
      <c r="G9677" s="1408" t="s">
        <v>24</v>
      </c>
      <c r="H9677" s="393">
        <v>4.7000000000000002E-3</v>
      </c>
      <c r="K9677" s="841" t="s">
        <v>3197</v>
      </c>
      <c r="L9677" s="841" t="s">
        <v>442</v>
      </c>
      <c r="M9677" s="1357"/>
      <c r="P9677" s="841" t="s">
        <v>3203</v>
      </c>
      <c r="Q9677" s="1357"/>
      <c r="S9677" s="1420"/>
      <c r="T9677" s="1420"/>
      <c r="V9677" s="1357">
        <v>28</v>
      </c>
    </row>
    <row r="9678" spans="1:22" s="841" customFormat="1" ht="15" x14ac:dyDescent="0.25">
      <c r="A9678" s="841" t="s">
        <v>190</v>
      </c>
      <c r="E9678" s="1690" t="s">
        <v>18</v>
      </c>
      <c r="F9678" s="1690"/>
      <c r="G9678" s="1408" t="s">
        <v>24</v>
      </c>
      <c r="H9678" s="393">
        <v>1.6000000000000001E-3</v>
      </c>
      <c r="K9678" s="841" t="s">
        <v>3197</v>
      </c>
      <c r="L9678" s="841" t="s">
        <v>443</v>
      </c>
      <c r="M9678" s="1357"/>
      <c r="P9678" s="841" t="s">
        <v>3204</v>
      </c>
      <c r="Q9678" s="1357"/>
      <c r="S9678" s="1420"/>
      <c r="T9678" s="1420"/>
      <c r="V9678" s="1357">
        <v>24</v>
      </c>
    </row>
    <row r="9679" spans="1:22" s="841" customFormat="1" ht="15" x14ac:dyDescent="0.25">
      <c r="A9679" s="841" t="s">
        <v>190</v>
      </c>
      <c r="E9679" s="1690" t="s">
        <v>5749</v>
      </c>
      <c r="F9679" s="1908"/>
      <c r="G9679" s="1408" t="s">
        <v>24</v>
      </c>
      <c r="H9679" s="393">
        <v>-1E-3</v>
      </c>
      <c r="K9679" s="841" t="s">
        <v>3197</v>
      </c>
      <c r="L9679" s="841" t="s">
        <v>443</v>
      </c>
      <c r="M9679" s="1357"/>
      <c r="P9679" s="841" t="s">
        <v>3205</v>
      </c>
      <c r="Q9679" s="1357"/>
      <c r="S9679" s="1420"/>
      <c r="T9679" s="1420">
        <v>43951</v>
      </c>
      <c r="V9679" s="1357">
        <v>139</v>
      </c>
    </row>
    <row r="9680" spans="1:22" s="841" customFormat="1" ht="15" x14ac:dyDescent="0.25">
      <c r="A9680" s="841" t="s">
        <v>190</v>
      </c>
      <c r="E9680" s="1690" t="s">
        <v>5751</v>
      </c>
      <c r="F9680" s="1908"/>
      <c r="G9680" s="1408" t="s">
        <v>24</v>
      </c>
      <c r="H9680" s="393">
        <v>-5.0000000000000001E-4</v>
      </c>
      <c r="K9680" s="841" t="s">
        <v>3197</v>
      </c>
      <c r="L9680" s="841" t="s">
        <v>443</v>
      </c>
      <c r="M9680" s="1357"/>
      <c r="P9680" s="841" t="s">
        <v>3207</v>
      </c>
      <c r="Q9680" s="1357"/>
      <c r="S9680" s="1420"/>
      <c r="T9680" s="1420">
        <v>43951</v>
      </c>
      <c r="V9680" s="1357">
        <v>96</v>
      </c>
    </row>
    <row r="9681" spans="1:22" s="841" customFormat="1" ht="15" x14ac:dyDescent="0.25">
      <c r="A9681" s="841" t="s">
        <v>190</v>
      </c>
      <c r="E9681" s="1690" t="s">
        <v>5757</v>
      </c>
      <c r="F9681" s="1690"/>
      <c r="G9681" s="1408" t="s">
        <v>24</v>
      </c>
      <c r="H9681" s="393">
        <v>2.0000000000000001E-4</v>
      </c>
      <c r="K9681" s="841" t="s">
        <v>3197</v>
      </c>
      <c r="L9681" s="841" t="s">
        <v>443</v>
      </c>
      <c r="M9681" s="1357"/>
      <c r="P9681" s="841" t="s">
        <v>3205</v>
      </c>
      <c r="Q9681" s="1357"/>
      <c r="S9681" s="1420"/>
      <c r="T9681" s="1420">
        <v>43585</v>
      </c>
      <c r="V9681" s="1357">
        <v>142</v>
      </c>
    </row>
    <row r="9682" spans="1:22" s="841" customFormat="1" ht="15" x14ac:dyDescent="0.25">
      <c r="A9682" s="841" t="s">
        <v>190</v>
      </c>
      <c r="E9682" s="1690" t="s">
        <v>3545</v>
      </c>
      <c r="F9682" s="1690"/>
      <c r="G9682" s="1408" t="s">
        <v>24</v>
      </c>
      <c r="H9682" s="393">
        <v>-1.1000000000000001E-3</v>
      </c>
      <c r="K9682" s="841" t="s">
        <v>3197</v>
      </c>
      <c r="L9682" s="841" t="s">
        <v>443</v>
      </c>
      <c r="M9682" s="1357"/>
      <c r="P9682" s="841" t="s">
        <v>3207</v>
      </c>
      <c r="Q9682" s="1357"/>
      <c r="S9682" s="1420"/>
      <c r="T9682" s="1420">
        <v>43585</v>
      </c>
      <c r="V9682" s="1357">
        <v>96</v>
      </c>
    </row>
    <row r="9683" spans="1:22" s="841" customFormat="1" ht="15" x14ac:dyDescent="0.25">
      <c r="A9683" s="841" t="s">
        <v>190</v>
      </c>
      <c r="E9683" s="1690" t="s">
        <v>5758</v>
      </c>
      <c r="F9683" s="1690"/>
      <c r="G9683" s="1408" t="s">
        <v>24</v>
      </c>
      <c r="H9683" s="393">
        <v>-1E-4</v>
      </c>
      <c r="K9683" s="841" t="s">
        <v>3197</v>
      </c>
      <c r="L9683" s="841" t="s">
        <v>442</v>
      </c>
      <c r="M9683" s="1357"/>
      <c r="P9683" s="841" t="s">
        <v>3206</v>
      </c>
      <c r="Q9683" s="1357"/>
      <c r="S9683" s="1420"/>
      <c r="T9683" s="1420">
        <v>43585</v>
      </c>
      <c r="V9683" s="1357">
        <v>350</v>
      </c>
    </row>
    <row r="9684" spans="1:22" s="841" customFormat="1" ht="15" x14ac:dyDescent="0.25">
      <c r="A9684" s="841" t="s">
        <v>190</v>
      </c>
      <c r="E9684" s="1690" t="s">
        <v>221</v>
      </c>
      <c r="F9684" s="1690"/>
      <c r="G9684" s="1408" t="s">
        <v>24</v>
      </c>
      <c r="H9684" s="393">
        <v>6.3E-3</v>
      </c>
      <c r="K9684" s="841" t="s">
        <v>3197</v>
      </c>
      <c r="L9684" s="841" t="s">
        <v>444</v>
      </c>
      <c r="M9684" s="1357"/>
      <c r="P9684" s="841" t="s">
        <v>3208</v>
      </c>
      <c r="Q9684" s="1357"/>
      <c r="S9684" s="1420"/>
      <c r="T9684" s="1420"/>
      <c r="V9684" s="1357">
        <v>47</v>
      </c>
    </row>
    <row r="9685" spans="1:22" s="841" customFormat="1" ht="15" x14ac:dyDescent="0.25">
      <c r="A9685" s="841" t="s">
        <v>190</v>
      </c>
      <c r="E9685" s="1690" t="s">
        <v>217</v>
      </c>
      <c r="F9685" s="1690"/>
      <c r="G9685" s="1408" t="s">
        <v>24</v>
      </c>
      <c r="H9685" s="393">
        <v>3.3E-3</v>
      </c>
      <c r="K9685" s="841" t="s">
        <v>3197</v>
      </c>
      <c r="L9685" s="841" t="s">
        <v>444</v>
      </c>
      <c r="M9685" s="1357"/>
      <c r="P9685" s="841" t="s">
        <v>3209</v>
      </c>
      <c r="Q9685" s="1357"/>
      <c r="S9685" s="1420"/>
      <c r="T9685" s="1420"/>
      <c r="V9685" s="1357">
        <v>74</v>
      </c>
    </row>
    <row r="9686" spans="1:22" s="841" customFormat="1" ht="15" x14ac:dyDescent="0.25">
      <c r="A9686" s="841" t="s">
        <v>190</v>
      </c>
      <c r="E9686" s="1694" t="s">
        <v>3079</v>
      </c>
      <c r="F9686" s="1906"/>
      <c r="G9686" s="1408"/>
      <c r="H9686" s="1408"/>
      <c r="K9686" s="841" t="s">
        <v>3080</v>
      </c>
      <c r="M9686" s="1357"/>
      <c r="Q9686" s="1357"/>
      <c r="S9686" s="1420"/>
      <c r="T9686" s="1420"/>
      <c r="V9686" s="1357">
        <v>48</v>
      </c>
    </row>
    <row r="9687" spans="1:22" s="841" customFormat="1" ht="15" x14ac:dyDescent="0.25">
      <c r="A9687" s="841" t="s">
        <v>190</v>
      </c>
      <c r="E9687" s="1690" t="s">
        <v>2449</v>
      </c>
      <c r="F9687" s="1690"/>
      <c r="G9687" s="1408" t="s">
        <v>24</v>
      </c>
      <c r="H9687" s="393">
        <v>3.2000000000000002E-3</v>
      </c>
      <c r="K9687" s="841" t="s">
        <v>3197</v>
      </c>
      <c r="L9687" s="841" t="s">
        <v>3046</v>
      </c>
      <c r="M9687" s="1357"/>
      <c r="P9687" s="841" t="s">
        <v>3210</v>
      </c>
      <c r="Q9687" s="1357"/>
      <c r="S9687" s="1420"/>
      <c r="T9687" s="1420"/>
      <c r="V9687" s="1357">
        <v>55</v>
      </c>
    </row>
    <row r="9688" spans="1:22" s="841" customFormat="1" ht="15" x14ac:dyDescent="0.25">
      <c r="A9688" s="841" t="s">
        <v>190</v>
      </c>
      <c r="E9688" s="1690" t="s">
        <v>2450</v>
      </c>
      <c r="F9688" s="1690"/>
      <c r="G9688" s="1408" t="s">
        <v>24</v>
      </c>
      <c r="H9688" s="393">
        <v>4.0000000000000002E-4</v>
      </c>
      <c r="K9688" s="841" t="s">
        <v>3197</v>
      </c>
      <c r="L9688" s="841" t="s">
        <v>3046</v>
      </c>
      <c r="M9688" s="1357"/>
      <c r="P9688" s="841" t="s">
        <v>3210</v>
      </c>
      <c r="Q9688" s="1357"/>
      <c r="S9688" s="1420"/>
      <c r="T9688" s="1420"/>
      <c r="V9688" s="1357">
        <v>65</v>
      </c>
    </row>
    <row r="9689" spans="1:22" s="841" customFormat="1" ht="15" x14ac:dyDescent="0.25">
      <c r="A9689" s="841" t="s">
        <v>190</v>
      </c>
      <c r="E9689" s="1690" t="s">
        <v>439</v>
      </c>
      <c r="F9689" s="1690"/>
      <c r="G9689" s="1408" t="s">
        <v>24</v>
      </c>
      <c r="H9689" s="393">
        <v>2.9999999999999997E-4</v>
      </c>
      <c r="K9689" s="841" t="s">
        <v>3197</v>
      </c>
      <c r="L9689" s="841" t="s">
        <v>3046</v>
      </c>
      <c r="M9689" s="1357"/>
      <c r="P9689" s="841" t="s">
        <v>3212</v>
      </c>
      <c r="Q9689" s="1357"/>
      <c r="S9689" s="1420"/>
      <c r="T9689" s="1420"/>
      <c r="V9689" s="1357">
        <v>57</v>
      </c>
    </row>
    <row r="9690" spans="1:22" s="841" customFormat="1" ht="15" x14ac:dyDescent="0.25">
      <c r="A9690" s="841" t="s">
        <v>190</v>
      </c>
      <c r="E9690" s="1690" t="s">
        <v>32</v>
      </c>
      <c r="F9690" s="1690"/>
      <c r="G9690" s="1408" t="s">
        <v>23</v>
      </c>
      <c r="H9690" s="391">
        <v>0.25</v>
      </c>
      <c r="K9690" s="841" t="s">
        <v>3197</v>
      </c>
      <c r="L9690" s="841" t="s">
        <v>3046</v>
      </c>
      <c r="M9690" s="1357"/>
      <c r="P9690" s="841" t="s">
        <v>3213</v>
      </c>
      <c r="Q9690" s="1357"/>
      <c r="S9690" s="1420"/>
      <c r="T9690" s="1420"/>
      <c r="V9690" s="1357">
        <v>63</v>
      </c>
    </row>
    <row r="9691" spans="1:22" s="841" customFormat="1" x14ac:dyDescent="0.25">
      <c r="A9691" s="841" t="s">
        <v>190</v>
      </c>
      <c r="E9691" s="1909" t="s">
        <v>3214</v>
      </c>
      <c r="F9691" s="1915"/>
      <c r="G9691" s="1915"/>
      <c r="H9691" s="1915"/>
      <c r="K9691" s="841" t="s">
        <v>5110</v>
      </c>
      <c r="M9691" s="1357"/>
      <c r="Q9691" s="1357"/>
      <c r="S9691" s="1420"/>
      <c r="T9691" s="1420"/>
      <c r="V9691" s="1357">
        <v>54</v>
      </c>
    </row>
    <row r="9692" spans="1:22" s="841" customFormat="1" ht="15" x14ac:dyDescent="0.25">
      <c r="A9692" s="841" t="s">
        <v>190</v>
      </c>
      <c r="E9692" s="1689" t="s">
        <v>3546</v>
      </c>
      <c r="F9692" s="1697"/>
      <c r="G9692" s="1697"/>
      <c r="H9692" s="1697"/>
      <c r="K9692" s="841" t="s">
        <v>5110</v>
      </c>
      <c r="M9692" s="1357"/>
      <c r="Q9692" s="1357"/>
      <c r="S9692" s="1420"/>
      <c r="T9692" s="1420"/>
      <c r="V9692" s="1357">
        <v>331</v>
      </c>
    </row>
    <row r="9693" spans="1:22" s="841" customFormat="1" ht="15" x14ac:dyDescent="0.25">
      <c r="A9693" s="841" t="s">
        <v>190</v>
      </c>
      <c r="E9693" s="1916" t="s">
        <v>3061</v>
      </c>
      <c r="F9693" s="1697"/>
      <c r="G9693" s="1697"/>
      <c r="H9693" s="1697"/>
      <c r="K9693" s="841" t="s">
        <v>3086</v>
      </c>
      <c r="M9693" s="1357"/>
      <c r="Q9693" s="1357"/>
      <c r="S9693" s="1420"/>
      <c r="T9693" s="1420"/>
      <c r="V9693" s="1357">
        <v>11</v>
      </c>
    </row>
    <row r="9694" spans="1:22" s="841" customFormat="1" ht="15" x14ac:dyDescent="0.25">
      <c r="A9694" s="841" t="s">
        <v>190</v>
      </c>
      <c r="E9694" s="1689" t="s">
        <v>3063</v>
      </c>
      <c r="F9694" s="1697"/>
      <c r="G9694" s="1697"/>
      <c r="H9694" s="1697"/>
      <c r="K9694" s="841" t="s">
        <v>5110</v>
      </c>
      <c r="M9694" s="1357"/>
      <c r="Q9694" s="1357"/>
      <c r="S9694" s="1420"/>
      <c r="T9694" s="1420"/>
      <c r="V9694" s="1357">
        <v>280</v>
      </c>
    </row>
    <row r="9695" spans="1:22" s="841" customFormat="1" ht="15" x14ac:dyDescent="0.25">
      <c r="A9695" s="841" t="s">
        <v>190</v>
      </c>
      <c r="E9695" s="1689" t="s">
        <v>3064</v>
      </c>
      <c r="F9695" s="1697"/>
      <c r="G9695" s="1697"/>
      <c r="H9695" s="1697"/>
      <c r="K9695" s="841" t="s">
        <v>5110</v>
      </c>
      <c r="M9695" s="1357"/>
      <c r="Q9695" s="1357"/>
      <c r="S9695" s="1420"/>
      <c r="T9695" s="1420"/>
      <c r="V9695" s="1357">
        <v>411</v>
      </c>
    </row>
    <row r="9696" spans="1:22" s="841" customFormat="1" ht="15" x14ac:dyDescent="0.25">
      <c r="A9696" s="841" t="s">
        <v>190</v>
      </c>
      <c r="E9696" s="1689" t="s">
        <v>3199</v>
      </c>
      <c r="F9696" s="1697"/>
      <c r="G9696" s="1697"/>
      <c r="H9696" s="1697"/>
      <c r="K9696" s="841" t="s">
        <v>5110</v>
      </c>
      <c r="M9696" s="1357"/>
      <c r="Q9696" s="1357"/>
      <c r="S9696" s="1420"/>
      <c r="T9696" s="1420"/>
      <c r="V9696" s="1357">
        <v>386</v>
      </c>
    </row>
    <row r="9697" spans="1:22" s="841" customFormat="1" ht="15" x14ac:dyDescent="0.25">
      <c r="A9697" s="841" t="s">
        <v>190</v>
      </c>
      <c r="E9697" s="1689" t="s">
        <v>3390</v>
      </c>
      <c r="F9697" s="1697"/>
      <c r="G9697" s="1697"/>
      <c r="H9697" s="1697"/>
      <c r="K9697" s="841" t="s">
        <v>5110</v>
      </c>
      <c r="M9697" s="1357"/>
      <c r="Q9697" s="1357"/>
      <c r="S9697" s="1420"/>
      <c r="T9697" s="1420"/>
      <c r="V9697" s="1357">
        <v>274</v>
      </c>
    </row>
    <row r="9698" spans="1:22" s="841" customFormat="1" ht="15" x14ac:dyDescent="0.25">
      <c r="A9698" s="841" t="s">
        <v>190</v>
      </c>
      <c r="E9698" s="1694" t="s">
        <v>3067</v>
      </c>
      <c r="F9698" s="1907"/>
      <c r="G9698" s="1907"/>
      <c r="H9698" s="1907"/>
      <c r="K9698" s="841" t="s">
        <v>3087</v>
      </c>
      <c r="M9698" s="1357"/>
      <c r="Q9698" s="1357"/>
      <c r="S9698" s="1420"/>
      <c r="T9698" s="1420"/>
      <c r="V9698" s="1357">
        <v>46</v>
      </c>
    </row>
    <row r="9699" spans="1:22" s="841" customFormat="1" ht="15" x14ac:dyDescent="0.25">
      <c r="A9699" s="841" t="s">
        <v>190</v>
      </c>
      <c r="E9699" s="1690" t="s">
        <v>11</v>
      </c>
      <c r="F9699" s="1690"/>
      <c r="G9699" s="1408" t="s">
        <v>23</v>
      </c>
      <c r="H9699" s="391">
        <v>32.14</v>
      </c>
      <c r="K9699" s="841" t="s">
        <v>5110</v>
      </c>
      <c r="L9699" s="841" t="s">
        <v>442</v>
      </c>
      <c r="M9699" s="1357"/>
      <c r="P9699" s="841" t="s">
        <v>5111</v>
      </c>
      <c r="Q9699" s="1357"/>
      <c r="S9699" s="1420"/>
      <c r="T9699" s="1420"/>
      <c r="V9699" s="1357">
        <v>14</v>
      </c>
    </row>
    <row r="9700" spans="1:22" s="841" customFormat="1" ht="15" x14ac:dyDescent="0.25">
      <c r="A9700" s="841" t="s">
        <v>190</v>
      </c>
      <c r="E9700" s="1690" t="s">
        <v>5109</v>
      </c>
      <c r="F9700" s="1690"/>
      <c r="G9700" s="1408" t="s">
        <v>23</v>
      </c>
      <c r="H9700" s="391">
        <v>0.56999999999999995</v>
      </c>
      <c r="K9700" s="841" t="s">
        <v>5110</v>
      </c>
      <c r="L9700" s="841" t="s">
        <v>443</v>
      </c>
      <c r="M9700" s="1357"/>
      <c r="P9700" s="841" t="s">
        <v>5112</v>
      </c>
      <c r="Q9700" s="1357"/>
      <c r="S9700" s="1420"/>
      <c r="T9700" s="1420">
        <v>44926</v>
      </c>
      <c r="V9700" s="1357">
        <v>64</v>
      </c>
    </row>
    <row r="9701" spans="1:22" s="841" customFormat="1" ht="15" x14ac:dyDescent="0.25">
      <c r="A9701" s="841" t="s">
        <v>190</v>
      </c>
      <c r="E9701" s="1690" t="s">
        <v>84</v>
      </c>
      <c r="F9701" s="1690"/>
      <c r="G9701" s="1408" t="s">
        <v>24</v>
      </c>
      <c r="H9701" s="393">
        <v>1.7899999999999999E-2</v>
      </c>
      <c r="K9701" s="841" t="s">
        <v>5110</v>
      </c>
      <c r="L9701" s="841" t="s">
        <v>442</v>
      </c>
      <c r="M9701" s="1357"/>
      <c r="P9701" s="841" t="s">
        <v>5113</v>
      </c>
      <c r="Q9701" s="1357"/>
      <c r="S9701" s="1420"/>
      <c r="T9701" s="1420"/>
      <c r="V9701" s="1357">
        <v>28</v>
      </c>
    </row>
    <row r="9702" spans="1:22" s="841" customFormat="1" ht="15" x14ac:dyDescent="0.25">
      <c r="A9702" s="841" t="s">
        <v>190</v>
      </c>
      <c r="E9702" s="1690" t="s">
        <v>18</v>
      </c>
      <c r="F9702" s="1690"/>
      <c r="G9702" s="1408" t="s">
        <v>24</v>
      </c>
      <c r="H9702" s="393">
        <v>1.5E-3</v>
      </c>
      <c r="K9702" s="841" t="s">
        <v>5110</v>
      </c>
      <c r="L9702" s="841" t="s">
        <v>443</v>
      </c>
      <c r="M9702" s="1357"/>
      <c r="P9702" s="841" t="s">
        <v>5114</v>
      </c>
      <c r="Q9702" s="1357"/>
      <c r="S9702" s="1420"/>
      <c r="T9702" s="1420"/>
      <c r="V9702" s="1357">
        <v>24</v>
      </c>
    </row>
    <row r="9703" spans="1:22" s="841" customFormat="1" ht="15" x14ac:dyDescent="0.25">
      <c r="A9703" s="841" t="s">
        <v>190</v>
      </c>
      <c r="E9703" s="1690" t="s">
        <v>5749</v>
      </c>
      <c r="F9703" s="1908"/>
      <c r="G9703" s="1408" t="s">
        <v>24</v>
      </c>
      <c r="H9703" s="393">
        <v>-1E-3</v>
      </c>
      <c r="K9703" s="841" t="s">
        <v>5110</v>
      </c>
      <c r="L9703" s="841" t="s">
        <v>443</v>
      </c>
      <c r="M9703" s="1357"/>
      <c r="P9703" s="841" t="s">
        <v>4818</v>
      </c>
      <c r="Q9703" s="1357"/>
      <c r="S9703" s="1420"/>
      <c r="T9703" s="1420">
        <v>43951</v>
      </c>
      <c r="V9703" s="1357">
        <v>139</v>
      </c>
    </row>
    <row r="9704" spans="1:22" s="841" customFormat="1" ht="15" x14ac:dyDescent="0.25">
      <c r="A9704" s="841" t="s">
        <v>190</v>
      </c>
      <c r="E9704" s="1690" t="s">
        <v>5751</v>
      </c>
      <c r="F9704" s="1908"/>
      <c r="G9704" s="1408" t="s">
        <v>24</v>
      </c>
      <c r="H9704" s="393">
        <v>-5.0000000000000001E-4</v>
      </c>
      <c r="K9704" s="841" t="s">
        <v>5110</v>
      </c>
      <c r="L9704" s="841" t="s">
        <v>443</v>
      </c>
      <c r="M9704" s="1357"/>
      <c r="P9704" s="841" t="s">
        <v>5124</v>
      </c>
      <c r="Q9704" s="1357"/>
      <c r="S9704" s="1420"/>
      <c r="T9704" s="1420">
        <v>43951</v>
      </c>
      <c r="V9704" s="1357">
        <v>96</v>
      </c>
    </row>
    <row r="9705" spans="1:22" s="841" customFormat="1" ht="15" x14ac:dyDescent="0.25">
      <c r="A9705" s="841" t="s">
        <v>190</v>
      </c>
      <c r="E9705" s="1690" t="s">
        <v>5759</v>
      </c>
      <c r="F9705" s="1908"/>
      <c r="G9705" s="1408" t="s">
        <v>24</v>
      </c>
      <c r="H9705" s="393">
        <v>2.0000000000000001E-4</v>
      </c>
      <c r="K9705" s="841" t="s">
        <v>5110</v>
      </c>
      <c r="L9705" s="841" t="s">
        <v>443</v>
      </c>
      <c r="M9705" s="1357"/>
      <c r="P9705" s="841" t="s">
        <v>4818</v>
      </c>
      <c r="Q9705" s="1357"/>
      <c r="S9705" s="1420"/>
      <c r="T9705" s="1420">
        <v>43585</v>
      </c>
      <c r="V9705" s="1357">
        <v>152</v>
      </c>
    </row>
    <row r="9706" spans="1:22" s="841" customFormat="1" ht="15" x14ac:dyDescent="0.25">
      <c r="A9706" s="841" t="s">
        <v>190</v>
      </c>
      <c r="E9706" s="1690" t="s">
        <v>3545</v>
      </c>
      <c r="F9706" s="1690"/>
      <c r="G9706" s="1408" t="s">
        <v>24</v>
      </c>
      <c r="H9706" s="393">
        <v>-1.1000000000000001E-3</v>
      </c>
      <c r="K9706" s="841" t="s">
        <v>5110</v>
      </c>
      <c r="L9706" s="841" t="s">
        <v>443</v>
      </c>
      <c r="M9706" s="1357"/>
      <c r="P9706" s="841" t="s">
        <v>5124</v>
      </c>
      <c r="Q9706" s="1357"/>
      <c r="S9706" s="1420"/>
      <c r="T9706" s="1420">
        <v>43585</v>
      </c>
      <c r="V9706" s="1357">
        <v>96</v>
      </c>
    </row>
    <row r="9707" spans="1:22" s="841" customFormat="1" ht="15" x14ac:dyDescent="0.25">
      <c r="A9707" s="841" t="s">
        <v>190</v>
      </c>
      <c r="E9707" s="1690" t="s">
        <v>3544</v>
      </c>
      <c r="F9707" s="1690"/>
      <c r="G9707" s="1408" t="s">
        <v>24</v>
      </c>
      <c r="H9707" s="393">
        <v>2.0000000000000001E-4</v>
      </c>
      <c r="K9707" s="841" t="s">
        <v>5110</v>
      </c>
      <c r="L9707" s="841" t="s">
        <v>442</v>
      </c>
      <c r="M9707" s="1357"/>
      <c r="P9707" s="841" t="s">
        <v>5124</v>
      </c>
      <c r="Q9707" s="1357"/>
      <c r="S9707" s="1420"/>
      <c r="T9707" s="1420">
        <v>43585</v>
      </c>
      <c r="V9707" s="1357">
        <v>104</v>
      </c>
    </row>
    <row r="9708" spans="1:22" s="841" customFormat="1" ht="15" x14ac:dyDescent="0.25">
      <c r="A9708" s="841" t="s">
        <v>190</v>
      </c>
      <c r="E9708" s="1690" t="s">
        <v>5760</v>
      </c>
      <c r="F9708" s="1690"/>
      <c r="G9708" s="1408" t="s">
        <v>24</v>
      </c>
      <c r="H9708" s="393">
        <v>8.9999999999999998E-4</v>
      </c>
      <c r="K9708" s="841" t="s">
        <v>5110</v>
      </c>
      <c r="L9708" s="841" t="s">
        <v>442</v>
      </c>
      <c r="M9708" s="1357"/>
      <c r="P9708" s="841" t="s">
        <v>5285</v>
      </c>
      <c r="Q9708" s="1357"/>
      <c r="S9708" s="1420"/>
      <c r="T9708" s="1420">
        <v>43585</v>
      </c>
      <c r="V9708" s="1357">
        <v>359</v>
      </c>
    </row>
    <row r="9709" spans="1:22" s="841" customFormat="1" ht="15" x14ac:dyDescent="0.25">
      <c r="A9709" s="841" t="s">
        <v>190</v>
      </c>
      <c r="E9709" s="1690" t="s">
        <v>221</v>
      </c>
      <c r="F9709" s="1690"/>
      <c r="G9709" s="1408" t="s">
        <v>24</v>
      </c>
      <c r="H9709" s="393">
        <v>6.0000000000000001E-3</v>
      </c>
      <c r="K9709" s="841" t="s">
        <v>5110</v>
      </c>
      <c r="L9709" s="841" t="s">
        <v>444</v>
      </c>
      <c r="M9709" s="1357"/>
      <c r="P9709" s="841" t="s">
        <v>5115</v>
      </c>
      <c r="Q9709" s="1357"/>
      <c r="S9709" s="1420"/>
      <c r="T9709" s="1420"/>
      <c r="V9709" s="1357">
        <v>47</v>
      </c>
    </row>
    <row r="9710" spans="1:22" s="841" customFormat="1" ht="15" x14ac:dyDescent="0.25">
      <c r="A9710" s="841" t="s">
        <v>190</v>
      </c>
      <c r="E9710" s="1690" t="s">
        <v>217</v>
      </c>
      <c r="F9710" s="1690"/>
      <c r="G9710" s="1408" t="s">
        <v>24</v>
      </c>
      <c r="H9710" s="393">
        <v>3.0999999999999999E-3</v>
      </c>
      <c r="K9710" s="841" t="s">
        <v>5110</v>
      </c>
      <c r="L9710" s="841" t="s">
        <v>444</v>
      </c>
      <c r="M9710" s="1357"/>
      <c r="P9710" s="841" t="s">
        <v>5116</v>
      </c>
      <c r="Q9710" s="1357"/>
      <c r="S9710" s="1420"/>
      <c r="T9710" s="1420"/>
      <c r="V9710" s="1357">
        <v>74</v>
      </c>
    </row>
    <row r="9711" spans="1:22" s="841" customFormat="1" ht="15" x14ac:dyDescent="0.25">
      <c r="A9711" s="841" t="s">
        <v>190</v>
      </c>
      <c r="E9711" s="1694" t="s">
        <v>3079</v>
      </c>
      <c r="F9711" s="1690"/>
      <c r="G9711" s="1408"/>
      <c r="H9711" s="1187"/>
      <c r="K9711" s="841" t="s">
        <v>3093</v>
      </c>
      <c r="M9711" s="1357"/>
      <c r="Q9711" s="1357"/>
      <c r="S9711" s="1420"/>
      <c r="T9711" s="1420"/>
      <c r="V9711" s="1357">
        <v>48</v>
      </c>
    </row>
    <row r="9712" spans="1:22" s="841" customFormat="1" ht="15" x14ac:dyDescent="0.25">
      <c r="A9712" s="841" t="s">
        <v>190</v>
      </c>
      <c r="E9712" s="1690" t="s">
        <v>2449</v>
      </c>
      <c r="F9712" s="1690"/>
      <c r="G9712" s="1408" t="s">
        <v>24</v>
      </c>
      <c r="H9712" s="393">
        <v>3.2000000000000002E-3</v>
      </c>
      <c r="K9712" s="841" t="s">
        <v>5110</v>
      </c>
      <c r="L9712" s="841" t="s">
        <v>3046</v>
      </c>
      <c r="M9712" s="1357"/>
      <c r="P9712" s="841" t="s">
        <v>5117</v>
      </c>
      <c r="Q9712" s="1357"/>
      <c r="S9712" s="1420"/>
      <c r="T9712" s="1420"/>
      <c r="V9712" s="1357">
        <v>55</v>
      </c>
    </row>
    <row r="9713" spans="1:22" s="841" customFormat="1" ht="15" x14ac:dyDescent="0.25">
      <c r="A9713" s="841" t="s">
        <v>190</v>
      </c>
      <c r="E9713" s="1690" t="s">
        <v>2450</v>
      </c>
      <c r="F9713" s="1690"/>
      <c r="G9713" s="1408" t="s">
        <v>24</v>
      </c>
      <c r="H9713" s="393">
        <v>4.0000000000000002E-4</v>
      </c>
      <c r="K9713" s="841" t="s">
        <v>5110</v>
      </c>
      <c r="L9713" s="841" t="s">
        <v>3046</v>
      </c>
      <c r="M9713" s="1357"/>
      <c r="P9713" s="841" t="s">
        <v>5117</v>
      </c>
      <c r="Q9713" s="1357"/>
      <c r="S9713" s="1420"/>
      <c r="T9713" s="1420"/>
      <c r="V9713" s="1357">
        <v>65</v>
      </c>
    </row>
    <row r="9714" spans="1:22" s="841" customFormat="1" ht="15" x14ac:dyDescent="0.25">
      <c r="A9714" s="841" t="s">
        <v>190</v>
      </c>
      <c r="E9714" s="1690" t="s">
        <v>439</v>
      </c>
      <c r="F9714" s="1690"/>
      <c r="G9714" s="1408" t="s">
        <v>24</v>
      </c>
      <c r="H9714" s="393">
        <v>2.9999999999999997E-4</v>
      </c>
      <c r="K9714" s="841" t="s">
        <v>5110</v>
      </c>
      <c r="L9714" s="841" t="s">
        <v>3046</v>
      </c>
      <c r="M9714" s="1357"/>
      <c r="P9714" s="841" t="s">
        <v>5118</v>
      </c>
      <c r="Q9714" s="1357"/>
      <c r="S9714" s="1420"/>
      <c r="T9714" s="1420"/>
      <c r="V9714" s="1357">
        <v>57</v>
      </c>
    </row>
    <row r="9715" spans="1:22" s="841" customFormat="1" ht="15" x14ac:dyDescent="0.25">
      <c r="A9715" s="841" t="s">
        <v>190</v>
      </c>
      <c r="E9715" s="1690" t="s">
        <v>32</v>
      </c>
      <c r="F9715" s="1690"/>
      <c r="G9715" s="1408" t="s">
        <v>23</v>
      </c>
      <c r="H9715" s="391">
        <v>0.25</v>
      </c>
      <c r="K9715" s="841" t="s">
        <v>5110</v>
      </c>
      <c r="L9715" s="841" t="s">
        <v>3046</v>
      </c>
      <c r="M9715" s="1357"/>
      <c r="P9715" s="841" t="s">
        <v>5119</v>
      </c>
      <c r="Q9715" s="1357"/>
      <c r="S9715" s="1420"/>
      <c r="T9715" s="1420"/>
      <c r="V9715" s="1357">
        <v>63</v>
      </c>
    </row>
    <row r="9716" spans="1:22" s="841" customFormat="1" x14ac:dyDescent="0.25">
      <c r="A9716" s="841" t="s">
        <v>190</v>
      </c>
      <c r="E9716" s="1909" t="s">
        <v>616</v>
      </c>
      <c r="F9716" s="1915"/>
      <c r="G9716" s="1915"/>
      <c r="H9716" s="1915"/>
      <c r="K9716" s="841" t="s">
        <v>6095</v>
      </c>
      <c r="M9716" s="1357"/>
      <c r="Q9716" s="1357"/>
      <c r="S9716" s="1420"/>
      <c r="T9716" s="1420"/>
      <c r="V9716" s="1357">
        <v>53</v>
      </c>
    </row>
    <row r="9717" spans="1:22" s="841" customFormat="1" ht="15" x14ac:dyDescent="0.25">
      <c r="A9717" s="841" t="s">
        <v>190</v>
      </c>
      <c r="E9717" s="1689" t="s">
        <v>3547</v>
      </c>
      <c r="F9717" s="1697"/>
      <c r="G9717" s="1697"/>
      <c r="H9717" s="1697"/>
      <c r="K9717" s="841" t="s">
        <v>6095</v>
      </c>
      <c r="M9717" s="1357"/>
      <c r="Q9717" s="1357"/>
      <c r="S9717" s="1420"/>
      <c r="T9717" s="1420"/>
      <c r="V9717" s="1357">
        <v>356</v>
      </c>
    </row>
    <row r="9718" spans="1:22" s="841" customFormat="1" ht="15" x14ac:dyDescent="0.25">
      <c r="A9718" s="841" t="s">
        <v>190</v>
      </c>
      <c r="E9718" s="1916" t="s">
        <v>3061</v>
      </c>
      <c r="F9718" s="1697"/>
      <c r="G9718" s="1697"/>
      <c r="H9718" s="1697"/>
      <c r="K9718" s="841" t="s">
        <v>3098</v>
      </c>
      <c r="M9718" s="1357"/>
      <c r="Q9718" s="1357"/>
      <c r="S9718" s="1420"/>
      <c r="T9718" s="1420"/>
      <c r="V9718" s="1357">
        <v>11</v>
      </c>
    </row>
    <row r="9719" spans="1:22" s="841" customFormat="1" ht="15" x14ac:dyDescent="0.25">
      <c r="A9719" s="841" t="s">
        <v>190</v>
      </c>
      <c r="E9719" s="1689" t="s">
        <v>3063</v>
      </c>
      <c r="F9719" s="1697"/>
      <c r="G9719" s="1697"/>
      <c r="H9719" s="1697"/>
      <c r="K9719" s="841" t="s">
        <v>6095</v>
      </c>
      <c r="M9719" s="1357"/>
      <c r="Q9719" s="1357"/>
      <c r="S9719" s="1420"/>
      <c r="T9719" s="1420"/>
      <c r="V9719" s="1357">
        <v>280</v>
      </c>
    </row>
    <row r="9720" spans="1:22" s="841" customFormat="1" ht="15" x14ac:dyDescent="0.25">
      <c r="A9720" s="841" t="s">
        <v>190</v>
      </c>
      <c r="E9720" s="1689" t="s">
        <v>3064</v>
      </c>
      <c r="F9720" s="1697"/>
      <c r="G9720" s="1697"/>
      <c r="H9720" s="1697"/>
      <c r="K9720" s="841" t="s">
        <v>6095</v>
      </c>
      <c r="M9720" s="1357"/>
      <c r="Q9720" s="1357"/>
      <c r="S9720" s="1420"/>
      <c r="T9720" s="1420"/>
      <c r="V9720" s="1357">
        <v>411</v>
      </c>
    </row>
    <row r="9721" spans="1:22" s="841" customFormat="1" ht="15" x14ac:dyDescent="0.25">
      <c r="A9721" s="841" t="s">
        <v>190</v>
      </c>
      <c r="E9721" s="1689" t="s">
        <v>3199</v>
      </c>
      <c r="F9721" s="1697"/>
      <c r="G9721" s="1697"/>
      <c r="H9721" s="1697"/>
      <c r="K9721" s="841" t="s">
        <v>6095</v>
      </c>
      <c r="M9721" s="1357"/>
      <c r="Q9721" s="1357"/>
      <c r="S9721" s="1420"/>
      <c r="T9721" s="1420"/>
      <c r="V9721" s="1357">
        <v>386</v>
      </c>
    </row>
    <row r="9722" spans="1:22" s="841" customFormat="1" ht="15" x14ac:dyDescent="0.25">
      <c r="A9722" s="841" t="s">
        <v>190</v>
      </c>
      <c r="E9722" s="1689" t="s">
        <v>5761</v>
      </c>
      <c r="F9722" s="1689"/>
      <c r="G9722" s="1689"/>
      <c r="H9722" s="1689"/>
      <c r="K9722" s="841" t="s">
        <v>6095</v>
      </c>
      <c r="M9722" s="1357"/>
      <c r="Q9722" s="1357"/>
      <c r="S9722" s="1420"/>
      <c r="T9722" s="1420"/>
      <c r="V9722" s="1357">
        <v>657</v>
      </c>
    </row>
    <row r="9723" spans="1:22" s="841" customFormat="1" ht="15" x14ac:dyDescent="0.25">
      <c r="A9723" s="841" t="s">
        <v>190</v>
      </c>
      <c r="E9723" s="1689" t="s">
        <v>3390</v>
      </c>
      <c r="F9723" s="1697"/>
      <c r="G9723" s="1697"/>
      <c r="H9723" s="1697"/>
      <c r="K9723" s="841" t="s">
        <v>6095</v>
      </c>
      <c r="M9723" s="1357"/>
      <c r="Q9723" s="1357"/>
      <c r="S9723" s="1420"/>
      <c r="T9723" s="1420"/>
      <c r="V9723" s="1357">
        <v>274</v>
      </c>
    </row>
    <row r="9724" spans="1:22" s="841" customFormat="1" ht="15" x14ac:dyDescent="0.25">
      <c r="A9724" s="841" t="s">
        <v>190</v>
      </c>
      <c r="E9724" s="1694" t="s">
        <v>3067</v>
      </c>
      <c r="F9724" s="1907"/>
      <c r="G9724" s="1907"/>
      <c r="H9724" s="1907"/>
      <c r="K9724" s="841" t="s">
        <v>3099</v>
      </c>
      <c r="M9724" s="1357"/>
      <c r="Q9724" s="1357"/>
      <c r="S9724" s="1420"/>
      <c r="T9724" s="1420"/>
      <c r="V9724" s="1357">
        <v>46</v>
      </c>
    </row>
    <row r="9725" spans="1:22" s="841" customFormat="1" ht="15" x14ac:dyDescent="0.25">
      <c r="A9725" s="841" t="s">
        <v>190</v>
      </c>
      <c r="E9725" s="1690" t="s">
        <v>11</v>
      </c>
      <c r="F9725" s="1690"/>
      <c r="G9725" s="1408" t="s">
        <v>23</v>
      </c>
      <c r="H9725" s="391">
        <v>193.9</v>
      </c>
      <c r="K9725" s="841" t="s">
        <v>6095</v>
      </c>
      <c r="L9725" s="841" t="s">
        <v>442</v>
      </c>
      <c r="M9725" s="1357"/>
      <c r="P9725" s="841" t="s">
        <v>6096</v>
      </c>
      <c r="Q9725" s="1357"/>
      <c r="S9725" s="1420"/>
      <c r="T9725" s="1420"/>
      <c r="V9725" s="1357">
        <v>14</v>
      </c>
    </row>
    <row r="9726" spans="1:22" s="841" customFormat="1" ht="15" x14ac:dyDescent="0.25">
      <c r="A9726" s="841" t="s">
        <v>190</v>
      </c>
      <c r="E9726" s="1690" t="s">
        <v>84</v>
      </c>
      <c r="F9726" s="1690"/>
      <c r="G9726" s="1408" t="s">
        <v>33</v>
      </c>
      <c r="H9726" s="393">
        <v>1.1175999999999999</v>
      </c>
      <c r="K9726" s="841" t="s">
        <v>6095</v>
      </c>
      <c r="L9726" s="841" t="s">
        <v>442</v>
      </c>
      <c r="M9726" s="1357"/>
      <c r="P9726" s="841" t="s">
        <v>6097</v>
      </c>
      <c r="Q9726" s="1357"/>
      <c r="S9726" s="1420"/>
      <c r="T9726" s="1420"/>
      <c r="V9726" s="1357">
        <v>28</v>
      </c>
    </row>
    <row r="9727" spans="1:22" s="841" customFormat="1" ht="15" x14ac:dyDescent="0.25">
      <c r="A9727" s="841" t="s">
        <v>190</v>
      </c>
      <c r="E9727" s="1690" t="s">
        <v>18</v>
      </c>
      <c r="F9727" s="1690"/>
      <c r="G9727" s="1408" t="s">
        <v>33</v>
      </c>
      <c r="H9727" s="393">
        <v>0.53769999999999996</v>
      </c>
      <c r="K9727" s="841" t="s">
        <v>6095</v>
      </c>
      <c r="L9727" s="841" t="s">
        <v>443</v>
      </c>
      <c r="M9727" s="1357"/>
      <c r="P9727" s="841" t="s">
        <v>6098</v>
      </c>
      <c r="Q9727" s="1357"/>
      <c r="S9727" s="1420"/>
      <c r="T9727" s="1420"/>
      <c r="V9727" s="1357">
        <v>24</v>
      </c>
    </row>
    <row r="9728" spans="1:22" s="841" customFormat="1" ht="15" x14ac:dyDescent="0.25">
      <c r="A9728" s="841" t="s">
        <v>190</v>
      </c>
      <c r="E9728" s="1690" t="s">
        <v>5749</v>
      </c>
      <c r="F9728" s="1908"/>
      <c r="G9728" s="1408" t="s">
        <v>24</v>
      </c>
      <c r="H9728" s="393">
        <v>-1E-3</v>
      </c>
      <c r="K9728" s="841" t="s">
        <v>6095</v>
      </c>
      <c r="L9728" s="841" t="s">
        <v>443</v>
      </c>
      <c r="M9728" s="1357"/>
      <c r="P9728" s="841" t="s">
        <v>6104</v>
      </c>
      <c r="Q9728" s="1357"/>
      <c r="S9728" s="1420"/>
      <c r="T9728" s="1420">
        <v>43951</v>
      </c>
      <c r="V9728" s="1357">
        <v>139</v>
      </c>
    </row>
    <row r="9729" spans="1:22" s="841" customFormat="1" ht="15" x14ac:dyDescent="0.25">
      <c r="A9729" s="841" t="s">
        <v>190</v>
      </c>
      <c r="E9729" s="1690" t="s">
        <v>5751</v>
      </c>
      <c r="F9729" s="1908"/>
      <c r="G9729" s="1408" t="s">
        <v>33</v>
      </c>
      <c r="H9729" s="393">
        <v>-0.16750000000000001</v>
      </c>
      <c r="K9729" s="841" t="s">
        <v>6095</v>
      </c>
      <c r="L9729" s="841" t="s">
        <v>443</v>
      </c>
      <c r="M9729" s="1357"/>
      <c r="P9729" s="841" t="s">
        <v>6105</v>
      </c>
      <c r="Q9729" s="1357"/>
      <c r="S9729" s="1420"/>
      <c r="T9729" s="1420">
        <v>43951</v>
      </c>
      <c r="V9729" s="1357">
        <v>96</v>
      </c>
    </row>
    <row r="9730" spans="1:22" s="841" customFormat="1" ht="15" x14ac:dyDescent="0.25">
      <c r="A9730" s="841" t="s">
        <v>190</v>
      </c>
      <c r="E9730" s="1690" t="s">
        <v>5757</v>
      </c>
      <c r="F9730" s="1690"/>
      <c r="G9730" s="1408" t="s">
        <v>24</v>
      </c>
      <c r="H9730" s="393">
        <v>2.0000000000000001E-4</v>
      </c>
      <c r="K9730" s="841" t="s">
        <v>6095</v>
      </c>
      <c r="L9730" s="841" t="s">
        <v>443</v>
      </c>
      <c r="M9730" s="1357"/>
      <c r="P9730" s="841" t="s">
        <v>6104</v>
      </c>
      <c r="Q9730" s="1357"/>
      <c r="S9730" s="1420"/>
      <c r="T9730" s="1420">
        <v>43585</v>
      </c>
      <c r="V9730" s="1357">
        <v>142</v>
      </c>
    </row>
    <row r="9731" spans="1:22" s="841" customFormat="1" ht="15" x14ac:dyDescent="0.25">
      <c r="A9731" s="841" t="s">
        <v>190</v>
      </c>
      <c r="E9731" s="1690" t="s">
        <v>3545</v>
      </c>
      <c r="F9731" s="1690"/>
      <c r="G9731" s="1408" t="s">
        <v>33</v>
      </c>
      <c r="H9731" s="393">
        <v>-0.35670000000000002</v>
      </c>
      <c r="K9731" s="841" t="s">
        <v>6095</v>
      </c>
      <c r="L9731" s="841" t="s">
        <v>443</v>
      </c>
      <c r="M9731" s="1357"/>
      <c r="P9731" s="841" t="s">
        <v>6105</v>
      </c>
      <c r="Q9731" s="1357"/>
      <c r="S9731" s="1420"/>
      <c r="T9731" s="1420">
        <v>43585</v>
      </c>
      <c r="V9731" s="1357">
        <v>96</v>
      </c>
    </row>
    <row r="9732" spans="1:22" s="841" customFormat="1" ht="15" x14ac:dyDescent="0.25">
      <c r="A9732" s="841" t="s">
        <v>190</v>
      </c>
      <c r="E9732" s="1690" t="s">
        <v>3544</v>
      </c>
      <c r="F9732" s="1690"/>
      <c r="G9732" s="1408" t="s">
        <v>33</v>
      </c>
      <c r="H9732" s="393">
        <v>8.0199999999999994E-2</v>
      </c>
      <c r="K9732" s="841" t="s">
        <v>6095</v>
      </c>
      <c r="L9732" s="841" t="s">
        <v>442</v>
      </c>
      <c r="M9732" s="1357"/>
      <c r="P9732" s="841" t="s">
        <v>6105</v>
      </c>
      <c r="Q9732" s="1357"/>
      <c r="S9732" s="1420"/>
      <c r="T9732" s="1420">
        <v>43585</v>
      </c>
      <c r="V9732" s="1357">
        <v>104</v>
      </c>
    </row>
    <row r="9733" spans="1:22" s="841" customFormat="1" ht="15" x14ac:dyDescent="0.25">
      <c r="A9733" s="841" t="s">
        <v>190</v>
      </c>
      <c r="E9733" s="1690" t="s">
        <v>5758</v>
      </c>
      <c r="F9733" s="1690"/>
      <c r="G9733" s="1408" t="s">
        <v>33</v>
      </c>
      <c r="H9733" s="393">
        <v>-1.2999999999999999E-3</v>
      </c>
      <c r="K9733" s="841" t="s">
        <v>6095</v>
      </c>
      <c r="L9733" s="841" t="s">
        <v>442</v>
      </c>
      <c r="M9733" s="1357"/>
      <c r="P9733" s="841" t="s">
        <v>6111</v>
      </c>
      <c r="Q9733" s="1357"/>
      <c r="S9733" s="1420"/>
      <c r="T9733" s="1420">
        <v>43585</v>
      </c>
      <c r="V9733" s="1357">
        <v>350</v>
      </c>
    </row>
    <row r="9734" spans="1:22" s="841" customFormat="1" ht="15" x14ac:dyDescent="0.25">
      <c r="A9734" s="841" t="s">
        <v>190</v>
      </c>
      <c r="E9734" s="1690" t="s">
        <v>221</v>
      </c>
      <c r="F9734" s="1690"/>
      <c r="G9734" s="1408" t="s">
        <v>33</v>
      </c>
      <c r="H9734" s="393">
        <v>2.3974000000000002</v>
      </c>
      <c r="K9734" s="841" t="s">
        <v>6095</v>
      </c>
      <c r="L9734" s="841" t="s">
        <v>444</v>
      </c>
      <c r="M9734" s="1357"/>
      <c r="P9734" s="841" t="s">
        <v>6099</v>
      </c>
      <c r="Q9734" s="1357"/>
      <c r="S9734" s="1420"/>
      <c r="T9734" s="1420"/>
      <c r="V9734" s="1357">
        <v>47</v>
      </c>
    </row>
    <row r="9735" spans="1:22" s="841" customFormat="1" ht="15" x14ac:dyDescent="0.25">
      <c r="A9735" s="841" t="s">
        <v>190</v>
      </c>
      <c r="E9735" s="1690" t="s">
        <v>3628</v>
      </c>
      <c r="F9735" s="1690"/>
      <c r="G9735" s="1408" t="s">
        <v>33</v>
      </c>
      <c r="H9735" s="393">
        <v>1.2111000000000001</v>
      </c>
      <c r="K9735" s="841" t="s">
        <v>6095</v>
      </c>
      <c r="L9735" s="841" t="s">
        <v>444</v>
      </c>
      <c r="M9735" s="1357"/>
      <c r="P9735" s="841" t="s">
        <v>6219</v>
      </c>
      <c r="Q9735" s="1357"/>
      <c r="S9735" s="1420"/>
      <c r="T9735" s="1420"/>
      <c r="V9735" s="1357">
        <v>75</v>
      </c>
    </row>
    <row r="9736" spans="1:22" s="841" customFormat="1" ht="15" x14ac:dyDescent="0.25">
      <c r="A9736" s="841" t="s">
        <v>190</v>
      </c>
      <c r="E9736" s="1694" t="s">
        <v>3079</v>
      </c>
      <c r="F9736" s="1690"/>
      <c r="G9736" s="1408"/>
      <c r="H9736" s="1408"/>
      <c r="K9736" s="841" t="s">
        <v>3218</v>
      </c>
      <c r="M9736" s="1357"/>
      <c r="Q9736" s="1357"/>
      <c r="S9736" s="1420"/>
      <c r="T9736" s="1420"/>
      <c r="V9736" s="1357">
        <v>48</v>
      </c>
    </row>
    <row r="9737" spans="1:22" s="841" customFormat="1" ht="15" x14ac:dyDescent="0.25">
      <c r="A9737" s="841" t="s">
        <v>190</v>
      </c>
      <c r="E9737" s="1690" t="s">
        <v>2449</v>
      </c>
      <c r="F9737" s="1690"/>
      <c r="G9737" s="1408" t="s">
        <v>24</v>
      </c>
      <c r="H9737" s="393">
        <v>3.2000000000000002E-3</v>
      </c>
      <c r="K9737" s="841" t="s">
        <v>6095</v>
      </c>
      <c r="L9737" s="841" t="s">
        <v>3046</v>
      </c>
      <c r="M9737" s="1357"/>
      <c r="P9737" s="841" t="s">
        <v>6101</v>
      </c>
      <c r="Q9737" s="1357"/>
      <c r="S9737" s="1420"/>
      <c r="T9737" s="1420"/>
      <c r="V9737" s="1357">
        <v>55</v>
      </c>
    </row>
    <row r="9738" spans="1:22" s="841" customFormat="1" ht="15" x14ac:dyDescent="0.25">
      <c r="A9738" s="841" t="s">
        <v>190</v>
      </c>
      <c r="E9738" s="1690" t="s">
        <v>2450</v>
      </c>
      <c r="F9738" s="1690"/>
      <c r="G9738" s="1408" t="s">
        <v>24</v>
      </c>
      <c r="H9738" s="393">
        <v>4.0000000000000002E-4</v>
      </c>
      <c r="K9738" s="841" t="s">
        <v>6095</v>
      </c>
      <c r="L9738" s="841" t="s">
        <v>3046</v>
      </c>
      <c r="M9738" s="1357"/>
      <c r="P9738" s="841" t="s">
        <v>6101</v>
      </c>
      <c r="Q9738" s="1357"/>
      <c r="S9738" s="1420"/>
      <c r="T9738" s="1420"/>
      <c r="V9738" s="1357">
        <v>65</v>
      </c>
    </row>
    <row r="9739" spans="1:22" s="841" customFormat="1" ht="15" x14ac:dyDescent="0.25">
      <c r="A9739" s="841" t="s">
        <v>190</v>
      </c>
      <c r="E9739" s="1690" t="s">
        <v>439</v>
      </c>
      <c r="F9739" s="1690"/>
      <c r="G9739" s="1408" t="s">
        <v>24</v>
      </c>
      <c r="H9739" s="393">
        <v>2.9999999999999997E-4</v>
      </c>
      <c r="K9739" s="841" t="s">
        <v>6095</v>
      </c>
      <c r="L9739" s="841" t="s">
        <v>3046</v>
      </c>
      <c r="M9739" s="1357"/>
      <c r="P9739" s="841" t="s">
        <v>6102</v>
      </c>
      <c r="Q9739" s="1357"/>
      <c r="S9739" s="1420"/>
      <c r="T9739" s="1420"/>
      <c r="V9739" s="1357">
        <v>57</v>
      </c>
    </row>
    <row r="9740" spans="1:22" s="841" customFormat="1" ht="15" x14ac:dyDescent="0.25">
      <c r="A9740" s="841" t="s">
        <v>190</v>
      </c>
      <c r="E9740" s="1690" t="s">
        <v>32</v>
      </c>
      <c r="F9740" s="1690"/>
      <c r="G9740" s="1408" t="s">
        <v>23</v>
      </c>
      <c r="H9740" s="391">
        <v>0.25</v>
      </c>
      <c r="K9740" s="841" t="s">
        <v>6095</v>
      </c>
      <c r="L9740" s="841" t="s">
        <v>3046</v>
      </c>
      <c r="M9740" s="1357"/>
      <c r="P9740" s="841" t="s">
        <v>6103</v>
      </c>
      <c r="Q9740" s="1357"/>
      <c r="S9740" s="1420"/>
      <c r="T9740" s="1420"/>
      <c r="V9740" s="1357">
        <v>63</v>
      </c>
    </row>
    <row r="9741" spans="1:22" s="841" customFormat="1" x14ac:dyDescent="0.25">
      <c r="A9741" s="841" t="s">
        <v>190</v>
      </c>
      <c r="E9741" s="1909" t="s">
        <v>617</v>
      </c>
      <c r="F9741" s="1915"/>
      <c r="G9741" s="1915"/>
      <c r="H9741" s="1915"/>
      <c r="K9741" s="841" t="s">
        <v>3406</v>
      </c>
      <c r="M9741" s="1357"/>
      <c r="Q9741" s="1357"/>
      <c r="S9741" s="1420"/>
      <c r="T9741" s="1420"/>
      <c r="V9741" s="1357">
        <v>47</v>
      </c>
    </row>
    <row r="9742" spans="1:22" s="841" customFormat="1" ht="15" x14ac:dyDescent="0.25">
      <c r="A9742" s="841" t="s">
        <v>190</v>
      </c>
      <c r="E9742" s="1689" t="s">
        <v>3548</v>
      </c>
      <c r="F9742" s="1697"/>
      <c r="G9742" s="1697"/>
      <c r="H9742" s="1697"/>
      <c r="K9742" s="841" t="s">
        <v>3406</v>
      </c>
      <c r="M9742" s="1357"/>
      <c r="Q9742" s="1357"/>
      <c r="S9742" s="1420"/>
      <c r="T9742" s="1420"/>
      <c r="V9742" s="1357">
        <v>619</v>
      </c>
    </row>
    <row r="9743" spans="1:22" s="841" customFormat="1" ht="15" x14ac:dyDescent="0.25">
      <c r="A9743" s="841" t="s">
        <v>190</v>
      </c>
      <c r="E9743" s="1916" t="s">
        <v>3061</v>
      </c>
      <c r="F9743" s="1697"/>
      <c r="G9743" s="1697"/>
      <c r="H9743" s="1697"/>
      <c r="K9743" s="841" t="s">
        <v>3221</v>
      </c>
      <c r="M9743" s="1357"/>
      <c r="Q9743" s="1357"/>
      <c r="S9743" s="1420"/>
      <c r="T9743" s="1420"/>
      <c r="V9743" s="1357">
        <v>11</v>
      </c>
    </row>
    <row r="9744" spans="1:22" s="841" customFormat="1" ht="15" x14ac:dyDescent="0.25">
      <c r="A9744" s="841" t="s">
        <v>190</v>
      </c>
      <c r="E9744" s="1689" t="s">
        <v>3063</v>
      </c>
      <c r="F9744" s="1697"/>
      <c r="G9744" s="1697"/>
      <c r="H9744" s="1697"/>
      <c r="K9744" s="841" t="s">
        <v>3406</v>
      </c>
      <c r="M9744" s="1357"/>
      <c r="Q9744" s="1357"/>
      <c r="S9744" s="1420"/>
      <c r="T9744" s="1420"/>
      <c r="V9744" s="1357">
        <v>280</v>
      </c>
    </row>
    <row r="9745" spans="1:22" s="841" customFormat="1" ht="15" x14ac:dyDescent="0.25">
      <c r="A9745" s="841" t="s">
        <v>190</v>
      </c>
      <c r="E9745" s="1689" t="s">
        <v>3064</v>
      </c>
      <c r="F9745" s="1697"/>
      <c r="G9745" s="1697"/>
      <c r="H9745" s="1697"/>
      <c r="K9745" s="841" t="s">
        <v>3406</v>
      </c>
      <c r="M9745" s="1357"/>
      <c r="Q9745" s="1357"/>
      <c r="S9745" s="1420"/>
      <c r="T9745" s="1420"/>
      <c r="V9745" s="1357">
        <v>411</v>
      </c>
    </row>
    <row r="9746" spans="1:22" s="841" customFormat="1" ht="15" x14ac:dyDescent="0.25">
      <c r="A9746" s="841" t="s">
        <v>190</v>
      </c>
      <c r="E9746" s="1689" t="s">
        <v>3199</v>
      </c>
      <c r="F9746" s="1697"/>
      <c r="G9746" s="1697"/>
      <c r="H9746" s="1697"/>
      <c r="K9746" s="841" t="s">
        <v>3406</v>
      </c>
      <c r="M9746" s="1357"/>
      <c r="Q9746" s="1357"/>
      <c r="S9746" s="1420"/>
      <c r="T9746" s="1420"/>
      <c r="V9746" s="1357">
        <v>386</v>
      </c>
    </row>
    <row r="9747" spans="1:22" s="841" customFormat="1" ht="15" x14ac:dyDescent="0.25">
      <c r="A9747" s="841" t="s">
        <v>190</v>
      </c>
      <c r="E9747" s="1689" t="s">
        <v>3390</v>
      </c>
      <c r="F9747" s="1697"/>
      <c r="G9747" s="1697"/>
      <c r="H9747" s="1697"/>
      <c r="K9747" s="841" t="s">
        <v>3406</v>
      </c>
      <c r="M9747" s="1357"/>
      <c r="Q9747" s="1357"/>
      <c r="S9747" s="1420"/>
      <c r="T9747" s="1420"/>
      <c r="V9747" s="1357">
        <v>274</v>
      </c>
    </row>
    <row r="9748" spans="1:22" s="841" customFormat="1" ht="15" x14ac:dyDescent="0.25">
      <c r="A9748" s="841" t="s">
        <v>190</v>
      </c>
      <c r="E9748" s="1694" t="s">
        <v>3067</v>
      </c>
      <c r="F9748" s="1907"/>
      <c r="G9748" s="1907"/>
      <c r="H9748" s="1907"/>
      <c r="K9748" s="841" t="s">
        <v>3224</v>
      </c>
      <c r="M9748" s="1357"/>
      <c r="Q9748" s="1357"/>
      <c r="S9748" s="1420"/>
      <c r="T9748" s="1420"/>
      <c r="V9748" s="1357">
        <v>46</v>
      </c>
    </row>
    <row r="9749" spans="1:22" s="841" customFormat="1" ht="15" x14ac:dyDescent="0.25">
      <c r="A9749" s="841" t="s">
        <v>190</v>
      </c>
      <c r="E9749" s="1690" t="s">
        <v>12</v>
      </c>
      <c r="F9749" s="1690"/>
      <c r="G9749" s="1408" t="s">
        <v>23</v>
      </c>
      <c r="H9749" s="391">
        <v>16.29</v>
      </c>
      <c r="K9749" s="841" t="s">
        <v>3406</v>
      </c>
      <c r="L9749" s="841" t="s">
        <v>442</v>
      </c>
      <c r="M9749" s="1357"/>
      <c r="P9749" s="841" t="s">
        <v>3408</v>
      </c>
      <c r="Q9749" s="1357"/>
      <c r="S9749" s="1420"/>
      <c r="T9749" s="1420"/>
      <c r="V9749" s="1357">
        <v>31</v>
      </c>
    </row>
    <row r="9750" spans="1:22" s="841" customFormat="1" ht="15" x14ac:dyDescent="0.25">
      <c r="A9750" s="841" t="s">
        <v>190</v>
      </c>
      <c r="E9750" s="1690" t="s">
        <v>84</v>
      </c>
      <c r="F9750" s="1690"/>
      <c r="G9750" s="1408" t="s">
        <v>24</v>
      </c>
      <c r="H9750" s="393">
        <v>1.78E-2</v>
      </c>
      <c r="K9750" s="841" t="s">
        <v>3406</v>
      </c>
      <c r="L9750" s="841" t="s">
        <v>442</v>
      </c>
      <c r="M9750" s="1357"/>
      <c r="P9750" s="841" t="s">
        <v>3409</v>
      </c>
      <c r="Q9750" s="1357"/>
      <c r="S9750" s="1420"/>
      <c r="T9750" s="1420"/>
      <c r="V9750" s="1357">
        <v>28</v>
      </c>
    </row>
    <row r="9751" spans="1:22" s="841" customFormat="1" ht="15" x14ac:dyDescent="0.25">
      <c r="A9751" s="841" t="s">
        <v>190</v>
      </c>
      <c r="E9751" s="1690" t="s">
        <v>18</v>
      </c>
      <c r="F9751" s="1690"/>
      <c r="G9751" s="1408" t="s">
        <v>24</v>
      </c>
      <c r="H9751" s="393">
        <v>1.5E-3</v>
      </c>
      <c r="K9751" s="841" t="s">
        <v>3406</v>
      </c>
      <c r="L9751" s="841" t="s">
        <v>443</v>
      </c>
      <c r="M9751" s="1357"/>
      <c r="P9751" s="841" t="s">
        <v>3549</v>
      </c>
      <c r="Q9751" s="1357"/>
      <c r="S9751" s="1420"/>
      <c r="T9751" s="1420"/>
      <c r="V9751" s="1357">
        <v>24</v>
      </c>
    </row>
    <row r="9752" spans="1:22" s="841" customFormat="1" ht="15" x14ac:dyDescent="0.25">
      <c r="A9752" s="841" t="s">
        <v>190</v>
      </c>
      <c r="E9752" s="1690" t="s">
        <v>5749</v>
      </c>
      <c r="F9752" s="1908"/>
      <c r="G9752" s="1408" t="s">
        <v>24</v>
      </c>
      <c r="H9752" s="393">
        <v>-1E-3</v>
      </c>
      <c r="K9752" s="841" t="s">
        <v>3406</v>
      </c>
      <c r="L9752" s="841" t="s">
        <v>443</v>
      </c>
      <c r="M9752" s="1357"/>
      <c r="P9752" s="841" t="s">
        <v>3550</v>
      </c>
      <c r="Q9752" s="1357"/>
      <c r="S9752" s="1420"/>
      <c r="T9752" s="1420">
        <v>43951</v>
      </c>
      <c r="V9752" s="1357">
        <v>139</v>
      </c>
    </row>
    <row r="9753" spans="1:22" s="841" customFormat="1" ht="15" x14ac:dyDescent="0.25">
      <c r="A9753" s="841" t="s">
        <v>190</v>
      </c>
      <c r="E9753" s="1690" t="s">
        <v>5751</v>
      </c>
      <c r="F9753" s="1908"/>
      <c r="G9753" s="1408" t="s">
        <v>24</v>
      </c>
      <c r="H9753" s="393">
        <v>-5.0000000000000001E-4</v>
      </c>
      <c r="K9753" s="841" t="s">
        <v>3406</v>
      </c>
      <c r="L9753" s="841" t="s">
        <v>443</v>
      </c>
      <c r="M9753" s="1357"/>
      <c r="P9753" s="841" t="s">
        <v>3411</v>
      </c>
      <c r="Q9753" s="1357"/>
      <c r="S9753" s="1420"/>
      <c r="T9753" s="1420">
        <v>43951</v>
      </c>
      <c r="V9753" s="1357">
        <v>96</v>
      </c>
    </row>
    <row r="9754" spans="1:22" s="841" customFormat="1" ht="15" x14ac:dyDescent="0.25">
      <c r="A9754" s="841" t="s">
        <v>190</v>
      </c>
      <c r="E9754" s="1690" t="s">
        <v>5762</v>
      </c>
      <c r="F9754" s="1690"/>
      <c r="G9754" s="1408" t="s">
        <v>24</v>
      </c>
      <c r="H9754" s="393">
        <v>2.0000000000000001E-4</v>
      </c>
      <c r="K9754" s="841" t="s">
        <v>3406</v>
      </c>
      <c r="L9754" s="841" t="s">
        <v>443</v>
      </c>
      <c r="M9754" s="1357"/>
      <c r="P9754" s="841" t="s">
        <v>3550</v>
      </c>
      <c r="Q9754" s="1357"/>
      <c r="S9754" s="1420"/>
      <c r="T9754" s="1420">
        <v>43585</v>
      </c>
      <c r="V9754" s="1357">
        <v>142</v>
      </c>
    </row>
    <row r="9755" spans="1:22" s="841" customFormat="1" ht="15" x14ac:dyDescent="0.25">
      <c r="A9755" s="841" t="s">
        <v>190</v>
      </c>
      <c r="E9755" s="1690" t="s">
        <v>3545</v>
      </c>
      <c r="F9755" s="1690"/>
      <c r="G9755" s="1408" t="s">
        <v>24</v>
      </c>
      <c r="H9755" s="393">
        <v>-1.1000000000000001E-3</v>
      </c>
      <c r="K9755" s="841" t="s">
        <v>3406</v>
      </c>
      <c r="L9755" s="841" t="s">
        <v>443</v>
      </c>
      <c r="M9755" s="1357"/>
      <c r="P9755" s="841" t="s">
        <v>3411</v>
      </c>
      <c r="Q9755" s="1357"/>
      <c r="S9755" s="1420"/>
      <c r="T9755" s="1420">
        <v>43585</v>
      </c>
      <c r="V9755" s="1357">
        <v>96</v>
      </c>
    </row>
    <row r="9756" spans="1:22" s="841" customFormat="1" ht="15" x14ac:dyDescent="0.25">
      <c r="A9756" s="841" t="s">
        <v>190</v>
      </c>
      <c r="E9756" s="1690" t="s">
        <v>3544</v>
      </c>
      <c r="F9756" s="1690"/>
      <c r="G9756" s="1408" t="s">
        <v>24</v>
      </c>
      <c r="H9756" s="393">
        <v>2.0000000000000001E-4</v>
      </c>
      <c r="K9756" s="841" t="s">
        <v>3406</v>
      </c>
      <c r="L9756" s="841" t="s">
        <v>442</v>
      </c>
      <c r="M9756" s="1357"/>
      <c r="P9756" s="841" t="s">
        <v>3411</v>
      </c>
      <c r="Q9756" s="1357"/>
      <c r="S9756" s="1420"/>
      <c r="T9756" s="1420">
        <v>43585</v>
      </c>
      <c r="V9756" s="1357">
        <v>104</v>
      </c>
    </row>
    <row r="9757" spans="1:22" s="841" customFormat="1" ht="15" x14ac:dyDescent="0.25">
      <c r="A9757" s="841" t="s">
        <v>190</v>
      </c>
      <c r="E9757" s="1690" t="s">
        <v>5758</v>
      </c>
      <c r="F9757" s="1690"/>
      <c r="G9757" s="1408" t="s">
        <v>24</v>
      </c>
      <c r="H9757" s="393">
        <v>-2.0000000000000001E-4</v>
      </c>
      <c r="K9757" s="841" t="s">
        <v>3406</v>
      </c>
      <c r="L9757" s="841" t="s">
        <v>442</v>
      </c>
      <c r="M9757" s="1357"/>
      <c r="P9757" s="841" t="s">
        <v>3410</v>
      </c>
      <c r="Q9757" s="1357"/>
      <c r="S9757" s="1420"/>
      <c r="T9757" s="1420">
        <v>43585</v>
      </c>
      <c r="V9757" s="1357">
        <v>350</v>
      </c>
    </row>
    <row r="9758" spans="1:22" s="841" customFormat="1" ht="15" x14ac:dyDescent="0.25">
      <c r="A9758" s="841" t="s">
        <v>190</v>
      </c>
      <c r="E9758" s="1690" t="s">
        <v>221</v>
      </c>
      <c r="F9758" s="1690"/>
      <c r="G9758" s="1408" t="s">
        <v>24</v>
      </c>
      <c r="H9758" s="393">
        <v>6.0000000000000001E-3</v>
      </c>
      <c r="K9758" s="841" t="s">
        <v>3406</v>
      </c>
      <c r="L9758" s="841" t="s">
        <v>444</v>
      </c>
      <c r="M9758" s="1357"/>
      <c r="P9758" s="841" t="s">
        <v>3412</v>
      </c>
      <c r="Q9758" s="1357"/>
      <c r="S9758" s="1420"/>
      <c r="T9758" s="1420"/>
      <c r="V9758" s="1357">
        <v>47</v>
      </c>
    </row>
    <row r="9759" spans="1:22" s="841" customFormat="1" ht="15" x14ac:dyDescent="0.25">
      <c r="A9759" s="841" t="s">
        <v>190</v>
      </c>
      <c r="E9759" s="1690" t="s">
        <v>217</v>
      </c>
      <c r="F9759" s="1690"/>
      <c r="G9759" s="1408" t="s">
        <v>24</v>
      </c>
      <c r="H9759" s="393">
        <v>3.0999999999999999E-3</v>
      </c>
      <c r="K9759" s="841" t="s">
        <v>3406</v>
      </c>
      <c r="L9759" s="841" t="s">
        <v>444</v>
      </c>
      <c r="M9759" s="1357"/>
      <c r="P9759" s="841" t="s">
        <v>3413</v>
      </c>
      <c r="Q9759" s="1357"/>
      <c r="S9759" s="1420"/>
      <c r="T9759" s="1420"/>
      <c r="V9759" s="1357">
        <v>74</v>
      </c>
    </row>
    <row r="9760" spans="1:22" s="841" customFormat="1" ht="15" x14ac:dyDescent="0.25">
      <c r="A9760" s="841" t="s">
        <v>190</v>
      </c>
      <c r="E9760" s="1694" t="s">
        <v>3079</v>
      </c>
      <c r="F9760" s="1690"/>
      <c r="G9760" s="1408"/>
      <c r="H9760" s="1408"/>
      <c r="K9760" s="841" t="s">
        <v>3225</v>
      </c>
      <c r="M9760" s="1357"/>
      <c r="Q9760" s="1357"/>
      <c r="S9760" s="1420"/>
      <c r="T9760" s="1420"/>
      <c r="V9760" s="1357">
        <v>48</v>
      </c>
    </row>
    <row r="9761" spans="1:22" s="841" customFormat="1" ht="15" x14ac:dyDescent="0.25">
      <c r="A9761" s="841" t="s">
        <v>190</v>
      </c>
      <c r="E9761" s="1690" t="s">
        <v>2449</v>
      </c>
      <c r="F9761" s="1690"/>
      <c r="G9761" s="1408" t="s">
        <v>24</v>
      </c>
      <c r="H9761" s="393">
        <v>3.2000000000000002E-3</v>
      </c>
      <c r="K9761" s="841" t="s">
        <v>3406</v>
      </c>
      <c r="L9761" s="841" t="s">
        <v>3046</v>
      </c>
      <c r="M9761" s="1357"/>
      <c r="P9761" s="841" t="s">
        <v>3414</v>
      </c>
      <c r="Q9761" s="1357"/>
      <c r="S9761" s="1420"/>
      <c r="T9761" s="1420"/>
      <c r="V9761" s="1357">
        <v>55</v>
      </c>
    </row>
    <row r="9762" spans="1:22" s="841" customFormat="1" ht="15" x14ac:dyDescent="0.25">
      <c r="A9762" s="841" t="s">
        <v>190</v>
      </c>
      <c r="E9762" s="1690" t="s">
        <v>2450</v>
      </c>
      <c r="F9762" s="1690"/>
      <c r="G9762" s="1408" t="s">
        <v>24</v>
      </c>
      <c r="H9762" s="393">
        <v>4.0000000000000002E-4</v>
      </c>
      <c r="K9762" s="841" t="s">
        <v>3406</v>
      </c>
      <c r="L9762" s="841" t="s">
        <v>3046</v>
      </c>
      <c r="M9762" s="1357"/>
      <c r="P9762" s="841" t="s">
        <v>3414</v>
      </c>
      <c r="Q9762" s="1357"/>
      <c r="S9762" s="1420"/>
      <c r="T9762" s="1420"/>
      <c r="V9762" s="1357">
        <v>65</v>
      </c>
    </row>
    <row r="9763" spans="1:22" s="841" customFormat="1" ht="15" x14ac:dyDescent="0.25">
      <c r="A9763" s="841" t="s">
        <v>190</v>
      </c>
      <c r="E9763" s="1690" t="s">
        <v>439</v>
      </c>
      <c r="F9763" s="1690"/>
      <c r="G9763" s="1408" t="s">
        <v>24</v>
      </c>
      <c r="H9763" s="393">
        <v>2.9999999999999997E-4</v>
      </c>
      <c r="K9763" s="841" t="s">
        <v>3406</v>
      </c>
      <c r="L9763" s="841" t="s">
        <v>3046</v>
      </c>
      <c r="M9763" s="1357"/>
      <c r="P9763" s="841" t="s">
        <v>3415</v>
      </c>
      <c r="Q9763" s="1357"/>
      <c r="S9763" s="1420"/>
      <c r="T9763" s="1420"/>
      <c r="V9763" s="1357">
        <v>57</v>
      </c>
    </row>
    <row r="9764" spans="1:22" s="841" customFormat="1" ht="15" x14ac:dyDescent="0.25">
      <c r="A9764" s="841" t="s">
        <v>190</v>
      </c>
      <c r="E9764" s="1690" t="s">
        <v>32</v>
      </c>
      <c r="F9764" s="1690"/>
      <c r="G9764" s="1408" t="s">
        <v>23</v>
      </c>
      <c r="H9764" s="391">
        <v>0.25</v>
      </c>
      <c r="K9764" s="841" t="s">
        <v>3406</v>
      </c>
      <c r="L9764" s="841" t="s">
        <v>3046</v>
      </c>
      <c r="M9764" s="1357"/>
      <c r="P9764" s="841" t="s">
        <v>3416</v>
      </c>
      <c r="Q9764" s="1357"/>
      <c r="S9764" s="1420"/>
      <c r="T9764" s="1420"/>
      <c r="V9764" s="1357">
        <v>63</v>
      </c>
    </row>
    <row r="9765" spans="1:22" s="841" customFormat="1" x14ac:dyDescent="0.25">
      <c r="A9765" s="841" t="s">
        <v>190</v>
      </c>
      <c r="E9765" s="1909" t="s">
        <v>615</v>
      </c>
      <c r="F9765" s="1915"/>
      <c r="G9765" s="1915"/>
      <c r="H9765" s="1915"/>
      <c r="K9765" s="841" t="s">
        <v>3417</v>
      </c>
      <c r="M9765" s="1357"/>
      <c r="Q9765" s="1357"/>
      <c r="S9765" s="1420"/>
      <c r="T9765" s="1420"/>
      <c r="V9765" s="1357">
        <v>38</v>
      </c>
    </row>
    <row r="9766" spans="1:22" s="841" customFormat="1" ht="15" x14ac:dyDescent="0.25">
      <c r="A9766" s="841" t="s">
        <v>190</v>
      </c>
      <c r="E9766" s="1689" t="s">
        <v>3551</v>
      </c>
      <c r="F9766" s="1697"/>
      <c r="G9766" s="1697"/>
      <c r="H9766" s="1697"/>
      <c r="K9766" s="841" t="s">
        <v>3417</v>
      </c>
      <c r="M9766" s="1357"/>
      <c r="Q9766" s="1357"/>
      <c r="S9766" s="1420"/>
      <c r="T9766" s="1420"/>
      <c r="V9766" s="1357">
        <v>551</v>
      </c>
    </row>
    <row r="9767" spans="1:22" s="841" customFormat="1" ht="15" x14ac:dyDescent="0.25">
      <c r="A9767" s="841" t="s">
        <v>190</v>
      </c>
      <c r="E9767" s="1916" t="s">
        <v>3061</v>
      </c>
      <c r="F9767" s="1697"/>
      <c r="G9767" s="1697"/>
      <c r="H9767" s="1697"/>
      <c r="K9767" s="841" t="s">
        <v>3107</v>
      </c>
      <c r="M9767" s="1357"/>
      <c r="Q9767" s="1357"/>
      <c r="S9767" s="1420"/>
      <c r="T9767" s="1420"/>
      <c r="V9767" s="1357">
        <v>11</v>
      </c>
    </row>
    <row r="9768" spans="1:22" s="841" customFormat="1" ht="15" x14ac:dyDescent="0.25">
      <c r="A9768" s="841" t="s">
        <v>190</v>
      </c>
      <c r="E9768" s="1689" t="s">
        <v>3063</v>
      </c>
      <c r="F9768" s="1697"/>
      <c r="G9768" s="1697"/>
      <c r="H9768" s="1697"/>
      <c r="K9768" s="841" t="s">
        <v>3417</v>
      </c>
      <c r="M9768" s="1357"/>
      <c r="Q9768" s="1357"/>
      <c r="S9768" s="1420"/>
      <c r="T9768" s="1420"/>
      <c r="V9768" s="1357">
        <v>280</v>
      </c>
    </row>
    <row r="9769" spans="1:22" s="841" customFormat="1" ht="15" x14ac:dyDescent="0.25">
      <c r="A9769" s="841" t="s">
        <v>190</v>
      </c>
      <c r="E9769" s="1689" t="s">
        <v>3064</v>
      </c>
      <c r="F9769" s="1697"/>
      <c r="G9769" s="1697"/>
      <c r="H9769" s="1697"/>
      <c r="K9769" s="841" t="s">
        <v>3417</v>
      </c>
      <c r="M9769" s="1357"/>
      <c r="Q9769" s="1357"/>
      <c r="S9769" s="1420"/>
      <c r="T9769" s="1420"/>
      <c r="V9769" s="1357">
        <v>411</v>
      </c>
    </row>
    <row r="9770" spans="1:22" s="841" customFormat="1" ht="15" x14ac:dyDescent="0.25">
      <c r="A9770" s="841" t="s">
        <v>190</v>
      </c>
      <c r="E9770" s="1689" t="s">
        <v>3199</v>
      </c>
      <c r="F9770" s="1697"/>
      <c r="G9770" s="1697"/>
      <c r="H9770" s="1697"/>
      <c r="K9770" s="841" t="s">
        <v>3417</v>
      </c>
      <c r="M9770" s="1357"/>
      <c r="Q9770" s="1357"/>
      <c r="S9770" s="1420"/>
      <c r="T9770" s="1420"/>
      <c r="V9770" s="1357">
        <v>386</v>
      </c>
    </row>
    <row r="9771" spans="1:22" s="841" customFormat="1" ht="15" x14ac:dyDescent="0.25">
      <c r="A9771" s="841" t="s">
        <v>190</v>
      </c>
      <c r="E9771" s="1689" t="s">
        <v>3390</v>
      </c>
      <c r="F9771" s="1697"/>
      <c r="G9771" s="1697"/>
      <c r="H9771" s="1697"/>
      <c r="K9771" s="841" t="s">
        <v>3417</v>
      </c>
      <c r="M9771" s="1357"/>
      <c r="Q9771" s="1357"/>
      <c r="S9771" s="1420"/>
      <c r="T9771" s="1420"/>
      <c r="V9771" s="1357">
        <v>274</v>
      </c>
    </row>
    <row r="9772" spans="1:22" s="841" customFormat="1" ht="15" x14ac:dyDescent="0.25">
      <c r="A9772" s="841" t="s">
        <v>190</v>
      </c>
      <c r="E9772" s="1694" t="s">
        <v>3067</v>
      </c>
      <c r="F9772" s="1907"/>
      <c r="G9772" s="1907"/>
      <c r="H9772" s="1907"/>
      <c r="K9772" s="841" t="s">
        <v>3108</v>
      </c>
      <c r="M9772" s="1357"/>
      <c r="Q9772" s="1357"/>
      <c r="S9772" s="1420"/>
      <c r="T9772" s="1420"/>
      <c r="V9772" s="1357">
        <v>46</v>
      </c>
    </row>
    <row r="9773" spans="1:22" s="841" customFormat="1" ht="15" x14ac:dyDescent="0.25">
      <c r="A9773" s="841" t="s">
        <v>190</v>
      </c>
      <c r="E9773" s="1690" t="s">
        <v>12</v>
      </c>
      <c r="F9773" s="1690"/>
      <c r="G9773" s="1408" t="s">
        <v>23</v>
      </c>
      <c r="H9773" s="391">
        <v>7.73</v>
      </c>
      <c r="K9773" s="841" t="s">
        <v>3417</v>
      </c>
      <c r="L9773" s="841" t="s">
        <v>442</v>
      </c>
      <c r="M9773" s="1357"/>
      <c r="P9773" s="841" t="s">
        <v>3419</v>
      </c>
      <c r="Q9773" s="1357"/>
      <c r="S9773" s="1420"/>
      <c r="T9773" s="1420"/>
      <c r="V9773" s="1357">
        <v>31</v>
      </c>
    </row>
    <row r="9774" spans="1:22" s="841" customFormat="1" ht="15" x14ac:dyDescent="0.25">
      <c r="A9774" s="841" t="s">
        <v>190</v>
      </c>
      <c r="E9774" s="1690" t="s">
        <v>84</v>
      </c>
      <c r="F9774" s="1690"/>
      <c r="G9774" s="1408" t="s">
        <v>33</v>
      </c>
      <c r="H9774" s="393">
        <v>9.1118000000000006</v>
      </c>
      <c r="K9774" s="841" t="s">
        <v>3417</v>
      </c>
      <c r="L9774" s="841" t="s">
        <v>442</v>
      </c>
      <c r="M9774" s="1357"/>
      <c r="P9774" s="841" t="s">
        <v>3420</v>
      </c>
      <c r="Q9774" s="1357"/>
      <c r="S9774" s="1420"/>
      <c r="T9774" s="1420"/>
      <c r="V9774" s="1357">
        <v>28</v>
      </c>
    </row>
    <row r="9775" spans="1:22" s="841" customFormat="1" ht="15" x14ac:dyDescent="0.25">
      <c r="A9775" s="841" t="s">
        <v>190</v>
      </c>
      <c r="E9775" s="1690" t="s">
        <v>18</v>
      </c>
      <c r="F9775" s="1690"/>
      <c r="G9775" s="1408" t="s">
        <v>33</v>
      </c>
      <c r="H9775" s="393">
        <v>0.41520000000000001</v>
      </c>
      <c r="K9775" s="841" t="s">
        <v>3417</v>
      </c>
      <c r="L9775" s="841" t="s">
        <v>443</v>
      </c>
      <c r="M9775" s="1357"/>
      <c r="P9775" s="841" t="s">
        <v>3552</v>
      </c>
      <c r="Q9775" s="1357"/>
      <c r="S9775" s="1420"/>
      <c r="T9775" s="1420"/>
      <c r="V9775" s="1357">
        <v>24</v>
      </c>
    </row>
    <row r="9776" spans="1:22" s="841" customFormat="1" ht="15" x14ac:dyDescent="0.25">
      <c r="A9776" s="841" t="s">
        <v>190</v>
      </c>
      <c r="E9776" s="1690" t="s">
        <v>5749</v>
      </c>
      <c r="F9776" s="1908"/>
      <c r="G9776" s="1408" t="s">
        <v>24</v>
      </c>
      <c r="H9776" s="393">
        <v>-1E-3</v>
      </c>
      <c r="K9776" s="841" t="s">
        <v>3417</v>
      </c>
      <c r="L9776" s="841" t="s">
        <v>443</v>
      </c>
      <c r="M9776" s="1357"/>
      <c r="P9776" s="841" t="s">
        <v>3421</v>
      </c>
      <c r="Q9776" s="1357"/>
      <c r="S9776" s="1420"/>
      <c r="T9776" s="1420">
        <v>43951</v>
      </c>
      <c r="V9776" s="1357">
        <v>139</v>
      </c>
    </row>
    <row r="9777" spans="1:22" s="841" customFormat="1" ht="15" x14ac:dyDescent="0.25">
      <c r="A9777" s="841" t="s">
        <v>190</v>
      </c>
      <c r="E9777" s="1690" t="s">
        <v>5751</v>
      </c>
      <c r="F9777" s="1908"/>
      <c r="G9777" s="1408" t="s">
        <v>33</v>
      </c>
      <c r="H9777" s="393">
        <v>-0.1918</v>
      </c>
      <c r="K9777" s="841" t="s">
        <v>3417</v>
      </c>
      <c r="L9777" s="841" t="s">
        <v>443</v>
      </c>
      <c r="M9777" s="1357"/>
      <c r="P9777" s="841" t="s">
        <v>3423</v>
      </c>
      <c r="Q9777" s="1357"/>
      <c r="S9777" s="1420"/>
      <c r="T9777" s="1420">
        <v>43951</v>
      </c>
      <c r="V9777" s="1357">
        <v>96</v>
      </c>
    </row>
    <row r="9778" spans="1:22" s="841" customFormat="1" ht="15" x14ac:dyDescent="0.25">
      <c r="A9778" s="841" t="s">
        <v>190</v>
      </c>
      <c r="E9778" s="1690" t="s">
        <v>5757</v>
      </c>
      <c r="F9778" s="1690"/>
      <c r="G9778" s="1408" t="s">
        <v>24</v>
      </c>
      <c r="H9778" s="393">
        <v>2.0000000000000001E-4</v>
      </c>
      <c r="K9778" s="841" t="s">
        <v>3417</v>
      </c>
      <c r="L9778" s="841" t="s">
        <v>443</v>
      </c>
      <c r="M9778" s="1357"/>
      <c r="P9778" s="841" t="s">
        <v>3421</v>
      </c>
      <c r="Q9778" s="1357"/>
      <c r="S9778" s="1420"/>
      <c r="T9778" s="1420">
        <v>43585</v>
      </c>
      <c r="V9778" s="1357">
        <v>142</v>
      </c>
    </row>
    <row r="9779" spans="1:22" s="841" customFormat="1" ht="15" x14ac:dyDescent="0.25">
      <c r="A9779" s="841" t="s">
        <v>190</v>
      </c>
      <c r="E9779" s="1690" t="s">
        <v>3545</v>
      </c>
      <c r="F9779" s="1690"/>
      <c r="G9779" s="1408" t="s">
        <v>33</v>
      </c>
      <c r="H9779" s="393">
        <v>-0.36840000000000001</v>
      </c>
      <c r="K9779" s="841" t="s">
        <v>3417</v>
      </c>
      <c r="L9779" s="841" t="s">
        <v>443</v>
      </c>
      <c r="M9779" s="1357"/>
      <c r="P9779" s="841" t="s">
        <v>3423</v>
      </c>
      <c r="Q9779" s="1357"/>
      <c r="S9779" s="1420"/>
      <c r="T9779" s="1420">
        <v>43585</v>
      </c>
      <c r="V9779" s="1357">
        <v>96</v>
      </c>
    </row>
    <row r="9780" spans="1:22" s="841" customFormat="1" ht="15" x14ac:dyDescent="0.25">
      <c r="A9780" s="841" t="s">
        <v>190</v>
      </c>
      <c r="E9780" s="1690" t="s">
        <v>3544</v>
      </c>
      <c r="F9780" s="1690"/>
      <c r="G9780" s="1408" t="s">
        <v>33</v>
      </c>
      <c r="H9780" s="393">
        <v>8.2799999999999999E-2</v>
      </c>
      <c r="K9780" s="841" t="s">
        <v>3417</v>
      </c>
      <c r="L9780" s="841" t="s">
        <v>442</v>
      </c>
      <c r="M9780" s="1357"/>
      <c r="P9780" s="841" t="s">
        <v>3423</v>
      </c>
      <c r="Q9780" s="1357"/>
      <c r="S9780" s="1420"/>
      <c r="T9780" s="1420">
        <v>43585</v>
      </c>
      <c r="V9780" s="1357">
        <v>104</v>
      </c>
    </row>
    <row r="9781" spans="1:22" s="841" customFormat="1" ht="15" x14ac:dyDescent="0.25">
      <c r="A9781" s="841" t="s">
        <v>190</v>
      </c>
      <c r="E9781" s="1690" t="s">
        <v>5758</v>
      </c>
      <c r="F9781" s="1690"/>
      <c r="G9781" s="1408" t="s">
        <v>33</v>
      </c>
      <c r="H9781" s="393">
        <v>-0.1207</v>
      </c>
      <c r="K9781" s="841" t="s">
        <v>3417</v>
      </c>
      <c r="L9781" s="841" t="s">
        <v>442</v>
      </c>
      <c r="M9781" s="1357"/>
      <c r="P9781" s="841" t="s">
        <v>3422</v>
      </c>
      <c r="Q9781" s="1357"/>
      <c r="S9781" s="1420"/>
      <c r="T9781" s="1420">
        <v>43585</v>
      </c>
      <c r="V9781" s="1357">
        <v>350</v>
      </c>
    </row>
    <row r="9782" spans="1:22" s="841" customFormat="1" ht="15" x14ac:dyDescent="0.25">
      <c r="A9782" s="841" t="s">
        <v>190</v>
      </c>
      <c r="E9782" s="1690" t="s">
        <v>221</v>
      </c>
      <c r="F9782" s="1690"/>
      <c r="G9782" s="1408" t="s">
        <v>33</v>
      </c>
      <c r="H9782" s="393">
        <v>1.8082</v>
      </c>
      <c r="K9782" s="841" t="s">
        <v>3417</v>
      </c>
      <c r="L9782" s="841" t="s">
        <v>444</v>
      </c>
      <c r="M9782" s="1357"/>
      <c r="P9782" s="841" t="s">
        <v>3424</v>
      </c>
      <c r="Q9782" s="1357"/>
      <c r="S9782" s="1420"/>
      <c r="T9782" s="1420"/>
      <c r="V9782" s="1357">
        <v>47</v>
      </c>
    </row>
    <row r="9783" spans="1:22" s="841" customFormat="1" ht="15" x14ac:dyDescent="0.25">
      <c r="A9783" s="841" t="s">
        <v>190</v>
      </c>
      <c r="E9783" s="1690" t="s">
        <v>217</v>
      </c>
      <c r="F9783" s="1690"/>
      <c r="G9783" s="1408" t="s">
        <v>33</v>
      </c>
      <c r="H9783" s="393">
        <v>0.93620000000000003</v>
      </c>
      <c r="K9783" s="841" t="s">
        <v>3417</v>
      </c>
      <c r="L9783" s="841" t="s">
        <v>444</v>
      </c>
      <c r="M9783" s="1357"/>
      <c r="P9783" s="841" t="s">
        <v>3553</v>
      </c>
      <c r="Q9783" s="1357"/>
      <c r="S9783" s="1420"/>
      <c r="T9783" s="1420"/>
      <c r="V9783" s="1357">
        <v>74</v>
      </c>
    </row>
    <row r="9784" spans="1:22" s="841" customFormat="1" ht="15" x14ac:dyDescent="0.25">
      <c r="A9784" s="841" t="s">
        <v>190</v>
      </c>
      <c r="E9784" s="1694" t="s">
        <v>3079</v>
      </c>
      <c r="F9784" s="1690"/>
      <c r="G9784" s="1408"/>
      <c r="H9784" s="1408"/>
      <c r="K9784" s="841" t="s">
        <v>3111</v>
      </c>
      <c r="M9784" s="1357"/>
      <c r="Q9784" s="1357"/>
      <c r="S9784" s="1420"/>
      <c r="T9784" s="1420"/>
      <c r="V9784" s="1357">
        <v>48</v>
      </c>
    </row>
    <row r="9785" spans="1:22" s="841" customFormat="1" ht="15" x14ac:dyDescent="0.25">
      <c r="A9785" s="841" t="s">
        <v>190</v>
      </c>
      <c r="E9785" s="1690" t="s">
        <v>2449</v>
      </c>
      <c r="F9785" s="1690"/>
      <c r="G9785" s="1408" t="s">
        <v>24</v>
      </c>
      <c r="H9785" s="393">
        <v>3.2000000000000002E-3</v>
      </c>
      <c r="K9785" s="841" t="s">
        <v>3417</v>
      </c>
      <c r="L9785" s="841" t="s">
        <v>3046</v>
      </c>
      <c r="M9785" s="1357"/>
      <c r="P9785" s="841" t="s">
        <v>3426</v>
      </c>
      <c r="Q9785" s="1357"/>
      <c r="S9785" s="1420"/>
      <c r="T9785" s="1420"/>
      <c r="V9785" s="1357">
        <v>55</v>
      </c>
    </row>
    <row r="9786" spans="1:22" s="841" customFormat="1" ht="15" x14ac:dyDescent="0.25">
      <c r="A9786" s="841" t="s">
        <v>190</v>
      </c>
      <c r="E9786" s="1690" t="s">
        <v>2450</v>
      </c>
      <c r="F9786" s="1690"/>
      <c r="G9786" s="1408" t="s">
        <v>24</v>
      </c>
      <c r="H9786" s="393">
        <v>4.0000000000000002E-4</v>
      </c>
      <c r="K9786" s="841" t="s">
        <v>3417</v>
      </c>
      <c r="L9786" s="841" t="s">
        <v>3046</v>
      </c>
      <c r="M9786" s="1357"/>
      <c r="P9786" s="841" t="s">
        <v>3426</v>
      </c>
      <c r="Q9786" s="1357"/>
      <c r="S9786" s="1420"/>
      <c r="T9786" s="1420"/>
      <c r="V9786" s="1357">
        <v>65</v>
      </c>
    </row>
    <row r="9787" spans="1:22" s="841" customFormat="1" ht="15" x14ac:dyDescent="0.25">
      <c r="A9787" s="841" t="s">
        <v>190</v>
      </c>
      <c r="E9787" s="1690" t="s">
        <v>439</v>
      </c>
      <c r="F9787" s="1690"/>
      <c r="G9787" s="1408" t="s">
        <v>24</v>
      </c>
      <c r="H9787" s="393">
        <v>2.9999999999999997E-4</v>
      </c>
      <c r="K9787" s="841" t="s">
        <v>3417</v>
      </c>
      <c r="L9787" s="841" t="s">
        <v>3046</v>
      </c>
      <c r="M9787" s="1357"/>
      <c r="P9787" s="841" t="s">
        <v>3427</v>
      </c>
      <c r="Q9787" s="1357"/>
      <c r="S9787" s="1420"/>
      <c r="T9787" s="1420"/>
      <c r="V9787" s="1357">
        <v>57</v>
      </c>
    </row>
    <row r="9788" spans="1:22" s="841" customFormat="1" ht="15" x14ac:dyDescent="0.25">
      <c r="A9788" s="841" t="s">
        <v>190</v>
      </c>
      <c r="E9788" s="1690" t="s">
        <v>32</v>
      </c>
      <c r="F9788" s="1690"/>
      <c r="G9788" s="1408" t="s">
        <v>23</v>
      </c>
      <c r="H9788" s="391">
        <v>0.25</v>
      </c>
      <c r="K9788" s="841" t="s">
        <v>3417</v>
      </c>
      <c r="L9788" s="841" t="s">
        <v>3046</v>
      </c>
      <c r="M9788" s="1357"/>
      <c r="P9788" s="841" t="s">
        <v>3428</v>
      </c>
      <c r="Q9788" s="1357"/>
      <c r="S9788" s="1420"/>
      <c r="T9788" s="1420"/>
      <c r="V9788" s="1357">
        <v>63</v>
      </c>
    </row>
    <row r="9789" spans="1:22" s="841" customFormat="1" x14ac:dyDescent="0.25">
      <c r="A9789" s="841" t="s">
        <v>190</v>
      </c>
      <c r="E9789" s="1909" t="s">
        <v>618</v>
      </c>
      <c r="F9789" s="1915"/>
      <c r="G9789" s="1915"/>
      <c r="H9789" s="1915"/>
      <c r="K9789" s="841" t="s">
        <v>3371</v>
      </c>
      <c r="M9789" s="1357"/>
      <c r="Q9789" s="1357"/>
      <c r="S9789" s="1420"/>
      <c r="T9789" s="1420"/>
      <c r="V9789" s="1357">
        <v>31</v>
      </c>
    </row>
    <row r="9790" spans="1:22" s="841" customFormat="1" ht="15" x14ac:dyDescent="0.25">
      <c r="A9790" s="841" t="s">
        <v>190</v>
      </c>
      <c r="E9790" s="1689" t="s">
        <v>3372</v>
      </c>
      <c r="F9790" s="1697"/>
      <c r="G9790" s="1697"/>
      <c r="H9790" s="1697"/>
      <c r="K9790" s="841" t="s">
        <v>3371</v>
      </c>
      <c r="M9790" s="1357"/>
      <c r="Q9790" s="1357"/>
      <c r="S9790" s="1420"/>
      <c r="T9790" s="1420"/>
      <c r="V9790" s="1357">
        <v>285</v>
      </c>
    </row>
    <row r="9791" spans="1:22" s="841" customFormat="1" ht="15" x14ac:dyDescent="0.25">
      <c r="A9791" s="841" t="s">
        <v>190</v>
      </c>
      <c r="E9791" s="1916" t="s">
        <v>3061</v>
      </c>
      <c r="F9791" s="1697"/>
      <c r="G9791" s="1697"/>
      <c r="H9791" s="1697"/>
      <c r="K9791" s="841" t="s">
        <v>3114</v>
      </c>
      <c r="M9791" s="1357"/>
      <c r="Q9791" s="1357"/>
      <c r="S9791" s="1420"/>
      <c r="T9791" s="1420"/>
      <c r="V9791" s="1357">
        <v>11</v>
      </c>
    </row>
    <row r="9792" spans="1:22" s="841" customFormat="1" ht="15" x14ac:dyDescent="0.25">
      <c r="A9792" s="841" t="s">
        <v>190</v>
      </c>
      <c r="E9792" s="1689" t="s">
        <v>3063</v>
      </c>
      <c r="F9792" s="1697"/>
      <c r="G9792" s="1697"/>
      <c r="H9792" s="1697"/>
      <c r="K9792" s="841" t="s">
        <v>3371</v>
      </c>
      <c r="M9792" s="1357"/>
      <c r="Q9792" s="1357"/>
      <c r="S9792" s="1420"/>
      <c r="T9792" s="1420"/>
      <c r="V9792" s="1357">
        <v>280</v>
      </c>
    </row>
    <row r="9793" spans="1:22" s="841" customFormat="1" ht="15" x14ac:dyDescent="0.25">
      <c r="A9793" s="841" t="s">
        <v>190</v>
      </c>
      <c r="E9793" s="1689" t="s">
        <v>3064</v>
      </c>
      <c r="F9793" s="1697"/>
      <c r="G9793" s="1697"/>
      <c r="H9793" s="1697"/>
      <c r="K9793" s="841" t="s">
        <v>3371</v>
      </c>
      <c r="M9793" s="1357"/>
      <c r="Q9793" s="1357"/>
      <c r="S9793" s="1420"/>
      <c r="T9793" s="1420"/>
      <c r="V9793" s="1357">
        <v>411</v>
      </c>
    </row>
    <row r="9794" spans="1:22" s="841" customFormat="1" ht="15" x14ac:dyDescent="0.25">
      <c r="A9794" s="841" t="s">
        <v>190</v>
      </c>
      <c r="E9794" s="1689" t="s">
        <v>3129</v>
      </c>
      <c r="F9794" s="1697"/>
      <c r="G9794" s="1697"/>
      <c r="H9794" s="1697"/>
      <c r="K9794" s="841" t="s">
        <v>3371</v>
      </c>
      <c r="M9794" s="1357"/>
      <c r="Q9794" s="1357"/>
      <c r="S9794" s="1420"/>
      <c r="T9794" s="1420"/>
      <c r="V9794" s="1357">
        <v>211</v>
      </c>
    </row>
    <row r="9795" spans="1:22" s="841" customFormat="1" ht="15" x14ac:dyDescent="0.25">
      <c r="A9795" s="841" t="s">
        <v>190</v>
      </c>
      <c r="E9795" s="1689" t="s">
        <v>3390</v>
      </c>
      <c r="F9795" s="1697"/>
      <c r="G9795" s="1697"/>
      <c r="H9795" s="1697"/>
      <c r="K9795" s="841" t="s">
        <v>3371</v>
      </c>
      <c r="M9795" s="1357"/>
      <c r="Q9795" s="1357"/>
      <c r="S9795" s="1420"/>
      <c r="T9795" s="1420"/>
      <c r="V9795" s="1357">
        <v>274</v>
      </c>
    </row>
    <row r="9796" spans="1:22" s="841" customFormat="1" ht="15" x14ac:dyDescent="0.25">
      <c r="A9796" s="841" t="s">
        <v>190</v>
      </c>
      <c r="E9796" s="1694" t="s">
        <v>3067</v>
      </c>
      <c r="F9796" s="1907"/>
      <c r="G9796" s="1907"/>
      <c r="H9796" s="1907"/>
      <c r="K9796" s="841" t="s">
        <v>3115</v>
      </c>
      <c r="M9796" s="1357"/>
      <c r="Q9796" s="1357"/>
      <c r="S9796" s="1420"/>
      <c r="T9796" s="1420"/>
      <c r="V9796" s="1357">
        <v>46</v>
      </c>
    </row>
    <row r="9797" spans="1:22" s="841" customFormat="1" ht="15" x14ac:dyDescent="0.25">
      <c r="A9797" s="841" t="s">
        <v>190</v>
      </c>
      <c r="E9797" s="1690" t="s">
        <v>11</v>
      </c>
      <c r="F9797" s="1690"/>
      <c r="G9797" s="1408" t="s">
        <v>23</v>
      </c>
      <c r="H9797" s="391">
        <v>5.4</v>
      </c>
      <c r="K9797" s="841" t="s">
        <v>3371</v>
      </c>
      <c r="L9797" s="841" t="s">
        <v>442</v>
      </c>
      <c r="M9797" s="1357"/>
      <c r="P9797" s="841" t="s">
        <v>3373</v>
      </c>
      <c r="Q9797" s="1357"/>
      <c r="S9797" s="1420"/>
      <c r="T9797" s="1420"/>
      <c r="V9797" s="1357">
        <v>14</v>
      </c>
    </row>
    <row r="9798" spans="1:22" s="841" customFormat="1" x14ac:dyDescent="0.25">
      <c r="A9798" s="841" t="s">
        <v>190</v>
      </c>
      <c r="E9798" s="1931" t="s">
        <v>85</v>
      </c>
      <c r="F9798" s="1931"/>
      <c r="G9798" s="693"/>
      <c r="H9798" s="694"/>
      <c r="K9798" s="841" t="s">
        <v>3554</v>
      </c>
      <c r="M9798" s="1357"/>
      <c r="Q9798" s="1357"/>
      <c r="S9798" s="1420"/>
      <c r="T9798" s="1420"/>
      <c r="V9798" s="1357">
        <v>10</v>
      </c>
    </row>
    <row r="9799" spans="1:22" s="841" customFormat="1" ht="15" x14ac:dyDescent="0.25">
      <c r="A9799" s="841" t="s">
        <v>190</v>
      </c>
      <c r="E9799" s="1690" t="s">
        <v>3133</v>
      </c>
      <c r="F9799" s="1690"/>
      <c r="G9799" s="1408" t="s">
        <v>33</v>
      </c>
      <c r="H9799" s="681">
        <v>-0.6</v>
      </c>
      <c r="M9799" s="1357"/>
      <c r="Q9799" s="1357"/>
      <c r="S9799" s="1420"/>
      <c r="T9799" s="1420"/>
      <c r="V9799" s="1357">
        <v>68</v>
      </c>
    </row>
    <row r="9800" spans="1:22" s="841" customFormat="1" ht="15" x14ac:dyDescent="0.25">
      <c r="A9800" s="841" t="s">
        <v>190</v>
      </c>
      <c r="E9800" s="1690" t="s">
        <v>3134</v>
      </c>
      <c r="F9800" s="1690"/>
      <c r="G9800" s="1408" t="s">
        <v>86</v>
      </c>
      <c r="H9800" s="391">
        <v>-1</v>
      </c>
      <c r="M9800" s="1357"/>
      <c r="Q9800" s="1357"/>
      <c r="S9800" s="1420"/>
      <c r="T9800" s="1420"/>
      <c r="V9800" s="1357">
        <v>87</v>
      </c>
    </row>
    <row r="9801" spans="1:22" s="841" customFormat="1" x14ac:dyDescent="0.25">
      <c r="A9801" s="841" t="s">
        <v>190</v>
      </c>
      <c r="E9801" s="1931" t="s">
        <v>87</v>
      </c>
      <c r="F9801" s="1932"/>
      <c r="G9801" s="693"/>
      <c r="H9801" s="694"/>
      <c r="K9801" s="841" t="s">
        <v>3555</v>
      </c>
      <c r="M9801" s="1357"/>
      <c r="Q9801" s="1357"/>
      <c r="S9801" s="1420"/>
      <c r="T9801" s="1420"/>
      <c r="V9801" s="1357">
        <v>24</v>
      </c>
    </row>
    <row r="9802" spans="1:22" s="841" customFormat="1" ht="15" x14ac:dyDescent="0.25">
      <c r="A9802" s="841" t="s">
        <v>190</v>
      </c>
      <c r="E9802" s="1926" t="s">
        <v>3061</v>
      </c>
      <c r="F9802" s="1689"/>
      <c r="G9802" s="1689"/>
      <c r="H9802" s="1689"/>
      <c r="M9802" s="1357"/>
      <c r="Q9802" s="1357"/>
      <c r="S9802" s="1420"/>
      <c r="T9802" s="1420"/>
      <c r="V9802" s="1357">
        <v>11</v>
      </c>
    </row>
    <row r="9803" spans="1:22" s="841" customFormat="1" ht="15" x14ac:dyDescent="0.25">
      <c r="A9803" s="841" t="s">
        <v>190</v>
      </c>
      <c r="E9803" s="1689" t="s">
        <v>3063</v>
      </c>
      <c r="F9803" s="1689"/>
      <c r="G9803" s="1689"/>
      <c r="H9803" s="1689"/>
      <c r="M9803" s="1357"/>
      <c r="Q9803" s="1357"/>
      <c r="S9803" s="1420"/>
      <c r="T9803" s="1420"/>
      <c r="V9803" s="1357">
        <v>280</v>
      </c>
    </row>
    <row r="9804" spans="1:22" s="841" customFormat="1" ht="15" x14ac:dyDescent="0.25">
      <c r="A9804" s="841" t="s">
        <v>190</v>
      </c>
      <c r="E9804" s="1689" t="s">
        <v>3136</v>
      </c>
      <c r="F9804" s="1689"/>
      <c r="G9804" s="1689"/>
      <c r="H9804" s="1689"/>
      <c r="M9804" s="1357"/>
      <c r="Q9804" s="1357"/>
      <c r="S9804" s="1420"/>
      <c r="T9804" s="1420"/>
      <c r="V9804" s="1357">
        <v>353</v>
      </c>
    </row>
    <row r="9805" spans="1:22" s="841" customFormat="1" ht="15" x14ac:dyDescent="0.25">
      <c r="A9805" s="841" t="s">
        <v>190</v>
      </c>
      <c r="E9805" s="1689" t="s">
        <v>3390</v>
      </c>
      <c r="F9805" s="1689"/>
      <c r="G9805" s="1689"/>
      <c r="H9805" s="1689"/>
      <c r="M9805" s="1357"/>
      <c r="Q9805" s="1357"/>
      <c r="S9805" s="1420"/>
      <c r="T9805" s="1420"/>
      <c r="V9805" s="1357">
        <v>274</v>
      </c>
    </row>
    <row r="9806" spans="1:22" s="841" customFormat="1" ht="15" x14ac:dyDescent="0.25">
      <c r="A9806" s="841" t="s">
        <v>190</v>
      </c>
      <c r="E9806" s="1370" t="s">
        <v>3137</v>
      </c>
      <c r="F9806" s="3"/>
      <c r="G9806" s="3"/>
      <c r="H9806" s="398"/>
      <c r="K9806" s="841" t="s">
        <v>3556</v>
      </c>
      <c r="M9806" s="1357"/>
      <c r="Q9806" s="1357"/>
      <c r="S9806" s="1420"/>
      <c r="T9806" s="1420"/>
      <c r="V9806" s="1357">
        <v>23</v>
      </c>
    </row>
    <row r="9807" spans="1:22" s="841" customFormat="1" ht="15" x14ac:dyDescent="0.25">
      <c r="A9807" s="841" t="s">
        <v>190</v>
      </c>
      <c r="E9807" s="1688" t="s">
        <v>3355</v>
      </c>
      <c r="F9807" s="1688"/>
      <c r="G9807" s="1408" t="s">
        <v>23</v>
      </c>
      <c r="H9807" s="391">
        <v>15</v>
      </c>
      <c r="M9807" s="1357"/>
      <c r="Q9807" s="1357"/>
      <c r="S9807" s="1420"/>
      <c r="T9807" s="1420"/>
      <c r="V9807" s="1357">
        <v>19</v>
      </c>
    </row>
    <row r="9808" spans="1:22" s="841" customFormat="1" ht="15" x14ac:dyDescent="0.25">
      <c r="A9808" s="841" t="s">
        <v>190</v>
      </c>
      <c r="E9808" s="1688" t="s">
        <v>123</v>
      </c>
      <c r="F9808" s="1688"/>
      <c r="G9808" s="1408" t="s">
        <v>23</v>
      </c>
      <c r="H9808" s="391">
        <v>15</v>
      </c>
      <c r="M9808" s="1357"/>
      <c r="Q9808" s="1357"/>
      <c r="S9808" s="1420"/>
      <c r="T9808" s="1420"/>
      <c r="V9808" s="1357">
        <v>35</v>
      </c>
    </row>
    <row r="9809" spans="1:22" s="841" customFormat="1" ht="15" x14ac:dyDescent="0.25">
      <c r="A9809" s="841" t="s">
        <v>190</v>
      </c>
      <c r="E9809" s="1688" t="s">
        <v>3140</v>
      </c>
      <c r="F9809" s="1688"/>
      <c r="G9809" s="1408" t="s">
        <v>23</v>
      </c>
      <c r="H9809" s="391">
        <v>15</v>
      </c>
      <c r="M9809" s="1357"/>
      <c r="Q9809" s="1357"/>
      <c r="S9809" s="1420"/>
      <c r="T9809" s="1420"/>
      <c r="V9809" s="1357">
        <v>20</v>
      </c>
    </row>
    <row r="9810" spans="1:22" s="841" customFormat="1" ht="15" x14ac:dyDescent="0.25">
      <c r="A9810" s="841" t="s">
        <v>190</v>
      </c>
      <c r="E9810" s="1688" t="s">
        <v>3147</v>
      </c>
      <c r="F9810" s="1688"/>
      <c r="G9810" s="1408" t="s">
        <v>23</v>
      </c>
      <c r="H9810" s="391">
        <v>15</v>
      </c>
      <c r="M9810" s="1357"/>
      <c r="Q9810" s="1357"/>
      <c r="S9810" s="1420"/>
      <c r="T9810" s="1420"/>
      <c r="V9810" s="1357">
        <v>15</v>
      </c>
    </row>
    <row r="9811" spans="1:22" s="841" customFormat="1" ht="15" x14ac:dyDescent="0.25">
      <c r="A9811" s="841" t="s">
        <v>190</v>
      </c>
      <c r="E9811" s="1688" t="s">
        <v>3143</v>
      </c>
      <c r="F9811" s="1688"/>
      <c r="G9811" s="1408" t="s">
        <v>23</v>
      </c>
      <c r="H9811" s="391">
        <v>15</v>
      </c>
      <c r="M9811" s="1357"/>
      <c r="Q9811" s="1357"/>
      <c r="S9811" s="1420"/>
      <c r="T9811" s="1420"/>
      <c r="V9811" s="1357">
        <v>37</v>
      </c>
    </row>
    <row r="9812" spans="1:22" s="841" customFormat="1" ht="15" x14ac:dyDescent="0.25">
      <c r="A9812" s="841" t="s">
        <v>190</v>
      </c>
      <c r="E9812" s="1688" t="s">
        <v>88</v>
      </c>
      <c r="F9812" s="1688"/>
      <c r="G9812" s="1408" t="s">
        <v>23</v>
      </c>
      <c r="H9812" s="391">
        <v>30</v>
      </c>
      <c r="M9812" s="1357"/>
      <c r="Q9812" s="1357"/>
      <c r="S9812" s="1420"/>
      <c r="T9812" s="1420"/>
      <c r="V9812" s="1357">
        <v>89</v>
      </c>
    </row>
    <row r="9813" spans="1:22" s="841" customFormat="1" ht="15" x14ac:dyDescent="0.25">
      <c r="A9813" s="841" t="s">
        <v>190</v>
      </c>
      <c r="E9813" s="1688" t="s">
        <v>92</v>
      </c>
      <c r="F9813" s="1688"/>
      <c r="G9813" s="1408" t="s">
        <v>23</v>
      </c>
      <c r="H9813" s="391">
        <v>30</v>
      </c>
      <c r="M9813" s="1357"/>
      <c r="Q9813" s="1357"/>
      <c r="S9813" s="1420"/>
      <c r="T9813" s="1420"/>
      <c r="V9813" s="1357">
        <v>74</v>
      </c>
    </row>
    <row r="9814" spans="1:22" s="841" customFormat="1" ht="15" x14ac:dyDescent="0.25">
      <c r="A9814" s="841" t="s">
        <v>190</v>
      </c>
      <c r="E9814" s="1370" t="s">
        <v>3152</v>
      </c>
      <c r="F9814" s="3"/>
      <c r="G9814" s="3"/>
      <c r="H9814" s="505"/>
      <c r="K9814" s="841" t="s">
        <v>3557</v>
      </c>
      <c r="M9814" s="1357"/>
      <c r="Q9814" s="1357"/>
      <c r="S9814" s="1420"/>
      <c r="T9814" s="1420"/>
      <c r="V9814" s="1357">
        <v>22</v>
      </c>
    </row>
    <row r="9815" spans="1:22" s="841" customFormat="1" ht="15" x14ac:dyDescent="0.25">
      <c r="A9815" s="841" t="s">
        <v>190</v>
      </c>
      <c r="E9815" s="1688" t="s">
        <v>5137</v>
      </c>
      <c r="F9815" s="1688"/>
      <c r="G9815" s="1408" t="s">
        <v>86</v>
      </c>
      <c r="H9815" s="391">
        <v>1.5</v>
      </c>
      <c r="M9815" s="1357"/>
      <c r="Q9815" s="1357"/>
      <c r="S9815" s="1420"/>
      <c r="T9815" s="1420"/>
      <c r="V9815" s="1357">
        <v>24</v>
      </c>
    </row>
    <row r="9816" spans="1:22" s="841" customFormat="1" ht="15" x14ac:dyDescent="0.25">
      <c r="A9816" s="841" t="s">
        <v>190</v>
      </c>
      <c r="E9816" s="1688" t="s">
        <v>4772</v>
      </c>
      <c r="F9816" s="1688"/>
      <c r="G9816" s="1408" t="s">
        <v>86</v>
      </c>
      <c r="H9816" s="391">
        <v>19.559999999999999</v>
      </c>
      <c r="M9816" s="1357"/>
      <c r="Q9816" s="1357"/>
      <c r="S9816" s="1420"/>
      <c r="T9816" s="1420"/>
      <c r="V9816" s="1357">
        <v>24</v>
      </c>
    </row>
    <row r="9817" spans="1:22" s="841" customFormat="1" ht="15" x14ac:dyDescent="0.25">
      <c r="A9817" s="841" t="s">
        <v>190</v>
      </c>
      <c r="E9817" s="1688" t="s">
        <v>3288</v>
      </c>
      <c r="F9817" s="1688"/>
      <c r="G9817" s="1408" t="s">
        <v>23</v>
      </c>
      <c r="H9817" s="391">
        <v>30</v>
      </c>
      <c r="M9817" s="1357"/>
      <c r="Q9817" s="1357"/>
      <c r="S9817" s="1420"/>
      <c r="T9817" s="1420"/>
      <c r="V9817" s="1357">
        <v>47</v>
      </c>
    </row>
    <row r="9818" spans="1:22" s="841" customFormat="1" ht="15" x14ac:dyDescent="0.25">
      <c r="A9818" s="841" t="s">
        <v>190</v>
      </c>
      <c r="E9818" s="1688" t="s">
        <v>4773</v>
      </c>
      <c r="F9818" s="1688"/>
      <c r="G9818" s="1408" t="s">
        <v>23</v>
      </c>
      <c r="H9818" s="391">
        <v>65</v>
      </c>
      <c r="M9818" s="1357"/>
      <c r="Q9818" s="1357"/>
      <c r="S9818" s="1420"/>
      <c r="T9818" s="1420"/>
      <c r="V9818" s="1357">
        <v>52</v>
      </c>
    </row>
    <row r="9819" spans="1:22" s="841" customFormat="1" ht="15" x14ac:dyDescent="0.25">
      <c r="A9819" s="841" t="s">
        <v>190</v>
      </c>
      <c r="E9819" s="1688" t="s">
        <v>4774</v>
      </c>
      <c r="F9819" s="1688"/>
      <c r="G9819" s="1408" t="s">
        <v>23</v>
      </c>
      <c r="H9819" s="391">
        <v>185</v>
      </c>
      <c r="M9819" s="1357"/>
      <c r="Q9819" s="1357"/>
      <c r="S9819" s="1420"/>
      <c r="T9819" s="1420"/>
      <c r="V9819" s="1357">
        <v>51</v>
      </c>
    </row>
    <row r="9820" spans="1:22" s="841" customFormat="1" ht="15" x14ac:dyDescent="0.25">
      <c r="A9820" s="841" t="s">
        <v>190</v>
      </c>
      <c r="E9820" s="1370" t="s">
        <v>3164</v>
      </c>
      <c r="F9820" s="3"/>
      <c r="G9820" s="3"/>
      <c r="H9820" s="505"/>
      <c r="M9820" s="1357"/>
      <c r="Q9820" s="1357"/>
      <c r="S9820" s="1420"/>
      <c r="T9820" s="1420"/>
      <c r="V9820" s="1357">
        <v>5</v>
      </c>
    </row>
    <row r="9821" spans="1:22" s="841" customFormat="1" ht="15" x14ac:dyDescent="0.25">
      <c r="A9821" s="841" t="s">
        <v>190</v>
      </c>
      <c r="E9821" s="1688" t="s">
        <v>3491</v>
      </c>
      <c r="F9821" s="1688"/>
      <c r="G9821" s="1408" t="s">
        <v>23</v>
      </c>
      <c r="H9821" s="391">
        <v>22.35</v>
      </c>
      <c r="M9821" s="1357"/>
      <c r="Q9821" s="1357"/>
      <c r="S9821" s="1420"/>
      <c r="T9821" s="1420"/>
      <c r="V9821" s="1357">
        <v>59</v>
      </c>
    </row>
    <row r="9822" spans="1:22" s="841" customFormat="1" ht="15" x14ac:dyDescent="0.25">
      <c r="A9822" s="841" t="s">
        <v>190</v>
      </c>
      <c r="E9822" s="1688" t="s">
        <v>3166</v>
      </c>
      <c r="F9822" s="1688"/>
      <c r="G9822" s="1408"/>
      <c r="H9822" s="394"/>
      <c r="M9822" s="1357"/>
      <c r="Q9822" s="1357"/>
      <c r="S9822" s="1420"/>
      <c r="T9822" s="1420"/>
      <c r="V9822" s="1357">
        <v>44</v>
      </c>
    </row>
    <row r="9823" spans="1:22" s="841" customFormat="1" ht="18.75" x14ac:dyDescent="0.3">
      <c r="A9823" s="841" t="s">
        <v>190</v>
      </c>
      <c r="E9823" s="1931" t="s">
        <v>77</v>
      </c>
      <c r="F9823" s="1932"/>
      <c r="G9823" s="657"/>
      <c r="H9823" s="658"/>
      <c r="K9823" s="841" t="s">
        <v>3558</v>
      </c>
      <c r="M9823" s="1357"/>
      <c r="Q9823" s="1357"/>
      <c r="S9823" s="1420"/>
      <c r="T9823" s="1420"/>
      <c r="V9823" s="1357">
        <v>38</v>
      </c>
    </row>
    <row r="9824" spans="1:22" s="841" customFormat="1" ht="15" x14ac:dyDescent="0.25">
      <c r="A9824" s="841" t="s">
        <v>190</v>
      </c>
      <c r="E9824" s="1926" t="s">
        <v>3061</v>
      </c>
      <c r="F9824" s="1689"/>
      <c r="G9824" s="1689"/>
      <c r="H9824" s="1689"/>
      <c r="K9824" s="841" t="s">
        <v>3114</v>
      </c>
      <c r="M9824" s="1357"/>
      <c r="Q9824" s="1357"/>
      <c r="S9824" s="1420"/>
      <c r="T9824" s="1420"/>
      <c r="V9824" s="1357">
        <v>11</v>
      </c>
    </row>
    <row r="9825" spans="1:22" s="841" customFormat="1" ht="15" x14ac:dyDescent="0.25">
      <c r="A9825" s="841" t="s">
        <v>190</v>
      </c>
      <c r="E9825" s="1689" t="s">
        <v>3063</v>
      </c>
      <c r="F9825" s="1689"/>
      <c r="G9825" s="1689"/>
      <c r="H9825" s="1689"/>
      <c r="M9825" s="1357"/>
      <c r="Q9825" s="1357"/>
      <c r="S9825" s="1420"/>
      <c r="T9825" s="1420"/>
      <c r="V9825" s="1357">
        <v>280</v>
      </c>
    </row>
    <row r="9826" spans="1:22" s="841" customFormat="1" ht="15" x14ac:dyDescent="0.25">
      <c r="A9826" s="841" t="s">
        <v>190</v>
      </c>
      <c r="E9826" s="1689" t="s">
        <v>3064</v>
      </c>
      <c r="F9826" s="1689"/>
      <c r="G9826" s="1689"/>
      <c r="H9826" s="1689"/>
      <c r="M9826" s="1357"/>
      <c r="Q9826" s="1357"/>
      <c r="S9826" s="1420"/>
      <c r="T9826" s="1420"/>
      <c r="V9826" s="1357">
        <v>411</v>
      </c>
    </row>
    <row r="9827" spans="1:22" s="841" customFormat="1" ht="15" x14ac:dyDescent="0.25">
      <c r="A9827" s="841" t="s">
        <v>190</v>
      </c>
      <c r="E9827" s="1689" t="s">
        <v>3129</v>
      </c>
      <c r="F9827" s="1689"/>
      <c r="G9827" s="1689"/>
      <c r="H9827" s="1689"/>
      <c r="M9827" s="1357"/>
      <c r="Q9827" s="1357"/>
      <c r="S9827" s="1420"/>
      <c r="T9827" s="1420"/>
      <c r="V9827" s="1357">
        <v>211</v>
      </c>
    </row>
    <row r="9828" spans="1:22" s="841" customFormat="1" ht="15" x14ac:dyDescent="0.25">
      <c r="A9828" s="841" t="s">
        <v>190</v>
      </c>
      <c r="E9828" s="1689" t="s">
        <v>3390</v>
      </c>
      <c r="F9828" s="1689"/>
      <c r="G9828" s="1689"/>
      <c r="H9828" s="1689"/>
      <c r="M9828" s="1357"/>
      <c r="Q9828" s="1357"/>
      <c r="S9828" s="1420"/>
      <c r="T9828" s="1420"/>
      <c r="V9828" s="1357">
        <v>274</v>
      </c>
    </row>
    <row r="9829" spans="1:22" s="841" customFormat="1" ht="15" x14ac:dyDescent="0.25">
      <c r="A9829" s="841" t="s">
        <v>190</v>
      </c>
      <c r="E9829" s="1690" t="s">
        <v>3559</v>
      </c>
      <c r="F9829" s="1690"/>
      <c r="G9829" s="1907"/>
      <c r="H9829" s="1907"/>
      <c r="M9829" s="1357"/>
      <c r="Q9829" s="1357"/>
      <c r="S9829" s="1420"/>
      <c r="T9829" s="1420"/>
      <c r="V9829" s="1357">
        <v>141</v>
      </c>
    </row>
    <row r="9830" spans="1:22" s="841" customFormat="1" ht="15" x14ac:dyDescent="0.25">
      <c r="A9830" s="841" t="s">
        <v>190</v>
      </c>
      <c r="E9830" s="1690" t="s">
        <v>3176</v>
      </c>
      <c r="F9830" s="1690"/>
      <c r="G9830" s="397" t="s">
        <v>23</v>
      </c>
      <c r="H9830" s="391">
        <v>100</v>
      </c>
      <c r="M9830" s="1357"/>
      <c r="Q9830" s="1357"/>
      <c r="S9830" s="1420"/>
      <c r="T9830" s="1420"/>
      <c r="V9830" s="1357">
        <v>106</v>
      </c>
    </row>
    <row r="9831" spans="1:22" s="841" customFormat="1" ht="15" x14ac:dyDescent="0.25">
      <c r="A9831" s="841" t="s">
        <v>190</v>
      </c>
      <c r="E9831" s="1690" t="s">
        <v>3177</v>
      </c>
      <c r="F9831" s="1690"/>
      <c r="G9831" s="397" t="s">
        <v>23</v>
      </c>
      <c r="H9831" s="391">
        <v>20</v>
      </c>
      <c r="M9831" s="1357"/>
      <c r="Q9831" s="1357"/>
      <c r="S9831" s="1420"/>
      <c r="T9831" s="1420"/>
      <c r="V9831" s="1357">
        <v>34</v>
      </c>
    </row>
    <row r="9832" spans="1:22" s="841" customFormat="1" ht="15" x14ac:dyDescent="0.25">
      <c r="A9832" s="841" t="s">
        <v>190</v>
      </c>
      <c r="E9832" s="1690" t="s">
        <v>3178</v>
      </c>
      <c r="F9832" s="1690"/>
      <c r="G9832" s="397" t="s">
        <v>23</v>
      </c>
      <c r="H9832" s="391">
        <v>0.5</v>
      </c>
      <c r="M9832" s="1357"/>
      <c r="Q9832" s="1357"/>
      <c r="S9832" s="1420"/>
      <c r="T9832" s="1420"/>
      <c r="V9832" s="1357">
        <v>51</v>
      </c>
    </row>
    <row r="9833" spans="1:22" s="841" customFormat="1" ht="15" x14ac:dyDescent="0.25">
      <c r="A9833" s="841" t="s">
        <v>190</v>
      </c>
      <c r="E9833" s="1690" t="s">
        <v>3180</v>
      </c>
      <c r="F9833" s="1690"/>
      <c r="G9833" s="397" t="s">
        <v>23</v>
      </c>
      <c r="H9833" s="391">
        <v>0.3</v>
      </c>
      <c r="M9833" s="1357"/>
      <c r="Q9833" s="1357"/>
      <c r="S9833" s="1420"/>
      <c r="T9833" s="1420"/>
      <c r="V9833" s="1357">
        <v>75</v>
      </c>
    </row>
    <row r="9834" spans="1:22" s="841" customFormat="1" ht="15" x14ac:dyDescent="0.25">
      <c r="A9834" s="841" t="s">
        <v>190</v>
      </c>
      <c r="E9834" s="1691" t="s">
        <v>3181</v>
      </c>
      <c r="F9834" s="1691"/>
      <c r="G9834" s="397" t="s">
        <v>23</v>
      </c>
      <c r="H9834" s="391">
        <v>-0.3</v>
      </c>
      <c r="M9834" s="1357"/>
      <c r="Q9834" s="1357"/>
      <c r="S9834" s="1420"/>
      <c r="T9834" s="1420"/>
      <c r="V9834" s="1357">
        <v>72</v>
      </c>
    </row>
    <row r="9835" spans="1:22" s="841" customFormat="1" ht="15" x14ac:dyDescent="0.25">
      <c r="A9835" s="841" t="s">
        <v>190</v>
      </c>
      <c r="E9835" s="1691" t="s">
        <v>3292</v>
      </c>
      <c r="F9835" s="1691"/>
      <c r="G9835" s="397"/>
      <c r="H9835" s="392"/>
      <c r="M9835" s="1357"/>
      <c r="Q9835" s="1357"/>
      <c r="S9835" s="1420"/>
      <c r="T9835" s="1420"/>
      <c r="V9835" s="1357">
        <v>34</v>
      </c>
    </row>
    <row r="9836" spans="1:22" s="841" customFormat="1" ht="15" x14ac:dyDescent="0.25">
      <c r="A9836" s="841" t="s">
        <v>190</v>
      </c>
      <c r="E9836" s="1691" t="s">
        <v>3183</v>
      </c>
      <c r="F9836" s="1691"/>
      <c r="G9836" s="397" t="s">
        <v>23</v>
      </c>
      <c r="H9836" s="391">
        <v>0.25</v>
      </c>
      <c r="M9836" s="1357"/>
      <c r="Q9836" s="1357"/>
      <c r="S9836" s="1420"/>
      <c r="T9836" s="1420"/>
      <c r="V9836" s="1357">
        <v>57</v>
      </c>
    </row>
    <row r="9837" spans="1:22" s="841" customFormat="1" ht="15" x14ac:dyDescent="0.25">
      <c r="A9837" s="841" t="s">
        <v>190</v>
      </c>
      <c r="E9837" s="1690" t="s">
        <v>3184</v>
      </c>
      <c r="F9837" s="1690"/>
      <c r="G9837" s="397" t="s">
        <v>23</v>
      </c>
      <c r="H9837" s="391">
        <v>0.5</v>
      </c>
      <c r="M9837" s="1357"/>
      <c r="Q9837" s="1357"/>
      <c r="S9837" s="1420"/>
      <c r="T9837" s="1420"/>
      <c r="V9837" s="1357">
        <v>60</v>
      </c>
    </row>
    <row r="9838" spans="1:22" s="841" customFormat="1" ht="15" x14ac:dyDescent="0.25">
      <c r="A9838" s="841" t="s">
        <v>190</v>
      </c>
      <c r="E9838" s="1690" t="s">
        <v>3185</v>
      </c>
      <c r="F9838" s="1690"/>
      <c r="G9838" s="397"/>
      <c r="H9838" s="392"/>
      <c r="M9838" s="1357"/>
      <c r="Q9838" s="1357"/>
      <c r="S9838" s="1420"/>
      <c r="T9838" s="1420"/>
      <c r="V9838" s="1357">
        <v>91</v>
      </c>
    </row>
    <row r="9839" spans="1:22" s="841" customFormat="1" ht="15" x14ac:dyDescent="0.25">
      <c r="A9839" s="841" t="s">
        <v>190</v>
      </c>
      <c r="E9839" s="1691" t="s">
        <v>3186</v>
      </c>
      <c r="F9839" s="1691"/>
      <c r="G9839" s="397"/>
      <c r="H9839" s="392"/>
      <c r="M9839" s="1357"/>
      <c r="Q9839" s="1357"/>
      <c r="S9839" s="1420"/>
      <c r="T9839" s="1420"/>
      <c r="V9839" s="1357">
        <v>96</v>
      </c>
    </row>
    <row r="9840" spans="1:22" s="841" customFormat="1" ht="15" x14ac:dyDescent="0.25">
      <c r="A9840" s="841" t="s">
        <v>190</v>
      </c>
      <c r="E9840" s="1691" t="s">
        <v>3293</v>
      </c>
      <c r="F9840" s="1691"/>
      <c r="G9840" s="397"/>
      <c r="H9840" s="392"/>
      <c r="M9840" s="1357"/>
      <c r="Q9840" s="1357"/>
      <c r="S9840" s="1420"/>
      <c r="T9840" s="1420"/>
      <c r="V9840" s="1357">
        <v>77</v>
      </c>
    </row>
    <row r="9841" spans="1:22" s="841" customFormat="1" ht="15" x14ac:dyDescent="0.25">
      <c r="A9841" s="841" t="s">
        <v>190</v>
      </c>
      <c r="E9841" s="1691" t="s">
        <v>3188</v>
      </c>
      <c r="F9841" s="1691"/>
      <c r="G9841" s="397" t="s">
        <v>23</v>
      </c>
      <c r="H9841" s="392" t="s">
        <v>3189</v>
      </c>
      <c r="M9841" s="1357"/>
      <c r="Q9841" s="1357"/>
      <c r="S9841" s="1420"/>
      <c r="T9841" s="1420"/>
      <c r="V9841" s="1357">
        <v>18</v>
      </c>
    </row>
    <row r="9842" spans="1:22" s="841" customFormat="1" ht="23.25" x14ac:dyDescent="0.25">
      <c r="A9842" s="841" t="s">
        <v>190</v>
      </c>
      <c r="E9842" s="1365" t="s">
        <v>3190</v>
      </c>
      <c r="F9842" s="3"/>
      <c r="G9842" s="397" t="s">
        <v>23</v>
      </c>
      <c r="H9842" s="391">
        <v>2</v>
      </c>
      <c r="M9842" s="1357"/>
      <c r="Q9842" s="1357"/>
      <c r="S9842" s="1420"/>
      <c r="T9842" s="1420"/>
      <c r="V9842" s="1357">
        <v>69</v>
      </c>
    </row>
    <row r="9843" spans="1:22" s="841" customFormat="1" ht="18.75" x14ac:dyDescent="0.3">
      <c r="A9843" s="841" t="s">
        <v>190</v>
      </c>
      <c r="E9843" s="1374" t="s">
        <v>147</v>
      </c>
      <c r="F9843" s="657"/>
      <c r="G9843" s="657"/>
      <c r="H9843" s="658"/>
      <c r="K9843" s="841" t="s">
        <v>3560</v>
      </c>
      <c r="M9843" s="1357"/>
      <c r="Q9843" s="1357"/>
      <c r="S9843" s="1420"/>
      <c r="T9843" s="1420"/>
      <c r="V9843" s="1357">
        <v>12</v>
      </c>
    </row>
    <row r="9844" spans="1:22" s="841" customFormat="1" ht="15" x14ac:dyDescent="0.25">
      <c r="A9844" s="841" t="s">
        <v>190</v>
      </c>
      <c r="E9844" s="1704" t="s">
        <v>3192</v>
      </c>
      <c r="F9844" s="1948"/>
      <c r="G9844" s="1948"/>
      <c r="H9844" s="1948"/>
      <c r="M9844" s="1357"/>
      <c r="Q9844" s="1357"/>
      <c r="S9844" s="1420"/>
      <c r="T9844" s="1420"/>
      <c r="V9844" s="1357">
        <v>203</v>
      </c>
    </row>
    <row r="9845" spans="1:22" s="841" customFormat="1" ht="15" x14ac:dyDescent="0.25">
      <c r="A9845" s="841" t="s">
        <v>190</v>
      </c>
      <c r="E9845" s="1690" t="s">
        <v>3295</v>
      </c>
      <c r="F9845" s="1690"/>
      <c r="G9845" s="1408"/>
      <c r="H9845" s="1413">
        <v>1.0693999999999999</v>
      </c>
      <c r="M9845" s="1357"/>
      <c r="Q9845" s="1357"/>
      <c r="S9845" s="1420"/>
      <c r="T9845" s="1420"/>
      <c r="V9845" s="1357">
        <v>57</v>
      </c>
    </row>
    <row r="9846" spans="1:22" s="841" customFormat="1" ht="15" x14ac:dyDescent="0.25">
      <c r="A9846" s="841" t="s">
        <v>190</v>
      </c>
      <c r="E9846" s="1690" t="s">
        <v>3297</v>
      </c>
      <c r="F9846" s="1690"/>
      <c r="G9846" s="1408"/>
      <c r="H9846" s="1413">
        <v>1.0587</v>
      </c>
      <c r="J9846" s="841" t="s">
        <v>3561</v>
      </c>
      <c r="M9846" s="1357"/>
      <c r="Q9846" s="1357"/>
      <c r="S9846" s="1420"/>
      <c r="T9846" s="1420"/>
      <c r="V9846" s="1357">
        <v>55</v>
      </c>
    </row>
    <row r="9847" spans="1:22" s="841" customFormat="1" ht="23.25" x14ac:dyDescent="0.25">
      <c r="A9847" s="841" t="s">
        <v>427</v>
      </c>
      <c r="C9847" s="841" t="s">
        <v>3050</v>
      </c>
      <c r="E9847" s="1911" t="s">
        <v>427</v>
      </c>
      <c r="F9847" s="1699"/>
      <c r="G9847" s="1699"/>
      <c r="H9847" s="1699"/>
      <c r="I9847" s="841" t="s">
        <v>628</v>
      </c>
      <c r="J9847" s="841" t="s">
        <v>4204</v>
      </c>
      <c r="K9847" s="841" t="s">
        <v>427</v>
      </c>
      <c r="M9847" s="1357">
        <v>7</v>
      </c>
      <c r="Q9847" s="1357"/>
      <c r="S9847" s="1420"/>
      <c r="T9847" s="1420"/>
      <c r="V9847" s="1357">
        <v>29</v>
      </c>
    </row>
    <row r="9848" spans="1:22" s="841" customFormat="1" x14ac:dyDescent="0.25">
      <c r="A9848" s="841" t="s">
        <v>427</v>
      </c>
      <c r="C9848" s="841" t="s">
        <v>3052</v>
      </c>
      <c r="E9848" s="1912" t="s">
        <v>3053</v>
      </c>
      <c r="F9848" s="1700"/>
      <c r="G9848" s="1700"/>
      <c r="H9848" s="1700"/>
      <c r="M9848" s="1357"/>
      <c r="Q9848" s="1357"/>
      <c r="S9848" s="1420"/>
      <c r="T9848" s="1420"/>
      <c r="V9848" s="1357">
        <v>27</v>
      </c>
    </row>
    <row r="9849" spans="1:22" s="841" customFormat="1" ht="15.75" x14ac:dyDescent="0.25">
      <c r="A9849" s="841" t="s">
        <v>427</v>
      </c>
      <c r="C9849" s="841" t="s">
        <v>3054</v>
      </c>
      <c r="E9849" s="1913" t="s">
        <v>5107</v>
      </c>
      <c r="F9849" s="1701"/>
      <c r="G9849" s="1701"/>
      <c r="H9849" s="1701"/>
      <c r="M9849" s="1357"/>
      <c r="Q9849" s="1357"/>
      <c r="S9849" s="1420">
        <v>43221</v>
      </c>
      <c r="T9849" s="1420"/>
      <c r="V9849" s="1357">
        <v>45</v>
      </c>
    </row>
    <row r="9850" spans="1:22" s="841" customFormat="1" ht="15" x14ac:dyDescent="0.25">
      <c r="A9850" s="841" t="s">
        <v>427</v>
      </c>
      <c r="C9850" s="841" t="s">
        <v>3055</v>
      </c>
      <c r="E9850" s="1914" t="s">
        <v>3056</v>
      </c>
      <c r="F9850" s="1702"/>
      <c r="G9850" s="1702"/>
      <c r="H9850" s="1702"/>
      <c r="M9850" s="1357"/>
      <c r="Q9850" s="1357"/>
      <c r="S9850" s="1420"/>
      <c r="T9850" s="1420"/>
      <c r="V9850" s="1357">
        <v>52</v>
      </c>
    </row>
    <row r="9851" spans="1:22" s="841" customFormat="1" ht="15" x14ac:dyDescent="0.25">
      <c r="A9851" s="841" t="s">
        <v>427</v>
      </c>
      <c r="E9851" s="1914" t="s">
        <v>3057</v>
      </c>
      <c r="F9851" s="1702"/>
      <c r="G9851" s="1702"/>
      <c r="H9851" s="1702"/>
      <c r="M9851" s="1357"/>
      <c r="Q9851" s="1357"/>
      <c r="S9851" s="1420"/>
      <c r="T9851" s="1420"/>
      <c r="V9851" s="1357">
        <v>53</v>
      </c>
    </row>
    <row r="9852" spans="1:22" s="841" customFormat="1" ht="15" x14ac:dyDescent="0.25">
      <c r="A9852" s="841" t="s">
        <v>427</v>
      </c>
      <c r="E9852" s="1925" t="s">
        <v>5763</v>
      </c>
      <c r="F9852" s="1703"/>
      <c r="G9852" s="1703"/>
      <c r="H9852" s="1703"/>
      <c r="K9852" s="841" t="s">
        <v>5763</v>
      </c>
      <c r="M9852" s="1357"/>
      <c r="Q9852" s="1357"/>
      <c r="S9852" s="1420"/>
      <c r="T9852" s="1420"/>
      <c r="V9852" s="1357">
        <v>12</v>
      </c>
    </row>
    <row r="9853" spans="1:22" s="841" customFormat="1" ht="15" x14ac:dyDescent="0.25">
      <c r="A9853" s="841" t="s">
        <v>427</v>
      </c>
      <c r="E9853" s="1909" t="s">
        <v>438</v>
      </c>
      <c r="F9853" s="1689"/>
      <c r="G9853" s="1689"/>
      <c r="H9853" s="1689"/>
      <c r="K9853" s="841" t="s">
        <v>3197</v>
      </c>
      <c r="M9853" s="1357"/>
      <c r="Q9853" s="1357"/>
      <c r="S9853" s="1420"/>
      <c r="T9853" s="1420"/>
      <c r="V9853" s="1357">
        <v>34</v>
      </c>
    </row>
    <row r="9854" spans="1:22" s="841" customFormat="1" ht="15" x14ac:dyDescent="0.25">
      <c r="A9854" s="841" t="s">
        <v>427</v>
      </c>
      <c r="E9854" s="1689" t="s">
        <v>4205</v>
      </c>
      <c r="F9854" s="1689"/>
      <c r="G9854" s="1689"/>
      <c r="H9854" s="1689"/>
      <c r="K9854" s="841" t="s">
        <v>3197</v>
      </c>
      <c r="M9854" s="1357"/>
      <c r="Q9854" s="1357"/>
      <c r="S9854" s="1420"/>
      <c r="T9854" s="1420"/>
      <c r="V9854" s="1357">
        <v>480</v>
      </c>
    </row>
    <row r="9855" spans="1:22" s="841" customFormat="1" ht="15" x14ac:dyDescent="0.25">
      <c r="A9855" s="841" t="s">
        <v>427</v>
      </c>
      <c r="E9855" s="1916" t="s">
        <v>3061</v>
      </c>
      <c r="F9855" s="1689"/>
      <c r="G9855" s="1689"/>
      <c r="H9855" s="1689"/>
      <c r="K9855" s="841" t="s">
        <v>3062</v>
      </c>
      <c r="M9855" s="1357"/>
      <c r="Q9855" s="1357"/>
      <c r="S9855" s="1420"/>
      <c r="T9855" s="1420"/>
      <c r="V9855" s="1357">
        <v>11</v>
      </c>
    </row>
    <row r="9856" spans="1:22" s="841" customFormat="1" ht="15" x14ac:dyDescent="0.25">
      <c r="A9856" s="841" t="s">
        <v>427</v>
      </c>
      <c r="E9856" s="1689" t="s">
        <v>3063</v>
      </c>
      <c r="F9856" s="1689"/>
      <c r="G9856" s="1689"/>
      <c r="H9856" s="1689"/>
      <c r="K9856" s="841" t="s">
        <v>3197</v>
      </c>
      <c r="M9856" s="1357"/>
      <c r="Q9856" s="1357"/>
      <c r="S9856" s="1420"/>
      <c r="T9856" s="1420"/>
      <c r="V9856" s="1357">
        <v>280</v>
      </c>
    </row>
    <row r="9857" spans="1:22" s="841" customFormat="1" ht="15" x14ac:dyDescent="0.25">
      <c r="A9857" s="841" t="s">
        <v>427</v>
      </c>
      <c r="E9857" s="1689" t="s">
        <v>3064</v>
      </c>
      <c r="F9857" s="1689"/>
      <c r="G9857" s="1689"/>
      <c r="H9857" s="1689"/>
      <c r="K9857" s="841" t="s">
        <v>3197</v>
      </c>
      <c r="M9857" s="1357"/>
      <c r="Q9857" s="1357"/>
      <c r="S9857" s="1420"/>
      <c r="T9857" s="1420"/>
      <c r="V9857" s="1357">
        <v>411</v>
      </c>
    </row>
    <row r="9858" spans="1:22" s="841" customFormat="1" ht="15" x14ac:dyDescent="0.25">
      <c r="A9858" s="841" t="s">
        <v>427</v>
      </c>
      <c r="E9858" s="1689" t="s">
        <v>3199</v>
      </c>
      <c r="F9858" s="1689"/>
      <c r="G9858" s="1689"/>
      <c r="H9858" s="1689"/>
      <c r="K9858" s="841" t="s">
        <v>3197</v>
      </c>
      <c r="M9858" s="1357"/>
      <c r="Q9858" s="1357"/>
      <c r="S9858" s="1420"/>
      <c r="T9858" s="1420"/>
      <c r="V9858" s="1357">
        <v>386</v>
      </c>
    </row>
    <row r="9859" spans="1:22" s="841" customFormat="1" ht="15" x14ac:dyDescent="0.25">
      <c r="A9859" s="841" t="s">
        <v>427</v>
      </c>
      <c r="E9859" s="1689" t="s">
        <v>3390</v>
      </c>
      <c r="F9859" s="1689"/>
      <c r="G9859" s="1689"/>
      <c r="H9859" s="1689"/>
      <c r="K9859" s="841" t="s">
        <v>3197</v>
      </c>
      <c r="M9859" s="1357"/>
      <c r="Q9859" s="1357"/>
      <c r="S9859" s="1420"/>
      <c r="T9859" s="1420"/>
      <c r="V9859" s="1357">
        <v>274</v>
      </c>
    </row>
    <row r="9860" spans="1:22" s="841" customFormat="1" ht="15" x14ac:dyDescent="0.25">
      <c r="A9860" s="841" t="s">
        <v>427</v>
      </c>
      <c r="E9860" s="1694" t="s">
        <v>3067</v>
      </c>
      <c r="F9860" s="1907"/>
      <c r="G9860" s="1907"/>
      <c r="H9860" s="1907"/>
      <c r="K9860" s="841" t="s">
        <v>3068</v>
      </c>
      <c r="M9860" s="1357"/>
      <c r="Q9860" s="1357"/>
      <c r="S9860" s="1420"/>
      <c r="T9860" s="1420"/>
      <c r="V9860" s="1357">
        <v>46</v>
      </c>
    </row>
    <row r="9861" spans="1:22" s="841" customFormat="1" ht="15" x14ac:dyDescent="0.25">
      <c r="A9861" s="841" t="s">
        <v>427</v>
      </c>
      <c r="E9861" s="1690" t="s">
        <v>11</v>
      </c>
      <c r="F9861" s="1690"/>
      <c r="G9861" s="1408" t="s">
        <v>23</v>
      </c>
      <c r="H9861" s="391">
        <v>29.33</v>
      </c>
      <c r="K9861" s="841" t="s">
        <v>3197</v>
      </c>
      <c r="L9861" s="841" t="s">
        <v>442</v>
      </c>
      <c r="M9861" s="1357"/>
      <c r="P9861" s="841" t="s">
        <v>3201</v>
      </c>
      <c r="Q9861" s="1357"/>
      <c r="S9861" s="1420"/>
      <c r="T9861" s="1420"/>
      <c r="V9861" s="1357">
        <v>14</v>
      </c>
    </row>
    <row r="9862" spans="1:22" s="841" customFormat="1" ht="15" x14ac:dyDescent="0.25">
      <c r="A9862" s="841" t="s">
        <v>427</v>
      </c>
      <c r="E9862" s="1690" t="s">
        <v>5109</v>
      </c>
      <c r="F9862" s="1690"/>
      <c r="G9862" s="1408" t="s">
        <v>23</v>
      </c>
      <c r="H9862" s="391">
        <v>0.56999999999999995</v>
      </c>
      <c r="K9862" s="841" t="s">
        <v>3197</v>
      </c>
      <c r="L9862" s="841" t="s">
        <v>443</v>
      </c>
      <c r="M9862" s="1357"/>
      <c r="P9862" s="841" t="s">
        <v>3202</v>
      </c>
      <c r="Q9862" s="1357"/>
      <c r="S9862" s="1420"/>
      <c r="T9862" s="1420">
        <v>44926</v>
      </c>
      <c r="V9862" s="1357">
        <v>64</v>
      </c>
    </row>
    <row r="9863" spans="1:22" s="841" customFormat="1" ht="15" x14ac:dyDescent="0.25">
      <c r="A9863" s="841" t="s">
        <v>427</v>
      </c>
      <c r="E9863" s="1690" t="s">
        <v>84</v>
      </c>
      <c r="F9863" s="1690"/>
      <c r="G9863" s="1408" t="s">
        <v>24</v>
      </c>
      <c r="H9863" s="393">
        <v>4.7000000000000002E-3</v>
      </c>
      <c r="K9863" s="841" t="s">
        <v>3197</v>
      </c>
      <c r="L9863" s="841" t="s">
        <v>442</v>
      </c>
      <c r="M9863" s="1357"/>
      <c r="P9863" s="841" t="s">
        <v>3203</v>
      </c>
      <c r="Q9863" s="1357"/>
      <c r="S9863" s="1420"/>
      <c r="T9863" s="1420"/>
      <c r="V9863" s="1357">
        <v>28</v>
      </c>
    </row>
    <row r="9864" spans="1:22" s="841" customFormat="1" ht="15" x14ac:dyDescent="0.25">
      <c r="A9864" s="841" t="s">
        <v>427</v>
      </c>
      <c r="E9864" s="1690" t="s">
        <v>18</v>
      </c>
      <c r="F9864" s="1690"/>
      <c r="G9864" s="1408" t="s">
        <v>24</v>
      </c>
      <c r="H9864" s="393">
        <v>5.0000000000000001E-4</v>
      </c>
      <c r="K9864" s="841" t="s">
        <v>3197</v>
      </c>
      <c r="L9864" s="841" t="s">
        <v>443</v>
      </c>
      <c r="M9864" s="1357"/>
      <c r="P9864" s="841" t="s">
        <v>3204</v>
      </c>
      <c r="Q9864" s="1357"/>
      <c r="S9864" s="1420"/>
      <c r="T9864" s="1420"/>
      <c r="V9864" s="1357">
        <v>24</v>
      </c>
    </row>
    <row r="9865" spans="1:22" s="841" customFormat="1" ht="15" x14ac:dyDescent="0.25">
      <c r="A9865" s="841" t="s">
        <v>427</v>
      </c>
      <c r="E9865" s="1690" t="s">
        <v>5129</v>
      </c>
      <c r="F9865" s="1908"/>
      <c r="G9865" s="1408" t="s">
        <v>24</v>
      </c>
      <c r="H9865" s="393">
        <v>2.5000000000000001E-3</v>
      </c>
      <c r="K9865" s="841" t="s">
        <v>3197</v>
      </c>
      <c r="L9865" s="841" t="s">
        <v>443</v>
      </c>
      <c r="M9865" s="1357"/>
      <c r="P9865" s="841" t="s">
        <v>3205</v>
      </c>
      <c r="Q9865" s="1357"/>
      <c r="S9865" s="1420"/>
      <c r="T9865" s="1420">
        <v>43585</v>
      </c>
      <c r="V9865" s="1357">
        <v>139</v>
      </c>
    </row>
    <row r="9866" spans="1:22" s="841" customFormat="1" ht="15" x14ac:dyDescent="0.25">
      <c r="A9866" s="841" t="s">
        <v>427</v>
      </c>
      <c r="E9866" s="1690" t="s">
        <v>5130</v>
      </c>
      <c r="F9866" s="1908"/>
      <c r="G9866" s="1408" t="s">
        <v>24</v>
      </c>
      <c r="H9866" s="393">
        <v>-5.8999999999999999E-3</v>
      </c>
      <c r="K9866" s="841" t="s">
        <v>3197</v>
      </c>
      <c r="L9866" s="841" t="s">
        <v>443</v>
      </c>
      <c r="M9866" s="1357"/>
      <c r="P9866" s="841" t="s">
        <v>3207</v>
      </c>
      <c r="Q9866" s="1357"/>
      <c r="S9866" s="1420"/>
      <c r="T9866" s="1420">
        <v>43585</v>
      </c>
      <c r="V9866" s="1357">
        <v>96</v>
      </c>
    </row>
    <row r="9867" spans="1:22" s="841" customFormat="1" ht="15" x14ac:dyDescent="0.25">
      <c r="A9867" s="841" t="s">
        <v>427</v>
      </c>
      <c r="E9867" s="1690" t="s">
        <v>221</v>
      </c>
      <c r="F9867" s="1690"/>
      <c r="G9867" s="1408" t="s">
        <v>24</v>
      </c>
      <c r="H9867" s="393">
        <v>7.0000000000000001E-3</v>
      </c>
      <c r="K9867" s="841" t="s">
        <v>3197</v>
      </c>
      <c r="L9867" s="841" t="s">
        <v>444</v>
      </c>
      <c r="M9867" s="1357"/>
      <c r="P9867" s="841" t="s">
        <v>3208</v>
      </c>
      <c r="Q9867" s="1357"/>
      <c r="S9867" s="1420"/>
      <c r="T9867" s="1420"/>
      <c r="V9867" s="1357">
        <v>47</v>
      </c>
    </row>
    <row r="9868" spans="1:22" s="841" customFormat="1" ht="15" x14ac:dyDescent="0.25">
      <c r="A9868" s="841" t="s">
        <v>427</v>
      </c>
      <c r="E9868" s="1690" t="s">
        <v>217</v>
      </c>
      <c r="F9868" s="1690"/>
      <c r="G9868" s="1408" t="s">
        <v>24</v>
      </c>
      <c r="H9868" s="393">
        <v>5.3E-3</v>
      </c>
      <c r="K9868" s="841" t="s">
        <v>3197</v>
      </c>
      <c r="L9868" s="841" t="s">
        <v>444</v>
      </c>
      <c r="M9868" s="1357"/>
      <c r="P9868" s="841" t="s">
        <v>3209</v>
      </c>
      <c r="Q9868" s="1357"/>
      <c r="S9868" s="1420"/>
      <c r="T9868" s="1420"/>
      <c r="V9868" s="1357">
        <v>74</v>
      </c>
    </row>
    <row r="9869" spans="1:22" s="841" customFormat="1" ht="15" x14ac:dyDescent="0.25">
      <c r="A9869" s="841" t="s">
        <v>427</v>
      </c>
      <c r="E9869" s="1694" t="s">
        <v>3079</v>
      </c>
      <c r="F9869" s="1690"/>
      <c r="G9869" s="1690"/>
      <c r="H9869" s="1690"/>
      <c r="K9869" s="841" t="s">
        <v>3080</v>
      </c>
      <c r="M9869" s="1357"/>
      <c r="Q9869" s="1357"/>
      <c r="S9869" s="1420"/>
      <c r="T9869" s="1420"/>
      <c r="V9869" s="1357">
        <v>48</v>
      </c>
    </row>
    <row r="9870" spans="1:22" s="841" customFormat="1" ht="15" x14ac:dyDescent="0.25">
      <c r="A9870" s="841" t="s">
        <v>427</v>
      </c>
      <c r="E9870" s="1690" t="s">
        <v>2449</v>
      </c>
      <c r="F9870" s="1690"/>
      <c r="G9870" s="1408" t="s">
        <v>24</v>
      </c>
      <c r="H9870" s="393">
        <v>3.2000000000000002E-3</v>
      </c>
      <c r="K9870" s="841" t="s">
        <v>3197</v>
      </c>
      <c r="L9870" s="841" t="s">
        <v>3046</v>
      </c>
      <c r="M9870" s="1357"/>
      <c r="P9870" s="841" t="s">
        <v>3210</v>
      </c>
      <c r="Q9870" s="1357"/>
      <c r="S9870" s="1420"/>
      <c r="T9870" s="1420"/>
      <c r="V9870" s="1357">
        <v>55</v>
      </c>
    </row>
    <row r="9871" spans="1:22" s="841" customFormat="1" ht="15" x14ac:dyDescent="0.25">
      <c r="A9871" s="841" t="s">
        <v>427</v>
      </c>
      <c r="E9871" s="1690" t="s">
        <v>2450</v>
      </c>
      <c r="F9871" s="1690"/>
      <c r="G9871" s="1408" t="s">
        <v>24</v>
      </c>
      <c r="H9871" s="393">
        <v>4.0000000000000002E-4</v>
      </c>
      <c r="K9871" s="841" t="s">
        <v>3197</v>
      </c>
      <c r="L9871" s="841" t="s">
        <v>3046</v>
      </c>
      <c r="M9871" s="1357"/>
      <c r="P9871" s="841" t="s">
        <v>3210</v>
      </c>
      <c r="Q9871" s="1357"/>
      <c r="S9871" s="1420"/>
      <c r="T9871" s="1420"/>
      <c r="V9871" s="1357">
        <v>65</v>
      </c>
    </row>
    <row r="9872" spans="1:22" s="841" customFormat="1" ht="15" x14ac:dyDescent="0.25">
      <c r="A9872" s="841" t="s">
        <v>427</v>
      </c>
      <c r="E9872" s="1690" t="s">
        <v>439</v>
      </c>
      <c r="F9872" s="1690"/>
      <c r="G9872" s="1408" t="s">
        <v>24</v>
      </c>
      <c r="H9872" s="393">
        <v>2.9999999999999997E-4</v>
      </c>
      <c r="K9872" s="841" t="s">
        <v>3197</v>
      </c>
      <c r="L9872" s="841" t="s">
        <v>3046</v>
      </c>
      <c r="M9872" s="1357"/>
      <c r="P9872" s="841" t="s">
        <v>3212</v>
      </c>
      <c r="Q9872" s="1357"/>
      <c r="S9872" s="1420"/>
      <c r="T9872" s="1420"/>
      <c r="V9872" s="1357">
        <v>57</v>
      </c>
    </row>
    <row r="9873" spans="1:22" s="841" customFormat="1" ht="15" x14ac:dyDescent="0.25">
      <c r="A9873" s="841" t="s">
        <v>427</v>
      </c>
      <c r="E9873" s="1690" t="s">
        <v>32</v>
      </c>
      <c r="F9873" s="1690"/>
      <c r="G9873" s="1408" t="s">
        <v>23</v>
      </c>
      <c r="H9873" s="391">
        <v>0.25</v>
      </c>
      <c r="K9873" s="841" t="s">
        <v>3197</v>
      </c>
      <c r="L9873" s="841" t="s">
        <v>3046</v>
      </c>
      <c r="M9873" s="1357"/>
      <c r="P9873" s="841" t="s">
        <v>3213</v>
      </c>
      <c r="Q9873" s="1357"/>
      <c r="S9873" s="1420"/>
      <c r="T9873" s="1420"/>
      <c r="V9873" s="1357">
        <v>63</v>
      </c>
    </row>
    <row r="9874" spans="1:22" s="841" customFormat="1" x14ac:dyDescent="0.25">
      <c r="A9874" s="841" t="s">
        <v>427</v>
      </c>
      <c r="E9874" s="1909" t="s">
        <v>3214</v>
      </c>
      <c r="F9874" s="1923"/>
      <c r="G9874" s="1923"/>
      <c r="H9874" s="1923"/>
      <c r="K9874" s="841" t="s">
        <v>5110</v>
      </c>
      <c r="M9874" s="1357"/>
      <c r="Q9874" s="1357"/>
      <c r="S9874" s="1420"/>
      <c r="T9874" s="1420"/>
      <c r="V9874" s="1357">
        <v>54</v>
      </c>
    </row>
    <row r="9875" spans="1:22" s="841" customFormat="1" ht="15" x14ac:dyDescent="0.25">
      <c r="A9875" s="841" t="s">
        <v>427</v>
      </c>
      <c r="E9875" s="1689" t="s">
        <v>4206</v>
      </c>
      <c r="F9875" s="1689"/>
      <c r="G9875" s="1689"/>
      <c r="H9875" s="1689"/>
      <c r="K9875" s="841" t="s">
        <v>5110</v>
      </c>
      <c r="M9875" s="1357"/>
      <c r="Q9875" s="1357"/>
      <c r="S9875" s="1420"/>
      <c r="T9875" s="1420"/>
      <c r="V9875" s="1357">
        <v>322</v>
      </c>
    </row>
    <row r="9876" spans="1:22" s="841" customFormat="1" ht="15" x14ac:dyDescent="0.25">
      <c r="A9876" s="841" t="s">
        <v>427</v>
      </c>
      <c r="E9876" s="1916" t="s">
        <v>3061</v>
      </c>
      <c r="F9876" s="1689"/>
      <c r="G9876" s="1689"/>
      <c r="H9876" s="1689"/>
      <c r="K9876" s="841" t="s">
        <v>3086</v>
      </c>
      <c r="M9876" s="1357"/>
      <c r="Q9876" s="1357"/>
      <c r="S9876" s="1420"/>
      <c r="T9876" s="1420"/>
      <c r="V9876" s="1357">
        <v>11</v>
      </c>
    </row>
    <row r="9877" spans="1:22" s="841" customFormat="1" ht="15" x14ac:dyDescent="0.25">
      <c r="A9877" s="841" t="s">
        <v>427</v>
      </c>
      <c r="E9877" s="1689" t="s">
        <v>3063</v>
      </c>
      <c r="F9877" s="1689"/>
      <c r="G9877" s="1689"/>
      <c r="H9877" s="1689"/>
      <c r="K9877" s="841" t="s">
        <v>5110</v>
      </c>
      <c r="M9877" s="1357"/>
      <c r="Q9877" s="1357"/>
      <c r="S9877" s="1420"/>
      <c r="T9877" s="1420"/>
      <c r="V9877" s="1357">
        <v>280</v>
      </c>
    </row>
    <row r="9878" spans="1:22" s="841" customFormat="1" ht="15" x14ac:dyDescent="0.25">
      <c r="A9878" s="841" t="s">
        <v>427</v>
      </c>
      <c r="E9878" s="1689" t="s">
        <v>3064</v>
      </c>
      <c r="F9878" s="1689"/>
      <c r="G9878" s="1689"/>
      <c r="H9878" s="1689"/>
      <c r="K9878" s="841" t="s">
        <v>5110</v>
      </c>
      <c r="M9878" s="1357"/>
      <c r="Q9878" s="1357"/>
      <c r="S9878" s="1420"/>
      <c r="T9878" s="1420"/>
      <c r="V9878" s="1357">
        <v>411</v>
      </c>
    </row>
    <row r="9879" spans="1:22" s="841" customFormat="1" ht="15" x14ac:dyDescent="0.25">
      <c r="A9879" s="841" t="s">
        <v>427</v>
      </c>
      <c r="E9879" s="1689" t="s">
        <v>3199</v>
      </c>
      <c r="F9879" s="1689"/>
      <c r="G9879" s="1689"/>
      <c r="H9879" s="1689"/>
      <c r="K9879" s="841" t="s">
        <v>5110</v>
      </c>
      <c r="M9879" s="1357"/>
      <c r="Q9879" s="1357"/>
      <c r="S9879" s="1420"/>
      <c r="T9879" s="1420"/>
      <c r="V9879" s="1357">
        <v>386</v>
      </c>
    </row>
    <row r="9880" spans="1:22" s="841" customFormat="1" ht="15" x14ac:dyDescent="0.25">
      <c r="A9880" s="841" t="s">
        <v>427</v>
      </c>
      <c r="E9880" s="1689" t="s">
        <v>3390</v>
      </c>
      <c r="F9880" s="1689"/>
      <c r="G9880" s="1689"/>
      <c r="H9880" s="1689"/>
      <c r="K9880" s="841" t="s">
        <v>5110</v>
      </c>
      <c r="M9880" s="1357"/>
      <c r="Q9880" s="1357"/>
      <c r="S9880" s="1420"/>
      <c r="T9880" s="1420"/>
      <c r="V9880" s="1357">
        <v>274</v>
      </c>
    </row>
    <row r="9881" spans="1:22" s="841" customFormat="1" ht="15" x14ac:dyDescent="0.25">
      <c r="A9881" s="841" t="s">
        <v>427</v>
      </c>
      <c r="E9881" s="1694" t="s">
        <v>3067</v>
      </c>
      <c r="F9881" s="1907"/>
      <c r="G9881" s="1907"/>
      <c r="H9881" s="1907"/>
      <c r="K9881" s="841" t="s">
        <v>3087</v>
      </c>
      <c r="M9881" s="1357"/>
      <c r="Q9881" s="1357"/>
      <c r="S9881" s="1420"/>
      <c r="T9881" s="1420"/>
      <c r="V9881" s="1357">
        <v>46</v>
      </c>
    </row>
    <row r="9882" spans="1:22" s="841" customFormat="1" ht="15" x14ac:dyDescent="0.25">
      <c r="A9882" s="841" t="s">
        <v>427</v>
      </c>
      <c r="E9882" s="1690" t="s">
        <v>11</v>
      </c>
      <c r="F9882" s="1690"/>
      <c r="G9882" s="1408" t="s">
        <v>23</v>
      </c>
      <c r="H9882" s="391">
        <v>39.01</v>
      </c>
      <c r="K9882" s="841" t="s">
        <v>5110</v>
      </c>
      <c r="L9882" s="841" t="s">
        <v>442</v>
      </c>
      <c r="M9882" s="1357"/>
      <c r="P9882" s="841" t="s">
        <v>5111</v>
      </c>
      <c r="Q9882" s="1357"/>
      <c r="S9882" s="1420"/>
      <c r="T9882" s="1420"/>
      <c r="V9882" s="1357">
        <v>14</v>
      </c>
    </row>
    <row r="9883" spans="1:22" s="841" customFormat="1" ht="15" x14ac:dyDescent="0.25">
      <c r="A9883" s="841" t="s">
        <v>427</v>
      </c>
      <c r="E9883" s="1690" t="s">
        <v>5109</v>
      </c>
      <c r="F9883" s="1690"/>
      <c r="G9883" s="1408" t="s">
        <v>23</v>
      </c>
      <c r="H9883" s="391">
        <v>0.56999999999999995</v>
      </c>
      <c r="K9883" s="841" t="s">
        <v>5110</v>
      </c>
      <c r="L9883" s="841" t="s">
        <v>443</v>
      </c>
      <c r="M9883" s="1357"/>
      <c r="P9883" s="841" t="s">
        <v>5112</v>
      </c>
      <c r="Q9883" s="1357"/>
      <c r="S9883" s="1420"/>
      <c r="T9883" s="1420">
        <v>44926</v>
      </c>
      <c r="V9883" s="1357">
        <v>64</v>
      </c>
    </row>
    <row r="9884" spans="1:22" s="841" customFormat="1" ht="15" x14ac:dyDescent="0.25">
      <c r="A9884" s="841" t="s">
        <v>427</v>
      </c>
      <c r="E9884" s="1690" t="s">
        <v>84</v>
      </c>
      <c r="F9884" s="1690"/>
      <c r="G9884" s="1408" t="s">
        <v>24</v>
      </c>
      <c r="H9884" s="393">
        <v>1.4200000000000001E-2</v>
      </c>
      <c r="K9884" s="841" t="s">
        <v>5110</v>
      </c>
      <c r="L9884" s="841" t="s">
        <v>442</v>
      </c>
      <c r="M9884" s="1357"/>
      <c r="P9884" s="841" t="s">
        <v>5113</v>
      </c>
      <c r="Q9884" s="1357"/>
      <c r="S9884" s="1420"/>
      <c r="T9884" s="1420"/>
      <c r="V9884" s="1357">
        <v>28</v>
      </c>
    </row>
    <row r="9885" spans="1:22" s="841" customFormat="1" ht="15" x14ac:dyDescent="0.25">
      <c r="A9885" s="841" t="s">
        <v>427</v>
      </c>
      <c r="E9885" s="1690" t="s">
        <v>18</v>
      </c>
      <c r="F9885" s="1690"/>
      <c r="G9885" s="1408" t="s">
        <v>24</v>
      </c>
      <c r="H9885" s="393">
        <v>4.0000000000000002E-4</v>
      </c>
      <c r="K9885" s="841" t="s">
        <v>5110</v>
      </c>
      <c r="L9885" s="841" t="s">
        <v>443</v>
      </c>
      <c r="M9885" s="1357"/>
      <c r="P9885" s="841" t="s">
        <v>5114</v>
      </c>
      <c r="Q9885" s="1357"/>
      <c r="S9885" s="1420"/>
      <c r="T9885" s="1420"/>
      <c r="V9885" s="1357">
        <v>24</v>
      </c>
    </row>
    <row r="9886" spans="1:22" s="841" customFormat="1" ht="15" x14ac:dyDescent="0.25">
      <c r="A9886" s="841" t="s">
        <v>427</v>
      </c>
      <c r="E9886" s="1690" t="s">
        <v>5129</v>
      </c>
      <c r="F9886" s="1908"/>
      <c r="G9886" s="1408" t="s">
        <v>24</v>
      </c>
      <c r="H9886" s="393">
        <v>2.5000000000000001E-3</v>
      </c>
      <c r="K9886" s="841" t="s">
        <v>5110</v>
      </c>
      <c r="L9886" s="841" t="s">
        <v>443</v>
      </c>
      <c r="M9886" s="1357"/>
      <c r="P9886" s="841" t="s">
        <v>4818</v>
      </c>
      <c r="Q9886" s="1357"/>
      <c r="S9886" s="1420"/>
      <c r="T9886" s="1420">
        <v>43585</v>
      </c>
      <c r="V9886" s="1357">
        <v>139</v>
      </c>
    </row>
    <row r="9887" spans="1:22" s="841" customFormat="1" ht="15" x14ac:dyDescent="0.25">
      <c r="A9887" s="841" t="s">
        <v>427</v>
      </c>
      <c r="E9887" s="1690" t="s">
        <v>5130</v>
      </c>
      <c r="F9887" s="1908"/>
      <c r="G9887" s="1408" t="s">
        <v>24</v>
      </c>
      <c r="H9887" s="393">
        <v>-5.7999999999999996E-3</v>
      </c>
      <c r="K9887" s="841" t="s">
        <v>5110</v>
      </c>
      <c r="L9887" s="841" t="s">
        <v>443</v>
      </c>
      <c r="M9887" s="1357"/>
      <c r="P9887" s="841" t="s">
        <v>5124</v>
      </c>
      <c r="Q9887" s="1357"/>
      <c r="S9887" s="1420"/>
      <c r="T9887" s="1420">
        <v>43585</v>
      </c>
      <c r="V9887" s="1357">
        <v>96</v>
      </c>
    </row>
    <row r="9888" spans="1:22" s="841" customFormat="1" ht="15" x14ac:dyDescent="0.25">
      <c r="A9888" s="841" t="s">
        <v>427</v>
      </c>
      <c r="E9888" s="1690" t="s">
        <v>221</v>
      </c>
      <c r="F9888" s="1690"/>
      <c r="G9888" s="1408" t="s">
        <v>24</v>
      </c>
      <c r="H9888" s="393">
        <v>6.3E-3</v>
      </c>
      <c r="K9888" s="841" t="s">
        <v>5110</v>
      </c>
      <c r="L9888" s="841" t="s">
        <v>444</v>
      </c>
      <c r="M9888" s="1357"/>
      <c r="P9888" s="841" t="s">
        <v>5115</v>
      </c>
      <c r="Q9888" s="1357"/>
      <c r="S9888" s="1420"/>
      <c r="T9888" s="1420"/>
      <c r="V9888" s="1357">
        <v>47</v>
      </c>
    </row>
    <row r="9889" spans="1:22" s="841" customFormat="1" ht="15" x14ac:dyDescent="0.25">
      <c r="A9889" s="841" t="s">
        <v>427</v>
      </c>
      <c r="E9889" s="1690" t="s">
        <v>217</v>
      </c>
      <c r="F9889" s="1690"/>
      <c r="G9889" s="1408" t="s">
        <v>24</v>
      </c>
      <c r="H9889" s="393">
        <v>4.5999999999999999E-3</v>
      </c>
      <c r="K9889" s="841" t="s">
        <v>5110</v>
      </c>
      <c r="L9889" s="841" t="s">
        <v>444</v>
      </c>
      <c r="M9889" s="1357"/>
      <c r="P9889" s="841" t="s">
        <v>5116</v>
      </c>
      <c r="Q9889" s="1357"/>
      <c r="S9889" s="1420"/>
      <c r="T9889" s="1420"/>
      <c r="V9889" s="1357">
        <v>74</v>
      </c>
    </row>
    <row r="9890" spans="1:22" s="841" customFormat="1" ht="15" x14ac:dyDescent="0.25">
      <c r="A9890" s="841" t="s">
        <v>427</v>
      </c>
      <c r="E9890" s="1694" t="s">
        <v>3079</v>
      </c>
      <c r="F9890" s="1690"/>
      <c r="G9890" s="1690"/>
      <c r="H9890" s="1690"/>
      <c r="K9890" s="841" t="s">
        <v>3093</v>
      </c>
      <c r="M9890" s="1357"/>
      <c r="Q9890" s="1357"/>
      <c r="S9890" s="1420"/>
      <c r="T9890" s="1420"/>
      <c r="V9890" s="1357">
        <v>48</v>
      </c>
    </row>
    <row r="9891" spans="1:22" s="841" customFormat="1" ht="15" x14ac:dyDescent="0.25">
      <c r="A9891" s="841" t="s">
        <v>427</v>
      </c>
      <c r="E9891" s="1690" t="s">
        <v>2449</v>
      </c>
      <c r="F9891" s="1690"/>
      <c r="G9891" s="1408" t="s">
        <v>24</v>
      </c>
      <c r="H9891" s="393">
        <v>3.2000000000000002E-3</v>
      </c>
      <c r="K9891" s="841" t="s">
        <v>5110</v>
      </c>
      <c r="L9891" s="841" t="s">
        <v>3046</v>
      </c>
      <c r="M9891" s="1357"/>
      <c r="P9891" s="841" t="s">
        <v>5117</v>
      </c>
      <c r="Q9891" s="1357"/>
      <c r="S9891" s="1420"/>
      <c r="T9891" s="1420"/>
      <c r="V9891" s="1357">
        <v>55</v>
      </c>
    </row>
    <row r="9892" spans="1:22" s="841" customFormat="1" ht="15" x14ac:dyDescent="0.25">
      <c r="A9892" s="841" t="s">
        <v>427</v>
      </c>
      <c r="E9892" s="1690" t="s">
        <v>2450</v>
      </c>
      <c r="F9892" s="1690"/>
      <c r="G9892" s="1408" t="s">
        <v>24</v>
      </c>
      <c r="H9892" s="393">
        <v>4.0000000000000002E-4</v>
      </c>
      <c r="K9892" s="841" t="s">
        <v>5110</v>
      </c>
      <c r="L9892" s="841" t="s">
        <v>3046</v>
      </c>
      <c r="M9892" s="1357"/>
      <c r="P9892" s="841" t="s">
        <v>5117</v>
      </c>
      <c r="Q9892" s="1357"/>
      <c r="S9892" s="1420"/>
      <c r="T9892" s="1420"/>
      <c r="V9892" s="1357">
        <v>65</v>
      </c>
    </row>
    <row r="9893" spans="1:22" s="841" customFormat="1" ht="15" x14ac:dyDescent="0.25">
      <c r="A9893" s="841" t="s">
        <v>427</v>
      </c>
      <c r="E9893" s="1690" t="s">
        <v>439</v>
      </c>
      <c r="F9893" s="1690"/>
      <c r="G9893" s="1408" t="s">
        <v>24</v>
      </c>
      <c r="H9893" s="393">
        <v>2.9999999999999997E-4</v>
      </c>
      <c r="K9893" s="841" t="s">
        <v>5110</v>
      </c>
      <c r="L9893" s="841" t="s">
        <v>3046</v>
      </c>
      <c r="M9893" s="1357"/>
      <c r="P9893" s="841" t="s">
        <v>5118</v>
      </c>
      <c r="Q9893" s="1357"/>
      <c r="S9893" s="1420"/>
      <c r="T9893" s="1420"/>
      <c r="V9893" s="1357">
        <v>57</v>
      </c>
    </row>
    <row r="9894" spans="1:22" s="841" customFormat="1" ht="15" x14ac:dyDescent="0.25">
      <c r="A9894" s="841" t="s">
        <v>427</v>
      </c>
      <c r="E9894" s="1690" t="s">
        <v>32</v>
      </c>
      <c r="F9894" s="1690"/>
      <c r="G9894" s="1408" t="s">
        <v>23</v>
      </c>
      <c r="H9894" s="391">
        <v>0.25</v>
      </c>
      <c r="K9894" s="841" t="s">
        <v>5110</v>
      </c>
      <c r="L9894" s="841" t="s">
        <v>3046</v>
      </c>
      <c r="M9894" s="1357"/>
      <c r="P9894" s="841" t="s">
        <v>5119</v>
      </c>
      <c r="Q9894" s="1357"/>
      <c r="S9894" s="1420"/>
      <c r="T9894" s="1420"/>
      <c r="V9894" s="1357">
        <v>63</v>
      </c>
    </row>
    <row r="9895" spans="1:22" s="841" customFormat="1" x14ac:dyDescent="0.25">
      <c r="A9895" s="841" t="s">
        <v>427</v>
      </c>
      <c r="E9895" s="1909" t="s">
        <v>616</v>
      </c>
      <c r="F9895" s="1923"/>
      <c r="G9895" s="1923"/>
      <c r="H9895" s="1923"/>
      <c r="K9895" s="841" t="s">
        <v>6095</v>
      </c>
      <c r="M9895" s="1357"/>
      <c r="Q9895" s="1357"/>
      <c r="S9895" s="1420"/>
      <c r="T9895" s="1420"/>
      <c r="V9895" s="1357">
        <v>53</v>
      </c>
    </row>
    <row r="9896" spans="1:22" s="841" customFormat="1" ht="15" x14ac:dyDescent="0.25">
      <c r="A9896" s="841" t="s">
        <v>427</v>
      </c>
      <c r="E9896" s="1689" t="s">
        <v>4207</v>
      </c>
      <c r="F9896" s="1689"/>
      <c r="G9896" s="1689"/>
      <c r="H9896" s="1689"/>
      <c r="K9896" s="841" t="s">
        <v>6095</v>
      </c>
      <c r="M9896" s="1357"/>
      <c r="Q9896" s="1357"/>
      <c r="S9896" s="1420"/>
      <c r="T9896" s="1420"/>
      <c r="V9896" s="1357">
        <v>352</v>
      </c>
    </row>
    <row r="9897" spans="1:22" s="841" customFormat="1" ht="15" x14ac:dyDescent="0.25">
      <c r="A9897" s="841" t="s">
        <v>427</v>
      </c>
      <c r="E9897" s="1916" t="s">
        <v>3061</v>
      </c>
      <c r="F9897" s="1689"/>
      <c r="G9897" s="1689"/>
      <c r="H9897" s="1689"/>
      <c r="K9897" s="841" t="s">
        <v>3098</v>
      </c>
      <c r="M9897" s="1357"/>
      <c r="Q9897" s="1357"/>
      <c r="S9897" s="1420"/>
      <c r="T9897" s="1420"/>
      <c r="V9897" s="1357">
        <v>11</v>
      </c>
    </row>
    <row r="9898" spans="1:22" s="841" customFormat="1" ht="15" x14ac:dyDescent="0.25">
      <c r="A9898" s="841" t="s">
        <v>427</v>
      </c>
      <c r="E9898" s="1689" t="s">
        <v>3063</v>
      </c>
      <c r="F9898" s="1689"/>
      <c r="G9898" s="1689"/>
      <c r="H9898" s="1689"/>
      <c r="K9898" s="841" t="s">
        <v>6095</v>
      </c>
      <c r="M9898" s="1357"/>
      <c r="Q9898" s="1357"/>
      <c r="S9898" s="1420"/>
      <c r="T9898" s="1420"/>
      <c r="V9898" s="1357">
        <v>280</v>
      </c>
    </row>
    <row r="9899" spans="1:22" s="841" customFormat="1" ht="15" x14ac:dyDescent="0.25">
      <c r="A9899" s="841" t="s">
        <v>427</v>
      </c>
      <c r="E9899" s="1689" t="s">
        <v>3064</v>
      </c>
      <c r="F9899" s="1689"/>
      <c r="G9899" s="1689"/>
      <c r="H9899" s="1689"/>
      <c r="K9899" s="841" t="s">
        <v>6095</v>
      </c>
      <c r="M9899" s="1357"/>
      <c r="Q9899" s="1357"/>
      <c r="S9899" s="1420"/>
      <c r="T9899" s="1420"/>
      <c r="V9899" s="1357">
        <v>411</v>
      </c>
    </row>
    <row r="9900" spans="1:22" s="841" customFormat="1" ht="15" x14ac:dyDescent="0.25">
      <c r="A9900" s="841" t="s">
        <v>427</v>
      </c>
      <c r="E9900" s="1689" t="s">
        <v>3199</v>
      </c>
      <c r="F9900" s="1689"/>
      <c r="G9900" s="1689"/>
      <c r="H9900" s="1689"/>
      <c r="K9900" s="841" t="s">
        <v>6095</v>
      </c>
      <c r="M9900" s="1357"/>
      <c r="Q9900" s="1357"/>
      <c r="S9900" s="1420"/>
      <c r="T9900" s="1420"/>
      <c r="V9900" s="1357">
        <v>386</v>
      </c>
    </row>
    <row r="9901" spans="1:22" s="841" customFormat="1" ht="15" x14ac:dyDescent="0.25">
      <c r="A9901" s="841" t="s">
        <v>427</v>
      </c>
      <c r="E9901" s="1689" t="s">
        <v>5378</v>
      </c>
      <c r="F9901" s="1689"/>
      <c r="G9901" s="1689"/>
      <c r="H9901" s="1689"/>
      <c r="K9901" s="841" t="s">
        <v>6095</v>
      </c>
      <c r="M9901" s="1357"/>
      <c r="Q9901" s="1357"/>
      <c r="S9901" s="1420"/>
      <c r="T9901" s="1420"/>
      <c r="V9901" s="1357">
        <v>658</v>
      </c>
    </row>
    <row r="9902" spans="1:22" s="841" customFormat="1" ht="15" x14ac:dyDescent="0.25">
      <c r="A9902" s="841" t="s">
        <v>427</v>
      </c>
      <c r="E9902" s="1689" t="s">
        <v>3390</v>
      </c>
      <c r="F9902" s="1689"/>
      <c r="G9902" s="1689"/>
      <c r="H9902" s="1689"/>
      <c r="K9902" s="841" t="s">
        <v>6095</v>
      </c>
      <c r="M9902" s="1357"/>
      <c r="Q9902" s="1357"/>
      <c r="S9902" s="1420"/>
      <c r="T9902" s="1420"/>
      <c r="V9902" s="1357">
        <v>274</v>
      </c>
    </row>
    <row r="9903" spans="1:22" s="841" customFormat="1" ht="15" x14ac:dyDescent="0.25">
      <c r="A9903" s="841" t="s">
        <v>427</v>
      </c>
      <c r="E9903" s="1694" t="s">
        <v>3067</v>
      </c>
      <c r="F9903" s="1907"/>
      <c r="G9903" s="1907"/>
      <c r="H9903" s="1907"/>
      <c r="K9903" s="841" t="s">
        <v>3099</v>
      </c>
      <c r="M9903" s="1357"/>
      <c r="Q9903" s="1357"/>
      <c r="S9903" s="1420"/>
      <c r="T9903" s="1420"/>
      <c r="V9903" s="1357">
        <v>46</v>
      </c>
    </row>
    <row r="9904" spans="1:22" s="841" customFormat="1" ht="15" x14ac:dyDescent="0.25">
      <c r="A9904" s="841" t="s">
        <v>427</v>
      </c>
      <c r="E9904" s="1690" t="s">
        <v>11</v>
      </c>
      <c r="F9904" s="1690"/>
      <c r="G9904" s="1408" t="s">
        <v>23</v>
      </c>
      <c r="H9904" s="391">
        <v>106.03</v>
      </c>
      <c r="K9904" s="841" t="s">
        <v>6095</v>
      </c>
      <c r="L9904" s="841" t="s">
        <v>442</v>
      </c>
      <c r="M9904" s="1357"/>
      <c r="P9904" s="841" t="s">
        <v>6096</v>
      </c>
      <c r="Q9904" s="1357"/>
      <c r="S9904" s="1420"/>
      <c r="T9904" s="1420"/>
      <c r="V9904" s="1357">
        <v>14</v>
      </c>
    </row>
    <row r="9905" spans="1:22" s="841" customFormat="1" ht="15" x14ac:dyDescent="0.25">
      <c r="A9905" s="841" t="s">
        <v>427</v>
      </c>
      <c r="E9905" s="1690" t="s">
        <v>84</v>
      </c>
      <c r="F9905" s="1690"/>
      <c r="G9905" s="1408" t="s">
        <v>33</v>
      </c>
      <c r="H9905" s="393">
        <v>3.4659</v>
      </c>
      <c r="K9905" s="841" t="s">
        <v>6095</v>
      </c>
      <c r="L9905" s="841" t="s">
        <v>442</v>
      </c>
      <c r="M9905" s="1357"/>
      <c r="P9905" s="841" t="s">
        <v>6097</v>
      </c>
      <c r="Q9905" s="1357"/>
      <c r="S9905" s="1420"/>
      <c r="T9905" s="1420"/>
      <c r="V9905" s="1357">
        <v>28</v>
      </c>
    </row>
    <row r="9906" spans="1:22" s="841" customFormat="1" ht="15" x14ac:dyDescent="0.25">
      <c r="A9906" s="841" t="s">
        <v>427</v>
      </c>
      <c r="E9906" s="1690" t="s">
        <v>18</v>
      </c>
      <c r="F9906" s="1690"/>
      <c r="G9906" s="1408" t="s">
        <v>33</v>
      </c>
      <c r="H9906" s="393">
        <v>0.16120000000000001</v>
      </c>
      <c r="K9906" s="841" t="s">
        <v>6095</v>
      </c>
      <c r="L9906" s="841" t="s">
        <v>443</v>
      </c>
      <c r="M9906" s="1357"/>
      <c r="P9906" s="841" t="s">
        <v>6098</v>
      </c>
      <c r="Q9906" s="1357"/>
      <c r="S9906" s="1420"/>
      <c r="T9906" s="1420"/>
      <c r="V9906" s="1357">
        <v>24</v>
      </c>
    </row>
    <row r="9907" spans="1:22" s="841" customFormat="1" ht="15" x14ac:dyDescent="0.25">
      <c r="A9907" s="841" t="s">
        <v>427</v>
      </c>
      <c r="E9907" s="1690" t="s">
        <v>5129</v>
      </c>
      <c r="F9907" s="1908"/>
      <c r="G9907" s="1408" t="s">
        <v>24</v>
      </c>
      <c r="H9907" s="393">
        <v>2.5000000000000001E-3</v>
      </c>
      <c r="K9907" s="841" t="s">
        <v>6095</v>
      </c>
      <c r="L9907" s="841" t="s">
        <v>443</v>
      </c>
      <c r="M9907" s="1357"/>
      <c r="P9907" s="841" t="s">
        <v>6104</v>
      </c>
      <c r="Q9907" s="1357"/>
      <c r="S9907" s="1420"/>
      <c r="T9907" s="1420">
        <v>43585</v>
      </c>
      <c r="V9907" s="1357">
        <v>139</v>
      </c>
    </row>
    <row r="9908" spans="1:22" s="841" customFormat="1" ht="15" x14ac:dyDescent="0.25">
      <c r="A9908" s="841" t="s">
        <v>427</v>
      </c>
      <c r="E9908" s="1690" t="s">
        <v>5130</v>
      </c>
      <c r="F9908" s="1908"/>
      <c r="G9908" s="1408" t="s">
        <v>33</v>
      </c>
      <c r="H9908" s="393">
        <v>-2.0293000000000001</v>
      </c>
      <c r="K9908" s="841" t="s">
        <v>6095</v>
      </c>
      <c r="L9908" s="841" t="s">
        <v>443</v>
      </c>
      <c r="M9908" s="1357"/>
      <c r="P9908" s="841" t="s">
        <v>6105</v>
      </c>
      <c r="Q9908" s="1357"/>
      <c r="S9908" s="1420"/>
      <c r="T9908" s="1420">
        <v>43585</v>
      </c>
      <c r="V9908" s="1357">
        <v>96</v>
      </c>
    </row>
    <row r="9909" spans="1:22" s="841" customFormat="1" ht="15" x14ac:dyDescent="0.25">
      <c r="A9909" s="841" t="s">
        <v>427</v>
      </c>
      <c r="E9909" s="1690" t="s">
        <v>221</v>
      </c>
      <c r="F9909" s="1690"/>
      <c r="G9909" s="1408" t="s">
        <v>33</v>
      </c>
      <c r="H9909" s="393">
        <v>2.6093999999999999</v>
      </c>
      <c r="K9909" s="841" t="s">
        <v>6095</v>
      </c>
      <c r="L9909" s="841" t="s">
        <v>444</v>
      </c>
      <c r="M9909" s="1357"/>
      <c r="P9909" s="841" t="s">
        <v>6099</v>
      </c>
      <c r="Q9909" s="1357"/>
      <c r="S9909" s="1420"/>
      <c r="T9909" s="1420"/>
      <c r="V9909" s="1357">
        <v>47</v>
      </c>
    </row>
    <row r="9910" spans="1:22" s="841" customFormat="1" ht="15" x14ac:dyDescent="0.25">
      <c r="A9910" s="841" t="s">
        <v>427</v>
      </c>
      <c r="E9910" s="1690" t="s">
        <v>3628</v>
      </c>
      <c r="F9910" s="1690"/>
      <c r="G9910" s="1408" t="s">
        <v>33</v>
      </c>
      <c r="H9910" s="393">
        <v>1.8788</v>
      </c>
      <c r="K9910" s="841" t="s">
        <v>6095</v>
      </c>
      <c r="L9910" s="841" t="s">
        <v>444</v>
      </c>
      <c r="M9910" s="1357"/>
      <c r="P9910" s="841" t="s">
        <v>6219</v>
      </c>
      <c r="Q9910" s="1357"/>
      <c r="S9910" s="1420"/>
      <c r="T9910" s="1420"/>
      <c r="V9910" s="1357">
        <v>75</v>
      </c>
    </row>
    <row r="9911" spans="1:22" s="841" customFormat="1" ht="15" x14ac:dyDescent="0.25">
      <c r="A9911" s="841" t="s">
        <v>427</v>
      </c>
      <c r="E9911" s="1694" t="s">
        <v>3079</v>
      </c>
      <c r="F9911" s="1690"/>
      <c r="G9911" s="1690"/>
      <c r="H9911" s="1690"/>
      <c r="K9911" s="841" t="s">
        <v>3218</v>
      </c>
      <c r="M9911" s="1357"/>
      <c r="Q9911" s="1357"/>
      <c r="S9911" s="1420"/>
      <c r="T9911" s="1420"/>
      <c r="V9911" s="1357">
        <v>48</v>
      </c>
    </row>
    <row r="9912" spans="1:22" s="841" customFormat="1" ht="15" x14ac:dyDescent="0.25">
      <c r="A9912" s="841" t="s">
        <v>427</v>
      </c>
      <c r="E9912" s="1690" t="s">
        <v>2449</v>
      </c>
      <c r="F9912" s="1690"/>
      <c r="G9912" s="1408" t="s">
        <v>24</v>
      </c>
      <c r="H9912" s="393">
        <v>3.2000000000000002E-3</v>
      </c>
      <c r="K9912" s="841" t="s">
        <v>6095</v>
      </c>
      <c r="L9912" s="841" t="s">
        <v>3046</v>
      </c>
      <c r="M9912" s="1357"/>
      <c r="P9912" s="841" t="s">
        <v>6101</v>
      </c>
      <c r="Q9912" s="1357"/>
      <c r="S9912" s="1420"/>
      <c r="T9912" s="1420"/>
      <c r="V9912" s="1357">
        <v>55</v>
      </c>
    </row>
    <row r="9913" spans="1:22" s="841" customFormat="1" ht="15" x14ac:dyDescent="0.25">
      <c r="A9913" s="841" t="s">
        <v>427</v>
      </c>
      <c r="E9913" s="1690" t="s">
        <v>2450</v>
      </c>
      <c r="F9913" s="1690"/>
      <c r="G9913" s="1408" t="s">
        <v>24</v>
      </c>
      <c r="H9913" s="393">
        <v>4.0000000000000002E-4</v>
      </c>
      <c r="K9913" s="841" t="s">
        <v>6095</v>
      </c>
      <c r="L9913" s="841" t="s">
        <v>3046</v>
      </c>
      <c r="M9913" s="1357"/>
      <c r="P9913" s="841" t="s">
        <v>6101</v>
      </c>
      <c r="Q9913" s="1357"/>
      <c r="S9913" s="1420"/>
      <c r="T9913" s="1420"/>
      <c r="V9913" s="1357">
        <v>65</v>
      </c>
    </row>
    <row r="9914" spans="1:22" s="841" customFormat="1" ht="15" x14ac:dyDescent="0.25">
      <c r="A9914" s="841" t="s">
        <v>427</v>
      </c>
      <c r="E9914" s="1690" t="s">
        <v>439</v>
      </c>
      <c r="F9914" s="1690"/>
      <c r="G9914" s="1408" t="s">
        <v>24</v>
      </c>
      <c r="H9914" s="393">
        <v>2.9999999999999997E-4</v>
      </c>
      <c r="K9914" s="841" t="s">
        <v>6095</v>
      </c>
      <c r="L9914" s="841" t="s">
        <v>3046</v>
      </c>
      <c r="M9914" s="1357"/>
      <c r="P9914" s="841" t="s">
        <v>6102</v>
      </c>
      <c r="Q9914" s="1357"/>
      <c r="S9914" s="1420"/>
      <c r="T9914" s="1420"/>
      <c r="V9914" s="1357">
        <v>57</v>
      </c>
    </row>
    <row r="9915" spans="1:22" s="841" customFormat="1" ht="15" x14ac:dyDescent="0.25">
      <c r="A9915" s="841" t="s">
        <v>427</v>
      </c>
      <c r="E9915" s="1690" t="s">
        <v>32</v>
      </c>
      <c r="F9915" s="1690"/>
      <c r="G9915" s="1408" t="s">
        <v>23</v>
      </c>
      <c r="H9915" s="391">
        <v>0.25</v>
      </c>
      <c r="K9915" s="841" t="s">
        <v>6095</v>
      </c>
      <c r="L9915" s="841" t="s">
        <v>3046</v>
      </c>
      <c r="M9915" s="1357"/>
      <c r="P9915" s="841" t="s">
        <v>6103</v>
      </c>
      <c r="Q9915" s="1357"/>
      <c r="S9915" s="1420"/>
      <c r="T9915" s="1420"/>
      <c r="V9915" s="1357">
        <v>63</v>
      </c>
    </row>
    <row r="9916" spans="1:22" s="841" customFormat="1" x14ac:dyDescent="0.25">
      <c r="A9916" s="841" t="s">
        <v>427</v>
      </c>
      <c r="E9916" s="1909" t="s">
        <v>617</v>
      </c>
      <c r="F9916" s="1923"/>
      <c r="G9916" s="1923"/>
      <c r="H9916" s="1923"/>
      <c r="K9916" s="841" t="s">
        <v>3406</v>
      </c>
      <c r="M9916" s="1357"/>
      <c r="Q9916" s="1357"/>
      <c r="S9916" s="1420"/>
      <c r="T9916" s="1420"/>
      <c r="V9916" s="1357">
        <v>47</v>
      </c>
    </row>
    <row r="9917" spans="1:22" s="841" customFormat="1" ht="15" x14ac:dyDescent="0.25">
      <c r="A9917" s="841" t="s">
        <v>427</v>
      </c>
      <c r="E9917" s="1689" t="s">
        <v>4208</v>
      </c>
      <c r="F9917" s="1689"/>
      <c r="G9917" s="1689"/>
      <c r="H9917" s="1689"/>
      <c r="K9917" s="841" t="s">
        <v>3406</v>
      </c>
      <c r="M9917" s="1357"/>
      <c r="Q9917" s="1357"/>
      <c r="S9917" s="1420"/>
      <c r="T9917" s="1420"/>
      <c r="V9917" s="1357">
        <v>612</v>
      </c>
    </row>
    <row r="9918" spans="1:22" s="841" customFormat="1" ht="15" x14ac:dyDescent="0.25">
      <c r="A9918" s="841" t="s">
        <v>427</v>
      </c>
      <c r="E9918" s="1916" t="s">
        <v>3061</v>
      </c>
      <c r="F9918" s="1689"/>
      <c r="G9918" s="1689"/>
      <c r="H9918" s="1689"/>
      <c r="K9918" s="841" t="s">
        <v>3221</v>
      </c>
      <c r="M9918" s="1357"/>
      <c r="Q9918" s="1357"/>
      <c r="S9918" s="1420"/>
      <c r="T9918" s="1420"/>
      <c r="V9918" s="1357">
        <v>11</v>
      </c>
    </row>
    <row r="9919" spans="1:22" s="841" customFormat="1" ht="15" x14ac:dyDescent="0.25">
      <c r="A9919" s="841" t="s">
        <v>427</v>
      </c>
      <c r="E9919" s="1689" t="s">
        <v>3063</v>
      </c>
      <c r="F9919" s="1689"/>
      <c r="G9919" s="1689"/>
      <c r="H9919" s="1689"/>
      <c r="K9919" s="841" t="s">
        <v>3406</v>
      </c>
      <c r="M9919" s="1357"/>
      <c r="Q9919" s="1357"/>
      <c r="S9919" s="1420"/>
      <c r="T9919" s="1420"/>
      <c r="V9919" s="1357">
        <v>280</v>
      </c>
    </row>
    <row r="9920" spans="1:22" s="841" customFormat="1" ht="15" x14ac:dyDescent="0.25">
      <c r="A9920" s="841" t="s">
        <v>427</v>
      </c>
      <c r="E9920" s="1689" t="s">
        <v>3064</v>
      </c>
      <c r="F9920" s="1689"/>
      <c r="G9920" s="1689"/>
      <c r="H9920" s="1689"/>
      <c r="K9920" s="841" t="s">
        <v>3406</v>
      </c>
      <c r="M9920" s="1357"/>
      <c r="Q9920" s="1357"/>
      <c r="S9920" s="1420"/>
      <c r="T9920" s="1420"/>
      <c r="V9920" s="1357">
        <v>411</v>
      </c>
    </row>
    <row r="9921" spans="1:22" s="841" customFormat="1" ht="15" x14ac:dyDescent="0.25">
      <c r="A9921" s="841" t="s">
        <v>427</v>
      </c>
      <c r="E9921" s="1689" t="s">
        <v>3199</v>
      </c>
      <c r="F9921" s="1689"/>
      <c r="G9921" s="1689"/>
      <c r="H9921" s="1689"/>
      <c r="K9921" s="841" t="s">
        <v>3406</v>
      </c>
      <c r="M9921" s="1357"/>
      <c r="Q9921" s="1357"/>
      <c r="S9921" s="1420"/>
      <c r="T9921" s="1420"/>
      <c r="V9921" s="1357">
        <v>386</v>
      </c>
    </row>
    <row r="9922" spans="1:22" s="841" customFormat="1" ht="15" x14ac:dyDescent="0.25">
      <c r="A9922" s="841" t="s">
        <v>427</v>
      </c>
      <c r="E9922" s="1689" t="s">
        <v>3390</v>
      </c>
      <c r="F9922" s="1689"/>
      <c r="G9922" s="1689"/>
      <c r="H9922" s="1689"/>
      <c r="K9922" s="841" t="s">
        <v>3406</v>
      </c>
      <c r="M9922" s="1357"/>
      <c r="Q9922" s="1357"/>
      <c r="S9922" s="1420"/>
      <c r="T9922" s="1420"/>
      <c r="V9922" s="1357">
        <v>274</v>
      </c>
    </row>
    <row r="9923" spans="1:22" s="841" customFormat="1" ht="15" x14ac:dyDescent="0.25">
      <c r="A9923" s="841" t="s">
        <v>427</v>
      </c>
      <c r="E9923" s="1694" t="s">
        <v>3067</v>
      </c>
      <c r="F9923" s="1907"/>
      <c r="G9923" s="1907"/>
      <c r="H9923" s="1907"/>
      <c r="K9923" s="841" t="s">
        <v>3224</v>
      </c>
      <c r="M9923" s="1357"/>
      <c r="Q9923" s="1357"/>
      <c r="S9923" s="1420"/>
      <c r="T9923" s="1420"/>
      <c r="V9923" s="1357">
        <v>46</v>
      </c>
    </row>
    <row r="9924" spans="1:22" s="841" customFormat="1" ht="15" x14ac:dyDescent="0.25">
      <c r="A9924" s="841" t="s">
        <v>427</v>
      </c>
      <c r="E9924" s="1690" t="s">
        <v>13</v>
      </c>
      <c r="F9924" s="1690"/>
      <c r="G9924" s="1408" t="s">
        <v>23</v>
      </c>
      <c r="H9924" s="391">
        <v>20.14</v>
      </c>
      <c r="K9924" s="841" t="s">
        <v>3406</v>
      </c>
      <c r="L9924" s="841" t="s">
        <v>442</v>
      </c>
      <c r="M9924" s="1357"/>
      <c r="P9924" s="841" t="s">
        <v>3408</v>
      </c>
      <c r="Q9924" s="1357"/>
      <c r="S9924" s="1420"/>
      <c r="T9924" s="1420"/>
      <c r="V9924" s="1357">
        <v>29</v>
      </c>
    </row>
    <row r="9925" spans="1:22" s="841" customFormat="1" ht="15" x14ac:dyDescent="0.25">
      <c r="A9925" s="841" t="s">
        <v>427</v>
      </c>
      <c r="E9925" s="1690" t="s">
        <v>84</v>
      </c>
      <c r="F9925" s="1690"/>
      <c r="G9925" s="1408" t="s">
        <v>24</v>
      </c>
      <c r="H9925" s="393">
        <v>1.4E-2</v>
      </c>
      <c r="K9925" s="841" t="s">
        <v>3406</v>
      </c>
      <c r="L9925" s="841" t="s">
        <v>442</v>
      </c>
      <c r="M9925" s="1357"/>
      <c r="P9925" s="841" t="s">
        <v>3409</v>
      </c>
      <c r="Q9925" s="1357"/>
      <c r="S9925" s="1420"/>
      <c r="T9925" s="1420"/>
      <c r="V9925" s="1357">
        <v>28</v>
      </c>
    </row>
    <row r="9926" spans="1:22" s="841" customFormat="1" ht="15" x14ac:dyDescent="0.25">
      <c r="A9926" s="841" t="s">
        <v>427</v>
      </c>
      <c r="E9926" s="1690" t="s">
        <v>18</v>
      </c>
      <c r="F9926" s="1690"/>
      <c r="G9926" s="1408" t="s">
        <v>24</v>
      </c>
      <c r="H9926" s="393">
        <v>4.0000000000000002E-4</v>
      </c>
      <c r="K9926" s="841" t="s">
        <v>3406</v>
      </c>
      <c r="L9926" s="841" t="s">
        <v>443</v>
      </c>
      <c r="M9926" s="1357"/>
      <c r="P9926" s="841" t="s">
        <v>3549</v>
      </c>
      <c r="Q9926" s="1357"/>
      <c r="S9926" s="1420"/>
      <c r="T9926" s="1420"/>
      <c r="V9926" s="1357">
        <v>24</v>
      </c>
    </row>
    <row r="9927" spans="1:22" s="841" customFormat="1" ht="15" x14ac:dyDescent="0.25">
      <c r="A9927" s="841" t="s">
        <v>427</v>
      </c>
      <c r="E9927" s="1690" t="s">
        <v>5130</v>
      </c>
      <c r="F9927" s="1908"/>
      <c r="G9927" s="1408" t="s">
        <v>24</v>
      </c>
      <c r="H9927" s="393">
        <v>-6.0000000000000001E-3</v>
      </c>
      <c r="K9927" s="841" t="s">
        <v>3406</v>
      </c>
      <c r="L9927" s="841" t="s">
        <v>443</v>
      </c>
      <c r="M9927" s="1357"/>
      <c r="P9927" s="841" t="s">
        <v>3411</v>
      </c>
      <c r="Q9927" s="1357"/>
      <c r="S9927" s="1420"/>
      <c r="T9927" s="1420">
        <v>43585</v>
      </c>
      <c r="V9927" s="1357">
        <v>96</v>
      </c>
    </row>
    <row r="9928" spans="1:22" s="841" customFormat="1" ht="15" x14ac:dyDescent="0.25">
      <c r="A9928" s="841" t="s">
        <v>427</v>
      </c>
      <c r="E9928" s="1690" t="s">
        <v>221</v>
      </c>
      <c r="F9928" s="1690"/>
      <c r="G9928" s="1408" t="s">
        <v>24</v>
      </c>
      <c r="H9928" s="393">
        <v>6.3E-3</v>
      </c>
      <c r="K9928" s="841" t="s">
        <v>3406</v>
      </c>
      <c r="L9928" s="841" t="s">
        <v>444</v>
      </c>
      <c r="M9928" s="1357"/>
      <c r="P9928" s="841" t="s">
        <v>3412</v>
      </c>
      <c r="Q9928" s="1357"/>
      <c r="S9928" s="1420"/>
      <c r="T9928" s="1420"/>
      <c r="V9928" s="1357">
        <v>47</v>
      </c>
    </row>
    <row r="9929" spans="1:22" s="841" customFormat="1" ht="15" x14ac:dyDescent="0.25">
      <c r="A9929" s="841" t="s">
        <v>427</v>
      </c>
      <c r="E9929" s="1690" t="s">
        <v>217</v>
      </c>
      <c r="F9929" s="1690"/>
      <c r="G9929" s="1408" t="s">
        <v>24</v>
      </c>
      <c r="H9929" s="393">
        <v>4.5999999999999999E-3</v>
      </c>
      <c r="K9929" s="841" t="s">
        <v>3406</v>
      </c>
      <c r="L9929" s="841" t="s">
        <v>444</v>
      </c>
      <c r="M9929" s="1357"/>
      <c r="P9929" s="841" t="s">
        <v>3413</v>
      </c>
      <c r="Q9929" s="1357"/>
      <c r="S9929" s="1420"/>
      <c r="T9929" s="1420"/>
      <c r="V9929" s="1357">
        <v>74</v>
      </c>
    </row>
    <row r="9930" spans="1:22" s="841" customFormat="1" ht="15" x14ac:dyDescent="0.25">
      <c r="A9930" s="841" t="s">
        <v>427</v>
      </c>
      <c r="E9930" s="1694" t="s">
        <v>3079</v>
      </c>
      <c r="F9930" s="1690"/>
      <c r="G9930" s="1690"/>
      <c r="H9930" s="1690"/>
      <c r="K9930" s="841" t="s">
        <v>3225</v>
      </c>
      <c r="M9930" s="1357"/>
      <c r="Q9930" s="1357"/>
      <c r="S9930" s="1420"/>
      <c r="T9930" s="1420"/>
      <c r="V9930" s="1357">
        <v>48</v>
      </c>
    </row>
    <row r="9931" spans="1:22" s="841" customFormat="1" ht="15" x14ac:dyDescent="0.25">
      <c r="A9931" s="841" t="s">
        <v>427</v>
      </c>
      <c r="E9931" s="1690" t="s">
        <v>2449</v>
      </c>
      <c r="F9931" s="1690"/>
      <c r="G9931" s="1408" t="s">
        <v>24</v>
      </c>
      <c r="H9931" s="393">
        <v>3.2000000000000002E-3</v>
      </c>
      <c r="K9931" s="841" t="s">
        <v>3406</v>
      </c>
      <c r="L9931" s="841" t="s">
        <v>3046</v>
      </c>
      <c r="M9931" s="1357"/>
      <c r="P9931" s="841" t="s">
        <v>3414</v>
      </c>
      <c r="Q9931" s="1357"/>
      <c r="S9931" s="1420"/>
      <c r="T9931" s="1420"/>
      <c r="V9931" s="1357">
        <v>55</v>
      </c>
    </row>
    <row r="9932" spans="1:22" s="841" customFormat="1" ht="15" x14ac:dyDescent="0.25">
      <c r="A9932" s="841" t="s">
        <v>427</v>
      </c>
      <c r="E9932" s="1690" t="s">
        <v>2450</v>
      </c>
      <c r="F9932" s="1690"/>
      <c r="G9932" s="1408" t="s">
        <v>24</v>
      </c>
      <c r="H9932" s="393">
        <v>4.0000000000000002E-4</v>
      </c>
      <c r="K9932" s="841" t="s">
        <v>3406</v>
      </c>
      <c r="L9932" s="841" t="s">
        <v>3046</v>
      </c>
      <c r="M9932" s="1357"/>
      <c r="P9932" s="841" t="s">
        <v>3414</v>
      </c>
      <c r="Q9932" s="1357"/>
      <c r="S9932" s="1420"/>
      <c r="T9932" s="1420"/>
      <c r="V9932" s="1357">
        <v>65</v>
      </c>
    </row>
    <row r="9933" spans="1:22" s="841" customFormat="1" ht="15" x14ac:dyDescent="0.25">
      <c r="A9933" s="841" t="s">
        <v>427</v>
      </c>
      <c r="E9933" s="1690" t="s">
        <v>439</v>
      </c>
      <c r="F9933" s="1690"/>
      <c r="G9933" s="1408" t="s">
        <v>24</v>
      </c>
      <c r="H9933" s="393">
        <v>2.9999999999999997E-4</v>
      </c>
      <c r="K9933" s="841" t="s">
        <v>3406</v>
      </c>
      <c r="L9933" s="841" t="s">
        <v>3046</v>
      </c>
      <c r="M9933" s="1357"/>
      <c r="P9933" s="841" t="s">
        <v>3415</v>
      </c>
      <c r="Q9933" s="1357"/>
      <c r="S9933" s="1420"/>
      <c r="T9933" s="1420"/>
      <c r="V9933" s="1357">
        <v>57</v>
      </c>
    </row>
    <row r="9934" spans="1:22" s="841" customFormat="1" ht="15" x14ac:dyDescent="0.25">
      <c r="A9934" s="841" t="s">
        <v>427</v>
      </c>
      <c r="E9934" s="1690" t="s">
        <v>32</v>
      </c>
      <c r="F9934" s="1690"/>
      <c r="G9934" s="1408" t="s">
        <v>23</v>
      </c>
      <c r="H9934" s="391">
        <v>0.25</v>
      </c>
      <c r="K9934" s="841" t="s">
        <v>3406</v>
      </c>
      <c r="L9934" s="841" t="s">
        <v>3046</v>
      </c>
      <c r="M9934" s="1357"/>
      <c r="P9934" s="841" t="s">
        <v>3416</v>
      </c>
      <c r="Q9934" s="1357"/>
      <c r="S9934" s="1420"/>
      <c r="T9934" s="1420"/>
      <c r="V9934" s="1357">
        <v>63</v>
      </c>
    </row>
    <row r="9935" spans="1:22" s="841" customFormat="1" x14ac:dyDescent="0.25">
      <c r="A9935" s="841" t="s">
        <v>427</v>
      </c>
      <c r="E9935" s="1909" t="s">
        <v>629</v>
      </c>
      <c r="F9935" s="1923"/>
      <c r="G9935" s="1923"/>
      <c r="H9935" s="1923"/>
      <c r="K9935" s="841" t="s">
        <v>3571</v>
      </c>
      <c r="M9935" s="1357"/>
      <c r="Q9935" s="1357"/>
      <c r="S9935" s="1420"/>
      <c r="T9935" s="1420"/>
      <c r="V9935" s="1357">
        <v>40</v>
      </c>
    </row>
    <row r="9936" spans="1:22" s="841" customFormat="1" ht="15" x14ac:dyDescent="0.25">
      <c r="A9936" s="841" t="s">
        <v>427</v>
      </c>
      <c r="E9936" s="1689" t="s">
        <v>3251</v>
      </c>
      <c r="F9936" s="1689"/>
      <c r="G9936" s="1689"/>
      <c r="H9936" s="1689"/>
      <c r="K9936" s="841" t="s">
        <v>3571</v>
      </c>
      <c r="M9936" s="1357"/>
      <c r="Q9936" s="1357"/>
      <c r="S9936" s="1420"/>
      <c r="T9936" s="1420"/>
      <c r="V9936" s="1357">
        <v>253</v>
      </c>
    </row>
    <row r="9937" spans="1:22" s="841" customFormat="1" ht="15" x14ac:dyDescent="0.25">
      <c r="A9937" s="841" t="s">
        <v>427</v>
      </c>
      <c r="E9937" s="1916" t="s">
        <v>3061</v>
      </c>
      <c r="F9937" s="1689"/>
      <c r="G9937" s="1689"/>
      <c r="H9937" s="1689"/>
      <c r="K9937" s="841" t="s">
        <v>3107</v>
      </c>
      <c r="M9937" s="1357"/>
      <c r="Q9937" s="1357"/>
      <c r="S9937" s="1420"/>
      <c r="T9937" s="1420"/>
      <c r="V9937" s="1357">
        <v>11</v>
      </c>
    </row>
    <row r="9938" spans="1:22" s="841" customFormat="1" ht="15" x14ac:dyDescent="0.25">
      <c r="A9938" s="841" t="s">
        <v>427</v>
      </c>
      <c r="E9938" s="1689" t="s">
        <v>3063</v>
      </c>
      <c r="F9938" s="1689"/>
      <c r="G9938" s="1689"/>
      <c r="H9938" s="1689"/>
      <c r="K9938" s="841" t="s">
        <v>3571</v>
      </c>
      <c r="M9938" s="1357"/>
      <c r="Q9938" s="1357"/>
      <c r="S9938" s="1420"/>
      <c r="T9938" s="1420"/>
      <c r="V9938" s="1357">
        <v>280</v>
      </c>
    </row>
    <row r="9939" spans="1:22" s="841" customFormat="1" ht="15" x14ac:dyDescent="0.25">
      <c r="A9939" s="841" t="s">
        <v>427</v>
      </c>
      <c r="E9939" s="1689" t="s">
        <v>3064</v>
      </c>
      <c r="F9939" s="1689"/>
      <c r="G9939" s="1689"/>
      <c r="H9939" s="1689"/>
      <c r="K9939" s="841" t="s">
        <v>3571</v>
      </c>
      <c r="M9939" s="1357"/>
      <c r="Q9939" s="1357"/>
      <c r="S9939" s="1420"/>
      <c r="T9939" s="1420"/>
      <c r="V9939" s="1357">
        <v>411</v>
      </c>
    </row>
    <row r="9940" spans="1:22" s="841" customFormat="1" ht="15" x14ac:dyDescent="0.25">
      <c r="A9940" s="841" t="s">
        <v>427</v>
      </c>
      <c r="E9940" s="1689" t="s">
        <v>3199</v>
      </c>
      <c r="F9940" s="1689"/>
      <c r="G9940" s="1689"/>
      <c r="H9940" s="1689"/>
      <c r="K9940" s="841" t="s">
        <v>3571</v>
      </c>
      <c r="M9940" s="1357"/>
      <c r="Q9940" s="1357"/>
      <c r="S9940" s="1420"/>
      <c r="T9940" s="1420"/>
      <c r="V9940" s="1357">
        <v>386</v>
      </c>
    </row>
    <row r="9941" spans="1:22" s="841" customFormat="1" ht="15" x14ac:dyDescent="0.25">
      <c r="A9941" s="841" t="s">
        <v>427</v>
      </c>
      <c r="E9941" s="1689" t="s">
        <v>3390</v>
      </c>
      <c r="F9941" s="1689"/>
      <c r="G9941" s="1689"/>
      <c r="H9941" s="1689"/>
      <c r="K9941" s="841" t="s">
        <v>3571</v>
      </c>
      <c r="M9941" s="1357"/>
      <c r="Q9941" s="1357"/>
      <c r="S9941" s="1420"/>
      <c r="T9941" s="1420"/>
      <c r="V9941" s="1357">
        <v>274</v>
      </c>
    </row>
    <row r="9942" spans="1:22" s="841" customFormat="1" ht="15" x14ac:dyDescent="0.25">
      <c r="A9942" s="841" t="s">
        <v>427</v>
      </c>
      <c r="E9942" s="1694" t="s">
        <v>3067</v>
      </c>
      <c r="F9942" s="1907"/>
      <c r="G9942" s="1907"/>
      <c r="H9942" s="1907"/>
      <c r="K9942" s="841" t="s">
        <v>3108</v>
      </c>
      <c r="M9942" s="1357"/>
      <c r="Q9942" s="1357"/>
      <c r="S9942" s="1420"/>
      <c r="T9942" s="1420"/>
      <c r="V9942" s="1357">
        <v>46</v>
      </c>
    </row>
    <row r="9943" spans="1:22" s="841" customFormat="1" ht="15" x14ac:dyDescent="0.25">
      <c r="A9943" s="841" t="s">
        <v>427</v>
      </c>
      <c r="E9943" s="1690" t="s">
        <v>11</v>
      </c>
      <c r="F9943" s="1690"/>
      <c r="G9943" s="1408" t="s">
        <v>23</v>
      </c>
      <c r="H9943" s="391">
        <v>17.52</v>
      </c>
      <c r="K9943" s="841" t="s">
        <v>3571</v>
      </c>
      <c r="L9943" s="841" t="s">
        <v>442</v>
      </c>
      <c r="M9943" s="1357"/>
      <c r="P9943" s="841" t="s">
        <v>3573</v>
      </c>
      <c r="Q9943" s="1357"/>
      <c r="S9943" s="1420"/>
      <c r="T9943" s="1420"/>
      <c r="V9943" s="1357">
        <v>14</v>
      </c>
    </row>
    <row r="9944" spans="1:22" s="841" customFormat="1" ht="15" x14ac:dyDescent="0.25">
      <c r="A9944" s="841" t="s">
        <v>427</v>
      </c>
      <c r="E9944" s="1690" t="s">
        <v>84</v>
      </c>
      <c r="F9944" s="1690"/>
      <c r="G9944" s="1408" t="s">
        <v>33</v>
      </c>
      <c r="H9944" s="393">
        <v>21.8611</v>
      </c>
      <c r="K9944" s="841" t="s">
        <v>3571</v>
      </c>
      <c r="L9944" s="841" t="s">
        <v>442</v>
      </c>
      <c r="M9944" s="1357"/>
      <c r="P9944" s="841" t="s">
        <v>3574</v>
      </c>
      <c r="Q9944" s="1357"/>
      <c r="S9944" s="1420"/>
      <c r="T9944" s="1420"/>
      <c r="V9944" s="1357">
        <v>28</v>
      </c>
    </row>
    <row r="9945" spans="1:22" s="841" customFormat="1" ht="15" x14ac:dyDescent="0.25">
      <c r="A9945" s="841" t="s">
        <v>427</v>
      </c>
      <c r="E9945" s="1690" t="s">
        <v>18</v>
      </c>
      <c r="F9945" s="1690"/>
      <c r="G9945" s="1408" t="s">
        <v>33</v>
      </c>
      <c r="H9945" s="393">
        <v>0.13469999999999999</v>
      </c>
      <c r="K9945" s="841" t="s">
        <v>3571</v>
      </c>
      <c r="L9945" s="841" t="s">
        <v>443</v>
      </c>
      <c r="M9945" s="1357"/>
      <c r="P9945" s="841" t="s">
        <v>3575</v>
      </c>
      <c r="Q9945" s="1357"/>
      <c r="S9945" s="1420"/>
      <c r="T9945" s="1420"/>
      <c r="V9945" s="1357">
        <v>24</v>
      </c>
    </row>
    <row r="9946" spans="1:22" s="841" customFormat="1" ht="15" x14ac:dyDescent="0.25">
      <c r="A9946" s="841" t="s">
        <v>427</v>
      </c>
      <c r="E9946" s="1690" t="s">
        <v>5129</v>
      </c>
      <c r="F9946" s="1908"/>
      <c r="G9946" s="1408" t="s">
        <v>24</v>
      </c>
      <c r="H9946" s="393">
        <v>2.5000000000000001E-3</v>
      </c>
      <c r="K9946" s="841" t="s">
        <v>3571</v>
      </c>
      <c r="L9946" s="841" t="s">
        <v>443</v>
      </c>
      <c r="M9946" s="1357"/>
      <c r="P9946" s="841" t="s">
        <v>3717</v>
      </c>
      <c r="Q9946" s="1357"/>
      <c r="S9946" s="1420"/>
      <c r="T9946" s="1420">
        <v>43585</v>
      </c>
      <c r="V9946" s="1357">
        <v>139</v>
      </c>
    </row>
    <row r="9947" spans="1:22" s="841" customFormat="1" ht="15" x14ac:dyDescent="0.25">
      <c r="A9947" s="841" t="s">
        <v>427</v>
      </c>
      <c r="E9947" s="1690" t="s">
        <v>5130</v>
      </c>
      <c r="F9947" s="1908"/>
      <c r="G9947" s="1408" t="s">
        <v>33</v>
      </c>
      <c r="H9947" s="393">
        <v>-1.1867000000000001</v>
      </c>
      <c r="K9947" s="841" t="s">
        <v>3571</v>
      </c>
      <c r="L9947" s="841" t="s">
        <v>443</v>
      </c>
      <c r="M9947" s="1357"/>
      <c r="P9947" s="841" t="s">
        <v>3718</v>
      </c>
      <c r="Q9947" s="1357"/>
      <c r="S9947" s="1420"/>
      <c r="T9947" s="1420">
        <v>43585</v>
      </c>
      <c r="V9947" s="1357">
        <v>96</v>
      </c>
    </row>
    <row r="9948" spans="1:22" s="841" customFormat="1" ht="15" x14ac:dyDescent="0.25">
      <c r="A9948" s="841" t="s">
        <v>427</v>
      </c>
      <c r="E9948" s="1690" t="s">
        <v>221</v>
      </c>
      <c r="F9948" s="1690"/>
      <c r="G9948" s="1408" t="s">
        <v>33</v>
      </c>
      <c r="H9948" s="393">
        <v>1.9319</v>
      </c>
      <c r="K9948" s="841" t="s">
        <v>3571</v>
      </c>
      <c r="L9948" s="841" t="s">
        <v>444</v>
      </c>
      <c r="M9948" s="1357"/>
      <c r="P9948" s="841" t="s">
        <v>3576</v>
      </c>
      <c r="Q9948" s="1357"/>
      <c r="S9948" s="1420"/>
      <c r="T9948" s="1420"/>
      <c r="V9948" s="1357">
        <v>47</v>
      </c>
    </row>
    <row r="9949" spans="1:22" s="841" customFormat="1" ht="15" x14ac:dyDescent="0.25">
      <c r="A9949" s="841" t="s">
        <v>427</v>
      </c>
      <c r="E9949" s="1690" t="s">
        <v>217</v>
      </c>
      <c r="F9949" s="1690"/>
      <c r="G9949" s="1408" t="s">
        <v>33</v>
      </c>
      <c r="H9949" s="393">
        <v>1.5701000000000001</v>
      </c>
      <c r="K9949" s="841" t="s">
        <v>3571</v>
      </c>
      <c r="L9949" s="841" t="s">
        <v>444</v>
      </c>
      <c r="M9949" s="1357"/>
      <c r="P9949" s="841" t="s">
        <v>3577</v>
      </c>
      <c r="Q9949" s="1357"/>
      <c r="S9949" s="1420"/>
      <c r="T9949" s="1420"/>
      <c r="V9949" s="1357">
        <v>74</v>
      </c>
    </row>
    <row r="9950" spans="1:22" s="841" customFormat="1" ht="15" x14ac:dyDescent="0.25">
      <c r="A9950" s="841" t="s">
        <v>427</v>
      </c>
      <c r="E9950" s="1694" t="s">
        <v>3079</v>
      </c>
      <c r="F9950" s="1690"/>
      <c r="G9950" s="1690"/>
      <c r="H9950" s="1690"/>
      <c r="K9950" s="841" t="s">
        <v>3111</v>
      </c>
      <c r="M9950" s="1357"/>
      <c r="Q9950" s="1357"/>
      <c r="S9950" s="1420"/>
      <c r="T9950" s="1420"/>
      <c r="V9950" s="1357">
        <v>48</v>
      </c>
    </row>
    <row r="9951" spans="1:22" s="841" customFormat="1" ht="15" x14ac:dyDescent="0.25">
      <c r="A9951" s="841" t="s">
        <v>427</v>
      </c>
      <c r="E9951" s="1690" t="s">
        <v>2449</v>
      </c>
      <c r="F9951" s="1690"/>
      <c r="G9951" s="1408" t="s">
        <v>24</v>
      </c>
      <c r="H9951" s="393">
        <v>3.2000000000000002E-3</v>
      </c>
      <c r="K9951" s="841" t="s">
        <v>3571</v>
      </c>
      <c r="L9951" s="841" t="s">
        <v>3046</v>
      </c>
      <c r="M9951" s="1357"/>
      <c r="P9951" s="841" t="s">
        <v>3578</v>
      </c>
      <c r="Q9951" s="1357"/>
      <c r="S9951" s="1420"/>
      <c r="T9951" s="1420"/>
      <c r="V9951" s="1357">
        <v>55</v>
      </c>
    </row>
    <row r="9952" spans="1:22" s="841" customFormat="1" ht="15" x14ac:dyDescent="0.25">
      <c r="A9952" s="841" t="s">
        <v>427</v>
      </c>
      <c r="E9952" s="1690" t="s">
        <v>2450</v>
      </c>
      <c r="F9952" s="1690"/>
      <c r="G9952" s="1408" t="s">
        <v>24</v>
      </c>
      <c r="H9952" s="393">
        <v>4.0000000000000002E-4</v>
      </c>
      <c r="K9952" s="841" t="s">
        <v>3571</v>
      </c>
      <c r="L9952" s="841" t="s">
        <v>3046</v>
      </c>
      <c r="M9952" s="1357"/>
      <c r="P9952" s="841" t="s">
        <v>3578</v>
      </c>
      <c r="Q9952" s="1357"/>
      <c r="S9952" s="1420"/>
      <c r="T9952" s="1420"/>
      <c r="V9952" s="1357">
        <v>65</v>
      </c>
    </row>
    <row r="9953" spans="1:22" s="841" customFormat="1" ht="15" x14ac:dyDescent="0.25">
      <c r="A9953" s="841" t="s">
        <v>427</v>
      </c>
      <c r="E9953" s="1690" t="s">
        <v>439</v>
      </c>
      <c r="F9953" s="1690"/>
      <c r="G9953" s="1408" t="s">
        <v>24</v>
      </c>
      <c r="H9953" s="393">
        <v>2.9999999999999997E-4</v>
      </c>
      <c r="K9953" s="841" t="s">
        <v>3571</v>
      </c>
      <c r="L9953" s="841" t="s">
        <v>3046</v>
      </c>
      <c r="M9953" s="1357"/>
      <c r="P9953" s="841" t="s">
        <v>3579</v>
      </c>
      <c r="Q9953" s="1357"/>
      <c r="S9953" s="1420"/>
      <c r="T9953" s="1420"/>
      <c r="V9953" s="1357">
        <v>57</v>
      </c>
    </row>
    <row r="9954" spans="1:22" s="841" customFormat="1" ht="15" x14ac:dyDescent="0.25">
      <c r="A9954" s="841" t="s">
        <v>427</v>
      </c>
      <c r="E9954" s="1690" t="s">
        <v>32</v>
      </c>
      <c r="F9954" s="1690"/>
      <c r="G9954" s="1408" t="s">
        <v>23</v>
      </c>
      <c r="H9954" s="391">
        <v>0.25</v>
      </c>
      <c r="K9954" s="841" t="s">
        <v>3571</v>
      </c>
      <c r="L9954" s="841" t="s">
        <v>3046</v>
      </c>
      <c r="M9954" s="1357"/>
      <c r="P9954" s="841" t="s">
        <v>3580</v>
      </c>
      <c r="Q9954" s="1357"/>
      <c r="S9954" s="1420"/>
      <c r="T9954" s="1420"/>
      <c r="V9954" s="1357">
        <v>63</v>
      </c>
    </row>
    <row r="9955" spans="1:22" s="841" customFormat="1" x14ac:dyDescent="0.25">
      <c r="A9955" s="841" t="s">
        <v>427</v>
      </c>
      <c r="E9955" s="1909" t="s">
        <v>615</v>
      </c>
      <c r="F9955" s="1923"/>
      <c r="G9955" s="1923"/>
      <c r="H9955" s="1923"/>
      <c r="K9955" s="841" t="s">
        <v>3112</v>
      </c>
      <c r="M9955" s="1357"/>
      <c r="Q9955" s="1357"/>
      <c r="S9955" s="1420"/>
      <c r="T9955" s="1420"/>
      <c r="V9955" s="1357">
        <v>38</v>
      </c>
    </row>
    <row r="9956" spans="1:22" s="841" customFormat="1" ht="15" x14ac:dyDescent="0.25">
      <c r="A9956" s="841" t="s">
        <v>427</v>
      </c>
      <c r="E9956" s="1689" t="s">
        <v>4209</v>
      </c>
      <c r="F9956" s="1689"/>
      <c r="G9956" s="1689"/>
      <c r="H9956" s="1689"/>
      <c r="K9956" s="841" t="s">
        <v>3112</v>
      </c>
      <c r="M9956" s="1357"/>
      <c r="Q9956" s="1357"/>
      <c r="S9956" s="1420"/>
      <c r="T9956" s="1420"/>
      <c r="V9956" s="1357">
        <v>884</v>
      </c>
    </row>
    <row r="9957" spans="1:22" s="841" customFormat="1" ht="15" x14ac:dyDescent="0.25">
      <c r="A9957" s="841" t="s">
        <v>427</v>
      </c>
      <c r="E9957" s="1916" t="s">
        <v>3061</v>
      </c>
      <c r="F9957" s="1689"/>
      <c r="G9957" s="1689"/>
      <c r="H9957" s="1689"/>
      <c r="K9957" s="841" t="s">
        <v>3114</v>
      </c>
      <c r="M9957" s="1357"/>
      <c r="Q9957" s="1357"/>
      <c r="S9957" s="1420"/>
      <c r="T9957" s="1420"/>
      <c r="V9957" s="1357">
        <v>11</v>
      </c>
    </row>
    <row r="9958" spans="1:22" s="841" customFormat="1" ht="15" x14ac:dyDescent="0.25">
      <c r="A9958" s="841" t="s">
        <v>427</v>
      </c>
      <c r="E9958" s="1689" t="s">
        <v>3063</v>
      </c>
      <c r="F9958" s="1689"/>
      <c r="G9958" s="1689"/>
      <c r="H9958" s="1689"/>
      <c r="K9958" s="841" t="s">
        <v>3112</v>
      </c>
      <c r="M9958" s="1357"/>
      <c r="Q9958" s="1357"/>
      <c r="S9958" s="1420"/>
      <c r="T9958" s="1420"/>
      <c r="V9958" s="1357">
        <v>280</v>
      </c>
    </row>
    <row r="9959" spans="1:22" s="841" customFormat="1" ht="15" x14ac:dyDescent="0.25">
      <c r="A9959" s="841" t="s">
        <v>427</v>
      </c>
      <c r="E9959" s="1689" t="s">
        <v>3064</v>
      </c>
      <c r="F9959" s="1689"/>
      <c r="G9959" s="1689"/>
      <c r="H9959" s="1689"/>
      <c r="K9959" s="841" t="s">
        <v>3112</v>
      </c>
      <c r="M9959" s="1357"/>
      <c r="Q9959" s="1357"/>
      <c r="S9959" s="1420"/>
      <c r="T9959" s="1420"/>
      <c r="V9959" s="1357">
        <v>411</v>
      </c>
    </row>
    <row r="9960" spans="1:22" s="841" customFormat="1" ht="15" x14ac:dyDescent="0.25">
      <c r="A9960" s="841" t="s">
        <v>427</v>
      </c>
      <c r="E9960" s="1689" t="s">
        <v>3199</v>
      </c>
      <c r="F9960" s="1689"/>
      <c r="G9960" s="1689"/>
      <c r="H9960" s="1689"/>
      <c r="K9960" s="841" t="s">
        <v>3112</v>
      </c>
      <c r="M9960" s="1357"/>
      <c r="Q9960" s="1357"/>
      <c r="S9960" s="1420"/>
      <c r="T9960" s="1420"/>
      <c r="V9960" s="1357">
        <v>386</v>
      </c>
    </row>
    <row r="9961" spans="1:22" s="841" customFormat="1" ht="15" x14ac:dyDescent="0.25">
      <c r="A9961" s="841" t="s">
        <v>427</v>
      </c>
      <c r="E9961" s="1689" t="s">
        <v>3390</v>
      </c>
      <c r="F9961" s="1689"/>
      <c r="G9961" s="1689"/>
      <c r="H9961" s="1689"/>
      <c r="K9961" s="841" t="s">
        <v>3112</v>
      </c>
      <c r="M9961" s="1357"/>
      <c r="Q9961" s="1357"/>
      <c r="S9961" s="1420"/>
      <c r="T9961" s="1420"/>
      <c r="V9961" s="1357">
        <v>274</v>
      </c>
    </row>
    <row r="9962" spans="1:22" s="841" customFormat="1" ht="15" x14ac:dyDescent="0.25">
      <c r="A9962" s="841" t="s">
        <v>427</v>
      </c>
      <c r="E9962" s="1694" t="s">
        <v>3067</v>
      </c>
      <c r="F9962" s="1907"/>
      <c r="G9962" s="1907"/>
      <c r="H9962" s="1907"/>
      <c r="K9962" s="841" t="s">
        <v>3115</v>
      </c>
      <c r="M9962" s="1357"/>
      <c r="Q9962" s="1357"/>
      <c r="S9962" s="1420"/>
      <c r="T9962" s="1420"/>
      <c r="V9962" s="1357">
        <v>46</v>
      </c>
    </row>
    <row r="9963" spans="1:22" s="841" customFormat="1" ht="15" x14ac:dyDescent="0.25">
      <c r="A9963" s="841" t="s">
        <v>427</v>
      </c>
      <c r="E9963" s="1690" t="s">
        <v>12</v>
      </c>
      <c r="F9963" s="1690"/>
      <c r="G9963" s="1408" t="s">
        <v>23</v>
      </c>
      <c r="H9963" s="391">
        <v>1.24</v>
      </c>
      <c r="K9963" s="841" t="s">
        <v>3112</v>
      </c>
      <c r="L9963" s="841" t="s">
        <v>442</v>
      </c>
      <c r="M9963" s="1357"/>
      <c r="P9963" s="841" t="s">
        <v>3116</v>
      </c>
      <c r="Q9963" s="1357"/>
      <c r="S9963" s="1420"/>
      <c r="T9963" s="1420"/>
      <c r="V9963" s="1357">
        <v>31</v>
      </c>
    </row>
    <row r="9964" spans="1:22" s="841" customFormat="1" ht="15" x14ac:dyDescent="0.25">
      <c r="A9964" s="841" t="s">
        <v>427</v>
      </c>
      <c r="E9964" s="1690" t="s">
        <v>84</v>
      </c>
      <c r="F9964" s="1690"/>
      <c r="G9964" s="1408" t="s">
        <v>33</v>
      </c>
      <c r="H9964" s="393">
        <v>4.8371000000000004</v>
      </c>
      <c r="K9964" s="841" t="s">
        <v>3112</v>
      </c>
      <c r="L9964" s="841" t="s">
        <v>442</v>
      </c>
      <c r="M9964" s="1357"/>
      <c r="P9964" s="841" t="s">
        <v>3117</v>
      </c>
      <c r="Q9964" s="1357"/>
      <c r="S9964" s="1420"/>
      <c r="T9964" s="1420"/>
      <c r="V9964" s="1357">
        <v>28</v>
      </c>
    </row>
    <row r="9965" spans="1:22" s="841" customFormat="1" ht="15" x14ac:dyDescent="0.25">
      <c r="A9965" s="841" t="s">
        <v>427</v>
      </c>
      <c r="E9965" s="1690" t="s">
        <v>18</v>
      </c>
      <c r="F9965" s="1690"/>
      <c r="G9965" s="1408" t="s">
        <v>33</v>
      </c>
      <c r="H9965" s="393">
        <v>0.1239</v>
      </c>
      <c r="K9965" s="841" t="s">
        <v>3112</v>
      </c>
      <c r="L9965" s="841" t="s">
        <v>443</v>
      </c>
      <c r="M9965" s="1357"/>
      <c r="P9965" s="841" t="s">
        <v>3497</v>
      </c>
      <c r="Q9965" s="1357"/>
      <c r="S9965" s="1420"/>
      <c r="T9965" s="1420"/>
      <c r="V9965" s="1357">
        <v>24</v>
      </c>
    </row>
    <row r="9966" spans="1:22" s="841" customFormat="1" ht="15" x14ac:dyDescent="0.25">
      <c r="A9966" s="841" t="s">
        <v>427</v>
      </c>
      <c r="E9966" s="1690" t="s">
        <v>5129</v>
      </c>
      <c r="F9966" s="1908"/>
      <c r="G9966" s="1408" t="s">
        <v>24</v>
      </c>
      <c r="H9966" s="393">
        <v>2.5000000000000001E-3</v>
      </c>
      <c r="K9966" s="841" t="s">
        <v>3112</v>
      </c>
      <c r="L9966" s="841" t="s">
        <v>443</v>
      </c>
      <c r="M9966" s="1357"/>
      <c r="P9966" s="841" t="s">
        <v>3119</v>
      </c>
      <c r="Q9966" s="1357"/>
      <c r="S9966" s="1420"/>
      <c r="T9966" s="1420">
        <v>43585</v>
      </c>
      <c r="V9966" s="1357">
        <v>139</v>
      </c>
    </row>
    <row r="9967" spans="1:22" s="841" customFormat="1" ht="15" x14ac:dyDescent="0.25">
      <c r="A9967" s="841" t="s">
        <v>427</v>
      </c>
      <c r="E9967" s="1690" t="s">
        <v>5130</v>
      </c>
      <c r="F9967" s="1908"/>
      <c r="G9967" s="1408" t="s">
        <v>33</v>
      </c>
      <c r="H9967" s="393">
        <v>-1.9653</v>
      </c>
      <c r="K9967" s="841" t="s">
        <v>3112</v>
      </c>
      <c r="L9967" s="841" t="s">
        <v>443</v>
      </c>
      <c r="M9967" s="1357"/>
      <c r="P9967" s="841" t="s">
        <v>3118</v>
      </c>
      <c r="Q9967" s="1357"/>
      <c r="S9967" s="1420"/>
      <c r="T9967" s="1420">
        <v>43585</v>
      </c>
      <c r="V9967" s="1357">
        <v>96</v>
      </c>
    </row>
    <row r="9968" spans="1:22" s="841" customFormat="1" ht="15" x14ac:dyDescent="0.25">
      <c r="A9968" s="841" t="s">
        <v>427</v>
      </c>
      <c r="E9968" s="1690" t="s">
        <v>221</v>
      </c>
      <c r="F9968" s="1690"/>
      <c r="G9968" s="1408" t="s">
        <v>33</v>
      </c>
      <c r="H9968" s="393">
        <v>1.9724999999999999</v>
      </c>
      <c r="K9968" s="841" t="s">
        <v>3112</v>
      </c>
      <c r="L9968" s="841" t="s">
        <v>444</v>
      </c>
      <c r="M9968" s="1357"/>
      <c r="P9968" s="841" t="s">
        <v>3120</v>
      </c>
      <c r="Q9968" s="1357"/>
      <c r="S9968" s="1420"/>
      <c r="T9968" s="1420"/>
      <c r="V9968" s="1357">
        <v>47</v>
      </c>
    </row>
    <row r="9969" spans="1:22" s="841" customFormat="1" ht="15" x14ac:dyDescent="0.25">
      <c r="A9969" s="841" t="s">
        <v>427</v>
      </c>
      <c r="E9969" s="1690" t="s">
        <v>217</v>
      </c>
      <c r="F9969" s="1690"/>
      <c r="G9969" s="1408" t="s">
        <v>33</v>
      </c>
      <c r="H9969" s="393">
        <v>1.4435</v>
      </c>
      <c r="K9969" s="841" t="s">
        <v>3112</v>
      </c>
      <c r="L9969" s="841" t="s">
        <v>444</v>
      </c>
      <c r="M9969" s="1357"/>
      <c r="P9969" s="841" t="s">
        <v>3121</v>
      </c>
      <c r="Q9969" s="1357"/>
      <c r="S9969" s="1420"/>
      <c r="T9969" s="1420"/>
      <c r="V9969" s="1357">
        <v>74</v>
      </c>
    </row>
    <row r="9970" spans="1:22" s="841" customFormat="1" ht="15" x14ac:dyDescent="0.25">
      <c r="A9970" s="841" t="s">
        <v>427</v>
      </c>
      <c r="E9970" s="1694" t="s">
        <v>3079</v>
      </c>
      <c r="F9970" s="1690"/>
      <c r="G9970" s="1690"/>
      <c r="H9970" s="1690"/>
      <c r="K9970" s="841" t="s">
        <v>3122</v>
      </c>
      <c r="M9970" s="1357"/>
      <c r="Q9970" s="1357"/>
      <c r="S9970" s="1420"/>
      <c r="T9970" s="1420"/>
      <c r="V9970" s="1357">
        <v>48</v>
      </c>
    </row>
    <row r="9971" spans="1:22" s="841" customFormat="1" ht="15" x14ac:dyDescent="0.25">
      <c r="A9971" s="841" t="s">
        <v>427</v>
      </c>
      <c r="E9971" s="1690" t="s">
        <v>2449</v>
      </c>
      <c r="F9971" s="1690"/>
      <c r="G9971" s="1408" t="s">
        <v>24</v>
      </c>
      <c r="H9971" s="393">
        <v>3.2000000000000002E-3</v>
      </c>
      <c r="K9971" s="841" t="s">
        <v>3112</v>
      </c>
      <c r="L9971" s="841" t="s">
        <v>3046</v>
      </c>
      <c r="M9971" s="1357"/>
      <c r="P9971" s="841" t="s">
        <v>3123</v>
      </c>
      <c r="Q9971" s="1357"/>
      <c r="S9971" s="1420"/>
      <c r="T9971" s="1420"/>
      <c r="V9971" s="1357">
        <v>55</v>
      </c>
    </row>
    <row r="9972" spans="1:22" s="841" customFormat="1" ht="15" x14ac:dyDescent="0.25">
      <c r="A9972" s="841" t="s">
        <v>427</v>
      </c>
      <c r="E9972" s="1690" t="s">
        <v>2450</v>
      </c>
      <c r="F9972" s="1690"/>
      <c r="G9972" s="1408" t="s">
        <v>24</v>
      </c>
      <c r="H9972" s="393">
        <v>4.0000000000000002E-4</v>
      </c>
      <c r="K9972" s="841" t="s">
        <v>3112</v>
      </c>
      <c r="L9972" s="841" t="s">
        <v>3046</v>
      </c>
      <c r="M9972" s="1357"/>
      <c r="P9972" s="841" t="s">
        <v>3123</v>
      </c>
      <c r="Q9972" s="1357"/>
      <c r="S9972" s="1420"/>
      <c r="T9972" s="1420"/>
      <c r="V9972" s="1357">
        <v>65</v>
      </c>
    </row>
    <row r="9973" spans="1:22" s="841" customFormat="1" ht="15" x14ac:dyDescent="0.25">
      <c r="A9973" s="841" t="s">
        <v>427</v>
      </c>
      <c r="E9973" s="1690" t="s">
        <v>439</v>
      </c>
      <c r="F9973" s="1690"/>
      <c r="G9973" s="1408" t="s">
        <v>24</v>
      </c>
      <c r="H9973" s="393">
        <v>2.9999999999999997E-4</v>
      </c>
      <c r="K9973" s="841" t="s">
        <v>3112</v>
      </c>
      <c r="L9973" s="841" t="s">
        <v>3046</v>
      </c>
      <c r="M9973" s="1357"/>
      <c r="P9973" s="841" t="s">
        <v>3124</v>
      </c>
      <c r="Q9973" s="1357"/>
      <c r="S9973" s="1420"/>
      <c r="T9973" s="1420"/>
      <c r="V9973" s="1357">
        <v>57</v>
      </c>
    </row>
    <row r="9974" spans="1:22" s="841" customFormat="1" ht="15" x14ac:dyDescent="0.25">
      <c r="A9974" s="841" t="s">
        <v>427</v>
      </c>
      <c r="E9974" s="1690" t="s">
        <v>32</v>
      </c>
      <c r="F9974" s="1690"/>
      <c r="G9974" s="1408" t="s">
        <v>23</v>
      </c>
      <c r="H9974" s="391">
        <v>0.25</v>
      </c>
      <c r="K9974" s="841" t="s">
        <v>3112</v>
      </c>
      <c r="L9974" s="841" t="s">
        <v>3046</v>
      </c>
      <c r="M9974" s="1357"/>
      <c r="P9974" s="841" t="s">
        <v>3125</v>
      </c>
      <c r="Q9974" s="1357"/>
      <c r="S9974" s="1420"/>
      <c r="T9974" s="1420"/>
      <c r="V9974" s="1357">
        <v>63</v>
      </c>
    </row>
    <row r="9975" spans="1:22" s="841" customFormat="1" x14ac:dyDescent="0.25">
      <c r="A9975" s="841" t="s">
        <v>427</v>
      </c>
      <c r="E9975" s="1909" t="s">
        <v>618</v>
      </c>
      <c r="F9975" s="1923"/>
      <c r="G9975" s="1923"/>
      <c r="H9975" s="1923"/>
      <c r="K9975" s="841" t="s">
        <v>3126</v>
      </c>
      <c r="M9975" s="1357"/>
      <c r="Q9975" s="1357"/>
      <c r="S9975" s="1420"/>
      <c r="T9975" s="1420"/>
      <c r="V9975" s="1357">
        <v>31</v>
      </c>
    </row>
    <row r="9976" spans="1:22" s="841" customFormat="1" ht="15" x14ac:dyDescent="0.25">
      <c r="A9976" s="841" t="s">
        <v>427</v>
      </c>
      <c r="E9976" s="1689" t="s">
        <v>4210</v>
      </c>
      <c r="F9976" s="1689"/>
      <c r="G9976" s="1689"/>
      <c r="H9976" s="1689"/>
      <c r="K9976" s="841" t="s">
        <v>3126</v>
      </c>
      <c r="M9976" s="1357"/>
      <c r="Q9976" s="1357"/>
      <c r="S9976" s="1420"/>
      <c r="T9976" s="1420"/>
      <c r="V9976" s="1357">
        <v>285</v>
      </c>
    </row>
    <row r="9977" spans="1:22" s="841" customFormat="1" ht="15" x14ac:dyDescent="0.25">
      <c r="A9977" s="841" t="s">
        <v>427</v>
      </c>
      <c r="E9977" s="1916" t="s">
        <v>3061</v>
      </c>
      <c r="F9977" s="1689"/>
      <c r="G9977" s="1689"/>
      <c r="H9977" s="1689"/>
      <c r="K9977" s="841" t="s">
        <v>3128</v>
      </c>
      <c r="M9977" s="1357"/>
      <c r="Q9977" s="1357"/>
      <c r="S9977" s="1420"/>
      <c r="T9977" s="1420"/>
      <c r="V9977" s="1357">
        <v>11</v>
      </c>
    </row>
    <row r="9978" spans="1:22" s="841" customFormat="1" ht="15" x14ac:dyDescent="0.25">
      <c r="A9978" s="841" t="s">
        <v>427</v>
      </c>
      <c r="E9978" s="1689" t="s">
        <v>3063</v>
      </c>
      <c r="F9978" s="1689"/>
      <c r="G9978" s="1689"/>
      <c r="H9978" s="1689"/>
      <c r="K9978" s="841" t="s">
        <v>3126</v>
      </c>
      <c r="M9978" s="1357"/>
      <c r="Q9978" s="1357"/>
      <c r="S9978" s="1420"/>
      <c r="T9978" s="1420"/>
      <c r="V9978" s="1357">
        <v>280</v>
      </c>
    </row>
    <row r="9979" spans="1:22" s="841" customFormat="1" ht="15" x14ac:dyDescent="0.25">
      <c r="A9979" s="841" t="s">
        <v>427</v>
      </c>
      <c r="E9979" s="1689" t="s">
        <v>3064</v>
      </c>
      <c r="F9979" s="1689"/>
      <c r="G9979" s="1689"/>
      <c r="H9979" s="1689"/>
      <c r="K9979" s="841" t="s">
        <v>3126</v>
      </c>
      <c r="M9979" s="1357"/>
      <c r="Q9979" s="1357"/>
      <c r="S9979" s="1420"/>
      <c r="T9979" s="1420"/>
      <c r="V9979" s="1357">
        <v>411</v>
      </c>
    </row>
    <row r="9980" spans="1:22" s="841" customFormat="1" ht="15" x14ac:dyDescent="0.25">
      <c r="A9980" s="841" t="s">
        <v>427</v>
      </c>
      <c r="E9980" s="1689" t="s">
        <v>3129</v>
      </c>
      <c r="F9980" s="1689"/>
      <c r="G9980" s="1689"/>
      <c r="H9980" s="1689"/>
      <c r="K9980" s="841" t="s">
        <v>3126</v>
      </c>
      <c r="M9980" s="1357"/>
      <c r="Q9980" s="1357"/>
      <c r="S9980" s="1420"/>
      <c r="T9980" s="1420"/>
      <c r="V9980" s="1357">
        <v>211</v>
      </c>
    </row>
    <row r="9981" spans="1:22" s="841" customFormat="1" ht="15" x14ac:dyDescent="0.25">
      <c r="A9981" s="841" t="s">
        <v>427</v>
      </c>
      <c r="E9981" s="1689" t="s">
        <v>3390</v>
      </c>
      <c r="F9981" s="1689"/>
      <c r="G9981" s="1689"/>
      <c r="H9981" s="1689"/>
      <c r="K9981" s="841" t="s">
        <v>3126</v>
      </c>
      <c r="M9981" s="1357"/>
      <c r="Q9981" s="1357"/>
      <c r="S9981" s="1420"/>
      <c r="T9981" s="1420"/>
      <c r="V9981" s="1357">
        <v>274</v>
      </c>
    </row>
    <row r="9982" spans="1:22" s="841" customFormat="1" ht="15" x14ac:dyDescent="0.25">
      <c r="A9982" s="841" t="s">
        <v>427</v>
      </c>
      <c r="E9982" s="1694" t="s">
        <v>3067</v>
      </c>
      <c r="F9982" s="1907"/>
      <c r="G9982" s="1907"/>
      <c r="H9982" s="1907"/>
      <c r="K9982" s="841" t="s">
        <v>3130</v>
      </c>
      <c r="M9982" s="1357"/>
      <c r="Q9982" s="1357"/>
      <c r="S9982" s="1420"/>
      <c r="T9982" s="1420"/>
      <c r="V9982" s="1357">
        <v>46</v>
      </c>
    </row>
    <row r="9983" spans="1:22" s="841" customFormat="1" ht="15" x14ac:dyDescent="0.25">
      <c r="A9983" s="841" t="s">
        <v>427</v>
      </c>
      <c r="E9983" s="1690" t="s">
        <v>11</v>
      </c>
      <c r="F9983" s="1690"/>
      <c r="G9983" s="1408" t="s">
        <v>23</v>
      </c>
      <c r="H9983" s="391">
        <v>5.4</v>
      </c>
      <c r="K9983" s="841" t="s">
        <v>3126</v>
      </c>
      <c r="L9983" s="841" t="s">
        <v>442</v>
      </c>
      <c r="M9983" s="1357"/>
      <c r="P9983" s="841" t="s">
        <v>3131</v>
      </c>
      <c r="Q9983" s="1357"/>
      <c r="S9983" s="1420"/>
      <c r="T9983" s="1420"/>
      <c r="V9983" s="1357">
        <v>14</v>
      </c>
    </row>
    <row r="9984" spans="1:22" s="841" customFormat="1" ht="18.75" x14ac:dyDescent="0.3">
      <c r="A9984" s="841" t="s">
        <v>427</v>
      </c>
      <c r="E9984" s="1931" t="s">
        <v>85</v>
      </c>
      <c r="F9984" s="1964"/>
      <c r="G9984" s="1964"/>
      <c r="H9984" s="1964"/>
      <c r="K9984" s="841" t="s">
        <v>4211</v>
      </c>
      <c r="M9984" s="1357"/>
      <c r="Q9984" s="1357"/>
      <c r="S9984" s="1420"/>
      <c r="T9984" s="1420"/>
      <c r="V9984" s="1357">
        <v>10</v>
      </c>
    </row>
    <row r="9985" spans="1:22" s="841" customFormat="1" ht="15" x14ac:dyDescent="0.25">
      <c r="A9985" s="841" t="s">
        <v>427</v>
      </c>
      <c r="E9985" s="1690" t="s">
        <v>3133</v>
      </c>
      <c r="F9985" s="1690"/>
      <c r="G9985" s="1408" t="s">
        <v>33</v>
      </c>
      <c r="H9985" s="393">
        <v>-0.6</v>
      </c>
      <c r="M9985" s="1357"/>
      <c r="Q9985" s="1357"/>
      <c r="S9985" s="1420"/>
      <c r="T9985" s="1420"/>
      <c r="V9985" s="1357">
        <v>68</v>
      </c>
    </row>
    <row r="9986" spans="1:22" s="841" customFormat="1" ht="15" x14ac:dyDescent="0.25">
      <c r="A9986" s="841" t="s">
        <v>427</v>
      </c>
      <c r="E9986" s="1690" t="s">
        <v>3134</v>
      </c>
      <c r="F9986" s="1690"/>
      <c r="G9986" s="1408" t="s">
        <v>86</v>
      </c>
      <c r="H9986" s="391">
        <v>-1</v>
      </c>
      <c r="M9986" s="1357"/>
      <c r="Q9986" s="1357"/>
      <c r="S9986" s="1420"/>
      <c r="T9986" s="1420"/>
      <c r="V9986" s="1357">
        <v>87</v>
      </c>
    </row>
    <row r="9987" spans="1:22" s="841" customFormat="1" ht="18.75" x14ac:dyDescent="0.3">
      <c r="A9987" s="841" t="s">
        <v>427</v>
      </c>
      <c r="E9987" s="1931" t="s">
        <v>87</v>
      </c>
      <c r="F9987" s="1964"/>
      <c r="G9987" s="1964"/>
      <c r="H9987" s="1964"/>
      <c r="K9987" s="841" t="s">
        <v>4212</v>
      </c>
      <c r="M9987" s="1357"/>
      <c r="Q9987" s="1357"/>
      <c r="S9987" s="1420"/>
      <c r="T9987" s="1420"/>
      <c r="V9987" s="1357">
        <v>24</v>
      </c>
    </row>
    <row r="9988" spans="1:22" s="841" customFormat="1" ht="15" x14ac:dyDescent="0.25">
      <c r="A9988" s="841" t="s">
        <v>427</v>
      </c>
      <c r="E9988" s="1926" t="s">
        <v>3061</v>
      </c>
      <c r="F9988" s="1689"/>
      <c r="G9988" s="1689"/>
      <c r="H9988" s="1689"/>
      <c r="M9988" s="1357"/>
      <c r="Q9988" s="1357"/>
      <c r="S9988" s="1420"/>
      <c r="T9988" s="1420"/>
      <c r="V9988" s="1357">
        <v>11</v>
      </c>
    </row>
    <row r="9989" spans="1:22" s="841" customFormat="1" ht="15" x14ac:dyDescent="0.25">
      <c r="A9989" s="841" t="s">
        <v>427</v>
      </c>
      <c r="E9989" s="1689" t="s">
        <v>3063</v>
      </c>
      <c r="F9989" s="1689"/>
      <c r="G9989" s="1689"/>
      <c r="H9989" s="1689"/>
      <c r="M9989" s="1357"/>
      <c r="Q9989" s="1357"/>
      <c r="S9989" s="1420"/>
      <c r="T9989" s="1420"/>
      <c r="V9989" s="1357">
        <v>280</v>
      </c>
    </row>
    <row r="9990" spans="1:22" s="841" customFormat="1" ht="15" x14ac:dyDescent="0.25">
      <c r="A9990" s="841" t="s">
        <v>427</v>
      </c>
      <c r="E9990" s="1689" t="s">
        <v>3136</v>
      </c>
      <c r="F9990" s="1689"/>
      <c r="G9990" s="1689"/>
      <c r="H9990" s="1689"/>
      <c r="M9990" s="1357"/>
      <c r="Q9990" s="1357"/>
      <c r="S9990" s="1420"/>
      <c r="T9990" s="1420"/>
      <c r="V9990" s="1357">
        <v>353</v>
      </c>
    </row>
    <row r="9991" spans="1:22" s="841" customFormat="1" ht="15" x14ac:dyDescent="0.25">
      <c r="A9991" s="841" t="s">
        <v>427</v>
      </c>
      <c r="E9991" s="1689" t="s">
        <v>3390</v>
      </c>
      <c r="F9991" s="1689"/>
      <c r="G9991" s="1689"/>
      <c r="H9991" s="1689"/>
      <c r="M9991" s="1357"/>
      <c r="Q9991" s="1357"/>
      <c r="S9991" s="1420"/>
      <c r="T9991" s="1420"/>
      <c r="V9991" s="1357">
        <v>274</v>
      </c>
    </row>
    <row r="9992" spans="1:22" s="841" customFormat="1" ht="15" x14ac:dyDescent="0.25">
      <c r="A9992" s="841" t="s">
        <v>427</v>
      </c>
      <c r="E9992" s="1694" t="s">
        <v>3137</v>
      </c>
      <c r="F9992" s="1908"/>
      <c r="G9992" s="1908"/>
      <c r="H9992" s="1908"/>
      <c r="K9992" s="841" t="s">
        <v>4213</v>
      </c>
      <c r="M9992" s="1357"/>
      <c r="Q9992" s="1357"/>
      <c r="S9992" s="1420"/>
      <c r="T9992" s="1420"/>
      <c r="V9992" s="1357">
        <v>23</v>
      </c>
    </row>
    <row r="9993" spans="1:22" s="841" customFormat="1" ht="15" x14ac:dyDescent="0.25">
      <c r="A9993" s="841" t="s">
        <v>427</v>
      </c>
      <c r="E9993" s="1688" t="s">
        <v>123</v>
      </c>
      <c r="F9993" s="1688"/>
      <c r="G9993" s="1408" t="s">
        <v>23</v>
      </c>
      <c r="H9993" s="391">
        <v>20</v>
      </c>
      <c r="M9993" s="1357"/>
      <c r="Q9993" s="1357"/>
      <c r="S9993" s="1420"/>
      <c r="T9993" s="1420"/>
      <c r="V9993" s="1357">
        <v>35</v>
      </c>
    </row>
    <row r="9994" spans="1:22" s="841" customFormat="1" ht="15" x14ac:dyDescent="0.25">
      <c r="A9994" s="841" t="s">
        <v>427</v>
      </c>
      <c r="E9994" s="1688" t="s">
        <v>3151</v>
      </c>
      <c r="F9994" s="1688"/>
      <c r="G9994" s="1408" t="s">
        <v>23</v>
      </c>
      <c r="H9994" s="391">
        <v>15</v>
      </c>
      <c r="M9994" s="1357"/>
      <c r="Q9994" s="1357"/>
      <c r="S9994" s="1420"/>
      <c r="T9994" s="1420"/>
      <c r="V9994" s="1357">
        <v>19</v>
      </c>
    </row>
    <row r="9995" spans="1:22" s="841" customFormat="1" ht="15" x14ac:dyDescent="0.25">
      <c r="A9995" s="841" t="s">
        <v>427</v>
      </c>
      <c r="E9995" s="1688" t="s">
        <v>88</v>
      </c>
      <c r="F9995" s="1688"/>
      <c r="G9995" s="1408" t="s">
        <v>23</v>
      </c>
      <c r="H9995" s="391">
        <v>30</v>
      </c>
      <c r="M9995" s="1357"/>
      <c r="Q9995" s="1357"/>
      <c r="S9995" s="1420"/>
      <c r="T9995" s="1420"/>
      <c r="V9995" s="1357">
        <v>89</v>
      </c>
    </row>
    <row r="9996" spans="1:22" s="841" customFormat="1" ht="15" x14ac:dyDescent="0.25">
      <c r="A9996" s="841" t="s">
        <v>427</v>
      </c>
      <c r="E9996" s="1688" t="s">
        <v>92</v>
      </c>
      <c r="F9996" s="1688"/>
      <c r="G9996" s="1408" t="s">
        <v>23</v>
      </c>
      <c r="H9996" s="391">
        <v>30</v>
      </c>
      <c r="M9996" s="1357"/>
      <c r="Q9996" s="1357"/>
      <c r="S9996" s="1420"/>
      <c r="T9996" s="1420"/>
      <c r="V9996" s="1357">
        <v>74</v>
      </c>
    </row>
    <row r="9997" spans="1:22" s="841" customFormat="1" ht="15" x14ac:dyDescent="0.25">
      <c r="A9997" s="841" t="s">
        <v>427</v>
      </c>
      <c r="E9997" s="1694" t="s">
        <v>3152</v>
      </c>
      <c r="F9997" s="1908"/>
      <c r="G9997" s="1908"/>
      <c r="H9997" s="1908"/>
      <c r="K9997" s="841" t="s">
        <v>4214</v>
      </c>
      <c r="M9997" s="1357"/>
      <c r="Q9997" s="1357"/>
      <c r="S9997" s="1420"/>
      <c r="T9997" s="1420"/>
      <c r="V9997" s="1357">
        <v>22</v>
      </c>
    </row>
    <row r="9998" spans="1:22" s="841" customFormat="1" ht="15" x14ac:dyDescent="0.25">
      <c r="A9998" s="841" t="s">
        <v>427</v>
      </c>
      <c r="E9998" s="1688" t="s">
        <v>5137</v>
      </c>
      <c r="F9998" s="1688"/>
      <c r="G9998" s="1408" t="s">
        <v>86</v>
      </c>
      <c r="H9998" s="1067">
        <v>1.5</v>
      </c>
      <c r="M9998" s="1357"/>
      <c r="Q9998" s="1357"/>
      <c r="S9998" s="1420"/>
      <c r="T9998" s="1420"/>
      <c r="V9998" s="1357">
        <v>24</v>
      </c>
    </row>
    <row r="9999" spans="1:22" s="841" customFormat="1" ht="15" x14ac:dyDescent="0.25">
      <c r="A9999" s="841" t="s">
        <v>427</v>
      </c>
      <c r="E9999" s="1688" t="s">
        <v>4772</v>
      </c>
      <c r="F9999" s="1688"/>
      <c r="G9999" s="1408" t="s">
        <v>86</v>
      </c>
      <c r="H9999" s="1067">
        <v>19.559999999999999</v>
      </c>
      <c r="M9999" s="1357"/>
      <c r="Q9999" s="1357"/>
      <c r="S9999" s="1420"/>
      <c r="T9999" s="1420"/>
      <c r="V9999" s="1357">
        <v>24</v>
      </c>
    </row>
    <row r="10000" spans="1:22" s="841" customFormat="1" ht="15" x14ac:dyDescent="0.25">
      <c r="A10000" s="841" t="s">
        <v>427</v>
      </c>
      <c r="E10000" s="1688" t="s">
        <v>3288</v>
      </c>
      <c r="F10000" s="1688"/>
      <c r="G10000" s="1408" t="s">
        <v>23</v>
      </c>
      <c r="H10000" s="391">
        <v>30</v>
      </c>
      <c r="M10000" s="1357"/>
      <c r="Q10000" s="1357"/>
      <c r="S10000" s="1420"/>
      <c r="T10000" s="1420"/>
      <c r="V10000" s="1357">
        <v>47</v>
      </c>
    </row>
    <row r="10001" spans="1:22" s="841" customFormat="1" ht="15" x14ac:dyDescent="0.25">
      <c r="A10001" s="841" t="s">
        <v>427</v>
      </c>
      <c r="E10001" s="1688" t="s">
        <v>3157</v>
      </c>
      <c r="F10001" s="1688"/>
      <c r="G10001" s="1408" t="s">
        <v>23</v>
      </c>
      <c r="H10001" s="391">
        <v>165</v>
      </c>
      <c r="M10001" s="1357"/>
      <c r="Q10001" s="1357"/>
      <c r="S10001" s="1420"/>
      <c r="T10001" s="1420"/>
      <c r="V10001" s="1357">
        <v>69</v>
      </c>
    </row>
    <row r="10002" spans="1:22" s="841" customFormat="1" ht="15" x14ac:dyDescent="0.25">
      <c r="A10002" s="841" t="s">
        <v>427</v>
      </c>
      <c r="E10002" s="1688" t="s">
        <v>3158</v>
      </c>
      <c r="F10002" s="1688"/>
      <c r="G10002" s="1408" t="s">
        <v>23</v>
      </c>
      <c r="H10002" s="391">
        <v>65</v>
      </c>
      <c r="M10002" s="1357"/>
      <c r="Q10002" s="1357"/>
      <c r="S10002" s="1420"/>
      <c r="T10002" s="1420"/>
      <c r="V10002" s="1357">
        <v>52</v>
      </c>
    </row>
    <row r="10003" spans="1:22" s="841" customFormat="1" ht="15" x14ac:dyDescent="0.25">
      <c r="A10003" s="841" t="s">
        <v>427</v>
      </c>
      <c r="E10003" s="1688" t="s">
        <v>4774</v>
      </c>
      <c r="F10003" s="1688"/>
      <c r="G10003" s="1408" t="s">
        <v>23</v>
      </c>
      <c r="H10003" s="391">
        <v>185</v>
      </c>
      <c r="M10003" s="1357"/>
      <c r="Q10003" s="1357"/>
      <c r="S10003" s="1420"/>
      <c r="T10003" s="1420"/>
      <c r="V10003" s="1357">
        <v>51</v>
      </c>
    </row>
    <row r="10004" spans="1:22" s="841" customFormat="1" ht="15" x14ac:dyDescent="0.25">
      <c r="A10004" s="841" t="s">
        <v>427</v>
      </c>
      <c r="E10004" s="1688" t="s">
        <v>4775</v>
      </c>
      <c r="F10004" s="1688"/>
      <c r="G10004" s="1408" t="s">
        <v>23</v>
      </c>
      <c r="H10004" s="391">
        <v>185</v>
      </c>
      <c r="M10004" s="1357"/>
      <c r="Q10004" s="1357"/>
      <c r="S10004" s="1420"/>
      <c r="T10004" s="1420"/>
      <c r="V10004" s="1357">
        <v>51</v>
      </c>
    </row>
    <row r="10005" spans="1:22" s="841" customFormat="1" ht="15" x14ac:dyDescent="0.25">
      <c r="A10005" s="841" t="s">
        <v>427</v>
      </c>
      <c r="E10005" s="1688" t="s">
        <v>4776</v>
      </c>
      <c r="F10005" s="1688"/>
      <c r="G10005" s="1408" t="s">
        <v>23</v>
      </c>
      <c r="H10005" s="391">
        <v>415</v>
      </c>
      <c r="M10005" s="1357"/>
      <c r="Q10005" s="1357"/>
      <c r="S10005" s="1420"/>
      <c r="T10005" s="1420"/>
      <c r="V10005" s="1357">
        <v>50</v>
      </c>
    </row>
    <row r="10006" spans="1:22" s="841" customFormat="1" ht="15" x14ac:dyDescent="0.25">
      <c r="A10006" s="841" t="s">
        <v>427</v>
      </c>
      <c r="E10006" s="1688" t="s">
        <v>4777</v>
      </c>
      <c r="F10006" s="1688"/>
      <c r="G10006" s="1408" t="s">
        <v>23</v>
      </c>
      <c r="H10006" s="391">
        <v>65</v>
      </c>
      <c r="M10006" s="1357"/>
      <c r="Q10006" s="1357"/>
      <c r="S10006" s="1420"/>
      <c r="T10006" s="1420"/>
      <c r="V10006" s="1357">
        <v>57</v>
      </c>
    </row>
    <row r="10007" spans="1:22" s="841" customFormat="1" ht="15" x14ac:dyDescent="0.25">
      <c r="A10007" s="841" t="s">
        <v>427</v>
      </c>
      <c r="E10007" s="1688" t="s">
        <v>4778</v>
      </c>
      <c r="F10007" s="1688"/>
      <c r="G10007" s="1408" t="s">
        <v>23</v>
      </c>
      <c r="H10007" s="391">
        <v>185</v>
      </c>
      <c r="M10007" s="1357"/>
      <c r="Q10007" s="1357"/>
      <c r="S10007" s="1420"/>
      <c r="T10007" s="1420"/>
      <c r="V10007" s="1357">
        <v>56</v>
      </c>
    </row>
    <row r="10008" spans="1:22" s="841" customFormat="1" ht="15" x14ac:dyDescent="0.25">
      <c r="A10008" s="841" t="s">
        <v>427</v>
      </c>
      <c r="E10008" s="1694" t="s">
        <v>3164</v>
      </c>
      <c r="F10008" s="1908"/>
      <c r="G10008" s="1908"/>
      <c r="H10008" s="1908"/>
      <c r="M10008" s="1357"/>
      <c r="Q10008" s="1357"/>
      <c r="S10008" s="1420"/>
      <c r="T10008" s="1420"/>
      <c r="V10008" s="1357">
        <v>5</v>
      </c>
    </row>
    <row r="10009" spans="1:22" s="841" customFormat="1" ht="15" x14ac:dyDescent="0.25">
      <c r="A10009" s="841" t="s">
        <v>427</v>
      </c>
      <c r="E10009" s="1688" t="s">
        <v>3167</v>
      </c>
      <c r="F10009" s="1688"/>
      <c r="G10009" s="1408" t="s">
        <v>23</v>
      </c>
      <c r="H10009" s="391">
        <v>30</v>
      </c>
      <c r="M10009" s="1357"/>
      <c r="Q10009" s="1357"/>
      <c r="S10009" s="1420"/>
      <c r="T10009" s="1420"/>
      <c r="V10009" s="1357">
        <v>39</v>
      </c>
    </row>
    <row r="10010" spans="1:22" s="841" customFormat="1" ht="15" x14ac:dyDescent="0.25">
      <c r="A10010" s="841" t="s">
        <v>427</v>
      </c>
      <c r="E10010" s="1688" t="s">
        <v>3168</v>
      </c>
      <c r="F10010" s="1688"/>
      <c r="G10010" s="1408" t="s">
        <v>23</v>
      </c>
      <c r="H10010" s="391">
        <v>165</v>
      </c>
      <c r="M10010" s="1357"/>
      <c r="Q10010" s="1357"/>
      <c r="S10010" s="1420"/>
      <c r="T10010" s="1420"/>
      <c r="V10010" s="1357">
        <v>34</v>
      </c>
    </row>
    <row r="10011" spans="1:22" s="841" customFormat="1" ht="15" x14ac:dyDescent="0.25">
      <c r="A10011" s="841" t="s">
        <v>427</v>
      </c>
      <c r="E10011" s="1688" t="s">
        <v>3888</v>
      </c>
      <c r="F10011" s="1688"/>
      <c r="G10011" s="1408" t="s">
        <v>23</v>
      </c>
      <c r="H10011" s="391">
        <v>500</v>
      </c>
      <c r="M10011" s="1357"/>
      <c r="Q10011" s="1357"/>
      <c r="S10011" s="1420"/>
      <c r="T10011" s="1420"/>
      <c r="V10011" s="1357">
        <v>62</v>
      </c>
    </row>
    <row r="10012" spans="1:22" s="841" customFormat="1" ht="15" x14ac:dyDescent="0.25">
      <c r="A10012" s="841" t="s">
        <v>427</v>
      </c>
      <c r="E10012" s="1688" t="s">
        <v>3170</v>
      </c>
      <c r="F10012" s="1688"/>
      <c r="G10012" s="1408" t="s">
        <v>23</v>
      </c>
      <c r="H10012" s="391">
        <v>300</v>
      </c>
      <c r="M10012" s="1357"/>
      <c r="Q10012" s="1357"/>
      <c r="S10012" s="1420"/>
      <c r="T10012" s="1420"/>
      <c r="V10012" s="1357">
        <v>65</v>
      </c>
    </row>
    <row r="10013" spans="1:22" s="841" customFormat="1" ht="15" x14ac:dyDescent="0.25">
      <c r="A10013" s="841" t="s">
        <v>427</v>
      </c>
      <c r="E10013" s="1688" t="s">
        <v>3171</v>
      </c>
      <c r="F10013" s="1688"/>
      <c r="G10013" s="1408" t="s">
        <v>23</v>
      </c>
      <c r="H10013" s="391">
        <v>1000</v>
      </c>
      <c r="M10013" s="1357"/>
      <c r="Q10013" s="1357"/>
      <c r="S10013" s="1420"/>
      <c r="T10013" s="1420"/>
      <c r="V10013" s="1357">
        <v>64</v>
      </c>
    </row>
    <row r="10014" spans="1:22" s="841" customFormat="1" ht="15" x14ac:dyDescent="0.25">
      <c r="A10014" s="841" t="s">
        <v>427</v>
      </c>
      <c r="E10014" s="1688" t="s">
        <v>4215</v>
      </c>
      <c r="F10014" s="1688"/>
      <c r="G10014" s="1408" t="s">
        <v>23</v>
      </c>
      <c r="H10014" s="391">
        <v>22.35</v>
      </c>
      <c r="M10014" s="1357"/>
      <c r="Q10014" s="1357"/>
      <c r="S10014" s="1420"/>
      <c r="T10014" s="1420"/>
      <c r="V10014" s="1357">
        <v>45</v>
      </c>
    </row>
    <row r="10015" spans="1:22" s="841" customFormat="1" ht="15" x14ac:dyDescent="0.25">
      <c r="A10015" s="841" t="s">
        <v>427</v>
      </c>
      <c r="E10015" s="1688" t="s">
        <v>3166</v>
      </c>
      <c r="F10015" s="1688"/>
      <c r="G10015" s="1688"/>
      <c r="H10015" s="1688"/>
      <c r="M10015" s="1357"/>
      <c r="Q10015" s="1357"/>
      <c r="S10015" s="1420"/>
      <c r="T10015" s="1420"/>
      <c r="V10015" s="1357">
        <v>44</v>
      </c>
    </row>
    <row r="10016" spans="1:22" s="841" customFormat="1" ht="18.75" x14ac:dyDescent="0.3">
      <c r="A10016" s="841" t="s">
        <v>427</v>
      </c>
      <c r="E10016" s="1931" t="s">
        <v>77</v>
      </c>
      <c r="F10016" s="1964"/>
      <c r="G10016" s="1964"/>
      <c r="H10016" s="1964"/>
      <c r="K10016" s="841" t="s">
        <v>4216</v>
      </c>
      <c r="M10016" s="1357"/>
      <c r="Q10016" s="1357"/>
      <c r="S10016" s="1420"/>
      <c r="T10016" s="1420"/>
      <c r="V10016" s="1357">
        <v>38</v>
      </c>
    </row>
    <row r="10017" spans="1:22" s="841" customFormat="1" ht="15" x14ac:dyDescent="0.25">
      <c r="A10017" s="841" t="s">
        <v>427</v>
      </c>
      <c r="E10017" s="1926" t="s">
        <v>3061</v>
      </c>
      <c r="F10017" s="1689"/>
      <c r="G10017" s="1689"/>
      <c r="H10017" s="1689"/>
      <c r="K10017" s="841" t="s">
        <v>3128</v>
      </c>
      <c r="M10017" s="1357"/>
      <c r="Q10017" s="1357"/>
      <c r="S10017" s="1420"/>
      <c r="T10017" s="1420"/>
      <c r="V10017" s="1357">
        <v>11</v>
      </c>
    </row>
    <row r="10018" spans="1:22" s="841" customFormat="1" ht="15" x14ac:dyDescent="0.25">
      <c r="A10018" s="841" t="s">
        <v>427</v>
      </c>
      <c r="E10018" s="1689" t="s">
        <v>3063</v>
      </c>
      <c r="F10018" s="1689"/>
      <c r="G10018" s="1689"/>
      <c r="H10018" s="1689"/>
      <c r="M10018" s="1357"/>
      <c r="Q10018" s="1357"/>
      <c r="S10018" s="1420"/>
      <c r="T10018" s="1420"/>
      <c r="V10018" s="1357">
        <v>280</v>
      </c>
    </row>
    <row r="10019" spans="1:22" s="841" customFormat="1" ht="15" x14ac:dyDescent="0.25">
      <c r="A10019" s="841" t="s">
        <v>427</v>
      </c>
      <c r="E10019" s="1689" t="s">
        <v>3064</v>
      </c>
      <c r="F10019" s="1689"/>
      <c r="G10019" s="1689"/>
      <c r="H10019" s="1689"/>
      <c r="M10019" s="1357"/>
      <c r="Q10019" s="1357"/>
      <c r="S10019" s="1420"/>
      <c r="T10019" s="1420"/>
      <c r="V10019" s="1357">
        <v>411</v>
      </c>
    </row>
    <row r="10020" spans="1:22" s="841" customFormat="1" ht="15" x14ac:dyDescent="0.25">
      <c r="A10020" s="841" t="s">
        <v>427</v>
      </c>
      <c r="E10020" s="1689" t="s">
        <v>3129</v>
      </c>
      <c r="F10020" s="1689"/>
      <c r="G10020" s="1689"/>
      <c r="H10020" s="1689"/>
      <c r="M10020" s="1357"/>
      <c r="Q10020" s="1357"/>
      <c r="S10020" s="1420"/>
      <c r="T10020" s="1420"/>
      <c r="V10020" s="1357">
        <v>211</v>
      </c>
    </row>
    <row r="10021" spans="1:22" s="841" customFormat="1" ht="15" x14ac:dyDescent="0.25">
      <c r="A10021" s="841" t="s">
        <v>427</v>
      </c>
      <c r="E10021" s="1689" t="s">
        <v>3390</v>
      </c>
      <c r="F10021" s="1689"/>
      <c r="G10021" s="1689"/>
      <c r="H10021" s="1689"/>
      <c r="M10021" s="1357"/>
      <c r="Q10021" s="1357"/>
      <c r="S10021" s="1420"/>
      <c r="T10021" s="1420"/>
      <c r="V10021" s="1357">
        <v>274</v>
      </c>
    </row>
    <row r="10022" spans="1:22" s="841" customFormat="1" ht="15" x14ac:dyDescent="0.25">
      <c r="A10022" s="841" t="s">
        <v>427</v>
      </c>
      <c r="E10022" s="1690" t="s">
        <v>4217</v>
      </c>
      <c r="F10022" s="1690"/>
      <c r="G10022" s="1908"/>
      <c r="H10022" s="1908"/>
      <c r="M10022" s="1357"/>
      <c r="Q10022" s="1357"/>
      <c r="S10022" s="1420"/>
      <c r="T10022" s="1420"/>
      <c r="V10022" s="1357">
        <v>100</v>
      </c>
    </row>
    <row r="10023" spans="1:22" s="841" customFormat="1" ht="15" x14ac:dyDescent="0.25">
      <c r="A10023" s="841" t="s">
        <v>427</v>
      </c>
      <c r="E10023" s="1690" t="s">
        <v>4218</v>
      </c>
      <c r="F10023" s="1690"/>
      <c r="G10023" s="1908"/>
      <c r="H10023" s="1908"/>
      <c r="M10023" s="1357"/>
      <c r="Q10023" s="1357"/>
      <c r="S10023" s="1420"/>
      <c r="T10023" s="1420"/>
      <c r="V10023" s="1357">
        <v>40</v>
      </c>
    </row>
    <row r="10024" spans="1:22" s="841" customFormat="1" ht="15" x14ac:dyDescent="0.25">
      <c r="A10024" s="841" t="s">
        <v>427</v>
      </c>
      <c r="E10024" s="1690" t="s">
        <v>3176</v>
      </c>
      <c r="F10024" s="1690"/>
      <c r="G10024" s="397" t="s">
        <v>23</v>
      </c>
      <c r="H10024" s="391">
        <v>100</v>
      </c>
      <c r="M10024" s="1357"/>
      <c r="Q10024" s="1357"/>
      <c r="S10024" s="1420"/>
      <c r="T10024" s="1420"/>
      <c r="V10024" s="1357">
        <v>106</v>
      </c>
    </row>
    <row r="10025" spans="1:22" s="841" customFormat="1" ht="15" x14ac:dyDescent="0.25">
      <c r="A10025" s="841" t="s">
        <v>427</v>
      </c>
      <c r="E10025" s="1690" t="s">
        <v>3177</v>
      </c>
      <c r="F10025" s="1690"/>
      <c r="G10025" s="397" t="s">
        <v>23</v>
      </c>
      <c r="H10025" s="391">
        <v>20</v>
      </c>
      <c r="M10025" s="1357"/>
      <c r="Q10025" s="1357"/>
      <c r="S10025" s="1420"/>
      <c r="T10025" s="1420"/>
      <c r="V10025" s="1357">
        <v>34</v>
      </c>
    </row>
    <row r="10026" spans="1:22" s="841" customFormat="1" ht="15" x14ac:dyDescent="0.25">
      <c r="A10026" s="841" t="s">
        <v>427</v>
      </c>
      <c r="E10026" s="1690" t="s">
        <v>3178</v>
      </c>
      <c r="F10026" s="1690"/>
      <c r="G10026" s="397" t="s">
        <v>23</v>
      </c>
      <c r="H10026" s="391">
        <v>0.5</v>
      </c>
      <c r="M10026" s="1357"/>
      <c r="Q10026" s="1357"/>
      <c r="S10026" s="1420"/>
      <c r="T10026" s="1420"/>
      <c r="V10026" s="1357">
        <v>51</v>
      </c>
    </row>
    <row r="10027" spans="1:22" s="841" customFormat="1" ht="15" x14ac:dyDescent="0.25">
      <c r="A10027" s="841" t="s">
        <v>427</v>
      </c>
      <c r="E10027" s="1690" t="s">
        <v>3180</v>
      </c>
      <c r="F10027" s="1690"/>
      <c r="G10027" s="397" t="s">
        <v>23</v>
      </c>
      <c r="H10027" s="391">
        <v>0.3</v>
      </c>
      <c r="M10027" s="1357"/>
      <c r="Q10027" s="1357"/>
      <c r="S10027" s="1420"/>
      <c r="T10027" s="1420"/>
      <c r="V10027" s="1357">
        <v>75</v>
      </c>
    </row>
    <row r="10028" spans="1:22" s="841" customFormat="1" ht="15" x14ac:dyDescent="0.25">
      <c r="A10028" s="841" t="s">
        <v>427</v>
      </c>
      <c r="E10028" s="1691" t="s">
        <v>3181</v>
      </c>
      <c r="F10028" s="1691"/>
      <c r="G10028" s="397" t="s">
        <v>23</v>
      </c>
      <c r="H10028" s="391">
        <v>-0.3</v>
      </c>
      <c r="M10028" s="1357"/>
      <c r="Q10028" s="1357"/>
      <c r="S10028" s="1420"/>
      <c r="T10028" s="1420"/>
      <c r="V10028" s="1357">
        <v>72</v>
      </c>
    </row>
    <row r="10029" spans="1:22" s="841" customFormat="1" ht="15" x14ac:dyDescent="0.25">
      <c r="A10029" s="841" t="s">
        <v>427</v>
      </c>
      <c r="E10029" s="1691" t="s">
        <v>3292</v>
      </c>
      <c r="F10029" s="1691"/>
      <c r="G10029" s="2067"/>
      <c r="H10029" s="2067"/>
      <c r="M10029" s="1357"/>
      <c r="Q10029" s="1357"/>
      <c r="S10029" s="1420"/>
      <c r="T10029" s="1420"/>
      <c r="V10029" s="1357">
        <v>34</v>
      </c>
    </row>
    <row r="10030" spans="1:22" s="841" customFormat="1" ht="15" x14ac:dyDescent="0.25">
      <c r="A10030" s="841" t="s">
        <v>427</v>
      </c>
      <c r="E10030" s="1690" t="s">
        <v>3183</v>
      </c>
      <c r="F10030" s="1690"/>
      <c r="G10030" s="397" t="s">
        <v>23</v>
      </c>
      <c r="H10030" s="391">
        <v>0.25</v>
      </c>
      <c r="M10030" s="1357"/>
      <c r="Q10030" s="1357"/>
      <c r="S10030" s="1420"/>
      <c r="T10030" s="1420"/>
      <c r="V10030" s="1357">
        <v>57</v>
      </c>
    </row>
    <row r="10031" spans="1:22" s="841" customFormat="1" ht="15" x14ac:dyDescent="0.25">
      <c r="A10031" s="841" t="s">
        <v>427</v>
      </c>
      <c r="E10031" s="1690" t="s">
        <v>3184</v>
      </c>
      <c r="F10031" s="1690"/>
      <c r="G10031" s="397" t="s">
        <v>23</v>
      </c>
      <c r="H10031" s="391">
        <v>0.5</v>
      </c>
      <c r="M10031" s="1357"/>
      <c r="Q10031" s="1357"/>
      <c r="S10031" s="1420"/>
      <c r="T10031" s="1420"/>
      <c r="V10031" s="1357">
        <v>60</v>
      </c>
    </row>
    <row r="10032" spans="1:22" s="841" customFormat="1" ht="15" x14ac:dyDescent="0.25">
      <c r="A10032" s="841" t="s">
        <v>427</v>
      </c>
      <c r="E10032" s="1690" t="s">
        <v>3185</v>
      </c>
      <c r="F10032" s="1690"/>
      <c r="G10032" s="1908"/>
      <c r="H10032" s="1908"/>
      <c r="M10032" s="1357"/>
      <c r="Q10032" s="1357"/>
      <c r="S10032" s="1420"/>
      <c r="T10032" s="1420"/>
      <c r="V10032" s="1357">
        <v>91</v>
      </c>
    </row>
    <row r="10033" spans="1:22" s="841" customFormat="1" ht="15" x14ac:dyDescent="0.25">
      <c r="A10033" s="841" t="s">
        <v>427</v>
      </c>
      <c r="E10033" s="1691" t="s">
        <v>3186</v>
      </c>
      <c r="F10033" s="1691"/>
      <c r="G10033" s="2067"/>
      <c r="H10033" s="2067"/>
      <c r="M10033" s="1357"/>
      <c r="Q10033" s="1357"/>
      <c r="S10033" s="1420"/>
      <c r="T10033" s="1420"/>
      <c r="V10033" s="1357">
        <v>96</v>
      </c>
    </row>
    <row r="10034" spans="1:22" s="841" customFormat="1" ht="15" x14ac:dyDescent="0.25">
      <c r="A10034" s="841" t="s">
        <v>427</v>
      </c>
      <c r="E10034" s="1691" t="s">
        <v>3293</v>
      </c>
      <c r="F10034" s="1691"/>
      <c r="G10034" s="2067"/>
      <c r="H10034" s="2067"/>
      <c r="M10034" s="1357"/>
      <c r="Q10034" s="1357"/>
      <c r="S10034" s="1420"/>
      <c r="T10034" s="1420"/>
      <c r="V10034" s="1357">
        <v>77</v>
      </c>
    </row>
    <row r="10035" spans="1:22" s="841" customFormat="1" ht="15" x14ac:dyDescent="0.25">
      <c r="A10035" s="841" t="s">
        <v>427</v>
      </c>
      <c r="E10035" s="1704" t="s">
        <v>3188</v>
      </c>
      <c r="F10035" s="1959"/>
      <c r="G10035" s="397" t="s">
        <v>23</v>
      </c>
      <c r="H10035" s="391" t="s">
        <v>3189</v>
      </c>
      <c r="M10035" s="1357"/>
      <c r="Q10035" s="1357"/>
      <c r="S10035" s="1420"/>
      <c r="T10035" s="1420"/>
      <c r="V10035" s="1357">
        <v>18</v>
      </c>
    </row>
    <row r="10036" spans="1:22" s="841" customFormat="1" ht="15" x14ac:dyDescent="0.25">
      <c r="A10036" s="841" t="s">
        <v>427</v>
      </c>
      <c r="E10036" s="1704" t="s">
        <v>3190</v>
      </c>
      <c r="F10036" s="1959"/>
      <c r="G10036" s="397" t="s">
        <v>23</v>
      </c>
      <c r="H10036" s="391">
        <v>2</v>
      </c>
      <c r="M10036" s="1357"/>
      <c r="Q10036" s="1357"/>
      <c r="S10036" s="1420"/>
      <c r="T10036" s="1420"/>
      <c r="V10036" s="1357">
        <v>69</v>
      </c>
    </row>
    <row r="10037" spans="1:22" s="841" customFormat="1" ht="18.75" x14ac:dyDescent="0.3">
      <c r="A10037" s="841" t="s">
        <v>427</v>
      </c>
      <c r="E10037" s="1931" t="s">
        <v>147</v>
      </c>
      <c r="F10037" s="1964"/>
      <c r="G10037" s="1964"/>
      <c r="H10037" s="1964"/>
      <c r="K10037" s="841" t="s">
        <v>4219</v>
      </c>
      <c r="M10037" s="1357"/>
      <c r="Q10037" s="1357"/>
      <c r="S10037" s="1420"/>
      <c r="T10037" s="1420"/>
      <c r="V10037" s="1357">
        <v>12</v>
      </c>
    </row>
    <row r="10038" spans="1:22" s="841" customFormat="1" ht="15" x14ac:dyDescent="0.25">
      <c r="A10038" s="841" t="s">
        <v>427</v>
      </c>
      <c r="E10038" s="1704" t="s">
        <v>3192</v>
      </c>
      <c r="F10038" s="1704"/>
      <c r="G10038" s="1704"/>
      <c r="H10038" s="1704"/>
      <c r="M10038" s="1357"/>
      <c r="Q10038" s="1357"/>
      <c r="S10038" s="1420"/>
      <c r="T10038" s="1420"/>
      <c r="V10038" s="1357">
        <v>203</v>
      </c>
    </row>
    <row r="10039" spans="1:22" s="841" customFormat="1" ht="15" x14ac:dyDescent="0.25">
      <c r="A10039" s="841" t="s">
        <v>427</v>
      </c>
      <c r="E10039" s="1690" t="s">
        <v>3295</v>
      </c>
      <c r="F10039" s="1690"/>
      <c r="G10039" s="1408"/>
      <c r="H10039" s="1413">
        <v>1.0479000000000001</v>
      </c>
      <c r="M10039" s="1357"/>
      <c r="Q10039" s="1357"/>
      <c r="S10039" s="1420"/>
      <c r="T10039" s="1420"/>
      <c r="V10039" s="1357">
        <v>57</v>
      </c>
    </row>
    <row r="10040" spans="1:22" s="841" customFormat="1" ht="15" x14ac:dyDescent="0.25">
      <c r="A10040" s="841" t="s">
        <v>427</v>
      </c>
      <c r="E10040" s="1690" t="s">
        <v>3297</v>
      </c>
      <c r="F10040" s="1690"/>
      <c r="G10040" s="1408"/>
      <c r="H10040" s="1413">
        <v>1.0374000000000001</v>
      </c>
      <c r="J10040" s="841" t="s">
        <v>4220</v>
      </c>
      <c r="M10040" s="1357"/>
      <c r="Q10040" s="1357"/>
      <c r="S10040" s="1420"/>
      <c r="T10040" s="1420"/>
      <c r="V10040" s="1357">
        <v>55</v>
      </c>
    </row>
    <row r="10041" spans="1:22" s="841" customFormat="1" ht="23.25" x14ac:dyDescent="0.25">
      <c r="A10041" s="841" t="s">
        <v>193</v>
      </c>
      <c r="C10041" s="841" t="s">
        <v>3050</v>
      </c>
      <c r="E10041" s="1911" t="s">
        <v>193</v>
      </c>
      <c r="F10041" s="1911"/>
      <c r="G10041" s="1911"/>
      <c r="H10041" s="1911"/>
      <c r="I10041" s="841" t="s">
        <v>628</v>
      </c>
      <c r="J10041" s="841" t="s">
        <v>4295</v>
      </c>
      <c r="K10041" s="841" t="s">
        <v>193</v>
      </c>
      <c r="M10041" s="1357">
        <v>6</v>
      </c>
      <c r="Q10041" s="1357"/>
      <c r="S10041" s="1420"/>
      <c r="T10041" s="1420"/>
      <c r="V10041" s="1357">
        <v>18</v>
      </c>
    </row>
    <row r="10042" spans="1:22" s="841" customFormat="1" x14ac:dyDescent="0.25">
      <c r="A10042" s="841" t="s">
        <v>193</v>
      </c>
      <c r="C10042" s="841" t="s">
        <v>3052</v>
      </c>
      <c r="E10042" s="1912" t="s">
        <v>3053</v>
      </c>
      <c r="F10042" s="1912"/>
      <c r="G10042" s="1912"/>
      <c r="H10042" s="1912"/>
      <c r="M10042" s="1357"/>
      <c r="Q10042" s="1357"/>
      <c r="S10042" s="1420"/>
      <c r="T10042" s="1420"/>
      <c r="V10042" s="1357">
        <v>27</v>
      </c>
    </row>
    <row r="10043" spans="1:22" s="841" customFormat="1" ht="15.75" x14ac:dyDescent="0.25">
      <c r="A10043" s="841" t="s">
        <v>193</v>
      </c>
      <c r="C10043" s="841" t="s">
        <v>3054</v>
      </c>
      <c r="E10043" s="1913" t="s">
        <v>5101</v>
      </c>
      <c r="F10043" s="1913"/>
      <c r="G10043" s="1913"/>
      <c r="H10043" s="1913"/>
      <c r="M10043" s="1357"/>
      <c r="Q10043" s="1357"/>
      <c r="S10043" s="1420">
        <v>43101</v>
      </c>
      <c r="T10043" s="1420"/>
      <c r="V10043" s="1357">
        <v>49</v>
      </c>
    </row>
    <row r="10044" spans="1:22" s="841" customFormat="1" ht="15" x14ac:dyDescent="0.25">
      <c r="A10044" s="841" t="s">
        <v>193</v>
      </c>
      <c r="C10044" s="841" t="s">
        <v>3055</v>
      </c>
      <c r="E10044" s="1914" t="s">
        <v>3056</v>
      </c>
      <c r="F10044" s="1914"/>
      <c r="G10044" s="1914"/>
      <c r="H10044" s="1914"/>
      <c r="M10044" s="1357"/>
      <c r="Q10044" s="1357"/>
      <c r="S10044" s="1420"/>
      <c r="T10044" s="1420"/>
      <c r="V10044" s="1357">
        <v>52</v>
      </c>
    </row>
    <row r="10045" spans="1:22" s="841" customFormat="1" ht="15" x14ac:dyDescent="0.25">
      <c r="A10045" s="841" t="s">
        <v>193</v>
      </c>
      <c r="E10045" s="1914" t="s">
        <v>3057</v>
      </c>
      <c r="F10045" s="1914"/>
      <c r="G10045" s="1914"/>
      <c r="H10045" s="1914"/>
      <c r="M10045" s="1357"/>
      <c r="Q10045" s="1357"/>
      <c r="S10045" s="1420"/>
      <c r="T10045" s="1420"/>
      <c r="V10045" s="1357">
        <v>53</v>
      </c>
    </row>
    <row r="10046" spans="1:22" s="841" customFormat="1" ht="15" x14ac:dyDescent="0.25">
      <c r="A10046" s="841" t="s">
        <v>193</v>
      </c>
      <c r="E10046" s="1925" t="s">
        <v>5764</v>
      </c>
      <c r="F10046" s="1925"/>
      <c r="G10046" s="1925"/>
      <c r="H10046" s="1925"/>
      <c r="K10046" s="841" t="s">
        <v>5764</v>
      </c>
      <c r="M10046" s="1357"/>
      <c r="Q10046" s="1357"/>
      <c r="S10046" s="1420"/>
      <c r="T10046" s="1420"/>
      <c r="V10046" s="1357">
        <v>12</v>
      </c>
    </row>
    <row r="10047" spans="1:22" s="841" customFormat="1" ht="15" x14ac:dyDescent="0.25">
      <c r="A10047" s="841" t="s">
        <v>193</v>
      </c>
      <c r="E10047" s="1909" t="s">
        <v>438</v>
      </c>
      <c r="F10047" s="1689"/>
      <c r="G10047" s="1689"/>
      <c r="H10047" s="1689"/>
      <c r="K10047" s="841" t="s">
        <v>3197</v>
      </c>
      <c r="M10047" s="1357"/>
      <c r="Q10047" s="1357"/>
      <c r="S10047" s="1420"/>
      <c r="T10047" s="1420"/>
      <c r="V10047" s="1357">
        <v>34</v>
      </c>
    </row>
    <row r="10048" spans="1:22" s="841" customFormat="1" ht="15" x14ac:dyDescent="0.25">
      <c r="A10048" s="841" t="s">
        <v>193</v>
      </c>
      <c r="E10048" s="1689" t="s">
        <v>4296</v>
      </c>
      <c r="F10048" s="1689"/>
      <c r="G10048" s="1689"/>
      <c r="H10048" s="1689"/>
      <c r="K10048" s="841" t="s">
        <v>3197</v>
      </c>
      <c r="M10048" s="1357"/>
      <c r="Q10048" s="1357"/>
      <c r="S10048" s="1420"/>
      <c r="T10048" s="1420"/>
      <c r="V10048" s="1357">
        <v>616</v>
      </c>
    </row>
    <row r="10049" spans="1:22" s="841" customFormat="1" ht="15" x14ac:dyDescent="0.25">
      <c r="A10049" s="841" t="s">
        <v>193</v>
      </c>
      <c r="E10049" s="1696" t="s">
        <v>3061</v>
      </c>
      <c r="F10049" s="1697"/>
      <c r="G10049" s="1697"/>
      <c r="H10049" s="1697"/>
      <c r="K10049" s="841" t="s">
        <v>3062</v>
      </c>
      <c r="M10049" s="1357"/>
      <c r="Q10049" s="1357"/>
      <c r="S10049" s="1420"/>
      <c r="T10049" s="1420"/>
      <c r="V10049" s="1357">
        <v>11</v>
      </c>
    </row>
    <row r="10050" spans="1:22" s="841" customFormat="1" ht="15" x14ac:dyDescent="0.25">
      <c r="A10050" s="841" t="s">
        <v>193</v>
      </c>
      <c r="E10050" s="1689" t="s">
        <v>3063</v>
      </c>
      <c r="F10050" s="1689"/>
      <c r="G10050" s="1689"/>
      <c r="H10050" s="1689"/>
      <c r="K10050" s="841" t="s">
        <v>3197</v>
      </c>
      <c r="M10050" s="1357"/>
      <c r="Q10050" s="1357"/>
      <c r="S10050" s="1420"/>
      <c r="T10050" s="1420"/>
      <c r="V10050" s="1357">
        <v>280</v>
      </c>
    </row>
    <row r="10051" spans="1:22" s="841" customFormat="1" ht="15" x14ac:dyDescent="0.25">
      <c r="A10051" s="841" t="s">
        <v>193</v>
      </c>
      <c r="E10051" s="1689" t="s">
        <v>4044</v>
      </c>
      <c r="F10051" s="1689"/>
      <c r="G10051" s="1689"/>
      <c r="H10051" s="1689"/>
      <c r="K10051" s="841" t="s">
        <v>3197</v>
      </c>
      <c r="M10051" s="1357"/>
      <c r="Q10051" s="1357"/>
      <c r="S10051" s="1420"/>
      <c r="T10051" s="1420"/>
      <c r="V10051" s="1357">
        <v>411</v>
      </c>
    </row>
    <row r="10052" spans="1:22" s="841" customFormat="1" ht="15" x14ac:dyDescent="0.25">
      <c r="A10052" s="841" t="s">
        <v>193</v>
      </c>
      <c r="E10052" s="1689" t="s">
        <v>4019</v>
      </c>
      <c r="F10052" s="1689"/>
      <c r="G10052" s="1689"/>
      <c r="H10052" s="1689"/>
      <c r="K10052" s="841" t="s">
        <v>3197</v>
      </c>
      <c r="M10052" s="1357"/>
      <c r="Q10052" s="1357"/>
      <c r="S10052" s="1420"/>
      <c r="T10052" s="1420"/>
      <c r="V10052" s="1357">
        <v>390</v>
      </c>
    </row>
    <row r="10053" spans="1:22" s="841" customFormat="1" ht="15" x14ac:dyDescent="0.25">
      <c r="A10053" s="841" t="s">
        <v>193</v>
      </c>
      <c r="E10053" s="1689" t="s">
        <v>3390</v>
      </c>
      <c r="F10053" s="1689"/>
      <c r="G10053" s="1689"/>
      <c r="H10053" s="1689"/>
      <c r="K10053" s="841" t="s">
        <v>3197</v>
      </c>
      <c r="M10053" s="1357"/>
      <c r="Q10053" s="1357"/>
      <c r="S10053" s="1420"/>
      <c r="T10053" s="1420"/>
      <c r="V10053" s="1357">
        <v>274</v>
      </c>
    </row>
    <row r="10054" spans="1:22" s="841" customFormat="1" ht="15" x14ac:dyDescent="0.25">
      <c r="A10054" s="841" t="s">
        <v>193</v>
      </c>
      <c r="E10054" s="1692" t="s">
        <v>3067</v>
      </c>
      <c r="F10054" s="1693"/>
      <c r="G10054" s="1693"/>
      <c r="H10054" s="1693"/>
      <c r="K10054" s="841" t="s">
        <v>3068</v>
      </c>
      <c r="M10054" s="1357"/>
      <c r="Q10054" s="1357"/>
      <c r="S10054" s="1420"/>
      <c r="T10054" s="1420"/>
      <c r="V10054" s="1357">
        <v>46</v>
      </c>
    </row>
    <row r="10055" spans="1:22" s="841" customFormat="1" ht="15" x14ac:dyDescent="0.25">
      <c r="A10055" s="841" t="s">
        <v>193</v>
      </c>
      <c r="E10055" s="1690" t="s">
        <v>11</v>
      </c>
      <c r="F10055" s="1690"/>
      <c r="G10055" s="631" t="s">
        <v>23</v>
      </c>
      <c r="H10055" s="391">
        <v>19.95</v>
      </c>
      <c r="K10055" s="841" t="s">
        <v>3197</v>
      </c>
      <c r="L10055" s="841" t="s">
        <v>442</v>
      </c>
      <c r="M10055" s="1357"/>
      <c r="P10055" s="841" t="s">
        <v>3201</v>
      </c>
      <c r="Q10055" s="1357"/>
      <c r="S10055" s="1420"/>
      <c r="T10055" s="1420"/>
      <c r="V10055" s="1357">
        <v>14</v>
      </c>
    </row>
    <row r="10056" spans="1:22" s="841" customFormat="1" ht="15" x14ac:dyDescent="0.25">
      <c r="A10056" s="841" t="s">
        <v>193</v>
      </c>
      <c r="E10056" s="1690" t="s">
        <v>423</v>
      </c>
      <c r="F10056" s="1690"/>
      <c r="G10056" s="631" t="s">
        <v>23</v>
      </c>
      <c r="H10056" s="391">
        <v>0.79</v>
      </c>
      <c r="K10056" s="841" t="s">
        <v>3197</v>
      </c>
      <c r="L10056" s="841" t="s">
        <v>443</v>
      </c>
      <c r="M10056" s="1357"/>
      <c r="P10056" s="841" t="s">
        <v>3202</v>
      </c>
      <c r="Q10056" s="1357"/>
      <c r="S10056" s="1420"/>
      <c r="T10056" s="1420">
        <v>43404</v>
      </c>
      <c r="V10056" s="1357">
        <v>78</v>
      </c>
    </row>
    <row r="10057" spans="1:22" s="841" customFormat="1" ht="15" x14ac:dyDescent="0.25">
      <c r="A10057" s="841" t="s">
        <v>193</v>
      </c>
      <c r="E10057" s="1690" t="s">
        <v>4297</v>
      </c>
      <c r="F10057" s="1690"/>
      <c r="G10057" s="631" t="s">
        <v>23</v>
      </c>
      <c r="H10057" s="391">
        <v>0.17</v>
      </c>
      <c r="K10057" s="841" t="s">
        <v>3197</v>
      </c>
      <c r="L10057" s="841" t="s">
        <v>442</v>
      </c>
      <c r="M10057" s="1357"/>
      <c r="P10057" s="841" t="s">
        <v>3364</v>
      </c>
      <c r="Q10057" s="1357"/>
      <c r="S10057" s="1420"/>
      <c r="T10057" s="1420">
        <v>44196</v>
      </c>
      <c r="V10057" s="1357">
        <v>91</v>
      </c>
    </row>
    <row r="10058" spans="1:22" s="841" customFormat="1" ht="15" x14ac:dyDescent="0.25">
      <c r="A10058" s="841" t="s">
        <v>193</v>
      </c>
      <c r="E10058" s="1690" t="s">
        <v>4298</v>
      </c>
      <c r="F10058" s="1690"/>
      <c r="G10058" s="631" t="s">
        <v>23</v>
      </c>
      <c r="H10058" s="391">
        <v>1.42</v>
      </c>
      <c r="K10058" s="841" t="s">
        <v>3197</v>
      </c>
      <c r="L10058" s="841" t="s">
        <v>442</v>
      </c>
      <c r="M10058" s="1357"/>
      <c r="P10058" s="841" t="s">
        <v>6404</v>
      </c>
      <c r="Q10058" s="1357"/>
      <c r="S10058" s="1420"/>
      <c r="T10058" s="1420">
        <v>44196</v>
      </c>
      <c r="V10058" s="1357">
        <v>110</v>
      </c>
    </row>
    <row r="10059" spans="1:22" s="841" customFormat="1" ht="15" x14ac:dyDescent="0.25">
      <c r="A10059" s="841" t="s">
        <v>193</v>
      </c>
      <c r="E10059" s="1690" t="s">
        <v>4299</v>
      </c>
      <c r="F10059" s="1690"/>
      <c r="G10059" s="631" t="s">
        <v>23</v>
      </c>
      <c r="H10059" s="1067">
        <v>-1.55</v>
      </c>
      <c r="K10059" s="841" t="s">
        <v>3197</v>
      </c>
      <c r="L10059" s="841" t="s">
        <v>442</v>
      </c>
      <c r="M10059" s="1357"/>
      <c r="P10059" s="841" t="s">
        <v>5769</v>
      </c>
      <c r="Q10059" s="1357"/>
      <c r="S10059" s="1420"/>
      <c r="T10059" s="1420">
        <v>44196</v>
      </c>
      <c r="V10059" s="1357">
        <v>85</v>
      </c>
    </row>
    <row r="10060" spans="1:22" s="841" customFormat="1" ht="15" x14ac:dyDescent="0.25">
      <c r="A10060" s="841" t="s">
        <v>193</v>
      </c>
      <c r="E10060" s="1690" t="s">
        <v>84</v>
      </c>
      <c r="F10060" s="1690"/>
      <c r="G10060" s="631" t="s">
        <v>24</v>
      </c>
      <c r="H10060" s="393">
        <v>7.7999999999999996E-3</v>
      </c>
      <c r="K10060" s="841" t="s">
        <v>3197</v>
      </c>
      <c r="L10060" s="841" t="s">
        <v>442</v>
      </c>
      <c r="M10060" s="1357"/>
      <c r="P10060" s="841" t="s">
        <v>3203</v>
      </c>
      <c r="Q10060" s="1357"/>
      <c r="S10060" s="1420"/>
      <c r="T10060" s="1420"/>
      <c r="V10060" s="1357">
        <v>28</v>
      </c>
    </row>
    <row r="10061" spans="1:22" s="841" customFormat="1" ht="15" x14ac:dyDescent="0.25">
      <c r="A10061" s="841" t="s">
        <v>193</v>
      </c>
      <c r="E10061" s="1690" t="s">
        <v>18</v>
      </c>
      <c r="F10061" s="1690"/>
      <c r="G10061" s="631" t="s">
        <v>24</v>
      </c>
      <c r="H10061" s="393">
        <v>2.2000000000000001E-3</v>
      </c>
      <c r="K10061" s="841" t="s">
        <v>3197</v>
      </c>
      <c r="L10061" s="841" t="s">
        <v>443</v>
      </c>
      <c r="M10061" s="1357"/>
      <c r="P10061" s="841" t="s">
        <v>3204</v>
      </c>
      <c r="Q10061" s="1357"/>
      <c r="S10061" s="1420"/>
      <c r="T10061" s="1420"/>
      <c r="V10061" s="1357">
        <v>24</v>
      </c>
    </row>
    <row r="10062" spans="1:22" s="841" customFormat="1" ht="15" x14ac:dyDescent="0.25">
      <c r="A10062" s="841" t="s">
        <v>193</v>
      </c>
      <c r="E10062" s="1690" t="s">
        <v>221</v>
      </c>
      <c r="F10062" s="1690"/>
      <c r="G10062" s="631" t="s">
        <v>24</v>
      </c>
      <c r="H10062" s="393">
        <v>5.7000000000000002E-3</v>
      </c>
      <c r="K10062" s="841" t="s">
        <v>3197</v>
      </c>
      <c r="L10062" s="841" t="s">
        <v>444</v>
      </c>
      <c r="M10062" s="1357"/>
      <c r="P10062" s="841" t="s">
        <v>3208</v>
      </c>
      <c r="Q10062" s="1357"/>
      <c r="S10062" s="1420"/>
      <c r="T10062" s="1420"/>
      <c r="V10062" s="1357">
        <v>47</v>
      </c>
    </row>
    <row r="10063" spans="1:22" s="841" customFormat="1" ht="15" x14ac:dyDescent="0.25">
      <c r="A10063" s="841" t="s">
        <v>193</v>
      </c>
      <c r="E10063" s="1690" t="s">
        <v>217</v>
      </c>
      <c r="F10063" s="1690"/>
      <c r="G10063" s="631" t="s">
        <v>24</v>
      </c>
      <c r="H10063" s="393">
        <v>3.7000000000000002E-3</v>
      </c>
      <c r="K10063" s="841" t="s">
        <v>3197</v>
      </c>
      <c r="L10063" s="841" t="s">
        <v>444</v>
      </c>
      <c r="M10063" s="1357"/>
      <c r="P10063" s="841" t="s">
        <v>3209</v>
      </c>
      <c r="Q10063" s="1357"/>
      <c r="S10063" s="1420"/>
      <c r="T10063" s="1420"/>
      <c r="V10063" s="1357">
        <v>74</v>
      </c>
    </row>
    <row r="10064" spans="1:22" s="841" customFormat="1" ht="15" x14ac:dyDescent="0.25">
      <c r="A10064" s="841" t="s">
        <v>193</v>
      </c>
      <c r="E10064" s="1694" t="s">
        <v>3079</v>
      </c>
      <c r="F10064" s="1690"/>
      <c r="G10064" s="1408"/>
      <c r="H10064" s="1408"/>
      <c r="K10064" s="841" t="s">
        <v>3080</v>
      </c>
      <c r="M10064" s="1357"/>
      <c r="Q10064" s="1357"/>
      <c r="S10064" s="1420"/>
      <c r="T10064" s="1420"/>
      <c r="V10064" s="1357">
        <v>48</v>
      </c>
    </row>
    <row r="10065" spans="1:22" s="841" customFormat="1" ht="15" x14ac:dyDescent="0.25">
      <c r="A10065" s="841" t="s">
        <v>193</v>
      </c>
      <c r="E10065" s="1690" t="s">
        <v>2449</v>
      </c>
      <c r="F10065" s="1690"/>
      <c r="G10065" s="631" t="s">
        <v>24</v>
      </c>
      <c r="H10065" s="393">
        <v>3.2000000000000002E-3</v>
      </c>
      <c r="K10065" s="841" t="s">
        <v>3197</v>
      </c>
      <c r="L10065" s="841" t="s">
        <v>3046</v>
      </c>
      <c r="M10065" s="1357"/>
      <c r="P10065" s="841" t="s">
        <v>3210</v>
      </c>
      <c r="Q10065" s="1357"/>
      <c r="S10065" s="1420"/>
      <c r="T10065" s="1420"/>
      <c r="V10065" s="1357">
        <v>55</v>
      </c>
    </row>
    <row r="10066" spans="1:22" s="841" customFormat="1" ht="15" x14ac:dyDescent="0.25">
      <c r="A10066" s="841" t="s">
        <v>193</v>
      </c>
      <c r="E10066" s="1690" t="s">
        <v>2450</v>
      </c>
      <c r="F10066" s="1690"/>
      <c r="G10066" s="631" t="s">
        <v>24</v>
      </c>
      <c r="H10066" s="393">
        <v>4.0000000000000002E-4</v>
      </c>
      <c r="K10066" s="841" t="s">
        <v>3197</v>
      </c>
      <c r="L10066" s="841" t="s">
        <v>3046</v>
      </c>
      <c r="M10066" s="1357"/>
      <c r="P10066" s="841" t="s">
        <v>3210</v>
      </c>
      <c r="Q10066" s="1357"/>
      <c r="S10066" s="1420"/>
      <c r="T10066" s="1420"/>
      <c r="V10066" s="1357">
        <v>65</v>
      </c>
    </row>
    <row r="10067" spans="1:22" s="841" customFormat="1" ht="15" x14ac:dyDescent="0.25">
      <c r="A10067" s="841" t="s">
        <v>193</v>
      </c>
      <c r="E10067" s="1690" t="s">
        <v>439</v>
      </c>
      <c r="F10067" s="1690"/>
      <c r="G10067" s="631" t="s">
        <v>24</v>
      </c>
      <c r="H10067" s="393">
        <v>2.9999999999999997E-4</v>
      </c>
      <c r="K10067" s="841" t="s">
        <v>3197</v>
      </c>
      <c r="L10067" s="841" t="s">
        <v>3046</v>
      </c>
      <c r="M10067" s="1357"/>
      <c r="P10067" s="841" t="s">
        <v>3212</v>
      </c>
      <c r="Q10067" s="1357"/>
      <c r="S10067" s="1420"/>
      <c r="T10067" s="1420"/>
      <c r="V10067" s="1357">
        <v>57</v>
      </c>
    </row>
    <row r="10068" spans="1:22" s="841" customFormat="1" ht="15" x14ac:dyDescent="0.25">
      <c r="A10068" s="841" t="s">
        <v>193</v>
      </c>
      <c r="E10068" s="1690" t="s">
        <v>32</v>
      </c>
      <c r="F10068" s="1690"/>
      <c r="G10068" s="631" t="s">
        <v>23</v>
      </c>
      <c r="H10068" s="391">
        <v>0.25</v>
      </c>
      <c r="K10068" s="841" t="s">
        <v>3197</v>
      </c>
      <c r="L10068" s="841" t="s">
        <v>3046</v>
      </c>
      <c r="M10068" s="1357"/>
      <c r="P10068" s="841" t="s">
        <v>3213</v>
      </c>
      <c r="Q10068" s="1357"/>
      <c r="S10068" s="1420"/>
      <c r="T10068" s="1420"/>
      <c r="V10068" s="1357">
        <v>63</v>
      </c>
    </row>
    <row r="10069" spans="1:22" s="841" customFormat="1" x14ac:dyDescent="0.25">
      <c r="A10069" s="841" t="s">
        <v>193</v>
      </c>
      <c r="E10069" s="1695" t="s">
        <v>3214</v>
      </c>
      <c r="F10069" s="1915"/>
      <c r="G10069" s="1915"/>
      <c r="H10069" s="1915"/>
      <c r="K10069" s="841" t="s">
        <v>5110</v>
      </c>
      <c r="M10069" s="1357"/>
      <c r="Q10069" s="1357"/>
      <c r="S10069" s="1420"/>
      <c r="T10069" s="1420"/>
      <c r="V10069" s="1357">
        <v>54</v>
      </c>
    </row>
    <row r="10070" spans="1:22" s="841" customFormat="1" ht="15" x14ac:dyDescent="0.25">
      <c r="A10070" s="841" t="s">
        <v>193</v>
      </c>
      <c r="E10070" s="1689" t="s">
        <v>3925</v>
      </c>
      <c r="F10070" s="1689"/>
      <c r="G10070" s="1689"/>
      <c r="H10070" s="1689"/>
      <c r="K10070" s="841" t="s">
        <v>5110</v>
      </c>
      <c r="M10070" s="1357"/>
      <c r="Q10070" s="1357"/>
      <c r="S10070" s="1420"/>
      <c r="T10070" s="1420"/>
      <c r="V10070" s="1357">
        <v>335</v>
      </c>
    </row>
    <row r="10071" spans="1:22" s="841" customFormat="1" ht="15" x14ac:dyDescent="0.25">
      <c r="A10071" s="841" t="s">
        <v>193</v>
      </c>
      <c r="E10071" s="1696" t="s">
        <v>3061</v>
      </c>
      <c r="F10071" s="1697"/>
      <c r="G10071" s="1697"/>
      <c r="H10071" s="1697"/>
      <c r="K10071" s="841" t="s">
        <v>3086</v>
      </c>
      <c r="M10071" s="1357"/>
      <c r="Q10071" s="1357"/>
      <c r="S10071" s="1420"/>
      <c r="T10071" s="1420"/>
      <c r="V10071" s="1357">
        <v>11</v>
      </c>
    </row>
    <row r="10072" spans="1:22" s="841" customFormat="1" ht="15" x14ac:dyDescent="0.25">
      <c r="A10072" s="841" t="s">
        <v>193</v>
      </c>
      <c r="E10072" s="1689" t="s">
        <v>3063</v>
      </c>
      <c r="F10072" s="1689"/>
      <c r="G10072" s="1689"/>
      <c r="H10072" s="1689"/>
      <c r="K10072" s="841" t="s">
        <v>5110</v>
      </c>
      <c r="M10072" s="1357"/>
      <c r="Q10072" s="1357"/>
      <c r="S10072" s="1420"/>
      <c r="T10072" s="1420"/>
      <c r="V10072" s="1357">
        <v>280</v>
      </c>
    </row>
    <row r="10073" spans="1:22" s="841" customFormat="1" ht="15" x14ac:dyDescent="0.25">
      <c r="A10073" s="841" t="s">
        <v>193</v>
      </c>
      <c r="E10073" s="1689" t="s">
        <v>3064</v>
      </c>
      <c r="F10073" s="1689"/>
      <c r="G10073" s="1689"/>
      <c r="H10073" s="1689"/>
      <c r="K10073" s="841" t="s">
        <v>5110</v>
      </c>
      <c r="M10073" s="1357"/>
      <c r="Q10073" s="1357"/>
      <c r="S10073" s="1420"/>
      <c r="T10073" s="1420"/>
      <c r="V10073" s="1357">
        <v>411</v>
      </c>
    </row>
    <row r="10074" spans="1:22" s="841" customFormat="1" ht="15" x14ac:dyDescent="0.25">
      <c r="A10074" s="841" t="s">
        <v>193</v>
      </c>
      <c r="E10074" s="1689" t="s">
        <v>4019</v>
      </c>
      <c r="F10074" s="1689"/>
      <c r="G10074" s="1689"/>
      <c r="H10074" s="1689"/>
      <c r="K10074" s="841" t="s">
        <v>5110</v>
      </c>
      <c r="M10074" s="1357"/>
      <c r="Q10074" s="1357"/>
      <c r="S10074" s="1420"/>
      <c r="T10074" s="1420"/>
      <c r="V10074" s="1357">
        <v>390</v>
      </c>
    </row>
    <row r="10075" spans="1:22" s="841" customFormat="1" ht="15" x14ac:dyDescent="0.25">
      <c r="A10075" s="841" t="s">
        <v>193</v>
      </c>
      <c r="E10075" s="1689" t="s">
        <v>3390</v>
      </c>
      <c r="F10075" s="1689"/>
      <c r="G10075" s="1689"/>
      <c r="H10075" s="1689"/>
      <c r="K10075" s="841" t="s">
        <v>5110</v>
      </c>
      <c r="M10075" s="1357"/>
      <c r="Q10075" s="1357"/>
      <c r="S10075" s="1420"/>
      <c r="T10075" s="1420"/>
      <c r="V10075" s="1357">
        <v>274</v>
      </c>
    </row>
    <row r="10076" spans="1:22" s="841" customFormat="1" ht="15" x14ac:dyDescent="0.25">
      <c r="A10076" s="841" t="s">
        <v>193</v>
      </c>
      <c r="E10076" s="1692" t="s">
        <v>3067</v>
      </c>
      <c r="F10076" s="1693"/>
      <c r="G10076" s="1693"/>
      <c r="H10076" s="1693"/>
      <c r="K10076" s="841" t="s">
        <v>3087</v>
      </c>
      <c r="M10076" s="1357"/>
      <c r="Q10076" s="1357"/>
      <c r="S10076" s="1420"/>
      <c r="T10076" s="1420"/>
      <c r="V10076" s="1357">
        <v>46</v>
      </c>
    </row>
    <row r="10077" spans="1:22" s="841" customFormat="1" ht="15" x14ac:dyDescent="0.25">
      <c r="A10077" s="841" t="s">
        <v>193</v>
      </c>
      <c r="E10077" s="1690" t="s">
        <v>11</v>
      </c>
      <c r="F10077" s="1690"/>
      <c r="G10077" s="631" t="s">
        <v>23</v>
      </c>
      <c r="H10077" s="391">
        <v>31.48</v>
      </c>
      <c r="K10077" s="841" t="s">
        <v>5110</v>
      </c>
      <c r="L10077" s="841" t="s">
        <v>442</v>
      </c>
      <c r="M10077" s="1357"/>
      <c r="P10077" s="841" t="s">
        <v>5111</v>
      </c>
      <c r="Q10077" s="1357"/>
      <c r="S10077" s="1420"/>
      <c r="T10077" s="1420"/>
      <c r="V10077" s="1357">
        <v>14</v>
      </c>
    </row>
    <row r="10078" spans="1:22" s="841" customFormat="1" ht="15" x14ac:dyDescent="0.25">
      <c r="A10078" s="841" t="s">
        <v>193</v>
      </c>
      <c r="E10078" s="1690" t="s">
        <v>423</v>
      </c>
      <c r="F10078" s="1690"/>
      <c r="G10078" s="631" t="s">
        <v>23</v>
      </c>
      <c r="H10078" s="391">
        <v>0.79</v>
      </c>
      <c r="K10078" s="841" t="s">
        <v>5110</v>
      </c>
      <c r="L10078" s="841" t="s">
        <v>443</v>
      </c>
      <c r="M10078" s="1357"/>
      <c r="P10078" s="841" t="s">
        <v>5112</v>
      </c>
      <c r="Q10078" s="1357"/>
      <c r="S10078" s="1420"/>
      <c r="T10078" s="1420">
        <v>43404</v>
      </c>
      <c r="V10078" s="1357">
        <v>78</v>
      </c>
    </row>
    <row r="10079" spans="1:22" s="841" customFormat="1" ht="15" x14ac:dyDescent="0.25">
      <c r="A10079" s="841" t="s">
        <v>193</v>
      </c>
      <c r="E10079" s="1690" t="s">
        <v>4297</v>
      </c>
      <c r="F10079" s="1690"/>
      <c r="G10079" s="631" t="s">
        <v>23</v>
      </c>
      <c r="H10079" s="391">
        <v>0.3</v>
      </c>
      <c r="K10079" s="841" t="s">
        <v>5110</v>
      </c>
      <c r="L10079" s="841" t="s">
        <v>442</v>
      </c>
      <c r="M10079" s="1357"/>
      <c r="P10079" s="841" t="s">
        <v>5388</v>
      </c>
      <c r="Q10079" s="1357"/>
      <c r="S10079" s="1420"/>
      <c r="T10079" s="1420">
        <v>44196</v>
      </c>
      <c r="V10079" s="1357">
        <v>91</v>
      </c>
    </row>
    <row r="10080" spans="1:22" s="841" customFormat="1" ht="15" x14ac:dyDescent="0.25">
      <c r="A10080" s="841" t="s">
        <v>193</v>
      </c>
      <c r="E10080" s="1690" t="s">
        <v>4298</v>
      </c>
      <c r="F10080" s="1690"/>
      <c r="G10080" s="631" t="s">
        <v>23</v>
      </c>
      <c r="H10080" s="391">
        <v>3.1</v>
      </c>
      <c r="K10080" s="841" t="s">
        <v>5110</v>
      </c>
      <c r="L10080" s="841" t="s">
        <v>442</v>
      </c>
      <c r="M10080" s="1357"/>
      <c r="P10080" s="841" t="s">
        <v>5771</v>
      </c>
      <c r="Q10080" s="1357"/>
      <c r="S10080" s="1420"/>
      <c r="T10080" s="1420">
        <v>44196</v>
      </c>
      <c r="V10080" s="1357">
        <v>110</v>
      </c>
    </row>
    <row r="10081" spans="1:22" s="841" customFormat="1" ht="15" x14ac:dyDescent="0.25">
      <c r="A10081" s="841" t="s">
        <v>193</v>
      </c>
      <c r="E10081" s="1690" t="s">
        <v>84</v>
      </c>
      <c r="F10081" s="1690"/>
      <c r="G10081" s="631" t="s">
        <v>24</v>
      </c>
      <c r="H10081" s="393">
        <v>1.54E-2</v>
      </c>
      <c r="K10081" s="841" t="s">
        <v>5110</v>
      </c>
      <c r="L10081" s="841" t="s">
        <v>442</v>
      </c>
      <c r="M10081" s="1357"/>
      <c r="P10081" s="841" t="s">
        <v>5113</v>
      </c>
      <c r="Q10081" s="1357"/>
      <c r="S10081" s="1420"/>
      <c r="T10081" s="1420"/>
      <c r="V10081" s="1357">
        <v>28</v>
      </c>
    </row>
    <row r="10082" spans="1:22" s="841" customFormat="1" ht="15" x14ac:dyDescent="0.25">
      <c r="A10082" s="841" t="s">
        <v>193</v>
      </c>
      <c r="E10082" s="1690" t="s">
        <v>18</v>
      </c>
      <c r="F10082" s="1690"/>
      <c r="G10082" s="631" t="s">
        <v>24</v>
      </c>
      <c r="H10082" s="393">
        <v>2E-3</v>
      </c>
      <c r="K10082" s="841" t="s">
        <v>5110</v>
      </c>
      <c r="L10082" s="841" t="s">
        <v>443</v>
      </c>
      <c r="M10082" s="1357"/>
      <c r="P10082" s="841" t="s">
        <v>5114</v>
      </c>
      <c r="Q10082" s="1357"/>
      <c r="S10082" s="1420"/>
      <c r="T10082" s="1420"/>
      <c r="V10082" s="1357">
        <v>24</v>
      </c>
    </row>
    <row r="10083" spans="1:22" s="841" customFormat="1" ht="15" x14ac:dyDescent="0.25">
      <c r="A10083" s="841" t="s">
        <v>193</v>
      </c>
      <c r="E10083" s="1690" t="s">
        <v>4299</v>
      </c>
      <c r="F10083" s="1690"/>
      <c r="G10083" s="631" t="s">
        <v>24</v>
      </c>
      <c r="H10083" s="1068">
        <v>-2.3999999999999998E-3</v>
      </c>
      <c r="K10083" s="841" t="s">
        <v>5110</v>
      </c>
      <c r="L10083" s="841" t="s">
        <v>442</v>
      </c>
      <c r="M10083" s="1357"/>
      <c r="P10083" s="841" t="s">
        <v>6405</v>
      </c>
      <c r="Q10083" s="1357"/>
      <c r="S10083" s="1420"/>
      <c r="T10083" s="1420">
        <v>44196</v>
      </c>
      <c r="V10083" s="1357">
        <v>85</v>
      </c>
    </row>
    <row r="10084" spans="1:22" s="841" customFormat="1" ht="15" x14ac:dyDescent="0.25">
      <c r="A10084" s="841" t="s">
        <v>193</v>
      </c>
      <c r="E10084" s="1690" t="s">
        <v>221</v>
      </c>
      <c r="F10084" s="1690"/>
      <c r="G10084" s="631" t="s">
        <v>24</v>
      </c>
      <c r="H10084" s="393">
        <v>5.1999999999999998E-3</v>
      </c>
      <c r="K10084" s="841" t="s">
        <v>5110</v>
      </c>
      <c r="L10084" s="841" t="s">
        <v>444</v>
      </c>
      <c r="M10084" s="1357"/>
      <c r="P10084" s="841" t="s">
        <v>5115</v>
      </c>
      <c r="Q10084" s="1357"/>
      <c r="S10084" s="1420"/>
      <c r="T10084" s="1420"/>
      <c r="V10084" s="1357">
        <v>47</v>
      </c>
    </row>
    <row r="10085" spans="1:22" s="841" customFormat="1" ht="15" x14ac:dyDescent="0.25">
      <c r="A10085" s="841" t="s">
        <v>193</v>
      </c>
      <c r="E10085" s="1690" t="s">
        <v>217</v>
      </c>
      <c r="F10085" s="1690"/>
      <c r="G10085" s="631" t="s">
        <v>24</v>
      </c>
      <c r="H10085" s="393">
        <v>3.3999999999999998E-3</v>
      </c>
      <c r="K10085" s="841" t="s">
        <v>5110</v>
      </c>
      <c r="L10085" s="841" t="s">
        <v>444</v>
      </c>
      <c r="M10085" s="1357"/>
      <c r="P10085" s="841" t="s">
        <v>5116</v>
      </c>
      <c r="Q10085" s="1357"/>
      <c r="S10085" s="1420"/>
      <c r="T10085" s="1420"/>
      <c r="V10085" s="1357">
        <v>74</v>
      </c>
    </row>
    <row r="10086" spans="1:22" s="841" customFormat="1" ht="15" x14ac:dyDescent="0.25">
      <c r="A10086" s="841" t="s">
        <v>193</v>
      </c>
      <c r="E10086" s="1694" t="s">
        <v>3079</v>
      </c>
      <c r="F10086" s="1690"/>
      <c r="G10086" s="1408"/>
      <c r="H10086" s="1408"/>
      <c r="K10086" s="841" t="s">
        <v>3093</v>
      </c>
      <c r="M10086" s="1357"/>
      <c r="Q10086" s="1357"/>
      <c r="S10086" s="1420"/>
      <c r="T10086" s="1420"/>
      <c r="V10086" s="1357">
        <v>48</v>
      </c>
    </row>
    <row r="10087" spans="1:22" s="841" customFormat="1" ht="15" x14ac:dyDescent="0.25">
      <c r="A10087" s="841" t="s">
        <v>193</v>
      </c>
      <c r="E10087" s="1690" t="s">
        <v>2449</v>
      </c>
      <c r="F10087" s="1690"/>
      <c r="G10087" s="631" t="s">
        <v>24</v>
      </c>
      <c r="H10087" s="393">
        <v>3.2000000000000002E-3</v>
      </c>
      <c r="K10087" s="841" t="s">
        <v>5110</v>
      </c>
      <c r="L10087" s="841" t="s">
        <v>3046</v>
      </c>
      <c r="M10087" s="1357"/>
      <c r="P10087" s="841" t="s">
        <v>5117</v>
      </c>
      <c r="Q10087" s="1357"/>
      <c r="S10087" s="1420"/>
      <c r="T10087" s="1420"/>
      <c r="V10087" s="1357">
        <v>55</v>
      </c>
    </row>
    <row r="10088" spans="1:22" s="841" customFormat="1" ht="15" x14ac:dyDescent="0.25">
      <c r="A10088" s="841" t="s">
        <v>193</v>
      </c>
      <c r="E10088" s="1690" t="s">
        <v>2450</v>
      </c>
      <c r="F10088" s="1690"/>
      <c r="G10088" s="631" t="s">
        <v>24</v>
      </c>
      <c r="H10088" s="393">
        <v>4.0000000000000002E-4</v>
      </c>
      <c r="K10088" s="841" t="s">
        <v>5110</v>
      </c>
      <c r="L10088" s="841" t="s">
        <v>3046</v>
      </c>
      <c r="M10088" s="1357"/>
      <c r="P10088" s="841" t="s">
        <v>5117</v>
      </c>
      <c r="Q10088" s="1357"/>
      <c r="S10088" s="1420"/>
      <c r="T10088" s="1420"/>
      <c r="V10088" s="1357">
        <v>65</v>
      </c>
    </row>
    <row r="10089" spans="1:22" s="841" customFormat="1" ht="15" x14ac:dyDescent="0.25">
      <c r="A10089" s="841" t="s">
        <v>193</v>
      </c>
      <c r="E10089" s="1690" t="s">
        <v>439</v>
      </c>
      <c r="F10089" s="1690"/>
      <c r="G10089" s="631" t="s">
        <v>24</v>
      </c>
      <c r="H10089" s="393">
        <v>2.9999999999999997E-4</v>
      </c>
      <c r="K10089" s="841" t="s">
        <v>5110</v>
      </c>
      <c r="L10089" s="841" t="s">
        <v>3046</v>
      </c>
      <c r="M10089" s="1357"/>
      <c r="P10089" s="841" t="s">
        <v>5118</v>
      </c>
      <c r="Q10089" s="1357"/>
      <c r="S10089" s="1420"/>
      <c r="T10089" s="1420"/>
      <c r="V10089" s="1357">
        <v>57</v>
      </c>
    </row>
    <row r="10090" spans="1:22" s="841" customFormat="1" ht="15" x14ac:dyDescent="0.25">
      <c r="A10090" s="841" t="s">
        <v>193</v>
      </c>
      <c r="E10090" s="1690" t="s">
        <v>32</v>
      </c>
      <c r="F10090" s="1690"/>
      <c r="G10090" s="631" t="s">
        <v>23</v>
      </c>
      <c r="H10090" s="391">
        <v>0.25</v>
      </c>
      <c r="K10090" s="841" t="s">
        <v>5110</v>
      </c>
      <c r="L10090" s="841" t="s">
        <v>3046</v>
      </c>
      <c r="M10090" s="1357"/>
      <c r="P10090" s="841" t="s">
        <v>5119</v>
      </c>
      <c r="Q10090" s="1357"/>
      <c r="S10090" s="1420"/>
      <c r="T10090" s="1420"/>
      <c r="V10090" s="1357">
        <v>63</v>
      </c>
    </row>
    <row r="10091" spans="1:22" s="841" customFormat="1" x14ac:dyDescent="0.25">
      <c r="A10091" s="841" t="s">
        <v>193</v>
      </c>
      <c r="E10091" s="1695" t="s">
        <v>616</v>
      </c>
      <c r="F10091" s="1915"/>
      <c r="G10091" s="1915"/>
      <c r="H10091" s="1915"/>
      <c r="K10091" s="841" t="s">
        <v>6095</v>
      </c>
      <c r="M10091" s="1357"/>
      <c r="Q10091" s="1357"/>
      <c r="S10091" s="1420"/>
      <c r="T10091" s="1420"/>
      <c r="V10091" s="1357">
        <v>53</v>
      </c>
    </row>
    <row r="10092" spans="1:22" s="841" customFormat="1" ht="15" x14ac:dyDescent="0.25">
      <c r="A10092" s="841" t="s">
        <v>193</v>
      </c>
      <c r="E10092" s="1689" t="s">
        <v>3926</v>
      </c>
      <c r="F10092" s="1689"/>
      <c r="G10092" s="1689"/>
      <c r="H10092" s="1689"/>
      <c r="K10092" s="841" t="s">
        <v>6095</v>
      </c>
      <c r="M10092" s="1357"/>
      <c r="Q10092" s="1357"/>
      <c r="S10092" s="1420"/>
      <c r="T10092" s="1420"/>
      <c r="V10092" s="1357">
        <v>386</v>
      </c>
    </row>
    <row r="10093" spans="1:22" s="841" customFormat="1" ht="15" x14ac:dyDescent="0.25">
      <c r="A10093" s="841" t="s">
        <v>193</v>
      </c>
      <c r="E10093" s="1696" t="s">
        <v>3061</v>
      </c>
      <c r="F10093" s="1697"/>
      <c r="G10093" s="1697"/>
      <c r="H10093" s="1697"/>
      <c r="K10093" s="841" t="s">
        <v>3098</v>
      </c>
      <c r="M10093" s="1357"/>
      <c r="Q10093" s="1357"/>
      <c r="S10093" s="1420"/>
      <c r="T10093" s="1420"/>
      <c r="V10093" s="1357">
        <v>11</v>
      </c>
    </row>
    <row r="10094" spans="1:22" s="841" customFormat="1" ht="15" x14ac:dyDescent="0.25">
      <c r="A10094" s="841" t="s">
        <v>193</v>
      </c>
      <c r="E10094" s="1689" t="s">
        <v>3063</v>
      </c>
      <c r="F10094" s="1689"/>
      <c r="G10094" s="1689"/>
      <c r="H10094" s="1689"/>
      <c r="K10094" s="841" t="s">
        <v>6095</v>
      </c>
      <c r="M10094" s="1357"/>
      <c r="Q10094" s="1357"/>
      <c r="S10094" s="1420"/>
      <c r="T10094" s="1420"/>
      <c r="V10094" s="1357">
        <v>280</v>
      </c>
    </row>
    <row r="10095" spans="1:22" s="841" customFormat="1" ht="15" x14ac:dyDescent="0.25">
      <c r="A10095" s="841" t="s">
        <v>193</v>
      </c>
      <c r="E10095" s="1689" t="s">
        <v>3064</v>
      </c>
      <c r="F10095" s="1689"/>
      <c r="G10095" s="1689"/>
      <c r="H10095" s="1689"/>
      <c r="K10095" s="841" t="s">
        <v>6095</v>
      </c>
      <c r="M10095" s="1357"/>
      <c r="Q10095" s="1357"/>
      <c r="S10095" s="1420"/>
      <c r="T10095" s="1420"/>
      <c r="V10095" s="1357">
        <v>411</v>
      </c>
    </row>
    <row r="10096" spans="1:22" s="841" customFormat="1" ht="15" x14ac:dyDescent="0.25">
      <c r="A10096" s="841" t="s">
        <v>193</v>
      </c>
      <c r="E10096" s="1689" t="s">
        <v>4019</v>
      </c>
      <c r="F10096" s="1689"/>
      <c r="G10096" s="1689"/>
      <c r="H10096" s="1689"/>
      <c r="K10096" s="841" t="s">
        <v>6095</v>
      </c>
      <c r="M10096" s="1357"/>
      <c r="Q10096" s="1357"/>
      <c r="S10096" s="1420"/>
      <c r="T10096" s="1420"/>
      <c r="V10096" s="1357">
        <v>390</v>
      </c>
    </row>
    <row r="10097" spans="1:22" s="841" customFormat="1" ht="15" x14ac:dyDescent="0.25">
      <c r="A10097" s="841" t="s">
        <v>193</v>
      </c>
      <c r="E10097" s="1689" t="s">
        <v>3223</v>
      </c>
      <c r="F10097" s="1689"/>
      <c r="G10097" s="1689"/>
      <c r="H10097" s="1689"/>
      <c r="K10097" s="841" t="s">
        <v>6095</v>
      </c>
      <c r="M10097" s="1357"/>
      <c r="Q10097" s="1357"/>
      <c r="S10097" s="1420"/>
      <c r="T10097" s="1420"/>
      <c r="V10097" s="1357">
        <v>626</v>
      </c>
    </row>
    <row r="10098" spans="1:22" s="841" customFormat="1" ht="15" x14ac:dyDescent="0.25">
      <c r="A10098" s="841" t="s">
        <v>193</v>
      </c>
      <c r="E10098" s="1689" t="s">
        <v>3390</v>
      </c>
      <c r="F10098" s="1689"/>
      <c r="G10098" s="1689"/>
      <c r="H10098" s="1689"/>
      <c r="K10098" s="841" t="s">
        <v>6095</v>
      </c>
      <c r="M10098" s="1357"/>
      <c r="Q10098" s="1357"/>
      <c r="S10098" s="1420"/>
      <c r="T10098" s="1420"/>
      <c r="V10098" s="1357">
        <v>274</v>
      </c>
    </row>
    <row r="10099" spans="1:22" s="841" customFormat="1" ht="15" x14ac:dyDescent="0.25">
      <c r="A10099" s="841" t="s">
        <v>193</v>
      </c>
      <c r="E10099" s="1692" t="s">
        <v>3067</v>
      </c>
      <c r="F10099" s="1693"/>
      <c r="G10099" s="1693"/>
      <c r="H10099" s="1693"/>
      <c r="K10099" s="841" t="s">
        <v>3099</v>
      </c>
      <c r="M10099" s="1357"/>
      <c r="Q10099" s="1357"/>
      <c r="S10099" s="1420"/>
      <c r="T10099" s="1420"/>
      <c r="V10099" s="1357">
        <v>46</v>
      </c>
    </row>
    <row r="10100" spans="1:22" s="841" customFormat="1" ht="15" x14ac:dyDescent="0.25">
      <c r="A10100" s="841" t="s">
        <v>193</v>
      </c>
      <c r="E10100" s="1690" t="s">
        <v>11</v>
      </c>
      <c r="F10100" s="1690"/>
      <c r="G10100" s="631" t="s">
        <v>23</v>
      </c>
      <c r="H10100" s="391">
        <v>198.63</v>
      </c>
      <c r="K10100" s="841" t="s">
        <v>6095</v>
      </c>
      <c r="L10100" s="841" t="s">
        <v>442</v>
      </c>
      <c r="M10100" s="1357"/>
      <c r="P10100" s="841" t="s">
        <v>6096</v>
      </c>
      <c r="Q10100" s="1357"/>
      <c r="S10100" s="1420"/>
      <c r="T10100" s="1420"/>
      <c r="V10100" s="1357">
        <v>14</v>
      </c>
    </row>
    <row r="10101" spans="1:22" s="841" customFormat="1" ht="15" x14ac:dyDescent="0.25">
      <c r="A10101" s="841" t="s">
        <v>193</v>
      </c>
      <c r="E10101" s="1690" t="s">
        <v>4297</v>
      </c>
      <c r="F10101" s="1690"/>
      <c r="G10101" s="631" t="s">
        <v>23</v>
      </c>
      <c r="H10101" s="391">
        <v>6.03</v>
      </c>
      <c r="K10101" s="841" t="s">
        <v>6095</v>
      </c>
      <c r="L10101" s="841" t="s">
        <v>442</v>
      </c>
      <c r="M10101" s="1357"/>
      <c r="P10101" s="841" t="s">
        <v>6110</v>
      </c>
      <c r="Q10101" s="1357"/>
      <c r="S10101" s="1420"/>
      <c r="T10101" s="1420">
        <v>44196</v>
      </c>
      <c r="V10101" s="1357">
        <v>91</v>
      </c>
    </row>
    <row r="10102" spans="1:22" s="841" customFormat="1" ht="15" x14ac:dyDescent="0.25">
      <c r="A10102" s="841" t="s">
        <v>193</v>
      </c>
      <c r="E10102" s="1690" t="s">
        <v>4298</v>
      </c>
      <c r="F10102" s="1690"/>
      <c r="G10102" s="631" t="s">
        <v>23</v>
      </c>
      <c r="H10102" s="391">
        <v>11.6</v>
      </c>
      <c r="K10102" s="841" t="s">
        <v>6095</v>
      </c>
      <c r="L10102" s="841" t="s">
        <v>442</v>
      </c>
      <c r="M10102" s="1357"/>
      <c r="P10102" s="841" t="s">
        <v>6406</v>
      </c>
      <c r="Q10102" s="1357"/>
      <c r="S10102" s="1420"/>
      <c r="T10102" s="1420">
        <v>44196</v>
      </c>
      <c r="V10102" s="1357">
        <v>110</v>
      </c>
    </row>
    <row r="10103" spans="1:22" s="841" customFormat="1" ht="15" x14ac:dyDescent="0.25">
      <c r="A10103" s="841" t="s">
        <v>193</v>
      </c>
      <c r="E10103" s="1690" t="s">
        <v>84</v>
      </c>
      <c r="F10103" s="1690"/>
      <c r="G10103" s="631" t="s">
        <v>33</v>
      </c>
      <c r="H10103" s="393">
        <v>3.0051999999999999</v>
      </c>
      <c r="K10103" s="841" t="s">
        <v>6095</v>
      </c>
      <c r="L10103" s="841" t="s">
        <v>442</v>
      </c>
      <c r="M10103" s="1357"/>
      <c r="P10103" s="841" t="s">
        <v>6097</v>
      </c>
      <c r="Q10103" s="1357"/>
      <c r="S10103" s="1420"/>
      <c r="T10103" s="1420"/>
      <c r="V10103" s="1357">
        <v>28</v>
      </c>
    </row>
    <row r="10104" spans="1:22" s="841" customFormat="1" ht="15" x14ac:dyDescent="0.25">
      <c r="A10104" s="841" t="s">
        <v>193</v>
      </c>
      <c r="E10104" s="1690" t="s">
        <v>18</v>
      </c>
      <c r="F10104" s="1690"/>
      <c r="G10104" s="631" t="s">
        <v>33</v>
      </c>
      <c r="H10104" s="393">
        <v>0.75870000000000004</v>
      </c>
      <c r="K10104" s="841" t="s">
        <v>6095</v>
      </c>
      <c r="L10104" s="841" t="s">
        <v>443</v>
      </c>
      <c r="M10104" s="1357"/>
      <c r="P10104" s="841" t="s">
        <v>6098</v>
      </c>
      <c r="Q10104" s="1357"/>
      <c r="S10104" s="1420"/>
      <c r="T10104" s="1420"/>
      <c r="V10104" s="1357">
        <v>24</v>
      </c>
    </row>
    <row r="10105" spans="1:22" s="841" customFormat="1" ht="15" x14ac:dyDescent="0.25">
      <c r="A10105" s="841" t="s">
        <v>193</v>
      </c>
      <c r="E10105" s="1690" t="s">
        <v>4299</v>
      </c>
      <c r="F10105" s="1690"/>
      <c r="G10105" s="631" t="s">
        <v>33</v>
      </c>
      <c r="H10105" s="1068">
        <v>-0.87250000000000005</v>
      </c>
      <c r="K10105" s="841" t="s">
        <v>6095</v>
      </c>
      <c r="L10105" s="841" t="s">
        <v>442</v>
      </c>
      <c r="M10105" s="1357"/>
      <c r="P10105" s="841" t="s">
        <v>6407</v>
      </c>
      <c r="Q10105" s="1357"/>
      <c r="S10105" s="1420"/>
      <c r="T10105" s="1420">
        <v>44196</v>
      </c>
      <c r="V10105" s="1357">
        <v>85</v>
      </c>
    </row>
    <row r="10106" spans="1:22" s="841" customFormat="1" ht="15" x14ac:dyDescent="0.25">
      <c r="A10106" s="841" t="s">
        <v>193</v>
      </c>
      <c r="E10106" s="1690" t="s">
        <v>221</v>
      </c>
      <c r="F10106" s="1690"/>
      <c r="G10106" s="631" t="s">
        <v>33</v>
      </c>
      <c r="H10106" s="393">
        <v>2.1160000000000001</v>
      </c>
      <c r="K10106" s="841" t="s">
        <v>6095</v>
      </c>
      <c r="L10106" s="841" t="s">
        <v>444</v>
      </c>
      <c r="M10106" s="1357"/>
      <c r="P10106" s="841" t="s">
        <v>6099</v>
      </c>
      <c r="Q10106" s="1357"/>
      <c r="S10106" s="1420"/>
      <c r="T10106" s="1420"/>
      <c r="V10106" s="1357">
        <v>47</v>
      </c>
    </row>
    <row r="10107" spans="1:22" s="841" customFormat="1" ht="15" x14ac:dyDescent="0.25">
      <c r="A10107" s="841" t="s">
        <v>193</v>
      </c>
      <c r="E10107" s="1690" t="s">
        <v>217</v>
      </c>
      <c r="F10107" s="1690"/>
      <c r="G10107" s="631" t="s">
        <v>33</v>
      </c>
      <c r="H10107" s="393">
        <v>1.2944</v>
      </c>
      <c r="K10107" s="841" t="s">
        <v>6095</v>
      </c>
      <c r="L10107" s="841" t="s">
        <v>444</v>
      </c>
      <c r="M10107" s="1357"/>
      <c r="P10107" s="841" t="s">
        <v>6100</v>
      </c>
      <c r="Q10107" s="1357"/>
      <c r="S10107" s="1420"/>
      <c r="T10107" s="1420"/>
      <c r="V10107" s="1357">
        <v>74</v>
      </c>
    </row>
    <row r="10108" spans="1:22" s="841" customFormat="1" ht="15" x14ac:dyDescent="0.25">
      <c r="A10108" s="841" t="s">
        <v>193</v>
      </c>
      <c r="E10108" s="1694" t="s">
        <v>3079</v>
      </c>
      <c r="F10108" s="1690"/>
      <c r="G10108" s="1408"/>
      <c r="H10108" s="1408"/>
      <c r="K10108" s="841" t="s">
        <v>3218</v>
      </c>
      <c r="M10108" s="1357"/>
      <c r="Q10108" s="1357"/>
      <c r="S10108" s="1420"/>
      <c r="T10108" s="1420"/>
      <c r="V10108" s="1357">
        <v>48</v>
      </c>
    </row>
    <row r="10109" spans="1:22" s="841" customFormat="1" ht="23.25" x14ac:dyDescent="0.25">
      <c r="A10109" s="841" t="s">
        <v>193</v>
      </c>
      <c r="E10109" s="1365" t="s">
        <v>2449</v>
      </c>
      <c r="F10109" s="1365"/>
      <c r="G10109" s="631" t="s">
        <v>24</v>
      </c>
      <c r="H10109" s="393">
        <v>3.2000000000000002E-3</v>
      </c>
      <c r="K10109" s="841" t="s">
        <v>6095</v>
      </c>
      <c r="L10109" s="841" t="s">
        <v>3046</v>
      </c>
      <c r="M10109" s="1357"/>
      <c r="P10109" s="841" t="s">
        <v>6101</v>
      </c>
      <c r="Q10109" s="1357"/>
      <c r="S10109" s="1420"/>
      <c r="T10109" s="1420"/>
      <c r="V10109" s="1357">
        <v>55</v>
      </c>
    </row>
    <row r="10110" spans="1:22" s="841" customFormat="1" ht="23.25" x14ac:dyDescent="0.25">
      <c r="A10110" s="841" t="s">
        <v>193</v>
      </c>
      <c r="E10110" s="1365" t="s">
        <v>2450</v>
      </c>
      <c r="F10110" s="1365"/>
      <c r="G10110" s="631" t="s">
        <v>24</v>
      </c>
      <c r="H10110" s="393">
        <v>4.0000000000000002E-4</v>
      </c>
      <c r="K10110" s="841" t="s">
        <v>6095</v>
      </c>
      <c r="L10110" s="841" t="s">
        <v>3046</v>
      </c>
      <c r="M10110" s="1357"/>
      <c r="P10110" s="841" t="s">
        <v>6101</v>
      </c>
      <c r="Q10110" s="1357"/>
      <c r="S10110" s="1420"/>
      <c r="T10110" s="1420"/>
      <c r="V10110" s="1357">
        <v>65</v>
      </c>
    </row>
    <row r="10111" spans="1:22" s="841" customFormat="1" ht="23.25" x14ac:dyDescent="0.25">
      <c r="A10111" s="841" t="s">
        <v>193</v>
      </c>
      <c r="E10111" s="1365" t="s">
        <v>439</v>
      </c>
      <c r="F10111" s="1365"/>
      <c r="G10111" s="631" t="s">
        <v>24</v>
      </c>
      <c r="H10111" s="393">
        <v>2.9999999999999997E-4</v>
      </c>
      <c r="K10111" s="841" t="s">
        <v>6095</v>
      </c>
      <c r="L10111" s="841" t="s">
        <v>3046</v>
      </c>
      <c r="M10111" s="1357"/>
      <c r="P10111" s="841" t="s">
        <v>6102</v>
      </c>
      <c r="Q10111" s="1357"/>
      <c r="S10111" s="1420"/>
      <c r="T10111" s="1420"/>
      <c r="V10111" s="1357">
        <v>57</v>
      </c>
    </row>
    <row r="10112" spans="1:22" s="841" customFormat="1" ht="23.25" x14ac:dyDescent="0.25">
      <c r="A10112" s="841" t="s">
        <v>193</v>
      </c>
      <c r="E10112" s="1365" t="s">
        <v>32</v>
      </c>
      <c r="F10112" s="1365"/>
      <c r="G10112" s="631" t="s">
        <v>23</v>
      </c>
      <c r="H10112" s="391">
        <v>0.25</v>
      </c>
      <c r="K10112" s="841" t="s">
        <v>6095</v>
      </c>
      <c r="L10112" s="841" t="s">
        <v>3046</v>
      </c>
      <c r="M10112" s="1357"/>
      <c r="P10112" s="841" t="s">
        <v>6103</v>
      </c>
      <c r="Q10112" s="1357"/>
      <c r="S10112" s="1420"/>
      <c r="T10112" s="1420"/>
      <c r="V10112" s="1357">
        <v>63</v>
      </c>
    </row>
    <row r="10113" spans="1:22" s="841" customFormat="1" x14ac:dyDescent="0.25">
      <c r="A10113" s="841" t="s">
        <v>193</v>
      </c>
      <c r="E10113" s="1695" t="s">
        <v>617</v>
      </c>
      <c r="F10113" s="1915"/>
      <c r="G10113" s="1915"/>
      <c r="H10113" s="1915"/>
      <c r="K10113" s="841" t="s">
        <v>3406</v>
      </c>
      <c r="M10113" s="1357"/>
      <c r="Q10113" s="1357"/>
      <c r="S10113" s="1420"/>
      <c r="T10113" s="1420"/>
      <c r="V10113" s="1357">
        <v>47</v>
      </c>
    </row>
    <row r="10114" spans="1:22" s="841" customFormat="1" ht="15" x14ac:dyDescent="0.25">
      <c r="A10114" s="841" t="s">
        <v>193</v>
      </c>
      <c r="E10114" s="1689" t="s">
        <v>4300</v>
      </c>
      <c r="F10114" s="1689"/>
      <c r="G10114" s="1689"/>
      <c r="H10114" s="1689"/>
      <c r="K10114" s="841" t="s">
        <v>3406</v>
      </c>
      <c r="M10114" s="1357"/>
      <c r="Q10114" s="1357"/>
      <c r="S10114" s="1420"/>
      <c r="T10114" s="1420"/>
      <c r="V10114" s="1357">
        <v>609</v>
      </c>
    </row>
    <row r="10115" spans="1:22" s="841" customFormat="1" ht="15" x14ac:dyDescent="0.25">
      <c r="A10115" s="841" t="s">
        <v>193</v>
      </c>
      <c r="E10115" s="1696" t="s">
        <v>3061</v>
      </c>
      <c r="F10115" s="1697"/>
      <c r="G10115" s="1697"/>
      <c r="H10115" s="1697"/>
      <c r="K10115" s="841" t="s">
        <v>3221</v>
      </c>
      <c r="M10115" s="1357"/>
      <c r="Q10115" s="1357"/>
      <c r="S10115" s="1420"/>
      <c r="T10115" s="1420"/>
      <c r="V10115" s="1357">
        <v>11</v>
      </c>
    </row>
    <row r="10116" spans="1:22" s="841" customFormat="1" ht="15" x14ac:dyDescent="0.25">
      <c r="A10116" s="841" t="s">
        <v>193</v>
      </c>
      <c r="E10116" s="1689" t="s">
        <v>3063</v>
      </c>
      <c r="F10116" s="1689"/>
      <c r="G10116" s="1689"/>
      <c r="H10116" s="1689"/>
      <c r="K10116" s="841" t="s">
        <v>3406</v>
      </c>
      <c r="M10116" s="1357"/>
      <c r="Q10116" s="1357"/>
      <c r="S10116" s="1420"/>
      <c r="T10116" s="1420"/>
      <c r="V10116" s="1357">
        <v>280</v>
      </c>
    </row>
    <row r="10117" spans="1:22" s="841" customFormat="1" ht="15" x14ac:dyDescent="0.25">
      <c r="A10117" s="841" t="s">
        <v>193</v>
      </c>
      <c r="E10117" s="1689" t="s">
        <v>3064</v>
      </c>
      <c r="F10117" s="1689"/>
      <c r="G10117" s="1689"/>
      <c r="H10117" s="1689"/>
      <c r="K10117" s="841" t="s">
        <v>3406</v>
      </c>
      <c r="M10117" s="1357"/>
      <c r="Q10117" s="1357"/>
      <c r="S10117" s="1420"/>
      <c r="T10117" s="1420"/>
      <c r="V10117" s="1357">
        <v>411</v>
      </c>
    </row>
    <row r="10118" spans="1:22" s="841" customFormat="1" ht="15" x14ac:dyDescent="0.25">
      <c r="A10118" s="841" t="s">
        <v>193</v>
      </c>
      <c r="E10118" s="1689" t="s">
        <v>4019</v>
      </c>
      <c r="F10118" s="1689"/>
      <c r="G10118" s="1689"/>
      <c r="H10118" s="1689"/>
      <c r="K10118" s="841" t="s">
        <v>3406</v>
      </c>
      <c r="M10118" s="1357"/>
      <c r="Q10118" s="1357"/>
      <c r="S10118" s="1420"/>
      <c r="T10118" s="1420"/>
      <c r="V10118" s="1357">
        <v>390</v>
      </c>
    </row>
    <row r="10119" spans="1:22" s="841" customFormat="1" ht="15" x14ac:dyDescent="0.25">
      <c r="A10119" s="841" t="s">
        <v>193</v>
      </c>
      <c r="E10119" s="1689" t="s">
        <v>3390</v>
      </c>
      <c r="F10119" s="1689"/>
      <c r="G10119" s="1689"/>
      <c r="H10119" s="1689"/>
      <c r="K10119" s="841" t="s">
        <v>3406</v>
      </c>
      <c r="M10119" s="1357"/>
      <c r="Q10119" s="1357"/>
      <c r="S10119" s="1420"/>
      <c r="T10119" s="1420"/>
      <c r="V10119" s="1357">
        <v>274</v>
      </c>
    </row>
    <row r="10120" spans="1:22" s="841" customFormat="1" ht="15" x14ac:dyDescent="0.25">
      <c r="A10120" s="841" t="s">
        <v>193</v>
      </c>
      <c r="E10120" s="1692" t="s">
        <v>3067</v>
      </c>
      <c r="F10120" s="1693"/>
      <c r="G10120" s="1693"/>
      <c r="H10120" s="1693"/>
      <c r="K10120" s="841" t="s">
        <v>3224</v>
      </c>
      <c r="M10120" s="1357"/>
      <c r="Q10120" s="1357"/>
      <c r="S10120" s="1420"/>
      <c r="T10120" s="1420"/>
      <c r="V10120" s="1357">
        <v>46</v>
      </c>
    </row>
    <row r="10121" spans="1:22" s="841" customFormat="1" ht="15" x14ac:dyDescent="0.25">
      <c r="A10121" s="841" t="s">
        <v>193</v>
      </c>
      <c r="E10121" s="1690" t="s">
        <v>13</v>
      </c>
      <c r="F10121" s="1690"/>
      <c r="G10121" s="631" t="s">
        <v>23</v>
      </c>
      <c r="H10121" s="391">
        <v>28.28</v>
      </c>
      <c r="K10121" s="841" t="s">
        <v>3406</v>
      </c>
      <c r="L10121" s="841" t="s">
        <v>442</v>
      </c>
      <c r="M10121" s="1357"/>
      <c r="P10121" s="841" t="s">
        <v>3408</v>
      </c>
      <c r="Q10121" s="1357"/>
      <c r="S10121" s="1420"/>
      <c r="T10121" s="1420"/>
      <c r="V10121" s="1357">
        <v>29</v>
      </c>
    </row>
    <row r="10122" spans="1:22" s="841" customFormat="1" ht="15" x14ac:dyDescent="0.25">
      <c r="A10122" s="841" t="s">
        <v>193</v>
      </c>
      <c r="E10122" s="1690" t="s">
        <v>84</v>
      </c>
      <c r="F10122" s="1690"/>
      <c r="G10122" s="631" t="s">
        <v>24</v>
      </c>
      <c r="H10122" s="393">
        <v>2.0999999999999999E-3</v>
      </c>
      <c r="K10122" s="841" t="s">
        <v>3406</v>
      </c>
      <c r="L10122" s="841" t="s">
        <v>442</v>
      </c>
      <c r="M10122" s="1357"/>
      <c r="P10122" s="841" t="s">
        <v>3409</v>
      </c>
      <c r="Q10122" s="1357"/>
      <c r="S10122" s="1420"/>
      <c r="T10122" s="1420"/>
      <c r="V10122" s="1357">
        <v>28</v>
      </c>
    </row>
    <row r="10123" spans="1:22" s="841" customFormat="1" ht="15" x14ac:dyDescent="0.25">
      <c r="A10123" s="841" t="s">
        <v>193</v>
      </c>
      <c r="E10123" s="1690" t="s">
        <v>18</v>
      </c>
      <c r="F10123" s="1690"/>
      <c r="G10123" s="631" t="s">
        <v>24</v>
      </c>
      <c r="H10123" s="393">
        <v>2E-3</v>
      </c>
      <c r="K10123" s="841" t="s">
        <v>3406</v>
      </c>
      <c r="L10123" s="841" t="s">
        <v>443</v>
      </c>
      <c r="M10123" s="1357"/>
      <c r="P10123" s="841" t="s">
        <v>3549</v>
      </c>
      <c r="Q10123" s="1357"/>
      <c r="S10123" s="1420"/>
      <c r="T10123" s="1420"/>
      <c r="V10123" s="1357">
        <v>24</v>
      </c>
    </row>
    <row r="10124" spans="1:22" s="841" customFormat="1" ht="15" x14ac:dyDescent="0.25">
      <c r="A10124" s="841" t="s">
        <v>193</v>
      </c>
      <c r="E10124" s="1690" t="s">
        <v>4299</v>
      </c>
      <c r="F10124" s="1690"/>
      <c r="G10124" s="631" t="s">
        <v>24</v>
      </c>
      <c r="H10124" s="1068">
        <v>-2.3999999999999998E-3</v>
      </c>
      <c r="K10124" s="841" t="s">
        <v>3406</v>
      </c>
      <c r="L10124" s="841" t="s">
        <v>442</v>
      </c>
      <c r="M10124" s="1357"/>
      <c r="P10124" s="841" t="s">
        <v>6408</v>
      </c>
      <c r="Q10124" s="1357"/>
      <c r="S10124" s="1420"/>
      <c r="T10124" s="1420">
        <v>44196</v>
      </c>
      <c r="V10124" s="1357">
        <v>85</v>
      </c>
    </row>
    <row r="10125" spans="1:22" s="841" customFormat="1" ht="15" x14ac:dyDescent="0.25">
      <c r="A10125" s="841" t="s">
        <v>193</v>
      </c>
      <c r="E10125" s="1690" t="s">
        <v>221</v>
      </c>
      <c r="F10125" s="1690"/>
      <c r="G10125" s="631" t="s">
        <v>24</v>
      </c>
      <c r="H10125" s="393">
        <v>5.1999999999999998E-3</v>
      </c>
      <c r="K10125" s="841" t="s">
        <v>3406</v>
      </c>
      <c r="L10125" s="841" t="s">
        <v>444</v>
      </c>
      <c r="M10125" s="1357"/>
      <c r="P10125" s="841" t="s">
        <v>3412</v>
      </c>
      <c r="Q10125" s="1357"/>
      <c r="S10125" s="1420"/>
      <c r="T10125" s="1420"/>
      <c r="V10125" s="1357">
        <v>47</v>
      </c>
    </row>
    <row r="10126" spans="1:22" s="841" customFormat="1" ht="15" x14ac:dyDescent="0.25">
      <c r="A10126" s="841" t="s">
        <v>193</v>
      </c>
      <c r="E10126" s="1690" t="s">
        <v>217</v>
      </c>
      <c r="F10126" s="1690"/>
      <c r="G10126" s="631" t="s">
        <v>24</v>
      </c>
      <c r="H10126" s="393">
        <v>3.3999999999999998E-3</v>
      </c>
      <c r="K10126" s="841" t="s">
        <v>3406</v>
      </c>
      <c r="L10126" s="841" t="s">
        <v>444</v>
      </c>
      <c r="M10126" s="1357"/>
      <c r="P10126" s="841" t="s">
        <v>3413</v>
      </c>
      <c r="Q10126" s="1357"/>
      <c r="S10126" s="1420"/>
      <c r="T10126" s="1420"/>
      <c r="V10126" s="1357">
        <v>74</v>
      </c>
    </row>
    <row r="10127" spans="1:22" s="841" customFormat="1" ht="15" x14ac:dyDescent="0.25">
      <c r="A10127" s="841" t="s">
        <v>193</v>
      </c>
      <c r="E10127" s="1694" t="s">
        <v>3079</v>
      </c>
      <c r="F10127" s="1690"/>
      <c r="G10127" s="1408"/>
      <c r="H10127" s="1408"/>
      <c r="K10127" s="841" t="s">
        <v>3225</v>
      </c>
      <c r="M10127" s="1357"/>
      <c r="Q10127" s="1357"/>
      <c r="S10127" s="1420"/>
      <c r="T10127" s="1420"/>
      <c r="V10127" s="1357">
        <v>48</v>
      </c>
    </row>
    <row r="10128" spans="1:22" s="841" customFormat="1" ht="15" x14ac:dyDescent="0.25">
      <c r="A10128" s="841" t="s">
        <v>193</v>
      </c>
      <c r="E10128" s="1690" t="s">
        <v>2449</v>
      </c>
      <c r="F10128" s="1690"/>
      <c r="G10128" s="631" t="s">
        <v>24</v>
      </c>
      <c r="H10128" s="393">
        <v>3.2000000000000002E-3</v>
      </c>
      <c r="K10128" s="841" t="s">
        <v>3406</v>
      </c>
      <c r="L10128" s="841" t="s">
        <v>3046</v>
      </c>
      <c r="M10128" s="1357"/>
      <c r="P10128" s="841" t="s">
        <v>3414</v>
      </c>
      <c r="Q10128" s="1357"/>
      <c r="S10128" s="1420"/>
      <c r="T10128" s="1420"/>
      <c r="V10128" s="1357">
        <v>55</v>
      </c>
    </row>
    <row r="10129" spans="1:22" s="841" customFormat="1" ht="15" x14ac:dyDescent="0.25">
      <c r="A10129" s="841" t="s">
        <v>193</v>
      </c>
      <c r="E10129" s="1690" t="s">
        <v>2450</v>
      </c>
      <c r="F10129" s="1690"/>
      <c r="G10129" s="631" t="s">
        <v>24</v>
      </c>
      <c r="H10129" s="393">
        <v>4.0000000000000002E-4</v>
      </c>
      <c r="K10129" s="841" t="s">
        <v>3406</v>
      </c>
      <c r="L10129" s="841" t="s">
        <v>3046</v>
      </c>
      <c r="M10129" s="1357"/>
      <c r="P10129" s="841" t="s">
        <v>3414</v>
      </c>
      <c r="Q10129" s="1357"/>
      <c r="S10129" s="1420"/>
      <c r="T10129" s="1420"/>
      <c r="V10129" s="1357">
        <v>65</v>
      </c>
    </row>
    <row r="10130" spans="1:22" s="841" customFormat="1" ht="15" x14ac:dyDescent="0.25">
      <c r="A10130" s="841" t="s">
        <v>193</v>
      </c>
      <c r="E10130" s="1690" t="s">
        <v>439</v>
      </c>
      <c r="F10130" s="1690"/>
      <c r="G10130" s="631" t="s">
        <v>24</v>
      </c>
      <c r="H10130" s="393">
        <v>2.9999999999999997E-4</v>
      </c>
      <c r="K10130" s="841" t="s">
        <v>3406</v>
      </c>
      <c r="L10130" s="841" t="s">
        <v>3046</v>
      </c>
      <c r="M10130" s="1357"/>
      <c r="P10130" s="841" t="s">
        <v>3415</v>
      </c>
      <c r="Q10130" s="1357"/>
      <c r="S10130" s="1420"/>
      <c r="T10130" s="1420"/>
      <c r="V10130" s="1357">
        <v>57</v>
      </c>
    </row>
    <row r="10131" spans="1:22" s="841" customFormat="1" ht="15" x14ac:dyDescent="0.25">
      <c r="A10131" s="841" t="s">
        <v>193</v>
      </c>
      <c r="E10131" s="1690" t="s">
        <v>32</v>
      </c>
      <c r="F10131" s="1690"/>
      <c r="G10131" s="631" t="s">
        <v>23</v>
      </c>
      <c r="H10131" s="391">
        <v>0.25</v>
      </c>
      <c r="K10131" s="841" t="s">
        <v>3406</v>
      </c>
      <c r="L10131" s="841" t="s">
        <v>3046</v>
      </c>
      <c r="M10131" s="1357"/>
      <c r="P10131" s="841" t="s">
        <v>3416</v>
      </c>
      <c r="Q10131" s="1357"/>
      <c r="S10131" s="1420"/>
      <c r="T10131" s="1420"/>
      <c r="V10131" s="1357">
        <v>63</v>
      </c>
    </row>
    <row r="10132" spans="1:22" s="841" customFormat="1" x14ac:dyDescent="0.25">
      <c r="A10132" s="841" t="s">
        <v>193</v>
      </c>
      <c r="E10132" s="1695" t="s">
        <v>615</v>
      </c>
      <c r="F10132" s="1915"/>
      <c r="G10132" s="1915"/>
      <c r="H10132" s="1915"/>
      <c r="K10132" s="841" t="s">
        <v>3417</v>
      </c>
      <c r="M10132" s="1357"/>
      <c r="Q10132" s="1357"/>
      <c r="S10132" s="1420"/>
      <c r="T10132" s="1420"/>
      <c r="V10132" s="1357">
        <v>38</v>
      </c>
    </row>
    <row r="10133" spans="1:22" s="841" customFormat="1" ht="15" x14ac:dyDescent="0.25">
      <c r="A10133" s="841" t="s">
        <v>193</v>
      </c>
      <c r="E10133" s="1689" t="s">
        <v>3930</v>
      </c>
      <c r="F10133" s="1689"/>
      <c r="G10133" s="1689"/>
      <c r="H10133" s="1689"/>
      <c r="K10133" s="841" t="s">
        <v>3417</v>
      </c>
      <c r="M10133" s="1357"/>
      <c r="Q10133" s="1357"/>
      <c r="S10133" s="1420"/>
      <c r="T10133" s="1420"/>
      <c r="V10133" s="1357">
        <v>543</v>
      </c>
    </row>
    <row r="10134" spans="1:22" s="841" customFormat="1" ht="15" x14ac:dyDescent="0.25">
      <c r="A10134" s="841" t="s">
        <v>193</v>
      </c>
      <c r="E10134" s="1696" t="s">
        <v>3061</v>
      </c>
      <c r="F10134" s="1697"/>
      <c r="G10134" s="1697"/>
      <c r="H10134" s="1697"/>
      <c r="K10134" s="841" t="s">
        <v>3107</v>
      </c>
      <c r="M10134" s="1357"/>
      <c r="Q10134" s="1357"/>
      <c r="S10134" s="1420"/>
      <c r="T10134" s="1420"/>
      <c r="V10134" s="1357">
        <v>11</v>
      </c>
    </row>
    <row r="10135" spans="1:22" s="841" customFormat="1" ht="15" x14ac:dyDescent="0.25">
      <c r="A10135" s="841" t="s">
        <v>193</v>
      </c>
      <c r="E10135" s="1689" t="s">
        <v>3063</v>
      </c>
      <c r="F10135" s="1689"/>
      <c r="G10135" s="1689"/>
      <c r="H10135" s="1689"/>
      <c r="K10135" s="841" t="s">
        <v>3417</v>
      </c>
      <c r="M10135" s="1357"/>
      <c r="Q10135" s="1357"/>
      <c r="S10135" s="1420"/>
      <c r="T10135" s="1420"/>
      <c r="V10135" s="1357">
        <v>280</v>
      </c>
    </row>
    <row r="10136" spans="1:22" s="841" customFormat="1" ht="15" x14ac:dyDescent="0.25">
      <c r="A10136" s="841" t="s">
        <v>193</v>
      </c>
      <c r="E10136" s="1689" t="s">
        <v>3064</v>
      </c>
      <c r="F10136" s="1689"/>
      <c r="G10136" s="1689"/>
      <c r="H10136" s="1689"/>
      <c r="K10136" s="841" t="s">
        <v>3417</v>
      </c>
      <c r="M10136" s="1357"/>
      <c r="Q10136" s="1357"/>
      <c r="S10136" s="1420"/>
      <c r="T10136" s="1420"/>
      <c r="V10136" s="1357">
        <v>411</v>
      </c>
    </row>
    <row r="10137" spans="1:22" s="841" customFormat="1" ht="15" x14ac:dyDescent="0.25">
      <c r="A10137" s="841" t="s">
        <v>193</v>
      </c>
      <c r="E10137" s="1689" t="s">
        <v>4019</v>
      </c>
      <c r="F10137" s="1689"/>
      <c r="G10137" s="1689"/>
      <c r="H10137" s="1689"/>
      <c r="K10137" s="841" t="s">
        <v>3417</v>
      </c>
      <c r="M10137" s="1357"/>
      <c r="Q10137" s="1357"/>
      <c r="S10137" s="1420"/>
      <c r="T10137" s="1420"/>
      <c r="V10137" s="1357">
        <v>390</v>
      </c>
    </row>
    <row r="10138" spans="1:22" s="841" customFormat="1" ht="15" x14ac:dyDescent="0.25">
      <c r="A10138" s="841" t="s">
        <v>193</v>
      </c>
      <c r="E10138" s="1689" t="s">
        <v>3390</v>
      </c>
      <c r="F10138" s="1689"/>
      <c r="G10138" s="1689"/>
      <c r="H10138" s="1689"/>
      <c r="K10138" s="841" t="s">
        <v>3417</v>
      </c>
      <c r="M10138" s="1357"/>
      <c r="Q10138" s="1357"/>
      <c r="S10138" s="1420"/>
      <c r="T10138" s="1420"/>
      <c r="V10138" s="1357">
        <v>274</v>
      </c>
    </row>
    <row r="10139" spans="1:22" s="841" customFormat="1" ht="15" x14ac:dyDescent="0.25">
      <c r="A10139" s="841" t="s">
        <v>193</v>
      </c>
      <c r="E10139" s="1692" t="s">
        <v>3067</v>
      </c>
      <c r="F10139" s="1693"/>
      <c r="G10139" s="1693"/>
      <c r="H10139" s="1693"/>
      <c r="K10139" s="841" t="s">
        <v>3108</v>
      </c>
      <c r="M10139" s="1357"/>
      <c r="Q10139" s="1357"/>
      <c r="S10139" s="1420"/>
      <c r="T10139" s="1420"/>
      <c r="V10139" s="1357">
        <v>46</v>
      </c>
    </row>
    <row r="10140" spans="1:22" s="841" customFormat="1" ht="15" x14ac:dyDescent="0.25">
      <c r="A10140" s="841" t="s">
        <v>193</v>
      </c>
      <c r="E10140" s="1690" t="s">
        <v>12</v>
      </c>
      <c r="F10140" s="1690"/>
      <c r="G10140" s="631" t="s">
        <v>23</v>
      </c>
      <c r="H10140" s="391">
        <v>1.98</v>
      </c>
      <c r="K10140" s="841" t="s">
        <v>3417</v>
      </c>
      <c r="L10140" s="841" t="s">
        <v>442</v>
      </c>
      <c r="M10140" s="1357"/>
      <c r="P10140" s="841" t="s">
        <v>3419</v>
      </c>
      <c r="Q10140" s="1357"/>
      <c r="S10140" s="1420"/>
      <c r="T10140" s="1420"/>
      <c r="V10140" s="1357">
        <v>31</v>
      </c>
    </row>
    <row r="10141" spans="1:22" s="841" customFormat="1" ht="15" x14ac:dyDescent="0.25">
      <c r="A10141" s="841" t="s">
        <v>193</v>
      </c>
      <c r="E10141" s="1690" t="s">
        <v>84</v>
      </c>
      <c r="F10141" s="1690"/>
      <c r="G10141" s="631" t="s">
        <v>33</v>
      </c>
      <c r="H10141" s="393">
        <v>4.1649000000000003</v>
      </c>
      <c r="K10141" s="841" t="s">
        <v>3417</v>
      </c>
      <c r="L10141" s="841" t="s">
        <v>442</v>
      </c>
      <c r="M10141" s="1357"/>
      <c r="P10141" s="841" t="s">
        <v>3420</v>
      </c>
      <c r="Q10141" s="1357"/>
      <c r="S10141" s="1420"/>
      <c r="T10141" s="1420"/>
      <c r="V10141" s="1357">
        <v>28</v>
      </c>
    </row>
    <row r="10142" spans="1:22" s="841" customFormat="1" ht="15" x14ac:dyDescent="0.25">
      <c r="A10142" s="841" t="s">
        <v>193</v>
      </c>
      <c r="E10142" s="1690" t="s">
        <v>18</v>
      </c>
      <c r="F10142" s="1690"/>
      <c r="G10142" s="631" t="s">
        <v>33</v>
      </c>
      <c r="H10142" s="393">
        <v>0.58650000000000002</v>
      </c>
      <c r="K10142" s="841" t="s">
        <v>3417</v>
      </c>
      <c r="L10142" s="841" t="s">
        <v>443</v>
      </c>
      <c r="M10142" s="1357"/>
      <c r="P10142" s="841" t="s">
        <v>3552</v>
      </c>
      <c r="Q10142" s="1357"/>
      <c r="S10142" s="1420"/>
      <c r="T10142" s="1420"/>
      <c r="V10142" s="1357">
        <v>24</v>
      </c>
    </row>
    <row r="10143" spans="1:22" s="841" customFormat="1" ht="15" x14ac:dyDescent="0.25">
      <c r="A10143" s="841" t="s">
        <v>193</v>
      </c>
      <c r="E10143" s="1690" t="s">
        <v>4299</v>
      </c>
      <c r="F10143" s="1690"/>
      <c r="G10143" s="631" t="s">
        <v>33</v>
      </c>
      <c r="H10143" s="1068">
        <v>-0.85319999999999996</v>
      </c>
      <c r="K10143" s="841" t="s">
        <v>3417</v>
      </c>
      <c r="L10143" s="841" t="s">
        <v>442</v>
      </c>
      <c r="M10143" s="1357"/>
      <c r="P10143" s="841" t="s">
        <v>6409</v>
      </c>
      <c r="Q10143" s="1357"/>
      <c r="S10143" s="1420"/>
      <c r="T10143" s="1420">
        <v>44196</v>
      </c>
      <c r="V10143" s="1357">
        <v>85</v>
      </c>
    </row>
    <row r="10144" spans="1:22" s="841" customFormat="1" ht="15" x14ac:dyDescent="0.25">
      <c r="A10144" s="841" t="s">
        <v>193</v>
      </c>
      <c r="E10144" s="1690" t="s">
        <v>221</v>
      </c>
      <c r="F10144" s="1690"/>
      <c r="G10144" s="631" t="s">
        <v>33</v>
      </c>
      <c r="H10144" s="393">
        <v>1.5958000000000001</v>
      </c>
      <c r="K10144" s="841" t="s">
        <v>3417</v>
      </c>
      <c r="L10144" s="841" t="s">
        <v>444</v>
      </c>
      <c r="M10144" s="1357"/>
      <c r="P10144" s="841" t="s">
        <v>3424</v>
      </c>
      <c r="Q10144" s="1357"/>
      <c r="S10144" s="1420"/>
      <c r="T10144" s="1420"/>
      <c r="V10144" s="1357">
        <v>47</v>
      </c>
    </row>
    <row r="10145" spans="1:22" s="841" customFormat="1" ht="15" x14ac:dyDescent="0.25">
      <c r="A10145" s="841" t="s">
        <v>193</v>
      </c>
      <c r="E10145" s="1690" t="s">
        <v>217</v>
      </c>
      <c r="F10145" s="1690"/>
      <c r="G10145" s="631" t="s">
        <v>33</v>
      </c>
      <c r="H10145" s="393">
        <v>1.0006999999999999</v>
      </c>
      <c r="K10145" s="841" t="s">
        <v>3417</v>
      </c>
      <c r="L10145" s="841" t="s">
        <v>444</v>
      </c>
      <c r="M10145" s="1357"/>
      <c r="P10145" s="841" t="s">
        <v>3553</v>
      </c>
      <c r="Q10145" s="1357"/>
      <c r="S10145" s="1420"/>
      <c r="T10145" s="1420"/>
      <c r="V10145" s="1357">
        <v>74</v>
      </c>
    </row>
    <row r="10146" spans="1:22" s="841" customFormat="1" ht="15" x14ac:dyDescent="0.25">
      <c r="A10146" s="841" t="s">
        <v>193</v>
      </c>
      <c r="E10146" s="1694" t="s">
        <v>3079</v>
      </c>
      <c r="F10146" s="1690"/>
      <c r="G10146" s="1408"/>
      <c r="H10146" s="1408"/>
      <c r="K10146" s="841" t="s">
        <v>3111</v>
      </c>
      <c r="M10146" s="1357"/>
      <c r="Q10146" s="1357"/>
      <c r="S10146" s="1420"/>
      <c r="T10146" s="1420"/>
      <c r="V10146" s="1357">
        <v>48</v>
      </c>
    </row>
    <row r="10147" spans="1:22" s="841" customFormat="1" ht="15" x14ac:dyDescent="0.25">
      <c r="A10147" s="841" t="s">
        <v>193</v>
      </c>
      <c r="E10147" s="1690" t="s">
        <v>2449</v>
      </c>
      <c r="F10147" s="1690"/>
      <c r="G10147" s="631" t="s">
        <v>24</v>
      </c>
      <c r="H10147" s="393">
        <v>3.2000000000000002E-3</v>
      </c>
      <c r="K10147" s="841" t="s">
        <v>3417</v>
      </c>
      <c r="L10147" s="841" t="s">
        <v>3046</v>
      </c>
      <c r="M10147" s="1357"/>
      <c r="P10147" s="841" t="s">
        <v>3426</v>
      </c>
      <c r="Q10147" s="1357"/>
      <c r="S10147" s="1420"/>
      <c r="T10147" s="1420"/>
      <c r="V10147" s="1357">
        <v>55</v>
      </c>
    </row>
    <row r="10148" spans="1:22" s="841" customFormat="1" ht="15" x14ac:dyDescent="0.25">
      <c r="A10148" s="841" t="s">
        <v>193</v>
      </c>
      <c r="E10148" s="1690" t="s">
        <v>2450</v>
      </c>
      <c r="F10148" s="1690"/>
      <c r="G10148" s="631" t="s">
        <v>24</v>
      </c>
      <c r="H10148" s="393">
        <v>4.0000000000000002E-4</v>
      </c>
      <c r="K10148" s="841" t="s">
        <v>3417</v>
      </c>
      <c r="L10148" s="841" t="s">
        <v>3046</v>
      </c>
      <c r="M10148" s="1357"/>
      <c r="P10148" s="841" t="s">
        <v>3426</v>
      </c>
      <c r="Q10148" s="1357"/>
      <c r="S10148" s="1420"/>
      <c r="T10148" s="1420"/>
      <c r="V10148" s="1357">
        <v>65</v>
      </c>
    </row>
    <row r="10149" spans="1:22" s="841" customFormat="1" ht="15" x14ac:dyDescent="0.25">
      <c r="A10149" s="841" t="s">
        <v>193</v>
      </c>
      <c r="E10149" s="1690" t="s">
        <v>439</v>
      </c>
      <c r="F10149" s="1690"/>
      <c r="G10149" s="631" t="s">
        <v>24</v>
      </c>
      <c r="H10149" s="393">
        <v>2.9999999999999997E-4</v>
      </c>
      <c r="K10149" s="841" t="s">
        <v>3417</v>
      </c>
      <c r="L10149" s="841" t="s">
        <v>3046</v>
      </c>
      <c r="M10149" s="1357"/>
      <c r="P10149" s="841" t="s">
        <v>3427</v>
      </c>
      <c r="Q10149" s="1357"/>
      <c r="S10149" s="1420"/>
      <c r="T10149" s="1420"/>
      <c r="V10149" s="1357">
        <v>57</v>
      </c>
    </row>
    <row r="10150" spans="1:22" s="841" customFormat="1" ht="15" x14ac:dyDescent="0.25">
      <c r="A10150" s="841" t="s">
        <v>193</v>
      </c>
      <c r="E10150" s="1690" t="s">
        <v>32</v>
      </c>
      <c r="F10150" s="1690"/>
      <c r="G10150" s="631" t="s">
        <v>23</v>
      </c>
      <c r="H10150" s="391">
        <v>0.25</v>
      </c>
      <c r="K10150" s="841" t="s">
        <v>3417</v>
      </c>
      <c r="L10150" s="841" t="s">
        <v>3046</v>
      </c>
      <c r="M10150" s="1357"/>
      <c r="P10150" s="841" t="s">
        <v>3428</v>
      </c>
      <c r="Q10150" s="1357"/>
      <c r="S10150" s="1420"/>
      <c r="T10150" s="1420"/>
      <c r="V10150" s="1357">
        <v>63</v>
      </c>
    </row>
    <row r="10151" spans="1:22" s="841" customFormat="1" x14ac:dyDescent="0.25">
      <c r="A10151" s="841" t="s">
        <v>193</v>
      </c>
      <c r="E10151" s="1695" t="s">
        <v>618</v>
      </c>
      <c r="F10151" s="1915"/>
      <c r="G10151" s="1915"/>
      <c r="H10151" s="1915"/>
      <c r="K10151" s="841" t="s">
        <v>3371</v>
      </c>
      <c r="M10151" s="1357"/>
      <c r="Q10151" s="1357"/>
      <c r="S10151" s="1420"/>
      <c r="T10151" s="1420"/>
      <c r="V10151" s="1357">
        <v>31</v>
      </c>
    </row>
    <row r="10152" spans="1:22" s="841" customFormat="1" ht="15" x14ac:dyDescent="0.25">
      <c r="A10152" s="841" t="s">
        <v>193</v>
      </c>
      <c r="E10152" s="1689" t="s">
        <v>3127</v>
      </c>
      <c r="F10152" s="1689"/>
      <c r="G10152" s="1689"/>
      <c r="H10152" s="1689"/>
      <c r="K10152" s="841" t="s">
        <v>3371</v>
      </c>
      <c r="M10152" s="1357"/>
      <c r="Q10152" s="1357"/>
      <c r="S10152" s="1420"/>
      <c r="T10152" s="1420"/>
      <c r="V10152" s="1357">
        <v>286</v>
      </c>
    </row>
    <row r="10153" spans="1:22" s="841" customFormat="1" ht="15" x14ac:dyDescent="0.25">
      <c r="A10153" s="841" t="s">
        <v>193</v>
      </c>
      <c r="E10153" s="1696" t="s">
        <v>3061</v>
      </c>
      <c r="F10153" s="1697"/>
      <c r="G10153" s="1697"/>
      <c r="H10153" s="1697"/>
      <c r="K10153" s="841" t="s">
        <v>3114</v>
      </c>
      <c r="M10153" s="1357"/>
      <c r="Q10153" s="1357"/>
      <c r="S10153" s="1420"/>
      <c r="T10153" s="1420"/>
      <c r="V10153" s="1357">
        <v>11</v>
      </c>
    </row>
    <row r="10154" spans="1:22" s="841" customFormat="1" ht="15" x14ac:dyDescent="0.25">
      <c r="A10154" s="841" t="s">
        <v>193</v>
      </c>
      <c r="E10154" s="1689" t="s">
        <v>3063</v>
      </c>
      <c r="F10154" s="1689"/>
      <c r="G10154" s="1689"/>
      <c r="H10154" s="1689"/>
      <c r="K10154" s="841" t="s">
        <v>3371</v>
      </c>
      <c r="M10154" s="1357"/>
      <c r="Q10154" s="1357"/>
      <c r="S10154" s="1420"/>
      <c r="T10154" s="1420"/>
      <c r="V10154" s="1357">
        <v>280</v>
      </c>
    </row>
    <row r="10155" spans="1:22" s="841" customFormat="1" ht="15" x14ac:dyDescent="0.25">
      <c r="A10155" s="841" t="s">
        <v>193</v>
      </c>
      <c r="E10155" s="1689" t="s">
        <v>3064</v>
      </c>
      <c r="F10155" s="1689"/>
      <c r="G10155" s="1689"/>
      <c r="H10155" s="1689"/>
      <c r="K10155" s="841" t="s">
        <v>3371</v>
      </c>
      <c r="M10155" s="1357"/>
      <c r="Q10155" s="1357"/>
      <c r="S10155" s="1420"/>
      <c r="T10155" s="1420"/>
      <c r="V10155" s="1357">
        <v>411</v>
      </c>
    </row>
    <row r="10156" spans="1:22" s="841" customFormat="1" ht="15" x14ac:dyDescent="0.25">
      <c r="A10156" s="841" t="s">
        <v>193</v>
      </c>
      <c r="E10156" s="1689" t="s">
        <v>4301</v>
      </c>
      <c r="F10156" s="1689"/>
      <c r="G10156" s="1689"/>
      <c r="H10156" s="1689"/>
      <c r="K10156" s="841" t="s">
        <v>3371</v>
      </c>
      <c r="M10156" s="1357"/>
      <c r="Q10156" s="1357"/>
      <c r="S10156" s="1420"/>
      <c r="T10156" s="1420"/>
      <c r="V10156" s="1357">
        <v>212</v>
      </c>
    </row>
    <row r="10157" spans="1:22" s="841" customFormat="1" ht="15" x14ac:dyDescent="0.25">
      <c r="A10157" s="841" t="s">
        <v>193</v>
      </c>
      <c r="E10157" s="1689" t="s">
        <v>3390</v>
      </c>
      <c r="F10157" s="1689"/>
      <c r="G10157" s="1689"/>
      <c r="H10157" s="1689"/>
      <c r="K10157" s="841" t="s">
        <v>3371</v>
      </c>
      <c r="M10157" s="1357"/>
      <c r="Q10157" s="1357"/>
      <c r="S10157" s="1420"/>
      <c r="T10157" s="1420"/>
      <c r="V10157" s="1357">
        <v>274</v>
      </c>
    </row>
    <row r="10158" spans="1:22" s="841" customFormat="1" ht="15" x14ac:dyDescent="0.25">
      <c r="A10158" s="841" t="s">
        <v>193</v>
      </c>
      <c r="E10158" s="1692" t="s">
        <v>3067</v>
      </c>
      <c r="F10158" s="1693"/>
      <c r="G10158" s="1693"/>
      <c r="H10158" s="1693"/>
      <c r="K10158" s="841" t="s">
        <v>3115</v>
      </c>
      <c r="M10158" s="1357"/>
      <c r="Q10158" s="1357"/>
      <c r="S10158" s="1420"/>
      <c r="T10158" s="1420"/>
      <c r="V10158" s="1357">
        <v>46</v>
      </c>
    </row>
    <row r="10159" spans="1:22" s="841" customFormat="1" ht="15" x14ac:dyDescent="0.25">
      <c r="A10159" s="841" t="s">
        <v>193</v>
      </c>
      <c r="E10159" s="1690" t="s">
        <v>11</v>
      </c>
      <c r="F10159" s="1690"/>
      <c r="G10159" s="631" t="s">
        <v>23</v>
      </c>
      <c r="H10159" s="391">
        <v>10</v>
      </c>
      <c r="K10159" s="841" t="s">
        <v>3371</v>
      </c>
      <c r="L10159" s="841" t="s">
        <v>442</v>
      </c>
      <c r="M10159" s="1357"/>
      <c r="P10159" s="841" t="s">
        <v>3373</v>
      </c>
      <c r="Q10159" s="1357"/>
      <c r="S10159" s="1420"/>
      <c r="T10159" s="1420"/>
      <c r="V10159" s="1357">
        <v>14</v>
      </c>
    </row>
    <row r="10160" spans="1:22" s="841" customFormat="1" ht="18.75" x14ac:dyDescent="0.3">
      <c r="A10160" s="841" t="s">
        <v>193</v>
      </c>
      <c r="E10160" s="1405" t="s">
        <v>85</v>
      </c>
      <c r="F10160" s="657"/>
      <c r="G10160" s="657"/>
      <c r="H10160" s="657"/>
      <c r="K10160" s="841" t="s">
        <v>4302</v>
      </c>
      <c r="M10160" s="1357"/>
      <c r="Q10160" s="1357"/>
      <c r="S10160" s="1420"/>
      <c r="T10160" s="1420"/>
      <c r="V10160" s="1357">
        <v>10</v>
      </c>
    </row>
    <row r="10161" spans="1:22" s="841" customFormat="1" ht="15" x14ac:dyDescent="0.25">
      <c r="A10161" s="841" t="s">
        <v>193</v>
      </c>
      <c r="E10161" s="1690" t="s">
        <v>3133</v>
      </c>
      <c r="F10161" s="1690"/>
      <c r="G10161" s="1408" t="s">
        <v>33</v>
      </c>
      <c r="H10161" s="393">
        <v>-0.6</v>
      </c>
      <c r="M10161" s="1357"/>
      <c r="Q10161" s="1357"/>
      <c r="S10161" s="1420"/>
      <c r="T10161" s="1420"/>
      <c r="V10161" s="1357">
        <v>68</v>
      </c>
    </row>
    <row r="10162" spans="1:22" s="841" customFormat="1" ht="15" x14ac:dyDescent="0.25">
      <c r="A10162" s="841" t="s">
        <v>193</v>
      </c>
      <c r="E10162" s="1690" t="s">
        <v>3134</v>
      </c>
      <c r="F10162" s="1690"/>
      <c r="G10162" s="1408" t="s">
        <v>86</v>
      </c>
      <c r="H10162" s="391">
        <v>-1</v>
      </c>
      <c r="M10162" s="1357"/>
      <c r="Q10162" s="1357"/>
      <c r="S10162" s="1420"/>
      <c r="T10162" s="1420"/>
      <c r="V10162" s="1357">
        <v>87</v>
      </c>
    </row>
    <row r="10163" spans="1:22" s="841" customFormat="1" ht="18.75" x14ac:dyDescent="0.3">
      <c r="A10163" s="841" t="s">
        <v>193</v>
      </c>
      <c r="E10163" s="1405" t="s">
        <v>87</v>
      </c>
      <c r="F10163" s="657"/>
      <c r="G10163" s="657"/>
      <c r="H10163" s="657"/>
      <c r="K10163" s="841" t="s">
        <v>4303</v>
      </c>
      <c r="M10163" s="1357"/>
      <c r="Q10163" s="1357"/>
      <c r="S10163" s="1420"/>
      <c r="T10163" s="1420"/>
      <c r="V10163" s="1357">
        <v>24</v>
      </c>
    </row>
    <row r="10164" spans="1:22" s="841" customFormat="1" ht="15" x14ac:dyDescent="0.25">
      <c r="A10164" s="841" t="s">
        <v>193</v>
      </c>
      <c r="E10164" s="1689" t="s">
        <v>3063</v>
      </c>
      <c r="F10164" s="1689"/>
      <c r="G10164" s="1689"/>
      <c r="H10164" s="1689"/>
      <c r="M10164" s="1357"/>
      <c r="Q10164" s="1357"/>
      <c r="S10164" s="1420"/>
      <c r="T10164" s="1420"/>
      <c r="V10164" s="1357">
        <v>280</v>
      </c>
    </row>
    <row r="10165" spans="1:22" s="841" customFormat="1" ht="15" x14ac:dyDescent="0.25">
      <c r="A10165" s="841" t="s">
        <v>193</v>
      </c>
      <c r="E10165" s="1689" t="s">
        <v>4129</v>
      </c>
      <c r="F10165" s="1689"/>
      <c r="G10165" s="1689"/>
      <c r="H10165" s="1689"/>
      <c r="M10165" s="1357"/>
      <c r="Q10165" s="1357"/>
      <c r="S10165" s="1420"/>
      <c r="T10165" s="1420"/>
      <c r="V10165" s="1357">
        <v>355</v>
      </c>
    </row>
    <row r="10166" spans="1:22" s="841" customFormat="1" ht="15" x14ac:dyDescent="0.25">
      <c r="A10166" s="841" t="s">
        <v>193</v>
      </c>
      <c r="E10166" s="1689" t="s">
        <v>3200</v>
      </c>
      <c r="F10166" s="1689"/>
      <c r="G10166" s="1689"/>
      <c r="H10166" s="1689"/>
      <c r="M10166" s="1357"/>
      <c r="Q10166" s="1357"/>
      <c r="S10166" s="1420"/>
      <c r="T10166" s="1420"/>
      <c r="V10166" s="1357">
        <v>275</v>
      </c>
    </row>
    <row r="10167" spans="1:22" s="841" customFormat="1" ht="15" x14ac:dyDescent="0.25">
      <c r="A10167" s="841" t="s">
        <v>193</v>
      </c>
      <c r="E10167" s="1390" t="s">
        <v>3137</v>
      </c>
      <c r="F10167" s="3"/>
      <c r="G10167" s="3"/>
      <c r="H10167" s="3"/>
      <c r="K10167" s="841" t="s">
        <v>4304</v>
      </c>
      <c r="M10167" s="1357"/>
      <c r="Q10167" s="1357"/>
      <c r="S10167" s="1420"/>
      <c r="T10167" s="1420"/>
      <c r="V10167" s="1357">
        <v>23</v>
      </c>
    </row>
    <row r="10168" spans="1:22" s="841" customFormat="1" ht="15" x14ac:dyDescent="0.25">
      <c r="A10168" s="841" t="s">
        <v>193</v>
      </c>
      <c r="E10168" s="1688" t="s">
        <v>4770</v>
      </c>
      <c r="F10168" s="1688"/>
      <c r="G10168" s="1408" t="s">
        <v>23</v>
      </c>
      <c r="H10168" s="391">
        <v>15</v>
      </c>
      <c r="M10168" s="1357"/>
      <c r="Q10168" s="1357"/>
      <c r="S10168" s="1420"/>
      <c r="T10168" s="1420"/>
      <c r="V10168" s="1357">
        <v>15</v>
      </c>
    </row>
    <row r="10169" spans="1:22" s="841" customFormat="1" ht="15" x14ac:dyDescent="0.25">
      <c r="A10169" s="841" t="s">
        <v>193</v>
      </c>
      <c r="E10169" s="1688" t="s">
        <v>3147</v>
      </c>
      <c r="F10169" s="1688"/>
      <c r="G10169" s="1408" t="s">
        <v>23</v>
      </c>
      <c r="H10169" s="391">
        <v>15</v>
      </c>
      <c r="M10169" s="1357"/>
      <c r="Q10169" s="1357"/>
      <c r="S10169" s="1420"/>
      <c r="T10169" s="1420"/>
      <c r="V10169" s="1357">
        <v>15</v>
      </c>
    </row>
    <row r="10170" spans="1:22" s="841" customFormat="1" ht="15" x14ac:dyDescent="0.25">
      <c r="A10170" s="841" t="s">
        <v>193</v>
      </c>
      <c r="E10170" s="1688" t="s">
        <v>3355</v>
      </c>
      <c r="F10170" s="1688"/>
      <c r="G10170" s="1408" t="s">
        <v>23</v>
      </c>
      <c r="H10170" s="391">
        <v>15</v>
      </c>
      <c r="M10170" s="1357"/>
      <c r="Q10170" s="1357"/>
      <c r="S10170" s="1420"/>
      <c r="T10170" s="1420"/>
      <c r="V10170" s="1357">
        <v>19</v>
      </c>
    </row>
    <row r="10171" spans="1:22" s="841" customFormat="1" ht="15" x14ac:dyDescent="0.25">
      <c r="A10171" s="841" t="s">
        <v>193</v>
      </c>
      <c r="E10171" s="1688" t="s">
        <v>88</v>
      </c>
      <c r="F10171" s="1688"/>
      <c r="G10171" s="1408" t="s">
        <v>23</v>
      </c>
      <c r="H10171" s="391">
        <v>30</v>
      </c>
      <c r="M10171" s="1357"/>
      <c r="Q10171" s="1357"/>
      <c r="S10171" s="1420"/>
      <c r="T10171" s="1420"/>
      <c r="V10171" s="1357">
        <v>89</v>
      </c>
    </row>
    <row r="10172" spans="1:22" s="841" customFormat="1" ht="15" x14ac:dyDescent="0.25">
      <c r="A10172" s="841" t="s">
        <v>193</v>
      </c>
      <c r="E10172" s="1688" t="s">
        <v>123</v>
      </c>
      <c r="F10172" s="1688"/>
      <c r="G10172" s="1408" t="s">
        <v>23</v>
      </c>
      <c r="H10172" s="391">
        <v>15</v>
      </c>
      <c r="M10172" s="1357"/>
      <c r="Q10172" s="1357"/>
      <c r="S10172" s="1420"/>
      <c r="T10172" s="1420"/>
      <c r="V10172" s="1357">
        <v>35</v>
      </c>
    </row>
    <row r="10173" spans="1:22" s="841" customFormat="1" ht="15" x14ac:dyDescent="0.25">
      <c r="A10173" s="841" t="s">
        <v>193</v>
      </c>
      <c r="E10173" s="1390" t="s">
        <v>3152</v>
      </c>
      <c r="F10173" s="3"/>
      <c r="G10173" s="3"/>
      <c r="H10173" s="3"/>
      <c r="K10173" s="841" t="s">
        <v>4305</v>
      </c>
      <c r="M10173" s="1357"/>
      <c r="Q10173" s="1357"/>
      <c r="S10173" s="1420"/>
      <c r="T10173" s="1420"/>
      <c r="V10173" s="1357">
        <v>22</v>
      </c>
    </row>
    <row r="10174" spans="1:22" s="841" customFormat="1" ht="15" x14ac:dyDescent="0.25">
      <c r="A10174" s="841" t="s">
        <v>193</v>
      </c>
      <c r="E10174" s="1688" t="s">
        <v>5137</v>
      </c>
      <c r="F10174" s="1688"/>
      <c r="G10174" s="1408" t="s">
        <v>86</v>
      </c>
      <c r="H10174" s="391">
        <v>1.5</v>
      </c>
      <c r="M10174" s="1357"/>
      <c r="Q10174" s="1357"/>
      <c r="S10174" s="1420"/>
      <c r="T10174" s="1420"/>
      <c r="V10174" s="1357">
        <v>24</v>
      </c>
    </row>
    <row r="10175" spans="1:22" s="841" customFormat="1" ht="15" x14ac:dyDescent="0.25">
      <c r="A10175" s="841" t="s">
        <v>193</v>
      </c>
      <c r="E10175" s="1688" t="s">
        <v>5765</v>
      </c>
      <c r="F10175" s="1688"/>
      <c r="G10175" s="1408" t="s">
        <v>86</v>
      </c>
      <c r="H10175" s="391">
        <v>19.559999999999999</v>
      </c>
      <c r="M10175" s="1357"/>
      <c r="Q10175" s="1357"/>
      <c r="S10175" s="1420"/>
      <c r="T10175" s="1420"/>
      <c r="V10175" s="1357">
        <v>31</v>
      </c>
    </row>
    <row r="10176" spans="1:22" s="841" customFormat="1" ht="15" x14ac:dyDescent="0.25">
      <c r="A10176" s="841" t="s">
        <v>193</v>
      </c>
      <c r="E10176" s="1688" t="s">
        <v>3288</v>
      </c>
      <c r="F10176" s="1688"/>
      <c r="G10176" s="1408" t="s">
        <v>23</v>
      </c>
      <c r="H10176" s="391">
        <v>30</v>
      </c>
      <c r="M10176" s="1357"/>
      <c r="Q10176" s="1357"/>
      <c r="S10176" s="1420"/>
      <c r="T10176" s="1420"/>
      <c r="V10176" s="1357">
        <v>47</v>
      </c>
    </row>
    <row r="10177" spans="1:22" s="841" customFormat="1" ht="15" x14ac:dyDescent="0.25">
      <c r="A10177" s="841" t="s">
        <v>193</v>
      </c>
      <c r="E10177" s="1688" t="s">
        <v>4773</v>
      </c>
      <c r="F10177" s="1688"/>
      <c r="G10177" s="1408" t="s">
        <v>23</v>
      </c>
      <c r="H10177" s="391">
        <v>65</v>
      </c>
      <c r="M10177" s="1357"/>
      <c r="Q10177" s="1357"/>
      <c r="S10177" s="1420"/>
      <c r="T10177" s="1420"/>
      <c r="V10177" s="1357">
        <v>52</v>
      </c>
    </row>
    <row r="10178" spans="1:22" s="841" customFormat="1" ht="15" x14ac:dyDescent="0.25">
      <c r="A10178" s="841" t="s">
        <v>193</v>
      </c>
      <c r="E10178" s="1390" t="s">
        <v>3164</v>
      </c>
      <c r="F10178" s="3"/>
      <c r="G10178" s="3"/>
      <c r="H10178" s="3"/>
      <c r="M10178" s="1357"/>
      <c r="Q10178" s="1357"/>
      <c r="S10178" s="1420"/>
      <c r="T10178" s="1420"/>
      <c r="V10178" s="1357">
        <v>5</v>
      </c>
    </row>
    <row r="10179" spans="1:22" s="841" customFormat="1" ht="15" x14ac:dyDescent="0.25">
      <c r="A10179" s="841" t="s">
        <v>193</v>
      </c>
      <c r="E10179" s="1688" t="s">
        <v>3502</v>
      </c>
      <c r="F10179" s="1688"/>
      <c r="G10179" s="1408" t="s">
        <v>23</v>
      </c>
      <c r="H10179" s="391">
        <v>22.35</v>
      </c>
      <c r="M10179" s="1357"/>
      <c r="Q10179" s="1357"/>
      <c r="S10179" s="1420"/>
      <c r="T10179" s="1420"/>
      <c r="V10179" s="1357">
        <v>104</v>
      </c>
    </row>
    <row r="10180" spans="1:22" s="841" customFormat="1" ht="18.75" x14ac:dyDescent="0.3">
      <c r="A10180" s="841" t="s">
        <v>193</v>
      </c>
      <c r="E10180" s="1405" t="s">
        <v>77</v>
      </c>
      <c r="F10180" s="657"/>
      <c r="G10180" s="657"/>
      <c r="H10180" s="657"/>
      <c r="K10180" s="841" t="s">
        <v>4306</v>
      </c>
      <c r="M10180" s="1357"/>
      <c r="Q10180" s="1357"/>
      <c r="S10180" s="1420"/>
      <c r="T10180" s="1420"/>
      <c r="V10180" s="1357">
        <v>38</v>
      </c>
    </row>
    <row r="10181" spans="1:22" s="841" customFormat="1" ht="15" x14ac:dyDescent="0.25">
      <c r="A10181" s="841" t="s">
        <v>193</v>
      </c>
      <c r="E10181" s="1689" t="s">
        <v>4135</v>
      </c>
      <c r="F10181" s="1689"/>
      <c r="G10181" s="1689"/>
      <c r="H10181" s="1689"/>
      <c r="M10181" s="1357"/>
      <c r="Q10181" s="1357"/>
      <c r="S10181" s="1420"/>
      <c r="T10181" s="1420"/>
      <c r="V10181" s="1357">
        <v>281</v>
      </c>
    </row>
    <row r="10182" spans="1:22" s="841" customFormat="1" ht="15" x14ac:dyDescent="0.25">
      <c r="A10182" s="841" t="s">
        <v>193</v>
      </c>
      <c r="E10182" s="1689" t="s">
        <v>4136</v>
      </c>
      <c r="F10182" s="1689"/>
      <c r="G10182" s="1689"/>
      <c r="H10182" s="1689"/>
      <c r="M10182" s="1357"/>
      <c r="Q10182" s="1357"/>
      <c r="S10182" s="1420"/>
      <c r="T10182" s="1420"/>
      <c r="V10182" s="1357">
        <v>414</v>
      </c>
    </row>
    <row r="10183" spans="1:22" s="841" customFormat="1" ht="15" x14ac:dyDescent="0.25">
      <c r="A10183" s="841" t="s">
        <v>193</v>
      </c>
      <c r="E10183" s="1689" t="s">
        <v>3129</v>
      </c>
      <c r="F10183" s="1689"/>
      <c r="G10183" s="1689"/>
      <c r="H10183" s="1689"/>
      <c r="M10183" s="1357"/>
      <c r="Q10183" s="1357"/>
      <c r="S10183" s="1420"/>
      <c r="T10183" s="1420"/>
      <c r="V10183" s="1357">
        <v>211</v>
      </c>
    </row>
    <row r="10184" spans="1:22" s="841" customFormat="1" ht="15" x14ac:dyDescent="0.25">
      <c r="A10184" s="841" t="s">
        <v>193</v>
      </c>
      <c r="E10184" s="1689" t="s">
        <v>4137</v>
      </c>
      <c r="F10184" s="1689"/>
      <c r="G10184" s="1689"/>
      <c r="H10184" s="1689"/>
      <c r="M10184" s="1357"/>
      <c r="Q10184" s="1357"/>
      <c r="S10184" s="1420"/>
      <c r="T10184" s="1420"/>
      <c r="V10184" s="1357">
        <v>277</v>
      </c>
    </row>
    <row r="10185" spans="1:22" s="841" customFormat="1" ht="15" x14ac:dyDescent="0.25">
      <c r="A10185" s="841" t="s">
        <v>193</v>
      </c>
      <c r="E10185" s="1689" t="s">
        <v>3291</v>
      </c>
      <c r="F10185" s="1689"/>
      <c r="G10185" s="1689"/>
      <c r="H10185" s="1689"/>
      <c r="M10185" s="1357"/>
      <c r="Q10185" s="1357"/>
      <c r="S10185" s="1420"/>
      <c r="T10185" s="1420"/>
      <c r="V10185" s="1357">
        <v>142</v>
      </c>
    </row>
    <row r="10186" spans="1:22" s="841" customFormat="1" ht="15" x14ac:dyDescent="0.25">
      <c r="A10186" s="841" t="s">
        <v>193</v>
      </c>
      <c r="E10186" s="1690" t="s">
        <v>3176</v>
      </c>
      <c r="F10186" s="1690"/>
      <c r="G10186" s="397" t="s">
        <v>23</v>
      </c>
      <c r="H10186" s="391">
        <v>100</v>
      </c>
      <c r="M10186" s="1357"/>
      <c r="Q10186" s="1357"/>
      <c r="S10186" s="1420"/>
      <c r="T10186" s="1420"/>
      <c r="V10186" s="1357">
        <v>106</v>
      </c>
    </row>
    <row r="10187" spans="1:22" s="841" customFormat="1" ht="15" x14ac:dyDescent="0.25">
      <c r="A10187" s="841" t="s">
        <v>193</v>
      </c>
      <c r="E10187" s="1690" t="s">
        <v>5140</v>
      </c>
      <c r="F10187" s="1690"/>
      <c r="G10187" s="397" t="s">
        <v>23</v>
      </c>
      <c r="H10187" s="391">
        <v>20</v>
      </c>
      <c r="M10187" s="1357"/>
      <c r="Q10187" s="1357"/>
      <c r="S10187" s="1420"/>
      <c r="T10187" s="1420"/>
      <c r="V10187" s="1357">
        <v>34</v>
      </c>
    </row>
    <row r="10188" spans="1:22" s="841" customFormat="1" ht="15" x14ac:dyDescent="0.25">
      <c r="A10188" s="841" t="s">
        <v>193</v>
      </c>
      <c r="E10188" s="1690" t="s">
        <v>5141</v>
      </c>
      <c r="F10188" s="1690"/>
      <c r="G10188" s="397" t="s">
        <v>3179</v>
      </c>
      <c r="H10188" s="391">
        <v>0.5</v>
      </c>
      <c r="M10188" s="1357"/>
      <c r="Q10188" s="1357"/>
      <c r="S10188" s="1420"/>
      <c r="T10188" s="1420"/>
      <c r="V10188" s="1357">
        <v>51</v>
      </c>
    </row>
    <row r="10189" spans="1:22" s="841" customFormat="1" ht="15" x14ac:dyDescent="0.25">
      <c r="A10189" s="841" t="s">
        <v>193</v>
      </c>
      <c r="E10189" s="1690" t="s">
        <v>3180</v>
      </c>
      <c r="F10189" s="1690"/>
      <c r="G10189" s="397" t="s">
        <v>3179</v>
      </c>
      <c r="H10189" s="391">
        <v>0.3</v>
      </c>
      <c r="M10189" s="1357"/>
      <c r="Q10189" s="1357"/>
      <c r="S10189" s="1420"/>
      <c r="T10189" s="1420"/>
      <c r="V10189" s="1357">
        <v>75</v>
      </c>
    </row>
    <row r="10190" spans="1:22" s="841" customFormat="1" ht="15" x14ac:dyDescent="0.25">
      <c r="A10190" s="841" t="s">
        <v>193</v>
      </c>
      <c r="E10190" s="1690" t="s">
        <v>3181</v>
      </c>
      <c r="F10190" s="1690"/>
      <c r="G10190" s="397" t="s">
        <v>3179</v>
      </c>
      <c r="H10190" s="391">
        <v>-0.3</v>
      </c>
      <c r="M10190" s="1357"/>
      <c r="Q10190" s="1357"/>
      <c r="S10190" s="1420"/>
      <c r="T10190" s="1420"/>
      <c r="V10190" s="1357">
        <v>72</v>
      </c>
    </row>
    <row r="10191" spans="1:22" s="841" customFormat="1" ht="15" x14ac:dyDescent="0.25">
      <c r="A10191" s="841" t="s">
        <v>193</v>
      </c>
      <c r="E10191" s="1690" t="s">
        <v>3182</v>
      </c>
      <c r="F10191" s="1690"/>
      <c r="G10191" s="397"/>
      <c r="H10191" s="392"/>
      <c r="M10191" s="1357"/>
      <c r="Q10191" s="1357"/>
      <c r="S10191" s="1420"/>
      <c r="T10191" s="1420"/>
      <c r="V10191" s="1357">
        <v>35</v>
      </c>
    </row>
    <row r="10192" spans="1:22" s="841" customFormat="1" ht="15" x14ac:dyDescent="0.25">
      <c r="A10192" s="841" t="s">
        <v>193</v>
      </c>
      <c r="E10192" s="1691" t="s">
        <v>3183</v>
      </c>
      <c r="F10192" s="1691"/>
      <c r="G10192" s="397" t="s">
        <v>23</v>
      </c>
      <c r="H10192" s="391">
        <v>0.25</v>
      </c>
      <c r="M10192" s="1357"/>
      <c r="Q10192" s="1357"/>
      <c r="S10192" s="1420"/>
      <c r="T10192" s="1420"/>
      <c r="V10192" s="1357">
        <v>57</v>
      </c>
    </row>
    <row r="10193" spans="1:22" s="841" customFormat="1" ht="15" x14ac:dyDescent="0.25">
      <c r="A10193" s="841" t="s">
        <v>193</v>
      </c>
      <c r="E10193" s="1691" t="s">
        <v>3184</v>
      </c>
      <c r="F10193" s="1691"/>
      <c r="G10193" s="397" t="s">
        <v>23</v>
      </c>
      <c r="H10193" s="391">
        <v>0.5</v>
      </c>
      <c r="M10193" s="1357"/>
      <c r="Q10193" s="1357"/>
      <c r="S10193" s="1420"/>
      <c r="T10193" s="1420"/>
      <c r="V10193" s="1357">
        <v>60</v>
      </c>
    </row>
    <row r="10194" spans="1:22" s="841" customFormat="1" ht="15" x14ac:dyDescent="0.25">
      <c r="A10194" s="841" t="s">
        <v>193</v>
      </c>
      <c r="E10194" s="1690" t="s">
        <v>3185</v>
      </c>
      <c r="F10194" s="1690"/>
      <c r="G10194" s="397"/>
      <c r="H10194" s="392"/>
      <c r="M10194" s="1357"/>
      <c r="Q10194" s="1357"/>
      <c r="S10194" s="1420"/>
      <c r="T10194" s="1420"/>
      <c r="V10194" s="1357">
        <v>91</v>
      </c>
    </row>
    <row r="10195" spans="1:22" s="841" customFormat="1" ht="15" x14ac:dyDescent="0.25">
      <c r="A10195" s="841" t="s">
        <v>193</v>
      </c>
      <c r="E10195" s="1690" t="s">
        <v>3186</v>
      </c>
      <c r="F10195" s="1690"/>
      <c r="G10195" s="397"/>
      <c r="H10195" s="392"/>
      <c r="M10195" s="1357"/>
      <c r="Q10195" s="1357"/>
      <c r="S10195" s="1420"/>
      <c r="T10195" s="1420"/>
      <c r="V10195" s="1357">
        <v>96</v>
      </c>
    </row>
    <row r="10196" spans="1:22" s="841" customFormat="1" ht="15" x14ac:dyDescent="0.25">
      <c r="A10196" s="841" t="s">
        <v>193</v>
      </c>
      <c r="E10196" s="1690" t="s">
        <v>3187</v>
      </c>
      <c r="F10196" s="1690"/>
      <c r="G10196" s="397"/>
      <c r="H10196" s="392"/>
      <c r="M10196" s="1357"/>
      <c r="Q10196" s="1357"/>
      <c r="S10196" s="1420"/>
      <c r="T10196" s="1420"/>
      <c r="V10196" s="1357">
        <v>78</v>
      </c>
    </row>
    <row r="10197" spans="1:22" s="841" customFormat="1" ht="15" x14ac:dyDescent="0.25">
      <c r="A10197" s="841" t="s">
        <v>193</v>
      </c>
      <c r="E10197" s="1691" t="s">
        <v>3188</v>
      </c>
      <c r="F10197" s="1691"/>
      <c r="G10197" s="397" t="s">
        <v>23</v>
      </c>
      <c r="H10197" s="392" t="s">
        <v>3189</v>
      </c>
      <c r="M10197" s="1357"/>
      <c r="Q10197" s="1357"/>
      <c r="S10197" s="1420"/>
      <c r="T10197" s="1420"/>
      <c r="V10197" s="1357">
        <v>18</v>
      </c>
    </row>
    <row r="10198" spans="1:22" s="841" customFormat="1" ht="15" x14ac:dyDescent="0.25">
      <c r="A10198" s="841" t="s">
        <v>193</v>
      </c>
      <c r="E10198" s="1691" t="s">
        <v>3190</v>
      </c>
      <c r="F10198" s="1691"/>
      <c r="G10198" s="397" t="s">
        <v>23</v>
      </c>
      <c r="H10198" s="391">
        <v>2</v>
      </c>
      <c r="M10198" s="1357"/>
      <c r="Q10198" s="1357"/>
      <c r="S10198" s="1420"/>
      <c r="T10198" s="1420"/>
      <c r="V10198" s="1357">
        <v>69</v>
      </c>
    </row>
    <row r="10199" spans="1:22" s="841" customFormat="1" ht="18.75" x14ac:dyDescent="0.3">
      <c r="A10199" s="841" t="s">
        <v>193</v>
      </c>
      <c r="E10199" s="1405" t="s">
        <v>147</v>
      </c>
      <c r="F10199" s="657"/>
      <c r="G10199" s="657"/>
      <c r="H10199" s="657"/>
      <c r="K10199" s="841" t="s">
        <v>4307</v>
      </c>
      <c r="M10199" s="1357"/>
      <c r="Q10199" s="1357"/>
      <c r="S10199" s="1420"/>
      <c r="T10199" s="1420"/>
      <c r="V10199" s="1357">
        <v>12</v>
      </c>
    </row>
    <row r="10200" spans="1:22" s="841" customFormat="1" ht="15" x14ac:dyDescent="0.25">
      <c r="A10200" s="841" t="s">
        <v>193</v>
      </c>
      <c r="E10200" s="1704" t="s">
        <v>3192</v>
      </c>
      <c r="F10200" s="1704"/>
      <c r="G10200" s="1704"/>
      <c r="H10200" s="1704"/>
      <c r="M10200" s="1357"/>
      <c r="Q10200" s="1357"/>
      <c r="S10200" s="1420"/>
      <c r="T10200" s="1420"/>
      <c r="V10200" s="1357">
        <v>203</v>
      </c>
    </row>
    <row r="10201" spans="1:22" s="841" customFormat="1" ht="15" x14ac:dyDescent="0.25">
      <c r="A10201" s="841" t="s">
        <v>193</v>
      </c>
      <c r="E10201" s="1690" t="s">
        <v>3295</v>
      </c>
      <c r="F10201" s="1690"/>
      <c r="G10201" s="1408"/>
      <c r="H10201" s="393">
        <v>1.081</v>
      </c>
      <c r="M10201" s="1357"/>
      <c r="Q10201" s="1357"/>
      <c r="S10201" s="1420"/>
      <c r="T10201" s="1420"/>
      <c r="V10201" s="1357">
        <v>57</v>
      </c>
    </row>
    <row r="10202" spans="1:22" s="841" customFormat="1" ht="15" x14ac:dyDescent="0.25">
      <c r="A10202" s="841" t="s">
        <v>193</v>
      </c>
      <c r="E10202" s="1690" t="s">
        <v>3297</v>
      </c>
      <c r="F10202" s="1690"/>
      <c r="G10202" s="1408"/>
      <c r="H10202" s="393">
        <v>1.0702</v>
      </c>
      <c r="J10202" s="841" t="s">
        <v>4308</v>
      </c>
      <c r="M10202" s="1357"/>
      <c r="Q10202" s="1357"/>
      <c r="S10202" s="1420"/>
      <c r="T10202" s="1420"/>
      <c r="V10202" s="1357">
        <v>55</v>
      </c>
    </row>
    <row r="10203" spans="1:22" s="841" customFormat="1" ht="23.25" x14ac:dyDescent="0.25">
      <c r="A10203" s="841" t="s">
        <v>2457</v>
      </c>
      <c r="B10203" s="841" t="s">
        <v>3593</v>
      </c>
      <c r="C10203" s="841" t="s">
        <v>3050</v>
      </c>
      <c r="E10203" s="1911" t="s">
        <v>2457</v>
      </c>
      <c r="F10203" s="1911"/>
      <c r="G10203" s="1911"/>
      <c r="H10203" s="1911"/>
      <c r="I10203" s="841" t="s">
        <v>628</v>
      </c>
      <c r="J10203" s="841" t="s">
        <v>3594</v>
      </c>
      <c r="K10203" s="841" t="s">
        <v>2457</v>
      </c>
      <c r="M10203" s="1357">
        <v>9</v>
      </c>
      <c r="Q10203" s="1357"/>
      <c r="S10203" s="1420"/>
      <c r="T10203" s="1420"/>
      <c r="V10203" s="1357">
        <v>12</v>
      </c>
    </row>
    <row r="10204" spans="1:22" s="841" customFormat="1" x14ac:dyDescent="0.25">
      <c r="A10204" s="841" t="s">
        <v>2457</v>
      </c>
      <c r="B10204" s="841" t="s">
        <v>3593</v>
      </c>
      <c r="C10204" s="841" t="s">
        <v>3052</v>
      </c>
      <c r="E10204" s="1912" t="s">
        <v>2459</v>
      </c>
      <c r="F10204" s="1912"/>
      <c r="G10204" s="1912"/>
      <c r="H10204" s="1912"/>
      <c r="M10204" s="1357"/>
      <c r="Q10204" s="1357"/>
      <c r="S10204" s="1420"/>
      <c r="T10204" s="1420"/>
      <c r="V10204" s="1357">
        <v>58</v>
      </c>
    </row>
    <row r="10205" spans="1:22" s="841" customFormat="1" x14ac:dyDescent="0.25">
      <c r="A10205" s="841" t="s">
        <v>2457</v>
      </c>
      <c r="B10205" s="841" t="s">
        <v>3593</v>
      </c>
      <c r="C10205" s="841" t="s">
        <v>3054</v>
      </c>
      <c r="E10205" s="1912" t="s">
        <v>3053</v>
      </c>
      <c r="F10205" s="1912"/>
      <c r="G10205" s="1912"/>
      <c r="H10205" s="1912"/>
      <c r="M10205" s="1357"/>
      <c r="Q10205" s="1357"/>
      <c r="S10205" s="1420"/>
      <c r="T10205" s="1420"/>
      <c r="V10205" s="1357">
        <v>27</v>
      </c>
    </row>
    <row r="10206" spans="1:22" s="841" customFormat="1" ht="15.75" x14ac:dyDescent="0.25">
      <c r="A10206" s="841" t="s">
        <v>2457</v>
      </c>
      <c r="B10206" s="841" t="s">
        <v>3593</v>
      </c>
      <c r="C10206" s="841" t="s">
        <v>3055</v>
      </c>
      <c r="E10206" s="1913" t="s">
        <v>5107</v>
      </c>
      <c r="F10206" s="1913"/>
      <c r="G10206" s="1913"/>
      <c r="H10206" s="1913"/>
      <c r="M10206" s="1357"/>
      <c r="Q10206" s="1357"/>
      <c r="S10206" s="1420">
        <v>43221</v>
      </c>
      <c r="T10206" s="1420"/>
      <c r="V10206" s="1357">
        <v>45</v>
      </c>
    </row>
    <row r="10207" spans="1:22" s="841" customFormat="1" ht="15" x14ac:dyDescent="0.25">
      <c r="A10207" s="841" t="s">
        <v>2457</v>
      </c>
      <c r="B10207" s="841" t="s">
        <v>3593</v>
      </c>
      <c r="E10207" s="1914" t="s">
        <v>3056</v>
      </c>
      <c r="F10207" s="1914"/>
      <c r="G10207" s="1914"/>
      <c r="H10207" s="1914"/>
      <c r="M10207" s="1357"/>
      <c r="Q10207" s="1357"/>
      <c r="S10207" s="1420"/>
      <c r="T10207" s="1420"/>
      <c r="V10207" s="1357">
        <v>52</v>
      </c>
    </row>
    <row r="10208" spans="1:22" s="841" customFormat="1" ht="15" x14ac:dyDescent="0.25">
      <c r="A10208" s="841" t="s">
        <v>2457</v>
      </c>
      <c r="B10208" s="841" t="s">
        <v>3593</v>
      </c>
      <c r="E10208" s="1914" t="s">
        <v>3057</v>
      </c>
      <c r="F10208" s="1914"/>
      <c r="G10208" s="1914"/>
      <c r="H10208" s="1914"/>
      <c r="M10208" s="1357"/>
      <c r="Q10208" s="1357"/>
      <c r="S10208" s="1420"/>
      <c r="T10208" s="1420"/>
      <c r="V10208" s="1357">
        <v>53</v>
      </c>
    </row>
    <row r="10209" spans="1:22" s="841" customFormat="1" ht="15" x14ac:dyDescent="0.25">
      <c r="A10209" s="841" t="s">
        <v>2457</v>
      </c>
      <c r="B10209" s="841" t="s">
        <v>3593</v>
      </c>
      <c r="E10209" s="1925" t="s">
        <v>5317</v>
      </c>
      <c r="F10209" s="1925"/>
      <c r="G10209" s="1925"/>
      <c r="H10209" s="1925"/>
      <c r="K10209" s="841" t="s">
        <v>5317</v>
      </c>
      <c r="M10209" s="1357"/>
      <c r="Q10209" s="1357"/>
      <c r="S10209" s="1420"/>
      <c r="T10209" s="1420"/>
      <c r="V10209" s="1357">
        <v>12</v>
      </c>
    </row>
    <row r="10210" spans="1:22" s="841" customFormat="1" ht="15" x14ac:dyDescent="0.25">
      <c r="A10210" s="841" t="s">
        <v>2457</v>
      </c>
      <c r="B10210" s="841" t="s">
        <v>3593</v>
      </c>
      <c r="E10210" s="1909" t="s">
        <v>438</v>
      </c>
      <c r="F10210" s="1697"/>
      <c r="G10210" s="1697"/>
      <c r="H10210" s="1697"/>
      <c r="K10210" s="841" t="s">
        <v>3197</v>
      </c>
      <c r="M10210" s="1357"/>
      <c r="Q10210" s="1357"/>
      <c r="S10210" s="1420"/>
      <c r="T10210" s="1420"/>
      <c r="V10210" s="1357">
        <v>34</v>
      </c>
    </row>
    <row r="10211" spans="1:22" s="841" customFormat="1" ht="15" x14ac:dyDescent="0.25">
      <c r="A10211" s="841" t="s">
        <v>2457</v>
      </c>
      <c r="B10211" s="841" t="s">
        <v>3593</v>
      </c>
      <c r="E10211" s="1689" t="s">
        <v>3595</v>
      </c>
      <c r="F10211" s="1689"/>
      <c r="G10211" s="1689"/>
      <c r="H10211" s="1689"/>
      <c r="K10211" s="841" t="s">
        <v>3197</v>
      </c>
      <c r="M10211" s="1357"/>
      <c r="Q10211" s="1357"/>
      <c r="S10211" s="1420"/>
      <c r="T10211" s="1420"/>
      <c r="V10211" s="1357">
        <v>768</v>
      </c>
    </row>
    <row r="10212" spans="1:22" s="841" customFormat="1" ht="15" x14ac:dyDescent="0.25">
      <c r="A10212" s="841" t="s">
        <v>2457</v>
      </c>
      <c r="B10212" s="841" t="s">
        <v>3593</v>
      </c>
      <c r="E10212" s="1916" t="s">
        <v>3061</v>
      </c>
      <c r="F10212" s="1697"/>
      <c r="G10212" s="1697"/>
      <c r="H10212" s="1697"/>
      <c r="K10212" s="841" t="s">
        <v>3062</v>
      </c>
      <c r="M10212" s="1357"/>
      <c r="Q10212" s="1357"/>
      <c r="S10212" s="1420"/>
      <c r="T10212" s="1420"/>
      <c r="V10212" s="1357">
        <v>11</v>
      </c>
    </row>
    <row r="10213" spans="1:22" s="841" customFormat="1" ht="15" x14ac:dyDescent="0.25">
      <c r="A10213" s="841" t="s">
        <v>2457</v>
      </c>
      <c r="B10213" s="841" t="s">
        <v>3593</v>
      </c>
      <c r="E10213" s="1689" t="s">
        <v>3063</v>
      </c>
      <c r="F10213" s="1689"/>
      <c r="G10213" s="1689"/>
      <c r="H10213" s="1689"/>
      <c r="K10213" s="841" t="s">
        <v>3197</v>
      </c>
      <c r="M10213" s="1357"/>
      <c r="Q10213" s="1357"/>
      <c r="S10213" s="1420"/>
      <c r="T10213" s="1420"/>
      <c r="V10213" s="1357">
        <v>280</v>
      </c>
    </row>
    <row r="10214" spans="1:22" s="841" customFormat="1" ht="15" x14ac:dyDescent="0.25">
      <c r="A10214" s="841" t="s">
        <v>2457</v>
      </c>
      <c r="B10214" s="841" t="s">
        <v>3593</v>
      </c>
      <c r="E10214" s="1689" t="s">
        <v>3064</v>
      </c>
      <c r="F10214" s="1689"/>
      <c r="G10214" s="1689"/>
      <c r="H10214" s="1689"/>
      <c r="K10214" s="841" t="s">
        <v>3197</v>
      </c>
      <c r="M10214" s="1357"/>
      <c r="Q10214" s="1357"/>
      <c r="S10214" s="1420"/>
      <c r="T10214" s="1420"/>
      <c r="V10214" s="1357">
        <v>411</v>
      </c>
    </row>
    <row r="10215" spans="1:22" s="841" customFormat="1" ht="15" x14ac:dyDescent="0.25">
      <c r="A10215" s="841" t="s">
        <v>2457</v>
      </c>
      <c r="B10215" s="841" t="s">
        <v>3593</v>
      </c>
      <c r="E10215" s="1689" t="s">
        <v>3065</v>
      </c>
      <c r="F10215" s="1689"/>
      <c r="G10215" s="1689"/>
      <c r="H10215" s="1689"/>
      <c r="K10215" s="841" t="s">
        <v>3197</v>
      </c>
      <c r="M10215" s="1357"/>
      <c r="Q10215" s="1357"/>
      <c r="S10215" s="1420"/>
      <c r="T10215" s="1420"/>
      <c r="V10215" s="1357">
        <v>387</v>
      </c>
    </row>
    <row r="10216" spans="1:22" s="841" customFormat="1" ht="15" x14ac:dyDescent="0.25">
      <c r="A10216" s="841" t="s">
        <v>2457</v>
      </c>
      <c r="B10216" s="841" t="s">
        <v>3593</v>
      </c>
      <c r="E10216" s="1689" t="s">
        <v>3627</v>
      </c>
      <c r="F10216" s="1689"/>
      <c r="G10216" s="1689"/>
      <c r="H10216" s="1689"/>
      <c r="K10216" s="841" t="s">
        <v>3197</v>
      </c>
      <c r="M10216" s="1357"/>
      <c r="Q10216" s="1357"/>
      <c r="S10216" s="1420"/>
      <c r="T10216" s="1420"/>
      <c r="V10216" s="1357">
        <v>610</v>
      </c>
    </row>
    <row r="10217" spans="1:22" s="841" customFormat="1" ht="15" x14ac:dyDescent="0.25">
      <c r="A10217" s="841" t="s">
        <v>2457</v>
      </c>
      <c r="B10217" s="841" t="s">
        <v>3593</v>
      </c>
      <c r="E10217" s="1689" t="s">
        <v>3200</v>
      </c>
      <c r="F10217" s="1689"/>
      <c r="G10217" s="1689"/>
      <c r="H10217" s="1689"/>
      <c r="K10217" s="841" t="s">
        <v>3197</v>
      </c>
      <c r="M10217" s="1357"/>
      <c r="Q10217" s="1357"/>
      <c r="S10217" s="1420"/>
      <c r="T10217" s="1420"/>
      <c r="V10217" s="1357">
        <v>275</v>
      </c>
    </row>
    <row r="10218" spans="1:22" s="841" customFormat="1" ht="15" x14ac:dyDescent="0.25">
      <c r="A10218" s="841" t="s">
        <v>2457</v>
      </c>
      <c r="B10218" s="841" t="s">
        <v>3593</v>
      </c>
      <c r="E10218" s="1694" t="s">
        <v>3067</v>
      </c>
      <c r="F10218" s="1907"/>
      <c r="G10218" s="1907"/>
      <c r="H10218" s="1907"/>
      <c r="K10218" s="841" t="s">
        <v>3068</v>
      </c>
      <c r="M10218" s="1357"/>
      <c r="Q10218" s="1357"/>
      <c r="S10218" s="1420"/>
      <c r="T10218" s="1420"/>
      <c r="V10218" s="1357">
        <v>46</v>
      </c>
    </row>
    <row r="10219" spans="1:22" s="841" customFormat="1" ht="15" x14ac:dyDescent="0.25">
      <c r="A10219" s="841" t="s">
        <v>2457</v>
      </c>
      <c r="B10219" s="841" t="s">
        <v>3593</v>
      </c>
      <c r="E10219" s="1690" t="s">
        <v>11</v>
      </c>
      <c r="F10219" s="1690"/>
      <c r="G10219" s="1408" t="s">
        <v>23</v>
      </c>
      <c r="H10219" s="391">
        <v>21.35</v>
      </c>
      <c r="K10219" s="841" t="s">
        <v>3197</v>
      </c>
      <c r="L10219" s="841" t="s">
        <v>442</v>
      </c>
      <c r="M10219" s="1357"/>
      <c r="P10219" s="841" t="s">
        <v>3201</v>
      </c>
      <c r="Q10219" s="1357"/>
      <c r="S10219" s="1420"/>
      <c r="T10219" s="1420"/>
      <c r="V10219" s="1357">
        <v>14</v>
      </c>
    </row>
    <row r="10220" spans="1:22" s="841" customFormat="1" ht="15" x14ac:dyDescent="0.25">
      <c r="A10220" s="841" t="s">
        <v>2457</v>
      </c>
      <c r="B10220" s="841" t="s">
        <v>3593</v>
      </c>
      <c r="E10220" s="1690" t="s">
        <v>5109</v>
      </c>
      <c r="F10220" s="1690"/>
      <c r="G10220" s="1408" t="s">
        <v>23</v>
      </c>
      <c r="H10220" s="391">
        <v>0.56999999999999995</v>
      </c>
      <c r="K10220" s="841" t="s">
        <v>3197</v>
      </c>
      <c r="L10220" s="841" t="s">
        <v>443</v>
      </c>
      <c r="M10220" s="1357"/>
      <c r="P10220" s="841" t="s">
        <v>3202</v>
      </c>
      <c r="Q10220" s="1357"/>
      <c r="S10220" s="1420"/>
      <c r="T10220" s="1420">
        <v>44926</v>
      </c>
      <c r="V10220" s="1357">
        <v>64</v>
      </c>
    </row>
    <row r="10221" spans="1:22" s="841" customFormat="1" ht="15" x14ac:dyDescent="0.25">
      <c r="A10221" s="841" t="s">
        <v>2457</v>
      </c>
      <c r="B10221" s="841" t="s">
        <v>3593</v>
      </c>
      <c r="E10221" s="1690" t="s">
        <v>84</v>
      </c>
      <c r="F10221" s="1690"/>
      <c r="G10221" s="1408" t="s">
        <v>24</v>
      </c>
      <c r="H10221" s="393">
        <v>4.5999999999999999E-3</v>
      </c>
      <c r="K10221" s="841" t="s">
        <v>3197</v>
      </c>
      <c r="L10221" s="841" t="s">
        <v>442</v>
      </c>
      <c r="M10221" s="1357"/>
      <c r="P10221" s="841" t="s">
        <v>3203</v>
      </c>
      <c r="Q10221" s="1357"/>
      <c r="S10221" s="1420"/>
      <c r="T10221" s="1420"/>
      <c r="V10221" s="1357">
        <v>28</v>
      </c>
    </row>
    <row r="10222" spans="1:22" s="841" customFormat="1" ht="15" x14ac:dyDescent="0.25">
      <c r="A10222" s="841" t="s">
        <v>2457</v>
      </c>
      <c r="B10222" s="841" t="s">
        <v>3593</v>
      </c>
      <c r="E10222" s="1690" t="s">
        <v>18</v>
      </c>
      <c r="F10222" s="1690"/>
      <c r="G10222" s="1408" t="s">
        <v>24</v>
      </c>
      <c r="H10222" s="393">
        <v>1E-4</v>
      </c>
      <c r="K10222" s="841" t="s">
        <v>3197</v>
      </c>
      <c r="L10222" s="841" t="s">
        <v>443</v>
      </c>
      <c r="M10222" s="1357"/>
      <c r="P10222" s="841" t="s">
        <v>3204</v>
      </c>
      <c r="Q10222" s="1357"/>
      <c r="S10222" s="1420"/>
      <c r="T10222" s="1420"/>
      <c r="V10222" s="1357">
        <v>24</v>
      </c>
    </row>
    <row r="10223" spans="1:22" s="841" customFormat="1" ht="15" x14ac:dyDescent="0.25">
      <c r="A10223" s="841" t="s">
        <v>2457</v>
      </c>
      <c r="B10223" s="841" t="s">
        <v>3593</v>
      </c>
      <c r="E10223" s="1690" t="s">
        <v>5129</v>
      </c>
      <c r="F10223" s="1908"/>
      <c r="G10223" s="1408" t="s">
        <v>24</v>
      </c>
      <c r="H10223" s="393">
        <v>3.3E-3</v>
      </c>
      <c r="K10223" s="841" t="s">
        <v>3197</v>
      </c>
      <c r="L10223" s="841" t="s">
        <v>443</v>
      </c>
      <c r="M10223" s="1357"/>
      <c r="P10223" s="841" t="s">
        <v>3205</v>
      </c>
      <c r="Q10223" s="1357"/>
      <c r="S10223" s="1420"/>
      <c r="T10223" s="1420">
        <v>43585</v>
      </c>
      <c r="V10223" s="1357">
        <v>139</v>
      </c>
    </row>
    <row r="10224" spans="1:22" s="841" customFormat="1" ht="15" x14ac:dyDescent="0.25">
      <c r="A10224" s="841" t="s">
        <v>2457</v>
      </c>
      <c r="B10224" s="841" t="s">
        <v>3593</v>
      </c>
      <c r="E10224" s="1690" t="s">
        <v>5130</v>
      </c>
      <c r="F10224" s="1908"/>
      <c r="G10224" s="1408" t="s">
        <v>24</v>
      </c>
      <c r="H10224" s="393">
        <v>-6.3E-3</v>
      </c>
      <c r="K10224" s="841" t="s">
        <v>3197</v>
      </c>
      <c r="L10224" s="841" t="s">
        <v>443</v>
      </c>
      <c r="M10224" s="1357"/>
      <c r="P10224" s="841" t="s">
        <v>3207</v>
      </c>
      <c r="Q10224" s="1357"/>
      <c r="S10224" s="1420"/>
      <c r="T10224" s="1420">
        <v>43585</v>
      </c>
      <c r="V10224" s="1357">
        <v>96</v>
      </c>
    </row>
    <row r="10225" spans="1:22" s="841" customFormat="1" ht="15" x14ac:dyDescent="0.25">
      <c r="A10225" s="841" t="s">
        <v>2457</v>
      </c>
      <c r="B10225" s="841" t="s">
        <v>3593</v>
      </c>
      <c r="E10225" s="1690" t="s">
        <v>5495</v>
      </c>
      <c r="F10225" s="1908"/>
      <c r="G10225" s="1408" t="s">
        <v>24</v>
      </c>
      <c r="H10225" s="393">
        <v>4.0000000000000002E-4</v>
      </c>
      <c r="K10225" s="841" t="s">
        <v>3197</v>
      </c>
      <c r="L10225" s="841" t="s">
        <v>443</v>
      </c>
      <c r="M10225" s="1357"/>
      <c r="P10225" s="841" t="s">
        <v>5103</v>
      </c>
      <c r="Q10225" s="1357"/>
      <c r="S10225" s="1420"/>
      <c r="T10225" s="1420">
        <v>43585</v>
      </c>
      <c r="V10225" s="1357">
        <v>139</v>
      </c>
    </row>
    <row r="10226" spans="1:22" s="841" customFormat="1" ht="15" x14ac:dyDescent="0.25">
      <c r="A10226" s="841" t="s">
        <v>2457</v>
      </c>
      <c r="B10226" s="841" t="s">
        <v>3593</v>
      </c>
      <c r="E10226" s="1690" t="s">
        <v>221</v>
      </c>
      <c r="F10226" s="1690"/>
      <c r="G10226" s="1408" t="s">
        <v>24</v>
      </c>
      <c r="H10226" s="393">
        <v>5.8999999999999999E-3</v>
      </c>
      <c r="K10226" s="841" t="s">
        <v>3197</v>
      </c>
      <c r="L10226" s="841" t="s">
        <v>444</v>
      </c>
      <c r="M10226" s="1357"/>
      <c r="P10226" s="841" t="s">
        <v>3208</v>
      </c>
      <c r="Q10226" s="1357"/>
      <c r="S10226" s="1420"/>
      <c r="T10226" s="1420"/>
      <c r="V10226" s="1357">
        <v>47</v>
      </c>
    </row>
    <row r="10227" spans="1:22" s="841" customFormat="1" ht="15" x14ac:dyDescent="0.25">
      <c r="A10227" s="841" t="s">
        <v>2457</v>
      </c>
      <c r="B10227" s="841" t="s">
        <v>3593</v>
      </c>
      <c r="E10227" s="1690" t="s">
        <v>217</v>
      </c>
      <c r="F10227" s="1690"/>
      <c r="G10227" s="1408" t="s">
        <v>24</v>
      </c>
      <c r="H10227" s="393">
        <v>4.4000000000000003E-3</v>
      </c>
      <c r="K10227" s="841" t="s">
        <v>3197</v>
      </c>
      <c r="L10227" s="841" t="s">
        <v>444</v>
      </c>
      <c r="M10227" s="1357"/>
      <c r="P10227" s="841" t="s">
        <v>3209</v>
      </c>
      <c r="Q10227" s="1357"/>
      <c r="S10227" s="1420"/>
      <c r="T10227" s="1420"/>
      <c r="V10227" s="1357">
        <v>74</v>
      </c>
    </row>
    <row r="10228" spans="1:22" s="841" customFormat="1" ht="15" x14ac:dyDescent="0.25">
      <c r="A10228" s="841" t="s">
        <v>2457</v>
      </c>
      <c r="B10228" s="841" t="s">
        <v>3593</v>
      </c>
      <c r="E10228" s="1694" t="s">
        <v>3079</v>
      </c>
      <c r="F10228" s="1690"/>
      <c r="G10228" s="1408"/>
      <c r="H10228" s="1408"/>
      <c r="K10228" s="841" t="s">
        <v>3080</v>
      </c>
      <c r="M10228" s="1357"/>
      <c r="Q10228" s="1357"/>
      <c r="S10228" s="1420"/>
      <c r="T10228" s="1420"/>
      <c r="V10228" s="1357">
        <v>48</v>
      </c>
    </row>
    <row r="10229" spans="1:22" s="841" customFormat="1" ht="15" x14ac:dyDescent="0.25">
      <c r="A10229" s="841" t="s">
        <v>2457</v>
      </c>
      <c r="B10229" s="841" t="s">
        <v>3593</v>
      </c>
      <c r="E10229" s="1690" t="s">
        <v>2449</v>
      </c>
      <c r="F10229" s="1690"/>
      <c r="G10229" s="1408" t="s">
        <v>24</v>
      </c>
      <c r="H10229" s="393">
        <v>3.2000000000000002E-3</v>
      </c>
      <c r="K10229" s="841" t="s">
        <v>3197</v>
      </c>
      <c r="L10229" s="841" t="s">
        <v>3046</v>
      </c>
      <c r="M10229" s="1357"/>
      <c r="P10229" s="841" t="s">
        <v>3210</v>
      </c>
      <c r="Q10229" s="1357"/>
      <c r="S10229" s="1420"/>
      <c r="T10229" s="1420"/>
      <c r="V10229" s="1357">
        <v>55</v>
      </c>
    </row>
    <row r="10230" spans="1:22" s="841" customFormat="1" ht="15" x14ac:dyDescent="0.25">
      <c r="A10230" s="841" t="s">
        <v>2457</v>
      </c>
      <c r="B10230" s="841" t="s">
        <v>3593</v>
      </c>
      <c r="E10230" s="1690" t="s">
        <v>2450</v>
      </c>
      <c r="F10230" s="1690"/>
      <c r="G10230" s="1408" t="s">
        <v>24</v>
      </c>
      <c r="H10230" s="393">
        <v>4.0000000000000002E-4</v>
      </c>
      <c r="K10230" s="841" t="s">
        <v>3197</v>
      </c>
      <c r="L10230" s="841" t="s">
        <v>3046</v>
      </c>
      <c r="M10230" s="1357"/>
      <c r="P10230" s="841" t="s">
        <v>3210</v>
      </c>
      <c r="Q10230" s="1357"/>
      <c r="S10230" s="1420"/>
      <c r="T10230" s="1420"/>
      <c r="V10230" s="1357">
        <v>65</v>
      </c>
    </row>
    <row r="10231" spans="1:22" s="841" customFormat="1" ht="15" x14ac:dyDescent="0.25">
      <c r="A10231" s="841" t="s">
        <v>2457</v>
      </c>
      <c r="B10231" s="841" t="s">
        <v>3593</v>
      </c>
      <c r="E10231" s="1690" t="s">
        <v>439</v>
      </c>
      <c r="F10231" s="1690"/>
      <c r="G10231" s="1408" t="s">
        <v>24</v>
      </c>
      <c r="H10231" s="393">
        <v>2.9999999999999997E-4</v>
      </c>
      <c r="K10231" s="841" t="s">
        <v>3197</v>
      </c>
      <c r="L10231" s="841" t="s">
        <v>3046</v>
      </c>
      <c r="M10231" s="1357"/>
      <c r="P10231" s="841" t="s">
        <v>3212</v>
      </c>
      <c r="Q10231" s="1357"/>
      <c r="S10231" s="1420"/>
      <c r="T10231" s="1420"/>
      <c r="V10231" s="1357">
        <v>57</v>
      </c>
    </row>
    <row r="10232" spans="1:22" s="841" customFormat="1" ht="15" x14ac:dyDescent="0.25">
      <c r="A10232" s="841" t="s">
        <v>2457</v>
      </c>
      <c r="B10232" s="841" t="s">
        <v>3593</v>
      </c>
      <c r="E10232" s="1690" t="s">
        <v>32</v>
      </c>
      <c r="F10232" s="1690"/>
      <c r="G10232" s="1408" t="s">
        <v>23</v>
      </c>
      <c r="H10232" s="391">
        <v>0.25</v>
      </c>
      <c r="K10232" s="841" t="s">
        <v>3197</v>
      </c>
      <c r="L10232" s="841" t="s">
        <v>3046</v>
      </c>
      <c r="M10232" s="1357"/>
      <c r="P10232" s="841" t="s">
        <v>3213</v>
      </c>
      <c r="Q10232" s="1357"/>
      <c r="S10232" s="1420"/>
      <c r="T10232" s="1420"/>
      <c r="V10232" s="1357">
        <v>63</v>
      </c>
    </row>
    <row r="10233" spans="1:22" s="841" customFormat="1" x14ac:dyDescent="0.25">
      <c r="A10233" s="841" t="s">
        <v>2457</v>
      </c>
      <c r="B10233" s="841" t="s">
        <v>3593</v>
      </c>
      <c r="E10233" s="1909" t="s">
        <v>3214</v>
      </c>
      <c r="F10233" s="1915"/>
      <c r="G10233" s="1915"/>
      <c r="H10233" s="1915"/>
      <c r="K10233" s="841" t="s">
        <v>5110</v>
      </c>
      <c r="M10233" s="1357"/>
      <c r="Q10233" s="1357"/>
      <c r="S10233" s="1420"/>
      <c r="T10233" s="1420"/>
      <c r="V10233" s="1357">
        <v>54</v>
      </c>
    </row>
    <row r="10234" spans="1:22" s="841" customFormat="1" ht="15" x14ac:dyDescent="0.25">
      <c r="A10234" s="841" t="s">
        <v>2457</v>
      </c>
      <c r="B10234" s="841" t="s">
        <v>3593</v>
      </c>
      <c r="E10234" s="1689" t="s">
        <v>3596</v>
      </c>
      <c r="F10234" s="1689"/>
      <c r="G10234" s="1689"/>
      <c r="H10234" s="1689"/>
      <c r="K10234" s="841" t="s">
        <v>5110</v>
      </c>
      <c r="M10234" s="1357"/>
      <c r="Q10234" s="1357"/>
      <c r="S10234" s="1420"/>
      <c r="T10234" s="1420"/>
      <c r="V10234" s="1357">
        <v>634</v>
      </c>
    </row>
    <row r="10235" spans="1:22" s="841" customFormat="1" ht="15" x14ac:dyDescent="0.25">
      <c r="A10235" s="841" t="s">
        <v>2457</v>
      </c>
      <c r="B10235" s="841" t="s">
        <v>3593</v>
      </c>
      <c r="E10235" s="1916" t="s">
        <v>3061</v>
      </c>
      <c r="F10235" s="1697"/>
      <c r="G10235" s="1697"/>
      <c r="H10235" s="1697"/>
      <c r="K10235" s="841" t="s">
        <v>3086</v>
      </c>
      <c r="M10235" s="1357"/>
      <c r="Q10235" s="1357"/>
      <c r="S10235" s="1420"/>
      <c r="T10235" s="1420"/>
      <c r="V10235" s="1357">
        <v>11</v>
      </c>
    </row>
    <row r="10236" spans="1:22" s="841" customFormat="1" ht="15" x14ac:dyDescent="0.25">
      <c r="A10236" s="841" t="s">
        <v>2457</v>
      </c>
      <c r="B10236" s="841" t="s">
        <v>3593</v>
      </c>
      <c r="E10236" s="1689" t="s">
        <v>3063</v>
      </c>
      <c r="F10236" s="1689"/>
      <c r="G10236" s="1689"/>
      <c r="H10236" s="1689"/>
      <c r="K10236" s="841" t="s">
        <v>5110</v>
      </c>
      <c r="M10236" s="1357"/>
      <c r="Q10236" s="1357"/>
      <c r="S10236" s="1420"/>
      <c r="T10236" s="1420"/>
      <c r="V10236" s="1357">
        <v>280</v>
      </c>
    </row>
    <row r="10237" spans="1:22" s="841" customFormat="1" ht="15" x14ac:dyDescent="0.25">
      <c r="A10237" s="841" t="s">
        <v>2457</v>
      </c>
      <c r="B10237" s="841" t="s">
        <v>3593</v>
      </c>
      <c r="E10237" s="1689" t="s">
        <v>3064</v>
      </c>
      <c r="F10237" s="1689"/>
      <c r="G10237" s="1689"/>
      <c r="H10237" s="1689"/>
      <c r="K10237" s="841" t="s">
        <v>5110</v>
      </c>
      <c r="M10237" s="1357"/>
      <c r="Q10237" s="1357"/>
      <c r="S10237" s="1420"/>
      <c r="T10237" s="1420"/>
      <c r="V10237" s="1357">
        <v>411</v>
      </c>
    </row>
    <row r="10238" spans="1:22" s="841" customFormat="1" ht="15" x14ac:dyDescent="0.25">
      <c r="A10238" s="841" t="s">
        <v>2457</v>
      </c>
      <c r="B10238" s="841" t="s">
        <v>3593</v>
      </c>
      <c r="E10238" s="1689" t="s">
        <v>3065</v>
      </c>
      <c r="F10238" s="1689"/>
      <c r="G10238" s="1689"/>
      <c r="H10238" s="1689"/>
      <c r="K10238" s="841" t="s">
        <v>5110</v>
      </c>
      <c r="M10238" s="1357"/>
      <c r="Q10238" s="1357"/>
      <c r="S10238" s="1420"/>
      <c r="T10238" s="1420"/>
      <c r="V10238" s="1357">
        <v>387</v>
      </c>
    </row>
    <row r="10239" spans="1:22" s="841" customFormat="1" ht="15" x14ac:dyDescent="0.25">
      <c r="A10239" s="841" t="s">
        <v>2457</v>
      </c>
      <c r="B10239" s="841" t="s">
        <v>3593</v>
      </c>
      <c r="E10239" s="1689" t="s">
        <v>3627</v>
      </c>
      <c r="F10239" s="1689"/>
      <c r="G10239" s="1689"/>
      <c r="H10239" s="1689"/>
      <c r="K10239" s="841" t="s">
        <v>5110</v>
      </c>
      <c r="M10239" s="1357"/>
      <c r="Q10239" s="1357"/>
      <c r="S10239" s="1420"/>
      <c r="T10239" s="1420"/>
      <c r="V10239" s="1357">
        <v>610</v>
      </c>
    </row>
    <row r="10240" spans="1:22" s="841" customFormat="1" ht="15" x14ac:dyDescent="0.25">
      <c r="A10240" s="841" t="s">
        <v>2457</v>
      </c>
      <c r="B10240" s="841" t="s">
        <v>3593</v>
      </c>
      <c r="E10240" s="1689" t="s">
        <v>3200</v>
      </c>
      <c r="F10240" s="1689"/>
      <c r="G10240" s="1689"/>
      <c r="H10240" s="1689"/>
      <c r="K10240" s="841" t="s">
        <v>5110</v>
      </c>
      <c r="M10240" s="1357"/>
      <c r="Q10240" s="1357"/>
      <c r="S10240" s="1420"/>
      <c r="T10240" s="1420"/>
      <c r="V10240" s="1357">
        <v>275</v>
      </c>
    </row>
    <row r="10241" spans="1:22" s="841" customFormat="1" ht="15" x14ac:dyDescent="0.25">
      <c r="A10241" s="841" t="s">
        <v>2457</v>
      </c>
      <c r="B10241" s="841" t="s">
        <v>3593</v>
      </c>
      <c r="E10241" s="1694" t="s">
        <v>3067</v>
      </c>
      <c r="F10241" s="1907"/>
      <c r="G10241" s="1907"/>
      <c r="H10241" s="1907"/>
      <c r="K10241" s="841" t="s">
        <v>3087</v>
      </c>
      <c r="M10241" s="1357"/>
      <c r="Q10241" s="1357"/>
      <c r="S10241" s="1420"/>
      <c r="T10241" s="1420"/>
      <c r="V10241" s="1357">
        <v>46</v>
      </c>
    </row>
    <row r="10242" spans="1:22" s="841" customFormat="1" ht="15" x14ac:dyDescent="0.25">
      <c r="A10242" s="841" t="s">
        <v>2457</v>
      </c>
      <c r="B10242" s="841" t="s">
        <v>3593</v>
      </c>
      <c r="E10242" s="1690" t="s">
        <v>11</v>
      </c>
      <c r="F10242" s="1690"/>
      <c r="G10242" s="1408" t="s">
        <v>23</v>
      </c>
      <c r="H10242" s="391">
        <v>13.74</v>
      </c>
      <c r="K10242" s="841" t="s">
        <v>5110</v>
      </c>
      <c r="L10242" s="841" t="s">
        <v>442</v>
      </c>
      <c r="M10242" s="1357"/>
      <c r="P10242" s="841" t="s">
        <v>5111</v>
      </c>
      <c r="Q10242" s="1357"/>
      <c r="S10242" s="1420"/>
      <c r="T10242" s="1420"/>
      <c r="V10242" s="1357">
        <v>14</v>
      </c>
    </row>
    <row r="10243" spans="1:22" s="841" customFormat="1" ht="15" x14ac:dyDescent="0.25">
      <c r="A10243" s="841" t="s">
        <v>2457</v>
      </c>
      <c r="B10243" s="841" t="s">
        <v>3593</v>
      </c>
      <c r="E10243" s="1690" t="s">
        <v>5109</v>
      </c>
      <c r="F10243" s="1690"/>
      <c r="G10243" s="1408" t="s">
        <v>23</v>
      </c>
      <c r="H10243" s="391">
        <v>0.56999999999999995</v>
      </c>
      <c r="K10243" s="841" t="s">
        <v>5110</v>
      </c>
      <c r="L10243" s="841" t="s">
        <v>443</v>
      </c>
      <c r="M10243" s="1357"/>
      <c r="P10243" s="841" t="s">
        <v>5112</v>
      </c>
      <c r="Q10243" s="1357"/>
      <c r="S10243" s="1420"/>
      <c r="T10243" s="1420">
        <v>44926</v>
      </c>
      <c r="V10243" s="1357">
        <v>64</v>
      </c>
    </row>
    <row r="10244" spans="1:22" s="841" customFormat="1" ht="15" x14ac:dyDescent="0.25">
      <c r="A10244" s="841" t="s">
        <v>2457</v>
      </c>
      <c r="B10244" s="841" t="s">
        <v>3593</v>
      </c>
      <c r="E10244" s="1690" t="s">
        <v>84</v>
      </c>
      <c r="F10244" s="1690"/>
      <c r="G10244" s="1408" t="s">
        <v>24</v>
      </c>
      <c r="H10244" s="393">
        <v>1.47E-2</v>
      </c>
      <c r="K10244" s="841" t="s">
        <v>5110</v>
      </c>
      <c r="L10244" s="841" t="s">
        <v>442</v>
      </c>
      <c r="M10244" s="1357"/>
      <c r="P10244" s="841" t="s">
        <v>5113</v>
      </c>
      <c r="Q10244" s="1357"/>
      <c r="S10244" s="1420"/>
      <c r="T10244" s="1420"/>
      <c r="V10244" s="1357">
        <v>28</v>
      </c>
    </row>
    <row r="10245" spans="1:22" s="841" customFormat="1" ht="15" x14ac:dyDescent="0.25">
      <c r="A10245" s="841" t="s">
        <v>2457</v>
      </c>
      <c r="B10245" s="841" t="s">
        <v>3593</v>
      </c>
      <c r="E10245" s="1690" t="s">
        <v>18</v>
      </c>
      <c r="F10245" s="1690"/>
      <c r="G10245" s="1408" t="s">
        <v>24</v>
      </c>
      <c r="H10245" s="393">
        <v>1E-4</v>
      </c>
      <c r="K10245" s="841" t="s">
        <v>5110</v>
      </c>
      <c r="L10245" s="841" t="s">
        <v>443</v>
      </c>
      <c r="M10245" s="1357"/>
      <c r="P10245" s="841" t="s">
        <v>5114</v>
      </c>
      <c r="Q10245" s="1357"/>
      <c r="S10245" s="1420"/>
      <c r="T10245" s="1420"/>
      <c r="V10245" s="1357">
        <v>24</v>
      </c>
    </row>
    <row r="10246" spans="1:22" s="841" customFormat="1" ht="15" x14ac:dyDescent="0.25">
      <c r="A10246" s="841" t="s">
        <v>2457</v>
      </c>
      <c r="B10246" s="841" t="s">
        <v>3593</v>
      </c>
      <c r="E10246" s="1690" t="s">
        <v>5129</v>
      </c>
      <c r="F10246" s="1908"/>
      <c r="G10246" s="1408" t="s">
        <v>24</v>
      </c>
      <c r="H10246" s="393">
        <v>3.3E-3</v>
      </c>
      <c r="K10246" s="841" t="s">
        <v>5110</v>
      </c>
      <c r="L10246" s="841" t="s">
        <v>443</v>
      </c>
      <c r="M10246" s="1357"/>
      <c r="P10246" s="841" t="s">
        <v>4818</v>
      </c>
      <c r="Q10246" s="1357"/>
      <c r="S10246" s="1420"/>
      <c r="T10246" s="1420">
        <v>43585</v>
      </c>
      <c r="V10246" s="1357">
        <v>139</v>
      </c>
    </row>
    <row r="10247" spans="1:22" s="841" customFormat="1" ht="15" x14ac:dyDescent="0.25">
      <c r="A10247" s="841" t="s">
        <v>2457</v>
      </c>
      <c r="B10247" s="841" t="s">
        <v>3593</v>
      </c>
      <c r="E10247" s="1690" t="s">
        <v>5130</v>
      </c>
      <c r="F10247" s="1908"/>
      <c r="G10247" s="1408" t="s">
        <v>24</v>
      </c>
      <c r="H10247" s="393">
        <v>-6.1999999999999998E-3</v>
      </c>
      <c r="K10247" s="841" t="s">
        <v>5110</v>
      </c>
      <c r="L10247" s="841" t="s">
        <v>443</v>
      </c>
      <c r="M10247" s="1357"/>
      <c r="P10247" s="841" t="s">
        <v>5124</v>
      </c>
      <c r="Q10247" s="1357"/>
      <c r="S10247" s="1420"/>
      <c r="T10247" s="1420">
        <v>43585</v>
      </c>
      <c r="V10247" s="1357">
        <v>96</v>
      </c>
    </row>
    <row r="10248" spans="1:22" s="841" customFormat="1" ht="15" x14ac:dyDescent="0.25">
      <c r="A10248" s="841" t="s">
        <v>2457</v>
      </c>
      <c r="B10248" s="841" t="s">
        <v>3593</v>
      </c>
      <c r="E10248" s="1690" t="s">
        <v>5495</v>
      </c>
      <c r="F10248" s="1908"/>
      <c r="G10248" s="1408" t="s">
        <v>24</v>
      </c>
      <c r="H10248" s="393">
        <v>4.0000000000000002E-4</v>
      </c>
      <c r="K10248" s="841" t="s">
        <v>5110</v>
      </c>
      <c r="L10248" s="841" t="s">
        <v>443</v>
      </c>
      <c r="M10248" s="1357"/>
      <c r="P10248" s="841" t="s">
        <v>5287</v>
      </c>
      <c r="Q10248" s="1357"/>
      <c r="S10248" s="1420"/>
      <c r="T10248" s="1420">
        <v>43585</v>
      </c>
      <c r="V10248" s="1357">
        <v>139</v>
      </c>
    </row>
    <row r="10249" spans="1:22" s="841" customFormat="1" ht="15" x14ac:dyDescent="0.25">
      <c r="A10249" s="841" t="s">
        <v>2457</v>
      </c>
      <c r="B10249" s="841" t="s">
        <v>3593</v>
      </c>
      <c r="E10249" s="1690" t="s">
        <v>221</v>
      </c>
      <c r="F10249" s="1690"/>
      <c r="G10249" s="1408" t="s">
        <v>24</v>
      </c>
      <c r="H10249" s="393">
        <v>5.1999999999999998E-3</v>
      </c>
      <c r="K10249" s="841" t="s">
        <v>5110</v>
      </c>
      <c r="L10249" s="841" t="s">
        <v>444</v>
      </c>
      <c r="M10249" s="1357"/>
      <c r="P10249" s="841" t="s">
        <v>5115</v>
      </c>
      <c r="Q10249" s="1357"/>
      <c r="S10249" s="1420"/>
      <c r="T10249" s="1420"/>
      <c r="V10249" s="1357">
        <v>47</v>
      </c>
    </row>
    <row r="10250" spans="1:22" s="841" customFormat="1" ht="15" x14ac:dyDescent="0.25">
      <c r="A10250" s="841" t="s">
        <v>2457</v>
      </c>
      <c r="B10250" s="841" t="s">
        <v>3593</v>
      </c>
      <c r="E10250" s="1690" t="s">
        <v>217</v>
      </c>
      <c r="F10250" s="1690"/>
      <c r="G10250" s="1408" t="s">
        <v>24</v>
      </c>
      <c r="H10250" s="393">
        <v>4.1000000000000003E-3</v>
      </c>
      <c r="K10250" s="841" t="s">
        <v>5110</v>
      </c>
      <c r="L10250" s="841" t="s">
        <v>444</v>
      </c>
      <c r="M10250" s="1357"/>
      <c r="P10250" s="841" t="s">
        <v>5116</v>
      </c>
      <c r="Q10250" s="1357"/>
      <c r="S10250" s="1420"/>
      <c r="T10250" s="1420"/>
      <c r="V10250" s="1357">
        <v>74</v>
      </c>
    </row>
    <row r="10251" spans="1:22" s="841" customFormat="1" ht="15" x14ac:dyDescent="0.25">
      <c r="A10251" s="841" t="s">
        <v>2457</v>
      </c>
      <c r="B10251" s="841" t="s">
        <v>3593</v>
      </c>
      <c r="E10251" s="1694" t="s">
        <v>3079</v>
      </c>
      <c r="F10251" s="1690"/>
      <c r="G10251" s="1408"/>
      <c r="H10251" s="1408"/>
      <c r="K10251" s="841" t="s">
        <v>3093</v>
      </c>
      <c r="M10251" s="1357"/>
      <c r="Q10251" s="1357"/>
      <c r="S10251" s="1420"/>
      <c r="T10251" s="1420"/>
      <c r="V10251" s="1357">
        <v>48</v>
      </c>
    </row>
    <row r="10252" spans="1:22" s="841" customFormat="1" ht="15" x14ac:dyDescent="0.25">
      <c r="A10252" s="841" t="s">
        <v>2457</v>
      </c>
      <c r="B10252" s="841" t="s">
        <v>3593</v>
      </c>
      <c r="E10252" s="1690" t="s">
        <v>2449</v>
      </c>
      <c r="F10252" s="1690"/>
      <c r="G10252" s="1408" t="s">
        <v>24</v>
      </c>
      <c r="H10252" s="393">
        <v>3.2000000000000002E-3</v>
      </c>
      <c r="K10252" s="841" t="s">
        <v>5110</v>
      </c>
      <c r="L10252" s="841" t="s">
        <v>3046</v>
      </c>
      <c r="M10252" s="1357"/>
      <c r="P10252" s="841" t="s">
        <v>5117</v>
      </c>
      <c r="Q10252" s="1357"/>
      <c r="S10252" s="1420"/>
      <c r="T10252" s="1420"/>
      <c r="V10252" s="1357">
        <v>55</v>
      </c>
    </row>
    <row r="10253" spans="1:22" s="841" customFormat="1" ht="15" x14ac:dyDescent="0.25">
      <c r="A10253" s="841" t="s">
        <v>2457</v>
      </c>
      <c r="B10253" s="841" t="s">
        <v>3593</v>
      </c>
      <c r="E10253" s="1690" t="s">
        <v>2450</v>
      </c>
      <c r="F10253" s="1690"/>
      <c r="G10253" s="1408" t="s">
        <v>24</v>
      </c>
      <c r="H10253" s="393">
        <v>4.0000000000000002E-4</v>
      </c>
      <c r="K10253" s="841" t="s">
        <v>5110</v>
      </c>
      <c r="L10253" s="841" t="s">
        <v>3046</v>
      </c>
      <c r="M10253" s="1357"/>
      <c r="P10253" s="841" t="s">
        <v>5117</v>
      </c>
      <c r="Q10253" s="1357"/>
      <c r="S10253" s="1420"/>
      <c r="T10253" s="1420"/>
      <c r="V10253" s="1357">
        <v>65</v>
      </c>
    </row>
    <row r="10254" spans="1:22" s="841" customFormat="1" ht="15" x14ac:dyDescent="0.25">
      <c r="A10254" s="841" t="s">
        <v>2457</v>
      </c>
      <c r="B10254" s="841" t="s">
        <v>3593</v>
      </c>
      <c r="E10254" s="1690" t="s">
        <v>439</v>
      </c>
      <c r="F10254" s="1690"/>
      <c r="G10254" s="1408" t="s">
        <v>24</v>
      </c>
      <c r="H10254" s="393">
        <v>2.9999999999999997E-4</v>
      </c>
      <c r="K10254" s="841" t="s">
        <v>5110</v>
      </c>
      <c r="L10254" s="841" t="s">
        <v>3046</v>
      </c>
      <c r="M10254" s="1357"/>
      <c r="P10254" s="841" t="s">
        <v>5118</v>
      </c>
      <c r="Q10254" s="1357"/>
      <c r="S10254" s="1420"/>
      <c r="T10254" s="1420"/>
      <c r="V10254" s="1357">
        <v>57</v>
      </c>
    </row>
    <row r="10255" spans="1:22" s="841" customFormat="1" ht="15" x14ac:dyDescent="0.25">
      <c r="A10255" s="841" t="s">
        <v>2457</v>
      </c>
      <c r="B10255" s="841" t="s">
        <v>3593</v>
      </c>
      <c r="E10255" s="1690" t="s">
        <v>32</v>
      </c>
      <c r="F10255" s="1690"/>
      <c r="G10255" s="1408" t="s">
        <v>23</v>
      </c>
      <c r="H10255" s="391">
        <v>0.25</v>
      </c>
      <c r="K10255" s="841" t="s">
        <v>5110</v>
      </c>
      <c r="L10255" s="841" t="s">
        <v>3046</v>
      </c>
      <c r="M10255" s="1357"/>
      <c r="P10255" s="841" t="s">
        <v>5119</v>
      </c>
      <c r="Q10255" s="1357"/>
      <c r="S10255" s="1420"/>
      <c r="T10255" s="1420"/>
      <c r="V10255" s="1357">
        <v>63</v>
      </c>
    </row>
    <row r="10256" spans="1:22" s="841" customFormat="1" x14ac:dyDescent="0.25">
      <c r="A10256" s="841" t="s">
        <v>2457</v>
      </c>
      <c r="B10256" s="841" t="s">
        <v>3593</v>
      </c>
      <c r="E10256" s="1909" t="s">
        <v>3216</v>
      </c>
      <c r="F10256" s="1915"/>
      <c r="G10256" s="1915"/>
      <c r="H10256" s="1915"/>
      <c r="K10256" s="841" t="s">
        <v>5180</v>
      </c>
      <c r="M10256" s="1357"/>
      <c r="Q10256" s="1357"/>
      <c r="S10256" s="1420"/>
      <c r="T10256" s="1420"/>
      <c r="V10256" s="1357">
        <v>51</v>
      </c>
    </row>
    <row r="10257" spans="1:22" s="841" customFormat="1" ht="15" x14ac:dyDescent="0.25">
      <c r="A10257" s="841" t="s">
        <v>2457</v>
      </c>
      <c r="B10257" s="841" t="s">
        <v>3593</v>
      </c>
      <c r="E10257" s="1689" t="s">
        <v>3597</v>
      </c>
      <c r="F10257" s="1689"/>
      <c r="G10257" s="1689"/>
      <c r="H10257" s="1689"/>
      <c r="K10257" s="841" t="s">
        <v>5180</v>
      </c>
      <c r="M10257" s="1357"/>
      <c r="Q10257" s="1357"/>
      <c r="S10257" s="1420"/>
      <c r="T10257" s="1420"/>
      <c r="V10257" s="1357">
        <v>647</v>
      </c>
    </row>
    <row r="10258" spans="1:22" s="841" customFormat="1" ht="15" x14ac:dyDescent="0.25">
      <c r="A10258" s="841" t="s">
        <v>2457</v>
      </c>
      <c r="B10258" s="841" t="s">
        <v>3593</v>
      </c>
      <c r="E10258" s="1916" t="s">
        <v>3061</v>
      </c>
      <c r="F10258" s="1697"/>
      <c r="G10258" s="1697"/>
      <c r="H10258" s="1697"/>
      <c r="K10258" s="841" t="s">
        <v>3098</v>
      </c>
      <c r="M10258" s="1357"/>
      <c r="Q10258" s="1357"/>
      <c r="S10258" s="1420"/>
      <c r="T10258" s="1420"/>
      <c r="V10258" s="1357">
        <v>11</v>
      </c>
    </row>
    <row r="10259" spans="1:22" s="841" customFormat="1" ht="15" x14ac:dyDescent="0.25">
      <c r="A10259" s="841" t="s">
        <v>2457</v>
      </c>
      <c r="B10259" s="841" t="s">
        <v>3593</v>
      </c>
      <c r="E10259" s="1689" t="s">
        <v>3063</v>
      </c>
      <c r="F10259" s="1689"/>
      <c r="G10259" s="1689"/>
      <c r="H10259" s="1689"/>
      <c r="K10259" s="841" t="s">
        <v>5180</v>
      </c>
      <c r="M10259" s="1357"/>
      <c r="Q10259" s="1357"/>
      <c r="S10259" s="1420"/>
      <c r="T10259" s="1420"/>
      <c r="V10259" s="1357">
        <v>280</v>
      </c>
    </row>
    <row r="10260" spans="1:22" s="841" customFormat="1" ht="15" x14ac:dyDescent="0.25">
      <c r="A10260" s="841" t="s">
        <v>2457</v>
      </c>
      <c r="B10260" s="841" t="s">
        <v>3593</v>
      </c>
      <c r="E10260" s="1689" t="s">
        <v>3064</v>
      </c>
      <c r="F10260" s="1689"/>
      <c r="G10260" s="1689"/>
      <c r="H10260" s="1689"/>
      <c r="K10260" s="841" t="s">
        <v>5180</v>
      </c>
      <c r="M10260" s="1357"/>
      <c r="Q10260" s="1357"/>
      <c r="S10260" s="1420"/>
      <c r="T10260" s="1420"/>
      <c r="V10260" s="1357">
        <v>411</v>
      </c>
    </row>
    <row r="10261" spans="1:22" s="841" customFormat="1" ht="15" x14ac:dyDescent="0.25">
      <c r="A10261" s="841" t="s">
        <v>2457</v>
      </c>
      <c r="B10261" s="841" t="s">
        <v>3593</v>
      </c>
      <c r="E10261" s="1689" t="s">
        <v>3065</v>
      </c>
      <c r="F10261" s="1689"/>
      <c r="G10261" s="1689"/>
      <c r="H10261" s="1689"/>
      <c r="K10261" s="841" t="s">
        <v>5180</v>
      </c>
      <c r="M10261" s="1357"/>
      <c r="Q10261" s="1357"/>
      <c r="S10261" s="1420"/>
      <c r="T10261" s="1420"/>
      <c r="V10261" s="1357">
        <v>387</v>
      </c>
    </row>
    <row r="10262" spans="1:22" s="841" customFormat="1" ht="15" x14ac:dyDescent="0.25">
      <c r="A10262" s="841" t="s">
        <v>2457</v>
      </c>
      <c r="B10262" s="841" t="s">
        <v>3593</v>
      </c>
      <c r="E10262" s="1689" t="s">
        <v>3627</v>
      </c>
      <c r="F10262" s="1689"/>
      <c r="G10262" s="1689"/>
      <c r="H10262" s="1689"/>
      <c r="K10262" s="841" t="s">
        <v>5180</v>
      </c>
      <c r="M10262" s="1357"/>
      <c r="Q10262" s="1357"/>
      <c r="S10262" s="1420"/>
      <c r="T10262" s="1420"/>
      <c r="V10262" s="1357">
        <v>610</v>
      </c>
    </row>
    <row r="10263" spans="1:22" s="841" customFormat="1" ht="15" x14ac:dyDescent="0.25">
      <c r="A10263" s="841" t="s">
        <v>2457</v>
      </c>
      <c r="B10263" s="841" t="s">
        <v>3593</v>
      </c>
      <c r="E10263" s="1689" t="s">
        <v>3200</v>
      </c>
      <c r="F10263" s="1689"/>
      <c r="G10263" s="1689"/>
      <c r="H10263" s="1689"/>
      <c r="K10263" s="841" t="s">
        <v>5180</v>
      </c>
      <c r="M10263" s="1357"/>
      <c r="Q10263" s="1357"/>
      <c r="S10263" s="1420"/>
      <c r="T10263" s="1420"/>
      <c r="V10263" s="1357">
        <v>275</v>
      </c>
    </row>
    <row r="10264" spans="1:22" s="841" customFormat="1" ht="15" x14ac:dyDescent="0.25">
      <c r="A10264" s="841" t="s">
        <v>2457</v>
      </c>
      <c r="B10264" s="841" t="s">
        <v>3593</v>
      </c>
      <c r="E10264" s="1694" t="s">
        <v>3067</v>
      </c>
      <c r="F10264" s="1907"/>
      <c r="G10264" s="1907"/>
      <c r="H10264" s="1907"/>
      <c r="K10264" s="841" t="s">
        <v>3099</v>
      </c>
      <c r="M10264" s="1357"/>
      <c r="Q10264" s="1357"/>
      <c r="S10264" s="1420"/>
      <c r="T10264" s="1420"/>
      <c r="V10264" s="1357">
        <v>46</v>
      </c>
    </row>
    <row r="10265" spans="1:22" s="841" customFormat="1" ht="15" x14ac:dyDescent="0.25">
      <c r="A10265" s="841" t="s">
        <v>2457</v>
      </c>
      <c r="B10265" s="841" t="s">
        <v>3593</v>
      </c>
      <c r="E10265" s="1690" t="s">
        <v>11</v>
      </c>
      <c r="F10265" s="1690"/>
      <c r="G10265" s="1408" t="s">
        <v>23</v>
      </c>
      <c r="H10265" s="391">
        <v>115.59</v>
      </c>
      <c r="K10265" s="841" t="s">
        <v>5180</v>
      </c>
      <c r="L10265" s="841" t="s">
        <v>442</v>
      </c>
      <c r="M10265" s="1357"/>
      <c r="P10265" s="841" t="s">
        <v>5181</v>
      </c>
      <c r="Q10265" s="1357"/>
      <c r="S10265" s="1420"/>
      <c r="T10265" s="1420"/>
      <c r="V10265" s="1357">
        <v>14</v>
      </c>
    </row>
    <row r="10266" spans="1:22" s="841" customFormat="1" ht="15" x14ac:dyDescent="0.25">
      <c r="A10266" s="841" t="s">
        <v>2457</v>
      </c>
      <c r="B10266" s="841" t="s">
        <v>3593</v>
      </c>
      <c r="E10266" s="1690" t="s">
        <v>84</v>
      </c>
      <c r="F10266" s="1690"/>
      <c r="G10266" s="1408" t="s">
        <v>33</v>
      </c>
      <c r="H10266" s="393">
        <v>4.2076000000000002</v>
      </c>
      <c r="K10266" s="841" t="s">
        <v>5180</v>
      </c>
      <c r="L10266" s="841" t="s">
        <v>442</v>
      </c>
      <c r="M10266" s="1357"/>
      <c r="P10266" s="841" t="s">
        <v>5182</v>
      </c>
      <c r="Q10266" s="1357"/>
      <c r="S10266" s="1420"/>
      <c r="T10266" s="1420"/>
      <c r="V10266" s="1357">
        <v>28</v>
      </c>
    </row>
    <row r="10267" spans="1:22" s="841" customFormat="1" ht="15" x14ac:dyDescent="0.25">
      <c r="A10267" s="841" t="s">
        <v>2457</v>
      </c>
      <c r="B10267" s="841" t="s">
        <v>3593</v>
      </c>
      <c r="E10267" s="1690" t="s">
        <v>18</v>
      </c>
      <c r="F10267" s="1690"/>
      <c r="G10267" s="1408" t="s">
        <v>33</v>
      </c>
      <c r="H10267" s="393">
        <v>5.3699999999999998E-2</v>
      </c>
      <c r="K10267" s="841" t="s">
        <v>5180</v>
      </c>
      <c r="L10267" s="841" t="s">
        <v>443</v>
      </c>
      <c r="M10267" s="1357"/>
      <c r="P10267" s="841" t="s">
        <v>5183</v>
      </c>
      <c r="Q10267" s="1357"/>
      <c r="S10267" s="1420"/>
      <c r="T10267" s="1420"/>
      <c r="V10267" s="1357">
        <v>24</v>
      </c>
    </row>
    <row r="10268" spans="1:22" s="841" customFormat="1" ht="15" x14ac:dyDescent="0.25">
      <c r="A10268" s="841" t="s">
        <v>2457</v>
      </c>
      <c r="B10268" s="841" t="s">
        <v>3593</v>
      </c>
      <c r="E10268" s="1690" t="s">
        <v>5129</v>
      </c>
      <c r="F10268" s="1908"/>
      <c r="G10268" s="1408" t="s">
        <v>24</v>
      </c>
      <c r="H10268" s="393">
        <v>3.3E-3</v>
      </c>
      <c r="K10268" s="841" t="s">
        <v>5180</v>
      </c>
      <c r="L10268" s="841" t="s">
        <v>443</v>
      </c>
      <c r="M10268" s="1357"/>
      <c r="P10268" s="841" t="s">
        <v>5461</v>
      </c>
      <c r="Q10268" s="1357"/>
      <c r="S10268" s="1420"/>
      <c r="T10268" s="1420">
        <v>43585</v>
      </c>
      <c r="V10268" s="1357">
        <v>139</v>
      </c>
    </row>
    <row r="10269" spans="1:22" s="841" customFormat="1" ht="15" x14ac:dyDescent="0.25">
      <c r="A10269" s="841" t="s">
        <v>2457</v>
      </c>
      <c r="B10269" s="841" t="s">
        <v>3593</v>
      </c>
      <c r="E10269" s="1690" t="s">
        <v>5305</v>
      </c>
      <c r="F10269" s="1908"/>
      <c r="G10269" s="1408" t="s">
        <v>33</v>
      </c>
      <c r="H10269" s="393">
        <v>-1.7177</v>
      </c>
      <c r="K10269" s="841" t="s">
        <v>5180</v>
      </c>
      <c r="L10269" s="841" t="s">
        <v>443</v>
      </c>
      <c r="M10269" s="1357"/>
      <c r="P10269" s="841" t="s">
        <v>5463</v>
      </c>
      <c r="Q10269" s="1357"/>
      <c r="S10269" s="1420"/>
      <c r="T10269" s="1420">
        <v>43585</v>
      </c>
      <c r="V10269" s="1357">
        <v>156</v>
      </c>
    </row>
    <row r="10270" spans="1:22" s="841" customFormat="1" ht="15" x14ac:dyDescent="0.25">
      <c r="A10270" s="841" t="s">
        <v>2457</v>
      </c>
      <c r="B10270" s="841" t="s">
        <v>3593</v>
      </c>
      <c r="E10270" s="1690" t="s">
        <v>5130</v>
      </c>
      <c r="F10270" s="1908"/>
      <c r="G10270" s="1408" t="s">
        <v>33</v>
      </c>
      <c r="H10270" s="393">
        <v>-0.29749999999999999</v>
      </c>
      <c r="K10270" s="841" t="s">
        <v>5180</v>
      </c>
      <c r="L10270" s="841" t="s">
        <v>443</v>
      </c>
      <c r="M10270" s="1357"/>
      <c r="P10270" s="841" t="s">
        <v>5463</v>
      </c>
      <c r="Q10270" s="1357"/>
      <c r="S10270" s="1420"/>
      <c r="T10270" s="1420">
        <v>43585</v>
      </c>
      <c r="V10270" s="1357">
        <v>96</v>
      </c>
    </row>
    <row r="10271" spans="1:22" s="841" customFormat="1" ht="15" x14ac:dyDescent="0.25">
      <c r="A10271" s="841" t="s">
        <v>2457</v>
      </c>
      <c r="B10271" s="841" t="s">
        <v>3593</v>
      </c>
      <c r="E10271" s="1690" t="s">
        <v>5495</v>
      </c>
      <c r="F10271" s="1908"/>
      <c r="G10271" s="1408" t="s">
        <v>33</v>
      </c>
      <c r="H10271" s="393">
        <v>0.13750000000000001</v>
      </c>
      <c r="K10271" s="841" t="s">
        <v>5180</v>
      </c>
      <c r="L10271" s="841" t="s">
        <v>443</v>
      </c>
      <c r="M10271" s="1357"/>
      <c r="P10271" s="841" t="s">
        <v>5464</v>
      </c>
      <c r="Q10271" s="1357"/>
      <c r="S10271" s="1420"/>
      <c r="T10271" s="1420">
        <v>43585</v>
      </c>
      <c r="V10271" s="1357">
        <v>139</v>
      </c>
    </row>
    <row r="10272" spans="1:22" s="841" customFormat="1" ht="15" x14ac:dyDescent="0.25">
      <c r="A10272" s="841" t="s">
        <v>2457</v>
      </c>
      <c r="B10272" s="841" t="s">
        <v>3593</v>
      </c>
      <c r="E10272" s="1690" t="s">
        <v>221</v>
      </c>
      <c r="F10272" s="1690"/>
      <c r="G10272" s="1408" t="s">
        <v>33</v>
      </c>
      <c r="H10272" s="393">
        <v>3.3563000000000001</v>
      </c>
      <c r="K10272" s="841" t="s">
        <v>5180</v>
      </c>
      <c r="L10272" s="841" t="s">
        <v>444</v>
      </c>
      <c r="M10272" s="1357"/>
      <c r="P10272" s="841" t="s">
        <v>5184</v>
      </c>
      <c r="Q10272" s="1357"/>
      <c r="S10272" s="1420"/>
      <c r="T10272" s="1420"/>
      <c r="V10272" s="1357">
        <v>47</v>
      </c>
    </row>
    <row r="10273" spans="1:22" s="841" customFormat="1" ht="15" x14ac:dyDescent="0.25">
      <c r="A10273" s="841" t="s">
        <v>2457</v>
      </c>
      <c r="B10273" s="841" t="s">
        <v>3593</v>
      </c>
      <c r="E10273" s="1690" t="s">
        <v>217</v>
      </c>
      <c r="F10273" s="1690"/>
      <c r="G10273" s="1408" t="s">
        <v>33</v>
      </c>
      <c r="H10273" s="393">
        <v>2.4847000000000001</v>
      </c>
      <c r="K10273" s="841" t="s">
        <v>5180</v>
      </c>
      <c r="L10273" s="841" t="s">
        <v>444</v>
      </c>
      <c r="M10273" s="1357"/>
      <c r="P10273" s="841" t="s">
        <v>5185</v>
      </c>
      <c r="Q10273" s="1357"/>
      <c r="S10273" s="1420"/>
      <c r="T10273" s="1420"/>
      <c r="V10273" s="1357">
        <v>74</v>
      </c>
    </row>
    <row r="10274" spans="1:22" s="841" customFormat="1" ht="15" x14ac:dyDescent="0.25">
      <c r="A10274" s="841" t="s">
        <v>2457</v>
      </c>
      <c r="B10274" s="841" t="s">
        <v>3593</v>
      </c>
      <c r="E10274" s="1694" t="s">
        <v>3079</v>
      </c>
      <c r="F10274" s="1690"/>
      <c r="G10274" s="1408"/>
      <c r="H10274" s="1408"/>
      <c r="K10274" s="841" t="s">
        <v>3218</v>
      </c>
      <c r="M10274" s="1357"/>
      <c r="Q10274" s="1357"/>
      <c r="S10274" s="1420"/>
      <c r="T10274" s="1420"/>
      <c r="V10274" s="1357">
        <v>48</v>
      </c>
    </row>
    <row r="10275" spans="1:22" s="841" customFormat="1" ht="15" x14ac:dyDescent="0.25">
      <c r="A10275" s="841" t="s">
        <v>2457</v>
      </c>
      <c r="B10275" s="841" t="s">
        <v>3593</v>
      </c>
      <c r="E10275" s="1690" t="s">
        <v>2449</v>
      </c>
      <c r="F10275" s="1690"/>
      <c r="G10275" s="1408" t="s">
        <v>24</v>
      </c>
      <c r="H10275" s="393">
        <v>3.2000000000000002E-3</v>
      </c>
      <c r="K10275" s="841" t="s">
        <v>5180</v>
      </c>
      <c r="L10275" s="841" t="s">
        <v>3046</v>
      </c>
      <c r="M10275" s="1357"/>
      <c r="P10275" s="841" t="s">
        <v>5186</v>
      </c>
      <c r="Q10275" s="1357"/>
      <c r="S10275" s="1420"/>
      <c r="T10275" s="1420"/>
      <c r="V10275" s="1357">
        <v>55</v>
      </c>
    </row>
    <row r="10276" spans="1:22" s="841" customFormat="1" ht="15" x14ac:dyDescent="0.25">
      <c r="A10276" s="841" t="s">
        <v>2457</v>
      </c>
      <c r="B10276" s="841" t="s">
        <v>3593</v>
      </c>
      <c r="E10276" s="1690" t="s">
        <v>2450</v>
      </c>
      <c r="F10276" s="1690"/>
      <c r="G10276" s="1408" t="s">
        <v>24</v>
      </c>
      <c r="H10276" s="393">
        <v>4.0000000000000002E-4</v>
      </c>
      <c r="K10276" s="841" t="s">
        <v>5180</v>
      </c>
      <c r="L10276" s="841" t="s">
        <v>3046</v>
      </c>
      <c r="M10276" s="1357"/>
      <c r="P10276" s="841" t="s">
        <v>5186</v>
      </c>
      <c r="Q10276" s="1357"/>
      <c r="S10276" s="1420"/>
      <c r="T10276" s="1420"/>
      <c r="V10276" s="1357">
        <v>65</v>
      </c>
    </row>
    <row r="10277" spans="1:22" s="841" customFormat="1" ht="15" x14ac:dyDescent="0.25">
      <c r="A10277" s="841" t="s">
        <v>2457</v>
      </c>
      <c r="B10277" s="841" t="s">
        <v>3593</v>
      </c>
      <c r="E10277" s="1690" t="s">
        <v>439</v>
      </c>
      <c r="F10277" s="1690"/>
      <c r="G10277" s="1408" t="s">
        <v>24</v>
      </c>
      <c r="H10277" s="393">
        <v>2.9999999999999997E-4</v>
      </c>
      <c r="K10277" s="841" t="s">
        <v>5180</v>
      </c>
      <c r="L10277" s="841" t="s">
        <v>3046</v>
      </c>
      <c r="M10277" s="1357"/>
      <c r="P10277" s="841" t="s">
        <v>5187</v>
      </c>
      <c r="Q10277" s="1357"/>
      <c r="S10277" s="1420"/>
      <c r="T10277" s="1420"/>
      <c r="V10277" s="1357">
        <v>57</v>
      </c>
    </row>
    <row r="10278" spans="1:22" s="841" customFormat="1" ht="15" x14ac:dyDescent="0.25">
      <c r="A10278" s="841" t="s">
        <v>2457</v>
      </c>
      <c r="B10278" s="841" t="s">
        <v>3593</v>
      </c>
      <c r="E10278" s="1690" t="s">
        <v>32</v>
      </c>
      <c r="F10278" s="1690"/>
      <c r="G10278" s="1408" t="s">
        <v>23</v>
      </c>
      <c r="H10278" s="391">
        <v>0.25</v>
      </c>
      <c r="K10278" s="841" t="s">
        <v>5180</v>
      </c>
      <c r="L10278" s="841" t="s">
        <v>3046</v>
      </c>
      <c r="M10278" s="1357"/>
      <c r="P10278" s="841" t="s">
        <v>5188</v>
      </c>
      <c r="Q10278" s="1357"/>
      <c r="S10278" s="1420"/>
      <c r="T10278" s="1420"/>
      <c r="V10278" s="1357">
        <v>63</v>
      </c>
    </row>
    <row r="10279" spans="1:22" s="841" customFormat="1" x14ac:dyDescent="0.25">
      <c r="A10279" s="841" t="s">
        <v>2457</v>
      </c>
      <c r="B10279" s="841" t="s">
        <v>3593</v>
      </c>
      <c r="E10279" s="1909" t="s">
        <v>3219</v>
      </c>
      <c r="F10279" s="1915"/>
      <c r="G10279" s="1915"/>
      <c r="H10279" s="1915"/>
      <c r="K10279" s="841" t="s">
        <v>5189</v>
      </c>
      <c r="M10279" s="1357"/>
      <c r="Q10279" s="1357"/>
      <c r="S10279" s="1420"/>
      <c r="T10279" s="1420"/>
      <c r="V10279" s="1357">
        <v>56</v>
      </c>
    </row>
    <row r="10280" spans="1:22" s="841" customFormat="1" ht="15" x14ac:dyDescent="0.25">
      <c r="A10280" s="841" t="s">
        <v>2457</v>
      </c>
      <c r="B10280" s="841" t="s">
        <v>3593</v>
      </c>
      <c r="E10280" s="1689" t="s">
        <v>3598</v>
      </c>
      <c r="F10280" s="1689"/>
      <c r="G10280" s="1689"/>
      <c r="H10280" s="1689"/>
      <c r="K10280" s="841" t="s">
        <v>5189</v>
      </c>
      <c r="M10280" s="1357"/>
      <c r="Q10280" s="1357"/>
      <c r="S10280" s="1420"/>
      <c r="T10280" s="1420"/>
      <c r="V10280" s="1357">
        <v>663</v>
      </c>
    </row>
    <row r="10281" spans="1:22" s="841" customFormat="1" ht="15" x14ac:dyDescent="0.25">
      <c r="A10281" s="841" t="s">
        <v>2457</v>
      </c>
      <c r="B10281" s="841" t="s">
        <v>3593</v>
      </c>
      <c r="E10281" s="1916" t="s">
        <v>3061</v>
      </c>
      <c r="F10281" s="1697"/>
      <c r="G10281" s="1697"/>
      <c r="H10281" s="1697"/>
      <c r="K10281" s="841" t="s">
        <v>3221</v>
      </c>
      <c r="M10281" s="1357"/>
      <c r="Q10281" s="1357"/>
      <c r="S10281" s="1420"/>
      <c r="T10281" s="1420"/>
      <c r="V10281" s="1357">
        <v>11</v>
      </c>
    </row>
    <row r="10282" spans="1:22" s="841" customFormat="1" ht="15" x14ac:dyDescent="0.25">
      <c r="A10282" s="841" t="s">
        <v>2457</v>
      </c>
      <c r="B10282" s="841" t="s">
        <v>3593</v>
      </c>
      <c r="E10282" s="1689" t="s">
        <v>3063</v>
      </c>
      <c r="F10282" s="1689"/>
      <c r="G10282" s="1689"/>
      <c r="H10282" s="1689"/>
      <c r="K10282" s="841" t="s">
        <v>5189</v>
      </c>
      <c r="M10282" s="1357"/>
      <c r="Q10282" s="1357"/>
      <c r="S10282" s="1420"/>
      <c r="T10282" s="1420"/>
      <c r="V10282" s="1357">
        <v>280</v>
      </c>
    </row>
    <row r="10283" spans="1:22" s="841" customFormat="1" ht="15" x14ac:dyDescent="0.25">
      <c r="A10283" s="841" t="s">
        <v>2457</v>
      </c>
      <c r="B10283" s="841" t="s">
        <v>3593</v>
      </c>
      <c r="E10283" s="1689" t="s">
        <v>3064</v>
      </c>
      <c r="F10283" s="1689"/>
      <c r="G10283" s="1689"/>
      <c r="H10283" s="1689"/>
      <c r="K10283" s="841" t="s">
        <v>5189</v>
      </c>
      <c r="M10283" s="1357"/>
      <c r="Q10283" s="1357"/>
      <c r="S10283" s="1420"/>
      <c r="T10283" s="1420"/>
      <c r="V10283" s="1357">
        <v>411</v>
      </c>
    </row>
    <row r="10284" spans="1:22" s="841" customFormat="1" ht="15" x14ac:dyDescent="0.25">
      <c r="A10284" s="841" t="s">
        <v>2457</v>
      </c>
      <c r="B10284" s="841" t="s">
        <v>3593</v>
      </c>
      <c r="E10284" s="1689" t="s">
        <v>3065</v>
      </c>
      <c r="F10284" s="1689"/>
      <c r="G10284" s="1689"/>
      <c r="H10284" s="1689"/>
      <c r="K10284" s="841" t="s">
        <v>5189</v>
      </c>
      <c r="M10284" s="1357"/>
      <c r="Q10284" s="1357"/>
      <c r="S10284" s="1420"/>
      <c r="T10284" s="1420"/>
      <c r="V10284" s="1357">
        <v>387</v>
      </c>
    </row>
    <row r="10285" spans="1:22" s="841" customFormat="1" ht="15" x14ac:dyDescent="0.25">
      <c r="A10285" s="841" t="s">
        <v>2457</v>
      </c>
      <c r="B10285" s="841" t="s">
        <v>3593</v>
      </c>
      <c r="E10285" s="1689" t="s">
        <v>5297</v>
      </c>
      <c r="F10285" s="1689"/>
      <c r="G10285" s="1689"/>
      <c r="H10285" s="1689"/>
      <c r="K10285" s="841" t="s">
        <v>5189</v>
      </c>
      <c r="M10285" s="1357"/>
      <c r="Q10285" s="1357"/>
      <c r="S10285" s="1420"/>
      <c r="T10285" s="1420"/>
      <c r="V10285" s="1357">
        <v>657</v>
      </c>
    </row>
    <row r="10286" spans="1:22" s="841" customFormat="1" ht="15" x14ac:dyDescent="0.25">
      <c r="A10286" s="841" t="s">
        <v>2457</v>
      </c>
      <c r="B10286" s="841" t="s">
        <v>3593</v>
      </c>
      <c r="E10286" s="1689" t="s">
        <v>3627</v>
      </c>
      <c r="F10286" s="1689"/>
      <c r="G10286" s="1689"/>
      <c r="H10286" s="1689"/>
      <c r="K10286" s="841" t="s">
        <v>5189</v>
      </c>
      <c r="M10286" s="1357"/>
      <c r="Q10286" s="1357"/>
      <c r="S10286" s="1420"/>
      <c r="T10286" s="1420"/>
      <c r="V10286" s="1357">
        <v>610</v>
      </c>
    </row>
    <row r="10287" spans="1:22" s="841" customFormat="1" ht="15" x14ac:dyDescent="0.25">
      <c r="A10287" s="841" t="s">
        <v>2457</v>
      </c>
      <c r="B10287" s="841" t="s">
        <v>3593</v>
      </c>
      <c r="E10287" s="1689" t="s">
        <v>3200</v>
      </c>
      <c r="F10287" s="1689"/>
      <c r="G10287" s="1689"/>
      <c r="H10287" s="1689"/>
      <c r="K10287" s="841" t="s">
        <v>5189</v>
      </c>
      <c r="M10287" s="1357"/>
      <c r="Q10287" s="1357"/>
      <c r="S10287" s="1420"/>
      <c r="T10287" s="1420"/>
      <c r="V10287" s="1357">
        <v>275</v>
      </c>
    </row>
    <row r="10288" spans="1:22" s="841" customFormat="1" ht="15" x14ac:dyDescent="0.25">
      <c r="A10288" s="841" t="s">
        <v>2457</v>
      </c>
      <c r="B10288" s="841" t="s">
        <v>3593</v>
      </c>
      <c r="E10288" s="1694" t="s">
        <v>3067</v>
      </c>
      <c r="F10288" s="1907"/>
      <c r="G10288" s="1907"/>
      <c r="H10288" s="1907"/>
      <c r="K10288" s="841" t="s">
        <v>3224</v>
      </c>
      <c r="M10288" s="1357"/>
      <c r="Q10288" s="1357"/>
      <c r="S10288" s="1420"/>
      <c r="T10288" s="1420"/>
      <c r="V10288" s="1357">
        <v>46</v>
      </c>
    </row>
    <row r="10289" spans="1:22" s="841" customFormat="1" ht="15" x14ac:dyDescent="0.25">
      <c r="A10289" s="841" t="s">
        <v>2457</v>
      </c>
      <c r="B10289" s="841" t="s">
        <v>3593</v>
      </c>
      <c r="E10289" s="1690" t="s">
        <v>11</v>
      </c>
      <c r="F10289" s="1690"/>
      <c r="G10289" s="1408" t="s">
        <v>23</v>
      </c>
      <c r="H10289" s="391">
        <v>1047.77</v>
      </c>
      <c r="K10289" s="841" t="s">
        <v>5189</v>
      </c>
      <c r="L10289" s="841" t="s">
        <v>442</v>
      </c>
      <c r="M10289" s="1357"/>
      <c r="P10289" s="841" t="s">
        <v>5190</v>
      </c>
      <c r="Q10289" s="1357"/>
      <c r="S10289" s="1420"/>
      <c r="T10289" s="1420"/>
      <c r="V10289" s="1357">
        <v>14</v>
      </c>
    </row>
    <row r="10290" spans="1:22" s="841" customFormat="1" ht="15" x14ac:dyDescent="0.25">
      <c r="A10290" s="841" t="s">
        <v>2457</v>
      </c>
      <c r="B10290" s="841" t="s">
        <v>3593</v>
      </c>
      <c r="E10290" s="1690" t="s">
        <v>84</v>
      </c>
      <c r="F10290" s="1690"/>
      <c r="G10290" s="1408" t="s">
        <v>33</v>
      </c>
      <c r="H10290" s="393">
        <v>3.6469999999999998</v>
      </c>
      <c r="K10290" s="841" t="s">
        <v>5189</v>
      </c>
      <c r="L10290" s="841" t="s">
        <v>442</v>
      </c>
      <c r="M10290" s="1357"/>
      <c r="P10290" s="841" t="s">
        <v>5191</v>
      </c>
      <c r="Q10290" s="1357"/>
      <c r="S10290" s="1420"/>
      <c r="T10290" s="1420"/>
      <c r="V10290" s="1357">
        <v>28</v>
      </c>
    </row>
    <row r="10291" spans="1:22" s="841" customFormat="1" ht="15" x14ac:dyDescent="0.25">
      <c r="A10291" s="841" t="s">
        <v>2457</v>
      </c>
      <c r="B10291" s="841" t="s">
        <v>3593</v>
      </c>
      <c r="E10291" s="1690" t="s">
        <v>18</v>
      </c>
      <c r="F10291" s="1690"/>
      <c r="G10291" s="1408" t="s">
        <v>33</v>
      </c>
      <c r="H10291" s="393">
        <v>4.2099999999999999E-2</v>
      </c>
      <c r="K10291" s="841" t="s">
        <v>5189</v>
      </c>
      <c r="L10291" s="841" t="s">
        <v>443</v>
      </c>
      <c r="M10291" s="1357"/>
      <c r="P10291" s="841" t="s">
        <v>5192</v>
      </c>
      <c r="Q10291" s="1357"/>
      <c r="S10291" s="1420"/>
      <c r="T10291" s="1420"/>
      <c r="V10291" s="1357">
        <v>24</v>
      </c>
    </row>
    <row r="10292" spans="1:22" s="841" customFormat="1" ht="15" x14ac:dyDescent="0.25">
      <c r="A10292" s="841" t="s">
        <v>2457</v>
      </c>
      <c r="B10292" s="841" t="s">
        <v>3593</v>
      </c>
      <c r="E10292" s="1690" t="s">
        <v>5129</v>
      </c>
      <c r="F10292" s="1908"/>
      <c r="G10292" s="1408" t="s">
        <v>24</v>
      </c>
      <c r="H10292" s="393">
        <v>3.3E-3</v>
      </c>
      <c r="K10292" s="841" t="s">
        <v>5189</v>
      </c>
      <c r="L10292" s="841" t="s">
        <v>443</v>
      </c>
      <c r="M10292" s="1357"/>
      <c r="P10292" s="841" t="s">
        <v>5467</v>
      </c>
      <c r="Q10292" s="1357"/>
      <c r="S10292" s="1420"/>
      <c r="T10292" s="1420">
        <v>43585</v>
      </c>
      <c r="V10292" s="1357">
        <v>139</v>
      </c>
    </row>
    <row r="10293" spans="1:22" s="841" customFormat="1" ht="15" x14ac:dyDescent="0.25">
      <c r="A10293" s="841" t="s">
        <v>2457</v>
      </c>
      <c r="B10293" s="841" t="s">
        <v>3593</v>
      </c>
      <c r="E10293" s="1690" t="s">
        <v>5305</v>
      </c>
      <c r="F10293" s="1908"/>
      <c r="G10293" s="1408" t="s">
        <v>33</v>
      </c>
      <c r="H10293" s="393">
        <v>-2.2353999999999998</v>
      </c>
      <c r="K10293" s="841" t="s">
        <v>5189</v>
      </c>
      <c r="L10293" s="841" t="s">
        <v>443</v>
      </c>
      <c r="M10293" s="1357"/>
      <c r="P10293" s="841" t="s">
        <v>5469</v>
      </c>
      <c r="Q10293" s="1357"/>
      <c r="S10293" s="1420"/>
      <c r="T10293" s="1420">
        <v>43585</v>
      </c>
      <c r="V10293" s="1357">
        <v>156</v>
      </c>
    </row>
    <row r="10294" spans="1:22" s="841" customFormat="1" ht="15" x14ac:dyDescent="0.25">
      <c r="A10294" s="841" t="s">
        <v>2457</v>
      </c>
      <c r="B10294" s="841" t="s">
        <v>3593</v>
      </c>
      <c r="E10294" s="1690" t="s">
        <v>5130</v>
      </c>
      <c r="F10294" s="1908"/>
      <c r="G10294" s="1408" t="s">
        <v>33</v>
      </c>
      <c r="H10294" s="393">
        <v>-0.39839999999999998</v>
      </c>
      <c r="K10294" s="841" t="s">
        <v>5189</v>
      </c>
      <c r="L10294" s="841" t="s">
        <v>443</v>
      </c>
      <c r="M10294" s="1357"/>
      <c r="P10294" s="841" t="s">
        <v>5469</v>
      </c>
      <c r="Q10294" s="1357"/>
      <c r="S10294" s="1420"/>
      <c r="T10294" s="1420">
        <v>43585</v>
      </c>
      <c r="V10294" s="1357">
        <v>96</v>
      </c>
    </row>
    <row r="10295" spans="1:22" s="841" customFormat="1" ht="15" x14ac:dyDescent="0.25">
      <c r="A10295" s="841" t="s">
        <v>2457</v>
      </c>
      <c r="B10295" s="841" t="s">
        <v>3593</v>
      </c>
      <c r="E10295" s="1690" t="s">
        <v>5495</v>
      </c>
      <c r="F10295" s="1908"/>
      <c r="G10295" s="1408" t="s">
        <v>33</v>
      </c>
      <c r="H10295" s="393">
        <v>0.1709</v>
      </c>
      <c r="K10295" s="841" t="s">
        <v>5189</v>
      </c>
      <c r="L10295" s="841" t="s">
        <v>443</v>
      </c>
      <c r="M10295" s="1357"/>
      <c r="P10295" s="841" t="s">
        <v>5470</v>
      </c>
      <c r="Q10295" s="1357"/>
      <c r="S10295" s="1420"/>
      <c r="T10295" s="1420">
        <v>43585</v>
      </c>
      <c r="V10295" s="1357">
        <v>139</v>
      </c>
    </row>
    <row r="10296" spans="1:22" s="841" customFormat="1" ht="15" x14ac:dyDescent="0.25">
      <c r="A10296" s="841" t="s">
        <v>2457</v>
      </c>
      <c r="B10296" s="841" t="s">
        <v>3593</v>
      </c>
      <c r="E10296" s="1690" t="s">
        <v>221</v>
      </c>
      <c r="F10296" s="1690"/>
      <c r="G10296" s="1408" t="s">
        <v>33</v>
      </c>
      <c r="H10296" s="393">
        <v>2.5491000000000001</v>
      </c>
      <c r="K10296" s="841" t="s">
        <v>5189</v>
      </c>
      <c r="L10296" s="841" t="s">
        <v>444</v>
      </c>
      <c r="M10296" s="1357"/>
      <c r="P10296" s="841" t="s">
        <v>5193</v>
      </c>
      <c r="Q10296" s="1357"/>
      <c r="S10296" s="1420"/>
      <c r="T10296" s="1420"/>
      <c r="V10296" s="1357">
        <v>47</v>
      </c>
    </row>
    <row r="10297" spans="1:22" s="841" customFormat="1" ht="15" x14ac:dyDescent="0.25">
      <c r="A10297" s="841" t="s">
        <v>2457</v>
      </c>
      <c r="B10297" s="841" t="s">
        <v>3593</v>
      </c>
      <c r="E10297" s="1690" t="s">
        <v>217</v>
      </c>
      <c r="F10297" s="1690"/>
      <c r="G10297" s="1408" t="s">
        <v>33</v>
      </c>
      <c r="H10297" s="393">
        <v>1.9499</v>
      </c>
      <c r="K10297" s="841" t="s">
        <v>5189</v>
      </c>
      <c r="L10297" s="841" t="s">
        <v>444</v>
      </c>
      <c r="M10297" s="1357"/>
      <c r="P10297" s="841" t="s">
        <v>5194</v>
      </c>
      <c r="Q10297" s="1357"/>
      <c r="S10297" s="1420"/>
      <c r="T10297" s="1420"/>
      <c r="V10297" s="1357">
        <v>74</v>
      </c>
    </row>
    <row r="10298" spans="1:22" s="841" customFormat="1" ht="15" x14ac:dyDescent="0.25">
      <c r="A10298" s="841" t="s">
        <v>2457</v>
      </c>
      <c r="B10298" s="841" t="s">
        <v>3593</v>
      </c>
      <c r="E10298" s="1694" t="s">
        <v>3079</v>
      </c>
      <c r="F10298" s="1690"/>
      <c r="G10298" s="1408"/>
      <c r="H10298" s="1408"/>
      <c r="K10298" s="841" t="s">
        <v>3225</v>
      </c>
      <c r="M10298" s="1357"/>
      <c r="Q10298" s="1357"/>
      <c r="S10298" s="1420"/>
      <c r="T10298" s="1420"/>
      <c r="V10298" s="1357">
        <v>48</v>
      </c>
    </row>
    <row r="10299" spans="1:22" s="841" customFormat="1" ht="15" x14ac:dyDescent="0.25">
      <c r="A10299" s="841" t="s">
        <v>2457</v>
      </c>
      <c r="B10299" s="841" t="s">
        <v>3593</v>
      </c>
      <c r="E10299" s="1690" t="s">
        <v>2449</v>
      </c>
      <c r="F10299" s="1690"/>
      <c r="G10299" s="1408" t="s">
        <v>24</v>
      </c>
      <c r="H10299" s="393">
        <v>3.2000000000000002E-3</v>
      </c>
      <c r="K10299" s="841" t="s">
        <v>5189</v>
      </c>
      <c r="L10299" s="841" t="s">
        <v>3046</v>
      </c>
      <c r="M10299" s="1357"/>
      <c r="P10299" s="841" t="s">
        <v>5195</v>
      </c>
      <c r="Q10299" s="1357"/>
      <c r="S10299" s="1420"/>
      <c r="T10299" s="1420"/>
      <c r="V10299" s="1357">
        <v>55</v>
      </c>
    </row>
    <row r="10300" spans="1:22" s="841" customFormat="1" ht="15" x14ac:dyDescent="0.25">
      <c r="A10300" s="841" t="s">
        <v>2457</v>
      </c>
      <c r="B10300" s="841" t="s">
        <v>3593</v>
      </c>
      <c r="E10300" s="1690" t="s">
        <v>2450</v>
      </c>
      <c r="F10300" s="1690"/>
      <c r="G10300" s="1408" t="s">
        <v>24</v>
      </c>
      <c r="H10300" s="393">
        <v>4.0000000000000002E-4</v>
      </c>
      <c r="K10300" s="841" t="s">
        <v>5189</v>
      </c>
      <c r="L10300" s="841" t="s">
        <v>3046</v>
      </c>
      <c r="M10300" s="1357"/>
      <c r="P10300" s="841" t="s">
        <v>5195</v>
      </c>
      <c r="Q10300" s="1357"/>
      <c r="S10300" s="1420"/>
      <c r="T10300" s="1420"/>
      <c r="V10300" s="1357">
        <v>65</v>
      </c>
    </row>
    <row r="10301" spans="1:22" s="841" customFormat="1" ht="15" x14ac:dyDescent="0.25">
      <c r="A10301" s="841" t="s">
        <v>2457</v>
      </c>
      <c r="B10301" s="841" t="s">
        <v>3593</v>
      </c>
      <c r="E10301" s="1690" t="s">
        <v>439</v>
      </c>
      <c r="F10301" s="1690"/>
      <c r="G10301" s="1408" t="s">
        <v>24</v>
      </c>
      <c r="H10301" s="393">
        <v>2.9999999999999997E-4</v>
      </c>
      <c r="K10301" s="841" t="s">
        <v>5189</v>
      </c>
      <c r="L10301" s="841" t="s">
        <v>3046</v>
      </c>
      <c r="M10301" s="1357"/>
      <c r="P10301" s="841" t="s">
        <v>5196</v>
      </c>
      <c r="Q10301" s="1357"/>
      <c r="S10301" s="1420"/>
      <c r="T10301" s="1420"/>
      <c r="V10301" s="1357">
        <v>57</v>
      </c>
    </row>
    <row r="10302" spans="1:22" s="841" customFormat="1" ht="15" x14ac:dyDescent="0.25">
      <c r="A10302" s="841" t="s">
        <v>2457</v>
      </c>
      <c r="B10302" s="841" t="s">
        <v>3593</v>
      </c>
      <c r="E10302" s="1690" t="s">
        <v>32</v>
      </c>
      <c r="F10302" s="1690"/>
      <c r="G10302" s="1408" t="s">
        <v>23</v>
      </c>
      <c r="H10302" s="391">
        <v>0.25</v>
      </c>
      <c r="K10302" s="841" t="s">
        <v>5189</v>
      </c>
      <c r="L10302" s="841" t="s">
        <v>3046</v>
      </c>
      <c r="M10302" s="1357"/>
      <c r="P10302" s="841" t="s">
        <v>5197</v>
      </c>
      <c r="Q10302" s="1357"/>
      <c r="S10302" s="1420"/>
      <c r="T10302" s="1420"/>
      <c r="V10302" s="1357">
        <v>63</v>
      </c>
    </row>
    <row r="10303" spans="1:22" s="841" customFormat="1" x14ac:dyDescent="0.25">
      <c r="A10303" s="841" t="s">
        <v>2457</v>
      </c>
      <c r="B10303" s="841" t="s">
        <v>3593</v>
      </c>
      <c r="E10303" s="1909" t="s">
        <v>621</v>
      </c>
      <c r="F10303" s="1915"/>
      <c r="G10303" s="1915"/>
      <c r="H10303" s="1915"/>
      <c r="K10303" s="841" t="s">
        <v>3226</v>
      </c>
      <c r="M10303" s="1357"/>
      <c r="Q10303" s="1357"/>
      <c r="S10303" s="1420"/>
      <c r="T10303" s="1420"/>
      <c r="V10303" s="1357">
        <v>32</v>
      </c>
    </row>
    <row r="10304" spans="1:22" s="841" customFormat="1" ht="15" x14ac:dyDescent="0.25">
      <c r="A10304" s="841" t="s">
        <v>2457</v>
      </c>
      <c r="B10304" s="841" t="s">
        <v>3593</v>
      </c>
      <c r="E10304" s="1689" t="s">
        <v>3599</v>
      </c>
      <c r="F10304" s="1689"/>
      <c r="G10304" s="1689"/>
      <c r="H10304" s="1689"/>
      <c r="K10304" s="841" t="s">
        <v>3226</v>
      </c>
      <c r="M10304" s="1357"/>
      <c r="Q10304" s="1357"/>
      <c r="S10304" s="1420"/>
      <c r="T10304" s="1420"/>
      <c r="V10304" s="1357">
        <v>624</v>
      </c>
    </row>
    <row r="10305" spans="1:22" s="841" customFormat="1" ht="15" x14ac:dyDescent="0.25">
      <c r="A10305" s="841" t="s">
        <v>2457</v>
      </c>
      <c r="B10305" s="841" t="s">
        <v>3593</v>
      </c>
      <c r="E10305" s="1916" t="s">
        <v>3061</v>
      </c>
      <c r="F10305" s="1697"/>
      <c r="G10305" s="1697"/>
      <c r="H10305" s="1697"/>
      <c r="K10305" s="841" t="s">
        <v>3107</v>
      </c>
      <c r="M10305" s="1357"/>
      <c r="Q10305" s="1357"/>
      <c r="S10305" s="1420"/>
      <c r="T10305" s="1420"/>
      <c r="V10305" s="1357">
        <v>11</v>
      </c>
    </row>
    <row r="10306" spans="1:22" s="841" customFormat="1" ht="15" x14ac:dyDescent="0.25">
      <c r="A10306" s="841" t="s">
        <v>2457</v>
      </c>
      <c r="B10306" s="841" t="s">
        <v>3593</v>
      </c>
      <c r="E10306" s="1689" t="s">
        <v>3063</v>
      </c>
      <c r="F10306" s="1689"/>
      <c r="G10306" s="1689"/>
      <c r="H10306" s="1689"/>
      <c r="K10306" s="841" t="s">
        <v>3226</v>
      </c>
      <c r="M10306" s="1357"/>
      <c r="Q10306" s="1357"/>
      <c r="S10306" s="1420"/>
      <c r="T10306" s="1420"/>
      <c r="V10306" s="1357">
        <v>280</v>
      </c>
    </row>
    <row r="10307" spans="1:22" s="841" customFormat="1" ht="15" x14ac:dyDescent="0.25">
      <c r="A10307" s="841" t="s">
        <v>2457</v>
      </c>
      <c r="B10307" s="841" t="s">
        <v>3593</v>
      </c>
      <c r="E10307" s="1689" t="s">
        <v>3064</v>
      </c>
      <c r="F10307" s="1689"/>
      <c r="G10307" s="1689"/>
      <c r="H10307" s="1689"/>
      <c r="K10307" s="841" t="s">
        <v>3226</v>
      </c>
      <c r="M10307" s="1357"/>
      <c r="Q10307" s="1357"/>
      <c r="S10307" s="1420"/>
      <c r="T10307" s="1420"/>
      <c r="V10307" s="1357">
        <v>411</v>
      </c>
    </row>
    <row r="10308" spans="1:22" s="841" customFormat="1" ht="15" x14ac:dyDescent="0.25">
      <c r="A10308" s="841" t="s">
        <v>2457</v>
      </c>
      <c r="B10308" s="841" t="s">
        <v>3593</v>
      </c>
      <c r="E10308" s="1689" t="s">
        <v>3065</v>
      </c>
      <c r="F10308" s="1689"/>
      <c r="G10308" s="1689"/>
      <c r="H10308" s="1689"/>
      <c r="K10308" s="841" t="s">
        <v>3226</v>
      </c>
      <c r="M10308" s="1357"/>
      <c r="Q10308" s="1357"/>
      <c r="S10308" s="1420"/>
      <c r="T10308" s="1420"/>
      <c r="V10308" s="1357">
        <v>387</v>
      </c>
    </row>
    <row r="10309" spans="1:22" s="841" customFormat="1" ht="15" x14ac:dyDescent="0.25">
      <c r="A10309" s="841" t="s">
        <v>2457</v>
      </c>
      <c r="B10309" s="841" t="s">
        <v>3593</v>
      </c>
      <c r="E10309" s="1689" t="s">
        <v>5297</v>
      </c>
      <c r="F10309" s="1689"/>
      <c r="G10309" s="1689"/>
      <c r="H10309" s="1689"/>
      <c r="K10309" s="841" t="s">
        <v>3226</v>
      </c>
      <c r="M10309" s="1357"/>
      <c r="Q10309" s="1357"/>
      <c r="S10309" s="1420"/>
      <c r="T10309" s="1420"/>
      <c r="V10309" s="1357">
        <v>657</v>
      </c>
    </row>
    <row r="10310" spans="1:22" s="841" customFormat="1" ht="15" x14ac:dyDescent="0.25">
      <c r="A10310" s="841" t="s">
        <v>2457</v>
      </c>
      <c r="B10310" s="841" t="s">
        <v>3593</v>
      </c>
      <c r="E10310" s="1689" t="s">
        <v>3627</v>
      </c>
      <c r="F10310" s="1689"/>
      <c r="G10310" s="1689"/>
      <c r="H10310" s="1689"/>
      <c r="K10310" s="841" t="s">
        <v>3226</v>
      </c>
      <c r="M10310" s="1357"/>
      <c r="Q10310" s="1357"/>
      <c r="S10310" s="1420"/>
      <c r="T10310" s="1420"/>
      <c r="V10310" s="1357">
        <v>610</v>
      </c>
    </row>
    <row r="10311" spans="1:22" s="841" customFormat="1" ht="15" x14ac:dyDescent="0.25">
      <c r="A10311" s="841" t="s">
        <v>2457</v>
      </c>
      <c r="B10311" s="841" t="s">
        <v>3593</v>
      </c>
      <c r="E10311" s="1689" t="s">
        <v>3200</v>
      </c>
      <c r="F10311" s="1689"/>
      <c r="G10311" s="1689"/>
      <c r="H10311" s="1689"/>
      <c r="K10311" s="841" t="s">
        <v>3226</v>
      </c>
      <c r="M10311" s="1357"/>
      <c r="Q10311" s="1357"/>
      <c r="S10311" s="1420"/>
      <c r="T10311" s="1420"/>
      <c r="V10311" s="1357">
        <v>275</v>
      </c>
    </row>
    <row r="10312" spans="1:22" s="841" customFormat="1" ht="15" x14ac:dyDescent="0.25">
      <c r="A10312" s="841" t="s">
        <v>2457</v>
      </c>
      <c r="B10312" s="841" t="s">
        <v>3593</v>
      </c>
      <c r="E10312" s="1694" t="s">
        <v>3067</v>
      </c>
      <c r="F10312" s="1907"/>
      <c r="G10312" s="1907"/>
      <c r="H10312" s="1907"/>
      <c r="K10312" s="841" t="s">
        <v>3108</v>
      </c>
      <c r="M10312" s="1357"/>
      <c r="Q10312" s="1357"/>
      <c r="S10312" s="1420"/>
      <c r="T10312" s="1420"/>
      <c r="V10312" s="1357">
        <v>46</v>
      </c>
    </row>
    <row r="10313" spans="1:22" s="841" customFormat="1" ht="15" x14ac:dyDescent="0.25">
      <c r="A10313" s="841" t="s">
        <v>2457</v>
      </c>
      <c r="B10313" s="841" t="s">
        <v>3593</v>
      </c>
      <c r="E10313" s="1690" t="s">
        <v>11</v>
      </c>
      <c r="F10313" s="1690"/>
      <c r="G10313" s="1408" t="s">
        <v>23</v>
      </c>
      <c r="H10313" s="391">
        <v>8976.06</v>
      </c>
      <c r="K10313" s="841" t="s">
        <v>3226</v>
      </c>
      <c r="L10313" s="841" t="s">
        <v>442</v>
      </c>
      <c r="M10313" s="1357"/>
      <c r="P10313" s="841" t="s">
        <v>3228</v>
      </c>
      <c r="Q10313" s="1357"/>
      <c r="S10313" s="1420"/>
      <c r="T10313" s="1420"/>
      <c r="V10313" s="1357">
        <v>14</v>
      </c>
    </row>
    <row r="10314" spans="1:22" s="841" customFormat="1" ht="15" x14ac:dyDescent="0.25">
      <c r="A10314" s="841" t="s">
        <v>2457</v>
      </c>
      <c r="B10314" s="841" t="s">
        <v>3593</v>
      </c>
      <c r="E10314" s="1690" t="s">
        <v>84</v>
      </c>
      <c r="F10314" s="1690"/>
      <c r="G10314" s="1408" t="s">
        <v>33</v>
      </c>
      <c r="H10314" s="393">
        <v>2.4925999999999999</v>
      </c>
      <c r="K10314" s="841" t="s">
        <v>3226</v>
      </c>
      <c r="L10314" s="841" t="s">
        <v>442</v>
      </c>
      <c r="M10314" s="1357"/>
      <c r="P10314" s="841" t="s">
        <v>3229</v>
      </c>
      <c r="Q10314" s="1357"/>
      <c r="S10314" s="1420"/>
      <c r="T10314" s="1420"/>
      <c r="V10314" s="1357">
        <v>28</v>
      </c>
    </row>
    <row r="10315" spans="1:22" s="841" customFormat="1" ht="15" x14ac:dyDescent="0.25">
      <c r="A10315" s="841" t="s">
        <v>2457</v>
      </c>
      <c r="B10315" s="841" t="s">
        <v>3593</v>
      </c>
      <c r="E10315" s="1690" t="s">
        <v>18</v>
      </c>
      <c r="F10315" s="1690"/>
      <c r="G10315" s="1408" t="s">
        <v>33</v>
      </c>
      <c r="H10315" s="393">
        <v>4.2099999999999999E-2</v>
      </c>
      <c r="K10315" s="841" t="s">
        <v>3226</v>
      </c>
      <c r="L10315" s="841" t="s">
        <v>443</v>
      </c>
      <c r="M10315" s="1357"/>
      <c r="P10315" s="841" t="s">
        <v>3230</v>
      </c>
      <c r="Q10315" s="1357"/>
      <c r="S10315" s="1420"/>
      <c r="T10315" s="1420"/>
      <c r="V10315" s="1357">
        <v>24</v>
      </c>
    </row>
    <row r="10316" spans="1:22" s="841" customFormat="1" ht="15" x14ac:dyDescent="0.25">
      <c r="A10316" s="841" t="s">
        <v>2457</v>
      </c>
      <c r="B10316" s="841" t="s">
        <v>3593</v>
      </c>
      <c r="E10316" s="1690" t="s">
        <v>5130</v>
      </c>
      <c r="F10316" s="1908"/>
      <c r="G10316" s="1408" t="s">
        <v>33</v>
      </c>
      <c r="H10316" s="393">
        <v>-2.5356999999999998</v>
      </c>
      <c r="K10316" s="841" t="s">
        <v>3226</v>
      </c>
      <c r="L10316" s="841" t="s">
        <v>443</v>
      </c>
      <c r="M10316" s="1357"/>
      <c r="P10316" s="841" t="s">
        <v>3232</v>
      </c>
      <c r="Q10316" s="1357"/>
      <c r="S10316" s="1420"/>
      <c r="T10316" s="1420">
        <v>43585</v>
      </c>
      <c r="V10316" s="1357">
        <v>96</v>
      </c>
    </row>
    <row r="10317" spans="1:22" s="841" customFormat="1" ht="15" x14ac:dyDescent="0.25">
      <c r="A10317" s="841" t="s">
        <v>2457</v>
      </c>
      <c r="B10317" s="841" t="s">
        <v>3593</v>
      </c>
      <c r="E10317" s="1690" t="s">
        <v>221</v>
      </c>
      <c r="F10317" s="1690"/>
      <c r="G10317" s="1408" t="s">
        <v>33</v>
      </c>
      <c r="H10317" s="393">
        <v>2.4156</v>
      </c>
      <c r="K10317" s="841" t="s">
        <v>3226</v>
      </c>
      <c r="L10317" s="841" t="s">
        <v>444</v>
      </c>
      <c r="M10317" s="1357"/>
      <c r="P10317" s="841" t="s">
        <v>3600</v>
      </c>
      <c r="Q10317" s="1357"/>
      <c r="S10317" s="1420"/>
      <c r="T10317" s="1420"/>
      <c r="V10317" s="1357">
        <v>47</v>
      </c>
    </row>
    <row r="10318" spans="1:22" s="841" customFormat="1" ht="15" x14ac:dyDescent="0.25">
      <c r="A10318" s="841" t="s">
        <v>2457</v>
      </c>
      <c r="B10318" s="841" t="s">
        <v>3593</v>
      </c>
      <c r="E10318" s="1690" t="s">
        <v>217</v>
      </c>
      <c r="F10318" s="1690"/>
      <c r="G10318" s="1408" t="s">
        <v>33</v>
      </c>
      <c r="H10318" s="393">
        <v>1.9849000000000001</v>
      </c>
      <c r="K10318" s="841" t="s">
        <v>3226</v>
      </c>
      <c r="L10318" s="841" t="s">
        <v>444</v>
      </c>
      <c r="M10318" s="1357"/>
      <c r="P10318" s="841" t="s">
        <v>3601</v>
      </c>
      <c r="Q10318" s="1357"/>
      <c r="S10318" s="1420"/>
      <c r="T10318" s="1420"/>
      <c r="V10318" s="1357">
        <v>74</v>
      </c>
    </row>
    <row r="10319" spans="1:22" s="841" customFormat="1" ht="15" x14ac:dyDescent="0.25">
      <c r="A10319" s="841" t="s">
        <v>2457</v>
      </c>
      <c r="B10319" s="841" t="s">
        <v>3593</v>
      </c>
      <c r="E10319" s="1694" t="s">
        <v>3079</v>
      </c>
      <c r="F10319" s="1690"/>
      <c r="G10319" s="1408"/>
      <c r="H10319" s="1408"/>
      <c r="K10319" s="841" t="s">
        <v>3111</v>
      </c>
      <c r="M10319" s="1357"/>
      <c r="Q10319" s="1357"/>
      <c r="S10319" s="1420"/>
      <c r="T10319" s="1420"/>
      <c r="V10319" s="1357">
        <v>48</v>
      </c>
    </row>
    <row r="10320" spans="1:22" s="841" customFormat="1" ht="15" x14ac:dyDescent="0.25">
      <c r="A10320" s="841" t="s">
        <v>2457</v>
      </c>
      <c r="B10320" s="841" t="s">
        <v>3593</v>
      </c>
      <c r="E10320" s="1690" t="s">
        <v>2449</v>
      </c>
      <c r="F10320" s="1690"/>
      <c r="G10320" s="1408" t="s">
        <v>24</v>
      </c>
      <c r="H10320" s="393">
        <v>3.2000000000000002E-3</v>
      </c>
      <c r="K10320" s="841" t="s">
        <v>3226</v>
      </c>
      <c r="L10320" s="841" t="s">
        <v>3046</v>
      </c>
      <c r="M10320" s="1357"/>
      <c r="P10320" s="841" t="s">
        <v>3235</v>
      </c>
      <c r="Q10320" s="1357"/>
      <c r="S10320" s="1420"/>
      <c r="T10320" s="1420"/>
      <c r="V10320" s="1357">
        <v>55</v>
      </c>
    </row>
    <row r="10321" spans="1:22" s="841" customFormat="1" ht="15" x14ac:dyDescent="0.25">
      <c r="A10321" s="841" t="s">
        <v>2457</v>
      </c>
      <c r="B10321" s="841" t="s">
        <v>3593</v>
      </c>
      <c r="E10321" s="1690" t="s">
        <v>2450</v>
      </c>
      <c r="F10321" s="1690"/>
      <c r="G10321" s="1408" t="s">
        <v>24</v>
      </c>
      <c r="H10321" s="393">
        <v>4.0000000000000002E-4</v>
      </c>
      <c r="K10321" s="841" t="s">
        <v>3226</v>
      </c>
      <c r="L10321" s="841" t="s">
        <v>3046</v>
      </c>
      <c r="M10321" s="1357"/>
      <c r="P10321" s="841" t="s">
        <v>3235</v>
      </c>
      <c r="Q10321" s="1357"/>
      <c r="S10321" s="1420"/>
      <c r="T10321" s="1420"/>
      <c r="V10321" s="1357">
        <v>65</v>
      </c>
    </row>
    <row r="10322" spans="1:22" s="841" customFormat="1" ht="15" x14ac:dyDescent="0.25">
      <c r="A10322" s="841" t="s">
        <v>2457</v>
      </c>
      <c r="B10322" s="841" t="s">
        <v>3593</v>
      </c>
      <c r="E10322" s="1690" t="s">
        <v>439</v>
      </c>
      <c r="F10322" s="1690"/>
      <c r="G10322" s="1408" t="s">
        <v>24</v>
      </c>
      <c r="H10322" s="393">
        <v>2.9999999999999997E-4</v>
      </c>
      <c r="K10322" s="841" t="s">
        <v>3226</v>
      </c>
      <c r="L10322" s="841" t="s">
        <v>3046</v>
      </c>
      <c r="M10322" s="1357"/>
      <c r="P10322" s="841" t="s">
        <v>3236</v>
      </c>
      <c r="Q10322" s="1357"/>
      <c r="S10322" s="1420"/>
      <c r="T10322" s="1420"/>
      <c r="V10322" s="1357">
        <v>57</v>
      </c>
    </row>
    <row r="10323" spans="1:22" s="841" customFormat="1" ht="15" x14ac:dyDescent="0.25">
      <c r="A10323" s="841" t="s">
        <v>2457</v>
      </c>
      <c r="B10323" s="841" t="s">
        <v>3593</v>
      </c>
      <c r="E10323" s="1690" t="s">
        <v>32</v>
      </c>
      <c r="F10323" s="1690"/>
      <c r="G10323" s="1408" t="s">
        <v>23</v>
      </c>
      <c r="H10323" s="391">
        <v>0.25</v>
      </c>
      <c r="K10323" s="841" t="s">
        <v>3226</v>
      </c>
      <c r="L10323" s="841" t="s">
        <v>3046</v>
      </c>
      <c r="M10323" s="1357"/>
      <c r="P10323" s="841" t="s">
        <v>3237</v>
      </c>
      <c r="Q10323" s="1357"/>
      <c r="S10323" s="1420"/>
      <c r="T10323" s="1420"/>
      <c r="V10323" s="1357">
        <v>63</v>
      </c>
    </row>
    <row r="10324" spans="1:22" s="841" customFormat="1" x14ac:dyDescent="0.25">
      <c r="A10324" s="841" t="s">
        <v>2457</v>
      </c>
      <c r="B10324" s="841" t="s">
        <v>3593</v>
      </c>
      <c r="E10324" s="1909" t="s">
        <v>617</v>
      </c>
      <c r="F10324" s="1915"/>
      <c r="G10324" s="1915"/>
      <c r="H10324" s="1915"/>
      <c r="K10324" s="841" t="s">
        <v>3238</v>
      </c>
      <c r="M10324" s="1357"/>
      <c r="Q10324" s="1357"/>
      <c r="S10324" s="1420"/>
      <c r="T10324" s="1420"/>
      <c r="V10324" s="1357">
        <v>47</v>
      </c>
    </row>
    <row r="10325" spans="1:22" s="841" customFormat="1" ht="15" x14ac:dyDescent="0.25">
      <c r="A10325" s="841" t="s">
        <v>2457</v>
      </c>
      <c r="B10325" s="841" t="s">
        <v>3593</v>
      </c>
      <c r="E10325" s="1689" t="s">
        <v>3602</v>
      </c>
      <c r="F10325" s="1689"/>
      <c r="G10325" s="1689"/>
      <c r="H10325" s="1689"/>
      <c r="K10325" s="841" t="s">
        <v>3238</v>
      </c>
      <c r="M10325" s="1357"/>
      <c r="Q10325" s="1357"/>
      <c r="S10325" s="1420"/>
      <c r="T10325" s="1420"/>
      <c r="V10325" s="1357">
        <v>621</v>
      </c>
    </row>
    <row r="10326" spans="1:22" s="841" customFormat="1" ht="15" x14ac:dyDescent="0.25">
      <c r="A10326" s="841" t="s">
        <v>2457</v>
      </c>
      <c r="B10326" s="841" t="s">
        <v>3593</v>
      </c>
      <c r="E10326" s="1916" t="s">
        <v>3061</v>
      </c>
      <c r="F10326" s="1697"/>
      <c r="G10326" s="1697"/>
      <c r="H10326" s="1697"/>
      <c r="K10326" s="841" t="s">
        <v>3114</v>
      </c>
      <c r="M10326" s="1357"/>
      <c r="Q10326" s="1357"/>
      <c r="S10326" s="1420"/>
      <c r="T10326" s="1420"/>
      <c r="V10326" s="1357">
        <v>11</v>
      </c>
    </row>
    <row r="10327" spans="1:22" s="841" customFormat="1" ht="15" x14ac:dyDescent="0.25">
      <c r="A10327" s="841" t="s">
        <v>2457</v>
      </c>
      <c r="B10327" s="841" t="s">
        <v>3593</v>
      </c>
      <c r="E10327" s="1689" t="s">
        <v>3063</v>
      </c>
      <c r="F10327" s="1689"/>
      <c r="G10327" s="1689"/>
      <c r="H10327" s="1689"/>
      <c r="K10327" s="841" t="s">
        <v>3238</v>
      </c>
      <c r="M10327" s="1357"/>
      <c r="Q10327" s="1357"/>
      <c r="S10327" s="1420"/>
      <c r="T10327" s="1420"/>
      <c r="V10327" s="1357">
        <v>280</v>
      </c>
    </row>
    <row r="10328" spans="1:22" s="841" customFormat="1" ht="15" x14ac:dyDescent="0.25">
      <c r="A10328" s="841" t="s">
        <v>2457</v>
      </c>
      <c r="B10328" s="841" t="s">
        <v>3593</v>
      </c>
      <c r="E10328" s="1689" t="s">
        <v>3064</v>
      </c>
      <c r="F10328" s="1689"/>
      <c r="G10328" s="1689"/>
      <c r="H10328" s="1689"/>
      <c r="K10328" s="841" t="s">
        <v>3238</v>
      </c>
      <c r="M10328" s="1357"/>
      <c r="Q10328" s="1357"/>
      <c r="S10328" s="1420"/>
      <c r="T10328" s="1420"/>
      <c r="V10328" s="1357">
        <v>411</v>
      </c>
    </row>
    <row r="10329" spans="1:22" s="841" customFormat="1" ht="15" x14ac:dyDescent="0.25">
      <c r="A10329" s="841" t="s">
        <v>2457</v>
      </c>
      <c r="B10329" s="841" t="s">
        <v>3593</v>
      </c>
      <c r="E10329" s="1689" t="s">
        <v>3065</v>
      </c>
      <c r="F10329" s="1689"/>
      <c r="G10329" s="1689"/>
      <c r="H10329" s="1689"/>
      <c r="K10329" s="841" t="s">
        <v>3238</v>
      </c>
      <c r="M10329" s="1357"/>
      <c r="Q10329" s="1357"/>
      <c r="S10329" s="1420"/>
      <c r="T10329" s="1420"/>
      <c r="V10329" s="1357">
        <v>387</v>
      </c>
    </row>
    <row r="10330" spans="1:22" s="841" customFormat="1" ht="15" x14ac:dyDescent="0.25">
      <c r="A10330" s="841" t="s">
        <v>2457</v>
      </c>
      <c r="B10330" s="841" t="s">
        <v>3593</v>
      </c>
      <c r="E10330" s="1689" t="s">
        <v>3627</v>
      </c>
      <c r="F10330" s="1689"/>
      <c r="G10330" s="1689"/>
      <c r="H10330" s="1689"/>
      <c r="K10330" s="841" t="s">
        <v>3238</v>
      </c>
      <c r="M10330" s="1357"/>
      <c r="Q10330" s="1357"/>
      <c r="S10330" s="1420"/>
      <c r="T10330" s="1420"/>
      <c r="V10330" s="1357">
        <v>610</v>
      </c>
    </row>
    <row r="10331" spans="1:22" s="841" customFormat="1" ht="15" x14ac:dyDescent="0.25">
      <c r="A10331" s="841" t="s">
        <v>2457</v>
      </c>
      <c r="B10331" s="841" t="s">
        <v>3593</v>
      </c>
      <c r="E10331" s="1689" t="s">
        <v>3200</v>
      </c>
      <c r="F10331" s="1689"/>
      <c r="G10331" s="1689"/>
      <c r="H10331" s="1689"/>
      <c r="K10331" s="841" t="s">
        <v>3238</v>
      </c>
      <c r="M10331" s="1357"/>
      <c r="Q10331" s="1357"/>
      <c r="S10331" s="1420"/>
      <c r="T10331" s="1420"/>
      <c r="V10331" s="1357">
        <v>275</v>
      </c>
    </row>
    <row r="10332" spans="1:22" s="841" customFormat="1" ht="15" x14ac:dyDescent="0.25">
      <c r="A10332" s="841" t="s">
        <v>2457</v>
      </c>
      <c r="B10332" s="841" t="s">
        <v>3593</v>
      </c>
      <c r="E10332" s="1694" t="s">
        <v>3067</v>
      </c>
      <c r="F10332" s="1907"/>
      <c r="G10332" s="1907"/>
      <c r="H10332" s="1907"/>
      <c r="K10332" s="841" t="s">
        <v>3115</v>
      </c>
      <c r="M10332" s="1357"/>
      <c r="Q10332" s="1357"/>
      <c r="S10332" s="1420"/>
      <c r="T10332" s="1420"/>
      <c r="V10332" s="1357">
        <v>46</v>
      </c>
    </row>
    <row r="10333" spans="1:22" s="841" customFormat="1" ht="15" x14ac:dyDescent="0.25">
      <c r="A10333" s="841" t="s">
        <v>2457</v>
      </c>
      <c r="B10333" s="841" t="s">
        <v>3593</v>
      </c>
      <c r="E10333" s="1690" t="s">
        <v>12</v>
      </c>
      <c r="F10333" s="1690"/>
      <c r="G10333" s="1408" t="s">
        <v>23</v>
      </c>
      <c r="H10333" s="391">
        <v>5.89</v>
      </c>
      <c r="K10333" s="841" t="s">
        <v>3238</v>
      </c>
      <c r="L10333" s="841" t="s">
        <v>442</v>
      </c>
      <c r="M10333" s="1357"/>
      <c r="P10333" s="841" t="s">
        <v>3240</v>
      </c>
      <c r="Q10333" s="1357"/>
      <c r="S10333" s="1420"/>
      <c r="T10333" s="1420"/>
      <c r="V10333" s="1357">
        <v>31</v>
      </c>
    </row>
    <row r="10334" spans="1:22" s="841" customFormat="1" ht="15" x14ac:dyDescent="0.25">
      <c r="A10334" s="841" t="s">
        <v>2457</v>
      </c>
      <c r="B10334" s="841" t="s">
        <v>3593</v>
      </c>
      <c r="E10334" s="1690" t="s">
        <v>84</v>
      </c>
      <c r="F10334" s="1690"/>
      <c r="G10334" s="1408" t="s">
        <v>24</v>
      </c>
      <c r="H10334" s="393">
        <v>1.26E-2</v>
      </c>
      <c r="K10334" s="841" t="s">
        <v>3238</v>
      </c>
      <c r="L10334" s="841" t="s">
        <v>442</v>
      </c>
      <c r="M10334" s="1357"/>
      <c r="P10334" s="841" t="s">
        <v>3241</v>
      </c>
      <c r="Q10334" s="1357"/>
      <c r="S10334" s="1420"/>
      <c r="T10334" s="1420"/>
      <c r="V10334" s="1357">
        <v>28</v>
      </c>
    </row>
    <row r="10335" spans="1:22" s="841" customFormat="1" ht="15" x14ac:dyDescent="0.25">
      <c r="A10335" s="841" t="s">
        <v>2457</v>
      </c>
      <c r="B10335" s="841" t="s">
        <v>3593</v>
      </c>
      <c r="E10335" s="1690" t="s">
        <v>18</v>
      </c>
      <c r="F10335" s="1690"/>
      <c r="G10335" s="1408" t="s">
        <v>24</v>
      </c>
      <c r="H10335" s="393">
        <v>1E-4</v>
      </c>
      <c r="K10335" s="841" t="s">
        <v>3238</v>
      </c>
      <c r="L10335" s="841" t="s">
        <v>443</v>
      </c>
      <c r="M10335" s="1357"/>
      <c r="P10335" s="841" t="s">
        <v>3242</v>
      </c>
      <c r="Q10335" s="1357"/>
      <c r="S10335" s="1420"/>
      <c r="T10335" s="1420"/>
      <c r="V10335" s="1357">
        <v>24</v>
      </c>
    </row>
    <row r="10336" spans="1:22" s="841" customFormat="1" ht="15" x14ac:dyDescent="0.25">
      <c r="A10336" s="841" t="s">
        <v>2457</v>
      </c>
      <c r="B10336" s="841" t="s">
        <v>3593</v>
      </c>
      <c r="E10336" s="1690" t="s">
        <v>5129</v>
      </c>
      <c r="F10336" s="1908"/>
      <c r="G10336" s="1408" t="s">
        <v>24</v>
      </c>
      <c r="H10336" s="393">
        <v>3.2000000000000002E-3</v>
      </c>
      <c r="K10336" s="841" t="s">
        <v>3238</v>
      </c>
      <c r="L10336" s="841" t="s">
        <v>443</v>
      </c>
      <c r="M10336" s="1357"/>
      <c r="P10336" s="841" t="s">
        <v>3663</v>
      </c>
      <c r="Q10336" s="1357"/>
      <c r="S10336" s="1420"/>
      <c r="T10336" s="1420">
        <v>43585</v>
      </c>
      <c r="V10336" s="1357">
        <v>139</v>
      </c>
    </row>
    <row r="10337" spans="1:22" s="841" customFormat="1" ht="15" x14ac:dyDescent="0.25">
      <c r="A10337" s="841" t="s">
        <v>2457</v>
      </c>
      <c r="B10337" s="841" t="s">
        <v>3593</v>
      </c>
      <c r="E10337" s="1690" t="s">
        <v>5130</v>
      </c>
      <c r="F10337" s="1908"/>
      <c r="G10337" s="1408" t="s">
        <v>24</v>
      </c>
      <c r="H10337" s="393">
        <v>-6.1999999999999998E-3</v>
      </c>
      <c r="K10337" s="841" t="s">
        <v>3238</v>
      </c>
      <c r="L10337" s="841" t="s">
        <v>443</v>
      </c>
      <c r="M10337" s="1357"/>
      <c r="P10337" s="841" t="s">
        <v>3244</v>
      </c>
      <c r="Q10337" s="1357"/>
      <c r="S10337" s="1420"/>
      <c r="T10337" s="1420">
        <v>43585</v>
      </c>
      <c r="V10337" s="1357">
        <v>96</v>
      </c>
    </row>
    <row r="10338" spans="1:22" s="841" customFormat="1" ht="15" x14ac:dyDescent="0.25">
      <c r="A10338" s="841" t="s">
        <v>2457</v>
      </c>
      <c r="B10338" s="841" t="s">
        <v>3593</v>
      </c>
      <c r="E10338" s="1690" t="s">
        <v>5495</v>
      </c>
      <c r="F10338" s="1908"/>
      <c r="G10338" s="1408" t="s">
        <v>24</v>
      </c>
      <c r="H10338" s="393">
        <v>4.0000000000000002E-4</v>
      </c>
      <c r="K10338" s="841" t="s">
        <v>3238</v>
      </c>
      <c r="L10338" s="841" t="s">
        <v>443</v>
      </c>
      <c r="M10338" s="1357"/>
      <c r="P10338" s="841" t="s">
        <v>5365</v>
      </c>
      <c r="Q10338" s="1357"/>
      <c r="S10338" s="1420"/>
      <c r="T10338" s="1420">
        <v>43585</v>
      </c>
      <c r="V10338" s="1357">
        <v>139</v>
      </c>
    </row>
    <row r="10339" spans="1:22" s="841" customFormat="1" ht="15" x14ac:dyDescent="0.25">
      <c r="A10339" s="841" t="s">
        <v>2457</v>
      </c>
      <c r="B10339" s="841" t="s">
        <v>3593</v>
      </c>
      <c r="E10339" s="1690" t="s">
        <v>221</v>
      </c>
      <c r="F10339" s="1690"/>
      <c r="G10339" s="1408" t="s">
        <v>24</v>
      </c>
      <c r="H10339" s="393">
        <v>5.1999999999999998E-3</v>
      </c>
      <c r="K10339" s="841" t="s">
        <v>3238</v>
      </c>
      <c r="L10339" s="841" t="s">
        <v>444</v>
      </c>
      <c r="M10339" s="1357"/>
      <c r="P10339" s="841" t="s">
        <v>3245</v>
      </c>
      <c r="Q10339" s="1357"/>
      <c r="S10339" s="1420"/>
      <c r="T10339" s="1420"/>
      <c r="V10339" s="1357">
        <v>47</v>
      </c>
    </row>
    <row r="10340" spans="1:22" s="841" customFormat="1" ht="15" x14ac:dyDescent="0.25">
      <c r="A10340" s="841" t="s">
        <v>2457</v>
      </c>
      <c r="B10340" s="841" t="s">
        <v>3593</v>
      </c>
      <c r="E10340" s="1690" t="s">
        <v>217</v>
      </c>
      <c r="F10340" s="1690"/>
      <c r="G10340" s="1408" t="s">
        <v>24</v>
      </c>
      <c r="H10340" s="393">
        <v>4.1000000000000003E-3</v>
      </c>
      <c r="K10340" s="841" t="s">
        <v>3238</v>
      </c>
      <c r="L10340" s="841" t="s">
        <v>444</v>
      </c>
      <c r="M10340" s="1357"/>
      <c r="P10340" s="841" t="s">
        <v>3246</v>
      </c>
      <c r="Q10340" s="1357"/>
      <c r="S10340" s="1420"/>
      <c r="T10340" s="1420"/>
      <c r="V10340" s="1357">
        <v>74</v>
      </c>
    </row>
    <row r="10341" spans="1:22" s="841" customFormat="1" ht="15" x14ac:dyDescent="0.25">
      <c r="A10341" s="841" t="s">
        <v>2457</v>
      </c>
      <c r="B10341" s="841" t="s">
        <v>3593</v>
      </c>
      <c r="E10341" s="1694" t="s">
        <v>3079</v>
      </c>
      <c r="F10341" s="1690"/>
      <c r="G10341" s="1408"/>
      <c r="H10341" s="1408"/>
      <c r="K10341" s="841" t="s">
        <v>3122</v>
      </c>
      <c r="M10341" s="1357"/>
      <c r="Q10341" s="1357"/>
      <c r="S10341" s="1420"/>
      <c r="T10341" s="1420"/>
      <c r="V10341" s="1357">
        <v>48</v>
      </c>
    </row>
    <row r="10342" spans="1:22" s="841" customFormat="1" ht="15" x14ac:dyDescent="0.25">
      <c r="A10342" s="841" t="s">
        <v>2457</v>
      </c>
      <c r="B10342" s="841" t="s">
        <v>3593</v>
      </c>
      <c r="E10342" s="1690" t="s">
        <v>2449</v>
      </c>
      <c r="F10342" s="1690"/>
      <c r="G10342" s="1408" t="s">
        <v>24</v>
      </c>
      <c r="H10342" s="393">
        <v>3.2000000000000002E-3</v>
      </c>
      <c r="K10342" s="841" t="s">
        <v>3238</v>
      </c>
      <c r="L10342" s="841" t="s">
        <v>3046</v>
      </c>
      <c r="M10342" s="1357"/>
      <c r="P10342" s="841" t="s">
        <v>3247</v>
      </c>
      <c r="Q10342" s="1357"/>
      <c r="S10342" s="1420"/>
      <c r="T10342" s="1420"/>
      <c r="V10342" s="1357">
        <v>55</v>
      </c>
    </row>
    <row r="10343" spans="1:22" s="841" customFormat="1" ht="15" x14ac:dyDescent="0.25">
      <c r="A10343" s="841" t="s">
        <v>2457</v>
      </c>
      <c r="B10343" s="841" t="s">
        <v>3593</v>
      </c>
      <c r="E10343" s="1690" t="s">
        <v>2450</v>
      </c>
      <c r="F10343" s="1690"/>
      <c r="G10343" s="1408" t="s">
        <v>24</v>
      </c>
      <c r="H10343" s="393">
        <v>4.0000000000000002E-4</v>
      </c>
      <c r="K10343" s="841" t="s">
        <v>3238</v>
      </c>
      <c r="L10343" s="841" t="s">
        <v>3046</v>
      </c>
      <c r="M10343" s="1357"/>
      <c r="P10343" s="841" t="s">
        <v>3247</v>
      </c>
      <c r="Q10343" s="1357"/>
      <c r="S10343" s="1420"/>
      <c r="T10343" s="1420"/>
      <c r="V10343" s="1357">
        <v>65</v>
      </c>
    </row>
    <row r="10344" spans="1:22" s="841" customFormat="1" ht="15" x14ac:dyDescent="0.25">
      <c r="A10344" s="841" t="s">
        <v>2457</v>
      </c>
      <c r="B10344" s="841" t="s">
        <v>3593</v>
      </c>
      <c r="E10344" s="1690" t="s">
        <v>439</v>
      </c>
      <c r="F10344" s="1690"/>
      <c r="G10344" s="1408" t="s">
        <v>24</v>
      </c>
      <c r="H10344" s="393">
        <v>2.9999999999999997E-4</v>
      </c>
      <c r="K10344" s="841" t="s">
        <v>3238</v>
      </c>
      <c r="L10344" s="841" t="s">
        <v>3046</v>
      </c>
      <c r="M10344" s="1357"/>
      <c r="P10344" s="841" t="s">
        <v>3248</v>
      </c>
      <c r="Q10344" s="1357"/>
      <c r="S10344" s="1420"/>
      <c r="T10344" s="1420"/>
      <c r="V10344" s="1357">
        <v>57</v>
      </c>
    </row>
    <row r="10345" spans="1:22" s="841" customFormat="1" ht="15" x14ac:dyDescent="0.25">
      <c r="A10345" s="841" t="s">
        <v>2457</v>
      </c>
      <c r="B10345" s="841" t="s">
        <v>3593</v>
      </c>
      <c r="E10345" s="1690" t="s">
        <v>32</v>
      </c>
      <c r="F10345" s="1690"/>
      <c r="G10345" s="1408" t="s">
        <v>23</v>
      </c>
      <c r="H10345" s="391">
        <v>0.25</v>
      </c>
      <c r="K10345" s="841" t="s">
        <v>3238</v>
      </c>
      <c r="L10345" s="841" t="s">
        <v>3046</v>
      </c>
      <c r="M10345" s="1357"/>
      <c r="P10345" s="841" t="s">
        <v>3249</v>
      </c>
      <c r="Q10345" s="1357"/>
      <c r="S10345" s="1420"/>
      <c r="T10345" s="1420"/>
      <c r="V10345" s="1357">
        <v>63</v>
      </c>
    </row>
    <row r="10346" spans="1:22" s="841" customFormat="1" x14ac:dyDescent="0.25">
      <c r="A10346" s="841" t="s">
        <v>2457</v>
      </c>
      <c r="B10346" s="841" t="s">
        <v>3593</v>
      </c>
      <c r="E10346" s="1909" t="s">
        <v>615</v>
      </c>
      <c r="F10346" s="1915"/>
      <c r="G10346" s="1915"/>
      <c r="H10346" s="1915"/>
      <c r="K10346" s="841" t="s">
        <v>3477</v>
      </c>
      <c r="M10346" s="1357"/>
      <c r="Q10346" s="1357"/>
      <c r="S10346" s="1420"/>
      <c r="T10346" s="1420"/>
      <c r="V10346" s="1357">
        <v>38</v>
      </c>
    </row>
    <row r="10347" spans="1:22" s="841" customFormat="1" ht="15" x14ac:dyDescent="0.25">
      <c r="A10347" s="841" t="s">
        <v>2457</v>
      </c>
      <c r="B10347" s="841" t="s">
        <v>3593</v>
      </c>
      <c r="E10347" s="1689" t="s">
        <v>3603</v>
      </c>
      <c r="F10347" s="1689"/>
      <c r="G10347" s="1689"/>
      <c r="H10347" s="1689"/>
      <c r="K10347" s="841" t="s">
        <v>3477</v>
      </c>
      <c r="M10347" s="1357"/>
      <c r="Q10347" s="1357"/>
      <c r="S10347" s="1420"/>
      <c r="T10347" s="1420"/>
      <c r="V10347" s="1357">
        <v>552</v>
      </c>
    </row>
    <row r="10348" spans="1:22" s="841" customFormat="1" ht="15" x14ac:dyDescent="0.25">
      <c r="A10348" s="841" t="s">
        <v>2457</v>
      </c>
      <c r="B10348" s="841" t="s">
        <v>3593</v>
      </c>
      <c r="E10348" s="1916" t="s">
        <v>3061</v>
      </c>
      <c r="F10348" s="1697"/>
      <c r="G10348" s="1697"/>
      <c r="H10348" s="1697"/>
      <c r="K10348" s="841" t="s">
        <v>3128</v>
      </c>
      <c r="M10348" s="1357"/>
      <c r="Q10348" s="1357"/>
      <c r="S10348" s="1420"/>
      <c r="T10348" s="1420"/>
      <c r="V10348" s="1357">
        <v>11</v>
      </c>
    </row>
    <row r="10349" spans="1:22" s="841" customFormat="1" ht="15" x14ac:dyDescent="0.25">
      <c r="A10349" s="841" t="s">
        <v>2457</v>
      </c>
      <c r="B10349" s="841" t="s">
        <v>3593</v>
      </c>
      <c r="E10349" s="1689" t="s">
        <v>3063</v>
      </c>
      <c r="F10349" s="1689"/>
      <c r="G10349" s="1689"/>
      <c r="H10349" s="1689"/>
      <c r="K10349" s="841" t="s">
        <v>3477</v>
      </c>
      <c r="M10349" s="1357"/>
      <c r="Q10349" s="1357"/>
      <c r="S10349" s="1420"/>
      <c r="T10349" s="1420"/>
      <c r="V10349" s="1357">
        <v>280</v>
      </c>
    </row>
    <row r="10350" spans="1:22" s="841" customFormat="1" ht="15" x14ac:dyDescent="0.25">
      <c r="A10350" s="841" t="s">
        <v>2457</v>
      </c>
      <c r="B10350" s="841" t="s">
        <v>3593</v>
      </c>
      <c r="E10350" s="1689" t="s">
        <v>3064</v>
      </c>
      <c r="F10350" s="1689"/>
      <c r="G10350" s="1689"/>
      <c r="H10350" s="1689"/>
      <c r="K10350" s="841" t="s">
        <v>3477</v>
      </c>
      <c r="M10350" s="1357"/>
      <c r="Q10350" s="1357"/>
      <c r="S10350" s="1420"/>
      <c r="T10350" s="1420"/>
      <c r="V10350" s="1357">
        <v>411</v>
      </c>
    </row>
    <row r="10351" spans="1:22" s="841" customFormat="1" ht="15" x14ac:dyDescent="0.25">
      <c r="A10351" s="841" t="s">
        <v>2457</v>
      </c>
      <c r="B10351" s="841" t="s">
        <v>3593</v>
      </c>
      <c r="E10351" s="1689" t="s">
        <v>3065</v>
      </c>
      <c r="F10351" s="1689"/>
      <c r="G10351" s="1689"/>
      <c r="H10351" s="1689"/>
      <c r="K10351" s="841" t="s">
        <v>3477</v>
      </c>
      <c r="M10351" s="1357"/>
      <c r="Q10351" s="1357"/>
      <c r="S10351" s="1420"/>
      <c r="T10351" s="1420"/>
      <c r="V10351" s="1357">
        <v>387</v>
      </c>
    </row>
    <row r="10352" spans="1:22" s="841" customFormat="1" ht="15" x14ac:dyDescent="0.25">
      <c r="A10352" s="841" t="s">
        <v>2457</v>
      </c>
      <c r="B10352" s="841" t="s">
        <v>3593</v>
      </c>
      <c r="E10352" s="1689" t="s">
        <v>3627</v>
      </c>
      <c r="F10352" s="1689"/>
      <c r="G10352" s="1689"/>
      <c r="H10352" s="1689"/>
      <c r="K10352" s="841" t="s">
        <v>3477</v>
      </c>
      <c r="M10352" s="1357"/>
      <c r="Q10352" s="1357"/>
      <c r="S10352" s="1420"/>
      <c r="T10352" s="1420"/>
      <c r="V10352" s="1357">
        <v>610</v>
      </c>
    </row>
    <row r="10353" spans="1:22" s="841" customFormat="1" ht="15" x14ac:dyDescent="0.25">
      <c r="A10353" s="841" t="s">
        <v>2457</v>
      </c>
      <c r="B10353" s="841" t="s">
        <v>3593</v>
      </c>
      <c r="E10353" s="1689" t="s">
        <v>3200</v>
      </c>
      <c r="F10353" s="1689"/>
      <c r="G10353" s="1689"/>
      <c r="H10353" s="1689"/>
      <c r="K10353" s="841" t="s">
        <v>3477</v>
      </c>
      <c r="M10353" s="1357"/>
      <c r="Q10353" s="1357"/>
      <c r="S10353" s="1420"/>
      <c r="T10353" s="1420"/>
      <c r="V10353" s="1357">
        <v>275</v>
      </c>
    </row>
    <row r="10354" spans="1:22" s="841" customFormat="1" ht="15" x14ac:dyDescent="0.25">
      <c r="A10354" s="841" t="s">
        <v>2457</v>
      </c>
      <c r="B10354" s="841" t="s">
        <v>3593</v>
      </c>
      <c r="E10354" s="1694" t="s">
        <v>3067</v>
      </c>
      <c r="F10354" s="1907"/>
      <c r="G10354" s="1907"/>
      <c r="H10354" s="1907"/>
      <c r="K10354" s="841" t="s">
        <v>3130</v>
      </c>
      <c r="M10354" s="1357"/>
      <c r="Q10354" s="1357"/>
      <c r="S10354" s="1420"/>
      <c r="T10354" s="1420"/>
      <c r="V10354" s="1357">
        <v>46</v>
      </c>
    </row>
    <row r="10355" spans="1:22" s="841" customFormat="1" ht="15" x14ac:dyDescent="0.25">
      <c r="A10355" s="841" t="s">
        <v>2457</v>
      </c>
      <c r="B10355" s="841" t="s">
        <v>3593</v>
      </c>
      <c r="E10355" s="1690" t="s">
        <v>12</v>
      </c>
      <c r="F10355" s="1690"/>
      <c r="G10355" s="1408" t="s">
        <v>23</v>
      </c>
      <c r="H10355" s="391">
        <v>2.56</v>
      </c>
      <c r="K10355" s="841" t="s">
        <v>3477</v>
      </c>
      <c r="L10355" s="841" t="s">
        <v>442</v>
      </c>
      <c r="M10355" s="1357"/>
      <c r="P10355" s="841" t="s">
        <v>3478</v>
      </c>
      <c r="Q10355" s="1357"/>
      <c r="S10355" s="1420"/>
      <c r="T10355" s="1420"/>
      <c r="V10355" s="1357">
        <v>31</v>
      </c>
    </row>
    <row r="10356" spans="1:22" s="841" customFormat="1" ht="15" x14ac:dyDescent="0.25">
      <c r="A10356" s="841" t="s">
        <v>2457</v>
      </c>
      <c r="B10356" s="841" t="s">
        <v>3593</v>
      </c>
      <c r="E10356" s="1690" t="s">
        <v>84</v>
      </c>
      <c r="F10356" s="1690"/>
      <c r="G10356" s="1408" t="s">
        <v>33</v>
      </c>
      <c r="H10356" s="393">
        <v>16.365600000000001</v>
      </c>
      <c r="K10356" s="841" t="s">
        <v>3477</v>
      </c>
      <c r="L10356" s="841" t="s">
        <v>442</v>
      </c>
      <c r="M10356" s="1357"/>
      <c r="P10356" s="841" t="s">
        <v>3479</v>
      </c>
      <c r="Q10356" s="1357"/>
      <c r="S10356" s="1420"/>
      <c r="T10356" s="1420"/>
      <c r="V10356" s="1357">
        <v>28</v>
      </c>
    </row>
    <row r="10357" spans="1:22" s="841" customFormat="1" ht="15" x14ac:dyDescent="0.25">
      <c r="A10357" s="841" t="s">
        <v>2457</v>
      </c>
      <c r="B10357" s="841" t="s">
        <v>3593</v>
      </c>
      <c r="E10357" s="1690" t="s">
        <v>18</v>
      </c>
      <c r="F10357" s="1690"/>
      <c r="G10357" s="1408" t="s">
        <v>33</v>
      </c>
      <c r="H10357" s="393">
        <v>2.7E-2</v>
      </c>
      <c r="K10357" s="841" t="s">
        <v>3477</v>
      </c>
      <c r="L10357" s="841" t="s">
        <v>443</v>
      </c>
      <c r="M10357" s="1357"/>
      <c r="P10357" s="841" t="s">
        <v>3480</v>
      </c>
      <c r="Q10357" s="1357"/>
      <c r="S10357" s="1420"/>
      <c r="T10357" s="1420"/>
      <c r="V10357" s="1357">
        <v>24</v>
      </c>
    </row>
    <row r="10358" spans="1:22" s="841" customFormat="1" ht="15" x14ac:dyDescent="0.25">
      <c r="A10358" s="841" t="s">
        <v>2457</v>
      </c>
      <c r="B10358" s="841" t="s">
        <v>3593</v>
      </c>
      <c r="E10358" s="1690" t="s">
        <v>5129</v>
      </c>
      <c r="F10358" s="1908"/>
      <c r="G10358" s="1408" t="s">
        <v>24</v>
      </c>
      <c r="H10358" s="393">
        <v>3.3E-3</v>
      </c>
      <c r="K10358" s="841" t="s">
        <v>3477</v>
      </c>
      <c r="L10358" s="841" t="s">
        <v>443</v>
      </c>
      <c r="M10358" s="1357"/>
      <c r="P10358" s="841" t="s">
        <v>4196</v>
      </c>
      <c r="Q10358" s="1357"/>
      <c r="S10358" s="1420"/>
      <c r="T10358" s="1420">
        <v>43585</v>
      </c>
      <c r="V10358" s="1357">
        <v>139</v>
      </c>
    </row>
    <row r="10359" spans="1:22" s="841" customFormat="1" ht="15" x14ac:dyDescent="0.25">
      <c r="A10359" s="841" t="s">
        <v>2457</v>
      </c>
      <c r="B10359" s="841" t="s">
        <v>3593</v>
      </c>
      <c r="E10359" s="1690" t="s">
        <v>5130</v>
      </c>
      <c r="F10359" s="1908"/>
      <c r="G10359" s="1408" t="s">
        <v>33</v>
      </c>
      <c r="H10359" s="393">
        <v>-2.2406999999999999</v>
      </c>
      <c r="K10359" s="841" t="s">
        <v>3477</v>
      </c>
      <c r="L10359" s="841" t="s">
        <v>443</v>
      </c>
      <c r="M10359" s="1357"/>
      <c r="P10359" s="841" t="s">
        <v>3882</v>
      </c>
      <c r="Q10359" s="1357"/>
      <c r="S10359" s="1420"/>
      <c r="T10359" s="1420">
        <v>43585</v>
      </c>
      <c r="V10359" s="1357">
        <v>96</v>
      </c>
    </row>
    <row r="10360" spans="1:22" s="841" customFormat="1" ht="15" x14ac:dyDescent="0.25">
      <c r="A10360" s="841" t="s">
        <v>2457</v>
      </c>
      <c r="B10360" s="841" t="s">
        <v>3593</v>
      </c>
      <c r="E10360" s="1690" t="s">
        <v>5495</v>
      </c>
      <c r="F10360" s="1908"/>
      <c r="G10360" s="1408" t="s">
        <v>33</v>
      </c>
      <c r="H10360" s="393">
        <v>0.15310000000000001</v>
      </c>
      <c r="K10360" s="841" t="s">
        <v>3477</v>
      </c>
      <c r="L10360" s="841" t="s">
        <v>443</v>
      </c>
      <c r="M10360" s="1357"/>
      <c r="P10360" s="841" t="s">
        <v>5367</v>
      </c>
      <c r="Q10360" s="1357"/>
      <c r="S10360" s="1420"/>
      <c r="T10360" s="1420">
        <v>43585</v>
      </c>
      <c r="V10360" s="1357">
        <v>139</v>
      </c>
    </row>
    <row r="10361" spans="1:22" s="841" customFormat="1" ht="15" x14ac:dyDescent="0.25">
      <c r="A10361" s="841" t="s">
        <v>2457</v>
      </c>
      <c r="B10361" s="841" t="s">
        <v>3593</v>
      </c>
      <c r="E10361" s="1690" t="s">
        <v>221</v>
      </c>
      <c r="F10361" s="1690"/>
      <c r="G10361" s="1408" t="s">
        <v>33</v>
      </c>
      <c r="H10361" s="393">
        <v>1.6867000000000001</v>
      </c>
      <c r="K10361" s="841" t="s">
        <v>3477</v>
      </c>
      <c r="L10361" s="841" t="s">
        <v>444</v>
      </c>
      <c r="M10361" s="1357"/>
      <c r="P10361" s="841" t="s">
        <v>3482</v>
      </c>
      <c r="Q10361" s="1357"/>
      <c r="S10361" s="1420"/>
      <c r="T10361" s="1420"/>
      <c r="V10361" s="1357">
        <v>47</v>
      </c>
    </row>
    <row r="10362" spans="1:22" s="841" customFormat="1" ht="15" x14ac:dyDescent="0.25">
      <c r="A10362" s="841" t="s">
        <v>2457</v>
      </c>
      <c r="B10362" s="841" t="s">
        <v>3593</v>
      </c>
      <c r="E10362" s="1690" t="s">
        <v>217</v>
      </c>
      <c r="F10362" s="1690"/>
      <c r="G10362" s="1408" t="s">
        <v>33</v>
      </c>
      <c r="H10362" s="393">
        <v>1.2485999999999999</v>
      </c>
      <c r="K10362" s="841" t="s">
        <v>3477</v>
      </c>
      <c r="L10362" s="841" t="s">
        <v>444</v>
      </c>
      <c r="M10362" s="1357"/>
      <c r="P10362" s="841" t="s">
        <v>3483</v>
      </c>
      <c r="Q10362" s="1357"/>
      <c r="S10362" s="1420"/>
      <c r="T10362" s="1420"/>
      <c r="V10362" s="1357">
        <v>74</v>
      </c>
    </row>
    <row r="10363" spans="1:22" s="841" customFormat="1" ht="15" x14ac:dyDescent="0.25">
      <c r="A10363" s="841" t="s">
        <v>2457</v>
      </c>
      <c r="B10363" s="841" t="s">
        <v>3593</v>
      </c>
      <c r="E10363" s="1694" t="s">
        <v>3079</v>
      </c>
      <c r="F10363" s="1690"/>
      <c r="G10363" s="1408"/>
      <c r="H10363" s="1408"/>
      <c r="K10363" s="841" t="s">
        <v>3260</v>
      </c>
      <c r="M10363" s="1357"/>
      <c r="Q10363" s="1357"/>
      <c r="S10363" s="1420"/>
      <c r="T10363" s="1420"/>
      <c r="V10363" s="1357">
        <v>48</v>
      </c>
    </row>
    <row r="10364" spans="1:22" s="841" customFormat="1" ht="15" x14ac:dyDescent="0.25">
      <c r="A10364" s="841" t="s">
        <v>2457</v>
      </c>
      <c r="B10364" s="841" t="s">
        <v>3593</v>
      </c>
      <c r="E10364" s="1690" t="s">
        <v>2449</v>
      </c>
      <c r="F10364" s="1690"/>
      <c r="G10364" s="1408" t="s">
        <v>24</v>
      </c>
      <c r="H10364" s="393">
        <v>3.2000000000000002E-3</v>
      </c>
      <c r="K10364" s="841" t="s">
        <v>3477</v>
      </c>
      <c r="L10364" s="841" t="s">
        <v>3046</v>
      </c>
      <c r="M10364" s="1357"/>
      <c r="P10364" s="841" t="s">
        <v>3484</v>
      </c>
      <c r="Q10364" s="1357"/>
      <c r="S10364" s="1420"/>
      <c r="T10364" s="1420"/>
      <c r="V10364" s="1357">
        <v>55</v>
      </c>
    </row>
    <row r="10365" spans="1:22" s="841" customFormat="1" ht="15" x14ac:dyDescent="0.25">
      <c r="A10365" s="841" t="s">
        <v>2457</v>
      </c>
      <c r="B10365" s="841" t="s">
        <v>3593</v>
      </c>
      <c r="E10365" s="1690" t="s">
        <v>2450</v>
      </c>
      <c r="F10365" s="1690"/>
      <c r="G10365" s="1408" t="s">
        <v>24</v>
      </c>
      <c r="H10365" s="393">
        <v>4.0000000000000002E-4</v>
      </c>
      <c r="K10365" s="841" t="s">
        <v>3477</v>
      </c>
      <c r="L10365" s="841" t="s">
        <v>3046</v>
      </c>
      <c r="M10365" s="1357"/>
      <c r="P10365" s="841" t="s">
        <v>3484</v>
      </c>
      <c r="Q10365" s="1357"/>
      <c r="S10365" s="1420"/>
      <c r="T10365" s="1420"/>
      <c r="V10365" s="1357">
        <v>65</v>
      </c>
    </row>
    <row r="10366" spans="1:22" s="841" customFormat="1" ht="15" x14ac:dyDescent="0.25">
      <c r="A10366" s="841" t="s">
        <v>2457</v>
      </c>
      <c r="B10366" s="841" t="s">
        <v>3593</v>
      </c>
      <c r="E10366" s="1690" t="s">
        <v>439</v>
      </c>
      <c r="F10366" s="1690"/>
      <c r="G10366" s="1408" t="s">
        <v>24</v>
      </c>
      <c r="H10366" s="393">
        <v>2.9999999999999997E-4</v>
      </c>
      <c r="K10366" s="841" t="s">
        <v>3477</v>
      </c>
      <c r="L10366" s="841" t="s">
        <v>3046</v>
      </c>
      <c r="M10366" s="1357"/>
      <c r="P10366" s="841" t="s">
        <v>3485</v>
      </c>
      <c r="Q10366" s="1357"/>
      <c r="S10366" s="1420"/>
      <c r="T10366" s="1420"/>
      <c r="V10366" s="1357">
        <v>57</v>
      </c>
    </row>
    <row r="10367" spans="1:22" s="841" customFormat="1" ht="15" x14ac:dyDescent="0.25">
      <c r="A10367" s="841" t="s">
        <v>2457</v>
      </c>
      <c r="B10367" s="841" t="s">
        <v>3593</v>
      </c>
      <c r="E10367" s="1690" t="s">
        <v>32</v>
      </c>
      <c r="F10367" s="1690"/>
      <c r="G10367" s="1408" t="s">
        <v>23</v>
      </c>
      <c r="H10367" s="391">
        <v>0.25</v>
      </c>
      <c r="K10367" s="841" t="s">
        <v>3477</v>
      </c>
      <c r="L10367" s="841" t="s">
        <v>3046</v>
      </c>
      <c r="M10367" s="1357"/>
      <c r="P10367" s="841" t="s">
        <v>3486</v>
      </c>
      <c r="Q10367" s="1357"/>
      <c r="S10367" s="1420"/>
      <c r="T10367" s="1420"/>
      <c r="V10367" s="1357">
        <v>63</v>
      </c>
    </row>
    <row r="10368" spans="1:22" s="841" customFormat="1" x14ac:dyDescent="0.25">
      <c r="A10368" s="841" t="s">
        <v>2457</v>
      </c>
      <c r="B10368" s="841" t="s">
        <v>3593</v>
      </c>
      <c r="E10368" s="1909" t="s">
        <v>622</v>
      </c>
      <c r="F10368" s="1915"/>
      <c r="G10368" s="1915"/>
      <c r="H10368" s="1915"/>
      <c r="K10368" s="841" t="s">
        <v>3604</v>
      </c>
      <c r="M10368" s="1357"/>
      <c r="Q10368" s="1357"/>
      <c r="S10368" s="1420"/>
      <c r="T10368" s="1420"/>
      <c r="V10368" s="1357">
        <v>43</v>
      </c>
    </row>
    <row r="10369" spans="1:22" s="841" customFormat="1" ht="15" x14ac:dyDescent="0.25">
      <c r="A10369" s="841" t="s">
        <v>2457</v>
      </c>
      <c r="B10369" s="841" t="s">
        <v>3593</v>
      </c>
      <c r="E10369" s="1689" t="s">
        <v>3605</v>
      </c>
      <c r="F10369" s="1689"/>
      <c r="G10369" s="1689"/>
      <c r="H10369" s="1689"/>
      <c r="K10369" s="841" t="s">
        <v>3604</v>
      </c>
      <c r="M10369" s="1357"/>
      <c r="Q10369" s="1357"/>
      <c r="S10369" s="1420"/>
      <c r="T10369" s="1420"/>
      <c r="V10369" s="1357">
        <v>251</v>
      </c>
    </row>
    <row r="10370" spans="1:22" s="841" customFormat="1" ht="15" x14ac:dyDescent="0.25">
      <c r="A10370" s="841" t="s">
        <v>2457</v>
      </c>
      <c r="B10370" s="841" t="s">
        <v>3593</v>
      </c>
      <c r="E10370" s="1916" t="s">
        <v>3061</v>
      </c>
      <c r="F10370" s="1697"/>
      <c r="G10370" s="1697"/>
      <c r="H10370" s="1697"/>
      <c r="K10370" s="841" t="s">
        <v>3266</v>
      </c>
      <c r="M10370" s="1357"/>
      <c r="Q10370" s="1357"/>
      <c r="S10370" s="1420"/>
      <c r="T10370" s="1420"/>
      <c r="V10370" s="1357">
        <v>11</v>
      </c>
    </row>
    <row r="10371" spans="1:22" s="841" customFormat="1" ht="15" x14ac:dyDescent="0.25">
      <c r="A10371" s="841" t="s">
        <v>2457</v>
      </c>
      <c r="B10371" s="841" t="s">
        <v>3593</v>
      </c>
      <c r="E10371" s="1689" t="s">
        <v>3063</v>
      </c>
      <c r="F10371" s="1689"/>
      <c r="G10371" s="1689"/>
      <c r="H10371" s="1689"/>
      <c r="K10371" s="841" t="s">
        <v>3604</v>
      </c>
      <c r="M10371" s="1357"/>
      <c r="Q10371" s="1357"/>
      <c r="S10371" s="1420"/>
      <c r="T10371" s="1420"/>
      <c r="V10371" s="1357">
        <v>280</v>
      </c>
    </row>
    <row r="10372" spans="1:22" s="841" customFormat="1" ht="15" x14ac:dyDescent="0.25">
      <c r="A10372" s="841" t="s">
        <v>2457</v>
      </c>
      <c r="B10372" s="841" t="s">
        <v>3593</v>
      </c>
      <c r="E10372" s="1689" t="s">
        <v>3064</v>
      </c>
      <c r="F10372" s="1689"/>
      <c r="G10372" s="1689"/>
      <c r="H10372" s="1689"/>
      <c r="K10372" s="841" t="s">
        <v>3604</v>
      </c>
      <c r="M10372" s="1357"/>
      <c r="Q10372" s="1357"/>
      <c r="S10372" s="1420"/>
      <c r="T10372" s="1420"/>
      <c r="V10372" s="1357">
        <v>411</v>
      </c>
    </row>
    <row r="10373" spans="1:22" s="841" customFormat="1" ht="15" x14ac:dyDescent="0.25">
      <c r="A10373" s="841" t="s">
        <v>2457</v>
      </c>
      <c r="B10373" s="841" t="s">
        <v>3593</v>
      </c>
      <c r="E10373" s="1689" t="s">
        <v>3065</v>
      </c>
      <c r="F10373" s="1689"/>
      <c r="G10373" s="1689"/>
      <c r="H10373" s="1689"/>
      <c r="K10373" s="841" t="s">
        <v>3604</v>
      </c>
      <c r="M10373" s="1357"/>
      <c r="Q10373" s="1357"/>
      <c r="S10373" s="1420"/>
      <c r="T10373" s="1420"/>
      <c r="V10373" s="1357">
        <v>387</v>
      </c>
    </row>
    <row r="10374" spans="1:22" s="841" customFormat="1" ht="15" x14ac:dyDescent="0.25">
      <c r="A10374" s="841" t="s">
        <v>2457</v>
      </c>
      <c r="B10374" s="841" t="s">
        <v>3593</v>
      </c>
      <c r="E10374" s="1689" t="s">
        <v>3200</v>
      </c>
      <c r="F10374" s="1689"/>
      <c r="G10374" s="1689"/>
      <c r="H10374" s="1689"/>
      <c r="K10374" s="841" t="s">
        <v>3604</v>
      </c>
      <c r="M10374" s="1357"/>
      <c r="Q10374" s="1357"/>
      <c r="S10374" s="1420"/>
      <c r="T10374" s="1420"/>
      <c r="V10374" s="1357">
        <v>275</v>
      </c>
    </row>
    <row r="10375" spans="1:22" s="841" customFormat="1" ht="15" x14ac:dyDescent="0.25">
      <c r="A10375" s="841" t="s">
        <v>2457</v>
      </c>
      <c r="B10375" s="841" t="s">
        <v>3593</v>
      </c>
      <c r="E10375" s="1694" t="s">
        <v>3067</v>
      </c>
      <c r="F10375" s="1907"/>
      <c r="G10375" s="1907"/>
      <c r="H10375" s="1907"/>
      <c r="K10375" s="841" t="s">
        <v>3267</v>
      </c>
      <c r="M10375" s="1357"/>
      <c r="Q10375" s="1357"/>
      <c r="S10375" s="1420"/>
      <c r="T10375" s="1420"/>
      <c r="V10375" s="1357">
        <v>46</v>
      </c>
    </row>
    <row r="10376" spans="1:22" s="841" customFormat="1" ht="15" x14ac:dyDescent="0.25">
      <c r="A10376" s="841" t="s">
        <v>2457</v>
      </c>
      <c r="B10376" s="841" t="s">
        <v>3593</v>
      </c>
      <c r="E10376" s="1690" t="s">
        <v>381</v>
      </c>
      <c r="F10376" s="1690"/>
      <c r="G10376" s="1408" t="s">
        <v>33</v>
      </c>
      <c r="H10376" s="393">
        <v>1.9167000000000001</v>
      </c>
      <c r="K10376" s="841" t="s">
        <v>3604</v>
      </c>
      <c r="L10376" s="841" t="s">
        <v>442</v>
      </c>
      <c r="M10376" s="1357"/>
      <c r="P10376" s="841" t="s">
        <v>3606</v>
      </c>
      <c r="Q10376" s="1357"/>
      <c r="S10376" s="1420"/>
      <c r="T10376" s="1420"/>
      <c r="V10376" s="1357">
        <v>65</v>
      </c>
    </row>
    <row r="10377" spans="1:22" s="841" customFormat="1" ht="15" x14ac:dyDescent="0.25">
      <c r="A10377" s="841" t="s">
        <v>2457</v>
      </c>
      <c r="B10377" s="841" t="s">
        <v>3593</v>
      </c>
      <c r="E10377" s="1690" t="s">
        <v>379</v>
      </c>
      <c r="F10377" s="1690"/>
      <c r="G10377" s="1408" t="s">
        <v>33</v>
      </c>
      <c r="H10377" s="393">
        <v>2.0575999999999999</v>
      </c>
      <c r="K10377" s="841" t="s">
        <v>3604</v>
      </c>
      <c r="L10377" s="841" t="s">
        <v>442</v>
      </c>
      <c r="M10377" s="1357"/>
      <c r="P10377" s="841" t="s">
        <v>3606</v>
      </c>
      <c r="Q10377" s="1357"/>
      <c r="S10377" s="1420"/>
      <c r="T10377" s="1420"/>
      <c r="V10377" s="1357">
        <v>63</v>
      </c>
    </row>
    <row r="10378" spans="1:22" s="841" customFormat="1" ht="15" x14ac:dyDescent="0.25">
      <c r="A10378" s="841" t="s">
        <v>2457</v>
      </c>
      <c r="B10378" s="841" t="s">
        <v>3593</v>
      </c>
      <c r="E10378" s="1704" t="s">
        <v>5129</v>
      </c>
      <c r="F10378" s="1704"/>
      <c r="G10378" s="1408" t="s">
        <v>24</v>
      </c>
      <c r="H10378" s="393">
        <v>3.3E-3</v>
      </c>
      <c r="K10378" s="841" t="s">
        <v>3604</v>
      </c>
      <c r="L10378" s="841" t="s">
        <v>443</v>
      </c>
      <c r="M10378" s="1357"/>
      <c r="P10378" s="841" t="s">
        <v>4408</v>
      </c>
      <c r="Q10378" s="1357"/>
      <c r="S10378" s="1420"/>
      <c r="T10378" s="1420">
        <v>43585</v>
      </c>
      <c r="V10378" s="1357">
        <v>139</v>
      </c>
    </row>
    <row r="10379" spans="1:22" s="841" customFormat="1" ht="15" x14ac:dyDescent="0.25">
      <c r="A10379" s="841" t="s">
        <v>2457</v>
      </c>
      <c r="B10379" s="841" t="s">
        <v>3593</v>
      </c>
      <c r="E10379" s="1704" t="s">
        <v>5130</v>
      </c>
      <c r="F10379" s="1704"/>
      <c r="G10379" s="1408" t="s">
        <v>33</v>
      </c>
      <c r="H10379" s="393">
        <v>-0.53879999999999995</v>
      </c>
      <c r="K10379" s="841" t="s">
        <v>3604</v>
      </c>
      <c r="L10379" s="841" t="s">
        <v>443</v>
      </c>
      <c r="M10379" s="1357"/>
      <c r="P10379" s="841" t="s">
        <v>4409</v>
      </c>
      <c r="Q10379" s="1357"/>
      <c r="S10379" s="1420"/>
      <c r="T10379" s="1420">
        <v>43585</v>
      </c>
      <c r="V10379" s="1357">
        <v>96</v>
      </c>
    </row>
    <row r="10380" spans="1:22" s="841" customFormat="1" ht="15" x14ac:dyDescent="0.25">
      <c r="A10380" s="841" t="s">
        <v>2457</v>
      </c>
      <c r="B10380" s="841" t="s">
        <v>3593</v>
      </c>
      <c r="E10380" s="1704" t="s">
        <v>5766</v>
      </c>
      <c r="F10380" s="1704"/>
      <c r="G10380" s="1408" t="s">
        <v>33</v>
      </c>
      <c r="H10380" s="393">
        <v>3.6799999999999999E-2</v>
      </c>
      <c r="K10380" s="841" t="s">
        <v>3604</v>
      </c>
      <c r="L10380" s="841" t="s">
        <v>443</v>
      </c>
      <c r="M10380" s="1357"/>
      <c r="P10380" s="841" t="s">
        <v>5767</v>
      </c>
      <c r="Q10380" s="1357"/>
      <c r="S10380" s="1420"/>
      <c r="T10380" s="1420">
        <v>43585</v>
      </c>
      <c r="V10380" s="1357">
        <v>145</v>
      </c>
    </row>
    <row r="10381" spans="1:22" s="841" customFormat="1" ht="15" x14ac:dyDescent="0.25">
      <c r="A10381" s="841" t="s">
        <v>2457</v>
      </c>
      <c r="B10381" s="841" t="s">
        <v>3593</v>
      </c>
      <c r="E10381" s="1690" t="s">
        <v>221</v>
      </c>
      <c r="F10381" s="1690"/>
      <c r="G10381" s="1408" t="s">
        <v>33</v>
      </c>
      <c r="H10381" s="393">
        <v>2.4156</v>
      </c>
      <c r="K10381" s="841" t="s">
        <v>3604</v>
      </c>
      <c r="L10381" s="841" t="s">
        <v>444</v>
      </c>
      <c r="M10381" s="1357"/>
      <c r="P10381" s="841" t="s">
        <v>3607</v>
      </c>
      <c r="Q10381" s="1357"/>
      <c r="S10381" s="1420"/>
      <c r="T10381" s="1420"/>
      <c r="V10381" s="1357">
        <v>47</v>
      </c>
    </row>
    <row r="10382" spans="1:22" s="841" customFormat="1" ht="15" x14ac:dyDescent="0.25">
      <c r="A10382" s="841" t="s">
        <v>2457</v>
      </c>
      <c r="B10382" s="841" t="s">
        <v>3593</v>
      </c>
      <c r="E10382" s="1690" t="s">
        <v>217</v>
      </c>
      <c r="F10382" s="1690"/>
      <c r="G10382" s="1408" t="s">
        <v>33</v>
      </c>
      <c r="H10382" s="393">
        <v>1.9849000000000001</v>
      </c>
      <c r="K10382" s="841" t="s">
        <v>3604</v>
      </c>
      <c r="L10382" s="841" t="s">
        <v>444</v>
      </c>
      <c r="M10382" s="1357"/>
      <c r="P10382" s="841" t="s">
        <v>3608</v>
      </c>
      <c r="Q10382" s="1357"/>
      <c r="S10382" s="1420"/>
      <c r="T10382" s="1420"/>
      <c r="V10382" s="1357">
        <v>74</v>
      </c>
    </row>
    <row r="10383" spans="1:22" s="841" customFormat="1" ht="15" x14ac:dyDescent="0.25">
      <c r="A10383" s="841" t="s">
        <v>2457</v>
      </c>
      <c r="B10383" s="841" t="s">
        <v>3593</v>
      </c>
      <c r="E10383" s="1694" t="s">
        <v>3079</v>
      </c>
      <c r="F10383" s="1690"/>
      <c r="G10383" s="1408"/>
      <c r="H10383" s="1408"/>
      <c r="K10383" s="841" t="s">
        <v>3276</v>
      </c>
      <c r="M10383" s="1357"/>
      <c r="Q10383" s="1357"/>
      <c r="S10383" s="1420"/>
      <c r="T10383" s="1420"/>
      <c r="V10383" s="1357">
        <v>48</v>
      </c>
    </row>
    <row r="10384" spans="1:22" s="841" customFormat="1" ht="15" x14ac:dyDescent="0.25">
      <c r="A10384" s="841" t="s">
        <v>2457</v>
      </c>
      <c r="B10384" s="841" t="s">
        <v>3593</v>
      </c>
      <c r="E10384" s="1690" t="s">
        <v>2449</v>
      </c>
      <c r="F10384" s="1690"/>
      <c r="G10384" s="1408" t="s">
        <v>24</v>
      </c>
      <c r="H10384" s="393">
        <v>3.2000000000000002E-3</v>
      </c>
      <c r="K10384" s="841" t="s">
        <v>3604</v>
      </c>
      <c r="L10384" s="841" t="s">
        <v>3046</v>
      </c>
      <c r="M10384" s="1357"/>
      <c r="P10384" s="841" t="s">
        <v>3609</v>
      </c>
      <c r="Q10384" s="1357"/>
      <c r="S10384" s="1420"/>
      <c r="T10384" s="1420"/>
      <c r="V10384" s="1357">
        <v>55</v>
      </c>
    </row>
    <row r="10385" spans="1:22" s="841" customFormat="1" ht="15" x14ac:dyDescent="0.25">
      <c r="A10385" s="841" t="s">
        <v>2457</v>
      </c>
      <c r="B10385" s="841" t="s">
        <v>3593</v>
      </c>
      <c r="E10385" s="1690" t="s">
        <v>2450</v>
      </c>
      <c r="F10385" s="1690"/>
      <c r="G10385" s="1408" t="s">
        <v>24</v>
      </c>
      <c r="H10385" s="393">
        <v>4.0000000000000002E-4</v>
      </c>
      <c r="K10385" s="841" t="s">
        <v>3604</v>
      </c>
      <c r="L10385" s="841" t="s">
        <v>3046</v>
      </c>
      <c r="M10385" s="1357"/>
      <c r="P10385" s="841" t="s">
        <v>3609</v>
      </c>
      <c r="Q10385" s="1357"/>
      <c r="S10385" s="1420"/>
      <c r="T10385" s="1420"/>
      <c r="V10385" s="1357">
        <v>65</v>
      </c>
    </row>
    <row r="10386" spans="1:22" s="841" customFormat="1" ht="15" x14ac:dyDescent="0.25">
      <c r="A10386" s="841" t="s">
        <v>2457</v>
      </c>
      <c r="B10386" s="841" t="s">
        <v>3593</v>
      </c>
      <c r="E10386" s="1690" t="s">
        <v>439</v>
      </c>
      <c r="F10386" s="1690"/>
      <c r="G10386" s="1408" t="s">
        <v>24</v>
      </c>
      <c r="H10386" s="393">
        <v>2.9999999999999997E-4</v>
      </c>
      <c r="K10386" s="841" t="s">
        <v>3604</v>
      </c>
      <c r="L10386" s="841" t="s">
        <v>3046</v>
      </c>
      <c r="M10386" s="1357"/>
      <c r="P10386" s="841" t="s">
        <v>3610</v>
      </c>
      <c r="Q10386" s="1357"/>
      <c r="S10386" s="1420"/>
      <c r="T10386" s="1420"/>
      <c r="V10386" s="1357">
        <v>57</v>
      </c>
    </row>
    <row r="10387" spans="1:22" s="841" customFormat="1" ht="15" x14ac:dyDescent="0.25">
      <c r="A10387" s="841" t="s">
        <v>2457</v>
      </c>
      <c r="B10387" s="841" t="s">
        <v>3593</v>
      </c>
      <c r="E10387" s="1690" t="s">
        <v>32</v>
      </c>
      <c r="F10387" s="1690"/>
      <c r="G10387" s="1408" t="s">
        <v>23</v>
      </c>
      <c r="H10387" s="391">
        <v>0.25</v>
      </c>
      <c r="K10387" s="841" t="s">
        <v>3604</v>
      </c>
      <c r="L10387" s="841" t="s">
        <v>3046</v>
      </c>
      <c r="M10387" s="1357"/>
      <c r="P10387" s="841" t="s">
        <v>3611</v>
      </c>
      <c r="Q10387" s="1357"/>
      <c r="S10387" s="1420"/>
      <c r="T10387" s="1420"/>
      <c r="V10387" s="1357">
        <v>63</v>
      </c>
    </row>
    <row r="10388" spans="1:22" s="841" customFormat="1" x14ac:dyDescent="0.25">
      <c r="A10388" s="841" t="s">
        <v>2457</v>
      </c>
      <c r="B10388" s="841" t="s">
        <v>3593</v>
      </c>
      <c r="E10388" s="1909" t="s">
        <v>618</v>
      </c>
      <c r="F10388" s="1915"/>
      <c r="G10388" s="1915"/>
      <c r="H10388" s="1915"/>
      <c r="K10388" s="841" t="s">
        <v>3280</v>
      </c>
      <c r="M10388" s="1357"/>
      <c r="Q10388" s="1357"/>
      <c r="S10388" s="1420"/>
      <c r="T10388" s="1420"/>
      <c r="V10388" s="1357">
        <v>31</v>
      </c>
    </row>
    <row r="10389" spans="1:22" s="841" customFormat="1" ht="15" x14ac:dyDescent="0.25">
      <c r="A10389" s="841" t="s">
        <v>2457</v>
      </c>
      <c r="B10389" s="841" t="s">
        <v>3593</v>
      </c>
      <c r="E10389" s="1689" t="s">
        <v>3612</v>
      </c>
      <c r="F10389" s="1689"/>
      <c r="G10389" s="1689"/>
      <c r="H10389" s="1689"/>
      <c r="K10389" s="841" t="s">
        <v>3280</v>
      </c>
      <c r="M10389" s="1357"/>
      <c r="Q10389" s="1357"/>
      <c r="S10389" s="1420"/>
      <c r="T10389" s="1420"/>
      <c r="V10389" s="1357">
        <v>286</v>
      </c>
    </row>
    <row r="10390" spans="1:22" s="841" customFormat="1" ht="15" x14ac:dyDescent="0.25">
      <c r="A10390" s="841" t="s">
        <v>2457</v>
      </c>
      <c r="B10390" s="841" t="s">
        <v>3593</v>
      </c>
      <c r="E10390" s="1916" t="s">
        <v>3061</v>
      </c>
      <c r="F10390" s="1697"/>
      <c r="G10390" s="1697"/>
      <c r="H10390" s="1697"/>
      <c r="K10390" s="841" t="s">
        <v>3281</v>
      </c>
      <c r="M10390" s="1357"/>
      <c r="Q10390" s="1357"/>
      <c r="S10390" s="1420"/>
      <c r="T10390" s="1420"/>
      <c r="V10390" s="1357">
        <v>11</v>
      </c>
    </row>
    <row r="10391" spans="1:22" s="841" customFormat="1" ht="15" x14ac:dyDescent="0.25">
      <c r="A10391" s="841" t="s">
        <v>2457</v>
      </c>
      <c r="B10391" s="841" t="s">
        <v>3593</v>
      </c>
      <c r="E10391" s="1689" t="s">
        <v>3063</v>
      </c>
      <c r="F10391" s="1689"/>
      <c r="G10391" s="1689"/>
      <c r="H10391" s="1689"/>
      <c r="K10391" s="841" t="s">
        <v>3280</v>
      </c>
      <c r="M10391" s="1357"/>
      <c r="Q10391" s="1357"/>
      <c r="S10391" s="1420"/>
      <c r="T10391" s="1420"/>
      <c r="V10391" s="1357">
        <v>280</v>
      </c>
    </row>
    <row r="10392" spans="1:22" s="841" customFormat="1" ht="15" x14ac:dyDescent="0.25">
      <c r="A10392" s="841" t="s">
        <v>2457</v>
      </c>
      <c r="B10392" s="841" t="s">
        <v>3593</v>
      </c>
      <c r="E10392" s="1689" t="s">
        <v>3064</v>
      </c>
      <c r="F10392" s="1689"/>
      <c r="G10392" s="1689"/>
      <c r="H10392" s="1689"/>
      <c r="K10392" s="841" t="s">
        <v>3280</v>
      </c>
      <c r="M10392" s="1357"/>
      <c r="Q10392" s="1357"/>
      <c r="S10392" s="1420"/>
      <c r="T10392" s="1420"/>
      <c r="V10392" s="1357">
        <v>411</v>
      </c>
    </row>
    <row r="10393" spans="1:22" s="841" customFormat="1" ht="15" x14ac:dyDescent="0.25">
      <c r="A10393" s="841" t="s">
        <v>2457</v>
      </c>
      <c r="B10393" s="841" t="s">
        <v>3593</v>
      </c>
      <c r="E10393" s="1689" t="s">
        <v>3129</v>
      </c>
      <c r="F10393" s="1689"/>
      <c r="G10393" s="1689"/>
      <c r="H10393" s="1689"/>
      <c r="K10393" s="841" t="s">
        <v>3280</v>
      </c>
      <c r="M10393" s="1357"/>
      <c r="Q10393" s="1357"/>
      <c r="S10393" s="1420"/>
      <c r="T10393" s="1420"/>
      <c r="V10393" s="1357">
        <v>211</v>
      </c>
    </row>
    <row r="10394" spans="1:22" s="841" customFormat="1" ht="15" x14ac:dyDescent="0.25">
      <c r="A10394" s="841" t="s">
        <v>2457</v>
      </c>
      <c r="B10394" s="841" t="s">
        <v>3593</v>
      </c>
      <c r="E10394" s="1689" t="s">
        <v>3200</v>
      </c>
      <c r="F10394" s="1689"/>
      <c r="G10394" s="1689"/>
      <c r="H10394" s="1689"/>
      <c r="K10394" s="841" t="s">
        <v>3280</v>
      </c>
      <c r="M10394" s="1357"/>
      <c r="Q10394" s="1357"/>
      <c r="S10394" s="1420"/>
      <c r="T10394" s="1420"/>
      <c r="V10394" s="1357">
        <v>275</v>
      </c>
    </row>
    <row r="10395" spans="1:22" s="841" customFormat="1" ht="15" x14ac:dyDescent="0.25">
      <c r="A10395" s="841" t="s">
        <v>2457</v>
      </c>
      <c r="B10395" s="841" t="s">
        <v>3593</v>
      </c>
      <c r="E10395" s="1694" t="s">
        <v>3067</v>
      </c>
      <c r="F10395" s="1907"/>
      <c r="G10395" s="1907"/>
      <c r="H10395" s="1907"/>
      <c r="K10395" s="841" t="s">
        <v>3282</v>
      </c>
      <c r="M10395" s="1357"/>
      <c r="Q10395" s="1357"/>
      <c r="S10395" s="1420"/>
      <c r="T10395" s="1420"/>
      <c r="V10395" s="1357">
        <v>46</v>
      </c>
    </row>
    <row r="10396" spans="1:22" s="841" customFormat="1" ht="15" x14ac:dyDescent="0.25">
      <c r="A10396" s="841" t="s">
        <v>2457</v>
      </c>
      <c r="B10396" s="841" t="s">
        <v>3593</v>
      </c>
      <c r="E10396" s="1690" t="s">
        <v>11</v>
      </c>
      <c r="F10396" s="1690"/>
      <c r="G10396" s="1408" t="s">
        <v>23</v>
      </c>
      <c r="H10396" s="391">
        <v>5.4</v>
      </c>
      <c r="K10396" s="841" t="s">
        <v>3280</v>
      </c>
      <c r="L10396" s="841" t="s">
        <v>442</v>
      </c>
      <c r="M10396" s="1357"/>
      <c r="P10396" s="841" t="s">
        <v>3283</v>
      </c>
      <c r="Q10396" s="1357"/>
      <c r="S10396" s="1420"/>
      <c r="T10396" s="1420"/>
      <c r="V10396" s="1357">
        <v>14</v>
      </c>
    </row>
    <row r="10397" spans="1:22" s="841" customFormat="1" ht="18.75" x14ac:dyDescent="0.3">
      <c r="A10397" s="841" t="s">
        <v>2457</v>
      </c>
      <c r="B10397" s="841" t="s">
        <v>3593</v>
      </c>
      <c r="E10397" s="1374" t="s">
        <v>85</v>
      </c>
      <c r="F10397" s="657"/>
      <c r="G10397" s="657"/>
      <c r="H10397" s="658"/>
      <c r="K10397" s="841" t="s">
        <v>3583</v>
      </c>
      <c r="M10397" s="1357"/>
      <c r="Q10397" s="1357"/>
      <c r="S10397" s="1420"/>
      <c r="T10397" s="1420"/>
      <c r="V10397" s="1357">
        <v>10</v>
      </c>
    </row>
    <row r="10398" spans="1:22" s="841" customFormat="1" ht="15" x14ac:dyDescent="0.25">
      <c r="A10398" s="841" t="s">
        <v>2457</v>
      </c>
      <c r="B10398" s="841" t="s">
        <v>3593</v>
      </c>
      <c r="E10398" s="1690" t="s">
        <v>3133</v>
      </c>
      <c r="F10398" s="1690"/>
      <c r="G10398" s="1408" t="s">
        <v>33</v>
      </c>
      <c r="H10398" s="681">
        <v>-0.6</v>
      </c>
      <c r="M10398" s="1357"/>
      <c r="Q10398" s="1357"/>
      <c r="S10398" s="1420"/>
      <c r="T10398" s="1420"/>
      <c r="V10398" s="1357">
        <v>68</v>
      </c>
    </row>
    <row r="10399" spans="1:22" s="841" customFormat="1" ht="15" x14ac:dyDescent="0.25">
      <c r="A10399" s="841" t="s">
        <v>2457</v>
      </c>
      <c r="B10399" s="841" t="s">
        <v>3593</v>
      </c>
      <c r="E10399" s="1690" t="s">
        <v>3134</v>
      </c>
      <c r="F10399" s="1690"/>
      <c r="G10399" s="1408" t="s">
        <v>86</v>
      </c>
      <c r="H10399" s="391">
        <v>-1</v>
      </c>
      <c r="M10399" s="1357"/>
      <c r="Q10399" s="1357"/>
      <c r="S10399" s="1420"/>
      <c r="T10399" s="1420"/>
      <c r="V10399" s="1357">
        <v>87</v>
      </c>
    </row>
    <row r="10400" spans="1:22" s="841" customFormat="1" ht="36.75" x14ac:dyDescent="0.3">
      <c r="A10400" s="841" t="s">
        <v>2457</v>
      </c>
      <c r="B10400" s="841" t="s">
        <v>3593</v>
      </c>
      <c r="E10400" s="1374" t="s">
        <v>87</v>
      </c>
      <c r="F10400" s="657"/>
      <c r="G10400" s="657"/>
      <c r="H10400" s="658"/>
      <c r="K10400" s="841" t="s">
        <v>3584</v>
      </c>
      <c r="M10400" s="1357"/>
      <c r="Q10400" s="1357"/>
      <c r="S10400" s="1420"/>
      <c r="T10400" s="1420"/>
      <c r="V10400" s="1357">
        <v>24</v>
      </c>
    </row>
    <row r="10401" spans="1:22" s="841" customFormat="1" ht="15" x14ac:dyDescent="0.25">
      <c r="A10401" s="841" t="s">
        <v>2457</v>
      </c>
      <c r="B10401" s="841" t="s">
        <v>3593</v>
      </c>
      <c r="E10401" s="1689" t="s">
        <v>3063</v>
      </c>
      <c r="F10401" s="1689"/>
      <c r="G10401" s="1689"/>
      <c r="H10401" s="1689"/>
      <c r="M10401" s="1357"/>
      <c r="Q10401" s="1357"/>
      <c r="S10401" s="1420"/>
      <c r="T10401" s="1420"/>
      <c r="V10401" s="1357">
        <v>280</v>
      </c>
    </row>
    <row r="10402" spans="1:22" s="841" customFormat="1" ht="15" x14ac:dyDescent="0.25">
      <c r="A10402" s="841" t="s">
        <v>2457</v>
      </c>
      <c r="B10402" s="841" t="s">
        <v>3593</v>
      </c>
      <c r="E10402" s="1689" t="s">
        <v>3136</v>
      </c>
      <c r="F10402" s="1689"/>
      <c r="G10402" s="1689"/>
      <c r="H10402" s="1689"/>
      <c r="M10402" s="1357"/>
      <c r="Q10402" s="1357"/>
      <c r="S10402" s="1420"/>
      <c r="T10402" s="1420"/>
      <c r="V10402" s="1357">
        <v>353</v>
      </c>
    </row>
    <row r="10403" spans="1:22" s="841" customFormat="1" ht="15" x14ac:dyDescent="0.25">
      <c r="A10403" s="841" t="s">
        <v>2457</v>
      </c>
      <c r="B10403" s="841" t="s">
        <v>3593</v>
      </c>
      <c r="E10403" s="1689" t="s">
        <v>3200</v>
      </c>
      <c r="F10403" s="1689"/>
      <c r="G10403" s="1689"/>
      <c r="H10403" s="1689"/>
      <c r="M10403" s="1357"/>
      <c r="Q10403" s="1357"/>
      <c r="S10403" s="1420"/>
      <c r="T10403" s="1420"/>
      <c r="V10403" s="1357">
        <v>275</v>
      </c>
    </row>
    <row r="10404" spans="1:22" s="841" customFormat="1" ht="15" x14ac:dyDescent="0.25">
      <c r="A10404" s="841" t="s">
        <v>2457</v>
      </c>
      <c r="B10404" s="841" t="s">
        <v>3593</v>
      </c>
      <c r="E10404" s="1370" t="s">
        <v>3137</v>
      </c>
      <c r="F10404" s="3"/>
      <c r="G10404" s="3"/>
      <c r="H10404" s="398"/>
      <c r="K10404" s="841" t="s">
        <v>3585</v>
      </c>
      <c r="M10404" s="1357"/>
      <c r="Q10404" s="1357"/>
      <c r="S10404" s="1420"/>
      <c r="T10404" s="1420"/>
      <c r="V10404" s="1357">
        <v>23</v>
      </c>
    </row>
    <row r="10405" spans="1:22" s="841" customFormat="1" ht="15" x14ac:dyDescent="0.25">
      <c r="A10405" s="841" t="s">
        <v>2457</v>
      </c>
      <c r="B10405" s="841" t="s">
        <v>3593</v>
      </c>
      <c r="E10405" s="1688" t="s">
        <v>3355</v>
      </c>
      <c r="F10405" s="1688"/>
      <c r="G10405" s="1408" t="s">
        <v>23</v>
      </c>
      <c r="H10405" s="391">
        <v>15</v>
      </c>
      <c r="M10405" s="1357"/>
      <c r="Q10405" s="1357"/>
      <c r="S10405" s="1420"/>
      <c r="T10405" s="1420"/>
      <c r="V10405" s="1357">
        <v>19</v>
      </c>
    </row>
    <row r="10406" spans="1:22" s="841" customFormat="1" ht="15" x14ac:dyDescent="0.25">
      <c r="A10406" s="841" t="s">
        <v>2457</v>
      </c>
      <c r="B10406" s="841" t="s">
        <v>3593</v>
      </c>
      <c r="E10406" s="1688" t="s">
        <v>3140</v>
      </c>
      <c r="F10406" s="1688"/>
      <c r="G10406" s="1408" t="s">
        <v>23</v>
      </c>
      <c r="H10406" s="391">
        <v>15</v>
      </c>
      <c r="M10406" s="1357"/>
      <c r="Q10406" s="1357"/>
      <c r="S10406" s="1420"/>
      <c r="T10406" s="1420"/>
      <c r="V10406" s="1357">
        <v>20</v>
      </c>
    </row>
    <row r="10407" spans="1:22" s="841" customFormat="1" ht="15" x14ac:dyDescent="0.25">
      <c r="A10407" s="841" t="s">
        <v>2457</v>
      </c>
      <c r="B10407" s="841" t="s">
        <v>3593</v>
      </c>
      <c r="E10407" s="1688" t="s">
        <v>3141</v>
      </c>
      <c r="F10407" s="1688"/>
      <c r="G10407" s="1408" t="s">
        <v>23</v>
      </c>
      <c r="H10407" s="391">
        <v>15</v>
      </c>
      <c r="M10407" s="1357"/>
      <c r="Q10407" s="1357"/>
      <c r="S10407" s="1420"/>
      <c r="T10407" s="1420"/>
      <c r="V10407" s="1357">
        <v>26</v>
      </c>
    </row>
    <row r="10408" spans="1:22" s="841" customFormat="1" ht="15" x14ac:dyDescent="0.25">
      <c r="A10408" s="841" t="s">
        <v>2457</v>
      </c>
      <c r="B10408" s="841" t="s">
        <v>3593</v>
      </c>
      <c r="E10408" s="1688" t="s">
        <v>3142</v>
      </c>
      <c r="F10408" s="1688"/>
      <c r="G10408" s="1408" t="s">
        <v>23</v>
      </c>
      <c r="H10408" s="391">
        <v>15</v>
      </c>
      <c r="M10408" s="1357"/>
      <c r="Q10408" s="1357"/>
      <c r="S10408" s="1420"/>
      <c r="T10408" s="1420"/>
      <c r="V10408" s="1357">
        <v>39</v>
      </c>
    </row>
    <row r="10409" spans="1:22" s="841" customFormat="1" ht="15" x14ac:dyDescent="0.25">
      <c r="A10409" s="841" t="s">
        <v>2457</v>
      </c>
      <c r="B10409" s="841" t="s">
        <v>3593</v>
      </c>
      <c r="E10409" s="1688" t="s">
        <v>3143</v>
      </c>
      <c r="F10409" s="1688"/>
      <c r="G10409" s="1408" t="s">
        <v>23</v>
      </c>
      <c r="H10409" s="391">
        <v>15</v>
      </c>
      <c r="M10409" s="1357"/>
      <c r="Q10409" s="1357"/>
      <c r="S10409" s="1420"/>
      <c r="T10409" s="1420"/>
      <c r="V10409" s="1357">
        <v>37</v>
      </c>
    </row>
    <row r="10410" spans="1:22" s="841" customFormat="1" ht="15" x14ac:dyDescent="0.25">
      <c r="A10410" s="841" t="s">
        <v>2457</v>
      </c>
      <c r="B10410" s="841" t="s">
        <v>3593</v>
      </c>
      <c r="E10410" s="1688" t="s">
        <v>3144</v>
      </c>
      <c r="F10410" s="1688"/>
      <c r="G10410" s="1408" t="s">
        <v>23</v>
      </c>
      <c r="H10410" s="391">
        <v>15</v>
      </c>
      <c r="M10410" s="1357"/>
      <c r="Q10410" s="1357"/>
      <c r="S10410" s="1420"/>
      <c r="T10410" s="1420"/>
      <c r="V10410" s="1357">
        <v>15</v>
      </c>
    </row>
    <row r="10411" spans="1:22" s="841" customFormat="1" ht="15" x14ac:dyDescent="0.25">
      <c r="A10411" s="841" t="s">
        <v>2457</v>
      </c>
      <c r="B10411" s="841" t="s">
        <v>3593</v>
      </c>
      <c r="E10411" s="1688" t="s">
        <v>3145</v>
      </c>
      <c r="F10411" s="1688"/>
      <c r="G10411" s="1408" t="s">
        <v>23</v>
      </c>
      <c r="H10411" s="391">
        <v>15</v>
      </c>
      <c r="M10411" s="1357"/>
      <c r="Q10411" s="1357"/>
      <c r="S10411" s="1420"/>
      <c r="T10411" s="1420"/>
      <c r="V10411" s="1357">
        <v>17</v>
      </c>
    </row>
    <row r="10412" spans="1:22" s="841" customFormat="1" ht="15" x14ac:dyDescent="0.25">
      <c r="A10412" s="841" t="s">
        <v>2457</v>
      </c>
      <c r="B10412" s="841" t="s">
        <v>3593</v>
      </c>
      <c r="E10412" s="1688" t="s">
        <v>3146</v>
      </c>
      <c r="F10412" s="1688"/>
      <c r="G10412" s="1408" t="s">
        <v>23</v>
      </c>
      <c r="H10412" s="391">
        <v>15</v>
      </c>
      <c r="M10412" s="1357"/>
      <c r="Q10412" s="1357"/>
      <c r="S10412" s="1420"/>
      <c r="T10412" s="1420"/>
      <c r="V10412" s="1357">
        <v>19</v>
      </c>
    </row>
    <row r="10413" spans="1:22" s="841" customFormat="1" ht="15" x14ac:dyDescent="0.25">
      <c r="A10413" s="841" t="s">
        <v>2457</v>
      </c>
      <c r="B10413" s="841" t="s">
        <v>3593</v>
      </c>
      <c r="E10413" s="1688" t="s">
        <v>3147</v>
      </c>
      <c r="F10413" s="1688"/>
      <c r="G10413" s="1408" t="s">
        <v>23</v>
      </c>
      <c r="H10413" s="391">
        <v>15</v>
      </c>
      <c r="M10413" s="1357"/>
      <c r="Q10413" s="1357"/>
      <c r="S10413" s="1420"/>
      <c r="T10413" s="1420"/>
      <c r="V10413" s="1357">
        <v>15</v>
      </c>
    </row>
    <row r="10414" spans="1:22" s="841" customFormat="1" ht="15" x14ac:dyDescent="0.25">
      <c r="A10414" s="841" t="s">
        <v>2457</v>
      </c>
      <c r="B10414" s="841" t="s">
        <v>3593</v>
      </c>
      <c r="E10414" s="1688" t="s">
        <v>3149</v>
      </c>
      <c r="F10414" s="1688"/>
      <c r="G10414" s="1408" t="s">
        <v>23</v>
      </c>
      <c r="H10414" s="391">
        <v>15</v>
      </c>
      <c r="M10414" s="1357"/>
      <c r="Q10414" s="1357"/>
      <c r="S10414" s="1420"/>
      <c r="T10414" s="1420"/>
      <c r="V10414" s="1357">
        <v>35</v>
      </c>
    </row>
    <row r="10415" spans="1:22" s="841" customFormat="1" ht="15" x14ac:dyDescent="0.25">
      <c r="A10415" s="841" t="s">
        <v>2457</v>
      </c>
      <c r="B10415" s="841" t="s">
        <v>3593</v>
      </c>
      <c r="E10415" s="1688" t="s">
        <v>3150</v>
      </c>
      <c r="F10415" s="1688"/>
      <c r="G10415" s="1408" t="s">
        <v>23</v>
      </c>
      <c r="H10415" s="391">
        <v>15</v>
      </c>
      <c r="M10415" s="1357"/>
      <c r="Q10415" s="1357"/>
      <c r="S10415" s="1420"/>
      <c r="T10415" s="1420"/>
      <c r="V10415" s="1357">
        <v>24</v>
      </c>
    </row>
    <row r="10416" spans="1:22" s="841" customFormat="1" ht="15" x14ac:dyDescent="0.25">
      <c r="A10416" s="841" t="s">
        <v>2457</v>
      </c>
      <c r="B10416" s="841" t="s">
        <v>3593</v>
      </c>
      <c r="E10416" s="1688" t="s">
        <v>3151</v>
      </c>
      <c r="F10416" s="1688"/>
      <c r="G10416" s="1408" t="s">
        <v>23</v>
      </c>
      <c r="H10416" s="391">
        <v>15</v>
      </c>
      <c r="M10416" s="1357"/>
      <c r="Q10416" s="1357"/>
      <c r="S10416" s="1420"/>
      <c r="T10416" s="1420"/>
      <c r="V10416" s="1357">
        <v>19</v>
      </c>
    </row>
    <row r="10417" spans="1:22" s="841" customFormat="1" ht="15" x14ac:dyDescent="0.25">
      <c r="A10417" s="841" t="s">
        <v>2457</v>
      </c>
      <c r="B10417" s="841" t="s">
        <v>3593</v>
      </c>
      <c r="E10417" s="1688" t="s">
        <v>88</v>
      </c>
      <c r="F10417" s="1688"/>
      <c r="G10417" s="1408" t="s">
        <v>23</v>
      </c>
      <c r="H10417" s="391">
        <v>30</v>
      </c>
      <c r="M10417" s="1357"/>
      <c r="Q10417" s="1357"/>
      <c r="S10417" s="1420"/>
      <c r="T10417" s="1420"/>
      <c r="V10417" s="1357">
        <v>89</v>
      </c>
    </row>
    <row r="10418" spans="1:22" s="841" customFormat="1" ht="15" x14ac:dyDescent="0.25">
      <c r="A10418" s="841" t="s">
        <v>2457</v>
      </c>
      <c r="B10418" s="841" t="s">
        <v>3593</v>
      </c>
      <c r="E10418" s="1688" t="s">
        <v>94</v>
      </c>
      <c r="F10418" s="1688"/>
      <c r="G10418" s="1408" t="s">
        <v>23</v>
      </c>
      <c r="H10418" s="391">
        <v>30</v>
      </c>
      <c r="M10418" s="1357"/>
      <c r="Q10418" s="1357"/>
      <c r="S10418" s="1420"/>
      <c r="T10418" s="1420"/>
      <c r="V10418" s="1357">
        <v>19</v>
      </c>
    </row>
    <row r="10419" spans="1:22" s="841" customFormat="1" ht="15" x14ac:dyDescent="0.25">
      <c r="A10419" s="841" t="s">
        <v>2457</v>
      </c>
      <c r="B10419" s="841" t="s">
        <v>3593</v>
      </c>
      <c r="E10419" s="1688" t="s">
        <v>92</v>
      </c>
      <c r="F10419" s="1688"/>
      <c r="G10419" s="1408" t="s">
        <v>23</v>
      </c>
      <c r="H10419" s="391">
        <v>30</v>
      </c>
      <c r="M10419" s="1357"/>
      <c r="Q10419" s="1357"/>
      <c r="S10419" s="1420"/>
      <c r="T10419" s="1420"/>
      <c r="V10419" s="1357">
        <v>74</v>
      </c>
    </row>
    <row r="10420" spans="1:22" s="841" customFormat="1" ht="15" x14ac:dyDescent="0.25">
      <c r="A10420" s="841" t="s">
        <v>2457</v>
      </c>
      <c r="B10420" s="841" t="s">
        <v>3593</v>
      </c>
      <c r="E10420" s="1688" t="s">
        <v>3148</v>
      </c>
      <c r="F10420" s="1688"/>
      <c r="G10420" s="1408" t="s">
        <v>23</v>
      </c>
      <c r="H10420" s="391">
        <v>15</v>
      </c>
      <c r="M10420" s="1357"/>
      <c r="Q10420" s="1357"/>
      <c r="S10420" s="1420"/>
      <c r="T10420" s="1420"/>
      <c r="V10420" s="1357">
        <v>56</v>
      </c>
    </row>
    <row r="10421" spans="1:22" s="841" customFormat="1" ht="15" x14ac:dyDescent="0.25">
      <c r="A10421" s="841" t="s">
        <v>2457</v>
      </c>
      <c r="B10421" s="841" t="s">
        <v>3593</v>
      </c>
      <c r="E10421" s="1370" t="s">
        <v>3152</v>
      </c>
      <c r="F10421" s="3"/>
      <c r="G10421" s="3"/>
      <c r="H10421" s="398"/>
      <c r="K10421" s="841" t="s">
        <v>3587</v>
      </c>
      <c r="M10421" s="1357"/>
      <c r="Q10421" s="1357"/>
      <c r="S10421" s="1420"/>
      <c r="T10421" s="1420"/>
      <c r="V10421" s="1357">
        <v>22</v>
      </c>
    </row>
    <row r="10422" spans="1:22" s="841" customFormat="1" ht="15" x14ac:dyDescent="0.25">
      <c r="A10422" s="841" t="s">
        <v>2457</v>
      </c>
      <c r="B10422" s="841" t="s">
        <v>3593</v>
      </c>
      <c r="E10422" s="1688" t="s">
        <v>3154</v>
      </c>
      <c r="F10422" s="1688"/>
      <c r="G10422" s="1408" t="s">
        <v>86</v>
      </c>
      <c r="H10422" s="391">
        <v>1.5</v>
      </c>
      <c r="M10422" s="1357"/>
      <c r="Q10422" s="1357"/>
      <c r="S10422" s="1420"/>
      <c r="T10422" s="1420"/>
      <c r="V10422" s="1357">
        <v>24</v>
      </c>
    </row>
    <row r="10423" spans="1:22" s="841" customFormat="1" ht="15" x14ac:dyDescent="0.25">
      <c r="A10423" s="841" t="s">
        <v>2457</v>
      </c>
      <c r="B10423" s="841" t="s">
        <v>3593</v>
      </c>
      <c r="E10423" s="1688" t="s">
        <v>3155</v>
      </c>
      <c r="F10423" s="1688"/>
      <c r="G10423" s="1408" t="s">
        <v>86</v>
      </c>
      <c r="H10423" s="391">
        <v>19.559999999999999</v>
      </c>
      <c r="M10423" s="1357"/>
      <c r="Q10423" s="1357"/>
      <c r="S10423" s="1420"/>
      <c r="T10423" s="1420"/>
      <c r="V10423" s="1357">
        <v>24</v>
      </c>
    </row>
    <row r="10424" spans="1:22" s="841" customFormat="1" ht="15" x14ac:dyDescent="0.25">
      <c r="A10424" s="841" t="s">
        <v>2457</v>
      </c>
      <c r="B10424" s="841" t="s">
        <v>3593</v>
      </c>
      <c r="E10424" s="1688" t="s">
        <v>3156</v>
      </c>
      <c r="F10424" s="1688"/>
      <c r="G10424" s="1408" t="s">
        <v>23</v>
      </c>
      <c r="H10424" s="391">
        <v>30</v>
      </c>
      <c r="M10424" s="1357"/>
      <c r="Q10424" s="1357"/>
      <c r="S10424" s="1420"/>
      <c r="T10424" s="1420"/>
      <c r="V10424" s="1357">
        <v>79</v>
      </c>
    </row>
    <row r="10425" spans="1:22" s="841" customFormat="1" ht="15" x14ac:dyDescent="0.25">
      <c r="A10425" s="841" t="s">
        <v>2457</v>
      </c>
      <c r="B10425" s="841" t="s">
        <v>3593</v>
      </c>
      <c r="E10425" s="1688" t="s">
        <v>3157</v>
      </c>
      <c r="F10425" s="1688"/>
      <c r="G10425" s="1408" t="s">
        <v>23</v>
      </c>
      <c r="H10425" s="391">
        <v>165</v>
      </c>
      <c r="M10425" s="1357"/>
      <c r="Q10425" s="1357"/>
      <c r="S10425" s="1420"/>
      <c r="T10425" s="1420"/>
      <c r="V10425" s="1357">
        <v>69</v>
      </c>
    </row>
    <row r="10426" spans="1:22" s="841" customFormat="1" ht="15" x14ac:dyDescent="0.25">
      <c r="A10426" s="841" t="s">
        <v>2457</v>
      </c>
      <c r="B10426" s="841" t="s">
        <v>3593</v>
      </c>
      <c r="E10426" s="1688" t="s">
        <v>3158</v>
      </c>
      <c r="F10426" s="1688"/>
      <c r="G10426" s="1408" t="s">
        <v>23</v>
      </c>
      <c r="H10426" s="391">
        <v>65</v>
      </c>
      <c r="M10426" s="1357"/>
      <c r="Q10426" s="1357"/>
      <c r="S10426" s="1420"/>
      <c r="T10426" s="1420"/>
      <c r="V10426" s="1357">
        <v>52</v>
      </c>
    </row>
    <row r="10427" spans="1:22" s="841" customFormat="1" ht="15" x14ac:dyDescent="0.25">
      <c r="A10427" s="841" t="s">
        <v>2457</v>
      </c>
      <c r="B10427" s="841" t="s">
        <v>3593</v>
      </c>
      <c r="E10427" s="1688" t="s">
        <v>3159</v>
      </c>
      <c r="F10427" s="1688"/>
      <c r="G10427" s="1408" t="s">
        <v>23</v>
      </c>
      <c r="H10427" s="391">
        <v>185</v>
      </c>
      <c r="M10427" s="1357"/>
      <c r="Q10427" s="1357"/>
      <c r="S10427" s="1420"/>
      <c r="T10427" s="1420"/>
      <c r="V10427" s="1357">
        <v>51</v>
      </c>
    </row>
    <row r="10428" spans="1:22" s="841" customFormat="1" ht="15" x14ac:dyDescent="0.25">
      <c r="A10428" s="841" t="s">
        <v>2457</v>
      </c>
      <c r="B10428" s="841" t="s">
        <v>3593</v>
      </c>
      <c r="E10428" s="1688" t="s">
        <v>3160</v>
      </c>
      <c r="F10428" s="1688"/>
      <c r="G10428" s="1408" t="s">
        <v>23</v>
      </c>
      <c r="H10428" s="391">
        <v>185</v>
      </c>
      <c r="M10428" s="1357"/>
      <c r="Q10428" s="1357"/>
      <c r="S10428" s="1420"/>
      <c r="T10428" s="1420"/>
      <c r="V10428" s="1357">
        <v>51</v>
      </c>
    </row>
    <row r="10429" spans="1:22" s="841" customFormat="1" ht="15" x14ac:dyDescent="0.25">
      <c r="A10429" s="841" t="s">
        <v>2457</v>
      </c>
      <c r="B10429" s="841" t="s">
        <v>3593</v>
      </c>
      <c r="E10429" s="1688" t="s">
        <v>3161</v>
      </c>
      <c r="F10429" s="1688"/>
      <c r="G10429" s="1408" t="s">
        <v>23</v>
      </c>
      <c r="H10429" s="391">
        <v>415</v>
      </c>
      <c r="M10429" s="1357"/>
      <c r="Q10429" s="1357"/>
      <c r="S10429" s="1420"/>
      <c r="T10429" s="1420"/>
      <c r="V10429" s="1357">
        <v>50</v>
      </c>
    </row>
    <row r="10430" spans="1:22" s="841" customFormat="1" ht="15" x14ac:dyDescent="0.25">
      <c r="A10430" s="841" t="s">
        <v>2457</v>
      </c>
      <c r="B10430" s="841" t="s">
        <v>3593</v>
      </c>
      <c r="E10430" s="1688" t="s">
        <v>3162</v>
      </c>
      <c r="F10430" s="1688"/>
      <c r="G10430" s="1408" t="s">
        <v>23</v>
      </c>
      <c r="H10430" s="391">
        <v>65</v>
      </c>
      <c r="M10430" s="1357"/>
      <c r="Q10430" s="1357"/>
      <c r="S10430" s="1420"/>
      <c r="T10430" s="1420"/>
      <c r="V10430" s="1357">
        <v>57</v>
      </c>
    </row>
    <row r="10431" spans="1:22" s="841" customFormat="1" ht="15" x14ac:dyDescent="0.25">
      <c r="A10431" s="841" t="s">
        <v>2457</v>
      </c>
      <c r="B10431" s="841" t="s">
        <v>3593</v>
      </c>
      <c r="E10431" s="1688" t="s">
        <v>3163</v>
      </c>
      <c r="F10431" s="1688"/>
      <c r="G10431" s="1408" t="s">
        <v>23</v>
      </c>
      <c r="H10431" s="391">
        <v>185</v>
      </c>
      <c r="M10431" s="1357"/>
      <c r="Q10431" s="1357"/>
      <c r="S10431" s="1420"/>
      <c r="T10431" s="1420"/>
      <c r="V10431" s="1357">
        <v>56</v>
      </c>
    </row>
    <row r="10432" spans="1:22" s="841" customFormat="1" ht="15" x14ac:dyDescent="0.25">
      <c r="A10432" s="841" t="s">
        <v>2457</v>
      </c>
      <c r="B10432" s="841" t="s">
        <v>3593</v>
      </c>
      <c r="E10432" s="1370" t="s">
        <v>3164</v>
      </c>
      <c r="F10432" s="507"/>
      <c r="G10432" s="397"/>
      <c r="H10432" s="391"/>
      <c r="M10432" s="1357"/>
      <c r="Q10432" s="1357"/>
      <c r="S10432" s="1420"/>
      <c r="T10432" s="1420"/>
      <c r="V10432" s="1357">
        <v>5</v>
      </c>
    </row>
    <row r="10433" spans="1:22" s="841" customFormat="1" ht="15" x14ac:dyDescent="0.25">
      <c r="A10433" s="841" t="s">
        <v>2457</v>
      </c>
      <c r="B10433" s="841" t="s">
        <v>3593</v>
      </c>
      <c r="E10433" s="1688" t="s">
        <v>3613</v>
      </c>
      <c r="F10433" s="1688"/>
      <c r="G10433" s="1408" t="s">
        <v>23</v>
      </c>
      <c r="H10433" s="391">
        <v>22.35</v>
      </c>
      <c r="M10433" s="1357"/>
      <c r="Q10433" s="1357"/>
      <c r="S10433" s="1420"/>
      <c r="T10433" s="1420"/>
      <c r="V10433" s="1357">
        <v>452</v>
      </c>
    </row>
    <row r="10434" spans="1:22" s="841" customFormat="1" ht="15" x14ac:dyDescent="0.25">
      <c r="A10434" s="841" t="s">
        <v>2457</v>
      </c>
      <c r="B10434" s="841" t="s">
        <v>3593</v>
      </c>
      <c r="E10434" s="1688" t="s">
        <v>3167</v>
      </c>
      <c r="F10434" s="1688"/>
      <c r="G10434" s="1408" t="s">
        <v>23</v>
      </c>
      <c r="H10434" s="391">
        <v>30</v>
      </c>
      <c r="M10434" s="1357"/>
      <c r="Q10434" s="1357"/>
      <c r="S10434" s="1420"/>
      <c r="T10434" s="1420"/>
      <c r="V10434" s="1357">
        <v>39</v>
      </c>
    </row>
    <row r="10435" spans="1:22" s="841" customFormat="1" ht="15" x14ac:dyDescent="0.25">
      <c r="A10435" s="841" t="s">
        <v>2457</v>
      </c>
      <c r="B10435" s="841" t="s">
        <v>3593</v>
      </c>
      <c r="E10435" s="1688" t="s">
        <v>3614</v>
      </c>
      <c r="F10435" s="1688"/>
      <c r="G10435" s="1408" t="s">
        <v>23</v>
      </c>
      <c r="H10435" s="391">
        <v>165</v>
      </c>
      <c r="M10435" s="1357"/>
      <c r="Q10435" s="1357"/>
      <c r="S10435" s="1420"/>
      <c r="T10435" s="1420"/>
      <c r="V10435" s="1357">
        <v>61</v>
      </c>
    </row>
    <row r="10436" spans="1:22" s="841" customFormat="1" x14ac:dyDescent="0.25">
      <c r="A10436" s="841" t="s">
        <v>2457</v>
      </c>
      <c r="B10436" s="841" t="s">
        <v>3593</v>
      </c>
      <c r="E10436" s="1931" t="s">
        <v>77</v>
      </c>
      <c r="F10436" s="1931"/>
      <c r="G10436" s="1931"/>
      <c r="H10436" s="1931"/>
      <c r="K10436" s="841" t="s">
        <v>3589</v>
      </c>
      <c r="M10436" s="1357"/>
      <c r="Q10436" s="1357"/>
      <c r="S10436" s="1420"/>
      <c r="T10436" s="1420"/>
      <c r="V10436" s="1357">
        <v>38</v>
      </c>
    </row>
    <row r="10437" spans="1:22" s="841" customFormat="1" ht="15" x14ac:dyDescent="0.25">
      <c r="A10437" s="841" t="s">
        <v>2457</v>
      </c>
      <c r="B10437" s="841" t="s">
        <v>3593</v>
      </c>
      <c r="E10437" s="1689" t="s">
        <v>3063</v>
      </c>
      <c r="F10437" s="1689"/>
      <c r="G10437" s="1689"/>
      <c r="H10437" s="1689"/>
      <c r="M10437" s="1357"/>
      <c r="Q10437" s="1357"/>
      <c r="S10437" s="1420"/>
      <c r="T10437" s="1420"/>
      <c r="V10437" s="1357">
        <v>280</v>
      </c>
    </row>
    <row r="10438" spans="1:22" s="841" customFormat="1" ht="15" x14ac:dyDescent="0.25">
      <c r="A10438" s="841" t="s">
        <v>2457</v>
      </c>
      <c r="B10438" s="841" t="s">
        <v>3593</v>
      </c>
      <c r="E10438" s="1689" t="s">
        <v>3064</v>
      </c>
      <c r="F10438" s="1689"/>
      <c r="G10438" s="1689"/>
      <c r="H10438" s="1689"/>
      <c r="M10438" s="1357"/>
      <c r="Q10438" s="1357"/>
      <c r="S10438" s="1420"/>
      <c r="T10438" s="1420"/>
      <c r="V10438" s="1357">
        <v>411</v>
      </c>
    </row>
    <row r="10439" spans="1:22" s="841" customFormat="1" ht="15" x14ac:dyDescent="0.25">
      <c r="A10439" s="841" t="s">
        <v>2457</v>
      </c>
      <c r="B10439" s="841" t="s">
        <v>3593</v>
      </c>
      <c r="E10439" s="1689" t="s">
        <v>3129</v>
      </c>
      <c r="F10439" s="1689"/>
      <c r="G10439" s="1689"/>
      <c r="H10439" s="1689"/>
      <c r="M10439" s="1357"/>
      <c r="Q10439" s="1357"/>
      <c r="S10439" s="1420"/>
      <c r="T10439" s="1420"/>
      <c r="V10439" s="1357">
        <v>211</v>
      </c>
    </row>
    <row r="10440" spans="1:22" s="841" customFormat="1" ht="15" x14ac:dyDescent="0.25">
      <c r="A10440" s="841" t="s">
        <v>2457</v>
      </c>
      <c r="B10440" s="841" t="s">
        <v>3593</v>
      </c>
      <c r="E10440" s="1689" t="s">
        <v>3200</v>
      </c>
      <c r="F10440" s="1689"/>
      <c r="G10440" s="1689"/>
      <c r="H10440" s="1689"/>
      <c r="M10440" s="1357"/>
      <c r="Q10440" s="1357"/>
      <c r="S10440" s="1420"/>
      <c r="T10440" s="1420"/>
      <c r="V10440" s="1357">
        <v>275</v>
      </c>
    </row>
    <row r="10441" spans="1:22" s="841" customFormat="1" ht="15" x14ac:dyDescent="0.25">
      <c r="A10441" s="841" t="s">
        <v>2457</v>
      </c>
      <c r="B10441" s="841" t="s">
        <v>3593</v>
      </c>
      <c r="E10441" s="1689" t="s">
        <v>3291</v>
      </c>
      <c r="F10441" s="1689"/>
      <c r="G10441" s="1689"/>
      <c r="H10441" s="1689"/>
      <c r="M10441" s="1357"/>
      <c r="Q10441" s="1357"/>
      <c r="S10441" s="1420"/>
      <c r="T10441" s="1420"/>
      <c r="V10441" s="1357">
        <v>142</v>
      </c>
    </row>
    <row r="10442" spans="1:22" s="841" customFormat="1" ht="15" x14ac:dyDescent="0.25">
      <c r="A10442" s="841" t="s">
        <v>2457</v>
      </c>
      <c r="B10442" s="841" t="s">
        <v>3593</v>
      </c>
      <c r="E10442" s="1690" t="s">
        <v>3176</v>
      </c>
      <c r="F10442" s="1690"/>
      <c r="G10442" s="397" t="s">
        <v>23</v>
      </c>
      <c r="H10442" s="391">
        <v>100</v>
      </c>
      <c r="M10442" s="1357"/>
      <c r="Q10442" s="1357"/>
      <c r="S10442" s="1420"/>
      <c r="T10442" s="1420"/>
      <c r="V10442" s="1357">
        <v>106</v>
      </c>
    </row>
    <row r="10443" spans="1:22" s="841" customFormat="1" ht="15" x14ac:dyDescent="0.25">
      <c r="A10443" s="841" t="s">
        <v>2457</v>
      </c>
      <c r="B10443" s="841" t="s">
        <v>3593</v>
      </c>
      <c r="E10443" s="1690" t="s">
        <v>3177</v>
      </c>
      <c r="F10443" s="1690"/>
      <c r="G10443" s="397" t="s">
        <v>23</v>
      </c>
      <c r="H10443" s="391">
        <v>20</v>
      </c>
      <c r="M10443" s="1357"/>
      <c r="Q10443" s="1357"/>
      <c r="S10443" s="1420"/>
      <c r="T10443" s="1420"/>
      <c r="V10443" s="1357">
        <v>34</v>
      </c>
    </row>
    <row r="10444" spans="1:22" s="841" customFormat="1" ht="15" x14ac:dyDescent="0.25">
      <c r="A10444" s="841" t="s">
        <v>2457</v>
      </c>
      <c r="B10444" s="841" t="s">
        <v>3593</v>
      </c>
      <c r="E10444" s="1690" t="s">
        <v>3178</v>
      </c>
      <c r="F10444" s="1690"/>
      <c r="G10444" s="397" t="s">
        <v>3179</v>
      </c>
      <c r="H10444" s="391">
        <v>0.5</v>
      </c>
      <c r="M10444" s="1357"/>
      <c r="Q10444" s="1357"/>
      <c r="S10444" s="1420"/>
      <c r="T10444" s="1420"/>
      <c r="V10444" s="1357">
        <v>51</v>
      </c>
    </row>
    <row r="10445" spans="1:22" s="841" customFormat="1" ht="15" x14ac:dyDescent="0.25">
      <c r="A10445" s="841" t="s">
        <v>2457</v>
      </c>
      <c r="B10445" s="841" t="s">
        <v>3593</v>
      </c>
      <c r="E10445" s="1690" t="s">
        <v>3180</v>
      </c>
      <c r="F10445" s="1690"/>
      <c r="G10445" s="397" t="s">
        <v>3179</v>
      </c>
      <c r="H10445" s="391">
        <v>0.3</v>
      </c>
      <c r="M10445" s="1357"/>
      <c r="Q10445" s="1357"/>
      <c r="S10445" s="1420"/>
      <c r="T10445" s="1420"/>
      <c r="V10445" s="1357">
        <v>75</v>
      </c>
    </row>
    <row r="10446" spans="1:22" s="841" customFormat="1" ht="15" x14ac:dyDescent="0.25">
      <c r="A10446" s="841" t="s">
        <v>2457</v>
      </c>
      <c r="B10446" s="841" t="s">
        <v>3593</v>
      </c>
      <c r="E10446" s="1690" t="s">
        <v>3181</v>
      </c>
      <c r="F10446" s="1690"/>
      <c r="G10446" s="397" t="s">
        <v>3179</v>
      </c>
      <c r="H10446" s="391">
        <v>-0.3</v>
      </c>
      <c r="M10446" s="1357"/>
      <c r="Q10446" s="1357"/>
      <c r="S10446" s="1420"/>
      <c r="T10446" s="1420"/>
      <c r="V10446" s="1357">
        <v>72</v>
      </c>
    </row>
    <row r="10447" spans="1:22" s="841" customFormat="1" ht="15" x14ac:dyDescent="0.25">
      <c r="A10447" s="841" t="s">
        <v>2457</v>
      </c>
      <c r="B10447" s="841" t="s">
        <v>3593</v>
      </c>
      <c r="E10447" s="1690" t="s">
        <v>3292</v>
      </c>
      <c r="F10447" s="1690"/>
      <c r="G10447" s="397"/>
      <c r="H10447" s="392"/>
      <c r="M10447" s="1357"/>
      <c r="Q10447" s="1357"/>
      <c r="S10447" s="1420"/>
      <c r="T10447" s="1420"/>
      <c r="V10447" s="1357">
        <v>34</v>
      </c>
    </row>
    <row r="10448" spans="1:22" s="841" customFormat="1" ht="15" x14ac:dyDescent="0.25">
      <c r="A10448" s="841" t="s">
        <v>2457</v>
      </c>
      <c r="B10448" s="841" t="s">
        <v>3593</v>
      </c>
      <c r="E10448" s="1691" t="s">
        <v>3183</v>
      </c>
      <c r="F10448" s="1691"/>
      <c r="G10448" s="397" t="s">
        <v>23</v>
      </c>
      <c r="H10448" s="391">
        <v>0.25</v>
      </c>
      <c r="M10448" s="1357"/>
      <c r="Q10448" s="1357"/>
      <c r="S10448" s="1420"/>
      <c r="T10448" s="1420"/>
      <c r="V10448" s="1357">
        <v>57</v>
      </c>
    </row>
    <row r="10449" spans="1:22" s="841" customFormat="1" ht="15" x14ac:dyDescent="0.25">
      <c r="A10449" s="841" t="s">
        <v>2457</v>
      </c>
      <c r="B10449" s="841" t="s">
        <v>3593</v>
      </c>
      <c r="E10449" s="1691" t="s">
        <v>3184</v>
      </c>
      <c r="F10449" s="1691"/>
      <c r="G10449" s="397" t="s">
        <v>23</v>
      </c>
      <c r="H10449" s="391">
        <v>0.5</v>
      </c>
      <c r="M10449" s="1357"/>
      <c r="Q10449" s="1357"/>
      <c r="S10449" s="1420"/>
      <c r="T10449" s="1420"/>
      <c r="V10449" s="1357">
        <v>60</v>
      </c>
    </row>
    <row r="10450" spans="1:22" s="841" customFormat="1" ht="15" x14ac:dyDescent="0.25">
      <c r="A10450" s="841" t="s">
        <v>2457</v>
      </c>
      <c r="B10450" s="841" t="s">
        <v>3593</v>
      </c>
      <c r="E10450" s="1690" t="s">
        <v>3185</v>
      </c>
      <c r="F10450" s="1690"/>
      <c r="G10450" s="397"/>
      <c r="H10450" s="392"/>
      <c r="M10450" s="1357"/>
      <c r="Q10450" s="1357"/>
      <c r="S10450" s="1420"/>
      <c r="T10450" s="1420"/>
      <c r="V10450" s="1357">
        <v>91</v>
      </c>
    </row>
    <row r="10451" spans="1:22" s="841" customFormat="1" ht="15" x14ac:dyDescent="0.25">
      <c r="A10451" s="841" t="s">
        <v>2457</v>
      </c>
      <c r="B10451" s="841" t="s">
        <v>3593</v>
      </c>
      <c r="E10451" s="1690" t="s">
        <v>3186</v>
      </c>
      <c r="F10451" s="1690"/>
      <c r="G10451" s="397"/>
      <c r="H10451" s="392"/>
      <c r="M10451" s="1357"/>
      <c r="Q10451" s="1357"/>
      <c r="S10451" s="1420"/>
      <c r="T10451" s="1420"/>
      <c r="V10451" s="1357">
        <v>96</v>
      </c>
    </row>
    <row r="10452" spans="1:22" s="841" customFormat="1" ht="15" x14ac:dyDescent="0.25">
      <c r="A10452" s="841" t="s">
        <v>2457</v>
      </c>
      <c r="B10452" s="841" t="s">
        <v>3593</v>
      </c>
      <c r="E10452" s="1690" t="s">
        <v>3293</v>
      </c>
      <c r="F10452" s="1690"/>
      <c r="G10452" s="397"/>
      <c r="H10452" s="392"/>
      <c r="M10452" s="1357"/>
      <c r="Q10452" s="1357"/>
      <c r="S10452" s="1420"/>
      <c r="T10452" s="1420"/>
      <c r="V10452" s="1357">
        <v>77</v>
      </c>
    </row>
    <row r="10453" spans="1:22" s="841" customFormat="1" ht="15" x14ac:dyDescent="0.25">
      <c r="A10453" s="841" t="s">
        <v>2457</v>
      </c>
      <c r="B10453" s="841" t="s">
        <v>3593</v>
      </c>
      <c r="E10453" s="1691" t="s">
        <v>3188</v>
      </c>
      <c r="F10453" s="1691"/>
      <c r="G10453" s="397" t="s">
        <v>23</v>
      </c>
      <c r="H10453" s="392" t="s">
        <v>3189</v>
      </c>
      <c r="M10453" s="1357"/>
      <c r="Q10453" s="1357"/>
      <c r="S10453" s="1420"/>
      <c r="T10453" s="1420"/>
      <c r="V10453" s="1357">
        <v>18</v>
      </c>
    </row>
    <row r="10454" spans="1:22" s="841" customFormat="1" ht="15" x14ac:dyDescent="0.25">
      <c r="A10454" s="841" t="s">
        <v>2457</v>
      </c>
      <c r="B10454" s="841" t="s">
        <v>3593</v>
      </c>
      <c r="E10454" s="1691" t="s">
        <v>3190</v>
      </c>
      <c r="F10454" s="1691"/>
      <c r="G10454" s="397" t="s">
        <v>23</v>
      </c>
      <c r="H10454" s="391">
        <v>2</v>
      </c>
      <c r="M10454" s="1357"/>
      <c r="Q10454" s="1357"/>
      <c r="S10454" s="1420"/>
      <c r="T10454" s="1420"/>
      <c r="V10454" s="1357">
        <v>69</v>
      </c>
    </row>
    <row r="10455" spans="1:22" s="841" customFormat="1" ht="18.75" x14ac:dyDescent="0.3">
      <c r="A10455" s="841" t="s">
        <v>2457</v>
      </c>
      <c r="B10455" s="841" t="s">
        <v>3593</v>
      </c>
      <c r="E10455" s="1372" t="s">
        <v>147</v>
      </c>
      <c r="F10455" s="657"/>
      <c r="G10455" s="657"/>
      <c r="H10455" s="658"/>
      <c r="K10455" s="841" t="s">
        <v>3591</v>
      </c>
      <c r="M10455" s="1357"/>
      <c r="Q10455" s="1357"/>
      <c r="S10455" s="1420"/>
      <c r="T10455" s="1420"/>
      <c r="V10455" s="1357">
        <v>12</v>
      </c>
    </row>
    <row r="10456" spans="1:22" s="841" customFormat="1" ht="15" x14ac:dyDescent="0.25">
      <c r="A10456" s="841" t="s">
        <v>2457</v>
      </c>
      <c r="B10456" s="841" t="s">
        <v>3593</v>
      </c>
      <c r="E10456" s="1704" t="s">
        <v>3192</v>
      </c>
      <c r="F10456" s="1704"/>
      <c r="G10456" s="1704"/>
      <c r="H10456" s="1704"/>
      <c r="M10456" s="1357"/>
      <c r="Q10456" s="1357"/>
      <c r="S10456" s="1420"/>
      <c r="T10456" s="1420"/>
      <c r="V10456" s="1357">
        <v>203</v>
      </c>
    </row>
    <row r="10457" spans="1:22" s="841" customFormat="1" ht="15" x14ac:dyDescent="0.25">
      <c r="A10457" s="841" t="s">
        <v>2457</v>
      </c>
      <c r="B10457" s="841" t="s">
        <v>3593</v>
      </c>
      <c r="E10457" s="1690" t="s">
        <v>3295</v>
      </c>
      <c r="F10457" s="1690"/>
      <c r="G10457" s="1408"/>
      <c r="H10457" s="393">
        <v>1.0335000000000001</v>
      </c>
      <c r="M10457" s="1357"/>
      <c r="Q10457" s="1357"/>
      <c r="S10457" s="1420"/>
      <c r="T10457" s="1420"/>
      <c r="V10457" s="1357">
        <v>57</v>
      </c>
    </row>
    <row r="10458" spans="1:22" s="841" customFormat="1" ht="15" x14ac:dyDescent="0.25">
      <c r="A10458" s="841" t="s">
        <v>2457</v>
      </c>
      <c r="B10458" s="841" t="s">
        <v>3593</v>
      </c>
      <c r="E10458" s="1690" t="s">
        <v>3296</v>
      </c>
      <c r="F10458" s="1690"/>
      <c r="G10458" s="1408"/>
      <c r="H10458" s="393">
        <v>1.0145</v>
      </c>
      <c r="M10458" s="1357"/>
      <c r="Q10458" s="1357"/>
      <c r="S10458" s="1420"/>
      <c r="T10458" s="1420"/>
      <c r="V10458" s="1357">
        <v>57</v>
      </c>
    </row>
    <row r="10459" spans="1:22" s="841" customFormat="1" ht="15" x14ac:dyDescent="0.25">
      <c r="A10459" s="841" t="s">
        <v>2457</v>
      </c>
      <c r="B10459" s="841" t="s">
        <v>3593</v>
      </c>
      <c r="E10459" s="1690" t="s">
        <v>3297</v>
      </c>
      <c r="F10459" s="1690"/>
      <c r="G10459" s="1408"/>
      <c r="H10459" s="393">
        <v>1.0235000000000001</v>
      </c>
      <c r="M10459" s="1357"/>
      <c r="Q10459" s="1357"/>
      <c r="S10459" s="1420"/>
      <c r="T10459" s="1420"/>
      <c r="V10459" s="1357">
        <v>55</v>
      </c>
    </row>
    <row r="10460" spans="1:22" s="841" customFormat="1" ht="15" x14ac:dyDescent="0.25">
      <c r="A10460" s="841" t="s">
        <v>2457</v>
      </c>
      <c r="B10460" s="841" t="s">
        <v>3593</v>
      </c>
      <c r="E10460" s="1690" t="s">
        <v>3298</v>
      </c>
      <c r="F10460" s="1690"/>
      <c r="G10460" s="1408"/>
      <c r="H10460" s="393">
        <v>1.0044999999999999</v>
      </c>
      <c r="J10460" s="841" t="s">
        <v>3615</v>
      </c>
      <c r="M10460" s="1357"/>
      <c r="Q10460" s="1357"/>
      <c r="S10460" s="1420"/>
      <c r="T10460" s="1420"/>
      <c r="V10460" s="1357">
        <v>55</v>
      </c>
    </row>
    <row r="10461" spans="1:22" s="841" customFormat="1" ht="23.25" x14ac:dyDescent="0.25">
      <c r="A10461" s="841" t="s">
        <v>191</v>
      </c>
      <c r="C10461" s="841" t="s">
        <v>3050</v>
      </c>
      <c r="E10461" s="2086" t="s">
        <v>191</v>
      </c>
      <c r="F10461" s="2086"/>
      <c r="G10461" s="2086"/>
      <c r="H10461" s="2086"/>
      <c r="I10461" s="841" t="s">
        <v>628</v>
      </c>
      <c r="J10461" s="841" t="s">
        <v>4265</v>
      </c>
      <c r="K10461" s="841" t="s">
        <v>191</v>
      </c>
      <c r="M10461" s="1357">
        <v>7</v>
      </c>
      <c r="Q10461" s="1357"/>
      <c r="S10461" s="1420"/>
      <c r="T10461" s="1420"/>
      <c r="V10461" s="1357">
        <v>30</v>
      </c>
    </row>
    <row r="10462" spans="1:22" s="841" customFormat="1" x14ac:dyDescent="0.25">
      <c r="A10462" s="841" t="s">
        <v>191</v>
      </c>
      <c r="C10462" s="841" t="s">
        <v>3052</v>
      </c>
      <c r="E10462" s="2001" t="s">
        <v>3053</v>
      </c>
      <c r="F10462" s="2001"/>
      <c r="G10462" s="2001"/>
      <c r="H10462" s="2001"/>
      <c r="M10462" s="1357"/>
      <c r="Q10462" s="1357"/>
      <c r="S10462" s="1420"/>
      <c r="T10462" s="1420"/>
      <c r="V10462" s="1357">
        <v>27</v>
      </c>
    </row>
    <row r="10463" spans="1:22" s="841" customFormat="1" ht="15.75" x14ac:dyDescent="0.25">
      <c r="A10463" s="841" t="s">
        <v>191</v>
      </c>
      <c r="C10463" s="841" t="s">
        <v>3054</v>
      </c>
      <c r="E10463" s="2087" t="s">
        <v>5107</v>
      </c>
      <c r="F10463" s="2087"/>
      <c r="G10463" s="2087"/>
      <c r="H10463" s="2087"/>
      <c r="M10463" s="1357"/>
      <c r="Q10463" s="1357"/>
      <c r="S10463" s="1420">
        <v>43221</v>
      </c>
      <c r="T10463" s="1420"/>
      <c r="V10463" s="1357">
        <v>45</v>
      </c>
    </row>
    <row r="10464" spans="1:22" s="841" customFormat="1" ht="15" x14ac:dyDescent="0.25">
      <c r="A10464" s="841" t="s">
        <v>191</v>
      </c>
      <c r="C10464" s="841" t="s">
        <v>3055</v>
      </c>
      <c r="E10464" s="2088" t="s">
        <v>3056</v>
      </c>
      <c r="F10464" s="2088"/>
      <c r="G10464" s="2088"/>
      <c r="H10464" s="2088"/>
      <c r="M10464" s="1357"/>
      <c r="Q10464" s="1357"/>
      <c r="S10464" s="1420"/>
      <c r="T10464" s="1420"/>
      <c r="V10464" s="1357">
        <v>52</v>
      </c>
    </row>
    <row r="10465" spans="1:22" s="841" customFormat="1" ht="15" x14ac:dyDescent="0.25">
      <c r="A10465" s="841" t="s">
        <v>191</v>
      </c>
      <c r="E10465" s="2088" t="s">
        <v>3057</v>
      </c>
      <c r="F10465" s="2088"/>
      <c r="G10465" s="2088"/>
      <c r="H10465" s="2088"/>
      <c r="M10465" s="1357"/>
      <c r="Q10465" s="1357"/>
      <c r="S10465" s="1420"/>
      <c r="T10465" s="1420"/>
      <c r="V10465" s="1357">
        <v>53</v>
      </c>
    </row>
    <row r="10466" spans="1:22" s="841" customFormat="1" ht="15" x14ac:dyDescent="0.25">
      <c r="A10466" s="841" t="s">
        <v>191</v>
      </c>
      <c r="E10466" s="2089" t="s">
        <v>5768</v>
      </c>
      <c r="F10466" s="2089"/>
      <c r="G10466" s="2089"/>
      <c r="H10466" s="2089"/>
      <c r="K10466" s="841" t="s">
        <v>5768</v>
      </c>
      <c r="M10466" s="1357"/>
      <c r="Q10466" s="1357"/>
      <c r="S10466" s="1420"/>
      <c r="T10466" s="1420"/>
      <c r="V10466" s="1357">
        <v>12</v>
      </c>
    </row>
    <row r="10467" spans="1:22" s="841" customFormat="1" ht="15" x14ac:dyDescent="0.25">
      <c r="A10467" s="841" t="s">
        <v>191</v>
      </c>
      <c r="E10467" s="1967" t="s">
        <v>438</v>
      </c>
      <c r="F10467" s="1977"/>
      <c r="G10467" s="1977"/>
      <c r="H10467" s="1977"/>
      <c r="K10467" s="841" t="s">
        <v>3197</v>
      </c>
      <c r="M10467" s="1357"/>
      <c r="Q10467" s="1357"/>
      <c r="S10467" s="1420"/>
      <c r="T10467" s="1420"/>
      <c r="V10467" s="1357">
        <v>34</v>
      </c>
    </row>
    <row r="10468" spans="1:22" s="841" customFormat="1" ht="15" x14ac:dyDescent="0.25">
      <c r="A10468" s="841" t="s">
        <v>191</v>
      </c>
      <c r="E10468" s="1939" t="s">
        <v>4266</v>
      </c>
      <c r="F10468" s="1939"/>
      <c r="G10468" s="1939"/>
      <c r="H10468" s="1939"/>
      <c r="K10468" s="841" t="s">
        <v>3197</v>
      </c>
      <c r="M10468" s="1357"/>
      <c r="Q10468" s="1357"/>
      <c r="S10468" s="1420"/>
      <c r="T10468" s="1420"/>
      <c r="V10468" s="1357">
        <v>833</v>
      </c>
    </row>
    <row r="10469" spans="1:22" s="841" customFormat="1" ht="15" x14ac:dyDescent="0.25">
      <c r="A10469" s="841" t="s">
        <v>191</v>
      </c>
      <c r="E10469" s="1935" t="s">
        <v>3061</v>
      </c>
      <c r="F10469" s="1697"/>
      <c r="G10469" s="1697"/>
      <c r="H10469" s="1697"/>
      <c r="K10469" s="841" t="s">
        <v>3062</v>
      </c>
      <c r="M10469" s="1357"/>
      <c r="Q10469" s="1357"/>
      <c r="S10469" s="1420"/>
      <c r="T10469" s="1420"/>
      <c r="V10469" s="1357">
        <v>11</v>
      </c>
    </row>
    <row r="10470" spans="1:22" s="841" customFormat="1" ht="15" x14ac:dyDescent="0.25">
      <c r="A10470" s="841" t="s">
        <v>191</v>
      </c>
      <c r="E10470" s="1939" t="s">
        <v>4267</v>
      </c>
      <c r="F10470" s="1939"/>
      <c r="G10470" s="1939"/>
      <c r="H10470" s="1939"/>
      <c r="K10470" s="841" t="s">
        <v>3197</v>
      </c>
      <c r="M10470" s="1357"/>
      <c r="Q10470" s="1357"/>
      <c r="S10470" s="1420"/>
      <c r="T10470" s="1420"/>
      <c r="V10470" s="1357">
        <v>281</v>
      </c>
    </row>
    <row r="10471" spans="1:22" s="841" customFormat="1" ht="15" x14ac:dyDescent="0.25">
      <c r="A10471" s="841" t="s">
        <v>191</v>
      </c>
      <c r="E10471" s="1939" t="s">
        <v>4268</v>
      </c>
      <c r="F10471" s="1939"/>
      <c r="G10471" s="1939"/>
      <c r="H10471" s="1939"/>
      <c r="K10471" s="841" t="s">
        <v>3197</v>
      </c>
      <c r="M10471" s="1357"/>
      <c r="Q10471" s="1357"/>
      <c r="S10471" s="1420"/>
      <c r="T10471" s="1420"/>
      <c r="V10471" s="1357">
        <v>411</v>
      </c>
    </row>
    <row r="10472" spans="1:22" s="841" customFormat="1" ht="15" x14ac:dyDescent="0.25">
      <c r="A10472" s="841" t="s">
        <v>191</v>
      </c>
      <c r="E10472" s="1939" t="s">
        <v>3809</v>
      </c>
      <c r="F10472" s="1939"/>
      <c r="G10472" s="1939"/>
      <c r="H10472" s="1939"/>
      <c r="K10472" s="841" t="s">
        <v>3197</v>
      </c>
      <c r="M10472" s="1357"/>
      <c r="Q10472" s="1357"/>
      <c r="S10472" s="1420"/>
      <c r="T10472" s="1420"/>
      <c r="V10472" s="1357">
        <v>385</v>
      </c>
    </row>
    <row r="10473" spans="1:22" s="841" customFormat="1" ht="15" x14ac:dyDescent="0.25">
      <c r="A10473" s="841" t="s">
        <v>191</v>
      </c>
      <c r="E10473" s="1939" t="s">
        <v>3390</v>
      </c>
      <c r="F10473" s="1939"/>
      <c r="G10473" s="1939"/>
      <c r="H10473" s="1939"/>
      <c r="K10473" s="841" t="s">
        <v>3197</v>
      </c>
      <c r="M10473" s="1357"/>
      <c r="Q10473" s="1357"/>
      <c r="S10473" s="1420"/>
      <c r="T10473" s="1420"/>
      <c r="V10473" s="1357">
        <v>274</v>
      </c>
    </row>
    <row r="10474" spans="1:22" s="841" customFormat="1" ht="15" x14ac:dyDescent="0.25">
      <c r="A10474" s="841" t="s">
        <v>191</v>
      </c>
      <c r="E10474" s="1930" t="s">
        <v>3067</v>
      </c>
      <c r="F10474" s="1693"/>
      <c r="G10474" s="1693"/>
      <c r="H10474" s="1693"/>
      <c r="K10474" s="841" t="s">
        <v>3068</v>
      </c>
      <c r="M10474" s="1357"/>
      <c r="Q10474" s="1357"/>
      <c r="S10474" s="1420"/>
      <c r="T10474" s="1420"/>
      <c r="V10474" s="1357">
        <v>46</v>
      </c>
    </row>
    <row r="10475" spans="1:22" s="841" customFormat="1" ht="15" x14ac:dyDescent="0.25">
      <c r="A10475" s="841" t="s">
        <v>191</v>
      </c>
      <c r="E10475" s="1918" t="s">
        <v>11</v>
      </c>
      <c r="F10475" s="1918"/>
      <c r="G10475" s="679" t="s">
        <v>23</v>
      </c>
      <c r="H10475" s="391">
        <v>18.88</v>
      </c>
      <c r="K10475" s="841" t="s">
        <v>3197</v>
      </c>
      <c r="L10475" s="841" t="s">
        <v>442</v>
      </c>
      <c r="M10475" s="1357"/>
      <c r="P10475" s="841" t="s">
        <v>3201</v>
      </c>
      <c r="Q10475" s="1357"/>
      <c r="S10475" s="1420"/>
      <c r="T10475" s="1420"/>
      <c r="V10475" s="1357">
        <v>14</v>
      </c>
    </row>
    <row r="10476" spans="1:22" s="841" customFormat="1" ht="15" x14ac:dyDescent="0.25">
      <c r="A10476" s="841" t="s">
        <v>191</v>
      </c>
      <c r="E10476" s="1918" t="s">
        <v>4269</v>
      </c>
      <c r="F10476" s="1918"/>
      <c r="G10476" s="679" t="s">
        <v>23</v>
      </c>
      <c r="H10476" s="699">
        <v>1.68</v>
      </c>
      <c r="K10476" s="841" t="s">
        <v>3197</v>
      </c>
      <c r="L10476" s="841" t="s">
        <v>442</v>
      </c>
      <c r="M10476" s="1357"/>
      <c r="P10476" s="841" t="s">
        <v>6410</v>
      </c>
      <c r="Q10476" s="1357"/>
      <c r="S10476" s="1420"/>
      <c r="T10476" s="1420">
        <v>44012</v>
      </c>
      <c r="V10476" s="1357">
        <v>99</v>
      </c>
    </row>
    <row r="10477" spans="1:22" s="841" customFormat="1" ht="15" x14ac:dyDescent="0.25">
      <c r="A10477" s="841" t="s">
        <v>191</v>
      </c>
      <c r="E10477" s="1918" t="s">
        <v>4270</v>
      </c>
      <c r="F10477" s="1918"/>
      <c r="G10477" s="679" t="s">
        <v>23</v>
      </c>
      <c r="H10477" s="699">
        <v>7.0000000000000007E-2</v>
      </c>
      <c r="K10477" s="841" t="s">
        <v>3197</v>
      </c>
      <c r="L10477" s="841" t="s">
        <v>442</v>
      </c>
      <c r="M10477" s="1357"/>
      <c r="P10477" s="841" t="s">
        <v>3364</v>
      </c>
      <c r="Q10477" s="1357"/>
      <c r="S10477" s="1420"/>
      <c r="T10477" s="1420">
        <v>43281</v>
      </c>
      <c r="V10477" s="1357">
        <v>80</v>
      </c>
    </row>
    <row r="10478" spans="1:22" s="841" customFormat="1" ht="15" x14ac:dyDescent="0.25">
      <c r="A10478" s="841" t="s">
        <v>191</v>
      </c>
      <c r="E10478" s="1918" t="s">
        <v>5109</v>
      </c>
      <c r="F10478" s="1690"/>
      <c r="G10478" s="679" t="s">
        <v>23</v>
      </c>
      <c r="H10478" s="699">
        <v>0.56999999999999995</v>
      </c>
      <c r="K10478" s="841" t="s">
        <v>3197</v>
      </c>
      <c r="L10478" s="841" t="s">
        <v>443</v>
      </c>
      <c r="M10478" s="1357"/>
      <c r="P10478" s="841" t="s">
        <v>3202</v>
      </c>
      <c r="Q10478" s="1357"/>
      <c r="S10478" s="1420"/>
      <c r="T10478" s="1420">
        <v>44926</v>
      </c>
      <c r="V10478" s="1357">
        <v>64</v>
      </c>
    </row>
    <row r="10479" spans="1:22" s="841" customFormat="1" ht="15" x14ac:dyDescent="0.25">
      <c r="A10479" s="841" t="s">
        <v>191</v>
      </c>
      <c r="E10479" s="1918" t="s">
        <v>4271</v>
      </c>
      <c r="F10479" s="1918"/>
      <c r="G10479" s="679" t="s">
        <v>23</v>
      </c>
      <c r="H10479" s="699">
        <v>0.11</v>
      </c>
      <c r="K10479" s="841" t="s">
        <v>3197</v>
      </c>
      <c r="L10479" s="841" t="s">
        <v>442</v>
      </c>
      <c r="M10479" s="1357"/>
      <c r="P10479" s="841" t="s">
        <v>3207</v>
      </c>
      <c r="Q10479" s="1357"/>
      <c r="S10479" s="1420"/>
      <c r="T10479" s="1420">
        <v>43281</v>
      </c>
      <c r="V10479" s="1357">
        <v>96</v>
      </c>
    </row>
    <row r="10480" spans="1:22" s="841" customFormat="1" ht="15" x14ac:dyDescent="0.25">
      <c r="A10480" s="841" t="s">
        <v>191</v>
      </c>
      <c r="E10480" s="1918" t="s">
        <v>84</v>
      </c>
      <c r="F10480" s="1918"/>
      <c r="G10480" s="679" t="s">
        <v>24</v>
      </c>
      <c r="H10480" s="393">
        <v>6.7000000000000002E-3</v>
      </c>
      <c r="K10480" s="841" t="s">
        <v>3197</v>
      </c>
      <c r="L10480" s="841" t="s">
        <v>442</v>
      </c>
      <c r="M10480" s="1357"/>
      <c r="P10480" s="841" t="s">
        <v>3203</v>
      </c>
      <c r="Q10480" s="1357"/>
      <c r="S10480" s="1420"/>
      <c r="T10480" s="1420"/>
      <c r="V10480" s="1357">
        <v>28</v>
      </c>
    </row>
    <row r="10481" spans="1:22" s="841" customFormat="1" ht="15" x14ac:dyDescent="0.25">
      <c r="A10481" s="841" t="s">
        <v>191</v>
      </c>
      <c r="E10481" s="1918" t="s">
        <v>18</v>
      </c>
      <c r="F10481" s="1918"/>
      <c r="G10481" s="679" t="s">
        <v>24</v>
      </c>
      <c r="H10481" s="676">
        <v>8.0000000000000004E-4</v>
      </c>
      <c r="K10481" s="841" t="s">
        <v>3197</v>
      </c>
      <c r="L10481" s="841" t="s">
        <v>443</v>
      </c>
      <c r="M10481" s="1357"/>
      <c r="P10481" s="841" t="s">
        <v>3204</v>
      </c>
      <c r="Q10481" s="1357"/>
      <c r="S10481" s="1420"/>
      <c r="T10481" s="1420"/>
      <c r="V10481" s="1357">
        <v>24</v>
      </c>
    </row>
    <row r="10482" spans="1:22" s="841" customFormat="1" ht="15" x14ac:dyDescent="0.25">
      <c r="A10482" s="841" t="s">
        <v>191</v>
      </c>
      <c r="E10482" s="1918" t="s">
        <v>4272</v>
      </c>
      <c r="F10482" s="1918"/>
      <c r="G10482" s="679" t="s">
        <v>24</v>
      </c>
      <c r="H10482" s="676">
        <v>-8.0000000000000004E-4</v>
      </c>
      <c r="K10482" s="841" t="s">
        <v>3197</v>
      </c>
      <c r="L10482" s="841" t="s">
        <v>443</v>
      </c>
      <c r="M10482" s="1357"/>
      <c r="P10482" s="841" t="s">
        <v>3207</v>
      </c>
      <c r="Q10482" s="1357"/>
      <c r="S10482" s="1420"/>
      <c r="T10482" s="1420">
        <v>43281</v>
      </c>
      <c r="V10482" s="1357">
        <v>95</v>
      </c>
    </row>
    <row r="10483" spans="1:22" s="841" customFormat="1" ht="15" x14ac:dyDescent="0.25">
      <c r="A10483" s="841" t="s">
        <v>191</v>
      </c>
      <c r="E10483" s="1704" t="s">
        <v>4273</v>
      </c>
      <c r="F10483" s="1704"/>
      <c r="G10483" s="679" t="s">
        <v>24</v>
      </c>
      <c r="H10483" s="676">
        <v>-2.7000000000000001E-3</v>
      </c>
      <c r="K10483" s="841" t="s">
        <v>3197</v>
      </c>
      <c r="L10483" s="841" t="s">
        <v>443</v>
      </c>
      <c r="M10483" s="1357"/>
      <c r="P10483" s="841" t="s">
        <v>3207</v>
      </c>
      <c r="Q10483" s="1357"/>
      <c r="S10483" s="1420"/>
      <c r="T10483" s="1420">
        <v>43281</v>
      </c>
      <c r="V10483" s="1357">
        <v>155</v>
      </c>
    </row>
    <row r="10484" spans="1:22" s="841" customFormat="1" ht="15" x14ac:dyDescent="0.25">
      <c r="A10484" s="841" t="s">
        <v>191</v>
      </c>
      <c r="E10484" s="1704" t="s">
        <v>4274</v>
      </c>
      <c r="F10484" s="1704"/>
      <c r="G10484" s="679" t="s">
        <v>24</v>
      </c>
      <c r="H10484" s="676">
        <v>6.1999999999999998E-3</v>
      </c>
      <c r="K10484" s="841" t="s">
        <v>3197</v>
      </c>
      <c r="L10484" s="841" t="s">
        <v>443</v>
      </c>
      <c r="M10484" s="1357"/>
      <c r="P10484" s="841" t="s">
        <v>3205</v>
      </c>
      <c r="Q10484" s="1357"/>
      <c r="S10484" s="1420"/>
      <c r="T10484" s="1420">
        <v>43281</v>
      </c>
      <c r="V10484" s="1357">
        <v>138</v>
      </c>
    </row>
    <row r="10485" spans="1:22" s="841" customFormat="1" ht="15" x14ac:dyDescent="0.25">
      <c r="A10485" s="841" t="s">
        <v>191</v>
      </c>
      <c r="E10485" s="1918" t="s">
        <v>4275</v>
      </c>
      <c r="F10485" s="1918"/>
      <c r="G10485" s="679" t="s">
        <v>24</v>
      </c>
      <c r="H10485" s="676">
        <v>-4.0000000000000002E-4</v>
      </c>
      <c r="K10485" s="841" t="s">
        <v>3197</v>
      </c>
      <c r="L10485" s="841" t="s">
        <v>442</v>
      </c>
      <c r="M10485" s="1357"/>
      <c r="P10485" s="841" t="s">
        <v>6411</v>
      </c>
      <c r="Q10485" s="1357"/>
      <c r="S10485" s="1420"/>
      <c r="T10485" s="1420">
        <v>43281</v>
      </c>
      <c r="V10485" s="1357">
        <v>74</v>
      </c>
    </row>
    <row r="10486" spans="1:22" s="841" customFormat="1" ht="15" x14ac:dyDescent="0.25">
      <c r="A10486" s="841" t="s">
        <v>191</v>
      </c>
      <c r="E10486" s="1938" t="s">
        <v>5770</v>
      </c>
      <c r="F10486" s="1938"/>
      <c r="G10486" s="679" t="s">
        <v>24</v>
      </c>
      <c r="H10486" s="676">
        <v>2.9999999999999997E-4</v>
      </c>
      <c r="K10486" s="841" t="s">
        <v>3197</v>
      </c>
      <c r="L10486" s="841" t="s">
        <v>442</v>
      </c>
      <c r="M10486" s="1357"/>
      <c r="P10486" s="841" t="s">
        <v>3206</v>
      </c>
      <c r="Q10486" s="1357"/>
      <c r="S10486" s="1420"/>
      <c r="T10486" s="1420">
        <v>43281</v>
      </c>
      <c r="V10486" s="1357">
        <v>106</v>
      </c>
    </row>
    <row r="10487" spans="1:22" s="841" customFormat="1" ht="15" x14ac:dyDescent="0.25">
      <c r="A10487" s="841" t="s">
        <v>191</v>
      </c>
      <c r="E10487" s="1918" t="s">
        <v>221</v>
      </c>
      <c r="F10487" s="1918"/>
      <c r="G10487" s="679" t="s">
        <v>24</v>
      </c>
      <c r="H10487" s="393">
        <v>6.3E-3</v>
      </c>
      <c r="K10487" s="841" t="s">
        <v>3197</v>
      </c>
      <c r="L10487" s="841" t="s">
        <v>444</v>
      </c>
      <c r="M10487" s="1357"/>
      <c r="P10487" s="841" t="s">
        <v>3208</v>
      </c>
      <c r="Q10487" s="1357"/>
      <c r="S10487" s="1420"/>
      <c r="T10487" s="1420"/>
      <c r="V10487" s="1357">
        <v>47</v>
      </c>
    </row>
    <row r="10488" spans="1:22" s="841" customFormat="1" ht="15" x14ac:dyDescent="0.25">
      <c r="A10488" s="841" t="s">
        <v>191</v>
      </c>
      <c r="E10488" s="1918" t="s">
        <v>217</v>
      </c>
      <c r="F10488" s="1918"/>
      <c r="G10488" s="679" t="s">
        <v>24</v>
      </c>
      <c r="H10488" s="393">
        <v>4.7999999999999996E-3</v>
      </c>
      <c r="K10488" s="841" t="s">
        <v>3197</v>
      </c>
      <c r="L10488" s="841" t="s">
        <v>444</v>
      </c>
      <c r="M10488" s="1357"/>
      <c r="P10488" s="841" t="s">
        <v>3209</v>
      </c>
      <c r="Q10488" s="1357"/>
      <c r="S10488" s="1420"/>
      <c r="T10488" s="1420"/>
      <c r="V10488" s="1357">
        <v>74</v>
      </c>
    </row>
    <row r="10489" spans="1:22" s="841" customFormat="1" ht="15" x14ac:dyDescent="0.25">
      <c r="A10489" s="841" t="s">
        <v>191</v>
      </c>
      <c r="E10489" s="1919" t="s">
        <v>3079</v>
      </c>
      <c r="F10489" s="1690"/>
      <c r="G10489" s="679"/>
      <c r="H10489" s="1093"/>
      <c r="K10489" s="841" t="s">
        <v>3080</v>
      </c>
      <c r="M10489" s="1357"/>
      <c r="Q10489" s="1357"/>
      <c r="S10489" s="1420"/>
      <c r="T10489" s="1420"/>
      <c r="V10489" s="1357">
        <v>48</v>
      </c>
    </row>
    <row r="10490" spans="1:22" s="841" customFormat="1" ht="15" x14ac:dyDescent="0.25">
      <c r="A10490" s="841" t="s">
        <v>191</v>
      </c>
      <c r="E10490" s="1918" t="s">
        <v>2449</v>
      </c>
      <c r="F10490" s="1918"/>
      <c r="G10490" s="679" t="s">
        <v>24</v>
      </c>
      <c r="H10490" s="393">
        <v>3.2000000000000002E-3</v>
      </c>
      <c r="K10490" s="841" t="s">
        <v>3197</v>
      </c>
      <c r="L10490" s="841" t="s">
        <v>3046</v>
      </c>
      <c r="M10490" s="1357"/>
      <c r="P10490" s="841" t="s">
        <v>3210</v>
      </c>
      <c r="Q10490" s="1357"/>
      <c r="S10490" s="1420"/>
      <c r="T10490" s="1420"/>
      <c r="V10490" s="1357">
        <v>55</v>
      </c>
    </row>
    <row r="10491" spans="1:22" s="841" customFormat="1" ht="15" x14ac:dyDescent="0.25">
      <c r="A10491" s="841" t="s">
        <v>191</v>
      </c>
      <c r="E10491" s="1918" t="s">
        <v>2450</v>
      </c>
      <c r="F10491" s="1918"/>
      <c r="G10491" s="679" t="s">
        <v>24</v>
      </c>
      <c r="H10491" s="393">
        <v>4.0000000000000002E-4</v>
      </c>
      <c r="K10491" s="841" t="s">
        <v>3197</v>
      </c>
      <c r="L10491" s="841" t="s">
        <v>3046</v>
      </c>
      <c r="M10491" s="1357"/>
      <c r="P10491" s="841" t="s">
        <v>3210</v>
      </c>
      <c r="Q10491" s="1357"/>
      <c r="S10491" s="1420"/>
      <c r="T10491" s="1420"/>
      <c r="V10491" s="1357">
        <v>65</v>
      </c>
    </row>
    <row r="10492" spans="1:22" s="841" customFormat="1" ht="15" x14ac:dyDescent="0.25">
      <c r="A10492" s="841" t="s">
        <v>191</v>
      </c>
      <c r="E10492" s="1918" t="s">
        <v>439</v>
      </c>
      <c r="F10492" s="1918"/>
      <c r="G10492" s="679" t="s">
        <v>24</v>
      </c>
      <c r="H10492" s="393">
        <v>2.9999999999999997E-4</v>
      </c>
      <c r="K10492" s="841" t="s">
        <v>3197</v>
      </c>
      <c r="L10492" s="841" t="s">
        <v>3046</v>
      </c>
      <c r="M10492" s="1357"/>
      <c r="P10492" s="841" t="s">
        <v>3212</v>
      </c>
      <c r="Q10492" s="1357"/>
      <c r="S10492" s="1420"/>
      <c r="T10492" s="1420"/>
      <c r="V10492" s="1357">
        <v>57</v>
      </c>
    </row>
    <row r="10493" spans="1:22" s="841" customFormat="1" ht="15" x14ac:dyDescent="0.25">
      <c r="A10493" s="841" t="s">
        <v>191</v>
      </c>
      <c r="E10493" s="1918" t="s">
        <v>32</v>
      </c>
      <c r="F10493" s="1918"/>
      <c r="G10493" s="679" t="s">
        <v>23</v>
      </c>
      <c r="H10493" s="391">
        <v>0.25</v>
      </c>
      <c r="K10493" s="841" t="s">
        <v>3197</v>
      </c>
      <c r="L10493" s="841" t="s">
        <v>3046</v>
      </c>
      <c r="M10493" s="1357"/>
      <c r="P10493" s="841" t="s">
        <v>3213</v>
      </c>
      <c r="Q10493" s="1357"/>
      <c r="S10493" s="1420"/>
      <c r="T10493" s="1420"/>
      <c r="V10493" s="1357">
        <v>63</v>
      </c>
    </row>
    <row r="10494" spans="1:22" s="841" customFormat="1" x14ac:dyDescent="0.25">
      <c r="A10494" s="841" t="s">
        <v>191</v>
      </c>
      <c r="E10494" s="1967" t="s">
        <v>3214</v>
      </c>
      <c r="F10494" s="1923"/>
      <c r="G10494" s="1923"/>
      <c r="H10494" s="1923"/>
      <c r="K10494" s="841" t="s">
        <v>5110</v>
      </c>
      <c r="M10494" s="1357"/>
      <c r="Q10494" s="1357"/>
      <c r="S10494" s="1420"/>
      <c r="T10494" s="1420"/>
      <c r="V10494" s="1357">
        <v>54</v>
      </c>
    </row>
    <row r="10495" spans="1:22" s="841" customFormat="1" ht="15" x14ac:dyDescent="0.25">
      <c r="A10495" s="841" t="s">
        <v>191</v>
      </c>
      <c r="E10495" s="1939" t="s">
        <v>4277</v>
      </c>
      <c r="F10495" s="1939"/>
      <c r="G10495" s="1939"/>
      <c r="H10495" s="1939"/>
      <c r="K10495" s="841" t="s">
        <v>5110</v>
      </c>
      <c r="M10495" s="1357"/>
      <c r="Q10495" s="1357"/>
      <c r="S10495" s="1420"/>
      <c r="T10495" s="1420"/>
      <c r="V10495" s="1357">
        <v>785</v>
      </c>
    </row>
    <row r="10496" spans="1:22" s="841" customFormat="1" ht="15" x14ac:dyDescent="0.25">
      <c r="A10496" s="841" t="s">
        <v>191</v>
      </c>
      <c r="E10496" s="1935" t="s">
        <v>3061</v>
      </c>
      <c r="F10496" s="1697"/>
      <c r="G10496" s="1697"/>
      <c r="H10496" s="1697"/>
      <c r="K10496" s="841" t="s">
        <v>3086</v>
      </c>
      <c r="M10496" s="1357"/>
      <c r="Q10496" s="1357"/>
      <c r="S10496" s="1420"/>
      <c r="T10496" s="1420"/>
      <c r="V10496" s="1357">
        <v>11</v>
      </c>
    </row>
    <row r="10497" spans="1:22" s="841" customFormat="1" ht="15" x14ac:dyDescent="0.25">
      <c r="A10497" s="841" t="s">
        <v>191</v>
      </c>
      <c r="E10497" s="1939" t="s">
        <v>4267</v>
      </c>
      <c r="F10497" s="1939"/>
      <c r="G10497" s="1939"/>
      <c r="H10497" s="1939"/>
      <c r="K10497" s="841" t="s">
        <v>5110</v>
      </c>
      <c r="M10497" s="1357"/>
      <c r="Q10497" s="1357"/>
      <c r="S10497" s="1420"/>
      <c r="T10497" s="1420"/>
      <c r="V10497" s="1357">
        <v>281</v>
      </c>
    </row>
    <row r="10498" spans="1:22" s="841" customFormat="1" ht="15" x14ac:dyDescent="0.25">
      <c r="A10498" s="841" t="s">
        <v>191</v>
      </c>
      <c r="E10498" s="1939" t="s">
        <v>3064</v>
      </c>
      <c r="F10498" s="1939"/>
      <c r="G10498" s="1939"/>
      <c r="H10498" s="1939"/>
      <c r="K10498" s="841" t="s">
        <v>5110</v>
      </c>
      <c r="M10498" s="1357"/>
      <c r="Q10498" s="1357"/>
      <c r="S10498" s="1420"/>
      <c r="T10498" s="1420"/>
      <c r="V10498" s="1357">
        <v>411</v>
      </c>
    </row>
    <row r="10499" spans="1:22" s="841" customFormat="1" ht="15" x14ac:dyDescent="0.25">
      <c r="A10499" s="841" t="s">
        <v>191</v>
      </c>
      <c r="E10499" s="1939" t="s">
        <v>3809</v>
      </c>
      <c r="F10499" s="1939"/>
      <c r="G10499" s="1939"/>
      <c r="H10499" s="1939"/>
      <c r="K10499" s="841" t="s">
        <v>5110</v>
      </c>
      <c r="M10499" s="1357"/>
      <c r="Q10499" s="1357"/>
      <c r="S10499" s="1420"/>
      <c r="T10499" s="1420"/>
      <c r="V10499" s="1357">
        <v>385</v>
      </c>
    </row>
    <row r="10500" spans="1:22" s="841" customFormat="1" ht="15" x14ac:dyDescent="0.25">
      <c r="A10500" s="841" t="s">
        <v>191</v>
      </c>
      <c r="E10500" s="1939" t="s">
        <v>3390</v>
      </c>
      <c r="F10500" s="1939"/>
      <c r="G10500" s="1939"/>
      <c r="H10500" s="1939"/>
      <c r="K10500" s="841" t="s">
        <v>5110</v>
      </c>
      <c r="M10500" s="1357"/>
      <c r="Q10500" s="1357"/>
      <c r="S10500" s="1420"/>
      <c r="T10500" s="1420"/>
      <c r="V10500" s="1357">
        <v>274</v>
      </c>
    </row>
    <row r="10501" spans="1:22" s="841" customFormat="1" ht="15" x14ac:dyDescent="0.25">
      <c r="A10501" s="841" t="s">
        <v>191</v>
      </c>
      <c r="E10501" s="1930" t="s">
        <v>3067</v>
      </c>
      <c r="F10501" s="1693"/>
      <c r="G10501" s="1693"/>
      <c r="H10501" s="1693"/>
      <c r="K10501" s="841" t="s">
        <v>3087</v>
      </c>
      <c r="M10501" s="1357"/>
      <c r="Q10501" s="1357"/>
      <c r="S10501" s="1420"/>
      <c r="T10501" s="1420"/>
      <c r="V10501" s="1357">
        <v>46</v>
      </c>
    </row>
    <row r="10502" spans="1:22" s="841" customFormat="1" ht="15" x14ac:dyDescent="0.25">
      <c r="A10502" s="841" t="s">
        <v>191</v>
      </c>
      <c r="E10502" s="1918" t="s">
        <v>11</v>
      </c>
      <c r="F10502" s="1918"/>
      <c r="G10502" s="679" t="s">
        <v>23</v>
      </c>
      <c r="H10502" s="391">
        <v>22.57</v>
      </c>
      <c r="K10502" s="841" t="s">
        <v>5110</v>
      </c>
      <c r="L10502" s="841" t="s">
        <v>442</v>
      </c>
      <c r="M10502" s="1357"/>
      <c r="P10502" s="841" t="s">
        <v>5111</v>
      </c>
      <c r="Q10502" s="1357"/>
      <c r="S10502" s="1420"/>
      <c r="T10502" s="1420"/>
      <c r="V10502" s="1357">
        <v>14</v>
      </c>
    </row>
    <row r="10503" spans="1:22" s="841" customFormat="1" ht="15" x14ac:dyDescent="0.25">
      <c r="A10503" s="841" t="s">
        <v>191</v>
      </c>
      <c r="E10503" s="1918" t="s">
        <v>4269</v>
      </c>
      <c r="F10503" s="1918"/>
      <c r="G10503" s="679" t="s">
        <v>23</v>
      </c>
      <c r="H10503" s="699">
        <v>4.47</v>
      </c>
      <c r="K10503" s="841" t="s">
        <v>5110</v>
      </c>
      <c r="L10503" s="841" t="s">
        <v>442</v>
      </c>
      <c r="M10503" s="1357"/>
      <c r="P10503" s="841" t="s">
        <v>6412</v>
      </c>
      <c r="Q10503" s="1357"/>
      <c r="S10503" s="1420"/>
      <c r="T10503" s="1420">
        <v>44012</v>
      </c>
      <c r="V10503" s="1357">
        <v>99</v>
      </c>
    </row>
    <row r="10504" spans="1:22" s="841" customFormat="1" ht="15" x14ac:dyDescent="0.25">
      <c r="A10504" s="841" t="s">
        <v>191</v>
      </c>
      <c r="E10504" s="1918" t="s">
        <v>4270</v>
      </c>
      <c r="F10504" s="1918"/>
      <c r="G10504" s="679" t="s">
        <v>23</v>
      </c>
      <c r="H10504" s="699">
        <v>2.5</v>
      </c>
      <c r="K10504" s="841" t="s">
        <v>5110</v>
      </c>
      <c r="L10504" s="841" t="s">
        <v>442</v>
      </c>
      <c r="M10504" s="1357"/>
      <c r="P10504" s="841" t="s">
        <v>5388</v>
      </c>
      <c r="Q10504" s="1357"/>
      <c r="S10504" s="1420"/>
      <c r="T10504" s="1420">
        <v>43281</v>
      </c>
      <c r="V10504" s="1357">
        <v>80</v>
      </c>
    </row>
    <row r="10505" spans="1:22" s="841" customFormat="1" ht="15" x14ac:dyDescent="0.25">
      <c r="A10505" s="841" t="s">
        <v>191</v>
      </c>
      <c r="E10505" s="1918" t="s">
        <v>5109</v>
      </c>
      <c r="F10505" s="1690"/>
      <c r="G10505" s="679" t="s">
        <v>23</v>
      </c>
      <c r="H10505" s="699">
        <v>0.56999999999999995</v>
      </c>
      <c r="K10505" s="841" t="s">
        <v>5110</v>
      </c>
      <c r="L10505" s="841" t="s">
        <v>443</v>
      </c>
      <c r="M10505" s="1357"/>
      <c r="P10505" s="841" t="s">
        <v>5112</v>
      </c>
      <c r="Q10505" s="1357"/>
      <c r="S10505" s="1420"/>
      <c r="T10505" s="1420">
        <v>44926</v>
      </c>
      <c r="V10505" s="1357">
        <v>64</v>
      </c>
    </row>
    <row r="10506" spans="1:22" s="841" customFormat="1" ht="15" x14ac:dyDescent="0.25">
      <c r="A10506" s="841" t="s">
        <v>191</v>
      </c>
      <c r="E10506" s="1918" t="s">
        <v>84</v>
      </c>
      <c r="F10506" s="1918"/>
      <c r="G10506" s="679" t="s">
        <v>24</v>
      </c>
      <c r="H10506" s="393">
        <v>1.2800000000000001E-2</v>
      </c>
      <c r="K10506" s="841" t="s">
        <v>5110</v>
      </c>
      <c r="L10506" s="841" t="s">
        <v>442</v>
      </c>
      <c r="M10506" s="1357"/>
      <c r="P10506" s="841" t="s">
        <v>5113</v>
      </c>
      <c r="Q10506" s="1357"/>
      <c r="S10506" s="1420"/>
      <c r="T10506" s="1420"/>
      <c r="V10506" s="1357">
        <v>28</v>
      </c>
    </row>
    <row r="10507" spans="1:22" s="841" customFormat="1" ht="15" x14ac:dyDescent="0.25">
      <c r="A10507" s="841" t="s">
        <v>191</v>
      </c>
      <c r="E10507" s="1918" t="s">
        <v>18</v>
      </c>
      <c r="F10507" s="1918"/>
      <c r="G10507" s="679" t="s">
        <v>24</v>
      </c>
      <c r="H10507" s="676">
        <v>6.9999999999999999E-4</v>
      </c>
      <c r="K10507" s="841" t="s">
        <v>5110</v>
      </c>
      <c r="L10507" s="841" t="s">
        <v>443</v>
      </c>
      <c r="M10507" s="1357"/>
      <c r="P10507" s="841" t="s">
        <v>5114</v>
      </c>
      <c r="Q10507" s="1357"/>
      <c r="S10507" s="1420"/>
      <c r="T10507" s="1420"/>
      <c r="V10507" s="1357">
        <v>24</v>
      </c>
    </row>
    <row r="10508" spans="1:22" s="841" customFormat="1" ht="15" x14ac:dyDescent="0.25">
      <c r="A10508" s="841" t="s">
        <v>191</v>
      </c>
      <c r="E10508" s="1918" t="s">
        <v>4272</v>
      </c>
      <c r="F10508" s="1918"/>
      <c r="G10508" s="679" t="s">
        <v>24</v>
      </c>
      <c r="H10508" s="676">
        <v>-8.0000000000000004E-4</v>
      </c>
      <c r="K10508" s="841" t="s">
        <v>5110</v>
      </c>
      <c r="L10508" s="841" t="s">
        <v>443</v>
      </c>
      <c r="M10508" s="1357"/>
      <c r="P10508" s="841" t="s">
        <v>5124</v>
      </c>
      <c r="Q10508" s="1357"/>
      <c r="S10508" s="1420"/>
      <c r="T10508" s="1420">
        <v>43281</v>
      </c>
      <c r="V10508" s="1357">
        <v>95</v>
      </c>
    </row>
    <row r="10509" spans="1:22" s="841" customFormat="1" ht="15" x14ac:dyDescent="0.25">
      <c r="A10509" s="841" t="s">
        <v>191</v>
      </c>
      <c r="E10509" s="1704" t="s">
        <v>4273</v>
      </c>
      <c r="F10509" s="1704"/>
      <c r="G10509" s="679" t="s">
        <v>24</v>
      </c>
      <c r="H10509" s="676">
        <v>-2.7000000000000001E-3</v>
      </c>
      <c r="K10509" s="841" t="s">
        <v>5110</v>
      </c>
      <c r="L10509" s="841" t="s">
        <v>443</v>
      </c>
      <c r="M10509" s="1357"/>
      <c r="P10509" s="841" t="s">
        <v>5124</v>
      </c>
      <c r="Q10509" s="1357"/>
      <c r="S10509" s="1420"/>
      <c r="T10509" s="1420">
        <v>43281</v>
      </c>
      <c r="V10509" s="1357">
        <v>155</v>
      </c>
    </row>
    <row r="10510" spans="1:22" s="841" customFormat="1" ht="15" x14ac:dyDescent="0.25">
      <c r="A10510" s="841" t="s">
        <v>191</v>
      </c>
      <c r="E10510" s="1704" t="s">
        <v>4274</v>
      </c>
      <c r="F10510" s="1704"/>
      <c r="G10510" s="679" t="s">
        <v>24</v>
      </c>
      <c r="H10510" s="676">
        <v>6.1999999999999998E-3</v>
      </c>
      <c r="K10510" s="841" t="s">
        <v>5110</v>
      </c>
      <c r="L10510" s="841" t="s">
        <v>443</v>
      </c>
      <c r="M10510" s="1357"/>
      <c r="P10510" s="841" t="s">
        <v>4818</v>
      </c>
      <c r="Q10510" s="1357"/>
      <c r="S10510" s="1420"/>
      <c r="T10510" s="1420">
        <v>43281</v>
      </c>
      <c r="V10510" s="1357">
        <v>138</v>
      </c>
    </row>
    <row r="10511" spans="1:22" s="841" customFormat="1" ht="15" x14ac:dyDescent="0.25">
      <c r="A10511" s="841" t="s">
        <v>191</v>
      </c>
      <c r="E10511" s="1918" t="s">
        <v>5772</v>
      </c>
      <c r="F10511" s="1918"/>
      <c r="G10511" s="679" t="s">
        <v>24</v>
      </c>
      <c r="H10511" s="676">
        <v>2.0000000000000001E-4</v>
      </c>
      <c r="K10511" s="841" t="s">
        <v>5110</v>
      </c>
      <c r="L10511" s="841" t="s">
        <v>442</v>
      </c>
      <c r="M10511" s="1357"/>
      <c r="P10511" s="841" t="s">
        <v>5124</v>
      </c>
      <c r="Q10511" s="1357"/>
      <c r="S10511" s="1420"/>
      <c r="T10511" s="1420">
        <v>43281</v>
      </c>
      <c r="V10511" s="1357">
        <v>97</v>
      </c>
    </row>
    <row r="10512" spans="1:22" s="841" customFormat="1" ht="15" x14ac:dyDescent="0.25">
      <c r="A10512" s="841" t="s">
        <v>191</v>
      </c>
      <c r="E10512" s="1918" t="s">
        <v>4275</v>
      </c>
      <c r="F10512" s="1918"/>
      <c r="G10512" s="679" t="s">
        <v>24</v>
      </c>
      <c r="H10512" s="676">
        <v>-4.0000000000000002E-4</v>
      </c>
      <c r="K10512" s="841" t="s">
        <v>5110</v>
      </c>
      <c r="L10512" s="841" t="s">
        <v>442</v>
      </c>
      <c r="M10512" s="1357"/>
      <c r="P10512" s="841" t="s">
        <v>6413</v>
      </c>
      <c r="Q10512" s="1357"/>
      <c r="S10512" s="1420"/>
      <c r="T10512" s="1420">
        <v>43281</v>
      </c>
      <c r="V10512" s="1357">
        <v>74</v>
      </c>
    </row>
    <row r="10513" spans="1:22" s="841" customFormat="1" ht="15" x14ac:dyDescent="0.25">
      <c r="A10513" s="841" t="s">
        <v>191</v>
      </c>
      <c r="E10513" s="1918" t="s">
        <v>4276</v>
      </c>
      <c r="F10513" s="1918"/>
      <c r="G10513" s="679" t="s">
        <v>24</v>
      </c>
      <c r="H10513" s="676">
        <v>2.9999999999999997E-4</v>
      </c>
      <c r="K10513" s="841" t="s">
        <v>5110</v>
      </c>
      <c r="L10513" s="841" t="s">
        <v>442</v>
      </c>
      <c r="M10513" s="1357"/>
      <c r="P10513" s="841" t="s">
        <v>5285</v>
      </c>
      <c r="Q10513" s="1357"/>
      <c r="S10513" s="1420"/>
      <c r="T10513" s="1420">
        <v>43281</v>
      </c>
      <c r="V10513" s="1357">
        <v>105</v>
      </c>
    </row>
    <row r="10514" spans="1:22" s="841" customFormat="1" ht="15" x14ac:dyDescent="0.25">
      <c r="A10514" s="841" t="s">
        <v>191</v>
      </c>
      <c r="E10514" s="1918" t="s">
        <v>221</v>
      </c>
      <c r="F10514" s="1918"/>
      <c r="G10514" s="679" t="s">
        <v>24</v>
      </c>
      <c r="H10514" s="393">
        <v>5.7000000000000002E-3</v>
      </c>
      <c r="K10514" s="841" t="s">
        <v>5110</v>
      </c>
      <c r="L10514" s="841" t="s">
        <v>444</v>
      </c>
      <c r="M10514" s="1357"/>
      <c r="P10514" s="841" t="s">
        <v>5115</v>
      </c>
      <c r="Q10514" s="1357"/>
      <c r="S10514" s="1420"/>
      <c r="T10514" s="1420"/>
      <c r="V10514" s="1357">
        <v>47</v>
      </c>
    </row>
    <row r="10515" spans="1:22" s="841" customFormat="1" ht="15" x14ac:dyDescent="0.25">
      <c r="A10515" s="841" t="s">
        <v>191</v>
      </c>
      <c r="E10515" s="1918" t="s">
        <v>217</v>
      </c>
      <c r="F10515" s="1918"/>
      <c r="G10515" s="679" t="s">
        <v>24</v>
      </c>
      <c r="H10515" s="393">
        <v>4.3E-3</v>
      </c>
      <c r="K10515" s="841" t="s">
        <v>5110</v>
      </c>
      <c r="L10515" s="841" t="s">
        <v>444</v>
      </c>
      <c r="M10515" s="1357"/>
      <c r="P10515" s="841" t="s">
        <v>5116</v>
      </c>
      <c r="Q10515" s="1357"/>
      <c r="S10515" s="1420"/>
      <c r="T10515" s="1420"/>
      <c r="V10515" s="1357">
        <v>74</v>
      </c>
    </row>
    <row r="10516" spans="1:22" s="841" customFormat="1" ht="15" x14ac:dyDescent="0.25">
      <c r="A10516" s="841" t="s">
        <v>191</v>
      </c>
      <c r="E10516" s="1919" t="s">
        <v>3079</v>
      </c>
      <c r="F10516" s="1690"/>
      <c r="G10516" s="679"/>
      <c r="H10516" s="1093"/>
      <c r="K10516" s="841" t="s">
        <v>3093</v>
      </c>
      <c r="M10516" s="1357"/>
      <c r="Q10516" s="1357"/>
      <c r="S10516" s="1420"/>
      <c r="T10516" s="1420"/>
      <c r="V10516" s="1357">
        <v>48</v>
      </c>
    </row>
    <row r="10517" spans="1:22" s="841" customFormat="1" ht="15" x14ac:dyDescent="0.25">
      <c r="A10517" s="841" t="s">
        <v>191</v>
      </c>
      <c r="E10517" s="1918" t="s">
        <v>2449</v>
      </c>
      <c r="F10517" s="1918"/>
      <c r="G10517" s="679" t="s">
        <v>24</v>
      </c>
      <c r="H10517" s="393">
        <v>3.2000000000000002E-3</v>
      </c>
      <c r="K10517" s="841" t="s">
        <v>5110</v>
      </c>
      <c r="L10517" s="841" t="s">
        <v>3046</v>
      </c>
      <c r="M10517" s="1357"/>
      <c r="P10517" s="841" t="s">
        <v>5117</v>
      </c>
      <c r="Q10517" s="1357"/>
      <c r="S10517" s="1420"/>
      <c r="T10517" s="1420"/>
      <c r="V10517" s="1357">
        <v>55</v>
      </c>
    </row>
    <row r="10518" spans="1:22" s="841" customFormat="1" ht="15" x14ac:dyDescent="0.25">
      <c r="A10518" s="841" t="s">
        <v>191</v>
      </c>
      <c r="E10518" s="1918" t="s">
        <v>2450</v>
      </c>
      <c r="F10518" s="1918"/>
      <c r="G10518" s="679" t="s">
        <v>24</v>
      </c>
      <c r="H10518" s="393">
        <v>4.0000000000000002E-4</v>
      </c>
      <c r="K10518" s="841" t="s">
        <v>5110</v>
      </c>
      <c r="L10518" s="841" t="s">
        <v>3046</v>
      </c>
      <c r="M10518" s="1357"/>
      <c r="P10518" s="841" t="s">
        <v>5117</v>
      </c>
      <c r="Q10518" s="1357"/>
      <c r="S10518" s="1420"/>
      <c r="T10518" s="1420"/>
      <c r="V10518" s="1357">
        <v>65</v>
      </c>
    </row>
    <row r="10519" spans="1:22" s="841" customFormat="1" ht="15" x14ac:dyDescent="0.25">
      <c r="A10519" s="841" t="s">
        <v>191</v>
      </c>
      <c r="E10519" s="1918" t="s">
        <v>439</v>
      </c>
      <c r="F10519" s="1918"/>
      <c r="G10519" s="679" t="s">
        <v>24</v>
      </c>
      <c r="H10519" s="393">
        <v>2.9999999999999997E-4</v>
      </c>
      <c r="K10519" s="841" t="s">
        <v>5110</v>
      </c>
      <c r="L10519" s="841" t="s">
        <v>3046</v>
      </c>
      <c r="M10519" s="1357"/>
      <c r="P10519" s="841" t="s">
        <v>5118</v>
      </c>
      <c r="Q10519" s="1357"/>
      <c r="S10519" s="1420"/>
      <c r="T10519" s="1420"/>
      <c r="V10519" s="1357">
        <v>57</v>
      </c>
    </row>
    <row r="10520" spans="1:22" s="841" customFormat="1" ht="15" x14ac:dyDescent="0.25">
      <c r="A10520" s="841" t="s">
        <v>191</v>
      </c>
      <c r="E10520" s="1918" t="s">
        <v>32</v>
      </c>
      <c r="F10520" s="1918"/>
      <c r="G10520" s="679" t="s">
        <v>23</v>
      </c>
      <c r="H10520" s="391">
        <v>0.25</v>
      </c>
      <c r="K10520" s="841" t="s">
        <v>5110</v>
      </c>
      <c r="L10520" s="841" t="s">
        <v>3046</v>
      </c>
      <c r="M10520" s="1357"/>
      <c r="P10520" s="841" t="s">
        <v>5119</v>
      </c>
      <c r="Q10520" s="1357"/>
      <c r="S10520" s="1420"/>
      <c r="T10520" s="1420"/>
      <c r="V10520" s="1357">
        <v>63</v>
      </c>
    </row>
    <row r="10521" spans="1:22" s="841" customFormat="1" x14ac:dyDescent="0.25">
      <c r="A10521" s="841" t="s">
        <v>191</v>
      </c>
      <c r="E10521" s="1967" t="s">
        <v>616</v>
      </c>
      <c r="F10521" s="1967"/>
      <c r="G10521" s="1967"/>
      <c r="H10521" s="1967"/>
      <c r="K10521" s="841" t="s">
        <v>6095</v>
      </c>
      <c r="M10521" s="1357"/>
      <c r="Q10521" s="1357"/>
      <c r="S10521" s="1420"/>
      <c r="T10521" s="1420"/>
      <c r="V10521" s="1357">
        <v>53</v>
      </c>
    </row>
    <row r="10522" spans="1:22" s="841" customFormat="1" ht="15" x14ac:dyDescent="0.25">
      <c r="A10522" s="841" t="s">
        <v>191</v>
      </c>
      <c r="E10522" s="1939" t="s">
        <v>4278</v>
      </c>
      <c r="F10522" s="1939"/>
      <c r="G10522" s="1939"/>
      <c r="H10522" s="1939"/>
      <c r="K10522" s="841" t="s">
        <v>6095</v>
      </c>
      <c r="M10522" s="1357"/>
      <c r="Q10522" s="1357"/>
      <c r="S10522" s="1420"/>
      <c r="T10522" s="1420"/>
      <c r="V10522" s="1357">
        <v>854</v>
      </c>
    </row>
    <row r="10523" spans="1:22" s="841" customFormat="1" ht="15" x14ac:dyDescent="0.25">
      <c r="A10523" s="841" t="s">
        <v>191</v>
      </c>
      <c r="E10523" s="1935" t="s">
        <v>3061</v>
      </c>
      <c r="F10523" s="1697"/>
      <c r="G10523" s="1697"/>
      <c r="H10523" s="1697"/>
      <c r="K10523" s="841" t="s">
        <v>3098</v>
      </c>
      <c r="M10523" s="1357"/>
      <c r="Q10523" s="1357"/>
      <c r="S10523" s="1420"/>
      <c r="T10523" s="1420"/>
      <c r="V10523" s="1357">
        <v>11</v>
      </c>
    </row>
    <row r="10524" spans="1:22" s="841" customFormat="1" ht="15" x14ac:dyDescent="0.25">
      <c r="A10524" s="841" t="s">
        <v>191</v>
      </c>
      <c r="E10524" s="1939" t="s">
        <v>4267</v>
      </c>
      <c r="F10524" s="1939"/>
      <c r="G10524" s="1939"/>
      <c r="H10524" s="1939"/>
      <c r="K10524" s="841" t="s">
        <v>6095</v>
      </c>
      <c r="M10524" s="1357"/>
      <c r="Q10524" s="1357"/>
      <c r="S10524" s="1420"/>
      <c r="T10524" s="1420"/>
      <c r="V10524" s="1357">
        <v>281</v>
      </c>
    </row>
    <row r="10525" spans="1:22" s="841" customFormat="1" ht="15" x14ac:dyDescent="0.25">
      <c r="A10525" s="841" t="s">
        <v>191</v>
      </c>
      <c r="E10525" s="1939" t="s">
        <v>3064</v>
      </c>
      <c r="F10525" s="1939"/>
      <c r="G10525" s="1939"/>
      <c r="H10525" s="1939"/>
      <c r="K10525" s="841" t="s">
        <v>6095</v>
      </c>
      <c r="M10525" s="1357"/>
      <c r="Q10525" s="1357"/>
      <c r="S10525" s="1420"/>
      <c r="T10525" s="1420"/>
      <c r="V10525" s="1357">
        <v>411</v>
      </c>
    </row>
    <row r="10526" spans="1:22" s="841" customFormat="1" ht="15" x14ac:dyDescent="0.25">
      <c r="A10526" s="841" t="s">
        <v>191</v>
      </c>
      <c r="E10526" s="1939" t="s">
        <v>3809</v>
      </c>
      <c r="F10526" s="1939"/>
      <c r="G10526" s="1939"/>
      <c r="H10526" s="1939"/>
      <c r="K10526" s="841" t="s">
        <v>6095</v>
      </c>
      <c r="M10526" s="1357"/>
      <c r="Q10526" s="1357"/>
      <c r="S10526" s="1420"/>
      <c r="T10526" s="1420"/>
      <c r="V10526" s="1357">
        <v>385</v>
      </c>
    </row>
    <row r="10527" spans="1:22" s="841" customFormat="1" ht="15" x14ac:dyDescent="0.25">
      <c r="A10527" s="841" t="s">
        <v>191</v>
      </c>
      <c r="E10527" s="1689" t="s">
        <v>3223</v>
      </c>
      <c r="F10527" s="1689"/>
      <c r="G10527" s="1689"/>
      <c r="H10527" s="1689"/>
      <c r="K10527" s="841" t="s">
        <v>6095</v>
      </c>
      <c r="M10527" s="1357"/>
      <c r="Q10527" s="1357"/>
      <c r="S10527" s="1420"/>
      <c r="T10527" s="1420"/>
      <c r="V10527" s="1357">
        <v>626</v>
      </c>
    </row>
    <row r="10528" spans="1:22" s="841" customFormat="1" ht="15" x14ac:dyDescent="0.25">
      <c r="A10528" s="841" t="s">
        <v>191</v>
      </c>
      <c r="E10528" s="1939" t="s">
        <v>3390</v>
      </c>
      <c r="F10528" s="1939"/>
      <c r="G10528" s="1939"/>
      <c r="H10528" s="1939"/>
      <c r="K10528" s="841" t="s">
        <v>6095</v>
      </c>
      <c r="M10528" s="1357"/>
      <c r="Q10528" s="1357"/>
      <c r="S10528" s="1420"/>
      <c r="T10528" s="1420"/>
      <c r="V10528" s="1357">
        <v>274</v>
      </c>
    </row>
    <row r="10529" spans="1:22" s="841" customFormat="1" ht="15" x14ac:dyDescent="0.25">
      <c r="A10529" s="841" t="s">
        <v>191</v>
      </c>
      <c r="E10529" s="1930" t="s">
        <v>3067</v>
      </c>
      <c r="F10529" s="1693"/>
      <c r="G10529" s="1693"/>
      <c r="H10529" s="1693"/>
      <c r="K10529" s="841" t="s">
        <v>3099</v>
      </c>
      <c r="M10529" s="1357"/>
      <c r="Q10529" s="1357"/>
      <c r="S10529" s="1420"/>
      <c r="T10529" s="1420"/>
      <c r="V10529" s="1357">
        <v>46</v>
      </c>
    </row>
    <row r="10530" spans="1:22" s="841" customFormat="1" ht="15" x14ac:dyDescent="0.25">
      <c r="A10530" s="841" t="s">
        <v>191</v>
      </c>
      <c r="E10530" s="1918" t="s">
        <v>11</v>
      </c>
      <c r="F10530" s="1918"/>
      <c r="G10530" s="679" t="s">
        <v>23</v>
      </c>
      <c r="H10530" s="391">
        <v>84.94</v>
      </c>
      <c r="K10530" s="841" t="s">
        <v>6095</v>
      </c>
      <c r="L10530" s="841" t="s">
        <v>442</v>
      </c>
      <c r="M10530" s="1357"/>
      <c r="P10530" s="841" t="s">
        <v>6096</v>
      </c>
      <c r="Q10530" s="1357"/>
      <c r="S10530" s="1420"/>
      <c r="T10530" s="1420"/>
      <c r="V10530" s="1357">
        <v>14</v>
      </c>
    </row>
    <row r="10531" spans="1:22" s="841" customFormat="1" ht="15" x14ac:dyDescent="0.25">
      <c r="A10531" s="841" t="s">
        <v>191</v>
      </c>
      <c r="E10531" s="1918" t="s">
        <v>84</v>
      </c>
      <c r="F10531" s="1918"/>
      <c r="G10531" s="679" t="s">
        <v>33</v>
      </c>
      <c r="H10531" s="393">
        <v>3.5179</v>
      </c>
      <c r="K10531" s="841" t="s">
        <v>6095</v>
      </c>
      <c r="L10531" s="841" t="s">
        <v>442</v>
      </c>
      <c r="M10531" s="1357"/>
      <c r="P10531" s="841" t="s">
        <v>6097</v>
      </c>
      <c r="Q10531" s="1357"/>
      <c r="S10531" s="1420"/>
      <c r="T10531" s="1420"/>
      <c r="V10531" s="1357">
        <v>28</v>
      </c>
    </row>
    <row r="10532" spans="1:22" s="841" customFormat="1" ht="15" x14ac:dyDescent="0.25">
      <c r="A10532" s="841" t="s">
        <v>191</v>
      </c>
      <c r="E10532" s="1918" t="s">
        <v>18</v>
      </c>
      <c r="F10532" s="1918"/>
      <c r="G10532" s="679" t="s">
        <v>33</v>
      </c>
      <c r="H10532" s="676">
        <v>0.2787</v>
      </c>
      <c r="K10532" s="841" t="s">
        <v>6095</v>
      </c>
      <c r="L10532" s="841" t="s">
        <v>443</v>
      </c>
      <c r="M10532" s="1357"/>
      <c r="P10532" s="841" t="s">
        <v>6098</v>
      </c>
      <c r="Q10532" s="1357"/>
      <c r="S10532" s="1420"/>
      <c r="T10532" s="1420"/>
      <c r="V10532" s="1357">
        <v>24</v>
      </c>
    </row>
    <row r="10533" spans="1:22" s="841" customFormat="1" ht="15" x14ac:dyDescent="0.25">
      <c r="A10533" s="841" t="s">
        <v>191</v>
      </c>
      <c r="E10533" s="1918" t="s">
        <v>4272</v>
      </c>
      <c r="F10533" s="1918"/>
      <c r="G10533" s="679" t="s">
        <v>33</v>
      </c>
      <c r="H10533" s="676">
        <v>-0.29049999999999998</v>
      </c>
      <c r="K10533" s="841" t="s">
        <v>6095</v>
      </c>
      <c r="L10533" s="841" t="s">
        <v>443</v>
      </c>
      <c r="M10533" s="1357"/>
      <c r="P10533" s="841" t="s">
        <v>6105</v>
      </c>
      <c r="Q10533" s="1357"/>
      <c r="S10533" s="1420"/>
      <c r="T10533" s="1420">
        <v>43281</v>
      </c>
      <c r="V10533" s="1357">
        <v>95</v>
      </c>
    </row>
    <row r="10534" spans="1:22" s="841" customFormat="1" ht="15" x14ac:dyDescent="0.25">
      <c r="A10534" s="841" t="s">
        <v>191</v>
      </c>
      <c r="E10534" s="1690" t="s">
        <v>4273</v>
      </c>
      <c r="F10534" s="1690"/>
      <c r="G10534" s="679" t="s">
        <v>33</v>
      </c>
      <c r="H10534" s="676">
        <v>-0.94099999999999995</v>
      </c>
      <c r="K10534" s="841" t="s">
        <v>6095</v>
      </c>
      <c r="L10534" s="841" t="s">
        <v>443</v>
      </c>
      <c r="M10534" s="1357"/>
      <c r="P10534" s="841" t="s">
        <v>6105</v>
      </c>
      <c r="Q10534" s="1357"/>
      <c r="S10534" s="1420"/>
      <c r="T10534" s="1420">
        <v>43281</v>
      </c>
      <c r="V10534" s="1357">
        <v>155</v>
      </c>
    </row>
    <row r="10535" spans="1:22" s="841" customFormat="1" ht="15" x14ac:dyDescent="0.25">
      <c r="A10535" s="841" t="s">
        <v>191</v>
      </c>
      <c r="E10535" s="1690" t="s">
        <v>4274</v>
      </c>
      <c r="F10535" s="1690"/>
      <c r="G10535" s="679" t="s">
        <v>33</v>
      </c>
      <c r="H10535" s="676">
        <v>2.1615000000000002</v>
      </c>
      <c r="K10535" s="841" t="s">
        <v>6095</v>
      </c>
      <c r="L10535" s="841" t="s">
        <v>443</v>
      </c>
      <c r="M10535" s="1357"/>
      <c r="P10535" s="841" t="s">
        <v>6378</v>
      </c>
      <c r="Q10535" s="1357"/>
      <c r="S10535" s="1420"/>
      <c r="T10535" s="1420">
        <v>43281</v>
      </c>
      <c r="V10535" s="1357">
        <v>138</v>
      </c>
    </row>
    <row r="10536" spans="1:22" s="841" customFormat="1" ht="15" x14ac:dyDescent="0.25">
      <c r="A10536" s="841" t="s">
        <v>191</v>
      </c>
      <c r="E10536" s="1918" t="s">
        <v>4271</v>
      </c>
      <c r="F10536" s="1918"/>
      <c r="G10536" s="679" t="s">
        <v>33</v>
      </c>
      <c r="H10536" s="676">
        <v>5.8700000000000002E-2</v>
      </c>
      <c r="K10536" s="841" t="s">
        <v>6095</v>
      </c>
      <c r="L10536" s="841" t="s">
        <v>442</v>
      </c>
      <c r="M10536" s="1357"/>
      <c r="P10536" s="841" t="s">
        <v>6105</v>
      </c>
      <c r="Q10536" s="1357"/>
      <c r="S10536" s="1420"/>
      <c r="T10536" s="1420">
        <v>43281</v>
      </c>
      <c r="V10536" s="1357">
        <v>96</v>
      </c>
    </row>
    <row r="10537" spans="1:22" s="841" customFormat="1" ht="15" x14ac:dyDescent="0.25">
      <c r="A10537" s="841" t="s">
        <v>191</v>
      </c>
      <c r="E10537" s="1918" t="s">
        <v>4275</v>
      </c>
      <c r="F10537" s="1918"/>
      <c r="G10537" s="679" t="s">
        <v>33</v>
      </c>
      <c r="H10537" s="676">
        <v>-0.1381</v>
      </c>
      <c r="K10537" s="841" t="s">
        <v>6095</v>
      </c>
      <c r="L10537" s="841" t="s">
        <v>442</v>
      </c>
      <c r="M10537" s="1357"/>
      <c r="P10537" s="841" t="s">
        <v>6414</v>
      </c>
      <c r="Q10537" s="1357"/>
      <c r="S10537" s="1420"/>
      <c r="T10537" s="1420">
        <v>43281</v>
      </c>
      <c r="V10537" s="1357">
        <v>74</v>
      </c>
    </row>
    <row r="10538" spans="1:22" s="841" customFormat="1" ht="15" x14ac:dyDescent="0.25">
      <c r="A10538" s="841" t="s">
        <v>191</v>
      </c>
      <c r="E10538" s="1938" t="s">
        <v>5770</v>
      </c>
      <c r="F10538" s="1938"/>
      <c r="G10538" s="679" t="s">
        <v>33</v>
      </c>
      <c r="H10538" s="676">
        <v>0.10780000000000001</v>
      </c>
      <c r="K10538" s="841" t="s">
        <v>6095</v>
      </c>
      <c r="L10538" s="841" t="s">
        <v>442</v>
      </c>
      <c r="M10538" s="1357"/>
      <c r="P10538" s="841" t="s">
        <v>6111</v>
      </c>
      <c r="Q10538" s="1357"/>
      <c r="S10538" s="1420"/>
      <c r="T10538" s="1420">
        <v>43281</v>
      </c>
      <c r="V10538" s="1357">
        <v>106</v>
      </c>
    </row>
    <row r="10539" spans="1:22" s="841" customFormat="1" ht="15" x14ac:dyDescent="0.25">
      <c r="A10539" s="841" t="s">
        <v>191</v>
      </c>
      <c r="E10539" s="1918" t="s">
        <v>221</v>
      </c>
      <c r="F10539" s="1918"/>
      <c r="G10539" s="679" t="s">
        <v>33</v>
      </c>
      <c r="H10539" s="393">
        <v>2.3521999999999998</v>
      </c>
      <c r="K10539" s="841" t="s">
        <v>6095</v>
      </c>
      <c r="L10539" s="841" t="s">
        <v>444</v>
      </c>
      <c r="M10539" s="1357"/>
      <c r="P10539" s="841" t="s">
        <v>6099</v>
      </c>
      <c r="Q10539" s="1357"/>
      <c r="S10539" s="1420"/>
      <c r="T10539" s="1420"/>
      <c r="V10539" s="1357">
        <v>47</v>
      </c>
    </row>
    <row r="10540" spans="1:22" s="841" customFormat="1" ht="15" x14ac:dyDescent="0.25">
      <c r="A10540" s="841" t="s">
        <v>191</v>
      </c>
      <c r="E10540" s="1918" t="s">
        <v>5126</v>
      </c>
      <c r="F10540" s="1918"/>
      <c r="G10540" s="679" t="s">
        <v>33</v>
      </c>
      <c r="H10540" s="393">
        <v>1.7122999999999999</v>
      </c>
      <c r="K10540" s="841" t="s">
        <v>6095</v>
      </c>
      <c r="L10540" s="841" t="s">
        <v>444</v>
      </c>
      <c r="M10540" s="1357"/>
      <c r="P10540" s="841" t="s">
        <v>6106</v>
      </c>
      <c r="Q10540" s="1357"/>
      <c r="S10540" s="1420"/>
      <c r="T10540" s="1420"/>
      <c r="V10540" s="1357">
        <v>87</v>
      </c>
    </row>
    <row r="10541" spans="1:22" s="841" customFormat="1" ht="15" x14ac:dyDescent="0.25">
      <c r="A10541" s="841" t="s">
        <v>191</v>
      </c>
      <c r="E10541" s="1919" t="s">
        <v>3079</v>
      </c>
      <c r="F10541" s="1690"/>
      <c r="G10541" s="679"/>
      <c r="H10541" s="1093"/>
      <c r="K10541" s="841" t="s">
        <v>3218</v>
      </c>
      <c r="M10541" s="1357"/>
      <c r="Q10541" s="1357"/>
      <c r="S10541" s="1420"/>
      <c r="T10541" s="1420"/>
      <c r="V10541" s="1357">
        <v>48</v>
      </c>
    </row>
    <row r="10542" spans="1:22" s="841" customFormat="1" ht="15" x14ac:dyDescent="0.25">
      <c r="A10542" s="841" t="s">
        <v>191</v>
      </c>
      <c r="E10542" s="1918" t="s">
        <v>2449</v>
      </c>
      <c r="F10542" s="1918"/>
      <c r="G10542" s="679" t="s">
        <v>24</v>
      </c>
      <c r="H10542" s="393">
        <v>3.2000000000000002E-3</v>
      </c>
      <c r="K10542" s="841" t="s">
        <v>6095</v>
      </c>
      <c r="L10542" s="841" t="s">
        <v>3046</v>
      </c>
      <c r="M10542" s="1357"/>
      <c r="P10542" s="841" t="s">
        <v>6101</v>
      </c>
      <c r="Q10542" s="1357"/>
      <c r="S10542" s="1420"/>
      <c r="T10542" s="1420"/>
      <c r="V10542" s="1357">
        <v>55</v>
      </c>
    </row>
    <row r="10543" spans="1:22" s="841" customFormat="1" ht="15" x14ac:dyDescent="0.25">
      <c r="A10543" s="841" t="s">
        <v>191</v>
      </c>
      <c r="E10543" s="1918" t="s">
        <v>2450</v>
      </c>
      <c r="F10543" s="1918"/>
      <c r="G10543" s="679" t="s">
        <v>24</v>
      </c>
      <c r="H10543" s="393">
        <v>4.0000000000000002E-4</v>
      </c>
      <c r="K10543" s="841" t="s">
        <v>6095</v>
      </c>
      <c r="L10543" s="841" t="s">
        <v>3046</v>
      </c>
      <c r="M10543" s="1357"/>
      <c r="P10543" s="841" t="s">
        <v>6101</v>
      </c>
      <c r="Q10543" s="1357"/>
      <c r="S10543" s="1420"/>
      <c r="T10543" s="1420"/>
      <c r="V10543" s="1357">
        <v>65</v>
      </c>
    </row>
    <row r="10544" spans="1:22" s="841" customFormat="1" ht="15" x14ac:dyDescent="0.25">
      <c r="A10544" s="841" t="s">
        <v>191</v>
      </c>
      <c r="E10544" s="1918" t="s">
        <v>439</v>
      </c>
      <c r="F10544" s="1918"/>
      <c r="G10544" s="679" t="s">
        <v>24</v>
      </c>
      <c r="H10544" s="393">
        <v>2.9999999999999997E-4</v>
      </c>
      <c r="K10544" s="841" t="s">
        <v>6095</v>
      </c>
      <c r="L10544" s="841" t="s">
        <v>3046</v>
      </c>
      <c r="M10544" s="1357"/>
      <c r="P10544" s="841" t="s">
        <v>6102</v>
      </c>
      <c r="Q10544" s="1357"/>
      <c r="S10544" s="1420"/>
      <c r="T10544" s="1420"/>
      <c r="V10544" s="1357">
        <v>57</v>
      </c>
    </row>
    <row r="10545" spans="1:22" s="841" customFormat="1" ht="15" x14ac:dyDescent="0.25">
      <c r="A10545" s="841" t="s">
        <v>191</v>
      </c>
      <c r="E10545" s="1918" t="s">
        <v>32</v>
      </c>
      <c r="F10545" s="1918"/>
      <c r="G10545" s="679" t="s">
        <v>23</v>
      </c>
      <c r="H10545" s="391">
        <v>0.25</v>
      </c>
      <c r="K10545" s="841" t="s">
        <v>6095</v>
      </c>
      <c r="L10545" s="841" t="s">
        <v>3046</v>
      </c>
      <c r="M10545" s="1357"/>
      <c r="P10545" s="841" t="s">
        <v>6103</v>
      </c>
      <c r="Q10545" s="1357"/>
      <c r="S10545" s="1420"/>
      <c r="T10545" s="1420"/>
      <c r="V10545" s="1357">
        <v>63</v>
      </c>
    </row>
    <row r="10546" spans="1:22" s="841" customFormat="1" x14ac:dyDescent="0.25">
      <c r="A10546" s="841" t="s">
        <v>191</v>
      </c>
      <c r="E10546" s="1967" t="s">
        <v>629</v>
      </c>
      <c r="F10546" s="1967"/>
      <c r="G10546" s="1967"/>
      <c r="H10546" s="1968"/>
      <c r="K10546" s="841" t="s">
        <v>4226</v>
      </c>
      <c r="M10546" s="1357"/>
      <c r="Q10546" s="1357"/>
      <c r="S10546" s="1420"/>
      <c r="T10546" s="1420"/>
      <c r="V10546" s="1357">
        <v>40</v>
      </c>
    </row>
    <row r="10547" spans="1:22" s="841" customFormat="1" ht="15" x14ac:dyDescent="0.25">
      <c r="A10547" s="841" t="s">
        <v>191</v>
      </c>
      <c r="E10547" s="1939" t="s">
        <v>4279</v>
      </c>
      <c r="F10547" s="1939"/>
      <c r="G10547" s="1939"/>
      <c r="H10547" s="1940"/>
      <c r="K10547" s="841" t="s">
        <v>4226</v>
      </c>
      <c r="M10547" s="1357"/>
      <c r="Q10547" s="1357"/>
      <c r="S10547" s="1420"/>
      <c r="T10547" s="1420"/>
      <c r="V10547" s="1357">
        <v>323</v>
      </c>
    </row>
    <row r="10548" spans="1:22" s="841" customFormat="1" ht="15" x14ac:dyDescent="0.25">
      <c r="A10548" s="841" t="s">
        <v>191</v>
      </c>
      <c r="E10548" s="1935" t="s">
        <v>3061</v>
      </c>
      <c r="F10548" s="1697"/>
      <c r="G10548" s="1697"/>
      <c r="H10548" s="1697"/>
      <c r="K10548" s="841" t="s">
        <v>3221</v>
      </c>
      <c r="M10548" s="1357"/>
      <c r="Q10548" s="1357"/>
      <c r="S10548" s="1420"/>
      <c r="T10548" s="1420"/>
      <c r="V10548" s="1357">
        <v>11</v>
      </c>
    </row>
    <row r="10549" spans="1:22" s="841" customFormat="1" ht="15" x14ac:dyDescent="0.25">
      <c r="A10549" s="841" t="s">
        <v>191</v>
      </c>
      <c r="E10549" s="1939" t="s">
        <v>4267</v>
      </c>
      <c r="F10549" s="1939"/>
      <c r="G10549" s="1939"/>
      <c r="H10549" s="1940"/>
      <c r="K10549" s="841" t="s">
        <v>4226</v>
      </c>
      <c r="M10549" s="1357"/>
      <c r="Q10549" s="1357"/>
      <c r="S10549" s="1420"/>
      <c r="T10549" s="1420"/>
      <c r="V10549" s="1357">
        <v>281</v>
      </c>
    </row>
    <row r="10550" spans="1:22" s="841" customFormat="1" ht="15" x14ac:dyDescent="0.25">
      <c r="A10550" s="841" t="s">
        <v>191</v>
      </c>
      <c r="E10550" s="1939" t="s">
        <v>3064</v>
      </c>
      <c r="F10550" s="1939"/>
      <c r="G10550" s="1939"/>
      <c r="H10550" s="1940"/>
      <c r="K10550" s="841" t="s">
        <v>4226</v>
      </c>
      <c r="M10550" s="1357"/>
      <c r="Q10550" s="1357"/>
      <c r="S10550" s="1420"/>
      <c r="T10550" s="1420"/>
      <c r="V10550" s="1357">
        <v>411</v>
      </c>
    </row>
    <row r="10551" spans="1:22" s="841" customFormat="1" ht="15" x14ac:dyDescent="0.25">
      <c r="A10551" s="841" t="s">
        <v>191</v>
      </c>
      <c r="E10551" s="1939" t="s">
        <v>3809</v>
      </c>
      <c r="F10551" s="1939"/>
      <c r="G10551" s="1939"/>
      <c r="H10551" s="1940"/>
      <c r="K10551" s="841" t="s">
        <v>4226</v>
      </c>
      <c r="M10551" s="1357"/>
      <c r="Q10551" s="1357"/>
      <c r="S10551" s="1420"/>
      <c r="T10551" s="1420"/>
      <c r="V10551" s="1357">
        <v>385</v>
      </c>
    </row>
    <row r="10552" spans="1:22" s="841" customFormat="1" ht="15" x14ac:dyDescent="0.25">
      <c r="A10552" s="841" t="s">
        <v>191</v>
      </c>
      <c r="E10552" s="1939" t="s">
        <v>3390</v>
      </c>
      <c r="F10552" s="1939"/>
      <c r="G10552" s="1939"/>
      <c r="H10552" s="1940"/>
      <c r="K10552" s="841" t="s">
        <v>4226</v>
      </c>
      <c r="M10552" s="1357"/>
      <c r="Q10552" s="1357"/>
      <c r="S10552" s="1420"/>
      <c r="T10552" s="1420"/>
      <c r="V10552" s="1357">
        <v>274</v>
      </c>
    </row>
    <row r="10553" spans="1:22" s="841" customFormat="1" ht="15" x14ac:dyDescent="0.25">
      <c r="A10553" s="841" t="s">
        <v>191</v>
      </c>
      <c r="E10553" s="1930" t="s">
        <v>3067</v>
      </c>
      <c r="F10553" s="1693"/>
      <c r="G10553" s="1693"/>
      <c r="H10553" s="1693"/>
      <c r="K10553" s="841" t="s">
        <v>3224</v>
      </c>
      <c r="M10553" s="1357"/>
      <c r="Q10553" s="1357"/>
      <c r="S10553" s="1420"/>
      <c r="T10553" s="1420"/>
      <c r="V10553" s="1357">
        <v>46</v>
      </c>
    </row>
    <row r="10554" spans="1:22" s="841" customFormat="1" ht="15" x14ac:dyDescent="0.25">
      <c r="A10554" s="841" t="s">
        <v>191</v>
      </c>
      <c r="E10554" s="1918" t="s">
        <v>12</v>
      </c>
      <c r="F10554" s="1918"/>
      <c r="G10554" s="679" t="s">
        <v>23</v>
      </c>
      <c r="H10554" s="391">
        <v>2.95</v>
      </c>
      <c r="K10554" s="841" t="s">
        <v>4226</v>
      </c>
      <c r="L10554" s="841" t="s">
        <v>442</v>
      </c>
      <c r="M10554" s="1357"/>
      <c r="P10554" s="841" t="s">
        <v>4227</v>
      </c>
      <c r="Q10554" s="1357"/>
      <c r="S10554" s="1420"/>
      <c r="T10554" s="1420"/>
      <c r="V10554" s="1357">
        <v>31</v>
      </c>
    </row>
    <row r="10555" spans="1:22" s="841" customFormat="1" ht="15" x14ac:dyDescent="0.25">
      <c r="A10555" s="841" t="s">
        <v>191</v>
      </c>
      <c r="E10555" s="1918" t="s">
        <v>84</v>
      </c>
      <c r="F10555" s="1918"/>
      <c r="G10555" s="679" t="s">
        <v>33</v>
      </c>
      <c r="H10555" s="393">
        <v>9.1292000000000009</v>
      </c>
      <c r="K10555" s="841" t="s">
        <v>4226</v>
      </c>
      <c r="L10555" s="841" t="s">
        <v>442</v>
      </c>
      <c r="M10555" s="1357"/>
      <c r="P10555" s="841" t="s">
        <v>4228</v>
      </c>
      <c r="Q10555" s="1357"/>
      <c r="S10555" s="1420"/>
      <c r="T10555" s="1420"/>
      <c r="V10555" s="1357">
        <v>28</v>
      </c>
    </row>
    <row r="10556" spans="1:22" s="841" customFormat="1" ht="15" x14ac:dyDescent="0.25">
      <c r="A10556" s="841" t="s">
        <v>191</v>
      </c>
      <c r="E10556" s="1918" t="s">
        <v>18</v>
      </c>
      <c r="F10556" s="1918"/>
      <c r="G10556" s="679" t="s">
        <v>33</v>
      </c>
      <c r="H10556" s="393">
        <v>0.22</v>
      </c>
      <c r="K10556" s="841" t="s">
        <v>4226</v>
      </c>
      <c r="L10556" s="841" t="s">
        <v>443</v>
      </c>
      <c r="M10556" s="1357"/>
      <c r="P10556" s="841" t="s">
        <v>4229</v>
      </c>
      <c r="Q10556" s="1357"/>
      <c r="S10556" s="1420"/>
      <c r="T10556" s="1420"/>
      <c r="V10556" s="1357">
        <v>24</v>
      </c>
    </row>
    <row r="10557" spans="1:22" s="841" customFormat="1" ht="15" x14ac:dyDescent="0.25">
      <c r="A10557" s="841" t="s">
        <v>191</v>
      </c>
      <c r="E10557" s="1918" t="s">
        <v>4272</v>
      </c>
      <c r="F10557" s="1918"/>
      <c r="G10557" s="679" t="s">
        <v>33</v>
      </c>
      <c r="H10557" s="393">
        <v>-0.29010000000000002</v>
      </c>
      <c r="K10557" s="841" t="s">
        <v>4226</v>
      </c>
      <c r="L10557" s="841" t="s">
        <v>443</v>
      </c>
      <c r="M10557" s="1357"/>
      <c r="P10557" s="841" t="s">
        <v>4230</v>
      </c>
      <c r="Q10557" s="1357"/>
      <c r="S10557" s="1420"/>
      <c r="T10557" s="1420">
        <v>43281</v>
      </c>
      <c r="V10557" s="1357">
        <v>95</v>
      </c>
    </row>
    <row r="10558" spans="1:22" s="841" customFormat="1" ht="15" x14ac:dyDescent="0.25">
      <c r="A10558" s="841" t="s">
        <v>191</v>
      </c>
      <c r="E10558" s="1938" t="s">
        <v>4273</v>
      </c>
      <c r="F10558" s="1938"/>
      <c r="G10558" s="679" t="s">
        <v>33</v>
      </c>
      <c r="H10558" s="393">
        <v>-0.93979999999999997</v>
      </c>
      <c r="K10558" s="841" t="s">
        <v>4226</v>
      </c>
      <c r="L10558" s="841" t="s">
        <v>443</v>
      </c>
      <c r="M10558" s="1357"/>
      <c r="P10558" s="841" t="s">
        <v>4230</v>
      </c>
      <c r="Q10558" s="1357"/>
      <c r="S10558" s="1420"/>
      <c r="T10558" s="1420">
        <v>43281</v>
      </c>
      <c r="V10558" s="1357">
        <v>155</v>
      </c>
    </row>
    <row r="10559" spans="1:22" s="841" customFormat="1" ht="15" x14ac:dyDescent="0.25">
      <c r="A10559" s="841" t="s">
        <v>191</v>
      </c>
      <c r="E10559" s="1938" t="s">
        <v>4274</v>
      </c>
      <c r="F10559" s="1938"/>
      <c r="G10559" s="679" t="s">
        <v>33</v>
      </c>
      <c r="H10559" s="393">
        <v>2.1587000000000001</v>
      </c>
      <c r="K10559" s="841" t="s">
        <v>4226</v>
      </c>
      <c r="L10559" s="841" t="s">
        <v>443</v>
      </c>
      <c r="M10559" s="1357"/>
      <c r="P10559" s="841" t="s">
        <v>5773</v>
      </c>
      <c r="Q10559" s="1357"/>
      <c r="S10559" s="1420"/>
      <c r="T10559" s="1420">
        <v>43281</v>
      </c>
      <c r="V10559" s="1357">
        <v>138</v>
      </c>
    </row>
    <row r="10560" spans="1:22" s="841" customFormat="1" ht="15" x14ac:dyDescent="0.25">
      <c r="A10560" s="841" t="s">
        <v>191</v>
      </c>
      <c r="E10560" s="1918" t="s">
        <v>4271</v>
      </c>
      <c r="F10560" s="1918"/>
      <c r="G10560" s="679" t="s">
        <v>33</v>
      </c>
      <c r="H10560" s="393">
        <v>5.8599999999999999E-2</v>
      </c>
      <c r="K10560" s="841" t="s">
        <v>4226</v>
      </c>
      <c r="L10560" s="841" t="s">
        <v>442</v>
      </c>
      <c r="M10560" s="1357"/>
      <c r="P10560" s="841" t="s">
        <v>4230</v>
      </c>
      <c r="Q10560" s="1357"/>
      <c r="S10560" s="1420"/>
      <c r="T10560" s="1420">
        <v>43281</v>
      </c>
      <c r="V10560" s="1357">
        <v>96</v>
      </c>
    </row>
    <row r="10561" spans="1:22" s="841" customFormat="1" ht="15" x14ac:dyDescent="0.25">
      <c r="A10561" s="841" t="s">
        <v>191</v>
      </c>
      <c r="E10561" s="1918" t="s">
        <v>4275</v>
      </c>
      <c r="F10561" s="1918"/>
      <c r="G10561" s="679" t="s">
        <v>33</v>
      </c>
      <c r="H10561" s="393">
        <v>-1.1378999999999999</v>
      </c>
      <c r="K10561" s="841" t="s">
        <v>4226</v>
      </c>
      <c r="L10561" s="841" t="s">
        <v>442</v>
      </c>
      <c r="M10561" s="1357"/>
      <c r="P10561" s="841" t="s">
        <v>6415</v>
      </c>
      <c r="Q10561" s="1357"/>
      <c r="S10561" s="1420"/>
      <c r="T10561" s="1420">
        <v>43281</v>
      </c>
      <c r="V10561" s="1357">
        <v>74</v>
      </c>
    </row>
    <row r="10562" spans="1:22" s="841" customFormat="1" ht="15" x14ac:dyDescent="0.25">
      <c r="A10562" s="841" t="s">
        <v>191</v>
      </c>
      <c r="E10562" s="1938" t="s">
        <v>5770</v>
      </c>
      <c r="F10562" s="1938"/>
      <c r="G10562" s="679" t="s">
        <v>33</v>
      </c>
      <c r="H10562" s="393">
        <v>0.1077</v>
      </c>
      <c r="K10562" s="841" t="s">
        <v>4226</v>
      </c>
      <c r="L10562" s="841" t="s">
        <v>442</v>
      </c>
      <c r="M10562" s="1357"/>
      <c r="P10562" s="841" t="s">
        <v>5774</v>
      </c>
      <c r="Q10562" s="1357"/>
      <c r="S10562" s="1420"/>
      <c r="T10562" s="1420">
        <v>43281</v>
      </c>
      <c r="V10562" s="1357">
        <v>106</v>
      </c>
    </row>
    <row r="10563" spans="1:22" s="841" customFormat="1" ht="15" x14ac:dyDescent="0.25">
      <c r="A10563" s="841" t="s">
        <v>191</v>
      </c>
      <c r="E10563" s="1918" t="s">
        <v>221</v>
      </c>
      <c r="F10563" s="1918"/>
      <c r="G10563" s="679" t="s">
        <v>33</v>
      </c>
      <c r="H10563" s="393">
        <v>1.7827999999999999</v>
      </c>
      <c r="K10563" s="841" t="s">
        <v>4226</v>
      </c>
      <c r="L10563" s="841" t="s">
        <v>444</v>
      </c>
      <c r="M10563" s="1357"/>
      <c r="P10563" s="841" t="s">
        <v>4232</v>
      </c>
      <c r="Q10563" s="1357"/>
      <c r="S10563" s="1420"/>
      <c r="T10563" s="1420"/>
      <c r="V10563" s="1357">
        <v>47</v>
      </c>
    </row>
    <row r="10564" spans="1:22" s="841" customFormat="1" ht="15" x14ac:dyDescent="0.25">
      <c r="A10564" s="841" t="s">
        <v>191</v>
      </c>
      <c r="E10564" s="1918" t="s">
        <v>217</v>
      </c>
      <c r="F10564" s="1918"/>
      <c r="G10564" s="679" t="s">
        <v>33</v>
      </c>
      <c r="H10564" s="393">
        <v>1.3517999999999999</v>
      </c>
      <c r="K10564" s="841" t="s">
        <v>4226</v>
      </c>
      <c r="L10564" s="841" t="s">
        <v>444</v>
      </c>
      <c r="M10564" s="1357"/>
      <c r="P10564" s="841" t="s">
        <v>4233</v>
      </c>
      <c r="Q10564" s="1357"/>
      <c r="S10564" s="1420"/>
      <c r="T10564" s="1420"/>
      <c r="V10564" s="1357">
        <v>74</v>
      </c>
    </row>
    <row r="10565" spans="1:22" s="841" customFormat="1" ht="15" x14ac:dyDescent="0.25">
      <c r="A10565" s="841" t="s">
        <v>191</v>
      </c>
      <c r="E10565" s="1919" t="s">
        <v>3079</v>
      </c>
      <c r="F10565" s="1690"/>
      <c r="G10565" s="679"/>
      <c r="H10565" s="1093"/>
      <c r="K10565" s="841" t="s">
        <v>3225</v>
      </c>
      <c r="M10565" s="1357"/>
      <c r="Q10565" s="1357"/>
      <c r="S10565" s="1420"/>
      <c r="T10565" s="1420"/>
      <c r="V10565" s="1357">
        <v>48</v>
      </c>
    </row>
    <row r="10566" spans="1:22" s="841" customFormat="1" ht="15" x14ac:dyDescent="0.25">
      <c r="A10566" s="841" t="s">
        <v>191</v>
      </c>
      <c r="E10566" s="1918" t="s">
        <v>2449</v>
      </c>
      <c r="F10566" s="1918"/>
      <c r="G10566" s="679" t="s">
        <v>24</v>
      </c>
      <c r="H10566" s="393">
        <v>3.2000000000000002E-3</v>
      </c>
      <c r="K10566" s="841" t="s">
        <v>4226</v>
      </c>
      <c r="L10566" s="841" t="s">
        <v>3046</v>
      </c>
      <c r="M10566" s="1357"/>
      <c r="P10566" s="841" t="s">
        <v>4234</v>
      </c>
      <c r="Q10566" s="1357"/>
      <c r="S10566" s="1420"/>
      <c r="T10566" s="1420"/>
      <c r="V10566" s="1357">
        <v>55</v>
      </c>
    </row>
    <row r="10567" spans="1:22" s="841" customFormat="1" ht="15" x14ac:dyDescent="0.25">
      <c r="A10567" s="841" t="s">
        <v>191</v>
      </c>
      <c r="E10567" s="1918" t="s">
        <v>2450</v>
      </c>
      <c r="F10567" s="1918"/>
      <c r="G10567" s="679" t="s">
        <v>24</v>
      </c>
      <c r="H10567" s="393">
        <v>4.0000000000000002E-4</v>
      </c>
      <c r="K10567" s="841" t="s">
        <v>4226</v>
      </c>
      <c r="L10567" s="841" t="s">
        <v>3046</v>
      </c>
      <c r="M10567" s="1357"/>
      <c r="P10567" s="841" t="s">
        <v>4234</v>
      </c>
      <c r="Q10567" s="1357"/>
      <c r="S10567" s="1420"/>
      <c r="T10567" s="1420"/>
      <c r="V10567" s="1357">
        <v>65</v>
      </c>
    </row>
    <row r="10568" spans="1:22" s="841" customFormat="1" ht="15" x14ac:dyDescent="0.25">
      <c r="A10568" s="841" t="s">
        <v>191</v>
      </c>
      <c r="E10568" s="1918" t="s">
        <v>439</v>
      </c>
      <c r="F10568" s="1918"/>
      <c r="G10568" s="679" t="s">
        <v>24</v>
      </c>
      <c r="H10568" s="393">
        <v>2.9999999999999997E-4</v>
      </c>
      <c r="K10568" s="841" t="s">
        <v>4226</v>
      </c>
      <c r="L10568" s="841" t="s">
        <v>3046</v>
      </c>
      <c r="M10568" s="1357"/>
      <c r="P10568" s="841" t="s">
        <v>4235</v>
      </c>
      <c r="Q10568" s="1357"/>
      <c r="S10568" s="1420"/>
      <c r="T10568" s="1420"/>
      <c r="V10568" s="1357">
        <v>57</v>
      </c>
    </row>
    <row r="10569" spans="1:22" s="841" customFormat="1" ht="15" x14ac:dyDescent="0.25">
      <c r="A10569" s="841" t="s">
        <v>191</v>
      </c>
      <c r="E10569" s="1918" t="s">
        <v>32</v>
      </c>
      <c r="F10569" s="1918"/>
      <c r="G10569" s="679" t="s">
        <v>23</v>
      </c>
      <c r="H10569" s="391">
        <v>0.25</v>
      </c>
      <c r="K10569" s="841" t="s">
        <v>4226</v>
      </c>
      <c r="L10569" s="841" t="s">
        <v>3046</v>
      </c>
      <c r="M10569" s="1357"/>
      <c r="P10569" s="841" t="s">
        <v>4236</v>
      </c>
      <c r="Q10569" s="1357"/>
      <c r="S10569" s="1420"/>
      <c r="T10569" s="1420"/>
      <c r="V10569" s="1357">
        <v>63</v>
      </c>
    </row>
    <row r="10570" spans="1:22" s="841" customFormat="1" x14ac:dyDescent="0.25">
      <c r="A10570" s="841" t="s">
        <v>191</v>
      </c>
      <c r="E10570" s="1967" t="s">
        <v>615</v>
      </c>
      <c r="F10570" s="1967"/>
      <c r="G10570" s="1967"/>
      <c r="H10570" s="1968"/>
      <c r="K10570" s="841" t="s">
        <v>3417</v>
      </c>
      <c r="M10570" s="1357"/>
      <c r="Q10570" s="1357"/>
      <c r="S10570" s="1420"/>
      <c r="T10570" s="1420"/>
      <c r="V10570" s="1357">
        <v>38</v>
      </c>
    </row>
    <row r="10571" spans="1:22" s="841" customFormat="1" ht="15" x14ac:dyDescent="0.25">
      <c r="A10571" s="841" t="s">
        <v>191</v>
      </c>
      <c r="E10571" s="1939" t="s">
        <v>4280</v>
      </c>
      <c r="F10571" s="1939"/>
      <c r="G10571" s="1939"/>
      <c r="H10571" s="1940"/>
      <c r="K10571" s="841" t="s">
        <v>3417</v>
      </c>
      <c r="M10571" s="1357"/>
      <c r="Q10571" s="1357"/>
      <c r="S10571" s="1420"/>
      <c r="T10571" s="1420"/>
      <c r="V10571" s="1357">
        <v>474</v>
      </c>
    </row>
    <row r="10572" spans="1:22" s="841" customFormat="1" ht="15" x14ac:dyDescent="0.25">
      <c r="A10572" s="841" t="s">
        <v>191</v>
      </c>
      <c r="E10572" s="1935" t="s">
        <v>3061</v>
      </c>
      <c r="F10572" s="1697"/>
      <c r="G10572" s="1697"/>
      <c r="H10572" s="1697"/>
      <c r="K10572" s="841" t="s">
        <v>3107</v>
      </c>
      <c r="M10572" s="1357"/>
      <c r="Q10572" s="1357"/>
      <c r="S10572" s="1420"/>
      <c r="T10572" s="1420"/>
      <c r="V10572" s="1357">
        <v>11</v>
      </c>
    </row>
    <row r="10573" spans="1:22" s="841" customFormat="1" ht="15" x14ac:dyDescent="0.25">
      <c r="A10573" s="841" t="s">
        <v>191</v>
      </c>
      <c r="E10573" s="1939" t="s">
        <v>4013</v>
      </c>
      <c r="F10573" s="1939"/>
      <c r="G10573" s="1939"/>
      <c r="H10573" s="1940"/>
      <c r="K10573" s="841" t="s">
        <v>3417</v>
      </c>
      <c r="M10573" s="1357"/>
      <c r="Q10573" s="1357"/>
      <c r="S10573" s="1420"/>
      <c r="T10573" s="1420"/>
      <c r="V10573" s="1357">
        <v>265</v>
      </c>
    </row>
    <row r="10574" spans="1:22" s="841" customFormat="1" ht="15" x14ac:dyDescent="0.25">
      <c r="A10574" s="841" t="s">
        <v>191</v>
      </c>
      <c r="E10574" s="1939" t="s">
        <v>3064</v>
      </c>
      <c r="F10574" s="1939"/>
      <c r="G10574" s="1939"/>
      <c r="H10574" s="1940"/>
      <c r="K10574" s="841" t="s">
        <v>3417</v>
      </c>
      <c r="M10574" s="1357"/>
      <c r="Q10574" s="1357"/>
      <c r="S10574" s="1420"/>
      <c r="T10574" s="1420"/>
      <c r="V10574" s="1357">
        <v>411</v>
      </c>
    </row>
    <row r="10575" spans="1:22" s="841" customFormat="1" ht="15" x14ac:dyDescent="0.25">
      <c r="A10575" s="841" t="s">
        <v>191</v>
      </c>
      <c r="E10575" s="1939" t="s">
        <v>3809</v>
      </c>
      <c r="F10575" s="1939"/>
      <c r="G10575" s="1939"/>
      <c r="H10575" s="1940"/>
      <c r="K10575" s="841" t="s">
        <v>3417</v>
      </c>
      <c r="M10575" s="1357"/>
      <c r="Q10575" s="1357"/>
      <c r="S10575" s="1420"/>
      <c r="T10575" s="1420"/>
      <c r="V10575" s="1357">
        <v>385</v>
      </c>
    </row>
    <row r="10576" spans="1:22" s="841" customFormat="1" ht="15" x14ac:dyDescent="0.25">
      <c r="A10576" s="841" t="s">
        <v>191</v>
      </c>
      <c r="E10576" s="1939" t="s">
        <v>4281</v>
      </c>
      <c r="F10576" s="1939"/>
      <c r="G10576" s="1939"/>
      <c r="H10576" s="1940"/>
      <c r="K10576" s="841" t="s">
        <v>3417</v>
      </c>
      <c r="M10576" s="1357"/>
      <c r="Q10576" s="1357"/>
      <c r="S10576" s="1420"/>
      <c r="T10576" s="1420"/>
      <c r="V10576" s="1357">
        <v>259</v>
      </c>
    </row>
    <row r="10577" spans="1:22" s="841" customFormat="1" ht="15" x14ac:dyDescent="0.25">
      <c r="A10577" s="841" t="s">
        <v>191</v>
      </c>
      <c r="E10577" s="1930" t="s">
        <v>3067</v>
      </c>
      <c r="F10577" s="1693"/>
      <c r="G10577" s="1693"/>
      <c r="H10577" s="1693"/>
      <c r="K10577" s="841" t="s">
        <v>3108</v>
      </c>
      <c r="M10577" s="1357"/>
      <c r="Q10577" s="1357"/>
      <c r="S10577" s="1420"/>
      <c r="T10577" s="1420"/>
      <c r="V10577" s="1357">
        <v>46</v>
      </c>
    </row>
    <row r="10578" spans="1:22" s="841" customFormat="1" ht="15" x14ac:dyDescent="0.25">
      <c r="A10578" s="841" t="s">
        <v>191</v>
      </c>
      <c r="E10578" s="1918" t="s">
        <v>12</v>
      </c>
      <c r="F10578" s="1918"/>
      <c r="G10578" s="679" t="s">
        <v>23</v>
      </c>
      <c r="H10578" s="391">
        <v>2.39</v>
      </c>
      <c r="K10578" s="841" t="s">
        <v>3417</v>
      </c>
      <c r="L10578" s="841" t="s">
        <v>442</v>
      </c>
      <c r="M10578" s="1357"/>
      <c r="P10578" s="841" t="s">
        <v>3419</v>
      </c>
      <c r="Q10578" s="1357"/>
      <c r="S10578" s="1420"/>
      <c r="T10578" s="1420"/>
      <c r="V10578" s="1357">
        <v>31</v>
      </c>
    </row>
    <row r="10579" spans="1:22" s="841" customFormat="1" ht="15" x14ac:dyDescent="0.25">
      <c r="A10579" s="841" t="s">
        <v>191</v>
      </c>
      <c r="E10579" s="1918" t="s">
        <v>84</v>
      </c>
      <c r="F10579" s="1918"/>
      <c r="G10579" s="679" t="s">
        <v>33</v>
      </c>
      <c r="H10579" s="393">
        <v>13.094900000000001</v>
      </c>
      <c r="K10579" s="841" t="s">
        <v>3417</v>
      </c>
      <c r="L10579" s="841" t="s">
        <v>442</v>
      </c>
      <c r="M10579" s="1357"/>
      <c r="P10579" s="841" t="s">
        <v>3420</v>
      </c>
      <c r="Q10579" s="1357"/>
      <c r="S10579" s="1420"/>
      <c r="T10579" s="1420"/>
      <c r="V10579" s="1357">
        <v>28</v>
      </c>
    </row>
    <row r="10580" spans="1:22" s="841" customFormat="1" ht="15" x14ac:dyDescent="0.25">
      <c r="A10580" s="841" t="s">
        <v>191</v>
      </c>
      <c r="E10580" s="1918" t="s">
        <v>18</v>
      </c>
      <c r="F10580" s="1918"/>
      <c r="G10580" s="679" t="s">
        <v>33</v>
      </c>
      <c r="H10580" s="393">
        <v>0.2155</v>
      </c>
      <c r="K10580" s="841" t="s">
        <v>3417</v>
      </c>
      <c r="L10580" s="841" t="s">
        <v>443</v>
      </c>
      <c r="M10580" s="1357"/>
      <c r="P10580" s="841" t="s">
        <v>3552</v>
      </c>
      <c r="Q10580" s="1357"/>
      <c r="S10580" s="1420"/>
      <c r="T10580" s="1420"/>
      <c r="V10580" s="1357">
        <v>24</v>
      </c>
    </row>
    <row r="10581" spans="1:22" s="841" customFormat="1" ht="15" x14ac:dyDescent="0.25">
      <c r="A10581" s="841" t="s">
        <v>191</v>
      </c>
      <c r="E10581" s="1918" t="s">
        <v>4272</v>
      </c>
      <c r="F10581" s="1918"/>
      <c r="G10581" s="679" t="s">
        <v>33</v>
      </c>
      <c r="H10581" s="393">
        <v>-0.29699999999999999</v>
      </c>
      <c r="K10581" s="841" t="s">
        <v>3417</v>
      </c>
      <c r="L10581" s="841" t="s">
        <v>443</v>
      </c>
      <c r="M10581" s="1357"/>
      <c r="P10581" s="841" t="s">
        <v>3423</v>
      </c>
      <c r="Q10581" s="1357"/>
      <c r="S10581" s="1420"/>
      <c r="T10581" s="1420">
        <v>43281</v>
      </c>
      <c r="V10581" s="1357">
        <v>95</v>
      </c>
    </row>
    <row r="10582" spans="1:22" s="841" customFormat="1" ht="15" x14ac:dyDescent="0.25">
      <c r="A10582" s="841" t="s">
        <v>191</v>
      </c>
      <c r="E10582" s="1938" t="s">
        <v>4273</v>
      </c>
      <c r="F10582" s="1938"/>
      <c r="G10582" s="679" t="s">
        <v>33</v>
      </c>
      <c r="H10582" s="393">
        <v>-0.96209999999999996</v>
      </c>
      <c r="K10582" s="841" t="s">
        <v>3417</v>
      </c>
      <c r="L10582" s="841" t="s">
        <v>443</v>
      </c>
      <c r="M10582" s="1357"/>
      <c r="P10582" s="841" t="s">
        <v>3423</v>
      </c>
      <c r="Q10582" s="1357"/>
      <c r="S10582" s="1420"/>
      <c r="T10582" s="1420">
        <v>43281</v>
      </c>
      <c r="V10582" s="1357">
        <v>155</v>
      </c>
    </row>
    <row r="10583" spans="1:22" s="841" customFormat="1" ht="15" x14ac:dyDescent="0.25">
      <c r="A10583" s="841" t="s">
        <v>191</v>
      </c>
      <c r="E10583" s="1938" t="s">
        <v>4274</v>
      </c>
      <c r="F10583" s="1938"/>
      <c r="G10583" s="679" t="s">
        <v>33</v>
      </c>
      <c r="H10583" s="393">
        <v>2.2099000000000002</v>
      </c>
      <c r="K10583" s="841" t="s">
        <v>3417</v>
      </c>
      <c r="L10583" s="841" t="s">
        <v>443</v>
      </c>
      <c r="M10583" s="1357"/>
      <c r="P10583" s="841" t="s">
        <v>4171</v>
      </c>
      <c r="Q10583" s="1357"/>
      <c r="S10583" s="1420"/>
      <c r="T10583" s="1420">
        <v>43281</v>
      </c>
      <c r="V10583" s="1357">
        <v>138</v>
      </c>
    </row>
    <row r="10584" spans="1:22" s="841" customFormat="1" ht="15" x14ac:dyDescent="0.25">
      <c r="A10584" s="841" t="s">
        <v>191</v>
      </c>
      <c r="E10584" s="1918" t="s">
        <v>4271</v>
      </c>
      <c r="F10584" s="1918"/>
      <c r="G10584" s="679" t="s">
        <v>33</v>
      </c>
      <c r="H10584" s="393">
        <v>0.06</v>
      </c>
      <c r="K10584" s="841" t="s">
        <v>3417</v>
      </c>
      <c r="L10584" s="841" t="s">
        <v>442</v>
      </c>
      <c r="M10584" s="1357"/>
      <c r="P10584" s="841" t="s">
        <v>3423</v>
      </c>
      <c r="Q10584" s="1357"/>
      <c r="S10584" s="1420"/>
      <c r="T10584" s="1420">
        <v>43281</v>
      </c>
      <c r="V10584" s="1357">
        <v>96</v>
      </c>
    </row>
    <row r="10585" spans="1:22" s="841" customFormat="1" ht="15" x14ac:dyDescent="0.25">
      <c r="A10585" s="841" t="s">
        <v>191</v>
      </c>
      <c r="E10585" s="1918" t="s">
        <v>4275</v>
      </c>
      <c r="F10585" s="1918"/>
      <c r="G10585" s="679" t="s">
        <v>33</v>
      </c>
      <c r="H10585" s="393">
        <v>-0.14119999999999999</v>
      </c>
      <c r="K10585" s="841" t="s">
        <v>3417</v>
      </c>
      <c r="L10585" s="841" t="s">
        <v>442</v>
      </c>
      <c r="M10585" s="1357"/>
      <c r="P10585" s="841" t="s">
        <v>6416</v>
      </c>
      <c r="Q10585" s="1357"/>
      <c r="S10585" s="1420"/>
      <c r="T10585" s="1420">
        <v>43281</v>
      </c>
      <c r="V10585" s="1357">
        <v>74</v>
      </c>
    </row>
    <row r="10586" spans="1:22" s="841" customFormat="1" ht="15" x14ac:dyDescent="0.25">
      <c r="A10586" s="841" t="s">
        <v>191</v>
      </c>
      <c r="E10586" s="1918" t="s">
        <v>221</v>
      </c>
      <c r="F10586" s="1918"/>
      <c r="G10586" s="679" t="s">
        <v>33</v>
      </c>
      <c r="H10586" s="393">
        <v>1.7739</v>
      </c>
      <c r="K10586" s="841" t="s">
        <v>3417</v>
      </c>
      <c r="L10586" s="841" t="s">
        <v>444</v>
      </c>
      <c r="M10586" s="1357"/>
      <c r="P10586" s="841" t="s">
        <v>3424</v>
      </c>
      <c r="Q10586" s="1357"/>
      <c r="S10586" s="1420"/>
      <c r="T10586" s="1420"/>
      <c r="V10586" s="1357">
        <v>47</v>
      </c>
    </row>
    <row r="10587" spans="1:22" s="841" customFormat="1" ht="15" x14ac:dyDescent="0.25">
      <c r="A10587" s="841" t="s">
        <v>191</v>
      </c>
      <c r="E10587" s="1918" t="s">
        <v>217</v>
      </c>
      <c r="F10587" s="1918"/>
      <c r="G10587" s="679" t="s">
        <v>33</v>
      </c>
      <c r="H10587" s="393">
        <v>1.3239000000000001</v>
      </c>
      <c r="K10587" s="841" t="s">
        <v>3417</v>
      </c>
      <c r="L10587" s="841" t="s">
        <v>444</v>
      </c>
      <c r="M10587" s="1357"/>
      <c r="P10587" s="841" t="s">
        <v>3553</v>
      </c>
      <c r="Q10587" s="1357"/>
      <c r="S10587" s="1420"/>
      <c r="T10587" s="1420"/>
      <c r="V10587" s="1357">
        <v>74</v>
      </c>
    </row>
    <row r="10588" spans="1:22" s="841" customFormat="1" ht="15" x14ac:dyDescent="0.25">
      <c r="A10588" s="841" t="s">
        <v>191</v>
      </c>
      <c r="E10588" s="1919" t="s">
        <v>3079</v>
      </c>
      <c r="F10588" s="1690"/>
      <c r="G10588" s="679"/>
      <c r="H10588" s="1093"/>
      <c r="K10588" s="841" t="s">
        <v>3111</v>
      </c>
      <c r="M10588" s="1357"/>
      <c r="Q10588" s="1357"/>
      <c r="S10588" s="1420"/>
      <c r="T10588" s="1420"/>
      <c r="V10588" s="1357">
        <v>48</v>
      </c>
    </row>
    <row r="10589" spans="1:22" s="841" customFormat="1" ht="15" x14ac:dyDescent="0.25">
      <c r="A10589" s="841" t="s">
        <v>191</v>
      </c>
      <c r="E10589" s="1918" t="s">
        <v>2449</v>
      </c>
      <c r="F10589" s="1918"/>
      <c r="G10589" s="679" t="s">
        <v>24</v>
      </c>
      <c r="H10589" s="393">
        <v>3.2000000000000002E-3</v>
      </c>
      <c r="K10589" s="841" t="s">
        <v>3417</v>
      </c>
      <c r="L10589" s="841" t="s">
        <v>3046</v>
      </c>
      <c r="M10589" s="1357"/>
      <c r="P10589" s="841" t="s">
        <v>3426</v>
      </c>
      <c r="Q10589" s="1357"/>
      <c r="S10589" s="1420"/>
      <c r="T10589" s="1420"/>
      <c r="V10589" s="1357">
        <v>55</v>
      </c>
    </row>
    <row r="10590" spans="1:22" s="841" customFormat="1" ht="15" x14ac:dyDescent="0.25">
      <c r="A10590" s="841" t="s">
        <v>191</v>
      </c>
      <c r="E10590" s="1918" t="s">
        <v>2450</v>
      </c>
      <c r="F10590" s="1918"/>
      <c r="G10590" s="679" t="s">
        <v>24</v>
      </c>
      <c r="H10590" s="393">
        <v>4.0000000000000002E-4</v>
      </c>
      <c r="K10590" s="841" t="s">
        <v>3417</v>
      </c>
      <c r="L10590" s="841" t="s">
        <v>3046</v>
      </c>
      <c r="M10590" s="1357"/>
      <c r="P10590" s="841" t="s">
        <v>3426</v>
      </c>
      <c r="Q10590" s="1357"/>
      <c r="S10590" s="1420"/>
      <c r="T10590" s="1420"/>
      <c r="V10590" s="1357">
        <v>65</v>
      </c>
    </row>
    <row r="10591" spans="1:22" s="841" customFormat="1" ht="15" x14ac:dyDescent="0.25">
      <c r="A10591" s="841" t="s">
        <v>191</v>
      </c>
      <c r="E10591" s="1918" t="s">
        <v>439</v>
      </c>
      <c r="F10591" s="1918"/>
      <c r="G10591" s="679" t="s">
        <v>24</v>
      </c>
      <c r="H10591" s="393">
        <v>2.9999999999999997E-4</v>
      </c>
      <c r="K10591" s="841" t="s">
        <v>3417</v>
      </c>
      <c r="L10591" s="841" t="s">
        <v>3046</v>
      </c>
      <c r="M10591" s="1357"/>
      <c r="P10591" s="841" t="s">
        <v>3427</v>
      </c>
      <c r="Q10591" s="1357"/>
      <c r="S10591" s="1420"/>
      <c r="T10591" s="1420"/>
      <c r="V10591" s="1357">
        <v>57</v>
      </c>
    </row>
    <row r="10592" spans="1:22" s="841" customFormat="1" ht="15" x14ac:dyDescent="0.25">
      <c r="A10592" s="841" t="s">
        <v>191</v>
      </c>
      <c r="E10592" s="1918" t="s">
        <v>32</v>
      </c>
      <c r="F10592" s="1918"/>
      <c r="G10592" s="679" t="s">
        <v>23</v>
      </c>
      <c r="H10592" s="391">
        <v>0.25</v>
      </c>
      <c r="K10592" s="841" t="s">
        <v>3417</v>
      </c>
      <c r="L10592" s="841" t="s">
        <v>3046</v>
      </c>
      <c r="M10592" s="1357"/>
      <c r="P10592" s="841" t="s">
        <v>3428</v>
      </c>
      <c r="Q10592" s="1357"/>
      <c r="S10592" s="1420"/>
      <c r="T10592" s="1420"/>
      <c r="V10592" s="1357">
        <v>63</v>
      </c>
    </row>
    <row r="10593" spans="1:22" s="841" customFormat="1" x14ac:dyDescent="0.25">
      <c r="A10593" s="841" t="s">
        <v>191</v>
      </c>
      <c r="E10593" s="1967" t="s">
        <v>617</v>
      </c>
      <c r="F10593" s="1967"/>
      <c r="G10593" s="1967"/>
      <c r="H10593" s="1968"/>
      <c r="K10593" s="841" t="s">
        <v>3238</v>
      </c>
      <c r="M10593" s="1357"/>
      <c r="Q10593" s="1357"/>
      <c r="S10593" s="1420"/>
      <c r="T10593" s="1420"/>
      <c r="V10593" s="1357">
        <v>47</v>
      </c>
    </row>
    <row r="10594" spans="1:22" s="841" customFormat="1" ht="15" x14ac:dyDescent="0.25">
      <c r="A10594" s="841" t="s">
        <v>191</v>
      </c>
      <c r="E10594" s="1939" t="s">
        <v>4063</v>
      </c>
      <c r="F10594" s="1939"/>
      <c r="G10594" s="1939"/>
      <c r="H10594" s="1940"/>
      <c r="K10594" s="841" t="s">
        <v>3238</v>
      </c>
      <c r="M10594" s="1357"/>
      <c r="Q10594" s="1357"/>
      <c r="S10594" s="1420"/>
      <c r="T10594" s="1420"/>
      <c r="V10594" s="1357">
        <v>720</v>
      </c>
    </row>
    <row r="10595" spans="1:22" s="841" customFormat="1" ht="15" x14ac:dyDescent="0.25">
      <c r="A10595" s="841" t="s">
        <v>191</v>
      </c>
      <c r="E10595" s="1935" t="s">
        <v>3061</v>
      </c>
      <c r="F10595" s="1697"/>
      <c r="G10595" s="1697"/>
      <c r="H10595" s="1697"/>
      <c r="K10595" s="841" t="s">
        <v>3114</v>
      </c>
      <c r="M10595" s="1357"/>
      <c r="Q10595" s="1357"/>
      <c r="S10595" s="1420"/>
      <c r="T10595" s="1420"/>
      <c r="V10595" s="1357">
        <v>11</v>
      </c>
    </row>
    <row r="10596" spans="1:22" s="841" customFormat="1" ht="15" x14ac:dyDescent="0.25">
      <c r="A10596" s="841" t="s">
        <v>191</v>
      </c>
      <c r="E10596" s="1939" t="s">
        <v>3063</v>
      </c>
      <c r="F10596" s="1939"/>
      <c r="G10596" s="1939"/>
      <c r="H10596" s="1940"/>
      <c r="K10596" s="841" t="s">
        <v>3238</v>
      </c>
      <c r="M10596" s="1357"/>
      <c r="Q10596" s="1357"/>
      <c r="S10596" s="1420"/>
      <c r="T10596" s="1420"/>
      <c r="V10596" s="1357">
        <v>280</v>
      </c>
    </row>
    <row r="10597" spans="1:22" s="841" customFormat="1" ht="15" x14ac:dyDescent="0.25">
      <c r="A10597" s="841" t="s">
        <v>191</v>
      </c>
      <c r="E10597" s="1939" t="s">
        <v>3064</v>
      </c>
      <c r="F10597" s="1939"/>
      <c r="G10597" s="1939"/>
      <c r="H10597" s="1940"/>
      <c r="K10597" s="841" t="s">
        <v>3238</v>
      </c>
      <c r="M10597" s="1357"/>
      <c r="Q10597" s="1357"/>
      <c r="S10597" s="1420"/>
      <c r="T10597" s="1420"/>
      <c r="V10597" s="1357">
        <v>411</v>
      </c>
    </row>
    <row r="10598" spans="1:22" s="841" customFormat="1" ht="15" x14ac:dyDescent="0.25">
      <c r="A10598" s="841" t="s">
        <v>191</v>
      </c>
      <c r="E10598" s="1939" t="s">
        <v>3809</v>
      </c>
      <c r="F10598" s="1939"/>
      <c r="G10598" s="1939"/>
      <c r="H10598" s="1940"/>
      <c r="K10598" s="841" t="s">
        <v>3238</v>
      </c>
      <c r="M10598" s="1357"/>
      <c r="Q10598" s="1357"/>
      <c r="S10598" s="1420"/>
      <c r="T10598" s="1420"/>
      <c r="V10598" s="1357">
        <v>385</v>
      </c>
    </row>
    <row r="10599" spans="1:22" s="841" customFormat="1" ht="15" x14ac:dyDescent="0.25">
      <c r="A10599" s="841" t="s">
        <v>191</v>
      </c>
      <c r="E10599" s="1939" t="s">
        <v>3390</v>
      </c>
      <c r="F10599" s="1939"/>
      <c r="G10599" s="1939"/>
      <c r="H10599" s="1940"/>
      <c r="K10599" s="841" t="s">
        <v>3238</v>
      </c>
      <c r="M10599" s="1357"/>
      <c r="Q10599" s="1357"/>
      <c r="S10599" s="1420"/>
      <c r="T10599" s="1420"/>
      <c r="V10599" s="1357">
        <v>274</v>
      </c>
    </row>
    <row r="10600" spans="1:22" s="841" customFormat="1" ht="15" x14ac:dyDescent="0.25">
      <c r="A10600" s="841" t="s">
        <v>191</v>
      </c>
      <c r="E10600" s="1930" t="s">
        <v>3067</v>
      </c>
      <c r="F10600" s="1693"/>
      <c r="G10600" s="1693"/>
      <c r="H10600" s="1693"/>
      <c r="K10600" s="841" t="s">
        <v>3115</v>
      </c>
      <c r="M10600" s="1357"/>
      <c r="Q10600" s="1357"/>
      <c r="S10600" s="1420"/>
      <c r="T10600" s="1420"/>
      <c r="V10600" s="1357">
        <v>46</v>
      </c>
    </row>
    <row r="10601" spans="1:22" s="841" customFormat="1" ht="15" x14ac:dyDescent="0.25">
      <c r="A10601" s="841" t="s">
        <v>191</v>
      </c>
      <c r="E10601" s="1918" t="s">
        <v>13</v>
      </c>
      <c r="F10601" s="1918"/>
      <c r="G10601" s="679" t="s">
        <v>23</v>
      </c>
      <c r="H10601" s="391">
        <v>10.38</v>
      </c>
      <c r="K10601" s="841" t="s">
        <v>3238</v>
      </c>
      <c r="L10601" s="841" t="s">
        <v>442</v>
      </c>
      <c r="M10601" s="1357"/>
      <c r="P10601" s="841" t="s">
        <v>3240</v>
      </c>
      <c r="Q10601" s="1357"/>
      <c r="S10601" s="1420"/>
      <c r="T10601" s="1420"/>
      <c r="V10601" s="1357">
        <v>29</v>
      </c>
    </row>
    <row r="10602" spans="1:22" s="841" customFormat="1" ht="15" x14ac:dyDescent="0.25">
      <c r="A10602" s="841" t="s">
        <v>191</v>
      </c>
      <c r="E10602" s="1918" t="s">
        <v>84</v>
      </c>
      <c r="F10602" s="1918"/>
      <c r="G10602" s="679" t="s">
        <v>24</v>
      </c>
      <c r="H10602" s="393">
        <v>3.5000000000000001E-3</v>
      </c>
      <c r="K10602" s="841" t="s">
        <v>3238</v>
      </c>
      <c r="L10602" s="841" t="s">
        <v>442</v>
      </c>
      <c r="M10602" s="1357"/>
      <c r="P10602" s="841" t="s">
        <v>3241</v>
      </c>
      <c r="Q10602" s="1357"/>
      <c r="S10602" s="1420"/>
      <c r="T10602" s="1420"/>
      <c r="V10602" s="1357">
        <v>28</v>
      </c>
    </row>
    <row r="10603" spans="1:22" s="841" customFormat="1" ht="15" x14ac:dyDescent="0.25">
      <c r="A10603" s="841" t="s">
        <v>191</v>
      </c>
      <c r="E10603" s="1918" t="s">
        <v>18</v>
      </c>
      <c r="F10603" s="1918"/>
      <c r="G10603" s="679" t="s">
        <v>24</v>
      </c>
      <c r="H10603" s="393">
        <v>6.9999999999999999E-4</v>
      </c>
      <c r="K10603" s="841" t="s">
        <v>3238</v>
      </c>
      <c r="L10603" s="841" t="s">
        <v>443</v>
      </c>
      <c r="M10603" s="1357"/>
      <c r="P10603" s="841" t="s">
        <v>3242</v>
      </c>
      <c r="Q10603" s="1357"/>
      <c r="S10603" s="1420"/>
      <c r="T10603" s="1420"/>
      <c r="V10603" s="1357">
        <v>24</v>
      </c>
    </row>
    <row r="10604" spans="1:22" s="841" customFormat="1" ht="15" x14ac:dyDescent="0.25">
      <c r="A10604" s="841" t="s">
        <v>191</v>
      </c>
      <c r="E10604" s="1918" t="s">
        <v>4272</v>
      </c>
      <c r="F10604" s="1918"/>
      <c r="G10604" s="679" t="s">
        <v>24</v>
      </c>
      <c r="H10604" s="393">
        <v>-8.0000000000000004E-4</v>
      </c>
      <c r="K10604" s="841" t="s">
        <v>3238</v>
      </c>
      <c r="L10604" s="841" t="s">
        <v>443</v>
      </c>
      <c r="M10604" s="1357"/>
      <c r="P10604" s="841" t="s">
        <v>3244</v>
      </c>
      <c r="Q10604" s="1357"/>
      <c r="S10604" s="1420"/>
      <c r="T10604" s="1420">
        <v>43281</v>
      </c>
      <c r="V10604" s="1357">
        <v>95</v>
      </c>
    </row>
    <row r="10605" spans="1:22" s="841" customFormat="1" ht="15" x14ac:dyDescent="0.25">
      <c r="A10605" s="841" t="s">
        <v>191</v>
      </c>
      <c r="E10605" s="1690" t="s">
        <v>4273</v>
      </c>
      <c r="F10605" s="1690"/>
      <c r="G10605" s="679" t="s">
        <v>24</v>
      </c>
      <c r="H10605" s="676">
        <v>-2.7000000000000001E-3</v>
      </c>
      <c r="K10605" s="841" t="s">
        <v>3238</v>
      </c>
      <c r="L10605" s="841" t="s">
        <v>443</v>
      </c>
      <c r="M10605" s="1357"/>
      <c r="P10605" s="841" t="s">
        <v>3244</v>
      </c>
      <c r="Q10605" s="1357"/>
      <c r="S10605" s="1420"/>
      <c r="T10605" s="1420">
        <v>43281</v>
      </c>
      <c r="V10605" s="1357">
        <v>155</v>
      </c>
    </row>
    <row r="10606" spans="1:22" s="841" customFormat="1" ht="15" x14ac:dyDescent="0.25">
      <c r="A10606" s="841" t="s">
        <v>191</v>
      </c>
      <c r="E10606" s="1704" t="s">
        <v>4274</v>
      </c>
      <c r="F10606" s="1704"/>
      <c r="G10606" s="679" t="s">
        <v>24</v>
      </c>
      <c r="H10606" s="676">
        <v>6.1999999999999998E-3</v>
      </c>
      <c r="K10606" s="841" t="s">
        <v>3238</v>
      </c>
      <c r="L10606" s="841" t="s">
        <v>443</v>
      </c>
      <c r="M10606" s="1357"/>
      <c r="P10606" s="841" t="s">
        <v>3663</v>
      </c>
      <c r="Q10606" s="1357"/>
      <c r="S10606" s="1420"/>
      <c r="T10606" s="1420">
        <v>43281</v>
      </c>
      <c r="V10606" s="1357">
        <v>138</v>
      </c>
    </row>
    <row r="10607" spans="1:22" s="841" customFormat="1" ht="15" x14ac:dyDescent="0.25">
      <c r="A10607" s="841" t="s">
        <v>191</v>
      </c>
      <c r="E10607" s="1918" t="s">
        <v>4271</v>
      </c>
      <c r="F10607" s="1918"/>
      <c r="G10607" s="679" t="s">
        <v>24</v>
      </c>
      <c r="H10607" s="393">
        <v>2.0000000000000001E-4</v>
      </c>
      <c r="K10607" s="841" t="s">
        <v>3238</v>
      </c>
      <c r="L10607" s="841" t="s">
        <v>442</v>
      </c>
      <c r="M10607" s="1357"/>
      <c r="P10607" s="841" t="s">
        <v>3244</v>
      </c>
      <c r="Q10607" s="1357"/>
      <c r="S10607" s="1420"/>
      <c r="T10607" s="1420">
        <v>43281</v>
      </c>
      <c r="V10607" s="1357">
        <v>96</v>
      </c>
    </row>
    <row r="10608" spans="1:22" s="841" customFormat="1" ht="15" x14ac:dyDescent="0.25">
      <c r="A10608" s="841" t="s">
        <v>191</v>
      </c>
      <c r="E10608" s="1918" t="s">
        <v>4275</v>
      </c>
      <c r="F10608" s="1918"/>
      <c r="G10608" s="679" t="s">
        <v>24</v>
      </c>
      <c r="H10608" s="393">
        <v>-4.0000000000000002E-4</v>
      </c>
      <c r="K10608" s="841" t="s">
        <v>3238</v>
      </c>
      <c r="L10608" s="841" t="s">
        <v>442</v>
      </c>
      <c r="M10608" s="1357"/>
      <c r="P10608" s="841" t="s">
        <v>6417</v>
      </c>
      <c r="Q10608" s="1357"/>
      <c r="S10608" s="1420"/>
      <c r="T10608" s="1420">
        <v>43281</v>
      </c>
      <c r="V10608" s="1357">
        <v>74</v>
      </c>
    </row>
    <row r="10609" spans="1:22" s="841" customFormat="1" ht="15" x14ac:dyDescent="0.25">
      <c r="A10609" s="841" t="s">
        <v>191</v>
      </c>
      <c r="E10609" s="1938" t="s">
        <v>5770</v>
      </c>
      <c r="F10609" s="1938"/>
      <c r="G10609" s="679" t="s">
        <v>24</v>
      </c>
      <c r="H10609" s="676">
        <v>2.9999999999999997E-4</v>
      </c>
      <c r="K10609" s="841" t="s">
        <v>3238</v>
      </c>
      <c r="L10609" s="841" t="s">
        <v>442</v>
      </c>
      <c r="M10609" s="1357"/>
      <c r="P10609" s="841" t="s">
        <v>3243</v>
      </c>
      <c r="Q10609" s="1357"/>
      <c r="S10609" s="1420"/>
      <c r="T10609" s="1420">
        <v>43281</v>
      </c>
      <c r="V10609" s="1357">
        <v>106</v>
      </c>
    </row>
    <row r="10610" spans="1:22" s="841" customFormat="1" ht="15" x14ac:dyDescent="0.25">
      <c r="A10610" s="841" t="s">
        <v>191</v>
      </c>
      <c r="E10610" s="1918" t="s">
        <v>221</v>
      </c>
      <c r="F10610" s="1918"/>
      <c r="G10610" s="679" t="s">
        <v>24</v>
      </c>
      <c r="H10610" s="393">
        <v>5.7000000000000002E-3</v>
      </c>
      <c r="K10610" s="841" t="s">
        <v>3238</v>
      </c>
      <c r="L10610" s="841" t="s">
        <v>444</v>
      </c>
      <c r="M10610" s="1357"/>
      <c r="P10610" s="841" t="s">
        <v>3245</v>
      </c>
      <c r="Q10610" s="1357"/>
      <c r="S10610" s="1420"/>
      <c r="T10610" s="1420"/>
      <c r="V10610" s="1357">
        <v>47</v>
      </c>
    </row>
    <row r="10611" spans="1:22" s="841" customFormat="1" ht="15" x14ac:dyDescent="0.25">
      <c r="A10611" s="841" t="s">
        <v>191</v>
      </c>
      <c r="E10611" s="1918" t="s">
        <v>217</v>
      </c>
      <c r="F10611" s="1918"/>
      <c r="G10611" s="679" t="s">
        <v>24</v>
      </c>
      <c r="H10611" s="393">
        <v>4.3E-3</v>
      </c>
      <c r="K10611" s="841" t="s">
        <v>3238</v>
      </c>
      <c r="L10611" s="841" t="s">
        <v>444</v>
      </c>
      <c r="M10611" s="1357"/>
      <c r="P10611" s="841" t="s">
        <v>3246</v>
      </c>
      <c r="Q10611" s="1357"/>
      <c r="S10611" s="1420"/>
      <c r="T10611" s="1420"/>
      <c r="V10611" s="1357">
        <v>74</v>
      </c>
    </row>
    <row r="10612" spans="1:22" s="841" customFormat="1" ht="15" x14ac:dyDescent="0.25">
      <c r="A10612" s="841" t="s">
        <v>191</v>
      </c>
      <c r="E10612" s="1919" t="s">
        <v>3079</v>
      </c>
      <c r="F10612" s="1690"/>
      <c r="G10612" s="679"/>
      <c r="H10612" s="1093"/>
      <c r="K10612" s="841" t="s">
        <v>3122</v>
      </c>
      <c r="M10612" s="1357"/>
      <c r="Q10612" s="1357"/>
      <c r="S10612" s="1420"/>
      <c r="T10612" s="1420"/>
      <c r="V10612" s="1357">
        <v>48</v>
      </c>
    </row>
    <row r="10613" spans="1:22" s="841" customFormat="1" ht="15" x14ac:dyDescent="0.25">
      <c r="A10613" s="841" t="s">
        <v>191</v>
      </c>
      <c r="E10613" s="1918" t="s">
        <v>2449</v>
      </c>
      <c r="F10613" s="1918"/>
      <c r="G10613" s="679" t="s">
        <v>24</v>
      </c>
      <c r="H10613" s="393">
        <v>3.2000000000000002E-3</v>
      </c>
      <c r="K10613" s="841" t="s">
        <v>3238</v>
      </c>
      <c r="L10613" s="841" t="s">
        <v>3046</v>
      </c>
      <c r="M10613" s="1357"/>
      <c r="P10613" s="841" t="s">
        <v>3247</v>
      </c>
      <c r="Q10613" s="1357"/>
      <c r="S10613" s="1420"/>
      <c r="T10613" s="1420"/>
      <c r="V10613" s="1357">
        <v>55</v>
      </c>
    </row>
    <row r="10614" spans="1:22" s="841" customFormat="1" ht="15" x14ac:dyDescent="0.25">
      <c r="A10614" s="841" t="s">
        <v>191</v>
      </c>
      <c r="E10614" s="1918" t="s">
        <v>2450</v>
      </c>
      <c r="F10614" s="1918"/>
      <c r="G10614" s="679" t="s">
        <v>24</v>
      </c>
      <c r="H10614" s="393">
        <v>4.0000000000000002E-4</v>
      </c>
      <c r="K10614" s="841" t="s">
        <v>3238</v>
      </c>
      <c r="L10614" s="841" t="s">
        <v>3046</v>
      </c>
      <c r="M10614" s="1357"/>
      <c r="P10614" s="841" t="s">
        <v>3247</v>
      </c>
      <c r="Q10614" s="1357"/>
      <c r="S10614" s="1420"/>
      <c r="T10614" s="1420"/>
      <c r="V10614" s="1357">
        <v>65</v>
      </c>
    </row>
    <row r="10615" spans="1:22" s="841" customFormat="1" ht="15" x14ac:dyDescent="0.25">
      <c r="A10615" s="841" t="s">
        <v>191</v>
      </c>
      <c r="E10615" s="1918" t="s">
        <v>439</v>
      </c>
      <c r="F10615" s="1918"/>
      <c r="G10615" s="679" t="s">
        <v>24</v>
      </c>
      <c r="H10615" s="393">
        <v>2.9999999999999997E-4</v>
      </c>
      <c r="K10615" s="841" t="s">
        <v>3238</v>
      </c>
      <c r="L10615" s="841" t="s">
        <v>3046</v>
      </c>
      <c r="M10615" s="1357"/>
      <c r="P10615" s="841" t="s">
        <v>3248</v>
      </c>
      <c r="Q10615" s="1357"/>
      <c r="S10615" s="1420"/>
      <c r="T10615" s="1420"/>
      <c r="V10615" s="1357">
        <v>57</v>
      </c>
    </row>
    <row r="10616" spans="1:22" s="841" customFormat="1" ht="15" x14ac:dyDescent="0.25">
      <c r="A10616" s="841" t="s">
        <v>191</v>
      </c>
      <c r="E10616" s="1918" t="s">
        <v>32</v>
      </c>
      <c r="F10616" s="1918"/>
      <c r="G10616" s="679" t="s">
        <v>23</v>
      </c>
      <c r="H10616" s="391">
        <v>0.25</v>
      </c>
      <c r="K10616" s="841" t="s">
        <v>3238</v>
      </c>
      <c r="L10616" s="841" t="s">
        <v>3046</v>
      </c>
      <c r="M10616" s="1357"/>
      <c r="P10616" s="841" t="s">
        <v>3249</v>
      </c>
      <c r="Q10616" s="1357"/>
      <c r="S10616" s="1420"/>
      <c r="T10616" s="1420"/>
      <c r="V10616" s="1357">
        <v>63</v>
      </c>
    </row>
    <row r="10617" spans="1:22" s="841" customFormat="1" x14ac:dyDescent="0.25">
      <c r="A10617" s="841" t="s">
        <v>191</v>
      </c>
      <c r="E10617" s="1967" t="s">
        <v>618</v>
      </c>
      <c r="F10617" s="1967"/>
      <c r="G10617" s="1967"/>
      <c r="H10617" s="1968"/>
      <c r="K10617" s="841" t="s">
        <v>3126</v>
      </c>
      <c r="M10617" s="1357"/>
      <c r="Q10617" s="1357"/>
      <c r="S10617" s="1420"/>
      <c r="T10617" s="1420"/>
      <c r="V10617" s="1357">
        <v>31</v>
      </c>
    </row>
    <row r="10618" spans="1:22" s="841" customFormat="1" ht="15" x14ac:dyDescent="0.25">
      <c r="A10618" s="841" t="s">
        <v>191</v>
      </c>
      <c r="E10618" s="1939" t="s">
        <v>3820</v>
      </c>
      <c r="F10618" s="1939"/>
      <c r="G10618" s="1939"/>
      <c r="H10618" s="1940"/>
      <c r="K10618" s="841" t="s">
        <v>3126</v>
      </c>
      <c r="M10618" s="1357"/>
      <c r="Q10618" s="1357"/>
      <c r="S10618" s="1420"/>
      <c r="T10618" s="1420"/>
      <c r="V10618" s="1357">
        <v>287</v>
      </c>
    </row>
    <row r="10619" spans="1:22" s="841" customFormat="1" ht="15" x14ac:dyDescent="0.25">
      <c r="A10619" s="841" t="s">
        <v>191</v>
      </c>
      <c r="E10619" s="1935" t="s">
        <v>3061</v>
      </c>
      <c r="F10619" s="1697"/>
      <c r="G10619" s="1697"/>
      <c r="H10619" s="1697"/>
      <c r="K10619" s="841" t="s">
        <v>3128</v>
      </c>
      <c r="M10619" s="1357"/>
      <c r="Q10619" s="1357"/>
      <c r="S10619" s="1420"/>
      <c r="T10619" s="1420"/>
      <c r="V10619" s="1357">
        <v>11</v>
      </c>
    </row>
    <row r="10620" spans="1:22" s="841" customFormat="1" ht="15" x14ac:dyDescent="0.25">
      <c r="A10620" s="841" t="s">
        <v>191</v>
      </c>
      <c r="E10620" s="1939" t="s">
        <v>3063</v>
      </c>
      <c r="F10620" s="1939"/>
      <c r="G10620" s="1939"/>
      <c r="H10620" s="1940"/>
      <c r="K10620" s="841" t="s">
        <v>3126</v>
      </c>
      <c r="M10620" s="1357"/>
      <c r="Q10620" s="1357"/>
      <c r="S10620" s="1420"/>
      <c r="T10620" s="1420"/>
      <c r="V10620" s="1357">
        <v>280</v>
      </c>
    </row>
    <row r="10621" spans="1:22" s="841" customFormat="1" ht="15" x14ac:dyDescent="0.25">
      <c r="A10621" s="841" t="s">
        <v>191</v>
      </c>
      <c r="E10621" s="1939" t="s">
        <v>3064</v>
      </c>
      <c r="F10621" s="1939"/>
      <c r="G10621" s="1939"/>
      <c r="H10621" s="1940"/>
      <c r="K10621" s="841" t="s">
        <v>3126</v>
      </c>
      <c r="M10621" s="1357"/>
      <c r="Q10621" s="1357"/>
      <c r="S10621" s="1420"/>
      <c r="T10621" s="1420"/>
      <c r="V10621" s="1357">
        <v>411</v>
      </c>
    </row>
    <row r="10622" spans="1:22" s="841" customFormat="1" ht="15" x14ac:dyDescent="0.25">
      <c r="A10622" s="841" t="s">
        <v>191</v>
      </c>
      <c r="E10622" s="1939" t="s">
        <v>3809</v>
      </c>
      <c r="F10622" s="1939"/>
      <c r="G10622" s="1939"/>
      <c r="H10622" s="1940"/>
      <c r="K10622" s="841" t="s">
        <v>3126</v>
      </c>
      <c r="M10622" s="1357"/>
      <c r="Q10622" s="1357"/>
      <c r="S10622" s="1420"/>
      <c r="T10622" s="1420"/>
      <c r="V10622" s="1357">
        <v>385</v>
      </c>
    </row>
    <row r="10623" spans="1:22" s="841" customFormat="1" ht="15" x14ac:dyDescent="0.25">
      <c r="A10623" s="841" t="s">
        <v>191</v>
      </c>
      <c r="E10623" s="1939" t="s">
        <v>4281</v>
      </c>
      <c r="F10623" s="1939"/>
      <c r="G10623" s="1939"/>
      <c r="H10623" s="1940"/>
      <c r="K10623" s="841" t="s">
        <v>3126</v>
      </c>
      <c r="M10623" s="1357"/>
      <c r="Q10623" s="1357"/>
      <c r="S10623" s="1420"/>
      <c r="T10623" s="1420"/>
      <c r="V10623" s="1357">
        <v>259</v>
      </c>
    </row>
    <row r="10624" spans="1:22" s="841" customFormat="1" ht="15" x14ac:dyDescent="0.25">
      <c r="A10624" s="841" t="s">
        <v>191</v>
      </c>
      <c r="E10624" s="1930" t="s">
        <v>3067</v>
      </c>
      <c r="F10624" s="1693"/>
      <c r="G10624" s="1693"/>
      <c r="H10624" s="1693"/>
      <c r="K10624" s="841" t="s">
        <v>3130</v>
      </c>
      <c r="M10624" s="1357"/>
      <c r="Q10624" s="1357"/>
      <c r="S10624" s="1420"/>
      <c r="T10624" s="1420"/>
      <c r="V10624" s="1357">
        <v>46</v>
      </c>
    </row>
    <row r="10625" spans="1:22" s="841" customFormat="1" ht="15" x14ac:dyDescent="0.25">
      <c r="A10625" s="841" t="s">
        <v>191</v>
      </c>
      <c r="E10625" s="1918" t="s">
        <v>11</v>
      </c>
      <c r="F10625" s="1918"/>
      <c r="G10625" s="679" t="s">
        <v>23</v>
      </c>
      <c r="H10625" s="391">
        <v>5.4</v>
      </c>
      <c r="K10625" s="841" t="s">
        <v>3126</v>
      </c>
      <c r="L10625" s="841" t="s">
        <v>442</v>
      </c>
      <c r="M10625" s="1357"/>
      <c r="P10625" s="841" t="s">
        <v>3131</v>
      </c>
      <c r="Q10625" s="1357"/>
      <c r="S10625" s="1420"/>
      <c r="T10625" s="1420"/>
      <c r="V10625" s="1357">
        <v>14</v>
      </c>
    </row>
    <row r="10626" spans="1:22" s="841" customFormat="1" x14ac:dyDescent="0.25">
      <c r="A10626" s="841" t="s">
        <v>191</v>
      </c>
      <c r="E10626" s="702" t="s">
        <v>85</v>
      </c>
      <c r="F10626" s="703"/>
      <c r="G10626" s="703"/>
      <c r="H10626" s="704"/>
      <c r="K10626" s="841" t="s">
        <v>4282</v>
      </c>
      <c r="M10626" s="1357"/>
      <c r="Q10626" s="1357"/>
      <c r="S10626" s="1420"/>
      <c r="T10626" s="1420"/>
      <c r="V10626" s="1357">
        <v>10</v>
      </c>
    </row>
    <row r="10627" spans="1:22" s="841" customFormat="1" ht="15" x14ac:dyDescent="0.25">
      <c r="A10627" s="841" t="s">
        <v>191</v>
      </c>
      <c r="E10627" s="1690" t="s">
        <v>3133</v>
      </c>
      <c r="F10627" s="1690"/>
      <c r="G10627" s="705" t="s">
        <v>33</v>
      </c>
      <c r="H10627" s="604">
        <v>-0.6</v>
      </c>
      <c r="M10627" s="1357"/>
      <c r="Q10627" s="1357"/>
      <c r="S10627" s="1420"/>
      <c r="T10627" s="1420"/>
      <c r="V10627" s="1357">
        <v>68</v>
      </c>
    </row>
    <row r="10628" spans="1:22" s="841" customFormat="1" ht="15" x14ac:dyDescent="0.25">
      <c r="A10628" s="841" t="s">
        <v>191</v>
      </c>
      <c r="E10628" s="1918" t="s">
        <v>3134</v>
      </c>
      <c r="F10628" s="1918"/>
      <c r="G10628" s="705" t="s">
        <v>86</v>
      </c>
      <c r="H10628" s="602">
        <v>-1</v>
      </c>
      <c r="M10628" s="1357"/>
      <c r="Q10628" s="1357"/>
      <c r="S10628" s="1420"/>
      <c r="T10628" s="1420"/>
      <c r="V10628" s="1357">
        <v>87</v>
      </c>
    </row>
    <row r="10629" spans="1:22" s="841" customFormat="1" x14ac:dyDescent="0.25">
      <c r="A10629" s="841" t="s">
        <v>191</v>
      </c>
      <c r="E10629" s="702" t="s">
        <v>87</v>
      </c>
      <c r="F10629" s="703"/>
      <c r="G10629" s="703"/>
      <c r="H10629" s="728"/>
      <c r="K10629" s="841" t="s">
        <v>4283</v>
      </c>
      <c r="M10629" s="1357"/>
      <c r="Q10629" s="1357"/>
      <c r="S10629" s="1420"/>
      <c r="T10629" s="1420"/>
      <c r="V10629" s="1357">
        <v>24</v>
      </c>
    </row>
    <row r="10630" spans="1:22" s="841" customFormat="1" ht="15" x14ac:dyDescent="0.25">
      <c r="A10630" s="841" t="s">
        <v>191</v>
      </c>
      <c r="E10630" s="1979" t="s">
        <v>3061</v>
      </c>
      <c r="F10630" s="1689"/>
      <c r="G10630" s="1689"/>
      <c r="H10630" s="1689"/>
      <c r="M10630" s="1357"/>
      <c r="Q10630" s="1357"/>
      <c r="S10630" s="1420"/>
      <c r="T10630" s="1420"/>
      <c r="V10630" s="1357">
        <v>11</v>
      </c>
    </row>
    <row r="10631" spans="1:22" s="841" customFormat="1" ht="15" x14ac:dyDescent="0.25">
      <c r="A10631" s="841" t="s">
        <v>191</v>
      </c>
      <c r="E10631" s="1945" t="s">
        <v>3063</v>
      </c>
      <c r="F10631" s="1945"/>
      <c r="G10631" s="1945"/>
      <c r="H10631" s="1946"/>
      <c r="M10631" s="1357"/>
      <c r="Q10631" s="1357"/>
      <c r="S10631" s="1420"/>
      <c r="T10631" s="1420"/>
      <c r="V10631" s="1357">
        <v>280</v>
      </c>
    </row>
    <row r="10632" spans="1:22" s="841" customFormat="1" ht="15" x14ac:dyDescent="0.25">
      <c r="A10632" s="841" t="s">
        <v>191</v>
      </c>
      <c r="E10632" s="1945" t="s">
        <v>3136</v>
      </c>
      <c r="F10632" s="1945"/>
      <c r="G10632" s="1945"/>
      <c r="H10632" s="1946"/>
      <c r="M10632" s="1357"/>
      <c r="Q10632" s="1357"/>
      <c r="S10632" s="1420"/>
      <c r="T10632" s="1420"/>
      <c r="V10632" s="1357">
        <v>353</v>
      </c>
    </row>
    <row r="10633" spans="1:22" s="841" customFormat="1" ht="15" x14ac:dyDescent="0.25">
      <c r="A10633" s="841" t="s">
        <v>191</v>
      </c>
      <c r="E10633" s="1945" t="s">
        <v>3390</v>
      </c>
      <c r="F10633" s="1945"/>
      <c r="G10633" s="1945"/>
      <c r="H10633" s="1946"/>
      <c r="M10633" s="1357"/>
      <c r="Q10633" s="1357"/>
      <c r="S10633" s="1420"/>
      <c r="T10633" s="1420"/>
      <c r="V10633" s="1357">
        <v>274</v>
      </c>
    </row>
    <row r="10634" spans="1:22" s="841" customFormat="1" ht="15" x14ac:dyDescent="0.25">
      <c r="A10634" s="841" t="s">
        <v>191</v>
      </c>
      <c r="E10634" s="709" t="s">
        <v>3137</v>
      </c>
      <c r="F10634" s="712"/>
      <c r="G10634" s="712"/>
      <c r="H10634" s="729"/>
      <c r="K10634" s="841" t="s">
        <v>4284</v>
      </c>
      <c r="M10634" s="1357"/>
      <c r="Q10634" s="1357"/>
      <c r="S10634" s="1420"/>
      <c r="T10634" s="1420"/>
      <c r="V10634" s="1357">
        <v>23</v>
      </c>
    </row>
    <row r="10635" spans="1:22" s="841" customFormat="1" ht="15" x14ac:dyDescent="0.25">
      <c r="A10635" s="841" t="s">
        <v>191</v>
      </c>
      <c r="E10635" s="1924" t="s">
        <v>3355</v>
      </c>
      <c r="F10635" s="1924"/>
      <c r="G10635" s="679" t="s">
        <v>23</v>
      </c>
      <c r="H10635" s="1315">
        <v>15</v>
      </c>
      <c r="M10635" s="1357"/>
      <c r="Q10635" s="1357"/>
      <c r="S10635" s="1420"/>
      <c r="T10635" s="1420"/>
      <c r="V10635" s="1357">
        <v>19</v>
      </c>
    </row>
    <row r="10636" spans="1:22" s="841" customFormat="1" ht="15" x14ac:dyDescent="0.25">
      <c r="A10636" s="841" t="s">
        <v>191</v>
      </c>
      <c r="E10636" s="1924" t="s">
        <v>3147</v>
      </c>
      <c r="F10636" s="1924"/>
      <c r="G10636" s="679" t="s">
        <v>23</v>
      </c>
      <c r="H10636" s="1315">
        <v>15</v>
      </c>
      <c r="M10636" s="1357"/>
      <c r="Q10636" s="1357"/>
      <c r="S10636" s="1420"/>
      <c r="T10636" s="1420"/>
      <c r="V10636" s="1357">
        <v>15</v>
      </c>
    </row>
    <row r="10637" spans="1:22" s="841" customFormat="1" ht="15" x14ac:dyDescent="0.25">
      <c r="A10637" s="841" t="s">
        <v>191</v>
      </c>
      <c r="E10637" s="1924" t="s">
        <v>3149</v>
      </c>
      <c r="F10637" s="1924"/>
      <c r="G10637" s="679" t="s">
        <v>23</v>
      </c>
      <c r="H10637" s="1315">
        <v>20</v>
      </c>
      <c r="M10637" s="1357"/>
      <c r="Q10637" s="1357"/>
      <c r="S10637" s="1420"/>
      <c r="T10637" s="1420"/>
      <c r="V10637" s="1357">
        <v>35</v>
      </c>
    </row>
    <row r="10638" spans="1:22" s="841" customFormat="1" ht="15" x14ac:dyDescent="0.25">
      <c r="A10638" s="841" t="s">
        <v>191</v>
      </c>
      <c r="E10638" s="1924" t="s">
        <v>88</v>
      </c>
      <c r="F10638" s="1924"/>
      <c r="G10638" s="679" t="s">
        <v>23</v>
      </c>
      <c r="H10638" s="1315">
        <v>30</v>
      </c>
      <c r="M10638" s="1357"/>
      <c r="Q10638" s="1357"/>
      <c r="S10638" s="1420"/>
      <c r="T10638" s="1420"/>
      <c r="V10638" s="1357">
        <v>89</v>
      </c>
    </row>
    <row r="10639" spans="1:22" s="841" customFormat="1" ht="15" x14ac:dyDescent="0.25">
      <c r="A10639" s="841" t="s">
        <v>191</v>
      </c>
      <c r="E10639" s="1924" t="s">
        <v>92</v>
      </c>
      <c r="F10639" s="1924"/>
      <c r="G10639" s="679" t="s">
        <v>23</v>
      </c>
      <c r="H10639" s="1315">
        <v>45</v>
      </c>
      <c r="M10639" s="1357"/>
      <c r="Q10639" s="1357"/>
      <c r="S10639" s="1420"/>
      <c r="T10639" s="1420"/>
      <c r="V10639" s="1357">
        <v>74</v>
      </c>
    </row>
    <row r="10640" spans="1:22" s="841" customFormat="1" ht="15" x14ac:dyDescent="0.25">
      <c r="A10640" s="841" t="s">
        <v>191</v>
      </c>
      <c r="E10640" s="709" t="s">
        <v>3152</v>
      </c>
      <c r="F10640" s="712"/>
      <c r="G10640" s="677"/>
      <c r="H10640" s="713"/>
      <c r="K10640" s="841" t="s">
        <v>4285</v>
      </c>
      <c r="M10640" s="1357"/>
      <c r="Q10640" s="1357"/>
      <c r="S10640" s="1420"/>
      <c r="T10640" s="1420"/>
      <c r="V10640" s="1357">
        <v>22</v>
      </c>
    </row>
    <row r="10641" spans="1:22" s="841" customFormat="1" ht="15" x14ac:dyDescent="0.25">
      <c r="A10641" s="841" t="s">
        <v>191</v>
      </c>
      <c r="E10641" s="2148" t="s">
        <v>3154</v>
      </c>
      <c r="F10641" s="2148"/>
      <c r="G10641" s="677" t="s">
        <v>86</v>
      </c>
      <c r="H10641" s="1007">
        <v>1.5</v>
      </c>
      <c r="M10641" s="1357"/>
      <c r="Q10641" s="1357"/>
      <c r="S10641" s="1420"/>
      <c r="T10641" s="1420"/>
      <c r="V10641" s="1357">
        <v>24</v>
      </c>
    </row>
    <row r="10642" spans="1:22" s="841" customFormat="1" ht="15" x14ac:dyDescent="0.25">
      <c r="A10642" s="841" t="s">
        <v>191</v>
      </c>
      <c r="E10642" s="2107" t="s">
        <v>4286</v>
      </c>
      <c r="F10642" s="2107"/>
      <c r="G10642" s="677" t="s">
        <v>86</v>
      </c>
      <c r="H10642" s="1007">
        <v>19.559999999999999</v>
      </c>
      <c r="M10642" s="1357"/>
      <c r="Q10642" s="1357"/>
      <c r="S10642" s="1420"/>
      <c r="T10642" s="1420"/>
      <c r="V10642" s="1357">
        <v>30</v>
      </c>
    </row>
    <row r="10643" spans="1:22" s="841" customFormat="1" ht="15" x14ac:dyDescent="0.25">
      <c r="A10643" s="841" t="s">
        <v>191</v>
      </c>
      <c r="E10643" s="2107" t="s">
        <v>4287</v>
      </c>
      <c r="F10643" s="2107"/>
      <c r="G10643" s="677" t="s">
        <v>23</v>
      </c>
      <c r="H10643" s="1007">
        <v>30</v>
      </c>
      <c r="M10643" s="1357"/>
      <c r="Q10643" s="1357"/>
      <c r="S10643" s="1420"/>
      <c r="T10643" s="1420"/>
      <c r="V10643" s="1357">
        <v>53</v>
      </c>
    </row>
    <row r="10644" spans="1:22" s="841" customFormat="1" ht="15" x14ac:dyDescent="0.25">
      <c r="A10644" s="841" t="s">
        <v>191</v>
      </c>
      <c r="E10644" s="2107" t="s">
        <v>4288</v>
      </c>
      <c r="F10644" s="2107"/>
      <c r="G10644" s="677" t="s">
        <v>23</v>
      </c>
      <c r="H10644" s="1007">
        <v>65</v>
      </c>
      <c r="M10644" s="1357"/>
      <c r="Q10644" s="1357"/>
      <c r="S10644" s="1420"/>
      <c r="T10644" s="1420"/>
      <c r="V10644" s="1357">
        <v>58</v>
      </c>
    </row>
    <row r="10645" spans="1:22" s="841" customFormat="1" ht="15" x14ac:dyDescent="0.25">
      <c r="A10645" s="841" t="s">
        <v>191</v>
      </c>
      <c r="E10645" s="2107" t="s">
        <v>4289</v>
      </c>
      <c r="F10645" s="2107"/>
      <c r="G10645" s="677" t="s">
        <v>23</v>
      </c>
      <c r="H10645" s="1007">
        <v>185</v>
      </c>
      <c r="M10645" s="1357"/>
      <c r="Q10645" s="1357"/>
      <c r="S10645" s="1420"/>
      <c r="T10645" s="1420"/>
      <c r="V10645" s="1357">
        <v>56</v>
      </c>
    </row>
    <row r="10646" spans="1:22" s="841" customFormat="1" x14ac:dyDescent="0.25">
      <c r="A10646" s="841" t="s">
        <v>191</v>
      </c>
      <c r="E10646" s="702" t="s">
        <v>77</v>
      </c>
      <c r="F10646" s="703"/>
      <c r="G10646" s="703"/>
      <c r="H10646" s="728"/>
      <c r="K10646" s="841" t="s">
        <v>4290</v>
      </c>
      <c r="M10646" s="1357"/>
      <c r="Q10646" s="1357"/>
      <c r="S10646" s="1420"/>
      <c r="T10646" s="1420"/>
      <c r="V10646" s="1357">
        <v>38</v>
      </c>
    </row>
    <row r="10647" spans="1:22" s="841" customFormat="1" ht="15" x14ac:dyDescent="0.25">
      <c r="A10647" s="841" t="s">
        <v>191</v>
      </c>
      <c r="E10647" s="1945" t="s">
        <v>3063</v>
      </c>
      <c r="F10647" s="1945"/>
      <c r="G10647" s="1945"/>
      <c r="H10647" s="1946"/>
      <c r="M10647" s="1357"/>
      <c r="Q10647" s="1357"/>
      <c r="S10647" s="1420"/>
      <c r="T10647" s="1420"/>
      <c r="V10647" s="1357">
        <v>280</v>
      </c>
    </row>
    <row r="10648" spans="1:22" s="841" customFormat="1" ht="15" x14ac:dyDescent="0.25">
      <c r="A10648" s="841" t="s">
        <v>191</v>
      </c>
      <c r="E10648" s="1945" t="s">
        <v>3064</v>
      </c>
      <c r="F10648" s="1945"/>
      <c r="G10648" s="1945"/>
      <c r="H10648" s="1946"/>
      <c r="M10648" s="1357"/>
      <c r="Q10648" s="1357"/>
      <c r="S10648" s="1420"/>
      <c r="T10648" s="1420"/>
      <c r="V10648" s="1357">
        <v>411</v>
      </c>
    </row>
    <row r="10649" spans="1:22" s="841" customFormat="1" ht="15" x14ac:dyDescent="0.25">
      <c r="A10649" s="841" t="s">
        <v>191</v>
      </c>
      <c r="E10649" s="1945" t="s">
        <v>3129</v>
      </c>
      <c r="F10649" s="1945"/>
      <c r="G10649" s="1945"/>
      <c r="H10649" s="1946"/>
      <c r="M10649" s="1357"/>
      <c r="Q10649" s="1357"/>
      <c r="S10649" s="1420"/>
      <c r="T10649" s="1420"/>
      <c r="V10649" s="1357">
        <v>211</v>
      </c>
    </row>
    <row r="10650" spans="1:22" s="841" customFormat="1" ht="15" x14ac:dyDescent="0.25">
      <c r="A10650" s="841" t="s">
        <v>191</v>
      </c>
      <c r="E10650" s="1945" t="s">
        <v>3390</v>
      </c>
      <c r="F10650" s="1945"/>
      <c r="G10650" s="1945"/>
      <c r="H10650" s="1946"/>
      <c r="M10650" s="1357"/>
      <c r="Q10650" s="1357"/>
      <c r="S10650" s="1420"/>
      <c r="T10650" s="1420"/>
      <c r="V10650" s="1357">
        <v>274</v>
      </c>
    </row>
    <row r="10651" spans="1:22" s="841" customFormat="1" ht="15" x14ac:dyDescent="0.25">
      <c r="A10651" s="841" t="s">
        <v>191</v>
      </c>
      <c r="E10651" s="1945" t="s">
        <v>3291</v>
      </c>
      <c r="F10651" s="1945"/>
      <c r="G10651" s="1945"/>
      <c r="H10651" s="1946"/>
      <c r="M10651" s="1357"/>
      <c r="Q10651" s="1357"/>
      <c r="S10651" s="1420"/>
      <c r="T10651" s="1420"/>
      <c r="V10651" s="1357">
        <v>142</v>
      </c>
    </row>
    <row r="10652" spans="1:22" s="841" customFormat="1" ht="15" x14ac:dyDescent="0.25">
      <c r="A10652" s="841" t="s">
        <v>191</v>
      </c>
      <c r="E10652" s="1918" t="s">
        <v>3176</v>
      </c>
      <c r="F10652" s="1918"/>
      <c r="G10652" s="688" t="s">
        <v>23</v>
      </c>
      <c r="H10652" s="689">
        <v>100</v>
      </c>
      <c r="M10652" s="1357"/>
      <c r="Q10652" s="1357"/>
      <c r="S10652" s="1420"/>
      <c r="T10652" s="1420"/>
      <c r="V10652" s="1357">
        <v>106</v>
      </c>
    </row>
    <row r="10653" spans="1:22" s="841" customFormat="1" ht="15" x14ac:dyDescent="0.25">
      <c r="A10653" s="841" t="s">
        <v>191</v>
      </c>
      <c r="E10653" s="1918" t="s">
        <v>3177</v>
      </c>
      <c r="F10653" s="1918"/>
      <c r="G10653" s="688" t="s">
        <v>23</v>
      </c>
      <c r="H10653" s="689">
        <v>20</v>
      </c>
      <c r="M10653" s="1357"/>
      <c r="Q10653" s="1357"/>
      <c r="S10653" s="1420"/>
      <c r="T10653" s="1420"/>
      <c r="V10653" s="1357">
        <v>34</v>
      </c>
    </row>
    <row r="10654" spans="1:22" s="841" customFormat="1" ht="15" x14ac:dyDescent="0.25">
      <c r="A10654" s="841" t="s">
        <v>191</v>
      </c>
      <c r="E10654" s="1918" t="s">
        <v>3178</v>
      </c>
      <c r="F10654" s="1918"/>
      <c r="G10654" s="688" t="s">
        <v>3179</v>
      </c>
      <c r="H10654" s="689">
        <v>0.5</v>
      </c>
      <c r="M10654" s="1357"/>
      <c r="Q10654" s="1357"/>
      <c r="S10654" s="1420"/>
      <c r="T10654" s="1420"/>
      <c r="V10654" s="1357">
        <v>51</v>
      </c>
    </row>
    <row r="10655" spans="1:22" s="841" customFormat="1" ht="15" x14ac:dyDescent="0.25">
      <c r="A10655" s="841" t="s">
        <v>191</v>
      </c>
      <c r="E10655" s="1918" t="s">
        <v>3180</v>
      </c>
      <c r="F10655" s="1918"/>
      <c r="G10655" s="688" t="s">
        <v>3179</v>
      </c>
      <c r="H10655" s="689">
        <v>0.3</v>
      </c>
      <c r="M10655" s="1357"/>
      <c r="Q10655" s="1357"/>
      <c r="S10655" s="1420"/>
      <c r="T10655" s="1420"/>
      <c r="V10655" s="1357">
        <v>75</v>
      </c>
    </row>
    <row r="10656" spans="1:22" s="841" customFormat="1" ht="15" x14ac:dyDescent="0.25">
      <c r="A10656" s="841" t="s">
        <v>191</v>
      </c>
      <c r="E10656" s="1918" t="s">
        <v>3181</v>
      </c>
      <c r="F10656" s="1918"/>
      <c r="G10656" s="688" t="s">
        <v>3179</v>
      </c>
      <c r="H10656" s="689">
        <v>-0.3</v>
      </c>
      <c r="M10656" s="1357"/>
      <c r="Q10656" s="1357"/>
      <c r="S10656" s="1420"/>
      <c r="T10656" s="1420"/>
      <c r="V10656" s="1357">
        <v>72</v>
      </c>
    </row>
    <row r="10657" spans="1:22" s="841" customFormat="1" ht="15" x14ac:dyDescent="0.25">
      <c r="A10657" s="841" t="s">
        <v>191</v>
      </c>
      <c r="E10657" s="1918" t="s">
        <v>3182</v>
      </c>
      <c r="F10657" s="1918"/>
      <c r="G10657" s="730"/>
      <c r="H10657" s="691"/>
      <c r="M10657" s="1357"/>
      <c r="Q10657" s="1357"/>
      <c r="S10657" s="1420"/>
      <c r="T10657" s="1420"/>
      <c r="V10657" s="1357">
        <v>35</v>
      </c>
    </row>
    <row r="10658" spans="1:22" s="841" customFormat="1" ht="15" x14ac:dyDescent="0.25">
      <c r="A10658" s="841" t="s">
        <v>191</v>
      </c>
      <c r="E10658" s="2028" t="s">
        <v>3183</v>
      </c>
      <c r="F10658" s="2028"/>
      <c r="G10658" s="688" t="s">
        <v>23</v>
      </c>
      <c r="H10658" s="689">
        <v>0.25</v>
      </c>
      <c r="M10658" s="1357"/>
      <c r="Q10658" s="1357"/>
      <c r="S10658" s="1420"/>
      <c r="T10658" s="1420"/>
      <c r="V10658" s="1357">
        <v>57</v>
      </c>
    </row>
    <row r="10659" spans="1:22" s="841" customFormat="1" ht="15" x14ac:dyDescent="0.25">
      <c r="A10659" s="841" t="s">
        <v>191</v>
      </c>
      <c r="E10659" s="2028" t="s">
        <v>3184</v>
      </c>
      <c r="F10659" s="2028"/>
      <c r="G10659" s="688" t="s">
        <v>23</v>
      </c>
      <c r="H10659" s="689">
        <v>0.5</v>
      </c>
      <c r="M10659" s="1357"/>
      <c r="Q10659" s="1357"/>
      <c r="S10659" s="1420"/>
      <c r="T10659" s="1420"/>
      <c r="V10659" s="1357">
        <v>60</v>
      </c>
    </row>
    <row r="10660" spans="1:22" s="841" customFormat="1" ht="15" x14ac:dyDescent="0.25">
      <c r="A10660" s="841" t="s">
        <v>191</v>
      </c>
      <c r="E10660" s="1918" t="s">
        <v>3185</v>
      </c>
      <c r="F10660" s="1918"/>
      <c r="G10660" s="730"/>
      <c r="H10660" s="691"/>
      <c r="M10660" s="1357"/>
      <c r="Q10660" s="1357"/>
      <c r="S10660" s="1420"/>
      <c r="T10660" s="1420"/>
      <c r="V10660" s="1357">
        <v>91</v>
      </c>
    </row>
    <row r="10661" spans="1:22" s="841" customFormat="1" ht="15" x14ac:dyDescent="0.25">
      <c r="A10661" s="841" t="s">
        <v>191</v>
      </c>
      <c r="E10661" s="1918" t="s">
        <v>3186</v>
      </c>
      <c r="F10661" s="1918"/>
      <c r="G10661" s="730"/>
      <c r="H10661" s="691"/>
      <c r="M10661" s="1357"/>
      <c r="Q10661" s="1357"/>
      <c r="S10661" s="1420"/>
      <c r="T10661" s="1420"/>
      <c r="V10661" s="1357">
        <v>96</v>
      </c>
    </row>
    <row r="10662" spans="1:22" s="841" customFormat="1" ht="15" x14ac:dyDescent="0.25">
      <c r="A10662" s="841" t="s">
        <v>191</v>
      </c>
      <c r="E10662" s="1918" t="s">
        <v>3187</v>
      </c>
      <c r="F10662" s="1918"/>
      <c r="G10662" s="730"/>
      <c r="H10662" s="691"/>
      <c r="M10662" s="1357"/>
      <c r="Q10662" s="1357"/>
      <c r="S10662" s="1420"/>
      <c r="T10662" s="1420"/>
      <c r="V10662" s="1357">
        <v>78</v>
      </c>
    </row>
    <row r="10663" spans="1:22" s="841" customFormat="1" ht="15" x14ac:dyDescent="0.25">
      <c r="A10663" s="841" t="s">
        <v>191</v>
      </c>
      <c r="E10663" s="2028" t="s">
        <v>3188</v>
      </c>
      <c r="F10663" s="2028"/>
      <c r="G10663" s="688" t="s">
        <v>23</v>
      </c>
      <c r="H10663" s="689" t="s">
        <v>3189</v>
      </c>
      <c r="M10663" s="1357"/>
      <c r="Q10663" s="1357"/>
      <c r="S10663" s="1420"/>
      <c r="T10663" s="1420"/>
      <c r="V10663" s="1357">
        <v>18</v>
      </c>
    </row>
    <row r="10664" spans="1:22" s="841" customFormat="1" ht="15" x14ac:dyDescent="0.25">
      <c r="A10664" s="841" t="s">
        <v>191</v>
      </c>
      <c r="E10664" s="2028" t="s">
        <v>3190</v>
      </c>
      <c r="F10664" s="2028"/>
      <c r="G10664" s="688" t="s">
        <v>23</v>
      </c>
      <c r="H10664" s="689">
        <v>2</v>
      </c>
      <c r="M10664" s="1357"/>
      <c r="Q10664" s="1357"/>
      <c r="S10664" s="1420"/>
      <c r="T10664" s="1420"/>
      <c r="V10664" s="1357">
        <v>69</v>
      </c>
    </row>
    <row r="10665" spans="1:22" s="841" customFormat="1" x14ac:dyDescent="0.25">
      <c r="A10665" s="841" t="s">
        <v>191</v>
      </c>
      <c r="E10665" s="702" t="s">
        <v>147</v>
      </c>
      <c r="F10665" s="703"/>
      <c r="G10665" s="703"/>
      <c r="H10665" s="728"/>
      <c r="K10665" s="841" t="s">
        <v>4291</v>
      </c>
      <c r="M10665" s="1357"/>
      <c r="Q10665" s="1357"/>
      <c r="S10665" s="1420"/>
      <c r="T10665" s="1420"/>
      <c r="V10665" s="1357">
        <v>12</v>
      </c>
    </row>
    <row r="10666" spans="1:22" s="841" customFormat="1" ht="15" x14ac:dyDescent="0.25">
      <c r="A10666" s="841" t="s">
        <v>191</v>
      </c>
      <c r="E10666" s="1938" t="s">
        <v>3192</v>
      </c>
      <c r="F10666" s="1938"/>
      <c r="G10666" s="1938"/>
      <c r="H10666" s="2105"/>
      <c r="M10666" s="1357"/>
      <c r="Q10666" s="1357"/>
      <c r="S10666" s="1420"/>
      <c r="T10666" s="1420"/>
      <c r="V10666" s="1357">
        <v>203</v>
      </c>
    </row>
    <row r="10667" spans="1:22" s="841" customFormat="1" ht="15" x14ac:dyDescent="0.25">
      <c r="A10667" s="841" t="s">
        <v>191</v>
      </c>
      <c r="E10667" s="1918" t="s">
        <v>3295</v>
      </c>
      <c r="F10667" s="1918"/>
      <c r="G10667" s="700"/>
      <c r="H10667" s="676">
        <v>1.0457000000000001</v>
      </c>
      <c r="M10667" s="1357"/>
      <c r="Q10667" s="1357"/>
      <c r="S10667" s="1420"/>
      <c r="T10667" s="1420"/>
      <c r="V10667" s="1357">
        <v>57</v>
      </c>
    </row>
    <row r="10668" spans="1:22" s="841" customFormat="1" ht="15" x14ac:dyDescent="0.25">
      <c r="A10668" s="841" t="s">
        <v>191</v>
      </c>
      <c r="E10668" s="1918" t="s">
        <v>3297</v>
      </c>
      <c r="F10668" s="1918"/>
      <c r="G10668" s="700"/>
      <c r="H10668" s="676">
        <v>1.0396000000000001</v>
      </c>
      <c r="J10668" s="841" t="s">
        <v>4292</v>
      </c>
      <c r="M10668" s="1357"/>
      <c r="Q10668" s="1357"/>
      <c r="S10668" s="1420"/>
      <c r="T10668" s="1420"/>
      <c r="V10668" s="1357">
        <v>55</v>
      </c>
    </row>
    <row r="10669" spans="1:22" s="841" customFormat="1" ht="23.25" x14ac:dyDescent="0.25">
      <c r="A10669" s="841" t="s">
        <v>186</v>
      </c>
      <c r="C10669" s="841" t="s">
        <v>3050</v>
      </c>
      <c r="E10669" s="1911" t="s">
        <v>186</v>
      </c>
      <c r="F10669" s="1911"/>
      <c r="G10669" s="1911"/>
      <c r="H10669" s="1911"/>
      <c r="I10669" s="841" t="s">
        <v>628</v>
      </c>
      <c r="J10669" s="841" t="s">
        <v>4085</v>
      </c>
      <c r="K10669" s="841" t="s">
        <v>186</v>
      </c>
      <c r="M10669" s="1357">
        <v>10</v>
      </c>
      <c r="Q10669" s="1357"/>
      <c r="S10669" s="1420"/>
      <c r="T10669" s="1420"/>
      <c r="V10669" s="1357">
        <v>17</v>
      </c>
    </row>
    <row r="10670" spans="1:22" s="841" customFormat="1" x14ac:dyDescent="0.25">
      <c r="A10670" s="841" t="s">
        <v>186</v>
      </c>
      <c r="C10670" s="841" t="s">
        <v>3052</v>
      </c>
      <c r="E10670" s="1912" t="s">
        <v>3053</v>
      </c>
      <c r="F10670" s="1912"/>
      <c r="G10670" s="1912"/>
      <c r="H10670" s="1912"/>
      <c r="M10670" s="1357"/>
      <c r="Q10670" s="1357"/>
      <c r="S10670" s="1420"/>
      <c r="T10670" s="1420"/>
      <c r="V10670" s="1357">
        <v>27</v>
      </c>
    </row>
    <row r="10671" spans="1:22" s="841" customFormat="1" ht="15.75" x14ac:dyDescent="0.25">
      <c r="A10671" s="841" t="s">
        <v>186</v>
      </c>
      <c r="C10671" s="841" t="s">
        <v>3054</v>
      </c>
      <c r="E10671" s="1913" t="s">
        <v>5107</v>
      </c>
      <c r="F10671" s="1913"/>
      <c r="G10671" s="1913"/>
      <c r="H10671" s="1913"/>
      <c r="M10671" s="1357"/>
      <c r="Q10671" s="1357"/>
      <c r="S10671" s="1420">
        <v>43221</v>
      </c>
      <c r="T10671" s="1420"/>
      <c r="V10671" s="1357">
        <v>45</v>
      </c>
    </row>
    <row r="10672" spans="1:22" s="841" customFormat="1" ht="15" x14ac:dyDescent="0.25">
      <c r="A10672" s="841" t="s">
        <v>186</v>
      </c>
      <c r="C10672" s="841" t="s">
        <v>3055</v>
      </c>
      <c r="E10672" s="1914" t="s">
        <v>3056</v>
      </c>
      <c r="F10672" s="1914"/>
      <c r="G10672" s="1914"/>
      <c r="H10672" s="1914"/>
      <c r="M10672" s="1357"/>
      <c r="Q10672" s="1357"/>
      <c r="S10672" s="1420"/>
      <c r="T10672" s="1420"/>
      <c r="V10672" s="1357">
        <v>52</v>
      </c>
    </row>
    <row r="10673" spans="1:22" s="841" customFormat="1" ht="15" x14ac:dyDescent="0.25">
      <c r="A10673" s="841" t="s">
        <v>186</v>
      </c>
      <c r="E10673" s="1914" t="s">
        <v>3057</v>
      </c>
      <c r="F10673" s="1914"/>
      <c r="G10673" s="1914"/>
      <c r="H10673" s="1914"/>
      <c r="M10673" s="1357"/>
      <c r="Q10673" s="1357"/>
      <c r="S10673" s="1420"/>
      <c r="T10673" s="1420"/>
      <c r="V10673" s="1357">
        <v>53</v>
      </c>
    </row>
    <row r="10674" spans="1:22" s="841" customFormat="1" ht="15" x14ac:dyDescent="0.25">
      <c r="A10674" s="841" t="s">
        <v>186</v>
      </c>
      <c r="E10674" s="1925" t="s">
        <v>5775</v>
      </c>
      <c r="F10674" s="1925"/>
      <c r="G10674" s="1925"/>
      <c r="H10674" s="1925"/>
      <c r="K10674" s="841" t="s">
        <v>5775</v>
      </c>
      <c r="M10674" s="1357"/>
      <c r="Q10674" s="1357"/>
      <c r="S10674" s="1420"/>
      <c r="T10674" s="1420"/>
      <c r="V10674" s="1357">
        <v>12</v>
      </c>
    </row>
    <row r="10675" spans="1:22" s="841" customFormat="1" ht="15" x14ac:dyDescent="0.25">
      <c r="A10675" s="841" t="s">
        <v>186</v>
      </c>
      <c r="E10675" s="1909" t="s">
        <v>438</v>
      </c>
      <c r="F10675" s="1697"/>
      <c r="G10675" s="1697"/>
      <c r="H10675" s="1697"/>
      <c r="K10675" s="841" t="s">
        <v>3197</v>
      </c>
      <c r="M10675" s="1357"/>
      <c r="Q10675" s="1357"/>
      <c r="S10675" s="1420"/>
      <c r="T10675" s="1420"/>
      <c r="V10675" s="1357">
        <v>34</v>
      </c>
    </row>
    <row r="10676" spans="1:22" s="841" customFormat="1" ht="15" x14ac:dyDescent="0.25">
      <c r="A10676" s="841" t="s">
        <v>186</v>
      </c>
      <c r="E10676" s="1689" t="s">
        <v>4086</v>
      </c>
      <c r="F10676" s="1689"/>
      <c r="G10676" s="1689"/>
      <c r="H10676" s="1689"/>
      <c r="K10676" s="841" t="s">
        <v>3197</v>
      </c>
      <c r="M10676" s="1357"/>
      <c r="Q10676" s="1357"/>
      <c r="S10676" s="1420"/>
      <c r="T10676" s="1420"/>
      <c r="V10676" s="1357">
        <v>1111</v>
      </c>
    </row>
    <row r="10677" spans="1:22" s="841" customFormat="1" ht="15" x14ac:dyDescent="0.25">
      <c r="A10677" s="841" t="s">
        <v>186</v>
      </c>
      <c r="E10677" s="1916" t="s">
        <v>3061</v>
      </c>
      <c r="F10677" s="1697"/>
      <c r="G10677" s="1697"/>
      <c r="H10677" s="1697"/>
      <c r="K10677" s="841" t="s">
        <v>3062</v>
      </c>
      <c r="M10677" s="1357"/>
      <c r="Q10677" s="1357"/>
      <c r="S10677" s="1420"/>
      <c r="T10677" s="1420"/>
      <c r="V10677" s="1357">
        <v>11</v>
      </c>
    </row>
    <row r="10678" spans="1:22" s="841" customFormat="1" ht="15" x14ac:dyDescent="0.25">
      <c r="A10678" s="841" t="s">
        <v>186</v>
      </c>
      <c r="E10678" s="1689" t="s">
        <v>3063</v>
      </c>
      <c r="F10678" s="1689"/>
      <c r="G10678" s="1689"/>
      <c r="H10678" s="1689"/>
      <c r="K10678" s="841" t="s">
        <v>3197</v>
      </c>
      <c r="M10678" s="1357"/>
      <c r="Q10678" s="1357"/>
      <c r="S10678" s="1420"/>
      <c r="T10678" s="1420"/>
      <c r="V10678" s="1357">
        <v>280</v>
      </c>
    </row>
    <row r="10679" spans="1:22" s="841" customFormat="1" ht="15" x14ac:dyDescent="0.25">
      <c r="A10679" s="841" t="s">
        <v>186</v>
      </c>
      <c r="E10679" s="1689" t="s">
        <v>3064</v>
      </c>
      <c r="F10679" s="1689"/>
      <c r="G10679" s="1689"/>
      <c r="H10679" s="1689"/>
      <c r="K10679" s="841" t="s">
        <v>3197</v>
      </c>
      <c r="M10679" s="1357"/>
      <c r="Q10679" s="1357"/>
      <c r="S10679" s="1420"/>
      <c r="T10679" s="1420"/>
      <c r="V10679" s="1357">
        <v>411</v>
      </c>
    </row>
    <row r="10680" spans="1:22" s="841" customFormat="1" ht="15" x14ac:dyDescent="0.25">
      <c r="A10680" s="841" t="s">
        <v>186</v>
      </c>
      <c r="E10680" s="1689" t="s">
        <v>3199</v>
      </c>
      <c r="F10680" s="1689"/>
      <c r="G10680" s="1689"/>
      <c r="H10680" s="1689"/>
      <c r="K10680" s="841" t="s">
        <v>3197</v>
      </c>
      <c r="M10680" s="1357"/>
      <c r="Q10680" s="1357"/>
      <c r="S10680" s="1420"/>
      <c r="T10680" s="1420"/>
      <c r="V10680" s="1357">
        <v>386</v>
      </c>
    </row>
    <row r="10681" spans="1:22" s="841" customFormat="1" ht="15" x14ac:dyDescent="0.25">
      <c r="A10681" s="841" t="s">
        <v>186</v>
      </c>
      <c r="E10681" s="1689" t="s">
        <v>3200</v>
      </c>
      <c r="F10681" s="1689"/>
      <c r="G10681" s="1689"/>
      <c r="H10681" s="1689"/>
      <c r="K10681" s="841" t="s">
        <v>3197</v>
      </c>
      <c r="M10681" s="1357"/>
      <c r="Q10681" s="1357"/>
      <c r="S10681" s="1420"/>
      <c r="T10681" s="1420"/>
      <c r="V10681" s="1357">
        <v>275</v>
      </c>
    </row>
    <row r="10682" spans="1:22" s="841" customFormat="1" ht="15" x14ac:dyDescent="0.25">
      <c r="A10682" s="841" t="s">
        <v>186</v>
      </c>
      <c r="E10682" s="1694" t="s">
        <v>3067</v>
      </c>
      <c r="F10682" s="1907"/>
      <c r="G10682" s="1907"/>
      <c r="H10682" s="1907"/>
      <c r="K10682" s="841" t="s">
        <v>3068</v>
      </c>
      <c r="M10682" s="1357"/>
      <c r="Q10682" s="1357"/>
      <c r="S10682" s="1420"/>
      <c r="T10682" s="1420"/>
      <c r="V10682" s="1357">
        <v>46</v>
      </c>
    </row>
    <row r="10683" spans="1:22" s="841" customFormat="1" ht="15" x14ac:dyDescent="0.25">
      <c r="A10683" s="841" t="s">
        <v>186</v>
      </c>
      <c r="E10683" s="1690" t="s">
        <v>11</v>
      </c>
      <c r="F10683" s="1690"/>
      <c r="G10683" s="1408" t="s">
        <v>23</v>
      </c>
      <c r="H10683" s="391">
        <v>22.17</v>
      </c>
      <c r="K10683" s="841" t="s">
        <v>3197</v>
      </c>
      <c r="L10683" s="841" t="s">
        <v>442</v>
      </c>
      <c r="M10683" s="1357"/>
      <c r="P10683" s="841" t="s">
        <v>3201</v>
      </c>
      <c r="Q10683" s="1357"/>
      <c r="S10683" s="1420"/>
      <c r="T10683" s="1420"/>
      <c r="V10683" s="1357">
        <v>14</v>
      </c>
    </row>
    <row r="10684" spans="1:22" s="841" customFormat="1" ht="15" x14ac:dyDescent="0.25">
      <c r="A10684" s="841" t="s">
        <v>186</v>
      </c>
      <c r="E10684" s="1937" t="s">
        <v>5776</v>
      </c>
      <c r="F10684" s="1937"/>
      <c r="G10684" s="1408" t="s">
        <v>23</v>
      </c>
      <c r="H10684" s="391">
        <v>0.31</v>
      </c>
      <c r="K10684" s="841" t="s">
        <v>3197</v>
      </c>
      <c r="L10684" s="841" t="s">
        <v>442</v>
      </c>
      <c r="M10684" s="1357"/>
      <c r="P10684" s="841" t="s">
        <v>6418</v>
      </c>
      <c r="Q10684" s="1357"/>
      <c r="S10684" s="1420"/>
      <c r="T10684" s="1420"/>
      <c r="V10684" s="1357">
        <v>146</v>
      </c>
    </row>
    <row r="10685" spans="1:22" s="841" customFormat="1" ht="15" x14ac:dyDescent="0.25">
      <c r="A10685" s="841" t="s">
        <v>186</v>
      </c>
      <c r="E10685" s="1690" t="s">
        <v>5318</v>
      </c>
      <c r="F10685" s="1690"/>
      <c r="G10685" s="1408" t="s">
        <v>23</v>
      </c>
      <c r="H10685" s="391">
        <v>0.56999999999999995</v>
      </c>
      <c r="K10685" s="841" t="s">
        <v>3197</v>
      </c>
      <c r="L10685" s="841" t="s">
        <v>443</v>
      </c>
      <c r="M10685" s="1357"/>
      <c r="P10685" s="841" t="s">
        <v>3202</v>
      </c>
      <c r="Q10685" s="1357"/>
      <c r="S10685" s="1420"/>
      <c r="T10685" s="1420">
        <v>44926</v>
      </c>
      <c r="V10685" s="1357">
        <v>79</v>
      </c>
    </row>
    <row r="10686" spans="1:22" s="841" customFormat="1" ht="15" x14ac:dyDescent="0.25">
      <c r="A10686" s="841" t="s">
        <v>186</v>
      </c>
      <c r="E10686" s="1690" t="s">
        <v>84</v>
      </c>
      <c r="F10686" s="1690"/>
      <c r="G10686" s="1408" t="s">
        <v>24</v>
      </c>
      <c r="H10686" s="393">
        <v>4.1000000000000003E-3</v>
      </c>
      <c r="K10686" s="841" t="s">
        <v>3197</v>
      </c>
      <c r="L10686" s="841" t="s">
        <v>442</v>
      </c>
      <c r="M10686" s="1357"/>
      <c r="P10686" s="841" t="s">
        <v>3203</v>
      </c>
      <c r="Q10686" s="1357"/>
      <c r="S10686" s="1420"/>
      <c r="T10686" s="1420"/>
      <c r="V10686" s="1357">
        <v>28</v>
      </c>
    </row>
    <row r="10687" spans="1:22" s="841" customFormat="1" ht="15" x14ac:dyDescent="0.25">
      <c r="A10687" s="841" t="s">
        <v>186</v>
      </c>
      <c r="E10687" s="1690" t="s">
        <v>5129</v>
      </c>
      <c r="F10687" s="1908"/>
      <c r="G10687" s="1408" t="s">
        <v>24</v>
      </c>
      <c r="H10687" s="393">
        <v>-8.9999999999999998E-4</v>
      </c>
      <c r="K10687" s="841" t="s">
        <v>3197</v>
      </c>
      <c r="L10687" s="841" t="s">
        <v>443</v>
      </c>
      <c r="M10687" s="1357"/>
      <c r="P10687" s="841" t="s">
        <v>3205</v>
      </c>
      <c r="Q10687" s="1357"/>
      <c r="S10687" s="1420"/>
      <c r="T10687" s="1420">
        <v>43585</v>
      </c>
      <c r="V10687" s="1357">
        <v>139</v>
      </c>
    </row>
    <row r="10688" spans="1:22" s="841" customFormat="1" ht="15" x14ac:dyDescent="0.25">
      <c r="A10688" s="841" t="s">
        <v>186</v>
      </c>
      <c r="E10688" s="1690" t="s">
        <v>5130</v>
      </c>
      <c r="F10688" s="1908"/>
      <c r="G10688" s="1408" t="s">
        <v>24</v>
      </c>
      <c r="H10688" s="393">
        <v>-8.9999999999999998E-4</v>
      </c>
      <c r="K10688" s="841" t="s">
        <v>3197</v>
      </c>
      <c r="L10688" s="841" t="s">
        <v>443</v>
      </c>
      <c r="M10688" s="1357"/>
      <c r="P10688" s="841" t="s">
        <v>3207</v>
      </c>
      <c r="Q10688" s="1357"/>
      <c r="S10688" s="1420"/>
      <c r="T10688" s="1420">
        <v>43585</v>
      </c>
      <c r="V10688" s="1357">
        <v>96</v>
      </c>
    </row>
    <row r="10689" spans="1:22" s="841" customFormat="1" ht="15" x14ac:dyDescent="0.25">
      <c r="A10689" s="841" t="s">
        <v>186</v>
      </c>
      <c r="E10689" s="1690" t="s">
        <v>221</v>
      </c>
      <c r="F10689" s="1690"/>
      <c r="G10689" s="1408" t="s">
        <v>24</v>
      </c>
      <c r="H10689" s="393">
        <v>4.8999999999999998E-3</v>
      </c>
      <c r="K10689" s="841" t="s">
        <v>3197</v>
      </c>
      <c r="L10689" s="841" t="s">
        <v>444</v>
      </c>
      <c r="M10689" s="1357"/>
      <c r="P10689" s="841" t="s">
        <v>3208</v>
      </c>
      <c r="Q10689" s="1357"/>
      <c r="S10689" s="1420"/>
      <c r="T10689" s="1420"/>
      <c r="V10689" s="1357">
        <v>47</v>
      </c>
    </row>
    <row r="10690" spans="1:22" s="841" customFormat="1" ht="15" x14ac:dyDescent="0.25">
      <c r="A10690" s="841" t="s">
        <v>186</v>
      </c>
      <c r="E10690" s="1690" t="s">
        <v>217</v>
      </c>
      <c r="F10690" s="1690"/>
      <c r="G10690" s="1408" t="s">
        <v>24</v>
      </c>
      <c r="H10690" s="393">
        <v>4.7000000000000002E-3</v>
      </c>
      <c r="K10690" s="841" t="s">
        <v>3197</v>
      </c>
      <c r="L10690" s="841" t="s">
        <v>444</v>
      </c>
      <c r="M10690" s="1357"/>
      <c r="P10690" s="841" t="s">
        <v>3209</v>
      </c>
      <c r="Q10690" s="1357"/>
      <c r="S10690" s="1420"/>
      <c r="T10690" s="1420"/>
      <c r="V10690" s="1357">
        <v>74</v>
      </c>
    </row>
    <row r="10691" spans="1:22" s="841" customFormat="1" ht="15" x14ac:dyDescent="0.25">
      <c r="A10691" s="841" t="s">
        <v>186</v>
      </c>
      <c r="E10691" s="1694" t="s">
        <v>3079</v>
      </c>
      <c r="F10691" s="1690"/>
      <c r="G10691" s="1408"/>
      <c r="H10691" s="1408"/>
      <c r="K10691" s="841" t="s">
        <v>3080</v>
      </c>
      <c r="M10691" s="1357"/>
      <c r="Q10691" s="1357"/>
      <c r="S10691" s="1420"/>
      <c r="T10691" s="1420"/>
      <c r="V10691" s="1357">
        <v>48</v>
      </c>
    </row>
    <row r="10692" spans="1:22" s="841" customFormat="1" ht="15" x14ac:dyDescent="0.25">
      <c r="A10692" s="841" t="s">
        <v>186</v>
      </c>
      <c r="E10692" s="1918" t="s">
        <v>2449</v>
      </c>
      <c r="F10692" s="1918"/>
      <c r="G10692" s="679" t="s">
        <v>24</v>
      </c>
      <c r="H10692" s="393">
        <v>3.2000000000000002E-3</v>
      </c>
      <c r="K10692" s="841" t="s">
        <v>3197</v>
      </c>
      <c r="L10692" s="841" t="s">
        <v>3046</v>
      </c>
      <c r="M10692" s="1357"/>
      <c r="P10692" s="841" t="s">
        <v>3210</v>
      </c>
      <c r="Q10692" s="1357"/>
      <c r="S10692" s="1420"/>
      <c r="T10692" s="1420"/>
      <c r="V10692" s="1357">
        <v>55</v>
      </c>
    </row>
    <row r="10693" spans="1:22" s="841" customFormat="1" ht="15" x14ac:dyDescent="0.25">
      <c r="A10693" s="841" t="s">
        <v>186</v>
      </c>
      <c r="E10693" s="1918" t="s">
        <v>2450</v>
      </c>
      <c r="F10693" s="1918"/>
      <c r="G10693" s="679" t="s">
        <v>24</v>
      </c>
      <c r="H10693" s="393">
        <v>4.0000000000000002E-4</v>
      </c>
      <c r="K10693" s="841" t="s">
        <v>3197</v>
      </c>
      <c r="L10693" s="841" t="s">
        <v>3046</v>
      </c>
      <c r="M10693" s="1357"/>
      <c r="P10693" s="841" t="s">
        <v>3210</v>
      </c>
      <c r="Q10693" s="1357"/>
      <c r="S10693" s="1420"/>
      <c r="T10693" s="1420"/>
      <c r="V10693" s="1357">
        <v>65</v>
      </c>
    </row>
    <row r="10694" spans="1:22" s="841" customFormat="1" ht="15" x14ac:dyDescent="0.25">
      <c r="A10694" s="841" t="s">
        <v>186</v>
      </c>
      <c r="E10694" s="1918" t="s">
        <v>439</v>
      </c>
      <c r="F10694" s="1918"/>
      <c r="G10694" s="679" t="s">
        <v>24</v>
      </c>
      <c r="H10694" s="393">
        <v>2.9999999999999997E-4</v>
      </c>
      <c r="K10694" s="841" t="s">
        <v>3197</v>
      </c>
      <c r="L10694" s="841" t="s">
        <v>3046</v>
      </c>
      <c r="M10694" s="1357"/>
      <c r="P10694" s="841" t="s">
        <v>3212</v>
      </c>
      <c r="Q10694" s="1357"/>
      <c r="S10694" s="1420"/>
      <c r="T10694" s="1420"/>
      <c r="V10694" s="1357">
        <v>57</v>
      </c>
    </row>
    <row r="10695" spans="1:22" s="841" customFormat="1" ht="15" x14ac:dyDescent="0.25">
      <c r="A10695" s="841" t="s">
        <v>186</v>
      </c>
      <c r="E10695" s="1918" t="s">
        <v>32</v>
      </c>
      <c r="F10695" s="1918"/>
      <c r="G10695" s="679" t="s">
        <v>23</v>
      </c>
      <c r="H10695" s="391">
        <v>0.25</v>
      </c>
      <c r="K10695" s="841" t="s">
        <v>3197</v>
      </c>
      <c r="L10695" s="841" t="s">
        <v>3046</v>
      </c>
      <c r="M10695" s="1357"/>
      <c r="P10695" s="841" t="s">
        <v>3213</v>
      </c>
      <c r="Q10695" s="1357"/>
      <c r="S10695" s="1420"/>
      <c r="T10695" s="1420"/>
      <c r="V10695" s="1357">
        <v>63</v>
      </c>
    </row>
    <row r="10696" spans="1:22" s="841" customFormat="1" x14ac:dyDescent="0.25">
      <c r="A10696" s="841" t="s">
        <v>186</v>
      </c>
      <c r="E10696" s="1909" t="s">
        <v>3214</v>
      </c>
      <c r="F10696" s="1915"/>
      <c r="G10696" s="1915"/>
      <c r="H10696" s="1915"/>
      <c r="K10696" s="841" t="s">
        <v>5110</v>
      </c>
      <c r="M10696" s="1357"/>
      <c r="Q10696" s="1357"/>
      <c r="S10696" s="1420"/>
      <c r="T10696" s="1420"/>
      <c r="V10696" s="1357">
        <v>54</v>
      </c>
    </row>
    <row r="10697" spans="1:22" s="841" customFormat="1" ht="15" x14ac:dyDescent="0.25">
      <c r="A10697" s="841" t="s">
        <v>186</v>
      </c>
      <c r="E10697" s="1689" t="s">
        <v>4087</v>
      </c>
      <c r="F10697" s="1689"/>
      <c r="G10697" s="1689"/>
      <c r="H10697" s="1689"/>
      <c r="K10697" s="841" t="s">
        <v>5110</v>
      </c>
      <c r="M10697" s="1357"/>
      <c r="Q10697" s="1357"/>
      <c r="S10697" s="1420"/>
      <c r="T10697" s="1420"/>
      <c r="V10697" s="1357">
        <v>789</v>
      </c>
    </row>
    <row r="10698" spans="1:22" s="841" customFormat="1" ht="15" x14ac:dyDescent="0.25">
      <c r="A10698" s="841" t="s">
        <v>186</v>
      </c>
      <c r="E10698" s="1916" t="s">
        <v>3061</v>
      </c>
      <c r="F10698" s="1697"/>
      <c r="G10698" s="1697"/>
      <c r="H10698" s="1697"/>
      <c r="K10698" s="841" t="s">
        <v>3086</v>
      </c>
      <c r="M10698" s="1357"/>
      <c r="Q10698" s="1357"/>
      <c r="S10698" s="1420"/>
      <c r="T10698" s="1420"/>
      <c r="V10698" s="1357">
        <v>11</v>
      </c>
    </row>
    <row r="10699" spans="1:22" s="841" customFormat="1" ht="15" x14ac:dyDescent="0.25">
      <c r="A10699" s="841" t="s">
        <v>186</v>
      </c>
      <c r="E10699" s="1689" t="s">
        <v>3063</v>
      </c>
      <c r="F10699" s="1689"/>
      <c r="G10699" s="1689"/>
      <c r="H10699" s="1689"/>
      <c r="K10699" s="841" t="s">
        <v>5110</v>
      </c>
      <c r="M10699" s="1357"/>
      <c r="Q10699" s="1357"/>
      <c r="S10699" s="1420"/>
      <c r="T10699" s="1420"/>
      <c r="V10699" s="1357">
        <v>280</v>
      </c>
    </row>
    <row r="10700" spans="1:22" s="841" customFormat="1" ht="15" x14ac:dyDescent="0.25">
      <c r="A10700" s="841" t="s">
        <v>186</v>
      </c>
      <c r="E10700" s="1689" t="s">
        <v>3064</v>
      </c>
      <c r="F10700" s="1689"/>
      <c r="G10700" s="1689"/>
      <c r="H10700" s="1689"/>
      <c r="K10700" s="841" t="s">
        <v>5110</v>
      </c>
      <c r="M10700" s="1357"/>
      <c r="Q10700" s="1357"/>
      <c r="S10700" s="1420"/>
      <c r="T10700" s="1420"/>
      <c r="V10700" s="1357">
        <v>411</v>
      </c>
    </row>
    <row r="10701" spans="1:22" s="841" customFormat="1" ht="15" x14ac:dyDescent="0.25">
      <c r="A10701" s="841" t="s">
        <v>186</v>
      </c>
      <c r="E10701" s="1689" t="s">
        <v>3199</v>
      </c>
      <c r="F10701" s="1689"/>
      <c r="G10701" s="1689"/>
      <c r="H10701" s="1689"/>
      <c r="K10701" s="841" t="s">
        <v>5110</v>
      </c>
      <c r="M10701" s="1357"/>
      <c r="Q10701" s="1357"/>
      <c r="S10701" s="1420"/>
      <c r="T10701" s="1420"/>
      <c r="V10701" s="1357">
        <v>386</v>
      </c>
    </row>
    <row r="10702" spans="1:22" s="841" customFormat="1" ht="15" x14ac:dyDescent="0.25">
      <c r="A10702" s="841" t="s">
        <v>186</v>
      </c>
      <c r="E10702" s="1689" t="s">
        <v>3200</v>
      </c>
      <c r="F10702" s="1689"/>
      <c r="G10702" s="1689"/>
      <c r="H10702" s="1689"/>
      <c r="K10702" s="841" t="s">
        <v>5110</v>
      </c>
      <c r="M10702" s="1357"/>
      <c r="Q10702" s="1357"/>
      <c r="S10702" s="1420"/>
      <c r="T10702" s="1420"/>
      <c r="V10702" s="1357">
        <v>275</v>
      </c>
    </row>
    <row r="10703" spans="1:22" s="841" customFormat="1" ht="15" x14ac:dyDescent="0.25">
      <c r="A10703" s="841" t="s">
        <v>186</v>
      </c>
      <c r="E10703" s="1694" t="s">
        <v>3067</v>
      </c>
      <c r="F10703" s="1907"/>
      <c r="G10703" s="1907"/>
      <c r="H10703" s="1907"/>
      <c r="K10703" s="841" t="s">
        <v>3087</v>
      </c>
      <c r="M10703" s="1357"/>
      <c r="Q10703" s="1357"/>
      <c r="S10703" s="1420"/>
      <c r="T10703" s="1420"/>
      <c r="V10703" s="1357">
        <v>46</v>
      </c>
    </row>
    <row r="10704" spans="1:22" s="841" customFormat="1" ht="15" x14ac:dyDescent="0.25">
      <c r="A10704" s="841" t="s">
        <v>186</v>
      </c>
      <c r="E10704" s="1690" t="s">
        <v>11</v>
      </c>
      <c r="F10704" s="1690"/>
      <c r="G10704" s="1408" t="s">
        <v>23</v>
      </c>
      <c r="H10704" s="391">
        <v>32.590000000000003</v>
      </c>
      <c r="K10704" s="841" t="s">
        <v>5110</v>
      </c>
      <c r="L10704" s="841" t="s">
        <v>442</v>
      </c>
      <c r="M10704" s="1357"/>
      <c r="P10704" s="841" t="s">
        <v>5111</v>
      </c>
      <c r="Q10704" s="1357"/>
      <c r="S10704" s="1420"/>
      <c r="T10704" s="1420"/>
      <c r="V10704" s="1357">
        <v>14</v>
      </c>
    </row>
    <row r="10705" spans="1:22" s="841" customFormat="1" ht="15" x14ac:dyDescent="0.25">
      <c r="A10705" s="841" t="s">
        <v>186</v>
      </c>
      <c r="E10705" s="1937" t="s">
        <v>5776</v>
      </c>
      <c r="F10705" s="1937"/>
      <c r="G10705" s="1408" t="s">
        <v>23</v>
      </c>
      <c r="H10705" s="391">
        <v>0.41</v>
      </c>
      <c r="K10705" s="841" t="s">
        <v>5110</v>
      </c>
      <c r="L10705" s="841" t="s">
        <v>442</v>
      </c>
      <c r="M10705" s="1357"/>
      <c r="P10705" s="841" t="s">
        <v>6419</v>
      </c>
      <c r="Q10705" s="1357"/>
      <c r="S10705" s="1420"/>
      <c r="T10705" s="1420"/>
      <c r="V10705" s="1357">
        <v>146</v>
      </c>
    </row>
    <row r="10706" spans="1:22" s="841" customFormat="1" ht="15" x14ac:dyDescent="0.25">
      <c r="A10706" s="841" t="s">
        <v>186</v>
      </c>
      <c r="E10706" s="1690" t="s">
        <v>5318</v>
      </c>
      <c r="F10706" s="1690"/>
      <c r="G10706" s="1408" t="s">
        <v>23</v>
      </c>
      <c r="H10706" s="391">
        <v>0.56999999999999995</v>
      </c>
      <c r="K10706" s="841" t="s">
        <v>5110</v>
      </c>
      <c r="L10706" s="841" t="s">
        <v>443</v>
      </c>
      <c r="M10706" s="1357"/>
      <c r="P10706" s="841" t="s">
        <v>5112</v>
      </c>
      <c r="Q10706" s="1357"/>
      <c r="S10706" s="1420"/>
      <c r="T10706" s="1420">
        <v>44926</v>
      </c>
      <c r="V10706" s="1357">
        <v>79</v>
      </c>
    </row>
    <row r="10707" spans="1:22" s="841" customFormat="1" ht="15" x14ac:dyDescent="0.25">
      <c r="A10707" s="841" t="s">
        <v>186</v>
      </c>
      <c r="E10707" s="1690" t="s">
        <v>84</v>
      </c>
      <c r="F10707" s="1690"/>
      <c r="G10707" s="1408" t="s">
        <v>24</v>
      </c>
      <c r="H10707" s="393">
        <v>1.09E-2</v>
      </c>
      <c r="K10707" s="841" t="s">
        <v>5110</v>
      </c>
      <c r="L10707" s="841" t="s">
        <v>442</v>
      </c>
      <c r="M10707" s="1357"/>
      <c r="P10707" s="841" t="s">
        <v>5113</v>
      </c>
      <c r="Q10707" s="1357"/>
      <c r="S10707" s="1420"/>
      <c r="T10707" s="1420"/>
      <c r="V10707" s="1357">
        <v>28</v>
      </c>
    </row>
    <row r="10708" spans="1:22" s="841" customFormat="1" ht="15" x14ac:dyDescent="0.25">
      <c r="A10708" s="841" t="s">
        <v>186</v>
      </c>
      <c r="E10708" s="1690" t="s">
        <v>5129</v>
      </c>
      <c r="F10708" s="1908"/>
      <c r="G10708" s="1408" t="s">
        <v>24</v>
      </c>
      <c r="H10708" s="393">
        <v>-8.9999999999999998E-4</v>
      </c>
      <c r="K10708" s="841" t="s">
        <v>5110</v>
      </c>
      <c r="L10708" s="841" t="s">
        <v>443</v>
      </c>
      <c r="M10708" s="1357"/>
      <c r="P10708" s="841" t="s">
        <v>4818</v>
      </c>
      <c r="Q10708" s="1357"/>
      <c r="S10708" s="1420"/>
      <c r="T10708" s="1420">
        <v>43585</v>
      </c>
      <c r="V10708" s="1357">
        <v>139</v>
      </c>
    </row>
    <row r="10709" spans="1:22" s="841" customFormat="1" ht="15" x14ac:dyDescent="0.25">
      <c r="A10709" s="841" t="s">
        <v>186</v>
      </c>
      <c r="E10709" s="1690" t="s">
        <v>5130</v>
      </c>
      <c r="F10709" s="1908"/>
      <c r="G10709" s="1408" t="s">
        <v>24</v>
      </c>
      <c r="H10709" s="393">
        <v>-8.0000000000000004E-4</v>
      </c>
      <c r="K10709" s="841" t="s">
        <v>5110</v>
      </c>
      <c r="L10709" s="841" t="s">
        <v>443</v>
      </c>
      <c r="M10709" s="1357"/>
      <c r="P10709" s="841" t="s">
        <v>5124</v>
      </c>
      <c r="Q10709" s="1357"/>
      <c r="S10709" s="1420"/>
      <c r="T10709" s="1420">
        <v>43585</v>
      </c>
      <c r="V10709" s="1357">
        <v>96</v>
      </c>
    </row>
    <row r="10710" spans="1:22" s="841" customFormat="1" ht="15" x14ac:dyDescent="0.25">
      <c r="A10710" s="841" t="s">
        <v>186</v>
      </c>
      <c r="E10710" s="1937" t="s">
        <v>5776</v>
      </c>
      <c r="F10710" s="1937"/>
      <c r="G10710" s="1408" t="s">
        <v>24</v>
      </c>
      <c r="H10710" s="393">
        <v>1E-4</v>
      </c>
      <c r="K10710" s="841" t="s">
        <v>5110</v>
      </c>
      <c r="L10710" s="841" t="s">
        <v>442</v>
      </c>
      <c r="M10710" s="1357"/>
      <c r="P10710" s="841" t="s">
        <v>6420</v>
      </c>
      <c r="Q10710" s="1357"/>
      <c r="S10710" s="1420"/>
      <c r="T10710" s="1420"/>
      <c r="V10710" s="1357">
        <v>146</v>
      </c>
    </row>
    <row r="10711" spans="1:22" s="841" customFormat="1" ht="15" x14ac:dyDescent="0.25">
      <c r="A10711" s="841" t="s">
        <v>186</v>
      </c>
      <c r="E10711" s="1690" t="s">
        <v>221</v>
      </c>
      <c r="F10711" s="1690"/>
      <c r="G10711" s="1408" t="s">
        <v>24</v>
      </c>
      <c r="H10711" s="393">
        <v>4.5999999999999999E-3</v>
      </c>
      <c r="K10711" s="841" t="s">
        <v>5110</v>
      </c>
      <c r="L10711" s="841" t="s">
        <v>444</v>
      </c>
      <c r="M10711" s="1357"/>
      <c r="P10711" s="841" t="s">
        <v>5115</v>
      </c>
      <c r="Q10711" s="1357"/>
      <c r="S10711" s="1420"/>
      <c r="T10711" s="1420"/>
      <c r="V10711" s="1357">
        <v>47</v>
      </c>
    </row>
    <row r="10712" spans="1:22" s="841" customFormat="1" ht="15" x14ac:dyDescent="0.25">
      <c r="A10712" s="841" t="s">
        <v>186</v>
      </c>
      <c r="E10712" s="1690" t="s">
        <v>3628</v>
      </c>
      <c r="F10712" s="1690"/>
      <c r="G10712" s="1408" t="s">
        <v>24</v>
      </c>
      <c r="H10712" s="393">
        <v>4.1999999999999997E-3</v>
      </c>
      <c r="K10712" s="841" t="s">
        <v>5110</v>
      </c>
      <c r="L10712" s="841" t="s">
        <v>444</v>
      </c>
      <c r="M10712" s="1357"/>
      <c r="P10712" s="841" t="s">
        <v>5733</v>
      </c>
      <c r="Q10712" s="1357"/>
      <c r="S10712" s="1420"/>
      <c r="T10712" s="1420"/>
      <c r="V10712" s="1357">
        <v>75</v>
      </c>
    </row>
    <row r="10713" spans="1:22" s="841" customFormat="1" ht="15" x14ac:dyDescent="0.25">
      <c r="A10713" s="841" t="s">
        <v>186</v>
      </c>
      <c r="E10713" s="1694" t="s">
        <v>3079</v>
      </c>
      <c r="F10713" s="1690"/>
      <c r="G10713" s="1408"/>
      <c r="H10713" s="1408"/>
      <c r="K10713" s="841" t="s">
        <v>3093</v>
      </c>
      <c r="M10713" s="1357"/>
      <c r="Q10713" s="1357"/>
      <c r="S10713" s="1420"/>
      <c r="T10713" s="1420"/>
      <c r="V10713" s="1357">
        <v>48</v>
      </c>
    </row>
    <row r="10714" spans="1:22" s="841" customFormat="1" ht="15" x14ac:dyDescent="0.25">
      <c r="A10714" s="841" t="s">
        <v>186</v>
      </c>
      <c r="E10714" s="1918" t="s">
        <v>2449</v>
      </c>
      <c r="F10714" s="1918"/>
      <c r="G10714" s="679" t="s">
        <v>24</v>
      </c>
      <c r="H10714" s="393">
        <v>3.2000000000000002E-3</v>
      </c>
      <c r="K10714" s="841" t="s">
        <v>5110</v>
      </c>
      <c r="L10714" s="841" t="s">
        <v>3046</v>
      </c>
      <c r="M10714" s="1357"/>
      <c r="P10714" s="841" t="s">
        <v>5117</v>
      </c>
      <c r="Q10714" s="1357"/>
      <c r="S10714" s="1420"/>
      <c r="T10714" s="1420"/>
      <c r="V10714" s="1357">
        <v>55</v>
      </c>
    </row>
    <row r="10715" spans="1:22" s="841" customFormat="1" ht="15" x14ac:dyDescent="0.25">
      <c r="A10715" s="841" t="s">
        <v>186</v>
      </c>
      <c r="E10715" s="1918" t="s">
        <v>2450</v>
      </c>
      <c r="F10715" s="1918"/>
      <c r="G10715" s="679" t="s">
        <v>24</v>
      </c>
      <c r="H10715" s="393">
        <v>4.0000000000000002E-4</v>
      </c>
      <c r="K10715" s="841" t="s">
        <v>5110</v>
      </c>
      <c r="L10715" s="841" t="s">
        <v>3046</v>
      </c>
      <c r="M10715" s="1357"/>
      <c r="P10715" s="841" t="s">
        <v>5117</v>
      </c>
      <c r="Q10715" s="1357"/>
      <c r="S10715" s="1420"/>
      <c r="T10715" s="1420"/>
      <c r="V10715" s="1357">
        <v>65</v>
      </c>
    </row>
    <row r="10716" spans="1:22" s="841" customFormat="1" ht="15" x14ac:dyDescent="0.25">
      <c r="A10716" s="841" t="s">
        <v>186</v>
      </c>
      <c r="E10716" s="1918" t="s">
        <v>439</v>
      </c>
      <c r="F10716" s="1918"/>
      <c r="G10716" s="679" t="s">
        <v>24</v>
      </c>
      <c r="H10716" s="393">
        <v>2.9999999999999997E-4</v>
      </c>
      <c r="K10716" s="841" t="s">
        <v>5110</v>
      </c>
      <c r="L10716" s="841" t="s">
        <v>3046</v>
      </c>
      <c r="M10716" s="1357"/>
      <c r="P10716" s="841" t="s">
        <v>5118</v>
      </c>
      <c r="Q10716" s="1357"/>
      <c r="S10716" s="1420"/>
      <c r="T10716" s="1420"/>
      <c r="V10716" s="1357">
        <v>57</v>
      </c>
    </row>
    <row r="10717" spans="1:22" s="841" customFormat="1" ht="15" x14ac:dyDescent="0.25">
      <c r="A10717" s="841" t="s">
        <v>186</v>
      </c>
      <c r="E10717" s="1918" t="s">
        <v>32</v>
      </c>
      <c r="F10717" s="1918"/>
      <c r="G10717" s="679" t="s">
        <v>23</v>
      </c>
      <c r="H10717" s="391">
        <v>0.25</v>
      </c>
      <c r="K10717" s="841" t="s">
        <v>5110</v>
      </c>
      <c r="L10717" s="841" t="s">
        <v>3046</v>
      </c>
      <c r="M10717" s="1357"/>
      <c r="P10717" s="841" t="s">
        <v>5119</v>
      </c>
      <c r="Q10717" s="1357"/>
      <c r="S10717" s="1420"/>
      <c r="T10717" s="1420"/>
      <c r="V10717" s="1357">
        <v>63</v>
      </c>
    </row>
    <row r="10718" spans="1:22" s="841" customFormat="1" x14ac:dyDescent="0.25">
      <c r="A10718" s="841" t="s">
        <v>186</v>
      </c>
      <c r="E10718" s="1909" t="s">
        <v>616</v>
      </c>
      <c r="F10718" s="1915"/>
      <c r="G10718" s="1915"/>
      <c r="H10718" s="1915"/>
      <c r="K10718" s="841" t="s">
        <v>6095</v>
      </c>
      <c r="M10718" s="1357"/>
      <c r="Q10718" s="1357"/>
      <c r="S10718" s="1420"/>
      <c r="T10718" s="1420"/>
      <c r="V10718" s="1357">
        <v>53</v>
      </c>
    </row>
    <row r="10719" spans="1:22" s="841" customFormat="1" ht="15" x14ac:dyDescent="0.25">
      <c r="A10719" s="841" t="s">
        <v>186</v>
      </c>
      <c r="E10719" s="1689" t="s">
        <v>4088</v>
      </c>
      <c r="F10719" s="1689"/>
      <c r="G10719" s="1689"/>
      <c r="H10719" s="1689"/>
      <c r="K10719" s="841" t="s">
        <v>6095</v>
      </c>
      <c r="M10719" s="1357"/>
      <c r="Q10719" s="1357"/>
      <c r="S10719" s="1420"/>
      <c r="T10719" s="1420"/>
      <c r="V10719" s="1357">
        <v>746</v>
      </c>
    </row>
    <row r="10720" spans="1:22" s="841" customFormat="1" ht="15" x14ac:dyDescent="0.25">
      <c r="A10720" s="841" t="s">
        <v>186</v>
      </c>
      <c r="E10720" s="1916" t="s">
        <v>3061</v>
      </c>
      <c r="F10720" s="1697"/>
      <c r="G10720" s="1697"/>
      <c r="H10720" s="1697"/>
      <c r="K10720" s="841" t="s">
        <v>3098</v>
      </c>
      <c r="M10720" s="1357"/>
      <c r="Q10720" s="1357"/>
      <c r="S10720" s="1420"/>
      <c r="T10720" s="1420"/>
      <c r="V10720" s="1357">
        <v>11</v>
      </c>
    </row>
    <row r="10721" spans="1:22" s="841" customFormat="1" ht="15" x14ac:dyDescent="0.25">
      <c r="A10721" s="841" t="s">
        <v>186</v>
      </c>
      <c r="E10721" s="1689" t="s">
        <v>3063</v>
      </c>
      <c r="F10721" s="1689"/>
      <c r="G10721" s="1689"/>
      <c r="H10721" s="1689"/>
      <c r="K10721" s="841" t="s">
        <v>6095</v>
      </c>
      <c r="M10721" s="1357"/>
      <c r="Q10721" s="1357"/>
      <c r="S10721" s="1420"/>
      <c r="T10721" s="1420"/>
      <c r="V10721" s="1357">
        <v>280</v>
      </c>
    </row>
    <row r="10722" spans="1:22" s="841" customFormat="1" ht="15" x14ac:dyDescent="0.25">
      <c r="A10722" s="841" t="s">
        <v>186</v>
      </c>
      <c r="E10722" s="1689" t="s">
        <v>3064</v>
      </c>
      <c r="F10722" s="1689"/>
      <c r="G10722" s="1689"/>
      <c r="H10722" s="1689"/>
      <c r="K10722" s="841" t="s">
        <v>6095</v>
      </c>
      <c r="M10722" s="1357"/>
      <c r="Q10722" s="1357"/>
      <c r="S10722" s="1420"/>
      <c r="T10722" s="1420"/>
      <c r="V10722" s="1357">
        <v>411</v>
      </c>
    </row>
    <row r="10723" spans="1:22" s="841" customFormat="1" ht="15" x14ac:dyDescent="0.25">
      <c r="A10723" s="841" t="s">
        <v>186</v>
      </c>
      <c r="E10723" s="1689" t="s">
        <v>3199</v>
      </c>
      <c r="F10723" s="1689"/>
      <c r="G10723" s="1689"/>
      <c r="H10723" s="1689"/>
      <c r="K10723" s="841" t="s">
        <v>6095</v>
      </c>
      <c r="M10723" s="1357"/>
      <c r="Q10723" s="1357"/>
      <c r="S10723" s="1420"/>
      <c r="T10723" s="1420"/>
      <c r="V10723" s="1357">
        <v>386</v>
      </c>
    </row>
    <row r="10724" spans="1:22" s="841" customFormat="1" ht="15" x14ac:dyDescent="0.25">
      <c r="A10724" s="841" t="s">
        <v>186</v>
      </c>
      <c r="E10724" s="1689" t="s">
        <v>5777</v>
      </c>
      <c r="F10724" s="1689"/>
      <c r="G10724" s="1689"/>
      <c r="H10724" s="1689"/>
      <c r="K10724" s="841" t="s">
        <v>6095</v>
      </c>
      <c r="M10724" s="1357"/>
      <c r="Q10724" s="1357"/>
      <c r="S10724" s="1420"/>
      <c r="T10724" s="1420"/>
      <c r="V10724" s="1357">
        <v>657</v>
      </c>
    </row>
    <row r="10725" spans="1:22" s="841" customFormat="1" ht="15" x14ac:dyDescent="0.25">
      <c r="A10725" s="841" t="s">
        <v>186</v>
      </c>
      <c r="E10725" s="1689" t="s">
        <v>3200</v>
      </c>
      <c r="F10725" s="1689"/>
      <c r="G10725" s="1689"/>
      <c r="H10725" s="1689"/>
      <c r="K10725" s="841" t="s">
        <v>6095</v>
      </c>
      <c r="M10725" s="1357"/>
      <c r="Q10725" s="1357"/>
      <c r="S10725" s="1420"/>
      <c r="T10725" s="1420"/>
      <c r="V10725" s="1357">
        <v>275</v>
      </c>
    </row>
    <row r="10726" spans="1:22" s="841" customFormat="1" ht="15" x14ac:dyDescent="0.25">
      <c r="A10726" s="841" t="s">
        <v>186</v>
      </c>
      <c r="E10726" s="1694" t="s">
        <v>3067</v>
      </c>
      <c r="F10726" s="1907"/>
      <c r="G10726" s="1907"/>
      <c r="H10726" s="1907"/>
      <c r="K10726" s="841" t="s">
        <v>3099</v>
      </c>
      <c r="M10726" s="1357"/>
      <c r="Q10726" s="1357"/>
      <c r="S10726" s="1420"/>
      <c r="T10726" s="1420"/>
      <c r="V10726" s="1357">
        <v>46</v>
      </c>
    </row>
    <row r="10727" spans="1:22" s="841" customFormat="1" ht="15" x14ac:dyDescent="0.25">
      <c r="A10727" s="841" t="s">
        <v>186</v>
      </c>
      <c r="E10727" s="1690" t="s">
        <v>11</v>
      </c>
      <c r="F10727" s="1690"/>
      <c r="G10727" s="1408" t="s">
        <v>23</v>
      </c>
      <c r="H10727" s="391">
        <v>159.19999999999999</v>
      </c>
      <c r="K10727" s="841" t="s">
        <v>6095</v>
      </c>
      <c r="L10727" s="841" t="s">
        <v>442</v>
      </c>
      <c r="M10727" s="1357"/>
      <c r="P10727" s="841" t="s">
        <v>6096</v>
      </c>
      <c r="Q10727" s="1357"/>
      <c r="S10727" s="1420"/>
      <c r="T10727" s="1420"/>
      <c r="V10727" s="1357">
        <v>14</v>
      </c>
    </row>
    <row r="10728" spans="1:22" s="841" customFormat="1" ht="15" x14ac:dyDescent="0.25">
      <c r="A10728" s="841" t="s">
        <v>186</v>
      </c>
      <c r="E10728" s="1937" t="s">
        <v>5776</v>
      </c>
      <c r="F10728" s="1937"/>
      <c r="G10728" s="1408" t="s">
        <v>23</v>
      </c>
      <c r="H10728" s="391">
        <v>2.0099999999999998</v>
      </c>
      <c r="K10728" s="841" t="s">
        <v>6095</v>
      </c>
      <c r="L10728" s="841" t="s">
        <v>442</v>
      </c>
      <c r="M10728" s="1357"/>
      <c r="P10728" s="841" t="s">
        <v>6421</v>
      </c>
      <c r="Q10728" s="1357"/>
      <c r="S10728" s="1420"/>
      <c r="T10728" s="1420"/>
      <c r="V10728" s="1357">
        <v>146</v>
      </c>
    </row>
    <row r="10729" spans="1:22" s="841" customFormat="1" ht="15" x14ac:dyDescent="0.25">
      <c r="A10729" s="841" t="s">
        <v>186</v>
      </c>
      <c r="E10729" s="1690" t="s">
        <v>84</v>
      </c>
      <c r="F10729" s="1690"/>
      <c r="G10729" s="1408" t="s">
        <v>33</v>
      </c>
      <c r="H10729" s="393">
        <v>2.7488000000000001</v>
      </c>
      <c r="K10729" s="841" t="s">
        <v>6095</v>
      </c>
      <c r="L10729" s="841" t="s">
        <v>442</v>
      </c>
      <c r="M10729" s="1357"/>
      <c r="P10729" s="841" t="s">
        <v>6097</v>
      </c>
      <c r="Q10729" s="1357"/>
      <c r="S10729" s="1420"/>
      <c r="T10729" s="1420"/>
      <c r="V10729" s="1357">
        <v>28</v>
      </c>
    </row>
    <row r="10730" spans="1:22" s="841" customFormat="1" ht="15" x14ac:dyDescent="0.25">
      <c r="A10730" s="841" t="s">
        <v>186</v>
      </c>
      <c r="E10730" s="1690" t="s">
        <v>5129</v>
      </c>
      <c r="F10730" s="1908"/>
      <c r="G10730" s="1408" t="s">
        <v>24</v>
      </c>
      <c r="H10730" s="393">
        <v>-8.9999999999999998E-4</v>
      </c>
      <c r="K10730" s="841" t="s">
        <v>6095</v>
      </c>
      <c r="L10730" s="841" t="s">
        <v>443</v>
      </c>
      <c r="M10730" s="1357"/>
      <c r="P10730" s="841" t="s">
        <v>6104</v>
      </c>
      <c r="Q10730" s="1357"/>
      <c r="S10730" s="1420"/>
      <c r="T10730" s="1420">
        <v>43585</v>
      </c>
      <c r="V10730" s="1357">
        <v>139</v>
      </c>
    </row>
    <row r="10731" spans="1:22" s="841" customFormat="1" ht="15" x14ac:dyDescent="0.25">
      <c r="A10731" s="841" t="s">
        <v>186</v>
      </c>
      <c r="E10731" s="1690" t="s">
        <v>5305</v>
      </c>
      <c r="F10731" s="1908"/>
      <c r="G10731" s="1408" t="s">
        <v>33</v>
      </c>
      <c r="H10731" s="393">
        <v>-0.34350000000000003</v>
      </c>
      <c r="K10731" s="841" t="s">
        <v>6095</v>
      </c>
      <c r="L10731" s="841" t="s">
        <v>443</v>
      </c>
      <c r="M10731" s="1357"/>
      <c r="P10731" s="841" t="s">
        <v>6105</v>
      </c>
      <c r="Q10731" s="1357"/>
      <c r="S10731" s="1420"/>
      <c r="T10731" s="1420">
        <v>43585</v>
      </c>
      <c r="V10731" s="1357">
        <v>156</v>
      </c>
    </row>
    <row r="10732" spans="1:22" s="841" customFormat="1" ht="15" x14ac:dyDescent="0.25">
      <c r="A10732" s="841" t="s">
        <v>186</v>
      </c>
      <c r="E10732" s="1690" t="s">
        <v>5130</v>
      </c>
      <c r="F10732" s="1908"/>
      <c r="G10732" s="1408" t="s">
        <v>33</v>
      </c>
      <c r="H10732" s="393">
        <v>1.11E-2</v>
      </c>
      <c r="K10732" s="841" t="s">
        <v>6095</v>
      </c>
      <c r="L10732" s="841" t="s">
        <v>443</v>
      </c>
      <c r="M10732" s="1357"/>
      <c r="P10732" s="841" t="s">
        <v>6105</v>
      </c>
      <c r="Q10732" s="1357"/>
      <c r="S10732" s="1420"/>
      <c r="T10732" s="1420">
        <v>43585</v>
      </c>
      <c r="V10732" s="1357">
        <v>96</v>
      </c>
    </row>
    <row r="10733" spans="1:22" s="841" customFormat="1" ht="15" x14ac:dyDescent="0.25">
      <c r="A10733" s="841" t="s">
        <v>186</v>
      </c>
      <c r="E10733" s="1937" t="s">
        <v>5776</v>
      </c>
      <c r="F10733" s="1937"/>
      <c r="G10733" s="1408" t="s">
        <v>33</v>
      </c>
      <c r="H10733" s="393">
        <v>3.4700000000000002E-2</v>
      </c>
      <c r="K10733" s="841" t="s">
        <v>6095</v>
      </c>
      <c r="L10733" s="841" t="s">
        <v>442</v>
      </c>
      <c r="M10733" s="1357"/>
      <c r="P10733" s="841" t="s">
        <v>6422</v>
      </c>
      <c r="Q10733" s="1357"/>
      <c r="S10733" s="1420"/>
      <c r="T10733" s="1420"/>
      <c r="V10733" s="1357">
        <v>146</v>
      </c>
    </row>
    <row r="10734" spans="1:22" s="841" customFormat="1" ht="15" x14ac:dyDescent="0.25">
      <c r="A10734" s="841" t="s">
        <v>186</v>
      </c>
      <c r="E10734" s="1690" t="s">
        <v>221</v>
      </c>
      <c r="F10734" s="1690"/>
      <c r="G10734" s="1408" t="s">
        <v>33</v>
      </c>
      <c r="H10734" s="393">
        <v>1.6143000000000001</v>
      </c>
      <c r="K10734" s="841" t="s">
        <v>6095</v>
      </c>
      <c r="L10734" s="841" t="s">
        <v>444</v>
      </c>
      <c r="M10734" s="1357"/>
      <c r="P10734" s="841" t="s">
        <v>6099</v>
      </c>
      <c r="Q10734" s="1357"/>
      <c r="S10734" s="1420"/>
      <c r="T10734" s="1420"/>
      <c r="V10734" s="1357">
        <v>47</v>
      </c>
    </row>
    <row r="10735" spans="1:22" s="841" customFormat="1" ht="15" x14ac:dyDescent="0.25">
      <c r="A10735" s="841" t="s">
        <v>186</v>
      </c>
      <c r="E10735" s="1690" t="s">
        <v>3628</v>
      </c>
      <c r="F10735" s="1690"/>
      <c r="G10735" s="1408" t="s">
        <v>33</v>
      </c>
      <c r="H10735" s="393">
        <v>1.5254000000000001</v>
      </c>
      <c r="K10735" s="841" t="s">
        <v>6095</v>
      </c>
      <c r="L10735" s="841" t="s">
        <v>444</v>
      </c>
      <c r="M10735" s="1357"/>
      <c r="P10735" s="841" t="s">
        <v>6219</v>
      </c>
      <c r="Q10735" s="1357"/>
      <c r="S10735" s="1420"/>
      <c r="T10735" s="1420"/>
      <c r="V10735" s="1357">
        <v>75</v>
      </c>
    </row>
    <row r="10736" spans="1:22" s="841" customFormat="1" ht="15" x14ac:dyDescent="0.25">
      <c r="A10736" s="841" t="s">
        <v>186</v>
      </c>
      <c r="E10736" s="1690" t="s">
        <v>223</v>
      </c>
      <c r="F10736" s="1690"/>
      <c r="G10736" s="1408" t="s">
        <v>33</v>
      </c>
      <c r="H10736" s="393">
        <v>2.0701000000000001</v>
      </c>
      <c r="K10736" s="841" t="s">
        <v>6095</v>
      </c>
      <c r="L10736" s="841" t="s">
        <v>444</v>
      </c>
      <c r="M10736" s="1357"/>
      <c r="P10736" s="841" t="s">
        <v>6107</v>
      </c>
      <c r="Q10736" s="1357"/>
      <c r="S10736" s="1420"/>
      <c r="T10736" s="1420"/>
      <c r="V10736" s="1357">
        <v>66</v>
      </c>
    </row>
    <row r="10737" spans="1:22" s="841" customFormat="1" ht="15" x14ac:dyDescent="0.25">
      <c r="A10737" s="841" t="s">
        <v>186</v>
      </c>
      <c r="E10737" s="1690" t="s">
        <v>4822</v>
      </c>
      <c r="F10737" s="1690"/>
      <c r="G10737" s="1408" t="s">
        <v>33</v>
      </c>
      <c r="H10737" s="393">
        <v>2.1255999999999999</v>
      </c>
      <c r="K10737" s="841" t="s">
        <v>6095</v>
      </c>
      <c r="L10737" s="841" t="s">
        <v>444</v>
      </c>
      <c r="M10737" s="1357"/>
      <c r="P10737" s="841" t="s">
        <v>6223</v>
      </c>
      <c r="Q10737" s="1357"/>
      <c r="S10737" s="1420"/>
      <c r="T10737" s="1420"/>
      <c r="V10737" s="1357">
        <v>94</v>
      </c>
    </row>
    <row r="10738" spans="1:22" s="841" customFormat="1" ht="15" x14ac:dyDescent="0.25">
      <c r="A10738" s="841" t="s">
        <v>186</v>
      </c>
      <c r="E10738" s="1694" t="s">
        <v>3079</v>
      </c>
      <c r="F10738" s="1690"/>
      <c r="G10738" s="1408"/>
      <c r="H10738" s="1408"/>
      <c r="K10738" s="841" t="s">
        <v>3218</v>
      </c>
      <c r="M10738" s="1357"/>
      <c r="Q10738" s="1357"/>
      <c r="S10738" s="1420"/>
      <c r="T10738" s="1420"/>
      <c r="V10738" s="1357">
        <v>48</v>
      </c>
    </row>
    <row r="10739" spans="1:22" s="841" customFormat="1" ht="15" x14ac:dyDescent="0.25">
      <c r="A10739" s="841" t="s">
        <v>186</v>
      </c>
      <c r="E10739" s="1918" t="s">
        <v>2449</v>
      </c>
      <c r="F10739" s="1918"/>
      <c r="G10739" s="679" t="s">
        <v>24</v>
      </c>
      <c r="H10739" s="393">
        <v>3.2000000000000002E-3</v>
      </c>
      <c r="K10739" s="841" t="s">
        <v>6095</v>
      </c>
      <c r="L10739" s="841" t="s">
        <v>3046</v>
      </c>
      <c r="M10739" s="1357"/>
      <c r="P10739" s="841" t="s">
        <v>6101</v>
      </c>
      <c r="Q10739" s="1357"/>
      <c r="S10739" s="1420"/>
      <c r="T10739" s="1420"/>
      <c r="V10739" s="1357">
        <v>55</v>
      </c>
    </row>
    <row r="10740" spans="1:22" s="841" customFormat="1" ht="15" x14ac:dyDescent="0.25">
      <c r="A10740" s="841" t="s">
        <v>186</v>
      </c>
      <c r="E10740" s="1918" t="s">
        <v>2450</v>
      </c>
      <c r="F10740" s="1918"/>
      <c r="G10740" s="679" t="s">
        <v>24</v>
      </c>
      <c r="H10740" s="393">
        <v>4.0000000000000002E-4</v>
      </c>
      <c r="K10740" s="841" t="s">
        <v>6095</v>
      </c>
      <c r="L10740" s="841" t="s">
        <v>3046</v>
      </c>
      <c r="M10740" s="1357"/>
      <c r="P10740" s="841" t="s">
        <v>6101</v>
      </c>
      <c r="Q10740" s="1357"/>
      <c r="S10740" s="1420"/>
      <c r="T10740" s="1420"/>
      <c r="V10740" s="1357">
        <v>65</v>
      </c>
    </row>
    <row r="10741" spans="1:22" s="841" customFormat="1" ht="15" x14ac:dyDescent="0.25">
      <c r="A10741" s="841" t="s">
        <v>186</v>
      </c>
      <c r="E10741" s="1918" t="s">
        <v>439</v>
      </c>
      <c r="F10741" s="1918"/>
      <c r="G10741" s="679" t="s">
        <v>24</v>
      </c>
      <c r="H10741" s="393">
        <v>2.9999999999999997E-4</v>
      </c>
      <c r="K10741" s="841" t="s">
        <v>6095</v>
      </c>
      <c r="L10741" s="841" t="s">
        <v>3046</v>
      </c>
      <c r="M10741" s="1357"/>
      <c r="P10741" s="841" t="s">
        <v>6102</v>
      </c>
      <c r="Q10741" s="1357"/>
      <c r="S10741" s="1420"/>
      <c r="T10741" s="1420"/>
      <c r="V10741" s="1357">
        <v>57</v>
      </c>
    </row>
    <row r="10742" spans="1:22" s="841" customFormat="1" ht="15" x14ac:dyDescent="0.25">
      <c r="A10742" s="841" t="s">
        <v>186</v>
      </c>
      <c r="E10742" s="1918" t="s">
        <v>32</v>
      </c>
      <c r="F10742" s="1918"/>
      <c r="G10742" s="679" t="s">
        <v>23</v>
      </c>
      <c r="H10742" s="391">
        <v>0.25</v>
      </c>
      <c r="K10742" s="841" t="s">
        <v>6095</v>
      </c>
      <c r="L10742" s="841" t="s">
        <v>3046</v>
      </c>
      <c r="M10742" s="1357"/>
      <c r="P10742" s="841" t="s">
        <v>6103</v>
      </c>
      <c r="Q10742" s="1357"/>
      <c r="S10742" s="1420"/>
      <c r="T10742" s="1420"/>
      <c r="V10742" s="1357">
        <v>63</v>
      </c>
    </row>
    <row r="10743" spans="1:22" s="841" customFormat="1" x14ac:dyDescent="0.25">
      <c r="A10743" s="841" t="s">
        <v>186</v>
      </c>
      <c r="E10743" s="1909" t="s">
        <v>630</v>
      </c>
      <c r="F10743" s="1923"/>
      <c r="G10743" s="1923"/>
      <c r="H10743" s="1923"/>
      <c r="K10743" s="841" t="s">
        <v>5778</v>
      </c>
      <c r="M10743" s="1357"/>
      <c r="Q10743" s="1357"/>
      <c r="S10743" s="1420"/>
      <c r="T10743" s="1420"/>
      <c r="V10743" s="1357">
        <v>72</v>
      </c>
    </row>
    <row r="10744" spans="1:22" s="841" customFormat="1" ht="15" x14ac:dyDescent="0.25">
      <c r="A10744" s="841" t="s">
        <v>186</v>
      </c>
      <c r="E10744" s="1689" t="s">
        <v>4089</v>
      </c>
      <c r="F10744" s="1689"/>
      <c r="G10744" s="1689"/>
      <c r="H10744" s="1689"/>
      <c r="K10744" s="841" t="s">
        <v>5778</v>
      </c>
      <c r="M10744" s="1357"/>
      <c r="Q10744" s="1357"/>
      <c r="S10744" s="1420"/>
      <c r="T10744" s="1420"/>
      <c r="V10744" s="1357">
        <v>904</v>
      </c>
    </row>
    <row r="10745" spans="1:22" s="841" customFormat="1" ht="15" x14ac:dyDescent="0.25">
      <c r="A10745" s="841" t="s">
        <v>186</v>
      </c>
      <c r="E10745" s="1916" t="s">
        <v>3061</v>
      </c>
      <c r="F10745" s="1697"/>
      <c r="G10745" s="1697"/>
      <c r="H10745" s="1697"/>
      <c r="K10745" s="841" t="s">
        <v>3221</v>
      </c>
      <c r="M10745" s="1357"/>
      <c r="Q10745" s="1357"/>
      <c r="S10745" s="1420"/>
      <c r="T10745" s="1420"/>
      <c r="V10745" s="1357">
        <v>11</v>
      </c>
    </row>
    <row r="10746" spans="1:22" s="841" customFormat="1" ht="15" x14ac:dyDescent="0.25">
      <c r="A10746" s="841" t="s">
        <v>186</v>
      </c>
      <c r="E10746" s="1689" t="s">
        <v>3063</v>
      </c>
      <c r="F10746" s="1689"/>
      <c r="G10746" s="1689"/>
      <c r="H10746" s="1689"/>
      <c r="K10746" s="841" t="s">
        <v>5778</v>
      </c>
      <c r="M10746" s="1357"/>
      <c r="Q10746" s="1357"/>
      <c r="S10746" s="1420"/>
      <c r="T10746" s="1420"/>
      <c r="V10746" s="1357">
        <v>280</v>
      </c>
    </row>
    <row r="10747" spans="1:22" s="841" customFormat="1" ht="15" x14ac:dyDescent="0.25">
      <c r="A10747" s="841" t="s">
        <v>186</v>
      </c>
      <c r="E10747" s="1689" t="s">
        <v>3064</v>
      </c>
      <c r="F10747" s="1689"/>
      <c r="G10747" s="1689"/>
      <c r="H10747" s="1689"/>
      <c r="K10747" s="841" t="s">
        <v>5778</v>
      </c>
      <c r="M10747" s="1357"/>
      <c r="Q10747" s="1357"/>
      <c r="S10747" s="1420"/>
      <c r="T10747" s="1420"/>
      <c r="V10747" s="1357">
        <v>411</v>
      </c>
    </row>
    <row r="10748" spans="1:22" s="841" customFormat="1" ht="15" x14ac:dyDescent="0.25">
      <c r="A10748" s="841" t="s">
        <v>186</v>
      </c>
      <c r="E10748" s="1689" t="s">
        <v>3199</v>
      </c>
      <c r="F10748" s="1689"/>
      <c r="G10748" s="1689"/>
      <c r="H10748" s="1689"/>
      <c r="K10748" s="841" t="s">
        <v>5778</v>
      </c>
      <c r="M10748" s="1357"/>
      <c r="Q10748" s="1357"/>
      <c r="S10748" s="1420"/>
      <c r="T10748" s="1420"/>
      <c r="V10748" s="1357">
        <v>386</v>
      </c>
    </row>
    <row r="10749" spans="1:22" s="841" customFormat="1" ht="15" x14ac:dyDescent="0.25">
      <c r="A10749" s="841" t="s">
        <v>186</v>
      </c>
      <c r="E10749" s="1689" t="s">
        <v>5777</v>
      </c>
      <c r="F10749" s="1689"/>
      <c r="G10749" s="1689"/>
      <c r="H10749" s="1689"/>
      <c r="K10749" s="841" t="s">
        <v>5778</v>
      </c>
      <c r="M10749" s="1357"/>
      <c r="Q10749" s="1357"/>
      <c r="S10749" s="1420"/>
      <c r="T10749" s="1420"/>
      <c r="V10749" s="1357">
        <v>657</v>
      </c>
    </row>
    <row r="10750" spans="1:22" s="841" customFormat="1" ht="15" x14ac:dyDescent="0.25">
      <c r="A10750" s="841" t="s">
        <v>186</v>
      </c>
      <c r="E10750" s="1689" t="s">
        <v>3200</v>
      </c>
      <c r="F10750" s="1689"/>
      <c r="G10750" s="1689"/>
      <c r="H10750" s="1689"/>
      <c r="K10750" s="841" t="s">
        <v>5778</v>
      </c>
      <c r="M10750" s="1357"/>
      <c r="Q10750" s="1357"/>
      <c r="S10750" s="1420"/>
      <c r="T10750" s="1420"/>
      <c r="V10750" s="1357">
        <v>275</v>
      </c>
    </row>
    <row r="10751" spans="1:22" s="841" customFormat="1" ht="15" x14ac:dyDescent="0.25">
      <c r="A10751" s="841" t="s">
        <v>186</v>
      </c>
      <c r="E10751" s="1694" t="s">
        <v>3067</v>
      </c>
      <c r="F10751" s="1907"/>
      <c r="G10751" s="1907"/>
      <c r="H10751" s="1907"/>
      <c r="K10751" s="841" t="s">
        <v>3224</v>
      </c>
      <c r="M10751" s="1357"/>
      <c r="Q10751" s="1357"/>
      <c r="S10751" s="1420"/>
      <c r="T10751" s="1420"/>
      <c r="V10751" s="1357">
        <v>46</v>
      </c>
    </row>
    <row r="10752" spans="1:22" s="841" customFormat="1" ht="15" x14ac:dyDescent="0.25">
      <c r="A10752" s="841" t="s">
        <v>186</v>
      </c>
      <c r="E10752" s="1690" t="s">
        <v>11</v>
      </c>
      <c r="F10752" s="1690"/>
      <c r="G10752" s="1408" t="s">
        <v>23</v>
      </c>
      <c r="H10752" s="391">
        <v>2173.5</v>
      </c>
      <c r="K10752" s="841" t="s">
        <v>5778</v>
      </c>
      <c r="L10752" s="841" t="s">
        <v>442</v>
      </c>
      <c r="M10752" s="1357"/>
      <c r="P10752" s="841" t="s">
        <v>5779</v>
      </c>
      <c r="Q10752" s="1357"/>
      <c r="S10752" s="1420"/>
      <c r="T10752" s="1420"/>
      <c r="V10752" s="1357">
        <v>14</v>
      </c>
    </row>
    <row r="10753" spans="1:22" s="841" customFormat="1" ht="15" x14ac:dyDescent="0.25">
      <c r="A10753" s="841" t="s">
        <v>186</v>
      </c>
      <c r="E10753" s="1937" t="s">
        <v>5776</v>
      </c>
      <c r="F10753" s="1937"/>
      <c r="G10753" s="1408" t="s">
        <v>23</v>
      </c>
      <c r="H10753" s="391">
        <v>27.46</v>
      </c>
      <c r="K10753" s="841" t="s">
        <v>5778</v>
      </c>
      <c r="L10753" s="841" t="s">
        <v>442</v>
      </c>
      <c r="M10753" s="1357"/>
      <c r="P10753" s="841" t="s">
        <v>6423</v>
      </c>
      <c r="Q10753" s="1357"/>
      <c r="S10753" s="1420"/>
      <c r="T10753" s="1420"/>
      <c r="V10753" s="1357">
        <v>146</v>
      </c>
    </row>
    <row r="10754" spans="1:22" s="841" customFormat="1" ht="15" x14ac:dyDescent="0.25">
      <c r="A10754" s="841" t="s">
        <v>186</v>
      </c>
      <c r="E10754" s="1690" t="s">
        <v>4090</v>
      </c>
      <c r="F10754" s="1690"/>
      <c r="G10754" s="1408" t="s">
        <v>33</v>
      </c>
      <c r="H10754" s="393">
        <v>3.7968000000000002</v>
      </c>
      <c r="K10754" s="841" t="s">
        <v>5778</v>
      </c>
      <c r="L10754" s="841" t="s">
        <v>442</v>
      </c>
      <c r="M10754" s="1357"/>
      <c r="P10754" s="841" t="s">
        <v>5780</v>
      </c>
      <c r="Q10754" s="1357"/>
      <c r="S10754" s="1420"/>
      <c r="T10754" s="1420"/>
      <c r="V10754" s="1357">
        <v>138</v>
      </c>
    </row>
    <row r="10755" spans="1:22" s="841" customFormat="1" ht="15" x14ac:dyDescent="0.25">
      <c r="A10755" s="841" t="s">
        <v>186</v>
      </c>
      <c r="E10755" s="1690" t="s">
        <v>5129</v>
      </c>
      <c r="F10755" s="1908"/>
      <c r="G10755" s="1408" t="s">
        <v>24</v>
      </c>
      <c r="H10755" s="393">
        <v>-8.9999999999999998E-4</v>
      </c>
      <c r="K10755" s="841" t="s">
        <v>5778</v>
      </c>
      <c r="L10755" s="841" t="s">
        <v>443</v>
      </c>
      <c r="M10755" s="1357"/>
      <c r="P10755" s="841" t="s">
        <v>5781</v>
      </c>
      <c r="Q10755" s="1357"/>
      <c r="S10755" s="1420"/>
      <c r="T10755" s="1420">
        <v>43585</v>
      </c>
      <c r="V10755" s="1357">
        <v>139</v>
      </c>
    </row>
    <row r="10756" spans="1:22" s="841" customFormat="1" ht="15" x14ac:dyDescent="0.25">
      <c r="A10756" s="841" t="s">
        <v>186</v>
      </c>
      <c r="E10756" s="1690" t="s">
        <v>5130</v>
      </c>
      <c r="F10756" s="1908"/>
      <c r="G10756" s="1408" t="s">
        <v>33</v>
      </c>
      <c r="H10756" s="393">
        <v>-0.1704</v>
      </c>
      <c r="K10756" s="841" t="s">
        <v>5778</v>
      </c>
      <c r="L10756" s="841" t="s">
        <v>443</v>
      </c>
      <c r="M10756" s="1357"/>
      <c r="P10756" s="841" t="s">
        <v>5782</v>
      </c>
      <c r="Q10756" s="1357"/>
      <c r="S10756" s="1420"/>
      <c r="T10756" s="1420">
        <v>43585</v>
      </c>
      <c r="V10756" s="1357">
        <v>96</v>
      </c>
    </row>
    <row r="10757" spans="1:22" s="841" customFormat="1" ht="15" x14ac:dyDescent="0.25">
      <c r="A10757" s="841" t="s">
        <v>186</v>
      </c>
      <c r="E10757" s="1937" t="s">
        <v>5776</v>
      </c>
      <c r="F10757" s="1937"/>
      <c r="G10757" s="1408" t="s">
        <v>33</v>
      </c>
      <c r="H10757" s="393">
        <v>4.8000000000000001E-2</v>
      </c>
      <c r="K10757" s="841" t="s">
        <v>5778</v>
      </c>
      <c r="L10757" s="841" t="s">
        <v>442</v>
      </c>
      <c r="M10757" s="1357"/>
      <c r="P10757" s="841" t="s">
        <v>6424</v>
      </c>
      <c r="Q10757" s="1357"/>
      <c r="S10757" s="1420"/>
      <c r="T10757" s="1420"/>
      <c r="V10757" s="1357">
        <v>146</v>
      </c>
    </row>
    <row r="10758" spans="1:22" s="841" customFormat="1" ht="15" x14ac:dyDescent="0.25">
      <c r="A10758" s="841" t="s">
        <v>186</v>
      </c>
      <c r="E10758" s="1690" t="s">
        <v>221</v>
      </c>
      <c r="F10758" s="1690"/>
      <c r="G10758" s="1408" t="s">
        <v>33</v>
      </c>
      <c r="H10758" s="393">
        <v>2.3898999999999999</v>
      </c>
      <c r="K10758" s="841" t="s">
        <v>5778</v>
      </c>
      <c r="L10758" s="841" t="s">
        <v>444</v>
      </c>
      <c r="M10758" s="1357"/>
      <c r="P10758" s="841" t="s">
        <v>5783</v>
      </c>
      <c r="Q10758" s="1357"/>
      <c r="S10758" s="1420"/>
      <c r="T10758" s="1420"/>
      <c r="V10758" s="1357">
        <v>47</v>
      </c>
    </row>
    <row r="10759" spans="1:22" s="841" customFormat="1" ht="15" x14ac:dyDescent="0.25">
      <c r="A10759" s="841" t="s">
        <v>186</v>
      </c>
      <c r="E10759" s="1690" t="s">
        <v>3628</v>
      </c>
      <c r="F10759" s="1690"/>
      <c r="G10759" s="1408" t="s">
        <v>33</v>
      </c>
      <c r="H10759" s="393">
        <v>2.2484000000000002</v>
      </c>
      <c r="K10759" s="841" t="s">
        <v>5778</v>
      </c>
      <c r="L10759" s="841" t="s">
        <v>444</v>
      </c>
      <c r="M10759" s="1357"/>
      <c r="P10759" s="841" t="s">
        <v>5784</v>
      </c>
      <c r="Q10759" s="1357"/>
      <c r="S10759" s="1420"/>
      <c r="T10759" s="1420"/>
      <c r="V10759" s="1357">
        <v>75</v>
      </c>
    </row>
    <row r="10760" spans="1:22" s="841" customFormat="1" ht="15" x14ac:dyDescent="0.25">
      <c r="A10760" s="841" t="s">
        <v>186</v>
      </c>
      <c r="E10760" s="1694" t="s">
        <v>3079</v>
      </c>
      <c r="F10760" s="1690"/>
      <c r="G10760" s="1408"/>
      <c r="H10760" s="1408"/>
      <c r="K10760" s="841" t="s">
        <v>3225</v>
      </c>
      <c r="M10760" s="1357"/>
      <c r="Q10760" s="1357"/>
      <c r="S10760" s="1420"/>
      <c r="T10760" s="1420"/>
      <c r="V10760" s="1357">
        <v>48</v>
      </c>
    </row>
    <row r="10761" spans="1:22" s="841" customFormat="1" ht="15" x14ac:dyDescent="0.25">
      <c r="A10761" s="841" t="s">
        <v>186</v>
      </c>
      <c r="E10761" s="1918" t="s">
        <v>2449</v>
      </c>
      <c r="F10761" s="1918"/>
      <c r="G10761" s="679" t="s">
        <v>24</v>
      </c>
      <c r="H10761" s="393">
        <v>3.2000000000000002E-3</v>
      </c>
      <c r="K10761" s="841" t="s">
        <v>5778</v>
      </c>
      <c r="L10761" s="841" t="s">
        <v>3046</v>
      </c>
      <c r="M10761" s="1357"/>
      <c r="P10761" s="841" t="s">
        <v>5785</v>
      </c>
      <c r="Q10761" s="1357"/>
      <c r="S10761" s="1420"/>
      <c r="T10761" s="1420"/>
      <c r="V10761" s="1357">
        <v>55</v>
      </c>
    </row>
    <row r="10762" spans="1:22" s="841" customFormat="1" ht="15" x14ac:dyDescent="0.25">
      <c r="A10762" s="841" t="s">
        <v>186</v>
      </c>
      <c r="E10762" s="1918" t="s">
        <v>2450</v>
      </c>
      <c r="F10762" s="1918"/>
      <c r="G10762" s="679" t="s">
        <v>24</v>
      </c>
      <c r="H10762" s="393">
        <v>4.0000000000000002E-4</v>
      </c>
      <c r="K10762" s="841" t="s">
        <v>5778</v>
      </c>
      <c r="L10762" s="841" t="s">
        <v>3046</v>
      </c>
      <c r="M10762" s="1357"/>
      <c r="P10762" s="841" t="s">
        <v>5785</v>
      </c>
      <c r="Q10762" s="1357"/>
      <c r="S10762" s="1420"/>
      <c r="T10762" s="1420"/>
      <c r="V10762" s="1357">
        <v>65</v>
      </c>
    </row>
    <row r="10763" spans="1:22" s="841" customFormat="1" ht="15" x14ac:dyDescent="0.25">
      <c r="A10763" s="841" t="s">
        <v>186</v>
      </c>
      <c r="E10763" s="1918" t="s">
        <v>439</v>
      </c>
      <c r="F10763" s="1918"/>
      <c r="G10763" s="679" t="s">
        <v>24</v>
      </c>
      <c r="H10763" s="393">
        <v>2.9999999999999997E-4</v>
      </c>
      <c r="K10763" s="841" t="s">
        <v>5778</v>
      </c>
      <c r="L10763" s="841" t="s">
        <v>3046</v>
      </c>
      <c r="M10763" s="1357"/>
      <c r="P10763" s="841" t="s">
        <v>5786</v>
      </c>
      <c r="Q10763" s="1357"/>
      <c r="S10763" s="1420"/>
      <c r="T10763" s="1420"/>
      <c r="V10763" s="1357">
        <v>57</v>
      </c>
    </row>
    <row r="10764" spans="1:22" s="841" customFormat="1" ht="15" x14ac:dyDescent="0.25">
      <c r="A10764" s="841" t="s">
        <v>186</v>
      </c>
      <c r="E10764" s="1918" t="s">
        <v>32</v>
      </c>
      <c r="F10764" s="1918"/>
      <c r="G10764" s="679" t="s">
        <v>23</v>
      </c>
      <c r="H10764" s="391">
        <v>0.25</v>
      </c>
      <c r="K10764" s="841" t="s">
        <v>5778</v>
      </c>
      <c r="L10764" s="841" t="s">
        <v>3046</v>
      </c>
      <c r="M10764" s="1357"/>
      <c r="P10764" s="841" t="s">
        <v>5787</v>
      </c>
      <c r="Q10764" s="1357"/>
      <c r="S10764" s="1420"/>
      <c r="T10764" s="1420"/>
      <c r="V10764" s="1357">
        <v>63</v>
      </c>
    </row>
    <row r="10765" spans="1:22" s="841" customFormat="1" x14ac:dyDescent="0.25">
      <c r="A10765" s="841" t="s">
        <v>186</v>
      </c>
      <c r="E10765" s="1909" t="s">
        <v>631</v>
      </c>
      <c r="F10765" s="1915"/>
      <c r="G10765" s="1915"/>
      <c r="H10765" s="1915"/>
      <c r="K10765" s="841" t="s">
        <v>5788</v>
      </c>
      <c r="M10765" s="1357"/>
      <c r="Q10765" s="1357"/>
      <c r="S10765" s="1420"/>
      <c r="T10765" s="1420"/>
      <c r="V10765" s="1357">
        <v>36</v>
      </c>
    </row>
    <row r="10766" spans="1:22" s="841" customFormat="1" ht="15" x14ac:dyDescent="0.25">
      <c r="A10766" s="841" t="s">
        <v>186</v>
      </c>
      <c r="E10766" s="1689" t="s">
        <v>4092</v>
      </c>
      <c r="F10766" s="1689"/>
      <c r="G10766" s="1689"/>
      <c r="H10766" s="1689"/>
      <c r="K10766" s="841" t="s">
        <v>5788</v>
      </c>
      <c r="M10766" s="1357"/>
      <c r="Q10766" s="1357"/>
      <c r="S10766" s="1420"/>
      <c r="T10766" s="1420"/>
      <c r="V10766" s="1357">
        <v>294</v>
      </c>
    </row>
    <row r="10767" spans="1:22" s="841" customFormat="1" ht="15" x14ac:dyDescent="0.25">
      <c r="A10767" s="841" t="s">
        <v>186</v>
      </c>
      <c r="E10767" s="1916" t="s">
        <v>3061</v>
      </c>
      <c r="F10767" s="1697"/>
      <c r="G10767" s="1697"/>
      <c r="H10767" s="1697"/>
      <c r="K10767" s="841" t="s">
        <v>3107</v>
      </c>
      <c r="M10767" s="1357"/>
      <c r="Q10767" s="1357"/>
      <c r="S10767" s="1420"/>
      <c r="T10767" s="1420"/>
      <c r="V10767" s="1357">
        <v>11</v>
      </c>
    </row>
    <row r="10768" spans="1:22" s="841" customFormat="1" ht="15" x14ac:dyDescent="0.25">
      <c r="A10768" s="841" t="s">
        <v>186</v>
      </c>
      <c r="E10768" s="1689" t="s">
        <v>3063</v>
      </c>
      <c r="F10768" s="1689"/>
      <c r="G10768" s="1689"/>
      <c r="H10768" s="1689"/>
      <c r="K10768" s="841" t="s">
        <v>5788</v>
      </c>
      <c r="M10768" s="1357"/>
      <c r="Q10768" s="1357"/>
      <c r="S10768" s="1420"/>
      <c r="T10768" s="1420"/>
      <c r="V10768" s="1357">
        <v>280</v>
      </c>
    </row>
    <row r="10769" spans="1:22" s="841" customFormat="1" ht="15" x14ac:dyDescent="0.25">
      <c r="A10769" s="841" t="s">
        <v>186</v>
      </c>
      <c r="E10769" s="1689" t="s">
        <v>3064</v>
      </c>
      <c r="F10769" s="1689"/>
      <c r="G10769" s="1689"/>
      <c r="H10769" s="1689"/>
      <c r="K10769" s="841" t="s">
        <v>5788</v>
      </c>
      <c r="M10769" s="1357"/>
      <c r="Q10769" s="1357"/>
      <c r="S10769" s="1420"/>
      <c r="T10769" s="1420"/>
      <c r="V10769" s="1357">
        <v>411</v>
      </c>
    </row>
    <row r="10770" spans="1:22" s="841" customFormat="1" ht="15" x14ac:dyDescent="0.25">
      <c r="A10770" s="841" t="s">
        <v>186</v>
      </c>
      <c r="E10770" s="1689" t="s">
        <v>3129</v>
      </c>
      <c r="F10770" s="1689"/>
      <c r="G10770" s="1689"/>
      <c r="H10770" s="1689"/>
      <c r="K10770" s="841" t="s">
        <v>5788</v>
      </c>
      <c r="M10770" s="1357"/>
      <c r="Q10770" s="1357"/>
      <c r="S10770" s="1420"/>
      <c r="T10770" s="1420"/>
      <c r="V10770" s="1357">
        <v>211</v>
      </c>
    </row>
    <row r="10771" spans="1:22" s="841" customFormat="1" ht="15" x14ac:dyDescent="0.25">
      <c r="A10771" s="841" t="s">
        <v>186</v>
      </c>
      <c r="E10771" s="1689" t="s">
        <v>5777</v>
      </c>
      <c r="F10771" s="1689"/>
      <c r="G10771" s="1689"/>
      <c r="H10771" s="1689"/>
      <c r="K10771" s="841" t="s">
        <v>5788</v>
      </c>
      <c r="M10771" s="1357"/>
      <c r="Q10771" s="1357"/>
      <c r="S10771" s="1420"/>
      <c r="T10771" s="1420"/>
      <c r="V10771" s="1357">
        <v>657</v>
      </c>
    </row>
    <row r="10772" spans="1:22" s="841" customFormat="1" ht="15" x14ac:dyDescent="0.25">
      <c r="A10772" s="841" t="s">
        <v>186</v>
      </c>
      <c r="E10772" s="1689" t="s">
        <v>3200</v>
      </c>
      <c r="F10772" s="1689"/>
      <c r="G10772" s="1689"/>
      <c r="H10772" s="1689"/>
      <c r="K10772" s="841" t="s">
        <v>5788</v>
      </c>
      <c r="M10772" s="1357"/>
      <c r="Q10772" s="1357"/>
      <c r="S10772" s="1420"/>
      <c r="T10772" s="1420"/>
      <c r="V10772" s="1357">
        <v>275</v>
      </c>
    </row>
    <row r="10773" spans="1:22" s="841" customFormat="1" ht="15" x14ac:dyDescent="0.25">
      <c r="A10773" s="841" t="s">
        <v>186</v>
      </c>
      <c r="E10773" s="1694" t="s">
        <v>3067</v>
      </c>
      <c r="F10773" s="1907"/>
      <c r="G10773" s="1907"/>
      <c r="H10773" s="1907"/>
      <c r="K10773" s="841" t="s">
        <v>3108</v>
      </c>
      <c r="M10773" s="1357"/>
      <c r="Q10773" s="1357"/>
      <c r="S10773" s="1420"/>
      <c r="T10773" s="1420"/>
      <c r="V10773" s="1357">
        <v>46</v>
      </c>
    </row>
    <row r="10774" spans="1:22" s="841" customFormat="1" ht="15" x14ac:dyDescent="0.25">
      <c r="A10774" s="841" t="s">
        <v>186</v>
      </c>
      <c r="E10774" s="1937" t="s">
        <v>5776</v>
      </c>
      <c r="F10774" s="1937"/>
      <c r="G10774" s="1408" t="s">
        <v>33</v>
      </c>
      <c r="H10774" s="1316">
        <v>3.9600000000000003E-2</v>
      </c>
      <c r="K10774" s="841" t="s">
        <v>5788</v>
      </c>
      <c r="L10774" s="841" t="s">
        <v>442</v>
      </c>
      <c r="M10774" s="1357"/>
      <c r="P10774" s="841" t="s">
        <v>6425</v>
      </c>
      <c r="Q10774" s="1357"/>
      <c r="S10774" s="1420"/>
      <c r="T10774" s="1420"/>
      <c r="V10774" s="1357">
        <v>146</v>
      </c>
    </row>
    <row r="10775" spans="1:22" s="841" customFormat="1" ht="15" x14ac:dyDescent="0.25">
      <c r="A10775" s="841" t="s">
        <v>186</v>
      </c>
      <c r="E10775" s="1690" t="s">
        <v>4093</v>
      </c>
      <c r="F10775" s="1690"/>
      <c r="G10775" s="1408" t="s">
        <v>33</v>
      </c>
      <c r="H10775" s="393">
        <v>3.1360000000000001</v>
      </c>
      <c r="K10775" s="841" t="s">
        <v>5788</v>
      </c>
      <c r="L10775" s="841" t="s">
        <v>442</v>
      </c>
      <c r="M10775" s="1357"/>
      <c r="P10775" s="841" t="s">
        <v>6426</v>
      </c>
      <c r="Q10775" s="1357"/>
      <c r="S10775" s="1420"/>
      <c r="T10775" s="1420"/>
      <c r="V10775" s="1357">
        <v>102</v>
      </c>
    </row>
    <row r="10776" spans="1:22" s="841" customFormat="1" ht="15" x14ac:dyDescent="0.25">
      <c r="A10776" s="841" t="s">
        <v>186</v>
      </c>
      <c r="E10776" s="1690" t="s">
        <v>5130</v>
      </c>
      <c r="F10776" s="1908"/>
      <c r="G10776" s="1408" t="s">
        <v>33</v>
      </c>
      <c r="H10776" s="393">
        <v>-0.1704</v>
      </c>
      <c r="K10776" s="841" t="s">
        <v>5788</v>
      </c>
      <c r="L10776" s="841" t="s">
        <v>443</v>
      </c>
      <c r="M10776" s="1357"/>
      <c r="P10776" s="841" t="s">
        <v>5789</v>
      </c>
      <c r="Q10776" s="1357"/>
      <c r="S10776" s="1420"/>
      <c r="T10776" s="1420">
        <v>43585</v>
      </c>
      <c r="V10776" s="1357">
        <v>96</v>
      </c>
    </row>
    <row r="10777" spans="1:22" s="841" customFormat="1" ht="15" x14ac:dyDescent="0.25">
      <c r="A10777" s="841" t="s">
        <v>186</v>
      </c>
      <c r="E10777" s="1690" t="s">
        <v>5129</v>
      </c>
      <c r="F10777" s="1908"/>
      <c r="G10777" s="1408" t="s">
        <v>24</v>
      </c>
      <c r="H10777" s="393">
        <v>-8.9999999999999998E-4</v>
      </c>
      <c r="K10777" s="841" t="s">
        <v>5788</v>
      </c>
      <c r="L10777" s="841" t="s">
        <v>443</v>
      </c>
      <c r="M10777" s="1357"/>
      <c r="P10777" s="841" t="s">
        <v>5790</v>
      </c>
      <c r="Q10777" s="1357"/>
      <c r="S10777" s="1420"/>
      <c r="T10777" s="1420">
        <v>43585</v>
      </c>
      <c r="V10777" s="1357">
        <v>139</v>
      </c>
    </row>
    <row r="10778" spans="1:22" s="841" customFormat="1" x14ac:dyDescent="0.25">
      <c r="A10778" s="841" t="s">
        <v>186</v>
      </c>
      <c r="E10778" s="1909" t="s">
        <v>621</v>
      </c>
      <c r="F10778" s="1915"/>
      <c r="G10778" s="1915"/>
      <c r="H10778" s="1915"/>
      <c r="K10778" s="841" t="s">
        <v>3321</v>
      </c>
      <c r="M10778" s="1357"/>
      <c r="Q10778" s="1357"/>
      <c r="S10778" s="1420"/>
      <c r="T10778" s="1420"/>
      <c r="V10778" s="1357">
        <v>32</v>
      </c>
    </row>
    <row r="10779" spans="1:22" s="841" customFormat="1" ht="15" x14ac:dyDescent="0.25">
      <c r="A10779" s="841" t="s">
        <v>186</v>
      </c>
      <c r="E10779" s="1689" t="s">
        <v>4095</v>
      </c>
      <c r="F10779" s="1689"/>
      <c r="G10779" s="1689"/>
      <c r="H10779" s="1689"/>
      <c r="K10779" s="841" t="s">
        <v>3321</v>
      </c>
      <c r="M10779" s="1357"/>
      <c r="Q10779" s="1357"/>
      <c r="S10779" s="1420"/>
      <c r="T10779" s="1420"/>
      <c r="V10779" s="1357">
        <v>348</v>
      </c>
    </row>
    <row r="10780" spans="1:22" s="841" customFormat="1" ht="15" x14ac:dyDescent="0.25">
      <c r="A10780" s="841" t="s">
        <v>186</v>
      </c>
      <c r="E10780" s="1916" t="s">
        <v>3061</v>
      </c>
      <c r="F10780" s="1697"/>
      <c r="G10780" s="1697"/>
      <c r="H10780" s="1697"/>
      <c r="K10780" s="841" t="s">
        <v>3114</v>
      </c>
      <c r="M10780" s="1357"/>
      <c r="Q10780" s="1357"/>
      <c r="S10780" s="1420"/>
      <c r="T10780" s="1420"/>
      <c r="V10780" s="1357">
        <v>11</v>
      </c>
    </row>
    <row r="10781" spans="1:22" s="841" customFormat="1" ht="15" x14ac:dyDescent="0.25">
      <c r="A10781" s="841" t="s">
        <v>186</v>
      </c>
      <c r="E10781" s="1689" t="s">
        <v>3063</v>
      </c>
      <c r="F10781" s="1689"/>
      <c r="G10781" s="1689"/>
      <c r="H10781" s="1689"/>
      <c r="K10781" s="841" t="s">
        <v>3321</v>
      </c>
      <c r="M10781" s="1357"/>
      <c r="Q10781" s="1357"/>
      <c r="S10781" s="1420"/>
      <c r="T10781" s="1420"/>
      <c r="V10781" s="1357">
        <v>280</v>
      </c>
    </row>
    <row r="10782" spans="1:22" s="841" customFormat="1" ht="15" x14ac:dyDescent="0.25">
      <c r="A10782" s="841" t="s">
        <v>186</v>
      </c>
      <c r="E10782" s="1689" t="s">
        <v>3064</v>
      </c>
      <c r="F10782" s="1689"/>
      <c r="G10782" s="1689"/>
      <c r="H10782" s="1689"/>
      <c r="K10782" s="841" t="s">
        <v>3321</v>
      </c>
      <c r="M10782" s="1357"/>
      <c r="Q10782" s="1357"/>
      <c r="S10782" s="1420"/>
      <c r="T10782" s="1420"/>
      <c r="V10782" s="1357">
        <v>411</v>
      </c>
    </row>
    <row r="10783" spans="1:22" s="841" customFormat="1" ht="15" x14ac:dyDescent="0.25">
      <c r="A10783" s="841" t="s">
        <v>186</v>
      </c>
      <c r="E10783" s="1689" t="s">
        <v>3199</v>
      </c>
      <c r="F10783" s="1689"/>
      <c r="G10783" s="1689"/>
      <c r="H10783" s="1689"/>
      <c r="K10783" s="841" t="s">
        <v>3321</v>
      </c>
      <c r="M10783" s="1357"/>
      <c r="Q10783" s="1357"/>
      <c r="S10783" s="1420"/>
      <c r="T10783" s="1420"/>
      <c r="V10783" s="1357">
        <v>386</v>
      </c>
    </row>
    <row r="10784" spans="1:22" s="841" customFormat="1" ht="15" x14ac:dyDescent="0.25">
      <c r="A10784" s="841" t="s">
        <v>186</v>
      </c>
      <c r="E10784" s="1689" t="s">
        <v>5777</v>
      </c>
      <c r="F10784" s="1689"/>
      <c r="G10784" s="1689"/>
      <c r="H10784" s="1689"/>
      <c r="K10784" s="841" t="s">
        <v>3321</v>
      </c>
      <c r="M10784" s="1357"/>
      <c r="Q10784" s="1357"/>
      <c r="S10784" s="1420"/>
      <c r="T10784" s="1420"/>
      <c r="V10784" s="1357">
        <v>657</v>
      </c>
    </row>
    <row r="10785" spans="1:22" s="841" customFormat="1" ht="15" x14ac:dyDescent="0.25">
      <c r="A10785" s="841" t="s">
        <v>186</v>
      </c>
      <c r="E10785" s="1689" t="s">
        <v>3200</v>
      </c>
      <c r="F10785" s="1689"/>
      <c r="G10785" s="1689"/>
      <c r="H10785" s="1689"/>
      <c r="K10785" s="841" t="s">
        <v>3321</v>
      </c>
      <c r="M10785" s="1357"/>
      <c r="Q10785" s="1357"/>
      <c r="S10785" s="1420"/>
      <c r="T10785" s="1420"/>
      <c r="V10785" s="1357">
        <v>275</v>
      </c>
    </row>
    <row r="10786" spans="1:22" s="841" customFormat="1" ht="15" x14ac:dyDescent="0.25">
      <c r="A10786" s="841" t="s">
        <v>186</v>
      </c>
      <c r="E10786" s="1694" t="s">
        <v>3067</v>
      </c>
      <c r="F10786" s="1907"/>
      <c r="G10786" s="1907"/>
      <c r="H10786" s="1907"/>
      <c r="K10786" s="841" t="s">
        <v>3115</v>
      </c>
      <c r="M10786" s="1357"/>
      <c r="Q10786" s="1357"/>
      <c r="S10786" s="1420"/>
      <c r="T10786" s="1420"/>
      <c r="V10786" s="1357">
        <v>46</v>
      </c>
    </row>
    <row r="10787" spans="1:22" s="841" customFormat="1" ht="15" x14ac:dyDescent="0.25">
      <c r="A10787" s="841" t="s">
        <v>186</v>
      </c>
      <c r="E10787" s="1690" t="s">
        <v>11</v>
      </c>
      <c r="F10787" s="1690"/>
      <c r="G10787" s="1408" t="s">
        <v>23</v>
      </c>
      <c r="H10787" s="391">
        <v>20499.650000000001</v>
      </c>
      <c r="K10787" s="841" t="s">
        <v>3321</v>
      </c>
      <c r="L10787" s="841" t="s">
        <v>442</v>
      </c>
      <c r="M10787" s="1357"/>
      <c r="P10787" s="841" t="s">
        <v>3322</v>
      </c>
      <c r="Q10787" s="1357"/>
      <c r="S10787" s="1420"/>
      <c r="T10787" s="1420"/>
      <c r="V10787" s="1357">
        <v>14</v>
      </c>
    </row>
    <row r="10788" spans="1:22" s="841" customFormat="1" ht="15" x14ac:dyDescent="0.25">
      <c r="A10788" s="841" t="s">
        <v>186</v>
      </c>
      <c r="E10788" s="1937" t="s">
        <v>5776</v>
      </c>
      <c r="F10788" s="1937"/>
      <c r="G10788" s="1408" t="s">
        <v>23</v>
      </c>
      <c r="H10788" s="391">
        <v>258.98</v>
      </c>
      <c r="K10788" s="841" t="s">
        <v>3321</v>
      </c>
      <c r="L10788" s="841" t="s">
        <v>442</v>
      </c>
      <c r="M10788" s="1357"/>
      <c r="P10788" s="841" t="s">
        <v>6427</v>
      </c>
      <c r="Q10788" s="1357"/>
      <c r="S10788" s="1420"/>
      <c r="T10788" s="1420"/>
      <c r="V10788" s="1357">
        <v>146</v>
      </c>
    </row>
    <row r="10789" spans="1:22" s="841" customFormat="1" ht="15" x14ac:dyDescent="0.25">
      <c r="A10789" s="841" t="s">
        <v>186</v>
      </c>
      <c r="E10789" s="1690" t="s">
        <v>84</v>
      </c>
      <c r="F10789" s="1690"/>
      <c r="G10789" s="1408" t="s">
        <v>33</v>
      </c>
      <c r="H10789" s="393">
        <v>2.2875999999999999</v>
      </c>
      <c r="K10789" s="841" t="s">
        <v>3321</v>
      </c>
      <c r="L10789" s="841" t="s">
        <v>442</v>
      </c>
      <c r="M10789" s="1357"/>
      <c r="P10789" s="841" t="s">
        <v>3323</v>
      </c>
      <c r="Q10789" s="1357"/>
      <c r="S10789" s="1420"/>
      <c r="T10789" s="1420"/>
      <c r="V10789" s="1357">
        <v>28</v>
      </c>
    </row>
    <row r="10790" spans="1:22" s="841" customFormat="1" ht="15" x14ac:dyDescent="0.25">
      <c r="A10790" s="841" t="s">
        <v>186</v>
      </c>
      <c r="E10790" s="1690" t="s">
        <v>5129</v>
      </c>
      <c r="F10790" s="1908"/>
      <c r="G10790" s="1408" t="s">
        <v>24</v>
      </c>
      <c r="H10790" s="393">
        <v>-8.9999999999999998E-4</v>
      </c>
      <c r="K10790" s="841" t="s">
        <v>3321</v>
      </c>
      <c r="L10790" s="841" t="s">
        <v>443</v>
      </c>
      <c r="M10790" s="1357"/>
      <c r="P10790" s="841" t="s">
        <v>3324</v>
      </c>
      <c r="Q10790" s="1357"/>
      <c r="S10790" s="1420"/>
      <c r="T10790" s="1420">
        <v>43585</v>
      </c>
      <c r="V10790" s="1357">
        <v>139</v>
      </c>
    </row>
    <row r="10791" spans="1:22" s="841" customFormat="1" ht="15" x14ac:dyDescent="0.25">
      <c r="A10791" s="841" t="s">
        <v>186</v>
      </c>
      <c r="E10791" s="1937" t="s">
        <v>5776</v>
      </c>
      <c r="F10791" s="1937"/>
      <c r="G10791" s="1408" t="s">
        <v>33</v>
      </c>
      <c r="H10791" s="393">
        <v>2.8899999999999999E-2</v>
      </c>
      <c r="K10791" s="841" t="s">
        <v>3321</v>
      </c>
      <c r="L10791" s="841" t="s">
        <v>442</v>
      </c>
      <c r="M10791" s="1357"/>
      <c r="P10791" s="841" t="s">
        <v>6428</v>
      </c>
      <c r="Q10791" s="1357"/>
      <c r="S10791" s="1420"/>
      <c r="T10791" s="1420"/>
      <c r="V10791" s="1357">
        <v>146</v>
      </c>
    </row>
    <row r="10792" spans="1:22" s="841" customFormat="1" ht="15" x14ac:dyDescent="0.25">
      <c r="A10792" s="841" t="s">
        <v>186</v>
      </c>
      <c r="E10792" s="1690" t="s">
        <v>5130</v>
      </c>
      <c r="F10792" s="1908"/>
      <c r="G10792" s="1408" t="s">
        <v>33</v>
      </c>
      <c r="H10792" s="393">
        <v>-0.43090000000000001</v>
      </c>
      <c r="K10792" s="841" t="s">
        <v>3321</v>
      </c>
      <c r="L10792" s="841" t="s">
        <v>443</v>
      </c>
      <c r="M10792" s="1357"/>
      <c r="P10792" s="841" t="s">
        <v>3326</v>
      </c>
      <c r="Q10792" s="1357"/>
      <c r="S10792" s="1420"/>
      <c r="T10792" s="1420">
        <v>43585</v>
      </c>
      <c r="V10792" s="1357">
        <v>96</v>
      </c>
    </row>
    <row r="10793" spans="1:22" s="841" customFormat="1" ht="15" x14ac:dyDescent="0.25">
      <c r="A10793" s="841" t="s">
        <v>186</v>
      </c>
      <c r="E10793" s="1690" t="s">
        <v>223</v>
      </c>
      <c r="F10793" s="1690"/>
      <c r="G10793" s="1408" t="s">
        <v>33</v>
      </c>
      <c r="H10793" s="393">
        <v>2.1206</v>
      </c>
      <c r="K10793" s="841" t="s">
        <v>3321</v>
      </c>
      <c r="L10793" s="841" t="s">
        <v>444</v>
      </c>
      <c r="M10793" s="1357"/>
      <c r="P10793" s="841" t="s">
        <v>3630</v>
      </c>
      <c r="Q10793" s="1357"/>
      <c r="S10793" s="1420"/>
      <c r="T10793" s="1420"/>
      <c r="V10793" s="1357">
        <v>66</v>
      </c>
    </row>
    <row r="10794" spans="1:22" s="841" customFormat="1" ht="15" x14ac:dyDescent="0.25">
      <c r="A10794" s="841" t="s">
        <v>186</v>
      </c>
      <c r="E10794" s="1690" t="s">
        <v>4822</v>
      </c>
      <c r="F10794" s="1690"/>
      <c r="G10794" s="1408" t="s">
        <v>33</v>
      </c>
      <c r="H10794" s="393">
        <v>2.1255999999999999</v>
      </c>
      <c r="K10794" s="841" t="s">
        <v>3321</v>
      </c>
      <c r="L10794" s="841" t="s">
        <v>444</v>
      </c>
      <c r="M10794" s="1357"/>
      <c r="P10794" s="841" t="s">
        <v>3631</v>
      </c>
      <c r="Q10794" s="1357"/>
      <c r="S10794" s="1420"/>
      <c r="T10794" s="1420"/>
      <c r="V10794" s="1357">
        <v>94</v>
      </c>
    </row>
    <row r="10795" spans="1:22" s="841" customFormat="1" ht="15" x14ac:dyDescent="0.25">
      <c r="A10795" s="841" t="s">
        <v>186</v>
      </c>
      <c r="E10795" s="1694" t="s">
        <v>3079</v>
      </c>
      <c r="F10795" s="1690"/>
      <c r="G10795" s="1408"/>
      <c r="H10795" s="1408"/>
      <c r="K10795" s="841" t="s">
        <v>3122</v>
      </c>
      <c r="M10795" s="1357"/>
      <c r="Q10795" s="1357"/>
      <c r="S10795" s="1420"/>
      <c r="T10795" s="1420"/>
      <c r="V10795" s="1357">
        <v>48</v>
      </c>
    </row>
    <row r="10796" spans="1:22" s="841" customFormat="1" ht="15" x14ac:dyDescent="0.25">
      <c r="A10796" s="841" t="s">
        <v>186</v>
      </c>
      <c r="E10796" s="1918" t="s">
        <v>2449</v>
      </c>
      <c r="F10796" s="1918"/>
      <c r="G10796" s="679" t="s">
        <v>24</v>
      </c>
      <c r="H10796" s="393">
        <v>3.2000000000000002E-3</v>
      </c>
      <c r="K10796" s="841" t="s">
        <v>3321</v>
      </c>
      <c r="L10796" s="841" t="s">
        <v>3046</v>
      </c>
      <c r="M10796" s="1357"/>
      <c r="P10796" s="841" t="s">
        <v>3329</v>
      </c>
      <c r="Q10796" s="1357"/>
      <c r="S10796" s="1420"/>
      <c r="T10796" s="1420"/>
      <c r="V10796" s="1357">
        <v>55</v>
      </c>
    </row>
    <row r="10797" spans="1:22" s="841" customFormat="1" ht="15" x14ac:dyDescent="0.25">
      <c r="A10797" s="841" t="s">
        <v>186</v>
      </c>
      <c r="E10797" s="1918" t="s">
        <v>2450</v>
      </c>
      <c r="F10797" s="1918"/>
      <c r="G10797" s="679" t="s">
        <v>24</v>
      </c>
      <c r="H10797" s="393">
        <v>4.0000000000000002E-4</v>
      </c>
      <c r="K10797" s="841" t="s">
        <v>3321</v>
      </c>
      <c r="L10797" s="841" t="s">
        <v>3046</v>
      </c>
      <c r="M10797" s="1357"/>
      <c r="P10797" s="841" t="s">
        <v>3329</v>
      </c>
      <c r="Q10797" s="1357"/>
      <c r="S10797" s="1420"/>
      <c r="T10797" s="1420"/>
      <c r="V10797" s="1357">
        <v>65</v>
      </c>
    </row>
    <row r="10798" spans="1:22" s="841" customFormat="1" ht="15" x14ac:dyDescent="0.25">
      <c r="A10798" s="841" t="s">
        <v>186</v>
      </c>
      <c r="E10798" s="1918" t="s">
        <v>439</v>
      </c>
      <c r="F10798" s="1918"/>
      <c r="G10798" s="679" t="s">
        <v>24</v>
      </c>
      <c r="H10798" s="393">
        <v>2.9999999999999997E-4</v>
      </c>
      <c r="K10798" s="841" t="s">
        <v>3321</v>
      </c>
      <c r="L10798" s="841" t="s">
        <v>3046</v>
      </c>
      <c r="M10798" s="1357"/>
      <c r="P10798" s="841" t="s">
        <v>3330</v>
      </c>
      <c r="Q10798" s="1357"/>
      <c r="S10798" s="1420"/>
      <c r="T10798" s="1420"/>
      <c r="V10798" s="1357">
        <v>57</v>
      </c>
    </row>
    <row r="10799" spans="1:22" s="841" customFormat="1" ht="15" x14ac:dyDescent="0.25">
      <c r="A10799" s="841" t="s">
        <v>186</v>
      </c>
      <c r="E10799" s="1918" t="s">
        <v>32</v>
      </c>
      <c r="F10799" s="1918"/>
      <c r="G10799" s="679" t="s">
        <v>23</v>
      </c>
      <c r="H10799" s="391">
        <v>0.25</v>
      </c>
      <c r="K10799" s="841" t="s">
        <v>3321</v>
      </c>
      <c r="L10799" s="841" t="s">
        <v>3046</v>
      </c>
      <c r="M10799" s="1357"/>
      <c r="P10799" s="841" t="s">
        <v>3331</v>
      </c>
      <c r="Q10799" s="1357"/>
      <c r="S10799" s="1420"/>
      <c r="T10799" s="1420"/>
      <c r="V10799" s="1357">
        <v>63</v>
      </c>
    </row>
    <row r="10800" spans="1:22" s="841" customFormat="1" x14ac:dyDescent="0.25">
      <c r="A10800" s="841" t="s">
        <v>186</v>
      </c>
      <c r="E10800" s="1909" t="s">
        <v>615</v>
      </c>
      <c r="F10800" s="1915"/>
      <c r="G10800" s="1915"/>
      <c r="H10800" s="1915"/>
      <c r="K10800" s="841" t="s">
        <v>3477</v>
      </c>
      <c r="M10800" s="1357"/>
      <c r="Q10800" s="1357"/>
      <c r="S10800" s="1420"/>
      <c r="T10800" s="1420"/>
      <c r="V10800" s="1357">
        <v>38</v>
      </c>
    </row>
    <row r="10801" spans="1:22" s="841" customFormat="1" ht="15" x14ac:dyDescent="0.25">
      <c r="A10801" s="841" t="s">
        <v>186</v>
      </c>
      <c r="E10801" s="1689" t="s">
        <v>4096</v>
      </c>
      <c r="F10801" s="1689"/>
      <c r="G10801" s="1689"/>
      <c r="H10801" s="1689"/>
      <c r="K10801" s="841" t="s">
        <v>3477</v>
      </c>
      <c r="M10801" s="1357"/>
      <c r="Q10801" s="1357"/>
      <c r="S10801" s="1420"/>
      <c r="T10801" s="1420"/>
      <c r="V10801" s="1357">
        <v>473</v>
      </c>
    </row>
    <row r="10802" spans="1:22" s="841" customFormat="1" ht="15" x14ac:dyDescent="0.25">
      <c r="A10802" s="841" t="s">
        <v>186</v>
      </c>
      <c r="E10802" s="1916" t="s">
        <v>3061</v>
      </c>
      <c r="F10802" s="1697"/>
      <c r="G10802" s="1697"/>
      <c r="H10802" s="1697"/>
      <c r="K10802" s="841" t="s">
        <v>3128</v>
      </c>
      <c r="M10802" s="1357"/>
      <c r="Q10802" s="1357"/>
      <c r="S10802" s="1420"/>
      <c r="T10802" s="1420"/>
      <c r="V10802" s="1357">
        <v>11</v>
      </c>
    </row>
    <row r="10803" spans="1:22" s="841" customFormat="1" ht="15" x14ac:dyDescent="0.25">
      <c r="A10803" s="841" t="s">
        <v>186</v>
      </c>
      <c r="E10803" s="1689" t="s">
        <v>3063</v>
      </c>
      <c r="F10803" s="1689"/>
      <c r="G10803" s="1689"/>
      <c r="H10803" s="1689"/>
      <c r="K10803" s="841" t="s">
        <v>3477</v>
      </c>
      <c r="M10803" s="1357"/>
      <c r="Q10803" s="1357"/>
      <c r="S10803" s="1420"/>
      <c r="T10803" s="1420"/>
      <c r="V10803" s="1357">
        <v>280</v>
      </c>
    </row>
    <row r="10804" spans="1:22" s="841" customFormat="1" ht="15" x14ac:dyDescent="0.25">
      <c r="A10804" s="841" t="s">
        <v>186</v>
      </c>
      <c r="E10804" s="1689" t="s">
        <v>3064</v>
      </c>
      <c r="F10804" s="1689"/>
      <c r="G10804" s="1689"/>
      <c r="H10804" s="1689"/>
      <c r="K10804" s="841" t="s">
        <v>3477</v>
      </c>
      <c r="M10804" s="1357"/>
      <c r="Q10804" s="1357"/>
      <c r="S10804" s="1420"/>
      <c r="T10804" s="1420"/>
      <c r="V10804" s="1357">
        <v>411</v>
      </c>
    </row>
    <row r="10805" spans="1:22" s="841" customFormat="1" ht="15" x14ac:dyDescent="0.25">
      <c r="A10805" s="841" t="s">
        <v>186</v>
      </c>
      <c r="E10805" s="1689" t="s">
        <v>3199</v>
      </c>
      <c r="F10805" s="1689"/>
      <c r="G10805" s="1689"/>
      <c r="H10805" s="1689"/>
      <c r="K10805" s="841" t="s">
        <v>3477</v>
      </c>
      <c r="M10805" s="1357"/>
      <c r="Q10805" s="1357"/>
      <c r="S10805" s="1420"/>
      <c r="T10805" s="1420"/>
      <c r="V10805" s="1357">
        <v>386</v>
      </c>
    </row>
    <row r="10806" spans="1:22" s="841" customFormat="1" ht="15" x14ac:dyDescent="0.25">
      <c r="A10806" s="841" t="s">
        <v>186</v>
      </c>
      <c r="E10806" s="1689" t="s">
        <v>3200</v>
      </c>
      <c r="F10806" s="1689"/>
      <c r="G10806" s="1689"/>
      <c r="H10806" s="1689"/>
      <c r="K10806" s="841" t="s">
        <v>3477</v>
      </c>
      <c r="M10806" s="1357"/>
      <c r="Q10806" s="1357"/>
      <c r="S10806" s="1420"/>
      <c r="T10806" s="1420"/>
      <c r="V10806" s="1357">
        <v>275</v>
      </c>
    </row>
    <row r="10807" spans="1:22" s="841" customFormat="1" ht="15" x14ac:dyDescent="0.25">
      <c r="A10807" s="841" t="s">
        <v>186</v>
      </c>
      <c r="E10807" s="1694" t="s">
        <v>3067</v>
      </c>
      <c r="F10807" s="1907"/>
      <c r="G10807" s="1907"/>
      <c r="H10807" s="1907"/>
      <c r="K10807" s="841" t="s">
        <v>3130</v>
      </c>
      <c r="M10807" s="1357"/>
      <c r="Q10807" s="1357"/>
      <c r="S10807" s="1420"/>
      <c r="T10807" s="1420"/>
      <c r="V10807" s="1357">
        <v>46</v>
      </c>
    </row>
    <row r="10808" spans="1:22" s="841" customFormat="1" ht="15" x14ac:dyDescent="0.25">
      <c r="A10808" s="841" t="s">
        <v>186</v>
      </c>
      <c r="E10808" s="1690" t="s">
        <v>12</v>
      </c>
      <c r="F10808" s="1690"/>
      <c r="G10808" s="1408" t="s">
        <v>23</v>
      </c>
      <c r="H10808" s="391">
        <v>1.66</v>
      </c>
      <c r="K10808" s="841" t="s">
        <v>3477</v>
      </c>
      <c r="L10808" s="841" t="s">
        <v>442</v>
      </c>
      <c r="M10808" s="1357"/>
      <c r="P10808" s="841" t="s">
        <v>3478</v>
      </c>
      <c r="Q10808" s="1357"/>
      <c r="S10808" s="1420"/>
      <c r="T10808" s="1420"/>
      <c r="V10808" s="1357">
        <v>31</v>
      </c>
    </row>
    <row r="10809" spans="1:22" s="841" customFormat="1" ht="15" x14ac:dyDescent="0.25">
      <c r="A10809" s="841" t="s">
        <v>186</v>
      </c>
      <c r="E10809" s="1937" t="s">
        <v>5776</v>
      </c>
      <c r="F10809" s="1937"/>
      <c r="G10809" s="1408" t="s">
        <v>23</v>
      </c>
      <c r="H10809" s="391">
        <v>0.02</v>
      </c>
      <c r="K10809" s="841" t="s">
        <v>3477</v>
      </c>
      <c r="L10809" s="841" t="s">
        <v>442</v>
      </c>
      <c r="M10809" s="1357"/>
      <c r="P10809" s="841" t="s">
        <v>6429</v>
      </c>
      <c r="Q10809" s="1357"/>
      <c r="S10809" s="1420"/>
      <c r="T10809" s="1420"/>
      <c r="V10809" s="1357">
        <v>146</v>
      </c>
    </row>
    <row r="10810" spans="1:22" s="841" customFormat="1" ht="15" x14ac:dyDescent="0.25">
      <c r="A10810" s="841" t="s">
        <v>186</v>
      </c>
      <c r="E10810" s="1690" t="s">
        <v>84</v>
      </c>
      <c r="F10810" s="1690"/>
      <c r="G10810" s="1408" t="s">
        <v>33</v>
      </c>
      <c r="H10810" s="393">
        <v>8.2934999999999999</v>
      </c>
      <c r="K10810" s="841" t="s">
        <v>3477</v>
      </c>
      <c r="L10810" s="841" t="s">
        <v>442</v>
      </c>
      <c r="M10810" s="1357"/>
      <c r="P10810" s="841" t="s">
        <v>3479</v>
      </c>
      <c r="Q10810" s="1357"/>
      <c r="S10810" s="1420"/>
      <c r="T10810" s="1420"/>
      <c r="V10810" s="1357">
        <v>28</v>
      </c>
    </row>
    <row r="10811" spans="1:22" s="841" customFormat="1" ht="15" x14ac:dyDescent="0.25">
      <c r="A10811" s="841" t="s">
        <v>186</v>
      </c>
      <c r="E10811" s="1690" t="s">
        <v>5129</v>
      </c>
      <c r="F10811" s="1908"/>
      <c r="G10811" s="1408" t="s">
        <v>24</v>
      </c>
      <c r="H10811" s="393">
        <v>-8.9999999999999998E-4</v>
      </c>
      <c r="K10811" s="841" t="s">
        <v>3477</v>
      </c>
      <c r="L10811" s="841" t="s">
        <v>443</v>
      </c>
      <c r="M10811" s="1357"/>
      <c r="P10811" s="841" t="s">
        <v>4196</v>
      </c>
      <c r="Q10811" s="1357"/>
      <c r="S10811" s="1420"/>
      <c r="T10811" s="1420">
        <v>43585</v>
      </c>
      <c r="V10811" s="1357">
        <v>139</v>
      </c>
    </row>
    <row r="10812" spans="1:22" s="841" customFormat="1" ht="15" x14ac:dyDescent="0.25">
      <c r="A10812" s="841" t="s">
        <v>186</v>
      </c>
      <c r="E10812" s="1690" t="s">
        <v>5130</v>
      </c>
      <c r="F10812" s="1908"/>
      <c r="G10812" s="1408" t="s">
        <v>33</v>
      </c>
      <c r="H10812" s="393">
        <v>-0.30249999999999999</v>
      </c>
      <c r="K10812" s="841" t="s">
        <v>3477</v>
      </c>
      <c r="L10812" s="841" t="s">
        <v>443</v>
      </c>
      <c r="M10812" s="1357"/>
      <c r="P10812" s="841" t="s">
        <v>3882</v>
      </c>
      <c r="Q10812" s="1357"/>
      <c r="S10812" s="1420"/>
      <c r="T10812" s="1420">
        <v>43585</v>
      </c>
      <c r="V10812" s="1357">
        <v>96</v>
      </c>
    </row>
    <row r="10813" spans="1:22" s="841" customFormat="1" ht="15" x14ac:dyDescent="0.25">
      <c r="A10813" s="841" t="s">
        <v>186</v>
      </c>
      <c r="E10813" s="1937" t="s">
        <v>5776</v>
      </c>
      <c r="F10813" s="1937"/>
      <c r="G10813" s="1408" t="s">
        <v>33</v>
      </c>
      <c r="H10813" s="393">
        <v>0.1048</v>
      </c>
      <c r="K10813" s="841" t="s">
        <v>3477</v>
      </c>
      <c r="L10813" s="841" t="s">
        <v>442</v>
      </c>
      <c r="M10813" s="1357"/>
      <c r="P10813" s="841" t="s">
        <v>6430</v>
      </c>
      <c r="Q10813" s="1357"/>
      <c r="S10813" s="1420"/>
      <c r="T10813" s="1420"/>
      <c r="V10813" s="1357">
        <v>146</v>
      </c>
    </row>
    <row r="10814" spans="1:22" s="841" customFormat="1" ht="15" x14ac:dyDescent="0.25">
      <c r="A10814" s="841" t="s">
        <v>186</v>
      </c>
      <c r="E10814" s="1690" t="s">
        <v>221</v>
      </c>
      <c r="F10814" s="1690"/>
      <c r="G10814" s="1408" t="s">
        <v>33</v>
      </c>
      <c r="H10814" s="393">
        <v>1.4214</v>
      </c>
      <c r="K10814" s="841" t="s">
        <v>3477</v>
      </c>
      <c r="L10814" s="841" t="s">
        <v>444</v>
      </c>
      <c r="M10814" s="1357"/>
      <c r="P10814" s="841" t="s">
        <v>3482</v>
      </c>
      <c r="Q10814" s="1357"/>
      <c r="S10814" s="1420"/>
      <c r="T10814" s="1420"/>
      <c r="V10814" s="1357">
        <v>47</v>
      </c>
    </row>
    <row r="10815" spans="1:22" s="841" customFormat="1" ht="15" x14ac:dyDescent="0.25">
      <c r="A10815" s="841" t="s">
        <v>186</v>
      </c>
      <c r="E10815" s="1690" t="s">
        <v>3628</v>
      </c>
      <c r="F10815" s="1690"/>
      <c r="G10815" s="1408" t="s">
        <v>33</v>
      </c>
      <c r="H10815" s="393">
        <v>1.3431</v>
      </c>
      <c r="K10815" s="841" t="s">
        <v>3477</v>
      </c>
      <c r="L10815" s="841" t="s">
        <v>444</v>
      </c>
      <c r="M10815" s="1357"/>
      <c r="P10815" s="841" t="s">
        <v>5791</v>
      </c>
      <c r="Q10815" s="1357"/>
      <c r="S10815" s="1420"/>
      <c r="T10815" s="1420"/>
      <c r="V10815" s="1357">
        <v>75</v>
      </c>
    </row>
    <row r="10816" spans="1:22" s="841" customFormat="1" ht="15" x14ac:dyDescent="0.25">
      <c r="A10816" s="841" t="s">
        <v>186</v>
      </c>
      <c r="E10816" s="1694" t="s">
        <v>3079</v>
      </c>
      <c r="F10816" s="1690"/>
      <c r="G10816" s="1408"/>
      <c r="H10816" s="1408"/>
      <c r="K10816" s="841" t="s">
        <v>3260</v>
      </c>
      <c r="M10816" s="1357"/>
      <c r="Q10816" s="1357"/>
      <c r="S10816" s="1420"/>
      <c r="T10816" s="1420"/>
      <c r="V10816" s="1357">
        <v>48</v>
      </c>
    </row>
    <row r="10817" spans="1:22" s="841" customFormat="1" ht="15" x14ac:dyDescent="0.25">
      <c r="A10817" s="841" t="s">
        <v>186</v>
      </c>
      <c r="E10817" s="1918" t="s">
        <v>2449</v>
      </c>
      <c r="F10817" s="1918"/>
      <c r="G10817" s="679" t="s">
        <v>24</v>
      </c>
      <c r="H10817" s="393">
        <v>3.2000000000000002E-3</v>
      </c>
      <c r="K10817" s="841" t="s">
        <v>3477</v>
      </c>
      <c r="L10817" s="841" t="s">
        <v>3046</v>
      </c>
      <c r="M10817" s="1357"/>
      <c r="P10817" s="841" t="s">
        <v>3484</v>
      </c>
      <c r="Q10817" s="1357"/>
      <c r="S10817" s="1420"/>
      <c r="T10817" s="1420"/>
      <c r="V10817" s="1357">
        <v>55</v>
      </c>
    </row>
    <row r="10818" spans="1:22" s="841" customFormat="1" ht="15" x14ac:dyDescent="0.25">
      <c r="A10818" s="841" t="s">
        <v>186</v>
      </c>
      <c r="E10818" s="1918" t="s">
        <v>2450</v>
      </c>
      <c r="F10818" s="1918"/>
      <c r="G10818" s="679" t="s">
        <v>24</v>
      </c>
      <c r="H10818" s="393">
        <v>4.0000000000000002E-4</v>
      </c>
      <c r="K10818" s="841" t="s">
        <v>3477</v>
      </c>
      <c r="L10818" s="841" t="s">
        <v>3046</v>
      </c>
      <c r="M10818" s="1357"/>
      <c r="P10818" s="841" t="s">
        <v>3484</v>
      </c>
      <c r="Q10818" s="1357"/>
      <c r="S10818" s="1420"/>
      <c r="T10818" s="1420"/>
      <c r="V10818" s="1357">
        <v>65</v>
      </c>
    </row>
    <row r="10819" spans="1:22" s="841" customFormat="1" ht="15" x14ac:dyDescent="0.25">
      <c r="A10819" s="841" t="s">
        <v>186</v>
      </c>
      <c r="E10819" s="1918" t="s">
        <v>439</v>
      </c>
      <c r="F10819" s="1918"/>
      <c r="G10819" s="679" t="s">
        <v>24</v>
      </c>
      <c r="H10819" s="393">
        <v>2.9999999999999997E-4</v>
      </c>
      <c r="K10819" s="841" t="s">
        <v>3477</v>
      </c>
      <c r="L10819" s="841" t="s">
        <v>3046</v>
      </c>
      <c r="M10819" s="1357"/>
      <c r="P10819" s="841" t="s">
        <v>3485</v>
      </c>
      <c r="Q10819" s="1357"/>
      <c r="S10819" s="1420"/>
      <c r="T10819" s="1420"/>
      <c r="V10819" s="1357">
        <v>57</v>
      </c>
    </row>
    <row r="10820" spans="1:22" s="841" customFormat="1" ht="15" x14ac:dyDescent="0.25">
      <c r="A10820" s="841" t="s">
        <v>186</v>
      </c>
      <c r="E10820" s="1918" t="s">
        <v>32</v>
      </c>
      <c r="F10820" s="1918"/>
      <c r="G10820" s="679" t="s">
        <v>23</v>
      </c>
      <c r="H10820" s="391">
        <v>0.25</v>
      </c>
      <c r="K10820" s="841" t="s">
        <v>3477</v>
      </c>
      <c r="L10820" s="841" t="s">
        <v>3046</v>
      </c>
      <c r="M10820" s="1357"/>
      <c r="P10820" s="841" t="s">
        <v>3486</v>
      </c>
      <c r="Q10820" s="1357"/>
      <c r="S10820" s="1420"/>
      <c r="T10820" s="1420"/>
      <c r="V10820" s="1357">
        <v>63</v>
      </c>
    </row>
    <row r="10821" spans="1:22" s="841" customFormat="1" x14ac:dyDescent="0.25">
      <c r="A10821" s="841" t="s">
        <v>186</v>
      </c>
      <c r="E10821" s="1909" t="s">
        <v>629</v>
      </c>
      <c r="F10821" s="1915"/>
      <c r="G10821" s="1915"/>
      <c r="H10821" s="1915"/>
      <c r="K10821" s="841" t="s">
        <v>3767</v>
      </c>
      <c r="M10821" s="1357"/>
      <c r="Q10821" s="1357"/>
      <c r="S10821" s="1420"/>
      <c r="T10821" s="1420"/>
      <c r="V10821" s="1357">
        <v>40</v>
      </c>
    </row>
    <row r="10822" spans="1:22" s="841" customFormat="1" ht="15" x14ac:dyDescent="0.25">
      <c r="A10822" s="841" t="s">
        <v>186</v>
      </c>
      <c r="E10822" s="1689" t="s">
        <v>4097</v>
      </c>
      <c r="F10822" s="1689"/>
      <c r="G10822" s="1689"/>
      <c r="H10822" s="1689"/>
      <c r="K10822" s="841" t="s">
        <v>3767</v>
      </c>
      <c r="M10822" s="1357"/>
      <c r="Q10822" s="1357"/>
      <c r="S10822" s="1420"/>
      <c r="T10822" s="1420"/>
      <c r="V10822" s="1357">
        <v>185</v>
      </c>
    </row>
    <row r="10823" spans="1:22" s="841" customFormat="1" ht="15" x14ac:dyDescent="0.25">
      <c r="A10823" s="841" t="s">
        <v>186</v>
      </c>
      <c r="E10823" s="1916" t="s">
        <v>3061</v>
      </c>
      <c r="F10823" s="1697"/>
      <c r="G10823" s="1697"/>
      <c r="H10823" s="1697"/>
      <c r="K10823" s="841" t="s">
        <v>3266</v>
      </c>
      <c r="M10823" s="1357"/>
      <c r="Q10823" s="1357"/>
      <c r="S10823" s="1420"/>
      <c r="T10823" s="1420"/>
      <c r="V10823" s="1357">
        <v>11</v>
      </c>
    </row>
    <row r="10824" spans="1:22" s="841" customFormat="1" ht="15" x14ac:dyDescent="0.25">
      <c r="A10824" s="841" t="s">
        <v>186</v>
      </c>
      <c r="E10824" s="1689" t="s">
        <v>3063</v>
      </c>
      <c r="F10824" s="1689"/>
      <c r="G10824" s="1689"/>
      <c r="H10824" s="1689"/>
      <c r="K10824" s="841" t="s">
        <v>3767</v>
      </c>
      <c r="M10824" s="1357"/>
      <c r="Q10824" s="1357"/>
      <c r="S10824" s="1420"/>
      <c r="T10824" s="1420"/>
      <c r="V10824" s="1357">
        <v>280</v>
      </c>
    </row>
    <row r="10825" spans="1:22" s="841" customFormat="1" ht="15" x14ac:dyDescent="0.25">
      <c r="A10825" s="841" t="s">
        <v>186</v>
      </c>
      <c r="E10825" s="1689" t="s">
        <v>3064</v>
      </c>
      <c r="F10825" s="1689"/>
      <c r="G10825" s="1689"/>
      <c r="H10825" s="1689"/>
      <c r="K10825" s="841" t="s">
        <v>3767</v>
      </c>
      <c r="M10825" s="1357"/>
      <c r="Q10825" s="1357"/>
      <c r="S10825" s="1420"/>
      <c r="T10825" s="1420"/>
      <c r="V10825" s="1357">
        <v>411</v>
      </c>
    </row>
    <row r="10826" spans="1:22" s="841" customFormat="1" ht="15" x14ac:dyDescent="0.25">
      <c r="A10826" s="841" t="s">
        <v>186</v>
      </c>
      <c r="E10826" s="1689" t="s">
        <v>3199</v>
      </c>
      <c r="F10826" s="1689"/>
      <c r="G10826" s="1689"/>
      <c r="H10826" s="1689"/>
      <c r="K10826" s="841" t="s">
        <v>3767</v>
      </c>
      <c r="M10826" s="1357"/>
      <c r="Q10826" s="1357"/>
      <c r="S10826" s="1420"/>
      <c r="T10826" s="1420"/>
      <c r="V10826" s="1357">
        <v>386</v>
      </c>
    </row>
    <row r="10827" spans="1:22" s="841" customFormat="1" ht="15" x14ac:dyDescent="0.25">
      <c r="A10827" s="841" t="s">
        <v>186</v>
      </c>
      <c r="E10827" s="1689" t="s">
        <v>3200</v>
      </c>
      <c r="F10827" s="1689"/>
      <c r="G10827" s="1689"/>
      <c r="H10827" s="1689"/>
      <c r="K10827" s="841" t="s">
        <v>3767</v>
      </c>
      <c r="M10827" s="1357"/>
      <c r="Q10827" s="1357"/>
      <c r="S10827" s="1420"/>
      <c r="T10827" s="1420"/>
      <c r="V10827" s="1357">
        <v>275</v>
      </c>
    </row>
    <row r="10828" spans="1:22" s="841" customFormat="1" ht="15" x14ac:dyDescent="0.25">
      <c r="A10828" s="841" t="s">
        <v>186</v>
      </c>
      <c r="E10828" s="1694" t="s">
        <v>3067</v>
      </c>
      <c r="F10828" s="1907"/>
      <c r="G10828" s="1907"/>
      <c r="H10828" s="1907"/>
      <c r="K10828" s="841" t="s">
        <v>3267</v>
      </c>
      <c r="M10828" s="1357"/>
      <c r="Q10828" s="1357"/>
      <c r="S10828" s="1420"/>
      <c r="T10828" s="1420"/>
      <c r="V10828" s="1357">
        <v>46</v>
      </c>
    </row>
    <row r="10829" spans="1:22" s="841" customFormat="1" ht="15" x14ac:dyDescent="0.25">
      <c r="A10829" s="841" t="s">
        <v>186</v>
      </c>
      <c r="E10829" s="1690" t="s">
        <v>12</v>
      </c>
      <c r="F10829" s="1690"/>
      <c r="G10829" s="1408" t="s">
        <v>23</v>
      </c>
      <c r="H10829" s="391">
        <v>4.67</v>
      </c>
      <c r="K10829" s="841" t="s">
        <v>3767</v>
      </c>
      <c r="L10829" s="841" t="s">
        <v>442</v>
      </c>
      <c r="M10829" s="1357"/>
      <c r="P10829" s="841" t="s">
        <v>3769</v>
      </c>
      <c r="Q10829" s="1357"/>
      <c r="S10829" s="1420"/>
      <c r="T10829" s="1420"/>
      <c r="V10829" s="1357">
        <v>31</v>
      </c>
    </row>
    <row r="10830" spans="1:22" s="841" customFormat="1" ht="15" x14ac:dyDescent="0.25">
      <c r="A10830" s="841" t="s">
        <v>186</v>
      </c>
      <c r="E10830" s="1937" t="s">
        <v>5776</v>
      </c>
      <c r="F10830" s="1937"/>
      <c r="G10830" s="1408" t="s">
        <v>23</v>
      </c>
      <c r="H10830" s="391">
        <v>0.06</v>
      </c>
      <c r="K10830" s="841" t="s">
        <v>3767</v>
      </c>
      <c r="L10830" s="841" t="s">
        <v>442</v>
      </c>
      <c r="M10830" s="1357"/>
      <c r="P10830" s="841" t="s">
        <v>6431</v>
      </c>
      <c r="Q10830" s="1357"/>
      <c r="S10830" s="1420"/>
      <c r="T10830" s="1420"/>
      <c r="V10830" s="1357">
        <v>146</v>
      </c>
    </row>
    <row r="10831" spans="1:22" s="841" customFormat="1" ht="15" x14ac:dyDescent="0.25">
      <c r="A10831" s="841" t="s">
        <v>186</v>
      </c>
      <c r="E10831" s="1690" t="s">
        <v>84</v>
      </c>
      <c r="F10831" s="1690"/>
      <c r="G10831" s="1408" t="s">
        <v>33</v>
      </c>
      <c r="H10831" s="393">
        <v>15.3774</v>
      </c>
      <c r="K10831" s="841" t="s">
        <v>3767</v>
      </c>
      <c r="L10831" s="841" t="s">
        <v>442</v>
      </c>
      <c r="M10831" s="1357"/>
      <c r="P10831" s="841" t="s">
        <v>3770</v>
      </c>
      <c r="Q10831" s="1357"/>
      <c r="S10831" s="1420"/>
      <c r="T10831" s="1420"/>
      <c r="V10831" s="1357">
        <v>28</v>
      </c>
    </row>
    <row r="10832" spans="1:22" s="841" customFormat="1" ht="15" x14ac:dyDescent="0.25">
      <c r="A10832" s="841" t="s">
        <v>186</v>
      </c>
      <c r="E10832" s="1690" t="s">
        <v>5129</v>
      </c>
      <c r="F10832" s="1908"/>
      <c r="G10832" s="1408" t="s">
        <v>24</v>
      </c>
      <c r="H10832" s="393">
        <v>-8.9999999999999998E-4</v>
      </c>
      <c r="K10832" s="841" t="s">
        <v>3767</v>
      </c>
      <c r="L10832" s="841" t="s">
        <v>443</v>
      </c>
      <c r="M10832" s="1357"/>
      <c r="P10832" s="841" t="s">
        <v>3772</v>
      </c>
      <c r="Q10832" s="1357"/>
      <c r="S10832" s="1420"/>
      <c r="T10832" s="1420">
        <v>43585</v>
      </c>
      <c r="V10832" s="1357">
        <v>139</v>
      </c>
    </row>
    <row r="10833" spans="1:22" s="841" customFormat="1" ht="15" x14ac:dyDescent="0.25">
      <c r="A10833" s="841" t="s">
        <v>186</v>
      </c>
      <c r="E10833" s="1690" t="s">
        <v>5130</v>
      </c>
      <c r="F10833" s="1908"/>
      <c r="G10833" s="1408" t="s">
        <v>33</v>
      </c>
      <c r="H10833" s="393">
        <v>-0.308</v>
      </c>
      <c r="K10833" s="841" t="s">
        <v>3767</v>
      </c>
      <c r="L10833" s="841" t="s">
        <v>443</v>
      </c>
      <c r="M10833" s="1357"/>
      <c r="P10833" s="841" t="s">
        <v>3773</v>
      </c>
      <c r="Q10833" s="1357"/>
      <c r="S10833" s="1420"/>
      <c r="T10833" s="1420">
        <v>43585</v>
      </c>
      <c r="V10833" s="1357">
        <v>96</v>
      </c>
    </row>
    <row r="10834" spans="1:22" s="841" customFormat="1" ht="15" x14ac:dyDescent="0.25">
      <c r="A10834" s="841" t="s">
        <v>186</v>
      </c>
      <c r="E10834" s="1937" t="s">
        <v>5776</v>
      </c>
      <c r="F10834" s="1937"/>
      <c r="G10834" s="1408" t="s">
        <v>33</v>
      </c>
      <c r="H10834" s="393">
        <v>0.1943</v>
      </c>
      <c r="K10834" s="841" t="s">
        <v>3767</v>
      </c>
      <c r="L10834" s="841" t="s">
        <v>442</v>
      </c>
      <c r="M10834" s="1357"/>
      <c r="P10834" s="841" t="s">
        <v>6432</v>
      </c>
      <c r="Q10834" s="1357"/>
      <c r="S10834" s="1420"/>
      <c r="T10834" s="1420"/>
      <c r="V10834" s="1357">
        <v>146</v>
      </c>
    </row>
    <row r="10835" spans="1:22" s="841" customFormat="1" ht="15" x14ac:dyDescent="0.25">
      <c r="A10835" s="841" t="s">
        <v>186</v>
      </c>
      <c r="E10835" s="1690" t="s">
        <v>221</v>
      </c>
      <c r="F10835" s="1690"/>
      <c r="G10835" s="1408" t="s">
        <v>33</v>
      </c>
      <c r="H10835" s="393">
        <v>1.4233</v>
      </c>
      <c r="K10835" s="841" t="s">
        <v>3767</v>
      </c>
      <c r="L10835" s="841" t="s">
        <v>444</v>
      </c>
      <c r="M10835" s="1357"/>
      <c r="P10835" s="841" t="s">
        <v>3774</v>
      </c>
      <c r="Q10835" s="1357"/>
      <c r="S10835" s="1420"/>
      <c r="T10835" s="1420"/>
      <c r="V10835" s="1357">
        <v>47</v>
      </c>
    </row>
    <row r="10836" spans="1:22" s="841" customFormat="1" ht="15" x14ac:dyDescent="0.25">
      <c r="A10836" s="841" t="s">
        <v>186</v>
      </c>
      <c r="E10836" s="1690" t="s">
        <v>217</v>
      </c>
      <c r="F10836" s="1690"/>
      <c r="G10836" s="1408" t="s">
        <v>33</v>
      </c>
      <c r="H10836" s="393">
        <v>1.345</v>
      </c>
      <c r="K10836" s="841" t="s">
        <v>3767</v>
      </c>
      <c r="L10836" s="841" t="s">
        <v>444</v>
      </c>
      <c r="M10836" s="1357"/>
      <c r="P10836" s="841" t="s">
        <v>3775</v>
      </c>
      <c r="Q10836" s="1357"/>
      <c r="S10836" s="1420"/>
      <c r="T10836" s="1420"/>
      <c r="V10836" s="1357">
        <v>74</v>
      </c>
    </row>
    <row r="10837" spans="1:22" s="841" customFormat="1" ht="15" x14ac:dyDescent="0.25">
      <c r="A10837" s="841" t="s">
        <v>186</v>
      </c>
      <c r="E10837" s="1694" t="s">
        <v>3079</v>
      </c>
      <c r="F10837" s="1690"/>
      <c r="G10837" s="1408"/>
      <c r="H10837" s="1408"/>
      <c r="K10837" s="841" t="s">
        <v>3276</v>
      </c>
      <c r="M10837" s="1357"/>
      <c r="Q10837" s="1357"/>
      <c r="S10837" s="1420"/>
      <c r="T10837" s="1420"/>
      <c r="V10837" s="1357">
        <v>48</v>
      </c>
    </row>
    <row r="10838" spans="1:22" s="841" customFormat="1" ht="15" x14ac:dyDescent="0.25">
      <c r="A10838" s="841" t="s">
        <v>186</v>
      </c>
      <c r="E10838" s="1918" t="s">
        <v>2449</v>
      </c>
      <c r="F10838" s="1918"/>
      <c r="G10838" s="679" t="s">
        <v>24</v>
      </c>
      <c r="H10838" s="393">
        <v>3.2000000000000002E-3</v>
      </c>
      <c r="K10838" s="841" t="s">
        <v>3767</v>
      </c>
      <c r="L10838" s="841" t="s">
        <v>3046</v>
      </c>
      <c r="M10838" s="1357"/>
      <c r="P10838" s="841" t="s">
        <v>3776</v>
      </c>
      <c r="Q10838" s="1357"/>
      <c r="S10838" s="1420"/>
      <c r="T10838" s="1420"/>
      <c r="V10838" s="1357">
        <v>55</v>
      </c>
    </row>
    <row r="10839" spans="1:22" s="841" customFormat="1" ht="15" x14ac:dyDescent="0.25">
      <c r="A10839" s="841" t="s">
        <v>186</v>
      </c>
      <c r="E10839" s="1918" t="s">
        <v>2450</v>
      </c>
      <c r="F10839" s="1918"/>
      <c r="G10839" s="679" t="s">
        <v>24</v>
      </c>
      <c r="H10839" s="393">
        <v>4.0000000000000002E-4</v>
      </c>
      <c r="K10839" s="841" t="s">
        <v>3767</v>
      </c>
      <c r="L10839" s="841" t="s">
        <v>3046</v>
      </c>
      <c r="M10839" s="1357"/>
      <c r="P10839" s="841" t="s">
        <v>3776</v>
      </c>
      <c r="Q10839" s="1357"/>
      <c r="S10839" s="1420"/>
      <c r="T10839" s="1420"/>
      <c r="V10839" s="1357">
        <v>65</v>
      </c>
    </row>
    <row r="10840" spans="1:22" s="841" customFormat="1" ht="15" x14ac:dyDescent="0.25">
      <c r="A10840" s="841" t="s">
        <v>186</v>
      </c>
      <c r="E10840" s="1918" t="s">
        <v>439</v>
      </c>
      <c r="F10840" s="1918"/>
      <c r="G10840" s="679" t="s">
        <v>24</v>
      </c>
      <c r="H10840" s="393">
        <v>2.9999999999999997E-4</v>
      </c>
      <c r="K10840" s="841" t="s">
        <v>3767</v>
      </c>
      <c r="L10840" s="841" t="s">
        <v>3046</v>
      </c>
      <c r="M10840" s="1357"/>
      <c r="P10840" s="841" t="s">
        <v>3777</v>
      </c>
      <c r="Q10840" s="1357"/>
      <c r="S10840" s="1420"/>
      <c r="T10840" s="1420"/>
      <c r="V10840" s="1357">
        <v>57</v>
      </c>
    </row>
    <row r="10841" spans="1:22" s="841" customFormat="1" ht="15" x14ac:dyDescent="0.25">
      <c r="A10841" s="841" t="s">
        <v>186</v>
      </c>
      <c r="E10841" s="1918" t="s">
        <v>32</v>
      </c>
      <c r="F10841" s="1918"/>
      <c r="G10841" s="679" t="s">
        <v>23</v>
      </c>
      <c r="H10841" s="391">
        <v>0.25</v>
      </c>
      <c r="K10841" s="841" t="s">
        <v>3767</v>
      </c>
      <c r="L10841" s="841" t="s">
        <v>3046</v>
      </c>
      <c r="M10841" s="1357"/>
      <c r="P10841" s="841" t="s">
        <v>3778</v>
      </c>
      <c r="Q10841" s="1357"/>
      <c r="S10841" s="1420"/>
      <c r="T10841" s="1420"/>
      <c r="V10841" s="1357">
        <v>63</v>
      </c>
    </row>
    <row r="10842" spans="1:22" s="841" customFormat="1" x14ac:dyDescent="0.25">
      <c r="A10842" s="841" t="s">
        <v>186</v>
      </c>
      <c r="E10842" s="1909" t="s">
        <v>617</v>
      </c>
      <c r="F10842" s="1915"/>
      <c r="G10842" s="1915"/>
      <c r="H10842" s="1915"/>
      <c r="K10842" s="841" t="s">
        <v>3376</v>
      </c>
      <c r="M10842" s="1357"/>
      <c r="Q10842" s="1357"/>
      <c r="S10842" s="1420"/>
      <c r="T10842" s="1420"/>
      <c r="V10842" s="1357">
        <v>47</v>
      </c>
    </row>
    <row r="10843" spans="1:22" s="841" customFormat="1" ht="15" x14ac:dyDescent="0.25">
      <c r="A10843" s="841" t="s">
        <v>186</v>
      </c>
      <c r="E10843" s="1689" t="s">
        <v>4098</v>
      </c>
      <c r="F10843" s="1689"/>
      <c r="G10843" s="1689"/>
      <c r="H10843" s="1689"/>
      <c r="K10843" s="841" t="s">
        <v>3376</v>
      </c>
      <c r="M10843" s="1357"/>
      <c r="Q10843" s="1357"/>
      <c r="S10843" s="1420"/>
      <c r="T10843" s="1420"/>
      <c r="V10843" s="1357">
        <v>716</v>
      </c>
    </row>
    <row r="10844" spans="1:22" s="841" customFormat="1" ht="15" x14ac:dyDescent="0.25">
      <c r="A10844" s="841" t="s">
        <v>186</v>
      </c>
      <c r="E10844" s="1916" t="s">
        <v>3061</v>
      </c>
      <c r="F10844" s="1697"/>
      <c r="G10844" s="1697"/>
      <c r="H10844" s="1697"/>
      <c r="K10844" s="841" t="s">
        <v>3281</v>
      </c>
      <c r="M10844" s="1357"/>
      <c r="Q10844" s="1357"/>
      <c r="S10844" s="1420"/>
      <c r="T10844" s="1420"/>
      <c r="V10844" s="1357">
        <v>11</v>
      </c>
    </row>
    <row r="10845" spans="1:22" s="841" customFormat="1" ht="15" x14ac:dyDescent="0.25">
      <c r="A10845" s="841" t="s">
        <v>186</v>
      </c>
      <c r="E10845" s="1689" t="s">
        <v>3063</v>
      </c>
      <c r="F10845" s="1689"/>
      <c r="G10845" s="1689"/>
      <c r="H10845" s="1689"/>
      <c r="K10845" s="841" t="s">
        <v>3376</v>
      </c>
      <c r="M10845" s="1357"/>
      <c r="Q10845" s="1357"/>
      <c r="S10845" s="1420"/>
      <c r="T10845" s="1420"/>
      <c r="V10845" s="1357">
        <v>280</v>
      </c>
    </row>
    <row r="10846" spans="1:22" s="841" customFormat="1" ht="15" x14ac:dyDescent="0.25">
      <c r="A10846" s="841" t="s">
        <v>186</v>
      </c>
      <c r="E10846" s="1689" t="s">
        <v>3064</v>
      </c>
      <c r="F10846" s="1689"/>
      <c r="G10846" s="1689"/>
      <c r="H10846" s="1689"/>
      <c r="K10846" s="841" t="s">
        <v>3376</v>
      </c>
      <c r="M10846" s="1357"/>
      <c r="Q10846" s="1357"/>
      <c r="S10846" s="1420"/>
      <c r="T10846" s="1420"/>
      <c r="V10846" s="1357">
        <v>411</v>
      </c>
    </row>
    <row r="10847" spans="1:22" s="841" customFormat="1" ht="15" x14ac:dyDescent="0.25">
      <c r="A10847" s="841" t="s">
        <v>186</v>
      </c>
      <c r="E10847" s="1689" t="s">
        <v>3199</v>
      </c>
      <c r="F10847" s="1689"/>
      <c r="G10847" s="1689"/>
      <c r="H10847" s="1689"/>
      <c r="K10847" s="841" t="s">
        <v>3376</v>
      </c>
      <c r="M10847" s="1357"/>
      <c r="Q10847" s="1357"/>
      <c r="S10847" s="1420"/>
      <c r="T10847" s="1420"/>
      <c r="V10847" s="1357">
        <v>386</v>
      </c>
    </row>
    <row r="10848" spans="1:22" s="841" customFormat="1" ht="15" x14ac:dyDescent="0.25">
      <c r="A10848" s="841" t="s">
        <v>186</v>
      </c>
      <c r="E10848" s="1689" t="s">
        <v>3200</v>
      </c>
      <c r="F10848" s="1689"/>
      <c r="G10848" s="1689"/>
      <c r="H10848" s="1689"/>
      <c r="K10848" s="841" t="s">
        <v>3376</v>
      </c>
      <c r="M10848" s="1357"/>
      <c r="Q10848" s="1357"/>
      <c r="S10848" s="1420"/>
      <c r="T10848" s="1420"/>
      <c r="V10848" s="1357">
        <v>275</v>
      </c>
    </row>
    <row r="10849" spans="1:22" s="841" customFormat="1" ht="15" x14ac:dyDescent="0.25">
      <c r="A10849" s="841" t="s">
        <v>186</v>
      </c>
      <c r="E10849" s="1694" t="s">
        <v>3067</v>
      </c>
      <c r="F10849" s="1907"/>
      <c r="G10849" s="1907"/>
      <c r="H10849" s="1907"/>
      <c r="K10849" s="841" t="s">
        <v>3282</v>
      </c>
      <c r="M10849" s="1357"/>
      <c r="Q10849" s="1357"/>
      <c r="S10849" s="1420"/>
      <c r="T10849" s="1420"/>
      <c r="V10849" s="1357">
        <v>46</v>
      </c>
    </row>
    <row r="10850" spans="1:22" s="841" customFormat="1" ht="15" x14ac:dyDescent="0.25">
      <c r="A10850" s="841" t="s">
        <v>186</v>
      </c>
      <c r="E10850" s="1690" t="s">
        <v>12</v>
      </c>
      <c r="F10850" s="1690"/>
      <c r="G10850" s="1408" t="s">
        <v>23</v>
      </c>
      <c r="H10850" s="391">
        <v>2.34</v>
      </c>
      <c r="K10850" s="841" t="s">
        <v>3376</v>
      </c>
      <c r="L10850" s="841" t="s">
        <v>442</v>
      </c>
      <c r="M10850" s="1357"/>
      <c r="P10850" s="841" t="s">
        <v>3378</v>
      </c>
      <c r="Q10850" s="1357"/>
      <c r="S10850" s="1420"/>
      <c r="T10850" s="1420"/>
      <c r="V10850" s="1357">
        <v>31</v>
      </c>
    </row>
    <row r="10851" spans="1:22" s="841" customFormat="1" ht="15" x14ac:dyDescent="0.25">
      <c r="A10851" s="841" t="s">
        <v>186</v>
      </c>
      <c r="E10851" s="1937" t="s">
        <v>5776</v>
      </c>
      <c r="F10851" s="1937"/>
      <c r="G10851" s="1408" t="s">
        <v>23</v>
      </c>
      <c r="H10851" s="391">
        <v>0.03</v>
      </c>
      <c r="K10851" s="841" t="s">
        <v>3376</v>
      </c>
      <c r="L10851" s="841" t="s">
        <v>442</v>
      </c>
      <c r="M10851" s="1357"/>
      <c r="P10851" s="841" t="s">
        <v>6433</v>
      </c>
      <c r="Q10851" s="1357"/>
      <c r="S10851" s="1420"/>
      <c r="T10851" s="1420"/>
      <c r="V10851" s="1357">
        <v>146</v>
      </c>
    </row>
    <row r="10852" spans="1:22" s="841" customFormat="1" ht="15" x14ac:dyDescent="0.25">
      <c r="A10852" s="841" t="s">
        <v>186</v>
      </c>
      <c r="E10852" s="1690" t="s">
        <v>84</v>
      </c>
      <c r="F10852" s="1690"/>
      <c r="G10852" s="1408" t="s">
        <v>24</v>
      </c>
      <c r="H10852" s="393">
        <v>2.0199999999999999E-2</v>
      </c>
      <c r="K10852" s="841" t="s">
        <v>3376</v>
      </c>
      <c r="L10852" s="841" t="s">
        <v>442</v>
      </c>
      <c r="M10852" s="1357"/>
      <c r="P10852" s="841" t="s">
        <v>3379</v>
      </c>
      <c r="Q10852" s="1357"/>
      <c r="S10852" s="1420"/>
      <c r="T10852" s="1420"/>
      <c r="V10852" s="1357">
        <v>28</v>
      </c>
    </row>
    <row r="10853" spans="1:22" s="841" customFormat="1" ht="15" x14ac:dyDescent="0.25">
      <c r="A10853" s="841" t="s">
        <v>186</v>
      </c>
      <c r="E10853" s="1690" t="s">
        <v>5129</v>
      </c>
      <c r="F10853" s="1908"/>
      <c r="G10853" s="1408" t="s">
        <v>24</v>
      </c>
      <c r="H10853" s="393">
        <v>-8.9999999999999998E-4</v>
      </c>
      <c r="K10853" s="841" t="s">
        <v>3376</v>
      </c>
      <c r="L10853" s="841" t="s">
        <v>443</v>
      </c>
      <c r="M10853" s="1357"/>
      <c r="P10853" s="841" t="s">
        <v>5792</v>
      </c>
      <c r="Q10853" s="1357"/>
      <c r="S10853" s="1420"/>
      <c r="T10853" s="1420">
        <v>43585</v>
      </c>
      <c r="V10853" s="1357">
        <v>139</v>
      </c>
    </row>
    <row r="10854" spans="1:22" s="841" customFormat="1" ht="15" x14ac:dyDescent="0.25">
      <c r="A10854" s="841" t="s">
        <v>186</v>
      </c>
      <c r="E10854" s="1690" t="s">
        <v>5130</v>
      </c>
      <c r="F10854" s="1908"/>
      <c r="G10854" s="1408" t="s">
        <v>24</v>
      </c>
      <c r="H10854" s="393">
        <v>-8.0000000000000004E-4</v>
      </c>
      <c r="K10854" s="841" t="s">
        <v>3376</v>
      </c>
      <c r="L10854" s="841" t="s">
        <v>443</v>
      </c>
      <c r="M10854" s="1357"/>
      <c r="P10854" s="841" t="s">
        <v>3380</v>
      </c>
      <c r="Q10854" s="1357"/>
      <c r="S10854" s="1420"/>
      <c r="T10854" s="1420">
        <v>43585</v>
      </c>
      <c r="V10854" s="1357">
        <v>96</v>
      </c>
    </row>
    <row r="10855" spans="1:22" s="841" customFormat="1" ht="15" x14ac:dyDescent="0.25">
      <c r="A10855" s="841" t="s">
        <v>186</v>
      </c>
      <c r="E10855" s="1690" t="s">
        <v>5776</v>
      </c>
      <c r="F10855" s="1908"/>
      <c r="G10855" s="1408" t="s">
        <v>24</v>
      </c>
      <c r="H10855" s="393">
        <v>2.9999999999999997E-4</v>
      </c>
      <c r="K10855" s="841" t="s">
        <v>3376</v>
      </c>
      <c r="L10855" s="841" t="s">
        <v>442</v>
      </c>
      <c r="M10855" s="1357"/>
      <c r="P10855" s="841" t="s">
        <v>6434</v>
      </c>
      <c r="Q10855" s="1357"/>
      <c r="S10855" s="1420"/>
      <c r="T10855" s="1420"/>
      <c r="V10855" s="1357">
        <v>146</v>
      </c>
    </row>
    <row r="10856" spans="1:22" s="841" customFormat="1" ht="15" x14ac:dyDescent="0.25">
      <c r="A10856" s="841" t="s">
        <v>186</v>
      </c>
      <c r="E10856" s="1690" t="s">
        <v>221</v>
      </c>
      <c r="F10856" s="1690"/>
      <c r="G10856" s="1408" t="s">
        <v>24</v>
      </c>
      <c r="H10856" s="393">
        <v>4.5999999999999999E-3</v>
      </c>
      <c r="K10856" s="841" t="s">
        <v>3376</v>
      </c>
      <c r="L10856" s="841" t="s">
        <v>444</v>
      </c>
      <c r="M10856" s="1357"/>
      <c r="P10856" s="841" t="s">
        <v>3381</v>
      </c>
      <c r="Q10856" s="1357"/>
      <c r="S10856" s="1420"/>
      <c r="T10856" s="1420"/>
      <c r="V10856" s="1357">
        <v>47</v>
      </c>
    </row>
    <row r="10857" spans="1:22" s="841" customFormat="1" ht="15" x14ac:dyDescent="0.25">
      <c r="A10857" s="841" t="s">
        <v>186</v>
      </c>
      <c r="E10857" s="1690" t="s">
        <v>217</v>
      </c>
      <c r="F10857" s="1690"/>
      <c r="G10857" s="1408" t="s">
        <v>24</v>
      </c>
      <c r="H10857" s="393">
        <v>4.1999999999999997E-3</v>
      </c>
      <c r="K10857" s="841" t="s">
        <v>3376</v>
      </c>
      <c r="L10857" s="841" t="s">
        <v>444</v>
      </c>
      <c r="M10857" s="1357"/>
      <c r="P10857" s="841" t="s">
        <v>3382</v>
      </c>
      <c r="Q10857" s="1357"/>
      <c r="S10857" s="1420"/>
      <c r="T10857" s="1420"/>
      <c r="V10857" s="1357">
        <v>74</v>
      </c>
    </row>
    <row r="10858" spans="1:22" s="841" customFormat="1" ht="15" x14ac:dyDescent="0.25">
      <c r="A10858" s="841" t="s">
        <v>186</v>
      </c>
      <c r="E10858" s="1694" t="s">
        <v>3079</v>
      </c>
      <c r="F10858" s="1690"/>
      <c r="G10858" s="1408"/>
      <c r="H10858" s="1408"/>
      <c r="K10858" s="841" t="s">
        <v>3383</v>
      </c>
      <c r="M10858" s="1357"/>
      <c r="Q10858" s="1357"/>
      <c r="S10858" s="1420"/>
      <c r="T10858" s="1420"/>
      <c r="V10858" s="1357">
        <v>48</v>
      </c>
    </row>
    <row r="10859" spans="1:22" s="841" customFormat="1" ht="15" x14ac:dyDescent="0.25">
      <c r="A10859" s="841" t="s">
        <v>186</v>
      </c>
      <c r="E10859" s="1918" t="s">
        <v>2449</v>
      </c>
      <c r="F10859" s="1918"/>
      <c r="G10859" s="679" t="s">
        <v>24</v>
      </c>
      <c r="H10859" s="393">
        <v>3.2000000000000002E-3</v>
      </c>
      <c r="K10859" s="841" t="s">
        <v>3376</v>
      </c>
      <c r="L10859" s="841" t="s">
        <v>3046</v>
      </c>
      <c r="M10859" s="1357"/>
      <c r="P10859" s="841" t="s">
        <v>3384</v>
      </c>
      <c r="Q10859" s="1357"/>
      <c r="S10859" s="1420"/>
      <c r="T10859" s="1420"/>
      <c r="V10859" s="1357">
        <v>55</v>
      </c>
    </row>
    <row r="10860" spans="1:22" s="841" customFormat="1" ht="15" x14ac:dyDescent="0.25">
      <c r="A10860" s="841" t="s">
        <v>186</v>
      </c>
      <c r="E10860" s="1918" t="s">
        <v>2450</v>
      </c>
      <c r="F10860" s="1918"/>
      <c r="G10860" s="679" t="s">
        <v>24</v>
      </c>
      <c r="H10860" s="393">
        <v>4.0000000000000002E-4</v>
      </c>
      <c r="K10860" s="841" t="s">
        <v>3376</v>
      </c>
      <c r="L10860" s="841" t="s">
        <v>3046</v>
      </c>
      <c r="M10860" s="1357"/>
      <c r="P10860" s="841" t="s">
        <v>3384</v>
      </c>
      <c r="Q10860" s="1357"/>
      <c r="S10860" s="1420"/>
      <c r="T10860" s="1420"/>
      <c r="V10860" s="1357">
        <v>65</v>
      </c>
    </row>
    <row r="10861" spans="1:22" s="841" customFormat="1" ht="15" x14ac:dyDescent="0.25">
      <c r="A10861" s="841" t="s">
        <v>186</v>
      </c>
      <c r="E10861" s="1918" t="s">
        <v>439</v>
      </c>
      <c r="F10861" s="1918"/>
      <c r="G10861" s="679" t="s">
        <v>24</v>
      </c>
      <c r="H10861" s="393">
        <v>2.9999999999999997E-4</v>
      </c>
      <c r="K10861" s="841" t="s">
        <v>3376</v>
      </c>
      <c r="L10861" s="841" t="s">
        <v>3046</v>
      </c>
      <c r="M10861" s="1357"/>
      <c r="P10861" s="841" t="s">
        <v>3385</v>
      </c>
      <c r="Q10861" s="1357"/>
      <c r="S10861" s="1420"/>
      <c r="T10861" s="1420"/>
      <c r="V10861" s="1357">
        <v>57</v>
      </c>
    </row>
    <row r="10862" spans="1:22" s="841" customFormat="1" ht="15" x14ac:dyDescent="0.25">
      <c r="A10862" s="841" t="s">
        <v>186</v>
      </c>
      <c r="E10862" s="1918" t="s">
        <v>32</v>
      </c>
      <c r="F10862" s="1918"/>
      <c r="G10862" s="679" t="s">
        <v>23</v>
      </c>
      <c r="H10862" s="391">
        <v>0.25</v>
      </c>
      <c r="K10862" s="841" t="s">
        <v>3376</v>
      </c>
      <c r="L10862" s="841" t="s">
        <v>3046</v>
      </c>
      <c r="M10862" s="1357"/>
      <c r="P10862" s="841" t="s">
        <v>3386</v>
      </c>
      <c r="Q10862" s="1357"/>
      <c r="S10862" s="1420"/>
      <c r="T10862" s="1420"/>
      <c r="V10862" s="1357">
        <v>63</v>
      </c>
    </row>
    <row r="10863" spans="1:22" s="841" customFormat="1" x14ac:dyDescent="0.25">
      <c r="A10863" s="841" t="s">
        <v>186</v>
      </c>
      <c r="E10863" s="1909" t="s">
        <v>618</v>
      </c>
      <c r="F10863" s="1915"/>
      <c r="G10863" s="1915"/>
      <c r="H10863" s="1915"/>
      <c r="K10863" s="841" t="s">
        <v>3656</v>
      </c>
      <c r="M10863" s="1357"/>
      <c r="Q10863" s="1357"/>
      <c r="S10863" s="1420"/>
      <c r="T10863" s="1420"/>
      <c r="V10863" s="1357">
        <v>31</v>
      </c>
    </row>
    <row r="10864" spans="1:22" s="841" customFormat="1" ht="15" x14ac:dyDescent="0.25">
      <c r="A10864" s="841" t="s">
        <v>186</v>
      </c>
      <c r="E10864" s="1689" t="s">
        <v>4100</v>
      </c>
      <c r="F10864" s="1689"/>
      <c r="G10864" s="1689"/>
      <c r="H10864" s="1689"/>
      <c r="K10864" s="841" t="s">
        <v>3656</v>
      </c>
      <c r="M10864" s="1357"/>
      <c r="Q10864" s="1357"/>
      <c r="S10864" s="1420"/>
      <c r="T10864" s="1420"/>
      <c r="V10864" s="1357">
        <v>282</v>
      </c>
    </row>
    <row r="10865" spans="1:22" s="841" customFormat="1" ht="15" x14ac:dyDescent="0.25">
      <c r="A10865" s="841" t="s">
        <v>186</v>
      </c>
      <c r="E10865" s="1916" t="s">
        <v>3061</v>
      </c>
      <c r="F10865" s="1697"/>
      <c r="G10865" s="1697"/>
      <c r="H10865" s="1697"/>
      <c r="K10865" s="841" t="s">
        <v>3345</v>
      </c>
      <c r="M10865" s="1357"/>
      <c r="Q10865" s="1357"/>
      <c r="S10865" s="1420"/>
      <c r="T10865" s="1420"/>
      <c r="V10865" s="1357">
        <v>11</v>
      </c>
    </row>
    <row r="10866" spans="1:22" s="841" customFormat="1" ht="15" x14ac:dyDescent="0.25">
      <c r="A10866" s="841" t="s">
        <v>186</v>
      </c>
      <c r="E10866" s="1689" t="s">
        <v>4101</v>
      </c>
      <c r="F10866" s="1689"/>
      <c r="G10866" s="1689"/>
      <c r="H10866" s="1689"/>
      <c r="K10866" s="841" t="s">
        <v>3656</v>
      </c>
      <c r="M10866" s="1357"/>
      <c r="Q10866" s="1357"/>
      <c r="S10866" s="1420"/>
      <c r="T10866" s="1420"/>
      <c r="V10866" s="1357">
        <v>279</v>
      </c>
    </row>
    <row r="10867" spans="1:22" s="841" customFormat="1" ht="15" x14ac:dyDescent="0.25">
      <c r="A10867" s="841" t="s">
        <v>186</v>
      </c>
      <c r="E10867" s="1689" t="s">
        <v>3064</v>
      </c>
      <c r="F10867" s="1689"/>
      <c r="G10867" s="1689"/>
      <c r="H10867" s="1689"/>
      <c r="K10867" s="841" t="s">
        <v>3656</v>
      </c>
      <c r="M10867" s="1357"/>
      <c r="Q10867" s="1357"/>
      <c r="S10867" s="1420"/>
      <c r="T10867" s="1420"/>
      <c r="V10867" s="1357">
        <v>411</v>
      </c>
    </row>
    <row r="10868" spans="1:22" s="841" customFormat="1" ht="15" x14ac:dyDescent="0.25">
      <c r="A10868" s="841" t="s">
        <v>186</v>
      </c>
      <c r="E10868" s="1689" t="s">
        <v>3129</v>
      </c>
      <c r="F10868" s="1689"/>
      <c r="G10868" s="1689"/>
      <c r="H10868" s="1689"/>
      <c r="K10868" s="841" t="s">
        <v>3656</v>
      </c>
      <c r="M10868" s="1357"/>
      <c r="Q10868" s="1357"/>
      <c r="S10868" s="1420"/>
      <c r="T10868" s="1420"/>
      <c r="V10868" s="1357">
        <v>211</v>
      </c>
    </row>
    <row r="10869" spans="1:22" s="841" customFormat="1" ht="15" x14ac:dyDescent="0.25">
      <c r="A10869" s="841" t="s">
        <v>186</v>
      </c>
      <c r="E10869" s="1689" t="s">
        <v>3200</v>
      </c>
      <c r="F10869" s="1689"/>
      <c r="G10869" s="1689"/>
      <c r="H10869" s="1689"/>
      <c r="K10869" s="841" t="s">
        <v>3656</v>
      </c>
      <c r="M10869" s="1357"/>
      <c r="Q10869" s="1357"/>
      <c r="S10869" s="1420"/>
      <c r="T10869" s="1420"/>
      <c r="V10869" s="1357">
        <v>275</v>
      </c>
    </row>
    <row r="10870" spans="1:22" s="841" customFormat="1" ht="15" x14ac:dyDescent="0.25">
      <c r="A10870" s="841" t="s">
        <v>186</v>
      </c>
      <c r="E10870" s="1694" t="s">
        <v>3067</v>
      </c>
      <c r="F10870" s="1907"/>
      <c r="G10870" s="1907"/>
      <c r="H10870" s="1907"/>
      <c r="K10870" s="841" t="s">
        <v>3346</v>
      </c>
      <c r="M10870" s="1357"/>
      <c r="Q10870" s="1357"/>
      <c r="S10870" s="1420"/>
      <c r="T10870" s="1420"/>
      <c r="V10870" s="1357">
        <v>46</v>
      </c>
    </row>
    <row r="10871" spans="1:22" s="841" customFormat="1" ht="15" x14ac:dyDescent="0.25">
      <c r="A10871" s="841" t="s">
        <v>186</v>
      </c>
      <c r="E10871" s="1690" t="s">
        <v>11</v>
      </c>
      <c r="F10871" s="1690"/>
      <c r="G10871" s="1408" t="s">
        <v>23</v>
      </c>
      <c r="H10871" s="391">
        <v>5.4</v>
      </c>
      <c r="K10871" s="841" t="s">
        <v>3656</v>
      </c>
      <c r="L10871" s="841" t="s">
        <v>442</v>
      </c>
      <c r="M10871" s="1357"/>
      <c r="P10871" s="841" t="s">
        <v>3657</v>
      </c>
      <c r="Q10871" s="1357"/>
      <c r="S10871" s="1420"/>
      <c r="T10871" s="1420"/>
      <c r="V10871" s="1357">
        <v>14</v>
      </c>
    </row>
    <row r="10872" spans="1:22" s="841" customFormat="1" ht="18.75" x14ac:dyDescent="0.3">
      <c r="A10872" s="841" t="s">
        <v>186</v>
      </c>
      <c r="E10872" s="1374" t="s">
        <v>85</v>
      </c>
      <c r="F10872" s="657"/>
      <c r="G10872" s="657"/>
      <c r="H10872" s="658"/>
      <c r="K10872" s="841" t="s">
        <v>4103</v>
      </c>
      <c r="M10872" s="1357"/>
      <c r="Q10872" s="1357"/>
      <c r="S10872" s="1420"/>
      <c r="T10872" s="1420"/>
      <c r="V10872" s="1357">
        <v>10</v>
      </c>
    </row>
    <row r="10873" spans="1:22" s="841" customFormat="1" ht="15" x14ac:dyDescent="0.25">
      <c r="A10873" s="841" t="s">
        <v>186</v>
      </c>
      <c r="E10873" s="1690" t="s">
        <v>3133</v>
      </c>
      <c r="F10873" s="1690"/>
      <c r="G10873" s="1408" t="s">
        <v>33</v>
      </c>
      <c r="H10873" s="393">
        <v>-0.6</v>
      </c>
      <c r="M10873" s="1357"/>
      <c r="Q10873" s="1357"/>
      <c r="S10873" s="1420"/>
      <c r="T10873" s="1420"/>
      <c r="V10873" s="1357">
        <v>68</v>
      </c>
    </row>
    <row r="10874" spans="1:22" s="841" customFormat="1" ht="15" x14ac:dyDescent="0.25">
      <c r="A10874" s="841" t="s">
        <v>186</v>
      </c>
      <c r="E10874" s="1690" t="s">
        <v>3134</v>
      </c>
      <c r="F10874" s="1690"/>
      <c r="G10874" s="1408" t="s">
        <v>86</v>
      </c>
      <c r="H10874" s="391">
        <v>-1</v>
      </c>
      <c r="M10874" s="1357"/>
      <c r="Q10874" s="1357"/>
      <c r="S10874" s="1420"/>
      <c r="T10874" s="1420"/>
      <c r="V10874" s="1357">
        <v>87</v>
      </c>
    </row>
    <row r="10875" spans="1:22" s="841" customFormat="1" ht="36.75" x14ac:dyDescent="0.3">
      <c r="A10875" s="841" t="s">
        <v>186</v>
      </c>
      <c r="E10875" s="1374" t="s">
        <v>87</v>
      </c>
      <c r="F10875" s="657"/>
      <c r="G10875" s="657"/>
      <c r="H10875" s="658"/>
      <c r="K10875" s="841" t="s">
        <v>4104</v>
      </c>
      <c r="M10875" s="1357"/>
      <c r="Q10875" s="1357"/>
      <c r="S10875" s="1420"/>
      <c r="T10875" s="1420"/>
      <c r="V10875" s="1357">
        <v>24</v>
      </c>
    </row>
    <row r="10876" spans="1:22" s="841" customFormat="1" ht="15" x14ac:dyDescent="0.25">
      <c r="A10876" s="841" t="s">
        <v>186</v>
      </c>
      <c r="E10876" s="1689" t="s">
        <v>3063</v>
      </c>
      <c r="F10876" s="1689"/>
      <c r="G10876" s="1689"/>
      <c r="H10876" s="1689"/>
      <c r="M10876" s="1357"/>
      <c r="Q10876" s="1357"/>
      <c r="S10876" s="1420"/>
      <c r="T10876" s="1420"/>
      <c r="V10876" s="1357">
        <v>280</v>
      </c>
    </row>
    <row r="10877" spans="1:22" s="841" customFormat="1" ht="15" x14ac:dyDescent="0.25">
      <c r="A10877" s="841" t="s">
        <v>186</v>
      </c>
      <c r="E10877" s="1689" t="s">
        <v>3136</v>
      </c>
      <c r="F10877" s="1689"/>
      <c r="G10877" s="1689"/>
      <c r="H10877" s="1689"/>
      <c r="M10877" s="1357"/>
      <c r="Q10877" s="1357"/>
      <c r="S10877" s="1420"/>
      <c r="T10877" s="1420"/>
      <c r="V10877" s="1357">
        <v>353</v>
      </c>
    </row>
    <row r="10878" spans="1:22" s="841" customFormat="1" ht="15" x14ac:dyDescent="0.25">
      <c r="A10878" s="841" t="s">
        <v>186</v>
      </c>
      <c r="E10878" s="1689" t="s">
        <v>3200</v>
      </c>
      <c r="F10878" s="1689"/>
      <c r="G10878" s="1689"/>
      <c r="H10878" s="1689"/>
      <c r="M10878" s="1357"/>
      <c r="Q10878" s="1357"/>
      <c r="S10878" s="1420"/>
      <c r="T10878" s="1420"/>
      <c r="V10878" s="1357">
        <v>275</v>
      </c>
    </row>
    <row r="10879" spans="1:22" s="841" customFormat="1" ht="15" x14ac:dyDescent="0.25">
      <c r="A10879" s="841" t="s">
        <v>186</v>
      </c>
      <c r="E10879" s="1370" t="s">
        <v>4105</v>
      </c>
      <c r="F10879" s="3"/>
      <c r="G10879" s="3"/>
      <c r="H10879" s="398"/>
      <c r="K10879" s="841" t="s">
        <v>4106</v>
      </c>
      <c r="M10879" s="1357"/>
      <c r="Q10879" s="1357"/>
      <c r="S10879" s="1420"/>
      <c r="T10879" s="1420"/>
      <c r="V10879" s="1357">
        <v>23</v>
      </c>
    </row>
    <row r="10880" spans="1:22" s="841" customFormat="1" ht="15" x14ac:dyDescent="0.25">
      <c r="A10880" s="841" t="s">
        <v>186</v>
      </c>
      <c r="E10880" s="1688" t="s">
        <v>4770</v>
      </c>
      <c r="F10880" s="1688"/>
      <c r="G10880" s="1408" t="s">
        <v>23</v>
      </c>
      <c r="H10880" s="391">
        <v>15</v>
      </c>
      <c r="M10880" s="1357"/>
      <c r="Q10880" s="1357"/>
      <c r="S10880" s="1420"/>
      <c r="T10880" s="1420"/>
      <c r="V10880" s="1357">
        <v>15</v>
      </c>
    </row>
    <row r="10881" spans="1:22" s="841" customFormat="1" ht="15" x14ac:dyDescent="0.25">
      <c r="A10881" s="841" t="s">
        <v>186</v>
      </c>
      <c r="E10881" s="1688" t="s">
        <v>94</v>
      </c>
      <c r="F10881" s="1688"/>
      <c r="G10881" s="1408" t="s">
        <v>23</v>
      </c>
      <c r="H10881" s="391">
        <v>30</v>
      </c>
      <c r="M10881" s="1357"/>
      <c r="Q10881" s="1357"/>
      <c r="S10881" s="1420"/>
      <c r="T10881" s="1420"/>
      <c r="V10881" s="1357">
        <v>19</v>
      </c>
    </row>
    <row r="10882" spans="1:22" s="841" customFormat="1" ht="15" x14ac:dyDescent="0.25">
      <c r="A10882" s="841" t="s">
        <v>186</v>
      </c>
      <c r="E10882" s="1688" t="s">
        <v>88</v>
      </c>
      <c r="F10882" s="1688"/>
      <c r="G10882" s="1408" t="s">
        <v>23</v>
      </c>
      <c r="H10882" s="391">
        <v>30</v>
      </c>
      <c r="M10882" s="1357"/>
      <c r="Q10882" s="1357"/>
      <c r="S10882" s="1420"/>
      <c r="T10882" s="1420"/>
      <c r="V10882" s="1357">
        <v>89</v>
      </c>
    </row>
    <row r="10883" spans="1:22" s="841" customFormat="1" ht="15" x14ac:dyDescent="0.25">
      <c r="A10883" s="841" t="s">
        <v>186</v>
      </c>
      <c r="E10883" s="1688" t="s">
        <v>123</v>
      </c>
      <c r="F10883" s="1688"/>
      <c r="G10883" s="1408" t="s">
        <v>23</v>
      </c>
      <c r="H10883" s="391">
        <v>15</v>
      </c>
      <c r="M10883" s="1357"/>
      <c r="Q10883" s="1357"/>
      <c r="S10883" s="1420"/>
      <c r="T10883" s="1420"/>
      <c r="V10883" s="1357">
        <v>35</v>
      </c>
    </row>
    <row r="10884" spans="1:22" s="841" customFormat="1" ht="15" x14ac:dyDescent="0.25">
      <c r="A10884" s="841" t="s">
        <v>186</v>
      </c>
      <c r="E10884" s="1688" t="s">
        <v>5793</v>
      </c>
      <c r="F10884" s="1688"/>
      <c r="G10884" s="1408" t="s">
        <v>23</v>
      </c>
      <c r="H10884" s="391">
        <v>30</v>
      </c>
      <c r="M10884" s="1357"/>
      <c r="Q10884" s="1357"/>
      <c r="S10884" s="1420"/>
      <c r="T10884" s="1420"/>
      <c r="V10884" s="1357">
        <v>26</v>
      </c>
    </row>
    <row r="10885" spans="1:22" s="841" customFormat="1" ht="15" x14ac:dyDescent="0.25">
      <c r="A10885" s="841" t="s">
        <v>186</v>
      </c>
      <c r="E10885" s="1370" t="s">
        <v>4107</v>
      </c>
      <c r="F10885" s="3"/>
      <c r="G10885" s="3"/>
      <c r="H10885" s="398"/>
      <c r="K10885" s="841" t="s">
        <v>4108</v>
      </c>
      <c r="M10885" s="1357"/>
      <c r="Q10885" s="1357"/>
      <c r="S10885" s="1420"/>
      <c r="T10885" s="1420"/>
      <c r="V10885" s="1357">
        <v>22</v>
      </c>
    </row>
    <row r="10886" spans="1:22" s="841" customFormat="1" ht="15" x14ac:dyDescent="0.25">
      <c r="A10886" s="841" t="s">
        <v>186</v>
      </c>
      <c r="E10886" s="1688" t="s">
        <v>5137</v>
      </c>
      <c r="F10886" s="1688"/>
      <c r="G10886" s="1408" t="s">
        <v>86</v>
      </c>
      <c r="H10886" s="391">
        <v>1.5</v>
      </c>
      <c r="M10886" s="1357"/>
      <c r="Q10886" s="1357"/>
      <c r="S10886" s="1420"/>
      <c r="T10886" s="1420"/>
      <c r="V10886" s="1357">
        <v>24</v>
      </c>
    </row>
    <row r="10887" spans="1:22" s="841" customFormat="1" ht="15" x14ac:dyDescent="0.25">
      <c r="A10887" s="841" t="s">
        <v>186</v>
      </c>
      <c r="E10887" s="1688" t="s">
        <v>4772</v>
      </c>
      <c r="F10887" s="1688"/>
      <c r="G10887" s="1408" t="s">
        <v>86</v>
      </c>
      <c r="H10887" s="391">
        <v>19.559999999999999</v>
      </c>
      <c r="M10887" s="1357"/>
      <c r="Q10887" s="1357"/>
      <c r="S10887" s="1420"/>
      <c r="T10887" s="1420"/>
      <c r="V10887" s="1357">
        <v>24</v>
      </c>
    </row>
    <row r="10888" spans="1:22" s="841" customFormat="1" ht="15" x14ac:dyDescent="0.25">
      <c r="A10888" s="841" t="s">
        <v>186</v>
      </c>
      <c r="E10888" s="1688" t="s">
        <v>3288</v>
      </c>
      <c r="F10888" s="1688"/>
      <c r="G10888" s="1408" t="s">
        <v>23</v>
      </c>
      <c r="H10888" s="391">
        <v>10</v>
      </c>
      <c r="M10888" s="1357"/>
      <c r="Q10888" s="1357"/>
      <c r="S10888" s="1420"/>
      <c r="T10888" s="1420"/>
      <c r="V10888" s="1357">
        <v>47</v>
      </c>
    </row>
    <row r="10889" spans="1:22" s="841" customFormat="1" ht="15" x14ac:dyDescent="0.25">
      <c r="A10889" s="841" t="s">
        <v>186</v>
      </c>
      <c r="E10889" s="1688" t="s">
        <v>4773</v>
      </c>
      <c r="F10889" s="1688"/>
      <c r="G10889" s="1408" t="s">
        <v>23</v>
      </c>
      <c r="H10889" s="391">
        <v>35</v>
      </c>
      <c r="M10889" s="1357"/>
      <c r="Q10889" s="1357"/>
      <c r="S10889" s="1420"/>
      <c r="T10889" s="1420"/>
      <c r="V10889" s="1357">
        <v>52</v>
      </c>
    </row>
    <row r="10890" spans="1:22" s="841" customFormat="1" ht="15" x14ac:dyDescent="0.25">
      <c r="A10890" s="841" t="s">
        <v>186</v>
      </c>
      <c r="E10890" s="1688" t="s">
        <v>4774</v>
      </c>
      <c r="F10890" s="1688"/>
      <c r="G10890" s="1408" t="s">
        <v>23</v>
      </c>
      <c r="H10890" s="391">
        <v>185</v>
      </c>
      <c r="M10890" s="1357"/>
      <c r="Q10890" s="1357"/>
      <c r="S10890" s="1420"/>
      <c r="T10890" s="1420"/>
      <c r="V10890" s="1357">
        <v>51</v>
      </c>
    </row>
    <row r="10891" spans="1:22" s="841" customFormat="1" ht="15" x14ac:dyDescent="0.25">
      <c r="A10891" s="841" t="s">
        <v>186</v>
      </c>
      <c r="E10891" s="1688" t="s">
        <v>4775</v>
      </c>
      <c r="F10891" s="1688"/>
      <c r="G10891" s="1408" t="s">
        <v>23</v>
      </c>
      <c r="H10891" s="391">
        <v>185</v>
      </c>
      <c r="M10891" s="1357"/>
      <c r="Q10891" s="1357"/>
      <c r="S10891" s="1420"/>
      <c r="T10891" s="1420"/>
      <c r="V10891" s="1357">
        <v>51</v>
      </c>
    </row>
    <row r="10892" spans="1:22" s="841" customFormat="1" ht="15" x14ac:dyDescent="0.25">
      <c r="A10892" s="841" t="s">
        <v>186</v>
      </c>
      <c r="E10892" s="1688" t="s">
        <v>4776</v>
      </c>
      <c r="F10892" s="1688"/>
      <c r="G10892" s="1408" t="s">
        <v>23</v>
      </c>
      <c r="H10892" s="391">
        <v>415</v>
      </c>
      <c r="M10892" s="1357"/>
      <c r="Q10892" s="1357"/>
      <c r="S10892" s="1420"/>
      <c r="T10892" s="1420"/>
      <c r="V10892" s="1357">
        <v>50</v>
      </c>
    </row>
    <row r="10893" spans="1:22" s="841" customFormat="1" ht="15" x14ac:dyDescent="0.25">
      <c r="A10893" s="841" t="s">
        <v>186</v>
      </c>
      <c r="E10893" s="1370" t="s">
        <v>4109</v>
      </c>
      <c r="F10893" s="3"/>
      <c r="G10893" s="3"/>
      <c r="H10893" s="398"/>
      <c r="M10893" s="1357"/>
      <c r="Q10893" s="1357"/>
      <c r="S10893" s="1420"/>
      <c r="T10893" s="1420"/>
      <c r="V10893" s="1357">
        <v>5</v>
      </c>
    </row>
    <row r="10894" spans="1:22" s="841" customFormat="1" ht="15" x14ac:dyDescent="0.25">
      <c r="A10894" s="841" t="s">
        <v>186</v>
      </c>
      <c r="E10894" s="1688" t="s">
        <v>4110</v>
      </c>
      <c r="F10894" s="1688"/>
      <c r="G10894" s="1408" t="s">
        <v>23</v>
      </c>
      <c r="H10894" s="391">
        <v>5.5</v>
      </c>
      <c r="M10894" s="1357"/>
      <c r="Q10894" s="1357"/>
      <c r="S10894" s="1420"/>
      <c r="T10894" s="1420"/>
      <c r="V10894" s="1357">
        <v>26</v>
      </c>
    </row>
    <row r="10895" spans="1:22" s="841" customFormat="1" ht="15" x14ac:dyDescent="0.25">
      <c r="A10895" s="841" t="s">
        <v>186</v>
      </c>
      <c r="E10895" s="1688" t="s">
        <v>3434</v>
      </c>
      <c r="F10895" s="1688"/>
      <c r="G10895" s="1408" t="s">
        <v>23</v>
      </c>
      <c r="H10895" s="391">
        <v>500</v>
      </c>
      <c r="M10895" s="1357"/>
      <c r="Q10895" s="1357"/>
      <c r="S10895" s="1420"/>
      <c r="T10895" s="1420"/>
      <c r="V10895" s="1357">
        <v>64</v>
      </c>
    </row>
    <row r="10896" spans="1:22" s="841" customFormat="1" ht="15" x14ac:dyDescent="0.25">
      <c r="A10896" s="841" t="s">
        <v>186</v>
      </c>
      <c r="E10896" s="1688" t="s">
        <v>3489</v>
      </c>
      <c r="F10896" s="1688"/>
      <c r="G10896" s="1408" t="s">
        <v>23</v>
      </c>
      <c r="H10896" s="391">
        <v>300</v>
      </c>
      <c r="M10896" s="1357"/>
      <c r="Q10896" s="1357"/>
      <c r="S10896" s="1420"/>
      <c r="T10896" s="1420"/>
      <c r="V10896" s="1357">
        <v>67</v>
      </c>
    </row>
    <row r="10897" spans="1:22" s="841" customFormat="1" ht="15" x14ac:dyDescent="0.25">
      <c r="A10897" s="841" t="s">
        <v>186</v>
      </c>
      <c r="E10897" s="1688" t="s">
        <v>3168</v>
      </c>
      <c r="F10897" s="1688"/>
      <c r="G10897" s="1408" t="s">
        <v>23</v>
      </c>
      <c r="H10897" s="391">
        <v>165</v>
      </c>
      <c r="M10897" s="1357"/>
      <c r="Q10897" s="1357"/>
      <c r="S10897" s="1420"/>
      <c r="T10897" s="1420"/>
      <c r="V10897" s="1357">
        <v>34</v>
      </c>
    </row>
    <row r="10898" spans="1:22" s="841" customFormat="1" ht="15" x14ac:dyDescent="0.25">
      <c r="A10898" s="841" t="s">
        <v>186</v>
      </c>
      <c r="E10898" s="1688" t="s">
        <v>3502</v>
      </c>
      <c r="F10898" s="1688"/>
      <c r="G10898" s="1408" t="s">
        <v>23</v>
      </c>
      <c r="H10898" s="391">
        <v>22.35</v>
      </c>
      <c r="M10898" s="1357"/>
      <c r="Q10898" s="1357"/>
      <c r="S10898" s="1420"/>
      <c r="T10898" s="1420"/>
      <c r="V10898" s="1357">
        <v>104</v>
      </c>
    </row>
    <row r="10899" spans="1:22" s="841" customFormat="1" ht="15" x14ac:dyDescent="0.25">
      <c r="A10899" s="841" t="s">
        <v>186</v>
      </c>
      <c r="E10899" s="1688" t="s">
        <v>4777</v>
      </c>
      <c r="F10899" s="1688"/>
      <c r="G10899" s="1408" t="s">
        <v>23</v>
      </c>
      <c r="H10899" s="391">
        <v>65</v>
      </c>
      <c r="M10899" s="1357"/>
      <c r="Q10899" s="1357"/>
      <c r="S10899" s="1420"/>
      <c r="T10899" s="1420"/>
      <c r="V10899" s="1357">
        <v>57</v>
      </c>
    </row>
    <row r="10900" spans="1:22" s="841" customFormat="1" ht="15" x14ac:dyDescent="0.25">
      <c r="A10900" s="841" t="s">
        <v>186</v>
      </c>
      <c r="E10900" s="1688" t="s">
        <v>4778</v>
      </c>
      <c r="F10900" s="1688"/>
      <c r="G10900" s="1408" t="s">
        <v>23</v>
      </c>
      <c r="H10900" s="391">
        <v>185</v>
      </c>
      <c r="M10900" s="1357"/>
      <c r="Q10900" s="1357"/>
      <c r="S10900" s="1420"/>
      <c r="T10900" s="1420"/>
      <c r="V10900" s="1357">
        <v>56</v>
      </c>
    </row>
    <row r="10901" spans="1:22" s="841" customFormat="1" ht="36.75" x14ac:dyDescent="0.3">
      <c r="A10901" s="841" t="s">
        <v>186</v>
      </c>
      <c r="E10901" s="1374" t="s">
        <v>77</v>
      </c>
      <c r="F10901" s="657"/>
      <c r="G10901" s="657"/>
      <c r="H10901" s="658"/>
      <c r="K10901" s="841" t="s">
        <v>4111</v>
      </c>
      <c r="M10901" s="1357"/>
      <c r="Q10901" s="1357"/>
      <c r="S10901" s="1420"/>
      <c r="T10901" s="1420"/>
      <c r="V10901" s="1357">
        <v>38</v>
      </c>
    </row>
    <row r="10902" spans="1:22" s="841" customFormat="1" ht="15" x14ac:dyDescent="0.25">
      <c r="A10902" s="841" t="s">
        <v>186</v>
      </c>
      <c r="E10902" s="1689" t="s">
        <v>3063</v>
      </c>
      <c r="F10902" s="1689"/>
      <c r="G10902" s="1689"/>
      <c r="H10902" s="1689"/>
      <c r="M10902" s="1357"/>
      <c r="Q10902" s="1357"/>
      <c r="S10902" s="1420"/>
      <c r="T10902" s="1420"/>
      <c r="V10902" s="1357">
        <v>280</v>
      </c>
    </row>
    <row r="10903" spans="1:22" s="841" customFormat="1" ht="15" x14ac:dyDescent="0.25">
      <c r="A10903" s="841" t="s">
        <v>186</v>
      </c>
      <c r="E10903" s="1689" t="s">
        <v>3064</v>
      </c>
      <c r="F10903" s="1689"/>
      <c r="G10903" s="1689"/>
      <c r="H10903" s="1689"/>
      <c r="M10903" s="1357"/>
      <c r="Q10903" s="1357"/>
      <c r="S10903" s="1420"/>
      <c r="T10903" s="1420"/>
      <c r="V10903" s="1357">
        <v>411</v>
      </c>
    </row>
    <row r="10904" spans="1:22" s="841" customFormat="1" ht="15" x14ac:dyDescent="0.25">
      <c r="A10904" s="841" t="s">
        <v>186</v>
      </c>
      <c r="E10904" s="1689" t="s">
        <v>3129</v>
      </c>
      <c r="F10904" s="1689"/>
      <c r="G10904" s="1689"/>
      <c r="H10904" s="1689"/>
      <c r="M10904" s="1357"/>
      <c r="Q10904" s="1357"/>
      <c r="S10904" s="1420"/>
      <c r="T10904" s="1420"/>
      <c r="V10904" s="1357">
        <v>211</v>
      </c>
    </row>
    <row r="10905" spans="1:22" s="841" customFormat="1" ht="15" x14ac:dyDescent="0.25">
      <c r="A10905" s="841" t="s">
        <v>186</v>
      </c>
      <c r="E10905" s="1689" t="s">
        <v>3200</v>
      </c>
      <c r="F10905" s="1689"/>
      <c r="G10905" s="1689"/>
      <c r="H10905" s="1689"/>
      <c r="M10905" s="1357"/>
      <c r="Q10905" s="1357"/>
      <c r="S10905" s="1420"/>
      <c r="T10905" s="1420"/>
      <c r="V10905" s="1357">
        <v>275</v>
      </c>
    </row>
    <row r="10906" spans="1:22" s="841" customFormat="1" ht="15" x14ac:dyDescent="0.25">
      <c r="A10906" s="841" t="s">
        <v>186</v>
      </c>
      <c r="E10906" s="1689" t="s">
        <v>3291</v>
      </c>
      <c r="F10906" s="1689"/>
      <c r="G10906" s="1689"/>
      <c r="H10906" s="1689"/>
      <c r="M10906" s="1357"/>
      <c r="Q10906" s="1357"/>
      <c r="S10906" s="1420"/>
      <c r="T10906" s="1420"/>
      <c r="V10906" s="1357">
        <v>142</v>
      </c>
    </row>
    <row r="10907" spans="1:22" s="841" customFormat="1" ht="15" x14ac:dyDescent="0.25">
      <c r="A10907" s="841" t="s">
        <v>186</v>
      </c>
      <c r="E10907" s="1690" t="s">
        <v>3176</v>
      </c>
      <c r="F10907" s="1690"/>
      <c r="G10907" s="397" t="s">
        <v>23</v>
      </c>
      <c r="H10907" s="391">
        <v>100</v>
      </c>
      <c r="M10907" s="1357"/>
      <c r="Q10907" s="1357"/>
      <c r="S10907" s="1420"/>
      <c r="T10907" s="1420"/>
      <c r="V10907" s="1357">
        <v>106</v>
      </c>
    </row>
    <row r="10908" spans="1:22" s="841" customFormat="1" ht="15" x14ac:dyDescent="0.25">
      <c r="A10908" s="841" t="s">
        <v>186</v>
      </c>
      <c r="E10908" s="1690" t="s">
        <v>3177</v>
      </c>
      <c r="F10908" s="1690"/>
      <c r="G10908" s="397" t="s">
        <v>23</v>
      </c>
      <c r="H10908" s="391">
        <v>20</v>
      </c>
      <c r="M10908" s="1357"/>
      <c r="Q10908" s="1357"/>
      <c r="S10908" s="1420"/>
      <c r="T10908" s="1420"/>
      <c r="V10908" s="1357">
        <v>34</v>
      </c>
    </row>
    <row r="10909" spans="1:22" s="841" customFormat="1" ht="15" x14ac:dyDescent="0.25">
      <c r="A10909" s="841" t="s">
        <v>186</v>
      </c>
      <c r="E10909" s="1690" t="s">
        <v>3178</v>
      </c>
      <c r="F10909" s="1690"/>
      <c r="G10909" s="397" t="s">
        <v>3179</v>
      </c>
      <c r="H10909" s="391">
        <v>0.5</v>
      </c>
      <c r="M10909" s="1357"/>
      <c r="Q10909" s="1357"/>
      <c r="S10909" s="1420"/>
      <c r="T10909" s="1420"/>
      <c r="V10909" s="1357">
        <v>51</v>
      </c>
    </row>
    <row r="10910" spans="1:22" s="841" customFormat="1" ht="15" x14ac:dyDescent="0.25">
      <c r="A10910" s="841" t="s">
        <v>186</v>
      </c>
      <c r="E10910" s="1690" t="s">
        <v>3180</v>
      </c>
      <c r="F10910" s="1690"/>
      <c r="G10910" s="397" t="s">
        <v>3179</v>
      </c>
      <c r="H10910" s="391">
        <v>0.3</v>
      </c>
      <c r="M10910" s="1357"/>
      <c r="Q10910" s="1357"/>
      <c r="S10910" s="1420"/>
      <c r="T10910" s="1420"/>
      <c r="V10910" s="1357">
        <v>75</v>
      </c>
    </row>
    <row r="10911" spans="1:22" s="841" customFormat="1" ht="15" x14ac:dyDescent="0.25">
      <c r="A10911" s="841" t="s">
        <v>186</v>
      </c>
      <c r="E10911" s="1690" t="s">
        <v>3181</v>
      </c>
      <c r="F10911" s="1690"/>
      <c r="G10911" s="397" t="s">
        <v>3179</v>
      </c>
      <c r="H10911" s="602">
        <v>-0.3</v>
      </c>
      <c r="M10911" s="1357"/>
      <c r="Q10911" s="1357"/>
      <c r="S10911" s="1420"/>
      <c r="T10911" s="1420"/>
      <c r="V10911" s="1357">
        <v>72</v>
      </c>
    </row>
    <row r="10912" spans="1:22" s="841" customFormat="1" ht="15" x14ac:dyDescent="0.25">
      <c r="A10912" s="841" t="s">
        <v>186</v>
      </c>
      <c r="E10912" s="1690" t="s">
        <v>3292</v>
      </c>
      <c r="F10912" s="1690"/>
      <c r="G10912" s="397"/>
      <c r="H10912" s="392"/>
      <c r="M10912" s="1357"/>
      <c r="Q10912" s="1357"/>
      <c r="S10912" s="1420"/>
      <c r="T10912" s="1420"/>
      <c r="V10912" s="1357">
        <v>34</v>
      </c>
    </row>
    <row r="10913" spans="1:22" s="841" customFormat="1" ht="15" x14ac:dyDescent="0.25">
      <c r="A10913" s="841" t="s">
        <v>186</v>
      </c>
      <c r="E10913" s="1691" t="s">
        <v>3183</v>
      </c>
      <c r="F10913" s="1691"/>
      <c r="G10913" s="397" t="s">
        <v>23</v>
      </c>
      <c r="H10913" s="391">
        <v>0.25</v>
      </c>
      <c r="M10913" s="1357"/>
      <c r="Q10913" s="1357"/>
      <c r="S10913" s="1420"/>
      <c r="T10913" s="1420"/>
      <c r="V10913" s="1357">
        <v>57</v>
      </c>
    </row>
    <row r="10914" spans="1:22" s="841" customFormat="1" ht="15" x14ac:dyDescent="0.25">
      <c r="A10914" s="841" t="s">
        <v>186</v>
      </c>
      <c r="E10914" s="1691" t="s">
        <v>3184</v>
      </c>
      <c r="F10914" s="1691"/>
      <c r="G10914" s="397" t="s">
        <v>23</v>
      </c>
      <c r="H10914" s="391">
        <v>0.5</v>
      </c>
      <c r="M10914" s="1357"/>
      <c r="Q10914" s="1357"/>
      <c r="S10914" s="1420"/>
      <c r="T10914" s="1420"/>
      <c r="V10914" s="1357">
        <v>60</v>
      </c>
    </row>
    <row r="10915" spans="1:22" s="841" customFormat="1" ht="15" x14ac:dyDescent="0.25">
      <c r="A10915" s="841" t="s">
        <v>186</v>
      </c>
      <c r="E10915" s="1690" t="s">
        <v>3185</v>
      </c>
      <c r="F10915" s="1690"/>
      <c r="G10915" s="397"/>
      <c r="H10915" s="392"/>
      <c r="M10915" s="1357"/>
      <c r="Q10915" s="1357"/>
      <c r="S10915" s="1420"/>
      <c r="T10915" s="1420"/>
      <c r="V10915" s="1357">
        <v>91</v>
      </c>
    </row>
    <row r="10916" spans="1:22" s="841" customFormat="1" ht="15" x14ac:dyDescent="0.25">
      <c r="A10916" s="841" t="s">
        <v>186</v>
      </c>
      <c r="E10916" s="1690" t="s">
        <v>3186</v>
      </c>
      <c r="F10916" s="1690"/>
      <c r="G10916" s="397"/>
      <c r="H10916" s="392"/>
      <c r="M10916" s="1357"/>
      <c r="Q10916" s="1357"/>
      <c r="S10916" s="1420"/>
      <c r="T10916" s="1420"/>
      <c r="V10916" s="1357">
        <v>96</v>
      </c>
    </row>
    <row r="10917" spans="1:22" s="841" customFormat="1" ht="15" x14ac:dyDescent="0.25">
      <c r="A10917" s="841" t="s">
        <v>186</v>
      </c>
      <c r="E10917" s="1690" t="s">
        <v>3293</v>
      </c>
      <c r="F10917" s="1690"/>
      <c r="G10917" s="397"/>
      <c r="H10917" s="392"/>
      <c r="M10917" s="1357"/>
      <c r="Q10917" s="1357"/>
      <c r="S10917" s="1420"/>
      <c r="T10917" s="1420"/>
      <c r="V10917" s="1357">
        <v>77</v>
      </c>
    </row>
    <row r="10918" spans="1:22" s="841" customFormat="1" ht="15" x14ac:dyDescent="0.25">
      <c r="A10918" s="841" t="s">
        <v>186</v>
      </c>
      <c r="E10918" s="1691" t="s">
        <v>3188</v>
      </c>
      <c r="F10918" s="1691"/>
      <c r="G10918" s="397" t="s">
        <v>23</v>
      </c>
      <c r="H10918" s="392" t="s">
        <v>3189</v>
      </c>
      <c r="M10918" s="1357"/>
      <c r="Q10918" s="1357"/>
      <c r="S10918" s="1420"/>
      <c r="T10918" s="1420"/>
      <c r="V10918" s="1357">
        <v>18</v>
      </c>
    </row>
    <row r="10919" spans="1:22" s="841" customFormat="1" ht="15" x14ac:dyDescent="0.25">
      <c r="A10919" s="841" t="s">
        <v>186</v>
      </c>
      <c r="E10919" s="1691" t="s">
        <v>3190</v>
      </c>
      <c r="F10919" s="1691"/>
      <c r="G10919" s="397" t="s">
        <v>23</v>
      </c>
      <c r="H10919" s="391">
        <v>2</v>
      </c>
      <c r="M10919" s="1357"/>
      <c r="Q10919" s="1357"/>
      <c r="S10919" s="1420"/>
      <c r="T10919" s="1420"/>
      <c r="V10919" s="1357">
        <v>69</v>
      </c>
    </row>
    <row r="10920" spans="1:22" s="841" customFormat="1" ht="18.75" x14ac:dyDescent="0.3">
      <c r="A10920" s="841" t="s">
        <v>186</v>
      </c>
      <c r="E10920" s="1374" t="s">
        <v>147</v>
      </c>
      <c r="F10920" s="657"/>
      <c r="G10920" s="657"/>
      <c r="H10920" s="658"/>
      <c r="K10920" s="841" t="s">
        <v>4112</v>
      </c>
      <c r="M10920" s="1357"/>
      <c r="Q10920" s="1357"/>
      <c r="S10920" s="1420"/>
      <c r="T10920" s="1420"/>
      <c r="V10920" s="1357">
        <v>12</v>
      </c>
    </row>
    <row r="10921" spans="1:22" s="841" customFormat="1" ht="15" x14ac:dyDescent="0.25">
      <c r="A10921" s="841" t="s">
        <v>186</v>
      </c>
      <c r="E10921" s="1704" t="s">
        <v>3192</v>
      </c>
      <c r="F10921" s="1704"/>
      <c r="G10921" s="1704"/>
      <c r="H10921" s="1704"/>
      <c r="M10921" s="1357"/>
      <c r="Q10921" s="1357"/>
      <c r="S10921" s="1420"/>
      <c r="T10921" s="1420"/>
      <c r="V10921" s="1357">
        <v>203</v>
      </c>
    </row>
    <row r="10922" spans="1:22" s="841" customFormat="1" ht="15" x14ac:dyDescent="0.25">
      <c r="A10922" s="841" t="s">
        <v>186</v>
      </c>
      <c r="E10922" s="1690" t="s">
        <v>3295</v>
      </c>
      <c r="F10922" s="1690"/>
      <c r="G10922" s="1408"/>
      <c r="H10922" s="393">
        <v>1.0315000000000001</v>
      </c>
      <c r="M10922" s="1357"/>
      <c r="Q10922" s="1357"/>
      <c r="S10922" s="1420"/>
      <c r="T10922" s="1420"/>
      <c r="V10922" s="1357">
        <v>57</v>
      </c>
    </row>
    <row r="10923" spans="1:22" s="841" customFormat="1" ht="15" x14ac:dyDescent="0.25">
      <c r="A10923" s="841" t="s">
        <v>186</v>
      </c>
      <c r="E10923" s="1690" t="s">
        <v>3296</v>
      </c>
      <c r="F10923" s="1690"/>
      <c r="G10923" s="1408"/>
      <c r="H10923" s="393">
        <v>1.0145999999999999</v>
      </c>
      <c r="M10923" s="1357"/>
      <c r="Q10923" s="1357"/>
      <c r="S10923" s="1420"/>
      <c r="T10923" s="1420"/>
      <c r="V10923" s="1357">
        <v>57</v>
      </c>
    </row>
    <row r="10924" spans="1:22" s="841" customFormat="1" ht="15" x14ac:dyDescent="0.25">
      <c r="A10924" s="841" t="s">
        <v>186</v>
      </c>
      <c r="E10924" s="1690" t="s">
        <v>3297</v>
      </c>
      <c r="F10924" s="1690"/>
      <c r="G10924" s="1408"/>
      <c r="H10924" s="393">
        <v>1.0212000000000001</v>
      </c>
      <c r="M10924" s="1357"/>
      <c r="Q10924" s="1357"/>
      <c r="S10924" s="1420"/>
      <c r="T10924" s="1420"/>
      <c r="V10924" s="1357">
        <v>55</v>
      </c>
    </row>
    <row r="10925" spans="1:22" s="841" customFormat="1" ht="15" x14ac:dyDescent="0.25">
      <c r="A10925" s="841" t="s">
        <v>186</v>
      </c>
      <c r="E10925" s="1690" t="s">
        <v>3298</v>
      </c>
      <c r="F10925" s="1690"/>
      <c r="G10925" s="1408"/>
      <c r="H10925" s="393">
        <v>1.0044999999999999</v>
      </c>
      <c r="J10925" s="841" t="s">
        <v>4113</v>
      </c>
      <c r="M10925" s="1357"/>
      <c r="Q10925" s="1357"/>
      <c r="S10925" s="1420"/>
      <c r="T10925" s="1420"/>
      <c r="V10925" s="1357">
        <v>55</v>
      </c>
    </row>
    <row r="10926" spans="1:22" s="841" customFormat="1" ht="23.25" x14ac:dyDescent="0.25">
      <c r="A10926" s="841" t="s">
        <v>163</v>
      </c>
      <c r="C10926" s="841" t="s">
        <v>3050</v>
      </c>
      <c r="E10926" s="2114" t="s">
        <v>163</v>
      </c>
      <c r="F10926" s="2114"/>
      <c r="G10926" s="2114"/>
      <c r="H10926" s="2114"/>
      <c r="I10926" s="841" t="s">
        <v>628</v>
      </c>
      <c r="J10926" s="841" t="s">
        <v>4035</v>
      </c>
      <c r="K10926" s="841" t="s">
        <v>163</v>
      </c>
      <c r="M10926" s="1357">
        <v>8</v>
      </c>
      <c r="Q10926" s="1357"/>
      <c r="S10926" s="1420"/>
      <c r="T10926" s="1420"/>
      <c r="V10926" s="1357">
        <v>26</v>
      </c>
    </row>
    <row r="10927" spans="1:22" s="841" customFormat="1" x14ac:dyDescent="0.25">
      <c r="A10927" s="841" t="s">
        <v>163</v>
      </c>
      <c r="C10927" s="841" t="s">
        <v>3052</v>
      </c>
      <c r="E10927" s="2115" t="s">
        <v>3053</v>
      </c>
      <c r="F10927" s="2115"/>
      <c r="G10927" s="2115"/>
      <c r="H10927" s="2115"/>
      <c r="M10927" s="1357"/>
      <c r="Q10927" s="1357"/>
      <c r="S10927" s="1420"/>
      <c r="T10927" s="1420"/>
      <c r="V10927" s="1357">
        <v>27</v>
      </c>
    </row>
    <row r="10928" spans="1:22" s="841" customFormat="1" ht="15.75" x14ac:dyDescent="0.25">
      <c r="A10928" s="841" t="s">
        <v>163</v>
      </c>
      <c r="C10928" s="841" t="s">
        <v>3054</v>
      </c>
      <c r="E10928" s="2116" t="s">
        <v>5101</v>
      </c>
      <c r="F10928" s="2116"/>
      <c r="G10928" s="2116"/>
      <c r="H10928" s="2116"/>
      <c r="M10928" s="1357"/>
      <c r="Q10928" s="1357"/>
      <c r="S10928" s="1420">
        <v>43101</v>
      </c>
      <c r="T10928" s="1420"/>
      <c r="V10928" s="1357">
        <v>49</v>
      </c>
    </row>
    <row r="10929" spans="1:22" s="841" customFormat="1" ht="15" x14ac:dyDescent="0.25">
      <c r="A10929" s="841" t="s">
        <v>163</v>
      </c>
      <c r="C10929" s="841" t="s">
        <v>3055</v>
      </c>
      <c r="E10929" s="2113" t="s">
        <v>3056</v>
      </c>
      <c r="F10929" s="2113"/>
      <c r="G10929" s="2113"/>
      <c r="H10929" s="2113"/>
      <c r="M10929" s="1357"/>
      <c r="Q10929" s="1357"/>
      <c r="S10929" s="1420"/>
      <c r="T10929" s="1420"/>
      <c r="V10929" s="1357">
        <v>52</v>
      </c>
    </row>
    <row r="10930" spans="1:22" s="841" customFormat="1" ht="15" x14ac:dyDescent="0.25">
      <c r="A10930" s="841" t="s">
        <v>163</v>
      </c>
      <c r="E10930" s="2113" t="s">
        <v>3057</v>
      </c>
      <c r="F10930" s="2113"/>
      <c r="G10930" s="2113"/>
      <c r="H10930" s="2113"/>
      <c r="M10930" s="1357"/>
      <c r="Q10930" s="1357"/>
      <c r="S10930" s="1420"/>
      <c r="T10930" s="1420"/>
      <c r="V10930" s="1357">
        <v>53</v>
      </c>
    </row>
    <row r="10931" spans="1:22" s="841" customFormat="1" ht="15" x14ac:dyDescent="0.25">
      <c r="A10931" s="841" t="s">
        <v>163</v>
      </c>
      <c r="E10931" s="2109" t="s">
        <v>5794</v>
      </c>
      <c r="F10931" s="2109"/>
      <c r="G10931" s="2109"/>
      <c r="H10931" s="2109"/>
      <c r="K10931" s="841" t="s">
        <v>5794</v>
      </c>
      <c r="M10931" s="1357"/>
      <c r="Q10931" s="1357"/>
      <c r="S10931" s="1420"/>
      <c r="T10931" s="1420"/>
      <c r="V10931" s="1357">
        <v>12</v>
      </c>
    </row>
    <row r="10932" spans="1:22" s="841" customFormat="1" ht="15" x14ac:dyDescent="0.25">
      <c r="A10932" s="841" t="s">
        <v>163</v>
      </c>
      <c r="E10932" s="2110" t="s">
        <v>438</v>
      </c>
      <c r="F10932" s="2111"/>
      <c r="G10932" s="2111"/>
      <c r="H10932" s="2111"/>
      <c r="K10932" s="841" t="s">
        <v>3197</v>
      </c>
      <c r="M10932" s="1357"/>
      <c r="Q10932" s="1357"/>
      <c r="S10932" s="1420"/>
      <c r="T10932" s="1420"/>
      <c r="V10932" s="1357">
        <v>34</v>
      </c>
    </row>
    <row r="10933" spans="1:22" s="841" customFormat="1" ht="15" x14ac:dyDescent="0.25">
      <c r="A10933" s="841" t="s">
        <v>163</v>
      </c>
      <c r="E10933" s="1998" t="s">
        <v>4036</v>
      </c>
      <c r="F10933" s="1998"/>
      <c r="G10933" s="1998"/>
      <c r="H10933" s="1998"/>
      <c r="K10933" s="841" t="s">
        <v>3197</v>
      </c>
      <c r="M10933" s="1357"/>
      <c r="Q10933" s="1357"/>
      <c r="S10933" s="1420"/>
      <c r="T10933" s="1420"/>
      <c r="V10933" s="1357">
        <v>649</v>
      </c>
    </row>
    <row r="10934" spans="1:22" s="841" customFormat="1" ht="15" x14ac:dyDescent="0.25">
      <c r="A10934" s="841" t="s">
        <v>163</v>
      </c>
      <c r="E10934" s="1997" t="s">
        <v>3061</v>
      </c>
      <c r="F10934" s="1697"/>
      <c r="G10934" s="1697"/>
      <c r="H10934" s="1697"/>
      <c r="K10934" s="841" t="s">
        <v>3062</v>
      </c>
      <c r="M10934" s="1357"/>
      <c r="Q10934" s="1357"/>
      <c r="S10934" s="1420"/>
      <c r="T10934" s="1420"/>
      <c r="V10934" s="1357">
        <v>11</v>
      </c>
    </row>
    <row r="10935" spans="1:22" s="841" customFormat="1" ht="15" x14ac:dyDescent="0.25">
      <c r="A10935" s="841" t="s">
        <v>163</v>
      </c>
      <c r="E10935" s="1998" t="s">
        <v>4037</v>
      </c>
      <c r="F10935" s="1998"/>
      <c r="G10935" s="1998"/>
      <c r="H10935" s="1998"/>
      <c r="K10935" s="841" t="s">
        <v>3197</v>
      </c>
      <c r="M10935" s="1357"/>
      <c r="Q10935" s="1357"/>
      <c r="S10935" s="1420"/>
      <c r="T10935" s="1420"/>
      <c r="V10935" s="1357">
        <v>281</v>
      </c>
    </row>
    <row r="10936" spans="1:22" s="841" customFormat="1" ht="15" x14ac:dyDescent="0.25">
      <c r="A10936" s="841" t="s">
        <v>163</v>
      </c>
      <c r="E10936" s="1998" t="s">
        <v>4038</v>
      </c>
      <c r="F10936" s="1998"/>
      <c r="G10936" s="1998"/>
      <c r="H10936" s="1998"/>
      <c r="K10936" s="841" t="s">
        <v>3197</v>
      </c>
      <c r="M10936" s="1357"/>
      <c r="Q10936" s="1357"/>
      <c r="S10936" s="1420"/>
      <c r="T10936" s="1420"/>
      <c r="V10936" s="1357">
        <v>412</v>
      </c>
    </row>
    <row r="10937" spans="1:22" s="841" customFormat="1" ht="15" x14ac:dyDescent="0.25">
      <c r="A10937" s="841" t="s">
        <v>163</v>
      </c>
      <c r="E10937" s="1998" t="s">
        <v>4039</v>
      </c>
      <c r="F10937" s="1998"/>
      <c r="G10937" s="1998"/>
      <c r="H10937" s="1998"/>
      <c r="K10937" s="841" t="s">
        <v>3197</v>
      </c>
      <c r="M10937" s="1357"/>
      <c r="Q10937" s="1357"/>
      <c r="S10937" s="1420"/>
      <c r="T10937" s="1420"/>
      <c r="V10937" s="1357">
        <v>387</v>
      </c>
    </row>
    <row r="10938" spans="1:22" s="841" customFormat="1" ht="15" x14ac:dyDescent="0.25">
      <c r="A10938" s="841" t="s">
        <v>163</v>
      </c>
      <c r="E10938" s="1998" t="s">
        <v>4040</v>
      </c>
      <c r="F10938" s="1998"/>
      <c r="G10938" s="1998"/>
      <c r="H10938" s="1998"/>
      <c r="K10938" s="841" t="s">
        <v>3197</v>
      </c>
      <c r="M10938" s="1357"/>
      <c r="Q10938" s="1357"/>
      <c r="S10938" s="1420"/>
      <c r="T10938" s="1420"/>
      <c r="V10938" s="1357">
        <v>276</v>
      </c>
    </row>
    <row r="10939" spans="1:22" s="841" customFormat="1" ht="15" x14ac:dyDescent="0.25">
      <c r="A10939" s="841" t="s">
        <v>163</v>
      </c>
      <c r="E10939" s="2108" t="s">
        <v>3067</v>
      </c>
      <c r="F10939" s="1693"/>
      <c r="G10939" s="1693"/>
      <c r="H10939" s="1693"/>
      <c r="K10939" s="841" t="s">
        <v>3068</v>
      </c>
      <c r="M10939" s="1357"/>
      <c r="Q10939" s="1357"/>
      <c r="S10939" s="1420"/>
      <c r="T10939" s="1420"/>
      <c r="V10939" s="1357">
        <v>46</v>
      </c>
    </row>
    <row r="10940" spans="1:22" s="841" customFormat="1" ht="15" x14ac:dyDescent="0.25">
      <c r="A10940" s="841" t="s">
        <v>163</v>
      </c>
      <c r="E10940" s="1989" t="s">
        <v>11</v>
      </c>
      <c r="F10940" s="1989"/>
      <c r="G10940" s="1317" t="s">
        <v>23</v>
      </c>
      <c r="H10940" s="1318">
        <v>21.88</v>
      </c>
      <c r="K10940" s="841" t="s">
        <v>3197</v>
      </c>
      <c r="L10940" s="841" t="s">
        <v>442</v>
      </c>
      <c r="M10940" s="1357"/>
      <c r="P10940" s="841" t="s">
        <v>3201</v>
      </c>
      <c r="Q10940" s="1357"/>
      <c r="S10940" s="1420"/>
      <c r="T10940" s="1420"/>
      <c r="V10940" s="1357">
        <v>14</v>
      </c>
    </row>
    <row r="10941" spans="1:22" s="841" customFormat="1" ht="15" x14ac:dyDescent="0.25">
      <c r="A10941" s="841" t="s">
        <v>163</v>
      </c>
      <c r="E10941" s="1989" t="s">
        <v>423</v>
      </c>
      <c r="F10941" s="1989"/>
      <c r="G10941" s="1317" t="s">
        <v>23</v>
      </c>
      <c r="H10941" s="1318">
        <v>0.79</v>
      </c>
      <c r="K10941" s="841" t="s">
        <v>3197</v>
      </c>
      <c r="L10941" s="841" t="s">
        <v>443</v>
      </c>
      <c r="M10941" s="1357"/>
      <c r="P10941" s="841" t="s">
        <v>3202</v>
      </c>
      <c r="Q10941" s="1357"/>
      <c r="S10941" s="1420"/>
      <c r="T10941" s="1420">
        <v>43404</v>
      </c>
      <c r="V10941" s="1357">
        <v>78</v>
      </c>
    </row>
    <row r="10942" spans="1:22" s="841" customFormat="1" ht="15" x14ac:dyDescent="0.25">
      <c r="A10942" s="841" t="s">
        <v>163</v>
      </c>
      <c r="E10942" s="1989" t="s">
        <v>84</v>
      </c>
      <c r="F10942" s="1989"/>
      <c r="G10942" s="1317" t="s">
        <v>24</v>
      </c>
      <c r="H10942" s="1319">
        <v>4.1999999999999997E-3</v>
      </c>
      <c r="K10942" s="841" t="s">
        <v>3197</v>
      </c>
      <c r="L10942" s="841" t="s">
        <v>442</v>
      </c>
      <c r="M10942" s="1357"/>
      <c r="P10942" s="841" t="s">
        <v>3203</v>
      </c>
      <c r="Q10942" s="1357"/>
      <c r="S10942" s="1420"/>
      <c r="T10942" s="1420"/>
      <c r="V10942" s="1357">
        <v>28</v>
      </c>
    </row>
    <row r="10943" spans="1:22" s="841" customFormat="1" ht="15" x14ac:dyDescent="0.25">
      <c r="A10943" s="841" t="s">
        <v>163</v>
      </c>
      <c r="E10943" s="1989" t="s">
        <v>18</v>
      </c>
      <c r="F10943" s="1989"/>
      <c r="G10943" s="1317" t="s">
        <v>24</v>
      </c>
      <c r="H10943" s="1319">
        <v>1.8E-3</v>
      </c>
      <c r="K10943" s="841" t="s">
        <v>3197</v>
      </c>
      <c r="L10943" s="841" t="s">
        <v>443</v>
      </c>
      <c r="M10943" s="1357"/>
      <c r="P10943" s="841" t="s">
        <v>3204</v>
      </c>
      <c r="Q10943" s="1357"/>
      <c r="S10943" s="1420"/>
      <c r="T10943" s="1420"/>
      <c r="V10943" s="1357">
        <v>24</v>
      </c>
    </row>
    <row r="10944" spans="1:22" s="841" customFormat="1" ht="15" x14ac:dyDescent="0.25">
      <c r="A10944" s="841" t="s">
        <v>163</v>
      </c>
      <c r="E10944" s="1989" t="s">
        <v>221</v>
      </c>
      <c r="F10944" s="1989"/>
      <c r="G10944" s="1317" t="s">
        <v>24</v>
      </c>
      <c r="H10944" s="1319">
        <v>6.1999999999999998E-3</v>
      </c>
      <c r="K10944" s="841" t="s">
        <v>3197</v>
      </c>
      <c r="L10944" s="841" t="s">
        <v>444</v>
      </c>
      <c r="M10944" s="1357"/>
      <c r="P10944" s="841" t="s">
        <v>3208</v>
      </c>
      <c r="Q10944" s="1357"/>
      <c r="S10944" s="1420"/>
      <c r="T10944" s="1420"/>
      <c r="V10944" s="1357">
        <v>47</v>
      </c>
    </row>
    <row r="10945" spans="1:22" s="841" customFormat="1" ht="15" x14ac:dyDescent="0.25">
      <c r="A10945" s="841" t="s">
        <v>163</v>
      </c>
      <c r="E10945" s="1989" t="s">
        <v>217</v>
      </c>
      <c r="F10945" s="1989"/>
      <c r="G10945" s="1317" t="s">
        <v>24</v>
      </c>
      <c r="H10945" s="1319">
        <v>5.4000000000000003E-3</v>
      </c>
      <c r="K10945" s="841" t="s">
        <v>3197</v>
      </c>
      <c r="L10945" s="841" t="s">
        <v>444</v>
      </c>
      <c r="M10945" s="1357"/>
      <c r="P10945" s="841" t="s">
        <v>3209</v>
      </c>
      <c r="Q10945" s="1357"/>
      <c r="S10945" s="1420"/>
      <c r="T10945" s="1420"/>
      <c r="V10945" s="1357">
        <v>74</v>
      </c>
    </row>
    <row r="10946" spans="1:22" s="841" customFormat="1" ht="15" x14ac:dyDescent="0.25">
      <c r="A10946" s="841" t="s">
        <v>163</v>
      </c>
      <c r="E10946" s="1990" t="s">
        <v>3079</v>
      </c>
      <c r="F10946" s="1690"/>
      <c r="G10946" s="1320"/>
      <c r="H10946" s="1321"/>
      <c r="K10946" s="841" t="s">
        <v>3080</v>
      </c>
      <c r="M10946" s="1357"/>
      <c r="Q10946" s="1357"/>
      <c r="S10946" s="1420"/>
      <c r="T10946" s="1420"/>
      <c r="V10946" s="1357">
        <v>48</v>
      </c>
    </row>
    <row r="10947" spans="1:22" s="841" customFormat="1" ht="15" x14ac:dyDescent="0.25">
      <c r="A10947" s="841" t="s">
        <v>163</v>
      </c>
      <c r="E10947" s="1989" t="s">
        <v>2449</v>
      </c>
      <c r="F10947" s="1989"/>
      <c r="G10947" s="1322" t="s">
        <v>24</v>
      </c>
      <c r="H10947" s="1321">
        <v>3.2000000000000002E-3</v>
      </c>
      <c r="K10947" s="841" t="s">
        <v>3197</v>
      </c>
      <c r="L10947" s="841" t="s">
        <v>3046</v>
      </c>
      <c r="M10947" s="1357"/>
      <c r="P10947" s="841" t="s">
        <v>3210</v>
      </c>
      <c r="Q10947" s="1357"/>
      <c r="S10947" s="1420"/>
      <c r="T10947" s="1420"/>
      <c r="V10947" s="1357">
        <v>55</v>
      </c>
    </row>
    <row r="10948" spans="1:22" s="841" customFormat="1" ht="15" x14ac:dyDescent="0.25">
      <c r="A10948" s="841" t="s">
        <v>163</v>
      </c>
      <c r="E10948" s="1989" t="s">
        <v>2450</v>
      </c>
      <c r="F10948" s="1989"/>
      <c r="G10948" s="1322" t="s">
        <v>24</v>
      </c>
      <c r="H10948" s="1321">
        <v>4.0000000000000002E-4</v>
      </c>
      <c r="K10948" s="841" t="s">
        <v>3197</v>
      </c>
      <c r="L10948" s="841" t="s">
        <v>3046</v>
      </c>
      <c r="M10948" s="1357"/>
      <c r="P10948" s="841" t="s">
        <v>3210</v>
      </c>
      <c r="Q10948" s="1357"/>
      <c r="S10948" s="1420"/>
      <c r="T10948" s="1420"/>
      <c r="V10948" s="1357">
        <v>65</v>
      </c>
    </row>
    <row r="10949" spans="1:22" s="841" customFormat="1" ht="15" x14ac:dyDescent="0.25">
      <c r="A10949" s="841" t="s">
        <v>163</v>
      </c>
      <c r="E10949" s="1989" t="s">
        <v>5795</v>
      </c>
      <c r="F10949" s="1989"/>
      <c r="G10949" s="1322" t="s">
        <v>24</v>
      </c>
      <c r="H10949" s="1321">
        <v>2.9999999999999997E-4</v>
      </c>
      <c r="K10949" s="841" t="s">
        <v>3197</v>
      </c>
      <c r="L10949" s="841" t="s">
        <v>3046</v>
      </c>
      <c r="M10949" s="1357"/>
      <c r="P10949" s="841" t="s">
        <v>3212</v>
      </c>
      <c r="Q10949" s="1357"/>
      <c r="S10949" s="1420"/>
      <c r="T10949" s="1420"/>
      <c r="V10949" s="1357">
        <v>58</v>
      </c>
    </row>
    <row r="10950" spans="1:22" s="841" customFormat="1" ht="15" x14ac:dyDescent="0.25">
      <c r="A10950" s="841" t="s">
        <v>163</v>
      </c>
      <c r="E10950" s="1989" t="s">
        <v>32</v>
      </c>
      <c r="F10950" s="1989"/>
      <c r="G10950" s="1322" t="s">
        <v>23</v>
      </c>
      <c r="H10950" s="1323">
        <v>0.25</v>
      </c>
      <c r="K10950" s="841" t="s">
        <v>3197</v>
      </c>
      <c r="L10950" s="841" t="s">
        <v>3046</v>
      </c>
      <c r="M10950" s="1357"/>
      <c r="P10950" s="841" t="s">
        <v>3213</v>
      </c>
      <c r="Q10950" s="1357"/>
      <c r="S10950" s="1420"/>
      <c r="T10950" s="1420"/>
      <c r="V10950" s="1357">
        <v>63</v>
      </c>
    </row>
    <row r="10951" spans="1:22" s="841" customFormat="1" ht="15" x14ac:dyDescent="0.25">
      <c r="A10951" s="841" t="s">
        <v>163</v>
      </c>
      <c r="E10951" s="2110" t="s">
        <v>3214</v>
      </c>
      <c r="F10951" s="2111"/>
      <c r="G10951" s="2111"/>
      <c r="H10951" s="2112"/>
      <c r="K10951" s="841" t="s">
        <v>5110</v>
      </c>
      <c r="M10951" s="1357"/>
      <c r="Q10951" s="1357"/>
      <c r="S10951" s="1420"/>
      <c r="T10951" s="1420"/>
      <c r="V10951" s="1357">
        <v>54</v>
      </c>
    </row>
    <row r="10952" spans="1:22" s="841" customFormat="1" ht="15" x14ac:dyDescent="0.25">
      <c r="A10952" s="841" t="s">
        <v>163</v>
      </c>
      <c r="E10952" s="1998" t="s">
        <v>4041</v>
      </c>
      <c r="F10952" s="1998"/>
      <c r="G10952" s="1998"/>
      <c r="H10952" s="1999"/>
      <c r="K10952" s="841" t="s">
        <v>5110</v>
      </c>
      <c r="M10952" s="1357"/>
      <c r="Q10952" s="1357"/>
      <c r="S10952" s="1420"/>
      <c r="T10952" s="1420"/>
      <c r="V10952" s="1357">
        <v>331</v>
      </c>
    </row>
    <row r="10953" spans="1:22" s="841" customFormat="1" ht="15" x14ac:dyDescent="0.25">
      <c r="A10953" s="841" t="s">
        <v>163</v>
      </c>
      <c r="E10953" s="1997" t="s">
        <v>3061</v>
      </c>
      <c r="F10953" s="1697"/>
      <c r="G10953" s="1697"/>
      <c r="H10953" s="1697"/>
      <c r="K10953" s="841" t="s">
        <v>3086</v>
      </c>
      <c r="M10953" s="1357"/>
      <c r="Q10953" s="1357"/>
      <c r="S10953" s="1420"/>
      <c r="T10953" s="1420"/>
      <c r="V10953" s="1357">
        <v>11</v>
      </c>
    </row>
    <row r="10954" spans="1:22" s="841" customFormat="1" ht="15" x14ac:dyDescent="0.25">
      <c r="A10954" s="841" t="s">
        <v>163</v>
      </c>
      <c r="E10954" s="1998" t="s">
        <v>3063</v>
      </c>
      <c r="F10954" s="1998"/>
      <c r="G10954" s="1998"/>
      <c r="H10954" s="1999"/>
      <c r="K10954" s="841" t="s">
        <v>5110</v>
      </c>
      <c r="M10954" s="1357"/>
      <c r="Q10954" s="1357"/>
      <c r="S10954" s="1420"/>
      <c r="T10954" s="1420"/>
      <c r="V10954" s="1357">
        <v>280</v>
      </c>
    </row>
    <row r="10955" spans="1:22" s="841" customFormat="1" ht="15" x14ac:dyDescent="0.25">
      <c r="A10955" s="841" t="s">
        <v>163</v>
      </c>
      <c r="E10955" s="1998" t="s">
        <v>3064</v>
      </c>
      <c r="F10955" s="1998"/>
      <c r="G10955" s="1998"/>
      <c r="H10955" s="1998"/>
      <c r="K10955" s="841" t="s">
        <v>5110</v>
      </c>
      <c r="M10955" s="1357"/>
      <c r="Q10955" s="1357"/>
      <c r="S10955" s="1420"/>
      <c r="T10955" s="1420"/>
      <c r="V10955" s="1357">
        <v>411</v>
      </c>
    </row>
    <row r="10956" spans="1:22" s="841" customFormat="1" ht="15" x14ac:dyDescent="0.25">
      <c r="A10956" s="841" t="s">
        <v>163</v>
      </c>
      <c r="E10956" s="1998" t="s">
        <v>3199</v>
      </c>
      <c r="F10956" s="1998"/>
      <c r="G10956" s="1998"/>
      <c r="H10956" s="1999"/>
      <c r="K10956" s="841" t="s">
        <v>5110</v>
      </c>
      <c r="M10956" s="1357"/>
      <c r="Q10956" s="1357"/>
      <c r="S10956" s="1420"/>
      <c r="T10956" s="1420"/>
      <c r="V10956" s="1357">
        <v>386</v>
      </c>
    </row>
    <row r="10957" spans="1:22" s="841" customFormat="1" ht="15" x14ac:dyDescent="0.25">
      <c r="A10957" s="841" t="s">
        <v>163</v>
      </c>
      <c r="E10957" s="1998" t="s">
        <v>4042</v>
      </c>
      <c r="F10957" s="1998"/>
      <c r="G10957" s="1998"/>
      <c r="H10957" s="1999"/>
      <c r="K10957" s="841" t="s">
        <v>5110</v>
      </c>
      <c r="M10957" s="1357"/>
      <c r="Q10957" s="1357"/>
      <c r="S10957" s="1420"/>
      <c r="T10957" s="1420"/>
      <c r="V10957" s="1357">
        <v>275</v>
      </c>
    </row>
    <row r="10958" spans="1:22" s="841" customFormat="1" ht="15" x14ac:dyDescent="0.25">
      <c r="A10958" s="841" t="s">
        <v>163</v>
      </c>
      <c r="E10958" s="2108" t="s">
        <v>3067</v>
      </c>
      <c r="F10958" s="1693"/>
      <c r="G10958" s="1693"/>
      <c r="H10958" s="1693"/>
      <c r="K10958" s="841" t="s">
        <v>3087</v>
      </c>
      <c r="M10958" s="1357"/>
      <c r="Q10958" s="1357"/>
      <c r="S10958" s="1420"/>
      <c r="T10958" s="1420"/>
      <c r="V10958" s="1357">
        <v>46</v>
      </c>
    </row>
    <row r="10959" spans="1:22" s="841" customFormat="1" ht="15" x14ac:dyDescent="0.25">
      <c r="A10959" s="841" t="s">
        <v>163</v>
      </c>
      <c r="E10959" s="1989" t="s">
        <v>11</v>
      </c>
      <c r="F10959" s="1989"/>
      <c r="G10959" s="1317" t="s">
        <v>23</v>
      </c>
      <c r="H10959" s="1318">
        <v>14.94</v>
      </c>
      <c r="K10959" s="841" t="s">
        <v>5110</v>
      </c>
      <c r="L10959" s="841" t="s">
        <v>442</v>
      </c>
      <c r="M10959" s="1357"/>
      <c r="P10959" s="841" t="s">
        <v>5111</v>
      </c>
      <c r="Q10959" s="1357"/>
      <c r="S10959" s="1420"/>
      <c r="T10959" s="1420"/>
      <c r="V10959" s="1357">
        <v>14</v>
      </c>
    </row>
    <row r="10960" spans="1:22" s="841" customFormat="1" ht="15" x14ac:dyDescent="0.25">
      <c r="A10960" s="841" t="s">
        <v>163</v>
      </c>
      <c r="E10960" s="1989" t="s">
        <v>423</v>
      </c>
      <c r="F10960" s="1989"/>
      <c r="G10960" s="1317" t="s">
        <v>23</v>
      </c>
      <c r="H10960" s="1318">
        <v>0.79</v>
      </c>
      <c r="K10960" s="841" t="s">
        <v>5110</v>
      </c>
      <c r="L10960" s="841" t="s">
        <v>443</v>
      </c>
      <c r="M10960" s="1357"/>
      <c r="P10960" s="841" t="s">
        <v>5112</v>
      </c>
      <c r="Q10960" s="1357"/>
      <c r="S10960" s="1420"/>
      <c r="T10960" s="1420">
        <v>43404</v>
      </c>
      <c r="V10960" s="1357">
        <v>78</v>
      </c>
    </row>
    <row r="10961" spans="1:22" s="841" customFormat="1" ht="15" x14ac:dyDescent="0.25">
      <c r="A10961" s="841" t="s">
        <v>163</v>
      </c>
      <c r="E10961" s="1989" t="s">
        <v>84</v>
      </c>
      <c r="F10961" s="1989"/>
      <c r="G10961" s="1317" t="s">
        <v>24</v>
      </c>
      <c r="H10961" s="1319">
        <v>1.55E-2</v>
      </c>
      <c r="K10961" s="841" t="s">
        <v>5110</v>
      </c>
      <c r="L10961" s="841" t="s">
        <v>442</v>
      </c>
      <c r="M10961" s="1357"/>
      <c r="P10961" s="841" t="s">
        <v>5113</v>
      </c>
      <c r="Q10961" s="1357"/>
      <c r="S10961" s="1420"/>
      <c r="T10961" s="1420"/>
      <c r="V10961" s="1357">
        <v>28</v>
      </c>
    </row>
    <row r="10962" spans="1:22" s="841" customFormat="1" ht="15" x14ac:dyDescent="0.25">
      <c r="A10962" s="841" t="s">
        <v>163</v>
      </c>
      <c r="E10962" s="1989" t="s">
        <v>18</v>
      </c>
      <c r="F10962" s="1989"/>
      <c r="G10962" s="1317" t="s">
        <v>24</v>
      </c>
      <c r="H10962" s="1319">
        <v>1.6000000000000001E-3</v>
      </c>
      <c r="K10962" s="841" t="s">
        <v>5110</v>
      </c>
      <c r="L10962" s="841" t="s">
        <v>443</v>
      </c>
      <c r="M10962" s="1357"/>
      <c r="P10962" s="841" t="s">
        <v>5114</v>
      </c>
      <c r="Q10962" s="1357"/>
      <c r="S10962" s="1420"/>
      <c r="T10962" s="1420"/>
      <c r="V10962" s="1357">
        <v>24</v>
      </c>
    </row>
    <row r="10963" spans="1:22" s="841" customFormat="1" ht="15" x14ac:dyDescent="0.25">
      <c r="A10963" s="841" t="s">
        <v>163</v>
      </c>
      <c r="E10963" s="1989" t="s">
        <v>221</v>
      </c>
      <c r="F10963" s="1989"/>
      <c r="G10963" s="1317" t="s">
        <v>24</v>
      </c>
      <c r="H10963" s="1319">
        <v>5.4999999999999997E-3</v>
      </c>
      <c r="K10963" s="841" t="s">
        <v>5110</v>
      </c>
      <c r="L10963" s="841" t="s">
        <v>444</v>
      </c>
      <c r="M10963" s="1357"/>
      <c r="P10963" s="841" t="s">
        <v>5115</v>
      </c>
      <c r="Q10963" s="1357"/>
      <c r="S10963" s="1420"/>
      <c r="T10963" s="1420"/>
      <c r="V10963" s="1357">
        <v>47</v>
      </c>
    </row>
    <row r="10964" spans="1:22" s="841" customFormat="1" ht="15" x14ac:dyDescent="0.25">
      <c r="A10964" s="841" t="s">
        <v>163</v>
      </c>
      <c r="E10964" s="1989" t="s">
        <v>217</v>
      </c>
      <c r="F10964" s="1989"/>
      <c r="G10964" s="1317" t="s">
        <v>24</v>
      </c>
      <c r="H10964" s="1319">
        <v>4.8999999999999998E-3</v>
      </c>
      <c r="K10964" s="841" t="s">
        <v>5110</v>
      </c>
      <c r="L10964" s="841" t="s">
        <v>444</v>
      </c>
      <c r="M10964" s="1357"/>
      <c r="P10964" s="841" t="s">
        <v>5116</v>
      </c>
      <c r="Q10964" s="1357"/>
      <c r="S10964" s="1420"/>
      <c r="T10964" s="1420"/>
      <c r="V10964" s="1357">
        <v>74</v>
      </c>
    </row>
    <row r="10965" spans="1:22" s="841" customFormat="1" ht="15" x14ac:dyDescent="0.25">
      <c r="A10965" s="841" t="s">
        <v>163</v>
      </c>
      <c r="E10965" s="1990" t="s">
        <v>3079</v>
      </c>
      <c r="F10965" s="1690"/>
      <c r="G10965" s="1320"/>
      <c r="H10965" s="1321"/>
      <c r="K10965" s="841" t="s">
        <v>3093</v>
      </c>
      <c r="M10965" s="1357"/>
      <c r="Q10965" s="1357"/>
      <c r="S10965" s="1420"/>
      <c r="T10965" s="1420"/>
      <c r="V10965" s="1357">
        <v>48</v>
      </c>
    </row>
    <row r="10966" spans="1:22" s="841" customFormat="1" ht="15" x14ac:dyDescent="0.25">
      <c r="A10966" s="841" t="s">
        <v>163</v>
      </c>
      <c r="E10966" s="1989" t="s">
        <v>2449</v>
      </c>
      <c r="F10966" s="1989"/>
      <c r="G10966" s="1322" t="s">
        <v>24</v>
      </c>
      <c r="H10966" s="1321">
        <v>3.2000000000000002E-3</v>
      </c>
      <c r="K10966" s="841" t="s">
        <v>5110</v>
      </c>
      <c r="L10966" s="841" t="s">
        <v>3046</v>
      </c>
      <c r="M10966" s="1357"/>
      <c r="P10966" s="841" t="s">
        <v>5117</v>
      </c>
      <c r="Q10966" s="1357"/>
      <c r="S10966" s="1420"/>
      <c r="T10966" s="1420"/>
      <c r="V10966" s="1357">
        <v>55</v>
      </c>
    </row>
    <row r="10967" spans="1:22" s="841" customFormat="1" ht="15" x14ac:dyDescent="0.25">
      <c r="A10967" s="841" t="s">
        <v>163</v>
      </c>
      <c r="E10967" s="1989" t="s">
        <v>2450</v>
      </c>
      <c r="F10967" s="1989"/>
      <c r="G10967" s="1322" t="s">
        <v>24</v>
      </c>
      <c r="H10967" s="1321">
        <v>4.0000000000000002E-4</v>
      </c>
      <c r="K10967" s="841" t="s">
        <v>5110</v>
      </c>
      <c r="L10967" s="841" t="s">
        <v>3046</v>
      </c>
      <c r="M10967" s="1357"/>
      <c r="P10967" s="841" t="s">
        <v>5117</v>
      </c>
      <c r="Q10967" s="1357"/>
      <c r="S10967" s="1420"/>
      <c r="T10967" s="1420"/>
      <c r="V10967" s="1357">
        <v>65</v>
      </c>
    </row>
    <row r="10968" spans="1:22" s="841" customFormat="1" ht="15" x14ac:dyDescent="0.25">
      <c r="A10968" s="841" t="s">
        <v>163</v>
      </c>
      <c r="E10968" s="1989" t="s">
        <v>5795</v>
      </c>
      <c r="F10968" s="1989"/>
      <c r="G10968" s="1322" t="s">
        <v>24</v>
      </c>
      <c r="H10968" s="1321">
        <v>2.9999999999999997E-4</v>
      </c>
      <c r="K10968" s="841" t="s">
        <v>5110</v>
      </c>
      <c r="L10968" s="841" t="s">
        <v>3046</v>
      </c>
      <c r="M10968" s="1357"/>
      <c r="P10968" s="841" t="s">
        <v>5118</v>
      </c>
      <c r="Q10968" s="1357"/>
      <c r="S10968" s="1420"/>
      <c r="T10968" s="1420"/>
      <c r="V10968" s="1357">
        <v>58</v>
      </c>
    </row>
    <row r="10969" spans="1:22" s="841" customFormat="1" ht="15" x14ac:dyDescent="0.25">
      <c r="A10969" s="841" t="s">
        <v>163</v>
      </c>
      <c r="E10969" s="1989" t="s">
        <v>32</v>
      </c>
      <c r="F10969" s="1989"/>
      <c r="G10969" s="1322" t="s">
        <v>23</v>
      </c>
      <c r="H10969" s="1323">
        <v>0.25</v>
      </c>
      <c r="K10969" s="841" t="s">
        <v>5110</v>
      </c>
      <c r="L10969" s="841" t="s">
        <v>3046</v>
      </c>
      <c r="M10969" s="1357"/>
      <c r="P10969" s="841" t="s">
        <v>5119</v>
      </c>
      <c r="Q10969" s="1357"/>
      <c r="S10969" s="1420"/>
      <c r="T10969" s="1420"/>
      <c r="V10969" s="1357">
        <v>63</v>
      </c>
    </row>
    <row r="10970" spans="1:22" s="841" customFormat="1" ht="15" x14ac:dyDescent="0.25">
      <c r="A10970" s="841" t="s">
        <v>163</v>
      </c>
      <c r="E10970" s="2110" t="s">
        <v>616</v>
      </c>
      <c r="F10970" s="2111"/>
      <c r="G10970" s="2111"/>
      <c r="H10970" s="2112"/>
      <c r="K10970" s="841" t="s">
        <v>6095</v>
      </c>
      <c r="M10970" s="1357"/>
      <c r="Q10970" s="1357"/>
      <c r="S10970" s="1420"/>
      <c r="T10970" s="1420"/>
      <c r="V10970" s="1357">
        <v>53</v>
      </c>
    </row>
    <row r="10971" spans="1:22" s="841" customFormat="1" ht="15" x14ac:dyDescent="0.25">
      <c r="A10971" s="841" t="s">
        <v>163</v>
      </c>
      <c r="E10971" s="1998" t="s">
        <v>4043</v>
      </c>
      <c r="F10971" s="1998"/>
      <c r="G10971" s="1998"/>
      <c r="H10971" s="1999"/>
      <c r="K10971" s="841" t="s">
        <v>6095</v>
      </c>
      <c r="M10971" s="1357"/>
      <c r="Q10971" s="1357"/>
      <c r="S10971" s="1420"/>
      <c r="T10971" s="1420"/>
      <c r="V10971" s="1357">
        <v>356</v>
      </c>
    </row>
    <row r="10972" spans="1:22" s="841" customFormat="1" ht="15" x14ac:dyDescent="0.25">
      <c r="A10972" s="841" t="s">
        <v>163</v>
      </c>
      <c r="E10972" s="1997" t="s">
        <v>3061</v>
      </c>
      <c r="F10972" s="1697"/>
      <c r="G10972" s="1697"/>
      <c r="H10972" s="1697"/>
      <c r="K10972" s="841" t="s">
        <v>3098</v>
      </c>
      <c r="M10972" s="1357"/>
      <c r="Q10972" s="1357"/>
      <c r="S10972" s="1420"/>
      <c r="T10972" s="1420"/>
      <c r="V10972" s="1357">
        <v>11</v>
      </c>
    </row>
    <row r="10973" spans="1:22" s="841" customFormat="1" ht="15" x14ac:dyDescent="0.25">
      <c r="A10973" s="841" t="s">
        <v>163</v>
      </c>
      <c r="E10973" s="1998" t="s">
        <v>3063</v>
      </c>
      <c r="F10973" s="1998"/>
      <c r="G10973" s="1998"/>
      <c r="H10973" s="1999"/>
      <c r="K10973" s="841" t="s">
        <v>6095</v>
      </c>
      <c r="M10973" s="1357"/>
      <c r="Q10973" s="1357"/>
      <c r="S10973" s="1420"/>
      <c r="T10973" s="1420"/>
      <c r="V10973" s="1357">
        <v>280</v>
      </c>
    </row>
    <row r="10974" spans="1:22" s="841" customFormat="1" ht="15" x14ac:dyDescent="0.25">
      <c r="A10974" s="841" t="s">
        <v>163</v>
      </c>
      <c r="E10974" s="1998" t="s">
        <v>4044</v>
      </c>
      <c r="F10974" s="1998"/>
      <c r="G10974" s="1998"/>
      <c r="H10974" s="1999"/>
      <c r="K10974" s="841" t="s">
        <v>6095</v>
      </c>
      <c r="M10974" s="1357"/>
      <c r="Q10974" s="1357"/>
      <c r="S10974" s="1420"/>
      <c r="T10974" s="1420"/>
      <c r="V10974" s="1357">
        <v>411</v>
      </c>
    </row>
    <row r="10975" spans="1:22" s="841" customFormat="1" ht="15" x14ac:dyDescent="0.25">
      <c r="A10975" s="841" t="s">
        <v>163</v>
      </c>
      <c r="E10975" s="1998" t="s">
        <v>3199</v>
      </c>
      <c r="F10975" s="1998"/>
      <c r="G10975" s="1998"/>
      <c r="H10975" s="1999"/>
      <c r="K10975" s="841" t="s">
        <v>6095</v>
      </c>
      <c r="M10975" s="1357"/>
      <c r="Q10975" s="1357"/>
      <c r="S10975" s="1420"/>
      <c r="T10975" s="1420"/>
      <c r="V10975" s="1357">
        <v>386</v>
      </c>
    </row>
    <row r="10976" spans="1:22" s="841" customFormat="1" ht="15" x14ac:dyDescent="0.25">
      <c r="A10976" s="841" t="s">
        <v>163</v>
      </c>
      <c r="E10976" s="1689" t="s">
        <v>5589</v>
      </c>
      <c r="F10976" s="1689"/>
      <c r="G10976" s="1689"/>
      <c r="H10976" s="1689"/>
      <c r="K10976" s="841" t="s">
        <v>6095</v>
      </c>
      <c r="M10976" s="1357"/>
      <c r="Q10976" s="1357"/>
      <c r="S10976" s="1420"/>
      <c r="T10976" s="1420"/>
      <c r="V10976" s="1357">
        <v>627</v>
      </c>
    </row>
    <row r="10977" spans="1:22" s="841" customFormat="1" ht="15" x14ac:dyDescent="0.25">
      <c r="A10977" s="841" t="s">
        <v>163</v>
      </c>
      <c r="E10977" s="1998" t="s">
        <v>4045</v>
      </c>
      <c r="F10977" s="1998"/>
      <c r="G10977" s="1998"/>
      <c r="H10977" s="1999"/>
      <c r="K10977" s="841" t="s">
        <v>6095</v>
      </c>
      <c r="M10977" s="1357"/>
      <c r="Q10977" s="1357"/>
      <c r="S10977" s="1420"/>
      <c r="T10977" s="1420"/>
      <c r="V10977" s="1357">
        <v>276</v>
      </c>
    </row>
    <row r="10978" spans="1:22" s="841" customFormat="1" ht="15" x14ac:dyDescent="0.25">
      <c r="A10978" s="841" t="s">
        <v>163</v>
      </c>
      <c r="E10978" s="2108" t="s">
        <v>3067</v>
      </c>
      <c r="F10978" s="1693"/>
      <c r="G10978" s="1693"/>
      <c r="H10978" s="1693"/>
      <c r="K10978" s="841" t="s">
        <v>3099</v>
      </c>
      <c r="M10978" s="1357"/>
      <c r="Q10978" s="1357"/>
      <c r="S10978" s="1420"/>
      <c r="T10978" s="1420"/>
      <c r="V10978" s="1357">
        <v>46</v>
      </c>
    </row>
    <row r="10979" spans="1:22" s="841" customFormat="1" ht="15" x14ac:dyDescent="0.25">
      <c r="A10979" s="841" t="s">
        <v>163</v>
      </c>
      <c r="E10979" s="1989" t="s">
        <v>11</v>
      </c>
      <c r="F10979" s="1989"/>
      <c r="G10979" s="1317" t="s">
        <v>23</v>
      </c>
      <c r="H10979" s="1318">
        <v>109.29</v>
      </c>
      <c r="K10979" s="841" t="s">
        <v>6095</v>
      </c>
      <c r="L10979" s="841" t="s">
        <v>442</v>
      </c>
      <c r="M10979" s="1357"/>
      <c r="P10979" s="841" t="s">
        <v>6096</v>
      </c>
      <c r="Q10979" s="1357"/>
      <c r="S10979" s="1420"/>
      <c r="T10979" s="1420"/>
      <c r="V10979" s="1357">
        <v>14</v>
      </c>
    </row>
    <row r="10980" spans="1:22" s="841" customFormat="1" ht="15" x14ac:dyDescent="0.25">
      <c r="A10980" s="841" t="s">
        <v>163</v>
      </c>
      <c r="E10980" s="1989" t="s">
        <v>84</v>
      </c>
      <c r="F10980" s="1989"/>
      <c r="G10980" s="1317" t="s">
        <v>33</v>
      </c>
      <c r="H10980" s="1319">
        <v>3.2130000000000001</v>
      </c>
      <c r="K10980" s="841" t="s">
        <v>6095</v>
      </c>
      <c r="L10980" s="841" t="s">
        <v>442</v>
      </c>
      <c r="M10980" s="1357"/>
      <c r="P10980" s="841" t="s">
        <v>6097</v>
      </c>
      <c r="Q10980" s="1357"/>
      <c r="S10980" s="1420"/>
      <c r="T10980" s="1420"/>
      <c r="V10980" s="1357">
        <v>28</v>
      </c>
    </row>
    <row r="10981" spans="1:22" s="841" customFormat="1" ht="15" x14ac:dyDescent="0.25">
      <c r="A10981" s="841" t="s">
        <v>163</v>
      </c>
      <c r="E10981" s="1989" t="s">
        <v>18</v>
      </c>
      <c r="F10981" s="1989"/>
      <c r="G10981" s="1317" t="s">
        <v>33</v>
      </c>
      <c r="H10981" s="1319">
        <v>0.6875</v>
      </c>
      <c r="K10981" s="841" t="s">
        <v>6095</v>
      </c>
      <c r="L10981" s="841" t="s">
        <v>443</v>
      </c>
      <c r="M10981" s="1357"/>
      <c r="P10981" s="841" t="s">
        <v>6098</v>
      </c>
      <c r="Q10981" s="1357"/>
      <c r="S10981" s="1420"/>
      <c r="T10981" s="1420"/>
      <c r="V10981" s="1357">
        <v>24</v>
      </c>
    </row>
    <row r="10982" spans="1:22" s="841" customFormat="1" ht="15" x14ac:dyDescent="0.25">
      <c r="A10982" s="841" t="s">
        <v>163</v>
      </c>
      <c r="E10982" s="1989" t="s">
        <v>221</v>
      </c>
      <c r="F10982" s="1989"/>
      <c r="G10982" s="1317" t="s">
        <v>33</v>
      </c>
      <c r="H10982" s="1319">
        <v>2.4449000000000001</v>
      </c>
      <c r="K10982" s="841" t="s">
        <v>6095</v>
      </c>
      <c r="L10982" s="841" t="s">
        <v>444</v>
      </c>
      <c r="M10982" s="1357"/>
      <c r="P10982" s="841" t="s">
        <v>6099</v>
      </c>
      <c r="Q10982" s="1357"/>
      <c r="S10982" s="1420"/>
      <c r="T10982" s="1420"/>
      <c r="V10982" s="1357">
        <v>47</v>
      </c>
    </row>
    <row r="10983" spans="1:22" s="841" customFormat="1" ht="15" x14ac:dyDescent="0.25">
      <c r="A10983" s="841" t="s">
        <v>163</v>
      </c>
      <c r="E10983" s="1989" t="s">
        <v>217</v>
      </c>
      <c r="F10983" s="1989"/>
      <c r="G10983" s="1317" t="s">
        <v>33</v>
      </c>
      <c r="H10983" s="1319">
        <v>2.1294</v>
      </c>
      <c r="K10983" s="841" t="s">
        <v>6095</v>
      </c>
      <c r="L10983" s="841" t="s">
        <v>444</v>
      </c>
      <c r="M10983" s="1357"/>
      <c r="P10983" s="841" t="s">
        <v>6100</v>
      </c>
      <c r="Q10983" s="1357"/>
      <c r="S10983" s="1420"/>
      <c r="T10983" s="1420"/>
      <c r="V10983" s="1357">
        <v>74</v>
      </c>
    </row>
    <row r="10984" spans="1:22" s="841" customFormat="1" ht="15" x14ac:dyDescent="0.25">
      <c r="A10984" s="841" t="s">
        <v>163</v>
      </c>
      <c r="E10984" s="1990" t="s">
        <v>3079</v>
      </c>
      <c r="F10984" s="1690"/>
      <c r="G10984" s="1320"/>
      <c r="H10984" s="1321"/>
      <c r="K10984" s="841" t="s">
        <v>3218</v>
      </c>
      <c r="M10984" s="1357"/>
      <c r="Q10984" s="1357"/>
      <c r="S10984" s="1420"/>
      <c r="T10984" s="1420"/>
      <c r="V10984" s="1357">
        <v>48</v>
      </c>
    </row>
    <row r="10985" spans="1:22" s="841" customFormat="1" ht="15" x14ac:dyDescent="0.25">
      <c r="A10985" s="841" t="s">
        <v>163</v>
      </c>
      <c r="E10985" s="1989" t="s">
        <v>2449</v>
      </c>
      <c r="F10985" s="1989"/>
      <c r="G10985" s="1322" t="s">
        <v>24</v>
      </c>
      <c r="H10985" s="1321">
        <v>3.2000000000000002E-3</v>
      </c>
      <c r="K10985" s="841" t="s">
        <v>6095</v>
      </c>
      <c r="L10985" s="841" t="s">
        <v>3046</v>
      </c>
      <c r="M10985" s="1357"/>
      <c r="P10985" s="841" t="s">
        <v>6101</v>
      </c>
      <c r="Q10985" s="1357"/>
      <c r="S10985" s="1420"/>
      <c r="T10985" s="1420"/>
      <c r="V10985" s="1357">
        <v>55</v>
      </c>
    </row>
    <row r="10986" spans="1:22" s="841" customFormat="1" ht="15" x14ac:dyDescent="0.25">
      <c r="A10986" s="841" t="s">
        <v>163</v>
      </c>
      <c r="E10986" s="1989" t="s">
        <v>2450</v>
      </c>
      <c r="F10986" s="1989"/>
      <c r="G10986" s="1322" t="s">
        <v>24</v>
      </c>
      <c r="H10986" s="1321">
        <v>4.0000000000000002E-4</v>
      </c>
      <c r="K10986" s="841" t="s">
        <v>6095</v>
      </c>
      <c r="L10986" s="841" t="s">
        <v>3046</v>
      </c>
      <c r="M10986" s="1357"/>
      <c r="P10986" s="841" t="s">
        <v>6101</v>
      </c>
      <c r="Q10986" s="1357"/>
      <c r="S10986" s="1420"/>
      <c r="T10986" s="1420"/>
      <c r="V10986" s="1357">
        <v>65</v>
      </c>
    </row>
    <row r="10987" spans="1:22" s="841" customFormat="1" ht="15" x14ac:dyDescent="0.25">
      <c r="A10987" s="841" t="s">
        <v>163</v>
      </c>
      <c r="E10987" s="1989" t="s">
        <v>5795</v>
      </c>
      <c r="F10987" s="1989"/>
      <c r="G10987" s="1322" t="s">
        <v>24</v>
      </c>
      <c r="H10987" s="1321">
        <v>2.9999999999999997E-4</v>
      </c>
      <c r="K10987" s="841" t="s">
        <v>6095</v>
      </c>
      <c r="L10987" s="841" t="s">
        <v>3046</v>
      </c>
      <c r="M10987" s="1357"/>
      <c r="P10987" s="841" t="s">
        <v>6102</v>
      </c>
      <c r="Q10987" s="1357"/>
      <c r="S10987" s="1420"/>
      <c r="T10987" s="1420"/>
      <c r="V10987" s="1357">
        <v>58</v>
      </c>
    </row>
    <row r="10988" spans="1:22" s="841" customFormat="1" ht="15" x14ac:dyDescent="0.25">
      <c r="A10988" s="841" t="s">
        <v>163</v>
      </c>
      <c r="E10988" s="1989" t="s">
        <v>32</v>
      </c>
      <c r="F10988" s="1989"/>
      <c r="G10988" s="1322" t="s">
        <v>23</v>
      </c>
      <c r="H10988" s="1323">
        <v>0.25</v>
      </c>
      <c r="K10988" s="841" t="s">
        <v>6095</v>
      </c>
      <c r="L10988" s="841" t="s">
        <v>3046</v>
      </c>
      <c r="M10988" s="1357"/>
      <c r="P10988" s="841" t="s">
        <v>6103</v>
      </c>
      <c r="Q10988" s="1357"/>
      <c r="S10988" s="1420"/>
      <c r="T10988" s="1420"/>
      <c r="V10988" s="1357">
        <v>63</v>
      </c>
    </row>
    <row r="10989" spans="1:22" s="841" customFormat="1" ht="15" x14ac:dyDescent="0.25">
      <c r="A10989" s="841" t="s">
        <v>163</v>
      </c>
      <c r="E10989" s="2110" t="s">
        <v>621</v>
      </c>
      <c r="F10989" s="2111"/>
      <c r="G10989" s="2111"/>
      <c r="H10989" s="2112"/>
      <c r="K10989" s="841" t="s">
        <v>4394</v>
      </c>
      <c r="M10989" s="1357"/>
      <c r="Q10989" s="1357"/>
      <c r="S10989" s="1420"/>
      <c r="T10989" s="1420"/>
      <c r="V10989" s="1357">
        <v>32</v>
      </c>
    </row>
    <row r="10990" spans="1:22" s="841" customFormat="1" ht="15" x14ac:dyDescent="0.25">
      <c r="A10990" s="841" t="s">
        <v>163</v>
      </c>
      <c r="E10990" s="1998" t="s">
        <v>4046</v>
      </c>
      <c r="F10990" s="1998"/>
      <c r="G10990" s="1998"/>
      <c r="H10990" s="1999"/>
      <c r="K10990" s="841" t="s">
        <v>4394</v>
      </c>
      <c r="M10990" s="1357"/>
      <c r="Q10990" s="1357"/>
      <c r="S10990" s="1420"/>
      <c r="T10990" s="1420"/>
      <c r="V10990" s="1357">
        <v>321</v>
      </c>
    </row>
    <row r="10991" spans="1:22" s="841" customFormat="1" ht="15" x14ac:dyDescent="0.25">
      <c r="A10991" s="841" t="s">
        <v>163</v>
      </c>
      <c r="E10991" s="1997" t="s">
        <v>3061</v>
      </c>
      <c r="F10991" s="1697"/>
      <c r="G10991" s="1697"/>
      <c r="H10991" s="1697"/>
      <c r="K10991" s="841" t="s">
        <v>3221</v>
      </c>
      <c r="M10991" s="1357"/>
      <c r="Q10991" s="1357"/>
      <c r="S10991" s="1420"/>
      <c r="T10991" s="1420"/>
      <c r="V10991" s="1357">
        <v>11</v>
      </c>
    </row>
    <row r="10992" spans="1:22" s="841" customFormat="1" ht="15" x14ac:dyDescent="0.25">
      <c r="A10992" s="841" t="s">
        <v>163</v>
      </c>
      <c r="E10992" s="1998" t="s">
        <v>3063</v>
      </c>
      <c r="F10992" s="1998"/>
      <c r="G10992" s="1998"/>
      <c r="H10992" s="1999"/>
      <c r="K10992" s="841" t="s">
        <v>4394</v>
      </c>
      <c r="M10992" s="1357"/>
      <c r="Q10992" s="1357"/>
      <c r="S10992" s="1420"/>
      <c r="T10992" s="1420"/>
      <c r="V10992" s="1357">
        <v>280</v>
      </c>
    </row>
    <row r="10993" spans="1:22" s="841" customFormat="1" ht="15" x14ac:dyDescent="0.25">
      <c r="A10993" s="841" t="s">
        <v>163</v>
      </c>
      <c r="E10993" s="1998" t="s">
        <v>4044</v>
      </c>
      <c r="F10993" s="1998"/>
      <c r="G10993" s="1998"/>
      <c r="H10993" s="1999"/>
      <c r="K10993" s="841" t="s">
        <v>4394</v>
      </c>
      <c r="M10993" s="1357"/>
      <c r="Q10993" s="1357"/>
      <c r="S10993" s="1420"/>
      <c r="T10993" s="1420"/>
      <c r="V10993" s="1357">
        <v>411</v>
      </c>
    </row>
    <row r="10994" spans="1:22" s="841" customFormat="1" ht="15" x14ac:dyDescent="0.25">
      <c r="A10994" s="841" t="s">
        <v>163</v>
      </c>
      <c r="E10994" s="1998" t="s">
        <v>3199</v>
      </c>
      <c r="F10994" s="1998"/>
      <c r="G10994" s="1998"/>
      <c r="H10994" s="1999"/>
      <c r="K10994" s="841" t="s">
        <v>4394</v>
      </c>
      <c r="M10994" s="1357"/>
      <c r="Q10994" s="1357"/>
      <c r="S10994" s="1420"/>
      <c r="T10994" s="1420"/>
      <c r="V10994" s="1357">
        <v>386</v>
      </c>
    </row>
    <row r="10995" spans="1:22" s="841" customFormat="1" ht="15" x14ac:dyDescent="0.25">
      <c r="A10995" s="841" t="s">
        <v>163</v>
      </c>
      <c r="E10995" s="1689" t="s">
        <v>5589</v>
      </c>
      <c r="F10995" s="1689"/>
      <c r="G10995" s="1689"/>
      <c r="H10995" s="1689"/>
      <c r="K10995" s="841" t="s">
        <v>4394</v>
      </c>
      <c r="M10995" s="1357"/>
      <c r="Q10995" s="1357"/>
      <c r="S10995" s="1420"/>
      <c r="T10995" s="1420"/>
      <c r="V10995" s="1357">
        <v>627</v>
      </c>
    </row>
    <row r="10996" spans="1:22" s="841" customFormat="1" ht="15" x14ac:dyDescent="0.25">
      <c r="A10996" s="841" t="s">
        <v>163</v>
      </c>
      <c r="E10996" s="1998" t="s">
        <v>4042</v>
      </c>
      <c r="F10996" s="1998"/>
      <c r="G10996" s="1998"/>
      <c r="H10996" s="1999"/>
      <c r="K10996" s="841" t="s">
        <v>4394</v>
      </c>
      <c r="M10996" s="1357"/>
      <c r="Q10996" s="1357"/>
      <c r="S10996" s="1420"/>
      <c r="T10996" s="1420"/>
      <c r="V10996" s="1357">
        <v>275</v>
      </c>
    </row>
    <row r="10997" spans="1:22" s="841" customFormat="1" ht="15" x14ac:dyDescent="0.25">
      <c r="A10997" s="841" t="s">
        <v>163</v>
      </c>
      <c r="E10997" s="2108" t="s">
        <v>3067</v>
      </c>
      <c r="F10997" s="1693"/>
      <c r="G10997" s="1693"/>
      <c r="H10997" s="1693"/>
      <c r="K10997" s="841" t="s">
        <v>3224</v>
      </c>
      <c r="M10997" s="1357"/>
      <c r="Q10997" s="1357"/>
      <c r="S10997" s="1420"/>
      <c r="T10997" s="1420"/>
      <c r="V10997" s="1357">
        <v>46</v>
      </c>
    </row>
    <row r="10998" spans="1:22" s="841" customFormat="1" ht="15" x14ac:dyDescent="0.25">
      <c r="A10998" s="841" t="s">
        <v>163</v>
      </c>
      <c r="E10998" s="1989" t="s">
        <v>11</v>
      </c>
      <c r="F10998" s="1989"/>
      <c r="G10998" s="1317" t="s">
        <v>23</v>
      </c>
      <c r="H10998" s="1318">
        <v>5164</v>
      </c>
      <c r="K10998" s="841" t="s">
        <v>4394</v>
      </c>
      <c r="L10998" s="841" t="s">
        <v>442</v>
      </c>
      <c r="M10998" s="1357"/>
      <c r="P10998" s="841" t="s">
        <v>4396</v>
      </c>
      <c r="Q10998" s="1357"/>
      <c r="S10998" s="1420"/>
      <c r="T10998" s="1420"/>
      <c r="V10998" s="1357">
        <v>14</v>
      </c>
    </row>
    <row r="10999" spans="1:22" s="841" customFormat="1" ht="15" x14ac:dyDescent="0.25">
      <c r="A10999" s="841" t="s">
        <v>163</v>
      </c>
      <c r="E10999" s="1989" t="s">
        <v>84</v>
      </c>
      <c r="F10999" s="1989"/>
      <c r="G10999" s="1317" t="s">
        <v>33</v>
      </c>
      <c r="H10999" s="1319">
        <v>1.2749999999999999</v>
      </c>
      <c r="K10999" s="841" t="s">
        <v>4394</v>
      </c>
      <c r="L10999" s="841" t="s">
        <v>442</v>
      </c>
      <c r="M10999" s="1357"/>
      <c r="P10999" s="841" t="s">
        <v>4397</v>
      </c>
      <c r="Q10999" s="1357"/>
      <c r="S10999" s="1420"/>
      <c r="T10999" s="1420"/>
      <c r="V10999" s="1357">
        <v>28</v>
      </c>
    </row>
    <row r="11000" spans="1:22" s="841" customFormat="1" ht="15" x14ac:dyDescent="0.25">
      <c r="A11000" s="841" t="s">
        <v>163</v>
      </c>
      <c r="E11000" s="1989" t="s">
        <v>18</v>
      </c>
      <c r="F11000" s="1989"/>
      <c r="G11000" s="1317" t="s">
        <v>33</v>
      </c>
      <c r="H11000" s="1319">
        <v>0.82840000000000003</v>
      </c>
      <c r="K11000" s="841" t="s">
        <v>4394</v>
      </c>
      <c r="L11000" s="841" t="s">
        <v>443</v>
      </c>
      <c r="M11000" s="1357"/>
      <c r="P11000" s="841" t="s">
        <v>4398</v>
      </c>
      <c r="Q11000" s="1357"/>
      <c r="S11000" s="1420"/>
      <c r="T11000" s="1420"/>
      <c r="V11000" s="1357">
        <v>24</v>
      </c>
    </row>
    <row r="11001" spans="1:22" s="841" customFormat="1" ht="15" x14ac:dyDescent="0.25">
      <c r="A11001" s="841" t="s">
        <v>163</v>
      </c>
      <c r="E11001" s="1989" t="s">
        <v>221</v>
      </c>
      <c r="F11001" s="1989"/>
      <c r="G11001" s="1317" t="s">
        <v>33</v>
      </c>
      <c r="H11001" s="1319">
        <v>2.9458000000000002</v>
      </c>
      <c r="K11001" s="841" t="s">
        <v>4394</v>
      </c>
      <c r="L11001" s="841" t="s">
        <v>444</v>
      </c>
      <c r="M11001" s="1357"/>
      <c r="P11001" s="841" t="s">
        <v>4401</v>
      </c>
      <c r="Q11001" s="1357"/>
      <c r="S11001" s="1420"/>
      <c r="T11001" s="1420"/>
      <c r="V11001" s="1357">
        <v>47</v>
      </c>
    </row>
    <row r="11002" spans="1:22" s="841" customFormat="1" ht="15" x14ac:dyDescent="0.25">
      <c r="A11002" s="841" t="s">
        <v>163</v>
      </c>
      <c r="E11002" s="1989" t="s">
        <v>217</v>
      </c>
      <c r="F11002" s="1989"/>
      <c r="G11002" s="1317" t="s">
        <v>33</v>
      </c>
      <c r="H11002" s="1319">
        <v>2.5657000000000001</v>
      </c>
      <c r="K11002" s="841" t="s">
        <v>4394</v>
      </c>
      <c r="L11002" s="841" t="s">
        <v>444</v>
      </c>
      <c r="M11002" s="1357"/>
      <c r="P11002" s="841" t="s">
        <v>5532</v>
      </c>
      <c r="Q11002" s="1357"/>
      <c r="S11002" s="1420"/>
      <c r="T11002" s="1420"/>
      <c r="V11002" s="1357">
        <v>74</v>
      </c>
    </row>
    <row r="11003" spans="1:22" s="841" customFormat="1" ht="15" x14ac:dyDescent="0.25">
      <c r="A11003" s="841" t="s">
        <v>163</v>
      </c>
      <c r="E11003" s="1990" t="s">
        <v>3079</v>
      </c>
      <c r="F11003" s="1690"/>
      <c r="G11003" s="1320"/>
      <c r="H11003" s="1321"/>
      <c r="K11003" s="841" t="s">
        <v>3225</v>
      </c>
      <c r="M11003" s="1357"/>
      <c r="Q11003" s="1357"/>
      <c r="S11003" s="1420"/>
      <c r="T11003" s="1420"/>
      <c r="V11003" s="1357">
        <v>48</v>
      </c>
    </row>
    <row r="11004" spans="1:22" s="841" customFormat="1" ht="15" x14ac:dyDescent="0.25">
      <c r="A11004" s="841" t="s">
        <v>163</v>
      </c>
      <c r="E11004" s="1989" t="s">
        <v>2449</v>
      </c>
      <c r="F11004" s="1989"/>
      <c r="G11004" s="1322" t="s">
        <v>24</v>
      </c>
      <c r="H11004" s="1321">
        <v>3.2000000000000002E-3</v>
      </c>
      <c r="K11004" s="841" t="s">
        <v>4394</v>
      </c>
      <c r="L11004" s="841" t="s">
        <v>3046</v>
      </c>
      <c r="M11004" s="1357"/>
      <c r="P11004" s="841" t="s">
        <v>4403</v>
      </c>
      <c r="Q11004" s="1357"/>
      <c r="S11004" s="1420"/>
      <c r="T11004" s="1420"/>
      <c r="V11004" s="1357">
        <v>55</v>
      </c>
    </row>
    <row r="11005" spans="1:22" s="841" customFormat="1" ht="15" x14ac:dyDescent="0.25">
      <c r="A11005" s="841" t="s">
        <v>163</v>
      </c>
      <c r="E11005" s="1989" t="s">
        <v>2450</v>
      </c>
      <c r="F11005" s="1989"/>
      <c r="G11005" s="1322" t="s">
        <v>24</v>
      </c>
      <c r="H11005" s="1321">
        <v>4.0000000000000002E-4</v>
      </c>
      <c r="K11005" s="841" t="s">
        <v>4394</v>
      </c>
      <c r="L11005" s="841" t="s">
        <v>3046</v>
      </c>
      <c r="M11005" s="1357"/>
      <c r="P11005" s="841" t="s">
        <v>4403</v>
      </c>
      <c r="Q11005" s="1357"/>
      <c r="S11005" s="1420"/>
      <c r="T11005" s="1420"/>
      <c r="V11005" s="1357">
        <v>65</v>
      </c>
    </row>
    <row r="11006" spans="1:22" s="841" customFormat="1" ht="15" x14ac:dyDescent="0.25">
      <c r="A11006" s="841" t="s">
        <v>163</v>
      </c>
      <c r="E11006" s="1989" t="s">
        <v>5795</v>
      </c>
      <c r="F11006" s="1989"/>
      <c r="G11006" s="1322" t="s">
        <v>24</v>
      </c>
      <c r="H11006" s="1321">
        <v>2.9999999999999997E-4</v>
      </c>
      <c r="K11006" s="841" t="s">
        <v>4394</v>
      </c>
      <c r="L11006" s="841" t="s">
        <v>3046</v>
      </c>
      <c r="M11006" s="1357"/>
      <c r="P11006" s="841" t="s">
        <v>4404</v>
      </c>
      <c r="Q11006" s="1357"/>
      <c r="S11006" s="1420"/>
      <c r="T11006" s="1420"/>
      <c r="V11006" s="1357">
        <v>58</v>
      </c>
    </row>
    <row r="11007" spans="1:22" s="841" customFormat="1" ht="15" x14ac:dyDescent="0.25">
      <c r="A11007" s="841" t="s">
        <v>163</v>
      </c>
      <c r="E11007" s="1989" t="s">
        <v>32</v>
      </c>
      <c r="F11007" s="1989"/>
      <c r="G11007" s="1322" t="s">
        <v>23</v>
      </c>
      <c r="H11007" s="1323">
        <v>0.25</v>
      </c>
      <c r="K11007" s="841" t="s">
        <v>4394</v>
      </c>
      <c r="L11007" s="841" t="s">
        <v>3046</v>
      </c>
      <c r="M11007" s="1357"/>
      <c r="P11007" s="841" t="s">
        <v>4405</v>
      </c>
      <c r="Q11007" s="1357"/>
      <c r="S11007" s="1420"/>
      <c r="T11007" s="1420"/>
      <c r="V11007" s="1357">
        <v>63</v>
      </c>
    </row>
    <row r="11008" spans="1:22" s="841" customFormat="1" ht="15" x14ac:dyDescent="0.25">
      <c r="A11008" s="841" t="s">
        <v>163</v>
      </c>
      <c r="E11008" s="2110" t="s">
        <v>617</v>
      </c>
      <c r="F11008" s="2111"/>
      <c r="G11008" s="2111"/>
      <c r="H11008" s="2112"/>
      <c r="K11008" s="841" t="s">
        <v>3457</v>
      </c>
      <c r="M11008" s="1357"/>
      <c r="Q11008" s="1357"/>
      <c r="S11008" s="1420"/>
      <c r="T11008" s="1420"/>
      <c r="V11008" s="1357">
        <v>47</v>
      </c>
    </row>
    <row r="11009" spans="1:22" s="841" customFormat="1" ht="15" x14ac:dyDescent="0.25">
      <c r="A11009" s="841" t="s">
        <v>163</v>
      </c>
      <c r="E11009" s="1998" t="s">
        <v>4047</v>
      </c>
      <c r="F11009" s="1998"/>
      <c r="G11009" s="1998"/>
      <c r="H11009" s="1999"/>
      <c r="K11009" s="841" t="s">
        <v>3457</v>
      </c>
      <c r="M11009" s="1357"/>
      <c r="Q11009" s="1357"/>
      <c r="S11009" s="1420"/>
      <c r="T11009" s="1420"/>
      <c r="V11009" s="1357">
        <v>619</v>
      </c>
    </row>
    <row r="11010" spans="1:22" s="841" customFormat="1" ht="15" x14ac:dyDescent="0.25">
      <c r="A11010" s="841" t="s">
        <v>163</v>
      </c>
      <c r="E11010" s="1997" t="s">
        <v>3061</v>
      </c>
      <c r="F11010" s="1697"/>
      <c r="G11010" s="1697"/>
      <c r="H11010" s="1697"/>
      <c r="K11010" s="841" t="s">
        <v>3107</v>
      </c>
      <c r="M11010" s="1357"/>
      <c r="Q11010" s="1357"/>
      <c r="S11010" s="1420"/>
      <c r="T11010" s="1420"/>
      <c r="V11010" s="1357">
        <v>11</v>
      </c>
    </row>
    <row r="11011" spans="1:22" s="841" customFormat="1" ht="15" x14ac:dyDescent="0.25">
      <c r="A11011" s="841" t="s">
        <v>163</v>
      </c>
      <c r="E11011" s="1998" t="s">
        <v>3063</v>
      </c>
      <c r="F11011" s="1998"/>
      <c r="G11011" s="1998"/>
      <c r="H11011" s="1999"/>
      <c r="K11011" s="841" t="s">
        <v>3457</v>
      </c>
      <c r="M11011" s="1357"/>
      <c r="Q11011" s="1357"/>
      <c r="S11011" s="1420"/>
      <c r="T11011" s="1420"/>
      <c r="V11011" s="1357">
        <v>280</v>
      </c>
    </row>
    <row r="11012" spans="1:22" s="841" customFormat="1" ht="15" x14ac:dyDescent="0.25">
      <c r="A11012" s="841" t="s">
        <v>163</v>
      </c>
      <c r="E11012" s="1998" t="s">
        <v>4044</v>
      </c>
      <c r="F11012" s="1998"/>
      <c r="G11012" s="1998"/>
      <c r="H11012" s="1999"/>
      <c r="K11012" s="841" t="s">
        <v>3457</v>
      </c>
      <c r="M11012" s="1357"/>
      <c r="Q11012" s="1357"/>
      <c r="S11012" s="1420"/>
      <c r="T11012" s="1420"/>
      <c r="V11012" s="1357">
        <v>411</v>
      </c>
    </row>
    <row r="11013" spans="1:22" s="841" customFormat="1" ht="15" x14ac:dyDescent="0.25">
      <c r="A11013" s="841" t="s">
        <v>163</v>
      </c>
      <c r="E11013" s="1998" t="s">
        <v>3199</v>
      </c>
      <c r="F11013" s="1998"/>
      <c r="G11013" s="1998"/>
      <c r="H11013" s="1999"/>
      <c r="K11013" s="841" t="s">
        <v>3457</v>
      </c>
      <c r="M11013" s="1357"/>
      <c r="Q11013" s="1357"/>
      <c r="S11013" s="1420"/>
      <c r="T11013" s="1420"/>
      <c r="V11013" s="1357">
        <v>386</v>
      </c>
    </row>
    <row r="11014" spans="1:22" s="841" customFormat="1" ht="15" x14ac:dyDescent="0.25">
      <c r="A11014" s="841" t="s">
        <v>163</v>
      </c>
      <c r="E11014" s="1998" t="s">
        <v>4042</v>
      </c>
      <c r="F11014" s="1998"/>
      <c r="G11014" s="1998"/>
      <c r="H11014" s="1999"/>
      <c r="K11014" s="841" t="s">
        <v>3457</v>
      </c>
      <c r="M11014" s="1357"/>
      <c r="Q11014" s="1357"/>
      <c r="S11014" s="1420"/>
      <c r="T11014" s="1420"/>
      <c r="V11014" s="1357">
        <v>275</v>
      </c>
    </row>
    <row r="11015" spans="1:22" s="841" customFormat="1" ht="15" x14ac:dyDescent="0.25">
      <c r="A11015" s="841" t="s">
        <v>163</v>
      </c>
      <c r="E11015" s="2108" t="s">
        <v>3067</v>
      </c>
      <c r="F11015" s="1693"/>
      <c r="G11015" s="1693"/>
      <c r="H11015" s="1693"/>
      <c r="K11015" s="841" t="s">
        <v>3108</v>
      </c>
      <c r="M11015" s="1357"/>
      <c r="Q11015" s="1357"/>
      <c r="S11015" s="1420"/>
      <c r="T11015" s="1420"/>
      <c r="V11015" s="1357">
        <v>46</v>
      </c>
    </row>
    <row r="11016" spans="1:22" s="841" customFormat="1" ht="15" x14ac:dyDescent="0.25">
      <c r="A11016" s="841" t="s">
        <v>163</v>
      </c>
      <c r="E11016" s="1989" t="s">
        <v>13</v>
      </c>
      <c r="F11016" s="1989"/>
      <c r="G11016" s="1317" t="s">
        <v>23</v>
      </c>
      <c r="H11016" s="1318">
        <v>6.1</v>
      </c>
      <c r="K11016" s="841" t="s">
        <v>3457</v>
      </c>
      <c r="L11016" s="841" t="s">
        <v>442</v>
      </c>
      <c r="M11016" s="1357"/>
      <c r="P11016" s="841" t="s">
        <v>3458</v>
      </c>
      <c r="Q11016" s="1357"/>
      <c r="S11016" s="1420"/>
      <c r="T11016" s="1420"/>
      <c r="V11016" s="1357">
        <v>29</v>
      </c>
    </row>
    <row r="11017" spans="1:22" s="841" customFormat="1" ht="15" x14ac:dyDescent="0.25">
      <c r="A11017" s="841" t="s">
        <v>163</v>
      </c>
      <c r="E11017" s="1989" t="s">
        <v>84</v>
      </c>
      <c r="F11017" s="1989"/>
      <c r="G11017" s="1317" t="s">
        <v>24</v>
      </c>
      <c r="H11017" s="1319">
        <v>1.21E-2</v>
      </c>
      <c r="K11017" s="841" t="s">
        <v>3457</v>
      </c>
      <c r="L11017" s="841" t="s">
        <v>442</v>
      </c>
      <c r="M11017" s="1357"/>
      <c r="P11017" s="841" t="s">
        <v>3459</v>
      </c>
      <c r="Q11017" s="1357"/>
      <c r="S11017" s="1420"/>
      <c r="T11017" s="1420"/>
      <c r="V11017" s="1357">
        <v>28</v>
      </c>
    </row>
    <row r="11018" spans="1:22" s="841" customFormat="1" ht="15" x14ac:dyDescent="0.25">
      <c r="A11018" s="841" t="s">
        <v>163</v>
      </c>
      <c r="E11018" s="1989" t="s">
        <v>18</v>
      </c>
      <c r="F11018" s="1989"/>
      <c r="G11018" s="1317" t="s">
        <v>24</v>
      </c>
      <c r="H11018" s="1319">
        <v>1.8E-3</v>
      </c>
      <c r="K11018" s="841" t="s">
        <v>3457</v>
      </c>
      <c r="L11018" s="841" t="s">
        <v>443</v>
      </c>
      <c r="M11018" s="1357"/>
      <c r="P11018" s="841" t="s">
        <v>3460</v>
      </c>
      <c r="Q11018" s="1357"/>
      <c r="S11018" s="1420"/>
      <c r="T11018" s="1420"/>
      <c r="V11018" s="1357">
        <v>24</v>
      </c>
    </row>
    <row r="11019" spans="1:22" s="841" customFormat="1" ht="15" x14ac:dyDescent="0.25">
      <c r="A11019" s="841" t="s">
        <v>163</v>
      </c>
      <c r="E11019" s="1989" t="s">
        <v>221</v>
      </c>
      <c r="F11019" s="1989"/>
      <c r="G11019" s="1317" t="s">
        <v>24</v>
      </c>
      <c r="H11019" s="1319">
        <v>6.1999999999999998E-3</v>
      </c>
      <c r="K11019" s="841" t="s">
        <v>3457</v>
      </c>
      <c r="L11019" s="841" t="s">
        <v>444</v>
      </c>
      <c r="M11019" s="1357"/>
      <c r="P11019" s="841" t="s">
        <v>3462</v>
      </c>
      <c r="Q11019" s="1357"/>
      <c r="S11019" s="1420"/>
      <c r="T11019" s="1420"/>
      <c r="V11019" s="1357">
        <v>47</v>
      </c>
    </row>
    <row r="11020" spans="1:22" s="841" customFormat="1" ht="15" x14ac:dyDescent="0.25">
      <c r="A11020" s="841" t="s">
        <v>163</v>
      </c>
      <c r="E11020" s="1989" t="s">
        <v>217</v>
      </c>
      <c r="F11020" s="1989"/>
      <c r="G11020" s="1317" t="s">
        <v>24</v>
      </c>
      <c r="H11020" s="1319">
        <v>5.4000000000000003E-3</v>
      </c>
      <c r="K11020" s="841" t="s">
        <v>3457</v>
      </c>
      <c r="L11020" s="841" t="s">
        <v>444</v>
      </c>
      <c r="M11020" s="1357"/>
      <c r="P11020" s="841" t="s">
        <v>3463</v>
      </c>
      <c r="Q11020" s="1357"/>
      <c r="S11020" s="1420"/>
      <c r="T11020" s="1420"/>
      <c r="V11020" s="1357">
        <v>74</v>
      </c>
    </row>
    <row r="11021" spans="1:22" s="841" customFormat="1" ht="15" x14ac:dyDescent="0.25">
      <c r="A11021" s="841" t="s">
        <v>163</v>
      </c>
      <c r="E11021" s="1990" t="s">
        <v>3079</v>
      </c>
      <c r="F11021" s="1690"/>
      <c r="G11021" s="1320"/>
      <c r="H11021" s="1321"/>
      <c r="K11021" s="841" t="s">
        <v>3111</v>
      </c>
      <c r="M11021" s="1357"/>
      <c r="Q11021" s="1357"/>
      <c r="S11021" s="1420"/>
      <c r="T11021" s="1420"/>
      <c r="V11021" s="1357">
        <v>48</v>
      </c>
    </row>
    <row r="11022" spans="1:22" s="841" customFormat="1" ht="15" x14ac:dyDescent="0.25">
      <c r="A11022" s="841" t="s">
        <v>163</v>
      </c>
      <c r="E11022" s="1989" t="s">
        <v>2449</v>
      </c>
      <c r="F11022" s="1989"/>
      <c r="G11022" s="1322" t="s">
        <v>24</v>
      </c>
      <c r="H11022" s="1321">
        <v>3.2000000000000002E-3</v>
      </c>
      <c r="K11022" s="841" t="s">
        <v>3457</v>
      </c>
      <c r="L11022" s="841" t="s">
        <v>3046</v>
      </c>
      <c r="M11022" s="1357"/>
      <c r="P11022" s="841" t="s">
        <v>3464</v>
      </c>
      <c r="Q11022" s="1357"/>
      <c r="S11022" s="1420"/>
      <c r="T11022" s="1420"/>
      <c r="V11022" s="1357">
        <v>55</v>
      </c>
    </row>
    <row r="11023" spans="1:22" s="841" customFormat="1" ht="15" x14ac:dyDescent="0.25">
      <c r="A11023" s="841" t="s">
        <v>163</v>
      </c>
      <c r="E11023" s="1989" t="s">
        <v>2450</v>
      </c>
      <c r="F11023" s="1989"/>
      <c r="G11023" s="1322" t="s">
        <v>24</v>
      </c>
      <c r="H11023" s="1321">
        <v>4.0000000000000002E-4</v>
      </c>
      <c r="K11023" s="841" t="s">
        <v>3457</v>
      </c>
      <c r="L11023" s="841" t="s">
        <v>3046</v>
      </c>
      <c r="M11023" s="1357"/>
      <c r="P11023" s="841" t="s">
        <v>3464</v>
      </c>
      <c r="Q11023" s="1357"/>
      <c r="S11023" s="1420"/>
      <c r="T11023" s="1420"/>
      <c r="V11023" s="1357">
        <v>65</v>
      </c>
    </row>
    <row r="11024" spans="1:22" s="841" customFormat="1" ht="15" x14ac:dyDescent="0.25">
      <c r="A11024" s="841" t="s">
        <v>163</v>
      </c>
      <c r="E11024" s="1989" t="s">
        <v>5795</v>
      </c>
      <c r="F11024" s="1989"/>
      <c r="G11024" s="1322" t="s">
        <v>24</v>
      </c>
      <c r="H11024" s="1321">
        <v>2.9999999999999997E-4</v>
      </c>
      <c r="K11024" s="841" t="s">
        <v>3457</v>
      </c>
      <c r="L11024" s="841" t="s">
        <v>3046</v>
      </c>
      <c r="M11024" s="1357"/>
      <c r="P11024" s="841" t="s">
        <v>3465</v>
      </c>
      <c r="Q11024" s="1357"/>
      <c r="S11024" s="1420"/>
      <c r="T11024" s="1420"/>
      <c r="V11024" s="1357">
        <v>58</v>
      </c>
    </row>
    <row r="11025" spans="1:22" s="841" customFormat="1" ht="15" x14ac:dyDescent="0.25">
      <c r="A11025" s="841" t="s">
        <v>163</v>
      </c>
      <c r="E11025" s="1989" t="s">
        <v>32</v>
      </c>
      <c r="F11025" s="1989"/>
      <c r="G11025" s="1322" t="s">
        <v>23</v>
      </c>
      <c r="H11025" s="1323">
        <v>0.25</v>
      </c>
      <c r="K11025" s="841" t="s">
        <v>3457</v>
      </c>
      <c r="L11025" s="841" t="s">
        <v>3046</v>
      </c>
      <c r="M11025" s="1357"/>
      <c r="P11025" s="841" t="s">
        <v>3466</v>
      </c>
      <c r="Q11025" s="1357"/>
      <c r="S11025" s="1420"/>
      <c r="T11025" s="1420"/>
      <c r="V11025" s="1357">
        <v>63</v>
      </c>
    </row>
    <row r="11026" spans="1:22" s="841" customFormat="1" ht="15" x14ac:dyDescent="0.25">
      <c r="A11026" s="841" t="s">
        <v>163</v>
      </c>
      <c r="E11026" s="2110" t="s">
        <v>631</v>
      </c>
      <c r="F11026" s="2111"/>
      <c r="G11026" s="2111"/>
      <c r="H11026" s="2112"/>
      <c r="K11026" s="841" t="s">
        <v>3528</v>
      </c>
      <c r="M11026" s="1357"/>
      <c r="Q11026" s="1357"/>
      <c r="S11026" s="1420"/>
      <c r="T11026" s="1420"/>
      <c r="V11026" s="1357">
        <v>36</v>
      </c>
    </row>
    <row r="11027" spans="1:22" s="841" customFormat="1" ht="15" x14ac:dyDescent="0.25">
      <c r="A11027" s="841" t="s">
        <v>163</v>
      </c>
      <c r="E11027" s="1998" t="s">
        <v>4048</v>
      </c>
      <c r="F11027" s="1998"/>
      <c r="G11027" s="1998"/>
      <c r="H11027" s="1999"/>
      <c r="K11027" s="841" t="s">
        <v>3528</v>
      </c>
      <c r="M11027" s="1357"/>
      <c r="P11027" s="841" t="s">
        <v>6113</v>
      </c>
      <c r="Q11027" s="1357"/>
      <c r="S11027" s="1420"/>
      <c r="T11027" s="1420"/>
      <c r="V11027" s="1357">
        <v>498</v>
      </c>
    </row>
    <row r="11028" spans="1:22" s="841" customFormat="1" ht="15" x14ac:dyDescent="0.25">
      <c r="A11028" s="841" t="s">
        <v>163</v>
      </c>
      <c r="E11028" s="1997" t="s">
        <v>3061</v>
      </c>
      <c r="F11028" s="1697"/>
      <c r="G11028" s="1697"/>
      <c r="H11028" s="1697"/>
      <c r="K11028" s="841" t="s">
        <v>3114</v>
      </c>
      <c r="M11028" s="1357"/>
      <c r="Q11028" s="1357"/>
      <c r="S11028" s="1420"/>
      <c r="T11028" s="1420"/>
      <c r="V11028" s="1357">
        <v>11</v>
      </c>
    </row>
    <row r="11029" spans="1:22" s="841" customFormat="1" ht="15" x14ac:dyDescent="0.25">
      <c r="A11029" s="841" t="s">
        <v>163</v>
      </c>
      <c r="E11029" s="1998" t="s">
        <v>3063</v>
      </c>
      <c r="F11029" s="1998"/>
      <c r="G11029" s="1998"/>
      <c r="H11029" s="1999"/>
      <c r="K11029" s="841" t="s">
        <v>3528</v>
      </c>
      <c r="M11029" s="1357"/>
      <c r="Q11029" s="1357"/>
      <c r="S11029" s="1420"/>
      <c r="T11029" s="1420"/>
      <c r="V11029" s="1357">
        <v>280</v>
      </c>
    </row>
    <row r="11030" spans="1:22" s="841" customFormat="1" ht="15" x14ac:dyDescent="0.25">
      <c r="A11030" s="841" t="s">
        <v>163</v>
      </c>
      <c r="E11030" s="1998" t="s">
        <v>4044</v>
      </c>
      <c r="F11030" s="1998"/>
      <c r="G11030" s="1998"/>
      <c r="H11030" s="1999"/>
      <c r="K11030" s="841" t="s">
        <v>3528</v>
      </c>
      <c r="M11030" s="1357"/>
      <c r="Q11030" s="1357"/>
      <c r="S11030" s="1420"/>
      <c r="T11030" s="1420"/>
      <c r="V11030" s="1357">
        <v>411</v>
      </c>
    </row>
    <row r="11031" spans="1:22" s="841" customFormat="1" ht="15" x14ac:dyDescent="0.25">
      <c r="A11031" s="841" t="s">
        <v>163</v>
      </c>
      <c r="E11031" s="1998" t="s">
        <v>3199</v>
      </c>
      <c r="F11031" s="1998"/>
      <c r="G11031" s="1998"/>
      <c r="H11031" s="1999"/>
      <c r="K11031" s="841" t="s">
        <v>3528</v>
      </c>
      <c r="M11031" s="1357"/>
      <c r="Q11031" s="1357"/>
      <c r="S11031" s="1420"/>
      <c r="T11031" s="1420"/>
      <c r="V11031" s="1357">
        <v>386</v>
      </c>
    </row>
    <row r="11032" spans="1:22" s="841" customFormat="1" ht="15" x14ac:dyDescent="0.25">
      <c r="A11032" s="841" t="s">
        <v>163</v>
      </c>
      <c r="E11032" s="1998" t="s">
        <v>4042</v>
      </c>
      <c r="F11032" s="1998"/>
      <c r="G11032" s="1998"/>
      <c r="H11032" s="1999"/>
      <c r="K11032" s="841" t="s">
        <v>3528</v>
      </c>
      <c r="M11032" s="1357"/>
      <c r="Q11032" s="1357"/>
      <c r="S11032" s="1420"/>
      <c r="T11032" s="1420"/>
      <c r="V11032" s="1357">
        <v>275</v>
      </c>
    </row>
    <row r="11033" spans="1:22" s="841" customFormat="1" ht="15" x14ac:dyDescent="0.25">
      <c r="A11033" s="841" t="s">
        <v>163</v>
      </c>
      <c r="E11033" s="2108" t="s">
        <v>3305</v>
      </c>
      <c r="F11033" s="1693"/>
      <c r="G11033" s="1693"/>
      <c r="H11033" s="1693"/>
      <c r="K11033" s="841" t="s">
        <v>5796</v>
      </c>
      <c r="M11033" s="1357"/>
      <c r="Q11033" s="1357"/>
      <c r="S11033" s="1420"/>
      <c r="T11033" s="1420"/>
      <c r="V11033" s="1357">
        <v>25</v>
      </c>
    </row>
    <row r="11034" spans="1:22" s="841" customFormat="1" ht="15" x14ac:dyDescent="0.25">
      <c r="A11034" s="841" t="s">
        <v>163</v>
      </c>
      <c r="E11034" s="1998" t="s">
        <v>5797</v>
      </c>
      <c r="F11034" s="1998"/>
      <c r="G11034" s="1998"/>
      <c r="H11034" s="1999"/>
      <c r="K11034" s="841" t="s">
        <v>3528</v>
      </c>
      <c r="M11034" s="1357"/>
      <c r="P11034" s="841" t="s">
        <v>6113</v>
      </c>
      <c r="Q11034" s="1357"/>
      <c r="S11034" s="1420"/>
      <c r="T11034" s="1420"/>
      <c r="V11034" s="1357">
        <v>222</v>
      </c>
    </row>
    <row r="11035" spans="1:22" s="841" customFormat="1" ht="15" x14ac:dyDescent="0.25">
      <c r="A11035" s="841" t="s">
        <v>163</v>
      </c>
      <c r="E11035" s="1998" t="s">
        <v>5798</v>
      </c>
      <c r="F11035" s="1998"/>
      <c r="G11035" s="1998"/>
      <c r="H11035" s="1999"/>
      <c r="K11035" s="841" t="s">
        <v>3528</v>
      </c>
      <c r="M11035" s="1357"/>
      <c r="P11035" s="841" t="s">
        <v>6113</v>
      </c>
      <c r="Q11035" s="1357"/>
      <c r="S11035" s="1420"/>
      <c r="T11035" s="1420"/>
      <c r="V11035" s="1357">
        <v>462</v>
      </c>
    </row>
    <row r="11036" spans="1:22" s="841" customFormat="1" ht="15" x14ac:dyDescent="0.25">
      <c r="A11036" s="841" t="s">
        <v>163</v>
      </c>
      <c r="E11036" s="1998" t="s">
        <v>5799</v>
      </c>
      <c r="F11036" s="1998"/>
      <c r="G11036" s="1998"/>
      <c r="H11036" s="1999"/>
      <c r="K11036" s="841" t="s">
        <v>3528</v>
      </c>
      <c r="M11036" s="1357"/>
      <c r="Q11036" s="1357"/>
      <c r="S11036" s="1420"/>
      <c r="T11036" s="1420"/>
      <c r="V11036" s="1357">
        <v>355</v>
      </c>
    </row>
    <row r="11037" spans="1:22" s="841" customFormat="1" ht="15" x14ac:dyDescent="0.25">
      <c r="A11037" s="841" t="s">
        <v>163</v>
      </c>
      <c r="E11037" s="1998" t="s">
        <v>5800</v>
      </c>
      <c r="F11037" s="1998"/>
      <c r="G11037" s="1998"/>
      <c r="H11037" s="1999"/>
      <c r="K11037" s="841" t="s">
        <v>3528</v>
      </c>
      <c r="M11037" s="1357"/>
      <c r="P11037" s="841" t="s">
        <v>6113</v>
      </c>
      <c r="Q11037" s="1357"/>
      <c r="S11037" s="1420"/>
      <c r="T11037" s="1420"/>
      <c r="V11037" s="1357">
        <v>567</v>
      </c>
    </row>
    <row r="11038" spans="1:22" s="841" customFormat="1" ht="15" x14ac:dyDescent="0.25">
      <c r="A11038" s="841" t="s">
        <v>163</v>
      </c>
      <c r="E11038" s="2118" t="s">
        <v>5801</v>
      </c>
      <c r="F11038" s="2118"/>
      <c r="G11038" s="2118"/>
      <c r="H11038" s="2118"/>
      <c r="K11038" s="841" t="s">
        <v>3528</v>
      </c>
      <c r="M11038" s="1357"/>
      <c r="Q11038" s="1357"/>
      <c r="S11038" s="1420"/>
      <c r="T11038" s="1420"/>
      <c r="V11038" s="1357">
        <v>389</v>
      </c>
    </row>
    <row r="11039" spans="1:22" s="841" customFormat="1" ht="15" x14ac:dyDescent="0.25">
      <c r="A11039" s="841" t="s">
        <v>163</v>
      </c>
      <c r="E11039" s="2110" t="s">
        <v>615</v>
      </c>
      <c r="F11039" s="2111"/>
      <c r="G11039" s="2111"/>
      <c r="H11039" s="2112"/>
      <c r="K11039" s="841" t="s">
        <v>3477</v>
      </c>
      <c r="M11039" s="1357"/>
      <c r="Q11039" s="1357"/>
      <c r="S11039" s="1420"/>
      <c r="T11039" s="1420"/>
      <c r="V11039" s="1357">
        <v>38</v>
      </c>
    </row>
    <row r="11040" spans="1:22" s="841" customFormat="1" ht="15" x14ac:dyDescent="0.25">
      <c r="A11040" s="841" t="s">
        <v>163</v>
      </c>
      <c r="E11040" s="1998" t="s">
        <v>4049</v>
      </c>
      <c r="F11040" s="1998"/>
      <c r="G11040" s="1998"/>
      <c r="H11040" s="1999"/>
      <c r="K11040" s="841" t="s">
        <v>3477</v>
      </c>
      <c r="M11040" s="1357"/>
      <c r="Q11040" s="1357"/>
      <c r="S11040" s="1420"/>
      <c r="T11040" s="1420"/>
      <c r="V11040" s="1357">
        <v>551</v>
      </c>
    </row>
    <row r="11041" spans="1:22" s="841" customFormat="1" ht="15" x14ac:dyDescent="0.25">
      <c r="A11041" s="841" t="s">
        <v>163</v>
      </c>
      <c r="E11041" s="1997" t="s">
        <v>3061</v>
      </c>
      <c r="F11041" s="1697"/>
      <c r="G11041" s="1697"/>
      <c r="H11041" s="1697"/>
      <c r="K11041" s="841" t="s">
        <v>3128</v>
      </c>
      <c r="M11041" s="1357"/>
      <c r="Q11041" s="1357"/>
      <c r="S11041" s="1420"/>
      <c r="T11041" s="1420"/>
      <c r="V11041" s="1357">
        <v>11</v>
      </c>
    </row>
    <row r="11042" spans="1:22" s="841" customFormat="1" ht="15" x14ac:dyDescent="0.25">
      <c r="A11042" s="841" t="s">
        <v>163</v>
      </c>
      <c r="E11042" s="1998" t="s">
        <v>3063</v>
      </c>
      <c r="F11042" s="1998"/>
      <c r="G11042" s="1998"/>
      <c r="H11042" s="1999"/>
      <c r="K11042" s="841" t="s">
        <v>3477</v>
      </c>
      <c r="M11042" s="1357"/>
      <c r="Q11042" s="1357"/>
      <c r="S11042" s="1420"/>
      <c r="T11042" s="1420"/>
      <c r="V11042" s="1357">
        <v>280</v>
      </c>
    </row>
    <row r="11043" spans="1:22" s="841" customFormat="1" ht="15" x14ac:dyDescent="0.25">
      <c r="A11043" s="841" t="s">
        <v>163</v>
      </c>
      <c r="E11043" s="1998" t="s">
        <v>4044</v>
      </c>
      <c r="F11043" s="1998"/>
      <c r="G11043" s="1998"/>
      <c r="H11043" s="1999"/>
      <c r="K11043" s="841" t="s">
        <v>3477</v>
      </c>
      <c r="M11043" s="1357"/>
      <c r="Q11043" s="1357"/>
      <c r="S11043" s="1420"/>
      <c r="T11043" s="1420"/>
      <c r="V11043" s="1357">
        <v>411</v>
      </c>
    </row>
    <row r="11044" spans="1:22" s="841" customFormat="1" ht="15" x14ac:dyDescent="0.25">
      <c r="A11044" s="841" t="s">
        <v>163</v>
      </c>
      <c r="E11044" s="1998" t="s">
        <v>3199</v>
      </c>
      <c r="F11044" s="1998"/>
      <c r="G11044" s="1998"/>
      <c r="H11044" s="1999"/>
      <c r="K11044" s="841" t="s">
        <v>3477</v>
      </c>
      <c r="M11044" s="1357"/>
      <c r="Q11044" s="1357"/>
      <c r="S11044" s="1420"/>
      <c r="T11044" s="1420"/>
      <c r="V11044" s="1357">
        <v>386</v>
      </c>
    </row>
    <row r="11045" spans="1:22" s="841" customFormat="1" ht="15" x14ac:dyDescent="0.25">
      <c r="A11045" s="841" t="s">
        <v>163</v>
      </c>
      <c r="E11045" s="1998" t="s">
        <v>4042</v>
      </c>
      <c r="F11045" s="1998"/>
      <c r="G11045" s="1998"/>
      <c r="H11045" s="1999"/>
      <c r="K11045" s="841" t="s">
        <v>3477</v>
      </c>
      <c r="M11045" s="1357"/>
      <c r="Q11045" s="1357"/>
      <c r="S11045" s="1420"/>
      <c r="T11045" s="1420"/>
      <c r="V11045" s="1357">
        <v>275</v>
      </c>
    </row>
    <row r="11046" spans="1:22" s="841" customFormat="1" ht="15" x14ac:dyDescent="0.25">
      <c r="A11046" s="841" t="s">
        <v>163</v>
      </c>
      <c r="E11046" s="2108" t="s">
        <v>3067</v>
      </c>
      <c r="F11046" s="1693"/>
      <c r="G11046" s="1693"/>
      <c r="H11046" s="1693"/>
      <c r="K11046" s="841" t="s">
        <v>3130</v>
      </c>
      <c r="M11046" s="1357"/>
      <c r="Q11046" s="1357"/>
      <c r="S11046" s="1420"/>
      <c r="T11046" s="1420"/>
      <c r="V11046" s="1357">
        <v>46</v>
      </c>
    </row>
    <row r="11047" spans="1:22" s="841" customFormat="1" ht="15" x14ac:dyDescent="0.25">
      <c r="A11047" s="841" t="s">
        <v>163</v>
      </c>
      <c r="E11047" s="1989" t="s">
        <v>435</v>
      </c>
      <c r="F11047" s="1989"/>
      <c r="G11047" s="1317" t="s">
        <v>23</v>
      </c>
      <c r="H11047" s="1318">
        <v>1.24</v>
      </c>
      <c r="K11047" s="841" t="s">
        <v>3477</v>
      </c>
      <c r="L11047" s="841" t="s">
        <v>442</v>
      </c>
      <c r="M11047" s="1357"/>
      <c r="P11047" s="841" t="s">
        <v>3478</v>
      </c>
      <c r="Q11047" s="1357"/>
      <c r="S11047" s="1420"/>
      <c r="T11047" s="1420"/>
      <c r="V11047" s="1357">
        <v>26</v>
      </c>
    </row>
    <row r="11048" spans="1:22" s="841" customFormat="1" ht="15" x14ac:dyDescent="0.25">
      <c r="A11048" s="841" t="s">
        <v>163</v>
      </c>
      <c r="E11048" s="1989" t="s">
        <v>84</v>
      </c>
      <c r="F11048" s="1989"/>
      <c r="G11048" s="1317" t="s">
        <v>33</v>
      </c>
      <c r="H11048" s="1319">
        <v>14.041700000000001</v>
      </c>
      <c r="K11048" s="841" t="s">
        <v>3477</v>
      </c>
      <c r="L11048" s="841" t="s">
        <v>442</v>
      </c>
      <c r="M11048" s="1357"/>
      <c r="P11048" s="841" t="s">
        <v>3479</v>
      </c>
      <c r="Q11048" s="1357"/>
      <c r="S11048" s="1420"/>
      <c r="T11048" s="1420"/>
      <c r="V11048" s="1357">
        <v>28</v>
      </c>
    </row>
    <row r="11049" spans="1:22" s="841" customFormat="1" ht="15" x14ac:dyDescent="0.25">
      <c r="A11049" s="841" t="s">
        <v>163</v>
      </c>
      <c r="E11049" s="1989" t="s">
        <v>18</v>
      </c>
      <c r="F11049" s="1989"/>
      <c r="G11049" s="1317" t="s">
        <v>33</v>
      </c>
      <c r="H11049" s="1319">
        <v>0.49659999999999999</v>
      </c>
      <c r="K11049" s="841" t="s">
        <v>3477</v>
      </c>
      <c r="L11049" s="841" t="s">
        <v>443</v>
      </c>
      <c r="M11049" s="1357"/>
      <c r="P11049" s="841" t="s">
        <v>3480</v>
      </c>
      <c r="Q11049" s="1357"/>
      <c r="S11049" s="1420"/>
      <c r="T11049" s="1420"/>
      <c r="V11049" s="1357">
        <v>24</v>
      </c>
    </row>
    <row r="11050" spans="1:22" s="841" customFormat="1" ht="15" x14ac:dyDescent="0.25">
      <c r="A11050" s="841" t="s">
        <v>163</v>
      </c>
      <c r="E11050" s="1989" t="s">
        <v>221</v>
      </c>
      <c r="F11050" s="1989"/>
      <c r="G11050" s="1317" t="s">
        <v>33</v>
      </c>
      <c r="H11050" s="1319">
        <v>1.766</v>
      </c>
      <c r="K11050" s="841" t="s">
        <v>3477</v>
      </c>
      <c r="L11050" s="841" t="s">
        <v>444</v>
      </c>
      <c r="M11050" s="1357"/>
      <c r="P11050" s="841" t="s">
        <v>3482</v>
      </c>
      <c r="Q11050" s="1357"/>
      <c r="S11050" s="1420"/>
      <c r="T11050" s="1420"/>
      <c r="V11050" s="1357">
        <v>47</v>
      </c>
    </row>
    <row r="11051" spans="1:22" s="841" customFormat="1" ht="15" x14ac:dyDescent="0.25">
      <c r="A11051" s="841" t="s">
        <v>163</v>
      </c>
      <c r="E11051" s="1989" t="s">
        <v>217</v>
      </c>
      <c r="F11051" s="1989"/>
      <c r="G11051" s="1317" t="s">
        <v>33</v>
      </c>
      <c r="H11051" s="1319">
        <v>1.538</v>
      </c>
      <c r="K11051" s="841" t="s">
        <v>3477</v>
      </c>
      <c r="L11051" s="841" t="s">
        <v>444</v>
      </c>
      <c r="M11051" s="1357"/>
      <c r="P11051" s="841" t="s">
        <v>3483</v>
      </c>
      <c r="Q11051" s="1357"/>
      <c r="S11051" s="1420"/>
      <c r="T11051" s="1420"/>
      <c r="V11051" s="1357">
        <v>74</v>
      </c>
    </row>
    <row r="11052" spans="1:22" s="841" customFormat="1" ht="15" x14ac:dyDescent="0.25">
      <c r="A11052" s="841" t="s">
        <v>163</v>
      </c>
      <c r="E11052" s="1990" t="s">
        <v>3079</v>
      </c>
      <c r="F11052" s="1690"/>
      <c r="G11052" s="1320"/>
      <c r="H11052" s="1321"/>
      <c r="K11052" s="841" t="s">
        <v>3260</v>
      </c>
      <c r="M11052" s="1357"/>
      <c r="Q11052" s="1357"/>
      <c r="S11052" s="1420"/>
      <c r="T11052" s="1420"/>
      <c r="V11052" s="1357">
        <v>48</v>
      </c>
    </row>
    <row r="11053" spans="1:22" s="841" customFormat="1" ht="15" x14ac:dyDescent="0.25">
      <c r="A11053" s="841" t="s">
        <v>163</v>
      </c>
      <c r="E11053" s="1989" t="s">
        <v>2449</v>
      </c>
      <c r="F11053" s="1989"/>
      <c r="G11053" s="1322" t="s">
        <v>24</v>
      </c>
      <c r="H11053" s="1321">
        <v>3.2000000000000002E-3</v>
      </c>
      <c r="K11053" s="841" t="s">
        <v>3477</v>
      </c>
      <c r="L11053" s="841" t="s">
        <v>3046</v>
      </c>
      <c r="M11053" s="1357"/>
      <c r="P11053" s="841" t="s">
        <v>3484</v>
      </c>
      <c r="Q11053" s="1357"/>
      <c r="S11053" s="1420"/>
      <c r="T11053" s="1420"/>
      <c r="V11053" s="1357">
        <v>55</v>
      </c>
    </row>
    <row r="11054" spans="1:22" s="841" customFormat="1" ht="15" x14ac:dyDescent="0.25">
      <c r="A11054" s="841" t="s">
        <v>163</v>
      </c>
      <c r="E11054" s="1989" t="s">
        <v>2450</v>
      </c>
      <c r="F11054" s="1989"/>
      <c r="G11054" s="1322" t="s">
        <v>24</v>
      </c>
      <c r="H11054" s="1321">
        <v>4.0000000000000002E-4</v>
      </c>
      <c r="K11054" s="841" t="s">
        <v>3477</v>
      </c>
      <c r="L11054" s="841" t="s">
        <v>3046</v>
      </c>
      <c r="M11054" s="1357"/>
      <c r="P11054" s="841" t="s">
        <v>3484</v>
      </c>
      <c r="Q11054" s="1357"/>
      <c r="S11054" s="1420"/>
      <c r="T11054" s="1420"/>
      <c r="V11054" s="1357">
        <v>65</v>
      </c>
    </row>
    <row r="11055" spans="1:22" s="841" customFormat="1" ht="15" x14ac:dyDescent="0.25">
      <c r="A11055" s="841" t="s">
        <v>163</v>
      </c>
      <c r="E11055" s="1989" t="s">
        <v>5795</v>
      </c>
      <c r="F11055" s="1989"/>
      <c r="G11055" s="1322" t="s">
        <v>24</v>
      </c>
      <c r="H11055" s="1321">
        <v>2.9999999999999997E-4</v>
      </c>
      <c r="K11055" s="841" t="s">
        <v>3477</v>
      </c>
      <c r="L11055" s="841" t="s">
        <v>3046</v>
      </c>
      <c r="M11055" s="1357"/>
      <c r="P11055" s="841" t="s">
        <v>3485</v>
      </c>
      <c r="Q11055" s="1357"/>
      <c r="S11055" s="1420"/>
      <c r="T11055" s="1420"/>
      <c r="V11055" s="1357">
        <v>58</v>
      </c>
    </row>
    <row r="11056" spans="1:22" s="841" customFormat="1" ht="15" x14ac:dyDescent="0.25">
      <c r="A11056" s="841" t="s">
        <v>163</v>
      </c>
      <c r="E11056" s="1989" t="s">
        <v>32</v>
      </c>
      <c r="F11056" s="1989"/>
      <c r="G11056" s="1322" t="s">
        <v>23</v>
      </c>
      <c r="H11056" s="1323">
        <v>0.25</v>
      </c>
      <c r="K11056" s="841" t="s">
        <v>3477</v>
      </c>
      <c r="L11056" s="841" t="s">
        <v>3046</v>
      </c>
      <c r="M11056" s="1357"/>
      <c r="P11056" s="841" t="s">
        <v>3486</v>
      </c>
      <c r="Q11056" s="1357"/>
      <c r="S11056" s="1420"/>
      <c r="T11056" s="1420"/>
      <c r="V11056" s="1357">
        <v>63</v>
      </c>
    </row>
    <row r="11057" spans="1:22" s="841" customFormat="1" ht="15" x14ac:dyDescent="0.25">
      <c r="A11057" s="841" t="s">
        <v>163</v>
      </c>
      <c r="E11057" s="2110" t="s">
        <v>618</v>
      </c>
      <c r="F11057" s="2111"/>
      <c r="G11057" s="2111"/>
      <c r="H11057" s="2112"/>
      <c r="K11057" s="841" t="s">
        <v>3487</v>
      </c>
      <c r="M11057" s="1357"/>
      <c r="Q11057" s="1357"/>
      <c r="S11057" s="1420"/>
      <c r="T11057" s="1420"/>
      <c r="V11057" s="1357">
        <v>31</v>
      </c>
    </row>
    <row r="11058" spans="1:22" s="841" customFormat="1" ht="15" x14ac:dyDescent="0.25">
      <c r="A11058" s="841" t="s">
        <v>163</v>
      </c>
      <c r="E11058" s="1998" t="s">
        <v>3429</v>
      </c>
      <c r="F11058" s="1998"/>
      <c r="G11058" s="1998"/>
      <c r="H11058" s="1999"/>
      <c r="K11058" s="841" t="s">
        <v>3487</v>
      </c>
      <c r="M11058" s="1357"/>
      <c r="Q11058" s="1357"/>
      <c r="S11058" s="1420"/>
      <c r="T11058" s="1420"/>
      <c r="V11058" s="1357">
        <v>285</v>
      </c>
    </row>
    <row r="11059" spans="1:22" s="841" customFormat="1" ht="15" x14ac:dyDescent="0.25">
      <c r="A11059" s="841" t="s">
        <v>163</v>
      </c>
      <c r="E11059" s="1997" t="s">
        <v>3061</v>
      </c>
      <c r="F11059" s="1697"/>
      <c r="G11059" s="1697"/>
      <c r="H11059" s="1697"/>
      <c r="K11059" s="841" t="s">
        <v>3266</v>
      </c>
      <c r="M11059" s="1357"/>
      <c r="Q11059" s="1357"/>
      <c r="S11059" s="1420"/>
      <c r="T11059" s="1420"/>
      <c r="V11059" s="1357">
        <v>11</v>
      </c>
    </row>
    <row r="11060" spans="1:22" s="841" customFormat="1" ht="15" x14ac:dyDescent="0.25">
      <c r="A11060" s="841" t="s">
        <v>163</v>
      </c>
      <c r="E11060" s="1998" t="s">
        <v>3063</v>
      </c>
      <c r="F11060" s="1998"/>
      <c r="G11060" s="1998"/>
      <c r="H11060" s="1999"/>
      <c r="K11060" s="841" t="s">
        <v>3487</v>
      </c>
      <c r="M11060" s="1357"/>
      <c r="Q11060" s="1357"/>
      <c r="S11060" s="1420"/>
      <c r="T11060" s="1420"/>
      <c r="V11060" s="1357">
        <v>280</v>
      </c>
    </row>
    <row r="11061" spans="1:22" s="841" customFormat="1" ht="15" x14ac:dyDescent="0.25">
      <c r="A11061" s="841" t="s">
        <v>163</v>
      </c>
      <c r="E11061" s="1998" t="s">
        <v>4044</v>
      </c>
      <c r="F11061" s="1998"/>
      <c r="G11061" s="1998"/>
      <c r="H11061" s="1999"/>
      <c r="K11061" s="841" t="s">
        <v>3487</v>
      </c>
      <c r="M11061" s="1357"/>
      <c r="Q11061" s="1357"/>
      <c r="S11061" s="1420"/>
      <c r="T11061" s="1420"/>
      <c r="V11061" s="1357">
        <v>411</v>
      </c>
    </row>
    <row r="11062" spans="1:22" s="841" customFormat="1" ht="15" x14ac:dyDescent="0.25">
      <c r="A11062" s="841" t="s">
        <v>163</v>
      </c>
      <c r="E11062" s="1998" t="s">
        <v>3199</v>
      </c>
      <c r="F11062" s="1998"/>
      <c r="G11062" s="1998"/>
      <c r="H11062" s="1999"/>
      <c r="K11062" s="841" t="s">
        <v>3487</v>
      </c>
      <c r="M11062" s="1357"/>
      <c r="Q11062" s="1357"/>
      <c r="S11062" s="1420"/>
      <c r="T11062" s="1420"/>
      <c r="V11062" s="1357">
        <v>386</v>
      </c>
    </row>
    <row r="11063" spans="1:22" s="841" customFormat="1" ht="15" x14ac:dyDescent="0.25">
      <c r="A11063" s="841" t="s">
        <v>163</v>
      </c>
      <c r="E11063" s="1998" t="s">
        <v>4042</v>
      </c>
      <c r="F11063" s="1998"/>
      <c r="G11063" s="1998"/>
      <c r="H11063" s="1999"/>
      <c r="K11063" s="841" t="s">
        <v>3487</v>
      </c>
      <c r="M11063" s="1357"/>
      <c r="Q11063" s="1357"/>
      <c r="S11063" s="1420"/>
      <c r="T11063" s="1420"/>
      <c r="V11063" s="1357">
        <v>275</v>
      </c>
    </row>
    <row r="11064" spans="1:22" s="841" customFormat="1" ht="15" x14ac:dyDescent="0.25">
      <c r="A11064" s="841" t="s">
        <v>163</v>
      </c>
      <c r="E11064" s="2108" t="s">
        <v>3067</v>
      </c>
      <c r="F11064" s="1693"/>
      <c r="G11064" s="1693"/>
      <c r="H11064" s="1693"/>
      <c r="K11064" s="841" t="s">
        <v>3267</v>
      </c>
      <c r="M11064" s="1357"/>
      <c r="Q11064" s="1357"/>
      <c r="S11064" s="1420"/>
      <c r="T11064" s="1420"/>
      <c r="V11064" s="1357">
        <v>46</v>
      </c>
    </row>
    <row r="11065" spans="1:22" s="841" customFormat="1" ht="15" x14ac:dyDescent="0.25">
      <c r="A11065" s="841" t="s">
        <v>163</v>
      </c>
      <c r="E11065" s="1989" t="s">
        <v>11</v>
      </c>
      <c r="F11065" s="1989"/>
      <c r="G11065" s="1317" t="s">
        <v>23</v>
      </c>
      <c r="H11065" s="1318">
        <v>5.4</v>
      </c>
      <c r="K11065" s="841" t="s">
        <v>3487</v>
      </c>
      <c r="L11065" s="841" t="s">
        <v>442</v>
      </c>
      <c r="M11065" s="1357"/>
      <c r="P11065" s="841" t="s">
        <v>3488</v>
      </c>
      <c r="Q11065" s="1357"/>
      <c r="S11065" s="1420"/>
      <c r="T11065" s="1420"/>
      <c r="V11065" s="1357">
        <v>14</v>
      </c>
    </row>
    <row r="11066" spans="1:22" s="841" customFormat="1" x14ac:dyDescent="0.25">
      <c r="A11066" s="841" t="s">
        <v>163</v>
      </c>
      <c r="E11066" s="702" t="s">
        <v>85</v>
      </c>
      <c r="F11066" s="712"/>
      <c r="G11066" s="712"/>
      <c r="H11066" s="1243"/>
      <c r="K11066" s="841" t="s">
        <v>4050</v>
      </c>
      <c r="M11066" s="1357"/>
      <c r="Q11066" s="1357"/>
      <c r="S11066" s="1420"/>
      <c r="T11066" s="1420"/>
      <c r="V11066" s="1357">
        <v>10</v>
      </c>
    </row>
    <row r="11067" spans="1:22" s="841" customFormat="1" ht="15" x14ac:dyDescent="0.25">
      <c r="A11067" s="841" t="s">
        <v>163</v>
      </c>
      <c r="E11067" s="1690" t="s">
        <v>3133</v>
      </c>
      <c r="F11067" s="1690"/>
      <c r="G11067" s="705" t="s">
        <v>33</v>
      </c>
      <c r="H11067" s="1319">
        <v>-0.6</v>
      </c>
      <c r="M11067" s="1357"/>
      <c r="Q11067" s="1357"/>
      <c r="S11067" s="1420"/>
      <c r="T11067" s="1420"/>
      <c r="V11067" s="1357">
        <v>68</v>
      </c>
    </row>
    <row r="11068" spans="1:22" s="841" customFormat="1" ht="15" x14ac:dyDescent="0.25">
      <c r="A11068" s="841" t="s">
        <v>163</v>
      </c>
      <c r="E11068" s="1989" t="s">
        <v>3134</v>
      </c>
      <c r="F11068" s="1989"/>
      <c r="G11068" s="705" t="s">
        <v>86</v>
      </c>
      <c r="H11068" s="1318">
        <v>-1</v>
      </c>
      <c r="M11068" s="1357"/>
      <c r="Q11068" s="1357"/>
      <c r="S11068" s="1420"/>
      <c r="T11068" s="1420"/>
      <c r="V11068" s="1357">
        <v>87</v>
      </c>
    </row>
    <row r="11069" spans="1:22" s="841" customFormat="1" x14ac:dyDescent="0.25">
      <c r="A11069" s="841" t="s">
        <v>163</v>
      </c>
      <c r="E11069" s="702" t="s">
        <v>87</v>
      </c>
      <c r="F11069" s="712"/>
      <c r="G11069" s="712"/>
      <c r="H11069" s="729"/>
      <c r="K11069" s="841" t="s">
        <v>4051</v>
      </c>
      <c r="M11069" s="1357"/>
      <c r="Q11069" s="1357"/>
      <c r="S11069" s="1420"/>
      <c r="T11069" s="1420"/>
      <c r="V11069" s="1357">
        <v>24</v>
      </c>
    </row>
    <row r="11070" spans="1:22" s="841" customFormat="1" ht="15" x14ac:dyDescent="0.25">
      <c r="A11070" s="841" t="s">
        <v>163</v>
      </c>
      <c r="E11070" s="2091" t="s">
        <v>3061</v>
      </c>
      <c r="F11070" s="1689"/>
      <c r="G11070" s="1689"/>
      <c r="H11070" s="1689"/>
      <c r="M11070" s="1357"/>
      <c r="Q11070" s="1357"/>
      <c r="S11070" s="1420"/>
      <c r="T11070" s="1420"/>
      <c r="V11070" s="1357">
        <v>11</v>
      </c>
    </row>
    <row r="11071" spans="1:22" s="841" customFormat="1" ht="15" x14ac:dyDescent="0.25">
      <c r="A11071" s="841" t="s">
        <v>163</v>
      </c>
      <c r="E11071" s="2119" t="s">
        <v>3063</v>
      </c>
      <c r="F11071" s="2119"/>
      <c r="G11071" s="2119"/>
      <c r="H11071" s="2120"/>
      <c r="M11071" s="1357"/>
      <c r="Q11071" s="1357"/>
      <c r="S11071" s="1420"/>
      <c r="T11071" s="1420"/>
      <c r="V11071" s="1357">
        <v>280</v>
      </c>
    </row>
    <row r="11072" spans="1:22" s="841" customFormat="1" ht="15" x14ac:dyDescent="0.25">
      <c r="A11072" s="841" t="s">
        <v>163</v>
      </c>
      <c r="E11072" s="2119" t="s">
        <v>3136</v>
      </c>
      <c r="F11072" s="2119"/>
      <c r="G11072" s="2119"/>
      <c r="H11072" s="2120"/>
      <c r="M11072" s="1357"/>
      <c r="Q11072" s="1357"/>
      <c r="S11072" s="1420"/>
      <c r="T11072" s="1420"/>
      <c r="V11072" s="1357">
        <v>353</v>
      </c>
    </row>
    <row r="11073" spans="1:22" s="841" customFormat="1" ht="15" x14ac:dyDescent="0.25">
      <c r="A11073" s="841" t="s">
        <v>163</v>
      </c>
      <c r="E11073" s="2119" t="s">
        <v>3066</v>
      </c>
      <c r="F11073" s="2119"/>
      <c r="G11073" s="2119"/>
      <c r="H11073" s="2120"/>
      <c r="M11073" s="1357"/>
      <c r="Q11073" s="1357"/>
      <c r="S11073" s="1420"/>
      <c r="T11073" s="1420"/>
      <c r="V11073" s="1357">
        <v>275</v>
      </c>
    </row>
    <row r="11074" spans="1:22" s="841" customFormat="1" ht="15" x14ac:dyDescent="0.25">
      <c r="A11074" s="841" t="s">
        <v>163</v>
      </c>
      <c r="E11074" s="709" t="s">
        <v>3137</v>
      </c>
      <c r="F11074" s="712"/>
      <c r="G11074" s="712"/>
      <c r="H11074" s="729"/>
      <c r="K11074" s="841" t="s">
        <v>4052</v>
      </c>
      <c r="M11074" s="1357"/>
      <c r="Q11074" s="1357"/>
      <c r="S11074" s="1420"/>
      <c r="T11074" s="1420"/>
      <c r="V11074" s="1357">
        <v>23</v>
      </c>
    </row>
    <row r="11075" spans="1:22" s="841" customFormat="1" ht="15" x14ac:dyDescent="0.25">
      <c r="A11075" s="841" t="s">
        <v>163</v>
      </c>
      <c r="E11075" s="1988" t="s">
        <v>3825</v>
      </c>
      <c r="F11075" s="1988"/>
      <c r="G11075" s="1322" t="s">
        <v>23</v>
      </c>
      <c r="H11075" s="1323">
        <v>15</v>
      </c>
      <c r="M11075" s="1357"/>
      <c r="Q11075" s="1357"/>
      <c r="S11075" s="1420"/>
      <c r="T11075" s="1420"/>
      <c r="V11075" s="1357">
        <v>24</v>
      </c>
    </row>
    <row r="11076" spans="1:22" s="841" customFormat="1" ht="15" x14ac:dyDescent="0.25">
      <c r="A11076" s="841" t="s">
        <v>163</v>
      </c>
      <c r="E11076" s="1988" t="s">
        <v>3826</v>
      </c>
      <c r="F11076" s="1988"/>
      <c r="G11076" s="1322" t="s">
        <v>23</v>
      </c>
      <c r="H11076" s="1323">
        <v>15</v>
      </c>
      <c r="M11076" s="1357"/>
      <c r="Q11076" s="1357"/>
      <c r="S11076" s="1420"/>
      <c r="T11076" s="1420"/>
      <c r="V11076" s="1357">
        <v>25</v>
      </c>
    </row>
    <row r="11077" spans="1:22" s="841" customFormat="1" ht="15" x14ac:dyDescent="0.25">
      <c r="A11077" s="841" t="s">
        <v>163</v>
      </c>
      <c r="E11077" s="1988" t="s">
        <v>4053</v>
      </c>
      <c r="F11077" s="1988"/>
      <c r="G11077" s="1322" t="s">
        <v>23</v>
      </c>
      <c r="H11077" s="1323">
        <v>15</v>
      </c>
      <c r="M11077" s="1357"/>
      <c r="Q11077" s="1357"/>
      <c r="S11077" s="1420"/>
      <c r="T11077" s="1420"/>
      <c r="V11077" s="1357">
        <v>42</v>
      </c>
    </row>
    <row r="11078" spans="1:22" s="841" customFormat="1" ht="15" x14ac:dyDescent="0.25">
      <c r="A11078" s="841" t="s">
        <v>163</v>
      </c>
      <c r="E11078" s="1988" t="s">
        <v>3830</v>
      </c>
      <c r="F11078" s="1988"/>
      <c r="G11078" s="1322" t="s">
        <v>23</v>
      </c>
      <c r="H11078" s="1323">
        <v>15</v>
      </c>
      <c r="M11078" s="1357"/>
      <c r="Q11078" s="1357"/>
      <c r="S11078" s="1420"/>
      <c r="T11078" s="1420"/>
      <c r="V11078" s="1357">
        <v>20</v>
      </c>
    </row>
    <row r="11079" spans="1:22" s="841" customFormat="1" ht="15" x14ac:dyDescent="0.25">
      <c r="A11079" s="841" t="s">
        <v>163</v>
      </c>
      <c r="E11079" s="1988" t="s">
        <v>4054</v>
      </c>
      <c r="F11079" s="1988"/>
      <c r="G11079" s="1322" t="s">
        <v>23</v>
      </c>
      <c r="H11079" s="1323">
        <v>15</v>
      </c>
      <c r="M11079" s="1357"/>
      <c r="Q11079" s="1357"/>
      <c r="S11079" s="1420"/>
      <c r="T11079" s="1420"/>
      <c r="V11079" s="1357">
        <v>40</v>
      </c>
    </row>
    <row r="11080" spans="1:22" s="841" customFormat="1" ht="15" x14ac:dyDescent="0.25">
      <c r="A11080" s="841" t="s">
        <v>163</v>
      </c>
      <c r="E11080" s="1988" t="s">
        <v>4055</v>
      </c>
      <c r="F11080" s="1988"/>
      <c r="G11080" s="1322" t="s">
        <v>23</v>
      </c>
      <c r="H11080" s="1323">
        <v>15</v>
      </c>
      <c r="M11080" s="1357"/>
      <c r="Q11080" s="1357"/>
      <c r="S11080" s="1420"/>
      <c r="T11080" s="1420"/>
      <c r="V11080" s="1357">
        <v>17</v>
      </c>
    </row>
    <row r="11081" spans="1:22" s="841" customFormat="1" ht="15" x14ac:dyDescent="0.25">
      <c r="A11081" s="841" t="s">
        <v>163</v>
      </c>
      <c r="E11081" s="1988" t="s">
        <v>3835</v>
      </c>
      <c r="F11081" s="1988"/>
      <c r="G11081" s="1322" t="s">
        <v>23</v>
      </c>
      <c r="H11081" s="1323">
        <v>15</v>
      </c>
      <c r="M11081" s="1357"/>
      <c r="Q11081" s="1357"/>
      <c r="S11081" s="1420"/>
      <c r="T11081" s="1420"/>
      <c r="V11081" s="1357">
        <v>94</v>
      </c>
    </row>
    <row r="11082" spans="1:22" s="841" customFormat="1" ht="15" x14ac:dyDescent="0.25">
      <c r="A11082" s="841" t="s">
        <v>163</v>
      </c>
      <c r="E11082" s="1988" t="s">
        <v>3836</v>
      </c>
      <c r="F11082" s="1988"/>
      <c r="G11082" s="1322" t="s">
        <v>23</v>
      </c>
      <c r="H11082" s="1323">
        <v>30</v>
      </c>
      <c r="M11082" s="1357"/>
      <c r="Q11082" s="1357"/>
      <c r="S11082" s="1420"/>
      <c r="T11082" s="1420"/>
      <c r="V11082" s="1357">
        <v>24</v>
      </c>
    </row>
    <row r="11083" spans="1:22" s="841" customFormat="1" ht="15" x14ac:dyDescent="0.25">
      <c r="A11083" s="841" t="s">
        <v>163</v>
      </c>
      <c r="E11083" s="1988" t="s">
        <v>3837</v>
      </c>
      <c r="F11083" s="1988"/>
      <c r="G11083" s="1322" t="s">
        <v>23</v>
      </c>
      <c r="H11083" s="1323">
        <v>30</v>
      </c>
      <c r="M11083" s="1357"/>
      <c r="Q11083" s="1357"/>
      <c r="S11083" s="1420"/>
      <c r="T11083" s="1420"/>
      <c r="V11083" s="1357">
        <v>79</v>
      </c>
    </row>
    <row r="11084" spans="1:22" s="841" customFormat="1" ht="15" x14ac:dyDescent="0.25">
      <c r="A11084" s="841" t="s">
        <v>163</v>
      </c>
      <c r="E11084" s="709" t="s">
        <v>3152</v>
      </c>
      <c r="F11084" s="712"/>
      <c r="G11084" s="712"/>
      <c r="H11084" s="729"/>
      <c r="K11084" s="841" t="s">
        <v>4056</v>
      </c>
      <c r="M11084" s="1357"/>
      <c r="Q11084" s="1357"/>
      <c r="S11084" s="1420"/>
      <c r="T11084" s="1420"/>
      <c r="V11084" s="1357">
        <v>22</v>
      </c>
    </row>
    <row r="11085" spans="1:22" s="841" customFormat="1" ht="15" x14ac:dyDescent="0.25">
      <c r="A11085" s="841" t="s">
        <v>163</v>
      </c>
      <c r="E11085" s="1988" t="s">
        <v>5458</v>
      </c>
      <c r="F11085" s="1988"/>
      <c r="G11085" s="1322" t="s">
        <v>86</v>
      </c>
      <c r="H11085" s="1323">
        <v>1.5</v>
      </c>
      <c r="M11085" s="1357"/>
      <c r="Q11085" s="1357"/>
      <c r="S11085" s="1420"/>
      <c r="T11085" s="1420"/>
      <c r="V11085" s="1357">
        <v>29</v>
      </c>
    </row>
    <row r="11086" spans="1:22" s="841" customFormat="1" ht="15" x14ac:dyDescent="0.25">
      <c r="A11086" s="841" t="s">
        <v>163</v>
      </c>
      <c r="E11086" s="1988" t="s">
        <v>3840</v>
      </c>
      <c r="F11086" s="1988"/>
      <c r="G11086" s="1322" t="s">
        <v>86</v>
      </c>
      <c r="H11086" s="1323">
        <v>19.559999999999999</v>
      </c>
      <c r="M11086" s="1357"/>
      <c r="Q11086" s="1357"/>
      <c r="S11086" s="1420"/>
      <c r="T11086" s="1420"/>
      <c r="V11086" s="1357">
        <v>29</v>
      </c>
    </row>
    <row r="11087" spans="1:22" s="841" customFormat="1" ht="15" x14ac:dyDescent="0.25">
      <c r="A11087" s="841" t="s">
        <v>163</v>
      </c>
      <c r="E11087" s="1988" t="s">
        <v>5802</v>
      </c>
      <c r="F11087" s="1988"/>
      <c r="G11087" s="1322" t="s">
        <v>23</v>
      </c>
      <c r="H11087" s="1323">
        <v>65</v>
      </c>
      <c r="M11087" s="1357"/>
      <c r="Q11087" s="1357"/>
      <c r="S11087" s="1420"/>
      <c r="T11087" s="1420"/>
      <c r="V11087" s="1357">
        <v>57</v>
      </c>
    </row>
    <row r="11088" spans="1:22" s="841" customFormat="1" ht="15" x14ac:dyDescent="0.25">
      <c r="A11088" s="841" t="s">
        <v>163</v>
      </c>
      <c r="E11088" s="1988" t="s">
        <v>5803</v>
      </c>
      <c r="F11088" s="1988"/>
      <c r="G11088" s="1322" t="s">
        <v>23</v>
      </c>
      <c r="H11088" s="1323">
        <v>185</v>
      </c>
      <c r="M11088" s="1357"/>
      <c r="Q11088" s="1357"/>
      <c r="S11088" s="1420"/>
      <c r="T11088" s="1420"/>
      <c r="V11088" s="1357">
        <v>56</v>
      </c>
    </row>
    <row r="11089" spans="1:22" s="841" customFormat="1" ht="15" x14ac:dyDescent="0.25">
      <c r="A11089" s="841" t="s">
        <v>163</v>
      </c>
      <c r="E11089" s="1988" t="s">
        <v>5804</v>
      </c>
      <c r="F11089" s="1988"/>
      <c r="G11089" s="1322" t="s">
        <v>23</v>
      </c>
      <c r="H11089" s="1323">
        <v>185</v>
      </c>
      <c r="M11089" s="1357"/>
      <c r="Q11089" s="1357"/>
      <c r="S11089" s="1420"/>
      <c r="T11089" s="1420"/>
      <c r="V11089" s="1357">
        <v>56</v>
      </c>
    </row>
    <row r="11090" spans="1:22" s="841" customFormat="1" ht="15" x14ac:dyDescent="0.25">
      <c r="A11090" s="841" t="s">
        <v>163</v>
      </c>
      <c r="E11090" s="1988" t="s">
        <v>5805</v>
      </c>
      <c r="F11090" s="1988"/>
      <c r="G11090" s="1322" t="s">
        <v>23</v>
      </c>
      <c r="H11090" s="1323">
        <v>415</v>
      </c>
      <c r="M11090" s="1357"/>
      <c r="Q11090" s="1357"/>
      <c r="S11090" s="1420"/>
      <c r="T11090" s="1420"/>
      <c r="V11090" s="1357">
        <v>55</v>
      </c>
    </row>
    <row r="11091" spans="1:22" s="841" customFormat="1" ht="15" x14ac:dyDescent="0.25">
      <c r="A11091" s="841" t="s">
        <v>163</v>
      </c>
      <c r="E11091" s="1988" t="s">
        <v>3847</v>
      </c>
      <c r="F11091" s="1988"/>
      <c r="G11091" s="1322" t="s">
        <v>23</v>
      </c>
      <c r="H11091" s="1323">
        <v>65</v>
      </c>
      <c r="M11091" s="1357"/>
      <c r="Q11091" s="1357"/>
      <c r="S11091" s="1420"/>
      <c r="T11091" s="1420"/>
      <c r="V11091" s="1357">
        <v>62</v>
      </c>
    </row>
    <row r="11092" spans="1:22" s="841" customFormat="1" ht="15" x14ac:dyDescent="0.25">
      <c r="A11092" s="841" t="s">
        <v>163</v>
      </c>
      <c r="E11092" s="1988" t="s">
        <v>3848</v>
      </c>
      <c r="F11092" s="1988"/>
      <c r="G11092" s="1322" t="s">
        <v>23</v>
      </c>
      <c r="H11092" s="1323">
        <v>185</v>
      </c>
      <c r="M11092" s="1357"/>
      <c r="Q11092" s="1357"/>
      <c r="S11092" s="1420"/>
      <c r="T11092" s="1420"/>
      <c r="V11092" s="1357">
        <v>61</v>
      </c>
    </row>
    <row r="11093" spans="1:22" s="841" customFormat="1" ht="15" x14ac:dyDescent="0.25">
      <c r="A11093" s="841" t="s">
        <v>163</v>
      </c>
      <c r="E11093" s="709" t="s">
        <v>3164</v>
      </c>
      <c r="F11093" s="712"/>
      <c r="G11093" s="1324"/>
      <c r="H11093" s="740"/>
      <c r="M11093" s="1357"/>
      <c r="Q11093" s="1357"/>
      <c r="S11093" s="1420"/>
      <c r="T11093" s="1420"/>
      <c r="V11093" s="1357">
        <v>5</v>
      </c>
    </row>
    <row r="11094" spans="1:22" s="841" customFormat="1" ht="15" x14ac:dyDescent="0.25">
      <c r="A11094" s="841" t="s">
        <v>163</v>
      </c>
      <c r="E11094" s="1988" t="s">
        <v>5806</v>
      </c>
      <c r="F11094" s="1988"/>
      <c r="G11094" s="1322" t="s">
        <v>23</v>
      </c>
      <c r="H11094" s="1323">
        <v>22.35</v>
      </c>
      <c r="M11094" s="1357"/>
      <c r="Q11094" s="1357"/>
      <c r="S11094" s="1420"/>
      <c r="T11094" s="1420"/>
      <c r="V11094" s="1357">
        <v>109</v>
      </c>
    </row>
    <row r="11095" spans="1:22" s="841" customFormat="1" ht="15" x14ac:dyDescent="0.25">
      <c r="A11095" s="841" t="s">
        <v>163</v>
      </c>
      <c r="E11095" s="1988" t="s">
        <v>4057</v>
      </c>
      <c r="F11095" s="1988"/>
      <c r="G11095" s="1322" t="s">
        <v>23</v>
      </c>
      <c r="H11095" s="1323">
        <v>200</v>
      </c>
      <c r="M11095" s="1357"/>
      <c r="Q11095" s="1357"/>
      <c r="S11095" s="1420"/>
      <c r="T11095" s="1420"/>
      <c r="V11095" s="1357">
        <v>16</v>
      </c>
    </row>
    <row r="11096" spans="1:22" s="841" customFormat="1" x14ac:dyDescent="0.25">
      <c r="A11096" s="841" t="s">
        <v>163</v>
      </c>
      <c r="E11096" s="702" t="s">
        <v>77</v>
      </c>
      <c r="F11096" s="712"/>
      <c r="G11096" s="712"/>
      <c r="H11096" s="729"/>
      <c r="K11096" s="841" t="s">
        <v>4058</v>
      </c>
      <c r="M11096" s="1357"/>
      <c r="Q11096" s="1357"/>
      <c r="S11096" s="1420"/>
      <c r="T11096" s="1420"/>
      <c r="V11096" s="1357">
        <v>38</v>
      </c>
    </row>
    <row r="11097" spans="1:22" s="841" customFormat="1" ht="15" x14ac:dyDescent="0.25">
      <c r="A11097" s="841" t="s">
        <v>163</v>
      </c>
      <c r="E11097" s="2119" t="s">
        <v>3063</v>
      </c>
      <c r="F11097" s="2119"/>
      <c r="G11097" s="2119"/>
      <c r="H11097" s="2120"/>
      <c r="M11097" s="1357"/>
      <c r="Q11097" s="1357"/>
      <c r="S11097" s="1420"/>
      <c r="T11097" s="1420"/>
      <c r="V11097" s="1357">
        <v>280</v>
      </c>
    </row>
    <row r="11098" spans="1:22" s="841" customFormat="1" ht="15" x14ac:dyDescent="0.25">
      <c r="A11098" s="841" t="s">
        <v>163</v>
      </c>
      <c r="E11098" s="2119" t="s">
        <v>3064</v>
      </c>
      <c r="F11098" s="2119"/>
      <c r="G11098" s="2119"/>
      <c r="H11098" s="2120"/>
      <c r="M11098" s="1357"/>
      <c r="Q11098" s="1357"/>
      <c r="S11098" s="1420"/>
      <c r="T11098" s="1420"/>
      <c r="V11098" s="1357">
        <v>411</v>
      </c>
    </row>
    <row r="11099" spans="1:22" s="841" customFormat="1" ht="15" x14ac:dyDescent="0.25">
      <c r="A11099" s="841" t="s">
        <v>163</v>
      </c>
      <c r="E11099" s="2119" t="s">
        <v>3129</v>
      </c>
      <c r="F11099" s="2119"/>
      <c r="G11099" s="2119"/>
      <c r="H11099" s="2120"/>
      <c r="M11099" s="1357"/>
      <c r="Q11099" s="1357"/>
      <c r="S11099" s="1420"/>
      <c r="T11099" s="1420"/>
      <c r="V11099" s="1357">
        <v>211</v>
      </c>
    </row>
    <row r="11100" spans="1:22" s="841" customFormat="1" ht="15" x14ac:dyDescent="0.25">
      <c r="A11100" s="841" t="s">
        <v>163</v>
      </c>
      <c r="E11100" s="2119" t="s">
        <v>3066</v>
      </c>
      <c r="F11100" s="2119"/>
      <c r="G11100" s="2119"/>
      <c r="H11100" s="2120"/>
      <c r="M11100" s="1357"/>
      <c r="Q11100" s="1357"/>
      <c r="S11100" s="1420"/>
      <c r="T11100" s="1420"/>
      <c r="V11100" s="1357">
        <v>275</v>
      </c>
    </row>
    <row r="11101" spans="1:22" s="841" customFormat="1" ht="15" x14ac:dyDescent="0.25">
      <c r="A11101" s="841" t="s">
        <v>163</v>
      </c>
      <c r="E11101" s="2119" t="s">
        <v>3291</v>
      </c>
      <c r="F11101" s="2119"/>
      <c r="G11101" s="2119"/>
      <c r="H11101" s="2120"/>
      <c r="M11101" s="1357"/>
      <c r="Q11101" s="1357"/>
      <c r="S11101" s="1420"/>
      <c r="T11101" s="1420"/>
      <c r="V11101" s="1357">
        <v>142</v>
      </c>
    </row>
    <row r="11102" spans="1:22" s="841" customFormat="1" ht="15" x14ac:dyDescent="0.25">
      <c r="A11102" s="841" t="s">
        <v>163</v>
      </c>
      <c r="E11102" s="1989" t="s">
        <v>3176</v>
      </c>
      <c r="F11102" s="1989"/>
      <c r="G11102" s="688" t="s">
        <v>23</v>
      </c>
      <c r="H11102" s="689">
        <v>100</v>
      </c>
      <c r="M11102" s="1357"/>
      <c r="Q11102" s="1357"/>
      <c r="S11102" s="1420"/>
      <c r="T11102" s="1420"/>
      <c r="V11102" s="1357">
        <v>106</v>
      </c>
    </row>
    <row r="11103" spans="1:22" s="841" customFormat="1" ht="15" x14ac:dyDescent="0.25">
      <c r="A11103" s="841" t="s">
        <v>163</v>
      </c>
      <c r="E11103" s="1989" t="s">
        <v>5140</v>
      </c>
      <c r="F11103" s="1989"/>
      <c r="G11103" s="688" t="s">
        <v>23</v>
      </c>
      <c r="H11103" s="689">
        <v>20</v>
      </c>
      <c r="M11103" s="1357"/>
      <c r="Q11103" s="1357"/>
      <c r="S11103" s="1420"/>
      <c r="T11103" s="1420"/>
      <c r="V11103" s="1357">
        <v>34</v>
      </c>
    </row>
    <row r="11104" spans="1:22" s="841" customFormat="1" ht="15" x14ac:dyDescent="0.25">
      <c r="A11104" s="841" t="s">
        <v>163</v>
      </c>
      <c r="E11104" s="1989" t="s">
        <v>5141</v>
      </c>
      <c r="F11104" s="1989"/>
      <c r="G11104" s="688" t="s">
        <v>3179</v>
      </c>
      <c r="H11104" s="689">
        <v>0.5</v>
      </c>
      <c r="M11104" s="1357"/>
      <c r="Q11104" s="1357"/>
      <c r="S11104" s="1420"/>
      <c r="T11104" s="1420"/>
      <c r="V11104" s="1357">
        <v>51</v>
      </c>
    </row>
    <row r="11105" spans="1:22" s="841" customFormat="1" ht="15" x14ac:dyDescent="0.25">
      <c r="A11105" s="841" t="s">
        <v>163</v>
      </c>
      <c r="E11105" s="1989" t="s">
        <v>3180</v>
      </c>
      <c r="F11105" s="1989"/>
      <c r="G11105" s="688" t="s">
        <v>3179</v>
      </c>
      <c r="H11105" s="689">
        <v>0.3</v>
      </c>
      <c r="M11105" s="1357"/>
      <c r="Q11105" s="1357"/>
      <c r="S11105" s="1420"/>
      <c r="T11105" s="1420"/>
      <c r="V11105" s="1357">
        <v>75</v>
      </c>
    </row>
    <row r="11106" spans="1:22" s="841" customFormat="1" ht="15" x14ac:dyDescent="0.25">
      <c r="A11106" s="841" t="s">
        <v>163</v>
      </c>
      <c r="E11106" s="1989" t="s">
        <v>3181</v>
      </c>
      <c r="F11106" s="1989"/>
      <c r="G11106" s="688" t="s">
        <v>3179</v>
      </c>
      <c r="H11106" s="689">
        <v>-0.3</v>
      </c>
      <c r="M11106" s="1357"/>
      <c r="Q11106" s="1357"/>
      <c r="S11106" s="1420"/>
      <c r="T11106" s="1420"/>
      <c r="V11106" s="1357">
        <v>72</v>
      </c>
    </row>
    <row r="11107" spans="1:22" s="841" customFormat="1" ht="15" x14ac:dyDescent="0.25">
      <c r="A11107" s="841" t="s">
        <v>163</v>
      </c>
      <c r="E11107" s="1989" t="s">
        <v>3182</v>
      </c>
      <c r="F11107" s="1989"/>
      <c r="G11107" s="1325"/>
      <c r="H11107" s="1326"/>
      <c r="M11107" s="1357"/>
      <c r="Q11107" s="1357"/>
      <c r="S11107" s="1420"/>
      <c r="T11107" s="1420"/>
      <c r="V11107" s="1357">
        <v>35</v>
      </c>
    </row>
    <row r="11108" spans="1:22" s="841" customFormat="1" ht="15" x14ac:dyDescent="0.25">
      <c r="A11108" s="841" t="s">
        <v>163</v>
      </c>
      <c r="E11108" s="2117" t="s">
        <v>3183</v>
      </c>
      <c r="F11108" s="2117"/>
      <c r="G11108" s="688" t="s">
        <v>23</v>
      </c>
      <c r="H11108" s="689">
        <v>0.25</v>
      </c>
      <c r="M11108" s="1357"/>
      <c r="Q11108" s="1357"/>
      <c r="S11108" s="1420"/>
      <c r="T11108" s="1420"/>
      <c r="V11108" s="1357">
        <v>57</v>
      </c>
    </row>
    <row r="11109" spans="1:22" s="841" customFormat="1" ht="15" x14ac:dyDescent="0.25">
      <c r="A11109" s="841" t="s">
        <v>163</v>
      </c>
      <c r="E11109" s="2117" t="s">
        <v>3184</v>
      </c>
      <c r="F11109" s="2117"/>
      <c r="G11109" s="688" t="s">
        <v>23</v>
      </c>
      <c r="H11109" s="689">
        <v>0.5</v>
      </c>
      <c r="M11109" s="1357"/>
      <c r="Q11109" s="1357"/>
      <c r="S11109" s="1420"/>
      <c r="T11109" s="1420"/>
      <c r="V11109" s="1357">
        <v>60</v>
      </c>
    </row>
    <row r="11110" spans="1:22" s="841" customFormat="1" ht="15" x14ac:dyDescent="0.25">
      <c r="A11110" s="841" t="s">
        <v>163</v>
      </c>
      <c r="E11110" s="1989" t="s">
        <v>3185</v>
      </c>
      <c r="F11110" s="1989"/>
      <c r="G11110" s="1325"/>
      <c r="H11110" s="1326"/>
      <c r="M11110" s="1357"/>
      <c r="Q11110" s="1357"/>
      <c r="S11110" s="1420"/>
      <c r="T11110" s="1420"/>
      <c r="V11110" s="1357">
        <v>91</v>
      </c>
    </row>
    <row r="11111" spans="1:22" s="841" customFormat="1" ht="15" x14ac:dyDescent="0.25">
      <c r="A11111" s="841" t="s">
        <v>163</v>
      </c>
      <c r="E11111" s="1989" t="s">
        <v>3186</v>
      </c>
      <c r="F11111" s="1989"/>
      <c r="G11111" s="1325"/>
      <c r="H11111" s="1326"/>
      <c r="M11111" s="1357"/>
      <c r="Q11111" s="1357"/>
      <c r="S11111" s="1420"/>
      <c r="T11111" s="1420"/>
      <c r="V11111" s="1357">
        <v>96</v>
      </c>
    </row>
    <row r="11112" spans="1:22" s="841" customFormat="1" ht="15" x14ac:dyDescent="0.25">
      <c r="A11112" s="841" t="s">
        <v>163</v>
      </c>
      <c r="E11112" s="1989" t="s">
        <v>3187</v>
      </c>
      <c r="F11112" s="1989"/>
      <c r="G11112" s="1325"/>
      <c r="H11112" s="1326"/>
      <c r="M11112" s="1357"/>
      <c r="Q11112" s="1357"/>
      <c r="S11112" s="1420"/>
      <c r="T11112" s="1420"/>
      <c r="V11112" s="1357">
        <v>78</v>
      </c>
    </row>
    <row r="11113" spans="1:22" s="841" customFormat="1" ht="15" x14ac:dyDescent="0.25">
      <c r="A11113" s="841" t="s">
        <v>163</v>
      </c>
      <c r="E11113" s="2117" t="s">
        <v>3188</v>
      </c>
      <c r="F11113" s="2117"/>
      <c r="G11113" s="688" t="s">
        <v>23</v>
      </c>
      <c r="H11113" s="689" t="s">
        <v>3189</v>
      </c>
      <c r="M11113" s="1357"/>
      <c r="Q11113" s="1357"/>
      <c r="S11113" s="1420"/>
      <c r="T11113" s="1420"/>
      <c r="V11113" s="1357">
        <v>18</v>
      </c>
    </row>
    <row r="11114" spans="1:22" s="841" customFormat="1" ht="15" x14ac:dyDescent="0.25">
      <c r="A11114" s="841" t="s">
        <v>163</v>
      </c>
      <c r="E11114" s="2117" t="s">
        <v>3190</v>
      </c>
      <c r="F11114" s="2117"/>
      <c r="G11114" s="688" t="s">
        <v>23</v>
      </c>
      <c r="H11114" s="689">
        <v>2</v>
      </c>
      <c r="M11114" s="1357"/>
      <c r="Q11114" s="1357"/>
      <c r="S11114" s="1420"/>
      <c r="T11114" s="1420"/>
      <c r="V11114" s="1357">
        <v>69</v>
      </c>
    </row>
    <row r="11115" spans="1:22" s="841" customFormat="1" x14ac:dyDescent="0.25">
      <c r="A11115" s="841" t="s">
        <v>163</v>
      </c>
      <c r="E11115" s="1247" t="s">
        <v>147</v>
      </c>
      <c r="F11115" s="712"/>
      <c r="G11115" s="712"/>
      <c r="H11115" s="729"/>
      <c r="K11115" s="841" t="s">
        <v>4059</v>
      </c>
      <c r="M11115" s="1357"/>
      <c r="Q11115" s="1357"/>
      <c r="S11115" s="1420"/>
      <c r="T11115" s="1420"/>
      <c r="V11115" s="1357">
        <v>12</v>
      </c>
    </row>
    <row r="11116" spans="1:22" s="841" customFormat="1" ht="15" x14ac:dyDescent="0.25">
      <c r="A11116" s="841" t="s">
        <v>163</v>
      </c>
      <c r="E11116" s="1991" t="s">
        <v>3192</v>
      </c>
      <c r="F11116" s="1991"/>
      <c r="G11116" s="1991"/>
      <c r="H11116" s="1992"/>
      <c r="M11116" s="1357"/>
      <c r="Q11116" s="1357"/>
      <c r="S11116" s="1420"/>
      <c r="T11116" s="1420"/>
      <c r="V11116" s="1357">
        <v>203</v>
      </c>
    </row>
    <row r="11117" spans="1:22" s="841" customFormat="1" ht="15" x14ac:dyDescent="0.25">
      <c r="A11117" s="841" t="s">
        <v>163</v>
      </c>
      <c r="E11117" s="1993" t="s">
        <v>3295</v>
      </c>
      <c r="F11117" s="1993"/>
      <c r="G11117" s="1320"/>
      <c r="H11117" s="1319">
        <v>1.0392999999999999</v>
      </c>
      <c r="M11117" s="1357"/>
      <c r="Q11117" s="1357"/>
      <c r="S11117" s="1420"/>
      <c r="T11117" s="1420"/>
      <c r="V11117" s="1357">
        <v>57</v>
      </c>
    </row>
    <row r="11118" spans="1:22" s="841" customFormat="1" ht="15" x14ac:dyDescent="0.25">
      <c r="A11118" s="841" t="s">
        <v>163</v>
      </c>
      <c r="E11118" s="1993" t="s">
        <v>3296</v>
      </c>
      <c r="F11118" s="1993"/>
      <c r="G11118" s="1320"/>
      <c r="H11118" s="1319">
        <v>1.0187999999999999</v>
      </c>
      <c r="M11118" s="1357"/>
      <c r="Q11118" s="1357"/>
      <c r="S11118" s="1420"/>
      <c r="T11118" s="1420"/>
      <c r="V11118" s="1357">
        <v>57</v>
      </c>
    </row>
    <row r="11119" spans="1:22" s="841" customFormat="1" ht="15" x14ac:dyDescent="0.25">
      <c r="A11119" s="841" t="s">
        <v>163</v>
      </c>
      <c r="E11119" s="1993" t="s">
        <v>3297</v>
      </c>
      <c r="F11119" s="1993"/>
      <c r="G11119" s="1320"/>
      <c r="H11119" s="1319">
        <v>1.0288999999999999</v>
      </c>
      <c r="M11119" s="1357"/>
      <c r="Q11119" s="1357"/>
      <c r="S11119" s="1420"/>
      <c r="T11119" s="1420"/>
      <c r="V11119" s="1357">
        <v>55</v>
      </c>
    </row>
    <row r="11120" spans="1:22" s="841" customFormat="1" ht="15" x14ac:dyDescent="0.25">
      <c r="A11120" s="841" t="s">
        <v>163</v>
      </c>
      <c r="E11120" s="1993" t="s">
        <v>3298</v>
      </c>
      <c r="F11120" s="1993"/>
      <c r="G11120" s="1320"/>
      <c r="H11120" s="1319">
        <v>1.0085999999999999</v>
      </c>
      <c r="J11120" s="841" t="s">
        <v>4060</v>
      </c>
      <c r="M11120" s="1357"/>
      <c r="Q11120" s="1357"/>
      <c r="S11120" s="1420"/>
      <c r="T11120" s="1420"/>
      <c r="V11120" s="1357">
        <v>55</v>
      </c>
    </row>
    <row r="11121" spans="1:22" s="841" customFormat="1" ht="23.25" x14ac:dyDescent="0.25">
      <c r="A11121" s="841" t="s">
        <v>206</v>
      </c>
      <c r="C11121" s="841" t="s">
        <v>3050</v>
      </c>
      <c r="E11121" s="1911" t="s">
        <v>206</v>
      </c>
      <c r="F11121" s="1911"/>
      <c r="G11121" s="1911"/>
      <c r="H11121" s="1911"/>
      <c r="I11121" s="841" t="s">
        <v>628</v>
      </c>
      <c r="J11121" s="841" t="s">
        <v>4525</v>
      </c>
      <c r="K11121" s="841" t="s">
        <v>206</v>
      </c>
      <c r="M11121" s="1357">
        <v>8</v>
      </c>
      <c r="Q11121" s="1357"/>
      <c r="S11121" s="1420"/>
      <c r="T11121" s="1420"/>
      <c r="V11121" s="1357">
        <v>24</v>
      </c>
    </row>
    <row r="11122" spans="1:22" s="841" customFormat="1" x14ac:dyDescent="0.25">
      <c r="A11122" s="841" t="s">
        <v>206</v>
      </c>
      <c r="C11122" s="841" t="s">
        <v>3052</v>
      </c>
      <c r="E11122" s="1912" t="s">
        <v>3053</v>
      </c>
      <c r="F11122" s="1912"/>
      <c r="G11122" s="1912"/>
      <c r="H11122" s="1912"/>
      <c r="M11122" s="1357"/>
      <c r="Q11122" s="1357"/>
      <c r="S11122" s="1420"/>
      <c r="T11122" s="1420"/>
      <c r="V11122" s="1357">
        <v>27</v>
      </c>
    </row>
    <row r="11123" spans="1:22" s="841" customFormat="1" ht="15.75" x14ac:dyDescent="0.25">
      <c r="A11123" s="841" t="s">
        <v>206</v>
      </c>
      <c r="C11123" s="841" t="s">
        <v>3054</v>
      </c>
      <c r="E11123" s="1913" t="s">
        <v>5101</v>
      </c>
      <c r="F11123" s="1913"/>
      <c r="G11123" s="1913"/>
      <c r="H11123" s="1913"/>
      <c r="M11123" s="1357"/>
      <c r="Q11123" s="1357"/>
      <c r="S11123" s="1420">
        <v>43101</v>
      </c>
      <c r="T11123" s="1420"/>
      <c r="V11123" s="1357">
        <v>49</v>
      </c>
    </row>
    <row r="11124" spans="1:22" s="841" customFormat="1" ht="15" x14ac:dyDescent="0.25">
      <c r="A11124" s="841" t="s">
        <v>206</v>
      </c>
      <c r="C11124" s="841" t="s">
        <v>3055</v>
      </c>
      <c r="E11124" s="1914" t="s">
        <v>3056</v>
      </c>
      <c r="F11124" s="1914"/>
      <c r="G11124" s="1914"/>
      <c r="H11124" s="1914"/>
      <c r="M11124" s="1357"/>
      <c r="Q11124" s="1357"/>
      <c r="S11124" s="1420"/>
      <c r="T11124" s="1420"/>
      <c r="V11124" s="1357">
        <v>52</v>
      </c>
    </row>
    <row r="11125" spans="1:22" s="841" customFormat="1" ht="15" x14ac:dyDescent="0.25">
      <c r="A11125" s="841" t="s">
        <v>206</v>
      </c>
      <c r="E11125" s="1914" t="s">
        <v>3057</v>
      </c>
      <c r="F11125" s="1914"/>
      <c r="G11125" s="1914"/>
      <c r="H11125" s="1914"/>
      <c r="M11125" s="1357"/>
      <c r="Q11125" s="1357"/>
      <c r="S11125" s="1420"/>
      <c r="T11125" s="1420"/>
      <c r="V11125" s="1357">
        <v>53</v>
      </c>
    </row>
    <row r="11126" spans="1:22" s="841" customFormat="1" ht="15" x14ac:dyDescent="0.25">
      <c r="A11126" s="841" t="s">
        <v>206</v>
      </c>
      <c r="E11126" s="1925" t="s">
        <v>5807</v>
      </c>
      <c r="F11126" s="1925"/>
      <c r="G11126" s="1925"/>
      <c r="H11126" s="1925"/>
      <c r="K11126" s="841" t="s">
        <v>5807</v>
      </c>
      <c r="M11126" s="1357"/>
      <c r="Q11126" s="1357"/>
      <c r="S11126" s="1420"/>
      <c r="T11126" s="1420"/>
      <c r="V11126" s="1357">
        <v>12</v>
      </c>
    </row>
    <row r="11127" spans="1:22" s="841" customFormat="1" ht="15" x14ac:dyDescent="0.25">
      <c r="A11127" s="841" t="s">
        <v>206</v>
      </c>
      <c r="E11127" s="1909" t="s">
        <v>438</v>
      </c>
      <c r="F11127" s="1697"/>
      <c r="G11127" s="1697"/>
      <c r="H11127" s="1697"/>
      <c r="K11127" s="841" t="s">
        <v>3197</v>
      </c>
      <c r="M11127" s="1357"/>
      <c r="Q11127" s="1357"/>
      <c r="S11127" s="1420"/>
      <c r="T11127" s="1420"/>
      <c r="V11127" s="1357">
        <v>34</v>
      </c>
    </row>
    <row r="11128" spans="1:22" s="841" customFormat="1" ht="15" x14ac:dyDescent="0.25">
      <c r="A11128" s="841" t="s">
        <v>206</v>
      </c>
      <c r="E11128" s="1689" t="s">
        <v>4311</v>
      </c>
      <c r="F11128" s="1689"/>
      <c r="G11128" s="1689"/>
      <c r="H11128" s="1689"/>
      <c r="K11128" s="841" t="s">
        <v>3197</v>
      </c>
      <c r="M11128" s="1357"/>
      <c r="Q11128" s="1357"/>
      <c r="S11128" s="1420"/>
      <c r="T11128" s="1420"/>
      <c r="V11128" s="1357">
        <v>617</v>
      </c>
    </row>
    <row r="11129" spans="1:22" s="841" customFormat="1" ht="15" x14ac:dyDescent="0.25">
      <c r="A11129" s="841" t="s">
        <v>206</v>
      </c>
      <c r="E11129" s="1916" t="s">
        <v>3061</v>
      </c>
      <c r="F11129" s="1697"/>
      <c r="G11129" s="1697"/>
      <c r="H11129" s="1697"/>
      <c r="K11129" s="841" t="s">
        <v>3062</v>
      </c>
      <c r="M11129" s="1357"/>
      <c r="Q11129" s="1357"/>
      <c r="S11129" s="1420"/>
      <c r="T11129" s="1420"/>
      <c r="V11129" s="1357">
        <v>11</v>
      </c>
    </row>
    <row r="11130" spans="1:22" s="841" customFormat="1" ht="15" x14ac:dyDescent="0.25">
      <c r="A11130" s="841" t="s">
        <v>206</v>
      </c>
      <c r="E11130" s="1689" t="s">
        <v>3063</v>
      </c>
      <c r="F11130" s="1689"/>
      <c r="G11130" s="1689"/>
      <c r="H11130" s="1689"/>
      <c r="K11130" s="841" t="s">
        <v>3197</v>
      </c>
      <c r="M11130" s="1357"/>
      <c r="Q11130" s="1357"/>
      <c r="S11130" s="1420"/>
      <c r="T11130" s="1420"/>
      <c r="V11130" s="1357">
        <v>280</v>
      </c>
    </row>
    <row r="11131" spans="1:22" s="841" customFormat="1" ht="15" x14ac:dyDescent="0.25">
      <c r="A11131" s="841" t="s">
        <v>206</v>
      </c>
      <c r="E11131" s="1689" t="s">
        <v>3064</v>
      </c>
      <c r="F11131" s="1689"/>
      <c r="G11131" s="1689"/>
      <c r="H11131" s="1689"/>
      <c r="K11131" s="841" t="s">
        <v>3197</v>
      </c>
      <c r="M11131" s="1357"/>
      <c r="Q11131" s="1357"/>
      <c r="S11131" s="1420"/>
      <c r="T11131" s="1420"/>
      <c r="V11131" s="1357">
        <v>411</v>
      </c>
    </row>
    <row r="11132" spans="1:22" s="841" customFormat="1" ht="15" x14ac:dyDescent="0.25">
      <c r="A11132" s="841" t="s">
        <v>206</v>
      </c>
      <c r="E11132" s="1689" t="s">
        <v>3199</v>
      </c>
      <c r="F11132" s="1689"/>
      <c r="G11132" s="1689"/>
      <c r="H11132" s="1689"/>
      <c r="K11132" s="841" t="s">
        <v>3197</v>
      </c>
      <c r="M11132" s="1357"/>
      <c r="Q11132" s="1357"/>
      <c r="S11132" s="1420"/>
      <c r="T11132" s="1420"/>
      <c r="V11132" s="1357">
        <v>386</v>
      </c>
    </row>
    <row r="11133" spans="1:22" s="841" customFormat="1" ht="15" x14ac:dyDescent="0.25">
      <c r="A11133" s="841" t="s">
        <v>206</v>
      </c>
      <c r="E11133" s="1689" t="s">
        <v>4340</v>
      </c>
      <c r="F11133" s="1689"/>
      <c r="G11133" s="1689"/>
      <c r="H11133" s="1689"/>
      <c r="K11133" s="841" t="s">
        <v>3197</v>
      </c>
      <c r="M11133" s="1357"/>
      <c r="Q11133" s="1357"/>
      <c r="S11133" s="1420"/>
      <c r="T11133" s="1420"/>
      <c r="V11133" s="1357">
        <v>279</v>
      </c>
    </row>
    <row r="11134" spans="1:22" s="841" customFormat="1" ht="15" x14ac:dyDescent="0.25">
      <c r="A11134" s="841" t="s">
        <v>206</v>
      </c>
      <c r="E11134" s="1694" t="s">
        <v>3067</v>
      </c>
      <c r="F11134" s="1907"/>
      <c r="G11134" s="1907"/>
      <c r="H11134" s="1907"/>
      <c r="K11134" s="841" t="s">
        <v>3068</v>
      </c>
      <c r="M11134" s="1357"/>
      <c r="Q11134" s="1357"/>
      <c r="S11134" s="1420"/>
      <c r="T11134" s="1420"/>
      <c r="V11134" s="1357">
        <v>46</v>
      </c>
    </row>
    <row r="11135" spans="1:22" s="841" customFormat="1" ht="15" x14ac:dyDescent="0.25">
      <c r="A11135" s="841" t="s">
        <v>206</v>
      </c>
      <c r="E11135" s="1690" t="s">
        <v>11</v>
      </c>
      <c r="F11135" s="1690"/>
      <c r="G11135" s="1408" t="s">
        <v>23</v>
      </c>
      <c r="H11135" s="391">
        <v>19.32</v>
      </c>
      <c r="K11135" s="841" t="s">
        <v>3197</v>
      </c>
      <c r="L11135" s="841" t="s">
        <v>442</v>
      </c>
      <c r="M11135" s="1357"/>
      <c r="P11135" s="841" t="s">
        <v>3201</v>
      </c>
      <c r="Q11135" s="1357"/>
      <c r="S11135" s="1420"/>
      <c r="T11135" s="1420"/>
      <c r="V11135" s="1357">
        <v>14</v>
      </c>
    </row>
    <row r="11136" spans="1:22" s="841" customFormat="1" ht="15" x14ac:dyDescent="0.25">
      <c r="A11136" s="841" t="s">
        <v>206</v>
      </c>
      <c r="E11136" s="1690" t="s">
        <v>423</v>
      </c>
      <c r="F11136" s="1690"/>
      <c r="G11136" s="1408" t="s">
        <v>23</v>
      </c>
      <c r="H11136" s="391">
        <v>0.79</v>
      </c>
      <c r="K11136" s="841" t="s">
        <v>3197</v>
      </c>
      <c r="L11136" s="841" t="s">
        <v>443</v>
      </c>
      <c r="M11136" s="1357"/>
      <c r="P11136" s="841" t="s">
        <v>3202</v>
      </c>
      <c r="Q11136" s="1357"/>
      <c r="S11136" s="1420"/>
      <c r="T11136" s="1420">
        <v>43404</v>
      </c>
      <c r="V11136" s="1357">
        <v>78</v>
      </c>
    </row>
    <row r="11137" spans="1:22" s="841" customFormat="1" ht="15" x14ac:dyDescent="0.25">
      <c r="A11137" s="841" t="s">
        <v>206</v>
      </c>
      <c r="E11137" s="1690" t="s">
        <v>84</v>
      </c>
      <c r="F11137" s="1690"/>
      <c r="G11137" s="1408" t="s">
        <v>24</v>
      </c>
      <c r="H11137" s="393">
        <v>3.8999999999999998E-3</v>
      </c>
      <c r="K11137" s="841" t="s">
        <v>3197</v>
      </c>
      <c r="L11137" s="841" t="s">
        <v>442</v>
      </c>
      <c r="M11137" s="1357"/>
      <c r="P11137" s="841" t="s">
        <v>3203</v>
      </c>
      <c r="Q11137" s="1357"/>
      <c r="S11137" s="1420"/>
      <c r="T11137" s="1420"/>
      <c r="V11137" s="1357">
        <v>28</v>
      </c>
    </row>
    <row r="11138" spans="1:22" s="841" customFormat="1" ht="15" x14ac:dyDescent="0.25">
      <c r="A11138" s="841" t="s">
        <v>206</v>
      </c>
      <c r="E11138" s="1690" t="s">
        <v>18</v>
      </c>
      <c r="F11138" s="1690"/>
      <c r="G11138" s="1408" t="s">
        <v>24</v>
      </c>
      <c r="H11138" s="393">
        <v>1.4E-3</v>
      </c>
      <c r="K11138" s="841" t="s">
        <v>3197</v>
      </c>
      <c r="L11138" s="841" t="s">
        <v>443</v>
      </c>
      <c r="M11138" s="1357"/>
      <c r="P11138" s="841" t="s">
        <v>3204</v>
      </c>
      <c r="Q11138" s="1357"/>
      <c r="S11138" s="1420"/>
      <c r="T11138" s="1420"/>
      <c r="V11138" s="1357">
        <v>24</v>
      </c>
    </row>
    <row r="11139" spans="1:22" s="841" customFormat="1" ht="15" x14ac:dyDescent="0.25">
      <c r="A11139" s="841" t="s">
        <v>206</v>
      </c>
      <c r="E11139" s="1690" t="s">
        <v>221</v>
      </c>
      <c r="F11139" s="1690"/>
      <c r="G11139" s="1408" t="s">
        <v>24</v>
      </c>
      <c r="H11139" s="393">
        <v>6.1999999999999998E-3</v>
      </c>
      <c r="K11139" s="841" t="s">
        <v>3197</v>
      </c>
      <c r="L11139" s="841" t="s">
        <v>444</v>
      </c>
      <c r="M11139" s="1357"/>
      <c r="P11139" s="841" t="s">
        <v>3208</v>
      </c>
      <c r="Q11139" s="1357"/>
      <c r="S11139" s="1420"/>
      <c r="T11139" s="1420"/>
      <c r="V11139" s="1357">
        <v>47</v>
      </c>
    </row>
    <row r="11140" spans="1:22" s="841" customFormat="1" ht="15" x14ac:dyDescent="0.25">
      <c r="A11140" s="841" t="s">
        <v>206</v>
      </c>
      <c r="E11140" s="1690" t="s">
        <v>217</v>
      </c>
      <c r="F11140" s="1690"/>
      <c r="G11140" s="1408" t="s">
        <v>24</v>
      </c>
      <c r="H11140" s="393">
        <v>4.8999999999999998E-3</v>
      </c>
      <c r="K11140" s="841" t="s">
        <v>3197</v>
      </c>
      <c r="L11140" s="841" t="s">
        <v>444</v>
      </c>
      <c r="M11140" s="1357"/>
      <c r="P11140" s="841" t="s">
        <v>3209</v>
      </c>
      <c r="Q11140" s="1357"/>
      <c r="S11140" s="1420"/>
      <c r="T11140" s="1420"/>
      <c r="V11140" s="1357">
        <v>74</v>
      </c>
    </row>
    <row r="11141" spans="1:22" s="841" customFormat="1" ht="15" x14ac:dyDescent="0.25">
      <c r="A11141" s="841" t="s">
        <v>206</v>
      </c>
      <c r="E11141" s="1694" t="s">
        <v>3079</v>
      </c>
      <c r="F11141" s="1690"/>
      <c r="G11141" s="1408"/>
      <c r="H11141" s="1408"/>
      <c r="K11141" s="841" t="s">
        <v>3080</v>
      </c>
      <c r="M11141" s="1357"/>
      <c r="Q11141" s="1357"/>
      <c r="S11141" s="1420"/>
      <c r="T11141" s="1420"/>
      <c r="V11141" s="1357">
        <v>48</v>
      </c>
    </row>
    <row r="11142" spans="1:22" s="841" customFormat="1" ht="15" x14ac:dyDescent="0.25">
      <c r="A11142" s="841" t="s">
        <v>206</v>
      </c>
      <c r="E11142" s="1690" t="s">
        <v>2449</v>
      </c>
      <c r="F11142" s="1690"/>
      <c r="G11142" s="1408" t="s">
        <v>24</v>
      </c>
      <c r="H11142" s="393">
        <v>3.2000000000000002E-3</v>
      </c>
      <c r="K11142" s="841" t="s">
        <v>3197</v>
      </c>
      <c r="L11142" s="841" t="s">
        <v>3046</v>
      </c>
      <c r="M11142" s="1357"/>
      <c r="P11142" s="841" t="s">
        <v>3210</v>
      </c>
      <c r="Q11142" s="1357"/>
      <c r="S11142" s="1420"/>
      <c r="T11142" s="1420"/>
      <c r="V11142" s="1357">
        <v>55</v>
      </c>
    </row>
    <row r="11143" spans="1:22" s="841" customFormat="1" ht="15" x14ac:dyDescent="0.25">
      <c r="A11143" s="841" t="s">
        <v>206</v>
      </c>
      <c r="E11143" s="1920" t="s">
        <v>2450</v>
      </c>
      <c r="F11143" s="1690"/>
      <c r="G11143" s="1408" t="s">
        <v>24</v>
      </c>
      <c r="H11143" s="393">
        <v>4.0000000000000002E-4</v>
      </c>
      <c r="K11143" s="841" t="s">
        <v>3197</v>
      </c>
      <c r="L11143" s="841" t="s">
        <v>3046</v>
      </c>
      <c r="M11143" s="1357"/>
      <c r="P11143" s="841" t="s">
        <v>3210</v>
      </c>
      <c r="Q11143" s="1357"/>
      <c r="S11143" s="1420"/>
      <c r="T11143" s="1420"/>
      <c r="V11143" s="1357">
        <v>65</v>
      </c>
    </row>
    <row r="11144" spans="1:22" s="841" customFormat="1" ht="15" x14ac:dyDescent="0.25">
      <c r="A11144" s="841" t="s">
        <v>206</v>
      </c>
      <c r="E11144" s="1690" t="s">
        <v>439</v>
      </c>
      <c r="F11144" s="1690"/>
      <c r="G11144" s="1408" t="s">
        <v>24</v>
      </c>
      <c r="H11144" s="393">
        <v>2.9999999999999997E-4</v>
      </c>
      <c r="K11144" s="841" t="s">
        <v>3197</v>
      </c>
      <c r="L11144" s="841" t="s">
        <v>3046</v>
      </c>
      <c r="M11144" s="1357"/>
      <c r="P11144" s="841" t="s">
        <v>3212</v>
      </c>
      <c r="Q11144" s="1357"/>
      <c r="S11144" s="1420"/>
      <c r="T11144" s="1420"/>
      <c r="V11144" s="1357">
        <v>57</v>
      </c>
    </row>
    <row r="11145" spans="1:22" s="841" customFormat="1" ht="15" x14ac:dyDescent="0.25">
      <c r="A11145" s="841" t="s">
        <v>206</v>
      </c>
      <c r="E11145" s="1690" t="s">
        <v>32</v>
      </c>
      <c r="F11145" s="1690"/>
      <c r="G11145" s="1408" t="s">
        <v>23</v>
      </c>
      <c r="H11145" s="391">
        <v>0.25</v>
      </c>
      <c r="K11145" s="841" t="s">
        <v>3197</v>
      </c>
      <c r="L11145" s="841" t="s">
        <v>3046</v>
      </c>
      <c r="M11145" s="1357"/>
      <c r="P11145" s="841" t="s">
        <v>3213</v>
      </c>
      <c r="Q11145" s="1357"/>
      <c r="S11145" s="1420"/>
      <c r="T11145" s="1420"/>
      <c r="V11145" s="1357">
        <v>63</v>
      </c>
    </row>
    <row r="11146" spans="1:22" s="841" customFormat="1" x14ac:dyDescent="0.25">
      <c r="A11146" s="841" t="s">
        <v>206</v>
      </c>
      <c r="E11146" s="1909" t="s">
        <v>3214</v>
      </c>
      <c r="F11146" s="1915"/>
      <c r="G11146" s="1915"/>
      <c r="H11146" s="1915"/>
      <c r="K11146" s="841" t="s">
        <v>5110</v>
      </c>
      <c r="M11146" s="1357"/>
      <c r="Q11146" s="1357"/>
      <c r="S11146" s="1420"/>
      <c r="T11146" s="1420"/>
      <c r="V11146" s="1357">
        <v>54</v>
      </c>
    </row>
    <row r="11147" spans="1:22" s="841" customFormat="1" ht="15" x14ac:dyDescent="0.25">
      <c r="A11147" s="841" t="s">
        <v>206</v>
      </c>
      <c r="E11147" s="1689" t="s">
        <v>3546</v>
      </c>
      <c r="F11147" s="1689"/>
      <c r="G11147" s="1689"/>
      <c r="H11147" s="1689"/>
      <c r="K11147" s="841" t="s">
        <v>5110</v>
      </c>
      <c r="M11147" s="1357"/>
      <c r="Q11147" s="1357"/>
      <c r="S11147" s="1420"/>
      <c r="T11147" s="1420"/>
      <c r="V11147" s="1357">
        <v>331</v>
      </c>
    </row>
    <row r="11148" spans="1:22" s="841" customFormat="1" ht="15" x14ac:dyDescent="0.25">
      <c r="A11148" s="841" t="s">
        <v>206</v>
      </c>
      <c r="E11148" s="1916" t="s">
        <v>3061</v>
      </c>
      <c r="F11148" s="1697"/>
      <c r="G11148" s="1697"/>
      <c r="H11148" s="1697"/>
      <c r="K11148" s="841" t="s">
        <v>3086</v>
      </c>
      <c r="M11148" s="1357"/>
      <c r="Q11148" s="1357"/>
      <c r="S11148" s="1420"/>
      <c r="T11148" s="1420"/>
      <c r="V11148" s="1357">
        <v>11</v>
      </c>
    </row>
    <row r="11149" spans="1:22" s="841" customFormat="1" ht="15" x14ac:dyDescent="0.25">
      <c r="A11149" s="841" t="s">
        <v>206</v>
      </c>
      <c r="E11149" s="1689" t="s">
        <v>3063</v>
      </c>
      <c r="F11149" s="1689"/>
      <c r="G11149" s="1689"/>
      <c r="H11149" s="1689"/>
      <c r="K11149" s="841" t="s">
        <v>5110</v>
      </c>
      <c r="M11149" s="1357"/>
      <c r="Q11149" s="1357"/>
      <c r="S11149" s="1420"/>
      <c r="T11149" s="1420"/>
      <c r="V11149" s="1357">
        <v>280</v>
      </c>
    </row>
    <row r="11150" spans="1:22" s="841" customFormat="1" ht="15" x14ac:dyDescent="0.25">
      <c r="A11150" s="841" t="s">
        <v>206</v>
      </c>
      <c r="E11150" s="1689" t="s">
        <v>3064</v>
      </c>
      <c r="F11150" s="1689"/>
      <c r="G11150" s="1689"/>
      <c r="H11150" s="1689"/>
      <c r="K11150" s="841" t="s">
        <v>5110</v>
      </c>
      <c r="M11150" s="1357"/>
      <c r="Q11150" s="1357"/>
      <c r="S11150" s="1420"/>
      <c r="T11150" s="1420"/>
      <c r="V11150" s="1357">
        <v>411</v>
      </c>
    </row>
    <row r="11151" spans="1:22" s="841" customFormat="1" ht="15" x14ac:dyDescent="0.25">
      <c r="A11151" s="841" t="s">
        <v>206</v>
      </c>
      <c r="E11151" s="1689" t="s">
        <v>3199</v>
      </c>
      <c r="F11151" s="1689"/>
      <c r="G11151" s="1689"/>
      <c r="H11151" s="1689"/>
      <c r="K11151" s="841" t="s">
        <v>5110</v>
      </c>
      <c r="M11151" s="1357"/>
      <c r="Q11151" s="1357"/>
      <c r="S11151" s="1420"/>
      <c r="T11151" s="1420"/>
      <c r="V11151" s="1357">
        <v>386</v>
      </c>
    </row>
    <row r="11152" spans="1:22" s="841" customFormat="1" ht="15" x14ac:dyDescent="0.25">
      <c r="A11152" s="841" t="s">
        <v>206</v>
      </c>
      <c r="E11152" s="1689" t="s">
        <v>4340</v>
      </c>
      <c r="F11152" s="1689"/>
      <c r="G11152" s="1689"/>
      <c r="H11152" s="1689"/>
      <c r="K11152" s="841" t="s">
        <v>5110</v>
      </c>
      <c r="M11152" s="1357"/>
      <c r="Q11152" s="1357"/>
      <c r="S11152" s="1420"/>
      <c r="T11152" s="1420"/>
      <c r="V11152" s="1357">
        <v>279</v>
      </c>
    </row>
    <row r="11153" spans="1:22" s="841" customFormat="1" ht="15" x14ac:dyDescent="0.25">
      <c r="A11153" s="841" t="s">
        <v>206</v>
      </c>
      <c r="E11153" s="1694" t="s">
        <v>3067</v>
      </c>
      <c r="F11153" s="1907"/>
      <c r="G11153" s="1907"/>
      <c r="H11153" s="1907"/>
      <c r="K11153" s="841" t="s">
        <v>3087</v>
      </c>
      <c r="M11153" s="1357"/>
      <c r="Q11153" s="1357"/>
      <c r="S11153" s="1420"/>
      <c r="T11153" s="1420"/>
      <c r="V11153" s="1357">
        <v>46</v>
      </c>
    </row>
    <row r="11154" spans="1:22" s="841" customFormat="1" ht="15" x14ac:dyDescent="0.25">
      <c r="A11154" s="841" t="s">
        <v>206</v>
      </c>
      <c r="E11154" s="1690" t="s">
        <v>11</v>
      </c>
      <c r="F11154" s="1690"/>
      <c r="G11154" s="1408" t="s">
        <v>23</v>
      </c>
      <c r="H11154" s="391">
        <v>24.21</v>
      </c>
      <c r="K11154" s="841" t="s">
        <v>5110</v>
      </c>
      <c r="L11154" s="841" t="s">
        <v>442</v>
      </c>
      <c r="M11154" s="1357"/>
      <c r="P11154" s="841" t="s">
        <v>5111</v>
      </c>
      <c r="Q11154" s="1357"/>
      <c r="S11154" s="1420"/>
      <c r="T11154" s="1420"/>
      <c r="V11154" s="1357">
        <v>14</v>
      </c>
    </row>
    <row r="11155" spans="1:22" s="841" customFormat="1" ht="15" x14ac:dyDescent="0.25">
      <c r="A11155" s="841" t="s">
        <v>206</v>
      </c>
      <c r="E11155" s="1690" t="s">
        <v>423</v>
      </c>
      <c r="F11155" s="1690"/>
      <c r="G11155" s="1408" t="s">
        <v>23</v>
      </c>
      <c r="H11155" s="391">
        <v>0.79</v>
      </c>
      <c r="K11155" s="841" t="s">
        <v>5110</v>
      </c>
      <c r="L11155" s="841" t="s">
        <v>443</v>
      </c>
      <c r="M11155" s="1357"/>
      <c r="P11155" s="841" t="s">
        <v>5112</v>
      </c>
      <c r="Q11155" s="1357"/>
      <c r="S11155" s="1420"/>
      <c r="T11155" s="1420">
        <v>43404</v>
      </c>
      <c r="V11155" s="1357">
        <v>78</v>
      </c>
    </row>
    <row r="11156" spans="1:22" s="841" customFormat="1" ht="15" x14ac:dyDescent="0.25">
      <c r="A11156" s="841" t="s">
        <v>206</v>
      </c>
      <c r="E11156" s="1690" t="s">
        <v>84</v>
      </c>
      <c r="F11156" s="1690"/>
      <c r="G11156" s="1408" t="s">
        <v>24</v>
      </c>
      <c r="H11156" s="393">
        <v>8.3000000000000001E-3</v>
      </c>
      <c r="K11156" s="841" t="s">
        <v>5110</v>
      </c>
      <c r="L11156" s="841" t="s">
        <v>442</v>
      </c>
      <c r="M11156" s="1357"/>
      <c r="P11156" s="841" t="s">
        <v>5113</v>
      </c>
      <c r="Q11156" s="1357"/>
      <c r="S11156" s="1420"/>
      <c r="T11156" s="1420"/>
      <c r="V11156" s="1357">
        <v>28</v>
      </c>
    </row>
    <row r="11157" spans="1:22" s="841" customFormat="1" ht="15" x14ac:dyDescent="0.25">
      <c r="A11157" s="841" t="s">
        <v>206</v>
      </c>
      <c r="E11157" s="1690" t="s">
        <v>18</v>
      </c>
      <c r="F11157" s="1690"/>
      <c r="G11157" s="1408" t="s">
        <v>24</v>
      </c>
      <c r="H11157" s="393">
        <v>1.1999999999999999E-3</v>
      </c>
      <c r="K11157" s="841" t="s">
        <v>5110</v>
      </c>
      <c r="L11157" s="841" t="s">
        <v>443</v>
      </c>
      <c r="M11157" s="1357"/>
      <c r="P11157" s="841" t="s">
        <v>5114</v>
      </c>
      <c r="Q11157" s="1357"/>
      <c r="S11157" s="1420"/>
      <c r="T11157" s="1420"/>
      <c r="V11157" s="1357">
        <v>24</v>
      </c>
    </row>
    <row r="11158" spans="1:22" s="841" customFormat="1" ht="15" x14ac:dyDescent="0.25">
      <c r="A11158" s="841" t="s">
        <v>206</v>
      </c>
      <c r="E11158" s="1690" t="s">
        <v>221</v>
      </c>
      <c r="F11158" s="1690"/>
      <c r="G11158" s="1408" t="s">
        <v>24</v>
      </c>
      <c r="H11158" s="393">
        <v>5.7000000000000002E-3</v>
      </c>
      <c r="K11158" s="841" t="s">
        <v>5110</v>
      </c>
      <c r="L11158" s="841" t="s">
        <v>444</v>
      </c>
      <c r="M11158" s="1357"/>
      <c r="P11158" s="841" t="s">
        <v>5115</v>
      </c>
      <c r="Q11158" s="1357"/>
      <c r="S11158" s="1420"/>
      <c r="T11158" s="1420"/>
      <c r="V11158" s="1357">
        <v>47</v>
      </c>
    </row>
    <row r="11159" spans="1:22" s="841" customFormat="1" ht="15" x14ac:dyDescent="0.25">
      <c r="A11159" s="841" t="s">
        <v>206</v>
      </c>
      <c r="E11159" s="1690" t="s">
        <v>217</v>
      </c>
      <c r="F11159" s="1690"/>
      <c r="G11159" s="1408" t="s">
        <v>24</v>
      </c>
      <c r="H11159" s="393">
        <v>4.4000000000000003E-3</v>
      </c>
      <c r="K11159" s="841" t="s">
        <v>5110</v>
      </c>
      <c r="L11159" s="841" t="s">
        <v>444</v>
      </c>
      <c r="M11159" s="1357"/>
      <c r="P11159" s="841" t="s">
        <v>5116</v>
      </c>
      <c r="Q11159" s="1357"/>
      <c r="S11159" s="1420"/>
      <c r="T11159" s="1420"/>
      <c r="V11159" s="1357">
        <v>74</v>
      </c>
    </row>
    <row r="11160" spans="1:22" s="841" customFormat="1" ht="15" x14ac:dyDescent="0.25">
      <c r="A11160" s="841" t="s">
        <v>206</v>
      </c>
      <c r="E11160" s="1694" t="s">
        <v>3079</v>
      </c>
      <c r="F11160" s="1690"/>
      <c r="G11160" s="1408"/>
      <c r="H11160" s="1408"/>
      <c r="K11160" s="841" t="s">
        <v>3093</v>
      </c>
      <c r="M11160" s="1357"/>
      <c r="Q11160" s="1357"/>
      <c r="S11160" s="1420"/>
      <c r="T11160" s="1420"/>
      <c r="V11160" s="1357">
        <v>48</v>
      </c>
    </row>
    <row r="11161" spans="1:22" s="841" customFormat="1" ht="15" x14ac:dyDescent="0.25">
      <c r="A11161" s="841" t="s">
        <v>206</v>
      </c>
      <c r="E11161" s="1690" t="s">
        <v>2449</v>
      </c>
      <c r="F11161" s="1690"/>
      <c r="G11161" s="1408" t="s">
        <v>24</v>
      </c>
      <c r="H11161" s="393">
        <v>3.2000000000000002E-3</v>
      </c>
      <c r="K11161" s="841" t="s">
        <v>5110</v>
      </c>
      <c r="L11161" s="841" t="s">
        <v>3046</v>
      </c>
      <c r="M11161" s="1357"/>
      <c r="P11161" s="841" t="s">
        <v>5117</v>
      </c>
      <c r="Q11161" s="1357"/>
      <c r="S11161" s="1420"/>
      <c r="T11161" s="1420"/>
      <c r="V11161" s="1357">
        <v>55</v>
      </c>
    </row>
    <row r="11162" spans="1:22" s="841" customFormat="1" ht="15" x14ac:dyDescent="0.25">
      <c r="A11162" s="841" t="s">
        <v>206</v>
      </c>
      <c r="E11162" s="1920" t="s">
        <v>2450</v>
      </c>
      <c r="F11162" s="1690"/>
      <c r="G11162" s="1408" t="s">
        <v>24</v>
      </c>
      <c r="H11162" s="393">
        <v>4.0000000000000002E-4</v>
      </c>
      <c r="K11162" s="841" t="s">
        <v>5110</v>
      </c>
      <c r="L11162" s="841" t="s">
        <v>3046</v>
      </c>
      <c r="M11162" s="1357"/>
      <c r="P11162" s="841" t="s">
        <v>5117</v>
      </c>
      <c r="Q11162" s="1357"/>
      <c r="S11162" s="1420"/>
      <c r="T11162" s="1420"/>
      <c r="V11162" s="1357">
        <v>65</v>
      </c>
    </row>
    <row r="11163" spans="1:22" s="841" customFormat="1" ht="15" x14ac:dyDescent="0.25">
      <c r="A11163" s="841" t="s">
        <v>206</v>
      </c>
      <c r="E11163" s="1690" t="s">
        <v>439</v>
      </c>
      <c r="F11163" s="1690"/>
      <c r="G11163" s="1408" t="s">
        <v>24</v>
      </c>
      <c r="H11163" s="393">
        <v>2.9999999999999997E-4</v>
      </c>
      <c r="K11163" s="841" t="s">
        <v>5110</v>
      </c>
      <c r="L11163" s="841" t="s">
        <v>3046</v>
      </c>
      <c r="M11163" s="1357"/>
      <c r="P11163" s="841" t="s">
        <v>5118</v>
      </c>
      <c r="Q11163" s="1357"/>
      <c r="S11163" s="1420"/>
      <c r="T11163" s="1420"/>
      <c r="V11163" s="1357">
        <v>57</v>
      </c>
    </row>
    <row r="11164" spans="1:22" s="841" customFormat="1" ht="15" x14ac:dyDescent="0.25">
      <c r="A11164" s="841" t="s">
        <v>206</v>
      </c>
      <c r="E11164" s="1690" t="s">
        <v>32</v>
      </c>
      <c r="F11164" s="1690"/>
      <c r="G11164" s="1408" t="s">
        <v>23</v>
      </c>
      <c r="H11164" s="391">
        <v>0.25</v>
      </c>
      <c r="K11164" s="841" t="s">
        <v>5110</v>
      </c>
      <c r="L11164" s="841" t="s">
        <v>3046</v>
      </c>
      <c r="M11164" s="1357"/>
      <c r="P11164" s="841" t="s">
        <v>5119</v>
      </c>
      <c r="Q11164" s="1357"/>
      <c r="S11164" s="1420"/>
      <c r="T11164" s="1420"/>
      <c r="V11164" s="1357">
        <v>63</v>
      </c>
    </row>
    <row r="11165" spans="1:22" s="841" customFormat="1" x14ac:dyDescent="0.25">
      <c r="A11165" s="841" t="s">
        <v>206</v>
      </c>
      <c r="E11165" s="1909" t="s">
        <v>637</v>
      </c>
      <c r="F11165" s="1915"/>
      <c r="G11165" s="1915"/>
      <c r="H11165" s="1915"/>
      <c r="K11165" s="841" t="s">
        <v>3439</v>
      </c>
      <c r="M11165" s="1357"/>
      <c r="Q11165" s="1357"/>
      <c r="S11165" s="1420"/>
      <c r="T11165" s="1420"/>
      <c r="V11165" s="1357">
        <v>53</v>
      </c>
    </row>
    <row r="11166" spans="1:22" s="841" customFormat="1" ht="15" x14ac:dyDescent="0.25">
      <c r="A11166" s="841" t="s">
        <v>206</v>
      </c>
      <c r="E11166" s="1689" t="s">
        <v>4324</v>
      </c>
      <c r="F11166" s="1689"/>
      <c r="G11166" s="1689"/>
      <c r="H11166" s="1689"/>
      <c r="K11166" s="841" t="s">
        <v>3439</v>
      </c>
      <c r="M11166" s="1357"/>
      <c r="Q11166" s="1357"/>
      <c r="S11166" s="1420"/>
      <c r="T11166" s="1420"/>
      <c r="V11166" s="1357">
        <v>356</v>
      </c>
    </row>
    <row r="11167" spans="1:22" s="841" customFormat="1" ht="15" x14ac:dyDescent="0.25">
      <c r="A11167" s="841" t="s">
        <v>206</v>
      </c>
      <c r="E11167" s="1916" t="s">
        <v>3061</v>
      </c>
      <c r="F11167" s="1697"/>
      <c r="G11167" s="1697"/>
      <c r="H11167" s="1697"/>
      <c r="K11167" s="841" t="s">
        <v>3098</v>
      </c>
      <c r="M11167" s="1357"/>
      <c r="Q11167" s="1357"/>
      <c r="S11167" s="1420"/>
      <c r="T11167" s="1420"/>
      <c r="V11167" s="1357">
        <v>11</v>
      </c>
    </row>
    <row r="11168" spans="1:22" s="841" customFormat="1" ht="15" x14ac:dyDescent="0.25">
      <c r="A11168" s="841" t="s">
        <v>206</v>
      </c>
      <c r="E11168" s="1689" t="s">
        <v>3063</v>
      </c>
      <c r="F11168" s="1689"/>
      <c r="G11168" s="1689"/>
      <c r="H11168" s="1689"/>
      <c r="K11168" s="841" t="s">
        <v>3439</v>
      </c>
      <c r="M11168" s="1357"/>
      <c r="Q11168" s="1357"/>
      <c r="S11168" s="1420"/>
      <c r="T11168" s="1420"/>
      <c r="V11168" s="1357">
        <v>280</v>
      </c>
    </row>
    <row r="11169" spans="1:22" s="841" customFormat="1" ht="15" x14ac:dyDescent="0.25">
      <c r="A11169" s="841" t="s">
        <v>206</v>
      </c>
      <c r="E11169" s="1689" t="s">
        <v>3064</v>
      </c>
      <c r="F11169" s="1689"/>
      <c r="G11169" s="1689"/>
      <c r="H11169" s="1689"/>
      <c r="K11169" s="841" t="s">
        <v>3439</v>
      </c>
      <c r="M11169" s="1357"/>
      <c r="Q11169" s="1357"/>
      <c r="S11169" s="1420"/>
      <c r="T11169" s="1420"/>
      <c r="V11169" s="1357">
        <v>411</v>
      </c>
    </row>
    <row r="11170" spans="1:22" s="841" customFormat="1" ht="15" x14ac:dyDescent="0.25">
      <c r="A11170" s="841" t="s">
        <v>206</v>
      </c>
      <c r="E11170" s="1689" t="s">
        <v>3199</v>
      </c>
      <c r="F11170" s="1689"/>
      <c r="G11170" s="1689"/>
      <c r="H11170" s="1689"/>
      <c r="K11170" s="841" t="s">
        <v>3439</v>
      </c>
      <c r="M11170" s="1357"/>
      <c r="Q11170" s="1357"/>
      <c r="S11170" s="1420"/>
      <c r="T11170" s="1420"/>
      <c r="V11170" s="1357">
        <v>386</v>
      </c>
    </row>
    <row r="11171" spans="1:22" s="841" customFormat="1" ht="15" x14ac:dyDescent="0.25">
      <c r="A11171" s="841" t="s">
        <v>206</v>
      </c>
      <c r="E11171" s="1689" t="s">
        <v>3223</v>
      </c>
      <c r="F11171" s="1689"/>
      <c r="G11171" s="1689"/>
      <c r="H11171" s="1689"/>
      <c r="K11171" s="841" t="s">
        <v>3439</v>
      </c>
      <c r="M11171" s="1357"/>
      <c r="Q11171" s="1357"/>
      <c r="S11171" s="1420"/>
      <c r="T11171" s="1420"/>
      <c r="V11171" s="1357">
        <v>626</v>
      </c>
    </row>
    <row r="11172" spans="1:22" s="841" customFormat="1" ht="15" x14ac:dyDescent="0.25">
      <c r="A11172" s="841" t="s">
        <v>206</v>
      </c>
      <c r="E11172" s="1689" t="s">
        <v>4340</v>
      </c>
      <c r="F11172" s="1689"/>
      <c r="G11172" s="1689"/>
      <c r="H11172" s="1689"/>
      <c r="K11172" s="841" t="s">
        <v>3439</v>
      </c>
      <c r="M11172" s="1357"/>
      <c r="Q11172" s="1357"/>
      <c r="S11172" s="1420"/>
      <c r="T11172" s="1420"/>
      <c r="V11172" s="1357">
        <v>279</v>
      </c>
    </row>
    <row r="11173" spans="1:22" s="841" customFormat="1" ht="15" x14ac:dyDescent="0.25">
      <c r="A11173" s="841" t="s">
        <v>206</v>
      </c>
      <c r="E11173" s="1694" t="s">
        <v>3067</v>
      </c>
      <c r="F11173" s="1907"/>
      <c r="G11173" s="1907"/>
      <c r="H11173" s="1907"/>
      <c r="K11173" s="841" t="s">
        <v>3099</v>
      </c>
      <c r="M11173" s="1357"/>
      <c r="Q11173" s="1357"/>
      <c r="S11173" s="1420"/>
      <c r="T11173" s="1420"/>
      <c r="V11173" s="1357">
        <v>46</v>
      </c>
    </row>
    <row r="11174" spans="1:22" s="841" customFormat="1" ht="15" x14ac:dyDescent="0.25">
      <c r="A11174" s="841" t="s">
        <v>206</v>
      </c>
      <c r="E11174" s="1690" t="s">
        <v>11</v>
      </c>
      <c r="F11174" s="1690"/>
      <c r="G11174" s="1408" t="s">
        <v>23</v>
      </c>
      <c r="H11174" s="391">
        <v>85.07</v>
      </c>
      <c r="K11174" s="841" t="s">
        <v>3439</v>
      </c>
      <c r="L11174" s="841" t="s">
        <v>442</v>
      </c>
      <c r="M11174" s="1357"/>
      <c r="P11174" s="841" t="s">
        <v>3440</v>
      </c>
      <c r="Q11174" s="1357"/>
      <c r="S11174" s="1420"/>
      <c r="T11174" s="1420"/>
      <c r="V11174" s="1357">
        <v>14</v>
      </c>
    </row>
    <row r="11175" spans="1:22" s="841" customFormat="1" ht="15" x14ac:dyDescent="0.25">
      <c r="A11175" s="841" t="s">
        <v>206</v>
      </c>
      <c r="E11175" s="1690" t="s">
        <v>84</v>
      </c>
      <c r="F11175" s="1690"/>
      <c r="G11175" s="1408" t="s">
        <v>33</v>
      </c>
      <c r="H11175" s="393">
        <v>3.4089</v>
      </c>
      <c r="K11175" s="841" t="s">
        <v>3439</v>
      </c>
      <c r="L11175" s="841" t="s">
        <v>442</v>
      </c>
      <c r="M11175" s="1357"/>
      <c r="P11175" s="841" t="s">
        <v>3441</v>
      </c>
      <c r="Q11175" s="1357"/>
      <c r="S11175" s="1420"/>
      <c r="T11175" s="1420"/>
      <c r="V11175" s="1357">
        <v>28</v>
      </c>
    </row>
    <row r="11176" spans="1:22" s="841" customFormat="1" ht="15" x14ac:dyDescent="0.25">
      <c r="A11176" s="841" t="s">
        <v>206</v>
      </c>
      <c r="E11176" s="1690" t="s">
        <v>18</v>
      </c>
      <c r="F11176" s="1690"/>
      <c r="G11176" s="1408" t="s">
        <v>33</v>
      </c>
      <c r="H11176" s="393">
        <v>0.49330000000000002</v>
      </c>
      <c r="K11176" s="841" t="s">
        <v>3439</v>
      </c>
      <c r="L11176" s="841" t="s">
        <v>443</v>
      </c>
      <c r="M11176" s="1357"/>
      <c r="P11176" s="841" t="s">
        <v>3442</v>
      </c>
      <c r="Q11176" s="1357"/>
      <c r="S11176" s="1420"/>
      <c r="T11176" s="1420"/>
      <c r="V11176" s="1357">
        <v>24</v>
      </c>
    </row>
    <row r="11177" spans="1:22" s="841" customFormat="1" ht="15" x14ac:dyDescent="0.25">
      <c r="A11177" s="841" t="s">
        <v>206</v>
      </c>
      <c r="E11177" s="1690" t="s">
        <v>221</v>
      </c>
      <c r="F11177" s="1690"/>
      <c r="G11177" s="1408" t="s">
        <v>33</v>
      </c>
      <c r="H11177" s="393">
        <v>2.2734999999999999</v>
      </c>
      <c r="K11177" s="841" t="s">
        <v>3439</v>
      </c>
      <c r="L11177" s="841" t="s">
        <v>444</v>
      </c>
      <c r="M11177" s="1357"/>
      <c r="P11177" s="841" t="s">
        <v>3443</v>
      </c>
      <c r="Q11177" s="1357"/>
      <c r="S11177" s="1420"/>
      <c r="T11177" s="1420"/>
      <c r="V11177" s="1357">
        <v>47</v>
      </c>
    </row>
    <row r="11178" spans="1:22" s="841" customFormat="1" ht="15" x14ac:dyDescent="0.25">
      <c r="A11178" s="841" t="s">
        <v>206</v>
      </c>
      <c r="E11178" s="1690" t="s">
        <v>217</v>
      </c>
      <c r="F11178" s="1690"/>
      <c r="G11178" s="1408" t="s">
        <v>33</v>
      </c>
      <c r="H11178" s="393">
        <v>1.7799</v>
      </c>
      <c r="K11178" s="841" t="s">
        <v>3439</v>
      </c>
      <c r="L11178" s="841" t="s">
        <v>444</v>
      </c>
      <c r="M11178" s="1357"/>
      <c r="P11178" s="841" t="s">
        <v>3444</v>
      </c>
      <c r="Q11178" s="1357"/>
      <c r="S11178" s="1420"/>
      <c r="T11178" s="1420"/>
      <c r="V11178" s="1357">
        <v>74</v>
      </c>
    </row>
    <row r="11179" spans="1:22" s="841" customFormat="1" ht="15" x14ac:dyDescent="0.25">
      <c r="A11179" s="841" t="s">
        <v>206</v>
      </c>
      <c r="E11179" s="1694" t="s">
        <v>3079</v>
      </c>
      <c r="F11179" s="1690"/>
      <c r="G11179" s="1408"/>
      <c r="H11179" s="1408"/>
      <c r="K11179" s="841" t="s">
        <v>3218</v>
      </c>
      <c r="M11179" s="1357"/>
      <c r="Q11179" s="1357"/>
      <c r="S11179" s="1420"/>
      <c r="T11179" s="1420"/>
      <c r="V11179" s="1357">
        <v>48</v>
      </c>
    </row>
    <row r="11180" spans="1:22" s="841" customFormat="1" ht="15" x14ac:dyDescent="0.25">
      <c r="A11180" s="841" t="s">
        <v>206</v>
      </c>
      <c r="E11180" s="1690" t="s">
        <v>2449</v>
      </c>
      <c r="F11180" s="1690"/>
      <c r="G11180" s="1408" t="s">
        <v>24</v>
      </c>
      <c r="H11180" s="393">
        <v>3.2000000000000002E-3</v>
      </c>
      <c r="K11180" s="841" t="s">
        <v>3439</v>
      </c>
      <c r="L11180" s="841" t="s">
        <v>3046</v>
      </c>
      <c r="M11180" s="1357"/>
      <c r="P11180" s="841" t="s">
        <v>3445</v>
      </c>
      <c r="Q11180" s="1357"/>
      <c r="S11180" s="1420"/>
      <c r="T11180" s="1420"/>
      <c r="V11180" s="1357">
        <v>55</v>
      </c>
    </row>
    <row r="11181" spans="1:22" s="841" customFormat="1" ht="15" x14ac:dyDescent="0.25">
      <c r="A11181" s="841" t="s">
        <v>206</v>
      </c>
      <c r="E11181" s="1920" t="s">
        <v>2450</v>
      </c>
      <c r="F11181" s="1690"/>
      <c r="G11181" s="1408" t="s">
        <v>24</v>
      </c>
      <c r="H11181" s="393">
        <v>4.0000000000000002E-4</v>
      </c>
      <c r="K11181" s="841" t="s">
        <v>3439</v>
      </c>
      <c r="L11181" s="841" t="s">
        <v>3046</v>
      </c>
      <c r="M11181" s="1357"/>
      <c r="P11181" s="841" t="s">
        <v>3445</v>
      </c>
      <c r="Q11181" s="1357"/>
      <c r="S11181" s="1420"/>
      <c r="T11181" s="1420"/>
      <c r="V11181" s="1357">
        <v>65</v>
      </c>
    </row>
    <row r="11182" spans="1:22" s="841" customFormat="1" ht="15" x14ac:dyDescent="0.25">
      <c r="A11182" s="841" t="s">
        <v>206</v>
      </c>
      <c r="E11182" s="1690" t="s">
        <v>439</v>
      </c>
      <c r="F11182" s="1690"/>
      <c r="G11182" s="1408" t="s">
        <v>24</v>
      </c>
      <c r="H11182" s="393">
        <v>2.9999999999999997E-4</v>
      </c>
      <c r="K11182" s="841" t="s">
        <v>3439</v>
      </c>
      <c r="L11182" s="841" t="s">
        <v>3046</v>
      </c>
      <c r="M11182" s="1357"/>
      <c r="P11182" s="841" t="s">
        <v>3446</v>
      </c>
      <c r="Q11182" s="1357"/>
      <c r="S11182" s="1420"/>
      <c r="T11182" s="1420"/>
      <c r="V11182" s="1357">
        <v>57</v>
      </c>
    </row>
    <row r="11183" spans="1:22" s="841" customFormat="1" ht="15" x14ac:dyDescent="0.25">
      <c r="A11183" s="841" t="s">
        <v>206</v>
      </c>
      <c r="E11183" s="1690" t="s">
        <v>32</v>
      </c>
      <c r="F11183" s="1690"/>
      <c r="G11183" s="1408" t="s">
        <v>23</v>
      </c>
      <c r="H11183" s="391">
        <v>0.25</v>
      </c>
      <c r="K11183" s="841" t="s">
        <v>3439</v>
      </c>
      <c r="L11183" s="841" t="s">
        <v>3046</v>
      </c>
      <c r="M11183" s="1357"/>
      <c r="P11183" s="841" t="s">
        <v>3447</v>
      </c>
      <c r="Q11183" s="1357"/>
      <c r="S11183" s="1420"/>
      <c r="T11183" s="1420"/>
      <c r="V11183" s="1357">
        <v>63</v>
      </c>
    </row>
    <row r="11184" spans="1:22" s="841" customFormat="1" x14ac:dyDescent="0.25">
      <c r="A11184" s="841" t="s">
        <v>206</v>
      </c>
      <c r="E11184" s="1909" t="s">
        <v>638</v>
      </c>
      <c r="F11184" s="1915"/>
      <c r="G11184" s="1915"/>
      <c r="H11184" s="1915"/>
      <c r="K11184" s="841" t="s">
        <v>3448</v>
      </c>
      <c r="M11184" s="1357"/>
      <c r="Q11184" s="1357"/>
      <c r="S11184" s="1420"/>
      <c r="T11184" s="1420"/>
      <c r="V11184" s="1357">
        <v>56</v>
      </c>
    </row>
    <row r="11185" spans="1:22" s="841" customFormat="1" ht="15" x14ac:dyDescent="0.25">
      <c r="A11185" s="841" t="s">
        <v>206</v>
      </c>
      <c r="E11185" s="1689" t="s">
        <v>4527</v>
      </c>
      <c r="F11185" s="1689"/>
      <c r="G11185" s="1689"/>
      <c r="H11185" s="1689"/>
      <c r="K11185" s="841" t="s">
        <v>3448</v>
      </c>
      <c r="M11185" s="1357"/>
      <c r="Q11185" s="1357"/>
      <c r="S11185" s="1420"/>
      <c r="T11185" s="1420"/>
      <c r="V11185" s="1357">
        <v>359</v>
      </c>
    </row>
    <row r="11186" spans="1:22" s="841" customFormat="1" ht="15" x14ac:dyDescent="0.25">
      <c r="A11186" s="841" t="s">
        <v>206</v>
      </c>
      <c r="E11186" s="1916" t="s">
        <v>3061</v>
      </c>
      <c r="F11186" s="1697"/>
      <c r="G11186" s="1697"/>
      <c r="H11186" s="1697"/>
      <c r="K11186" s="841" t="s">
        <v>3221</v>
      </c>
      <c r="M11186" s="1357"/>
      <c r="Q11186" s="1357"/>
      <c r="S11186" s="1420"/>
      <c r="T11186" s="1420"/>
      <c r="V11186" s="1357">
        <v>11</v>
      </c>
    </row>
    <row r="11187" spans="1:22" s="841" customFormat="1" ht="15" x14ac:dyDescent="0.25">
      <c r="A11187" s="841" t="s">
        <v>206</v>
      </c>
      <c r="E11187" s="1689" t="s">
        <v>3063</v>
      </c>
      <c r="F11187" s="1689"/>
      <c r="G11187" s="1689"/>
      <c r="H11187" s="1689"/>
      <c r="K11187" s="841" t="s">
        <v>3448</v>
      </c>
      <c r="M11187" s="1357"/>
      <c r="Q11187" s="1357"/>
      <c r="S11187" s="1420"/>
      <c r="T11187" s="1420"/>
      <c r="V11187" s="1357">
        <v>280</v>
      </c>
    </row>
    <row r="11188" spans="1:22" s="841" customFormat="1" ht="15" x14ac:dyDescent="0.25">
      <c r="A11188" s="841" t="s">
        <v>206</v>
      </c>
      <c r="E11188" s="1689" t="s">
        <v>3064</v>
      </c>
      <c r="F11188" s="1689"/>
      <c r="G11188" s="1689"/>
      <c r="H11188" s="1689"/>
      <c r="K11188" s="841" t="s">
        <v>3448</v>
      </c>
      <c r="M11188" s="1357"/>
      <c r="Q11188" s="1357"/>
      <c r="S11188" s="1420"/>
      <c r="T11188" s="1420"/>
      <c r="V11188" s="1357">
        <v>411</v>
      </c>
    </row>
    <row r="11189" spans="1:22" s="841" customFormat="1" ht="15" x14ac:dyDescent="0.25">
      <c r="A11189" s="841" t="s">
        <v>206</v>
      </c>
      <c r="E11189" s="1689" t="s">
        <v>3199</v>
      </c>
      <c r="F11189" s="1689"/>
      <c r="G11189" s="1689"/>
      <c r="H11189" s="1689"/>
      <c r="K11189" s="841" t="s">
        <v>3448</v>
      </c>
      <c r="M11189" s="1357"/>
      <c r="Q11189" s="1357"/>
      <c r="S11189" s="1420"/>
      <c r="T11189" s="1420"/>
      <c r="V11189" s="1357">
        <v>386</v>
      </c>
    </row>
    <row r="11190" spans="1:22" s="841" customFormat="1" ht="15" x14ac:dyDescent="0.25">
      <c r="A11190" s="841" t="s">
        <v>206</v>
      </c>
      <c r="E11190" s="1689" t="s">
        <v>3223</v>
      </c>
      <c r="F11190" s="1689"/>
      <c r="G11190" s="1689"/>
      <c r="H11190" s="1689"/>
      <c r="K11190" s="841" t="s">
        <v>3448</v>
      </c>
      <c r="M11190" s="1357"/>
      <c r="Q11190" s="1357"/>
      <c r="S11190" s="1420"/>
      <c r="T11190" s="1420"/>
      <c r="V11190" s="1357">
        <v>626</v>
      </c>
    </row>
    <row r="11191" spans="1:22" s="841" customFormat="1" ht="15" x14ac:dyDescent="0.25">
      <c r="A11191" s="841" t="s">
        <v>206</v>
      </c>
      <c r="E11191" s="1689" t="s">
        <v>4340</v>
      </c>
      <c r="F11191" s="1689"/>
      <c r="G11191" s="1689"/>
      <c r="H11191" s="1689"/>
      <c r="K11191" s="841" t="s">
        <v>3448</v>
      </c>
      <c r="M11191" s="1357"/>
      <c r="Q11191" s="1357"/>
      <c r="S11191" s="1420"/>
      <c r="T11191" s="1420"/>
      <c r="V11191" s="1357">
        <v>279</v>
      </c>
    </row>
    <row r="11192" spans="1:22" s="841" customFormat="1" ht="15" x14ac:dyDescent="0.25">
      <c r="A11192" s="841" t="s">
        <v>206</v>
      </c>
      <c r="E11192" s="1694" t="s">
        <v>3067</v>
      </c>
      <c r="F11192" s="1907"/>
      <c r="G11192" s="1907"/>
      <c r="H11192" s="1907"/>
      <c r="K11192" s="841" t="s">
        <v>3224</v>
      </c>
      <c r="M11192" s="1357"/>
      <c r="Q11192" s="1357"/>
      <c r="S11192" s="1420"/>
      <c r="T11192" s="1420"/>
      <c r="V11192" s="1357">
        <v>46</v>
      </c>
    </row>
    <row r="11193" spans="1:22" s="841" customFormat="1" ht="15" x14ac:dyDescent="0.25">
      <c r="A11193" s="841" t="s">
        <v>206</v>
      </c>
      <c r="E11193" s="1690" t="s">
        <v>11</v>
      </c>
      <c r="F11193" s="1690"/>
      <c r="G11193" s="1408" t="s">
        <v>23</v>
      </c>
      <c r="H11193" s="391">
        <v>5861.8</v>
      </c>
      <c r="K11193" s="841" t="s">
        <v>3448</v>
      </c>
      <c r="L11193" s="841" t="s">
        <v>442</v>
      </c>
      <c r="M11193" s="1357"/>
      <c r="P11193" s="841" t="s">
        <v>3449</v>
      </c>
      <c r="Q11193" s="1357"/>
      <c r="S11193" s="1420"/>
      <c r="T11193" s="1420"/>
      <c r="V11193" s="1357">
        <v>14</v>
      </c>
    </row>
    <row r="11194" spans="1:22" s="841" customFormat="1" ht="15" x14ac:dyDescent="0.25">
      <c r="A11194" s="841" t="s">
        <v>206</v>
      </c>
      <c r="E11194" s="1690" t="s">
        <v>84</v>
      </c>
      <c r="F11194" s="1690"/>
      <c r="G11194" s="1408" t="s">
        <v>33</v>
      </c>
      <c r="H11194" s="393">
        <v>2.1063000000000001</v>
      </c>
      <c r="K11194" s="841" t="s">
        <v>3448</v>
      </c>
      <c r="L11194" s="841" t="s">
        <v>442</v>
      </c>
      <c r="M11194" s="1357"/>
      <c r="P11194" s="841" t="s">
        <v>3450</v>
      </c>
      <c r="Q11194" s="1357"/>
      <c r="S11194" s="1420"/>
      <c r="T11194" s="1420"/>
      <c r="V11194" s="1357">
        <v>28</v>
      </c>
    </row>
    <row r="11195" spans="1:22" s="841" customFormat="1" ht="15" x14ac:dyDescent="0.25">
      <c r="A11195" s="841" t="s">
        <v>206</v>
      </c>
      <c r="E11195" s="1690" t="s">
        <v>18</v>
      </c>
      <c r="F11195" s="1690"/>
      <c r="G11195" s="1408" t="s">
        <v>33</v>
      </c>
      <c r="H11195" s="393">
        <v>0.58189999999999997</v>
      </c>
      <c r="K11195" s="841" t="s">
        <v>3448</v>
      </c>
      <c r="L11195" s="841" t="s">
        <v>443</v>
      </c>
      <c r="M11195" s="1357"/>
      <c r="P11195" s="841" t="s">
        <v>3451</v>
      </c>
      <c r="Q11195" s="1357"/>
      <c r="S11195" s="1420"/>
      <c r="T11195" s="1420"/>
      <c r="V11195" s="1357">
        <v>24</v>
      </c>
    </row>
    <row r="11196" spans="1:22" s="841" customFormat="1" ht="15" x14ac:dyDescent="0.25">
      <c r="A11196" s="841" t="s">
        <v>206</v>
      </c>
      <c r="E11196" s="1690" t="s">
        <v>221</v>
      </c>
      <c r="F11196" s="1690"/>
      <c r="G11196" s="1408" t="s">
        <v>33</v>
      </c>
      <c r="H11196" s="393">
        <v>2.5428000000000002</v>
      </c>
      <c r="K11196" s="841" t="s">
        <v>3448</v>
      </c>
      <c r="L11196" s="841" t="s">
        <v>444</v>
      </c>
      <c r="M11196" s="1357"/>
      <c r="P11196" s="841" t="s">
        <v>3452</v>
      </c>
      <c r="Q11196" s="1357"/>
      <c r="S11196" s="1420"/>
      <c r="T11196" s="1420"/>
      <c r="V11196" s="1357">
        <v>47</v>
      </c>
    </row>
    <row r="11197" spans="1:22" s="841" customFormat="1" ht="15" x14ac:dyDescent="0.25">
      <c r="A11197" s="841" t="s">
        <v>206</v>
      </c>
      <c r="E11197" s="1690" t="s">
        <v>217</v>
      </c>
      <c r="F11197" s="1690"/>
      <c r="G11197" s="1408" t="s">
        <v>33</v>
      </c>
      <c r="H11197" s="393">
        <v>2.0994000000000002</v>
      </c>
      <c r="K11197" s="841" t="s">
        <v>3448</v>
      </c>
      <c r="L11197" s="841" t="s">
        <v>444</v>
      </c>
      <c r="M11197" s="1357"/>
      <c r="P11197" s="841" t="s">
        <v>3453</v>
      </c>
      <c r="Q11197" s="1357"/>
      <c r="S11197" s="1420"/>
      <c r="T11197" s="1420"/>
      <c r="V11197" s="1357">
        <v>74</v>
      </c>
    </row>
    <row r="11198" spans="1:22" s="841" customFormat="1" ht="15" x14ac:dyDescent="0.25">
      <c r="A11198" s="841" t="s">
        <v>206</v>
      </c>
      <c r="E11198" s="1694" t="s">
        <v>3079</v>
      </c>
      <c r="F11198" s="1690"/>
      <c r="G11198" s="1408"/>
      <c r="H11198" s="1408"/>
      <c r="K11198" s="841" t="s">
        <v>3225</v>
      </c>
      <c r="M11198" s="1357"/>
      <c r="Q11198" s="1357"/>
      <c r="S11198" s="1420"/>
      <c r="T11198" s="1420"/>
      <c r="V11198" s="1357">
        <v>48</v>
      </c>
    </row>
    <row r="11199" spans="1:22" s="841" customFormat="1" ht="15" x14ac:dyDescent="0.25">
      <c r="A11199" s="841" t="s">
        <v>206</v>
      </c>
      <c r="E11199" s="1690" t="s">
        <v>2449</v>
      </c>
      <c r="F11199" s="1690"/>
      <c r="G11199" s="1408" t="s">
        <v>24</v>
      </c>
      <c r="H11199" s="393">
        <v>3.2000000000000002E-3</v>
      </c>
      <c r="K11199" s="841" t="s">
        <v>3448</v>
      </c>
      <c r="L11199" s="841" t="s">
        <v>3046</v>
      </c>
      <c r="M11199" s="1357"/>
      <c r="P11199" s="841" t="s">
        <v>3454</v>
      </c>
      <c r="Q11199" s="1357"/>
      <c r="S11199" s="1420"/>
      <c r="T11199" s="1420"/>
      <c r="V11199" s="1357">
        <v>55</v>
      </c>
    </row>
    <row r="11200" spans="1:22" s="841" customFormat="1" ht="15" x14ac:dyDescent="0.25">
      <c r="A11200" s="841" t="s">
        <v>206</v>
      </c>
      <c r="E11200" s="1920" t="s">
        <v>2450</v>
      </c>
      <c r="F11200" s="1690"/>
      <c r="G11200" s="1408" t="s">
        <v>24</v>
      </c>
      <c r="H11200" s="393">
        <v>4.0000000000000002E-4</v>
      </c>
      <c r="K11200" s="841" t="s">
        <v>3448</v>
      </c>
      <c r="L11200" s="841" t="s">
        <v>3046</v>
      </c>
      <c r="M11200" s="1357"/>
      <c r="P11200" s="841" t="s">
        <v>3454</v>
      </c>
      <c r="Q11200" s="1357"/>
      <c r="S11200" s="1420"/>
      <c r="T11200" s="1420"/>
      <c r="V11200" s="1357">
        <v>65</v>
      </c>
    </row>
    <row r="11201" spans="1:22" s="841" customFormat="1" ht="15" x14ac:dyDescent="0.25">
      <c r="A11201" s="841" t="s">
        <v>206</v>
      </c>
      <c r="E11201" s="1690" t="s">
        <v>439</v>
      </c>
      <c r="F11201" s="1690"/>
      <c r="G11201" s="1408" t="s">
        <v>24</v>
      </c>
      <c r="H11201" s="393">
        <v>2.9999999999999997E-4</v>
      </c>
      <c r="K11201" s="841" t="s">
        <v>3448</v>
      </c>
      <c r="L11201" s="841" t="s">
        <v>3046</v>
      </c>
      <c r="M11201" s="1357"/>
      <c r="P11201" s="841" t="s">
        <v>3455</v>
      </c>
      <c r="Q11201" s="1357"/>
      <c r="S11201" s="1420"/>
      <c r="T11201" s="1420"/>
      <c r="V11201" s="1357">
        <v>57</v>
      </c>
    </row>
    <row r="11202" spans="1:22" s="841" customFormat="1" ht="15" x14ac:dyDescent="0.25">
      <c r="A11202" s="841" t="s">
        <v>206</v>
      </c>
      <c r="E11202" s="1690" t="s">
        <v>32</v>
      </c>
      <c r="F11202" s="1690"/>
      <c r="G11202" s="1408" t="s">
        <v>23</v>
      </c>
      <c r="H11202" s="391">
        <v>0.25</v>
      </c>
      <c r="K11202" s="841" t="s">
        <v>3448</v>
      </c>
      <c r="L11202" s="841" t="s">
        <v>3046</v>
      </c>
      <c r="M11202" s="1357"/>
      <c r="P11202" s="841" t="s">
        <v>3456</v>
      </c>
      <c r="Q11202" s="1357"/>
      <c r="S11202" s="1420"/>
      <c r="T11202" s="1420"/>
      <c r="V11202" s="1357">
        <v>63</v>
      </c>
    </row>
    <row r="11203" spans="1:22" s="841" customFormat="1" x14ac:dyDescent="0.25">
      <c r="A11203" s="841" t="s">
        <v>206</v>
      </c>
      <c r="E11203" s="1909" t="s">
        <v>617</v>
      </c>
      <c r="F11203" s="1915"/>
      <c r="G11203" s="1915"/>
      <c r="H11203" s="1915"/>
      <c r="K11203" s="841" t="s">
        <v>3457</v>
      </c>
      <c r="M11203" s="1357"/>
      <c r="Q11203" s="1357"/>
      <c r="S11203" s="1420"/>
      <c r="T11203" s="1420"/>
      <c r="V11203" s="1357">
        <v>47</v>
      </c>
    </row>
    <row r="11204" spans="1:22" s="841" customFormat="1" ht="15" x14ac:dyDescent="0.25">
      <c r="A11204" s="841" t="s">
        <v>206</v>
      </c>
      <c r="E11204" s="1689" t="s">
        <v>4524</v>
      </c>
      <c r="F11204" s="1689"/>
      <c r="G11204" s="1689"/>
      <c r="H11204" s="1689"/>
      <c r="K11204" s="841" t="s">
        <v>3457</v>
      </c>
      <c r="M11204" s="1357"/>
      <c r="Q11204" s="1357"/>
      <c r="S11204" s="1420"/>
      <c r="T11204" s="1420"/>
      <c r="V11204" s="1357">
        <v>620</v>
      </c>
    </row>
    <row r="11205" spans="1:22" s="841" customFormat="1" ht="15" x14ac:dyDescent="0.25">
      <c r="A11205" s="841" t="s">
        <v>206</v>
      </c>
      <c r="E11205" s="1916" t="s">
        <v>3061</v>
      </c>
      <c r="F11205" s="1697"/>
      <c r="G11205" s="1697"/>
      <c r="H11205" s="1697"/>
      <c r="K11205" s="841" t="s">
        <v>3107</v>
      </c>
      <c r="M11205" s="1357"/>
      <c r="Q11205" s="1357"/>
      <c r="S11205" s="1420"/>
      <c r="T11205" s="1420"/>
      <c r="V11205" s="1357">
        <v>11</v>
      </c>
    </row>
    <row r="11206" spans="1:22" s="841" customFormat="1" ht="15" x14ac:dyDescent="0.25">
      <c r="A11206" s="841" t="s">
        <v>206</v>
      </c>
      <c r="E11206" s="1689" t="s">
        <v>3063</v>
      </c>
      <c r="F11206" s="1689"/>
      <c r="G11206" s="1689"/>
      <c r="H11206" s="1689"/>
      <c r="K11206" s="841" t="s">
        <v>3457</v>
      </c>
      <c r="M11206" s="1357"/>
      <c r="Q11206" s="1357"/>
      <c r="S11206" s="1420"/>
      <c r="T11206" s="1420"/>
      <c r="V11206" s="1357">
        <v>280</v>
      </c>
    </row>
    <row r="11207" spans="1:22" s="841" customFormat="1" ht="15" x14ac:dyDescent="0.25">
      <c r="A11207" s="841" t="s">
        <v>206</v>
      </c>
      <c r="E11207" s="1689" t="s">
        <v>3064</v>
      </c>
      <c r="F11207" s="1689"/>
      <c r="G11207" s="1689"/>
      <c r="H11207" s="1689"/>
      <c r="K11207" s="841" t="s">
        <v>3457</v>
      </c>
      <c r="M11207" s="1357"/>
      <c r="Q11207" s="1357"/>
      <c r="S11207" s="1420"/>
      <c r="T11207" s="1420"/>
      <c r="V11207" s="1357">
        <v>411</v>
      </c>
    </row>
    <row r="11208" spans="1:22" s="841" customFormat="1" ht="15" x14ac:dyDescent="0.25">
      <c r="A11208" s="841" t="s">
        <v>206</v>
      </c>
      <c r="E11208" s="1689" t="s">
        <v>3199</v>
      </c>
      <c r="F11208" s="1689"/>
      <c r="G11208" s="1689"/>
      <c r="H11208" s="1689"/>
      <c r="K11208" s="841" t="s">
        <v>3457</v>
      </c>
      <c r="M11208" s="1357"/>
      <c r="Q11208" s="1357"/>
      <c r="S11208" s="1420"/>
      <c r="T11208" s="1420"/>
      <c r="V11208" s="1357">
        <v>386</v>
      </c>
    </row>
    <row r="11209" spans="1:22" s="841" customFormat="1" ht="15" x14ac:dyDescent="0.25">
      <c r="A11209" s="841" t="s">
        <v>206</v>
      </c>
      <c r="E11209" s="1689" t="s">
        <v>4340</v>
      </c>
      <c r="F11209" s="1689"/>
      <c r="G11209" s="1689"/>
      <c r="H11209" s="1689"/>
      <c r="K11209" s="841" t="s">
        <v>3457</v>
      </c>
      <c r="M11209" s="1357"/>
      <c r="Q11209" s="1357"/>
      <c r="S11209" s="1420"/>
      <c r="T11209" s="1420"/>
      <c r="V11209" s="1357">
        <v>279</v>
      </c>
    </row>
    <row r="11210" spans="1:22" s="841" customFormat="1" ht="15" x14ac:dyDescent="0.25">
      <c r="A11210" s="841" t="s">
        <v>206</v>
      </c>
      <c r="E11210" s="1694" t="s">
        <v>3067</v>
      </c>
      <c r="F11210" s="1907"/>
      <c r="G11210" s="1907"/>
      <c r="H11210" s="1907"/>
      <c r="K11210" s="841" t="s">
        <v>3108</v>
      </c>
      <c r="M11210" s="1357"/>
      <c r="Q11210" s="1357"/>
      <c r="S11210" s="1420"/>
      <c r="T11210" s="1420"/>
      <c r="V11210" s="1357">
        <v>46</v>
      </c>
    </row>
    <row r="11211" spans="1:22" s="841" customFormat="1" ht="15" x14ac:dyDescent="0.25">
      <c r="A11211" s="841" t="s">
        <v>206</v>
      </c>
      <c r="E11211" s="1690" t="s">
        <v>13</v>
      </c>
      <c r="F11211" s="1690"/>
      <c r="G11211" s="1408" t="s">
        <v>23</v>
      </c>
      <c r="H11211" s="391">
        <v>14.59</v>
      </c>
      <c r="K11211" s="841" t="s">
        <v>3457</v>
      </c>
      <c r="L11211" s="841" t="s">
        <v>442</v>
      </c>
      <c r="M11211" s="1357"/>
      <c r="P11211" s="841" t="s">
        <v>3458</v>
      </c>
      <c r="Q11211" s="1357"/>
      <c r="S11211" s="1420"/>
      <c r="T11211" s="1420"/>
      <c r="V11211" s="1357">
        <v>29</v>
      </c>
    </row>
    <row r="11212" spans="1:22" s="841" customFormat="1" ht="15" x14ac:dyDescent="0.25">
      <c r="A11212" s="841" t="s">
        <v>206</v>
      </c>
      <c r="E11212" s="1690" t="s">
        <v>84</v>
      </c>
      <c r="F11212" s="1690"/>
      <c r="G11212" s="1408" t="s">
        <v>24</v>
      </c>
      <c r="H11212" s="393">
        <v>2.1700000000000001E-2</v>
      </c>
      <c r="K11212" s="841" t="s">
        <v>3457</v>
      </c>
      <c r="L11212" s="841" t="s">
        <v>442</v>
      </c>
      <c r="M11212" s="1357"/>
      <c r="P11212" s="841" t="s">
        <v>3459</v>
      </c>
      <c r="Q11212" s="1357"/>
      <c r="S11212" s="1420"/>
      <c r="T11212" s="1420"/>
      <c r="V11212" s="1357">
        <v>28</v>
      </c>
    </row>
    <row r="11213" spans="1:22" s="841" customFormat="1" ht="15" x14ac:dyDescent="0.25">
      <c r="A11213" s="841" t="s">
        <v>206</v>
      </c>
      <c r="E11213" s="1690" t="s">
        <v>18</v>
      </c>
      <c r="F11213" s="1690"/>
      <c r="G11213" s="1408" t="s">
        <v>24</v>
      </c>
      <c r="H11213" s="393">
        <v>1.5E-3</v>
      </c>
      <c r="K11213" s="841" t="s">
        <v>3457</v>
      </c>
      <c r="L11213" s="841" t="s">
        <v>443</v>
      </c>
      <c r="M11213" s="1357"/>
      <c r="P11213" s="841" t="s">
        <v>3460</v>
      </c>
      <c r="Q11213" s="1357"/>
      <c r="S11213" s="1420"/>
      <c r="T11213" s="1420"/>
      <c r="V11213" s="1357">
        <v>24</v>
      </c>
    </row>
    <row r="11214" spans="1:22" s="841" customFormat="1" ht="15" x14ac:dyDescent="0.25">
      <c r="A11214" s="841" t="s">
        <v>206</v>
      </c>
      <c r="E11214" s="1690" t="s">
        <v>221</v>
      </c>
      <c r="F11214" s="1690"/>
      <c r="G11214" s="1408" t="s">
        <v>24</v>
      </c>
      <c r="H11214" s="393">
        <v>6.4000000000000003E-3</v>
      </c>
      <c r="K11214" s="841" t="s">
        <v>3457</v>
      </c>
      <c r="L11214" s="841" t="s">
        <v>444</v>
      </c>
      <c r="M11214" s="1357"/>
      <c r="P11214" s="841" t="s">
        <v>3462</v>
      </c>
      <c r="Q11214" s="1357"/>
      <c r="S11214" s="1420"/>
      <c r="T11214" s="1420"/>
      <c r="V11214" s="1357">
        <v>47</v>
      </c>
    </row>
    <row r="11215" spans="1:22" s="841" customFormat="1" ht="15" x14ac:dyDescent="0.25">
      <c r="A11215" s="841" t="s">
        <v>206</v>
      </c>
      <c r="E11215" s="1690" t="s">
        <v>217</v>
      </c>
      <c r="F11215" s="1690"/>
      <c r="G11215" s="1408" t="s">
        <v>24</v>
      </c>
      <c r="H11215" s="393">
        <v>5.4999999999999997E-3</v>
      </c>
      <c r="K11215" s="841" t="s">
        <v>3457</v>
      </c>
      <c r="L11215" s="841" t="s">
        <v>444</v>
      </c>
      <c r="M11215" s="1357"/>
      <c r="P11215" s="841" t="s">
        <v>3463</v>
      </c>
      <c r="Q11215" s="1357"/>
      <c r="S11215" s="1420"/>
      <c r="T11215" s="1420"/>
      <c r="V11215" s="1357">
        <v>74</v>
      </c>
    </row>
    <row r="11216" spans="1:22" s="841" customFormat="1" ht="15" x14ac:dyDescent="0.25">
      <c r="A11216" s="841" t="s">
        <v>206</v>
      </c>
      <c r="E11216" s="1694" t="s">
        <v>3079</v>
      </c>
      <c r="F11216" s="1690"/>
      <c r="G11216" s="1408"/>
      <c r="H11216" s="1408"/>
      <c r="K11216" s="841" t="s">
        <v>3111</v>
      </c>
      <c r="M11216" s="1357"/>
      <c r="Q11216" s="1357"/>
      <c r="S11216" s="1420"/>
      <c r="T11216" s="1420"/>
      <c r="V11216" s="1357">
        <v>48</v>
      </c>
    </row>
    <row r="11217" spans="1:22" s="841" customFormat="1" ht="15" x14ac:dyDescent="0.25">
      <c r="A11217" s="841" t="s">
        <v>206</v>
      </c>
      <c r="E11217" s="1690" t="s">
        <v>2449</v>
      </c>
      <c r="F11217" s="1690"/>
      <c r="G11217" s="1408" t="s">
        <v>24</v>
      </c>
      <c r="H11217" s="393">
        <v>3.2000000000000002E-3</v>
      </c>
      <c r="K11217" s="841" t="s">
        <v>3457</v>
      </c>
      <c r="L11217" s="841" t="s">
        <v>3046</v>
      </c>
      <c r="M11217" s="1357"/>
      <c r="P11217" s="841" t="s">
        <v>3464</v>
      </c>
      <c r="Q11217" s="1357"/>
      <c r="S11217" s="1420"/>
      <c r="T11217" s="1420"/>
      <c r="V11217" s="1357">
        <v>55</v>
      </c>
    </row>
    <row r="11218" spans="1:22" s="841" customFormat="1" ht="15" x14ac:dyDescent="0.25">
      <c r="A11218" s="841" t="s">
        <v>206</v>
      </c>
      <c r="E11218" s="1920" t="s">
        <v>2450</v>
      </c>
      <c r="F11218" s="1690"/>
      <c r="G11218" s="1408" t="s">
        <v>24</v>
      </c>
      <c r="H11218" s="393">
        <v>4.0000000000000002E-4</v>
      </c>
      <c r="K11218" s="841" t="s">
        <v>3457</v>
      </c>
      <c r="L11218" s="841" t="s">
        <v>3046</v>
      </c>
      <c r="M11218" s="1357"/>
      <c r="P11218" s="841" t="s">
        <v>3464</v>
      </c>
      <c r="Q11218" s="1357"/>
      <c r="S11218" s="1420"/>
      <c r="T11218" s="1420"/>
      <c r="V11218" s="1357">
        <v>65</v>
      </c>
    </row>
    <row r="11219" spans="1:22" s="841" customFormat="1" ht="15" x14ac:dyDescent="0.25">
      <c r="A11219" s="841" t="s">
        <v>206</v>
      </c>
      <c r="E11219" s="1690" t="s">
        <v>439</v>
      </c>
      <c r="F11219" s="1690"/>
      <c r="G11219" s="1408" t="s">
        <v>24</v>
      </c>
      <c r="H11219" s="393">
        <v>2.9999999999999997E-4</v>
      </c>
      <c r="K11219" s="841" t="s">
        <v>3457</v>
      </c>
      <c r="L11219" s="841" t="s">
        <v>3046</v>
      </c>
      <c r="M11219" s="1357"/>
      <c r="P11219" s="841" t="s">
        <v>3465</v>
      </c>
      <c r="Q11219" s="1357"/>
      <c r="S11219" s="1420"/>
      <c r="T11219" s="1420"/>
      <c r="V11219" s="1357">
        <v>57</v>
      </c>
    </row>
    <row r="11220" spans="1:22" s="841" customFormat="1" ht="15" x14ac:dyDescent="0.25">
      <c r="A11220" s="841" t="s">
        <v>206</v>
      </c>
      <c r="E11220" s="1690" t="s">
        <v>32</v>
      </c>
      <c r="F11220" s="1690"/>
      <c r="G11220" s="1408" t="s">
        <v>23</v>
      </c>
      <c r="H11220" s="391">
        <v>0.25</v>
      </c>
      <c r="K11220" s="841" t="s">
        <v>3457</v>
      </c>
      <c r="L11220" s="841" t="s">
        <v>3046</v>
      </c>
      <c r="M11220" s="1357"/>
      <c r="P11220" s="841" t="s">
        <v>3466</v>
      </c>
      <c r="Q11220" s="1357"/>
      <c r="S11220" s="1420"/>
      <c r="T11220" s="1420"/>
      <c r="V11220" s="1357">
        <v>63</v>
      </c>
    </row>
    <row r="11221" spans="1:22" s="841" customFormat="1" x14ac:dyDescent="0.25">
      <c r="A11221" s="841" t="s">
        <v>206</v>
      </c>
      <c r="E11221" s="1909" t="s">
        <v>629</v>
      </c>
      <c r="F11221" s="1915"/>
      <c r="G11221" s="1915"/>
      <c r="H11221" s="1915"/>
      <c r="K11221" s="841" t="s">
        <v>3467</v>
      </c>
      <c r="M11221" s="1357"/>
      <c r="Q11221" s="1357"/>
      <c r="S11221" s="1420"/>
      <c r="T11221" s="1420"/>
      <c r="V11221" s="1357">
        <v>40</v>
      </c>
    </row>
    <row r="11222" spans="1:22" s="841" customFormat="1" ht="15" x14ac:dyDescent="0.25">
      <c r="A11222" s="841" t="s">
        <v>206</v>
      </c>
      <c r="E11222" s="1689" t="s">
        <v>3251</v>
      </c>
      <c r="F11222" s="1689"/>
      <c r="G11222" s="1689"/>
      <c r="H11222" s="1689"/>
      <c r="K11222" s="841" t="s">
        <v>3467</v>
      </c>
      <c r="M11222" s="1357"/>
      <c r="Q11222" s="1357"/>
      <c r="S11222" s="1420"/>
      <c r="T11222" s="1420"/>
      <c r="V11222" s="1357">
        <v>253</v>
      </c>
    </row>
    <row r="11223" spans="1:22" s="841" customFormat="1" ht="15" x14ac:dyDescent="0.25">
      <c r="A11223" s="841" t="s">
        <v>206</v>
      </c>
      <c r="E11223" s="1916" t="s">
        <v>3061</v>
      </c>
      <c r="F11223" s="1697"/>
      <c r="G11223" s="1697"/>
      <c r="H11223" s="1697"/>
      <c r="K11223" s="841" t="s">
        <v>3114</v>
      </c>
      <c r="M11223" s="1357"/>
      <c r="Q11223" s="1357"/>
      <c r="S11223" s="1420"/>
      <c r="T11223" s="1420"/>
      <c r="V11223" s="1357">
        <v>11</v>
      </c>
    </row>
    <row r="11224" spans="1:22" s="841" customFormat="1" ht="15" x14ac:dyDescent="0.25">
      <c r="A11224" s="841" t="s">
        <v>206</v>
      </c>
      <c r="E11224" s="1689" t="s">
        <v>3063</v>
      </c>
      <c r="F11224" s="1689"/>
      <c r="G11224" s="1689"/>
      <c r="H11224" s="1689"/>
      <c r="K11224" s="841" t="s">
        <v>3467</v>
      </c>
      <c r="M11224" s="1357"/>
      <c r="Q11224" s="1357"/>
      <c r="S11224" s="1420"/>
      <c r="T11224" s="1420"/>
      <c r="V11224" s="1357">
        <v>280</v>
      </c>
    </row>
    <row r="11225" spans="1:22" s="841" customFormat="1" ht="15" x14ac:dyDescent="0.25">
      <c r="A11225" s="841" t="s">
        <v>206</v>
      </c>
      <c r="E11225" s="1689" t="s">
        <v>3064</v>
      </c>
      <c r="F11225" s="1689"/>
      <c r="G11225" s="1689"/>
      <c r="H11225" s="1689"/>
      <c r="K11225" s="841" t="s">
        <v>3467</v>
      </c>
      <c r="M11225" s="1357"/>
      <c r="Q11225" s="1357"/>
      <c r="S11225" s="1420"/>
      <c r="T11225" s="1420"/>
      <c r="V11225" s="1357">
        <v>411</v>
      </c>
    </row>
    <row r="11226" spans="1:22" s="841" customFormat="1" ht="15" x14ac:dyDescent="0.25">
      <c r="A11226" s="841" t="s">
        <v>206</v>
      </c>
      <c r="E11226" s="1689" t="s">
        <v>3199</v>
      </c>
      <c r="F11226" s="1689"/>
      <c r="G11226" s="1689"/>
      <c r="H11226" s="1689"/>
      <c r="K11226" s="841" t="s">
        <v>3467</v>
      </c>
      <c r="M11226" s="1357"/>
      <c r="Q11226" s="1357"/>
      <c r="S11226" s="1420"/>
      <c r="T11226" s="1420"/>
      <c r="V11226" s="1357">
        <v>386</v>
      </c>
    </row>
    <row r="11227" spans="1:22" s="841" customFormat="1" ht="15" x14ac:dyDescent="0.25">
      <c r="A11227" s="841" t="s">
        <v>206</v>
      </c>
      <c r="E11227" s="1689" t="s">
        <v>3200</v>
      </c>
      <c r="F11227" s="1689"/>
      <c r="G11227" s="1689"/>
      <c r="H11227" s="1689"/>
      <c r="K11227" s="841" t="s">
        <v>3467</v>
      </c>
      <c r="M11227" s="1357"/>
      <c r="Q11227" s="1357"/>
      <c r="S11227" s="1420"/>
      <c r="T11227" s="1420"/>
      <c r="V11227" s="1357">
        <v>275</v>
      </c>
    </row>
    <row r="11228" spans="1:22" s="841" customFormat="1" ht="15" x14ac:dyDescent="0.25">
      <c r="A11228" s="841" t="s">
        <v>206</v>
      </c>
      <c r="E11228" s="1694" t="s">
        <v>3067</v>
      </c>
      <c r="F11228" s="1907"/>
      <c r="G11228" s="1907"/>
      <c r="H11228" s="1907"/>
      <c r="K11228" s="841" t="s">
        <v>3115</v>
      </c>
      <c r="M11228" s="1357"/>
      <c r="Q11228" s="1357"/>
      <c r="S11228" s="1420"/>
      <c r="T11228" s="1420"/>
      <c r="V11228" s="1357">
        <v>46</v>
      </c>
    </row>
    <row r="11229" spans="1:22" s="841" customFormat="1" ht="15" x14ac:dyDescent="0.25">
      <c r="A11229" s="841" t="s">
        <v>206</v>
      </c>
      <c r="E11229" s="1690" t="s">
        <v>12</v>
      </c>
      <c r="F11229" s="1690"/>
      <c r="G11229" s="1408" t="s">
        <v>23</v>
      </c>
      <c r="H11229" s="391">
        <v>5</v>
      </c>
      <c r="K11229" s="841" t="s">
        <v>3467</v>
      </c>
      <c r="L11229" s="841" t="s">
        <v>442</v>
      </c>
      <c r="M11229" s="1357"/>
      <c r="P11229" s="841" t="s">
        <v>3468</v>
      </c>
      <c r="Q11229" s="1357"/>
      <c r="S11229" s="1420"/>
      <c r="T11229" s="1420"/>
      <c r="V11229" s="1357">
        <v>31</v>
      </c>
    </row>
    <row r="11230" spans="1:22" s="841" customFormat="1" ht="15" x14ac:dyDescent="0.25">
      <c r="A11230" s="841" t="s">
        <v>206</v>
      </c>
      <c r="E11230" s="1690" t="s">
        <v>84</v>
      </c>
      <c r="F11230" s="1690"/>
      <c r="G11230" s="1408" t="s">
        <v>33</v>
      </c>
      <c r="H11230" s="393">
        <v>11.3955</v>
      </c>
      <c r="K11230" s="841" t="s">
        <v>3467</v>
      </c>
      <c r="L11230" s="841" t="s">
        <v>442</v>
      </c>
      <c r="M11230" s="1357"/>
      <c r="P11230" s="841" t="s">
        <v>3469</v>
      </c>
      <c r="Q11230" s="1357"/>
      <c r="S11230" s="1420"/>
      <c r="T11230" s="1420"/>
      <c r="V11230" s="1357">
        <v>28</v>
      </c>
    </row>
    <row r="11231" spans="1:22" s="841" customFormat="1" ht="15" x14ac:dyDescent="0.25">
      <c r="A11231" s="841" t="s">
        <v>206</v>
      </c>
      <c r="E11231" s="1690" t="s">
        <v>18</v>
      </c>
      <c r="F11231" s="1690"/>
      <c r="G11231" s="1408" t="s">
        <v>33</v>
      </c>
      <c r="H11231" s="393">
        <v>0.38929999999999998</v>
      </c>
      <c r="K11231" s="841" t="s">
        <v>3467</v>
      </c>
      <c r="L11231" s="841" t="s">
        <v>443</v>
      </c>
      <c r="M11231" s="1357"/>
      <c r="P11231" s="841" t="s">
        <v>3470</v>
      </c>
      <c r="Q11231" s="1357"/>
      <c r="S11231" s="1420"/>
      <c r="T11231" s="1420"/>
      <c r="V11231" s="1357">
        <v>24</v>
      </c>
    </row>
    <row r="11232" spans="1:22" s="841" customFormat="1" ht="15" x14ac:dyDescent="0.25">
      <c r="A11232" s="841" t="s">
        <v>206</v>
      </c>
      <c r="E11232" s="1690" t="s">
        <v>221</v>
      </c>
      <c r="F11232" s="1690"/>
      <c r="G11232" s="1408" t="s">
        <v>33</v>
      </c>
      <c r="H11232" s="393">
        <v>1.7231000000000001</v>
      </c>
      <c r="K11232" s="841" t="s">
        <v>3467</v>
      </c>
      <c r="L11232" s="841" t="s">
        <v>444</v>
      </c>
      <c r="M11232" s="1357"/>
      <c r="P11232" s="841" t="s">
        <v>3472</v>
      </c>
      <c r="Q11232" s="1357"/>
      <c r="S11232" s="1420"/>
      <c r="T11232" s="1420"/>
      <c r="V11232" s="1357">
        <v>47</v>
      </c>
    </row>
    <row r="11233" spans="1:22" s="841" customFormat="1" ht="15" x14ac:dyDescent="0.25">
      <c r="A11233" s="841" t="s">
        <v>206</v>
      </c>
      <c r="E11233" s="1690" t="s">
        <v>217</v>
      </c>
      <c r="F11233" s="1690"/>
      <c r="G11233" s="1408" t="s">
        <v>33</v>
      </c>
      <c r="H11233" s="393">
        <v>1.4048</v>
      </c>
      <c r="K11233" s="841" t="s">
        <v>3467</v>
      </c>
      <c r="L11233" s="841" t="s">
        <v>444</v>
      </c>
      <c r="M11233" s="1357"/>
      <c r="P11233" s="841" t="s">
        <v>3473</v>
      </c>
      <c r="Q11233" s="1357"/>
      <c r="S11233" s="1420"/>
      <c r="T11233" s="1420"/>
      <c r="V11233" s="1357">
        <v>74</v>
      </c>
    </row>
    <row r="11234" spans="1:22" s="841" customFormat="1" ht="15" x14ac:dyDescent="0.25">
      <c r="A11234" s="841" t="s">
        <v>206</v>
      </c>
      <c r="E11234" s="1694" t="s">
        <v>3079</v>
      </c>
      <c r="F11234" s="1690"/>
      <c r="G11234" s="1408"/>
      <c r="H11234" s="1408"/>
      <c r="K11234" s="841" t="s">
        <v>3122</v>
      </c>
      <c r="M11234" s="1357"/>
      <c r="Q11234" s="1357"/>
      <c r="S11234" s="1420"/>
      <c r="T11234" s="1420"/>
      <c r="V11234" s="1357">
        <v>48</v>
      </c>
    </row>
    <row r="11235" spans="1:22" s="841" customFormat="1" ht="15" x14ac:dyDescent="0.25">
      <c r="A11235" s="841" t="s">
        <v>206</v>
      </c>
      <c r="E11235" s="1690" t="s">
        <v>2449</v>
      </c>
      <c r="F11235" s="1690"/>
      <c r="G11235" s="1408" t="s">
        <v>24</v>
      </c>
      <c r="H11235" s="393">
        <v>3.2000000000000002E-3</v>
      </c>
      <c r="K11235" s="841" t="s">
        <v>3467</v>
      </c>
      <c r="L11235" s="841" t="s">
        <v>3046</v>
      </c>
      <c r="M11235" s="1357"/>
      <c r="P11235" s="841" t="s">
        <v>3474</v>
      </c>
      <c r="Q11235" s="1357"/>
      <c r="S11235" s="1420"/>
      <c r="T11235" s="1420"/>
      <c r="V11235" s="1357">
        <v>55</v>
      </c>
    </row>
    <row r="11236" spans="1:22" s="841" customFormat="1" ht="15" x14ac:dyDescent="0.25">
      <c r="A11236" s="841" t="s">
        <v>206</v>
      </c>
      <c r="E11236" s="1920" t="s">
        <v>2450</v>
      </c>
      <c r="F11236" s="1690"/>
      <c r="G11236" s="1408" t="s">
        <v>24</v>
      </c>
      <c r="H11236" s="393">
        <v>4.0000000000000002E-4</v>
      </c>
      <c r="K11236" s="841" t="s">
        <v>3467</v>
      </c>
      <c r="L11236" s="841" t="s">
        <v>3046</v>
      </c>
      <c r="M11236" s="1357"/>
      <c r="P11236" s="841" t="s">
        <v>3474</v>
      </c>
      <c r="Q11236" s="1357"/>
      <c r="S11236" s="1420"/>
      <c r="T11236" s="1420"/>
      <c r="V11236" s="1357">
        <v>65</v>
      </c>
    </row>
    <row r="11237" spans="1:22" s="841" customFormat="1" ht="15" x14ac:dyDescent="0.25">
      <c r="A11237" s="841" t="s">
        <v>206</v>
      </c>
      <c r="E11237" s="1690" t="s">
        <v>439</v>
      </c>
      <c r="F11237" s="1690"/>
      <c r="G11237" s="1408" t="s">
        <v>24</v>
      </c>
      <c r="H11237" s="393">
        <v>2.9999999999999997E-4</v>
      </c>
      <c r="K11237" s="841" t="s">
        <v>3467</v>
      </c>
      <c r="L11237" s="841" t="s">
        <v>3046</v>
      </c>
      <c r="M11237" s="1357"/>
      <c r="P11237" s="841" t="s">
        <v>3475</v>
      </c>
      <c r="Q11237" s="1357"/>
      <c r="S11237" s="1420"/>
      <c r="T11237" s="1420"/>
      <c r="V11237" s="1357">
        <v>57</v>
      </c>
    </row>
    <row r="11238" spans="1:22" s="841" customFormat="1" ht="15" x14ac:dyDescent="0.25">
      <c r="A11238" s="841" t="s">
        <v>206</v>
      </c>
      <c r="E11238" s="1690" t="s">
        <v>32</v>
      </c>
      <c r="F11238" s="1690"/>
      <c r="G11238" s="1408" t="s">
        <v>23</v>
      </c>
      <c r="H11238" s="391">
        <v>0.25</v>
      </c>
      <c r="K11238" s="841" t="s">
        <v>3467</v>
      </c>
      <c r="L11238" s="841" t="s">
        <v>3046</v>
      </c>
      <c r="M11238" s="1357"/>
      <c r="P11238" s="841" t="s">
        <v>3476</v>
      </c>
      <c r="Q11238" s="1357"/>
      <c r="S11238" s="1420"/>
      <c r="T11238" s="1420"/>
      <c r="V11238" s="1357">
        <v>63</v>
      </c>
    </row>
    <row r="11239" spans="1:22" s="841" customFormat="1" x14ac:dyDescent="0.25">
      <c r="A11239" s="841" t="s">
        <v>206</v>
      </c>
      <c r="E11239" s="1909" t="s">
        <v>615</v>
      </c>
      <c r="F11239" s="1915"/>
      <c r="G11239" s="1915"/>
      <c r="H11239" s="1915"/>
      <c r="K11239" s="841" t="s">
        <v>3477</v>
      </c>
      <c r="M11239" s="1357"/>
      <c r="Q11239" s="1357"/>
      <c r="S11239" s="1420"/>
      <c r="T11239" s="1420"/>
      <c r="V11239" s="1357">
        <v>38</v>
      </c>
    </row>
    <row r="11240" spans="1:22" s="841" customFormat="1" ht="15" x14ac:dyDescent="0.25">
      <c r="A11240" s="841" t="s">
        <v>206</v>
      </c>
      <c r="E11240" s="1689" t="s">
        <v>3551</v>
      </c>
      <c r="F11240" s="1689"/>
      <c r="G11240" s="1689"/>
      <c r="H11240" s="1689"/>
      <c r="K11240" s="841" t="s">
        <v>3477</v>
      </c>
      <c r="M11240" s="1357"/>
      <c r="Q11240" s="1357"/>
      <c r="S11240" s="1420"/>
      <c r="T11240" s="1420"/>
      <c r="V11240" s="1357">
        <v>551</v>
      </c>
    </row>
    <row r="11241" spans="1:22" s="841" customFormat="1" ht="15" x14ac:dyDescent="0.25">
      <c r="A11241" s="841" t="s">
        <v>206</v>
      </c>
      <c r="E11241" s="1916" t="s">
        <v>3061</v>
      </c>
      <c r="F11241" s="1697"/>
      <c r="G11241" s="1697"/>
      <c r="H11241" s="1697"/>
      <c r="K11241" s="841" t="s">
        <v>3128</v>
      </c>
      <c r="M11241" s="1357"/>
      <c r="Q11241" s="1357"/>
      <c r="S11241" s="1420"/>
      <c r="T11241" s="1420"/>
      <c r="V11241" s="1357">
        <v>11</v>
      </c>
    </row>
    <row r="11242" spans="1:22" s="841" customFormat="1" ht="15" x14ac:dyDescent="0.25">
      <c r="A11242" s="841" t="s">
        <v>206</v>
      </c>
      <c r="E11242" s="1689" t="s">
        <v>3063</v>
      </c>
      <c r="F11242" s="1689"/>
      <c r="G11242" s="1689"/>
      <c r="H11242" s="1689"/>
      <c r="K11242" s="841" t="s">
        <v>3477</v>
      </c>
      <c r="M11242" s="1357"/>
      <c r="Q11242" s="1357"/>
      <c r="S11242" s="1420"/>
      <c r="T11242" s="1420"/>
      <c r="V11242" s="1357">
        <v>280</v>
      </c>
    </row>
    <row r="11243" spans="1:22" s="841" customFormat="1" ht="15" x14ac:dyDescent="0.25">
      <c r="A11243" s="841" t="s">
        <v>206</v>
      </c>
      <c r="E11243" s="1689" t="s">
        <v>3064</v>
      </c>
      <c r="F11243" s="1689"/>
      <c r="G11243" s="1689"/>
      <c r="H11243" s="1689"/>
      <c r="K11243" s="841" t="s">
        <v>3477</v>
      </c>
      <c r="M11243" s="1357"/>
      <c r="Q11243" s="1357"/>
      <c r="S11243" s="1420"/>
      <c r="T11243" s="1420"/>
      <c r="V11243" s="1357">
        <v>411</v>
      </c>
    </row>
    <row r="11244" spans="1:22" s="841" customFormat="1" ht="15" x14ac:dyDescent="0.25">
      <c r="A11244" s="841" t="s">
        <v>206</v>
      </c>
      <c r="E11244" s="1689" t="s">
        <v>3199</v>
      </c>
      <c r="F11244" s="1689"/>
      <c r="G11244" s="1689"/>
      <c r="H11244" s="1689"/>
      <c r="K11244" s="841" t="s">
        <v>3477</v>
      </c>
      <c r="M11244" s="1357"/>
      <c r="Q11244" s="1357"/>
      <c r="S11244" s="1420"/>
      <c r="T11244" s="1420"/>
      <c r="V11244" s="1357">
        <v>386</v>
      </c>
    </row>
    <row r="11245" spans="1:22" s="841" customFormat="1" ht="15" x14ac:dyDescent="0.25">
      <c r="A11245" s="841" t="s">
        <v>206</v>
      </c>
      <c r="E11245" s="1689" t="s">
        <v>4340</v>
      </c>
      <c r="F11245" s="1689"/>
      <c r="G11245" s="1689"/>
      <c r="H11245" s="1689"/>
      <c r="K11245" s="841" t="s">
        <v>3477</v>
      </c>
      <c r="M11245" s="1357"/>
      <c r="Q11245" s="1357"/>
      <c r="S11245" s="1420"/>
      <c r="T11245" s="1420"/>
      <c r="V11245" s="1357">
        <v>279</v>
      </c>
    </row>
    <row r="11246" spans="1:22" s="841" customFormat="1" ht="15" x14ac:dyDescent="0.25">
      <c r="A11246" s="841" t="s">
        <v>206</v>
      </c>
      <c r="E11246" s="1694" t="s">
        <v>3067</v>
      </c>
      <c r="F11246" s="1907"/>
      <c r="G11246" s="1907"/>
      <c r="H11246" s="1907"/>
      <c r="K11246" s="841" t="s">
        <v>3130</v>
      </c>
      <c r="M11246" s="1357"/>
      <c r="Q11246" s="1357"/>
      <c r="S11246" s="1420"/>
      <c r="T11246" s="1420"/>
      <c r="V11246" s="1357">
        <v>46</v>
      </c>
    </row>
    <row r="11247" spans="1:22" s="841" customFormat="1" ht="15" x14ac:dyDescent="0.25">
      <c r="A11247" s="841" t="s">
        <v>206</v>
      </c>
      <c r="E11247" s="1690" t="s">
        <v>3928</v>
      </c>
      <c r="F11247" s="1690"/>
      <c r="G11247" s="1408" t="s">
        <v>23</v>
      </c>
      <c r="H11247" s="391">
        <v>2.81</v>
      </c>
      <c r="K11247" s="841" t="s">
        <v>3477</v>
      </c>
      <c r="L11247" s="841" t="s">
        <v>442</v>
      </c>
      <c r="M11247" s="1357"/>
      <c r="P11247" s="841" t="s">
        <v>3478</v>
      </c>
      <c r="Q11247" s="1357"/>
      <c r="S11247" s="1420"/>
      <c r="T11247" s="1420"/>
      <c r="V11247" s="1357">
        <v>27</v>
      </c>
    </row>
    <row r="11248" spans="1:22" s="841" customFormat="1" ht="15" x14ac:dyDescent="0.25">
      <c r="A11248" s="841" t="s">
        <v>206</v>
      </c>
      <c r="E11248" s="1690" t="s">
        <v>84</v>
      </c>
      <c r="F11248" s="1690"/>
      <c r="G11248" s="1408" t="s">
        <v>33</v>
      </c>
      <c r="H11248" s="393">
        <v>7.3263999999999996</v>
      </c>
      <c r="K11248" s="841" t="s">
        <v>3477</v>
      </c>
      <c r="L11248" s="841" t="s">
        <v>442</v>
      </c>
      <c r="M11248" s="1357"/>
      <c r="P11248" s="841" t="s">
        <v>3479</v>
      </c>
      <c r="Q11248" s="1357"/>
      <c r="S11248" s="1420"/>
      <c r="T11248" s="1420"/>
      <c r="V11248" s="1357">
        <v>28</v>
      </c>
    </row>
    <row r="11249" spans="1:22" s="841" customFormat="1" ht="15" x14ac:dyDescent="0.25">
      <c r="A11249" s="841" t="s">
        <v>206</v>
      </c>
      <c r="E11249" s="1690" t="s">
        <v>18</v>
      </c>
      <c r="F11249" s="1690"/>
      <c r="G11249" s="1408" t="s">
        <v>33</v>
      </c>
      <c r="H11249" s="393">
        <v>0.38140000000000002</v>
      </c>
      <c r="K11249" s="841" t="s">
        <v>3477</v>
      </c>
      <c r="L11249" s="841" t="s">
        <v>443</v>
      </c>
      <c r="M11249" s="1357"/>
      <c r="P11249" s="841" t="s">
        <v>3480</v>
      </c>
      <c r="Q11249" s="1357"/>
      <c r="S11249" s="1420"/>
      <c r="T11249" s="1420"/>
      <c r="V11249" s="1357">
        <v>24</v>
      </c>
    </row>
    <row r="11250" spans="1:22" s="841" customFormat="1" ht="15" x14ac:dyDescent="0.25">
      <c r="A11250" s="841" t="s">
        <v>206</v>
      </c>
      <c r="E11250" s="1690" t="s">
        <v>221</v>
      </c>
      <c r="F11250" s="1690"/>
      <c r="G11250" s="1408" t="s">
        <v>33</v>
      </c>
      <c r="H11250" s="393">
        <v>1.7146999999999999</v>
      </c>
      <c r="K11250" s="841" t="s">
        <v>3477</v>
      </c>
      <c r="L11250" s="841" t="s">
        <v>444</v>
      </c>
      <c r="M11250" s="1357"/>
      <c r="P11250" s="841" t="s">
        <v>3482</v>
      </c>
      <c r="Q11250" s="1357"/>
      <c r="S11250" s="1420"/>
      <c r="T11250" s="1420"/>
      <c r="V11250" s="1357">
        <v>47</v>
      </c>
    </row>
    <row r="11251" spans="1:22" s="841" customFormat="1" ht="15" x14ac:dyDescent="0.25">
      <c r="A11251" s="841" t="s">
        <v>206</v>
      </c>
      <c r="E11251" s="1690" t="s">
        <v>217</v>
      </c>
      <c r="F11251" s="1690"/>
      <c r="G11251" s="1408" t="s">
        <v>33</v>
      </c>
      <c r="H11251" s="393">
        <v>1.3759999999999999</v>
      </c>
      <c r="K11251" s="841" t="s">
        <v>3477</v>
      </c>
      <c r="L11251" s="841" t="s">
        <v>444</v>
      </c>
      <c r="M11251" s="1357"/>
      <c r="P11251" s="841" t="s">
        <v>3483</v>
      </c>
      <c r="Q11251" s="1357"/>
      <c r="S11251" s="1420"/>
      <c r="T11251" s="1420"/>
      <c r="V11251" s="1357">
        <v>74</v>
      </c>
    </row>
    <row r="11252" spans="1:22" s="841" customFormat="1" ht="15" x14ac:dyDescent="0.25">
      <c r="A11252" s="841" t="s">
        <v>206</v>
      </c>
      <c r="E11252" s="1694" t="s">
        <v>3079</v>
      </c>
      <c r="F11252" s="1690"/>
      <c r="G11252" s="1408"/>
      <c r="H11252" s="1408"/>
      <c r="K11252" s="841" t="s">
        <v>3260</v>
      </c>
      <c r="M11252" s="1357"/>
      <c r="Q11252" s="1357"/>
      <c r="S11252" s="1420"/>
      <c r="T11252" s="1420"/>
      <c r="V11252" s="1357">
        <v>48</v>
      </c>
    </row>
    <row r="11253" spans="1:22" s="841" customFormat="1" ht="15" x14ac:dyDescent="0.25">
      <c r="A11253" s="841" t="s">
        <v>206</v>
      </c>
      <c r="E11253" s="1690" t="s">
        <v>2449</v>
      </c>
      <c r="F11253" s="1690"/>
      <c r="G11253" s="1408" t="s">
        <v>24</v>
      </c>
      <c r="H11253" s="393">
        <v>3.2000000000000002E-3</v>
      </c>
      <c r="K11253" s="841" t="s">
        <v>3477</v>
      </c>
      <c r="L11253" s="841" t="s">
        <v>3046</v>
      </c>
      <c r="M11253" s="1357"/>
      <c r="P11253" s="841" t="s">
        <v>3484</v>
      </c>
      <c r="Q11253" s="1357"/>
      <c r="S11253" s="1420"/>
      <c r="T11253" s="1420"/>
      <c r="V11253" s="1357">
        <v>55</v>
      </c>
    </row>
    <row r="11254" spans="1:22" s="841" customFormat="1" ht="15" x14ac:dyDescent="0.25">
      <c r="A11254" s="841" t="s">
        <v>206</v>
      </c>
      <c r="E11254" s="1920" t="s">
        <v>2450</v>
      </c>
      <c r="F11254" s="1690"/>
      <c r="G11254" s="1408" t="s">
        <v>24</v>
      </c>
      <c r="H11254" s="393">
        <v>4.0000000000000002E-4</v>
      </c>
      <c r="K11254" s="841" t="s">
        <v>3477</v>
      </c>
      <c r="L11254" s="841" t="s">
        <v>3046</v>
      </c>
      <c r="M11254" s="1357"/>
      <c r="P11254" s="841" t="s">
        <v>3484</v>
      </c>
      <c r="Q11254" s="1357"/>
      <c r="S11254" s="1420"/>
      <c r="T11254" s="1420"/>
      <c r="V11254" s="1357">
        <v>65</v>
      </c>
    </row>
    <row r="11255" spans="1:22" s="841" customFormat="1" ht="15" x14ac:dyDescent="0.25">
      <c r="A11255" s="841" t="s">
        <v>206</v>
      </c>
      <c r="E11255" s="1690" t="s">
        <v>439</v>
      </c>
      <c r="F11255" s="1690"/>
      <c r="G11255" s="1408" t="s">
        <v>24</v>
      </c>
      <c r="H11255" s="393">
        <v>2.9999999999999997E-4</v>
      </c>
      <c r="K11255" s="841" t="s">
        <v>3477</v>
      </c>
      <c r="L11255" s="841" t="s">
        <v>3046</v>
      </c>
      <c r="M11255" s="1357"/>
      <c r="P11255" s="841" t="s">
        <v>3485</v>
      </c>
      <c r="Q11255" s="1357"/>
      <c r="S11255" s="1420"/>
      <c r="T11255" s="1420"/>
      <c r="V11255" s="1357">
        <v>57</v>
      </c>
    </row>
    <row r="11256" spans="1:22" s="841" customFormat="1" ht="15" x14ac:dyDescent="0.25">
      <c r="A11256" s="841" t="s">
        <v>206</v>
      </c>
      <c r="E11256" s="1690" t="s">
        <v>32</v>
      </c>
      <c r="F11256" s="1690"/>
      <c r="G11256" s="1408" t="s">
        <v>23</v>
      </c>
      <c r="H11256" s="391">
        <v>0.25</v>
      </c>
      <c r="K11256" s="841" t="s">
        <v>3477</v>
      </c>
      <c r="L11256" s="841" t="s">
        <v>3046</v>
      </c>
      <c r="M11256" s="1357"/>
      <c r="P11256" s="841" t="s">
        <v>3486</v>
      </c>
      <c r="Q11256" s="1357"/>
      <c r="S11256" s="1420"/>
      <c r="T11256" s="1420"/>
      <c r="V11256" s="1357">
        <v>63</v>
      </c>
    </row>
    <row r="11257" spans="1:22" s="841" customFormat="1" x14ac:dyDescent="0.25">
      <c r="A11257" s="841" t="s">
        <v>206</v>
      </c>
      <c r="E11257" s="1909" t="s">
        <v>618</v>
      </c>
      <c r="F11257" s="1915"/>
      <c r="G11257" s="1915"/>
      <c r="H11257" s="1915"/>
      <c r="K11257" s="841" t="s">
        <v>3487</v>
      </c>
      <c r="M11257" s="1357"/>
      <c r="Q11257" s="1357"/>
      <c r="S11257" s="1420"/>
      <c r="T11257" s="1420"/>
      <c r="V11257" s="1357">
        <v>31</v>
      </c>
    </row>
    <row r="11258" spans="1:22" s="841" customFormat="1" ht="15" x14ac:dyDescent="0.25">
      <c r="A11258" s="841" t="s">
        <v>206</v>
      </c>
      <c r="E11258" s="1689" t="s">
        <v>3372</v>
      </c>
      <c r="F11258" s="1689"/>
      <c r="G11258" s="1689"/>
      <c r="H11258" s="1689"/>
      <c r="K11258" s="841" t="s">
        <v>3487</v>
      </c>
      <c r="M11258" s="1357"/>
      <c r="Q11258" s="1357"/>
      <c r="S11258" s="1420"/>
      <c r="T11258" s="1420"/>
      <c r="V11258" s="1357">
        <v>285</v>
      </c>
    </row>
    <row r="11259" spans="1:22" s="841" customFormat="1" ht="15" x14ac:dyDescent="0.25">
      <c r="A11259" s="841" t="s">
        <v>206</v>
      </c>
      <c r="E11259" s="1916" t="s">
        <v>3061</v>
      </c>
      <c r="F11259" s="1697"/>
      <c r="G11259" s="1697"/>
      <c r="H11259" s="1697"/>
      <c r="K11259" s="841" t="s">
        <v>3266</v>
      </c>
      <c r="M11259" s="1357"/>
      <c r="Q11259" s="1357"/>
      <c r="S11259" s="1420"/>
      <c r="T11259" s="1420"/>
      <c r="V11259" s="1357">
        <v>11</v>
      </c>
    </row>
    <row r="11260" spans="1:22" s="841" customFormat="1" ht="15" x14ac:dyDescent="0.25">
      <c r="A11260" s="841" t="s">
        <v>206</v>
      </c>
      <c r="E11260" s="1689" t="s">
        <v>3063</v>
      </c>
      <c r="F11260" s="1689"/>
      <c r="G11260" s="1689"/>
      <c r="H11260" s="1689"/>
      <c r="K11260" s="841" t="s">
        <v>3487</v>
      </c>
      <c r="M11260" s="1357"/>
      <c r="Q11260" s="1357"/>
      <c r="S11260" s="1420"/>
      <c r="T11260" s="1420"/>
      <c r="V11260" s="1357">
        <v>280</v>
      </c>
    </row>
    <row r="11261" spans="1:22" s="841" customFormat="1" ht="15" x14ac:dyDescent="0.25">
      <c r="A11261" s="841" t="s">
        <v>206</v>
      </c>
      <c r="E11261" s="1689" t="s">
        <v>3064</v>
      </c>
      <c r="F11261" s="1689"/>
      <c r="G11261" s="1689"/>
      <c r="H11261" s="1689"/>
      <c r="K11261" s="841" t="s">
        <v>3487</v>
      </c>
      <c r="M11261" s="1357"/>
      <c r="Q11261" s="1357"/>
      <c r="S11261" s="1420"/>
      <c r="T11261" s="1420"/>
      <c r="V11261" s="1357">
        <v>411</v>
      </c>
    </row>
    <row r="11262" spans="1:22" s="841" customFormat="1" ht="15" x14ac:dyDescent="0.25">
      <c r="A11262" s="841" t="s">
        <v>206</v>
      </c>
      <c r="E11262" s="1689" t="s">
        <v>3129</v>
      </c>
      <c r="F11262" s="1689"/>
      <c r="G11262" s="1689"/>
      <c r="H11262" s="1689"/>
      <c r="K11262" s="841" t="s">
        <v>3487</v>
      </c>
      <c r="M11262" s="1357"/>
      <c r="Q11262" s="1357"/>
      <c r="S11262" s="1420"/>
      <c r="T11262" s="1420"/>
      <c r="V11262" s="1357">
        <v>211</v>
      </c>
    </row>
    <row r="11263" spans="1:22" s="841" customFormat="1" ht="15" x14ac:dyDescent="0.25">
      <c r="A11263" s="841" t="s">
        <v>206</v>
      </c>
      <c r="E11263" s="1689" t="s">
        <v>4340</v>
      </c>
      <c r="F11263" s="1689"/>
      <c r="G11263" s="1689"/>
      <c r="H11263" s="1689"/>
      <c r="K11263" s="841" t="s">
        <v>3487</v>
      </c>
      <c r="M11263" s="1357"/>
      <c r="Q11263" s="1357"/>
      <c r="S11263" s="1420"/>
      <c r="T11263" s="1420"/>
      <c r="V11263" s="1357">
        <v>279</v>
      </c>
    </row>
    <row r="11264" spans="1:22" s="841" customFormat="1" ht="15" x14ac:dyDescent="0.25">
      <c r="A11264" s="841" t="s">
        <v>206</v>
      </c>
      <c r="E11264" s="1694" t="s">
        <v>3067</v>
      </c>
      <c r="F11264" s="1907"/>
      <c r="G11264" s="1907"/>
      <c r="H11264" s="1907"/>
      <c r="K11264" s="841" t="s">
        <v>3267</v>
      </c>
      <c r="M11264" s="1357"/>
      <c r="Q11264" s="1357"/>
      <c r="S11264" s="1420"/>
      <c r="T11264" s="1420"/>
      <c r="V11264" s="1357">
        <v>46</v>
      </c>
    </row>
    <row r="11265" spans="1:22" s="841" customFormat="1" ht="15" x14ac:dyDescent="0.25">
      <c r="A11265" s="841" t="s">
        <v>206</v>
      </c>
      <c r="E11265" s="1690" t="s">
        <v>11</v>
      </c>
      <c r="F11265" s="1690"/>
      <c r="G11265" s="1408" t="s">
        <v>23</v>
      </c>
      <c r="H11265" s="391">
        <v>5.4</v>
      </c>
      <c r="K11265" s="841" t="s">
        <v>3487</v>
      </c>
      <c r="L11265" s="841" t="s">
        <v>442</v>
      </c>
      <c r="M11265" s="1357"/>
      <c r="P11265" s="841" t="s">
        <v>3488</v>
      </c>
      <c r="Q11265" s="1357"/>
      <c r="S11265" s="1420"/>
      <c r="T11265" s="1420"/>
      <c r="V11265" s="1357">
        <v>14</v>
      </c>
    </row>
    <row r="11266" spans="1:22" s="841" customFormat="1" ht="18.75" x14ac:dyDescent="0.3">
      <c r="A11266" s="841" t="s">
        <v>206</v>
      </c>
      <c r="E11266" s="1374" t="s">
        <v>85</v>
      </c>
      <c r="F11266" s="657"/>
      <c r="G11266" s="657"/>
      <c r="H11266" s="658"/>
      <c r="K11266" s="841" t="s">
        <v>4528</v>
      </c>
      <c r="M11266" s="1357"/>
      <c r="Q11266" s="1357"/>
      <c r="S11266" s="1420"/>
      <c r="T11266" s="1420"/>
      <c r="V11266" s="1357">
        <v>10</v>
      </c>
    </row>
    <row r="11267" spans="1:22" s="841" customFormat="1" ht="15" x14ac:dyDescent="0.25">
      <c r="A11267" s="841" t="s">
        <v>206</v>
      </c>
      <c r="E11267" s="1690" t="s">
        <v>3133</v>
      </c>
      <c r="F11267" s="1690"/>
      <c r="G11267" s="1408" t="s">
        <v>33</v>
      </c>
      <c r="H11267" s="393">
        <v>-0.6</v>
      </c>
      <c r="M11267" s="1357"/>
      <c r="Q11267" s="1357"/>
      <c r="S11267" s="1420"/>
      <c r="T11267" s="1420"/>
      <c r="V11267" s="1357">
        <v>68</v>
      </c>
    </row>
    <row r="11268" spans="1:22" s="841" customFormat="1" ht="15" x14ac:dyDescent="0.25">
      <c r="A11268" s="841" t="s">
        <v>206</v>
      </c>
      <c r="E11268" s="1690" t="s">
        <v>3134</v>
      </c>
      <c r="F11268" s="1690"/>
      <c r="G11268" s="1408" t="s">
        <v>86</v>
      </c>
      <c r="H11268" s="391">
        <v>-1</v>
      </c>
      <c r="M11268" s="1357"/>
      <c r="Q11268" s="1357"/>
      <c r="S11268" s="1420"/>
      <c r="T11268" s="1420"/>
      <c r="V11268" s="1357">
        <v>87</v>
      </c>
    </row>
    <row r="11269" spans="1:22" s="841" customFormat="1" ht="36.75" x14ac:dyDescent="0.3">
      <c r="A11269" s="841" t="s">
        <v>206</v>
      </c>
      <c r="E11269" s="1374" t="s">
        <v>87</v>
      </c>
      <c r="F11269" s="657"/>
      <c r="G11269" s="657"/>
      <c r="H11269" s="658"/>
      <c r="K11269" s="841" t="s">
        <v>4529</v>
      </c>
      <c r="M11269" s="1357"/>
      <c r="Q11269" s="1357"/>
      <c r="S11269" s="1420"/>
      <c r="T11269" s="1420"/>
      <c r="V11269" s="1357">
        <v>24</v>
      </c>
    </row>
    <row r="11270" spans="1:22" s="841" customFormat="1" ht="15" x14ac:dyDescent="0.25">
      <c r="A11270" s="841" t="s">
        <v>206</v>
      </c>
      <c r="E11270" s="1689" t="s">
        <v>3063</v>
      </c>
      <c r="F11270" s="1689"/>
      <c r="G11270" s="1689"/>
      <c r="H11270" s="1689"/>
      <c r="M11270" s="1357"/>
      <c r="Q11270" s="1357"/>
      <c r="S11270" s="1420"/>
      <c r="T11270" s="1420"/>
      <c r="V11270" s="1357">
        <v>280</v>
      </c>
    </row>
    <row r="11271" spans="1:22" s="841" customFormat="1" ht="15" x14ac:dyDescent="0.25">
      <c r="A11271" s="841" t="s">
        <v>206</v>
      </c>
      <c r="E11271" s="1689" t="s">
        <v>3136</v>
      </c>
      <c r="F11271" s="1689"/>
      <c r="G11271" s="1689"/>
      <c r="H11271" s="1689"/>
      <c r="M11271" s="1357"/>
      <c r="Q11271" s="1357"/>
      <c r="S11271" s="1420"/>
      <c r="T11271" s="1420"/>
      <c r="V11271" s="1357">
        <v>353</v>
      </c>
    </row>
    <row r="11272" spans="1:22" s="841" customFormat="1" ht="15" x14ac:dyDescent="0.25">
      <c r="A11272" s="841" t="s">
        <v>206</v>
      </c>
      <c r="E11272" s="1689" t="s">
        <v>3200</v>
      </c>
      <c r="F11272" s="1689"/>
      <c r="G11272" s="1689"/>
      <c r="H11272" s="1689"/>
      <c r="M11272" s="1357"/>
      <c r="Q11272" s="1357"/>
      <c r="S11272" s="1420"/>
      <c r="T11272" s="1420"/>
      <c r="V11272" s="1357">
        <v>275</v>
      </c>
    </row>
    <row r="11273" spans="1:22" s="841" customFormat="1" ht="15" x14ac:dyDescent="0.25">
      <c r="A11273" s="841" t="s">
        <v>206</v>
      </c>
      <c r="E11273" s="1370" t="s">
        <v>3137</v>
      </c>
      <c r="F11273" s="3"/>
      <c r="G11273" s="3"/>
      <c r="H11273" s="398"/>
      <c r="K11273" s="841" t="s">
        <v>4530</v>
      </c>
      <c r="M11273" s="1357"/>
      <c r="Q11273" s="1357"/>
      <c r="S11273" s="1420"/>
      <c r="T11273" s="1420"/>
      <c r="V11273" s="1357">
        <v>23</v>
      </c>
    </row>
    <row r="11274" spans="1:22" s="841" customFormat="1" ht="15" x14ac:dyDescent="0.25">
      <c r="A11274" s="841" t="s">
        <v>206</v>
      </c>
      <c r="E11274" s="1688" t="s">
        <v>3355</v>
      </c>
      <c r="F11274" s="1688"/>
      <c r="G11274" s="1408" t="s">
        <v>23</v>
      </c>
      <c r="H11274" s="391">
        <v>15</v>
      </c>
      <c r="M11274" s="1357"/>
      <c r="Q11274" s="1357"/>
      <c r="S11274" s="1420"/>
      <c r="T11274" s="1420"/>
      <c r="V11274" s="1357">
        <v>19</v>
      </c>
    </row>
    <row r="11275" spans="1:22" s="841" customFormat="1" ht="15" x14ac:dyDescent="0.25">
      <c r="A11275" s="841" t="s">
        <v>206</v>
      </c>
      <c r="E11275" s="1688" t="s">
        <v>3140</v>
      </c>
      <c r="F11275" s="1688"/>
      <c r="G11275" s="1408" t="s">
        <v>23</v>
      </c>
      <c r="H11275" s="391">
        <v>15</v>
      </c>
      <c r="M11275" s="1357"/>
      <c r="Q11275" s="1357"/>
      <c r="S11275" s="1420"/>
      <c r="T11275" s="1420"/>
      <c r="V11275" s="1357">
        <v>20</v>
      </c>
    </row>
    <row r="11276" spans="1:22" s="841" customFormat="1" ht="15" x14ac:dyDescent="0.25">
      <c r="A11276" s="841" t="s">
        <v>206</v>
      </c>
      <c r="E11276" s="1688" t="s">
        <v>3141</v>
      </c>
      <c r="F11276" s="1688"/>
      <c r="G11276" s="1408" t="s">
        <v>23</v>
      </c>
      <c r="H11276" s="391">
        <v>15</v>
      </c>
      <c r="M11276" s="1357"/>
      <c r="Q11276" s="1357"/>
      <c r="S11276" s="1420"/>
      <c r="T11276" s="1420"/>
      <c r="V11276" s="1357">
        <v>26</v>
      </c>
    </row>
    <row r="11277" spans="1:22" s="841" customFormat="1" ht="15" x14ac:dyDescent="0.25">
      <c r="A11277" s="841" t="s">
        <v>206</v>
      </c>
      <c r="E11277" s="1688" t="s">
        <v>3143</v>
      </c>
      <c r="F11277" s="1688"/>
      <c r="G11277" s="1408" t="s">
        <v>23</v>
      </c>
      <c r="H11277" s="391">
        <v>15</v>
      </c>
      <c r="M11277" s="1357"/>
      <c r="Q11277" s="1357"/>
      <c r="S11277" s="1420"/>
      <c r="T11277" s="1420"/>
      <c r="V11277" s="1357">
        <v>37</v>
      </c>
    </row>
    <row r="11278" spans="1:22" s="841" customFormat="1" ht="15" x14ac:dyDescent="0.25">
      <c r="A11278" s="841" t="s">
        <v>206</v>
      </c>
      <c r="E11278" s="1688" t="s">
        <v>4770</v>
      </c>
      <c r="F11278" s="1688"/>
      <c r="G11278" s="1408" t="s">
        <v>23</v>
      </c>
      <c r="H11278" s="391">
        <v>15</v>
      </c>
      <c r="M11278" s="1357"/>
      <c r="Q11278" s="1357"/>
      <c r="S11278" s="1420"/>
      <c r="T11278" s="1420"/>
      <c r="V11278" s="1357">
        <v>15</v>
      </c>
    </row>
    <row r="11279" spans="1:22" s="841" customFormat="1" ht="15" x14ac:dyDescent="0.25">
      <c r="A11279" s="841" t="s">
        <v>206</v>
      </c>
      <c r="E11279" s="1688" t="s">
        <v>3145</v>
      </c>
      <c r="F11279" s="1688"/>
      <c r="G11279" s="1408" t="s">
        <v>23</v>
      </c>
      <c r="H11279" s="391">
        <v>15</v>
      </c>
      <c r="M11279" s="1357"/>
      <c r="Q11279" s="1357"/>
      <c r="S11279" s="1420"/>
      <c r="T11279" s="1420"/>
      <c r="V11279" s="1357">
        <v>17</v>
      </c>
    </row>
    <row r="11280" spans="1:22" s="841" customFormat="1" ht="15" x14ac:dyDescent="0.25">
      <c r="A11280" s="841" t="s">
        <v>206</v>
      </c>
      <c r="E11280" s="1688" t="s">
        <v>3148</v>
      </c>
      <c r="F11280" s="1688"/>
      <c r="G11280" s="1408" t="s">
        <v>23</v>
      </c>
      <c r="H11280" s="391">
        <v>15</v>
      </c>
      <c r="M11280" s="1357"/>
      <c r="Q11280" s="1357"/>
      <c r="S11280" s="1420"/>
      <c r="T11280" s="1420"/>
      <c r="V11280" s="1357">
        <v>56</v>
      </c>
    </row>
    <row r="11281" spans="1:22" s="841" customFormat="1" ht="15" x14ac:dyDescent="0.25">
      <c r="A11281" s="841" t="s">
        <v>206</v>
      </c>
      <c r="E11281" s="1688" t="s">
        <v>123</v>
      </c>
      <c r="F11281" s="1688"/>
      <c r="G11281" s="1408" t="s">
        <v>23</v>
      </c>
      <c r="H11281" s="391">
        <v>15</v>
      </c>
      <c r="M11281" s="1357"/>
      <c r="Q11281" s="1357"/>
      <c r="S11281" s="1420"/>
      <c r="T11281" s="1420"/>
      <c r="V11281" s="1357">
        <v>35</v>
      </c>
    </row>
    <row r="11282" spans="1:22" s="841" customFormat="1" ht="15" x14ac:dyDescent="0.25">
      <c r="A11282" s="841" t="s">
        <v>206</v>
      </c>
      <c r="E11282" s="1688" t="s">
        <v>3151</v>
      </c>
      <c r="F11282" s="1688"/>
      <c r="G11282" s="1408" t="s">
        <v>23</v>
      </c>
      <c r="H11282" s="391">
        <v>15</v>
      </c>
      <c r="M11282" s="1357"/>
      <c r="Q11282" s="1357"/>
      <c r="S11282" s="1420"/>
      <c r="T11282" s="1420"/>
      <c r="V11282" s="1357">
        <v>19</v>
      </c>
    </row>
    <row r="11283" spans="1:22" s="841" customFormat="1" ht="15" x14ac:dyDescent="0.25">
      <c r="A11283" s="841" t="s">
        <v>206</v>
      </c>
      <c r="E11283" s="1688" t="s">
        <v>88</v>
      </c>
      <c r="F11283" s="1688"/>
      <c r="G11283" s="1408" t="s">
        <v>23</v>
      </c>
      <c r="H11283" s="391">
        <v>30</v>
      </c>
      <c r="M11283" s="1357"/>
      <c r="Q11283" s="1357"/>
      <c r="S11283" s="1420"/>
      <c r="T11283" s="1420"/>
      <c r="V11283" s="1357">
        <v>89</v>
      </c>
    </row>
    <row r="11284" spans="1:22" s="841" customFormat="1" ht="15" x14ac:dyDescent="0.25">
      <c r="A11284" s="841" t="s">
        <v>206</v>
      </c>
      <c r="E11284" s="1688" t="s">
        <v>94</v>
      </c>
      <c r="F11284" s="1688"/>
      <c r="G11284" s="1408" t="s">
        <v>23</v>
      </c>
      <c r="H11284" s="391">
        <v>30</v>
      </c>
      <c r="M11284" s="1357"/>
      <c r="Q11284" s="1357"/>
      <c r="S11284" s="1420"/>
      <c r="T11284" s="1420"/>
      <c r="V11284" s="1357">
        <v>19</v>
      </c>
    </row>
    <row r="11285" spans="1:22" s="841" customFormat="1" ht="15" x14ac:dyDescent="0.25">
      <c r="A11285" s="841" t="s">
        <v>206</v>
      </c>
      <c r="E11285" s="1688" t="s">
        <v>92</v>
      </c>
      <c r="F11285" s="1688"/>
      <c r="G11285" s="1408" t="s">
        <v>23</v>
      </c>
      <c r="H11285" s="391">
        <v>30</v>
      </c>
      <c r="M11285" s="1357"/>
      <c r="Q11285" s="1357"/>
      <c r="S11285" s="1420"/>
      <c r="T11285" s="1420"/>
      <c r="V11285" s="1357">
        <v>74</v>
      </c>
    </row>
    <row r="11286" spans="1:22" s="841" customFormat="1" ht="15" x14ac:dyDescent="0.25">
      <c r="A11286" s="841" t="s">
        <v>206</v>
      </c>
      <c r="E11286" s="1370" t="s">
        <v>3152</v>
      </c>
      <c r="F11286" s="3"/>
      <c r="G11286" s="3"/>
      <c r="H11286" s="398"/>
      <c r="K11286" s="841" t="s">
        <v>4531</v>
      </c>
      <c r="M11286" s="1357"/>
      <c r="Q11286" s="1357"/>
      <c r="S11286" s="1420"/>
      <c r="T11286" s="1420"/>
      <c r="V11286" s="1357">
        <v>22</v>
      </c>
    </row>
    <row r="11287" spans="1:22" s="841" customFormat="1" ht="15" x14ac:dyDescent="0.25">
      <c r="A11287" s="841" t="s">
        <v>206</v>
      </c>
      <c r="E11287" s="1688" t="s">
        <v>5137</v>
      </c>
      <c r="F11287" s="1688"/>
      <c r="G11287" s="1408" t="s">
        <v>86</v>
      </c>
      <c r="H11287" s="391">
        <v>1.5</v>
      </c>
      <c r="M11287" s="1357"/>
      <c r="Q11287" s="1357"/>
      <c r="S11287" s="1420"/>
      <c r="T11287" s="1420"/>
      <c r="V11287" s="1357">
        <v>24</v>
      </c>
    </row>
    <row r="11288" spans="1:22" s="841" customFormat="1" ht="15" x14ac:dyDescent="0.25">
      <c r="A11288" s="841" t="s">
        <v>206</v>
      </c>
      <c r="E11288" s="1688" t="s">
        <v>4772</v>
      </c>
      <c r="F11288" s="1688"/>
      <c r="G11288" s="1408" t="s">
        <v>86</v>
      </c>
      <c r="H11288" s="391">
        <v>19.559999999999999</v>
      </c>
      <c r="M11288" s="1357"/>
      <c r="Q11288" s="1357"/>
      <c r="S11288" s="1420"/>
      <c r="T11288" s="1420"/>
      <c r="V11288" s="1357">
        <v>24</v>
      </c>
    </row>
    <row r="11289" spans="1:22" s="841" customFormat="1" ht="15" x14ac:dyDescent="0.25">
      <c r="A11289" s="841" t="s">
        <v>206</v>
      </c>
      <c r="E11289" s="1688" t="s">
        <v>3288</v>
      </c>
      <c r="F11289" s="1688"/>
      <c r="G11289" s="1408" t="s">
        <v>23</v>
      </c>
      <c r="H11289" s="391">
        <v>30</v>
      </c>
      <c r="M11289" s="1357"/>
      <c r="Q11289" s="1357"/>
      <c r="S11289" s="1420"/>
      <c r="T11289" s="1420"/>
      <c r="V11289" s="1357">
        <v>47</v>
      </c>
    </row>
    <row r="11290" spans="1:22" s="841" customFormat="1" ht="15" x14ac:dyDescent="0.25">
      <c r="A11290" s="841" t="s">
        <v>206</v>
      </c>
      <c r="E11290" s="1688" t="s">
        <v>3157</v>
      </c>
      <c r="F11290" s="1688"/>
      <c r="G11290" s="1408" t="s">
        <v>23</v>
      </c>
      <c r="H11290" s="391">
        <v>165</v>
      </c>
      <c r="M11290" s="1357"/>
      <c r="Q11290" s="1357"/>
      <c r="S11290" s="1420"/>
      <c r="T11290" s="1420"/>
      <c r="V11290" s="1357">
        <v>69</v>
      </c>
    </row>
    <row r="11291" spans="1:22" s="841" customFormat="1" ht="15" x14ac:dyDescent="0.25">
      <c r="A11291" s="841" t="s">
        <v>206</v>
      </c>
      <c r="E11291" s="1688" t="s">
        <v>4773</v>
      </c>
      <c r="F11291" s="1688"/>
      <c r="G11291" s="1408" t="s">
        <v>23</v>
      </c>
      <c r="H11291" s="391">
        <v>65</v>
      </c>
      <c r="M11291" s="1357"/>
      <c r="Q11291" s="1357"/>
      <c r="S11291" s="1420"/>
      <c r="T11291" s="1420"/>
      <c r="V11291" s="1357">
        <v>52</v>
      </c>
    </row>
    <row r="11292" spans="1:22" s="841" customFormat="1" ht="15" x14ac:dyDescent="0.25">
      <c r="A11292" s="841" t="s">
        <v>206</v>
      </c>
      <c r="E11292" s="1688" t="s">
        <v>4774</v>
      </c>
      <c r="F11292" s="1688"/>
      <c r="G11292" s="1408" t="s">
        <v>23</v>
      </c>
      <c r="H11292" s="391">
        <v>185</v>
      </c>
      <c r="M11292" s="1357"/>
      <c r="Q11292" s="1357"/>
      <c r="S11292" s="1420"/>
      <c r="T11292" s="1420"/>
      <c r="V11292" s="1357">
        <v>51</v>
      </c>
    </row>
    <row r="11293" spans="1:22" s="841" customFormat="1" ht="15" x14ac:dyDescent="0.25">
      <c r="A11293" s="841" t="s">
        <v>206</v>
      </c>
      <c r="E11293" s="1688" t="s">
        <v>4775</v>
      </c>
      <c r="F11293" s="1688"/>
      <c r="G11293" s="1408" t="s">
        <v>23</v>
      </c>
      <c r="H11293" s="391">
        <v>185</v>
      </c>
      <c r="M11293" s="1357"/>
      <c r="Q11293" s="1357"/>
      <c r="S11293" s="1420"/>
      <c r="T11293" s="1420"/>
      <c r="V11293" s="1357">
        <v>51</v>
      </c>
    </row>
    <row r="11294" spans="1:22" s="841" customFormat="1" ht="15" x14ac:dyDescent="0.25">
      <c r="A11294" s="841" t="s">
        <v>206</v>
      </c>
      <c r="E11294" s="1688" t="s">
        <v>4776</v>
      </c>
      <c r="F11294" s="1688"/>
      <c r="G11294" s="1408" t="s">
        <v>23</v>
      </c>
      <c r="H11294" s="391">
        <v>415</v>
      </c>
      <c r="M11294" s="1357"/>
      <c r="Q11294" s="1357"/>
      <c r="S11294" s="1420"/>
      <c r="T11294" s="1420"/>
      <c r="V11294" s="1357">
        <v>50</v>
      </c>
    </row>
    <row r="11295" spans="1:22" s="841" customFormat="1" ht="15" x14ac:dyDescent="0.25">
      <c r="A11295" s="841" t="s">
        <v>206</v>
      </c>
      <c r="E11295" s="1688" t="s">
        <v>4777</v>
      </c>
      <c r="F11295" s="1688"/>
      <c r="G11295" s="1408" t="s">
        <v>23</v>
      </c>
      <c r="H11295" s="391">
        <v>65</v>
      </c>
      <c r="M11295" s="1357"/>
      <c r="Q11295" s="1357"/>
      <c r="S11295" s="1420"/>
      <c r="T11295" s="1420"/>
      <c r="V11295" s="1357">
        <v>57</v>
      </c>
    </row>
    <row r="11296" spans="1:22" s="841" customFormat="1" ht="15" x14ac:dyDescent="0.25">
      <c r="A11296" s="841" t="s">
        <v>206</v>
      </c>
      <c r="E11296" s="1688" t="s">
        <v>4778</v>
      </c>
      <c r="F11296" s="1688"/>
      <c r="G11296" s="1408" t="s">
        <v>23</v>
      </c>
      <c r="H11296" s="391">
        <v>185</v>
      </c>
      <c r="M11296" s="1357"/>
      <c r="Q11296" s="1357"/>
      <c r="S11296" s="1420"/>
      <c r="T11296" s="1420"/>
      <c r="V11296" s="1357">
        <v>56</v>
      </c>
    </row>
    <row r="11297" spans="1:22" s="841" customFormat="1" ht="15" x14ac:dyDescent="0.25">
      <c r="A11297" s="841" t="s">
        <v>206</v>
      </c>
      <c r="E11297" s="1370" t="s">
        <v>3164</v>
      </c>
      <c r="F11297" s="3"/>
      <c r="G11297" s="3"/>
      <c r="H11297" s="398"/>
      <c r="M11297" s="1357"/>
      <c r="Q11297" s="1357"/>
      <c r="S11297" s="1420"/>
      <c r="T11297" s="1420"/>
      <c r="V11297" s="1357">
        <v>5</v>
      </c>
    </row>
    <row r="11298" spans="1:22" s="841" customFormat="1" ht="15" x14ac:dyDescent="0.25">
      <c r="A11298" s="841" t="s">
        <v>206</v>
      </c>
      <c r="E11298" s="1688" t="s">
        <v>3167</v>
      </c>
      <c r="F11298" s="1688"/>
      <c r="G11298" s="1408" t="s">
        <v>23</v>
      </c>
      <c r="H11298" s="391">
        <v>30</v>
      </c>
      <c r="M11298" s="1357"/>
      <c r="Q11298" s="1357"/>
      <c r="S11298" s="1420"/>
      <c r="T11298" s="1420"/>
      <c r="V11298" s="1357">
        <v>39</v>
      </c>
    </row>
    <row r="11299" spans="1:22" s="841" customFormat="1" ht="15" x14ac:dyDescent="0.25">
      <c r="A11299" s="841" t="s">
        <v>206</v>
      </c>
      <c r="E11299" s="1688" t="s">
        <v>3168</v>
      </c>
      <c r="F11299" s="1688"/>
      <c r="G11299" s="1408" t="s">
        <v>23</v>
      </c>
      <c r="H11299" s="391">
        <v>165</v>
      </c>
      <c r="M11299" s="1357"/>
      <c r="Q11299" s="1357"/>
      <c r="S11299" s="1420"/>
      <c r="T11299" s="1420"/>
      <c r="V11299" s="1357">
        <v>34</v>
      </c>
    </row>
    <row r="11300" spans="1:22" s="841" customFormat="1" ht="15" x14ac:dyDescent="0.25">
      <c r="A11300" s="841" t="s">
        <v>206</v>
      </c>
      <c r="E11300" s="1688" t="s">
        <v>3434</v>
      </c>
      <c r="F11300" s="1688"/>
      <c r="G11300" s="1408" t="s">
        <v>23</v>
      </c>
      <c r="H11300" s="391">
        <v>500</v>
      </c>
      <c r="M11300" s="1357"/>
      <c r="Q11300" s="1357"/>
      <c r="S11300" s="1420"/>
      <c r="T11300" s="1420"/>
      <c r="V11300" s="1357">
        <v>64</v>
      </c>
    </row>
    <row r="11301" spans="1:22" s="841" customFormat="1" ht="15" x14ac:dyDescent="0.25">
      <c r="A11301" s="841" t="s">
        <v>206</v>
      </c>
      <c r="E11301" s="1688" t="s">
        <v>3489</v>
      </c>
      <c r="F11301" s="1688"/>
      <c r="G11301" s="1408" t="s">
        <v>23</v>
      </c>
      <c r="H11301" s="391">
        <v>300</v>
      </c>
      <c r="M11301" s="1357"/>
      <c r="Q11301" s="1357"/>
      <c r="S11301" s="1420"/>
      <c r="T11301" s="1420"/>
      <c r="V11301" s="1357">
        <v>67</v>
      </c>
    </row>
    <row r="11302" spans="1:22" s="841" customFormat="1" ht="15" x14ac:dyDescent="0.25">
      <c r="A11302" s="841" t="s">
        <v>206</v>
      </c>
      <c r="E11302" s="1688" t="s">
        <v>3490</v>
      </c>
      <c r="F11302" s="1688"/>
      <c r="G11302" s="1408" t="s">
        <v>23</v>
      </c>
      <c r="H11302" s="391">
        <v>1000</v>
      </c>
      <c r="M11302" s="1357"/>
      <c r="Q11302" s="1357"/>
      <c r="S11302" s="1420"/>
      <c r="T11302" s="1420"/>
      <c r="V11302" s="1357">
        <v>66</v>
      </c>
    </row>
    <row r="11303" spans="1:22" s="841" customFormat="1" ht="15" x14ac:dyDescent="0.25">
      <c r="A11303" s="841" t="s">
        <v>206</v>
      </c>
      <c r="E11303" s="1688" t="s">
        <v>3502</v>
      </c>
      <c r="F11303" s="1688"/>
      <c r="G11303" s="1408" t="s">
        <v>23</v>
      </c>
      <c r="H11303" s="391">
        <v>22.35</v>
      </c>
      <c r="M11303" s="1357"/>
      <c r="Q11303" s="1357"/>
      <c r="S11303" s="1420"/>
      <c r="T11303" s="1420"/>
      <c r="V11303" s="1357">
        <v>104</v>
      </c>
    </row>
    <row r="11304" spans="1:22" s="841" customFormat="1" ht="15" x14ac:dyDescent="0.25">
      <c r="A11304" s="841" t="s">
        <v>206</v>
      </c>
      <c r="E11304" s="1688" t="s">
        <v>4380</v>
      </c>
      <c r="F11304" s="1688"/>
      <c r="G11304" s="1408" t="s">
        <v>23</v>
      </c>
      <c r="H11304" s="391">
        <v>110</v>
      </c>
      <c r="M11304" s="1357"/>
      <c r="Q11304" s="1357"/>
      <c r="S11304" s="1420"/>
      <c r="T11304" s="1420"/>
      <c r="V11304" s="1357">
        <v>50</v>
      </c>
    </row>
    <row r="11305" spans="1:22" s="841" customFormat="1" ht="15" x14ac:dyDescent="0.25">
      <c r="A11305" s="841" t="s">
        <v>206</v>
      </c>
      <c r="E11305" s="1688" t="s">
        <v>4532</v>
      </c>
      <c r="F11305" s="1688"/>
      <c r="G11305" s="1408" t="s">
        <v>23</v>
      </c>
      <c r="H11305" s="619">
        <v>60</v>
      </c>
      <c r="L11305" s="841" t="s">
        <v>442</v>
      </c>
      <c r="M11305" s="1357"/>
      <c r="Q11305" s="1357"/>
      <c r="S11305" s="1420"/>
      <c r="T11305" s="1420"/>
      <c r="V11305" s="1357">
        <v>130</v>
      </c>
    </row>
    <row r="11306" spans="1:22" s="841" customFormat="1" ht="18.75" x14ac:dyDescent="0.3">
      <c r="A11306" s="841" t="s">
        <v>206</v>
      </c>
      <c r="E11306" s="1931" t="s">
        <v>77</v>
      </c>
      <c r="F11306" s="1964"/>
      <c r="G11306" s="1964"/>
      <c r="H11306" s="658"/>
      <c r="K11306" s="841" t="s">
        <v>4533</v>
      </c>
      <c r="M11306" s="1357"/>
      <c r="Q11306" s="1357"/>
      <c r="S11306" s="1420"/>
      <c r="T11306" s="1420"/>
      <c r="V11306" s="1357">
        <v>38</v>
      </c>
    </row>
    <row r="11307" spans="1:22" s="841" customFormat="1" ht="15" x14ac:dyDescent="0.25">
      <c r="A11307" s="841" t="s">
        <v>206</v>
      </c>
      <c r="E11307" s="1689" t="s">
        <v>3063</v>
      </c>
      <c r="F11307" s="1689"/>
      <c r="G11307" s="1689"/>
      <c r="H11307" s="1689"/>
      <c r="M11307" s="1357"/>
      <c r="Q11307" s="1357"/>
      <c r="S11307" s="1420"/>
      <c r="T11307" s="1420"/>
      <c r="V11307" s="1357">
        <v>280</v>
      </c>
    </row>
    <row r="11308" spans="1:22" s="841" customFormat="1" ht="15" x14ac:dyDescent="0.25">
      <c r="A11308" s="841" t="s">
        <v>206</v>
      </c>
      <c r="E11308" s="1689" t="s">
        <v>3064</v>
      </c>
      <c r="F11308" s="1689"/>
      <c r="G11308" s="1689"/>
      <c r="H11308" s="1689"/>
      <c r="M11308" s="1357"/>
      <c r="Q11308" s="1357"/>
      <c r="S11308" s="1420"/>
      <c r="T11308" s="1420"/>
      <c r="V11308" s="1357">
        <v>411</v>
      </c>
    </row>
    <row r="11309" spans="1:22" s="841" customFormat="1" ht="15" x14ac:dyDescent="0.25">
      <c r="A11309" s="841" t="s">
        <v>206</v>
      </c>
      <c r="E11309" s="1689" t="s">
        <v>3129</v>
      </c>
      <c r="F11309" s="1689"/>
      <c r="G11309" s="1689"/>
      <c r="H11309" s="1689"/>
      <c r="M11309" s="1357"/>
      <c r="Q11309" s="1357"/>
      <c r="S11309" s="1420"/>
      <c r="T11309" s="1420"/>
      <c r="V11309" s="1357">
        <v>211</v>
      </c>
    </row>
    <row r="11310" spans="1:22" s="841" customFormat="1" ht="15" x14ac:dyDescent="0.25">
      <c r="A11310" s="841" t="s">
        <v>206</v>
      </c>
      <c r="E11310" s="1689" t="s">
        <v>4340</v>
      </c>
      <c r="F11310" s="1689"/>
      <c r="G11310" s="1689"/>
      <c r="H11310" s="1689"/>
      <c r="M11310" s="1357"/>
      <c r="Q11310" s="1357"/>
      <c r="S11310" s="1420"/>
      <c r="T11310" s="1420"/>
      <c r="V11310" s="1357">
        <v>279</v>
      </c>
    </row>
    <row r="11311" spans="1:22" s="841" customFormat="1" ht="15" x14ac:dyDescent="0.25">
      <c r="A11311" s="841" t="s">
        <v>206</v>
      </c>
      <c r="E11311" s="1689" t="s">
        <v>3291</v>
      </c>
      <c r="F11311" s="1689"/>
      <c r="G11311" s="1689"/>
      <c r="H11311" s="1689"/>
      <c r="M11311" s="1357"/>
      <c r="Q11311" s="1357"/>
      <c r="S11311" s="1420"/>
      <c r="T11311" s="1420"/>
      <c r="V11311" s="1357">
        <v>142</v>
      </c>
    </row>
    <row r="11312" spans="1:22" s="841" customFormat="1" ht="15" x14ac:dyDescent="0.25">
      <c r="A11312" s="841" t="s">
        <v>206</v>
      </c>
      <c r="E11312" s="1690" t="s">
        <v>3176</v>
      </c>
      <c r="F11312" s="1690"/>
      <c r="G11312" s="397" t="s">
        <v>23</v>
      </c>
      <c r="H11312" s="391">
        <v>100</v>
      </c>
      <c r="M11312" s="1357"/>
      <c r="Q11312" s="1357"/>
      <c r="S11312" s="1420"/>
      <c r="T11312" s="1420"/>
      <c r="V11312" s="1357">
        <v>106</v>
      </c>
    </row>
    <row r="11313" spans="1:22" s="841" customFormat="1" ht="15" x14ac:dyDescent="0.25">
      <c r="A11313" s="841" t="s">
        <v>206</v>
      </c>
      <c r="E11313" s="1690" t="s">
        <v>5140</v>
      </c>
      <c r="F11313" s="1690"/>
      <c r="G11313" s="397" t="s">
        <v>23</v>
      </c>
      <c r="H11313" s="391">
        <v>20</v>
      </c>
      <c r="M11313" s="1357"/>
      <c r="Q11313" s="1357"/>
      <c r="S11313" s="1420"/>
      <c r="T11313" s="1420"/>
      <c r="V11313" s="1357">
        <v>34</v>
      </c>
    </row>
    <row r="11314" spans="1:22" s="841" customFormat="1" ht="15" x14ac:dyDescent="0.25">
      <c r="A11314" s="841" t="s">
        <v>206</v>
      </c>
      <c r="E11314" s="1690" t="s">
        <v>5141</v>
      </c>
      <c r="F11314" s="1690"/>
      <c r="G11314" s="397" t="s">
        <v>3179</v>
      </c>
      <c r="H11314" s="391">
        <v>0.5</v>
      </c>
      <c r="M11314" s="1357"/>
      <c r="Q11314" s="1357"/>
      <c r="S11314" s="1420"/>
      <c r="T11314" s="1420"/>
      <c r="V11314" s="1357">
        <v>51</v>
      </c>
    </row>
    <row r="11315" spans="1:22" s="841" customFormat="1" ht="15" x14ac:dyDescent="0.25">
      <c r="A11315" s="841" t="s">
        <v>206</v>
      </c>
      <c r="E11315" s="1690" t="s">
        <v>3180</v>
      </c>
      <c r="F11315" s="1690"/>
      <c r="G11315" s="397" t="s">
        <v>3179</v>
      </c>
      <c r="H11315" s="391">
        <v>0.3</v>
      </c>
      <c r="M11315" s="1357"/>
      <c r="Q11315" s="1357"/>
      <c r="S11315" s="1420"/>
      <c r="T11315" s="1420"/>
      <c r="V11315" s="1357">
        <v>75</v>
      </c>
    </row>
    <row r="11316" spans="1:22" s="841" customFormat="1" ht="15" x14ac:dyDescent="0.25">
      <c r="A11316" s="841" t="s">
        <v>206</v>
      </c>
      <c r="E11316" s="1690" t="s">
        <v>3181</v>
      </c>
      <c r="F11316" s="1690"/>
      <c r="G11316" s="397" t="s">
        <v>3179</v>
      </c>
      <c r="H11316" s="391">
        <v>-0.3</v>
      </c>
      <c r="M11316" s="1357"/>
      <c r="Q11316" s="1357"/>
      <c r="S11316" s="1420"/>
      <c r="T11316" s="1420"/>
      <c r="V11316" s="1357">
        <v>72</v>
      </c>
    </row>
    <row r="11317" spans="1:22" s="841" customFormat="1" ht="15" x14ac:dyDescent="0.25">
      <c r="A11317" s="841" t="s">
        <v>206</v>
      </c>
      <c r="E11317" s="1690" t="s">
        <v>3292</v>
      </c>
      <c r="F11317" s="1690"/>
      <c r="G11317" s="397"/>
      <c r="H11317" s="392"/>
      <c r="M11317" s="1357"/>
      <c r="Q11317" s="1357"/>
      <c r="S11317" s="1420"/>
      <c r="T11317" s="1420"/>
      <c r="V11317" s="1357">
        <v>34</v>
      </c>
    </row>
    <row r="11318" spans="1:22" s="841" customFormat="1" ht="15" x14ac:dyDescent="0.25">
      <c r="A11318" s="841" t="s">
        <v>206</v>
      </c>
      <c r="E11318" s="1691" t="s">
        <v>3183</v>
      </c>
      <c r="F11318" s="1691"/>
      <c r="G11318" s="397" t="s">
        <v>23</v>
      </c>
      <c r="H11318" s="391">
        <v>0.25</v>
      </c>
      <c r="M11318" s="1357"/>
      <c r="Q11318" s="1357"/>
      <c r="S11318" s="1420"/>
      <c r="T11318" s="1420"/>
      <c r="V11318" s="1357">
        <v>57</v>
      </c>
    </row>
    <row r="11319" spans="1:22" s="841" customFormat="1" ht="15" x14ac:dyDescent="0.25">
      <c r="A11319" s="841" t="s">
        <v>206</v>
      </c>
      <c r="E11319" s="1691" t="s">
        <v>3184</v>
      </c>
      <c r="F11319" s="1691"/>
      <c r="G11319" s="397" t="s">
        <v>23</v>
      </c>
      <c r="H11319" s="391">
        <v>0.5</v>
      </c>
      <c r="M11319" s="1357"/>
      <c r="Q11319" s="1357"/>
      <c r="S11319" s="1420"/>
      <c r="T11319" s="1420"/>
      <c r="V11319" s="1357">
        <v>60</v>
      </c>
    </row>
    <row r="11320" spans="1:22" s="841" customFormat="1" ht="15" x14ac:dyDescent="0.25">
      <c r="A11320" s="841" t="s">
        <v>206</v>
      </c>
      <c r="E11320" s="1690" t="s">
        <v>3185</v>
      </c>
      <c r="F11320" s="1690"/>
      <c r="G11320" s="397"/>
      <c r="H11320" s="392"/>
      <c r="M11320" s="1357"/>
      <c r="Q11320" s="1357"/>
      <c r="S11320" s="1420"/>
      <c r="T11320" s="1420"/>
      <c r="V11320" s="1357">
        <v>91</v>
      </c>
    </row>
    <row r="11321" spans="1:22" s="841" customFormat="1" ht="15" x14ac:dyDescent="0.25">
      <c r="A11321" s="841" t="s">
        <v>206</v>
      </c>
      <c r="E11321" s="1690" t="s">
        <v>3186</v>
      </c>
      <c r="F11321" s="1690"/>
      <c r="G11321" s="397"/>
      <c r="H11321" s="392"/>
      <c r="M11321" s="1357"/>
      <c r="Q11321" s="1357"/>
      <c r="S11321" s="1420"/>
      <c r="T11321" s="1420"/>
      <c r="V11321" s="1357">
        <v>96</v>
      </c>
    </row>
    <row r="11322" spans="1:22" s="841" customFormat="1" ht="15" x14ac:dyDescent="0.25">
      <c r="A11322" s="841" t="s">
        <v>206</v>
      </c>
      <c r="E11322" s="1690" t="s">
        <v>3293</v>
      </c>
      <c r="F11322" s="1690"/>
      <c r="G11322" s="397"/>
      <c r="H11322" s="392"/>
      <c r="M11322" s="1357"/>
      <c r="Q11322" s="1357"/>
      <c r="S11322" s="1420"/>
      <c r="T11322" s="1420"/>
      <c r="V11322" s="1357">
        <v>77</v>
      </c>
    </row>
    <row r="11323" spans="1:22" s="841" customFormat="1" ht="15" x14ac:dyDescent="0.25">
      <c r="A11323" s="841" t="s">
        <v>206</v>
      </c>
      <c r="E11323" s="1691" t="s">
        <v>3188</v>
      </c>
      <c r="F11323" s="1691"/>
      <c r="G11323" s="397" t="s">
        <v>23</v>
      </c>
      <c r="H11323" s="392" t="s">
        <v>3189</v>
      </c>
      <c r="M11323" s="1357"/>
      <c r="Q11323" s="1357"/>
      <c r="S11323" s="1420"/>
      <c r="T11323" s="1420"/>
      <c r="V11323" s="1357">
        <v>18</v>
      </c>
    </row>
    <row r="11324" spans="1:22" s="841" customFormat="1" ht="15" x14ac:dyDescent="0.25">
      <c r="A11324" s="841" t="s">
        <v>206</v>
      </c>
      <c r="E11324" s="1691" t="s">
        <v>3190</v>
      </c>
      <c r="F11324" s="1691"/>
      <c r="G11324" s="397" t="s">
        <v>23</v>
      </c>
      <c r="H11324" s="391">
        <v>2</v>
      </c>
      <c r="M11324" s="1357"/>
      <c r="Q11324" s="1357"/>
      <c r="S11324" s="1420"/>
      <c r="T11324" s="1420"/>
      <c r="V11324" s="1357">
        <v>69</v>
      </c>
    </row>
    <row r="11325" spans="1:22" s="841" customFormat="1" ht="18.75" x14ac:dyDescent="0.3">
      <c r="A11325" s="841" t="s">
        <v>206</v>
      </c>
      <c r="E11325" s="1374" t="s">
        <v>147</v>
      </c>
      <c r="F11325" s="657"/>
      <c r="G11325" s="657"/>
      <c r="H11325" s="658"/>
      <c r="K11325" s="841" t="s">
        <v>4534</v>
      </c>
      <c r="M11325" s="1357"/>
      <c r="Q11325" s="1357"/>
      <c r="S11325" s="1420"/>
      <c r="T11325" s="1420"/>
      <c r="V11325" s="1357">
        <v>12</v>
      </c>
    </row>
    <row r="11326" spans="1:22" s="841" customFormat="1" ht="15" x14ac:dyDescent="0.25">
      <c r="A11326" s="841" t="s">
        <v>206</v>
      </c>
      <c r="E11326" s="1704" t="s">
        <v>3192</v>
      </c>
      <c r="F11326" s="1704"/>
      <c r="G11326" s="1704"/>
      <c r="H11326" s="1704"/>
      <c r="M11326" s="1357"/>
      <c r="Q11326" s="1357"/>
      <c r="S11326" s="1420"/>
      <c r="T11326" s="1420"/>
      <c r="V11326" s="1357">
        <v>203</v>
      </c>
    </row>
    <row r="11327" spans="1:22" s="841" customFormat="1" ht="15" x14ac:dyDescent="0.25">
      <c r="A11327" s="841" t="s">
        <v>206</v>
      </c>
      <c r="E11327" s="1690" t="s">
        <v>3295</v>
      </c>
      <c r="F11327" s="1690"/>
      <c r="G11327" s="1408"/>
      <c r="H11327" s="393">
        <v>1.0441</v>
      </c>
      <c r="M11327" s="1357"/>
      <c r="Q11327" s="1357"/>
      <c r="S11327" s="1420"/>
      <c r="T11327" s="1420"/>
      <c r="V11327" s="1357">
        <v>57</v>
      </c>
    </row>
    <row r="11328" spans="1:22" s="841" customFormat="1" ht="15" x14ac:dyDescent="0.25">
      <c r="A11328" s="841" t="s">
        <v>206</v>
      </c>
      <c r="E11328" s="1690" t="s">
        <v>3297</v>
      </c>
      <c r="F11328" s="1690"/>
      <c r="G11328" s="1408"/>
      <c r="H11328" s="393">
        <v>1.0341</v>
      </c>
      <c r="J11328" s="841" t="s">
        <v>4535</v>
      </c>
      <c r="M11328" s="1357"/>
      <c r="Q11328" s="1357"/>
      <c r="S11328" s="1420"/>
      <c r="T11328" s="1420"/>
      <c r="V11328" s="1357">
        <v>55</v>
      </c>
    </row>
    <row r="11329" spans="1:22" s="841" customFormat="1" ht="23.25" x14ac:dyDescent="0.25">
      <c r="A11329" s="841" t="s">
        <v>440</v>
      </c>
      <c r="C11329" s="841" t="s">
        <v>3050</v>
      </c>
      <c r="E11329" s="1911" t="s">
        <v>440</v>
      </c>
      <c r="F11329" s="1911"/>
      <c r="G11329" s="1911"/>
      <c r="H11329" s="1911"/>
      <c r="I11329" s="841" t="s">
        <v>628</v>
      </c>
      <c r="J11329" s="841" t="s">
        <v>4114</v>
      </c>
      <c r="K11329" s="841" t="s">
        <v>440</v>
      </c>
      <c r="M11329" s="1357">
        <v>9</v>
      </c>
      <c r="Q11329" s="1357"/>
      <c r="S11329" s="1420"/>
      <c r="T11329" s="1420"/>
      <c r="V11329" s="1357">
        <v>30</v>
      </c>
    </row>
    <row r="11330" spans="1:22" s="841" customFormat="1" x14ac:dyDescent="0.25">
      <c r="A11330" s="841" t="s">
        <v>440</v>
      </c>
      <c r="C11330" s="841" t="s">
        <v>3052</v>
      </c>
      <c r="E11330" s="1912" t="s">
        <v>3053</v>
      </c>
      <c r="F11330" s="1912"/>
      <c r="G11330" s="1912"/>
      <c r="H11330" s="1912"/>
      <c r="M11330" s="1357"/>
      <c r="Q11330" s="1357"/>
      <c r="S11330" s="1420"/>
      <c r="T11330" s="1420"/>
      <c r="V11330" s="1357">
        <v>27</v>
      </c>
    </row>
    <row r="11331" spans="1:22" s="841" customFormat="1" ht="15.75" x14ac:dyDescent="0.25">
      <c r="A11331" s="841" t="s">
        <v>440</v>
      </c>
      <c r="C11331" s="841" t="s">
        <v>3054</v>
      </c>
      <c r="E11331" s="1913" t="s">
        <v>5107</v>
      </c>
      <c r="F11331" s="1913"/>
      <c r="G11331" s="1913"/>
      <c r="H11331" s="1913"/>
      <c r="M11331" s="1357"/>
      <c r="Q11331" s="1357"/>
      <c r="S11331" s="1420">
        <v>43221</v>
      </c>
      <c r="T11331" s="1420"/>
      <c r="V11331" s="1357">
        <v>45</v>
      </c>
    </row>
    <row r="11332" spans="1:22" s="841" customFormat="1" ht="15" x14ac:dyDescent="0.25">
      <c r="A11332" s="841" t="s">
        <v>440</v>
      </c>
      <c r="C11332" s="841" t="s">
        <v>3055</v>
      </c>
      <c r="E11332" s="1914" t="s">
        <v>3056</v>
      </c>
      <c r="F11332" s="1914"/>
      <c r="G11332" s="1914"/>
      <c r="H11332" s="1914"/>
      <c r="M11332" s="1357"/>
      <c r="Q11332" s="1357"/>
      <c r="S11332" s="1420"/>
      <c r="T11332" s="1420"/>
      <c r="V11332" s="1357">
        <v>52</v>
      </c>
    </row>
    <row r="11333" spans="1:22" s="841" customFormat="1" ht="15" x14ac:dyDescent="0.25">
      <c r="A11333" s="841" t="s">
        <v>440</v>
      </c>
      <c r="E11333" s="1914" t="s">
        <v>3057</v>
      </c>
      <c r="F11333" s="1914"/>
      <c r="G11333" s="1914"/>
      <c r="H11333" s="1914"/>
      <c r="M11333" s="1357"/>
      <c r="Q11333" s="1357"/>
      <c r="S11333" s="1420"/>
      <c r="T11333" s="1420"/>
      <c r="V11333" s="1357">
        <v>53</v>
      </c>
    </row>
    <row r="11334" spans="1:22" s="841" customFormat="1" ht="15" x14ac:dyDescent="0.25">
      <c r="A11334" s="841" t="s">
        <v>440</v>
      </c>
      <c r="E11334" s="1925" t="s">
        <v>5808</v>
      </c>
      <c r="F11334" s="1925"/>
      <c r="G11334" s="1925"/>
      <c r="H11334" s="1925"/>
      <c r="K11334" s="841" t="s">
        <v>5808</v>
      </c>
      <c r="M11334" s="1357"/>
      <c r="Q11334" s="1357"/>
      <c r="S11334" s="1420"/>
      <c r="T11334" s="1420"/>
      <c r="V11334" s="1357">
        <v>12</v>
      </c>
    </row>
    <row r="11335" spans="1:22" s="841" customFormat="1" x14ac:dyDescent="0.25">
      <c r="A11335" s="841" t="s">
        <v>440</v>
      </c>
      <c r="E11335" s="1695" t="s">
        <v>438</v>
      </c>
      <c r="F11335" s="1697"/>
      <c r="G11335" s="1697"/>
      <c r="H11335" s="1697"/>
      <c r="K11335" s="841" t="s">
        <v>3197</v>
      </c>
      <c r="M11335" s="1357"/>
      <c r="Q11335" s="1357"/>
      <c r="S11335" s="1420"/>
      <c r="T11335" s="1420"/>
      <c r="V11335" s="1357">
        <v>34</v>
      </c>
    </row>
    <row r="11336" spans="1:22" s="841" customFormat="1" ht="15" x14ac:dyDescent="0.25">
      <c r="A11336" s="841" t="s">
        <v>440</v>
      </c>
      <c r="E11336" s="1689" t="s">
        <v>4115</v>
      </c>
      <c r="F11336" s="1689"/>
      <c r="G11336" s="1689"/>
      <c r="H11336" s="1689"/>
      <c r="K11336" s="841" t="s">
        <v>3197</v>
      </c>
      <c r="M11336" s="1357"/>
      <c r="Q11336" s="1357"/>
      <c r="S11336" s="1420"/>
      <c r="T11336" s="1420"/>
      <c r="V11336" s="1357">
        <v>635</v>
      </c>
    </row>
    <row r="11337" spans="1:22" s="841" customFormat="1" ht="15" x14ac:dyDescent="0.25">
      <c r="A11337" s="841" t="s">
        <v>440</v>
      </c>
      <c r="E11337" s="1689" t="s">
        <v>4116</v>
      </c>
      <c r="F11337" s="1689"/>
      <c r="G11337" s="1689"/>
      <c r="H11337" s="1689"/>
      <c r="K11337" s="841" t="s">
        <v>3197</v>
      </c>
      <c r="M11337" s="1357"/>
      <c r="Q11337" s="1357"/>
      <c r="S11337" s="1420"/>
      <c r="T11337" s="1420"/>
      <c r="V11337" s="1357">
        <v>789</v>
      </c>
    </row>
    <row r="11338" spans="1:22" s="841" customFormat="1" ht="15" x14ac:dyDescent="0.25">
      <c r="A11338" s="841" t="s">
        <v>440</v>
      </c>
      <c r="E11338" s="1696" t="s">
        <v>3061</v>
      </c>
      <c r="F11338" s="1697"/>
      <c r="G11338" s="1697"/>
      <c r="H11338" s="1697"/>
      <c r="K11338" s="841" t="s">
        <v>3062</v>
      </c>
      <c r="M11338" s="1357"/>
      <c r="Q11338" s="1357"/>
      <c r="S11338" s="1420"/>
      <c r="T11338" s="1420"/>
      <c r="V11338" s="1357">
        <v>11</v>
      </c>
    </row>
    <row r="11339" spans="1:22" s="841" customFormat="1" ht="15" x14ac:dyDescent="0.25">
      <c r="A11339" s="841" t="s">
        <v>440</v>
      </c>
      <c r="E11339" s="1689" t="s">
        <v>3063</v>
      </c>
      <c r="F11339" s="1689"/>
      <c r="G11339" s="1689"/>
      <c r="H11339" s="1689"/>
      <c r="K11339" s="841" t="s">
        <v>3197</v>
      </c>
      <c r="M11339" s="1357"/>
      <c r="Q11339" s="1357"/>
      <c r="S11339" s="1420"/>
      <c r="T11339" s="1420"/>
      <c r="V11339" s="1357">
        <v>280</v>
      </c>
    </row>
    <row r="11340" spans="1:22" s="841" customFormat="1" ht="15" x14ac:dyDescent="0.25">
      <c r="A11340" s="841" t="s">
        <v>440</v>
      </c>
      <c r="E11340" s="1689" t="s">
        <v>3064</v>
      </c>
      <c r="F11340" s="1689"/>
      <c r="G11340" s="1689"/>
      <c r="H11340" s="1689"/>
      <c r="K11340" s="841" t="s">
        <v>3197</v>
      </c>
      <c r="M11340" s="1357"/>
      <c r="Q11340" s="1357"/>
      <c r="S11340" s="1420"/>
      <c r="T11340" s="1420"/>
      <c r="V11340" s="1357">
        <v>411</v>
      </c>
    </row>
    <row r="11341" spans="1:22" s="841" customFormat="1" ht="15" x14ac:dyDescent="0.25">
      <c r="A11341" s="841" t="s">
        <v>440</v>
      </c>
      <c r="E11341" s="1689" t="s">
        <v>3065</v>
      </c>
      <c r="F11341" s="1689"/>
      <c r="G11341" s="1689"/>
      <c r="H11341" s="1689"/>
      <c r="K11341" s="841" t="s">
        <v>3197</v>
      </c>
      <c r="M11341" s="1357"/>
      <c r="Q11341" s="1357"/>
      <c r="S11341" s="1420"/>
      <c r="T11341" s="1420"/>
      <c r="V11341" s="1357">
        <v>387</v>
      </c>
    </row>
    <row r="11342" spans="1:22" s="841" customFormat="1" ht="15" x14ac:dyDescent="0.25">
      <c r="A11342" s="841" t="s">
        <v>440</v>
      </c>
      <c r="E11342" s="1689" t="s">
        <v>4117</v>
      </c>
      <c r="F11342" s="1689"/>
      <c r="G11342" s="1689"/>
      <c r="H11342" s="1689"/>
      <c r="K11342" s="841" t="s">
        <v>3197</v>
      </c>
      <c r="M11342" s="1357"/>
      <c r="Q11342" s="1357"/>
      <c r="S11342" s="1420"/>
      <c r="T11342" s="1420"/>
      <c r="V11342" s="1357">
        <v>306</v>
      </c>
    </row>
    <row r="11343" spans="1:22" s="841" customFormat="1" ht="15" x14ac:dyDescent="0.25">
      <c r="A11343" s="841" t="s">
        <v>440</v>
      </c>
      <c r="E11343" s="1692" t="s">
        <v>3067</v>
      </c>
      <c r="F11343" s="1693"/>
      <c r="G11343" s="1693"/>
      <c r="H11343" s="1693"/>
      <c r="K11343" s="841" t="s">
        <v>3068</v>
      </c>
      <c r="M11343" s="1357"/>
      <c r="Q11343" s="1357"/>
      <c r="S11343" s="1420"/>
      <c r="T11343" s="1420"/>
      <c r="V11343" s="1357">
        <v>46</v>
      </c>
    </row>
    <row r="11344" spans="1:22" s="841" customFormat="1" ht="15" x14ac:dyDescent="0.25">
      <c r="A11344" s="841" t="s">
        <v>440</v>
      </c>
      <c r="E11344" s="1690" t="s">
        <v>11</v>
      </c>
      <c r="F11344" s="1690"/>
      <c r="G11344" s="1408" t="s">
        <v>23</v>
      </c>
      <c r="H11344" s="391">
        <v>24.76</v>
      </c>
      <c r="K11344" s="841" t="s">
        <v>3197</v>
      </c>
      <c r="L11344" s="841" t="s">
        <v>442</v>
      </c>
      <c r="M11344" s="1357"/>
      <c r="P11344" s="841" t="s">
        <v>3201</v>
      </c>
      <c r="Q11344" s="1357"/>
      <c r="S11344" s="1420"/>
      <c r="T11344" s="1420"/>
      <c r="V11344" s="1357">
        <v>14</v>
      </c>
    </row>
    <row r="11345" spans="1:22" s="841" customFormat="1" ht="15" x14ac:dyDescent="0.25">
      <c r="A11345" s="841" t="s">
        <v>440</v>
      </c>
      <c r="E11345" s="1690" t="s">
        <v>5809</v>
      </c>
      <c r="F11345" s="1690"/>
      <c r="G11345" s="1408" t="s">
        <v>23</v>
      </c>
      <c r="H11345" s="391">
        <v>-0.02</v>
      </c>
      <c r="K11345" s="841" t="s">
        <v>3197</v>
      </c>
      <c r="L11345" s="841" t="s">
        <v>442</v>
      </c>
      <c r="M11345" s="1357"/>
      <c r="P11345" s="841" t="s">
        <v>6435</v>
      </c>
      <c r="Q11345" s="1357"/>
      <c r="S11345" s="1420"/>
      <c r="T11345" s="1420">
        <v>43585</v>
      </c>
      <c r="V11345" s="1357">
        <v>76</v>
      </c>
    </row>
    <row r="11346" spans="1:22" s="841" customFormat="1" ht="15" x14ac:dyDescent="0.25">
      <c r="A11346" s="841" t="s">
        <v>440</v>
      </c>
      <c r="E11346" s="1690" t="s">
        <v>5109</v>
      </c>
      <c r="F11346" s="1690"/>
      <c r="G11346" s="1408" t="s">
        <v>23</v>
      </c>
      <c r="H11346" s="391">
        <v>0.56999999999999995</v>
      </c>
      <c r="K11346" s="841" t="s">
        <v>3197</v>
      </c>
      <c r="L11346" s="841" t="s">
        <v>443</v>
      </c>
      <c r="M11346" s="1357"/>
      <c r="P11346" s="841" t="s">
        <v>3202</v>
      </c>
      <c r="Q11346" s="1357"/>
      <c r="S11346" s="1420"/>
      <c r="T11346" s="1420">
        <v>44926</v>
      </c>
      <c r="V11346" s="1357">
        <v>64</v>
      </c>
    </row>
    <row r="11347" spans="1:22" s="841" customFormat="1" ht="15" x14ac:dyDescent="0.25">
      <c r="A11347" s="841" t="s">
        <v>440</v>
      </c>
      <c r="E11347" s="1690" t="s">
        <v>84</v>
      </c>
      <c r="F11347" s="1690"/>
      <c r="G11347" s="1408" t="s">
        <v>24</v>
      </c>
      <c r="H11347" s="393">
        <v>3.7000000000000002E-3</v>
      </c>
      <c r="K11347" s="841" t="s">
        <v>3197</v>
      </c>
      <c r="L11347" s="841" t="s">
        <v>442</v>
      </c>
      <c r="M11347" s="1357"/>
      <c r="P11347" s="841" t="s">
        <v>3203</v>
      </c>
      <c r="Q11347" s="1357"/>
      <c r="S11347" s="1420"/>
      <c r="T11347" s="1420"/>
      <c r="V11347" s="1357">
        <v>28</v>
      </c>
    </row>
    <row r="11348" spans="1:22" s="841" customFormat="1" ht="15" x14ac:dyDescent="0.25">
      <c r="A11348" s="841" t="s">
        <v>440</v>
      </c>
      <c r="E11348" s="1690" t="s">
        <v>18</v>
      </c>
      <c r="F11348" s="1690"/>
      <c r="G11348" s="1408" t="s">
        <v>24</v>
      </c>
      <c r="H11348" s="393">
        <v>5.9999999999999995E-4</v>
      </c>
      <c r="K11348" s="841" t="s">
        <v>3197</v>
      </c>
      <c r="L11348" s="841" t="s">
        <v>443</v>
      </c>
      <c r="M11348" s="1357"/>
      <c r="P11348" s="841" t="s">
        <v>3204</v>
      </c>
      <c r="Q11348" s="1357"/>
      <c r="S11348" s="1420"/>
      <c r="T11348" s="1420"/>
      <c r="V11348" s="1357">
        <v>24</v>
      </c>
    </row>
    <row r="11349" spans="1:22" s="841" customFormat="1" ht="15" x14ac:dyDescent="0.25">
      <c r="A11349" s="841" t="s">
        <v>440</v>
      </c>
      <c r="E11349" s="1690" t="s">
        <v>221</v>
      </c>
      <c r="F11349" s="1690"/>
      <c r="G11349" s="1408" t="s">
        <v>24</v>
      </c>
      <c r="H11349" s="393">
        <v>7.1999999999999998E-3</v>
      </c>
      <c r="K11349" s="841" t="s">
        <v>3197</v>
      </c>
      <c r="L11349" s="841" t="s">
        <v>444</v>
      </c>
      <c r="M11349" s="1357"/>
      <c r="P11349" s="841" t="s">
        <v>3208</v>
      </c>
      <c r="Q11349" s="1357"/>
      <c r="S11349" s="1420"/>
      <c r="T11349" s="1420"/>
      <c r="V11349" s="1357">
        <v>47</v>
      </c>
    </row>
    <row r="11350" spans="1:22" s="841" customFormat="1" ht="15" x14ac:dyDescent="0.25">
      <c r="A11350" s="841" t="s">
        <v>440</v>
      </c>
      <c r="E11350" s="1690" t="s">
        <v>217</v>
      </c>
      <c r="F11350" s="1690"/>
      <c r="G11350" s="1408" t="s">
        <v>24</v>
      </c>
      <c r="H11350" s="393">
        <v>6.7000000000000002E-3</v>
      </c>
      <c r="K11350" s="841" t="s">
        <v>3197</v>
      </c>
      <c r="L11350" s="841" t="s">
        <v>444</v>
      </c>
      <c r="M11350" s="1357"/>
      <c r="P11350" s="841" t="s">
        <v>3209</v>
      </c>
      <c r="Q11350" s="1357"/>
      <c r="S11350" s="1420"/>
      <c r="T11350" s="1420"/>
      <c r="V11350" s="1357">
        <v>74</v>
      </c>
    </row>
    <row r="11351" spans="1:22" s="841" customFormat="1" ht="15" x14ac:dyDescent="0.25">
      <c r="A11351" s="841" t="s">
        <v>440</v>
      </c>
      <c r="E11351" s="1694" t="s">
        <v>3079</v>
      </c>
      <c r="F11351" s="1690"/>
      <c r="G11351" s="1408"/>
      <c r="H11351" s="1408"/>
      <c r="K11351" s="841" t="s">
        <v>3080</v>
      </c>
      <c r="M11351" s="1357"/>
      <c r="Q11351" s="1357"/>
      <c r="S11351" s="1420"/>
      <c r="T11351" s="1420"/>
      <c r="V11351" s="1357">
        <v>48</v>
      </c>
    </row>
    <row r="11352" spans="1:22" s="841" customFormat="1" ht="15" x14ac:dyDescent="0.25">
      <c r="A11352" s="841" t="s">
        <v>440</v>
      </c>
      <c r="E11352" s="1690" t="s">
        <v>2449</v>
      </c>
      <c r="F11352" s="1690"/>
      <c r="G11352" s="1408" t="s">
        <v>24</v>
      </c>
      <c r="H11352" s="393">
        <v>3.2000000000000002E-3</v>
      </c>
      <c r="K11352" s="841" t="s">
        <v>3197</v>
      </c>
      <c r="L11352" s="841" t="s">
        <v>3046</v>
      </c>
      <c r="M11352" s="1357"/>
      <c r="P11352" s="841" t="s">
        <v>3210</v>
      </c>
      <c r="Q11352" s="1357"/>
      <c r="S11352" s="1420"/>
      <c r="T11352" s="1420"/>
      <c r="V11352" s="1357">
        <v>55</v>
      </c>
    </row>
    <row r="11353" spans="1:22" s="841" customFormat="1" ht="15" x14ac:dyDescent="0.25">
      <c r="A11353" s="841" t="s">
        <v>440</v>
      </c>
      <c r="E11353" s="1690" t="s">
        <v>2450</v>
      </c>
      <c r="F11353" s="1690"/>
      <c r="G11353" s="1408" t="s">
        <v>24</v>
      </c>
      <c r="H11353" s="393">
        <v>4.0000000000000002E-4</v>
      </c>
      <c r="K11353" s="841" t="s">
        <v>3197</v>
      </c>
      <c r="L11353" s="841" t="s">
        <v>3046</v>
      </c>
      <c r="M11353" s="1357"/>
      <c r="P11353" s="841" t="s">
        <v>3210</v>
      </c>
      <c r="Q11353" s="1357"/>
      <c r="S11353" s="1420"/>
      <c r="T11353" s="1420"/>
      <c r="V11353" s="1357">
        <v>65</v>
      </c>
    </row>
    <row r="11354" spans="1:22" s="841" customFormat="1" ht="15" x14ac:dyDescent="0.25">
      <c r="A11354" s="841" t="s">
        <v>440</v>
      </c>
      <c r="E11354" s="1690" t="s">
        <v>439</v>
      </c>
      <c r="F11354" s="1690"/>
      <c r="G11354" s="1408" t="s">
        <v>24</v>
      </c>
      <c r="H11354" s="393">
        <v>2.9999999999999997E-4</v>
      </c>
      <c r="K11354" s="841" t="s">
        <v>3197</v>
      </c>
      <c r="L11354" s="841" t="s">
        <v>3046</v>
      </c>
      <c r="M11354" s="1357"/>
      <c r="P11354" s="841" t="s">
        <v>3212</v>
      </c>
      <c r="Q11354" s="1357"/>
      <c r="S11354" s="1420"/>
      <c r="T11354" s="1420"/>
      <c r="V11354" s="1357">
        <v>57</v>
      </c>
    </row>
    <row r="11355" spans="1:22" s="841" customFormat="1" ht="15" x14ac:dyDescent="0.25">
      <c r="A11355" s="841" t="s">
        <v>440</v>
      </c>
      <c r="E11355" s="1690" t="s">
        <v>32</v>
      </c>
      <c r="F11355" s="1690"/>
      <c r="G11355" s="1408" t="s">
        <v>23</v>
      </c>
      <c r="H11355" s="391">
        <v>0.25</v>
      </c>
      <c r="K11355" s="841" t="s">
        <v>3197</v>
      </c>
      <c r="L11355" s="841" t="s">
        <v>3046</v>
      </c>
      <c r="M11355" s="1357"/>
      <c r="P11355" s="841" t="s">
        <v>3213</v>
      </c>
      <c r="Q11355" s="1357"/>
      <c r="S11355" s="1420"/>
      <c r="T11355" s="1420"/>
      <c r="V11355" s="1357">
        <v>63</v>
      </c>
    </row>
    <row r="11356" spans="1:22" s="841" customFormat="1" x14ac:dyDescent="0.25">
      <c r="A11356" s="841" t="s">
        <v>440</v>
      </c>
      <c r="E11356" s="1695" t="s">
        <v>3214</v>
      </c>
      <c r="F11356" s="1915"/>
      <c r="G11356" s="1915"/>
      <c r="H11356" s="1915"/>
      <c r="K11356" s="841" t="s">
        <v>5110</v>
      </c>
      <c r="M11356" s="1357"/>
      <c r="Q11356" s="1357"/>
      <c r="S11356" s="1420"/>
      <c r="T11356" s="1420"/>
      <c r="V11356" s="1357">
        <v>54</v>
      </c>
    </row>
    <row r="11357" spans="1:22" s="841" customFormat="1" ht="15" x14ac:dyDescent="0.25">
      <c r="A11357" s="841" t="s">
        <v>440</v>
      </c>
      <c r="E11357" s="1689" t="s">
        <v>4118</v>
      </c>
      <c r="F11357" s="1689"/>
      <c r="G11357" s="1689"/>
      <c r="H11357" s="1689"/>
      <c r="K11357" s="841" t="s">
        <v>5110</v>
      </c>
      <c r="M11357" s="1357"/>
      <c r="Q11357" s="1357"/>
      <c r="S11357" s="1420"/>
      <c r="T11357" s="1420"/>
      <c r="V11357" s="1357">
        <v>391</v>
      </c>
    </row>
    <row r="11358" spans="1:22" s="841" customFormat="1" ht="15" x14ac:dyDescent="0.25">
      <c r="A11358" s="841" t="s">
        <v>440</v>
      </c>
      <c r="E11358" s="1696" t="s">
        <v>3061</v>
      </c>
      <c r="F11358" s="1697"/>
      <c r="G11358" s="1697"/>
      <c r="H11358" s="1697"/>
      <c r="K11358" s="841" t="s">
        <v>3086</v>
      </c>
      <c r="M11358" s="1357"/>
      <c r="Q11358" s="1357"/>
      <c r="S11358" s="1420"/>
      <c r="T11358" s="1420"/>
      <c r="V11358" s="1357">
        <v>11</v>
      </c>
    </row>
    <row r="11359" spans="1:22" s="841" customFormat="1" ht="15" x14ac:dyDescent="0.25">
      <c r="A11359" s="841" t="s">
        <v>440</v>
      </c>
      <c r="E11359" s="1689" t="s">
        <v>3063</v>
      </c>
      <c r="F11359" s="1689"/>
      <c r="G11359" s="1689"/>
      <c r="H11359" s="1689"/>
      <c r="K11359" s="841" t="s">
        <v>5110</v>
      </c>
      <c r="M11359" s="1357"/>
      <c r="Q11359" s="1357"/>
      <c r="S11359" s="1420"/>
      <c r="T11359" s="1420"/>
      <c r="V11359" s="1357">
        <v>280</v>
      </c>
    </row>
    <row r="11360" spans="1:22" s="841" customFormat="1" ht="15" x14ac:dyDescent="0.25">
      <c r="A11360" s="841" t="s">
        <v>440</v>
      </c>
      <c r="E11360" s="1689" t="s">
        <v>3064</v>
      </c>
      <c r="F11360" s="1689"/>
      <c r="G11360" s="1689"/>
      <c r="H11360" s="1689"/>
      <c r="K11360" s="841" t="s">
        <v>5110</v>
      </c>
      <c r="M11360" s="1357"/>
      <c r="Q11360" s="1357"/>
      <c r="S11360" s="1420"/>
      <c r="T11360" s="1420"/>
      <c r="V11360" s="1357">
        <v>411</v>
      </c>
    </row>
    <row r="11361" spans="1:22" s="841" customFormat="1" ht="15" x14ac:dyDescent="0.25">
      <c r="A11361" s="841" t="s">
        <v>440</v>
      </c>
      <c r="E11361" s="1689" t="s">
        <v>3065</v>
      </c>
      <c r="F11361" s="1689"/>
      <c r="G11361" s="1689"/>
      <c r="H11361" s="1689"/>
      <c r="K11361" s="841" t="s">
        <v>5110</v>
      </c>
      <c r="M11361" s="1357"/>
      <c r="Q11361" s="1357"/>
      <c r="S11361" s="1420"/>
      <c r="T11361" s="1420"/>
      <c r="V11361" s="1357">
        <v>387</v>
      </c>
    </row>
    <row r="11362" spans="1:22" s="841" customFormat="1" ht="15" x14ac:dyDescent="0.25">
      <c r="A11362" s="841" t="s">
        <v>440</v>
      </c>
      <c r="E11362" s="1689" t="s">
        <v>4117</v>
      </c>
      <c r="F11362" s="1689"/>
      <c r="G11362" s="1689"/>
      <c r="H11362" s="1689"/>
      <c r="K11362" s="841" t="s">
        <v>5110</v>
      </c>
      <c r="M11362" s="1357"/>
      <c r="Q11362" s="1357"/>
      <c r="S11362" s="1420"/>
      <c r="T11362" s="1420"/>
      <c r="V11362" s="1357">
        <v>306</v>
      </c>
    </row>
    <row r="11363" spans="1:22" s="841" customFormat="1" ht="15" x14ac:dyDescent="0.25">
      <c r="A11363" s="841" t="s">
        <v>440</v>
      </c>
      <c r="E11363" s="1692" t="s">
        <v>3067</v>
      </c>
      <c r="F11363" s="1693"/>
      <c r="G11363" s="1693"/>
      <c r="H11363" s="1693"/>
      <c r="K11363" s="841" t="s">
        <v>3087</v>
      </c>
      <c r="M11363" s="1357"/>
      <c r="Q11363" s="1357"/>
      <c r="S11363" s="1420"/>
      <c r="T11363" s="1420"/>
      <c r="V11363" s="1357">
        <v>46</v>
      </c>
    </row>
    <row r="11364" spans="1:22" s="841" customFormat="1" ht="15" x14ac:dyDescent="0.25">
      <c r="A11364" s="841" t="s">
        <v>440</v>
      </c>
      <c r="E11364" s="1690" t="s">
        <v>11</v>
      </c>
      <c r="F11364" s="1690"/>
      <c r="G11364" s="1408" t="s">
        <v>23</v>
      </c>
      <c r="H11364" s="391">
        <v>16.940000000000001</v>
      </c>
      <c r="K11364" s="841" t="s">
        <v>5110</v>
      </c>
      <c r="L11364" s="841" t="s">
        <v>442</v>
      </c>
      <c r="M11364" s="1357"/>
      <c r="P11364" s="841" t="s">
        <v>5111</v>
      </c>
      <c r="Q11364" s="1357"/>
      <c r="S11364" s="1420"/>
      <c r="T11364" s="1420"/>
      <c r="V11364" s="1357">
        <v>14</v>
      </c>
    </row>
    <row r="11365" spans="1:22" s="841" customFormat="1" ht="15" x14ac:dyDescent="0.25">
      <c r="A11365" s="841" t="s">
        <v>440</v>
      </c>
      <c r="E11365" s="1690" t="s">
        <v>5809</v>
      </c>
      <c r="F11365" s="1690"/>
      <c r="G11365" s="1408" t="s">
        <v>23</v>
      </c>
      <c r="H11365" s="391">
        <v>-0.02</v>
      </c>
      <c r="K11365" s="841" t="s">
        <v>5110</v>
      </c>
      <c r="L11365" s="841" t="s">
        <v>442</v>
      </c>
      <c r="M11365" s="1357"/>
      <c r="P11365" s="841" t="s">
        <v>6436</v>
      </c>
      <c r="Q11365" s="1357"/>
      <c r="S11365" s="1420"/>
      <c r="T11365" s="1420">
        <v>43585</v>
      </c>
      <c r="V11365" s="1357">
        <v>76</v>
      </c>
    </row>
    <row r="11366" spans="1:22" s="841" customFormat="1" ht="15" x14ac:dyDescent="0.25">
      <c r="A11366" s="841" t="s">
        <v>440</v>
      </c>
      <c r="E11366" s="1690" t="s">
        <v>5109</v>
      </c>
      <c r="F11366" s="1690"/>
      <c r="G11366" s="1408" t="s">
        <v>23</v>
      </c>
      <c r="H11366" s="391">
        <v>0.56999999999999995</v>
      </c>
      <c r="K11366" s="841" t="s">
        <v>5110</v>
      </c>
      <c r="L11366" s="841" t="s">
        <v>443</v>
      </c>
      <c r="M11366" s="1357"/>
      <c r="P11366" s="841" t="s">
        <v>5112</v>
      </c>
      <c r="Q11366" s="1357"/>
      <c r="S11366" s="1420"/>
      <c r="T11366" s="1420">
        <v>44926</v>
      </c>
      <c r="V11366" s="1357">
        <v>64</v>
      </c>
    </row>
    <row r="11367" spans="1:22" s="841" customFormat="1" ht="15" x14ac:dyDescent="0.25">
      <c r="A11367" s="841" t="s">
        <v>440</v>
      </c>
      <c r="E11367" s="1690" t="s">
        <v>84</v>
      </c>
      <c r="F11367" s="1690"/>
      <c r="G11367" s="1408" t="s">
        <v>24</v>
      </c>
      <c r="H11367" s="393">
        <v>1.7899999999999999E-2</v>
      </c>
      <c r="K11367" s="841" t="s">
        <v>5110</v>
      </c>
      <c r="L11367" s="841" t="s">
        <v>442</v>
      </c>
      <c r="M11367" s="1357"/>
      <c r="P11367" s="841" t="s">
        <v>5113</v>
      </c>
      <c r="Q11367" s="1357"/>
      <c r="S11367" s="1420"/>
      <c r="T11367" s="1420"/>
      <c r="V11367" s="1357">
        <v>28</v>
      </c>
    </row>
    <row r="11368" spans="1:22" s="841" customFormat="1" ht="15" x14ac:dyDescent="0.25">
      <c r="A11368" s="841" t="s">
        <v>440</v>
      </c>
      <c r="E11368" s="1690" t="s">
        <v>18</v>
      </c>
      <c r="F11368" s="1690"/>
      <c r="G11368" s="1408" t="s">
        <v>24</v>
      </c>
      <c r="H11368" s="393">
        <v>5.9999999999999995E-4</v>
      </c>
      <c r="K11368" s="841" t="s">
        <v>5110</v>
      </c>
      <c r="L11368" s="841" t="s">
        <v>443</v>
      </c>
      <c r="M11368" s="1357"/>
      <c r="P11368" s="841" t="s">
        <v>5114</v>
      </c>
      <c r="Q11368" s="1357"/>
      <c r="S11368" s="1420"/>
      <c r="T11368" s="1420"/>
      <c r="V11368" s="1357">
        <v>24</v>
      </c>
    </row>
    <row r="11369" spans="1:22" s="841" customFormat="1" ht="15" x14ac:dyDescent="0.25">
      <c r="A11369" s="841" t="s">
        <v>440</v>
      </c>
      <c r="E11369" s="1690" t="s">
        <v>221</v>
      </c>
      <c r="F11369" s="1690"/>
      <c r="G11369" s="1408" t="s">
        <v>24</v>
      </c>
      <c r="H11369" s="393">
        <v>6.6E-3</v>
      </c>
      <c r="K11369" s="841" t="s">
        <v>5110</v>
      </c>
      <c r="L11369" s="841" t="s">
        <v>444</v>
      </c>
      <c r="M11369" s="1357"/>
      <c r="P11369" s="841" t="s">
        <v>5115</v>
      </c>
      <c r="Q11369" s="1357"/>
      <c r="S11369" s="1420"/>
      <c r="T11369" s="1420"/>
      <c r="V11369" s="1357">
        <v>47</v>
      </c>
    </row>
    <row r="11370" spans="1:22" s="841" customFormat="1" ht="15" x14ac:dyDescent="0.25">
      <c r="A11370" s="841" t="s">
        <v>440</v>
      </c>
      <c r="E11370" s="1690" t="s">
        <v>217</v>
      </c>
      <c r="F11370" s="1690"/>
      <c r="G11370" s="1408" t="s">
        <v>24</v>
      </c>
      <c r="H11370" s="393">
        <v>5.8999999999999999E-3</v>
      </c>
      <c r="K11370" s="841" t="s">
        <v>5110</v>
      </c>
      <c r="L11370" s="841" t="s">
        <v>444</v>
      </c>
      <c r="M11370" s="1357"/>
      <c r="P11370" s="841" t="s">
        <v>5116</v>
      </c>
      <c r="Q11370" s="1357"/>
      <c r="S11370" s="1420"/>
      <c r="T11370" s="1420"/>
      <c r="V11370" s="1357">
        <v>74</v>
      </c>
    </row>
    <row r="11371" spans="1:22" s="841" customFormat="1" ht="15" x14ac:dyDescent="0.25">
      <c r="A11371" s="841" t="s">
        <v>440</v>
      </c>
      <c r="E11371" s="1694" t="s">
        <v>3079</v>
      </c>
      <c r="F11371" s="1690"/>
      <c r="G11371" s="1408"/>
      <c r="H11371" s="1408"/>
      <c r="K11371" s="841" t="s">
        <v>3093</v>
      </c>
      <c r="M11371" s="1357"/>
      <c r="Q11371" s="1357"/>
      <c r="S11371" s="1420"/>
      <c r="T11371" s="1420"/>
      <c r="V11371" s="1357">
        <v>48</v>
      </c>
    </row>
    <row r="11372" spans="1:22" s="841" customFormat="1" ht="15" x14ac:dyDescent="0.25">
      <c r="A11372" s="841" t="s">
        <v>440</v>
      </c>
      <c r="E11372" s="1690" t="s">
        <v>2449</v>
      </c>
      <c r="F11372" s="1690"/>
      <c r="G11372" s="1408" t="s">
        <v>24</v>
      </c>
      <c r="H11372" s="393">
        <v>3.2000000000000002E-3</v>
      </c>
      <c r="K11372" s="841" t="s">
        <v>5110</v>
      </c>
      <c r="L11372" s="841" t="s">
        <v>3046</v>
      </c>
      <c r="M11372" s="1357"/>
      <c r="P11372" s="841" t="s">
        <v>5117</v>
      </c>
      <c r="Q11372" s="1357"/>
      <c r="S11372" s="1420"/>
      <c r="T11372" s="1420"/>
      <c r="V11372" s="1357">
        <v>55</v>
      </c>
    </row>
    <row r="11373" spans="1:22" s="841" customFormat="1" ht="15" x14ac:dyDescent="0.25">
      <c r="A11373" s="841" t="s">
        <v>440</v>
      </c>
      <c r="E11373" s="1690" t="s">
        <v>2450</v>
      </c>
      <c r="F11373" s="1690"/>
      <c r="G11373" s="1408" t="s">
        <v>24</v>
      </c>
      <c r="H11373" s="393">
        <v>4.0000000000000002E-4</v>
      </c>
      <c r="K11373" s="841" t="s">
        <v>5110</v>
      </c>
      <c r="L11373" s="841" t="s">
        <v>3046</v>
      </c>
      <c r="M11373" s="1357"/>
      <c r="P11373" s="841" t="s">
        <v>5117</v>
      </c>
      <c r="Q11373" s="1357"/>
      <c r="S11373" s="1420"/>
      <c r="T11373" s="1420"/>
      <c r="V11373" s="1357">
        <v>65</v>
      </c>
    </row>
    <row r="11374" spans="1:22" s="841" customFormat="1" ht="15" x14ac:dyDescent="0.25">
      <c r="A11374" s="841" t="s">
        <v>440</v>
      </c>
      <c r="E11374" s="1690" t="s">
        <v>439</v>
      </c>
      <c r="F11374" s="1690"/>
      <c r="G11374" s="1408" t="s">
        <v>24</v>
      </c>
      <c r="H11374" s="393">
        <v>2.9999999999999997E-4</v>
      </c>
      <c r="K11374" s="841" t="s">
        <v>5110</v>
      </c>
      <c r="L11374" s="841" t="s">
        <v>3046</v>
      </c>
      <c r="M11374" s="1357"/>
      <c r="P11374" s="841" t="s">
        <v>5118</v>
      </c>
      <c r="Q11374" s="1357"/>
      <c r="S11374" s="1420"/>
      <c r="T11374" s="1420"/>
      <c r="V11374" s="1357">
        <v>57</v>
      </c>
    </row>
    <row r="11375" spans="1:22" s="841" customFormat="1" ht="15" x14ac:dyDescent="0.25">
      <c r="A11375" s="841" t="s">
        <v>440</v>
      </c>
      <c r="E11375" s="1690" t="s">
        <v>32</v>
      </c>
      <c r="F11375" s="1690"/>
      <c r="G11375" s="1408" t="s">
        <v>23</v>
      </c>
      <c r="H11375" s="391">
        <v>0.25</v>
      </c>
      <c r="K11375" s="841" t="s">
        <v>5110</v>
      </c>
      <c r="L11375" s="841" t="s">
        <v>3046</v>
      </c>
      <c r="M11375" s="1357"/>
      <c r="P11375" s="841" t="s">
        <v>5119</v>
      </c>
      <c r="Q11375" s="1357"/>
      <c r="S11375" s="1420"/>
      <c r="T11375" s="1420"/>
      <c r="V11375" s="1357">
        <v>63</v>
      </c>
    </row>
    <row r="11376" spans="1:22" s="841" customFormat="1" x14ac:dyDescent="0.25">
      <c r="A11376" s="841" t="s">
        <v>440</v>
      </c>
      <c r="E11376" s="1695" t="s">
        <v>3216</v>
      </c>
      <c r="F11376" s="1915"/>
      <c r="G11376" s="1915"/>
      <c r="H11376" s="1915"/>
      <c r="K11376" s="841" t="s">
        <v>5180</v>
      </c>
      <c r="M11376" s="1357"/>
      <c r="Q11376" s="1357"/>
      <c r="S11376" s="1420"/>
      <c r="T11376" s="1420"/>
      <c r="V11376" s="1357">
        <v>51</v>
      </c>
    </row>
    <row r="11377" spans="1:22" s="841" customFormat="1" ht="15" x14ac:dyDescent="0.25">
      <c r="A11377" s="841" t="s">
        <v>440</v>
      </c>
      <c r="E11377" s="1689" t="s">
        <v>4119</v>
      </c>
      <c r="F11377" s="1689"/>
      <c r="G11377" s="1689"/>
      <c r="H11377" s="1689"/>
      <c r="K11377" s="841" t="s">
        <v>5180</v>
      </c>
      <c r="M11377" s="1357"/>
      <c r="Q11377" s="1357"/>
      <c r="S11377" s="1420"/>
      <c r="T11377" s="1420"/>
      <c r="V11377" s="1357">
        <v>433</v>
      </c>
    </row>
    <row r="11378" spans="1:22" s="841" customFormat="1" ht="15" x14ac:dyDescent="0.25">
      <c r="A11378" s="841" t="s">
        <v>440</v>
      </c>
      <c r="E11378" s="1696" t="s">
        <v>3061</v>
      </c>
      <c r="F11378" s="1697"/>
      <c r="G11378" s="1697"/>
      <c r="H11378" s="1697"/>
      <c r="K11378" s="841" t="s">
        <v>3098</v>
      </c>
      <c r="M11378" s="1357"/>
      <c r="Q11378" s="1357"/>
      <c r="S11378" s="1420"/>
      <c r="T11378" s="1420"/>
      <c r="V11378" s="1357">
        <v>11</v>
      </c>
    </row>
    <row r="11379" spans="1:22" s="841" customFormat="1" ht="15" x14ac:dyDescent="0.25">
      <c r="A11379" s="841" t="s">
        <v>440</v>
      </c>
      <c r="E11379" s="1689" t="s">
        <v>3063</v>
      </c>
      <c r="F11379" s="1689"/>
      <c r="G11379" s="1689"/>
      <c r="H11379" s="1689"/>
      <c r="K11379" s="841" t="s">
        <v>5180</v>
      </c>
      <c r="M11379" s="1357"/>
      <c r="Q11379" s="1357"/>
      <c r="S11379" s="1420"/>
      <c r="T11379" s="1420"/>
      <c r="V11379" s="1357">
        <v>280</v>
      </c>
    </row>
    <row r="11380" spans="1:22" s="841" customFormat="1" ht="15" x14ac:dyDescent="0.25">
      <c r="A11380" s="841" t="s">
        <v>440</v>
      </c>
      <c r="E11380" s="1689" t="s">
        <v>3064</v>
      </c>
      <c r="F11380" s="1689"/>
      <c r="G11380" s="1689"/>
      <c r="H11380" s="1689"/>
      <c r="K11380" s="841" t="s">
        <v>5180</v>
      </c>
      <c r="M11380" s="1357"/>
      <c r="Q11380" s="1357"/>
      <c r="S11380" s="1420"/>
      <c r="T11380" s="1420"/>
      <c r="V11380" s="1357">
        <v>411</v>
      </c>
    </row>
    <row r="11381" spans="1:22" s="841" customFormat="1" ht="15" x14ac:dyDescent="0.25">
      <c r="A11381" s="841" t="s">
        <v>440</v>
      </c>
      <c r="E11381" s="1689" t="s">
        <v>3065</v>
      </c>
      <c r="F11381" s="1689"/>
      <c r="G11381" s="1689"/>
      <c r="H11381" s="1689"/>
      <c r="K11381" s="841" t="s">
        <v>5180</v>
      </c>
      <c r="M11381" s="1357"/>
      <c r="Q11381" s="1357"/>
      <c r="S11381" s="1420"/>
      <c r="T11381" s="1420"/>
      <c r="V11381" s="1357">
        <v>387</v>
      </c>
    </row>
    <row r="11382" spans="1:22" s="841" customFormat="1" ht="15" x14ac:dyDescent="0.25">
      <c r="A11382" s="841" t="s">
        <v>440</v>
      </c>
      <c r="E11382" s="1689" t="s">
        <v>3390</v>
      </c>
      <c r="F11382" s="1689"/>
      <c r="G11382" s="1689"/>
      <c r="H11382" s="1689"/>
      <c r="K11382" s="841" t="s">
        <v>5180</v>
      </c>
      <c r="M11382" s="1357"/>
      <c r="Q11382" s="1357"/>
      <c r="S11382" s="1420"/>
      <c r="T11382" s="1420"/>
      <c r="V11382" s="1357">
        <v>274</v>
      </c>
    </row>
    <row r="11383" spans="1:22" s="841" customFormat="1" ht="15" x14ac:dyDescent="0.25">
      <c r="A11383" s="841" t="s">
        <v>440</v>
      </c>
      <c r="E11383" s="1692" t="s">
        <v>3067</v>
      </c>
      <c r="F11383" s="1693"/>
      <c r="G11383" s="1693"/>
      <c r="H11383" s="1693"/>
      <c r="K11383" s="841" t="s">
        <v>3099</v>
      </c>
      <c r="M11383" s="1357"/>
      <c r="Q11383" s="1357"/>
      <c r="S11383" s="1420"/>
      <c r="T11383" s="1420"/>
      <c r="V11383" s="1357">
        <v>46</v>
      </c>
    </row>
    <row r="11384" spans="1:22" s="841" customFormat="1" ht="15" x14ac:dyDescent="0.25">
      <c r="A11384" s="841" t="s">
        <v>440</v>
      </c>
      <c r="E11384" s="1690" t="s">
        <v>11</v>
      </c>
      <c r="F11384" s="1690"/>
      <c r="G11384" s="1408" t="s">
        <v>23</v>
      </c>
      <c r="H11384" s="391">
        <v>79.94</v>
      </c>
      <c r="K11384" s="841" t="s">
        <v>5180</v>
      </c>
      <c r="L11384" s="841" t="s">
        <v>442</v>
      </c>
      <c r="M11384" s="1357"/>
      <c r="P11384" s="841" t="s">
        <v>5181</v>
      </c>
      <c r="Q11384" s="1357"/>
      <c r="S11384" s="1420"/>
      <c r="T11384" s="1420"/>
      <c r="V11384" s="1357">
        <v>14</v>
      </c>
    </row>
    <row r="11385" spans="1:22" s="841" customFormat="1" ht="15" x14ac:dyDescent="0.25">
      <c r="A11385" s="841" t="s">
        <v>440</v>
      </c>
      <c r="E11385" s="1690" t="s">
        <v>5809</v>
      </c>
      <c r="F11385" s="1690"/>
      <c r="G11385" s="1408" t="s">
        <v>23</v>
      </c>
      <c r="H11385" s="391">
        <v>-0.02</v>
      </c>
      <c r="K11385" s="841" t="s">
        <v>5180</v>
      </c>
      <c r="L11385" s="841" t="s">
        <v>442</v>
      </c>
      <c r="M11385" s="1357"/>
      <c r="P11385" s="841" t="s">
        <v>6437</v>
      </c>
      <c r="Q11385" s="1357"/>
      <c r="S11385" s="1420"/>
      <c r="T11385" s="1420">
        <v>43585</v>
      </c>
      <c r="V11385" s="1357">
        <v>76</v>
      </c>
    </row>
    <row r="11386" spans="1:22" s="841" customFormat="1" ht="15" x14ac:dyDescent="0.25">
      <c r="A11386" s="841" t="s">
        <v>440</v>
      </c>
      <c r="E11386" s="1690" t="s">
        <v>84</v>
      </c>
      <c r="F11386" s="1690"/>
      <c r="G11386" s="1408" t="s">
        <v>33</v>
      </c>
      <c r="H11386" s="393">
        <v>3.0939000000000001</v>
      </c>
      <c r="K11386" s="841" t="s">
        <v>5180</v>
      </c>
      <c r="L11386" s="841" t="s">
        <v>442</v>
      </c>
      <c r="M11386" s="1357"/>
      <c r="P11386" s="841" t="s">
        <v>5182</v>
      </c>
      <c r="Q11386" s="1357"/>
      <c r="S11386" s="1420"/>
      <c r="T11386" s="1420"/>
      <c r="V11386" s="1357">
        <v>28</v>
      </c>
    </row>
    <row r="11387" spans="1:22" s="841" customFormat="1" ht="15" x14ac:dyDescent="0.25">
      <c r="A11387" s="841" t="s">
        <v>440</v>
      </c>
      <c r="E11387" s="1690" t="s">
        <v>4120</v>
      </c>
      <c r="F11387" s="1690"/>
      <c r="G11387" s="1408" t="s">
        <v>33</v>
      </c>
      <c r="H11387" s="393">
        <v>0.61060000000000003</v>
      </c>
      <c r="K11387" s="841" t="s">
        <v>5180</v>
      </c>
      <c r="L11387" s="841" t="s">
        <v>442</v>
      </c>
      <c r="M11387" s="1357"/>
      <c r="P11387" s="841" t="s">
        <v>5810</v>
      </c>
      <c r="Q11387" s="1357"/>
      <c r="S11387" s="1420"/>
      <c r="T11387" s="1420"/>
      <c r="V11387" s="1357">
        <v>88</v>
      </c>
    </row>
    <row r="11388" spans="1:22" s="841" customFormat="1" ht="15" x14ac:dyDescent="0.25">
      <c r="A11388" s="841" t="s">
        <v>440</v>
      </c>
      <c r="E11388" s="1690" t="s">
        <v>18</v>
      </c>
      <c r="F11388" s="1690"/>
      <c r="G11388" s="1408" t="s">
        <v>33</v>
      </c>
      <c r="H11388" s="393">
        <v>0.26</v>
      </c>
      <c r="K11388" s="841" t="s">
        <v>5180</v>
      </c>
      <c r="L11388" s="841" t="s">
        <v>443</v>
      </c>
      <c r="M11388" s="1357"/>
      <c r="P11388" s="841" t="s">
        <v>5183</v>
      </c>
      <c r="Q11388" s="1357"/>
      <c r="S11388" s="1420"/>
      <c r="T11388" s="1420"/>
      <c r="V11388" s="1357">
        <v>24</v>
      </c>
    </row>
    <row r="11389" spans="1:22" s="841" customFormat="1" ht="15" x14ac:dyDescent="0.25">
      <c r="A11389" s="841" t="s">
        <v>440</v>
      </c>
      <c r="E11389" s="1690" t="s">
        <v>221</v>
      </c>
      <c r="F11389" s="1690"/>
      <c r="G11389" s="1408" t="s">
        <v>33</v>
      </c>
      <c r="H11389" s="393">
        <v>2.9704000000000002</v>
      </c>
      <c r="K11389" s="841" t="s">
        <v>5180</v>
      </c>
      <c r="L11389" s="841" t="s">
        <v>444</v>
      </c>
      <c r="M11389" s="1357"/>
      <c r="P11389" s="841" t="s">
        <v>5184</v>
      </c>
      <c r="Q11389" s="1357"/>
      <c r="S11389" s="1420"/>
      <c r="T11389" s="1420"/>
      <c r="V11389" s="1357">
        <v>47</v>
      </c>
    </row>
    <row r="11390" spans="1:22" s="841" customFormat="1" ht="15" x14ac:dyDescent="0.25">
      <c r="A11390" s="841" t="s">
        <v>440</v>
      </c>
      <c r="E11390" s="1690" t="s">
        <v>217</v>
      </c>
      <c r="F11390" s="1690"/>
      <c r="G11390" s="1408" t="s">
        <v>33</v>
      </c>
      <c r="H11390" s="393">
        <v>2.7338</v>
      </c>
      <c r="K11390" s="841" t="s">
        <v>5180</v>
      </c>
      <c r="L11390" s="841" t="s">
        <v>444</v>
      </c>
      <c r="M11390" s="1357"/>
      <c r="P11390" s="841" t="s">
        <v>5185</v>
      </c>
      <c r="Q11390" s="1357"/>
      <c r="S11390" s="1420"/>
      <c r="T11390" s="1420"/>
      <c r="V11390" s="1357">
        <v>74</v>
      </c>
    </row>
    <row r="11391" spans="1:22" s="841" customFormat="1" ht="15" x14ac:dyDescent="0.25">
      <c r="A11391" s="841" t="s">
        <v>440</v>
      </c>
      <c r="E11391" s="1694" t="s">
        <v>3079</v>
      </c>
      <c r="F11391" s="1690"/>
      <c r="G11391" s="1408"/>
      <c r="H11391" s="1408"/>
      <c r="K11391" s="841" t="s">
        <v>3218</v>
      </c>
      <c r="M11391" s="1357"/>
      <c r="Q11391" s="1357"/>
      <c r="S11391" s="1420"/>
      <c r="T11391" s="1420"/>
      <c r="V11391" s="1357">
        <v>48</v>
      </c>
    </row>
    <row r="11392" spans="1:22" s="841" customFormat="1" ht="15" x14ac:dyDescent="0.25">
      <c r="A11392" s="841" t="s">
        <v>440</v>
      </c>
      <c r="E11392" s="1690" t="s">
        <v>2449</v>
      </c>
      <c r="F11392" s="1690"/>
      <c r="G11392" s="1408" t="s">
        <v>24</v>
      </c>
      <c r="H11392" s="393">
        <v>3.2000000000000002E-3</v>
      </c>
      <c r="K11392" s="841" t="s">
        <v>5180</v>
      </c>
      <c r="L11392" s="841" t="s">
        <v>3046</v>
      </c>
      <c r="M11392" s="1357"/>
      <c r="P11392" s="841" t="s">
        <v>5186</v>
      </c>
      <c r="Q11392" s="1357"/>
      <c r="S11392" s="1420"/>
      <c r="T11392" s="1420"/>
      <c r="V11392" s="1357">
        <v>55</v>
      </c>
    </row>
    <row r="11393" spans="1:22" s="841" customFormat="1" ht="15" x14ac:dyDescent="0.25">
      <c r="A11393" s="841" t="s">
        <v>440</v>
      </c>
      <c r="E11393" s="1690" t="s">
        <v>2450</v>
      </c>
      <c r="F11393" s="1690"/>
      <c r="G11393" s="1408" t="s">
        <v>24</v>
      </c>
      <c r="H11393" s="393">
        <v>4.0000000000000002E-4</v>
      </c>
      <c r="K11393" s="841" t="s">
        <v>5180</v>
      </c>
      <c r="L11393" s="841" t="s">
        <v>3046</v>
      </c>
      <c r="M11393" s="1357"/>
      <c r="P11393" s="841" t="s">
        <v>5186</v>
      </c>
      <c r="Q11393" s="1357"/>
      <c r="S11393" s="1420"/>
      <c r="T11393" s="1420"/>
      <c r="V11393" s="1357">
        <v>65</v>
      </c>
    </row>
    <row r="11394" spans="1:22" s="841" customFormat="1" ht="15" x14ac:dyDescent="0.25">
      <c r="A11394" s="841" t="s">
        <v>440</v>
      </c>
      <c r="E11394" s="1690" t="s">
        <v>439</v>
      </c>
      <c r="F11394" s="1690"/>
      <c r="G11394" s="1408" t="s">
        <v>24</v>
      </c>
      <c r="H11394" s="393">
        <v>2.9999999999999997E-4</v>
      </c>
      <c r="K11394" s="841" t="s">
        <v>5180</v>
      </c>
      <c r="L11394" s="841" t="s">
        <v>3046</v>
      </c>
      <c r="M11394" s="1357"/>
      <c r="P11394" s="841" t="s">
        <v>5187</v>
      </c>
      <c r="Q11394" s="1357"/>
      <c r="S11394" s="1420"/>
      <c r="T11394" s="1420"/>
      <c r="V11394" s="1357">
        <v>57</v>
      </c>
    </row>
    <row r="11395" spans="1:22" s="841" customFormat="1" ht="15" x14ac:dyDescent="0.25">
      <c r="A11395" s="841" t="s">
        <v>440</v>
      </c>
      <c r="E11395" s="1690" t="s">
        <v>32</v>
      </c>
      <c r="F11395" s="1690"/>
      <c r="G11395" s="1408" t="s">
        <v>23</v>
      </c>
      <c r="H11395" s="391">
        <v>0.25</v>
      </c>
      <c r="K11395" s="841" t="s">
        <v>5180</v>
      </c>
      <c r="L11395" s="841" t="s">
        <v>3046</v>
      </c>
      <c r="M11395" s="1357"/>
      <c r="P11395" s="841" t="s">
        <v>5188</v>
      </c>
      <c r="Q11395" s="1357"/>
      <c r="S11395" s="1420"/>
      <c r="T11395" s="1420"/>
      <c r="V11395" s="1357">
        <v>63</v>
      </c>
    </row>
    <row r="11396" spans="1:22" s="841" customFormat="1" x14ac:dyDescent="0.25">
      <c r="A11396" s="841" t="s">
        <v>440</v>
      </c>
      <c r="E11396" s="1695" t="s">
        <v>3219</v>
      </c>
      <c r="F11396" s="1915"/>
      <c r="G11396" s="1915"/>
      <c r="H11396" s="1915"/>
      <c r="K11396" s="841" t="s">
        <v>5189</v>
      </c>
      <c r="M11396" s="1357"/>
      <c r="Q11396" s="1357"/>
      <c r="S11396" s="1420"/>
      <c r="T11396" s="1420"/>
      <c r="V11396" s="1357">
        <v>56</v>
      </c>
    </row>
    <row r="11397" spans="1:22" s="841" customFormat="1" ht="15" x14ac:dyDescent="0.25">
      <c r="A11397" s="841" t="s">
        <v>440</v>
      </c>
      <c r="E11397" s="1689" t="s">
        <v>4121</v>
      </c>
      <c r="F11397" s="1689"/>
      <c r="G11397" s="1689"/>
      <c r="H11397" s="1689"/>
      <c r="K11397" s="841" t="s">
        <v>5189</v>
      </c>
      <c r="M11397" s="1357"/>
      <c r="Q11397" s="1357"/>
      <c r="S11397" s="1420"/>
      <c r="T11397" s="1420"/>
      <c r="V11397" s="1357">
        <v>487</v>
      </c>
    </row>
    <row r="11398" spans="1:22" s="841" customFormat="1" ht="15" x14ac:dyDescent="0.25">
      <c r="A11398" s="841" t="s">
        <v>440</v>
      </c>
      <c r="E11398" s="1696" t="s">
        <v>3061</v>
      </c>
      <c r="F11398" s="1697"/>
      <c r="G11398" s="1697"/>
      <c r="H11398" s="1697"/>
      <c r="K11398" s="841" t="s">
        <v>3221</v>
      </c>
      <c r="M11398" s="1357"/>
      <c r="Q11398" s="1357"/>
      <c r="S11398" s="1420"/>
      <c r="T11398" s="1420"/>
      <c r="V11398" s="1357">
        <v>11</v>
      </c>
    </row>
    <row r="11399" spans="1:22" s="841" customFormat="1" ht="15" x14ac:dyDescent="0.25">
      <c r="A11399" s="841" t="s">
        <v>440</v>
      </c>
      <c r="E11399" s="1689" t="s">
        <v>3063</v>
      </c>
      <c r="F11399" s="1689"/>
      <c r="G11399" s="1689"/>
      <c r="H11399" s="1689"/>
      <c r="K11399" s="841" t="s">
        <v>5189</v>
      </c>
      <c r="M11399" s="1357"/>
      <c r="Q11399" s="1357"/>
      <c r="S11399" s="1420"/>
      <c r="T11399" s="1420"/>
      <c r="V11399" s="1357">
        <v>280</v>
      </c>
    </row>
    <row r="11400" spans="1:22" s="841" customFormat="1" ht="15" x14ac:dyDescent="0.25">
      <c r="A11400" s="841" t="s">
        <v>440</v>
      </c>
      <c r="E11400" s="1689" t="s">
        <v>3064</v>
      </c>
      <c r="F11400" s="1689"/>
      <c r="G11400" s="1689"/>
      <c r="H11400" s="1689"/>
      <c r="K11400" s="841" t="s">
        <v>5189</v>
      </c>
      <c r="M11400" s="1357"/>
      <c r="Q11400" s="1357"/>
      <c r="S11400" s="1420"/>
      <c r="T11400" s="1420"/>
      <c r="V11400" s="1357">
        <v>411</v>
      </c>
    </row>
    <row r="11401" spans="1:22" s="841" customFormat="1" ht="15" x14ac:dyDescent="0.25">
      <c r="A11401" s="841" t="s">
        <v>440</v>
      </c>
      <c r="E11401" s="1689" t="s">
        <v>3065</v>
      </c>
      <c r="F11401" s="1689"/>
      <c r="G11401" s="1689"/>
      <c r="H11401" s="1689"/>
      <c r="K11401" s="841" t="s">
        <v>5189</v>
      </c>
      <c r="M11401" s="1357"/>
      <c r="Q11401" s="1357"/>
      <c r="S11401" s="1420"/>
      <c r="T11401" s="1420"/>
      <c r="V11401" s="1357">
        <v>387</v>
      </c>
    </row>
    <row r="11402" spans="1:22" s="841" customFormat="1" ht="15" x14ac:dyDescent="0.25">
      <c r="A11402" s="841" t="s">
        <v>440</v>
      </c>
      <c r="E11402" s="1689" t="s">
        <v>3390</v>
      </c>
      <c r="F11402" s="1689"/>
      <c r="G11402" s="1689"/>
      <c r="H11402" s="1689"/>
      <c r="K11402" s="841" t="s">
        <v>5189</v>
      </c>
      <c r="M11402" s="1357"/>
      <c r="Q11402" s="1357"/>
      <c r="S11402" s="1420"/>
      <c r="T11402" s="1420"/>
      <c r="V11402" s="1357">
        <v>274</v>
      </c>
    </row>
    <row r="11403" spans="1:22" s="841" customFormat="1" ht="15" x14ac:dyDescent="0.25">
      <c r="A11403" s="841" t="s">
        <v>440</v>
      </c>
      <c r="E11403" s="1692" t="s">
        <v>3067</v>
      </c>
      <c r="F11403" s="1693"/>
      <c r="G11403" s="1693"/>
      <c r="H11403" s="1693"/>
      <c r="K11403" s="841" t="s">
        <v>3224</v>
      </c>
      <c r="M11403" s="1357"/>
      <c r="Q11403" s="1357"/>
      <c r="S11403" s="1420"/>
      <c r="T11403" s="1420"/>
      <c r="V11403" s="1357">
        <v>46</v>
      </c>
    </row>
    <row r="11404" spans="1:22" s="841" customFormat="1" ht="15" x14ac:dyDescent="0.25">
      <c r="A11404" s="841" t="s">
        <v>440</v>
      </c>
      <c r="E11404" s="1690" t="s">
        <v>11</v>
      </c>
      <c r="F11404" s="1690"/>
      <c r="G11404" s="1408" t="s">
        <v>23</v>
      </c>
      <c r="H11404" s="391">
        <v>628.96</v>
      </c>
      <c r="K11404" s="841" t="s">
        <v>5189</v>
      </c>
      <c r="L11404" s="841" t="s">
        <v>442</v>
      </c>
      <c r="M11404" s="1357"/>
      <c r="P11404" s="841" t="s">
        <v>5190</v>
      </c>
      <c r="Q11404" s="1357"/>
      <c r="S11404" s="1420"/>
      <c r="T11404" s="1420"/>
      <c r="V11404" s="1357">
        <v>14</v>
      </c>
    </row>
    <row r="11405" spans="1:22" s="841" customFormat="1" ht="15" x14ac:dyDescent="0.25">
      <c r="A11405" s="841" t="s">
        <v>440</v>
      </c>
      <c r="E11405" s="1690" t="s">
        <v>5809</v>
      </c>
      <c r="F11405" s="1690"/>
      <c r="G11405" s="1408" t="s">
        <v>23</v>
      </c>
      <c r="H11405" s="391">
        <v>-0.02</v>
      </c>
      <c r="K11405" s="841" t="s">
        <v>5189</v>
      </c>
      <c r="L11405" s="841" t="s">
        <v>442</v>
      </c>
      <c r="M11405" s="1357"/>
      <c r="P11405" s="841" t="s">
        <v>6438</v>
      </c>
      <c r="Q11405" s="1357"/>
      <c r="S11405" s="1420"/>
      <c r="T11405" s="1420">
        <v>43585</v>
      </c>
      <c r="V11405" s="1357">
        <v>76</v>
      </c>
    </row>
    <row r="11406" spans="1:22" s="841" customFormat="1" ht="15" x14ac:dyDescent="0.25">
      <c r="A11406" s="841" t="s">
        <v>440</v>
      </c>
      <c r="E11406" s="1690" t="s">
        <v>84</v>
      </c>
      <c r="F11406" s="1690"/>
      <c r="G11406" s="1408" t="s">
        <v>33</v>
      </c>
      <c r="H11406" s="393">
        <v>2.1690999999999998</v>
      </c>
      <c r="K11406" s="841" t="s">
        <v>5189</v>
      </c>
      <c r="L11406" s="841" t="s">
        <v>442</v>
      </c>
      <c r="M11406" s="1357"/>
      <c r="P11406" s="841" t="s">
        <v>5191</v>
      </c>
      <c r="Q11406" s="1357"/>
      <c r="S11406" s="1420"/>
      <c r="T11406" s="1420"/>
      <c r="V11406" s="1357">
        <v>28</v>
      </c>
    </row>
    <row r="11407" spans="1:22" s="841" customFormat="1" ht="15" x14ac:dyDescent="0.25">
      <c r="A11407" s="841" t="s">
        <v>440</v>
      </c>
      <c r="E11407" s="1690" t="s">
        <v>4120</v>
      </c>
      <c r="F11407" s="1690"/>
      <c r="G11407" s="1408" t="s">
        <v>33</v>
      </c>
      <c r="H11407" s="393">
        <v>0.61060000000000003</v>
      </c>
      <c r="K11407" s="841" t="s">
        <v>5189</v>
      </c>
      <c r="L11407" s="841" t="s">
        <v>442</v>
      </c>
      <c r="M11407" s="1357"/>
      <c r="P11407" s="841" t="s">
        <v>5811</v>
      </c>
      <c r="Q11407" s="1357"/>
      <c r="S11407" s="1420"/>
      <c r="T11407" s="1420"/>
      <c r="V11407" s="1357">
        <v>88</v>
      </c>
    </row>
    <row r="11408" spans="1:22" s="841" customFormat="1" ht="15" x14ac:dyDescent="0.25">
      <c r="A11408" s="841" t="s">
        <v>440</v>
      </c>
      <c r="E11408" s="1690" t="s">
        <v>18</v>
      </c>
      <c r="F11408" s="1690"/>
      <c r="G11408" s="1408" t="s">
        <v>33</v>
      </c>
      <c r="H11408" s="393">
        <v>0.25580000000000003</v>
      </c>
      <c r="K11408" s="841" t="s">
        <v>5189</v>
      </c>
      <c r="L11408" s="841" t="s">
        <v>443</v>
      </c>
      <c r="M11408" s="1357"/>
      <c r="P11408" s="841" t="s">
        <v>5192</v>
      </c>
      <c r="Q11408" s="1357"/>
      <c r="S11408" s="1420"/>
      <c r="T11408" s="1420"/>
      <c r="V11408" s="1357">
        <v>24</v>
      </c>
    </row>
    <row r="11409" spans="1:22" s="841" customFormat="1" ht="15" x14ac:dyDescent="0.25">
      <c r="A11409" s="841" t="s">
        <v>440</v>
      </c>
      <c r="E11409" s="1690" t="s">
        <v>221</v>
      </c>
      <c r="F11409" s="1690"/>
      <c r="G11409" s="1408" t="s">
        <v>33</v>
      </c>
      <c r="H11409" s="393">
        <v>2.9214000000000002</v>
      </c>
      <c r="K11409" s="841" t="s">
        <v>5189</v>
      </c>
      <c r="L11409" s="841" t="s">
        <v>444</v>
      </c>
      <c r="M11409" s="1357"/>
      <c r="P11409" s="841" t="s">
        <v>5193</v>
      </c>
      <c r="Q11409" s="1357"/>
      <c r="S11409" s="1420"/>
      <c r="T11409" s="1420"/>
      <c r="V11409" s="1357">
        <v>47</v>
      </c>
    </row>
    <row r="11410" spans="1:22" s="841" customFormat="1" ht="15" x14ac:dyDescent="0.25">
      <c r="A11410" s="841" t="s">
        <v>440</v>
      </c>
      <c r="E11410" s="1690" t="s">
        <v>217</v>
      </c>
      <c r="F11410" s="1690"/>
      <c r="G11410" s="1408" t="s">
        <v>33</v>
      </c>
      <c r="H11410" s="393">
        <v>2.6892</v>
      </c>
      <c r="K11410" s="841" t="s">
        <v>5189</v>
      </c>
      <c r="L11410" s="841" t="s">
        <v>444</v>
      </c>
      <c r="M11410" s="1357"/>
      <c r="P11410" s="841" t="s">
        <v>5194</v>
      </c>
      <c r="Q11410" s="1357"/>
      <c r="S11410" s="1420"/>
      <c r="T11410" s="1420"/>
      <c r="V11410" s="1357">
        <v>74</v>
      </c>
    </row>
    <row r="11411" spans="1:22" s="841" customFormat="1" ht="15" x14ac:dyDescent="0.25">
      <c r="A11411" s="841" t="s">
        <v>440</v>
      </c>
      <c r="E11411" s="1694" t="s">
        <v>3079</v>
      </c>
      <c r="F11411" s="1690"/>
      <c r="G11411" s="1408"/>
      <c r="H11411" s="1408"/>
      <c r="K11411" s="841" t="s">
        <v>3225</v>
      </c>
      <c r="M11411" s="1357"/>
      <c r="Q11411" s="1357"/>
      <c r="S11411" s="1420"/>
      <c r="T11411" s="1420"/>
      <c r="V11411" s="1357">
        <v>48</v>
      </c>
    </row>
    <row r="11412" spans="1:22" s="841" customFormat="1" ht="15" x14ac:dyDescent="0.25">
      <c r="A11412" s="841" t="s">
        <v>440</v>
      </c>
      <c r="E11412" s="1690" t="s">
        <v>2449</v>
      </c>
      <c r="F11412" s="1690"/>
      <c r="G11412" s="1408" t="s">
        <v>24</v>
      </c>
      <c r="H11412" s="393">
        <v>3.2000000000000002E-3</v>
      </c>
      <c r="K11412" s="841" t="s">
        <v>5189</v>
      </c>
      <c r="L11412" s="841" t="s">
        <v>3046</v>
      </c>
      <c r="M11412" s="1357"/>
      <c r="P11412" s="841" t="s">
        <v>5195</v>
      </c>
      <c r="Q11412" s="1357"/>
      <c r="S11412" s="1420"/>
      <c r="T11412" s="1420"/>
      <c r="V11412" s="1357">
        <v>55</v>
      </c>
    </row>
    <row r="11413" spans="1:22" s="841" customFormat="1" ht="15" x14ac:dyDescent="0.25">
      <c r="A11413" s="841" t="s">
        <v>440</v>
      </c>
      <c r="E11413" s="1690" t="s">
        <v>2450</v>
      </c>
      <c r="F11413" s="1690"/>
      <c r="G11413" s="1408" t="s">
        <v>24</v>
      </c>
      <c r="H11413" s="393">
        <v>4.0000000000000002E-4</v>
      </c>
      <c r="K11413" s="841" t="s">
        <v>5189</v>
      </c>
      <c r="L11413" s="841" t="s">
        <v>3046</v>
      </c>
      <c r="M11413" s="1357"/>
      <c r="P11413" s="841" t="s">
        <v>5195</v>
      </c>
      <c r="Q11413" s="1357"/>
      <c r="S11413" s="1420"/>
      <c r="T11413" s="1420"/>
      <c r="V11413" s="1357">
        <v>65</v>
      </c>
    </row>
    <row r="11414" spans="1:22" s="841" customFormat="1" ht="15" x14ac:dyDescent="0.25">
      <c r="A11414" s="841" t="s">
        <v>440</v>
      </c>
      <c r="E11414" s="1690" t="s">
        <v>439</v>
      </c>
      <c r="F11414" s="1690"/>
      <c r="G11414" s="1408" t="s">
        <v>24</v>
      </c>
      <c r="H11414" s="393">
        <v>2.9999999999999997E-4</v>
      </c>
      <c r="K11414" s="841" t="s">
        <v>5189</v>
      </c>
      <c r="L11414" s="841" t="s">
        <v>3046</v>
      </c>
      <c r="M11414" s="1357"/>
      <c r="P11414" s="841" t="s">
        <v>5196</v>
      </c>
      <c r="Q11414" s="1357"/>
      <c r="S11414" s="1420"/>
      <c r="T11414" s="1420"/>
      <c r="V11414" s="1357">
        <v>57</v>
      </c>
    </row>
    <row r="11415" spans="1:22" s="841" customFormat="1" ht="15" x14ac:dyDescent="0.25">
      <c r="A11415" s="841" t="s">
        <v>440</v>
      </c>
      <c r="E11415" s="1690" t="s">
        <v>32</v>
      </c>
      <c r="F11415" s="1690"/>
      <c r="G11415" s="1408" t="s">
        <v>23</v>
      </c>
      <c r="H11415" s="391">
        <v>0.25</v>
      </c>
      <c r="K11415" s="841" t="s">
        <v>5189</v>
      </c>
      <c r="L11415" s="841" t="s">
        <v>3046</v>
      </c>
      <c r="M11415" s="1357"/>
      <c r="P11415" s="841" t="s">
        <v>5197</v>
      </c>
      <c r="Q11415" s="1357"/>
      <c r="S11415" s="1420"/>
      <c r="T11415" s="1420"/>
      <c r="V11415" s="1357">
        <v>63</v>
      </c>
    </row>
    <row r="11416" spans="1:22" s="841" customFormat="1" x14ac:dyDescent="0.25">
      <c r="A11416" s="841" t="s">
        <v>440</v>
      </c>
      <c r="E11416" s="1695" t="s">
        <v>621</v>
      </c>
      <c r="F11416" s="1915"/>
      <c r="G11416" s="1915"/>
      <c r="H11416" s="1915"/>
      <c r="K11416" s="841" t="s">
        <v>3226</v>
      </c>
      <c r="M11416" s="1357"/>
      <c r="Q11416" s="1357"/>
      <c r="S11416" s="1420"/>
      <c r="T11416" s="1420"/>
      <c r="V11416" s="1357">
        <v>32</v>
      </c>
    </row>
    <row r="11417" spans="1:22" s="841" customFormat="1" ht="15" x14ac:dyDescent="0.25">
      <c r="A11417" s="841" t="s">
        <v>440</v>
      </c>
      <c r="E11417" s="1689" t="s">
        <v>4122</v>
      </c>
      <c r="F11417" s="1689"/>
      <c r="G11417" s="1689"/>
      <c r="H11417" s="1689"/>
      <c r="K11417" s="841" t="s">
        <v>3226</v>
      </c>
      <c r="M11417" s="1357"/>
      <c r="Q11417" s="1357"/>
      <c r="S11417" s="1420"/>
      <c r="T11417" s="1420"/>
      <c r="V11417" s="1357">
        <v>464</v>
      </c>
    </row>
    <row r="11418" spans="1:22" s="841" customFormat="1" ht="15" x14ac:dyDescent="0.25">
      <c r="A11418" s="841" t="s">
        <v>440</v>
      </c>
      <c r="E11418" s="1696" t="s">
        <v>3061</v>
      </c>
      <c r="F11418" s="1697"/>
      <c r="G11418" s="1697"/>
      <c r="H11418" s="1697"/>
      <c r="K11418" s="841" t="s">
        <v>3107</v>
      </c>
      <c r="M11418" s="1357"/>
      <c r="Q11418" s="1357"/>
      <c r="S11418" s="1420"/>
      <c r="T11418" s="1420"/>
      <c r="V11418" s="1357">
        <v>11</v>
      </c>
    </row>
    <row r="11419" spans="1:22" s="841" customFormat="1" ht="15" x14ac:dyDescent="0.25">
      <c r="A11419" s="841" t="s">
        <v>440</v>
      </c>
      <c r="E11419" s="1689" t="s">
        <v>3063</v>
      </c>
      <c r="F11419" s="1689"/>
      <c r="G11419" s="1689"/>
      <c r="H11419" s="1689"/>
      <c r="K11419" s="841" t="s">
        <v>3226</v>
      </c>
      <c r="M11419" s="1357"/>
      <c r="Q11419" s="1357"/>
      <c r="S11419" s="1420"/>
      <c r="T11419" s="1420"/>
      <c r="V11419" s="1357">
        <v>280</v>
      </c>
    </row>
    <row r="11420" spans="1:22" s="841" customFormat="1" ht="15" x14ac:dyDescent="0.25">
      <c r="A11420" s="841" t="s">
        <v>440</v>
      </c>
      <c r="E11420" s="1689" t="s">
        <v>3064</v>
      </c>
      <c r="F11420" s="1689"/>
      <c r="G11420" s="1689"/>
      <c r="H11420" s="1689"/>
      <c r="K11420" s="841" t="s">
        <v>3226</v>
      </c>
      <c r="M11420" s="1357"/>
      <c r="Q11420" s="1357"/>
      <c r="S11420" s="1420"/>
      <c r="T11420" s="1420"/>
      <c r="V11420" s="1357">
        <v>411</v>
      </c>
    </row>
    <row r="11421" spans="1:22" s="841" customFormat="1" ht="15" x14ac:dyDescent="0.25">
      <c r="A11421" s="841" t="s">
        <v>440</v>
      </c>
      <c r="E11421" s="1689" t="s">
        <v>3065</v>
      </c>
      <c r="F11421" s="1689"/>
      <c r="G11421" s="1689"/>
      <c r="H11421" s="1689"/>
      <c r="K11421" s="841" t="s">
        <v>3226</v>
      </c>
      <c r="M11421" s="1357"/>
      <c r="Q11421" s="1357"/>
      <c r="S11421" s="1420"/>
      <c r="T11421" s="1420"/>
      <c r="V11421" s="1357">
        <v>387</v>
      </c>
    </row>
    <row r="11422" spans="1:22" s="841" customFormat="1" ht="15" x14ac:dyDescent="0.25">
      <c r="A11422" s="841" t="s">
        <v>440</v>
      </c>
      <c r="E11422" s="1689" t="s">
        <v>3390</v>
      </c>
      <c r="F11422" s="1689"/>
      <c r="G11422" s="1689"/>
      <c r="H11422" s="1689"/>
      <c r="K11422" s="841" t="s">
        <v>3226</v>
      </c>
      <c r="M11422" s="1357"/>
      <c r="Q11422" s="1357"/>
      <c r="S11422" s="1420"/>
      <c r="T11422" s="1420"/>
      <c r="V11422" s="1357">
        <v>274</v>
      </c>
    </row>
    <row r="11423" spans="1:22" s="841" customFormat="1" ht="15" x14ac:dyDescent="0.25">
      <c r="A11423" s="841" t="s">
        <v>440</v>
      </c>
      <c r="E11423" s="1692" t="s">
        <v>3067</v>
      </c>
      <c r="F11423" s="1693"/>
      <c r="G11423" s="1693"/>
      <c r="H11423" s="1693"/>
      <c r="K11423" s="841" t="s">
        <v>3108</v>
      </c>
      <c r="M11423" s="1357"/>
      <c r="Q11423" s="1357"/>
      <c r="S11423" s="1420"/>
      <c r="T11423" s="1420"/>
      <c r="V11423" s="1357">
        <v>46</v>
      </c>
    </row>
    <row r="11424" spans="1:22" s="841" customFormat="1" ht="15" x14ac:dyDescent="0.25">
      <c r="A11424" s="841" t="s">
        <v>440</v>
      </c>
      <c r="E11424" s="1690" t="s">
        <v>11</v>
      </c>
      <c r="F11424" s="1690"/>
      <c r="G11424" s="1408" t="s">
        <v>23</v>
      </c>
      <c r="H11424" s="391">
        <v>2511.67</v>
      </c>
      <c r="K11424" s="841" t="s">
        <v>3226</v>
      </c>
      <c r="L11424" s="841" t="s">
        <v>442</v>
      </c>
      <c r="M11424" s="1357"/>
      <c r="P11424" s="841" t="s">
        <v>3228</v>
      </c>
      <c r="Q11424" s="1357"/>
      <c r="S11424" s="1420"/>
      <c r="T11424" s="1420"/>
      <c r="V11424" s="1357">
        <v>14</v>
      </c>
    </row>
    <row r="11425" spans="1:22" s="841" customFormat="1" ht="15" x14ac:dyDescent="0.25">
      <c r="A11425" s="841" t="s">
        <v>440</v>
      </c>
      <c r="E11425" s="1690" t="s">
        <v>5809</v>
      </c>
      <c r="F11425" s="1690"/>
      <c r="G11425" s="1408" t="s">
        <v>23</v>
      </c>
      <c r="H11425" s="391">
        <v>-0.02</v>
      </c>
      <c r="K11425" s="841" t="s">
        <v>3226</v>
      </c>
      <c r="L11425" s="841" t="s">
        <v>442</v>
      </c>
      <c r="M11425" s="1357"/>
      <c r="P11425" s="841" t="s">
        <v>6439</v>
      </c>
      <c r="Q11425" s="1357"/>
      <c r="S11425" s="1420"/>
      <c r="T11425" s="1420">
        <v>43585</v>
      </c>
      <c r="V11425" s="1357">
        <v>76</v>
      </c>
    </row>
    <row r="11426" spans="1:22" s="841" customFormat="1" ht="15" x14ac:dyDescent="0.25">
      <c r="A11426" s="841" t="s">
        <v>440</v>
      </c>
      <c r="E11426" s="1690" t="s">
        <v>84</v>
      </c>
      <c r="F11426" s="1690"/>
      <c r="G11426" s="1408" t="s">
        <v>33</v>
      </c>
      <c r="H11426" s="393">
        <v>1.5037</v>
      </c>
      <c r="K11426" s="841" t="s">
        <v>3226</v>
      </c>
      <c r="L11426" s="841" t="s">
        <v>442</v>
      </c>
      <c r="M11426" s="1357"/>
      <c r="P11426" s="841" t="s">
        <v>3229</v>
      </c>
      <c r="Q11426" s="1357"/>
      <c r="S11426" s="1420"/>
      <c r="T11426" s="1420"/>
      <c r="V11426" s="1357">
        <v>28</v>
      </c>
    </row>
    <row r="11427" spans="1:22" s="841" customFormat="1" ht="15" x14ac:dyDescent="0.25">
      <c r="A11427" s="841" t="s">
        <v>440</v>
      </c>
      <c r="E11427" s="1690" t="s">
        <v>4120</v>
      </c>
      <c r="F11427" s="1690"/>
      <c r="G11427" s="1408" t="s">
        <v>33</v>
      </c>
      <c r="H11427" s="393">
        <v>0.61060000000000003</v>
      </c>
      <c r="K11427" s="841" t="s">
        <v>3226</v>
      </c>
      <c r="L11427" s="841" t="s">
        <v>442</v>
      </c>
      <c r="M11427" s="1357"/>
      <c r="P11427" s="841" t="s">
        <v>5812</v>
      </c>
      <c r="Q11427" s="1357"/>
      <c r="S11427" s="1420"/>
      <c r="T11427" s="1420"/>
      <c r="V11427" s="1357">
        <v>88</v>
      </c>
    </row>
    <row r="11428" spans="1:22" s="841" customFormat="1" ht="15" x14ac:dyDescent="0.25">
      <c r="A11428" s="841" t="s">
        <v>440</v>
      </c>
      <c r="E11428" s="1690" t="s">
        <v>18</v>
      </c>
      <c r="F11428" s="1690"/>
      <c r="G11428" s="1408" t="s">
        <v>33</v>
      </c>
      <c r="H11428" s="393">
        <v>0.28599999999999998</v>
      </c>
      <c r="K11428" s="841" t="s">
        <v>3226</v>
      </c>
      <c r="L11428" s="841" t="s">
        <v>443</v>
      </c>
      <c r="M11428" s="1357"/>
      <c r="P11428" s="841" t="s">
        <v>3230</v>
      </c>
      <c r="Q11428" s="1357"/>
      <c r="S11428" s="1420"/>
      <c r="T11428" s="1420"/>
      <c r="V11428" s="1357">
        <v>24</v>
      </c>
    </row>
    <row r="11429" spans="1:22" s="841" customFormat="1" ht="15" x14ac:dyDescent="0.25">
      <c r="A11429" s="841" t="s">
        <v>440</v>
      </c>
      <c r="E11429" s="1690" t="s">
        <v>223</v>
      </c>
      <c r="F11429" s="1690"/>
      <c r="G11429" s="1408" t="s">
        <v>33</v>
      </c>
      <c r="H11429" s="393">
        <v>3.1635</v>
      </c>
      <c r="K11429" s="841" t="s">
        <v>3226</v>
      </c>
      <c r="L11429" s="841" t="s">
        <v>444</v>
      </c>
      <c r="M11429" s="1357"/>
      <c r="P11429" s="841" t="s">
        <v>3233</v>
      </c>
      <c r="Q11429" s="1357"/>
      <c r="S11429" s="1420"/>
      <c r="T11429" s="1420"/>
      <c r="V11429" s="1357">
        <v>66</v>
      </c>
    </row>
    <row r="11430" spans="1:22" s="841" customFormat="1" ht="15" x14ac:dyDescent="0.25">
      <c r="A11430" s="841" t="s">
        <v>440</v>
      </c>
      <c r="E11430" s="1690" t="s">
        <v>219</v>
      </c>
      <c r="F11430" s="1690"/>
      <c r="G11430" s="1408" t="s">
        <v>33</v>
      </c>
      <c r="H11430" s="393">
        <v>3.0074000000000001</v>
      </c>
      <c r="K11430" s="841" t="s">
        <v>3226</v>
      </c>
      <c r="L11430" s="841" t="s">
        <v>444</v>
      </c>
      <c r="M11430" s="1357"/>
      <c r="P11430" s="841" t="s">
        <v>3234</v>
      </c>
      <c r="Q11430" s="1357"/>
      <c r="S11430" s="1420"/>
      <c r="T11430" s="1420"/>
      <c r="V11430" s="1357">
        <v>93</v>
      </c>
    </row>
    <row r="11431" spans="1:22" s="841" customFormat="1" ht="15" x14ac:dyDescent="0.25">
      <c r="A11431" s="841" t="s">
        <v>440</v>
      </c>
      <c r="E11431" s="1694" t="s">
        <v>3079</v>
      </c>
      <c r="F11431" s="1690"/>
      <c r="G11431" s="1408"/>
      <c r="H11431" s="1408"/>
      <c r="K11431" s="841" t="s">
        <v>3111</v>
      </c>
      <c r="M11431" s="1357"/>
      <c r="Q11431" s="1357"/>
      <c r="S11431" s="1420"/>
      <c r="T11431" s="1420"/>
      <c r="V11431" s="1357">
        <v>48</v>
      </c>
    </row>
    <row r="11432" spans="1:22" s="841" customFormat="1" ht="15" x14ac:dyDescent="0.25">
      <c r="A11432" s="841" t="s">
        <v>440</v>
      </c>
      <c r="E11432" s="1690" t="s">
        <v>2449</v>
      </c>
      <c r="F11432" s="1690"/>
      <c r="G11432" s="1408" t="s">
        <v>24</v>
      </c>
      <c r="H11432" s="393">
        <v>3.2000000000000002E-3</v>
      </c>
      <c r="K11432" s="841" t="s">
        <v>3226</v>
      </c>
      <c r="L11432" s="841" t="s">
        <v>3046</v>
      </c>
      <c r="M11432" s="1357"/>
      <c r="P11432" s="841" t="s">
        <v>3235</v>
      </c>
      <c r="Q11432" s="1357"/>
      <c r="S11432" s="1420"/>
      <c r="T11432" s="1420"/>
      <c r="V11432" s="1357">
        <v>55</v>
      </c>
    </row>
    <row r="11433" spans="1:22" s="841" customFormat="1" ht="15" x14ac:dyDescent="0.25">
      <c r="A11433" s="841" t="s">
        <v>440</v>
      </c>
      <c r="E11433" s="1690" t="s">
        <v>2450</v>
      </c>
      <c r="F11433" s="1690"/>
      <c r="G11433" s="1408" t="s">
        <v>24</v>
      </c>
      <c r="H11433" s="393">
        <v>4.0000000000000002E-4</v>
      </c>
      <c r="K11433" s="841" t="s">
        <v>3226</v>
      </c>
      <c r="L11433" s="841" t="s">
        <v>3046</v>
      </c>
      <c r="M11433" s="1357"/>
      <c r="P11433" s="841" t="s">
        <v>3235</v>
      </c>
      <c r="Q11433" s="1357"/>
      <c r="S11433" s="1420"/>
      <c r="T11433" s="1420"/>
      <c r="V11433" s="1357">
        <v>65</v>
      </c>
    </row>
    <row r="11434" spans="1:22" s="841" customFormat="1" ht="15" x14ac:dyDescent="0.25">
      <c r="A11434" s="841" t="s">
        <v>440</v>
      </c>
      <c r="E11434" s="1690" t="s">
        <v>439</v>
      </c>
      <c r="F11434" s="1690"/>
      <c r="G11434" s="1408" t="s">
        <v>24</v>
      </c>
      <c r="H11434" s="393">
        <v>2.9999999999999997E-4</v>
      </c>
      <c r="K11434" s="841" t="s">
        <v>3226</v>
      </c>
      <c r="L11434" s="841" t="s">
        <v>3046</v>
      </c>
      <c r="M11434" s="1357"/>
      <c r="P11434" s="841" t="s">
        <v>3236</v>
      </c>
      <c r="Q11434" s="1357"/>
      <c r="S11434" s="1420"/>
      <c r="T11434" s="1420"/>
      <c r="V11434" s="1357">
        <v>57</v>
      </c>
    </row>
    <row r="11435" spans="1:22" s="841" customFormat="1" ht="15" x14ac:dyDescent="0.25">
      <c r="A11435" s="841" t="s">
        <v>440</v>
      </c>
      <c r="E11435" s="1690" t="s">
        <v>32</v>
      </c>
      <c r="F11435" s="1690"/>
      <c r="G11435" s="1408" t="s">
        <v>23</v>
      </c>
      <c r="H11435" s="391">
        <v>0.25</v>
      </c>
      <c r="K11435" s="841" t="s">
        <v>3226</v>
      </c>
      <c r="L11435" s="841" t="s">
        <v>3046</v>
      </c>
      <c r="M11435" s="1357"/>
      <c r="P11435" s="841" t="s">
        <v>3237</v>
      </c>
      <c r="Q11435" s="1357"/>
      <c r="S11435" s="1420"/>
      <c r="T11435" s="1420"/>
      <c r="V11435" s="1357">
        <v>63</v>
      </c>
    </row>
    <row r="11436" spans="1:22" s="841" customFormat="1" x14ac:dyDescent="0.25">
      <c r="A11436" s="841" t="s">
        <v>440</v>
      </c>
      <c r="E11436" s="1695" t="s">
        <v>617</v>
      </c>
      <c r="F11436" s="1915"/>
      <c r="G11436" s="1915"/>
      <c r="H11436" s="1915"/>
      <c r="K11436" s="841" t="s">
        <v>3238</v>
      </c>
      <c r="M11436" s="1357"/>
      <c r="Q11436" s="1357"/>
      <c r="S11436" s="1420"/>
      <c r="T11436" s="1420"/>
      <c r="V11436" s="1357">
        <v>47</v>
      </c>
    </row>
    <row r="11437" spans="1:22" s="841" customFormat="1" ht="15" x14ac:dyDescent="0.25">
      <c r="A11437" s="841" t="s">
        <v>440</v>
      </c>
      <c r="E11437" s="1689" t="s">
        <v>4123</v>
      </c>
      <c r="F11437" s="1689"/>
      <c r="G11437" s="1689"/>
      <c r="H11437" s="1689"/>
      <c r="K11437" s="841" t="s">
        <v>3238</v>
      </c>
      <c r="M11437" s="1357"/>
      <c r="Q11437" s="1357"/>
      <c r="S11437" s="1420"/>
      <c r="T11437" s="1420"/>
      <c r="V11437" s="1357">
        <v>491</v>
      </c>
    </row>
    <row r="11438" spans="1:22" s="841" customFormat="1" ht="15" x14ac:dyDescent="0.25">
      <c r="A11438" s="841" t="s">
        <v>440</v>
      </c>
      <c r="E11438" s="1696" t="s">
        <v>3061</v>
      </c>
      <c r="F11438" s="1697"/>
      <c r="G11438" s="1697"/>
      <c r="H11438" s="1697"/>
      <c r="K11438" s="841" t="s">
        <v>3114</v>
      </c>
      <c r="M11438" s="1357"/>
      <c r="Q11438" s="1357"/>
      <c r="S11438" s="1420"/>
      <c r="T11438" s="1420"/>
      <c r="V11438" s="1357">
        <v>11</v>
      </c>
    </row>
    <row r="11439" spans="1:22" s="841" customFormat="1" ht="15" x14ac:dyDescent="0.25">
      <c r="A11439" s="841" t="s">
        <v>440</v>
      </c>
      <c r="E11439" s="1689" t="s">
        <v>3063</v>
      </c>
      <c r="F11439" s="1689"/>
      <c r="G11439" s="1689"/>
      <c r="H11439" s="1689"/>
      <c r="K11439" s="841" t="s">
        <v>3238</v>
      </c>
      <c r="M11439" s="1357"/>
      <c r="Q11439" s="1357"/>
      <c r="S11439" s="1420"/>
      <c r="T11439" s="1420"/>
      <c r="V11439" s="1357">
        <v>280</v>
      </c>
    </row>
    <row r="11440" spans="1:22" s="841" customFormat="1" ht="15" x14ac:dyDescent="0.25">
      <c r="A11440" s="841" t="s">
        <v>440</v>
      </c>
      <c r="E11440" s="1689" t="s">
        <v>3064</v>
      </c>
      <c r="F11440" s="1689"/>
      <c r="G11440" s="1689"/>
      <c r="H11440" s="1689"/>
      <c r="K11440" s="841" t="s">
        <v>3238</v>
      </c>
      <c r="M11440" s="1357"/>
      <c r="Q11440" s="1357"/>
      <c r="S11440" s="1420"/>
      <c r="T11440" s="1420"/>
      <c r="V11440" s="1357">
        <v>411</v>
      </c>
    </row>
    <row r="11441" spans="1:22" s="841" customFormat="1" ht="15" x14ac:dyDescent="0.25">
      <c r="A11441" s="841" t="s">
        <v>440</v>
      </c>
      <c r="E11441" s="1689" t="s">
        <v>3065</v>
      </c>
      <c r="F11441" s="1689"/>
      <c r="G11441" s="1689"/>
      <c r="H11441" s="1689"/>
      <c r="K11441" s="841" t="s">
        <v>3238</v>
      </c>
      <c r="M11441" s="1357"/>
      <c r="Q11441" s="1357"/>
      <c r="S11441" s="1420"/>
      <c r="T11441" s="1420"/>
      <c r="V11441" s="1357">
        <v>387</v>
      </c>
    </row>
    <row r="11442" spans="1:22" s="841" customFormat="1" ht="15" x14ac:dyDescent="0.25">
      <c r="A11442" s="841" t="s">
        <v>440</v>
      </c>
      <c r="E11442" s="1689" t="s">
        <v>3390</v>
      </c>
      <c r="F11442" s="1689"/>
      <c r="G11442" s="1689"/>
      <c r="H11442" s="1689"/>
      <c r="K11442" s="841" t="s">
        <v>3238</v>
      </c>
      <c r="M11442" s="1357"/>
      <c r="Q11442" s="1357"/>
      <c r="S11442" s="1420"/>
      <c r="T11442" s="1420"/>
      <c r="V11442" s="1357">
        <v>274</v>
      </c>
    </row>
    <row r="11443" spans="1:22" s="841" customFormat="1" ht="15" x14ac:dyDescent="0.25">
      <c r="A11443" s="841" t="s">
        <v>440</v>
      </c>
      <c r="E11443" s="1692" t="s">
        <v>3067</v>
      </c>
      <c r="F11443" s="1693"/>
      <c r="G11443" s="1693"/>
      <c r="H11443" s="1693"/>
      <c r="K11443" s="841" t="s">
        <v>3115</v>
      </c>
      <c r="M11443" s="1357"/>
      <c r="Q11443" s="1357"/>
      <c r="S11443" s="1420"/>
      <c r="T11443" s="1420"/>
      <c r="V11443" s="1357">
        <v>46</v>
      </c>
    </row>
    <row r="11444" spans="1:22" s="841" customFormat="1" ht="15" x14ac:dyDescent="0.25">
      <c r="A11444" s="841" t="s">
        <v>440</v>
      </c>
      <c r="E11444" s="1690" t="s">
        <v>12</v>
      </c>
      <c r="F11444" s="1690"/>
      <c r="G11444" s="1408" t="s">
        <v>23</v>
      </c>
      <c r="H11444" s="391">
        <v>8.07</v>
      </c>
      <c r="K11444" s="841" t="s">
        <v>3238</v>
      </c>
      <c r="L11444" s="841" t="s">
        <v>442</v>
      </c>
      <c r="M11444" s="1357"/>
      <c r="P11444" s="841" t="s">
        <v>3240</v>
      </c>
      <c r="Q11444" s="1357"/>
      <c r="S11444" s="1420"/>
      <c r="T11444" s="1420"/>
      <c r="V11444" s="1357">
        <v>31</v>
      </c>
    </row>
    <row r="11445" spans="1:22" s="841" customFormat="1" ht="15" x14ac:dyDescent="0.25">
      <c r="A11445" s="841" t="s">
        <v>440</v>
      </c>
      <c r="E11445" s="1690" t="s">
        <v>5809</v>
      </c>
      <c r="F11445" s="1690"/>
      <c r="G11445" s="1408" t="s">
        <v>23</v>
      </c>
      <c r="H11445" s="391">
        <v>-0.02</v>
      </c>
      <c r="K11445" s="841" t="s">
        <v>3238</v>
      </c>
      <c r="L11445" s="841" t="s">
        <v>442</v>
      </c>
      <c r="M11445" s="1357"/>
      <c r="P11445" s="841" t="s">
        <v>6440</v>
      </c>
      <c r="Q11445" s="1357"/>
      <c r="S11445" s="1420"/>
      <c r="T11445" s="1420">
        <v>43585</v>
      </c>
      <c r="V11445" s="1357">
        <v>76</v>
      </c>
    </row>
    <row r="11446" spans="1:22" s="841" customFormat="1" ht="15" x14ac:dyDescent="0.25">
      <c r="A11446" s="841" t="s">
        <v>440</v>
      </c>
      <c r="E11446" s="1690" t="s">
        <v>84</v>
      </c>
      <c r="F11446" s="1690"/>
      <c r="G11446" s="1408" t="s">
        <v>24</v>
      </c>
      <c r="H11446" s="393">
        <v>1.7100000000000001E-2</v>
      </c>
      <c r="K11446" s="841" t="s">
        <v>3238</v>
      </c>
      <c r="L11446" s="841" t="s">
        <v>442</v>
      </c>
      <c r="M11446" s="1357"/>
      <c r="P11446" s="841" t="s">
        <v>3241</v>
      </c>
      <c r="Q11446" s="1357"/>
      <c r="S11446" s="1420"/>
      <c r="T11446" s="1420"/>
      <c r="V11446" s="1357">
        <v>28</v>
      </c>
    </row>
    <row r="11447" spans="1:22" s="841" customFormat="1" ht="15" x14ac:dyDescent="0.25">
      <c r="A11447" s="841" t="s">
        <v>440</v>
      </c>
      <c r="E11447" s="1690" t="s">
        <v>18</v>
      </c>
      <c r="F11447" s="1690"/>
      <c r="G11447" s="1408" t="s">
        <v>24</v>
      </c>
      <c r="H11447" s="393">
        <v>5.9999999999999995E-4</v>
      </c>
      <c r="K11447" s="841" t="s">
        <v>3238</v>
      </c>
      <c r="L11447" s="841" t="s">
        <v>443</v>
      </c>
      <c r="M11447" s="1357"/>
      <c r="P11447" s="841" t="s">
        <v>3242</v>
      </c>
      <c r="Q11447" s="1357"/>
      <c r="S11447" s="1420"/>
      <c r="T11447" s="1420"/>
      <c r="V11447" s="1357">
        <v>24</v>
      </c>
    </row>
    <row r="11448" spans="1:22" s="841" customFormat="1" ht="15" x14ac:dyDescent="0.25">
      <c r="A11448" s="841" t="s">
        <v>440</v>
      </c>
      <c r="E11448" s="1690" t="s">
        <v>221</v>
      </c>
      <c r="F11448" s="1690"/>
      <c r="G11448" s="1408" t="s">
        <v>24</v>
      </c>
      <c r="H11448" s="393">
        <v>6.6E-3</v>
      </c>
      <c r="K11448" s="841" t="s">
        <v>3238</v>
      </c>
      <c r="L11448" s="841" t="s">
        <v>444</v>
      </c>
      <c r="M11448" s="1357"/>
      <c r="P11448" s="841" t="s">
        <v>3245</v>
      </c>
      <c r="Q11448" s="1357"/>
      <c r="S11448" s="1420"/>
      <c r="T11448" s="1420"/>
      <c r="V11448" s="1357">
        <v>47</v>
      </c>
    </row>
    <row r="11449" spans="1:22" s="841" customFormat="1" ht="15" x14ac:dyDescent="0.25">
      <c r="A11449" s="841" t="s">
        <v>440</v>
      </c>
      <c r="E11449" s="1690" t="s">
        <v>217</v>
      </c>
      <c r="F11449" s="1690"/>
      <c r="G11449" s="1408" t="s">
        <v>24</v>
      </c>
      <c r="H11449" s="393">
        <v>5.8999999999999999E-3</v>
      </c>
      <c r="K11449" s="841" t="s">
        <v>3238</v>
      </c>
      <c r="L11449" s="841" t="s">
        <v>444</v>
      </c>
      <c r="M11449" s="1357"/>
      <c r="P11449" s="841" t="s">
        <v>3246</v>
      </c>
      <c r="Q11449" s="1357"/>
      <c r="S11449" s="1420"/>
      <c r="T11449" s="1420"/>
      <c r="V11449" s="1357">
        <v>74</v>
      </c>
    </row>
    <row r="11450" spans="1:22" s="841" customFormat="1" ht="15" x14ac:dyDescent="0.25">
      <c r="A11450" s="841" t="s">
        <v>440</v>
      </c>
      <c r="E11450" s="1694" t="s">
        <v>3079</v>
      </c>
      <c r="F11450" s="1690"/>
      <c r="G11450" s="1408"/>
      <c r="H11450" s="1408"/>
      <c r="K11450" s="841" t="s">
        <v>3122</v>
      </c>
      <c r="M11450" s="1357"/>
      <c r="Q11450" s="1357"/>
      <c r="S11450" s="1420"/>
      <c r="T11450" s="1420"/>
      <c r="V11450" s="1357">
        <v>48</v>
      </c>
    </row>
    <row r="11451" spans="1:22" s="841" customFormat="1" ht="15" x14ac:dyDescent="0.25">
      <c r="A11451" s="841" t="s">
        <v>440</v>
      </c>
      <c r="E11451" s="1690" t="s">
        <v>2449</v>
      </c>
      <c r="F11451" s="1690"/>
      <c r="G11451" s="1408" t="s">
        <v>24</v>
      </c>
      <c r="H11451" s="393">
        <v>3.2000000000000002E-3</v>
      </c>
      <c r="K11451" s="841" t="s">
        <v>3238</v>
      </c>
      <c r="L11451" s="841" t="s">
        <v>3046</v>
      </c>
      <c r="M11451" s="1357"/>
      <c r="P11451" s="841" t="s">
        <v>3247</v>
      </c>
      <c r="Q11451" s="1357"/>
      <c r="S11451" s="1420"/>
      <c r="T11451" s="1420"/>
      <c r="V11451" s="1357">
        <v>55</v>
      </c>
    </row>
    <row r="11452" spans="1:22" s="841" customFormat="1" ht="15" x14ac:dyDescent="0.25">
      <c r="A11452" s="841" t="s">
        <v>440</v>
      </c>
      <c r="E11452" s="1690" t="s">
        <v>2450</v>
      </c>
      <c r="F11452" s="1690"/>
      <c r="G11452" s="1408" t="s">
        <v>24</v>
      </c>
      <c r="H11452" s="393">
        <v>4.0000000000000002E-4</v>
      </c>
      <c r="K11452" s="841" t="s">
        <v>3238</v>
      </c>
      <c r="L11452" s="841" t="s">
        <v>3046</v>
      </c>
      <c r="M11452" s="1357"/>
      <c r="P11452" s="841" t="s">
        <v>3247</v>
      </c>
      <c r="Q11452" s="1357"/>
      <c r="S11452" s="1420"/>
      <c r="T11452" s="1420"/>
      <c r="V11452" s="1357">
        <v>65</v>
      </c>
    </row>
    <row r="11453" spans="1:22" s="841" customFormat="1" ht="15" x14ac:dyDescent="0.25">
      <c r="A11453" s="841" t="s">
        <v>440</v>
      </c>
      <c r="E11453" s="1690" t="s">
        <v>439</v>
      </c>
      <c r="F11453" s="1690"/>
      <c r="G11453" s="1408" t="s">
        <v>24</v>
      </c>
      <c r="H11453" s="393">
        <v>2.9999999999999997E-4</v>
      </c>
      <c r="K11453" s="841" t="s">
        <v>3238</v>
      </c>
      <c r="L11453" s="841" t="s">
        <v>3046</v>
      </c>
      <c r="M11453" s="1357"/>
      <c r="P11453" s="841" t="s">
        <v>3248</v>
      </c>
      <c r="Q11453" s="1357"/>
      <c r="S11453" s="1420"/>
      <c r="T11453" s="1420"/>
      <c r="V11453" s="1357">
        <v>57</v>
      </c>
    </row>
    <row r="11454" spans="1:22" s="841" customFormat="1" ht="15" x14ac:dyDescent="0.25">
      <c r="A11454" s="841" t="s">
        <v>440</v>
      </c>
      <c r="E11454" s="1690" t="s">
        <v>32</v>
      </c>
      <c r="F11454" s="1690"/>
      <c r="G11454" s="1408" t="s">
        <v>23</v>
      </c>
      <c r="H11454" s="391">
        <v>0.25</v>
      </c>
      <c r="K11454" s="841" t="s">
        <v>3238</v>
      </c>
      <c r="L11454" s="841" t="s">
        <v>3046</v>
      </c>
      <c r="M11454" s="1357"/>
      <c r="P11454" s="841" t="s">
        <v>3249</v>
      </c>
      <c r="Q11454" s="1357"/>
      <c r="S11454" s="1420"/>
      <c r="T11454" s="1420"/>
      <c r="V11454" s="1357">
        <v>63</v>
      </c>
    </row>
    <row r="11455" spans="1:22" s="841" customFormat="1" x14ac:dyDescent="0.25">
      <c r="A11455" s="841" t="s">
        <v>440</v>
      </c>
      <c r="E11455" s="1695" t="s">
        <v>629</v>
      </c>
      <c r="F11455" s="1915"/>
      <c r="G11455" s="1915"/>
      <c r="H11455" s="1915"/>
      <c r="K11455" s="841" t="s">
        <v>3250</v>
      </c>
      <c r="M11455" s="1357"/>
      <c r="Q11455" s="1357"/>
      <c r="S11455" s="1420"/>
      <c r="T11455" s="1420"/>
      <c r="V11455" s="1357">
        <v>40</v>
      </c>
    </row>
    <row r="11456" spans="1:22" s="841" customFormat="1" ht="15" x14ac:dyDescent="0.25">
      <c r="A11456" s="841" t="s">
        <v>440</v>
      </c>
      <c r="E11456" s="1689" t="s">
        <v>4124</v>
      </c>
      <c r="F11456" s="1689"/>
      <c r="G11456" s="1689"/>
      <c r="H11456" s="1689"/>
      <c r="K11456" s="841" t="s">
        <v>3250</v>
      </c>
      <c r="M11456" s="1357"/>
      <c r="Q11456" s="1357"/>
      <c r="S11456" s="1420"/>
      <c r="T11456" s="1420"/>
      <c r="V11456" s="1357">
        <v>240</v>
      </c>
    </row>
    <row r="11457" spans="1:22" s="841" customFormat="1" ht="15" x14ac:dyDescent="0.25">
      <c r="A11457" s="841" t="s">
        <v>440</v>
      </c>
      <c r="E11457" s="1696" t="s">
        <v>3061</v>
      </c>
      <c r="F11457" s="1697"/>
      <c r="G11457" s="1697"/>
      <c r="H11457" s="1697"/>
      <c r="K11457" s="841" t="s">
        <v>3128</v>
      </c>
      <c r="M11457" s="1357"/>
      <c r="Q11457" s="1357"/>
      <c r="S11457" s="1420"/>
      <c r="T11457" s="1420"/>
      <c r="V11457" s="1357">
        <v>11</v>
      </c>
    </row>
    <row r="11458" spans="1:22" s="841" customFormat="1" ht="15" x14ac:dyDescent="0.25">
      <c r="A11458" s="841" t="s">
        <v>440</v>
      </c>
      <c r="E11458" s="1689" t="s">
        <v>3063</v>
      </c>
      <c r="F11458" s="1689"/>
      <c r="G11458" s="1689"/>
      <c r="H11458" s="1689"/>
      <c r="K11458" s="841" t="s">
        <v>3250</v>
      </c>
      <c r="M11458" s="1357"/>
      <c r="Q11458" s="1357"/>
      <c r="S11458" s="1420"/>
      <c r="T11458" s="1420"/>
      <c r="V11458" s="1357">
        <v>280</v>
      </c>
    </row>
    <row r="11459" spans="1:22" s="841" customFormat="1" ht="15" x14ac:dyDescent="0.25">
      <c r="A11459" s="841" t="s">
        <v>440</v>
      </c>
      <c r="E11459" s="1689" t="s">
        <v>3064</v>
      </c>
      <c r="F11459" s="1689"/>
      <c r="G11459" s="1689"/>
      <c r="H11459" s="1689"/>
      <c r="K11459" s="841" t="s">
        <v>3250</v>
      </c>
      <c r="M11459" s="1357"/>
      <c r="Q11459" s="1357"/>
      <c r="S11459" s="1420"/>
      <c r="T11459" s="1420"/>
      <c r="V11459" s="1357">
        <v>411</v>
      </c>
    </row>
    <row r="11460" spans="1:22" s="841" customFormat="1" ht="15" x14ac:dyDescent="0.25">
      <c r="A11460" s="841" t="s">
        <v>440</v>
      </c>
      <c r="E11460" s="1689" t="s">
        <v>3065</v>
      </c>
      <c r="F11460" s="1689"/>
      <c r="G11460" s="1689"/>
      <c r="H11460" s="1689"/>
      <c r="K11460" s="841" t="s">
        <v>3250</v>
      </c>
      <c r="M11460" s="1357"/>
      <c r="Q11460" s="1357"/>
      <c r="S11460" s="1420"/>
      <c r="T11460" s="1420"/>
      <c r="V11460" s="1357">
        <v>387</v>
      </c>
    </row>
    <row r="11461" spans="1:22" s="841" customFormat="1" ht="15" x14ac:dyDescent="0.25">
      <c r="A11461" s="841" t="s">
        <v>440</v>
      </c>
      <c r="E11461" s="1689" t="s">
        <v>3390</v>
      </c>
      <c r="F11461" s="1689"/>
      <c r="G11461" s="1689"/>
      <c r="H11461" s="1689"/>
      <c r="K11461" s="841" t="s">
        <v>3250</v>
      </c>
      <c r="M11461" s="1357"/>
      <c r="Q11461" s="1357"/>
      <c r="S11461" s="1420"/>
      <c r="T11461" s="1420"/>
      <c r="V11461" s="1357">
        <v>274</v>
      </c>
    </row>
    <row r="11462" spans="1:22" s="841" customFormat="1" ht="15" x14ac:dyDescent="0.25">
      <c r="A11462" s="841" t="s">
        <v>440</v>
      </c>
      <c r="E11462" s="1692" t="s">
        <v>3067</v>
      </c>
      <c r="F11462" s="1693"/>
      <c r="G11462" s="1693"/>
      <c r="H11462" s="1693"/>
      <c r="K11462" s="841" t="s">
        <v>3130</v>
      </c>
      <c r="M11462" s="1357"/>
      <c r="Q11462" s="1357"/>
      <c r="S11462" s="1420"/>
      <c r="T11462" s="1420"/>
      <c r="V11462" s="1357">
        <v>46</v>
      </c>
    </row>
    <row r="11463" spans="1:22" s="841" customFormat="1" ht="15" x14ac:dyDescent="0.25">
      <c r="A11463" s="841" t="s">
        <v>440</v>
      </c>
      <c r="E11463" s="1690" t="s">
        <v>12</v>
      </c>
      <c r="F11463" s="1690"/>
      <c r="G11463" s="1408" t="s">
        <v>23</v>
      </c>
      <c r="H11463" s="391">
        <v>5.19</v>
      </c>
      <c r="K11463" s="841" t="s">
        <v>3250</v>
      </c>
      <c r="L11463" s="841" t="s">
        <v>442</v>
      </c>
      <c r="M11463" s="1357"/>
      <c r="P11463" s="841" t="s">
        <v>3252</v>
      </c>
      <c r="Q11463" s="1357"/>
      <c r="S11463" s="1420"/>
      <c r="T11463" s="1420"/>
      <c r="V11463" s="1357">
        <v>31</v>
      </c>
    </row>
    <row r="11464" spans="1:22" s="841" customFormat="1" ht="15" x14ac:dyDescent="0.25">
      <c r="A11464" s="841" t="s">
        <v>440</v>
      </c>
      <c r="E11464" s="1690" t="s">
        <v>5809</v>
      </c>
      <c r="F11464" s="1690"/>
      <c r="G11464" s="1408" t="s">
        <v>23</v>
      </c>
      <c r="H11464" s="391">
        <v>-0.02</v>
      </c>
      <c r="K11464" s="841" t="s">
        <v>3250</v>
      </c>
      <c r="L11464" s="841" t="s">
        <v>442</v>
      </c>
      <c r="M11464" s="1357"/>
      <c r="P11464" s="841" t="s">
        <v>6441</v>
      </c>
      <c r="Q11464" s="1357"/>
      <c r="S11464" s="1420"/>
      <c r="T11464" s="1420">
        <v>43585</v>
      </c>
      <c r="V11464" s="1357">
        <v>76</v>
      </c>
    </row>
    <row r="11465" spans="1:22" s="841" customFormat="1" ht="15" x14ac:dyDescent="0.25">
      <c r="A11465" s="841" t="s">
        <v>440</v>
      </c>
      <c r="E11465" s="1690" t="s">
        <v>84</v>
      </c>
      <c r="F11465" s="1690"/>
      <c r="G11465" s="1408" t="s">
        <v>33</v>
      </c>
      <c r="H11465" s="393">
        <v>39.302500000000002</v>
      </c>
      <c r="K11465" s="841" t="s">
        <v>3250</v>
      </c>
      <c r="L11465" s="841" t="s">
        <v>442</v>
      </c>
      <c r="M11465" s="1357"/>
      <c r="P11465" s="841" t="s">
        <v>3253</v>
      </c>
      <c r="Q11465" s="1357"/>
      <c r="S11465" s="1420"/>
      <c r="T11465" s="1420"/>
      <c r="V11465" s="1357">
        <v>28</v>
      </c>
    </row>
    <row r="11466" spans="1:22" s="841" customFormat="1" ht="15" x14ac:dyDescent="0.25">
      <c r="A11466" s="841" t="s">
        <v>440</v>
      </c>
      <c r="E11466" s="1690" t="s">
        <v>18</v>
      </c>
      <c r="F11466" s="1690"/>
      <c r="G11466" s="1408" t="s">
        <v>33</v>
      </c>
      <c r="H11466" s="393">
        <v>0.17860000000000001</v>
      </c>
      <c r="K11466" s="841" t="s">
        <v>3250</v>
      </c>
      <c r="L11466" s="841" t="s">
        <v>443</v>
      </c>
      <c r="M11466" s="1357"/>
      <c r="P11466" s="841" t="s">
        <v>3254</v>
      </c>
      <c r="Q11466" s="1357"/>
      <c r="S11466" s="1420"/>
      <c r="T11466" s="1420"/>
      <c r="V11466" s="1357">
        <v>24</v>
      </c>
    </row>
    <row r="11467" spans="1:22" s="841" customFormat="1" ht="15" x14ac:dyDescent="0.25">
      <c r="A11467" s="841" t="s">
        <v>440</v>
      </c>
      <c r="E11467" s="1690" t="s">
        <v>221</v>
      </c>
      <c r="F11467" s="1690"/>
      <c r="G11467" s="1408" t="s">
        <v>33</v>
      </c>
      <c r="H11467" s="393">
        <v>2.0222000000000002</v>
      </c>
      <c r="K11467" s="841" t="s">
        <v>3250</v>
      </c>
      <c r="L11467" s="841" t="s">
        <v>444</v>
      </c>
      <c r="M11467" s="1357"/>
      <c r="P11467" s="841" t="s">
        <v>3258</v>
      </c>
      <c r="Q11467" s="1357"/>
      <c r="S11467" s="1420"/>
      <c r="T11467" s="1420"/>
      <c r="V11467" s="1357">
        <v>47</v>
      </c>
    </row>
    <row r="11468" spans="1:22" s="841" customFormat="1" ht="15" x14ac:dyDescent="0.25">
      <c r="A11468" s="841" t="s">
        <v>440</v>
      </c>
      <c r="E11468" s="1690" t="s">
        <v>217</v>
      </c>
      <c r="F11468" s="1690"/>
      <c r="G11468" s="1408" t="s">
        <v>33</v>
      </c>
      <c r="H11468" s="393">
        <v>1.8775999999999999</v>
      </c>
      <c r="K11468" s="841" t="s">
        <v>3250</v>
      </c>
      <c r="L11468" s="841" t="s">
        <v>444</v>
      </c>
      <c r="M11468" s="1357"/>
      <c r="P11468" s="841" t="s">
        <v>3259</v>
      </c>
      <c r="Q11468" s="1357"/>
      <c r="S11468" s="1420"/>
      <c r="T11468" s="1420"/>
      <c r="V11468" s="1357">
        <v>74</v>
      </c>
    </row>
    <row r="11469" spans="1:22" s="841" customFormat="1" ht="15" x14ac:dyDescent="0.25">
      <c r="A11469" s="841" t="s">
        <v>440</v>
      </c>
      <c r="E11469" s="1694" t="s">
        <v>3079</v>
      </c>
      <c r="F11469" s="1690"/>
      <c r="G11469" s="1408"/>
      <c r="H11469" s="1408"/>
      <c r="K11469" s="841" t="s">
        <v>3260</v>
      </c>
      <c r="M11469" s="1357"/>
      <c r="Q11469" s="1357"/>
      <c r="S11469" s="1420"/>
      <c r="T11469" s="1420"/>
      <c r="V11469" s="1357">
        <v>48</v>
      </c>
    </row>
    <row r="11470" spans="1:22" s="841" customFormat="1" ht="15" x14ac:dyDescent="0.25">
      <c r="A11470" s="841" t="s">
        <v>440</v>
      </c>
      <c r="E11470" s="1690" t="s">
        <v>2449</v>
      </c>
      <c r="F11470" s="1690"/>
      <c r="G11470" s="1408" t="s">
        <v>24</v>
      </c>
      <c r="H11470" s="393">
        <v>3.2000000000000002E-3</v>
      </c>
      <c r="K11470" s="841" t="s">
        <v>3250</v>
      </c>
      <c r="L11470" s="841" t="s">
        <v>3046</v>
      </c>
      <c r="M11470" s="1357"/>
      <c r="P11470" s="841" t="s">
        <v>3261</v>
      </c>
      <c r="Q11470" s="1357"/>
      <c r="S11470" s="1420"/>
      <c r="T11470" s="1420"/>
      <c r="V11470" s="1357">
        <v>55</v>
      </c>
    </row>
    <row r="11471" spans="1:22" s="841" customFormat="1" ht="15" x14ac:dyDescent="0.25">
      <c r="A11471" s="841" t="s">
        <v>440</v>
      </c>
      <c r="E11471" s="1690" t="s">
        <v>2450</v>
      </c>
      <c r="F11471" s="1690"/>
      <c r="G11471" s="1408" t="s">
        <v>24</v>
      </c>
      <c r="H11471" s="393">
        <v>4.0000000000000002E-4</v>
      </c>
      <c r="K11471" s="841" t="s">
        <v>3250</v>
      </c>
      <c r="L11471" s="841" t="s">
        <v>3046</v>
      </c>
      <c r="M11471" s="1357"/>
      <c r="P11471" s="841" t="s">
        <v>3261</v>
      </c>
      <c r="Q11471" s="1357"/>
      <c r="S11471" s="1420"/>
      <c r="T11471" s="1420"/>
      <c r="V11471" s="1357">
        <v>65</v>
      </c>
    </row>
    <row r="11472" spans="1:22" s="841" customFormat="1" ht="15" x14ac:dyDescent="0.25">
      <c r="A11472" s="841" t="s">
        <v>440</v>
      </c>
      <c r="E11472" s="1690" t="s">
        <v>439</v>
      </c>
      <c r="F11472" s="1690"/>
      <c r="G11472" s="1408" t="s">
        <v>24</v>
      </c>
      <c r="H11472" s="393">
        <v>2.9999999999999997E-4</v>
      </c>
      <c r="K11472" s="841" t="s">
        <v>3250</v>
      </c>
      <c r="L11472" s="841" t="s">
        <v>3046</v>
      </c>
      <c r="M11472" s="1357"/>
      <c r="P11472" s="841" t="s">
        <v>3262</v>
      </c>
      <c r="Q11472" s="1357"/>
      <c r="S11472" s="1420"/>
      <c r="T11472" s="1420"/>
      <c r="V11472" s="1357">
        <v>57</v>
      </c>
    </row>
    <row r="11473" spans="1:22" s="841" customFormat="1" ht="15" x14ac:dyDescent="0.25">
      <c r="A11473" s="841" t="s">
        <v>440</v>
      </c>
      <c r="E11473" s="1690" t="s">
        <v>32</v>
      </c>
      <c r="F11473" s="1690"/>
      <c r="G11473" s="1408" t="s">
        <v>23</v>
      </c>
      <c r="H11473" s="391">
        <v>0.25</v>
      </c>
      <c r="K11473" s="841" t="s">
        <v>3250</v>
      </c>
      <c r="L11473" s="841" t="s">
        <v>3046</v>
      </c>
      <c r="M11473" s="1357"/>
      <c r="P11473" s="841" t="s">
        <v>3263</v>
      </c>
      <c r="Q11473" s="1357"/>
      <c r="S11473" s="1420"/>
      <c r="T11473" s="1420"/>
      <c r="V11473" s="1357">
        <v>63</v>
      </c>
    </row>
    <row r="11474" spans="1:22" s="841" customFormat="1" x14ac:dyDescent="0.25">
      <c r="A11474" s="841" t="s">
        <v>440</v>
      </c>
      <c r="E11474" s="1695" t="s">
        <v>615</v>
      </c>
      <c r="F11474" s="1915"/>
      <c r="G11474" s="1915"/>
      <c r="H11474" s="1915"/>
      <c r="K11474" s="841" t="s">
        <v>3264</v>
      </c>
      <c r="M11474" s="1357"/>
      <c r="Q11474" s="1357"/>
      <c r="S11474" s="1420"/>
      <c r="T11474" s="1420"/>
      <c r="V11474" s="1357">
        <v>38</v>
      </c>
    </row>
    <row r="11475" spans="1:22" s="841" customFormat="1" ht="15" x14ac:dyDescent="0.25">
      <c r="A11475" s="841" t="s">
        <v>440</v>
      </c>
      <c r="E11475" s="1689" t="s">
        <v>4125</v>
      </c>
      <c r="F11475" s="1689"/>
      <c r="G11475" s="1689"/>
      <c r="H11475" s="1689"/>
      <c r="K11475" s="841" t="s">
        <v>3264</v>
      </c>
      <c r="M11475" s="1357"/>
      <c r="Q11475" s="1357"/>
      <c r="S11475" s="1420"/>
      <c r="T11475" s="1420"/>
      <c r="V11475" s="1357">
        <v>297</v>
      </c>
    </row>
    <row r="11476" spans="1:22" s="841" customFormat="1" ht="15" x14ac:dyDescent="0.25">
      <c r="A11476" s="841" t="s">
        <v>440</v>
      </c>
      <c r="E11476" s="1696" t="s">
        <v>3061</v>
      </c>
      <c r="F11476" s="1697"/>
      <c r="G11476" s="1697"/>
      <c r="H11476" s="1697"/>
      <c r="K11476" s="841" t="s">
        <v>3266</v>
      </c>
      <c r="M11476" s="1357"/>
      <c r="Q11476" s="1357"/>
      <c r="S11476" s="1420"/>
      <c r="T11476" s="1420"/>
      <c r="V11476" s="1357">
        <v>11</v>
      </c>
    </row>
    <row r="11477" spans="1:22" s="841" customFormat="1" ht="15" x14ac:dyDescent="0.25">
      <c r="A11477" s="841" t="s">
        <v>440</v>
      </c>
      <c r="E11477" s="1689" t="s">
        <v>3063</v>
      </c>
      <c r="F11477" s="1689"/>
      <c r="G11477" s="1689"/>
      <c r="H11477" s="1689"/>
      <c r="K11477" s="841" t="s">
        <v>3264</v>
      </c>
      <c r="M11477" s="1357"/>
      <c r="Q11477" s="1357"/>
      <c r="S11477" s="1420"/>
      <c r="T11477" s="1420"/>
      <c r="V11477" s="1357">
        <v>280</v>
      </c>
    </row>
    <row r="11478" spans="1:22" s="841" customFormat="1" ht="15" x14ac:dyDescent="0.25">
      <c r="A11478" s="841" t="s">
        <v>440</v>
      </c>
      <c r="E11478" s="1689" t="s">
        <v>3064</v>
      </c>
      <c r="F11478" s="1689"/>
      <c r="G11478" s="1689"/>
      <c r="H11478" s="1689"/>
      <c r="K11478" s="841" t="s">
        <v>3264</v>
      </c>
      <c r="M11478" s="1357"/>
      <c r="Q11478" s="1357"/>
      <c r="S11478" s="1420"/>
      <c r="T11478" s="1420"/>
      <c r="V11478" s="1357">
        <v>411</v>
      </c>
    </row>
    <row r="11479" spans="1:22" s="841" customFormat="1" ht="15" x14ac:dyDescent="0.25">
      <c r="A11479" s="841" t="s">
        <v>440</v>
      </c>
      <c r="E11479" s="1689" t="s">
        <v>3065</v>
      </c>
      <c r="F11479" s="1689"/>
      <c r="G11479" s="1689"/>
      <c r="H11479" s="1689"/>
      <c r="K11479" s="841" t="s">
        <v>3264</v>
      </c>
      <c r="M11479" s="1357"/>
      <c r="Q11479" s="1357"/>
      <c r="S11479" s="1420"/>
      <c r="T11479" s="1420"/>
      <c r="V11479" s="1357">
        <v>387</v>
      </c>
    </row>
    <row r="11480" spans="1:22" s="841" customFormat="1" ht="15" x14ac:dyDescent="0.25">
      <c r="A11480" s="841" t="s">
        <v>440</v>
      </c>
      <c r="E11480" s="1689" t="s">
        <v>3390</v>
      </c>
      <c r="F11480" s="1689"/>
      <c r="G11480" s="1689"/>
      <c r="H11480" s="1689"/>
      <c r="K11480" s="841" t="s">
        <v>3264</v>
      </c>
      <c r="M11480" s="1357"/>
      <c r="Q11480" s="1357"/>
      <c r="S11480" s="1420"/>
      <c r="T11480" s="1420"/>
      <c r="V11480" s="1357">
        <v>274</v>
      </c>
    </row>
    <row r="11481" spans="1:22" s="841" customFormat="1" ht="15" x14ac:dyDescent="0.25">
      <c r="A11481" s="841" t="s">
        <v>440</v>
      </c>
      <c r="E11481" s="1692" t="s">
        <v>3067</v>
      </c>
      <c r="F11481" s="1693"/>
      <c r="G11481" s="1693"/>
      <c r="H11481" s="1693"/>
      <c r="K11481" s="841" t="s">
        <v>3267</v>
      </c>
      <c r="M11481" s="1357"/>
      <c r="Q11481" s="1357"/>
      <c r="S11481" s="1420"/>
      <c r="T11481" s="1420"/>
      <c r="V11481" s="1357">
        <v>46</v>
      </c>
    </row>
    <row r="11482" spans="1:22" s="841" customFormat="1" ht="15" x14ac:dyDescent="0.25">
      <c r="A11482" s="841" t="s">
        <v>440</v>
      </c>
      <c r="E11482" s="1690" t="s">
        <v>12</v>
      </c>
      <c r="F11482" s="1690"/>
      <c r="G11482" s="1408" t="s">
        <v>23</v>
      </c>
      <c r="H11482" s="391">
        <v>2.4700000000000002</v>
      </c>
      <c r="K11482" s="841" t="s">
        <v>3264</v>
      </c>
      <c r="L11482" s="841" t="s">
        <v>442</v>
      </c>
      <c r="M11482" s="1357"/>
      <c r="P11482" s="841" t="s">
        <v>3268</v>
      </c>
      <c r="Q11482" s="1357"/>
      <c r="S11482" s="1420"/>
      <c r="T11482" s="1420"/>
      <c r="V11482" s="1357">
        <v>31</v>
      </c>
    </row>
    <row r="11483" spans="1:22" s="841" customFormat="1" ht="15" x14ac:dyDescent="0.25">
      <c r="A11483" s="841" t="s">
        <v>440</v>
      </c>
      <c r="E11483" s="1690" t="s">
        <v>5813</v>
      </c>
      <c r="F11483" s="1690"/>
      <c r="G11483" s="1408" t="s">
        <v>23</v>
      </c>
      <c r="H11483" s="391">
        <v>-0.02</v>
      </c>
      <c r="K11483" s="841" t="s">
        <v>3264</v>
      </c>
      <c r="L11483" s="841" t="s">
        <v>442</v>
      </c>
      <c r="M11483" s="1357"/>
      <c r="P11483" s="841" t="s">
        <v>6442</v>
      </c>
      <c r="Q11483" s="1357"/>
      <c r="S11483" s="1420"/>
      <c r="T11483" s="1420">
        <v>43585</v>
      </c>
      <c r="V11483" s="1357">
        <v>90</v>
      </c>
    </row>
    <row r="11484" spans="1:22" s="841" customFormat="1" ht="15" x14ac:dyDescent="0.25">
      <c r="A11484" s="841" t="s">
        <v>440</v>
      </c>
      <c r="E11484" s="1690" t="s">
        <v>84</v>
      </c>
      <c r="F11484" s="1690"/>
      <c r="G11484" s="1408" t="s">
        <v>33</v>
      </c>
      <c r="H11484" s="393">
        <v>10.820399999999999</v>
      </c>
      <c r="K11484" s="841" t="s">
        <v>3264</v>
      </c>
      <c r="L11484" s="841" t="s">
        <v>442</v>
      </c>
      <c r="M11484" s="1357"/>
      <c r="P11484" s="841" t="s">
        <v>3269</v>
      </c>
      <c r="Q11484" s="1357"/>
      <c r="S11484" s="1420"/>
      <c r="T11484" s="1420"/>
      <c r="V11484" s="1357">
        <v>28</v>
      </c>
    </row>
    <row r="11485" spans="1:22" s="841" customFormat="1" ht="15" x14ac:dyDescent="0.25">
      <c r="A11485" s="841" t="s">
        <v>440</v>
      </c>
      <c r="E11485" s="1690" t="s">
        <v>18</v>
      </c>
      <c r="F11485" s="1690"/>
      <c r="G11485" s="1408" t="s">
        <v>33</v>
      </c>
      <c r="H11485" s="393">
        <v>0.1749</v>
      </c>
      <c r="K11485" s="841" t="s">
        <v>3264</v>
      </c>
      <c r="L11485" s="841" t="s">
        <v>443</v>
      </c>
      <c r="M11485" s="1357"/>
      <c r="P11485" s="841" t="s">
        <v>3270</v>
      </c>
      <c r="Q11485" s="1357"/>
      <c r="S11485" s="1420"/>
      <c r="T11485" s="1420"/>
      <c r="V11485" s="1357">
        <v>24</v>
      </c>
    </row>
    <row r="11486" spans="1:22" s="841" customFormat="1" ht="15" x14ac:dyDescent="0.25">
      <c r="A11486" s="841" t="s">
        <v>440</v>
      </c>
      <c r="E11486" s="1690" t="s">
        <v>221</v>
      </c>
      <c r="F11486" s="1690"/>
      <c r="G11486" s="1408" t="s">
        <v>33</v>
      </c>
      <c r="H11486" s="393">
        <v>2.0118</v>
      </c>
      <c r="K11486" s="841" t="s">
        <v>3264</v>
      </c>
      <c r="L11486" s="841" t="s">
        <v>444</v>
      </c>
      <c r="M11486" s="1357"/>
      <c r="P11486" s="841" t="s">
        <v>3274</v>
      </c>
      <c r="Q11486" s="1357"/>
      <c r="S11486" s="1420"/>
      <c r="T11486" s="1420"/>
      <c r="V11486" s="1357">
        <v>47</v>
      </c>
    </row>
    <row r="11487" spans="1:22" s="841" customFormat="1" ht="15" x14ac:dyDescent="0.25">
      <c r="A11487" s="841" t="s">
        <v>440</v>
      </c>
      <c r="E11487" s="1690" t="s">
        <v>217</v>
      </c>
      <c r="F11487" s="1690"/>
      <c r="G11487" s="1408" t="s">
        <v>33</v>
      </c>
      <c r="H11487" s="393">
        <v>1.8389</v>
      </c>
      <c r="K11487" s="841" t="s">
        <v>3264</v>
      </c>
      <c r="L11487" s="841" t="s">
        <v>444</v>
      </c>
      <c r="M11487" s="1357"/>
      <c r="P11487" s="841" t="s">
        <v>3275</v>
      </c>
      <c r="Q11487" s="1357"/>
      <c r="S11487" s="1420"/>
      <c r="T11487" s="1420"/>
      <c r="V11487" s="1357">
        <v>74</v>
      </c>
    </row>
    <row r="11488" spans="1:22" s="841" customFormat="1" ht="15" x14ac:dyDescent="0.25">
      <c r="A11488" s="841" t="s">
        <v>440</v>
      </c>
      <c r="E11488" s="1694" t="s">
        <v>3079</v>
      </c>
      <c r="F11488" s="1690"/>
      <c r="G11488" s="1408"/>
      <c r="H11488" s="1408"/>
      <c r="K11488" s="841" t="s">
        <v>3276</v>
      </c>
      <c r="M11488" s="1357"/>
      <c r="Q11488" s="1357"/>
      <c r="S11488" s="1420"/>
      <c r="T11488" s="1420"/>
      <c r="V11488" s="1357">
        <v>48</v>
      </c>
    </row>
    <row r="11489" spans="1:22" s="841" customFormat="1" ht="15" x14ac:dyDescent="0.25">
      <c r="A11489" s="841" t="s">
        <v>440</v>
      </c>
      <c r="E11489" s="1690" t="s">
        <v>2449</v>
      </c>
      <c r="F11489" s="1690"/>
      <c r="G11489" s="1408" t="s">
        <v>24</v>
      </c>
      <c r="H11489" s="393">
        <v>3.2000000000000002E-3</v>
      </c>
      <c r="K11489" s="841" t="s">
        <v>3264</v>
      </c>
      <c r="L11489" s="841" t="s">
        <v>3046</v>
      </c>
      <c r="M11489" s="1357"/>
      <c r="P11489" s="841" t="s">
        <v>3277</v>
      </c>
      <c r="Q11489" s="1357"/>
      <c r="S11489" s="1420"/>
      <c r="T11489" s="1420"/>
      <c r="V11489" s="1357">
        <v>55</v>
      </c>
    </row>
    <row r="11490" spans="1:22" s="841" customFormat="1" ht="15" x14ac:dyDescent="0.25">
      <c r="A11490" s="841" t="s">
        <v>440</v>
      </c>
      <c r="E11490" s="1690" t="s">
        <v>2450</v>
      </c>
      <c r="F11490" s="1690"/>
      <c r="G11490" s="1408" t="s">
        <v>24</v>
      </c>
      <c r="H11490" s="393">
        <v>4.0000000000000002E-4</v>
      </c>
      <c r="K11490" s="841" t="s">
        <v>3264</v>
      </c>
      <c r="L11490" s="841" t="s">
        <v>3046</v>
      </c>
      <c r="M11490" s="1357"/>
      <c r="P11490" s="841" t="s">
        <v>3277</v>
      </c>
      <c r="Q11490" s="1357"/>
      <c r="S11490" s="1420"/>
      <c r="T11490" s="1420"/>
      <c r="V11490" s="1357">
        <v>65</v>
      </c>
    </row>
    <row r="11491" spans="1:22" s="841" customFormat="1" ht="15" x14ac:dyDescent="0.25">
      <c r="A11491" s="841" t="s">
        <v>440</v>
      </c>
      <c r="E11491" s="1690" t="s">
        <v>439</v>
      </c>
      <c r="F11491" s="1690"/>
      <c r="G11491" s="1408" t="s">
        <v>24</v>
      </c>
      <c r="H11491" s="393">
        <v>2.9999999999999997E-4</v>
      </c>
      <c r="K11491" s="841" t="s">
        <v>3264</v>
      </c>
      <c r="L11491" s="841" t="s">
        <v>3046</v>
      </c>
      <c r="M11491" s="1357"/>
      <c r="P11491" s="841" t="s">
        <v>3278</v>
      </c>
      <c r="Q11491" s="1357"/>
      <c r="S11491" s="1420"/>
      <c r="T11491" s="1420"/>
      <c r="V11491" s="1357">
        <v>57</v>
      </c>
    </row>
    <row r="11492" spans="1:22" s="841" customFormat="1" ht="15" x14ac:dyDescent="0.25">
      <c r="A11492" s="841" t="s">
        <v>440</v>
      </c>
      <c r="E11492" s="1690" t="s">
        <v>32</v>
      </c>
      <c r="F11492" s="1690"/>
      <c r="G11492" s="1408" t="s">
        <v>23</v>
      </c>
      <c r="H11492" s="391">
        <v>0.25</v>
      </c>
      <c r="K11492" s="841" t="s">
        <v>3264</v>
      </c>
      <c r="L11492" s="841" t="s">
        <v>3046</v>
      </c>
      <c r="M11492" s="1357"/>
      <c r="P11492" s="841" t="s">
        <v>3279</v>
      </c>
      <c r="Q11492" s="1357"/>
      <c r="S11492" s="1420"/>
      <c r="T11492" s="1420"/>
      <c r="V11492" s="1357">
        <v>63</v>
      </c>
    </row>
    <row r="11493" spans="1:22" s="841" customFormat="1" x14ac:dyDescent="0.25">
      <c r="A11493" s="841" t="s">
        <v>440</v>
      </c>
      <c r="E11493" s="1695" t="s">
        <v>618</v>
      </c>
      <c r="F11493" s="1915"/>
      <c r="G11493" s="1915"/>
      <c r="H11493" s="1915"/>
      <c r="K11493" s="841" t="s">
        <v>3280</v>
      </c>
      <c r="M11493" s="1357"/>
      <c r="Q11493" s="1357"/>
      <c r="S11493" s="1420"/>
      <c r="T11493" s="1420"/>
      <c r="V11493" s="1357">
        <v>31</v>
      </c>
    </row>
    <row r="11494" spans="1:22" s="841" customFormat="1" ht="15" x14ac:dyDescent="0.25">
      <c r="A11494" s="841" t="s">
        <v>440</v>
      </c>
      <c r="E11494" s="1689" t="s">
        <v>4126</v>
      </c>
      <c r="F11494" s="1689"/>
      <c r="G11494" s="1689"/>
      <c r="H11494" s="1689"/>
      <c r="K11494" s="841" t="s">
        <v>3280</v>
      </c>
      <c r="M11494" s="1357"/>
      <c r="Q11494" s="1357"/>
      <c r="S11494" s="1420"/>
      <c r="T11494" s="1420"/>
      <c r="V11494" s="1357">
        <v>284</v>
      </c>
    </row>
    <row r="11495" spans="1:22" s="841" customFormat="1" ht="15" x14ac:dyDescent="0.25">
      <c r="A11495" s="841" t="s">
        <v>440</v>
      </c>
      <c r="E11495" s="1696" t="s">
        <v>3061</v>
      </c>
      <c r="F11495" s="1697"/>
      <c r="G11495" s="1697"/>
      <c r="H11495" s="1697"/>
      <c r="K11495" s="841" t="s">
        <v>3281</v>
      </c>
      <c r="M11495" s="1357"/>
      <c r="Q11495" s="1357"/>
      <c r="S11495" s="1420"/>
      <c r="T11495" s="1420"/>
      <c r="V11495" s="1357">
        <v>11</v>
      </c>
    </row>
    <row r="11496" spans="1:22" s="841" customFormat="1" ht="15" x14ac:dyDescent="0.25">
      <c r="A11496" s="841" t="s">
        <v>440</v>
      </c>
      <c r="E11496" s="1689" t="s">
        <v>3063</v>
      </c>
      <c r="F11496" s="1689"/>
      <c r="G11496" s="1689"/>
      <c r="H11496" s="1689"/>
      <c r="K11496" s="841" t="s">
        <v>3280</v>
      </c>
      <c r="M11496" s="1357"/>
      <c r="Q11496" s="1357"/>
      <c r="S11496" s="1420"/>
      <c r="T11496" s="1420"/>
      <c r="V11496" s="1357">
        <v>280</v>
      </c>
    </row>
    <row r="11497" spans="1:22" s="841" customFormat="1" ht="15" x14ac:dyDescent="0.25">
      <c r="A11497" s="841" t="s">
        <v>440</v>
      </c>
      <c r="E11497" s="1689" t="s">
        <v>3064</v>
      </c>
      <c r="F11497" s="1689"/>
      <c r="G11497" s="1689"/>
      <c r="H11497" s="1689"/>
      <c r="K11497" s="841" t="s">
        <v>3280</v>
      </c>
      <c r="M11497" s="1357"/>
      <c r="Q11497" s="1357"/>
      <c r="S11497" s="1420"/>
      <c r="T11497" s="1420"/>
      <c r="V11497" s="1357">
        <v>411</v>
      </c>
    </row>
    <row r="11498" spans="1:22" s="841" customFormat="1" ht="15" x14ac:dyDescent="0.25">
      <c r="A11498" s="841" t="s">
        <v>440</v>
      </c>
      <c r="E11498" s="1689" t="s">
        <v>3129</v>
      </c>
      <c r="F11498" s="1689"/>
      <c r="G11498" s="1689"/>
      <c r="H11498" s="1689"/>
      <c r="K11498" s="841" t="s">
        <v>3280</v>
      </c>
      <c r="M11498" s="1357"/>
      <c r="Q11498" s="1357"/>
      <c r="S11498" s="1420"/>
      <c r="T11498" s="1420"/>
      <c r="V11498" s="1357">
        <v>211</v>
      </c>
    </row>
    <row r="11499" spans="1:22" s="841" customFormat="1" ht="15" x14ac:dyDescent="0.25">
      <c r="A11499" s="841" t="s">
        <v>440</v>
      </c>
      <c r="E11499" s="1689" t="s">
        <v>3390</v>
      </c>
      <c r="F11499" s="1689"/>
      <c r="G11499" s="1689"/>
      <c r="H11499" s="1689"/>
      <c r="K11499" s="841" t="s">
        <v>3280</v>
      </c>
      <c r="M11499" s="1357"/>
      <c r="Q11499" s="1357"/>
      <c r="S11499" s="1420"/>
      <c r="T11499" s="1420"/>
      <c r="V11499" s="1357">
        <v>274</v>
      </c>
    </row>
    <row r="11500" spans="1:22" s="841" customFormat="1" ht="15" x14ac:dyDescent="0.25">
      <c r="A11500" s="841" t="s">
        <v>440</v>
      </c>
      <c r="E11500" s="1692" t="s">
        <v>3067</v>
      </c>
      <c r="F11500" s="1693"/>
      <c r="G11500" s="1693"/>
      <c r="H11500" s="1693"/>
      <c r="K11500" s="841" t="s">
        <v>3282</v>
      </c>
      <c r="M11500" s="1357"/>
      <c r="Q11500" s="1357"/>
      <c r="S11500" s="1420"/>
      <c r="T11500" s="1420"/>
      <c r="V11500" s="1357">
        <v>46</v>
      </c>
    </row>
    <row r="11501" spans="1:22" s="841" customFormat="1" ht="15" x14ac:dyDescent="0.25">
      <c r="A11501" s="841" t="s">
        <v>440</v>
      </c>
      <c r="E11501" s="1690" t="s">
        <v>11</v>
      </c>
      <c r="F11501" s="1690"/>
      <c r="G11501" s="1408" t="s">
        <v>23</v>
      </c>
      <c r="H11501" s="391">
        <v>5.4</v>
      </c>
      <c r="K11501" s="841" t="s">
        <v>3280</v>
      </c>
      <c r="L11501" s="841" t="s">
        <v>442</v>
      </c>
      <c r="M11501" s="1357"/>
      <c r="P11501" s="841" t="s">
        <v>3283</v>
      </c>
      <c r="Q11501" s="1357"/>
      <c r="S11501" s="1420"/>
      <c r="T11501" s="1420"/>
      <c r="V11501" s="1357">
        <v>14</v>
      </c>
    </row>
    <row r="11502" spans="1:22" s="841" customFormat="1" x14ac:dyDescent="0.25">
      <c r="A11502" s="841" t="s">
        <v>440</v>
      </c>
      <c r="E11502" s="1405" t="s">
        <v>85</v>
      </c>
      <c r="F11502" s="727"/>
      <c r="G11502" s="727"/>
      <c r="H11502" s="727"/>
      <c r="K11502" s="841" t="s">
        <v>4127</v>
      </c>
      <c r="M11502" s="1357"/>
      <c r="Q11502" s="1357"/>
      <c r="S11502" s="1420"/>
      <c r="T11502" s="1420"/>
      <c r="V11502" s="1357">
        <v>10</v>
      </c>
    </row>
    <row r="11503" spans="1:22" s="841" customFormat="1" ht="15" x14ac:dyDescent="0.25">
      <c r="A11503" s="841" t="s">
        <v>440</v>
      </c>
      <c r="E11503" s="1690" t="s">
        <v>3133</v>
      </c>
      <c r="F11503" s="1690"/>
      <c r="G11503" s="1408" t="s">
        <v>33</v>
      </c>
      <c r="H11503" s="393">
        <v>-0.6</v>
      </c>
      <c r="M11503" s="1357"/>
      <c r="Q11503" s="1357"/>
      <c r="S11503" s="1420"/>
      <c r="T11503" s="1420"/>
      <c r="V11503" s="1357">
        <v>68</v>
      </c>
    </row>
    <row r="11504" spans="1:22" s="841" customFormat="1" ht="15" x14ac:dyDescent="0.25">
      <c r="A11504" s="841" t="s">
        <v>440</v>
      </c>
      <c r="E11504" s="1690" t="s">
        <v>3134</v>
      </c>
      <c r="F11504" s="1690"/>
      <c r="G11504" s="1408" t="s">
        <v>86</v>
      </c>
      <c r="H11504" s="391">
        <v>-1</v>
      </c>
      <c r="M11504" s="1357"/>
      <c r="Q11504" s="1357"/>
      <c r="S11504" s="1420"/>
      <c r="T11504" s="1420"/>
      <c r="V11504" s="1357">
        <v>87</v>
      </c>
    </row>
    <row r="11505" spans="1:22" s="841" customFormat="1" x14ac:dyDescent="0.25">
      <c r="A11505" s="841" t="s">
        <v>440</v>
      </c>
      <c r="E11505" s="1405" t="s">
        <v>87</v>
      </c>
      <c r="F11505" s="727"/>
      <c r="G11505" s="727"/>
      <c r="H11505" s="727"/>
      <c r="K11505" s="841" t="s">
        <v>4128</v>
      </c>
      <c r="M11505" s="1357"/>
      <c r="Q11505" s="1357"/>
      <c r="S11505" s="1420"/>
      <c r="T11505" s="1420"/>
      <c r="V11505" s="1357">
        <v>24</v>
      </c>
    </row>
    <row r="11506" spans="1:22" s="841" customFormat="1" ht="15" x14ac:dyDescent="0.25">
      <c r="A11506" s="841" t="s">
        <v>440</v>
      </c>
      <c r="E11506" s="1689" t="s">
        <v>3063</v>
      </c>
      <c r="F11506" s="1689"/>
      <c r="G11506" s="1689"/>
      <c r="H11506" s="1689"/>
      <c r="M11506" s="1357"/>
      <c r="Q11506" s="1357"/>
      <c r="S11506" s="1420"/>
      <c r="T11506" s="1420"/>
      <c r="V11506" s="1357">
        <v>280</v>
      </c>
    </row>
    <row r="11507" spans="1:22" s="841" customFormat="1" ht="15" x14ac:dyDescent="0.25">
      <c r="A11507" s="841" t="s">
        <v>440</v>
      </c>
      <c r="E11507" s="1689" t="s">
        <v>4129</v>
      </c>
      <c r="F11507" s="1689"/>
      <c r="G11507" s="1689"/>
      <c r="H11507" s="1689"/>
      <c r="M11507" s="1357"/>
      <c r="Q11507" s="1357"/>
      <c r="S11507" s="1420"/>
      <c r="T11507" s="1420"/>
      <c r="V11507" s="1357">
        <v>355</v>
      </c>
    </row>
    <row r="11508" spans="1:22" s="841" customFormat="1" ht="15" x14ac:dyDescent="0.25">
      <c r="A11508" s="841" t="s">
        <v>440</v>
      </c>
      <c r="E11508" s="1689" t="s">
        <v>3200</v>
      </c>
      <c r="F11508" s="1689"/>
      <c r="G11508" s="1689"/>
      <c r="H11508" s="1689"/>
      <c r="M11508" s="1357"/>
      <c r="Q11508" s="1357"/>
      <c r="S11508" s="1420"/>
      <c r="T11508" s="1420"/>
      <c r="V11508" s="1357">
        <v>275</v>
      </c>
    </row>
    <row r="11509" spans="1:22" s="841" customFormat="1" ht="15" x14ac:dyDescent="0.25">
      <c r="A11509" s="841" t="s">
        <v>440</v>
      </c>
      <c r="E11509" s="1390" t="s">
        <v>3137</v>
      </c>
      <c r="F11509" s="660"/>
      <c r="G11509" s="660"/>
      <c r="H11509" s="660"/>
      <c r="K11509" s="841" t="s">
        <v>4130</v>
      </c>
      <c r="M11509" s="1357"/>
      <c r="Q11509" s="1357"/>
      <c r="S11509" s="1420"/>
      <c r="T11509" s="1420"/>
      <c r="V11509" s="1357">
        <v>23</v>
      </c>
    </row>
    <row r="11510" spans="1:22" s="841" customFormat="1" ht="15" x14ac:dyDescent="0.25">
      <c r="A11510" s="841" t="s">
        <v>440</v>
      </c>
      <c r="E11510" s="1688" t="s">
        <v>3355</v>
      </c>
      <c r="F11510" s="1688"/>
      <c r="G11510" s="1408" t="s">
        <v>23</v>
      </c>
      <c r="H11510" s="391">
        <v>15</v>
      </c>
      <c r="M11510" s="1357"/>
      <c r="Q11510" s="1357"/>
      <c r="S11510" s="1420"/>
      <c r="T11510" s="1420"/>
      <c r="V11510" s="1357">
        <v>19</v>
      </c>
    </row>
    <row r="11511" spans="1:22" s="841" customFormat="1" ht="15" x14ac:dyDescent="0.25">
      <c r="A11511" s="841" t="s">
        <v>440</v>
      </c>
      <c r="E11511" s="1688" t="s">
        <v>3140</v>
      </c>
      <c r="F11511" s="1688"/>
      <c r="G11511" s="1408" t="s">
        <v>23</v>
      </c>
      <c r="H11511" s="391">
        <v>15</v>
      </c>
      <c r="M11511" s="1357"/>
      <c r="Q11511" s="1357"/>
      <c r="S11511" s="1420"/>
      <c r="T11511" s="1420"/>
      <c r="V11511" s="1357">
        <v>20</v>
      </c>
    </row>
    <row r="11512" spans="1:22" s="841" customFormat="1" ht="15" x14ac:dyDescent="0.25">
      <c r="A11512" s="841" t="s">
        <v>440</v>
      </c>
      <c r="E11512" s="1688" t="s">
        <v>4770</v>
      </c>
      <c r="F11512" s="1688"/>
      <c r="G11512" s="1408" t="s">
        <v>23</v>
      </c>
      <c r="H11512" s="391">
        <v>15</v>
      </c>
      <c r="M11512" s="1357"/>
      <c r="Q11512" s="1357"/>
      <c r="S11512" s="1420"/>
      <c r="T11512" s="1420"/>
      <c r="V11512" s="1357">
        <v>15</v>
      </c>
    </row>
    <row r="11513" spans="1:22" s="841" customFormat="1" ht="15" x14ac:dyDescent="0.25">
      <c r="A11513" s="841" t="s">
        <v>440</v>
      </c>
      <c r="E11513" s="1688" t="s">
        <v>3148</v>
      </c>
      <c r="F11513" s="1688"/>
      <c r="G11513" s="1408" t="s">
        <v>23</v>
      </c>
      <c r="H11513" s="391">
        <v>15</v>
      </c>
      <c r="M11513" s="1357"/>
      <c r="Q11513" s="1357"/>
      <c r="S11513" s="1420"/>
      <c r="T11513" s="1420"/>
      <c r="V11513" s="1357">
        <v>56</v>
      </c>
    </row>
    <row r="11514" spans="1:22" s="841" customFormat="1" ht="15" x14ac:dyDescent="0.25">
      <c r="A11514" s="841" t="s">
        <v>440</v>
      </c>
      <c r="E11514" s="1688" t="s">
        <v>88</v>
      </c>
      <c r="F11514" s="1688"/>
      <c r="G11514" s="1408" t="s">
        <v>23</v>
      </c>
      <c r="H11514" s="391">
        <v>30</v>
      </c>
      <c r="M11514" s="1357"/>
      <c r="Q11514" s="1357"/>
      <c r="S11514" s="1420"/>
      <c r="T11514" s="1420"/>
      <c r="V11514" s="1357">
        <v>89</v>
      </c>
    </row>
    <row r="11515" spans="1:22" s="841" customFormat="1" ht="15" x14ac:dyDescent="0.25">
      <c r="A11515" s="841" t="s">
        <v>440</v>
      </c>
      <c r="E11515" s="1688" t="s">
        <v>123</v>
      </c>
      <c r="F11515" s="1688"/>
      <c r="G11515" s="1408" t="s">
        <v>23</v>
      </c>
      <c r="H11515" s="391">
        <v>15</v>
      </c>
      <c r="M11515" s="1357"/>
      <c r="Q11515" s="1357"/>
      <c r="S11515" s="1420"/>
      <c r="T11515" s="1420"/>
      <c r="V11515" s="1357">
        <v>35</v>
      </c>
    </row>
    <row r="11516" spans="1:22" s="841" customFormat="1" ht="15" x14ac:dyDescent="0.25">
      <c r="A11516" s="841" t="s">
        <v>440</v>
      </c>
      <c r="E11516" s="1688" t="s">
        <v>94</v>
      </c>
      <c r="F11516" s="1688"/>
      <c r="G11516" s="1408" t="s">
        <v>23</v>
      </c>
      <c r="H11516" s="391">
        <v>30</v>
      </c>
      <c r="M11516" s="1357"/>
      <c r="Q11516" s="1357"/>
      <c r="S11516" s="1420"/>
      <c r="T11516" s="1420"/>
      <c r="V11516" s="1357">
        <v>19</v>
      </c>
    </row>
    <row r="11517" spans="1:22" s="841" customFormat="1" ht="15" x14ac:dyDescent="0.25">
      <c r="A11517" s="841" t="s">
        <v>440</v>
      </c>
      <c r="E11517" s="1390" t="s">
        <v>3152</v>
      </c>
      <c r="F11517" s="660"/>
      <c r="G11517" s="660"/>
      <c r="H11517" s="660"/>
      <c r="K11517" s="841" t="s">
        <v>4131</v>
      </c>
      <c r="M11517" s="1357"/>
      <c r="Q11517" s="1357"/>
      <c r="S11517" s="1420"/>
      <c r="T11517" s="1420"/>
      <c r="V11517" s="1357">
        <v>22</v>
      </c>
    </row>
    <row r="11518" spans="1:22" s="841" customFormat="1" ht="15" x14ac:dyDescent="0.25">
      <c r="A11518" s="841" t="s">
        <v>440</v>
      </c>
      <c r="E11518" s="1688" t="s">
        <v>5137</v>
      </c>
      <c r="F11518" s="1688"/>
      <c r="G11518" s="1408" t="s">
        <v>86</v>
      </c>
      <c r="H11518" s="391">
        <v>1.5</v>
      </c>
      <c r="M11518" s="1357"/>
      <c r="Q11518" s="1357"/>
      <c r="S11518" s="1420"/>
      <c r="T11518" s="1420"/>
      <c r="V11518" s="1357">
        <v>24</v>
      </c>
    </row>
    <row r="11519" spans="1:22" s="841" customFormat="1" ht="15" x14ac:dyDescent="0.25">
      <c r="A11519" s="841" t="s">
        <v>440</v>
      </c>
      <c r="E11519" s="1688" t="s">
        <v>4772</v>
      </c>
      <c r="F11519" s="1688"/>
      <c r="G11519" s="1408" t="s">
        <v>86</v>
      </c>
      <c r="H11519" s="391">
        <v>19.559999999999999</v>
      </c>
      <c r="M11519" s="1357"/>
      <c r="Q11519" s="1357"/>
      <c r="S11519" s="1420"/>
      <c r="T11519" s="1420"/>
      <c r="V11519" s="1357">
        <v>24</v>
      </c>
    </row>
    <row r="11520" spans="1:22" s="841" customFormat="1" ht="15" x14ac:dyDescent="0.25">
      <c r="A11520" s="841" t="s">
        <v>440</v>
      </c>
      <c r="E11520" s="1688" t="s">
        <v>3288</v>
      </c>
      <c r="F11520" s="1688"/>
      <c r="G11520" s="1408" t="s">
        <v>23</v>
      </c>
      <c r="H11520" s="391">
        <v>30</v>
      </c>
      <c r="M11520" s="1357"/>
      <c r="Q11520" s="1357"/>
      <c r="S11520" s="1420"/>
      <c r="T11520" s="1420"/>
      <c r="V11520" s="1357">
        <v>47</v>
      </c>
    </row>
    <row r="11521" spans="1:22" s="841" customFormat="1" ht="15" x14ac:dyDescent="0.25">
      <c r="A11521" s="841" t="s">
        <v>440</v>
      </c>
      <c r="E11521" s="1688" t="s">
        <v>5653</v>
      </c>
      <c r="F11521" s="1688"/>
      <c r="G11521" s="1408" t="s">
        <v>23</v>
      </c>
      <c r="H11521" s="391">
        <v>65</v>
      </c>
      <c r="M11521" s="1357"/>
      <c r="Q11521" s="1357"/>
      <c r="S11521" s="1420"/>
      <c r="T11521" s="1420"/>
      <c r="V11521" s="1357">
        <v>79</v>
      </c>
    </row>
    <row r="11522" spans="1:22" s="841" customFormat="1" ht="15" x14ac:dyDescent="0.25">
      <c r="A11522" s="841" t="s">
        <v>440</v>
      </c>
      <c r="E11522" s="1688" t="s">
        <v>5814</v>
      </c>
      <c r="F11522" s="1688"/>
      <c r="G11522" s="1408" t="s">
        <v>23</v>
      </c>
      <c r="H11522" s="391">
        <v>185</v>
      </c>
      <c r="M11522" s="1357"/>
      <c r="Q11522" s="1357"/>
      <c r="S11522" s="1420"/>
      <c r="T11522" s="1420"/>
      <c r="V11522" s="1357">
        <v>78</v>
      </c>
    </row>
    <row r="11523" spans="1:22" s="841" customFormat="1" ht="15" x14ac:dyDescent="0.25">
      <c r="A11523" s="841" t="s">
        <v>440</v>
      </c>
      <c r="E11523" s="1390" t="s">
        <v>3164</v>
      </c>
      <c r="F11523" s="507"/>
      <c r="G11523" s="397"/>
      <c r="H11523" s="619"/>
      <c r="M11523" s="1357"/>
      <c r="Q11523" s="1357"/>
      <c r="S11523" s="1420"/>
      <c r="T11523" s="1420"/>
      <c r="V11523" s="1357">
        <v>5</v>
      </c>
    </row>
    <row r="11524" spans="1:22" s="841" customFormat="1" ht="15" x14ac:dyDescent="0.25">
      <c r="A11524" s="841" t="s">
        <v>440</v>
      </c>
      <c r="E11524" s="1688" t="s">
        <v>4132</v>
      </c>
      <c r="F11524" s="1688"/>
      <c r="G11524" s="1408" t="s">
        <v>23</v>
      </c>
      <c r="H11524" s="391">
        <v>5.5</v>
      </c>
      <c r="M11524" s="1357"/>
      <c r="Q11524" s="1357"/>
      <c r="S11524" s="1420"/>
      <c r="T11524" s="1420"/>
      <c r="V11524" s="1357">
        <v>42</v>
      </c>
    </row>
    <row r="11525" spans="1:22" s="841" customFormat="1" ht="15" x14ac:dyDescent="0.25">
      <c r="A11525" s="841" t="s">
        <v>440</v>
      </c>
      <c r="E11525" s="1688" t="s">
        <v>3491</v>
      </c>
      <c r="F11525" s="1688"/>
      <c r="G11525" s="1408" t="s">
        <v>23</v>
      </c>
      <c r="H11525" s="391">
        <v>22.35</v>
      </c>
      <c r="M11525" s="1357"/>
      <c r="Q11525" s="1357"/>
      <c r="S11525" s="1420"/>
      <c r="T11525" s="1420"/>
      <c r="V11525" s="1357">
        <v>59</v>
      </c>
    </row>
    <row r="11526" spans="1:22" s="841" customFormat="1" ht="15" x14ac:dyDescent="0.25">
      <c r="A11526" s="841" t="s">
        <v>440</v>
      </c>
      <c r="E11526" s="1688" t="s">
        <v>3166</v>
      </c>
      <c r="F11526" s="1688"/>
      <c r="G11526" s="1408"/>
      <c r="H11526" s="391"/>
      <c r="M11526" s="1357"/>
      <c r="Q11526" s="1357"/>
      <c r="S11526" s="1420"/>
      <c r="T11526" s="1420"/>
      <c r="V11526" s="1357">
        <v>44</v>
      </c>
    </row>
    <row r="11527" spans="1:22" s="841" customFormat="1" ht="15" x14ac:dyDescent="0.25">
      <c r="A11527" s="841" t="s">
        <v>440</v>
      </c>
      <c r="E11527" s="1688" t="s">
        <v>4133</v>
      </c>
      <c r="F11527" s="1688"/>
      <c r="G11527" s="1408" t="s">
        <v>23</v>
      </c>
      <c r="H11527" s="391">
        <v>5.59</v>
      </c>
      <c r="M11527" s="1357"/>
      <c r="Q11527" s="1357"/>
      <c r="S11527" s="1420"/>
      <c r="T11527" s="1420"/>
      <c r="V11527" s="1357">
        <v>44</v>
      </c>
    </row>
    <row r="11528" spans="1:22" s="841" customFormat="1" x14ac:dyDescent="0.25">
      <c r="A11528" s="841" t="s">
        <v>440</v>
      </c>
      <c r="E11528" s="1405" t="s">
        <v>77</v>
      </c>
      <c r="F11528" s="727"/>
      <c r="G11528" s="727"/>
      <c r="H11528" s="727"/>
      <c r="K11528" s="841" t="s">
        <v>4134</v>
      </c>
      <c r="M11528" s="1357"/>
      <c r="Q11528" s="1357"/>
      <c r="S11528" s="1420"/>
      <c r="T11528" s="1420"/>
      <c r="V11528" s="1357">
        <v>38</v>
      </c>
    </row>
    <row r="11529" spans="1:22" s="841" customFormat="1" ht="15" x14ac:dyDescent="0.25">
      <c r="A11529" s="841" t="s">
        <v>440</v>
      </c>
      <c r="E11529" s="1689" t="s">
        <v>4135</v>
      </c>
      <c r="F11529" s="1689"/>
      <c r="G11529" s="1689"/>
      <c r="H11529" s="1689"/>
      <c r="M11529" s="1357"/>
      <c r="Q11529" s="1357"/>
      <c r="S11529" s="1420"/>
      <c r="T11529" s="1420"/>
      <c r="V11529" s="1357">
        <v>281</v>
      </c>
    </row>
    <row r="11530" spans="1:22" s="841" customFormat="1" ht="15" x14ac:dyDescent="0.25">
      <c r="A11530" s="841" t="s">
        <v>440</v>
      </c>
      <c r="E11530" s="1689" t="s">
        <v>4136</v>
      </c>
      <c r="F11530" s="1689"/>
      <c r="G11530" s="1689"/>
      <c r="H11530" s="1689"/>
      <c r="M11530" s="1357"/>
      <c r="Q11530" s="1357"/>
      <c r="S11530" s="1420"/>
      <c r="T11530" s="1420"/>
      <c r="V11530" s="1357">
        <v>414</v>
      </c>
    </row>
    <row r="11531" spans="1:22" s="841" customFormat="1" ht="15" x14ac:dyDescent="0.25">
      <c r="A11531" s="841" t="s">
        <v>440</v>
      </c>
      <c r="E11531" s="1689" t="s">
        <v>3129</v>
      </c>
      <c r="F11531" s="1689"/>
      <c r="G11531" s="1689"/>
      <c r="H11531" s="1689"/>
      <c r="M11531" s="1357"/>
      <c r="Q11531" s="1357"/>
      <c r="S11531" s="1420"/>
      <c r="T11531" s="1420"/>
      <c r="V11531" s="1357">
        <v>211</v>
      </c>
    </row>
    <row r="11532" spans="1:22" s="841" customFormat="1" ht="15" x14ac:dyDescent="0.25">
      <c r="A11532" s="841" t="s">
        <v>440</v>
      </c>
      <c r="E11532" s="1689" t="s">
        <v>4137</v>
      </c>
      <c r="F11532" s="1689"/>
      <c r="G11532" s="1689"/>
      <c r="H11532" s="1689"/>
      <c r="M11532" s="1357"/>
      <c r="Q11532" s="1357"/>
      <c r="S11532" s="1420"/>
      <c r="T11532" s="1420"/>
      <c r="V11532" s="1357">
        <v>277</v>
      </c>
    </row>
    <row r="11533" spans="1:22" s="841" customFormat="1" ht="15" x14ac:dyDescent="0.25">
      <c r="A11533" s="841" t="s">
        <v>440</v>
      </c>
      <c r="E11533" s="1689" t="s">
        <v>3291</v>
      </c>
      <c r="F11533" s="1689"/>
      <c r="G11533" s="1689"/>
      <c r="H11533" s="1689"/>
      <c r="M11533" s="1357"/>
      <c r="Q11533" s="1357"/>
      <c r="S11533" s="1420"/>
      <c r="T11533" s="1420"/>
      <c r="V11533" s="1357">
        <v>142</v>
      </c>
    </row>
    <row r="11534" spans="1:22" s="841" customFormat="1" ht="15" x14ac:dyDescent="0.25">
      <c r="A11534" s="841" t="s">
        <v>440</v>
      </c>
      <c r="E11534" s="1690" t="s">
        <v>3176</v>
      </c>
      <c r="F11534" s="1690"/>
      <c r="G11534" s="397" t="s">
        <v>23</v>
      </c>
      <c r="H11534" s="391">
        <v>100</v>
      </c>
      <c r="M11534" s="1357"/>
      <c r="Q11534" s="1357"/>
      <c r="S11534" s="1420"/>
      <c r="T11534" s="1420"/>
      <c r="V11534" s="1357">
        <v>106</v>
      </c>
    </row>
    <row r="11535" spans="1:22" s="841" customFormat="1" ht="15" x14ac:dyDescent="0.25">
      <c r="A11535" s="841" t="s">
        <v>440</v>
      </c>
      <c r="E11535" s="1690" t="s">
        <v>5140</v>
      </c>
      <c r="F11535" s="1690"/>
      <c r="G11535" s="397" t="s">
        <v>23</v>
      </c>
      <c r="H11535" s="391">
        <v>20</v>
      </c>
      <c r="M11535" s="1357"/>
      <c r="Q11535" s="1357"/>
      <c r="S11535" s="1420"/>
      <c r="T11535" s="1420"/>
      <c r="V11535" s="1357">
        <v>34</v>
      </c>
    </row>
    <row r="11536" spans="1:22" s="841" customFormat="1" ht="15" x14ac:dyDescent="0.25">
      <c r="A11536" s="841" t="s">
        <v>440</v>
      </c>
      <c r="E11536" s="1690" t="s">
        <v>5141</v>
      </c>
      <c r="F11536" s="1690"/>
      <c r="G11536" s="397" t="s">
        <v>3179</v>
      </c>
      <c r="H11536" s="391">
        <v>0.5</v>
      </c>
      <c r="M11536" s="1357"/>
      <c r="Q11536" s="1357"/>
      <c r="S11536" s="1420"/>
      <c r="T11536" s="1420"/>
      <c r="V11536" s="1357">
        <v>51</v>
      </c>
    </row>
    <row r="11537" spans="1:22" s="841" customFormat="1" ht="15" x14ac:dyDescent="0.25">
      <c r="A11537" s="841" t="s">
        <v>440</v>
      </c>
      <c r="E11537" s="1690" t="s">
        <v>3180</v>
      </c>
      <c r="F11537" s="1690"/>
      <c r="G11537" s="397" t="s">
        <v>3179</v>
      </c>
      <c r="H11537" s="391">
        <v>0.3</v>
      </c>
      <c r="M11537" s="1357"/>
      <c r="Q11537" s="1357"/>
      <c r="S11537" s="1420"/>
      <c r="T11537" s="1420"/>
      <c r="V11537" s="1357">
        <v>75</v>
      </c>
    </row>
    <row r="11538" spans="1:22" s="841" customFormat="1" ht="15" x14ac:dyDescent="0.25">
      <c r="A11538" s="841" t="s">
        <v>440</v>
      </c>
      <c r="E11538" s="1690" t="s">
        <v>3181</v>
      </c>
      <c r="F11538" s="1690"/>
      <c r="G11538" s="397" t="s">
        <v>3179</v>
      </c>
      <c r="H11538" s="391">
        <v>-0.3</v>
      </c>
      <c r="M11538" s="1357"/>
      <c r="Q11538" s="1357"/>
      <c r="S11538" s="1420"/>
      <c r="T11538" s="1420"/>
      <c r="V11538" s="1357">
        <v>72</v>
      </c>
    </row>
    <row r="11539" spans="1:22" s="841" customFormat="1" ht="15" x14ac:dyDescent="0.25">
      <c r="A11539" s="841" t="s">
        <v>440</v>
      </c>
      <c r="E11539" s="1690" t="s">
        <v>3182</v>
      </c>
      <c r="F11539" s="1690"/>
      <c r="G11539" s="397"/>
      <c r="H11539" s="392"/>
      <c r="M11539" s="1357"/>
      <c r="Q11539" s="1357"/>
      <c r="S11539" s="1420"/>
      <c r="T11539" s="1420"/>
      <c r="V11539" s="1357">
        <v>35</v>
      </c>
    </row>
    <row r="11540" spans="1:22" s="841" customFormat="1" ht="15" x14ac:dyDescent="0.25">
      <c r="A11540" s="841" t="s">
        <v>440</v>
      </c>
      <c r="E11540" s="1691" t="s">
        <v>3183</v>
      </c>
      <c r="F11540" s="1691"/>
      <c r="G11540" s="397" t="s">
        <v>23</v>
      </c>
      <c r="H11540" s="391">
        <v>0.25</v>
      </c>
      <c r="M11540" s="1357"/>
      <c r="Q11540" s="1357"/>
      <c r="S11540" s="1420"/>
      <c r="T11540" s="1420"/>
      <c r="V11540" s="1357">
        <v>57</v>
      </c>
    </row>
    <row r="11541" spans="1:22" s="841" customFormat="1" ht="15" x14ac:dyDescent="0.25">
      <c r="A11541" s="841" t="s">
        <v>440</v>
      </c>
      <c r="E11541" s="1691" t="s">
        <v>3184</v>
      </c>
      <c r="F11541" s="1691"/>
      <c r="G11541" s="397" t="s">
        <v>23</v>
      </c>
      <c r="H11541" s="391">
        <v>0.5</v>
      </c>
      <c r="M11541" s="1357"/>
      <c r="Q11541" s="1357"/>
      <c r="S11541" s="1420"/>
      <c r="T11541" s="1420"/>
      <c r="V11541" s="1357">
        <v>60</v>
      </c>
    </row>
    <row r="11542" spans="1:22" s="841" customFormat="1" ht="15" x14ac:dyDescent="0.25">
      <c r="A11542" s="841" t="s">
        <v>440</v>
      </c>
      <c r="E11542" s="1690" t="s">
        <v>3185</v>
      </c>
      <c r="F11542" s="1690"/>
      <c r="G11542" s="397"/>
      <c r="H11542" s="392"/>
      <c r="M11542" s="1357"/>
      <c r="Q11542" s="1357"/>
      <c r="S11542" s="1420"/>
      <c r="T11542" s="1420"/>
      <c r="V11542" s="1357">
        <v>91</v>
      </c>
    </row>
    <row r="11543" spans="1:22" s="841" customFormat="1" ht="15" x14ac:dyDescent="0.25">
      <c r="A11543" s="841" t="s">
        <v>440</v>
      </c>
      <c r="E11543" s="1690" t="s">
        <v>3186</v>
      </c>
      <c r="F11543" s="1690"/>
      <c r="G11543" s="397"/>
      <c r="H11543" s="392"/>
      <c r="M11543" s="1357"/>
      <c r="Q11543" s="1357"/>
      <c r="S11543" s="1420"/>
      <c r="T11543" s="1420"/>
      <c r="V11543" s="1357">
        <v>96</v>
      </c>
    </row>
    <row r="11544" spans="1:22" s="841" customFormat="1" ht="15" x14ac:dyDescent="0.25">
      <c r="A11544" s="841" t="s">
        <v>440</v>
      </c>
      <c r="E11544" s="1690" t="s">
        <v>3187</v>
      </c>
      <c r="F11544" s="1690"/>
      <c r="G11544" s="397"/>
      <c r="H11544" s="392"/>
      <c r="M11544" s="1357"/>
      <c r="Q11544" s="1357"/>
      <c r="S11544" s="1420"/>
      <c r="T11544" s="1420"/>
      <c r="V11544" s="1357">
        <v>78</v>
      </c>
    </row>
    <row r="11545" spans="1:22" s="841" customFormat="1" ht="15" x14ac:dyDescent="0.25">
      <c r="A11545" s="841" t="s">
        <v>440</v>
      </c>
      <c r="E11545" s="1691" t="s">
        <v>3188</v>
      </c>
      <c r="F11545" s="1691"/>
      <c r="G11545" s="397" t="s">
        <v>23</v>
      </c>
      <c r="H11545" s="392" t="s">
        <v>3189</v>
      </c>
      <c r="M11545" s="1357"/>
      <c r="Q11545" s="1357"/>
      <c r="S11545" s="1420"/>
      <c r="T11545" s="1420"/>
      <c r="V11545" s="1357">
        <v>18</v>
      </c>
    </row>
    <row r="11546" spans="1:22" s="841" customFormat="1" ht="15" x14ac:dyDescent="0.25">
      <c r="A11546" s="841" t="s">
        <v>440</v>
      </c>
      <c r="E11546" s="1691" t="s">
        <v>3190</v>
      </c>
      <c r="F11546" s="1691"/>
      <c r="G11546" s="397" t="s">
        <v>23</v>
      </c>
      <c r="H11546" s="391">
        <v>2</v>
      </c>
      <c r="M11546" s="1357"/>
      <c r="Q11546" s="1357"/>
      <c r="S11546" s="1420"/>
      <c r="T11546" s="1420"/>
      <c r="V11546" s="1357">
        <v>69</v>
      </c>
    </row>
    <row r="11547" spans="1:22" s="841" customFormat="1" x14ac:dyDescent="0.25">
      <c r="A11547" s="841" t="s">
        <v>440</v>
      </c>
      <c r="E11547" s="1405" t="s">
        <v>147</v>
      </c>
      <c r="F11547" s="727"/>
      <c r="G11547" s="727"/>
      <c r="H11547" s="727"/>
      <c r="K11547" s="841" t="s">
        <v>4138</v>
      </c>
      <c r="M11547" s="1357"/>
      <c r="Q11547" s="1357"/>
      <c r="S11547" s="1420"/>
      <c r="T11547" s="1420"/>
      <c r="V11547" s="1357">
        <v>12</v>
      </c>
    </row>
    <row r="11548" spans="1:22" s="841" customFormat="1" ht="15" x14ac:dyDescent="0.25">
      <c r="A11548" s="841" t="s">
        <v>440</v>
      </c>
      <c r="E11548" s="1704" t="s">
        <v>3192</v>
      </c>
      <c r="F11548" s="1704"/>
      <c r="G11548" s="1704"/>
      <c r="H11548" s="1704"/>
      <c r="M11548" s="1357"/>
      <c r="Q11548" s="1357"/>
      <c r="S11548" s="1420"/>
      <c r="T11548" s="1420"/>
      <c r="V11548" s="1357">
        <v>203</v>
      </c>
    </row>
    <row r="11549" spans="1:22" s="841" customFormat="1" ht="15" x14ac:dyDescent="0.25">
      <c r="A11549" s="841" t="s">
        <v>440</v>
      </c>
      <c r="E11549" s="1690" t="s">
        <v>3295</v>
      </c>
      <c r="F11549" s="1690"/>
      <c r="G11549" s="1408"/>
      <c r="H11549" s="393">
        <v>1.0375000000000001</v>
      </c>
      <c r="M11549" s="1357"/>
      <c r="Q11549" s="1357"/>
      <c r="S11549" s="1420"/>
      <c r="T11549" s="1420"/>
      <c r="V11549" s="1357">
        <v>57</v>
      </c>
    </row>
    <row r="11550" spans="1:22" s="841" customFormat="1" ht="15" x14ac:dyDescent="0.25">
      <c r="A11550" s="841" t="s">
        <v>440</v>
      </c>
      <c r="E11550" s="1690" t="s">
        <v>3296</v>
      </c>
      <c r="F11550" s="1690"/>
      <c r="G11550" s="1408"/>
      <c r="H11550" s="393">
        <v>1.0154000000000001</v>
      </c>
      <c r="M11550" s="1357"/>
      <c r="Q11550" s="1357"/>
      <c r="S11550" s="1420"/>
      <c r="T11550" s="1420"/>
      <c r="V11550" s="1357">
        <v>57</v>
      </c>
    </row>
    <row r="11551" spans="1:22" s="841" customFormat="1" ht="15" x14ac:dyDescent="0.25">
      <c r="A11551" s="841" t="s">
        <v>440</v>
      </c>
      <c r="E11551" s="1690" t="s">
        <v>3297</v>
      </c>
      <c r="F11551" s="1690"/>
      <c r="G11551" s="1408"/>
      <c r="H11551" s="393">
        <v>1.0271999999999999</v>
      </c>
      <c r="M11551" s="1357"/>
      <c r="Q11551" s="1357"/>
      <c r="S11551" s="1420"/>
      <c r="T11551" s="1420"/>
      <c r="V11551" s="1357">
        <v>55</v>
      </c>
    </row>
    <row r="11552" spans="1:22" s="841" customFormat="1" ht="15" x14ac:dyDescent="0.25">
      <c r="A11552" s="841" t="s">
        <v>440</v>
      </c>
      <c r="E11552" s="1690" t="s">
        <v>3298</v>
      </c>
      <c r="F11552" s="1690"/>
      <c r="G11552" s="1408"/>
      <c r="H11552" s="393">
        <v>1.0054000000000001</v>
      </c>
      <c r="J11552" s="841" t="s">
        <v>4139</v>
      </c>
      <c r="M11552" s="1357"/>
      <c r="Q11552" s="1357"/>
      <c r="S11552" s="1420"/>
      <c r="T11552" s="1420"/>
      <c r="V11552" s="1357">
        <v>55</v>
      </c>
    </row>
    <row r="11553" spans="1:22" s="841" customFormat="1" ht="23.25" x14ac:dyDescent="0.25">
      <c r="A11553" s="841" t="s">
        <v>146</v>
      </c>
      <c r="C11553" s="841" t="s">
        <v>3050</v>
      </c>
      <c r="E11553" s="1911" t="s">
        <v>146</v>
      </c>
      <c r="F11553" s="1911"/>
      <c r="G11553" s="1911"/>
      <c r="H11553" s="1911"/>
      <c r="I11553" s="841" t="s">
        <v>628</v>
      </c>
      <c r="J11553" s="841" t="s">
        <v>4221</v>
      </c>
      <c r="K11553" s="841" t="s">
        <v>146</v>
      </c>
      <c r="M11553" s="1357">
        <v>7</v>
      </c>
      <c r="Q11553" s="1357"/>
      <c r="S11553" s="1420"/>
      <c r="T11553" s="1420"/>
      <c r="V11553" s="1357">
        <v>25</v>
      </c>
    </row>
    <row r="11554" spans="1:22" s="841" customFormat="1" x14ac:dyDescent="0.25">
      <c r="A11554" s="841" t="s">
        <v>146</v>
      </c>
      <c r="C11554" s="841" t="s">
        <v>3052</v>
      </c>
      <c r="E11554" s="1912" t="s">
        <v>3053</v>
      </c>
      <c r="F11554" s="1912"/>
      <c r="G11554" s="1912"/>
      <c r="H11554" s="1912"/>
      <c r="M11554" s="1357"/>
      <c r="Q11554" s="1357"/>
      <c r="S11554" s="1420"/>
      <c r="T11554" s="1420"/>
      <c r="V11554" s="1357">
        <v>27</v>
      </c>
    </row>
    <row r="11555" spans="1:22" s="841" customFormat="1" ht="15.75" x14ac:dyDescent="0.25">
      <c r="A11555" s="841" t="s">
        <v>146</v>
      </c>
      <c r="C11555" s="841" t="s">
        <v>3054</v>
      </c>
      <c r="E11555" s="1913" t="s">
        <v>5107</v>
      </c>
      <c r="F11555" s="1913"/>
      <c r="G11555" s="1913"/>
      <c r="H11555" s="1913"/>
      <c r="M11555" s="1357"/>
      <c r="Q11555" s="1357"/>
      <c r="S11555" s="1420">
        <v>43221</v>
      </c>
      <c r="T11555" s="1420"/>
      <c r="V11555" s="1357">
        <v>45</v>
      </c>
    </row>
    <row r="11556" spans="1:22" s="841" customFormat="1" ht="15" x14ac:dyDescent="0.25">
      <c r="A11556" s="841" t="s">
        <v>146</v>
      </c>
      <c r="C11556" s="841" t="s">
        <v>3055</v>
      </c>
      <c r="E11556" s="1914" t="s">
        <v>3056</v>
      </c>
      <c r="F11556" s="1914"/>
      <c r="G11556" s="1914"/>
      <c r="H11556" s="1914"/>
      <c r="M11556" s="1357"/>
      <c r="Q11556" s="1357"/>
      <c r="S11556" s="1420"/>
      <c r="T11556" s="1420"/>
      <c r="V11556" s="1357">
        <v>52</v>
      </c>
    </row>
    <row r="11557" spans="1:22" s="841" customFormat="1" ht="15" x14ac:dyDescent="0.25">
      <c r="A11557" s="841" t="s">
        <v>146</v>
      </c>
      <c r="E11557" s="1914" t="s">
        <v>3057</v>
      </c>
      <c r="F11557" s="1914"/>
      <c r="G11557" s="1914"/>
      <c r="H11557" s="1914"/>
      <c r="M11557" s="1357"/>
      <c r="Q11557" s="1357"/>
      <c r="S11557" s="1420"/>
      <c r="T11557" s="1420"/>
      <c r="V11557" s="1357">
        <v>53</v>
      </c>
    </row>
    <row r="11558" spans="1:22" s="841" customFormat="1" ht="15" x14ac:dyDescent="0.25">
      <c r="A11558" s="841" t="s">
        <v>146</v>
      </c>
      <c r="E11558" s="1925" t="s">
        <v>5815</v>
      </c>
      <c r="F11558" s="1925"/>
      <c r="G11558" s="1925"/>
      <c r="H11558" s="1925"/>
      <c r="K11558" s="841" t="s">
        <v>5815</v>
      </c>
      <c r="M11558" s="1357"/>
      <c r="Q11558" s="1357"/>
      <c r="S11558" s="1420"/>
      <c r="T11558" s="1420"/>
      <c r="V11558" s="1357">
        <v>12</v>
      </c>
    </row>
    <row r="11559" spans="1:22" s="841" customFormat="1" ht="15" x14ac:dyDescent="0.25">
      <c r="A11559" s="841" t="s">
        <v>146</v>
      </c>
      <c r="E11559" s="1909" t="s">
        <v>438</v>
      </c>
      <c r="F11559" s="1697"/>
      <c r="G11559" s="1697"/>
      <c r="H11559" s="1697"/>
      <c r="K11559" s="841" t="s">
        <v>3197</v>
      </c>
      <c r="M11559" s="1357"/>
      <c r="Q11559" s="1357"/>
      <c r="S11559" s="1420"/>
      <c r="T11559" s="1420"/>
      <c r="V11559" s="1357">
        <v>34</v>
      </c>
    </row>
    <row r="11560" spans="1:22" s="841" customFormat="1" ht="15" x14ac:dyDescent="0.25">
      <c r="A11560" s="841" t="s">
        <v>146</v>
      </c>
      <c r="E11560" s="1689" t="s">
        <v>4222</v>
      </c>
      <c r="F11560" s="1689"/>
      <c r="G11560" s="1689"/>
      <c r="H11560" s="1689"/>
      <c r="K11560" s="841" t="s">
        <v>3197</v>
      </c>
      <c r="M11560" s="1357"/>
      <c r="Q11560" s="1357"/>
      <c r="S11560" s="1420"/>
      <c r="T11560" s="1420"/>
      <c r="V11560" s="1357">
        <v>417</v>
      </c>
    </row>
    <row r="11561" spans="1:22" s="841" customFormat="1" ht="15" x14ac:dyDescent="0.25">
      <c r="A11561" s="841" t="s">
        <v>146</v>
      </c>
      <c r="E11561" s="1916" t="s">
        <v>3061</v>
      </c>
      <c r="F11561" s="1697"/>
      <c r="G11561" s="1697"/>
      <c r="H11561" s="1697"/>
      <c r="K11561" s="841" t="s">
        <v>3062</v>
      </c>
      <c r="M11561" s="1357"/>
      <c r="Q11561" s="1357"/>
      <c r="S11561" s="1420"/>
      <c r="T11561" s="1420"/>
      <c r="V11561" s="1357">
        <v>11</v>
      </c>
    </row>
    <row r="11562" spans="1:22" s="841" customFormat="1" ht="15" x14ac:dyDescent="0.25">
      <c r="A11562" s="841" t="s">
        <v>146</v>
      </c>
      <c r="E11562" s="1689" t="s">
        <v>3063</v>
      </c>
      <c r="F11562" s="1689"/>
      <c r="G11562" s="1689"/>
      <c r="H11562" s="1689"/>
      <c r="K11562" s="841" t="s">
        <v>3197</v>
      </c>
      <c r="M11562" s="1357"/>
      <c r="Q11562" s="1357"/>
      <c r="S11562" s="1420"/>
      <c r="T11562" s="1420"/>
      <c r="V11562" s="1357">
        <v>280</v>
      </c>
    </row>
    <row r="11563" spans="1:22" s="841" customFormat="1" ht="15" x14ac:dyDescent="0.25">
      <c r="A11563" s="841" t="s">
        <v>146</v>
      </c>
      <c r="E11563" s="1689" t="s">
        <v>3064</v>
      </c>
      <c r="F11563" s="1689"/>
      <c r="G11563" s="1689"/>
      <c r="H11563" s="1689"/>
      <c r="K11563" s="841" t="s">
        <v>3197</v>
      </c>
      <c r="M11563" s="1357"/>
      <c r="Q11563" s="1357"/>
      <c r="S11563" s="1420"/>
      <c r="T11563" s="1420"/>
      <c r="V11563" s="1357">
        <v>411</v>
      </c>
    </row>
    <row r="11564" spans="1:22" s="841" customFormat="1" ht="15" x14ac:dyDescent="0.25">
      <c r="A11564" s="841" t="s">
        <v>146</v>
      </c>
      <c r="E11564" s="1689" t="s">
        <v>3065</v>
      </c>
      <c r="F11564" s="1689"/>
      <c r="G11564" s="1689"/>
      <c r="H11564" s="1689"/>
      <c r="K11564" s="841" t="s">
        <v>3197</v>
      </c>
      <c r="M11564" s="1357"/>
      <c r="Q11564" s="1357"/>
      <c r="S11564" s="1420"/>
      <c r="T11564" s="1420"/>
      <c r="V11564" s="1357">
        <v>387</v>
      </c>
    </row>
    <row r="11565" spans="1:22" s="841" customFormat="1" ht="15" x14ac:dyDescent="0.25">
      <c r="A11565" s="841" t="s">
        <v>146</v>
      </c>
      <c r="E11565" s="1689" t="s">
        <v>3200</v>
      </c>
      <c r="F11565" s="1689"/>
      <c r="G11565" s="1689"/>
      <c r="H11565" s="1689"/>
      <c r="K11565" s="841" t="s">
        <v>3197</v>
      </c>
      <c r="M11565" s="1357"/>
      <c r="Q11565" s="1357"/>
      <c r="S11565" s="1420"/>
      <c r="T11565" s="1420"/>
      <c r="V11565" s="1357">
        <v>275</v>
      </c>
    </row>
    <row r="11566" spans="1:22" s="841" customFormat="1" ht="15" x14ac:dyDescent="0.25">
      <c r="A11566" s="841" t="s">
        <v>146</v>
      </c>
      <c r="E11566" s="1694" t="s">
        <v>3067</v>
      </c>
      <c r="F11566" s="1907"/>
      <c r="G11566" s="1907"/>
      <c r="H11566" s="1907"/>
      <c r="K11566" s="841" t="s">
        <v>3068</v>
      </c>
      <c r="M11566" s="1357"/>
      <c r="Q11566" s="1357"/>
      <c r="S11566" s="1420"/>
      <c r="T11566" s="1420"/>
      <c r="V11566" s="1357">
        <v>46</v>
      </c>
    </row>
    <row r="11567" spans="1:22" s="841" customFormat="1" ht="15" x14ac:dyDescent="0.25">
      <c r="A11567" s="841" t="s">
        <v>146</v>
      </c>
      <c r="E11567" s="1690" t="s">
        <v>11</v>
      </c>
      <c r="F11567" s="1690"/>
      <c r="G11567" s="1408" t="s">
        <v>23</v>
      </c>
      <c r="H11567" s="391">
        <v>23.72</v>
      </c>
      <c r="K11567" s="841" t="s">
        <v>3197</v>
      </c>
      <c r="L11567" s="841" t="s">
        <v>442</v>
      </c>
      <c r="M11567" s="1357"/>
      <c r="P11567" s="841" t="s">
        <v>3201</v>
      </c>
      <c r="Q11567" s="1357"/>
      <c r="S11567" s="1420"/>
      <c r="T11567" s="1420"/>
      <c r="V11567" s="1357">
        <v>14</v>
      </c>
    </row>
    <row r="11568" spans="1:22" s="841" customFormat="1" ht="15" x14ac:dyDescent="0.25">
      <c r="A11568" s="841" t="s">
        <v>146</v>
      </c>
      <c r="E11568" s="1690" t="s">
        <v>5109</v>
      </c>
      <c r="F11568" s="1690"/>
      <c r="G11568" s="1408" t="s">
        <v>23</v>
      </c>
      <c r="H11568" s="391">
        <v>0.56999999999999995</v>
      </c>
      <c r="K11568" s="841" t="s">
        <v>3197</v>
      </c>
      <c r="L11568" s="841" t="s">
        <v>443</v>
      </c>
      <c r="M11568" s="1357"/>
      <c r="P11568" s="841" t="s">
        <v>3202</v>
      </c>
      <c r="Q11568" s="1357"/>
      <c r="S11568" s="1420"/>
      <c r="T11568" s="1420">
        <v>44926</v>
      </c>
      <c r="V11568" s="1357">
        <v>64</v>
      </c>
    </row>
    <row r="11569" spans="1:22" s="841" customFormat="1" ht="15" x14ac:dyDescent="0.25">
      <c r="A11569" s="841" t="s">
        <v>146</v>
      </c>
      <c r="E11569" s="1690" t="s">
        <v>5383</v>
      </c>
      <c r="F11569" s="1908"/>
      <c r="G11569" s="1408" t="s">
        <v>23</v>
      </c>
      <c r="H11569" s="391">
        <v>0.17</v>
      </c>
      <c r="K11569" s="841" t="s">
        <v>3197</v>
      </c>
      <c r="L11569" s="841" t="s">
        <v>442</v>
      </c>
      <c r="M11569" s="1357"/>
      <c r="P11569" s="841" t="s">
        <v>3954</v>
      </c>
      <c r="Q11569" s="1357"/>
      <c r="S11569" s="1420"/>
      <c r="T11569" s="1420">
        <v>43585</v>
      </c>
      <c r="V11569" s="1357">
        <v>80</v>
      </c>
    </row>
    <row r="11570" spans="1:22" s="841" customFormat="1" ht="15" x14ac:dyDescent="0.25">
      <c r="A11570" s="841" t="s">
        <v>146</v>
      </c>
      <c r="E11570" s="1690" t="s">
        <v>84</v>
      </c>
      <c r="F11570" s="1690"/>
      <c r="G11570" s="1408" t="s">
        <v>24</v>
      </c>
      <c r="H11570" s="393">
        <v>3.5000000000000001E-3</v>
      </c>
      <c r="K11570" s="841" t="s">
        <v>3197</v>
      </c>
      <c r="L11570" s="841" t="s">
        <v>442</v>
      </c>
      <c r="M11570" s="1357"/>
      <c r="P11570" s="841" t="s">
        <v>3203</v>
      </c>
      <c r="Q11570" s="1357"/>
      <c r="S11570" s="1420"/>
      <c r="T11570" s="1420"/>
      <c r="V11570" s="1357">
        <v>28</v>
      </c>
    </row>
    <row r="11571" spans="1:22" s="841" customFormat="1" ht="15" x14ac:dyDescent="0.25">
      <c r="A11571" s="841" t="s">
        <v>146</v>
      </c>
      <c r="E11571" s="1690" t="s">
        <v>18</v>
      </c>
      <c r="F11571" s="1690"/>
      <c r="G11571" s="1408" t="s">
        <v>24</v>
      </c>
      <c r="H11571" s="393">
        <v>1.6999999999999999E-3</v>
      </c>
      <c r="K11571" s="841" t="s">
        <v>3197</v>
      </c>
      <c r="L11571" s="841" t="s">
        <v>443</v>
      </c>
      <c r="M11571" s="1357"/>
      <c r="P11571" s="841" t="s">
        <v>3204</v>
      </c>
      <c r="Q11571" s="1357"/>
      <c r="S11571" s="1420"/>
      <c r="T11571" s="1420"/>
      <c r="V11571" s="1357">
        <v>24</v>
      </c>
    </row>
    <row r="11572" spans="1:22" s="841" customFormat="1" ht="15" x14ac:dyDescent="0.25">
      <c r="A11572" s="841" t="s">
        <v>146</v>
      </c>
      <c r="E11572" s="1690" t="s">
        <v>5130</v>
      </c>
      <c r="F11572" s="1908"/>
      <c r="G11572" s="1408" t="s">
        <v>24</v>
      </c>
      <c r="H11572" s="393">
        <v>1E-3</v>
      </c>
      <c r="K11572" s="841" t="s">
        <v>3197</v>
      </c>
      <c r="L11572" s="841" t="s">
        <v>443</v>
      </c>
      <c r="M11572" s="1357"/>
      <c r="P11572" s="841" t="s">
        <v>3207</v>
      </c>
      <c r="Q11572" s="1357"/>
      <c r="S11572" s="1420"/>
      <c r="T11572" s="1420">
        <v>43585</v>
      </c>
      <c r="V11572" s="1357">
        <v>96</v>
      </c>
    </row>
    <row r="11573" spans="1:22" s="841" customFormat="1" ht="15" x14ac:dyDescent="0.25">
      <c r="A11573" s="841" t="s">
        <v>146</v>
      </c>
      <c r="E11573" s="1690" t="s">
        <v>4223</v>
      </c>
      <c r="F11573" s="1690"/>
      <c r="G11573" s="1408" t="s">
        <v>24</v>
      </c>
      <c r="H11573" s="393">
        <v>-1.4E-3</v>
      </c>
      <c r="K11573" s="841" t="s">
        <v>3197</v>
      </c>
      <c r="L11573" s="841" t="s">
        <v>442</v>
      </c>
      <c r="M11573" s="1357"/>
      <c r="P11573" s="841" t="s">
        <v>6443</v>
      </c>
      <c r="Q11573" s="1357"/>
      <c r="S11573" s="1420"/>
      <c r="T11573" s="1420">
        <v>43585</v>
      </c>
      <c r="V11573" s="1357">
        <v>82</v>
      </c>
    </row>
    <row r="11574" spans="1:22" s="841" customFormat="1" ht="15" x14ac:dyDescent="0.25">
      <c r="A11574" s="841" t="s">
        <v>146</v>
      </c>
      <c r="E11574" s="1690" t="s">
        <v>221</v>
      </c>
      <c r="F11574" s="1690"/>
      <c r="G11574" s="1408" t="s">
        <v>24</v>
      </c>
      <c r="H11574" s="393">
        <v>6.7000000000000002E-3</v>
      </c>
      <c r="K11574" s="841" t="s">
        <v>3197</v>
      </c>
      <c r="L11574" s="841" t="s">
        <v>444</v>
      </c>
      <c r="M11574" s="1357"/>
      <c r="P11574" s="841" t="s">
        <v>3208</v>
      </c>
      <c r="Q11574" s="1357"/>
      <c r="S11574" s="1420"/>
      <c r="T11574" s="1420"/>
      <c r="V11574" s="1357">
        <v>47</v>
      </c>
    </row>
    <row r="11575" spans="1:22" s="841" customFormat="1" ht="15" x14ac:dyDescent="0.25">
      <c r="A11575" s="841" t="s">
        <v>146</v>
      </c>
      <c r="E11575" s="1690" t="s">
        <v>217</v>
      </c>
      <c r="F11575" s="1690"/>
      <c r="G11575" s="1408" t="s">
        <v>24</v>
      </c>
      <c r="H11575" s="393">
        <v>3.7000000000000002E-3</v>
      </c>
      <c r="K11575" s="841" t="s">
        <v>3197</v>
      </c>
      <c r="L11575" s="841" t="s">
        <v>444</v>
      </c>
      <c r="M11575" s="1357"/>
      <c r="P11575" s="841" t="s">
        <v>3209</v>
      </c>
      <c r="Q11575" s="1357"/>
      <c r="S11575" s="1420"/>
      <c r="T11575" s="1420"/>
      <c r="V11575" s="1357">
        <v>74</v>
      </c>
    </row>
    <row r="11576" spans="1:22" s="841" customFormat="1" ht="15" x14ac:dyDescent="0.25">
      <c r="A11576" s="841" t="s">
        <v>146</v>
      </c>
      <c r="E11576" s="1694" t="s">
        <v>3079</v>
      </c>
      <c r="F11576" s="1690"/>
      <c r="G11576" s="1408"/>
      <c r="H11576" s="1408"/>
      <c r="K11576" s="841" t="s">
        <v>3080</v>
      </c>
      <c r="M11576" s="1357"/>
      <c r="Q11576" s="1357"/>
      <c r="S11576" s="1420"/>
      <c r="T11576" s="1420"/>
      <c r="V11576" s="1357">
        <v>48</v>
      </c>
    </row>
    <row r="11577" spans="1:22" s="841" customFormat="1" ht="15" x14ac:dyDescent="0.25">
      <c r="A11577" s="841" t="s">
        <v>146</v>
      </c>
      <c r="E11577" s="1690" t="s">
        <v>2449</v>
      </c>
      <c r="F11577" s="1690"/>
      <c r="G11577" s="1408" t="s">
        <v>24</v>
      </c>
      <c r="H11577" s="393">
        <v>3.2000000000000002E-3</v>
      </c>
      <c r="K11577" s="841" t="s">
        <v>3197</v>
      </c>
      <c r="L11577" s="841" t="s">
        <v>3046</v>
      </c>
      <c r="M11577" s="1357"/>
      <c r="P11577" s="841" t="s">
        <v>3210</v>
      </c>
      <c r="Q11577" s="1357"/>
      <c r="S11577" s="1420"/>
      <c r="T11577" s="1420"/>
      <c r="V11577" s="1357">
        <v>55</v>
      </c>
    </row>
    <row r="11578" spans="1:22" s="841" customFormat="1" ht="15" x14ac:dyDescent="0.25">
      <c r="A11578" s="841" t="s">
        <v>146</v>
      </c>
      <c r="E11578" s="1690" t="s">
        <v>2450</v>
      </c>
      <c r="F11578" s="1690"/>
      <c r="G11578" s="1408" t="s">
        <v>24</v>
      </c>
      <c r="H11578" s="393">
        <v>4.0000000000000002E-4</v>
      </c>
      <c r="K11578" s="841" t="s">
        <v>3197</v>
      </c>
      <c r="L11578" s="841" t="s">
        <v>3046</v>
      </c>
      <c r="M11578" s="1357"/>
      <c r="P11578" s="841" t="s">
        <v>3210</v>
      </c>
      <c r="Q11578" s="1357"/>
      <c r="S11578" s="1420"/>
      <c r="T11578" s="1420"/>
      <c r="V11578" s="1357">
        <v>65</v>
      </c>
    </row>
    <row r="11579" spans="1:22" s="841" customFormat="1" ht="15" x14ac:dyDescent="0.25">
      <c r="A11579" s="841" t="s">
        <v>146</v>
      </c>
      <c r="E11579" s="1690" t="s">
        <v>439</v>
      </c>
      <c r="F11579" s="1690"/>
      <c r="G11579" s="1408" t="s">
        <v>24</v>
      </c>
      <c r="H11579" s="393">
        <v>2.9999999999999997E-4</v>
      </c>
      <c r="K11579" s="841" t="s">
        <v>3197</v>
      </c>
      <c r="L11579" s="841" t="s">
        <v>3046</v>
      </c>
      <c r="M11579" s="1357"/>
      <c r="P11579" s="841" t="s">
        <v>3212</v>
      </c>
      <c r="Q11579" s="1357"/>
      <c r="S11579" s="1420"/>
      <c r="T11579" s="1420"/>
      <c r="V11579" s="1357">
        <v>57</v>
      </c>
    </row>
    <row r="11580" spans="1:22" s="841" customFormat="1" ht="15" x14ac:dyDescent="0.25">
      <c r="A11580" s="841" t="s">
        <v>146</v>
      </c>
      <c r="E11580" s="1690" t="s">
        <v>32</v>
      </c>
      <c r="F11580" s="1690"/>
      <c r="G11580" s="1408" t="s">
        <v>23</v>
      </c>
      <c r="H11580" s="391">
        <v>0.25</v>
      </c>
      <c r="K11580" s="841" t="s">
        <v>3197</v>
      </c>
      <c r="L11580" s="841" t="s">
        <v>3046</v>
      </c>
      <c r="M11580" s="1357"/>
      <c r="P11580" s="841" t="s">
        <v>3213</v>
      </c>
      <c r="Q11580" s="1357"/>
      <c r="S11580" s="1420"/>
      <c r="T11580" s="1420"/>
      <c r="V11580" s="1357">
        <v>63</v>
      </c>
    </row>
    <row r="11581" spans="1:22" s="841" customFormat="1" x14ac:dyDescent="0.25">
      <c r="A11581" s="841" t="s">
        <v>146</v>
      </c>
      <c r="E11581" s="1909" t="s">
        <v>3214</v>
      </c>
      <c r="F11581" s="1915"/>
      <c r="G11581" s="1915"/>
      <c r="H11581" s="1915"/>
      <c r="K11581" s="841" t="s">
        <v>5110</v>
      </c>
      <c r="M11581" s="1357"/>
      <c r="Q11581" s="1357"/>
      <c r="S11581" s="1420"/>
      <c r="T11581" s="1420"/>
      <c r="V11581" s="1357">
        <v>54</v>
      </c>
    </row>
    <row r="11582" spans="1:22" s="841" customFormat="1" ht="15" x14ac:dyDescent="0.25">
      <c r="A11582" s="841" t="s">
        <v>146</v>
      </c>
      <c r="E11582" s="1689" t="s">
        <v>4224</v>
      </c>
      <c r="F11582" s="1689"/>
      <c r="G11582" s="1689"/>
      <c r="H11582" s="1689"/>
      <c r="K11582" s="841" t="s">
        <v>5110</v>
      </c>
      <c r="M11582" s="1357"/>
      <c r="Q11582" s="1357"/>
      <c r="S11582" s="1420"/>
      <c r="T11582" s="1420"/>
      <c r="V11582" s="1357">
        <v>318</v>
      </c>
    </row>
    <row r="11583" spans="1:22" s="841" customFormat="1" ht="15" x14ac:dyDescent="0.25">
      <c r="A11583" s="841" t="s">
        <v>146</v>
      </c>
      <c r="E11583" s="1916" t="s">
        <v>3061</v>
      </c>
      <c r="F11583" s="1697"/>
      <c r="G11583" s="1697"/>
      <c r="H11583" s="1697"/>
      <c r="K11583" s="841" t="s">
        <v>3086</v>
      </c>
      <c r="M11583" s="1357"/>
      <c r="Q11583" s="1357"/>
      <c r="S11583" s="1420"/>
      <c r="T11583" s="1420"/>
      <c r="V11583" s="1357">
        <v>11</v>
      </c>
    </row>
    <row r="11584" spans="1:22" s="841" customFormat="1" ht="15" x14ac:dyDescent="0.25">
      <c r="A11584" s="841" t="s">
        <v>146</v>
      </c>
      <c r="E11584" s="1689" t="s">
        <v>3063</v>
      </c>
      <c r="F11584" s="1689"/>
      <c r="G11584" s="1689"/>
      <c r="H11584" s="1689"/>
      <c r="K11584" s="841" t="s">
        <v>5110</v>
      </c>
      <c r="M11584" s="1357"/>
      <c r="Q11584" s="1357"/>
      <c r="S11584" s="1420"/>
      <c r="T11584" s="1420"/>
      <c r="V11584" s="1357">
        <v>280</v>
      </c>
    </row>
    <row r="11585" spans="1:22" s="841" customFormat="1" ht="15" x14ac:dyDescent="0.25">
      <c r="A11585" s="841" t="s">
        <v>146</v>
      </c>
      <c r="E11585" s="1689" t="s">
        <v>3064</v>
      </c>
      <c r="F11585" s="1689"/>
      <c r="G11585" s="1689"/>
      <c r="H11585" s="1689"/>
      <c r="K11585" s="841" t="s">
        <v>5110</v>
      </c>
      <c r="M11585" s="1357"/>
      <c r="Q11585" s="1357"/>
      <c r="S11585" s="1420"/>
      <c r="T11585" s="1420"/>
      <c r="V11585" s="1357">
        <v>411</v>
      </c>
    </row>
    <row r="11586" spans="1:22" s="841" customFormat="1" ht="15" x14ac:dyDescent="0.25">
      <c r="A11586" s="841" t="s">
        <v>146</v>
      </c>
      <c r="E11586" s="1689" t="s">
        <v>3065</v>
      </c>
      <c r="F11586" s="1689"/>
      <c r="G11586" s="1689"/>
      <c r="H11586" s="1689"/>
      <c r="K11586" s="841" t="s">
        <v>5110</v>
      </c>
      <c r="M11586" s="1357"/>
      <c r="Q11586" s="1357"/>
      <c r="S11586" s="1420"/>
      <c r="T11586" s="1420"/>
      <c r="V11586" s="1357">
        <v>387</v>
      </c>
    </row>
    <row r="11587" spans="1:22" s="841" customFormat="1" ht="15" x14ac:dyDescent="0.25">
      <c r="A11587" s="841" t="s">
        <v>146</v>
      </c>
      <c r="E11587" s="1689" t="s">
        <v>3200</v>
      </c>
      <c r="F11587" s="1689"/>
      <c r="G11587" s="1689"/>
      <c r="H11587" s="1689"/>
      <c r="K11587" s="841" t="s">
        <v>5110</v>
      </c>
      <c r="M11587" s="1357"/>
      <c r="Q11587" s="1357"/>
      <c r="S11587" s="1420"/>
      <c r="T11587" s="1420"/>
      <c r="V11587" s="1357">
        <v>275</v>
      </c>
    </row>
    <row r="11588" spans="1:22" s="841" customFormat="1" ht="15" x14ac:dyDescent="0.25">
      <c r="A11588" s="841" t="s">
        <v>146</v>
      </c>
      <c r="E11588" s="1694" t="s">
        <v>3067</v>
      </c>
      <c r="F11588" s="1907"/>
      <c r="G11588" s="1907"/>
      <c r="H11588" s="1907"/>
      <c r="K11588" s="841" t="s">
        <v>3087</v>
      </c>
      <c r="M11588" s="1357"/>
      <c r="Q11588" s="1357"/>
      <c r="S11588" s="1420"/>
      <c r="T11588" s="1420"/>
      <c r="V11588" s="1357">
        <v>46</v>
      </c>
    </row>
    <row r="11589" spans="1:22" s="841" customFormat="1" ht="15" x14ac:dyDescent="0.25">
      <c r="A11589" s="841" t="s">
        <v>146</v>
      </c>
      <c r="E11589" s="1690" t="s">
        <v>11</v>
      </c>
      <c r="F11589" s="1690"/>
      <c r="G11589" s="1408" t="s">
        <v>23</v>
      </c>
      <c r="H11589" s="391">
        <v>33</v>
      </c>
      <c r="K11589" s="841" t="s">
        <v>5110</v>
      </c>
      <c r="L11589" s="841" t="s">
        <v>442</v>
      </c>
      <c r="M11589" s="1357"/>
      <c r="P11589" s="841" t="s">
        <v>5111</v>
      </c>
      <c r="Q11589" s="1357"/>
      <c r="S11589" s="1420"/>
      <c r="T11589" s="1420"/>
      <c r="V11589" s="1357">
        <v>14</v>
      </c>
    </row>
    <row r="11590" spans="1:22" s="841" customFormat="1" ht="15" x14ac:dyDescent="0.25">
      <c r="A11590" s="841" t="s">
        <v>146</v>
      </c>
      <c r="E11590" s="1690" t="s">
        <v>5109</v>
      </c>
      <c r="F11590" s="1690"/>
      <c r="G11590" s="1408" t="s">
        <v>23</v>
      </c>
      <c r="H11590" s="391">
        <v>0.56999999999999995</v>
      </c>
      <c r="K11590" s="841" t="s">
        <v>5110</v>
      </c>
      <c r="L11590" s="841" t="s">
        <v>443</v>
      </c>
      <c r="M11590" s="1357"/>
      <c r="P11590" s="841" t="s">
        <v>5112</v>
      </c>
      <c r="Q11590" s="1357"/>
      <c r="S11590" s="1420"/>
      <c r="T11590" s="1420">
        <v>44926</v>
      </c>
      <c r="V11590" s="1357">
        <v>64</v>
      </c>
    </row>
    <row r="11591" spans="1:22" s="841" customFormat="1" ht="15" x14ac:dyDescent="0.25">
      <c r="A11591" s="841" t="s">
        <v>146</v>
      </c>
      <c r="E11591" s="1690" t="s">
        <v>84</v>
      </c>
      <c r="F11591" s="1690"/>
      <c r="G11591" s="1408" t="s">
        <v>24</v>
      </c>
      <c r="H11591" s="393">
        <v>1.01E-2</v>
      </c>
      <c r="K11591" s="841" t="s">
        <v>5110</v>
      </c>
      <c r="L11591" s="841" t="s">
        <v>442</v>
      </c>
      <c r="M11591" s="1357"/>
      <c r="P11591" s="841" t="s">
        <v>5113</v>
      </c>
      <c r="Q11591" s="1357"/>
      <c r="S11591" s="1420"/>
      <c r="T11591" s="1420"/>
      <c r="V11591" s="1357">
        <v>28</v>
      </c>
    </row>
    <row r="11592" spans="1:22" s="841" customFormat="1" ht="15" x14ac:dyDescent="0.25">
      <c r="A11592" s="841" t="s">
        <v>146</v>
      </c>
      <c r="E11592" s="1690" t="s">
        <v>18</v>
      </c>
      <c r="F11592" s="1690"/>
      <c r="G11592" s="1408" t="s">
        <v>24</v>
      </c>
      <c r="H11592" s="393">
        <v>1.5E-3</v>
      </c>
      <c r="K11592" s="841" t="s">
        <v>5110</v>
      </c>
      <c r="L11592" s="841" t="s">
        <v>443</v>
      </c>
      <c r="M11592" s="1357"/>
      <c r="P11592" s="841" t="s">
        <v>5114</v>
      </c>
      <c r="Q11592" s="1357"/>
      <c r="S11592" s="1420"/>
      <c r="T11592" s="1420"/>
      <c r="V11592" s="1357">
        <v>24</v>
      </c>
    </row>
    <row r="11593" spans="1:22" s="841" customFormat="1" ht="15" x14ac:dyDescent="0.25">
      <c r="A11593" s="841" t="s">
        <v>146</v>
      </c>
      <c r="E11593" s="1690" t="s">
        <v>5130</v>
      </c>
      <c r="F11593" s="1908"/>
      <c r="G11593" s="1408" t="s">
        <v>24</v>
      </c>
      <c r="H11593" s="393">
        <v>1.1000000000000001E-3</v>
      </c>
      <c r="K11593" s="841" t="s">
        <v>5110</v>
      </c>
      <c r="L11593" s="841" t="s">
        <v>443</v>
      </c>
      <c r="M11593" s="1357"/>
      <c r="P11593" s="841" t="s">
        <v>5124</v>
      </c>
      <c r="Q11593" s="1357"/>
      <c r="S11593" s="1420"/>
      <c r="T11593" s="1420">
        <v>43585</v>
      </c>
      <c r="V11593" s="1357">
        <v>96</v>
      </c>
    </row>
    <row r="11594" spans="1:22" s="841" customFormat="1" ht="15" x14ac:dyDescent="0.25">
      <c r="A11594" s="841" t="s">
        <v>146</v>
      </c>
      <c r="E11594" s="1690" t="s">
        <v>4223</v>
      </c>
      <c r="F11594" s="1690"/>
      <c r="G11594" s="1408" t="s">
        <v>24</v>
      </c>
      <c r="H11594" s="393">
        <v>-8.0000000000000004E-4</v>
      </c>
      <c r="K11594" s="841" t="s">
        <v>5110</v>
      </c>
      <c r="L11594" s="841" t="s">
        <v>442</v>
      </c>
      <c r="M11594" s="1357"/>
      <c r="P11594" s="841" t="s">
        <v>6444</v>
      </c>
      <c r="Q11594" s="1357"/>
      <c r="S11594" s="1420"/>
      <c r="T11594" s="1420">
        <v>43585</v>
      </c>
      <c r="V11594" s="1357">
        <v>82</v>
      </c>
    </row>
    <row r="11595" spans="1:22" s="841" customFormat="1" ht="15" x14ac:dyDescent="0.25">
      <c r="A11595" s="841" t="s">
        <v>146</v>
      </c>
      <c r="E11595" s="1690" t="s">
        <v>5383</v>
      </c>
      <c r="F11595" s="1908"/>
      <c r="G11595" s="1408" t="s">
        <v>24</v>
      </c>
      <c r="H11595" s="393">
        <v>2.0000000000000001E-4</v>
      </c>
      <c r="K11595" s="841" t="s">
        <v>5110</v>
      </c>
      <c r="L11595" s="841" t="s">
        <v>442</v>
      </c>
      <c r="M11595" s="1357"/>
      <c r="P11595" s="841" t="s">
        <v>5391</v>
      </c>
      <c r="Q11595" s="1357"/>
      <c r="S11595" s="1420"/>
      <c r="T11595" s="1420">
        <v>43585</v>
      </c>
      <c r="V11595" s="1357">
        <v>80</v>
      </c>
    </row>
    <row r="11596" spans="1:22" s="841" customFormat="1" ht="15" x14ac:dyDescent="0.25">
      <c r="A11596" s="841" t="s">
        <v>146</v>
      </c>
      <c r="E11596" s="1690" t="s">
        <v>221</v>
      </c>
      <c r="F11596" s="1690"/>
      <c r="G11596" s="1408" t="s">
        <v>24</v>
      </c>
      <c r="H11596" s="393">
        <v>6.1999999999999998E-3</v>
      </c>
      <c r="K11596" s="841" t="s">
        <v>5110</v>
      </c>
      <c r="L11596" s="841" t="s">
        <v>444</v>
      </c>
      <c r="M11596" s="1357"/>
      <c r="P11596" s="841" t="s">
        <v>5115</v>
      </c>
      <c r="Q11596" s="1357"/>
      <c r="S11596" s="1420"/>
      <c r="T11596" s="1420"/>
      <c r="V11596" s="1357">
        <v>47</v>
      </c>
    </row>
    <row r="11597" spans="1:22" s="841" customFormat="1" ht="15" x14ac:dyDescent="0.25">
      <c r="A11597" s="841" t="s">
        <v>146</v>
      </c>
      <c r="E11597" s="1690" t="s">
        <v>217</v>
      </c>
      <c r="F11597" s="1690"/>
      <c r="G11597" s="1408" t="s">
        <v>24</v>
      </c>
      <c r="H11597" s="393">
        <v>3.3999999999999998E-3</v>
      </c>
      <c r="K11597" s="841" t="s">
        <v>5110</v>
      </c>
      <c r="L11597" s="841" t="s">
        <v>444</v>
      </c>
      <c r="M11597" s="1357"/>
      <c r="P11597" s="841" t="s">
        <v>5116</v>
      </c>
      <c r="Q11597" s="1357"/>
      <c r="S11597" s="1420"/>
      <c r="T11597" s="1420"/>
      <c r="V11597" s="1357">
        <v>74</v>
      </c>
    </row>
    <row r="11598" spans="1:22" s="841" customFormat="1" ht="15" x14ac:dyDescent="0.25">
      <c r="A11598" s="841" t="s">
        <v>146</v>
      </c>
      <c r="E11598" s="1694" t="s">
        <v>3079</v>
      </c>
      <c r="F11598" s="1690"/>
      <c r="G11598" s="1408"/>
      <c r="H11598" s="1408"/>
      <c r="K11598" s="841" t="s">
        <v>3093</v>
      </c>
      <c r="M11598" s="1357"/>
      <c r="Q11598" s="1357"/>
      <c r="S11598" s="1420"/>
      <c r="T11598" s="1420"/>
      <c r="V11598" s="1357">
        <v>48</v>
      </c>
    </row>
    <row r="11599" spans="1:22" s="841" customFormat="1" ht="15" x14ac:dyDescent="0.25">
      <c r="A11599" s="841" t="s">
        <v>146</v>
      </c>
      <c r="E11599" s="1690" t="s">
        <v>2449</v>
      </c>
      <c r="F11599" s="1690"/>
      <c r="G11599" s="1408" t="s">
        <v>24</v>
      </c>
      <c r="H11599" s="393">
        <v>3.2000000000000002E-3</v>
      </c>
      <c r="K11599" s="841" t="s">
        <v>5110</v>
      </c>
      <c r="L11599" s="841" t="s">
        <v>3046</v>
      </c>
      <c r="M11599" s="1357"/>
      <c r="P11599" s="841" t="s">
        <v>5117</v>
      </c>
      <c r="Q11599" s="1357"/>
      <c r="S11599" s="1420"/>
      <c r="T11599" s="1420"/>
      <c r="V11599" s="1357">
        <v>55</v>
      </c>
    </row>
    <row r="11600" spans="1:22" s="841" customFormat="1" ht="15" x14ac:dyDescent="0.25">
      <c r="A11600" s="841" t="s">
        <v>146</v>
      </c>
      <c r="E11600" s="1690" t="s">
        <v>2450</v>
      </c>
      <c r="F11600" s="1690"/>
      <c r="G11600" s="1408" t="s">
        <v>24</v>
      </c>
      <c r="H11600" s="393">
        <v>4.0000000000000002E-4</v>
      </c>
      <c r="K11600" s="841" t="s">
        <v>5110</v>
      </c>
      <c r="L11600" s="841" t="s">
        <v>3046</v>
      </c>
      <c r="M11600" s="1357"/>
      <c r="P11600" s="841" t="s">
        <v>5117</v>
      </c>
      <c r="Q11600" s="1357"/>
      <c r="S11600" s="1420"/>
      <c r="T11600" s="1420"/>
      <c r="V11600" s="1357">
        <v>65</v>
      </c>
    </row>
    <row r="11601" spans="1:22" s="841" customFormat="1" ht="15" x14ac:dyDescent="0.25">
      <c r="A11601" s="841" t="s">
        <v>146</v>
      </c>
      <c r="E11601" s="1690" t="s">
        <v>439</v>
      </c>
      <c r="F11601" s="1690"/>
      <c r="G11601" s="1408" t="s">
        <v>24</v>
      </c>
      <c r="H11601" s="393">
        <v>2.9999999999999997E-4</v>
      </c>
      <c r="K11601" s="841" t="s">
        <v>5110</v>
      </c>
      <c r="L11601" s="841" t="s">
        <v>3046</v>
      </c>
      <c r="M11601" s="1357"/>
      <c r="P11601" s="841" t="s">
        <v>5118</v>
      </c>
      <c r="Q11601" s="1357"/>
      <c r="S11601" s="1420"/>
      <c r="T11601" s="1420"/>
      <c r="V11601" s="1357">
        <v>57</v>
      </c>
    </row>
    <row r="11602" spans="1:22" s="841" customFormat="1" ht="15" x14ac:dyDescent="0.25">
      <c r="A11602" s="841" t="s">
        <v>146</v>
      </c>
      <c r="E11602" s="1690" t="s">
        <v>32</v>
      </c>
      <c r="F11602" s="1690"/>
      <c r="G11602" s="1408" t="s">
        <v>23</v>
      </c>
      <c r="H11602" s="391">
        <v>0.25</v>
      </c>
      <c r="K11602" s="841" t="s">
        <v>5110</v>
      </c>
      <c r="L11602" s="841" t="s">
        <v>3046</v>
      </c>
      <c r="M11602" s="1357"/>
      <c r="P11602" s="841" t="s">
        <v>5119</v>
      </c>
      <c r="Q11602" s="1357"/>
      <c r="S11602" s="1420"/>
      <c r="T11602" s="1420"/>
      <c r="V11602" s="1357">
        <v>63</v>
      </c>
    </row>
    <row r="11603" spans="1:22" s="841" customFormat="1" x14ac:dyDescent="0.25">
      <c r="A11603" s="841" t="s">
        <v>146</v>
      </c>
      <c r="E11603" s="1909" t="s">
        <v>616</v>
      </c>
      <c r="F11603" s="1915"/>
      <c r="G11603" s="1915"/>
      <c r="H11603" s="1915"/>
      <c r="K11603" s="841" t="s">
        <v>6095</v>
      </c>
      <c r="M11603" s="1357"/>
      <c r="Q11603" s="1357"/>
      <c r="S11603" s="1420"/>
      <c r="T11603" s="1420"/>
      <c r="V11603" s="1357">
        <v>53</v>
      </c>
    </row>
    <row r="11604" spans="1:22" s="841" customFormat="1" ht="15" x14ac:dyDescent="0.25">
      <c r="A11604" s="841" t="s">
        <v>146</v>
      </c>
      <c r="E11604" s="1689" t="s">
        <v>4225</v>
      </c>
      <c r="F11604" s="1689"/>
      <c r="G11604" s="1689"/>
      <c r="H11604" s="1689"/>
      <c r="K11604" s="841" t="s">
        <v>6095</v>
      </c>
      <c r="M11604" s="1357"/>
      <c r="Q11604" s="1357"/>
      <c r="S11604" s="1420"/>
      <c r="T11604" s="1420"/>
      <c r="V11604" s="1357">
        <v>355</v>
      </c>
    </row>
    <row r="11605" spans="1:22" s="841" customFormat="1" ht="15" x14ac:dyDescent="0.25">
      <c r="A11605" s="841" t="s">
        <v>146</v>
      </c>
      <c r="E11605" s="1916" t="s">
        <v>3061</v>
      </c>
      <c r="F11605" s="1697"/>
      <c r="G11605" s="1697"/>
      <c r="H11605" s="1697"/>
      <c r="K11605" s="841" t="s">
        <v>3098</v>
      </c>
      <c r="M11605" s="1357"/>
      <c r="Q11605" s="1357"/>
      <c r="S11605" s="1420"/>
      <c r="T11605" s="1420"/>
      <c r="V11605" s="1357">
        <v>11</v>
      </c>
    </row>
    <row r="11606" spans="1:22" s="841" customFormat="1" ht="15" x14ac:dyDescent="0.25">
      <c r="A11606" s="841" t="s">
        <v>146</v>
      </c>
      <c r="E11606" s="1689" t="s">
        <v>3063</v>
      </c>
      <c r="F11606" s="1689"/>
      <c r="G11606" s="1689"/>
      <c r="H11606" s="1689"/>
      <c r="K11606" s="841" t="s">
        <v>6095</v>
      </c>
      <c r="M11606" s="1357"/>
      <c r="Q11606" s="1357"/>
      <c r="S11606" s="1420"/>
      <c r="T11606" s="1420"/>
      <c r="V11606" s="1357">
        <v>280</v>
      </c>
    </row>
    <row r="11607" spans="1:22" s="841" customFormat="1" ht="15" x14ac:dyDescent="0.25">
      <c r="A11607" s="841" t="s">
        <v>146</v>
      </c>
      <c r="E11607" s="1689" t="s">
        <v>3064</v>
      </c>
      <c r="F11607" s="1689"/>
      <c r="G11607" s="1689"/>
      <c r="H11607" s="1689"/>
      <c r="K11607" s="841" t="s">
        <v>6095</v>
      </c>
      <c r="M11607" s="1357"/>
      <c r="Q11607" s="1357"/>
      <c r="S11607" s="1420"/>
      <c r="T11607" s="1420"/>
      <c r="V11607" s="1357">
        <v>411</v>
      </c>
    </row>
    <row r="11608" spans="1:22" s="841" customFormat="1" ht="15" x14ac:dyDescent="0.25">
      <c r="A11608" s="841" t="s">
        <v>146</v>
      </c>
      <c r="E11608" s="1689" t="s">
        <v>3065</v>
      </c>
      <c r="F11608" s="1689"/>
      <c r="G11608" s="1689"/>
      <c r="H11608" s="1689"/>
      <c r="K11608" s="841" t="s">
        <v>6095</v>
      </c>
      <c r="M11608" s="1357"/>
      <c r="Q11608" s="1357"/>
      <c r="S11608" s="1420"/>
      <c r="T11608" s="1420"/>
      <c r="V11608" s="1357">
        <v>387</v>
      </c>
    </row>
    <row r="11609" spans="1:22" s="841" customFormat="1" ht="15" x14ac:dyDescent="0.25">
      <c r="A11609" s="841" t="s">
        <v>146</v>
      </c>
      <c r="E11609" s="1689" t="s">
        <v>3200</v>
      </c>
      <c r="F11609" s="1689"/>
      <c r="G11609" s="1689"/>
      <c r="H11609" s="1689"/>
      <c r="K11609" s="841" t="s">
        <v>6095</v>
      </c>
      <c r="M11609" s="1357"/>
      <c r="Q11609" s="1357"/>
      <c r="S11609" s="1420"/>
      <c r="T11609" s="1420"/>
      <c r="V11609" s="1357">
        <v>275</v>
      </c>
    </row>
    <row r="11610" spans="1:22" s="841" customFormat="1" ht="15" x14ac:dyDescent="0.25">
      <c r="A11610" s="841" t="s">
        <v>146</v>
      </c>
      <c r="E11610" s="1694" t="s">
        <v>3067</v>
      </c>
      <c r="F11610" s="1907"/>
      <c r="G11610" s="1907"/>
      <c r="H11610" s="1907"/>
      <c r="K11610" s="841" t="s">
        <v>3099</v>
      </c>
      <c r="M11610" s="1357"/>
      <c r="Q11610" s="1357"/>
      <c r="S11610" s="1420"/>
      <c r="T11610" s="1420"/>
      <c r="V11610" s="1357">
        <v>46</v>
      </c>
    </row>
    <row r="11611" spans="1:22" s="841" customFormat="1" ht="15" x14ac:dyDescent="0.25">
      <c r="A11611" s="841" t="s">
        <v>146</v>
      </c>
      <c r="E11611" s="1690" t="s">
        <v>11</v>
      </c>
      <c r="F11611" s="1690"/>
      <c r="G11611" s="1408" t="s">
        <v>23</v>
      </c>
      <c r="H11611" s="391">
        <v>169.15</v>
      </c>
      <c r="K11611" s="841" t="s">
        <v>6095</v>
      </c>
      <c r="L11611" s="841" t="s">
        <v>442</v>
      </c>
      <c r="M11611" s="1357"/>
      <c r="P11611" s="841" t="s">
        <v>6096</v>
      </c>
      <c r="Q11611" s="1357"/>
      <c r="S11611" s="1420"/>
      <c r="T11611" s="1420"/>
      <c r="V11611" s="1357">
        <v>14</v>
      </c>
    </row>
    <row r="11612" spans="1:22" s="841" customFormat="1" ht="15" x14ac:dyDescent="0.25">
      <c r="A11612" s="841" t="s">
        <v>146</v>
      </c>
      <c r="E11612" s="1690" t="s">
        <v>84</v>
      </c>
      <c r="F11612" s="1690"/>
      <c r="G11612" s="1408" t="s">
        <v>33</v>
      </c>
      <c r="H11612" s="393">
        <v>2.2709999999999999</v>
      </c>
      <c r="K11612" s="841" t="s">
        <v>6095</v>
      </c>
      <c r="L11612" s="841" t="s">
        <v>442</v>
      </c>
      <c r="M11612" s="1357"/>
      <c r="P11612" s="841" t="s">
        <v>6097</v>
      </c>
      <c r="Q11612" s="1357"/>
      <c r="S11612" s="1420"/>
      <c r="T11612" s="1420"/>
      <c r="V11612" s="1357">
        <v>28</v>
      </c>
    </row>
    <row r="11613" spans="1:22" s="841" customFormat="1" ht="15" x14ac:dyDescent="0.25">
      <c r="A11613" s="841" t="s">
        <v>146</v>
      </c>
      <c r="E11613" s="1690" t="s">
        <v>18</v>
      </c>
      <c r="F11613" s="1690"/>
      <c r="G11613" s="1408" t="s">
        <v>33</v>
      </c>
      <c r="H11613" s="393">
        <v>0.60489999999999999</v>
      </c>
      <c r="K11613" s="841" t="s">
        <v>6095</v>
      </c>
      <c r="L11613" s="841" t="s">
        <v>443</v>
      </c>
      <c r="M11613" s="1357"/>
      <c r="P11613" s="841" t="s">
        <v>6098</v>
      </c>
      <c r="Q11613" s="1357"/>
      <c r="S11613" s="1420"/>
      <c r="T11613" s="1420"/>
      <c r="V11613" s="1357">
        <v>24</v>
      </c>
    </row>
    <row r="11614" spans="1:22" s="841" customFormat="1" ht="15" x14ac:dyDescent="0.25">
      <c r="A11614" s="841" t="s">
        <v>146</v>
      </c>
      <c r="E11614" s="1690" t="s">
        <v>5305</v>
      </c>
      <c r="F11614" s="1908"/>
      <c r="G11614" s="1408" t="s">
        <v>33</v>
      </c>
      <c r="H11614" s="393">
        <v>-0.3775</v>
      </c>
      <c r="K11614" s="841" t="s">
        <v>6095</v>
      </c>
      <c r="L11614" s="841" t="s">
        <v>443</v>
      </c>
      <c r="M11614" s="1357"/>
      <c r="P11614" s="841" t="s">
        <v>6105</v>
      </c>
      <c r="Q11614" s="1357"/>
      <c r="S11614" s="1420"/>
      <c r="T11614" s="1420">
        <v>43585</v>
      </c>
      <c r="V11614" s="1357">
        <v>156</v>
      </c>
    </row>
    <row r="11615" spans="1:22" s="841" customFormat="1" ht="15" x14ac:dyDescent="0.25">
      <c r="A11615" s="841" t="s">
        <v>146</v>
      </c>
      <c r="E11615" s="1690" t="s">
        <v>5130</v>
      </c>
      <c r="F11615" s="1908"/>
      <c r="G11615" s="1408" t="s">
        <v>33</v>
      </c>
      <c r="H11615" s="393">
        <v>0.81010000000000004</v>
      </c>
      <c r="K11615" s="841" t="s">
        <v>6095</v>
      </c>
      <c r="L11615" s="841" t="s">
        <v>443</v>
      </c>
      <c r="M11615" s="1357"/>
      <c r="P11615" s="841" t="s">
        <v>6105</v>
      </c>
      <c r="Q11615" s="1357"/>
      <c r="S11615" s="1420"/>
      <c r="T11615" s="1420">
        <v>43585</v>
      </c>
      <c r="V11615" s="1357">
        <v>96</v>
      </c>
    </row>
    <row r="11616" spans="1:22" s="841" customFormat="1" ht="15" x14ac:dyDescent="0.25">
      <c r="A11616" s="841" t="s">
        <v>146</v>
      </c>
      <c r="E11616" s="1690" t="s">
        <v>4223</v>
      </c>
      <c r="F11616" s="1690"/>
      <c r="G11616" s="1408" t="s">
        <v>33</v>
      </c>
      <c r="H11616" s="393">
        <v>-0.11</v>
      </c>
      <c r="K11616" s="841" t="s">
        <v>6095</v>
      </c>
      <c r="L11616" s="841" t="s">
        <v>442</v>
      </c>
      <c r="M11616" s="1357"/>
      <c r="P11616" s="841" t="s">
        <v>6445</v>
      </c>
      <c r="Q11616" s="1357"/>
      <c r="S11616" s="1420"/>
      <c r="T11616" s="1420">
        <v>43585</v>
      </c>
      <c r="V11616" s="1357">
        <v>82</v>
      </c>
    </row>
    <row r="11617" spans="1:22" s="841" customFormat="1" ht="15" x14ac:dyDescent="0.25">
      <c r="A11617" s="841" t="s">
        <v>146</v>
      </c>
      <c r="E11617" s="1690" t="s">
        <v>5383</v>
      </c>
      <c r="F11617" s="1908"/>
      <c r="G11617" s="1408" t="s">
        <v>33</v>
      </c>
      <c r="H11617" s="393">
        <v>1.9300000000000001E-2</v>
      </c>
      <c r="K11617" s="841" t="s">
        <v>6095</v>
      </c>
      <c r="L11617" s="841" t="s">
        <v>442</v>
      </c>
      <c r="M11617" s="1357"/>
      <c r="P11617" s="841" t="s">
        <v>6213</v>
      </c>
      <c r="Q11617" s="1357"/>
      <c r="S11617" s="1420"/>
      <c r="T11617" s="1420">
        <v>43585</v>
      </c>
      <c r="V11617" s="1357">
        <v>80</v>
      </c>
    </row>
    <row r="11618" spans="1:22" s="841" customFormat="1" ht="15" x14ac:dyDescent="0.25">
      <c r="A11618" s="841" t="s">
        <v>146</v>
      </c>
      <c r="E11618" s="1690" t="s">
        <v>221</v>
      </c>
      <c r="F11618" s="1690"/>
      <c r="G11618" s="1408" t="s">
        <v>33</v>
      </c>
      <c r="H11618" s="393">
        <v>2.5407000000000002</v>
      </c>
      <c r="K11618" s="841" t="s">
        <v>6095</v>
      </c>
      <c r="L11618" s="841" t="s">
        <v>444</v>
      </c>
      <c r="M11618" s="1357"/>
      <c r="P11618" s="841" t="s">
        <v>6099</v>
      </c>
      <c r="Q11618" s="1357"/>
      <c r="S11618" s="1420"/>
      <c r="T11618" s="1420"/>
      <c r="V11618" s="1357">
        <v>47</v>
      </c>
    </row>
    <row r="11619" spans="1:22" s="841" customFormat="1" ht="15" x14ac:dyDescent="0.25">
      <c r="A11619" s="841" t="s">
        <v>146</v>
      </c>
      <c r="E11619" s="1690" t="s">
        <v>217</v>
      </c>
      <c r="F11619" s="1690"/>
      <c r="G11619" s="1408" t="s">
        <v>33</v>
      </c>
      <c r="H11619" s="393">
        <v>1.3712</v>
      </c>
      <c r="K11619" s="841" t="s">
        <v>6095</v>
      </c>
      <c r="L11619" s="841" t="s">
        <v>444</v>
      </c>
      <c r="M11619" s="1357"/>
      <c r="P11619" s="841" t="s">
        <v>6100</v>
      </c>
      <c r="Q11619" s="1357"/>
      <c r="S11619" s="1420"/>
      <c r="T11619" s="1420"/>
      <c r="V11619" s="1357">
        <v>74</v>
      </c>
    </row>
    <row r="11620" spans="1:22" s="841" customFormat="1" ht="15" x14ac:dyDescent="0.25">
      <c r="A11620" s="841" t="s">
        <v>146</v>
      </c>
      <c r="E11620" s="1694" t="s">
        <v>3079</v>
      </c>
      <c r="F11620" s="1690"/>
      <c r="G11620" s="1408"/>
      <c r="H11620" s="1408"/>
      <c r="K11620" s="841" t="s">
        <v>3218</v>
      </c>
      <c r="M11620" s="1357"/>
      <c r="Q11620" s="1357"/>
      <c r="S11620" s="1420"/>
      <c r="T11620" s="1420"/>
      <c r="V11620" s="1357">
        <v>48</v>
      </c>
    </row>
    <row r="11621" spans="1:22" s="841" customFormat="1" ht="15" x14ac:dyDescent="0.25">
      <c r="A11621" s="841" t="s">
        <v>146</v>
      </c>
      <c r="E11621" s="1690" t="s">
        <v>2449</v>
      </c>
      <c r="F11621" s="1690"/>
      <c r="G11621" s="1408" t="s">
        <v>24</v>
      </c>
      <c r="H11621" s="393">
        <v>3.2000000000000002E-3</v>
      </c>
      <c r="K11621" s="841" t="s">
        <v>6095</v>
      </c>
      <c r="L11621" s="841" t="s">
        <v>3046</v>
      </c>
      <c r="M11621" s="1357"/>
      <c r="P11621" s="841" t="s">
        <v>6101</v>
      </c>
      <c r="Q11621" s="1357"/>
      <c r="S11621" s="1420"/>
      <c r="T11621" s="1420"/>
      <c r="V11621" s="1357">
        <v>55</v>
      </c>
    </row>
    <row r="11622" spans="1:22" s="841" customFormat="1" ht="15" x14ac:dyDescent="0.25">
      <c r="A11622" s="841" t="s">
        <v>146</v>
      </c>
      <c r="E11622" s="1690" t="s">
        <v>2450</v>
      </c>
      <c r="F11622" s="1690"/>
      <c r="G11622" s="1408" t="s">
        <v>24</v>
      </c>
      <c r="H11622" s="393">
        <v>4.0000000000000002E-4</v>
      </c>
      <c r="K11622" s="841" t="s">
        <v>6095</v>
      </c>
      <c r="L11622" s="841" t="s">
        <v>3046</v>
      </c>
      <c r="M11622" s="1357"/>
      <c r="P11622" s="841" t="s">
        <v>6101</v>
      </c>
      <c r="Q11622" s="1357"/>
      <c r="S11622" s="1420"/>
      <c r="T11622" s="1420"/>
      <c r="V11622" s="1357">
        <v>65</v>
      </c>
    </row>
    <row r="11623" spans="1:22" s="841" customFormat="1" ht="15" x14ac:dyDescent="0.25">
      <c r="A11623" s="841" t="s">
        <v>146</v>
      </c>
      <c r="E11623" s="1690" t="s">
        <v>439</v>
      </c>
      <c r="F11623" s="1690"/>
      <c r="G11623" s="1408" t="s">
        <v>24</v>
      </c>
      <c r="H11623" s="393">
        <v>2.9999999999999997E-4</v>
      </c>
      <c r="K11623" s="841" t="s">
        <v>6095</v>
      </c>
      <c r="L11623" s="841" t="s">
        <v>3046</v>
      </c>
      <c r="M11623" s="1357"/>
      <c r="P11623" s="841" t="s">
        <v>6102</v>
      </c>
      <c r="Q11623" s="1357"/>
      <c r="S11623" s="1420"/>
      <c r="T11623" s="1420"/>
      <c r="V11623" s="1357">
        <v>57</v>
      </c>
    </row>
    <row r="11624" spans="1:22" s="841" customFormat="1" ht="15" x14ac:dyDescent="0.25">
      <c r="A11624" s="841" t="s">
        <v>146</v>
      </c>
      <c r="E11624" s="1690" t="s">
        <v>32</v>
      </c>
      <c r="F11624" s="1690"/>
      <c r="G11624" s="1408" t="s">
        <v>23</v>
      </c>
      <c r="H11624" s="391">
        <v>0.25</v>
      </c>
      <c r="K11624" s="841" t="s">
        <v>6095</v>
      </c>
      <c r="L11624" s="841" t="s">
        <v>3046</v>
      </c>
      <c r="M11624" s="1357"/>
      <c r="P11624" s="841" t="s">
        <v>6103</v>
      </c>
      <c r="Q11624" s="1357"/>
      <c r="S11624" s="1420"/>
      <c r="T11624" s="1420"/>
      <c r="V11624" s="1357">
        <v>63</v>
      </c>
    </row>
    <row r="11625" spans="1:22" s="841" customFormat="1" x14ac:dyDescent="0.25">
      <c r="A11625" s="841" t="s">
        <v>146</v>
      </c>
      <c r="E11625" s="1909" t="s">
        <v>629</v>
      </c>
      <c r="F11625" s="1915"/>
      <c r="G11625" s="1915"/>
      <c r="H11625" s="1915"/>
      <c r="K11625" s="841" t="s">
        <v>4226</v>
      </c>
      <c r="M11625" s="1357"/>
      <c r="Q11625" s="1357"/>
      <c r="S11625" s="1420"/>
      <c r="T11625" s="1420"/>
      <c r="V11625" s="1357">
        <v>40</v>
      </c>
    </row>
    <row r="11626" spans="1:22" s="841" customFormat="1" ht="15" x14ac:dyDescent="0.25">
      <c r="A11626" s="841" t="s">
        <v>146</v>
      </c>
      <c r="E11626" s="1689" t="s">
        <v>3251</v>
      </c>
      <c r="F11626" s="1689"/>
      <c r="G11626" s="1689"/>
      <c r="H11626" s="1689"/>
      <c r="K11626" s="841" t="s">
        <v>4226</v>
      </c>
      <c r="M11626" s="1357"/>
      <c r="Q11626" s="1357"/>
      <c r="S11626" s="1420"/>
      <c r="T11626" s="1420"/>
      <c r="V11626" s="1357">
        <v>253</v>
      </c>
    </row>
    <row r="11627" spans="1:22" s="841" customFormat="1" ht="15" x14ac:dyDescent="0.25">
      <c r="A11627" s="841" t="s">
        <v>146</v>
      </c>
      <c r="E11627" s="1916" t="s">
        <v>3061</v>
      </c>
      <c r="F11627" s="1697"/>
      <c r="G11627" s="1697"/>
      <c r="H11627" s="1697"/>
      <c r="K11627" s="841" t="s">
        <v>3221</v>
      </c>
      <c r="M11627" s="1357"/>
      <c r="Q11627" s="1357"/>
      <c r="S11627" s="1420"/>
      <c r="T11627" s="1420"/>
      <c r="V11627" s="1357">
        <v>11</v>
      </c>
    </row>
    <row r="11628" spans="1:22" s="841" customFormat="1" ht="15" x14ac:dyDescent="0.25">
      <c r="A11628" s="841" t="s">
        <v>146</v>
      </c>
      <c r="E11628" s="1689" t="s">
        <v>3063</v>
      </c>
      <c r="F11628" s="1689"/>
      <c r="G11628" s="1689"/>
      <c r="H11628" s="1689"/>
      <c r="K11628" s="841" t="s">
        <v>4226</v>
      </c>
      <c r="M11628" s="1357"/>
      <c r="Q11628" s="1357"/>
      <c r="S11628" s="1420"/>
      <c r="T11628" s="1420"/>
      <c r="V11628" s="1357">
        <v>280</v>
      </c>
    </row>
    <row r="11629" spans="1:22" s="841" customFormat="1" ht="15" x14ac:dyDescent="0.25">
      <c r="A11629" s="841" t="s">
        <v>146</v>
      </c>
      <c r="E11629" s="1689" t="s">
        <v>3064</v>
      </c>
      <c r="F11629" s="1689"/>
      <c r="G11629" s="1689"/>
      <c r="H11629" s="1689"/>
      <c r="K11629" s="841" t="s">
        <v>4226</v>
      </c>
      <c r="M11629" s="1357"/>
      <c r="Q11629" s="1357"/>
      <c r="S11629" s="1420"/>
      <c r="T11629" s="1420"/>
      <c r="V11629" s="1357">
        <v>411</v>
      </c>
    </row>
    <row r="11630" spans="1:22" s="841" customFormat="1" ht="15" x14ac:dyDescent="0.25">
      <c r="A11630" s="841" t="s">
        <v>146</v>
      </c>
      <c r="E11630" s="1689" t="s">
        <v>3065</v>
      </c>
      <c r="F11630" s="1689"/>
      <c r="G11630" s="1689"/>
      <c r="H11630" s="1689"/>
      <c r="K11630" s="841" t="s">
        <v>4226</v>
      </c>
      <c r="M11630" s="1357"/>
      <c r="Q11630" s="1357"/>
      <c r="S11630" s="1420"/>
      <c r="T11630" s="1420"/>
      <c r="V11630" s="1357">
        <v>387</v>
      </c>
    </row>
    <row r="11631" spans="1:22" s="841" customFormat="1" ht="15" x14ac:dyDescent="0.25">
      <c r="A11631" s="841" t="s">
        <v>146</v>
      </c>
      <c r="E11631" s="1689" t="s">
        <v>3200</v>
      </c>
      <c r="F11631" s="1689"/>
      <c r="G11631" s="1689"/>
      <c r="H11631" s="1689"/>
      <c r="K11631" s="841" t="s">
        <v>4226</v>
      </c>
      <c r="M11631" s="1357"/>
      <c r="Q11631" s="1357"/>
      <c r="S11631" s="1420"/>
      <c r="T11631" s="1420"/>
      <c r="V11631" s="1357">
        <v>275</v>
      </c>
    </row>
    <row r="11632" spans="1:22" s="841" customFormat="1" ht="15" x14ac:dyDescent="0.25">
      <c r="A11632" s="841" t="s">
        <v>146</v>
      </c>
      <c r="E11632" s="1694" t="s">
        <v>3067</v>
      </c>
      <c r="F11632" s="1907"/>
      <c r="G11632" s="1907"/>
      <c r="H11632" s="1907"/>
      <c r="K11632" s="841" t="s">
        <v>3224</v>
      </c>
      <c r="M11632" s="1357"/>
      <c r="Q11632" s="1357"/>
      <c r="S11632" s="1420"/>
      <c r="T11632" s="1420"/>
      <c r="V11632" s="1357">
        <v>46</v>
      </c>
    </row>
    <row r="11633" spans="1:22" s="841" customFormat="1" ht="15" x14ac:dyDescent="0.25">
      <c r="A11633" s="841" t="s">
        <v>146</v>
      </c>
      <c r="E11633" s="1690" t="s">
        <v>12</v>
      </c>
      <c r="F11633" s="1690"/>
      <c r="G11633" s="1408" t="s">
        <v>23</v>
      </c>
      <c r="H11633" s="391">
        <v>3.3</v>
      </c>
      <c r="K11633" s="841" t="s">
        <v>4226</v>
      </c>
      <c r="L11633" s="841" t="s">
        <v>442</v>
      </c>
      <c r="M11633" s="1357"/>
      <c r="P11633" s="841" t="s">
        <v>4227</v>
      </c>
      <c r="Q11633" s="1357"/>
      <c r="S11633" s="1420"/>
      <c r="T11633" s="1420"/>
      <c r="V11633" s="1357">
        <v>31</v>
      </c>
    </row>
    <row r="11634" spans="1:22" s="841" customFormat="1" ht="15" x14ac:dyDescent="0.25">
      <c r="A11634" s="841" t="s">
        <v>146</v>
      </c>
      <c r="E11634" s="1690" t="s">
        <v>84</v>
      </c>
      <c r="F11634" s="1690"/>
      <c r="G11634" s="1408" t="s">
        <v>33</v>
      </c>
      <c r="H11634" s="393">
        <v>12.8674</v>
      </c>
      <c r="K11634" s="841" t="s">
        <v>4226</v>
      </c>
      <c r="L11634" s="841" t="s">
        <v>442</v>
      </c>
      <c r="M11634" s="1357"/>
      <c r="P11634" s="841" t="s">
        <v>4228</v>
      </c>
      <c r="Q11634" s="1357"/>
      <c r="S11634" s="1420"/>
      <c r="T11634" s="1420"/>
      <c r="V11634" s="1357">
        <v>28</v>
      </c>
    </row>
    <row r="11635" spans="1:22" s="841" customFormat="1" ht="15" x14ac:dyDescent="0.25">
      <c r="A11635" s="841" t="s">
        <v>146</v>
      </c>
      <c r="E11635" s="1690" t="s">
        <v>18</v>
      </c>
      <c r="F11635" s="1690"/>
      <c r="G11635" s="1408" t="s">
        <v>33</v>
      </c>
      <c r="H11635" s="393">
        <v>0.47739999999999999</v>
      </c>
      <c r="K11635" s="841" t="s">
        <v>4226</v>
      </c>
      <c r="L11635" s="841" t="s">
        <v>443</v>
      </c>
      <c r="M11635" s="1357"/>
      <c r="P11635" s="841" t="s">
        <v>4229</v>
      </c>
      <c r="Q11635" s="1357"/>
      <c r="S11635" s="1420"/>
      <c r="T11635" s="1420"/>
      <c r="V11635" s="1357">
        <v>24</v>
      </c>
    </row>
    <row r="11636" spans="1:22" s="841" customFormat="1" ht="15" x14ac:dyDescent="0.25">
      <c r="A11636" s="841" t="s">
        <v>146</v>
      </c>
      <c r="E11636" s="1690" t="s">
        <v>5130</v>
      </c>
      <c r="F11636" s="1908"/>
      <c r="G11636" s="1408" t="s">
        <v>33</v>
      </c>
      <c r="H11636" s="393">
        <v>0.33150000000000002</v>
      </c>
      <c r="K11636" s="841" t="s">
        <v>4226</v>
      </c>
      <c r="L11636" s="841" t="s">
        <v>443</v>
      </c>
      <c r="M11636" s="1357"/>
      <c r="P11636" s="841" t="s">
        <v>4230</v>
      </c>
      <c r="Q11636" s="1357"/>
      <c r="S11636" s="1420"/>
      <c r="T11636" s="1420">
        <v>43585</v>
      </c>
      <c r="V11636" s="1357">
        <v>96</v>
      </c>
    </row>
    <row r="11637" spans="1:22" s="841" customFormat="1" ht="15" x14ac:dyDescent="0.25">
      <c r="A11637" s="841" t="s">
        <v>146</v>
      </c>
      <c r="E11637" s="1690" t="s">
        <v>4223</v>
      </c>
      <c r="F11637" s="1690"/>
      <c r="G11637" s="1408" t="s">
        <v>33</v>
      </c>
      <c r="H11637" s="393">
        <v>-0.69010000000000005</v>
      </c>
      <c r="K11637" s="841" t="s">
        <v>4226</v>
      </c>
      <c r="L11637" s="841" t="s">
        <v>442</v>
      </c>
      <c r="M11637" s="1357"/>
      <c r="P11637" s="841" t="s">
        <v>6446</v>
      </c>
      <c r="Q11637" s="1357"/>
      <c r="S11637" s="1420"/>
      <c r="T11637" s="1420">
        <v>43585</v>
      </c>
      <c r="V11637" s="1357">
        <v>82</v>
      </c>
    </row>
    <row r="11638" spans="1:22" s="841" customFormat="1" ht="15" x14ac:dyDescent="0.25">
      <c r="A11638" s="841" t="s">
        <v>146</v>
      </c>
      <c r="E11638" s="1690" t="s">
        <v>5383</v>
      </c>
      <c r="F11638" s="1908"/>
      <c r="G11638" s="1408" t="s">
        <v>33</v>
      </c>
      <c r="H11638" s="393">
        <v>0.15340000000000001</v>
      </c>
      <c r="K11638" s="841" t="s">
        <v>4226</v>
      </c>
      <c r="L11638" s="841" t="s">
        <v>442</v>
      </c>
      <c r="M11638" s="1357"/>
      <c r="P11638" s="841" t="s">
        <v>4231</v>
      </c>
      <c r="Q11638" s="1357"/>
      <c r="S11638" s="1420"/>
      <c r="T11638" s="1420">
        <v>43585</v>
      </c>
      <c r="V11638" s="1357">
        <v>80</v>
      </c>
    </row>
    <row r="11639" spans="1:22" s="841" customFormat="1" ht="15" x14ac:dyDescent="0.25">
      <c r="A11639" s="841" t="s">
        <v>146</v>
      </c>
      <c r="E11639" s="1690" t="s">
        <v>221</v>
      </c>
      <c r="F11639" s="1690"/>
      <c r="G11639" s="1408" t="s">
        <v>33</v>
      </c>
      <c r="H11639" s="393">
        <v>1.9256</v>
      </c>
      <c r="K11639" s="841" t="s">
        <v>4226</v>
      </c>
      <c r="L11639" s="841" t="s">
        <v>444</v>
      </c>
      <c r="M11639" s="1357"/>
      <c r="P11639" s="841" t="s">
        <v>4232</v>
      </c>
      <c r="Q11639" s="1357"/>
      <c r="S11639" s="1420"/>
      <c r="T11639" s="1420"/>
      <c r="V11639" s="1357">
        <v>47</v>
      </c>
    </row>
    <row r="11640" spans="1:22" s="841" customFormat="1" ht="15" x14ac:dyDescent="0.25">
      <c r="A11640" s="841" t="s">
        <v>146</v>
      </c>
      <c r="E11640" s="1690" t="s">
        <v>217</v>
      </c>
      <c r="F11640" s="1690"/>
      <c r="G11640" s="1408" t="s">
        <v>33</v>
      </c>
      <c r="H11640" s="393">
        <v>1.0825</v>
      </c>
      <c r="K11640" s="841" t="s">
        <v>4226</v>
      </c>
      <c r="L11640" s="841" t="s">
        <v>444</v>
      </c>
      <c r="M11640" s="1357"/>
      <c r="P11640" s="841" t="s">
        <v>4233</v>
      </c>
      <c r="Q11640" s="1357"/>
      <c r="S11640" s="1420"/>
      <c r="T11640" s="1420"/>
      <c r="V11640" s="1357">
        <v>74</v>
      </c>
    </row>
    <row r="11641" spans="1:22" s="841" customFormat="1" ht="15" x14ac:dyDescent="0.25">
      <c r="A11641" s="841" t="s">
        <v>146</v>
      </c>
      <c r="E11641" s="1694" t="s">
        <v>3079</v>
      </c>
      <c r="F11641" s="1690"/>
      <c r="G11641" s="1408"/>
      <c r="H11641" s="1408"/>
      <c r="K11641" s="841" t="s">
        <v>3225</v>
      </c>
      <c r="M11641" s="1357"/>
      <c r="Q11641" s="1357"/>
      <c r="S11641" s="1420"/>
      <c r="T11641" s="1420"/>
      <c r="V11641" s="1357">
        <v>48</v>
      </c>
    </row>
    <row r="11642" spans="1:22" s="841" customFormat="1" ht="15" x14ac:dyDescent="0.25">
      <c r="A11642" s="841" t="s">
        <v>146</v>
      </c>
      <c r="E11642" s="1690" t="s">
        <v>2449</v>
      </c>
      <c r="F11642" s="1690"/>
      <c r="G11642" s="1408" t="s">
        <v>24</v>
      </c>
      <c r="H11642" s="393">
        <v>3.2000000000000002E-3</v>
      </c>
      <c r="K11642" s="841" t="s">
        <v>4226</v>
      </c>
      <c r="L11642" s="841" t="s">
        <v>3046</v>
      </c>
      <c r="M11642" s="1357"/>
      <c r="P11642" s="841" t="s">
        <v>4234</v>
      </c>
      <c r="Q11642" s="1357"/>
      <c r="S11642" s="1420"/>
      <c r="T11642" s="1420"/>
      <c r="V11642" s="1357">
        <v>55</v>
      </c>
    </row>
    <row r="11643" spans="1:22" s="841" customFormat="1" ht="15" x14ac:dyDescent="0.25">
      <c r="A11643" s="841" t="s">
        <v>146</v>
      </c>
      <c r="E11643" s="1690" t="s">
        <v>2450</v>
      </c>
      <c r="F11643" s="1690"/>
      <c r="G11643" s="1408" t="s">
        <v>24</v>
      </c>
      <c r="H11643" s="393">
        <v>4.0000000000000002E-4</v>
      </c>
      <c r="K11643" s="841" t="s">
        <v>4226</v>
      </c>
      <c r="L11643" s="841" t="s">
        <v>3046</v>
      </c>
      <c r="M11643" s="1357"/>
      <c r="P11643" s="841" t="s">
        <v>4234</v>
      </c>
      <c r="Q11643" s="1357"/>
      <c r="S11643" s="1420"/>
      <c r="T11643" s="1420"/>
      <c r="V11643" s="1357">
        <v>65</v>
      </c>
    </row>
    <row r="11644" spans="1:22" s="841" customFormat="1" ht="15" x14ac:dyDescent="0.25">
      <c r="A11644" s="841" t="s">
        <v>146</v>
      </c>
      <c r="E11644" s="1690" t="s">
        <v>439</v>
      </c>
      <c r="F11644" s="1690"/>
      <c r="G11644" s="1408" t="s">
        <v>24</v>
      </c>
      <c r="H11644" s="393">
        <v>2.9999999999999997E-4</v>
      </c>
      <c r="K11644" s="841" t="s">
        <v>4226</v>
      </c>
      <c r="L11644" s="841" t="s">
        <v>3046</v>
      </c>
      <c r="M11644" s="1357"/>
      <c r="P11644" s="841" t="s">
        <v>4235</v>
      </c>
      <c r="Q11644" s="1357"/>
      <c r="S11644" s="1420"/>
      <c r="T11644" s="1420"/>
      <c r="V11644" s="1357">
        <v>57</v>
      </c>
    </row>
    <row r="11645" spans="1:22" s="841" customFormat="1" ht="15" x14ac:dyDescent="0.25">
      <c r="A11645" s="841" t="s">
        <v>146</v>
      </c>
      <c r="E11645" s="1690" t="s">
        <v>32</v>
      </c>
      <c r="F11645" s="1690"/>
      <c r="G11645" s="1408" t="s">
        <v>23</v>
      </c>
      <c r="H11645" s="391">
        <v>0.25</v>
      </c>
      <c r="K11645" s="841" t="s">
        <v>4226</v>
      </c>
      <c r="L11645" s="841" t="s">
        <v>3046</v>
      </c>
      <c r="M11645" s="1357"/>
      <c r="P11645" s="841" t="s">
        <v>4236</v>
      </c>
      <c r="Q11645" s="1357"/>
      <c r="S11645" s="1420"/>
      <c r="T11645" s="1420"/>
      <c r="V11645" s="1357">
        <v>63</v>
      </c>
    </row>
    <row r="11646" spans="1:22" s="841" customFormat="1" x14ac:dyDescent="0.25">
      <c r="A11646" s="841" t="s">
        <v>146</v>
      </c>
      <c r="E11646" s="1909" t="s">
        <v>615</v>
      </c>
      <c r="F11646" s="1915"/>
      <c r="G11646" s="1915"/>
      <c r="H11646" s="1915"/>
      <c r="K11646" s="841" t="s">
        <v>3417</v>
      </c>
      <c r="M11646" s="1357"/>
      <c r="Q11646" s="1357"/>
      <c r="S11646" s="1420"/>
      <c r="T11646" s="1420"/>
      <c r="V11646" s="1357">
        <v>38</v>
      </c>
    </row>
    <row r="11647" spans="1:22" s="841" customFormat="1" ht="15" x14ac:dyDescent="0.25">
      <c r="A11647" s="841" t="s">
        <v>146</v>
      </c>
      <c r="E11647" s="1689" t="s">
        <v>4237</v>
      </c>
      <c r="F11647" s="1689"/>
      <c r="G11647" s="1689"/>
      <c r="H11647" s="1689"/>
      <c r="K11647" s="841" t="s">
        <v>3417</v>
      </c>
      <c r="M11647" s="1357"/>
      <c r="Q11647" s="1357"/>
      <c r="S11647" s="1420"/>
      <c r="T11647" s="1420"/>
      <c r="V11647" s="1357">
        <v>525</v>
      </c>
    </row>
    <row r="11648" spans="1:22" s="841" customFormat="1" ht="15" x14ac:dyDescent="0.25">
      <c r="A11648" s="841" t="s">
        <v>146</v>
      </c>
      <c r="E11648" s="1916" t="s">
        <v>3061</v>
      </c>
      <c r="F11648" s="1697"/>
      <c r="G11648" s="1697"/>
      <c r="H11648" s="1697"/>
      <c r="K11648" s="841" t="s">
        <v>3107</v>
      </c>
      <c r="M11648" s="1357"/>
      <c r="Q11648" s="1357"/>
      <c r="S11648" s="1420"/>
      <c r="T11648" s="1420"/>
      <c r="V11648" s="1357">
        <v>11</v>
      </c>
    </row>
    <row r="11649" spans="1:22" s="841" customFormat="1" ht="15" x14ac:dyDescent="0.25">
      <c r="A11649" s="841" t="s">
        <v>146</v>
      </c>
      <c r="E11649" s="1689" t="s">
        <v>3063</v>
      </c>
      <c r="F11649" s="1689"/>
      <c r="G11649" s="1689"/>
      <c r="H11649" s="1689"/>
      <c r="K11649" s="841" t="s">
        <v>3417</v>
      </c>
      <c r="M11649" s="1357"/>
      <c r="Q11649" s="1357"/>
      <c r="S11649" s="1420"/>
      <c r="T11649" s="1420"/>
      <c r="V11649" s="1357">
        <v>280</v>
      </c>
    </row>
    <row r="11650" spans="1:22" s="841" customFormat="1" ht="15" x14ac:dyDescent="0.25">
      <c r="A11650" s="841" t="s">
        <v>146</v>
      </c>
      <c r="E11650" s="1689" t="s">
        <v>3064</v>
      </c>
      <c r="F11650" s="1689"/>
      <c r="G11650" s="1689"/>
      <c r="H11650" s="1689"/>
      <c r="K11650" s="841" t="s">
        <v>3417</v>
      </c>
      <c r="M11650" s="1357"/>
      <c r="Q11650" s="1357"/>
      <c r="S11650" s="1420"/>
      <c r="T11650" s="1420"/>
      <c r="V11650" s="1357">
        <v>411</v>
      </c>
    </row>
    <row r="11651" spans="1:22" s="841" customFormat="1" ht="15" x14ac:dyDescent="0.25">
      <c r="A11651" s="841" t="s">
        <v>146</v>
      </c>
      <c r="E11651" s="1689" t="s">
        <v>3065</v>
      </c>
      <c r="F11651" s="1689"/>
      <c r="G11651" s="1689"/>
      <c r="H11651" s="1689"/>
      <c r="K11651" s="841" t="s">
        <v>3417</v>
      </c>
      <c r="M11651" s="1357"/>
      <c r="Q11651" s="1357"/>
      <c r="S11651" s="1420"/>
      <c r="T11651" s="1420"/>
      <c r="V11651" s="1357">
        <v>387</v>
      </c>
    </row>
    <row r="11652" spans="1:22" s="841" customFormat="1" ht="15" x14ac:dyDescent="0.25">
      <c r="A11652" s="841" t="s">
        <v>146</v>
      </c>
      <c r="E11652" s="1689" t="s">
        <v>3200</v>
      </c>
      <c r="F11652" s="1689"/>
      <c r="G11652" s="1689"/>
      <c r="H11652" s="1689"/>
      <c r="K11652" s="841" t="s">
        <v>3417</v>
      </c>
      <c r="M11652" s="1357"/>
      <c r="Q11652" s="1357"/>
      <c r="S11652" s="1420"/>
      <c r="T11652" s="1420"/>
      <c r="V11652" s="1357">
        <v>275</v>
      </c>
    </row>
    <row r="11653" spans="1:22" s="841" customFormat="1" ht="15" x14ac:dyDescent="0.25">
      <c r="A11653" s="841" t="s">
        <v>146</v>
      </c>
      <c r="E11653" s="1694" t="s">
        <v>3067</v>
      </c>
      <c r="F11653" s="1907"/>
      <c r="G11653" s="1907"/>
      <c r="H11653" s="1907"/>
      <c r="K11653" s="841" t="s">
        <v>3108</v>
      </c>
      <c r="M11653" s="1357"/>
      <c r="Q11653" s="1357"/>
      <c r="S11653" s="1420"/>
      <c r="T11653" s="1420"/>
      <c r="V11653" s="1357">
        <v>46</v>
      </c>
    </row>
    <row r="11654" spans="1:22" s="841" customFormat="1" ht="15" x14ac:dyDescent="0.25">
      <c r="A11654" s="841" t="s">
        <v>146</v>
      </c>
      <c r="E11654" s="1690" t="s">
        <v>12</v>
      </c>
      <c r="F11654" s="1690"/>
      <c r="G11654" s="1408" t="s">
        <v>23</v>
      </c>
      <c r="H11654" s="391">
        <v>1.5</v>
      </c>
      <c r="K11654" s="841" t="s">
        <v>3417</v>
      </c>
      <c r="L11654" s="841" t="s">
        <v>442</v>
      </c>
      <c r="M11654" s="1357"/>
      <c r="P11654" s="841" t="s">
        <v>3419</v>
      </c>
      <c r="Q11654" s="1357"/>
      <c r="S11654" s="1420"/>
      <c r="T11654" s="1420"/>
      <c r="V11654" s="1357">
        <v>31</v>
      </c>
    </row>
    <row r="11655" spans="1:22" s="841" customFormat="1" ht="15" x14ac:dyDescent="0.25">
      <c r="A11655" s="841" t="s">
        <v>146</v>
      </c>
      <c r="E11655" s="1690" t="s">
        <v>84</v>
      </c>
      <c r="F11655" s="1690"/>
      <c r="G11655" s="1408" t="s">
        <v>33</v>
      </c>
      <c r="H11655" s="393">
        <v>8.2871000000000006</v>
      </c>
      <c r="K11655" s="841" t="s">
        <v>3417</v>
      </c>
      <c r="L11655" s="841" t="s">
        <v>442</v>
      </c>
      <c r="M11655" s="1357"/>
      <c r="P11655" s="841" t="s">
        <v>3420</v>
      </c>
      <c r="Q11655" s="1357"/>
      <c r="S11655" s="1420"/>
      <c r="T11655" s="1420"/>
      <c r="V11655" s="1357">
        <v>28</v>
      </c>
    </row>
    <row r="11656" spans="1:22" s="841" customFormat="1" ht="15" x14ac:dyDescent="0.25">
      <c r="A11656" s="841" t="s">
        <v>146</v>
      </c>
      <c r="E11656" s="1690" t="s">
        <v>18</v>
      </c>
      <c r="F11656" s="1690"/>
      <c r="G11656" s="1408" t="s">
        <v>33</v>
      </c>
      <c r="H11656" s="393">
        <v>0.46750000000000003</v>
      </c>
      <c r="K11656" s="841" t="s">
        <v>3417</v>
      </c>
      <c r="L11656" s="841" t="s">
        <v>443</v>
      </c>
      <c r="M11656" s="1357"/>
      <c r="P11656" s="841" t="s">
        <v>3552</v>
      </c>
      <c r="Q11656" s="1357"/>
      <c r="S11656" s="1420"/>
      <c r="T11656" s="1420"/>
      <c r="V11656" s="1357">
        <v>24</v>
      </c>
    </row>
    <row r="11657" spans="1:22" s="841" customFormat="1" ht="15" x14ac:dyDescent="0.25">
      <c r="A11657" s="841" t="s">
        <v>146</v>
      </c>
      <c r="E11657" s="1690" t="s">
        <v>5130</v>
      </c>
      <c r="F11657" s="1908"/>
      <c r="G11657" s="1408" t="s">
        <v>33</v>
      </c>
      <c r="H11657" s="393">
        <v>0.435</v>
      </c>
      <c r="K11657" s="841" t="s">
        <v>3417</v>
      </c>
      <c r="L11657" s="841" t="s">
        <v>443</v>
      </c>
      <c r="M11657" s="1357"/>
      <c r="P11657" s="841" t="s">
        <v>3423</v>
      </c>
      <c r="Q11657" s="1357"/>
      <c r="S11657" s="1420"/>
      <c r="T11657" s="1420">
        <v>43585</v>
      </c>
      <c r="V11657" s="1357">
        <v>96</v>
      </c>
    </row>
    <row r="11658" spans="1:22" s="841" customFormat="1" ht="15" x14ac:dyDescent="0.25">
      <c r="A11658" s="841" t="s">
        <v>146</v>
      </c>
      <c r="E11658" s="1690" t="s">
        <v>4223</v>
      </c>
      <c r="F11658" s="1690"/>
      <c r="G11658" s="1408" t="s">
        <v>33</v>
      </c>
      <c r="H11658" s="393">
        <v>-0.36480000000000001</v>
      </c>
      <c r="K11658" s="841" t="s">
        <v>3417</v>
      </c>
      <c r="L11658" s="841" t="s">
        <v>442</v>
      </c>
      <c r="M11658" s="1357"/>
      <c r="P11658" s="841" t="s">
        <v>6447</v>
      </c>
      <c r="Q11658" s="1357"/>
      <c r="S11658" s="1420"/>
      <c r="T11658" s="1420">
        <v>43585</v>
      </c>
      <c r="V11658" s="1357">
        <v>82</v>
      </c>
    </row>
    <row r="11659" spans="1:22" s="841" customFormat="1" ht="15" x14ac:dyDescent="0.25">
      <c r="A11659" s="841" t="s">
        <v>146</v>
      </c>
      <c r="E11659" s="1690" t="s">
        <v>5383</v>
      </c>
      <c r="F11659" s="1908"/>
      <c r="G11659" s="1408" t="s">
        <v>33</v>
      </c>
      <c r="H11659" s="393">
        <v>0.25290000000000001</v>
      </c>
      <c r="K11659" s="841" t="s">
        <v>3417</v>
      </c>
      <c r="L11659" s="841" t="s">
        <v>442</v>
      </c>
      <c r="M11659" s="1357"/>
      <c r="P11659" s="841" t="s">
        <v>4172</v>
      </c>
      <c r="Q11659" s="1357"/>
      <c r="S11659" s="1420"/>
      <c r="T11659" s="1420">
        <v>43585</v>
      </c>
      <c r="V11659" s="1357">
        <v>80</v>
      </c>
    </row>
    <row r="11660" spans="1:22" s="841" customFormat="1" ht="15" x14ac:dyDescent="0.25">
      <c r="A11660" s="841" t="s">
        <v>146</v>
      </c>
      <c r="E11660" s="1690" t="s">
        <v>221</v>
      </c>
      <c r="F11660" s="1690"/>
      <c r="G11660" s="1408" t="s">
        <v>33</v>
      </c>
      <c r="H11660" s="393">
        <v>1.9160999999999999</v>
      </c>
      <c r="K11660" s="841" t="s">
        <v>3417</v>
      </c>
      <c r="L11660" s="841" t="s">
        <v>444</v>
      </c>
      <c r="M11660" s="1357"/>
      <c r="P11660" s="841" t="s">
        <v>3424</v>
      </c>
      <c r="Q11660" s="1357"/>
      <c r="S11660" s="1420"/>
      <c r="T11660" s="1420"/>
      <c r="V11660" s="1357">
        <v>47</v>
      </c>
    </row>
    <row r="11661" spans="1:22" s="841" customFormat="1" ht="15" x14ac:dyDescent="0.25">
      <c r="A11661" s="841" t="s">
        <v>146</v>
      </c>
      <c r="E11661" s="1690" t="s">
        <v>217</v>
      </c>
      <c r="F11661" s="1690"/>
      <c r="G11661" s="1408" t="s">
        <v>33</v>
      </c>
      <c r="H11661" s="393">
        <v>1.0599000000000001</v>
      </c>
      <c r="K11661" s="841" t="s">
        <v>3417</v>
      </c>
      <c r="L11661" s="841" t="s">
        <v>444</v>
      </c>
      <c r="M11661" s="1357"/>
      <c r="P11661" s="841" t="s">
        <v>3553</v>
      </c>
      <c r="Q11661" s="1357"/>
      <c r="S11661" s="1420"/>
      <c r="T11661" s="1420"/>
      <c r="V11661" s="1357">
        <v>74</v>
      </c>
    </row>
    <row r="11662" spans="1:22" s="841" customFormat="1" ht="15" x14ac:dyDescent="0.25">
      <c r="A11662" s="841" t="s">
        <v>146</v>
      </c>
      <c r="E11662" s="1694" t="s">
        <v>3079</v>
      </c>
      <c r="F11662" s="1690"/>
      <c r="G11662" s="1408"/>
      <c r="H11662" s="1408"/>
      <c r="K11662" s="841" t="s">
        <v>3111</v>
      </c>
      <c r="M11662" s="1357"/>
      <c r="Q11662" s="1357"/>
      <c r="S11662" s="1420"/>
      <c r="T11662" s="1420"/>
      <c r="V11662" s="1357">
        <v>48</v>
      </c>
    </row>
    <row r="11663" spans="1:22" s="841" customFormat="1" ht="15" x14ac:dyDescent="0.25">
      <c r="A11663" s="841" t="s">
        <v>146</v>
      </c>
      <c r="E11663" s="1690" t="s">
        <v>2449</v>
      </c>
      <c r="F11663" s="1690"/>
      <c r="G11663" s="1408" t="s">
        <v>24</v>
      </c>
      <c r="H11663" s="393">
        <v>3.2000000000000002E-3</v>
      </c>
      <c r="K11663" s="841" t="s">
        <v>3417</v>
      </c>
      <c r="L11663" s="841" t="s">
        <v>3046</v>
      </c>
      <c r="M11663" s="1357"/>
      <c r="P11663" s="841" t="s">
        <v>3426</v>
      </c>
      <c r="Q11663" s="1357"/>
      <c r="S11663" s="1420"/>
      <c r="T11663" s="1420"/>
      <c r="V11663" s="1357">
        <v>55</v>
      </c>
    </row>
    <row r="11664" spans="1:22" s="841" customFormat="1" ht="15" x14ac:dyDescent="0.25">
      <c r="A11664" s="841" t="s">
        <v>146</v>
      </c>
      <c r="E11664" s="1690" t="s">
        <v>2450</v>
      </c>
      <c r="F11664" s="1690"/>
      <c r="G11664" s="1408" t="s">
        <v>24</v>
      </c>
      <c r="H11664" s="393">
        <v>4.0000000000000002E-4</v>
      </c>
      <c r="K11664" s="841" t="s">
        <v>3417</v>
      </c>
      <c r="L11664" s="841" t="s">
        <v>3046</v>
      </c>
      <c r="M11664" s="1357"/>
      <c r="P11664" s="841" t="s">
        <v>3426</v>
      </c>
      <c r="Q11664" s="1357"/>
      <c r="S11664" s="1420"/>
      <c r="T11664" s="1420"/>
      <c r="V11664" s="1357">
        <v>65</v>
      </c>
    </row>
    <row r="11665" spans="1:22" s="841" customFormat="1" ht="15" x14ac:dyDescent="0.25">
      <c r="A11665" s="841" t="s">
        <v>146</v>
      </c>
      <c r="E11665" s="1690" t="s">
        <v>439</v>
      </c>
      <c r="F11665" s="1690"/>
      <c r="G11665" s="1408" t="s">
        <v>24</v>
      </c>
      <c r="H11665" s="393">
        <v>2.9999999999999997E-4</v>
      </c>
      <c r="K11665" s="841" t="s">
        <v>3417</v>
      </c>
      <c r="L11665" s="841" t="s">
        <v>3046</v>
      </c>
      <c r="M11665" s="1357"/>
      <c r="P11665" s="841" t="s">
        <v>3427</v>
      </c>
      <c r="Q11665" s="1357"/>
      <c r="S11665" s="1420"/>
      <c r="T11665" s="1420"/>
      <c r="V11665" s="1357">
        <v>57</v>
      </c>
    </row>
    <row r="11666" spans="1:22" s="841" customFormat="1" ht="15" x14ac:dyDescent="0.25">
      <c r="A11666" s="841" t="s">
        <v>146</v>
      </c>
      <c r="E11666" s="1690" t="s">
        <v>32</v>
      </c>
      <c r="F11666" s="1690"/>
      <c r="G11666" s="1408" t="s">
        <v>23</v>
      </c>
      <c r="H11666" s="391">
        <v>0.25</v>
      </c>
      <c r="K11666" s="841" t="s">
        <v>3417</v>
      </c>
      <c r="L11666" s="841" t="s">
        <v>3046</v>
      </c>
      <c r="M11666" s="1357"/>
      <c r="P11666" s="841" t="s">
        <v>3428</v>
      </c>
      <c r="Q11666" s="1357"/>
      <c r="S11666" s="1420"/>
      <c r="T11666" s="1420"/>
      <c r="V11666" s="1357">
        <v>63</v>
      </c>
    </row>
    <row r="11667" spans="1:22" s="841" customFormat="1" x14ac:dyDescent="0.25">
      <c r="A11667" s="841" t="s">
        <v>146</v>
      </c>
      <c r="E11667" s="1909" t="s">
        <v>617</v>
      </c>
      <c r="F11667" s="1915"/>
      <c r="G11667" s="1915"/>
      <c r="H11667" s="1915"/>
      <c r="K11667" s="841" t="s">
        <v>3238</v>
      </c>
      <c r="M11667" s="1357"/>
      <c r="Q11667" s="1357"/>
      <c r="S11667" s="1420"/>
      <c r="T11667" s="1420"/>
      <c r="V11667" s="1357">
        <v>47</v>
      </c>
    </row>
    <row r="11668" spans="1:22" s="841" customFormat="1" ht="15" x14ac:dyDescent="0.25">
      <c r="A11668" s="841" t="s">
        <v>146</v>
      </c>
      <c r="E11668" s="1689" t="s">
        <v>4238</v>
      </c>
      <c r="F11668" s="1689"/>
      <c r="G11668" s="1689"/>
      <c r="H11668" s="1689"/>
      <c r="K11668" s="841" t="s">
        <v>3238</v>
      </c>
      <c r="M11668" s="1357"/>
      <c r="Q11668" s="1357"/>
      <c r="S11668" s="1420"/>
      <c r="T11668" s="1420"/>
      <c r="V11668" s="1357">
        <v>720</v>
      </c>
    </row>
    <row r="11669" spans="1:22" s="841" customFormat="1" ht="15" x14ac:dyDescent="0.25">
      <c r="A11669" s="841" t="s">
        <v>146</v>
      </c>
      <c r="E11669" s="1916" t="s">
        <v>3061</v>
      </c>
      <c r="F11669" s="1697"/>
      <c r="G11669" s="1697"/>
      <c r="H11669" s="1697"/>
      <c r="K11669" s="841" t="s">
        <v>3114</v>
      </c>
      <c r="M11669" s="1357"/>
      <c r="Q11669" s="1357"/>
      <c r="S11669" s="1420"/>
      <c r="T11669" s="1420"/>
      <c r="V11669" s="1357">
        <v>11</v>
      </c>
    </row>
    <row r="11670" spans="1:22" s="841" customFormat="1" ht="15" x14ac:dyDescent="0.25">
      <c r="A11670" s="841" t="s">
        <v>146</v>
      </c>
      <c r="E11670" s="1689" t="s">
        <v>3063</v>
      </c>
      <c r="F11670" s="1689"/>
      <c r="G11670" s="1689"/>
      <c r="H11670" s="1689"/>
      <c r="K11670" s="841" t="s">
        <v>3238</v>
      </c>
      <c r="M11670" s="1357"/>
      <c r="Q11670" s="1357"/>
      <c r="S11670" s="1420"/>
      <c r="T11670" s="1420"/>
      <c r="V11670" s="1357">
        <v>280</v>
      </c>
    </row>
    <row r="11671" spans="1:22" s="841" customFormat="1" ht="15" x14ac:dyDescent="0.25">
      <c r="A11671" s="841" t="s">
        <v>146</v>
      </c>
      <c r="E11671" s="1689" t="s">
        <v>3064</v>
      </c>
      <c r="F11671" s="1689"/>
      <c r="G11671" s="1689"/>
      <c r="H11671" s="1689"/>
      <c r="K11671" s="841" t="s">
        <v>3238</v>
      </c>
      <c r="M11671" s="1357"/>
      <c r="Q11671" s="1357"/>
      <c r="S11671" s="1420"/>
      <c r="T11671" s="1420"/>
      <c r="V11671" s="1357">
        <v>411</v>
      </c>
    </row>
    <row r="11672" spans="1:22" s="841" customFormat="1" ht="15" x14ac:dyDescent="0.25">
      <c r="A11672" s="841" t="s">
        <v>146</v>
      </c>
      <c r="E11672" s="1689" t="s">
        <v>3065</v>
      </c>
      <c r="F11672" s="1689"/>
      <c r="G11672" s="1689"/>
      <c r="H11672" s="1689"/>
      <c r="K11672" s="841" t="s">
        <v>3238</v>
      </c>
      <c r="M11672" s="1357"/>
      <c r="Q11672" s="1357"/>
      <c r="S11672" s="1420"/>
      <c r="T11672" s="1420"/>
      <c r="V11672" s="1357">
        <v>387</v>
      </c>
    </row>
    <row r="11673" spans="1:22" s="841" customFormat="1" ht="15" x14ac:dyDescent="0.25">
      <c r="A11673" s="841" t="s">
        <v>146</v>
      </c>
      <c r="E11673" s="1689" t="s">
        <v>3200</v>
      </c>
      <c r="F11673" s="1689"/>
      <c r="G11673" s="1689"/>
      <c r="H11673" s="1689"/>
      <c r="K11673" s="841" t="s">
        <v>3238</v>
      </c>
      <c r="M11673" s="1357"/>
      <c r="Q11673" s="1357"/>
      <c r="S11673" s="1420"/>
      <c r="T11673" s="1420"/>
      <c r="V11673" s="1357">
        <v>275</v>
      </c>
    </row>
    <row r="11674" spans="1:22" s="841" customFormat="1" ht="15" x14ac:dyDescent="0.25">
      <c r="A11674" s="841" t="s">
        <v>146</v>
      </c>
      <c r="E11674" s="1694" t="s">
        <v>3067</v>
      </c>
      <c r="F11674" s="1907"/>
      <c r="G11674" s="1907"/>
      <c r="H11674" s="1907"/>
      <c r="K11674" s="841" t="s">
        <v>3115</v>
      </c>
      <c r="M11674" s="1357"/>
      <c r="Q11674" s="1357"/>
      <c r="S11674" s="1420"/>
      <c r="T11674" s="1420"/>
      <c r="V11674" s="1357">
        <v>46</v>
      </c>
    </row>
    <row r="11675" spans="1:22" s="841" customFormat="1" ht="15" x14ac:dyDescent="0.25">
      <c r="A11675" s="841" t="s">
        <v>146</v>
      </c>
      <c r="E11675" s="1690" t="s">
        <v>12</v>
      </c>
      <c r="F11675" s="1690"/>
      <c r="G11675" s="1408" t="s">
        <v>23</v>
      </c>
      <c r="H11675" s="391">
        <v>6.3</v>
      </c>
      <c r="K11675" s="841" t="s">
        <v>3238</v>
      </c>
      <c r="L11675" s="841" t="s">
        <v>442</v>
      </c>
      <c r="M11675" s="1357"/>
      <c r="P11675" s="841" t="s">
        <v>3240</v>
      </c>
      <c r="Q11675" s="1357"/>
      <c r="S11675" s="1420"/>
      <c r="T11675" s="1420"/>
      <c r="V11675" s="1357">
        <v>31</v>
      </c>
    </row>
    <row r="11676" spans="1:22" s="841" customFormat="1" ht="15" x14ac:dyDescent="0.25">
      <c r="A11676" s="841" t="s">
        <v>146</v>
      </c>
      <c r="E11676" s="1690" t="s">
        <v>84</v>
      </c>
      <c r="F11676" s="1690"/>
      <c r="G11676" s="1408" t="s">
        <v>24</v>
      </c>
      <c r="H11676" s="393">
        <v>8.8000000000000005E-3</v>
      </c>
      <c r="K11676" s="841" t="s">
        <v>3238</v>
      </c>
      <c r="L11676" s="841" t="s">
        <v>442</v>
      </c>
      <c r="M11676" s="1357"/>
      <c r="P11676" s="841" t="s">
        <v>3241</v>
      </c>
      <c r="Q11676" s="1357"/>
      <c r="S11676" s="1420"/>
      <c r="T11676" s="1420"/>
      <c r="V11676" s="1357">
        <v>28</v>
      </c>
    </row>
    <row r="11677" spans="1:22" s="841" customFormat="1" ht="15" x14ac:dyDescent="0.25">
      <c r="A11677" s="841" t="s">
        <v>146</v>
      </c>
      <c r="E11677" s="1690" t="s">
        <v>18</v>
      </c>
      <c r="F11677" s="1690"/>
      <c r="G11677" s="1408" t="s">
        <v>24</v>
      </c>
      <c r="H11677" s="393">
        <v>1.5E-3</v>
      </c>
      <c r="K11677" s="841" t="s">
        <v>3238</v>
      </c>
      <c r="L11677" s="841" t="s">
        <v>443</v>
      </c>
      <c r="M11677" s="1357"/>
      <c r="P11677" s="841" t="s">
        <v>3242</v>
      </c>
      <c r="Q11677" s="1357"/>
      <c r="S11677" s="1420"/>
      <c r="T11677" s="1420"/>
      <c r="V11677" s="1357">
        <v>24</v>
      </c>
    </row>
    <row r="11678" spans="1:22" s="841" customFormat="1" ht="15" x14ac:dyDescent="0.25">
      <c r="A11678" s="841" t="s">
        <v>146</v>
      </c>
      <c r="E11678" s="1690" t="s">
        <v>5130</v>
      </c>
      <c r="F11678" s="1908"/>
      <c r="G11678" s="1408" t="s">
        <v>24</v>
      </c>
      <c r="H11678" s="393">
        <v>1.1000000000000001E-3</v>
      </c>
      <c r="K11678" s="841" t="s">
        <v>3238</v>
      </c>
      <c r="L11678" s="841" t="s">
        <v>443</v>
      </c>
      <c r="M11678" s="1357"/>
      <c r="P11678" s="841" t="s">
        <v>3244</v>
      </c>
      <c r="Q11678" s="1357"/>
      <c r="S11678" s="1420"/>
      <c r="T11678" s="1420">
        <v>43585</v>
      </c>
      <c r="V11678" s="1357">
        <v>96</v>
      </c>
    </row>
    <row r="11679" spans="1:22" s="841" customFormat="1" ht="15" x14ac:dyDescent="0.25">
      <c r="A11679" s="841" t="s">
        <v>146</v>
      </c>
      <c r="E11679" s="1690" t="s">
        <v>4223</v>
      </c>
      <c r="F11679" s="1690"/>
      <c r="G11679" s="1408" t="s">
        <v>24</v>
      </c>
      <c r="H11679" s="393">
        <v>-1.5E-3</v>
      </c>
      <c r="K11679" s="841" t="s">
        <v>3238</v>
      </c>
      <c r="L11679" s="841" t="s">
        <v>442</v>
      </c>
      <c r="M11679" s="1357"/>
      <c r="P11679" s="841" t="s">
        <v>6448</v>
      </c>
      <c r="Q11679" s="1357"/>
      <c r="S11679" s="1420"/>
      <c r="T11679" s="1420">
        <v>43585</v>
      </c>
      <c r="V11679" s="1357">
        <v>82</v>
      </c>
    </row>
    <row r="11680" spans="1:22" s="841" customFormat="1" ht="15" x14ac:dyDescent="0.25">
      <c r="A11680" s="841" t="s">
        <v>146</v>
      </c>
      <c r="E11680" s="1690" t="s">
        <v>5383</v>
      </c>
      <c r="F11680" s="1908"/>
      <c r="G11680" s="1408" t="s">
        <v>24</v>
      </c>
      <c r="H11680" s="393">
        <v>2.0000000000000001E-4</v>
      </c>
      <c r="K11680" s="841" t="s">
        <v>3238</v>
      </c>
      <c r="L11680" s="841" t="s">
        <v>442</v>
      </c>
      <c r="M11680" s="1357"/>
      <c r="P11680" s="841" t="s">
        <v>3958</v>
      </c>
      <c r="Q11680" s="1357"/>
      <c r="S11680" s="1420"/>
      <c r="T11680" s="1420">
        <v>43585</v>
      </c>
      <c r="V11680" s="1357">
        <v>80</v>
      </c>
    </row>
    <row r="11681" spans="1:22" s="841" customFormat="1" ht="15" x14ac:dyDescent="0.25">
      <c r="A11681" s="841" t="s">
        <v>146</v>
      </c>
      <c r="E11681" s="1690" t="s">
        <v>221</v>
      </c>
      <c r="F11681" s="1690"/>
      <c r="G11681" s="1408" t="s">
        <v>24</v>
      </c>
      <c r="H11681" s="393">
        <v>6.1999999999999998E-3</v>
      </c>
      <c r="K11681" s="841" t="s">
        <v>3238</v>
      </c>
      <c r="L11681" s="841" t="s">
        <v>444</v>
      </c>
      <c r="M11681" s="1357"/>
      <c r="P11681" s="841" t="s">
        <v>3245</v>
      </c>
      <c r="Q11681" s="1357"/>
      <c r="S11681" s="1420"/>
      <c r="T11681" s="1420"/>
      <c r="V11681" s="1357">
        <v>47</v>
      </c>
    </row>
    <row r="11682" spans="1:22" s="841" customFormat="1" ht="15" x14ac:dyDescent="0.25">
      <c r="A11682" s="841" t="s">
        <v>146</v>
      </c>
      <c r="E11682" s="1690" t="s">
        <v>217</v>
      </c>
      <c r="F11682" s="1690"/>
      <c r="G11682" s="1408" t="s">
        <v>24</v>
      </c>
      <c r="H11682" s="393">
        <v>3.3999999999999998E-3</v>
      </c>
      <c r="K11682" s="841" t="s">
        <v>3238</v>
      </c>
      <c r="L11682" s="841" t="s">
        <v>444</v>
      </c>
      <c r="M11682" s="1357"/>
      <c r="P11682" s="841" t="s">
        <v>3246</v>
      </c>
      <c r="Q11682" s="1357"/>
      <c r="S11682" s="1420"/>
      <c r="T11682" s="1420"/>
      <c r="V11682" s="1357">
        <v>74</v>
      </c>
    </row>
    <row r="11683" spans="1:22" s="841" customFormat="1" ht="15" x14ac:dyDescent="0.25">
      <c r="A11683" s="841" t="s">
        <v>146</v>
      </c>
      <c r="E11683" s="1694" t="s">
        <v>3079</v>
      </c>
      <c r="F11683" s="1690"/>
      <c r="G11683" s="1408"/>
      <c r="H11683" s="1408"/>
      <c r="K11683" s="841" t="s">
        <v>3122</v>
      </c>
      <c r="M11683" s="1357"/>
      <c r="Q11683" s="1357"/>
      <c r="S11683" s="1420"/>
      <c r="T11683" s="1420"/>
      <c r="V11683" s="1357">
        <v>48</v>
      </c>
    </row>
    <row r="11684" spans="1:22" s="841" customFormat="1" ht="15" x14ac:dyDescent="0.25">
      <c r="A11684" s="841" t="s">
        <v>146</v>
      </c>
      <c r="E11684" s="1690" t="s">
        <v>2449</v>
      </c>
      <c r="F11684" s="1690"/>
      <c r="G11684" s="1408" t="s">
        <v>24</v>
      </c>
      <c r="H11684" s="393">
        <v>3.2000000000000002E-3</v>
      </c>
      <c r="K11684" s="841" t="s">
        <v>3238</v>
      </c>
      <c r="L11684" s="841" t="s">
        <v>3046</v>
      </c>
      <c r="M11684" s="1357"/>
      <c r="P11684" s="841" t="s">
        <v>3247</v>
      </c>
      <c r="Q11684" s="1357"/>
      <c r="S11684" s="1420"/>
      <c r="T11684" s="1420"/>
      <c r="V11684" s="1357">
        <v>55</v>
      </c>
    </row>
    <row r="11685" spans="1:22" s="841" customFormat="1" ht="15" x14ac:dyDescent="0.25">
      <c r="A11685" s="841" t="s">
        <v>146</v>
      </c>
      <c r="E11685" s="1690" t="s">
        <v>2450</v>
      </c>
      <c r="F11685" s="1690"/>
      <c r="G11685" s="1408" t="s">
        <v>24</v>
      </c>
      <c r="H11685" s="393">
        <v>4.0000000000000002E-4</v>
      </c>
      <c r="K11685" s="841" t="s">
        <v>3238</v>
      </c>
      <c r="L11685" s="841" t="s">
        <v>3046</v>
      </c>
      <c r="M11685" s="1357"/>
      <c r="P11685" s="841" t="s">
        <v>3247</v>
      </c>
      <c r="Q11685" s="1357"/>
      <c r="S11685" s="1420"/>
      <c r="T11685" s="1420"/>
      <c r="V11685" s="1357">
        <v>65</v>
      </c>
    </row>
    <row r="11686" spans="1:22" s="841" customFormat="1" ht="15" x14ac:dyDescent="0.25">
      <c r="A11686" s="841" t="s">
        <v>146</v>
      </c>
      <c r="E11686" s="1690" t="s">
        <v>439</v>
      </c>
      <c r="F11686" s="1690"/>
      <c r="G11686" s="1408" t="s">
        <v>24</v>
      </c>
      <c r="H11686" s="393">
        <v>2.9999999999999997E-4</v>
      </c>
      <c r="K11686" s="841" t="s">
        <v>3238</v>
      </c>
      <c r="L11686" s="841" t="s">
        <v>3046</v>
      </c>
      <c r="M11686" s="1357"/>
      <c r="P11686" s="841" t="s">
        <v>3248</v>
      </c>
      <c r="Q11686" s="1357"/>
      <c r="S11686" s="1420"/>
      <c r="T11686" s="1420"/>
      <c r="V11686" s="1357">
        <v>57</v>
      </c>
    </row>
    <row r="11687" spans="1:22" s="841" customFormat="1" ht="15" x14ac:dyDescent="0.25">
      <c r="A11687" s="841" t="s">
        <v>146</v>
      </c>
      <c r="E11687" s="1690" t="s">
        <v>32</v>
      </c>
      <c r="F11687" s="1690"/>
      <c r="G11687" s="1408" t="s">
        <v>23</v>
      </c>
      <c r="H11687" s="391">
        <v>0.25</v>
      </c>
      <c r="K11687" s="841" t="s">
        <v>3238</v>
      </c>
      <c r="L11687" s="841" t="s">
        <v>3046</v>
      </c>
      <c r="M11687" s="1357"/>
      <c r="P11687" s="841" t="s">
        <v>3249</v>
      </c>
      <c r="Q11687" s="1357"/>
      <c r="S11687" s="1420"/>
      <c r="T11687" s="1420"/>
      <c r="V11687" s="1357">
        <v>63</v>
      </c>
    </row>
    <row r="11688" spans="1:22" s="841" customFormat="1" x14ac:dyDescent="0.25">
      <c r="A11688" s="841" t="s">
        <v>146</v>
      </c>
      <c r="E11688" s="1909" t="s">
        <v>618</v>
      </c>
      <c r="F11688" s="1915"/>
      <c r="G11688" s="1915"/>
      <c r="H11688" s="1915"/>
      <c r="K11688" s="841" t="s">
        <v>3126</v>
      </c>
      <c r="M11688" s="1357"/>
      <c r="Q11688" s="1357"/>
      <c r="S11688" s="1420"/>
      <c r="T11688" s="1420"/>
      <c r="V11688" s="1357">
        <v>31</v>
      </c>
    </row>
    <row r="11689" spans="1:22" s="841" customFormat="1" ht="15" x14ac:dyDescent="0.25">
      <c r="A11689" s="841" t="s">
        <v>146</v>
      </c>
      <c r="E11689" s="1689" t="s">
        <v>4239</v>
      </c>
      <c r="F11689" s="1689"/>
      <c r="G11689" s="1689"/>
      <c r="H11689" s="1689"/>
      <c r="K11689" s="841" t="s">
        <v>3126</v>
      </c>
      <c r="M11689" s="1357"/>
      <c r="Q11689" s="1357"/>
      <c r="S11689" s="1420"/>
      <c r="T11689" s="1420"/>
      <c r="V11689" s="1357">
        <v>287</v>
      </c>
    </row>
    <row r="11690" spans="1:22" s="841" customFormat="1" ht="15" x14ac:dyDescent="0.25">
      <c r="A11690" s="841" t="s">
        <v>146</v>
      </c>
      <c r="E11690" s="1916" t="s">
        <v>3061</v>
      </c>
      <c r="F11690" s="1697"/>
      <c r="G11690" s="1697"/>
      <c r="H11690" s="1697"/>
      <c r="K11690" s="841" t="s">
        <v>3128</v>
      </c>
      <c r="M11690" s="1357"/>
      <c r="Q11690" s="1357"/>
      <c r="S11690" s="1420"/>
      <c r="T11690" s="1420"/>
      <c r="V11690" s="1357">
        <v>11</v>
      </c>
    </row>
    <row r="11691" spans="1:22" s="841" customFormat="1" ht="15" x14ac:dyDescent="0.25">
      <c r="A11691" s="841" t="s">
        <v>146</v>
      </c>
      <c r="E11691" s="1689" t="s">
        <v>3063</v>
      </c>
      <c r="F11691" s="1689"/>
      <c r="G11691" s="1689"/>
      <c r="H11691" s="1689"/>
      <c r="K11691" s="841" t="s">
        <v>3126</v>
      </c>
      <c r="M11691" s="1357"/>
      <c r="Q11691" s="1357"/>
      <c r="S11691" s="1420"/>
      <c r="T11691" s="1420"/>
      <c r="V11691" s="1357">
        <v>280</v>
      </c>
    </row>
    <row r="11692" spans="1:22" s="841" customFormat="1" ht="15" x14ac:dyDescent="0.25">
      <c r="A11692" s="841" t="s">
        <v>146</v>
      </c>
      <c r="E11692" s="1689" t="s">
        <v>3064</v>
      </c>
      <c r="F11692" s="1689"/>
      <c r="G11692" s="1689"/>
      <c r="H11692" s="1689"/>
      <c r="K11692" s="841" t="s">
        <v>3126</v>
      </c>
      <c r="M11692" s="1357"/>
      <c r="Q11692" s="1357"/>
      <c r="S11692" s="1420"/>
      <c r="T11692" s="1420"/>
      <c r="V11692" s="1357">
        <v>411</v>
      </c>
    </row>
    <row r="11693" spans="1:22" s="841" customFormat="1" ht="15" x14ac:dyDescent="0.25">
      <c r="A11693" s="841" t="s">
        <v>146</v>
      </c>
      <c r="E11693" s="1689" t="s">
        <v>3129</v>
      </c>
      <c r="F11693" s="1689"/>
      <c r="G11693" s="1689"/>
      <c r="H11693" s="1689"/>
      <c r="K11693" s="841" t="s">
        <v>3126</v>
      </c>
      <c r="M11693" s="1357"/>
      <c r="Q11693" s="1357"/>
      <c r="S11693" s="1420"/>
      <c r="T11693" s="1420"/>
      <c r="V11693" s="1357">
        <v>211</v>
      </c>
    </row>
    <row r="11694" spans="1:22" s="841" customFormat="1" ht="15" x14ac:dyDescent="0.25">
      <c r="A11694" s="841" t="s">
        <v>146</v>
      </c>
      <c r="E11694" s="1689" t="s">
        <v>3200</v>
      </c>
      <c r="F11694" s="1689"/>
      <c r="G11694" s="1689"/>
      <c r="H11694" s="1689"/>
      <c r="K11694" s="841" t="s">
        <v>3126</v>
      </c>
      <c r="M11694" s="1357"/>
      <c r="Q11694" s="1357"/>
      <c r="S11694" s="1420"/>
      <c r="T11694" s="1420"/>
      <c r="V11694" s="1357">
        <v>275</v>
      </c>
    </row>
    <row r="11695" spans="1:22" s="841" customFormat="1" ht="15" x14ac:dyDescent="0.25">
      <c r="A11695" s="841" t="s">
        <v>146</v>
      </c>
      <c r="E11695" s="1694" t="s">
        <v>3067</v>
      </c>
      <c r="F11695" s="1907"/>
      <c r="G11695" s="1907"/>
      <c r="H11695" s="1907"/>
      <c r="K11695" s="841" t="s">
        <v>3130</v>
      </c>
      <c r="M11695" s="1357"/>
      <c r="Q11695" s="1357"/>
      <c r="S11695" s="1420"/>
      <c r="T11695" s="1420"/>
      <c r="V11695" s="1357">
        <v>46</v>
      </c>
    </row>
    <row r="11696" spans="1:22" s="841" customFormat="1" ht="15" x14ac:dyDescent="0.25">
      <c r="A11696" s="841" t="s">
        <v>146</v>
      </c>
      <c r="E11696" s="1690" t="s">
        <v>11</v>
      </c>
      <c r="F11696" s="1690"/>
      <c r="G11696" s="1408" t="s">
        <v>23</v>
      </c>
      <c r="H11696" s="391">
        <v>5.4</v>
      </c>
      <c r="K11696" s="841" t="s">
        <v>3126</v>
      </c>
      <c r="L11696" s="841" t="s">
        <v>442</v>
      </c>
      <c r="M11696" s="1357"/>
      <c r="P11696" s="841" t="s">
        <v>3131</v>
      </c>
      <c r="Q11696" s="1357"/>
      <c r="S11696" s="1420"/>
      <c r="T11696" s="1420"/>
      <c r="V11696" s="1357">
        <v>14</v>
      </c>
    </row>
    <row r="11697" spans="1:22" s="841" customFormat="1" ht="18.75" x14ac:dyDescent="0.3">
      <c r="A11697" s="841" t="s">
        <v>146</v>
      </c>
      <c r="E11697" s="1374" t="s">
        <v>85</v>
      </c>
      <c r="F11697" s="657"/>
      <c r="G11697" s="657"/>
      <c r="H11697" s="658"/>
      <c r="K11697" s="841" t="s">
        <v>4240</v>
      </c>
      <c r="M11697" s="1357"/>
      <c r="Q11697" s="1357"/>
      <c r="S11697" s="1420"/>
      <c r="T11697" s="1420"/>
      <c r="V11697" s="1357">
        <v>10</v>
      </c>
    </row>
    <row r="11698" spans="1:22" s="841" customFormat="1" ht="15" x14ac:dyDescent="0.25">
      <c r="A11698" s="841" t="s">
        <v>146</v>
      </c>
      <c r="E11698" s="1690" t="s">
        <v>3133</v>
      </c>
      <c r="F11698" s="1690"/>
      <c r="G11698" s="1408" t="s">
        <v>33</v>
      </c>
      <c r="H11698" s="393">
        <v>-0.6</v>
      </c>
      <c r="M11698" s="1357"/>
      <c r="Q11698" s="1357"/>
      <c r="S11698" s="1420"/>
      <c r="T11698" s="1420"/>
      <c r="V11698" s="1357">
        <v>68</v>
      </c>
    </row>
    <row r="11699" spans="1:22" s="841" customFormat="1" ht="15" x14ac:dyDescent="0.25">
      <c r="A11699" s="841" t="s">
        <v>146</v>
      </c>
      <c r="E11699" s="1690" t="s">
        <v>3134</v>
      </c>
      <c r="F11699" s="1690"/>
      <c r="G11699" s="1408" t="s">
        <v>86</v>
      </c>
      <c r="H11699" s="391">
        <v>-1</v>
      </c>
      <c r="M11699" s="1357"/>
      <c r="Q11699" s="1357"/>
      <c r="S11699" s="1420"/>
      <c r="T11699" s="1420"/>
      <c r="V11699" s="1357">
        <v>87</v>
      </c>
    </row>
    <row r="11700" spans="1:22" s="841" customFormat="1" ht="36.75" x14ac:dyDescent="0.3">
      <c r="A11700" s="841" t="s">
        <v>146</v>
      </c>
      <c r="E11700" s="1374" t="s">
        <v>87</v>
      </c>
      <c r="F11700" s="657"/>
      <c r="G11700" s="657"/>
      <c r="H11700" s="658"/>
      <c r="K11700" s="841" t="s">
        <v>4241</v>
      </c>
      <c r="M11700" s="1357"/>
      <c r="Q11700" s="1357"/>
      <c r="S11700" s="1420"/>
      <c r="T11700" s="1420"/>
      <c r="V11700" s="1357">
        <v>24</v>
      </c>
    </row>
    <row r="11701" spans="1:22" s="841" customFormat="1" ht="15" x14ac:dyDescent="0.25">
      <c r="A11701" s="841" t="s">
        <v>146</v>
      </c>
      <c r="E11701" s="1689" t="s">
        <v>3063</v>
      </c>
      <c r="F11701" s="1689"/>
      <c r="G11701" s="1689"/>
      <c r="H11701" s="1689"/>
      <c r="M11701" s="1357"/>
      <c r="Q11701" s="1357"/>
      <c r="S11701" s="1420"/>
      <c r="T11701" s="1420"/>
      <c r="V11701" s="1357">
        <v>280</v>
      </c>
    </row>
    <row r="11702" spans="1:22" s="841" customFormat="1" ht="15" x14ac:dyDescent="0.25">
      <c r="A11702" s="841" t="s">
        <v>146</v>
      </c>
      <c r="E11702" s="1689" t="s">
        <v>3136</v>
      </c>
      <c r="F11702" s="1689"/>
      <c r="G11702" s="1689"/>
      <c r="H11702" s="1689"/>
      <c r="M11702" s="1357"/>
      <c r="Q11702" s="1357"/>
      <c r="S11702" s="1420"/>
      <c r="T11702" s="1420"/>
      <c r="V11702" s="1357">
        <v>353</v>
      </c>
    </row>
    <row r="11703" spans="1:22" s="841" customFormat="1" ht="15" x14ac:dyDescent="0.25">
      <c r="A11703" s="841" t="s">
        <v>146</v>
      </c>
      <c r="E11703" s="1689" t="s">
        <v>3200</v>
      </c>
      <c r="F11703" s="1689"/>
      <c r="G11703" s="1689"/>
      <c r="H11703" s="1689"/>
      <c r="M11703" s="1357"/>
      <c r="Q11703" s="1357"/>
      <c r="S11703" s="1420"/>
      <c r="T11703" s="1420"/>
      <c r="V11703" s="1357">
        <v>275</v>
      </c>
    </row>
    <row r="11704" spans="1:22" s="841" customFormat="1" ht="15" x14ac:dyDescent="0.25">
      <c r="A11704" s="841" t="s">
        <v>146</v>
      </c>
      <c r="E11704" s="1370" t="s">
        <v>3137</v>
      </c>
      <c r="F11704" s="3"/>
      <c r="G11704" s="3"/>
      <c r="H11704" s="398"/>
      <c r="K11704" s="841" t="s">
        <v>4242</v>
      </c>
      <c r="M11704" s="1357"/>
      <c r="Q11704" s="1357"/>
      <c r="S11704" s="1420"/>
      <c r="T11704" s="1420"/>
      <c r="V11704" s="1357">
        <v>23</v>
      </c>
    </row>
    <row r="11705" spans="1:22" s="841" customFormat="1" ht="15" x14ac:dyDescent="0.25">
      <c r="A11705" s="841" t="s">
        <v>146</v>
      </c>
      <c r="E11705" s="1688" t="s">
        <v>3355</v>
      </c>
      <c r="F11705" s="1688"/>
      <c r="G11705" s="1408" t="s">
        <v>23</v>
      </c>
      <c r="H11705" s="391">
        <v>15</v>
      </c>
      <c r="M11705" s="1357"/>
      <c r="Q11705" s="1357"/>
      <c r="S11705" s="1420"/>
      <c r="T11705" s="1420"/>
      <c r="V11705" s="1357">
        <v>19</v>
      </c>
    </row>
    <row r="11706" spans="1:22" s="841" customFormat="1" ht="15" x14ac:dyDescent="0.25">
      <c r="A11706" s="841" t="s">
        <v>146</v>
      </c>
      <c r="E11706" s="1688" t="s">
        <v>3141</v>
      </c>
      <c r="F11706" s="1688"/>
      <c r="G11706" s="1408" t="s">
        <v>23</v>
      </c>
      <c r="H11706" s="391">
        <v>15</v>
      </c>
      <c r="M11706" s="1357"/>
      <c r="Q11706" s="1357"/>
      <c r="S11706" s="1420"/>
      <c r="T11706" s="1420"/>
      <c r="V11706" s="1357">
        <v>26</v>
      </c>
    </row>
    <row r="11707" spans="1:22" s="841" customFormat="1" ht="15" x14ac:dyDescent="0.25">
      <c r="A11707" s="841" t="s">
        <v>146</v>
      </c>
      <c r="E11707" s="1688" t="s">
        <v>3146</v>
      </c>
      <c r="F11707" s="1688"/>
      <c r="G11707" s="1408" t="s">
        <v>23</v>
      </c>
      <c r="H11707" s="391">
        <v>15</v>
      </c>
      <c r="M11707" s="1357"/>
      <c r="Q11707" s="1357"/>
      <c r="S11707" s="1420"/>
      <c r="T11707" s="1420"/>
      <c r="V11707" s="1357">
        <v>19</v>
      </c>
    </row>
    <row r="11708" spans="1:22" s="841" customFormat="1" ht="15" x14ac:dyDescent="0.25">
      <c r="A11708" s="841" t="s">
        <v>146</v>
      </c>
      <c r="E11708" s="1688" t="s">
        <v>3147</v>
      </c>
      <c r="F11708" s="1688"/>
      <c r="G11708" s="1408" t="s">
        <v>23</v>
      </c>
      <c r="H11708" s="391">
        <v>15</v>
      </c>
      <c r="M11708" s="1357"/>
      <c r="Q11708" s="1357"/>
      <c r="S11708" s="1420"/>
      <c r="T11708" s="1420"/>
      <c r="V11708" s="1357">
        <v>15</v>
      </c>
    </row>
    <row r="11709" spans="1:22" s="841" customFormat="1" ht="15" x14ac:dyDescent="0.25">
      <c r="A11709" s="841" t="s">
        <v>146</v>
      </c>
      <c r="E11709" s="1688" t="s">
        <v>3148</v>
      </c>
      <c r="F11709" s="1688"/>
      <c r="G11709" s="1408" t="s">
        <v>23</v>
      </c>
      <c r="H11709" s="391">
        <v>15</v>
      </c>
      <c r="M11709" s="1357"/>
      <c r="Q11709" s="1357"/>
      <c r="S11709" s="1420"/>
      <c r="T11709" s="1420"/>
      <c r="V11709" s="1357">
        <v>56</v>
      </c>
    </row>
    <row r="11710" spans="1:22" s="841" customFormat="1" ht="15" x14ac:dyDescent="0.25">
      <c r="A11710" s="841" t="s">
        <v>146</v>
      </c>
      <c r="E11710" s="1688" t="s">
        <v>123</v>
      </c>
      <c r="F11710" s="1688"/>
      <c r="G11710" s="1408" t="s">
        <v>23</v>
      </c>
      <c r="H11710" s="391">
        <v>15</v>
      </c>
      <c r="M11710" s="1357"/>
      <c r="Q11710" s="1357"/>
      <c r="S11710" s="1420"/>
      <c r="T11710" s="1420"/>
      <c r="V11710" s="1357">
        <v>35</v>
      </c>
    </row>
    <row r="11711" spans="1:22" s="841" customFormat="1" ht="15" x14ac:dyDescent="0.25">
      <c r="A11711" s="841" t="s">
        <v>146</v>
      </c>
      <c r="E11711" s="1688" t="s">
        <v>3150</v>
      </c>
      <c r="F11711" s="1688"/>
      <c r="G11711" s="1408" t="s">
        <v>23</v>
      </c>
      <c r="H11711" s="391">
        <v>15</v>
      </c>
      <c r="M11711" s="1357"/>
      <c r="Q11711" s="1357"/>
      <c r="S11711" s="1420"/>
      <c r="T11711" s="1420"/>
      <c r="V11711" s="1357">
        <v>24</v>
      </c>
    </row>
    <row r="11712" spans="1:22" s="841" customFormat="1" ht="15" x14ac:dyDescent="0.25">
      <c r="A11712" s="841" t="s">
        <v>146</v>
      </c>
      <c r="E11712" s="1688" t="s">
        <v>88</v>
      </c>
      <c r="F11712" s="1688"/>
      <c r="G11712" s="1408" t="s">
        <v>23</v>
      </c>
      <c r="H11712" s="391">
        <v>30</v>
      </c>
      <c r="M11712" s="1357"/>
      <c r="Q11712" s="1357"/>
      <c r="S11712" s="1420"/>
      <c r="T11712" s="1420"/>
      <c r="V11712" s="1357">
        <v>89</v>
      </c>
    </row>
    <row r="11713" spans="1:22" s="841" customFormat="1" ht="15" x14ac:dyDescent="0.25">
      <c r="A11713" s="841" t="s">
        <v>146</v>
      </c>
      <c r="E11713" s="1688" t="s">
        <v>92</v>
      </c>
      <c r="F11713" s="1688"/>
      <c r="G11713" s="1408" t="s">
        <v>23</v>
      </c>
      <c r="H11713" s="391">
        <v>30</v>
      </c>
      <c r="M11713" s="1357"/>
      <c r="Q11713" s="1357"/>
      <c r="S11713" s="1420"/>
      <c r="T11713" s="1420"/>
      <c r="V11713" s="1357">
        <v>74</v>
      </c>
    </row>
    <row r="11714" spans="1:22" s="841" customFormat="1" ht="15" x14ac:dyDescent="0.25">
      <c r="A11714" s="841" t="s">
        <v>146</v>
      </c>
      <c r="E11714" s="1688" t="s">
        <v>94</v>
      </c>
      <c r="F11714" s="1688"/>
      <c r="G11714" s="1408" t="s">
        <v>23</v>
      </c>
      <c r="H11714" s="391">
        <v>30</v>
      </c>
      <c r="M11714" s="1357"/>
      <c r="Q11714" s="1357"/>
      <c r="S11714" s="1420"/>
      <c r="T11714" s="1420"/>
      <c r="V11714" s="1357">
        <v>19</v>
      </c>
    </row>
    <row r="11715" spans="1:22" s="841" customFormat="1" ht="15" x14ac:dyDescent="0.25">
      <c r="A11715" s="841" t="s">
        <v>146</v>
      </c>
      <c r="E11715" s="1370" t="s">
        <v>3152</v>
      </c>
      <c r="F11715" s="3"/>
      <c r="G11715" s="3"/>
      <c r="H11715" s="398"/>
      <c r="K11715" s="841" t="s">
        <v>4243</v>
      </c>
      <c r="M11715" s="1357"/>
      <c r="Q11715" s="1357"/>
      <c r="S11715" s="1420"/>
      <c r="T11715" s="1420"/>
      <c r="V11715" s="1357">
        <v>22</v>
      </c>
    </row>
    <row r="11716" spans="1:22" s="841" customFormat="1" ht="15" x14ac:dyDescent="0.25">
      <c r="A11716" s="841" t="s">
        <v>146</v>
      </c>
      <c r="E11716" s="1688" t="s">
        <v>5137</v>
      </c>
      <c r="F11716" s="1688"/>
      <c r="G11716" s="1408" t="s">
        <v>86</v>
      </c>
      <c r="H11716" s="391">
        <v>1.5</v>
      </c>
      <c r="M11716" s="1357"/>
      <c r="Q11716" s="1357"/>
      <c r="S11716" s="1420"/>
      <c r="T11716" s="1420"/>
      <c r="V11716" s="1357">
        <v>24</v>
      </c>
    </row>
    <row r="11717" spans="1:22" s="841" customFormat="1" ht="15" x14ac:dyDescent="0.25">
      <c r="A11717" s="841" t="s">
        <v>146</v>
      </c>
      <c r="E11717" s="1688" t="s">
        <v>4772</v>
      </c>
      <c r="F11717" s="1688"/>
      <c r="G11717" s="1408" t="s">
        <v>86</v>
      </c>
      <c r="H11717" s="391">
        <v>19.559999999999999</v>
      </c>
      <c r="M11717" s="1357"/>
      <c r="Q11717" s="1357"/>
      <c r="S11717" s="1420"/>
      <c r="T11717" s="1420"/>
      <c r="V11717" s="1357">
        <v>24</v>
      </c>
    </row>
    <row r="11718" spans="1:22" s="841" customFormat="1" ht="15" x14ac:dyDescent="0.25">
      <c r="A11718" s="841" t="s">
        <v>146</v>
      </c>
      <c r="E11718" s="1688" t="s">
        <v>3288</v>
      </c>
      <c r="F11718" s="1688"/>
      <c r="G11718" s="1408" t="s">
        <v>23</v>
      </c>
      <c r="H11718" s="391">
        <v>30</v>
      </c>
      <c r="M11718" s="1357"/>
      <c r="Q11718" s="1357"/>
      <c r="S11718" s="1420"/>
      <c r="T11718" s="1420"/>
      <c r="V11718" s="1357">
        <v>47</v>
      </c>
    </row>
    <row r="11719" spans="1:22" s="841" customFormat="1" ht="15" x14ac:dyDescent="0.25">
      <c r="A11719" s="841" t="s">
        <v>146</v>
      </c>
      <c r="E11719" s="1688" t="s">
        <v>4773</v>
      </c>
      <c r="F11719" s="1688"/>
      <c r="G11719" s="1408" t="s">
        <v>23</v>
      </c>
      <c r="H11719" s="391">
        <v>65</v>
      </c>
      <c r="M11719" s="1357"/>
      <c r="Q11719" s="1357"/>
      <c r="S11719" s="1420"/>
      <c r="T11719" s="1420"/>
      <c r="V11719" s="1357">
        <v>52</v>
      </c>
    </row>
    <row r="11720" spans="1:22" s="841" customFormat="1" ht="15" x14ac:dyDescent="0.25">
      <c r="A11720" s="841" t="s">
        <v>146</v>
      </c>
      <c r="E11720" s="1688" t="s">
        <v>4774</v>
      </c>
      <c r="F11720" s="1688"/>
      <c r="G11720" s="1408" t="s">
        <v>23</v>
      </c>
      <c r="H11720" s="391">
        <v>185</v>
      </c>
      <c r="M11720" s="1357"/>
      <c r="Q11720" s="1357"/>
      <c r="S11720" s="1420"/>
      <c r="T11720" s="1420"/>
      <c r="V11720" s="1357">
        <v>51</v>
      </c>
    </row>
    <row r="11721" spans="1:22" s="841" customFormat="1" ht="15" x14ac:dyDescent="0.25">
      <c r="A11721" s="841" t="s">
        <v>146</v>
      </c>
      <c r="E11721" s="1688" t="s">
        <v>4775</v>
      </c>
      <c r="F11721" s="1688"/>
      <c r="G11721" s="1408" t="s">
        <v>23</v>
      </c>
      <c r="H11721" s="391">
        <v>185</v>
      </c>
      <c r="M11721" s="1357"/>
      <c r="Q11721" s="1357"/>
      <c r="S11721" s="1420"/>
      <c r="T11721" s="1420"/>
      <c r="V11721" s="1357">
        <v>51</v>
      </c>
    </row>
    <row r="11722" spans="1:22" s="841" customFormat="1" ht="15" x14ac:dyDescent="0.25">
      <c r="A11722" s="841" t="s">
        <v>146</v>
      </c>
      <c r="E11722" s="1688" t="s">
        <v>4776</v>
      </c>
      <c r="F11722" s="1688"/>
      <c r="G11722" s="1408" t="s">
        <v>23</v>
      </c>
      <c r="H11722" s="391">
        <v>415</v>
      </c>
      <c r="M11722" s="1357"/>
      <c r="Q11722" s="1357"/>
      <c r="S11722" s="1420"/>
      <c r="T11722" s="1420"/>
      <c r="V11722" s="1357">
        <v>50</v>
      </c>
    </row>
    <row r="11723" spans="1:22" s="841" customFormat="1" ht="15" x14ac:dyDescent="0.25">
      <c r="A11723" s="841" t="s">
        <v>146</v>
      </c>
      <c r="E11723" s="1370" t="s">
        <v>3164</v>
      </c>
      <c r="F11723" s="507"/>
      <c r="G11723" s="397"/>
      <c r="H11723" s="391"/>
      <c r="M11723" s="1357"/>
      <c r="Q11723" s="1357"/>
      <c r="S11723" s="1420"/>
      <c r="T11723" s="1420"/>
      <c r="V11723" s="1357">
        <v>5</v>
      </c>
    </row>
    <row r="11724" spans="1:22" s="841" customFormat="1" ht="15" x14ac:dyDescent="0.25">
      <c r="A11724" s="841" t="s">
        <v>146</v>
      </c>
      <c r="E11724" s="1688" t="s">
        <v>3434</v>
      </c>
      <c r="F11724" s="1688"/>
      <c r="G11724" s="1408" t="s">
        <v>23</v>
      </c>
      <c r="H11724" s="391">
        <v>500</v>
      </c>
      <c r="M11724" s="1357"/>
      <c r="Q11724" s="1357"/>
      <c r="S11724" s="1420"/>
      <c r="T11724" s="1420"/>
      <c r="V11724" s="1357">
        <v>64</v>
      </c>
    </row>
    <row r="11725" spans="1:22" s="841" customFormat="1" ht="15" x14ac:dyDescent="0.25">
      <c r="A11725" s="841" t="s">
        <v>146</v>
      </c>
      <c r="E11725" s="1688" t="s">
        <v>3489</v>
      </c>
      <c r="F11725" s="1688"/>
      <c r="G11725" s="1408" t="s">
        <v>23</v>
      </c>
      <c r="H11725" s="391">
        <v>300</v>
      </c>
      <c r="M11725" s="1357"/>
      <c r="Q11725" s="1357"/>
      <c r="S11725" s="1420"/>
      <c r="T11725" s="1420"/>
      <c r="V11725" s="1357">
        <v>67</v>
      </c>
    </row>
    <row r="11726" spans="1:22" s="841" customFormat="1" ht="15" x14ac:dyDescent="0.25">
      <c r="A11726" s="841" t="s">
        <v>146</v>
      </c>
      <c r="E11726" s="1688" t="s">
        <v>3490</v>
      </c>
      <c r="F11726" s="1688"/>
      <c r="G11726" s="1408" t="s">
        <v>23</v>
      </c>
      <c r="H11726" s="391">
        <v>1000</v>
      </c>
      <c r="M11726" s="1357"/>
      <c r="Q11726" s="1357"/>
      <c r="S11726" s="1420"/>
      <c r="T11726" s="1420"/>
      <c r="V11726" s="1357">
        <v>66</v>
      </c>
    </row>
    <row r="11727" spans="1:22" s="841" customFormat="1" ht="15" x14ac:dyDescent="0.25">
      <c r="A11727" s="841" t="s">
        <v>146</v>
      </c>
      <c r="E11727" s="1688" t="s">
        <v>3502</v>
      </c>
      <c r="F11727" s="1688"/>
      <c r="G11727" s="1408" t="s">
        <v>23</v>
      </c>
      <c r="H11727" s="391">
        <v>22.35</v>
      </c>
      <c r="M11727" s="1357"/>
      <c r="Q11727" s="1357"/>
      <c r="S11727" s="1420"/>
      <c r="T11727" s="1420"/>
      <c r="V11727" s="1357">
        <v>104</v>
      </c>
    </row>
    <row r="11728" spans="1:22" s="841" customFormat="1" ht="18.75" x14ac:dyDescent="0.3">
      <c r="A11728" s="841" t="s">
        <v>146</v>
      </c>
      <c r="E11728" s="1931" t="s">
        <v>77</v>
      </c>
      <c r="F11728" s="1931"/>
      <c r="G11728" s="657"/>
      <c r="H11728" s="658"/>
      <c r="K11728" s="841" t="s">
        <v>4244</v>
      </c>
      <c r="M11728" s="1357"/>
      <c r="Q11728" s="1357"/>
      <c r="S11728" s="1420"/>
      <c r="T11728" s="1420"/>
      <c r="V11728" s="1357">
        <v>38</v>
      </c>
    </row>
    <row r="11729" spans="1:22" s="841" customFormat="1" ht="15" x14ac:dyDescent="0.25">
      <c r="A11729" s="841" t="s">
        <v>146</v>
      </c>
      <c r="E11729" s="1689" t="s">
        <v>3063</v>
      </c>
      <c r="F11729" s="1689"/>
      <c r="G11729" s="1689"/>
      <c r="H11729" s="1689"/>
      <c r="M11729" s="1357"/>
      <c r="Q11729" s="1357"/>
      <c r="S11729" s="1420"/>
      <c r="T11729" s="1420"/>
      <c r="V11729" s="1357">
        <v>280</v>
      </c>
    </row>
    <row r="11730" spans="1:22" s="841" customFormat="1" ht="15" x14ac:dyDescent="0.25">
      <c r="A11730" s="841" t="s">
        <v>146</v>
      </c>
      <c r="E11730" s="1689" t="s">
        <v>3064</v>
      </c>
      <c r="F11730" s="1689"/>
      <c r="G11730" s="1689"/>
      <c r="H11730" s="1689"/>
      <c r="M11730" s="1357"/>
      <c r="Q11730" s="1357"/>
      <c r="S11730" s="1420"/>
      <c r="T11730" s="1420"/>
      <c r="V11730" s="1357">
        <v>411</v>
      </c>
    </row>
    <row r="11731" spans="1:22" s="841" customFormat="1" ht="15" x14ac:dyDescent="0.25">
      <c r="A11731" s="841" t="s">
        <v>146</v>
      </c>
      <c r="E11731" s="1689" t="s">
        <v>3129</v>
      </c>
      <c r="F11731" s="1689"/>
      <c r="G11731" s="1689"/>
      <c r="H11731" s="1689"/>
      <c r="M11731" s="1357"/>
      <c r="Q11731" s="1357"/>
      <c r="S11731" s="1420"/>
      <c r="T11731" s="1420"/>
      <c r="V11731" s="1357">
        <v>211</v>
      </c>
    </row>
    <row r="11732" spans="1:22" s="841" customFormat="1" ht="15" x14ac:dyDescent="0.25">
      <c r="A11732" s="841" t="s">
        <v>146</v>
      </c>
      <c r="E11732" s="1689" t="s">
        <v>3200</v>
      </c>
      <c r="F11732" s="1689"/>
      <c r="G11732" s="1689"/>
      <c r="H11732" s="1689"/>
      <c r="M11732" s="1357"/>
      <c r="Q11732" s="1357"/>
      <c r="S11732" s="1420"/>
      <c r="T11732" s="1420"/>
      <c r="V11732" s="1357">
        <v>275</v>
      </c>
    </row>
    <row r="11733" spans="1:22" s="841" customFormat="1" ht="15" x14ac:dyDescent="0.25">
      <c r="A11733" s="841" t="s">
        <v>146</v>
      </c>
      <c r="E11733" s="1689" t="s">
        <v>3291</v>
      </c>
      <c r="F11733" s="1689"/>
      <c r="G11733" s="1689"/>
      <c r="H11733" s="1689"/>
      <c r="M11733" s="1357"/>
      <c r="Q11733" s="1357"/>
      <c r="S11733" s="1420"/>
      <c r="T11733" s="1420"/>
      <c r="V11733" s="1357">
        <v>142</v>
      </c>
    </row>
    <row r="11734" spans="1:22" s="841" customFormat="1" ht="15" x14ac:dyDescent="0.25">
      <c r="A11734" s="841" t="s">
        <v>146</v>
      </c>
      <c r="E11734" s="1690" t="s">
        <v>3176</v>
      </c>
      <c r="F11734" s="1690"/>
      <c r="G11734" s="397" t="s">
        <v>23</v>
      </c>
      <c r="H11734" s="391">
        <v>100</v>
      </c>
      <c r="M11734" s="1357"/>
      <c r="Q11734" s="1357"/>
      <c r="S11734" s="1420"/>
      <c r="T11734" s="1420"/>
      <c r="V11734" s="1357">
        <v>106</v>
      </c>
    </row>
    <row r="11735" spans="1:22" s="841" customFormat="1" ht="15" x14ac:dyDescent="0.25">
      <c r="A11735" s="841" t="s">
        <v>146</v>
      </c>
      <c r="E11735" s="1690" t="s">
        <v>5140</v>
      </c>
      <c r="F11735" s="1690"/>
      <c r="G11735" s="397" t="s">
        <v>23</v>
      </c>
      <c r="H11735" s="391">
        <v>20</v>
      </c>
      <c r="M11735" s="1357"/>
      <c r="Q11735" s="1357"/>
      <c r="S11735" s="1420"/>
      <c r="T11735" s="1420"/>
      <c r="V11735" s="1357">
        <v>34</v>
      </c>
    </row>
    <row r="11736" spans="1:22" s="841" customFormat="1" ht="15" x14ac:dyDescent="0.25">
      <c r="A11736" s="841" t="s">
        <v>146</v>
      </c>
      <c r="E11736" s="1690" t="s">
        <v>5141</v>
      </c>
      <c r="F11736" s="1690"/>
      <c r="G11736" s="397" t="s">
        <v>3179</v>
      </c>
      <c r="H11736" s="391">
        <v>0.5</v>
      </c>
      <c r="M11736" s="1357"/>
      <c r="Q11736" s="1357"/>
      <c r="S11736" s="1420"/>
      <c r="T11736" s="1420"/>
      <c r="V11736" s="1357">
        <v>51</v>
      </c>
    </row>
    <row r="11737" spans="1:22" s="841" customFormat="1" ht="15" x14ac:dyDescent="0.25">
      <c r="A11737" s="841" t="s">
        <v>146</v>
      </c>
      <c r="E11737" s="1690" t="s">
        <v>3180</v>
      </c>
      <c r="F11737" s="1690"/>
      <c r="G11737" s="397" t="s">
        <v>3179</v>
      </c>
      <c r="H11737" s="391">
        <v>0.3</v>
      </c>
      <c r="M11737" s="1357"/>
      <c r="Q11737" s="1357"/>
      <c r="S11737" s="1420"/>
      <c r="T11737" s="1420"/>
      <c r="V11737" s="1357">
        <v>75</v>
      </c>
    </row>
    <row r="11738" spans="1:22" s="841" customFormat="1" ht="15" x14ac:dyDescent="0.25">
      <c r="A11738" s="841" t="s">
        <v>146</v>
      </c>
      <c r="E11738" s="1690" t="s">
        <v>3181</v>
      </c>
      <c r="F11738" s="1690"/>
      <c r="G11738" s="397" t="s">
        <v>3179</v>
      </c>
      <c r="H11738" s="391">
        <v>-0.3</v>
      </c>
      <c r="M11738" s="1357"/>
      <c r="Q11738" s="1357"/>
      <c r="S11738" s="1420"/>
      <c r="T11738" s="1420"/>
      <c r="V11738" s="1357">
        <v>72</v>
      </c>
    </row>
    <row r="11739" spans="1:22" s="841" customFormat="1" ht="15" x14ac:dyDescent="0.25">
      <c r="A11739" s="841" t="s">
        <v>146</v>
      </c>
      <c r="E11739" s="1690" t="s">
        <v>3292</v>
      </c>
      <c r="F11739" s="1690"/>
      <c r="G11739" s="397"/>
      <c r="H11739" s="392"/>
      <c r="M11739" s="1357"/>
      <c r="Q11739" s="1357"/>
      <c r="S11739" s="1420"/>
      <c r="T11739" s="1420"/>
      <c r="V11739" s="1357">
        <v>34</v>
      </c>
    </row>
    <row r="11740" spans="1:22" s="841" customFormat="1" ht="15" x14ac:dyDescent="0.25">
      <c r="A11740" s="841" t="s">
        <v>146</v>
      </c>
      <c r="E11740" s="1691" t="s">
        <v>3183</v>
      </c>
      <c r="F11740" s="1691"/>
      <c r="G11740" s="397" t="s">
        <v>23</v>
      </c>
      <c r="H11740" s="391">
        <v>0.25</v>
      </c>
      <c r="M11740" s="1357"/>
      <c r="Q11740" s="1357"/>
      <c r="S11740" s="1420"/>
      <c r="T11740" s="1420"/>
      <c r="V11740" s="1357">
        <v>57</v>
      </c>
    </row>
    <row r="11741" spans="1:22" s="841" customFormat="1" ht="15" x14ac:dyDescent="0.25">
      <c r="A11741" s="841" t="s">
        <v>146</v>
      </c>
      <c r="E11741" s="1691" t="s">
        <v>3184</v>
      </c>
      <c r="F11741" s="1691"/>
      <c r="G11741" s="397" t="s">
        <v>23</v>
      </c>
      <c r="H11741" s="391">
        <v>0.5</v>
      </c>
      <c r="M11741" s="1357"/>
      <c r="Q11741" s="1357"/>
      <c r="S11741" s="1420"/>
      <c r="T11741" s="1420"/>
      <c r="V11741" s="1357">
        <v>60</v>
      </c>
    </row>
    <row r="11742" spans="1:22" s="841" customFormat="1" ht="15" x14ac:dyDescent="0.25">
      <c r="A11742" s="841" t="s">
        <v>146</v>
      </c>
      <c r="E11742" s="1690" t="s">
        <v>3185</v>
      </c>
      <c r="F11742" s="1690"/>
      <c r="G11742" s="397"/>
      <c r="H11742" s="392"/>
      <c r="M11742" s="1357"/>
      <c r="Q11742" s="1357"/>
      <c r="S11742" s="1420"/>
      <c r="T11742" s="1420"/>
      <c r="V11742" s="1357">
        <v>91</v>
      </c>
    </row>
    <row r="11743" spans="1:22" s="841" customFormat="1" ht="15" x14ac:dyDescent="0.25">
      <c r="A11743" s="841" t="s">
        <v>146</v>
      </c>
      <c r="E11743" s="1690" t="s">
        <v>3186</v>
      </c>
      <c r="F11743" s="1690"/>
      <c r="G11743" s="397"/>
      <c r="H11743" s="392"/>
      <c r="M11743" s="1357"/>
      <c r="Q11743" s="1357"/>
      <c r="S11743" s="1420"/>
      <c r="T11743" s="1420"/>
      <c r="V11743" s="1357">
        <v>96</v>
      </c>
    </row>
    <row r="11744" spans="1:22" s="841" customFormat="1" ht="15" x14ac:dyDescent="0.25">
      <c r="A11744" s="841" t="s">
        <v>146</v>
      </c>
      <c r="E11744" s="1690" t="s">
        <v>3293</v>
      </c>
      <c r="F11744" s="1690"/>
      <c r="G11744" s="397"/>
      <c r="H11744" s="392"/>
      <c r="M11744" s="1357"/>
      <c r="Q11744" s="1357"/>
      <c r="S11744" s="1420"/>
      <c r="T11744" s="1420"/>
      <c r="V11744" s="1357">
        <v>77</v>
      </c>
    </row>
    <row r="11745" spans="1:22" s="841" customFormat="1" ht="15" x14ac:dyDescent="0.25">
      <c r="A11745" s="841" t="s">
        <v>146</v>
      </c>
      <c r="E11745" s="1691" t="s">
        <v>3188</v>
      </c>
      <c r="F11745" s="1691"/>
      <c r="G11745" s="397" t="s">
        <v>23</v>
      </c>
      <c r="H11745" s="392" t="s">
        <v>3189</v>
      </c>
      <c r="M11745" s="1357"/>
      <c r="Q11745" s="1357"/>
      <c r="S11745" s="1420"/>
      <c r="T11745" s="1420"/>
      <c r="V11745" s="1357">
        <v>18</v>
      </c>
    </row>
    <row r="11746" spans="1:22" s="841" customFormat="1" ht="15" x14ac:dyDescent="0.25">
      <c r="A11746" s="841" t="s">
        <v>146</v>
      </c>
      <c r="E11746" s="1691" t="s">
        <v>3190</v>
      </c>
      <c r="F11746" s="1691"/>
      <c r="G11746" s="397" t="s">
        <v>23</v>
      </c>
      <c r="H11746" s="391">
        <v>2</v>
      </c>
      <c r="M11746" s="1357"/>
      <c r="Q11746" s="1357"/>
      <c r="S11746" s="1420"/>
      <c r="T11746" s="1420"/>
      <c r="V11746" s="1357">
        <v>69</v>
      </c>
    </row>
    <row r="11747" spans="1:22" s="841" customFormat="1" ht="18.75" x14ac:dyDescent="0.3">
      <c r="A11747" s="841" t="s">
        <v>146</v>
      </c>
      <c r="E11747" s="1374" t="s">
        <v>147</v>
      </c>
      <c r="F11747" s="657"/>
      <c r="G11747" s="657"/>
      <c r="H11747" s="658"/>
      <c r="K11747" s="841" t="s">
        <v>4245</v>
      </c>
      <c r="M11747" s="1357"/>
      <c r="Q11747" s="1357"/>
      <c r="S11747" s="1420"/>
      <c r="T11747" s="1420"/>
      <c r="V11747" s="1357">
        <v>12</v>
      </c>
    </row>
    <row r="11748" spans="1:22" s="841" customFormat="1" ht="15" x14ac:dyDescent="0.25">
      <c r="A11748" s="841" t="s">
        <v>146</v>
      </c>
      <c r="E11748" s="1704" t="s">
        <v>3192</v>
      </c>
      <c r="F11748" s="1704"/>
      <c r="G11748" s="1704"/>
      <c r="H11748" s="1704"/>
      <c r="M11748" s="1357"/>
      <c r="Q11748" s="1357"/>
      <c r="S11748" s="1420"/>
      <c r="T11748" s="1420"/>
      <c r="V11748" s="1357">
        <v>203</v>
      </c>
    </row>
    <row r="11749" spans="1:22" s="841" customFormat="1" ht="15" x14ac:dyDescent="0.25">
      <c r="A11749" s="841" t="s">
        <v>146</v>
      </c>
      <c r="E11749" s="1690" t="s">
        <v>3295</v>
      </c>
      <c r="F11749" s="1690"/>
      <c r="G11749" s="1408"/>
      <c r="H11749" s="393">
        <v>1.0481</v>
      </c>
      <c r="M11749" s="1357"/>
      <c r="Q11749" s="1357"/>
      <c r="S11749" s="1420"/>
      <c r="T11749" s="1420"/>
      <c r="V11749" s="1357">
        <v>57</v>
      </c>
    </row>
    <row r="11750" spans="1:22" s="841" customFormat="1" ht="15" x14ac:dyDescent="0.25">
      <c r="A11750" s="841" t="s">
        <v>146</v>
      </c>
      <c r="E11750" s="1690" t="s">
        <v>3297</v>
      </c>
      <c r="F11750" s="1690"/>
      <c r="G11750" s="1408"/>
      <c r="H11750" s="393">
        <v>1.0376000000000001</v>
      </c>
      <c r="J11750" s="841" t="s">
        <v>4246</v>
      </c>
      <c r="M11750" s="1357"/>
      <c r="Q11750" s="1357"/>
      <c r="S11750" s="1420"/>
      <c r="T11750" s="1420"/>
      <c r="V11750" s="1357">
        <v>55</v>
      </c>
    </row>
    <row r="11751" spans="1:22" s="841" customFormat="1" ht="23.25" x14ac:dyDescent="0.25">
      <c r="A11751" s="841" t="s">
        <v>169</v>
      </c>
      <c r="C11751" s="841" t="s">
        <v>3050</v>
      </c>
      <c r="E11751" s="1911" t="s">
        <v>169</v>
      </c>
      <c r="F11751" s="1911"/>
      <c r="G11751" s="1911"/>
      <c r="H11751" s="1911"/>
      <c r="I11751" s="841" t="s">
        <v>628</v>
      </c>
      <c r="J11751" s="841" t="s">
        <v>4609</v>
      </c>
      <c r="K11751" s="841" t="s">
        <v>169</v>
      </c>
      <c r="M11751" s="1357">
        <v>10</v>
      </c>
      <c r="Q11751" s="1357"/>
      <c r="S11751" s="1420"/>
      <c r="T11751" s="1420"/>
      <c r="V11751" s="1357">
        <v>37</v>
      </c>
    </row>
    <row r="11752" spans="1:22" s="841" customFormat="1" x14ac:dyDescent="0.25">
      <c r="A11752" s="841" t="s">
        <v>169</v>
      </c>
      <c r="C11752" s="841" t="s">
        <v>3052</v>
      </c>
      <c r="E11752" s="1912" t="s">
        <v>3053</v>
      </c>
      <c r="F11752" s="1912"/>
      <c r="G11752" s="1912"/>
      <c r="H11752" s="1912"/>
      <c r="M11752" s="1357"/>
      <c r="Q11752" s="1357"/>
      <c r="S11752" s="1420"/>
      <c r="T11752" s="1420"/>
      <c r="V11752" s="1357">
        <v>27</v>
      </c>
    </row>
    <row r="11753" spans="1:22" s="841" customFormat="1" ht="15.75" x14ac:dyDescent="0.25">
      <c r="A11753" s="841" t="s">
        <v>169</v>
      </c>
      <c r="C11753" s="841" t="s">
        <v>3054</v>
      </c>
      <c r="E11753" s="1913" t="s">
        <v>5101</v>
      </c>
      <c r="F11753" s="1913"/>
      <c r="G11753" s="1913"/>
      <c r="H11753" s="1913"/>
      <c r="M11753" s="1357"/>
      <c r="Q11753" s="1357"/>
      <c r="S11753" s="1420">
        <v>43101</v>
      </c>
      <c r="T11753" s="1420"/>
      <c r="V11753" s="1357">
        <v>49</v>
      </c>
    </row>
    <row r="11754" spans="1:22" s="841" customFormat="1" ht="15" x14ac:dyDescent="0.25">
      <c r="A11754" s="841" t="s">
        <v>169</v>
      </c>
      <c r="C11754" s="841" t="s">
        <v>3055</v>
      </c>
      <c r="E11754" s="1914" t="s">
        <v>3056</v>
      </c>
      <c r="F11754" s="1914"/>
      <c r="G11754" s="1914"/>
      <c r="H11754" s="1914"/>
      <c r="M11754" s="1357"/>
      <c r="Q11754" s="1357"/>
      <c r="S11754" s="1420"/>
      <c r="T11754" s="1420"/>
      <c r="V11754" s="1357">
        <v>52</v>
      </c>
    </row>
    <row r="11755" spans="1:22" s="841" customFormat="1" ht="15" x14ac:dyDescent="0.25">
      <c r="A11755" s="841" t="s">
        <v>169</v>
      </c>
      <c r="E11755" s="1914" t="s">
        <v>3057</v>
      </c>
      <c r="F11755" s="1914"/>
      <c r="G11755" s="1914"/>
      <c r="H11755" s="1914"/>
      <c r="M11755" s="1357"/>
      <c r="Q11755" s="1357"/>
      <c r="S11755" s="1420"/>
      <c r="T11755" s="1420"/>
      <c r="V11755" s="1357">
        <v>53</v>
      </c>
    </row>
    <row r="11756" spans="1:22" s="841" customFormat="1" ht="15" x14ac:dyDescent="0.25">
      <c r="A11756" s="841" t="s">
        <v>169</v>
      </c>
      <c r="E11756" s="1925" t="s">
        <v>5816</v>
      </c>
      <c r="F11756" s="1925"/>
      <c r="G11756" s="1925"/>
      <c r="H11756" s="1925"/>
      <c r="K11756" s="841" t="s">
        <v>5816</v>
      </c>
      <c r="M11756" s="1357"/>
      <c r="Q11756" s="1357"/>
      <c r="S11756" s="1420"/>
      <c r="T11756" s="1420"/>
      <c r="V11756" s="1357">
        <v>12</v>
      </c>
    </row>
    <row r="11757" spans="1:22" s="841" customFormat="1" x14ac:dyDescent="0.25">
      <c r="A11757" s="841" t="s">
        <v>169</v>
      </c>
      <c r="E11757" s="1695" t="s">
        <v>438</v>
      </c>
      <c r="F11757" s="1697"/>
      <c r="G11757" s="1697"/>
      <c r="H11757" s="1697"/>
      <c r="K11757" s="841" t="s">
        <v>3197</v>
      </c>
      <c r="M11757" s="1357"/>
      <c r="Q11757" s="1357"/>
      <c r="S11757" s="1420"/>
      <c r="T11757" s="1420"/>
      <c r="V11757" s="1357">
        <v>34</v>
      </c>
    </row>
    <row r="11758" spans="1:22" s="841" customFormat="1" ht="15" x14ac:dyDescent="0.25">
      <c r="A11758" s="841" t="s">
        <v>169</v>
      </c>
      <c r="E11758" s="1689" t="s">
        <v>4610</v>
      </c>
      <c r="F11758" s="1689"/>
      <c r="G11758" s="1689"/>
      <c r="H11758" s="1689"/>
      <c r="K11758" s="841" t="s">
        <v>3197</v>
      </c>
      <c r="M11758" s="1357"/>
      <c r="Q11758" s="1357"/>
      <c r="S11758" s="1420"/>
      <c r="T11758" s="1420"/>
      <c r="V11758" s="1357">
        <v>739</v>
      </c>
    </row>
    <row r="11759" spans="1:22" s="841" customFormat="1" ht="15" x14ac:dyDescent="0.25">
      <c r="A11759" s="841" t="s">
        <v>169</v>
      </c>
      <c r="E11759" s="1696" t="s">
        <v>3061</v>
      </c>
      <c r="F11759" s="1697"/>
      <c r="G11759" s="1697"/>
      <c r="H11759" s="1697"/>
      <c r="K11759" s="841" t="s">
        <v>3062</v>
      </c>
      <c r="M11759" s="1357"/>
      <c r="Q11759" s="1357"/>
      <c r="S11759" s="1420"/>
      <c r="T11759" s="1420"/>
      <c r="V11759" s="1357">
        <v>11</v>
      </c>
    </row>
    <row r="11760" spans="1:22" s="841" customFormat="1" ht="15" x14ac:dyDescent="0.25">
      <c r="A11760" s="841" t="s">
        <v>169</v>
      </c>
      <c r="E11760" s="1689" t="s">
        <v>3673</v>
      </c>
      <c r="F11760" s="1689"/>
      <c r="G11760" s="1689"/>
      <c r="H11760" s="1689"/>
      <c r="K11760" s="841" t="s">
        <v>3197</v>
      </c>
      <c r="M11760" s="1357"/>
      <c r="Q11760" s="1357"/>
      <c r="S11760" s="1420"/>
      <c r="T11760" s="1420"/>
      <c r="V11760" s="1357">
        <v>282</v>
      </c>
    </row>
    <row r="11761" spans="1:22" s="841" customFormat="1" ht="15" x14ac:dyDescent="0.25">
      <c r="A11761" s="841" t="s">
        <v>169</v>
      </c>
      <c r="E11761" s="1689" t="s">
        <v>3674</v>
      </c>
      <c r="F11761" s="1689"/>
      <c r="G11761" s="1689"/>
      <c r="H11761" s="1689"/>
      <c r="K11761" s="841" t="s">
        <v>3197</v>
      </c>
      <c r="M11761" s="1357"/>
      <c r="Q11761" s="1357"/>
      <c r="S11761" s="1420"/>
      <c r="T11761" s="1420"/>
      <c r="V11761" s="1357">
        <v>413</v>
      </c>
    </row>
    <row r="11762" spans="1:22" s="841" customFormat="1" ht="15" x14ac:dyDescent="0.25">
      <c r="A11762" s="841" t="s">
        <v>169</v>
      </c>
      <c r="E11762" s="1689" t="s">
        <v>3675</v>
      </c>
      <c r="F11762" s="1689"/>
      <c r="G11762" s="1689"/>
      <c r="H11762" s="1689"/>
      <c r="K11762" s="841" t="s">
        <v>3197</v>
      </c>
      <c r="M11762" s="1357"/>
      <c r="Q11762" s="1357"/>
      <c r="S11762" s="1420"/>
      <c r="T11762" s="1420"/>
      <c r="V11762" s="1357">
        <v>389</v>
      </c>
    </row>
    <row r="11763" spans="1:22" s="841" customFormat="1" ht="15" x14ac:dyDescent="0.25">
      <c r="A11763" s="841" t="s">
        <v>169</v>
      </c>
      <c r="E11763" s="1689" t="s">
        <v>3676</v>
      </c>
      <c r="F11763" s="1689"/>
      <c r="G11763" s="1689"/>
      <c r="H11763" s="1689"/>
      <c r="K11763" s="841" t="s">
        <v>3197</v>
      </c>
      <c r="M11763" s="1357"/>
      <c r="Q11763" s="1357"/>
      <c r="S11763" s="1420"/>
      <c r="T11763" s="1420"/>
      <c r="V11763" s="1357">
        <v>276</v>
      </c>
    </row>
    <row r="11764" spans="1:22" s="841" customFormat="1" ht="15" x14ac:dyDescent="0.25">
      <c r="A11764" s="841" t="s">
        <v>169</v>
      </c>
      <c r="E11764" s="1694" t="s">
        <v>3067</v>
      </c>
      <c r="F11764" s="1907"/>
      <c r="G11764" s="1907"/>
      <c r="H11764" s="1907"/>
      <c r="K11764" s="841" t="s">
        <v>3068</v>
      </c>
      <c r="M11764" s="1357"/>
      <c r="Q11764" s="1357"/>
      <c r="S11764" s="1420"/>
      <c r="T11764" s="1420"/>
      <c r="V11764" s="1357">
        <v>46</v>
      </c>
    </row>
    <row r="11765" spans="1:22" s="841" customFormat="1" ht="15" x14ac:dyDescent="0.25">
      <c r="A11765" s="841" t="s">
        <v>169</v>
      </c>
      <c r="E11765" s="1690" t="s">
        <v>11</v>
      </c>
      <c r="F11765" s="1690"/>
      <c r="G11765" s="1408" t="s">
        <v>23</v>
      </c>
      <c r="H11765" s="1193">
        <v>32.630000000000003</v>
      </c>
      <c r="K11765" s="841" t="s">
        <v>3197</v>
      </c>
      <c r="L11765" s="841" t="s">
        <v>442</v>
      </c>
      <c r="M11765" s="1357"/>
      <c r="P11765" s="841" t="s">
        <v>3201</v>
      </c>
      <c r="Q11765" s="1357"/>
      <c r="S11765" s="1420"/>
      <c r="T11765" s="1420"/>
      <c r="V11765" s="1357">
        <v>14</v>
      </c>
    </row>
    <row r="11766" spans="1:22" s="841" customFormat="1" ht="15" x14ac:dyDescent="0.25">
      <c r="A11766" s="841" t="s">
        <v>169</v>
      </c>
      <c r="E11766" s="1690" t="s">
        <v>423</v>
      </c>
      <c r="F11766" s="1690"/>
      <c r="G11766" s="1408" t="s">
        <v>23</v>
      </c>
      <c r="H11766" s="391">
        <v>0.78</v>
      </c>
      <c r="K11766" s="841" t="s">
        <v>3197</v>
      </c>
      <c r="L11766" s="841" t="s">
        <v>443</v>
      </c>
      <c r="M11766" s="1357"/>
      <c r="P11766" s="841" t="s">
        <v>3202</v>
      </c>
      <c r="Q11766" s="1357"/>
      <c r="S11766" s="1420"/>
      <c r="T11766" s="1420">
        <v>43404</v>
      </c>
      <c r="V11766" s="1357">
        <v>78</v>
      </c>
    </row>
    <row r="11767" spans="1:22" s="841" customFormat="1" ht="15" x14ac:dyDescent="0.25">
      <c r="A11767" s="841" t="s">
        <v>169</v>
      </c>
      <c r="E11767" s="1690" t="s">
        <v>3896</v>
      </c>
      <c r="F11767" s="1690"/>
      <c r="G11767" s="1408" t="s">
        <v>23</v>
      </c>
      <c r="H11767" s="391">
        <v>0.28000000000000003</v>
      </c>
      <c r="K11767" s="841" t="s">
        <v>3197</v>
      </c>
      <c r="L11767" s="841" t="s">
        <v>442</v>
      </c>
      <c r="M11767" s="1357"/>
      <c r="P11767" s="841" t="s">
        <v>3364</v>
      </c>
      <c r="Q11767" s="1357"/>
      <c r="S11767" s="1420"/>
      <c r="T11767" s="1420">
        <v>43830</v>
      </c>
      <c r="V11767" s="1357">
        <v>84</v>
      </c>
    </row>
    <row r="11768" spans="1:22" s="841" customFormat="1" ht="15" x14ac:dyDescent="0.25">
      <c r="A11768" s="841" t="s">
        <v>169</v>
      </c>
      <c r="E11768" s="1690" t="s">
        <v>4611</v>
      </c>
      <c r="F11768" s="1690"/>
      <c r="G11768" s="1408" t="s">
        <v>23</v>
      </c>
      <c r="H11768" s="391">
        <v>-0.48</v>
      </c>
      <c r="K11768" s="841" t="s">
        <v>3197</v>
      </c>
      <c r="L11768" s="841" t="s">
        <v>442</v>
      </c>
      <c r="M11768" s="1357"/>
      <c r="P11768" s="841" t="s">
        <v>5820</v>
      </c>
      <c r="Q11768" s="1357"/>
      <c r="S11768" s="1420"/>
      <c r="T11768" s="1420">
        <v>43465</v>
      </c>
      <c r="V11768" s="1357">
        <v>109</v>
      </c>
    </row>
    <row r="11769" spans="1:22" s="841" customFormat="1" ht="15" x14ac:dyDescent="0.25">
      <c r="A11769" s="841" t="s">
        <v>169</v>
      </c>
      <c r="E11769" s="1690" t="s">
        <v>5817</v>
      </c>
      <c r="F11769" s="1690"/>
      <c r="G11769" s="1408" t="s">
        <v>23</v>
      </c>
      <c r="H11769" s="391">
        <v>-1.48</v>
      </c>
      <c r="K11769" s="841" t="s">
        <v>3197</v>
      </c>
      <c r="L11769" s="841" t="s">
        <v>442</v>
      </c>
      <c r="M11769" s="1357"/>
      <c r="P11769" s="841" t="s">
        <v>6449</v>
      </c>
      <c r="Q11769" s="1357"/>
      <c r="S11769" s="1420"/>
      <c r="T11769" s="1420">
        <v>43465</v>
      </c>
      <c r="V11769" s="1357">
        <v>116</v>
      </c>
    </row>
    <row r="11770" spans="1:22" s="841" customFormat="1" ht="15" x14ac:dyDescent="0.25">
      <c r="A11770" s="841" t="s">
        <v>169</v>
      </c>
      <c r="E11770" s="1690" t="s">
        <v>5818</v>
      </c>
      <c r="F11770" s="1690"/>
      <c r="G11770" s="1408" t="s">
        <v>23</v>
      </c>
      <c r="H11770" s="391">
        <v>0.1</v>
      </c>
      <c r="K11770" s="841" t="s">
        <v>3197</v>
      </c>
      <c r="L11770" s="841" t="s">
        <v>442</v>
      </c>
      <c r="M11770" s="1357"/>
      <c r="P11770" s="841" t="s">
        <v>6450</v>
      </c>
      <c r="Q11770" s="1357"/>
      <c r="S11770" s="1420"/>
      <c r="T11770" s="1420">
        <v>43830</v>
      </c>
      <c r="V11770" s="1357">
        <v>109</v>
      </c>
    </row>
    <row r="11771" spans="1:22" s="841" customFormat="1" ht="15" x14ac:dyDescent="0.25">
      <c r="A11771" s="841" t="s">
        <v>169</v>
      </c>
      <c r="E11771" s="1690" t="s">
        <v>5819</v>
      </c>
      <c r="F11771" s="1690"/>
      <c r="G11771" s="1408" t="s">
        <v>23</v>
      </c>
      <c r="H11771" s="391">
        <v>0.03</v>
      </c>
      <c r="K11771" s="841" t="s">
        <v>3197</v>
      </c>
      <c r="L11771" s="841" t="s">
        <v>442</v>
      </c>
      <c r="M11771" s="1357"/>
      <c r="P11771" s="841" t="s">
        <v>6451</v>
      </c>
      <c r="Q11771" s="1357"/>
      <c r="S11771" s="1420"/>
      <c r="T11771" s="1420">
        <v>43830</v>
      </c>
      <c r="V11771" s="1357">
        <v>108</v>
      </c>
    </row>
    <row r="11772" spans="1:22" s="841" customFormat="1" ht="15" x14ac:dyDescent="0.25">
      <c r="A11772" s="841" t="s">
        <v>169</v>
      </c>
      <c r="E11772" s="1690" t="s">
        <v>4612</v>
      </c>
      <c r="F11772" s="1690"/>
      <c r="G11772" s="1408" t="s">
        <v>23</v>
      </c>
      <c r="H11772" s="391">
        <v>0.46</v>
      </c>
      <c r="K11772" s="841" t="s">
        <v>3197</v>
      </c>
      <c r="L11772" s="841" t="s">
        <v>442</v>
      </c>
      <c r="M11772" s="1357"/>
      <c r="P11772" s="841" t="s">
        <v>6452</v>
      </c>
      <c r="Q11772" s="1357"/>
      <c r="S11772" s="1420"/>
      <c r="T11772" s="1420">
        <v>43830</v>
      </c>
      <c r="V11772" s="1357">
        <v>91</v>
      </c>
    </row>
    <row r="11773" spans="1:22" s="841" customFormat="1" ht="15" x14ac:dyDescent="0.25">
      <c r="A11773" s="841" t="s">
        <v>169</v>
      </c>
      <c r="E11773" s="1690" t="s">
        <v>4613</v>
      </c>
      <c r="F11773" s="1690"/>
      <c r="G11773" s="1408" t="s">
        <v>23</v>
      </c>
      <c r="H11773" s="391">
        <v>0.88</v>
      </c>
      <c r="K11773" s="841" t="s">
        <v>3197</v>
      </c>
      <c r="L11773" s="841" t="s">
        <v>442</v>
      </c>
      <c r="M11773" s="1357"/>
      <c r="P11773" s="841" t="s">
        <v>6453</v>
      </c>
      <c r="Q11773" s="1357"/>
      <c r="S11773" s="1420"/>
      <c r="T11773" s="1420">
        <v>43830</v>
      </c>
      <c r="V11773" s="1357">
        <v>84</v>
      </c>
    </row>
    <row r="11774" spans="1:22" s="841" customFormat="1" ht="15" x14ac:dyDescent="0.25">
      <c r="A11774" s="841" t="s">
        <v>169</v>
      </c>
      <c r="E11774" s="1690" t="s">
        <v>4614</v>
      </c>
      <c r="F11774" s="1690"/>
      <c r="G11774" s="1408" t="s">
        <v>23</v>
      </c>
      <c r="H11774" s="391">
        <v>0.28000000000000003</v>
      </c>
      <c r="K11774" s="841" t="s">
        <v>3197</v>
      </c>
      <c r="L11774" s="841" t="s">
        <v>442</v>
      </c>
      <c r="M11774" s="1357"/>
      <c r="P11774" s="841" t="s">
        <v>6454</v>
      </c>
      <c r="Q11774" s="1357"/>
      <c r="S11774" s="1420"/>
      <c r="T11774" s="1420">
        <v>43830</v>
      </c>
      <c r="V11774" s="1357">
        <v>84</v>
      </c>
    </row>
    <row r="11775" spans="1:22" s="841" customFormat="1" ht="15" x14ac:dyDescent="0.25">
      <c r="A11775" s="841" t="s">
        <v>169</v>
      </c>
      <c r="E11775" s="1690" t="s">
        <v>84</v>
      </c>
      <c r="F11775" s="1690"/>
      <c r="G11775" s="1408" t="s">
        <v>24</v>
      </c>
      <c r="H11775" s="1327">
        <v>1.0630000000000001E-2</v>
      </c>
      <c r="K11775" s="841" t="s">
        <v>3197</v>
      </c>
      <c r="L11775" s="841" t="s">
        <v>442</v>
      </c>
      <c r="M11775" s="1357"/>
      <c r="P11775" s="841" t="s">
        <v>3203</v>
      </c>
      <c r="Q11775" s="1357"/>
      <c r="S11775" s="1420"/>
      <c r="T11775" s="1420"/>
      <c r="V11775" s="1357">
        <v>28</v>
      </c>
    </row>
    <row r="11776" spans="1:22" s="841" customFormat="1" ht="15" x14ac:dyDescent="0.25">
      <c r="A11776" s="841" t="s">
        <v>169</v>
      </c>
      <c r="E11776" s="1690" t="s">
        <v>5821</v>
      </c>
      <c r="F11776" s="1908"/>
      <c r="G11776" s="1408" t="s">
        <v>24</v>
      </c>
      <c r="H11776" s="1327">
        <v>-1.1199999999999999E-3</v>
      </c>
      <c r="K11776" s="841" t="s">
        <v>3197</v>
      </c>
      <c r="L11776" s="841" t="s">
        <v>443</v>
      </c>
      <c r="M11776" s="1357"/>
      <c r="P11776" s="841" t="s">
        <v>3205</v>
      </c>
      <c r="Q11776" s="1357"/>
      <c r="S11776" s="1420"/>
      <c r="T11776" s="1420">
        <v>43465</v>
      </c>
      <c r="V11776" s="1357">
        <v>143</v>
      </c>
    </row>
    <row r="11777" spans="1:22" s="841" customFormat="1" ht="15" x14ac:dyDescent="0.25">
      <c r="A11777" s="841" t="s">
        <v>169</v>
      </c>
      <c r="E11777" s="1690" t="s">
        <v>5822</v>
      </c>
      <c r="F11777" s="1908"/>
      <c r="G11777" s="1408" t="s">
        <v>24</v>
      </c>
      <c r="H11777" s="1327">
        <v>4.0999999999999999E-4</v>
      </c>
      <c r="K11777" s="841" t="s">
        <v>3197</v>
      </c>
      <c r="L11777" s="841" t="s">
        <v>442</v>
      </c>
      <c r="M11777" s="1357"/>
      <c r="P11777" s="841" t="s">
        <v>3206</v>
      </c>
      <c r="Q11777" s="1357"/>
      <c r="S11777" s="1420"/>
      <c r="T11777" s="1420">
        <v>43465</v>
      </c>
      <c r="V11777" s="1357">
        <v>138</v>
      </c>
    </row>
    <row r="11778" spans="1:22" s="841" customFormat="1" ht="15" x14ac:dyDescent="0.25">
      <c r="A11778" s="841" t="s">
        <v>169</v>
      </c>
      <c r="E11778" s="1690" t="s">
        <v>5823</v>
      </c>
      <c r="F11778" s="1908"/>
      <c r="G11778" s="1408" t="s">
        <v>24</v>
      </c>
      <c r="H11778" s="1327">
        <v>-3.2000000000000002E-3</v>
      </c>
      <c r="K11778" s="841" t="s">
        <v>3197</v>
      </c>
      <c r="L11778" s="841" t="s">
        <v>443</v>
      </c>
      <c r="M11778" s="1357"/>
      <c r="P11778" s="841" t="s">
        <v>3207</v>
      </c>
      <c r="Q11778" s="1357"/>
      <c r="S11778" s="1420"/>
      <c r="T11778" s="1420">
        <v>43465</v>
      </c>
      <c r="V11778" s="1357">
        <v>105</v>
      </c>
    </row>
    <row r="11779" spans="1:22" s="841" customFormat="1" ht="15" x14ac:dyDescent="0.25">
      <c r="A11779" s="841" t="s">
        <v>169</v>
      </c>
      <c r="E11779" s="1690" t="s">
        <v>5824</v>
      </c>
      <c r="F11779" s="1908"/>
      <c r="G11779" s="1408" t="s">
        <v>24</v>
      </c>
      <c r="H11779" s="1327">
        <v>6.9999999999999994E-5</v>
      </c>
      <c r="K11779" s="841" t="s">
        <v>3197</v>
      </c>
      <c r="L11779" s="841" t="s">
        <v>443</v>
      </c>
      <c r="M11779" s="1357"/>
      <c r="P11779" s="841" t="s">
        <v>5103</v>
      </c>
      <c r="Q11779" s="1357"/>
      <c r="S11779" s="1420"/>
      <c r="T11779" s="1420">
        <v>43465</v>
      </c>
      <c r="V11779" s="1357">
        <v>148</v>
      </c>
    </row>
    <row r="11780" spans="1:22" s="841" customFormat="1" ht="15" x14ac:dyDescent="0.25">
      <c r="A11780" s="841" t="s">
        <v>169</v>
      </c>
      <c r="E11780" s="1690" t="s">
        <v>221</v>
      </c>
      <c r="F11780" s="1690"/>
      <c r="G11780" s="1408" t="s">
        <v>24</v>
      </c>
      <c r="H11780" s="1327">
        <v>7.5900000000000004E-3</v>
      </c>
      <c r="K11780" s="841" t="s">
        <v>3197</v>
      </c>
      <c r="L11780" s="841" t="s">
        <v>444</v>
      </c>
      <c r="M11780" s="1357"/>
      <c r="P11780" s="841" t="s">
        <v>3208</v>
      </c>
      <c r="Q11780" s="1357"/>
      <c r="S11780" s="1420"/>
      <c r="T11780" s="1420"/>
      <c r="V11780" s="1357">
        <v>47</v>
      </c>
    </row>
    <row r="11781" spans="1:22" s="841" customFormat="1" ht="15" x14ac:dyDescent="0.25">
      <c r="A11781" s="841" t="s">
        <v>169</v>
      </c>
      <c r="E11781" s="1690" t="s">
        <v>217</v>
      </c>
      <c r="F11781" s="1690"/>
      <c r="G11781" s="1408" t="s">
        <v>24</v>
      </c>
      <c r="H11781" s="1327">
        <v>6.1700000000000001E-3</v>
      </c>
      <c r="K11781" s="841" t="s">
        <v>3197</v>
      </c>
      <c r="L11781" s="841" t="s">
        <v>444</v>
      </c>
      <c r="M11781" s="1357"/>
      <c r="P11781" s="841" t="s">
        <v>3209</v>
      </c>
      <c r="Q11781" s="1357"/>
      <c r="S11781" s="1420"/>
      <c r="T11781" s="1420"/>
      <c r="V11781" s="1357">
        <v>74</v>
      </c>
    </row>
    <row r="11782" spans="1:22" s="841" customFormat="1" ht="15" x14ac:dyDescent="0.25">
      <c r="A11782" s="841" t="s">
        <v>169</v>
      </c>
      <c r="E11782" s="1694" t="s">
        <v>3079</v>
      </c>
      <c r="F11782" s="1690"/>
      <c r="G11782" s="1408"/>
      <c r="H11782" s="506"/>
      <c r="K11782" s="841" t="s">
        <v>3080</v>
      </c>
      <c r="M11782" s="1357"/>
      <c r="Q11782" s="1357"/>
      <c r="S11782" s="1420"/>
      <c r="T11782" s="1420"/>
      <c r="V11782" s="1357">
        <v>48</v>
      </c>
    </row>
    <row r="11783" spans="1:22" s="841" customFormat="1" ht="15" x14ac:dyDescent="0.25">
      <c r="A11783" s="841" t="s">
        <v>169</v>
      </c>
      <c r="E11783" s="1690" t="s">
        <v>2449</v>
      </c>
      <c r="F11783" s="1690"/>
      <c r="G11783" s="1408" t="s">
        <v>24</v>
      </c>
      <c r="H11783" s="923">
        <v>3.2000000000000002E-3</v>
      </c>
      <c r="K11783" s="841" t="s">
        <v>3197</v>
      </c>
      <c r="L11783" s="841" t="s">
        <v>3046</v>
      </c>
      <c r="M11783" s="1357"/>
      <c r="P11783" s="841" t="s">
        <v>3210</v>
      </c>
      <c r="Q11783" s="1357"/>
      <c r="S11783" s="1420"/>
      <c r="T11783" s="1420"/>
      <c r="V11783" s="1357">
        <v>55</v>
      </c>
    </row>
    <row r="11784" spans="1:22" s="841" customFormat="1" ht="15" x14ac:dyDescent="0.25">
      <c r="A11784" s="841" t="s">
        <v>169</v>
      </c>
      <c r="E11784" s="1690" t="s">
        <v>2450</v>
      </c>
      <c r="F11784" s="1690"/>
      <c r="G11784" s="1408" t="s">
        <v>24</v>
      </c>
      <c r="H11784" s="923">
        <v>4.0000000000000002E-4</v>
      </c>
      <c r="K11784" s="841" t="s">
        <v>3197</v>
      </c>
      <c r="L11784" s="841" t="s">
        <v>3046</v>
      </c>
      <c r="M11784" s="1357"/>
      <c r="P11784" s="841" t="s">
        <v>3210</v>
      </c>
      <c r="Q11784" s="1357"/>
      <c r="S11784" s="1420"/>
      <c r="T11784" s="1420"/>
      <c r="V11784" s="1357">
        <v>65</v>
      </c>
    </row>
    <row r="11785" spans="1:22" s="841" customFormat="1" ht="15" x14ac:dyDescent="0.25">
      <c r="A11785" s="841" t="s">
        <v>169</v>
      </c>
      <c r="E11785" s="1690" t="s">
        <v>439</v>
      </c>
      <c r="F11785" s="1690"/>
      <c r="G11785" s="1408" t="s">
        <v>24</v>
      </c>
      <c r="H11785" s="923">
        <v>2.9999999999999997E-4</v>
      </c>
      <c r="K11785" s="841" t="s">
        <v>3197</v>
      </c>
      <c r="L11785" s="841" t="s">
        <v>3046</v>
      </c>
      <c r="M11785" s="1357"/>
      <c r="P11785" s="841" t="s">
        <v>3212</v>
      </c>
      <c r="Q11785" s="1357"/>
      <c r="S11785" s="1420"/>
      <c r="T11785" s="1420"/>
      <c r="V11785" s="1357">
        <v>57</v>
      </c>
    </row>
    <row r="11786" spans="1:22" s="841" customFormat="1" ht="15" x14ac:dyDescent="0.25">
      <c r="A11786" s="841" t="s">
        <v>169</v>
      </c>
      <c r="E11786" s="1690" t="s">
        <v>32</v>
      </c>
      <c r="F11786" s="1690"/>
      <c r="G11786" s="1408" t="s">
        <v>23</v>
      </c>
      <c r="H11786" s="1328">
        <v>0.25</v>
      </c>
      <c r="K11786" s="841" t="s">
        <v>3197</v>
      </c>
      <c r="L11786" s="841" t="s">
        <v>3046</v>
      </c>
      <c r="M11786" s="1357"/>
      <c r="P11786" s="841" t="s">
        <v>3213</v>
      </c>
      <c r="Q11786" s="1357"/>
      <c r="S11786" s="1420"/>
      <c r="T11786" s="1420"/>
      <c r="V11786" s="1357">
        <v>63</v>
      </c>
    </row>
    <row r="11787" spans="1:22" s="841" customFormat="1" x14ac:dyDescent="0.25">
      <c r="A11787" s="841" t="s">
        <v>169</v>
      </c>
      <c r="E11787" s="1909" t="s">
        <v>2276</v>
      </c>
      <c r="F11787" s="1695"/>
      <c r="G11787" s="1695"/>
      <c r="H11787" s="1695"/>
      <c r="K11787" s="841" t="s">
        <v>4615</v>
      </c>
      <c r="M11787" s="1357"/>
      <c r="Q11787" s="1357"/>
      <c r="S11787" s="1420"/>
      <c r="T11787" s="1420"/>
      <c r="V11787" s="1357">
        <v>64</v>
      </c>
    </row>
    <row r="11788" spans="1:22" s="841" customFormat="1" ht="15" x14ac:dyDescent="0.25">
      <c r="A11788" s="841" t="s">
        <v>169</v>
      </c>
      <c r="E11788" s="1689" t="s">
        <v>4616</v>
      </c>
      <c r="F11788" s="1689"/>
      <c r="G11788" s="1689"/>
      <c r="H11788" s="1689"/>
      <c r="K11788" s="841" t="s">
        <v>4615</v>
      </c>
      <c r="M11788" s="1357"/>
      <c r="Q11788" s="1357"/>
      <c r="S11788" s="1420"/>
      <c r="T11788" s="1420"/>
      <c r="V11788" s="1357">
        <v>645</v>
      </c>
    </row>
    <row r="11789" spans="1:22" s="841" customFormat="1" ht="15" x14ac:dyDescent="0.25">
      <c r="A11789" s="841" t="s">
        <v>169</v>
      </c>
      <c r="E11789" s="1696" t="s">
        <v>3061</v>
      </c>
      <c r="F11789" s="1697"/>
      <c r="G11789" s="1697"/>
      <c r="H11789" s="1697"/>
      <c r="K11789" s="841" t="s">
        <v>3086</v>
      </c>
      <c r="M11789" s="1357"/>
      <c r="Q11789" s="1357"/>
      <c r="S11789" s="1420"/>
      <c r="T11789" s="1420"/>
      <c r="V11789" s="1357">
        <v>11</v>
      </c>
    </row>
    <row r="11790" spans="1:22" s="841" customFormat="1" ht="15" x14ac:dyDescent="0.25">
      <c r="A11790" s="841" t="s">
        <v>169</v>
      </c>
      <c r="E11790" s="1689" t="s">
        <v>3063</v>
      </c>
      <c r="F11790" s="1689"/>
      <c r="G11790" s="1689"/>
      <c r="H11790" s="1689"/>
      <c r="K11790" s="841" t="s">
        <v>4615</v>
      </c>
      <c r="M11790" s="1357"/>
      <c r="Q11790" s="1357"/>
      <c r="S11790" s="1420"/>
      <c r="T11790" s="1420"/>
      <c r="V11790" s="1357">
        <v>280</v>
      </c>
    </row>
    <row r="11791" spans="1:22" s="841" customFormat="1" ht="15" x14ac:dyDescent="0.25">
      <c r="A11791" s="841" t="s">
        <v>169</v>
      </c>
      <c r="E11791" s="1689" t="s">
        <v>3064</v>
      </c>
      <c r="F11791" s="1689"/>
      <c r="G11791" s="1689"/>
      <c r="H11791" s="1689"/>
      <c r="K11791" s="841" t="s">
        <v>4615</v>
      </c>
      <c r="M11791" s="1357"/>
      <c r="Q11791" s="1357"/>
      <c r="S11791" s="1420"/>
      <c r="T11791" s="1420"/>
      <c r="V11791" s="1357">
        <v>411</v>
      </c>
    </row>
    <row r="11792" spans="1:22" s="841" customFormat="1" ht="15" x14ac:dyDescent="0.25">
      <c r="A11792" s="841" t="s">
        <v>169</v>
      </c>
      <c r="E11792" s="1689" t="s">
        <v>3065</v>
      </c>
      <c r="F11792" s="1689"/>
      <c r="G11792" s="1689"/>
      <c r="H11792" s="1689"/>
      <c r="K11792" s="841" t="s">
        <v>4615</v>
      </c>
      <c r="M11792" s="1357"/>
      <c r="Q11792" s="1357"/>
      <c r="S11792" s="1420"/>
      <c r="T11792" s="1420"/>
      <c r="V11792" s="1357">
        <v>387</v>
      </c>
    </row>
    <row r="11793" spans="1:22" s="841" customFormat="1" ht="15" x14ac:dyDescent="0.25">
      <c r="A11793" s="841" t="s">
        <v>169</v>
      </c>
      <c r="E11793" s="1689" t="s">
        <v>3390</v>
      </c>
      <c r="F11793" s="1689"/>
      <c r="G11793" s="1689"/>
      <c r="H11793" s="1689"/>
      <c r="K11793" s="841" t="s">
        <v>4615</v>
      </c>
      <c r="M11793" s="1357"/>
      <c r="Q11793" s="1357"/>
      <c r="S11793" s="1420"/>
      <c r="T11793" s="1420"/>
      <c r="V11793" s="1357">
        <v>274</v>
      </c>
    </row>
    <row r="11794" spans="1:22" s="841" customFormat="1" ht="15" x14ac:dyDescent="0.25">
      <c r="A11794" s="841" t="s">
        <v>169</v>
      </c>
      <c r="E11794" s="1694" t="s">
        <v>3067</v>
      </c>
      <c r="F11794" s="1907"/>
      <c r="G11794" s="1907"/>
      <c r="H11794" s="1907"/>
      <c r="K11794" s="841" t="s">
        <v>3087</v>
      </c>
      <c r="M11794" s="1357"/>
      <c r="Q11794" s="1357"/>
      <c r="S11794" s="1420"/>
      <c r="T11794" s="1420"/>
      <c r="V11794" s="1357">
        <v>46</v>
      </c>
    </row>
    <row r="11795" spans="1:22" s="841" customFormat="1" ht="15" x14ac:dyDescent="0.25">
      <c r="A11795" s="841" t="s">
        <v>169</v>
      </c>
      <c r="E11795" s="1690" t="s">
        <v>11</v>
      </c>
      <c r="F11795" s="1690"/>
      <c r="G11795" s="1408" t="s">
        <v>23</v>
      </c>
      <c r="H11795" s="1193">
        <v>26.8</v>
      </c>
      <c r="K11795" s="841" t="s">
        <v>4615</v>
      </c>
      <c r="L11795" s="841" t="s">
        <v>442</v>
      </c>
      <c r="M11795" s="1357"/>
      <c r="P11795" s="841" t="s">
        <v>4617</v>
      </c>
      <c r="Q11795" s="1357"/>
      <c r="S11795" s="1420"/>
      <c r="T11795" s="1420"/>
      <c r="V11795" s="1357">
        <v>14</v>
      </c>
    </row>
    <row r="11796" spans="1:22" s="841" customFormat="1" ht="15" x14ac:dyDescent="0.25">
      <c r="A11796" s="841" t="s">
        <v>169</v>
      </c>
      <c r="E11796" s="1690" t="s">
        <v>423</v>
      </c>
      <c r="F11796" s="1690"/>
      <c r="G11796" s="1408" t="s">
        <v>23</v>
      </c>
      <c r="H11796" s="391">
        <v>0.78</v>
      </c>
      <c r="K11796" s="841" t="s">
        <v>4615</v>
      </c>
      <c r="L11796" s="841" t="s">
        <v>443</v>
      </c>
      <c r="M11796" s="1357"/>
      <c r="P11796" s="841" t="s">
        <v>4618</v>
      </c>
      <c r="Q11796" s="1357"/>
      <c r="S11796" s="1420"/>
      <c r="T11796" s="1420">
        <v>43404</v>
      </c>
      <c r="V11796" s="1357">
        <v>78</v>
      </c>
    </row>
    <row r="11797" spans="1:22" s="841" customFormat="1" ht="15" x14ac:dyDescent="0.25">
      <c r="A11797" s="841" t="s">
        <v>169</v>
      </c>
      <c r="E11797" s="1690" t="s">
        <v>4611</v>
      </c>
      <c r="F11797" s="1690"/>
      <c r="G11797" s="1408" t="s">
        <v>23</v>
      </c>
      <c r="H11797" s="391">
        <v>-0.19</v>
      </c>
      <c r="K11797" s="841" t="s">
        <v>4615</v>
      </c>
      <c r="L11797" s="841" t="s">
        <v>442</v>
      </c>
      <c r="M11797" s="1357"/>
      <c r="P11797" s="841" t="s">
        <v>5826</v>
      </c>
      <c r="Q11797" s="1357"/>
      <c r="S11797" s="1420"/>
      <c r="T11797" s="1420">
        <v>43465</v>
      </c>
      <c r="V11797" s="1357">
        <v>109</v>
      </c>
    </row>
    <row r="11798" spans="1:22" s="841" customFormat="1" ht="15" x14ac:dyDescent="0.25">
      <c r="A11798" s="841" t="s">
        <v>169</v>
      </c>
      <c r="E11798" s="1690" t="s">
        <v>5817</v>
      </c>
      <c r="F11798" s="1690"/>
      <c r="G11798" s="1408" t="s">
        <v>23</v>
      </c>
      <c r="H11798" s="391">
        <v>-0.59</v>
      </c>
      <c r="K11798" s="841" t="s">
        <v>4615</v>
      </c>
      <c r="L11798" s="841" t="s">
        <v>442</v>
      </c>
      <c r="M11798" s="1357"/>
      <c r="P11798" s="841" t="s">
        <v>6455</v>
      </c>
      <c r="Q11798" s="1357"/>
      <c r="S11798" s="1420"/>
      <c r="T11798" s="1420">
        <v>43465</v>
      </c>
      <c r="V11798" s="1357">
        <v>116</v>
      </c>
    </row>
    <row r="11799" spans="1:22" s="841" customFormat="1" ht="15" x14ac:dyDescent="0.25">
      <c r="A11799" s="841" t="s">
        <v>169</v>
      </c>
      <c r="E11799" s="1690" t="s">
        <v>5818</v>
      </c>
      <c r="F11799" s="1690"/>
      <c r="G11799" s="1408" t="s">
        <v>23</v>
      </c>
      <c r="H11799" s="391">
        <v>0.04</v>
      </c>
      <c r="K11799" s="841" t="s">
        <v>4615</v>
      </c>
      <c r="L11799" s="841" t="s">
        <v>442</v>
      </c>
      <c r="M11799" s="1357"/>
      <c r="P11799" s="841" t="s">
        <v>6456</v>
      </c>
      <c r="Q11799" s="1357"/>
      <c r="S11799" s="1420"/>
      <c r="T11799" s="1420">
        <v>43830</v>
      </c>
      <c r="V11799" s="1357">
        <v>109</v>
      </c>
    </row>
    <row r="11800" spans="1:22" s="841" customFormat="1" ht="15" x14ac:dyDescent="0.25">
      <c r="A11800" s="841" t="s">
        <v>169</v>
      </c>
      <c r="E11800" s="1690" t="s">
        <v>5825</v>
      </c>
      <c r="F11800" s="1690"/>
      <c r="G11800" s="1408" t="s">
        <v>23</v>
      </c>
      <c r="H11800" s="391">
        <v>0.01</v>
      </c>
      <c r="K11800" s="841" t="s">
        <v>4615</v>
      </c>
      <c r="L11800" s="841" t="s">
        <v>442</v>
      </c>
      <c r="M11800" s="1357"/>
      <c r="P11800" s="841" t="s">
        <v>6457</v>
      </c>
      <c r="Q11800" s="1357"/>
      <c r="S11800" s="1420"/>
      <c r="T11800" s="1420">
        <v>43830</v>
      </c>
      <c r="V11800" s="1357">
        <v>109</v>
      </c>
    </row>
    <row r="11801" spans="1:22" s="841" customFormat="1" ht="15" x14ac:dyDescent="0.25">
      <c r="A11801" s="841" t="s">
        <v>169</v>
      </c>
      <c r="E11801" s="1690" t="s">
        <v>4612</v>
      </c>
      <c r="F11801" s="1690"/>
      <c r="G11801" s="1408" t="s">
        <v>23</v>
      </c>
      <c r="H11801" s="391">
        <v>0.18</v>
      </c>
      <c r="K11801" s="841" t="s">
        <v>4615</v>
      </c>
      <c r="L11801" s="841" t="s">
        <v>442</v>
      </c>
      <c r="M11801" s="1357"/>
      <c r="P11801" s="841" t="s">
        <v>6458</v>
      </c>
      <c r="Q11801" s="1357"/>
      <c r="S11801" s="1420"/>
      <c r="T11801" s="1420">
        <v>43830</v>
      </c>
      <c r="V11801" s="1357">
        <v>91</v>
      </c>
    </row>
    <row r="11802" spans="1:22" s="841" customFormat="1" ht="15" x14ac:dyDescent="0.25">
      <c r="A11802" s="841" t="s">
        <v>169</v>
      </c>
      <c r="E11802" s="1690" t="s">
        <v>4613</v>
      </c>
      <c r="F11802" s="1690"/>
      <c r="G11802" s="1408" t="s">
        <v>23</v>
      </c>
      <c r="H11802" s="391">
        <v>0.19</v>
      </c>
      <c r="K11802" s="841" t="s">
        <v>4615</v>
      </c>
      <c r="L11802" s="841" t="s">
        <v>442</v>
      </c>
      <c r="M11802" s="1357"/>
      <c r="P11802" s="841" t="s">
        <v>6459</v>
      </c>
      <c r="Q11802" s="1357"/>
      <c r="S11802" s="1420"/>
      <c r="T11802" s="1420">
        <v>43830</v>
      </c>
      <c r="V11802" s="1357">
        <v>84</v>
      </c>
    </row>
    <row r="11803" spans="1:22" s="841" customFormat="1" ht="15" x14ac:dyDescent="0.25">
      <c r="A11803" s="841" t="s">
        <v>169</v>
      </c>
      <c r="E11803" s="1690" t="s">
        <v>4614</v>
      </c>
      <c r="F11803" s="1690"/>
      <c r="G11803" s="1408" t="s">
        <v>23</v>
      </c>
      <c r="H11803" s="391">
        <v>0.09</v>
      </c>
      <c r="K11803" s="841" t="s">
        <v>4615</v>
      </c>
      <c r="L11803" s="841" t="s">
        <v>442</v>
      </c>
      <c r="M11803" s="1357"/>
      <c r="P11803" s="841" t="s">
        <v>6460</v>
      </c>
      <c r="Q11803" s="1357"/>
      <c r="S11803" s="1420"/>
      <c r="T11803" s="1420">
        <v>43830</v>
      </c>
      <c r="V11803" s="1357">
        <v>84</v>
      </c>
    </row>
    <row r="11804" spans="1:22" s="841" customFormat="1" ht="15" x14ac:dyDescent="0.25">
      <c r="A11804" s="841" t="s">
        <v>169</v>
      </c>
      <c r="E11804" s="1690" t="s">
        <v>84</v>
      </c>
      <c r="F11804" s="1690"/>
      <c r="G11804" s="1408" t="s">
        <v>24</v>
      </c>
      <c r="H11804" s="1327">
        <v>1.627E-2</v>
      </c>
      <c r="K11804" s="841" t="s">
        <v>4615</v>
      </c>
      <c r="L11804" s="841" t="s">
        <v>442</v>
      </c>
      <c r="M11804" s="1357"/>
      <c r="P11804" s="841" t="s">
        <v>4619</v>
      </c>
      <c r="Q11804" s="1357"/>
      <c r="S11804" s="1420"/>
      <c r="T11804" s="1420"/>
      <c r="V11804" s="1357">
        <v>28</v>
      </c>
    </row>
    <row r="11805" spans="1:22" s="841" customFormat="1" ht="15" x14ac:dyDescent="0.25">
      <c r="A11805" s="841" t="s">
        <v>169</v>
      </c>
      <c r="E11805" s="1690" t="s">
        <v>5827</v>
      </c>
      <c r="F11805" s="1908"/>
      <c r="G11805" s="1408" t="s">
        <v>24</v>
      </c>
      <c r="H11805" s="1327">
        <v>-1.1199999999999999E-3</v>
      </c>
      <c r="K11805" s="841" t="s">
        <v>4615</v>
      </c>
      <c r="L11805" s="841" t="s">
        <v>443</v>
      </c>
      <c r="M11805" s="1357"/>
      <c r="P11805" s="841" t="s">
        <v>5828</v>
      </c>
      <c r="Q11805" s="1357"/>
      <c r="S11805" s="1420"/>
      <c r="T11805" s="1420">
        <v>43465</v>
      </c>
      <c r="V11805" s="1357">
        <v>144</v>
      </c>
    </row>
    <row r="11806" spans="1:22" s="841" customFormat="1" ht="15" x14ac:dyDescent="0.25">
      <c r="A11806" s="841" t="s">
        <v>169</v>
      </c>
      <c r="E11806" s="1690" t="s">
        <v>5822</v>
      </c>
      <c r="F11806" s="1908"/>
      <c r="G11806" s="1408" t="s">
        <v>24</v>
      </c>
      <c r="H11806" s="1327">
        <v>6.8000000000000005E-4</v>
      </c>
      <c r="K11806" s="841" t="s">
        <v>4615</v>
      </c>
      <c r="L11806" s="841" t="s">
        <v>442</v>
      </c>
      <c r="M11806" s="1357"/>
      <c r="P11806" s="841" t="s">
        <v>5829</v>
      </c>
      <c r="Q11806" s="1357"/>
      <c r="S11806" s="1420"/>
      <c r="T11806" s="1420">
        <v>43465</v>
      </c>
      <c r="V11806" s="1357">
        <v>138</v>
      </c>
    </row>
    <row r="11807" spans="1:22" s="841" customFormat="1" ht="15" x14ac:dyDescent="0.25">
      <c r="A11807" s="841" t="s">
        <v>169</v>
      </c>
      <c r="E11807" s="1690" t="s">
        <v>5823</v>
      </c>
      <c r="F11807" s="1908"/>
      <c r="G11807" s="1408" t="s">
        <v>24</v>
      </c>
      <c r="H11807" s="1327">
        <v>-3.9199999999999999E-3</v>
      </c>
      <c r="K11807" s="841" t="s">
        <v>4615</v>
      </c>
      <c r="L11807" s="841" t="s">
        <v>443</v>
      </c>
      <c r="M11807" s="1357"/>
      <c r="P11807" s="841" t="s">
        <v>4620</v>
      </c>
      <c r="Q11807" s="1357"/>
      <c r="S11807" s="1420"/>
      <c r="T11807" s="1420">
        <v>43465</v>
      </c>
      <c r="V11807" s="1357">
        <v>105</v>
      </c>
    </row>
    <row r="11808" spans="1:22" s="841" customFormat="1" ht="15" x14ac:dyDescent="0.25">
      <c r="A11808" s="841" t="s">
        <v>169</v>
      </c>
      <c r="E11808" s="1690" t="s">
        <v>5830</v>
      </c>
      <c r="F11808" s="1908"/>
      <c r="G11808" s="1408" t="s">
        <v>24</v>
      </c>
      <c r="H11808" s="1327">
        <v>6.9999999999999994E-5</v>
      </c>
      <c r="K11808" s="841" t="s">
        <v>4615</v>
      </c>
      <c r="L11808" s="841" t="s">
        <v>443</v>
      </c>
      <c r="M11808" s="1357"/>
      <c r="P11808" s="841" t="s">
        <v>5831</v>
      </c>
      <c r="Q11808" s="1357"/>
      <c r="S11808" s="1420"/>
      <c r="T11808" s="1420">
        <v>43465</v>
      </c>
      <c r="V11808" s="1357">
        <v>150</v>
      </c>
    </row>
    <row r="11809" spans="1:22" s="841" customFormat="1" ht="15" x14ac:dyDescent="0.25">
      <c r="A11809" s="841" t="s">
        <v>169</v>
      </c>
      <c r="E11809" s="1690" t="s">
        <v>221</v>
      </c>
      <c r="F11809" s="1690"/>
      <c r="G11809" s="1408" t="s">
        <v>24</v>
      </c>
      <c r="H11809" s="1327">
        <v>7.5900000000000004E-3</v>
      </c>
      <c r="K11809" s="841" t="s">
        <v>4615</v>
      </c>
      <c r="L11809" s="841" t="s">
        <v>444</v>
      </c>
      <c r="M11809" s="1357"/>
      <c r="P11809" s="841" t="s">
        <v>4621</v>
      </c>
      <c r="Q11809" s="1357"/>
      <c r="S11809" s="1420"/>
      <c r="T11809" s="1420"/>
      <c r="V11809" s="1357">
        <v>47</v>
      </c>
    </row>
    <row r="11810" spans="1:22" s="841" customFormat="1" ht="15" x14ac:dyDescent="0.25">
      <c r="A11810" s="841" t="s">
        <v>169</v>
      </c>
      <c r="E11810" s="1690" t="s">
        <v>217</v>
      </c>
      <c r="F11810" s="1690"/>
      <c r="G11810" s="1408" t="s">
        <v>24</v>
      </c>
      <c r="H11810" s="1327">
        <v>6.1700000000000001E-3</v>
      </c>
      <c r="K11810" s="841" t="s">
        <v>4615</v>
      </c>
      <c r="L11810" s="841" t="s">
        <v>444</v>
      </c>
      <c r="M11810" s="1357"/>
      <c r="P11810" s="841" t="s">
        <v>4622</v>
      </c>
      <c r="Q11810" s="1357"/>
      <c r="S11810" s="1420"/>
      <c r="T11810" s="1420"/>
      <c r="V11810" s="1357">
        <v>74</v>
      </c>
    </row>
    <row r="11811" spans="1:22" s="841" customFormat="1" ht="15" x14ac:dyDescent="0.25">
      <c r="A11811" s="841" t="s">
        <v>169</v>
      </c>
      <c r="E11811" s="1694" t="s">
        <v>3079</v>
      </c>
      <c r="F11811" s="1690"/>
      <c r="G11811" s="1408"/>
      <c r="H11811" s="1408"/>
      <c r="K11811" s="841" t="s">
        <v>3093</v>
      </c>
      <c r="M11811" s="1357"/>
      <c r="Q11811" s="1357"/>
      <c r="S11811" s="1420"/>
      <c r="T11811" s="1420"/>
      <c r="V11811" s="1357">
        <v>48</v>
      </c>
    </row>
    <row r="11812" spans="1:22" s="841" customFormat="1" ht="15" x14ac:dyDescent="0.25">
      <c r="A11812" s="841" t="s">
        <v>169</v>
      </c>
      <c r="E11812" s="1690" t="s">
        <v>2449</v>
      </c>
      <c r="F11812" s="1690"/>
      <c r="G11812" s="1408" t="s">
        <v>24</v>
      </c>
      <c r="H11812" s="393">
        <v>3.2000000000000002E-3</v>
      </c>
      <c r="K11812" s="841" t="s">
        <v>4615</v>
      </c>
      <c r="L11812" s="841" t="s">
        <v>3046</v>
      </c>
      <c r="M11812" s="1357"/>
      <c r="P11812" s="841" t="s">
        <v>4623</v>
      </c>
      <c r="Q11812" s="1357"/>
      <c r="S11812" s="1420"/>
      <c r="T11812" s="1420"/>
      <c r="V11812" s="1357">
        <v>55</v>
      </c>
    </row>
    <row r="11813" spans="1:22" s="841" customFormat="1" ht="15" x14ac:dyDescent="0.25">
      <c r="A11813" s="841" t="s">
        <v>169</v>
      </c>
      <c r="E11813" s="1690" t="s">
        <v>2450</v>
      </c>
      <c r="F11813" s="1690"/>
      <c r="G11813" s="1408" t="s">
        <v>24</v>
      </c>
      <c r="H11813" s="393">
        <v>4.0000000000000002E-4</v>
      </c>
      <c r="K11813" s="841" t="s">
        <v>4615</v>
      </c>
      <c r="L11813" s="841" t="s">
        <v>3046</v>
      </c>
      <c r="M11813" s="1357"/>
      <c r="P11813" s="841" t="s">
        <v>4623</v>
      </c>
      <c r="Q11813" s="1357"/>
      <c r="S11813" s="1420"/>
      <c r="T11813" s="1420"/>
      <c r="V11813" s="1357">
        <v>65</v>
      </c>
    </row>
    <row r="11814" spans="1:22" s="841" customFormat="1" ht="15" x14ac:dyDescent="0.25">
      <c r="A11814" s="841" t="s">
        <v>169</v>
      </c>
      <c r="E11814" s="1690" t="s">
        <v>439</v>
      </c>
      <c r="F11814" s="1690"/>
      <c r="G11814" s="1408" t="s">
        <v>24</v>
      </c>
      <c r="H11814" s="393">
        <v>2.9999999999999997E-4</v>
      </c>
      <c r="K11814" s="841" t="s">
        <v>4615</v>
      </c>
      <c r="L11814" s="841" t="s">
        <v>3046</v>
      </c>
      <c r="M11814" s="1357"/>
      <c r="P11814" s="841" t="s">
        <v>5832</v>
      </c>
      <c r="Q11814" s="1357"/>
      <c r="S11814" s="1420"/>
      <c r="T11814" s="1420"/>
      <c r="V11814" s="1357">
        <v>57</v>
      </c>
    </row>
    <row r="11815" spans="1:22" s="841" customFormat="1" ht="15" x14ac:dyDescent="0.25">
      <c r="A11815" s="841" t="s">
        <v>169</v>
      </c>
      <c r="E11815" s="1690" t="s">
        <v>32</v>
      </c>
      <c r="F11815" s="1690"/>
      <c r="G11815" s="1408" t="s">
        <v>23</v>
      </c>
      <c r="H11815" s="1328">
        <v>0.25</v>
      </c>
      <c r="K11815" s="841" t="s">
        <v>4615</v>
      </c>
      <c r="L11815" s="841" t="s">
        <v>3046</v>
      </c>
      <c r="M11815" s="1357"/>
      <c r="P11815" s="841" t="s">
        <v>5833</v>
      </c>
      <c r="Q11815" s="1357"/>
      <c r="S11815" s="1420"/>
      <c r="T11815" s="1420"/>
      <c r="V11815" s="1357">
        <v>63</v>
      </c>
    </row>
    <row r="11816" spans="1:22" s="841" customFormat="1" x14ac:dyDescent="0.25">
      <c r="A11816" s="841" t="s">
        <v>169</v>
      </c>
      <c r="E11816" s="1695" t="s">
        <v>3214</v>
      </c>
      <c r="F11816" s="1695"/>
      <c r="G11816" s="1695"/>
      <c r="H11816" s="1695"/>
      <c r="K11816" s="841" t="s">
        <v>5426</v>
      </c>
      <c r="M11816" s="1357"/>
      <c r="Q11816" s="1357"/>
      <c r="S11816" s="1420"/>
      <c r="T11816" s="1420"/>
      <c r="V11816" s="1357">
        <v>54</v>
      </c>
    </row>
    <row r="11817" spans="1:22" s="841" customFormat="1" ht="15" x14ac:dyDescent="0.25">
      <c r="A11817" s="841" t="s">
        <v>169</v>
      </c>
      <c r="E11817" s="1689" t="s">
        <v>3679</v>
      </c>
      <c r="F11817" s="1689"/>
      <c r="G11817" s="1689"/>
      <c r="H11817" s="1689"/>
      <c r="K11817" s="841" t="s">
        <v>5426</v>
      </c>
      <c r="M11817" s="1357"/>
      <c r="Q11817" s="1357"/>
      <c r="S11817" s="1420"/>
      <c r="T11817" s="1420"/>
      <c r="V11817" s="1357">
        <v>291</v>
      </c>
    </row>
    <row r="11818" spans="1:22" s="841" customFormat="1" ht="15" x14ac:dyDescent="0.25">
      <c r="A11818" s="841" t="s">
        <v>169</v>
      </c>
      <c r="E11818" s="1696" t="s">
        <v>3061</v>
      </c>
      <c r="F11818" s="1697"/>
      <c r="G11818" s="1697"/>
      <c r="H11818" s="1697"/>
      <c r="K11818" s="841" t="s">
        <v>3098</v>
      </c>
      <c r="M11818" s="1357"/>
      <c r="Q11818" s="1357"/>
      <c r="S11818" s="1420"/>
      <c r="T11818" s="1420"/>
      <c r="V11818" s="1357">
        <v>11</v>
      </c>
    </row>
    <row r="11819" spans="1:22" s="841" customFormat="1" ht="15" x14ac:dyDescent="0.25">
      <c r="A11819" s="841" t="s">
        <v>169</v>
      </c>
      <c r="E11819" s="1689" t="s">
        <v>3063</v>
      </c>
      <c r="F11819" s="1689"/>
      <c r="G11819" s="1689"/>
      <c r="H11819" s="1689"/>
      <c r="K11819" s="841" t="s">
        <v>5426</v>
      </c>
      <c r="M11819" s="1357"/>
      <c r="Q11819" s="1357"/>
      <c r="S11819" s="1420"/>
      <c r="T11819" s="1420"/>
      <c r="V11819" s="1357">
        <v>280</v>
      </c>
    </row>
    <row r="11820" spans="1:22" s="841" customFormat="1" ht="15" x14ac:dyDescent="0.25">
      <c r="A11820" s="841" t="s">
        <v>169</v>
      </c>
      <c r="E11820" s="1689" t="s">
        <v>3064</v>
      </c>
      <c r="F11820" s="1689"/>
      <c r="G11820" s="1689"/>
      <c r="H11820" s="1689"/>
      <c r="K11820" s="841" t="s">
        <v>5426</v>
      </c>
      <c r="M11820" s="1357"/>
      <c r="Q11820" s="1357"/>
      <c r="S11820" s="1420"/>
      <c r="T11820" s="1420"/>
      <c r="V11820" s="1357">
        <v>411</v>
      </c>
    </row>
    <row r="11821" spans="1:22" s="841" customFormat="1" ht="15" x14ac:dyDescent="0.25">
      <c r="A11821" s="841" t="s">
        <v>169</v>
      </c>
      <c r="E11821" s="1689" t="s">
        <v>3065</v>
      </c>
      <c r="F11821" s="1689"/>
      <c r="G11821" s="1689"/>
      <c r="H11821" s="1689"/>
      <c r="K11821" s="841" t="s">
        <v>5426</v>
      </c>
      <c r="M11821" s="1357"/>
      <c r="Q11821" s="1357"/>
      <c r="S11821" s="1420"/>
      <c r="T11821" s="1420"/>
      <c r="V11821" s="1357">
        <v>387</v>
      </c>
    </row>
    <row r="11822" spans="1:22" s="841" customFormat="1" ht="15" x14ac:dyDescent="0.25">
      <c r="A11822" s="841" t="s">
        <v>169</v>
      </c>
      <c r="E11822" s="1689" t="s">
        <v>3390</v>
      </c>
      <c r="F11822" s="1689"/>
      <c r="G11822" s="1689"/>
      <c r="H11822" s="1689"/>
      <c r="K11822" s="841" t="s">
        <v>5426</v>
      </c>
      <c r="M11822" s="1357"/>
      <c r="Q11822" s="1357"/>
      <c r="S11822" s="1420"/>
      <c r="T11822" s="1420"/>
      <c r="V11822" s="1357">
        <v>274</v>
      </c>
    </row>
    <row r="11823" spans="1:22" s="841" customFormat="1" ht="15" x14ac:dyDescent="0.25">
      <c r="A11823" s="841" t="s">
        <v>169</v>
      </c>
      <c r="E11823" s="1692" t="s">
        <v>3067</v>
      </c>
      <c r="F11823" s="1693"/>
      <c r="G11823" s="1693"/>
      <c r="H11823" s="1693"/>
      <c r="K11823" s="841" t="s">
        <v>3099</v>
      </c>
      <c r="M11823" s="1357"/>
      <c r="Q11823" s="1357"/>
      <c r="S11823" s="1420"/>
      <c r="T11823" s="1420"/>
      <c r="V11823" s="1357">
        <v>46</v>
      </c>
    </row>
    <row r="11824" spans="1:22" s="841" customFormat="1" ht="15" x14ac:dyDescent="0.25">
      <c r="A11824" s="841" t="s">
        <v>169</v>
      </c>
      <c r="E11824" s="1690" t="s">
        <v>11</v>
      </c>
      <c r="F11824" s="1690"/>
      <c r="G11824" s="1408" t="s">
        <v>23</v>
      </c>
      <c r="H11824" s="1193">
        <v>34.450000000000003</v>
      </c>
      <c r="K11824" s="841" t="s">
        <v>5426</v>
      </c>
      <c r="L11824" s="841" t="s">
        <v>442</v>
      </c>
      <c r="M11824" s="1357"/>
      <c r="P11824" s="841" t="s">
        <v>5427</v>
      </c>
      <c r="Q11824" s="1357"/>
      <c r="S11824" s="1420"/>
      <c r="T11824" s="1420"/>
      <c r="V11824" s="1357">
        <v>14</v>
      </c>
    </row>
    <row r="11825" spans="1:22" s="841" customFormat="1" ht="15" x14ac:dyDescent="0.25">
      <c r="A11825" s="841" t="s">
        <v>169</v>
      </c>
      <c r="E11825" s="1690" t="s">
        <v>423</v>
      </c>
      <c r="F11825" s="1690"/>
      <c r="G11825" s="1408" t="s">
        <v>23</v>
      </c>
      <c r="H11825" s="391">
        <v>0.78</v>
      </c>
      <c r="K11825" s="841" t="s">
        <v>5426</v>
      </c>
      <c r="L11825" s="841" t="s">
        <v>443</v>
      </c>
      <c r="M11825" s="1357"/>
      <c r="P11825" s="841" t="s">
        <v>5428</v>
      </c>
      <c r="Q11825" s="1357"/>
      <c r="S11825" s="1420"/>
      <c r="T11825" s="1420">
        <v>43404</v>
      </c>
      <c r="V11825" s="1357">
        <v>78</v>
      </c>
    </row>
    <row r="11826" spans="1:22" s="841" customFormat="1" ht="15" x14ac:dyDescent="0.25">
      <c r="A11826" s="841" t="s">
        <v>169</v>
      </c>
      <c r="E11826" s="1690" t="s">
        <v>3896</v>
      </c>
      <c r="F11826" s="1690"/>
      <c r="G11826" s="1408" t="s">
        <v>23</v>
      </c>
      <c r="H11826" s="391">
        <v>1.55</v>
      </c>
      <c r="K11826" s="841" t="s">
        <v>5426</v>
      </c>
      <c r="L11826" s="841" t="s">
        <v>442</v>
      </c>
      <c r="M11826" s="1357"/>
      <c r="P11826" s="841" t="s">
        <v>5834</v>
      </c>
      <c r="Q11826" s="1357"/>
      <c r="S11826" s="1420"/>
      <c r="T11826" s="1420">
        <v>43830</v>
      </c>
      <c r="V11826" s="1357">
        <v>84</v>
      </c>
    </row>
    <row r="11827" spans="1:22" s="841" customFormat="1" ht="15" x14ac:dyDescent="0.25">
      <c r="A11827" s="841" t="s">
        <v>169</v>
      </c>
      <c r="E11827" s="1690" t="s">
        <v>4613</v>
      </c>
      <c r="F11827" s="1690"/>
      <c r="G11827" s="1408" t="s">
        <v>23</v>
      </c>
      <c r="H11827" s="391">
        <v>0.79</v>
      </c>
      <c r="K11827" s="841" t="s">
        <v>5426</v>
      </c>
      <c r="L11827" s="841" t="s">
        <v>442</v>
      </c>
      <c r="M11827" s="1357"/>
      <c r="P11827" s="841" t="s">
        <v>6461</v>
      </c>
      <c r="Q11827" s="1357"/>
      <c r="S11827" s="1420"/>
      <c r="T11827" s="1420">
        <v>43830</v>
      </c>
      <c r="V11827" s="1357">
        <v>84</v>
      </c>
    </row>
    <row r="11828" spans="1:22" s="841" customFormat="1" ht="15" x14ac:dyDescent="0.25">
      <c r="A11828" s="841" t="s">
        <v>169</v>
      </c>
      <c r="E11828" s="1690" t="s">
        <v>4614</v>
      </c>
      <c r="F11828" s="1690"/>
      <c r="G11828" s="1408" t="s">
        <v>23</v>
      </c>
      <c r="H11828" s="391">
        <v>0.25</v>
      </c>
      <c r="K11828" s="841" t="s">
        <v>5426</v>
      </c>
      <c r="L11828" s="841" t="s">
        <v>442</v>
      </c>
      <c r="M11828" s="1357"/>
      <c r="P11828" s="841" t="s">
        <v>6462</v>
      </c>
      <c r="Q11828" s="1357"/>
      <c r="S11828" s="1420"/>
      <c r="T11828" s="1420">
        <v>43830</v>
      </c>
      <c r="V11828" s="1357">
        <v>84</v>
      </c>
    </row>
    <row r="11829" spans="1:22" s="841" customFormat="1" ht="15" x14ac:dyDescent="0.25">
      <c r="A11829" s="841" t="s">
        <v>169</v>
      </c>
      <c r="E11829" s="1690" t="s">
        <v>84</v>
      </c>
      <c r="F11829" s="1690"/>
      <c r="G11829" s="1408" t="s">
        <v>24</v>
      </c>
      <c r="H11829" s="1327">
        <v>3.1870000000000002E-2</v>
      </c>
      <c r="K11829" s="841" t="s">
        <v>5426</v>
      </c>
      <c r="L11829" s="841" t="s">
        <v>442</v>
      </c>
      <c r="M11829" s="1357"/>
      <c r="P11829" s="841" t="s">
        <v>5429</v>
      </c>
      <c r="Q11829" s="1357"/>
      <c r="S11829" s="1420"/>
      <c r="T11829" s="1420"/>
      <c r="V11829" s="1357">
        <v>28</v>
      </c>
    </row>
    <row r="11830" spans="1:22" s="841" customFormat="1" ht="15" x14ac:dyDescent="0.25">
      <c r="A11830" s="841" t="s">
        <v>169</v>
      </c>
      <c r="E11830" s="1690" t="s">
        <v>5830</v>
      </c>
      <c r="F11830" s="1908"/>
      <c r="G11830" s="1408" t="s">
        <v>24</v>
      </c>
      <c r="H11830" s="1327">
        <v>6.9999999999999994E-5</v>
      </c>
      <c r="K11830" s="841" t="s">
        <v>5426</v>
      </c>
      <c r="L11830" s="841" t="s">
        <v>443</v>
      </c>
      <c r="M11830" s="1357"/>
      <c r="P11830" s="841" t="s">
        <v>5433</v>
      </c>
      <c r="Q11830" s="1357"/>
      <c r="S11830" s="1420"/>
      <c r="T11830" s="1420">
        <v>43465</v>
      </c>
      <c r="V11830" s="1357">
        <v>150</v>
      </c>
    </row>
    <row r="11831" spans="1:22" s="841" customFormat="1" ht="15" x14ac:dyDescent="0.25">
      <c r="A11831" s="841" t="s">
        <v>169</v>
      </c>
      <c r="E11831" s="1690" t="s">
        <v>4611</v>
      </c>
      <c r="F11831" s="1690"/>
      <c r="G11831" s="1408" t="s">
        <v>24</v>
      </c>
      <c r="H11831" s="1327">
        <v>-5.1000000000000004E-4</v>
      </c>
      <c r="K11831" s="841" t="s">
        <v>5426</v>
      </c>
      <c r="L11831" s="841" t="s">
        <v>442</v>
      </c>
      <c r="M11831" s="1357"/>
      <c r="P11831" s="841" t="s">
        <v>6463</v>
      </c>
      <c r="Q11831" s="1357"/>
      <c r="S11831" s="1420"/>
      <c r="T11831" s="1420">
        <v>43465</v>
      </c>
      <c r="V11831" s="1357">
        <v>109</v>
      </c>
    </row>
    <row r="11832" spans="1:22" s="841" customFormat="1" ht="15" x14ac:dyDescent="0.25">
      <c r="A11832" s="841" t="s">
        <v>169</v>
      </c>
      <c r="E11832" s="1690" t="s">
        <v>5827</v>
      </c>
      <c r="F11832" s="1908"/>
      <c r="G11832" s="1408" t="s">
        <v>24</v>
      </c>
      <c r="H11832" s="1327">
        <v>-1.1199999999999999E-3</v>
      </c>
      <c r="K11832" s="841" t="s">
        <v>5426</v>
      </c>
      <c r="L11832" s="841" t="s">
        <v>443</v>
      </c>
      <c r="M11832" s="1357"/>
      <c r="P11832" s="841" t="s">
        <v>5431</v>
      </c>
      <c r="Q11832" s="1357"/>
      <c r="S11832" s="1420"/>
      <c r="T11832" s="1420">
        <v>43465</v>
      </c>
      <c r="V11832" s="1357">
        <v>144</v>
      </c>
    </row>
    <row r="11833" spans="1:22" s="841" customFormat="1" ht="15" x14ac:dyDescent="0.25">
      <c r="A11833" s="841" t="s">
        <v>169</v>
      </c>
      <c r="E11833" s="1690" t="s">
        <v>5822</v>
      </c>
      <c r="F11833" s="1908"/>
      <c r="G11833" s="1408" t="s">
        <v>24</v>
      </c>
      <c r="H11833" s="1327">
        <v>-1.9000000000000001E-4</v>
      </c>
      <c r="K11833" s="841" t="s">
        <v>5426</v>
      </c>
      <c r="L11833" s="841" t="s">
        <v>442</v>
      </c>
      <c r="M11833" s="1357"/>
      <c r="P11833" s="841" t="s">
        <v>5835</v>
      </c>
      <c r="Q11833" s="1357"/>
      <c r="S11833" s="1420"/>
      <c r="T11833" s="1420">
        <v>43465</v>
      </c>
      <c r="V11833" s="1357">
        <v>138</v>
      </c>
    </row>
    <row r="11834" spans="1:22" s="841" customFormat="1" ht="15" x14ac:dyDescent="0.25">
      <c r="A11834" s="841" t="s">
        <v>169</v>
      </c>
      <c r="E11834" s="1690" t="s">
        <v>5823</v>
      </c>
      <c r="F11834" s="1908"/>
      <c r="G11834" s="1408" t="s">
        <v>24</v>
      </c>
      <c r="H11834" s="1327">
        <v>-3.1700000000000001E-3</v>
      </c>
      <c r="K11834" s="841" t="s">
        <v>5426</v>
      </c>
      <c r="L11834" s="841" t="s">
        <v>443</v>
      </c>
      <c r="M11834" s="1357"/>
      <c r="P11834" s="841" t="s">
        <v>5432</v>
      </c>
      <c r="Q11834" s="1357"/>
      <c r="S11834" s="1420"/>
      <c r="T11834" s="1420">
        <v>43465</v>
      </c>
      <c r="V11834" s="1357">
        <v>105</v>
      </c>
    </row>
    <row r="11835" spans="1:22" s="841" customFormat="1" ht="15" x14ac:dyDescent="0.25">
      <c r="A11835" s="841" t="s">
        <v>169</v>
      </c>
      <c r="E11835" s="1690" t="s">
        <v>5817</v>
      </c>
      <c r="F11835" s="1690"/>
      <c r="G11835" s="1408" t="s">
        <v>24</v>
      </c>
      <c r="H11835" s="1327">
        <v>-1.56E-3</v>
      </c>
      <c r="K11835" s="841" t="s">
        <v>5426</v>
      </c>
      <c r="L11835" s="841" t="s">
        <v>442</v>
      </c>
      <c r="M11835" s="1357"/>
      <c r="P11835" s="841" t="s">
        <v>6464</v>
      </c>
      <c r="Q11835" s="1357"/>
      <c r="S11835" s="1420"/>
      <c r="T11835" s="1420">
        <v>43465</v>
      </c>
      <c r="V11835" s="1357">
        <v>116</v>
      </c>
    </row>
    <row r="11836" spans="1:22" s="841" customFormat="1" ht="15" x14ac:dyDescent="0.25">
      <c r="A11836" s="841" t="s">
        <v>169</v>
      </c>
      <c r="E11836" s="1690" t="s">
        <v>5818</v>
      </c>
      <c r="F11836" s="1690"/>
      <c r="G11836" s="1408" t="s">
        <v>24</v>
      </c>
      <c r="H11836" s="1327">
        <v>1.2999999999999999E-4</v>
      </c>
      <c r="K11836" s="841" t="s">
        <v>5426</v>
      </c>
      <c r="L11836" s="841" t="s">
        <v>442</v>
      </c>
      <c r="M11836" s="1357"/>
      <c r="P11836" s="841" t="s">
        <v>6465</v>
      </c>
      <c r="Q11836" s="1357"/>
      <c r="S11836" s="1420"/>
      <c r="T11836" s="1420">
        <v>43830</v>
      </c>
      <c r="V11836" s="1357">
        <v>109</v>
      </c>
    </row>
    <row r="11837" spans="1:22" s="841" customFormat="1" ht="15" x14ac:dyDescent="0.25">
      <c r="A11837" s="841" t="s">
        <v>169</v>
      </c>
      <c r="E11837" s="1690" t="s">
        <v>5825</v>
      </c>
      <c r="F11837" s="1690"/>
      <c r="G11837" s="1408" t="s">
        <v>24</v>
      </c>
      <c r="H11837" s="1327">
        <v>3.0000000000000001E-5</v>
      </c>
      <c r="K11837" s="841" t="s">
        <v>5426</v>
      </c>
      <c r="L11837" s="841" t="s">
        <v>442</v>
      </c>
      <c r="M11837" s="1357"/>
      <c r="P11837" s="841" t="s">
        <v>6466</v>
      </c>
      <c r="Q11837" s="1357"/>
      <c r="S11837" s="1420"/>
      <c r="T11837" s="1420">
        <v>43830</v>
      </c>
      <c r="V11837" s="1357">
        <v>109</v>
      </c>
    </row>
    <row r="11838" spans="1:22" s="841" customFormat="1" ht="15" x14ac:dyDescent="0.25">
      <c r="A11838" s="841" t="s">
        <v>169</v>
      </c>
      <c r="E11838" s="1690" t="s">
        <v>4612</v>
      </c>
      <c r="F11838" s="1690"/>
      <c r="G11838" s="1408" t="s">
        <v>24</v>
      </c>
      <c r="H11838" s="1327">
        <v>4.8999999999999998E-4</v>
      </c>
      <c r="K11838" s="841" t="s">
        <v>5426</v>
      </c>
      <c r="L11838" s="841" t="s">
        <v>442</v>
      </c>
      <c r="M11838" s="1357"/>
      <c r="P11838" s="841" t="s">
        <v>6467</v>
      </c>
      <c r="Q11838" s="1357"/>
      <c r="S11838" s="1420"/>
      <c r="T11838" s="1420">
        <v>43830</v>
      </c>
      <c r="V11838" s="1357">
        <v>91</v>
      </c>
    </row>
    <row r="11839" spans="1:22" s="841" customFormat="1" ht="15" x14ac:dyDescent="0.25">
      <c r="A11839" s="841" t="s">
        <v>169</v>
      </c>
      <c r="E11839" s="1690" t="s">
        <v>4613</v>
      </c>
      <c r="F11839" s="1690"/>
      <c r="G11839" s="1408" t="s">
        <v>24</v>
      </c>
      <c r="H11839" s="1327">
        <v>7.6000000000000004E-4</v>
      </c>
      <c r="K11839" s="841" t="s">
        <v>5426</v>
      </c>
      <c r="L11839" s="841" t="s">
        <v>442</v>
      </c>
      <c r="M11839" s="1357"/>
      <c r="P11839" s="841" t="s">
        <v>6468</v>
      </c>
      <c r="Q11839" s="1357"/>
      <c r="S11839" s="1420"/>
      <c r="T11839" s="1420">
        <v>43830</v>
      </c>
      <c r="V11839" s="1357">
        <v>84</v>
      </c>
    </row>
    <row r="11840" spans="1:22" s="841" customFormat="1" ht="15" x14ac:dyDescent="0.25">
      <c r="A11840" s="841" t="s">
        <v>169</v>
      </c>
      <c r="E11840" s="1690" t="s">
        <v>4614</v>
      </c>
      <c r="F11840" s="1690"/>
      <c r="G11840" s="1408" t="s">
        <v>24</v>
      </c>
      <c r="H11840" s="1327">
        <v>2.4000000000000001E-4</v>
      </c>
      <c r="K11840" s="841" t="s">
        <v>5426</v>
      </c>
      <c r="L11840" s="841" t="s">
        <v>442</v>
      </c>
      <c r="M11840" s="1357"/>
      <c r="P11840" s="841" t="s">
        <v>6469</v>
      </c>
      <c r="Q11840" s="1357"/>
      <c r="S11840" s="1420"/>
      <c r="T11840" s="1420">
        <v>43830</v>
      </c>
      <c r="V11840" s="1357">
        <v>84</v>
      </c>
    </row>
    <row r="11841" spans="1:22" s="841" customFormat="1" ht="15" x14ac:dyDescent="0.25">
      <c r="A11841" s="841" t="s">
        <v>169</v>
      </c>
      <c r="E11841" s="1690" t="s">
        <v>221</v>
      </c>
      <c r="F11841" s="1690"/>
      <c r="G11841" s="1408" t="s">
        <v>24</v>
      </c>
      <c r="H11841" s="1327">
        <v>7.3899999999999999E-3</v>
      </c>
      <c r="K11841" s="841" t="s">
        <v>5426</v>
      </c>
      <c r="L11841" s="841" t="s">
        <v>444</v>
      </c>
      <c r="M11841" s="1357"/>
      <c r="P11841" s="841" t="s">
        <v>5434</v>
      </c>
      <c r="Q11841" s="1357"/>
      <c r="S11841" s="1420"/>
      <c r="T11841" s="1420"/>
      <c r="V11841" s="1357">
        <v>47</v>
      </c>
    </row>
    <row r="11842" spans="1:22" s="841" customFormat="1" ht="15" x14ac:dyDescent="0.25">
      <c r="A11842" s="841" t="s">
        <v>169</v>
      </c>
      <c r="E11842" s="1690" t="s">
        <v>217</v>
      </c>
      <c r="F11842" s="1690"/>
      <c r="G11842" s="1408" t="s">
        <v>24</v>
      </c>
      <c r="H11842" s="1327">
        <v>5.5199999999999997E-3</v>
      </c>
      <c r="K11842" s="841" t="s">
        <v>5426</v>
      </c>
      <c r="L11842" s="841" t="s">
        <v>444</v>
      </c>
      <c r="M11842" s="1357"/>
      <c r="P11842" s="841" t="s">
        <v>5435</v>
      </c>
      <c r="Q11842" s="1357"/>
      <c r="S11842" s="1420"/>
      <c r="T11842" s="1420"/>
      <c r="V11842" s="1357">
        <v>74</v>
      </c>
    </row>
    <row r="11843" spans="1:22" s="841" customFormat="1" ht="15" x14ac:dyDescent="0.25">
      <c r="A11843" s="841" t="s">
        <v>169</v>
      </c>
      <c r="E11843" s="1694" t="s">
        <v>3079</v>
      </c>
      <c r="F11843" s="1690"/>
      <c r="G11843" s="1408"/>
      <c r="H11843" s="1408"/>
      <c r="K11843" s="841" t="s">
        <v>3218</v>
      </c>
      <c r="M11843" s="1357"/>
      <c r="Q11843" s="1357"/>
      <c r="S11843" s="1420"/>
      <c r="T11843" s="1420"/>
      <c r="V11843" s="1357">
        <v>48</v>
      </c>
    </row>
    <row r="11844" spans="1:22" s="841" customFormat="1" ht="15" x14ac:dyDescent="0.25">
      <c r="A11844" s="841" t="s">
        <v>169</v>
      </c>
      <c r="E11844" s="1690" t="s">
        <v>2449</v>
      </c>
      <c r="F11844" s="1690"/>
      <c r="G11844" s="1408" t="s">
        <v>24</v>
      </c>
      <c r="H11844" s="393">
        <v>3.2000000000000002E-3</v>
      </c>
      <c r="K11844" s="841" t="s">
        <v>5426</v>
      </c>
      <c r="L11844" s="841" t="s">
        <v>3046</v>
      </c>
      <c r="M11844" s="1357"/>
      <c r="P11844" s="841" t="s">
        <v>5436</v>
      </c>
      <c r="Q11844" s="1357"/>
      <c r="S11844" s="1420"/>
      <c r="T11844" s="1420"/>
      <c r="V11844" s="1357">
        <v>55</v>
      </c>
    </row>
    <row r="11845" spans="1:22" s="841" customFormat="1" ht="15" x14ac:dyDescent="0.25">
      <c r="A11845" s="841" t="s">
        <v>169</v>
      </c>
      <c r="E11845" s="1690" t="s">
        <v>2450</v>
      </c>
      <c r="F11845" s="1690"/>
      <c r="G11845" s="1408" t="s">
        <v>24</v>
      </c>
      <c r="H11845" s="393">
        <v>4.0000000000000002E-4</v>
      </c>
      <c r="K11845" s="841" t="s">
        <v>5426</v>
      </c>
      <c r="L11845" s="841" t="s">
        <v>3046</v>
      </c>
      <c r="M11845" s="1357"/>
      <c r="P11845" s="841" t="s">
        <v>5436</v>
      </c>
      <c r="Q11845" s="1357"/>
      <c r="S11845" s="1420"/>
      <c r="T11845" s="1420"/>
      <c r="V11845" s="1357">
        <v>65</v>
      </c>
    </row>
    <row r="11846" spans="1:22" s="841" customFormat="1" ht="15" x14ac:dyDescent="0.25">
      <c r="A11846" s="841" t="s">
        <v>169</v>
      </c>
      <c r="E11846" s="1690" t="s">
        <v>439</v>
      </c>
      <c r="F11846" s="1690"/>
      <c r="G11846" s="1408" t="s">
        <v>24</v>
      </c>
      <c r="H11846" s="393">
        <v>2.9999999999999997E-4</v>
      </c>
      <c r="K11846" s="841" t="s">
        <v>5426</v>
      </c>
      <c r="L11846" s="841" t="s">
        <v>3046</v>
      </c>
      <c r="M11846" s="1357"/>
      <c r="P11846" s="841" t="s">
        <v>5437</v>
      </c>
      <c r="Q11846" s="1357"/>
      <c r="S11846" s="1420"/>
      <c r="T11846" s="1420"/>
      <c r="V11846" s="1357">
        <v>57</v>
      </c>
    </row>
    <row r="11847" spans="1:22" s="841" customFormat="1" ht="15" x14ac:dyDescent="0.25">
      <c r="A11847" s="841" t="s">
        <v>169</v>
      </c>
      <c r="E11847" s="1690" t="s">
        <v>32</v>
      </c>
      <c r="F11847" s="1690"/>
      <c r="G11847" s="1408" t="s">
        <v>23</v>
      </c>
      <c r="H11847" s="1328">
        <v>0.25</v>
      </c>
      <c r="K11847" s="841" t="s">
        <v>5426</v>
      </c>
      <c r="L11847" s="841" t="s">
        <v>3046</v>
      </c>
      <c r="M11847" s="1357"/>
      <c r="P11847" s="841" t="s">
        <v>5438</v>
      </c>
      <c r="Q11847" s="1357"/>
      <c r="S11847" s="1420"/>
      <c r="T11847" s="1420"/>
      <c r="V11847" s="1357">
        <v>63</v>
      </c>
    </row>
    <row r="11848" spans="1:22" s="841" customFormat="1" x14ac:dyDescent="0.25">
      <c r="A11848" s="841" t="s">
        <v>169</v>
      </c>
      <c r="E11848" s="1695" t="s">
        <v>3216</v>
      </c>
      <c r="F11848" s="1695"/>
      <c r="G11848" s="1695"/>
      <c r="H11848" s="1695"/>
      <c r="K11848" s="841" t="s">
        <v>5836</v>
      </c>
      <c r="M11848" s="1357"/>
      <c r="Q11848" s="1357"/>
      <c r="S11848" s="1420"/>
      <c r="T11848" s="1420"/>
      <c r="V11848" s="1357">
        <v>51</v>
      </c>
    </row>
    <row r="11849" spans="1:22" s="841" customFormat="1" ht="15" x14ac:dyDescent="0.25">
      <c r="A11849" s="841" t="s">
        <v>169</v>
      </c>
      <c r="E11849" s="1689" t="s">
        <v>4624</v>
      </c>
      <c r="F11849" s="1689"/>
      <c r="G11849" s="1689"/>
      <c r="H11849" s="1689"/>
      <c r="K11849" s="841" t="s">
        <v>5836</v>
      </c>
      <c r="M11849" s="1357"/>
      <c r="Q11849" s="1357"/>
      <c r="S11849" s="1420"/>
      <c r="T11849" s="1420"/>
      <c r="V11849" s="1357">
        <v>526</v>
      </c>
    </row>
    <row r="11850" spans="1:22" s="841" customFormat="1" ht="15" x14ac:dyDescent="0.25">
      <c r="A11850" s="841" t="s">
        <v>169</v>
      </c>
      <c r="E11850" s="1696" t="s">
        <v>3061</v>
      </c>
      <c r="F11850" s="1697"/>
      <c r="G11850" s="1697"/>
      <c r="H11850" s="1697"/>
      <c r="K11850" s="841" t="s">
        <v>3221</v>
      </c>
      <c r="M11850" s="1357"/>
      <c r="Q11850" s="1357"/>
      <c r="S11850" s="1420"/>
      <c r="T11850" s="1420"/>
      <c r="V11850" s="1357">
        <v>11</v>
      </c>
    </row>
    <row r="11851" spans="1:22" s="841" customFormat="1" ht="15" x14ac:dyDescent="0.25">
      <c r="A11851" s="841" t="s">
        <v>169</v>
      </c>
      <c r="E11851" s="1689" t="s">
        <v>3063</v>
      </c>
      <c r="F11851" s="1689"/>
      <c r="G11851" s="1689"/>
      <c r="H11851" s="1689"/>
      <c r="K11851" s="841" t="s">
        <v>5836</v>
      </c>
      <c r="M11851" s="1357"/>
      <c r="Q11851" s="1357"/>
      <c r="S11851" s="1420"/>
      <c r="T11851" s="1420"/>
      <c r="V11851" s="1357">
        <v>280</v>
      </c>
    </row>
    <row r="11852" spans="1:22" s="841" customFormat="1" ht="15" x14ac:dyDescent="0.25">
      <c r="A11852" s="841" t="s">
        <v>169</v>
      </c>
      <c r="E11852" s="1689" t="s">
        <v>3064</v>
      </c>
      <c r="F11852" s="1689"/>
      <c r="G11852" s="1689"/>
      <c r="H11852" s="1689"/>
      <c r="K11852" s="841" t="s">
        <v>5836</v>
      </c>
      <c r="M11852" s="1357"/>
      <c r="Q11852" s="1357"/>
      <c r="S11852" s="1420"/>
      <c r="T11852" s="1420"/>
      <c r="V11852" s="1357">
        <v>411</v>
      </c>
    </row>
    <row r="11853" spans="1:22" s="841" customFormat="1" ht="15" x14ac:dyDescent="0.25">
      <c r="A11853" s="841" t="s">
        <v>169</v>
      </c>
      <c r="E11853" s="1689" t="s">
        <v>3065</v>
      </c>
      <c r="F11853" s="1689"/>
      <c r="G11853" s="1689"/>
      <c r="H11853" s="1689"/>
      <c r="K11853" s="841" t="s">
        <v>5836</v>
      </c>
      <c r="M11853" s="1357"/>
      <c r="Q11853" s="1357"/>
      <c r="S11853" s="1420"/>
      <c r="T11853" s="1420"/>
      <c r="V11853" s="1357">
        <v>387</v>
      </c>
    </row>
    <row r="11854" spans="1:22" s="841" customFormat="1" ht="15" x14ac:dyDescent="0.25">
      <c r="A11854" s="841" t="s">
        <v>169</v>
      </c>
      <c r="E11854" s="1689" t="s">
        <v>3222</v>
      </c>
      <c r="F11854" s="1689"/>
      <c r="G11854" s="1689"/>
      <c r="H11854" s="1689"/>
      <c r="K11854" s="841" t="s">
        <v>5836</v>
      </c>
      <c r="M11854" s="1357"/>
      <c r="Q11854" s="1357"/>
      <c r="S11854" s="1420"/>
      <c r="T11854" s="1420"/>
      <c r="V11854" s="1357">
        <v>610</v>
      </c>
    </row>
    <row r="11855" spans="1:22" s="841" customFormat="1" ht="15" x14ac:dyDescent="0.25">
      <c r="A11855" s="841" t="s">
        <v>169</v>
      </c>
      <c r="E11855" s="1689" t="s">
        <v>4625</v>
      </c>
      <c r="F11855" s="1689"/>
      <c r="G11855" s="1689"/>
      <c r="H11855" s="1689"/>
      <c r="K11855" s="841" t="s">
        <v>5836</v>
      </c>
      <c r="M11855" s="1357"/>
      <c r="Q11855" s="1357"/>
      <c r="S11855" s="1420"/>
      <c r="T11855" s="1420"/>
      <c r="V11855" s="1357">
        <v>636</v>
      </c>
    </row>
    <row r="11856" spans="1:22" s="841" customFormat="1" ht="15" x14ac:dyDescent="0.25">
      <c r="A11856" s="841" t="s">
        <v>169</v>
      </c>
      <c r="E11856" s="1689" t="s">
        <v>3390</v>
      </c>
      <c r="F11856" s="1689"/>
      <c r="G11856" s="1689"/>
      <c r="H11856" s="1689"/>
      <c r="K11856" s="841" t="s">
        <v>5836</v>
      </c>
      <c r="M11856" s="1357"/>
      <c r="Q11856" s="1357"/>
      <c r="S11856" s="1420"/>
      <c r="T11856" s="1420"/>
      <c r="V11856" s="1357">
        <v>274</v>
      </c>
    </row>
    <row r="11857" spans="1:22" s="841" customFormat="1" ht="15" x14ac:dyDescent="0.25">
      <c r="A11857" s="841" t="s">
        <v>169</v>
      </c>
      <c r="E11857" s="1692" t="s">
        <v>3067</v>
      </c>
      <c r="F11857" s="1693"/>
      <c r="G11857" s="1693"/>
      <c r="H11857" s="1693"/>
      <c r="K11857" s="841" t="s">
        <v>3224</v>
      </c>
      <c r="M11857" s="1357"/>
      <c r="Q11857" s="1357"/>
      <c r="S11857" s="1420"/>
      <c r="T11857" s="1420"/>
      <c r="V11857" s="1357">
        <v>46</v>
      </c>
    </row>
    <row r="11858" spans="1:22" s="841" customFormat="1" ht="15" x14ac:dyDescent="0.25">
      <c r="A11858" s="841" t="s">
        <v>169</v>
      </c>
      <c r="E11858" s="1690" t="s">
        <v>11</v>
      </c>
      <c r="F11858" s="1690"/>
      <c r="G11858" s="1408" t="s">
        <v>23</v>
      </c>
      <c r="H11858" s="1193">
        <v>49.55</v>
      </c>
      <c r="K11858" s="841" t="s">
        <v>5836</v>
      </c>
      <c r="L11858" s="841" t="s">
        <v>442</v>
      </c>
      <c r="M11858" s="1357"/>
      <c r="P11858" s="841" t="s">
        <v>5837</v>
      </c>
      <c r="Q11858" s="1357"/>
      <c r="S11858" s="1420"/>
      <c r="T11858" s="1420"/>
      <c r="V11858" s="1357">
        <v>14</v>
      </c>
    </row>
    <row r="11859" spans="1:22" s="841" customFormat="1" ht="15" x14ac:dyDescent="0.25">
      <c r="A11859" s="841" t="s">
        <v>169</v>
      </c>
      <c r="E11859" s="1690" t="s">
        <v>3896</v>
      </c>
      <c r="F11859" s="1690"/>
      <c r="G11859" s="1408" t="s">
        <v>23</v>
      </c>
      <c r="H11859" s="391">
        <v>4.6399999999999997</v>
      </c>
      <c r="K11859" s="841" t="s">
        <v>5836</v>
      </c>
      <c r="L11859" s="841" t="s">
        <v>442</v>
      </c>
      <c r="M11859" s="1357"/>
      <c r="P11859" s="841" t="s">
        <v>5838</v>
      </c>
      <c r="Q11859" s="1357"/>
      <c r="S11859" s="1420"/>
      <c r="T11859" s="1420">
        <v>43830</v>
      </c>
      <c r="V11859" s="1357">
        <v>84</v>
      </c>
    </row>
    <row r="11860" spans="1:22" s="841" customFormat="1" ht="15" x14ac:dyDescent="0.25">
      <c r="A11860" s="841" t="s">
        <v>169</v>
      </c>
      <c r="E11860" s="1690" t="s">
        <v>4613</v>
      </c>
      <c r="F11860" s="1690"/>
      <c r="G11860" s="1408" t="s">
        <v>23</v>
      </c>
      <c r="H11860" s="391">
        <v>1.01</v>
      </c>
      <c r="K11860" s="841" t="s">
        <v>5836</v>
      </c>
      <c r="L11860" s="841" t="s">
        <v>442</v>
      </c>
      <c r="M11860" s="1357"/>
      <c r="P11860" s="841" t="s">
        <v>6470</v>
      </c>
      <c r="Q11860" s="1357"/>
      <c r="S11860" s="1420"/>
      <c r="T11860" s="1420">
        <v>43830</v>
      </c>
      <c r="V11860" s="1357">
        <v>84</v>
      </c>
    </row>
    <row r="11861" spans="1:22" s="841" customFormat="1" ht="15" x14ac:dyDescent="0.25">
      <c r="A11861" s="841" t="s">
        <v>169</v>
      </c>
      <c r="E11861" s="1690" t="s">
        <v>4614</v>
      </c>
      <c r="F11861" s="1690"/>
      <c r="G11861" s="1408" t="s">
        <v>23</v>
      </c>
      <c r="H11861" s="391">
        <v>0.3</v>
      </c>
      <c r="K11861" s="841" t="s">
        <v>5836</v>
      </c>
      <c r="L11861" s="841" t="s">
        <v>442</v>
      </c>
      <c r="M11861" s="1357"/>
      <c r="P11861" s="841" t="s">
        <v>6471</v>
      </c>
      <c r="Q11861" s="1357"/>
      <c r="S11861" s="1420"/>
      <c r="T11861" s="1420">
        <v>43830</v>
      </c>
      <c r="V11861" s="1357">
        <v>84</v>
      </c>
    </row>
    <row r="11862" spans="1:22" s="841" customFormat="1" ht="15" x14ac:dyDescent="0.25">
      <c r="A11862" s="841" t="s">
        <v>169</v>
      </c>
      <c r="E11862" s="1690" t="s">
        <v>84</v>
      </c>
      <c r="F11862" s="1690"/>
      <c r="G11862" s="1408" t="s">
        <v>25</v>
      </c>
      <c r="H11862" s="1194">
        <v>7.7987000000000002</v>
      </c>
      <c r="K11862" s="841" t="s">
        <v>5836</v>
      </c>
      <c r="L11862" s="841" t="s">
        <v>442</v>
      </c>
      <c r="M11862" s="1357"/>
      <c r="P11862" s="841" t="s">
        <v>5839</v>
      </c>
      <c r="Q11862" s="1357"/>
      <c r="S11862" s="1420"/>
      <c r="T11862" s="1420"/>
      <c r="V11862" s="1357">
        <v>28</v>
      </c>
    </row>
    <row r="11863" spans="1:22" s="841" customFormat="1" ht="15" x14ac:dyDescent="0.25">
      <c r="A11863" s="841" t="s">
        <v>169</v>
      </c>
      <c r="E11863" s="1690" t="s">
        <v>5830</v>
      </c>
      <c r="F11863" s="1908"/>
      <c r="G11863" s="1408" t="s">
        <v>25</v>
      </c>
      <c r="H11863" s="393">
        <v>2.7699999999999999E-2</v>
      </c>
      <c r="K11863" s="841" t="s">
        <v>5836</v>
      </c>
      <c r="L11863" s="841" t="s">
        <v>443</v>
      </c>
      <c r="M11863" s="1357"/>
      <c r="P11863" s="841" t="s">
        <v>5840</v>
      </c>
      <c r="Q11863" s="1357"/>
      <c r="S11863" s="1420"/>
      <c r="T11863" s="1420">
        <v>43465</v>
      </c>
      <c r="V11863" s="1357">
        <v>150</v>
      </c>
    </row>
    <row r="11864" spans="1:22" s="841" customFormat="1" ht="15" x14ac:dyDescent="0.25">
      <c r="A11864" s="841" t="s">
        <v>169</v>
      </c>
      <c r="E11864" s="1690" t="s">
        <v>4611</v>
      </c>
      <c r="F11864" s="1690"/>
      <c r="G11864" s="1408" t="s">
        <v>25</v>
      </c>
      <c r="H11864" s="393">
        <v>-8.14E-2</v>
      </c>
      <c r="K11864" s="841" t="s">
        <v>5836</v>
      </c>
      <c r="L11864" s="841" t="s">
        <v>442</v>
      </c>
      <c r="M11864" s="1357"/>
      <c r="P11864" s="841" t="s">
        <v>6472</v>
      </c>
      <c r="Q11864" s="1357"/>
      <c r="S11864" s="1420"/>
      <c r="T11864" s="1420">
        <v>43465</v>
      </c>
      <c r="V11864" s="1357">
        <v>109</v>
      </c>
    </row>
    <row r="11865" spans="1:22" s="841" customFormat="1" ht="15" x14ac:dyDescent="0.25">
      <c r="A11865" s="841" t="s">
        <v>169</v>
      </c>
      <c r="E11865" s="1690" t="s">
        <v>5827</v>
      </c>
      <c r="F11865" s="1908"/>
      <c r="G11865" s="1408" t="s">
        <v>24</v>
      </c>
      <c r="H11865" s="1327">
        <v>-1.1199999999999999E-3</v>
      </c>
      <c r="K11865" s="841" t="s">
        <v>5836</v>
      </c>
      <c r="L11865" s="841" t="s">
        <v>443</v>
      </c>
      <c r="M11865" s="1357"/>
      <c r="P11865" s="841" t="s">
        <v>5841</v>
      </c>
      <c r="Q11865" s="1357"/>
      <c r="S11865" s="1420"/>
      <c r="T11865" s="1420">
        <v>43465</v>
      </c>
      <c r="V11865" s="1357">
        <v>144</v>
      </c>
    </row>
    <row r="11866" spans="1:22" s="841" customFormat="1" ht="15" x14ac:dyDescent="0.25">
      <c r="A11866" s="841" t="s">
        <v>169</v>
      </c>
      <c r="E11866" s="1690" t="s">
        <v>5822</v>
      </c>
      <c r="F11866" s="1908"/>
      <c r="G11866" s="1408" t="s">
        <v>25</v>
      </c>
      <c r="H11866" s="393">
        <v>9.1200000000000003E-2</v>
      </c>
      <c r="K11866" s="841" t="s">
        <v>5836</v>
      </c>
      <c r="L11866" s="841" t="s">
        <v>442</v>
      </c>
      <c r="M11866" s="1357"/>
      <c r="P11866" s="841" t="s">
        <v>5842</v>
      </c>
      <c r="Q11866" s="1357"/>
      <c r="S11866" s="1420"/>
      <c r="T11866" s="1420">
        <v>43465</v>
      </c>
      <c r="V11866" s="1357">
        <v>138</v>
      </c>
    </row>
    <row r="11867" spans="1:22" s="841" customFormat="1" ht="15" x14ac:dyDescent="0.25">
      <c r="A11867" s="841" t="s">
        <v>169</v>
      </c>
      <c r="E11867" s="1690" t="s">
        <v>5843</v>
      </c>
      <c r="F11867" s="1908"/>
      <c r="G11867" s="1408" t="s">
        <v>25</v>
      </c>
      <c r="H11867" s="393">
        <v>-0.51910000000000001</v>
      </c>
      <c r="K11867" s="841" t="s">
        <v>5836</v>
      </c>
      <c r="L11867" s="841" t="s">
        <v>443</v>
      </c>
      <c r="M11867" s="1357"/>
      <c r="P11867" s="841" t="s">
        <v>5844</v>
      </c>
      <c r="Q11867" s="1357"/>
      <c r="S11867" s="1420"/>
      <c r="T11867" s="1420">
        <v>43465</v>
      </c>
      <c r="V11867" s="1357">
        <v>161</v>
      </c>
    </row>
    <row r="11868" spans="1:22" s="841" customFormat="1" ht="15" x14ac:dyDescent="0.25">
      <c r="A11868" s="841" t="s">
        <v>169</v>
      </c>
      <c r="E11868" s="1690" t="s">
        <v>5823</v>
      </c>
      <c r="F11868" s="1908"/>
      <c r="G11868" s="1408" t="s">
        <v>25</v>
      </c>
      <c r="H11868" s="393">
        <v>-0.75970000000000004</v>
      </c>
      <c r="K11868" s="841" t="s">
        <v>5836</v>
      </c>
      <c r="L11868" s="841" t="s">
        <v>443</v>
      </c>
      <c r="M11868" s="1357"/>
      <c r="P11868" s="841" t="s">
        <v>5844</v>
      </c>
      <c r="Q11868" s="1357"/>
      <c r="S11868" s="1420"/>
      <c r="T11868" s="1420">
        <v>43465</v>
      </c>
      <c r="V11868" s="1357">
        <v>105</v>
      </c>
    </row>
    <row r="11869" spans="1:22" s="841" customFormat="1" ht="15" x14ac:dyDescent="0.25">
      <c r="A11869" s="841" t="s">
        <v>169</v>
      </c>
      <c r="E11869" s="1690" t="s">
        <v>5817</v>
      </c>
      <c r="F11869" s="1690"/>
      <c r="G11869" s="1408" t="s">
        <v>25</v>
      </c>
      <c r="H11869" s="393">
        <v>-0.25119999999999998</v>
      </c>
      <c r="K11869" s="841" t="s">
        <v>5836</v>
      </c>
      <c r="L11869" s="841" t="s">
        <v>442</v>
      </c>
      <c r="M11869" s="1357"/>
      <c r="P11869" s="841" t="s">
        <v>6473</v>
      </c>
      <c r="Q11869" s="1357"/>
      <c r="S11869" s="1420"/>
      <c r="T11869" s="1420">
        <v>43465</v>
      </c>
      <c r="V11869" s="1357">
        <v>116</v>
      </c>
    </row>
    <row r="11870" spans="1:22" s="841" customFormat="1" ht="15" x14ac:dyDescent="0.25">
      <c r="A11870" s="841" t="s">
        <v>169</v>
      </c>
      <c r="E11870" s="1690" t="s">
        <v>5818</v>
      </c>
      <c r="F11870" s="1690"/>
      <c r="G11870" s="1408" t="s">
        <v>25</v>
      </c>
      <c r="H11870" s="393">
        <v>1.14E-2</v>
      </c>
      <c r="K11870" s="841" t="s">
        <v>5836</v>
      </c>
      <c r="L11870" s="841" t="s">
        <v>442</v>
      </c>
      <c r="M11870" s="1357"/>
      <c r="P11870" s="841" t="s">
        <v>6474</v>
      </c>
      <c r="Q11870" s="1357"/>
      <c r="S11870" s="1420"/>
      <c r="T11870" s="1420">
        <v>43830</v>
      </c>
      <c r="V11870" s="1357">
        <v>109</v>
      </c>
    </row>
    <row r="11871" spans="1:22" s="841" customFormat="1" ht="15" x14ac:dyDescent="0.25">
      <c r="A11871" s="841" t="s">
        <v>169</v>
      </c>
      <c r="E11871" s="1690" t="s">
        <v>5825</v>
      </c>
      <c r="F11871" s="1690"/>
      <c r="G11871" s="1408" t="s">
        <v>25</v>
      </c>
      <c r="H11871" s="393">
        <v>4.7000000000000002E-3</v>
      </c>
      <c r="K11871" s="841" t="s">
        <v>5836</v>
      </c>
      <c r="L11871" s="841" t="s">
        <v>442</v>
      </c>
      <c r="M11871" s="1357"/>
      <c r="P11871" s="841" t="s">
        <v>6475</v>
      </c>
      <c r="Q11871" s="1357"/>
      <c r="S11871" s="1420"/>
      <c r="T11871" s="1420">
        <v>43830</v>
      </c>
      <c r="V11871" s="1357">
        <v>109</v>
      </c>
    </row>
    <row r="11872" spans="1:22" s="841" customFormat="1" ht="15" x14ac:dyDescent="0.25">
      <c r="A11872" s="841" t="s">
        <v>169</v>
      </c>
      <c r="E11872" s="1690" t="s">
        <v>4612</v>
      </c>
      <c r="F11872" s="1690"/>
      <c r="G11872" s="1408" t="s">
        <v>25</v>
      </c>
      <c r="H11872" s="393">
        <v>7.8100000000000003E-2</v>
      </c>
      <c r="K11872" s="841" t="s">
        <v>5836</v>
      </c>
      <c r="L11872" s="841" t="s">
        <v>442</v>
      </c>
      <c r="M11872" s="1357"/>
      <c r="P11872" s="841" t="s">
        <v>6476</v>
      </c>
      <c r="Q11872" s="1357"/>
      <c r="S11872" s="1420"/>
      <c r="T11872" s="1420">
        <v>43830</v>
      </c>
      <c r="V11872" s="1357">
        <v>91</v>
      </c>
    </row>
    <row r="11873" spans="1:22" s="841" customFormat="1" ht="15" x14ac:dyDescent="0.25">
      <c r="A11873" s="841" t="s">
        <v>169</v>
      </c>
      <c r="E11873" s="1690" t="s">
        <v>4613</v>
      </c>
      <c r="F11873" s="1690"/>
      <c r="G11873" s="1408" t="s">
        <v>25</v>
      </c>
      <c r="H11873" s="393">
        <v>0.16589999999999999</v>
      </c>
      <c r="K11873" s="841" t="s">
        <v>5836</v>
      </c>
      <c r="L11873" s="841" t="s">
        <v>442</v>
      </c>
      <c r="M11873" s="1357"/>
      <c r="P11873" s="841" t="s">
        <v>6477</v>
      </c>
      <c r="Q11873" s="1357"/>
      <c r="S11873" s="1420"/>
      <c r="T11873" s="1420">
        <v>43830</v>
      </c>
      <c r="V11873" s="1357">
        <v>84</v>
      </c>
    </row>
    <row r="11874" spans="1:22" s="841" customFormat="1" ht="15" x14ac:dyDescent="0.25">
      <c r="A11874" s="841" t="s">
        <v>169</v>
      </c>
      <c r="E11874" s="1690" t="s">
        <v>4614</v>
      </c>
      <c r="F11874" s="1690"/>
      <c r="G11874" s="1408" t="s">
        <v>25</v>
      </c>
      <c r="H11874" s="393">
        <v>4.9799999999999997E-2</v>
      </c>
      <c r="K11874" s="841" t="s">
        <v>5836</v>
      </c>
      <c r="L11874" s="841" t="s">
        <v>442</v>
      </c>
      <c r="M11874" s="1357"/>
      <c r="P11874" s="841" t="s">
        <v>6478</v>
      </c>
      <c r="Q11874" s="1357"/>
      <c r="S11874" s="1420"/>
      <c r="T11874" s="1420">
        <v>43830</v>
      </c>
      <c r="V11874" s="1357">
        <v>84</v>
      </c>
    </row>
    <row r="11875" spans="1:22" s="841" customFormat="1" ht="15" x14ac:dyDescent="0.25">
      <c r="A11875" s="841" t="s">
        <v>169</v>
      </c>
      <c r="E11875" s="1690" t="s">
        <v>221</v>
      </c>
      <c r="F11875" s="1690"/>
      <c r="G11875" s="1408" t="s">
        <v>33</v>
      </c>
      <c r="H11875" s="1194">
        <v>2.569</v>
      </c>
      <c r="K11875" s="841" t="s">
        <v>5836</v>
      </c>
      <c r="L11875" s="841" t="s">
        <v>444</v>
      </c>
      <c r="M11875" s="1357"/>
      <c r="P11875" s="841" t="s">
        <v>5845</v>
      </c>
      <c r="Q11875" s="1357"/>
      <c r="S11875" s="1420"/>
      <c r="T11875" s="1420"/>
      <c r="V11875" s="1357">
        <v>47</v>
      </c>
    </row>
    <row r="11876" spans="1:22" s="841" customFormat="1" ht="15" x14ac:dyDescent="0.25">
      <c r="A11876" s="841" t="s">
        <v>169</v>
      </c>
      <c r="E11876" s="1690" t="s">
        <v>217</v>
      </c>
      <c r="F11876" s="1690"/>
      <c r="G11876" s="1408" t="s">
        <v>33</v>
      </c>
      <c r="H11876" s="1194">
        <v>2.0514999999999999</v>
      </c>
      <c r="K11876" s="841" t="s">
        <v>5836</v>
      </c>
      <c r="L11876" s="841" t="s">
        <v>444</v>
      </c>
      <c r="M11876" s="1357"/>
      <c r="P11876" s="841" t="s">
        <v>5846</v>
      </c>
      <c r="Q11876" s="1357"/>
      <c r="S11876" s="1420"/>
      <c r="T11876" s="1420"/>
      <c r="V11876" s="1357">
        <v>74</v>
      </c>
    </row>
    <row r="11877" spans="1:22" s="841" customFormat="1" ht="15" x14ac:dyDescent="0.25">
      <c r="A11877" s="841" t="s">
        <v>169</v>
      </c>
      <c r="E11877" s="1694" t="s">
        <v>3079</v>
      </c>
      <c r="F11877" s="1690"/>
      <c r="G11877" s="1408"/>
      <c r="H11877" s="1408"/>
      <c r="K11877" s="841" t="s">
        <v>3225</v>
      </c>
      <c r="M11877" s="1357"/>
      <c r="Q11877" s="1357"/>
      <c r="S11877" s="1420"/>
      <c r="T11877" s="1420"/>
      <c r="V11877" s="1357">
        <v>48</v>
      </c>
    </row>
    <row r="11878" spans="1:22" s="841" customFormat="1" ht="15" x14ac:dyDescent="0.25">
      <c r="A11878" s="841" t="s">
        <v>169</v>
      </c>
      <c r="E11878" s="1690" t="s">
        <v>2449</v>
      </c>
      <c r="F11878" s="1690"/>
      <c r="G11878" s="1408" t="s">
        <v>24</v>
      </c>
      <c r="H11878" s="393">
        <v>3.2000000000000002E-3</v>
      </c>
      <c r="K11878" s="841" t="s">
        <v>5836</v>
      </c>
      <c r="L11878" s="841" t="s">
        <v>3046</v>
      </c>
      <c r="M11878" s="1357"/>
      <c r="P11878" s="841" t="s">
        <v>5847</v>
      </c>
      <c r="Q11878" s="1357"/>
      <c r="S11878" s="1420"/>
      <c r="T11878" s="1420"/>
      <c r="V11878" s="1357">
        <v>55</v>
      </c>
    </row>
    <row r="11879" spans="1:22" s="841" customFormat="1" ht="15" x14ac:dyDescent="0.25">
      <c r="A11879" s="841" t="s">
        <v>169</v>
      </c>
      <c r="E11879" s="1690" t="s">
        <v>2450</v>
      </c>
      <c r="F11879" s="1690"/>
      <c r="G11879" s="1408" t="s">
        <v>24</v>
      </c>
      <c r="H11879" s="393">
        <v>4.0000000000000002E-4</v>
      </c>
      <c r="K11879" s="841" t="s">
        <v>5836</v>
      </c>
      <c r="L11879" s="841" t="s">
        <v>3046</v>
      </c>
      <c r="M11879" s="1357"/>
      <c r="P11879" s="841" t="s">
        <v>5847</v>
      </c>
      <c r="Q11879" s="1357"/>
      <c r="S11879" s="1420"/>
      <c r="T11879" s="1420"/>
      <c r="V11879" s="1357">
        <v>65</v>
      </c>
    </row>
    <row r="11880" spans="1:22" s="841" customFormat="1" ht="15" x14ac:dyDescent="0.25">
      <c r="A11880" s="841" t="s">
        <v>169</v>
      </c>
      <c r="E11880" s="1690" t="s">
        <v>439</v>
      </c>
      <c r="F11880" s="1690"/>
      <c r="G11880" s="1408" t="s">
        <v>24</v>
      </c>
      <c r="H11880" s="393">
        <v>2.9999999999999997E-4</v>
      </c>
      <c r="K11880" s="841" t="s">
        <v>5836</v>
      </c>
      <c r="L11880" s="841" t="s">
        <v>3046</v>
      </c>
      <c r="M11880" s="1357"/>
      <c r="P11880" s="841" t="s">
        <v>5848</v>
      </c>
      <c r="Q11880" s="1357"/>
      <c r="S11880" s="1420"/>
      <c r="T11880" s="1420"/>
      <c r="V11880" s="1357">
        <v>57</v>
      </c>
    </row>
    <row r="11881" spans="1:22" s="841" customFormat="1" ht="15" x14ac:dyDescent="0.25">
      <c r="A11881" s="841" t="s">
        <v>169</v>
      </c>
      <c r="E11881" s="1690" t="s">
        <v>32</v>
      </c>
      <c r="F11881" s="1690"/>
      <c r="G11881" s="1408" t="s">
        <v>23</v>
      </c>
      <c r="H11881" s="1328">
        <v>0.25</v>
      </c>
      <c r="K11881" s="841" t="s">
        <v>5836</v>
      </c>
      <c r="L11881" s="841" t="s">
        <v>3046</v>
      </c>
      <c r="M11881" s="1357"/>
      <c r="P11881" s="841" t="s">
        <v>5849</v>
      </c>
      <c r="Q11881" s="1357"/>
      <c r="S11881" s="1420"/>
      <c r="T11881" s="1420"/>
      <c r="V11881" s="1357">
        <v>63</v>
      </c>
    </row>
    <row r="11882" spans="1:22" s="841" customFormat="1" x14ac:dyDescent="0.25">
      <c r="A11882" s="841" t="s">
        <v>169</v>
      </c>
      <c r="E11882" s="1695" t="s">
        <v>3219</v>
      </c>
      <c r="F11882" s="1695"/>
      <c r="G11882" s="1695"/>
      <c r="H11882" s="1695"/>
      <c r="K11882" s="841" t="s">
        <v>5850</v>
      </c>
      <c r="M11882" s="1357"/>
      <c r="Q11882" s="1357"/>
      <c r="S11882" s="1420"/>
      <c r="T11882" s="1420"/>
      <c r="V11882" s="1357">
        <v>56</v>
      </c>
    </row>
    <row r="11883" spans="1:22" s="841" customFormat="1" ht="15" x14ac:dyDescent="0.25">
      <c r="A11883" s="841" t="s">
        <v>169</v>
      </c>
      <c r="E11883" s="1689" t="s">
        <v>4626</v>
      </c>
      <c r="F11883" s="1689"/>
      <c r="G11883" s="1689"/>
      <c r="H11883" s="1689"/>
      <c r="K11883" s="841" t="s">
        <v>5850</v>
      </c>
      <c r="M11883" s="1357"/>
      <c r="Q11883" s="1357"/>
      <c r="S11883" s="1420"/>
      <c r="T11883" s="1420"/>
      <c r="V11883" s="1357">
        <v>543</v>
      </c>
    </row>
    <row r="11884" spans="1:22" s="841" customFormat="1" ht="15" x14ac:dyDescent="0.25">
      <c r="A11884" s="841" t="s">
        <v>169</v>
      </c>
      <c r="E11884" s="1696" t="s">
        <v>3061</v>
      </c>
      <c r="F11884" s="1697"/>
      <c r="G11884" s="1697"/>
      <c r="H11884" s="1697"/>
      <c r="K11884" s="841" t="s">
        <v>3107</v>
      </c>
      <c r="M11884" s="1357"/>
      <c r="Q11884" s="1357"/>
      <c r="S11884" s="1420"/>
      <c r="T11884" s="1420"/>
      <c r="V11884" s="1357">
        <v>11</v>
      </c>
    </row>
    <row r="11885" spans="1:22" s="841" customFormat="1" ht="15" x14ac:dyDescent="0.25">
      <c r="A11885" s="841" t="s">
        <v>169</v>
      </c>
      <c r="E11885" s="1689" t="s">
        <v>3063</v>
      </c>
      <c r="F11885" s="1689"/>
      <c r="G11885" s="1689"/>
      <c r="H11885" s="1689"/>
      <c r="K11885" s="841" t="s">
        <v>5850</v>
      </c>
      <c r="M11885" s="1357"/>
      <c r="Q11885" s="1357"/>
      <c r="S11885" s="1420"/>
      <c r="T11885" s="1420"/>
      <c r="V11885" s="1357">
        <v>280</v>
      </c>
    </row>
    <row r="11886" spans="1:22" s="841" customFormat="1" ht="15" x14ac:dyDescent="0.25">
      <c r="A11886" s="841" t="s">
        <v>169</v>
      </c>
      <c r="E11886" s="1689" t="s">
        <v>3064</v>
      </c>
      <c r="F11886" s="1689"/>
      <c r="G11886" s="1689"/>
      <c r="H11886" s="1689"/>
      <c r="K11886" s="841" t="s">
        <v>5850</v>
      </c>
      <c r="M11886" s="1357"/>
      <c r="Q11886" s="1357"/>
      <c r="S11886" s="1420"/>
      <c r="T11886" s="1420"/>
      <c r="V11886" s="1357">
        <v>411</v>
      </c>
    </row>
    <row r="11887" spans="1:22" s="841" customFormat="1" ht="15" x14ac:dyDescent="0.25">
      <c r="A11887" s="841" t="s">
        <v>169</v>
      </c>
      <c r="E11887" s="1689" t="s">
        <v>3065</v>
      </c>
      <c r="F11887" s="1689"/>
      <c r="G11887" s="1689"/>
      <c r="H11887" s="1689"/>
      <c r="K11887" s="841" t="s">
        <v>5850</v>
      </c>
      <c r="M11887" s="1357"/>
      <c r="Q11887" s="1357"/>
      <c r="S11887" s="1420"/>
      <c r="T11887" s="1420"/>
      <c r="V11887" s="1357">
        <v>387</v>
      </c>
    </row>
    <row r="11888" spans="1:22" s="841" customFormat="1" ht="15" x14ac:dyDescent="0.25">
      <c r="A11888" s="841" t="s">
        <v>169</v>
      </c>
      <c r="E11888" s="1689" t="s">
        <v>3222</v>
      </c>
      <c r="F11888" s="1689"/>
      <c r="G11888" s="1689"/>
      <c r="H11888" s="1689"/>
      <c r="K11888" s="841" t="s">
        <v>5850</v>
      </c>
      <c r="M11888" s="1357"/>
      <c r="Q11888" s="1357"/>
      <c r="S11888" s="1420"/>
      <c r="T11888" s="1420"/>
      <c r="V11888" s="1357">
        <v>610</v>
      </c>
    </row>
    <row r="11889" spans="1:22" s="841" customFormat="1" ht="15" x14ac:dyDescent="0.25">
      <c r="A11889" s="841" t="s">
        <v>169</v>
      </c>
      <c r="E11889" s="1689" t="s">
        <v>4625</v>
      </c>
      <c r="F11889" s="1689"/>
      <c r="G11889" s="1689"/>
      <c r="H11889" s="1689"/>
      <c r="K11889" s="841" t="s">
        <v>5850</v>
      </c>
      <c r="M11889" s="1357"/>
      <c r="Q11889" s="1357"/>
      <c r="S11889" s="1420"/>
      <c r="T11889" s="1420"/>
      <c r="V11889" s="1357">
        <v>636</v>
      </c>
    </row>
    <row r="11890" spans="1:22" s="841" customFormat="1" ht="15" x14ac:dyDescent="0.25">
      <c r="A11890" s="841" t="s">
        <v>169</v>
      </c>
      <c r="E11890" s="1689" t="s">
        <v>3390</v>
      </c>
      <c r="F11890" s="1689"/>
      <c r="G11890" s="1689"/>
      <c r="H11890" s="1689"/>
      <c r="K11890" s="841" t="s">
        <v>5850</v>
      </c>
      <c r="M11890" s="1357"/>
      <c r="Q11890" s="1357"/>
      <c r="S11890" s="1420"/>
      <c r="T11890" s="1420"/>
      <c r="V11890" s="1357">
        <v>274</v>
      </c>
    </row>
    <row r="11891" spans="1:22" s="841" customFormat="1" ht="15" x14ac:dyDescent="0.25">
      <c r="A11891" s="841" t="s">
        <v>169</v>
      </c>
      <c r="E11891" s="1692" t="s">
        <v>3067</v>
      </c>
      <c r="F11891" s="1693"/>
      <c r="G11891" s="1693"/>
      <c r="H11891" s="1693"/>
      <c r="K11891" s="841" t="s">
        <v>3108</v>
      </c>
      <c r="M11891" s="1357"/>
      <c r="Q11891" s="1357"/>
      <c r="S11891" s="1420"/>
      <c r="T11891" s="1420"/>
      <c r="V11891" s="1357">
        <v>46</v>
      </c>
    </row>
    <row r="11892" spans="1:22" s="841" customFormat="1" ht="15" x14ac:dyDescent="0.25">
      <c r="A11892" s="841" t="s">
        <v>169</v>
      </c>
      <c r="E11892" s="1690" t="s">
        <v>11</v>
      </c>
      <c r="F11892" s="1690"/>
      <c r="G11892" s="1408" t="s">
        <v>23</v>
      </c>
      <c r="H11892" s="1193">
        <v>946.52</v>
      </c>
      <c r="K11892" s="841" t="s">
        <v>5850</v>
      </c>
      <c r="L11892" s="841" t="s">
        <v>442</v>
      </c>
      <c r="M11892" s="1357"/>
      <c r="P11892" s="841" t="s">
        <v>5851</v>
      </c>
      <c r="Q11892" s="1357"/>
      <c r="S11892" s="1420"/>
      <c r="T11892" s="1420"/>
      <c r="V11892" s="1357">
        <v>14</v>
      </c>
    </row>
    <row r="11893" spans="1:22" s="841" customFormat="1" ht="15" x14ac:dyDescent="0.25">
      <c r="A11893" s="841" t="s">
        <v>169</v>
      </c>
      <c r="E11893" s="1690" t="s">
        <v>4613</v>
      </c>
      <c r="F11893" s="1690"/>
      <c r="G11893" s="1408" t="s">
        <v>23</v>
      </c>
      <c r="H11893" s="391">
        <v>18.89</v>
      </c>
      <c r="K11893" s="841" t="s">
        <v>5850</v>
      </c>
      <c r="L11893" s="841" t="s">
        <v>442</v>
      </c>
      <c r="M11893" s="1357"/>
      <c r="P11893" s="841" t="s">
        <v>6479</v>
      </c>
      <c r="Q11893" s="1357"/>
      <c r="S11893" s="1420"/>
      <c r="T11893" s="1420">
        <v>43830</v>
      </c>
      <c r="V11893" s="1357">
        <v>84</v>
      </c>
    </row>
    <row r="11894" spans="1:22" s="841" customFormat="1" ht="15" x14ac:dyDescent="0.25">
      <c r="A11894" s="841" t="s">
        <v>169</v>
      </c>
      <c r="E11894" s="1690" t="s">
        <v>4614</v>
      </c>
      <c r="F11894" s="1690"/>
      <c r="G11894" s="1408" t="s">
        <v>23</v>
      </c>
      <c r="H11894" s="391">
        <v>5.48</v>
      </c>
      <c r="K11894" s="841" t="s">
        <v>5850</v>
      </c>
      <c r="L11894" s="841" t="s">
        <v>442</v>
      </c>
      <c r="M11894" s="1357"/>
      <c r="P11894" s="841" t="s">
        <v>6480</v>
      </c>
      <c r="Q11894" s="1357"/>
      <c r="S11894" s="1420"/>
      <c r="T11894" s="1420">
        <v>43830</v>
      </c>
      <c r="V11894" s="1357">
        <v>84</v>
      </c>
    </row>
    <row r="11895" spans="1:22" s="841" customFormat="1" ht="15" x14ac:dyDescent="0.25">
      <c r="A11895" s="841" t="s">
        <v>169</v>
      </c>
      <c r="E11895" s="1690" t="s">
        <v>84</v>
      </c>
      <c r="F11895" s="1690"/>
      <c r="G11895" s="1408" t="s">
        <v>25</v>
      </c>
      <c r="H11895" s="1194">
        <v>6.1355000000000004</v>
      </c>
      <c r="K11895" s="841" t="s">
        <v>5850</v>
      </c>
      <c r="L11895" s="841" t="s">
        <v>442</v>
      </c>
      <c r="M11895" s="1357"/>
      <c r="P11895" s="841" t="s">
        <v>5852</v>
      </c>
      <c r="Q11895" s="1357"/>
      <c r="S11895" s="1420"/>
      <c r="T11895" s="1420"/>
      <c r="V11895" s="1357">
        <v>28</v>
      </c>
    </row>
    <row r="11896" spans="1:22" s="841" customFormat="1" ht="15" x14ac:dyDescent="0.25">
      <c r="A11896" s="841" t="s">
        <v>169</v>
      </c>
      <c r="E11896" s="1690" t="s">
        <v>5830</v>
      </c>
      <c r="F11896" s="1908"/>
      <c r="G11896" s="1408" t="s">
        <v>25</v>
      </c>
      <c r="H11896" s="393">
        <v>2.9499999999999998E-2</v>
      </c>
      <c r="K11896" s="841" t="s">
        <v>5850</v>
      </c>
      <c r="L11896" s="841" t="s">
        <v>443</v>
      </c>
      <c r="M11896" s="1357"/>
      <c r="P11896" s="841" t="s">
        <v>5853</v>
      </c>
      <c r="Q11896" s="1357"/>
      <c r="S11896" s="1420"/>
      <c r="T11896" s="1420">
        <v>43465</v>
      </c>
      <c r="V11896" s="1357">
        <v>150</v>
      </c>
    </row>
    <row r="11897" spans="1:22" s="841" customFormat="1" ht="15" x14ac:dyDescent="0.25">
      <c r="A11897" s="841" t="s">
        <v>169</v>
      </c>
      <c r="E11897" s="1690" t="s">
        <v>4611</v>
      </c>
      <c r="F11897" s="1690"/>
      <c r="G11897" s="1408" t="s">
        <v>25</v>
      </c>
      <c r="H11897" s="393">
        <v>-6.5299999999999997E-2</v>
      </c>
      <c r="K11897" s="841" t="s">
        <v>5850</v>
      </c>
      <c r="L11897" s="841" t="s">
        <v>442</v>
      </c>
      <c r="M11897" s="1357"/>
      <c r="P11897" s="841" t="s">
        <v>6481</v>
      </c>
      <c r="Q11897" s="1357"/>
      <c r="S11897" s="1420"/>
      <c r="T11897" s="1420">
        <v>43465</v>
      </c>
      <c r="V11897" s="1357">
        <v>109</v>
      </c>
    </row>
    <row r="11898" spans="1:22" s="841" customFormat="1" ht="15" x14ac:dyDescent="0.25">
      <c r="A11898" s="841" t="s">
        <v>169</v>
      </c>
      <c r="E11898" s="1690" t="s">
        <v>5827</v>
      </c>
      <c r="F11898" s="1908"/>
      <c r="G11898" s="1408" t="s">
        <v>24</v>
      </c>
      <c r="H11898" s="1327">
        <v>-1.1199999999999999E-3</v>
      </c>
      <c r="K11898" s="841" t="s">
        <v>5850</v>
      </c>
      <c r="L11898" s="841" t="s">
        <v>443</v>
      </c>
      <c r="M11898" s="1357"/>
      <c r="P11898" s="841" t="s">
        <v>5854</v>
      </c>
      <c r="Q11898" s="1357"/>
      <c r="S11898" s="1420"/>
      <c r="T11898" s="1420">
        <v>43465</v>
      </c>
      <c r="V11898" s="1357">
        <v>144</v>
      </c>
    </row>
    <row r="11899" spans="1:22" s="841" customFormat="1" ht="15" x14ac:dyDescent="0.25">
      <c r="A11899" s="841" t="s">
        <v>169</v>
      </c>
      <c r="E11899" s="1690" t="s">
        <v>5855</v>
      </c>
      <c r="F11899" s="1908"/>
      <c r="G11899" s="1408" t="s">
        <v>25</v>
      </c>
      <c r="H11899" s="393">
        <v>0.1051</v>
      </c>
      <c r="K11899" s="841" t="s">
        <v>5850</v>
      </c>
      <c r="L11899" s="841" t="s">
        <v>442</v>
      </c>
      <c r="M11899" s="1357"/>
      <c r="P11899" s="841" t="s">
        <v>5856</v>
      </c>
      <c r="Q11899" s="1357"/>
      <c r="S11899" s="1420"/>
      <c r="T11899" s="1420">
        <v>43465</v>
      </c>
      <c r="V11899" s="1357">
        <v>137</v>
      </c>
    </row>
    <row r="11900" spans="1:22" s="841" customFormat="1" ht="15" x14ac:dyDescent="0.25">
      <c r="A11900" s="841" t="s">
        <v>169</v>
      </c>
      <c r="E11900" s="1690" t="s">
        <v>5857</v>
      </c>
      <c r="F11900" s="1908"/>
      <c r="G11900" s="1408" t="s">
        <v>25</v>
      </c>
      <c r="H11900" s="393">
        <v>-0.57040000000000002</v>
      </c>
      <c r="K11900" s="841" t="s">
        <v>5850</v>
      </c>
      <c r="L11900" s="841" t="s">
        <v>443</v>
      </c>
      <c r="M11900" s="1357"/>
      <c r="P11900" s="841" t="s">
        <v>5858</v>
      </c>
      <c r="Q11900" s="1357"/>
      <c r="S11900" s="1420"/>
      <c r="T11900" s="1420">
        <v>43465</v>
      </c>
      <c r="V11900" s="1357">
        <v>160</v>
      </c>
    </row>
    <row r="11901" spans="1:22" s="841" customFormat="1" ht="15" x14ac:dyDescent="0.25">
      <c r="A11901" s="841" t="s">
        <v>169</v>
      </c>
      <c r="E11901" s="1690" t="s">
        <v>5823</v>
      </c>
      <c r="F11901" s="1908"/>
      <c r="G11901" s="1408" t="s">
        <v>25</v>
      </c>
      <c r="H11901" s="393">
        <v>-0.83389999999999997</v>
      </c>
      <c r="K11901" s="841" t="s">
        <v>5850</v>
      </c>
      <c r="L11901" s="841" t="s">
        <v>443</v>
      </c>
      <c r="M11901" s="1357"/>
      <c r="P11901" s="841" t="s">
        <v>5858</v>
      </c>
      <c r="Q11901" s="1357"/>
      <c r="S11901" s="1420"/>
      <c r="T11901" s="1420">
        <v>43465</v>
      </c>
      <c r="V11901" s="1357">
        <v>105</v>
      </c>
    </row>
    <row r="11902" spans="1:22" s="841" customFormat="1" ht="15" x14ac:dyDescent="0.25">
      <c r="A11902" s="841" t="s">
        <v>169</v>
      </c>
      <c r="E11902" s="1690" t="s">
        <v>5817</v>
      </c>
      <c r="F11902" s="1690"/>
      <c r="G11902" s="1408" t="s">
        <v>25</v>
      </c>
      <c r="H11902" s="393">
        <v>-0.20169999999999999</v>
      </c>
      <c r="K11902" s="841" t="s">
        <v>5850</v>
      </c>
      <c r="L11902" s="841" t="s">
        <v>442</v>
      </c>
      <c r="M11902" s="1357"/>
      <c r="P11902" s="841" t="s">
        <v>6482</v>
      </c>
      <c r="Q11902" s="1357"/>
      <c r="S11902" s="1420"/>
      <c r="T11902" s="1420">
        <v>43465</v>
      </c>
      <c r="V11902" s="1357">
        <v>116</v>
      </c>
    </row>
    <row r="11903" spans="1:22" s="841" customFormat="1" ht="15" x14ac:dyDescent="0.25">
      <c r="A11903" s="841" t="s">
        <v>169</v>
      </c>
      <c r="E11903" s="1690" t="s">
        <v>5818</v>
      </c>
      <c r="F11903" s="1690"/>
      <c r="G11903" s="1408" t="s">
        <v>25</v>
      </c>
      <c r="H11903" s="393">
        <v>5.5999999999999999E-3</v>
      </c>
      <c r="K11903" s="841" t="s">
        <v>5850</v>
      </c>
      <c r="L11903" s="841" t="s">
        <v>442</v>
      </c>
      <c r="M11903" s="1357"/>
      <c r="P11903" s="841" t="s">
        <v>6483</v>
      </c>
      <c r="Q11903" s="1357"/>
      <c r="S11903" s="1420"/>
      <c r="T11903" s="1420">
        <v>43830</v>
      </c>
      <c r="V11903" s="1357">
        <v>109</v>
      </c>
    </row>
    <row r="11904" spans="1:22" s="841" customFormat="1" ht="15" x14ac:dyDescent="0.25">
      <c r="A11904" s="841" t="s">
        <v>169</v>
      </c>
      <c r="E11904" s="1690" t="s">
        <v>5825</v>
      </c>
      <c r="F11904" s="1690"/>
      <c r="G11904" s="1408" t="s">
        <v>25</v>
      </c>
      <c r="H11904" s="393">
        <v>3.8E-3</v>
      </c>
      <c r="K11904" s="841" t="s">
        <v>5850</v>
      </c>
      <c r="L11904" s="841" t="s">
        <v>442</v>
      </c>
      <c r="M11904" s="1357"/>
      <c r="P11904" s="841" t="s">
        <v>6484</v>
      </c>
      <c r="Q11904" s="1357"/>
      <c r="S11904" s="1420"/>
      <c r="T11904" s="1420">
        <v>43830</v>
      </c>
      <c r="V11904" s="1357">
        <v>109</v>
      </c>
    </row>
    <row r="11905" spans="1:22" s="841" customFormat="1" ht="15" x14ac:dyDescent="0.25">
      <c r="A11905" s="841" t="s">
        <v>169</v>
      </c>
      <c r="E11905" s="1690" t="s">
        <v>4612</v>
      </c>
      <c r="F11905" s="1690"/>
      <c r="G11905" s="1408" t="s">
        <v>25</v>
      </c>
      <c r="H11905" s="393">
        <v>6.2700000000000006E-2</v>
      </c>
      <c r="K11905" s="841" t="s">
        <v>5850</v>
      </c>
      <c r="L11905" s="841" t="s">
        <v>442</v>
      </c>
      <c r="M11905" s="1357"/>
      <c r="P11905" s="841" t="s">
        <v>6485</v>
      </c>
      <c r="Q11905" s="1357"/>
      <c r="S11905" s="1420"/>
      <c r="T11905" s="1420">
        <v>43830</v>
      </c>
      <c r="V11905" s="1357">
        <v>91</v>
      </c>
    </row>
    <row r="11906" spans="1:22" s="841" customFormat="1" ht="15" x14ac:dyDescent="0.25">
      <c r="A11906" s="841" t="s">
        <v>169</v>
      </c>
      <c r="E11906" s="1690" t="s">
        <v>4613</v>
      </c>
      <c r="F11906" s="1690"/>
      <c r="G11906" s="1408" t="s">
        <v>25</v>
      </c>
      <c r="H11906" s="393">
        <v>0.1226</v>
      </c>
      <c r="K11906" s="841" t="s">
        <v>5850</v>
      </c>
      <c r="L11906" s="841" t="s">
        <v>442</v>
      </c>
      <c r="M11906" s="1357"/>
      <c r="P11906" s="841" t="s">
        <v>6486</v>
      </c>
      <c r="Q11906" s="1357"/>
      <c r="S11906" s="1420"/>
      <c r="T11906" s="1420">
        <v>43830</v>
      </c>
      <c r="V11906" s="1357">
        <v>84</v>
      </c>
    </row>
    <row r="11907" spans="1:22" s="841" customFormat="1" ht="15" x14ac:dyDescent="0.25">
      <c r="A11907" s="841" t="s">
        <v>169</v>
      </c>
      <c r="E11907" s="1690" t="s">
        <v>4614</v>
      </c>
      <c r="F11907" s="1690"/>
      <c r="G11907" s="1408" t="s">
        <v>25</v>
      </c>
      <c r="H11907" s="393">
        <v>3.56E-2</v>
      </c>
      <c r="K11907" s="841" t="s">
        <v>5850</v>
      </c>
      <c r="L11907" s="841" t="s">
        <v>442</v>
      </c>
      <c r="M11907" s="1357"/>
      <c r="P11907" s="841" t="s">
        <v>6487</v>
      </c>
      <c r="Q11907" s="1357"/>
      <c r="S11907" s="1420"/>
      <c r="T11907" s="1420">
        <v>43830</v>
      </c>
      <c r="V11907" s="1357">
        <v>84</v>
      </c>
    </row>
    <row r="11908" spans="1:22" s="841" customFormat="1" ht="15" x14ac:dyDescent="0.25">
      <c r="A11908" s="841" t="s">
        <v>169</v>
      </c>
      <c r="E11908" s="1690" t="s">
        <v>221</v>
      </c>
      <c r="F11908" s="1690"/>
      <c r="G11908" s="1408" t="s">
        <v>33</v>
      </c>
      <c r="H11908" s="1194">
        <v>2.4821</v>
      </c>
      <c r="K11908" s="841" t="s">
        <v>5850</v>
      </c>
      <c r="L11908" s="841" t="s">
        <v>444</v>
      </c>
      <c r="M11908" s="1357"/>
      <c r="P11908" s="841" t="s">
        <v>5859</v>
      </c>
      <c r="Q11908" s="1357"/>
      <c r="S11908" s="1420"/>
      <c r="T11908" s="1420"/>
      <c r="V11908" s="1357">
        <v>47</v>
      </c>
    </row>
    <row r="11909" spans="1:22" s="841" customFormat="1" ht="15" x14ac:dyDescent="0.25">
      <c r="A11909" s="841" t="s">
        <v>169</v>
      </c>
      <c r="E11909" s="1690" t="s">
        <v>217</v>
      </c>
      <c r="F11909" s="1690"/>
      <c r="G11909" s="1408" t="s">
        <v>33</v>
      </c>
      <c r="H11909" s="1194">
        <v>2.0493999999999999</v>
      </c>
      <c r="K11909" s="841" t="s">
        <v>5850</v>
      </c>
      <c r="L11909" s="841" t="s">
        <v>444</v>
      </c>
      <c r="M11909" s="1357"/>
      <c r="P11909" s="841" t="s">
        <v>5860</v>
      </c>
      <c r="Q11909" s="1357"/>
      <c r="S11909" s="1420"/>
      <c r="T11909" s="1420"/>
      <c r="V11909" s="1357">
        <v>74</v>
      </c>
    </row>
    <row r="11910" spans="1:22" s="841" customFormat="1" ht="15" x14ac:dyDescent="0.25">
      <c r="A11910" s="841" t="s">
        <v>169</v>
      </c>
      <c r="E11910" s="1694" t="s">
        <v>3079</v>
      </c>
      <c r="F11910" s="1690"/>
      <c r="G11910" s="1408"/>
      <c r="H11910" s="1408"/>
      <c r="K11910" s="841" t="s">
        <v>3111</v>
      </c>
      <c r="M11910" s="1357"/>
      <c r="Q11910" s="1357"/>
      <c r="S11910" s="1420"/>
      <c r="T11910" s="1420"/>
      <c r="V11910" s="1357">
        <v>48</v>
      </c>
    </row>
    <row r="11911" spans="1:22" s="841" customFormat="1" ht="15" x14ac:dyDescent="0.25">
      <c r="A11911" s="841" t="s">
        <v>169</v>
      </c>
      <c r="E11911" s="1690" t="s">
        <v>2449</v>
      </c>
      <c r="F11911" s="1690"/>
      <c r="G11911" s="1408" t="s">
        <v>24</v>
      </c>
      <c r="H11911" s="393">
        <v>3.2000000000000002E-3</v>
      </c>
      <c r="K11911" s="841" t="s">
        <v>5850</v>
      </c>
      <c r="L11911" s="841" t="s">
        <v>3046</v>
      </c>
      <c r="M11911" s="1357"/>
      <c r="P11911" s="841" t="s">
        <v>5861</v>
      </c>
      <c r="Q11911" s="1357"/>
      <c r="S11911" s="1420"/>
      <c r="T11911" s="1420"/>
      <c r="V11911" s="1357">
        <v>55</v>
      </c>
    </row>
    <row r="11912" spans="1:22" s="841" customFormat="1" ht="15" x14ac:dyDescent="0.25">
      <c r="A11912" s="841" t="s">
        <v>169</v>
      </c>
      <c r="E11912" s="1690" t="s">
        <v>2450</v>
      </c>
      <c r="F11912" s="1690"/>
      <c r="G11912" s="1408" t="s">
        <v>24</v>
      </c>
      <c r="H11912" s="393">
        <v>4.0000000000000002E-4</v>
      </c>
      <c r="K11912" s="841" t="s">
        <v>5850</v>
      </c>
      <c r="L11912" s="841" t="s">
        <v>3046</v>
      </c>
      <c r="M11912" s="1357"/>
      <c r="P11912" s="841" t="s">
        <v>5861</v>
      </c>
      <c r="Q11912" s="1357"/>
      <c r="S11912" s="1420"/>
      <c r="T11912" s="1420"/>
      <c r="V11912" s="1357">
        <v>65</v>
      </c>
    </row>
    <row r="11913" spans="1:22" s="841" customFormat="1" ht="15" x14ac:dyDescent="0.25">
      <c r="A11913" s="841" t="s">
        <v>169</v>
      </c>
      <c r="E11913" s="1690" t="s">
        <v>439</v>
      </c>
      <c r="F11913" s="1690"/>
      <c r="G11913" s="1408" t="s">
        <v>24</v>
      </c>
      <c r="H11913" s="393">
        <v>2.9999999999999997E-4</v>
      </c>
      <c r="K11913" s="841" t="s">
        <v>5850</v>
      </c>
      <c r="L11913" s="841" t="s">
        <v>3046</v>
      </c>
      <c r="M11913" s="1357"/>
      <c r="P11913" s="841" t="s">
        <v>5862</v>
      </c>
      <c r="Q11913" s="1357"/>
      <c r="S11913" s="1420"/>
      <c r="T11913" s="1420"/>
      <c r="V11913" s="1357">
        <v>57</v>
      </c>
    </row>
    <row r="11914" spans="1:22" s="841" customFormat="1" ht="15" x14ac:dyDescent="0.25">
      <c r="A11914" s="841" t="s">
        <v>169</v>
      </c>
      <c r="E11914" s="1690" t="s">
        <v>32</v>
      </c>
      <c r="F11914" s="1690"/>
      <c r="G11914" s="1408" t="s">
        <v>23</v>
      </c>
      <c r="H11914" s="1328">
        <v>0.25</v>
      </c>
      <c r="K11914" s="841" t="s">
        <v>5850</v>
      </c>
      <c r="L11914" s="841" t="s">
        <v>3046</v>
      </c>
      <c r="M11914" s="1357"/>
      <c r="P11914" s="841" t="s">
        <v>5863</v>
      </c>
      <c r="Q11914" s="1357"/>
      <c r="S11914" s="1420"/>
      <c r="T11914" s="1420"/>
      <c r="V11914" s="1357">
        <v>63</v>
      </c>
    </row>
    <row r="11915" spans="1:22" s="841" customFormat="1" x14ac:dyDescent="0.25">
      <c r="A11915" s="841" t="s">
        <v>169</v>
      </c>
      <c r="E11915" s="1695" t="s">
        <v>621</v>
      </c>
      <c r="F11915" s="1915"/>
      <c r="G11915" s="1915"/>
      <c r="H11915" s="1915"/>
      <c r="K11915" s="841" t="s">
        <v>3321</v>
      </c>
      <c r="M11915" s="1357"/>
      <c r="Q11915" s="1357"/>
      <c r="S11915" s="1420"/>
      <c r="T11915" s="1420"/>
      <c r="V11915" s="1357">
        <v>32</v>
      </c>
    </row>
    <row r="11916" spans="1:22" s="841" customFormat="1" ht="15" x14ac:dyDescent="0.25">
      <c r="A11916" s="841" t="s">
        <v>169</v>
      </c>
      <c r="E11916" s="1689" t="s">
        <v>4627</v>
      </c>
      <c r="F11916" s="1689"/>
      <c r="G11916" s="1689"/>
      <c r="H11916" s="1689"/>
      <c r="K11916" s="841" t="s">
        <v>3321</v>
      </c>
      <c r="M11916" s="1357"/>
      <c r="Q11916" s="1357"/>
      <c r="S11916" s="1420"/>
      <c r="T11916" s="1420"/>
      <c r="V11916" s="1357">
        <v>352</v>
      </c>
    </row>
    <row r="11917" spans="1:22" s="841" customFormat="1" ht="15" x14ac:dyDescent="0.25">
      <c r="A11917" s="841" t="s">
        <v>169</v>
      </c>
      <c r="E11917" s="1696" t="s">
        <v>3061</v>
      </c>
      <c r="F11917" s="1697"/>
      <c r="G11917" s="1697"/>
      <c r="H11917" s="1697"/>
      <c r="K11917" s="841" t="s">
        <v>3114</v>
      </c>
      <c r="M11917" s="1357"/>
      <c r="Q11917" s="1357"/>
      <c r="S11917" s="1420"/>
      <c r="T11917" s="1420"/>
      <c r="V11917" s="1357">
        <v>11</v>
      </c>
    </row>
    <row r="11918" spans="1:22" s="841" customFormat="1" ht="15" x14ac:dyDescent="0.25">
      <c r="A11918" s="841" t="s">
        <v>169</v>
      </c>
      <c r="E11918" s="1689" t="s">
        <v>3063</v>
      </c>
      <c r="F11918" s="1689"/>
      <c r="G11918" s="1689"/>
      <c r="H11918" s="1689"/>
      <c r="K11918" s="841" t="s">
        <v>3321</v>
      </c>
      <c r="M11918" s="1357"/>
      <c r="Q11918" s="1357"/>
      <c r="S11918" s="1420"/>
      <c r="T11918" s="1420"/>
      <c r="V11918" s="1357">
        <v>280</v>
      </c>
    </row>
    <row r="11919" spans="1:22" s="841" customFormat="1" ht="15" x14ac:dyDescent="0.25">
      <c r="A11919" s="841" t="s">
        <v>169</v>
      </c>
      <c r="E11919" s="1689" t="s">
        <v>3064</v>
      </c>
      <c r="F11919" s="1689"/>
      <c r="G11919" s="1689"/>
      <c r="H11919" s="1689"/>
      <c r="K11919" s="841" t="s">
        <v>3321</v>
      </c>
      <c r="M11919" s="1357"/>
      <c r="Q11919" s="1357"/>
      <c r="S11919" s="1420"/>
      <c r="T11919" s="1420"/>
      <c r="V11919" s="1357">
        <v>411</v>
      </c>
    </row>
    <row r="11920" spans="1:22" s="841" customFormat="1" ht="15" x14ac:dyDescent="0.25">
      <c r="A11920" s="841" t="s">
        <v>169</v>
      </c>
      <c r="E11920" s="1689" t="s">
        <v>3065</v>
      </c>
      <c r="F11920" s="1689"/>
      <c r="G11920" s="1689"/>
      <c r="H11920" s="1689"/>
      <c r="K11920" s="841" t="s">
        <v>3321</v>
      </c>
      <c r="M11920" s="1357"/>
      <c r="Q11920" s="1357"/>
      <c r="S11920" s="1420"/>
      <c r="T11920" s="1420"/>
      <c r="V11920" s="1357">
        <v>387</v>
      </c>
    </row>
    <row r="11921" spans="1:22" s="841" customFormat="1" ht="15" x14ac:dyDescent="0.25">
      <c r="A11921" s="841" t="s">
        <v>169</v>
      </c>
      <c r="E11921" s="1689" t="s">
        <v>3222</v>
      </c>
      <c r="F11921" s="1689"/>
      <c r="G11921" s="1689"/>
      <c r="H11921" s="1689"/>
      <c r="K11921" s="841" t="s">
        <v>3321</v>
      </c>
      <c r="M11921" s="1357"/>
      <c r="Q11921" s="1357"/>
      <c r="S11921" s="1420"/>
      <c r="T11921" s="1420"/>
      <c r="V11921" s="1357">
        <v>610</v>
      </c>
    </row>
    <row r="11922" spans="1:22" s="841" customFormat="1" ht="15" x14ac:dyDescent="0.25">
      <c r="A11922" s="841" t="s">
        <v>169</v>
      </c>
      <c r="E11922" s="1689" t="s">
        <v>4625</v>
      </c>
      <c r="F11922" s="1689"/>
      <c r="G11922" s="1689"/>
      <c r="H11922" s="1689"/>
      <c r="K11922" s="841" t="s">
        <v>3321</v>
      </c>
      <c r="M11922" s="1357"/>
      <c r="Q11922" s="1357"/>
      <c r="S11922" s="1420"/>
      <c r="T11922" s="1420"/>
      <c r="V11922" s="1357">
        <v>636</v>
      </c>
    </row>
    <row r="11923" spans="1:22" s="841" customFormat="1" ht="15" x14ac:dyDescent="0.25">
      <c r="A11923" s="841" t="s">
        <v>169</v>
      </c>
      <c r="E11923" s="1689" t="s">
        <v>3390</v>
      </c>
      <c r="F11923" s="1689"/>
      <c r="G11923" s="1689"/>
      <c r="H11923" s="1689"/>
      <c r="K11923" s="841" t="s">
        <v>3321</v>
      </c>
      <c r="M11923" s="1357"/>
      <c r="Q11923" s="1357"/>
      <c r="S11923" s="1420"/>
      <c r="T11923" s="1420"/>
      <c r="V11923" s="1357">
        <v>274</v>
      </c>
    </row>
    <row r="11924" spans="1:22" s="841" customFormat="1" ht="15" x14ac:dyDescent="0.25">
      <c r="A11924" s="841" t="s">
        <v>169</v>
      </c>
      <c r="E11924" s="1692" t="s">
        <v>3067</v>
      </c>
      <c r="F11924" s="1693"/>
      <c r="G11924" s="1693"/>
      <c r="H11924" s="1693"/>
      <c r="K11924" s="841" t="s">
        <v>3115</v>
      </c>
      <c r="M11924" s="1357"/>
      <c r="Q11924" s="1357"/>
      <c r="S11924" s="1420"/>
      <c r="T11924" s="1420"/>
      <c r="V11924" s="1357">
        <v>46</v>
      </c>
    </row>
    <row r="11925" spans="1:22" s="841" customFormat="1" ht="15" x14ac:dyDescent="0.25">
      <c r="A11925" s="841" t="s">
        <v>169</v>
      </c>
      <c r="E11925" s="1690" t="s">
        <v>11</v>
      </c>
      <c r="F11925" s="1690"/>
      <c r="G11925" s="1408" t="s">
        <v>23</v>
      </c>
      <c r="H11925" s="1193">
        <v>4178.03</v>
      </c>
      <c r="K11925" s="841" t="s">
        <v>3321</v>
      </c>
      <c r="L11925" s="841" t="s">
        <v>442</v>
      </c>
      <c r="M11925" s="1357"/>
      <c r="P11925" s="841" t="s">
        <v>3322</v>
      </c>
      <c r="Q11925" s="1357"/>
      <c r="S11925" s="1420"/>
      <c r="T11925" s="1420"/>
      <c r="V11925" s="1357">
        <v>14</v>
      </c>
    </row>
    <row r="11926" spans="1:22" s="841" customFormat="1" ht="15" x14ac:dyDescent="0.25">
      <c r="A11926" s="841" t="s">
        <v>169</v>
      </c>
      <c r="E11926" s="1690" t="s">
        <v>4613</v>
      </c>
      <c r="F11926" s="1690"/>
      <c r="G11926" s="1408" t="s">
        <v>23</v>
      </c>
      <c r="H11926" s="391">
        <v>85.84</v>
      </c>
      <c r="K11926" s="841" t="s">
        <v>3321</v>
      </c>
      <c r="L11926" s="841" t="s">
        <v>442</v>
      </c>
      <c r="M11926" s="1357"/>
      <c r="P11926" s="841" t="s">
        <v>6488</v>
      </c>
      <c r="Q11926" s="1357"/>
      <c r="S11926" s="1420"/>
      <c r="T11926" s="1420">
        <v>43830</v>
      </c>
      <c r="V11926" s="1357">
        <v>84</v>
      </c>
    </row>
    <row r="11927" spans="1:22" s="841" customFormat="1" ht="15" x14ac:dyDescent="0.25">
      <c r="A11927" s="841" t="s">
        <v>169</v>
      </c>
      <c r="E11927" s="1690" t="s">
        <v>4614</v>
      </c>
      <c r="F11927" s="1690"/>
      <c r="G11927" s="1408" t="s">
        <v>23</v>
      </c>
      <c r="H11927" s="391">
        <v>25.18</v>
      </c>
      <c r="K11927" s="841" t="s">
        <v>3321</v>
      </c>
      <c r="L11927" s="841" t="s">
        <v>442</v>
      </c>
      <c r="M11927" s="1357"/>
      <c r="P11927" s="841" t="s">
        <v>6489</v>
      </c>
      <c r="Q11927" s="1357"/>
      <c r="S11927" s="1420"/>
      <c r="T11927" s="1420">
        <v>43830</v>
      </c>
      <c r="V11927" s="1357">
        <v>84</v>
      </c>
    </row>
    <row r="11928" spans="1:22" s="841" customFormat="1" ht="15" x14ac:dyDescent="0.25">
      <c r="A11928" s="841" t="s">
        <v>169</v>
      </c>
      <c r="E11928" s="1690" t="s">
        <v>84</v>
      </c>
      <c r="F11928" s="1690"/>
      <c r="G11928" s="1408" t="s">
        <v>25</v>
      </c>
      <c r="H11928" s="1194">
        <v>6.5819999999999999</v>
      </c>
      <c r="K11928" s="841" t="s">
        <v>3321</v>
      </c>
      <c r="L11928" s="841" t="s">
        <v>442</v>
      </c>
      <c r="M11928" s="1357"/>
      <c r="P11928" s="841" t="s">
        <v>3323</v>
      </c>
      <c r="Q11928" s="1357"/>
      <c r="S11928" s="1420"/>
      <c r="T11928" s="1420"/>
      <c r="V11928" s="1357">
        <v>28</v>
      </c>
    </row>
    <row r="11929" spans="1:22" s="841" customFormat="1" ht="15" x14ac:dyDescent="0.25">
      <c r="A11929" s="841" t="s">
        <v>169</v>
      </c>
      <c r="E11929" s="1690" t="s">
        <v>5864</v>
      </c>
      <c r="F11929" s="1908"/>
      <c r="G11929" s="1408" t="s">
        <v>25</v>
      </c>
      <c r="H11929" s="393">
        <v>3.2000000000000002E-3</v>
      </c>
      <c r="K11929" s="841" t="s">
        <v>3321</v>
      </c>
      <c r="L11929" s="841" t="s">
        <v>443</v>
      </c>
      <c r="M11929" s="1357"/>
      <c r="P11929" s="841" t="s">
        <v>5865</v>
      </c>
      <c r="Q11929" s="1357"/>
      <c r="S11929" s="1420"/>
      <c r="T11929" s="1420">
        <v>43465</v>
      </c>
      <c r="V11929" s="1357">
        <v>149</v>
      </c>
    </row>
    <row r="11930" spans="1:22" s="841" customFormat="1" ht="15" x14ac:dyDescent="0.25">
      <c r="A11930" s="841" t="s">
        <v>169</v>
      </c>
      <c r="E11930" s="1690" t="s">
        <v>5866</v>
      </c>
      <c r="F11930" s="1690"/>
      <c r="G11930" s="1408" t="s">
        <v>25</v>
      </c>
      <c r="H11930" s="393">
        <v>-6.7500000000000004E-2</v>
      </c>
      <c r="K11930" s="841" t="s">
        <v>3321</v>
      </c>
      <c r="L11930" s="841" t="s">
        <v>442</v>
      </c>
      <c r="M11930" s="1357"/>
      <c r="P11930" s="841" t="s">
        <v>6490</v>
      </c>
      <c r="Q11930" s="1357"/>
      <c r="S11930" s="1420"/>
      <c r="T11930" s="1420">
        <v>43465</v>
      </c>
      <c r="V11930" s="1357">
        <v>108</v>
      </c>
    </row>
    <row r="11931" spans="1:22" s="841" customFormat="1" ht="15" x14ac:dyDescent="0.25">
      <c r="A11931" s="841" t="s">
        <v>169</v>
      </c>
      <c r="E11931" s="1690" t="s">
        <v>5827</v>
      </c>
      <c r="F11931" s="1908"/>
      <c r="G11931" s="1408" t="s">
        <v>24</v>
      </c>
      <c r="H11931" s="1327">
        <v>-1.1199999999999999E-3</v>
      </c>
      <c r="K11931" s="841" t="s">
        <v>3321</v>
      </c>
      <c r="L11931" s="841" t="s">
        <v>443</v>
      </c>
      <c r="M11931" s="1357"/>
      <c r="P11931" s="841" t="s">
        <v>3324</v>
      </c>
      <c r="Q11931" s="1357"/>
      <c r="S11931" s="1420"/>
      <c r="T11931" s="1420">
        <v>43465</v>
      </c>
      <c r="V11931" s="1357">
        <v>144</v>
      </c>
    </row>
    <row r="11932" spans="1:22" s="841" customFormat="1" ht="15" x14ac:dyDescent="0.25">
      <c r="A11932" s="841" t="s">
        <v>169</v>
      </c>
      <c r="E11932" s="1690" t="s">
        <v>5822</v>
      </c>
      <c r="F11932" s="1908"/>
      <c r="G11932" s="1408" t="s">
        <v>25</v>
      </c>
      <c r="H11932" s="393">
        <v>0.27629999999999999</v>
      </c>
      <c r="K11932" s="841" t="s">
        <v>3321</v>
      </c>
      <c r="L11932" s="841" t="s">
        <v>442</v>
      </c>
      <c r="M11932" s="1357"/>
      <c r="P11932" s="841" t="s">
        <v>3325</v>
      </c>
      <c r="Q11932" s="1357"/>
      <c r="S11932" s="1420"/>
      <c r="T11932" s="1420">
        <v>43465</v>
      </c>
      <c r="V11932" s="1357">
        <v>138</v>
      </c>
    </row>
    <row r="11933" spans="1:22" s="841" customFormat="1" ht="15" x14ac:dyDescent="0.25">
      <c r="A11933" s="841" t="s">
        <v>169</v>
      </c>
      <c r="E11933" s="1690" t="s">
        <v>5843</v>
      </c>
      <c r="F11933" s="1908"/>
      <c r="G11933" s="1408" t="s">
        <v>25</v>
      </c>
      <c r="H11933" s="393">
        <v>-0.59450000000000003</v>
      </c>
      <c r="K11933" s="841" t="s">
        <v>3321</v>
      </c>
      <c r="L11933" s="841" t="s">
        <v>443</v>
      </c>
      <c r="M11933" s="1357"/>
      <c r="P11933" s="841" t="s">
        <v>3326</v>
      </c>
      <c r="Q11933" s="1357"/>
      <c r="S11933" s="1420"/>
      <c r="T11933" s="1420">
        <v>43465</v>
      </c>
      <c r="V11933" s="1357">
        <v>161</v>
      </c>
    </row>
    <row r="11934" spans="1:22" s="841" customFormat="1" ht="15" x14ac:dyDescent="0.25">
      <c r="A11934" s="841" t="s">
        <v>169</v>
      </c>
      <c r="E11934" s="1690" t="s">
        <v>5823</v>
      </c>
      <c r="F11934" s="1908"/>
      <c r="G11934" s="1408" t="s">
        <v>25</v>
      </c>
      <c r="H11934" s="393">
        <v>-0.87819999999999998</v>
      </c>
      <c r="K11934" s="841" t="s">
        <v>3321</v>
      </c>
      <c r="L11934" s="841" t="s">
        <v>443</v>
      </c>
      <c r="M11934" s="1357"/>
      <c r="P11934" s="841" t="s">
        <v>3326</v>
      </c>
      <c r="Q11934" s="1357"/>
      <c r="S11934" s="1420"/>
      <c r="T11934" s="1420">
        <v>43465</v>
      </c>
      <c r="V11934" s="1357">
        <v>105</v>
      </c>
    </row>
    <row r="11935" spans="1:22" s="841" customFormat="1" ht="15" x14ac:dyDescent="0.25">
      <c r="A11935" s="841" t="s">
        <v>169</v>
      </c>
      <c r="E11935" s="1690" t="s">
        <v>5817</v>
      </c>
      <c r="F11935" s="1690"/>
      <c r="G11935" s="1408" t="s">
        <v>25</v>
      </c>
      <c r="H11935" s="393">
        <v>-0.2084</v>
      </c>
      <c r="K11935" s="841" t="s">
        <v>3321</v>
      </c>
      <c r="L11935" s="841" t="s">
        <v>442</v>
      </c>
      <c r="M11935" s="1357"/>
      <c r="P11935" s="841" t="s">
        <v>6491</v>
      </c>
      <c r="Q11935" s="1357"/>
      <c r="S11935" s="1420"/>
      <c r="T11935" s="1420">
        <v>43465</v>
      </c>
      <c r="V11935" s="1357">
        <v>116</v>
      </c>
    </row>
    <row r="11936" spans="1:22" s="841" customFormat="1" ht="15" x14ac:dyDescent="0.25">
      <c r="A11936" s="841" t="s">
        <v>169</v>
      </c>
      <c r="E11936" s="1690" t="s">
        <v>5818</v>
      </c>
      <c r="F11936" s="1690"/>
      <c r="G11936" s="1408" t="s">
        <v>25</v>
      </c>
      <c r="H11936" s="393">
        <v>4.4000000000000003E-3</v>
      </c>
      <c r="K11936" s="841" t="s">
        <v>3321</v>
      </c>
      <c r="L11936" s="841" t="s">
        <v>442</v>
      </c>
      <c r="M11936" s="1357"/>
      <c r="P11936" s="841" t="s">
        <v>6492</v>
      </c>
      <c r="Q11936" s="1357"/>
      <c r="S11936" s="1420"/>
      <c r="T11936" s="1420">
        <v>43830</v>
      </c>
      <c r="V11936" s="1357">
        <v>109</v>
      </c>
    </row>
    <row r="11937" spans="1:22" s="841" customFormat="1" ht="15" x14ac:dyDescent="0.25">
      <c r="A11937" s="841" t="s">
        <v>169</v>
      </c>
      <c r="E11937" s="1690" t="s">
        <v>5825</v>
      </c>
      <c r="F11937" s="1690"/>
      <c r="G11937" s="1408" t="s">
        <v>25</v>
      </c>
      <c r="H11937" s="393">
        <v>3.8999999999999998E-3</v>
      </c>
      <c r="K11937" s="841" t="s">
        <v>3321</v>
      </c>
      <c r="L11937" s="841" t="s">
        <v>442</v>
      </c>
      <c r="M11937" s="1357"/>
      <c r="P11937" s="841" t="s">
        <v>6493</v>
      </c>
      <c r="Q11937" s="1357"/>
      <c r="S11937" s="1420"/>
      <c r="T11937" s="1420">
        <v>43830</v>
      </c>
      <c r="V11937" s="1357">
        <v>109</v>
      </c>
    </row>
    <row r="11938" spans="1:22" s="841" customFormat="1" ht="15" x14ac:dyDescent="0.25">
      <c r="A11938" s="841" t="s">
        <v>169</v>
      </c>
      <c r="E11938" s="1690" t="s">
        <v>4612</v>
      </c>
      <c r="F11938" s="1690"/>
      <c r="G11938" s="1408" t="s">
        <v>25</v>
      </c>
      <c r="H11938" s="393">
        <v>6.4799999999999996E-2</v>
      </c>
      <c r="K11938" s="841" t="s">
        <v>3321</v>
      </c>
      <c r="L11938" s="841" t="s">
        <v>442</v>
      </c>
      <c r="M11938" s="1357"/>
      <c r="P11938" s="841" t="s">
        <v>6494</v>
      </c>
      <c r="Q11938" s="1357"/>
      <c r="S11938" s="1420"/>
      <c r="T11938" s="1420">
        <v>43830</v>
      </c>
      <c r="V11938" s="1357">
        <v>91</v>
      </c>
    </row>
    <row r="11939" spans="1:22" s="841" customFormat="1" ht="15" x14ac:dyDescent="0.25">
      <c r="A11939" s="841" t="s">
        <v>169</v>
      </c>
      <c r="E11939" s="1690" t="s">
        <v>4613</v>
      </c>
      <c r="F11939" s="1690"/>
      <c r="G11939" s="1408" t="s">
        <v>25</v>
      </c>
      <c r="H11939" s="393">
        <v>0.13819999999999999</v>
      </c>
      <c r="K11939" s="841" t="s">
        <v>3321</v>
      </c>
      <c r="L11939" s="841" t="s">
        <v>442</v>
      </c>
      <c r="M11939" s="1357"/>
      <c r="P11939" s="841" t="s">
        <v>6495</v>
      </c>
      <c r="Q11939" s="1357"/>
      <c r="S11939" s="1420"/>
      <c r="T11939" s="1420">
        <v>43830</v>
      </c>
      <c r="V11939" s="1357">
        <v>84</v>
      </c>
    </row>
    <row r="11940" spans="1:22" s="841" customFormat="1" ht="15" x14ac:dyDescent="0.25">
      <c r="A11940" s="841" t="s">
        <v>169</v>
      </c>
      <c r="E11940" s="1690" t="s">
        <v>4614</v>
      </c>
      <c r="F11940" s="1690"/>
      <c r="G11940" s="1408" t="s">
        <v>25</v>
      </c>
      <c r="H11940" s="393">
        <v>4.0599999999999997E-2</v>
      </c>
      <c r="K11940" s="841" t="s">
        <v>3321</v>
      </c>
      <c r="L11940" s="841" t="s">
        <v>442</v>
      </c>
      <c r="M11940" s="1357"/>
      <c r="P11940" s="841" t="s">
        <v>6496</v>
      </c>
      <c r="Q11940" s="1357"/>
      <c r="S11940" s="1420"/>
      <c r="T11940" s="1420">
        <v>43830</v>
      </c>
      <c r="V11940" s="1357">
        <v>84</v>
      </c>
    </row>
    <row r="11941" spans="1:22" s="841" customFormat="1" ht="15" x14ac:dyDescent="0.25">
      <c r="A11941" s="841" t="s">
        <v>169</v>
      </c>
      <c r="E11941" s="1690" t="s">
        <v>221</v>
      </c>
      <c r="F11941" s="1690"/>
      <c r="G11941" s="1408" t="s">
        <v>33</v>
      </c>
      <c r="H11941" s="1194">
        <v>2.8294999999999999</v>
      </c>
      <c r="K11941" s="841" t="s">
        <v>3321</v>
      </c>
      <c r="L11941" s="841" t="s">
        <v>444</v>
      </c>
      <c r="M11941" s="1357"/>
      <c r="P11941" s="841" t="s">
        <v>3327</v>
      </c>
      <c r="Q11941" s="1357"/>
      <c r="S11941" s="1420"/>
      <c r="T11941" s="1420"/>
      <c r="V11941" s="1357">
        <v>47</v>
      </c>
    </row>
    <row r="11942" spans="1:22" s="841" customFormat="1" ht="15" x14ac:dyDescent="0.25">
      <c r="A11942" s="841" t="s">
        <v>169</v>
      </c>
      <c r="E11942" s="1690" t="s">
        <v>217</v>
      </c>
      <c r="F11942" s="1690"/>
      <c r="G11942" s="1408" t="s">
        <v>33</v>
      </c>
      <c r="H11942" s="1194">
        <v>2.2768999999999999</v>
      </c>
      <c r="K11942" s="841" t="s">
        <v>3321</v>
      </c>
      <c r="L11942" s="841" t="s">
        <v>444</v>
      </c>
      <c r="M11942" s="1357"/>
      <c r="P11942" s="841" t="s">
        <v>3328</v>
      </c>
      <c r="Q11942" s="1357"/>
      <c r="S11942" s="1420"/>
      <c r="T11942" s="1420"/>
      <c r="V11942" s="1357">
        <v>74</v>
      </c>
    </row>
    <row r="11943" spans="1:22" s="841" customFormat="1" ht="15" x14ac:dyDescent="0.25">
      <c r="A11943" s="841" t="s">
        <v>169</v>
      </c>
      <c r="E11943" s="1694" t="s">
        <v>3079</v>
      </c>
      <c r="F11943" s="1690"/>
      <c r="G11943" s="1408"/>
      <c r="H11943" s="1408"/>
      <c r="K11943" s="841" t="s">
        <v>3122</v>
      </c>
      <c r="M11943" s="1357"/>
      <c r="Q11943" s="1357"/>
      <c r="S11943" s="1420"/>
      <c r="T11943" s="1420"/>
      <c r="V11943" s="1357">
        <v>48</v>
      </c>
    </row>
    <row r="11944" spans="1:22" s="841" customFormat="1" ht="15" x14ac:dyDescent="0.25">
      <c r="A11944" s="841" t="s">
        <v>169</v>
      </c>
      <c r="E11944" s="1690" t="s">
        <v>2449</v>
      </c>
      <c r="F11944" s="1690"/>
      <c r="G11944" s="1408" t="s">
        <v>24</v>
      </c>
      <c r="H11944" s="393">
        <v>3.2000000000000002E-3</v>
      </c>
      <c r="K11944" s="841" t="s">
        <v>3321</v>
      </c>
      <c r="L11944" s="841" t="s">
        <v>3046</v>
      </c>
      <c r="M11944" s="1357"/>
      <c r="P11944" s="841" t="s">
        <v>3329</v>
      </c>
      <c r="Q11944" s="1357"/>
      <c r="S11944" s="1420"/>
      <c r="T11944" s="1420"/>
      <c r="V11944" s="1357">
        <v>55</v>
      </c>
    </row>
    <row r="11945" spans="1:22" s="841" customFormat="1" ht="15" x14ac:dyDescent="0.25">
      <c r="A11945" s="841" t="s">
        <v>169</v>
      </c>
      <c r="E11945" s="1690" t="s">
        <v>2450</v>
      </c>
      <c r="F11945" s="1690"/>
      <c r="G11945" s="1408" t="s">
        <v>24</v>
      </c>
      <c r="H11945" s="393">
        <v>4.0000000000000002E-4</v>
      </c>
      <c r="K11945" s="841" t="s">
        <v>3321</v>
      </c>
      <c r="L11945" s="841" t="s">
        <v>3046</v>
      </c>
      <c r="M11945" s="1357"/>
      <c r="P11945" s="841" t="s">
        <v>3329</v>
      </c>
      <c r="Q11945" s="1357"/>
      <c r="S11945" s="1420"/>
      <c r="T11945" s="1420"/>
      <c r="V11945" s="1357">
        <v>65</v>
      </c>
    </row>
    <row r="11946" spans="1:22" s="841" customFormat="1" ht="15" x14ac:dyDescent="0.25">
      <c r="A11946" s="841" t="s">
        <v>169</v>
      </c>
      <c r="E11946" s="1690" t="s">
        <v>439</v>
      </c>
      <c r="F11946" s="1690"/>
      <c r="G11946" s="1408" t="s">
        <v>24</v>
      </c>
      <c r="H11946" s="393">
        <v>2.9999999999999997E-4</v>
      </c>
      <c r="K11946" s="841" t="s">
        <v>3321</v>
      </c>
      <c r="L11946" s="841" t="s">
        <v>3046</v>
      </c>
      <c r="M11946" s="1357"/>
      <c r="P11946" s="841" t="s">
        <v>3330</v>
      </c>
      <c r="Q11946" s="1357"/>
      <c r="S11946" s="1420"/>
      <c r="T11946" s="1420"/>
      <c r="V11946" s="1357">
        <v>57</v>
      </c>
    </row>
    <row r="11947" spans="1:22" s="841" customFormat="1" ht="15" x14ac:dyDescent="0.25">
      <c r="A11947" s="841" t="s">
        <v>169</v>
      </c>
      <c r="E11947" s="1690" t="s">
        <v>32</v>
      </c>
      <c r="F11947" s="1690"/>
      <c r="G11947" s="1408" t="s">
        <v>23</v>
      </c>
      <c r="H11947" s="1328">
        <v>0.25</v>
      </c>
      <c r="K11947" s="841" t="s">
        <v>3321</v>
      </c>
      <c r="L11947" s="841" t="s">
        <v>3046</v>
      </c>
      <c r="M11947" s="1357"/>
      <c r="P11947" s="841" t="s">
        <v>3331</v>
      </c>
      <c r="Q11947" s="1357"/>
      <c r="S11947" s="1420"/>
      <c r="T11947" s="1420"/>
      <c r="V11947" s="1357">
        <v>63</v>
      </c>
    </row>
    <row r="11948" spans="1:22" s="841" customFormat="1" x14ac:dyDescent="0.25">
      <c r="A11948" s="841" t="s">
        <v>169</v>
      </c>
      <c r="E11948" s="1695" t="s">
        <v>631</v>
      </c>
      <c r="F11948" s="1915"/>
      <c r="G11948" s="1915"/>
      <c r="H11948" s="1915"/>
      <c r="K11948" s="841" t="s">
        <v>4091</v>
      </c>
      <c r="M11948" s="1357"/>
      <c r="Q11948" s="1357"/>
      <c r="S11948" s="1420"/>
      <c r="T11948" s="1420"/>
      <c r="V11948" s="1357">
        <v>36</v>
      </c>
    </row>
    <row r="11949" spans="1:22" s="841" customFormat="1" ht="15" x14ac:dyDescent="0.25">
      <c r="A11949" s="841" t="s">
        <v>169</v>
      </c>
      <c r="E11949" s="1689" t="s">
        <v>4628</v>
      </c>
      <c r="F11949" s="1689"/>
      <c r="G11949" s="1689"/>
      <c r="H11949" s="1689"/>
      <c r="K11949" s="841" t="s">
        <v>4091</v>
      </c>
      <c r="M11949" s="1357"/>
      <c r="Q11949" s="1357"/>
      <c r="S11949" s="1420"/>
      <c r="T11949" s="1420"/>
      <c r="V11949" s="1357">
        <v>211</v>
      </c>
    </row>
    <row r="11950" spans="1:22" s="841" customFormat="1" ht="15" x14ac:dyDescent="0.25">
      <c r="A11950" s="841" t="s">
        <v>169</v>
      </c>
      <c r="E11950" s="1696" t="s">
        <v>3061</v>
      </c>
      <c r="F11950" s="1697"/>
      <c r="G11950" s="1697"/>
      <c r="H11950" s="1697"/>
      <c r="K11950" s="841" t="s">
        <v>3128</v>
      </c>
      <c r="M11950" s="1357"/>
      <c r="Q11950" s="1357"/>
      <c r="S11950" s="1420"/>
      <c r="T11950" s="1420"/>
      <c r="V11950" s="1357">
        <v>11</v>
      </c>
    </row>
    <row r="11951" spans="1:22" s="841" customFormat="1" ht="15" x14ac:dyDescent="0.25">
      <c r="A11951" s="841" t="s">
        <v>169</v>
      </c>
      <c r="E11951" s="1689" t="s">
        <v>3063</v>
      </c>
      <c r="F11951" s="1689"/>
      <c r="G11951" s="1689"/>
      <c r="H11951" s="1689"/>
      <c r="K11951" s="841" t="s">
        <v>4091</v>
      </c>
      <c r="M11951" s="1357"/>
      <c r="Q11951" s="1357"/>
      <c r="S11951" s="1420"/>
      <c r="T11951" s="1420"/>
      <c r="V11951" s="1357">
        <v>280</v>
      </c>
    </row>
    <row r="11952" spans="1:22" s="841" customFormat="1" ht="15" x14ac:dyDescent="0.25">
      <c r="A11952" s="841" t="s">
        <v>169</v>
      </c>
      <c r="E11952" s="1689" t="s">
        <v>3064</v>
      </c>
      <c r="F11952" s="1689"/>
      <c r="G11952" s="1689"/>
      <c r="H11952" s="1689"/>
      <c r="K11952" s="841" t="s">
        <v>4091</v>
      </c>
      <c r="M11952" s="1357"/>
      <c r="Q11952" s="1357"/>
      <c r="S11952" s="1420"/>
      <c r="T11952" s="1420"/>
      <c r="V11952" s="1357">
        <v>411</v>
      </c>
    </row>
    <row r="11953" spans="1:22" s="841" customFormat="1" ht="15" x14ac:dyDescent="0.25">
      <c r="A11953" s="841" t="s">
        <v>169</v>
      </c>
      <c r="E11953" s="1689" t="s">
        <v>3129</v>
      </c>
      <c r="F11953" s="1689"/>
      <c r="G11953" s="1689"/>
      <c r="H11953" s="1689"/>
      <c r="K11953" s="841" t="s">
        <v>4091</v>
      </c>
      <c r="M11953" s="1357"/>
      <c r="Q11953" s="1357"/>
      <c r="S11953" s="1420"/>
      <c r="T11953" s="1420"/>
      <c r="V11953" s="1357">
        <v>211</v>
      </c>
    </row>
    <row r="11954" spans="1:22" s="841" customFormat="1" ht="15" x14ac:dyDescent="0.25">
      <c r="A11954" s="841" t="s">
        <v>169</v>
      </c>
      <c r="E11954" s="1689" t="s">
        <v>3390</v>
      </c>
      <c r="F11954" s="1689"/>
      <c r="G11954" s="1689"/>
      <c r="H11954" s="1689"/>
      <c r="K11954" s="841" t="s">
        <v>4091</v>
      </c>
      <c r="M11954" s="1357"/>
      <c r="Q11954" s="1357"/>
      <c r="S11954" s="1420"/>
      <c r="T11954" s="1420"/>
      <c r="V11954" s="1357">
        <v>274</v>
      </c>
    </row>
    <row r="11955" spans="1:22" s="841" customFormat="1" ht="15" x14ac:dyDescent="0.25">
      <c r="A11955" s="841" t="s">
        <v>169</v>
      </c>
      <c r="E11955" s="1692" t="s">
        <v>3933</v>
      </c>
      <c r="F11955" s="1693"/>
      <c r="G11955" s="1693"/>
      <c r="H11955" s="1693"/>
      <c r="K11955" s="841" t="s">
        <v>3130</v>
      </c>
      <c r="M11955" s="1357"/>
      <c r="Q11955" s="1357"/>
      <c r="S11955" s="1420"/>
      <c r="T11955" s="1420"/>
      <c r="V11955" s="1357">
        <v>77</v>
      </c>
    </row>
    <row r="11956" spans="1:22" s="841" customFormat="1" ht="15" x14ac:dyDescent="0.25">
      <c r="A11956" s="841" t="s">
        <v>169</v>
      </c>
      <c r="E11956" s="1690" t="s">
        <v>4629</v>
      </c>
      <c r="F11956" s="1690"/>
      <c r="G11956" s="1690"/>
      <c r="H11956" s="1690"/>
      <c r="K11956" s="841" t="s">
        <v>4091</v>
      </c>
      <c r="M11956" s="1357"/>
      <c r="P11956" s="841" t="s">
        <v>4094</v>
      </c>
      <c r="Q11956" s="1357"/>
      <c r="S11956" s="1420"/>
      <c r="T11956" s="1420"/>
      <c r="V11956" s="1357">
        <v>160</v>
      </c>
    </row>
    <row r="11957" spans="1:22" s="841" customFormat="1" ht="15" x14ac:dyDescent="0.25">
      <c r="A11957" s="841" t="s">
        <v>169</v>
      </c>
      <c r="E11957" s="1690" t="s">
        <v>11</v>
      </c>
      <c r="F11957" s="1690"/>
      <c r="G11957" s="1408" t="s">
        <v>23</v>
      </c>
      <c r="H11957" s="1193">
        <v>237.17</v>
      </c>
      <c r="K11957" s="841" t="s">
        <v>4091</v>
      </c>
      <c r="L11957" s="841" t="s">
        <v>442</v>
      </c>
      <c r="M11957" s="1357"/>
      <c r="P11957" s="841" t="s">
        <v>5602</v>
      </c>
      <c r="Q11957" s="1357"/>
      <c r="S11957" s="1420"/>
      <c r="T11957" s="1420"/>
      <c r="V11957" s="1357">
        <v>14</v>
      </c>
    </row>
    <row r="11958" spans="1:22" s="841" customFormat="1" ht="15" x14ac:dyDescent="0.25">
      <c r="A11958" s="841" t="s">
        <v>169</v>
      </c>
      <c r="E11958" s="1690" t="s">
        <v>84</v>
      </c>
      <c r="F11958" s="1690"/>
      <c r="G11958" s="1408"/>
      <c r="H11958" s="3"/>
      <c r="K11958" s="841" t="s">
        <v>4091</v>
      </c>
      <c r="M11958" s="1357"/>
      <c r="P11958" s="841" t="s">
        <v>4094</v>
      </c>
      <c r="Q11958" s="1357"/>
      <c r="S11958" s="1420"/>
      <c r="T11958" s="1420"/>
      <c r="V11958" s="1357">
        <v>28</v>
      </c>
    </row>
    <row r="11959" spans="1:22" s="841" customFormat="1" ht="15" x14ac:dyDescent="0.25">
      <c r="A11959" s="841" t="s">
        <v>169</v>
      </c>
      <c r="E11959" s="1941" t="s">
        <v>4630</v>
      </c>
      <c r="F11959" s="1941"/>
      <c r="G11959" s="1408" t="s">
        <v>25</v>
      </c>
      <c r="H11959" s="1194">
        <v>7.7987000000000002</v>
      </c>
      <c r="K11959" s="841" t="s">
        <v>4091</v>
      </c>
      <c r="L11959" s="841" t="s">
        <v>442</v>
      </c>
      <c r="M11959" s="1357"/>
      <c r="Q11959" s="1357"/>
      <c r="S11959" s="1420"/>
      <c r="T11959" s="1420"/>
      <c r="V11959" s="1357">
        <v>54</v>
      </c>
    </row>
    <row r="11960" spans="1:22" s="841" customFormat="1" ht="15" x14ac:dyDescent="0.25">
      <c r="A11960" s="841" t="s">
        <v>169</v>
      </c>
      <c r="E11960" s="1941" t="s">
        <v>4631</v>
      </c>
      <c r="F11960" s="1941"/>
      <c r="G11960" s="1408" t="s">
        <v>25</v>
      </c>
      <c r="H11960" s="1194">
        <v>6.1355000000000004</v>
      </c>
      <c r="K11960" s="841" t="s">
        <v>4091</v>
      </c>
      <c r="L11960" s="841" t="s">
        <v>442</v>
      </c>
      <c r="M11960" s="1357"/>
      <c r="Q11960" s="1357"/>
      <c r="S11960" s="1420"/>
      <c r="T11960" s="1420"/>
      <c r="V11960" s="1357">
        <v>59</v>
      </c>
    </row>
    <row r="11961" spans="1:22" s="841" customFormat="1" ht="15" x14ac:dyDescent="0.25">
      <c r="A11961" s="841" t="s">
        <v>169</v>
      </c>
      <c r="E11961" s="1941" t="s">
        <v>4632</v>
      </c>
      <c r="F11961" s="1941"/>
      <c r="G11961" s="1408" t="s">
        <v>25</v>
      </c>
      <c r="H11961" s="1194">
        <v>6.5819999999999999</v>
      </c>
      <c r="K11961" s="841" t="s">
        <v>4091</v>
      </c>
      <c r="L11961" s="841" t="s">
        <v>442</v>
      </c>
      <c r="M11961" s="1357"/>
      <c r="Q11961" s="1357"/>
      <c r="S11961" s="1420"/>
      <c r="T11961" s="1420"/>
      <c r="V11961" s="1357">
        <v>36</v>
      </c>
    </row>
    <row r="11962" spans="1:22" s="841" customFormat="1" x14ac:dyDescent="0.25">
      <c r="A11962" s="841" t="s">
        <v>169</v>
      </c>
      <c r="E11962" s="1695" t="s">
        <v>617</v>
      </c>
      <c r="F11962" s="1915"/>
      <c r="G11962" s="1915"/>
      <c r="H11962" s="1915"/>
      <c r="K11962" s="841" t="s">
        <v>3634</v>
      </c>
      <c r="M11962" s="1357"/>
      <c r="Q11962" s="1357"/>
      <c r="S11962" s="1420"/>
      <c r="T11962" s="1420"/>
      <c r="V11962" s="1357">
        <v>47</v>
      </c>
    </row>
    <row r="11963" spans="1:22" s="841" customFormat="1" ht="15" x14ac:dyDescent="0.25">
      <c r="A11963" s="841" t="s">
        <v>169</v>
      </c>
      <c r="E11963" s="1689" t="s">
        <v>4633</v>
      </c>
      <c r="F11963" s="1689"/>
      <c r="G11963" s="1689"/>
      <c r="H11963" s="1689"/>
      <c r="K11963" s="841" t="s">
        <v>3634</v>
      </c>
      <c r="M11963" s="1357"/>
      <c r="Q11963" s="1357"/>
      <c r="S11963" s="1420"/>
      <c r="T11963" s="1420"/>
      <c r="V11963" s="1357">
        <v>729</v>
      </c>
    </row>
    <row r="11964" spans="1:22" s="841" customFormat="1" ht="15" x14ac:dyDescent="0.25">
      <c r="A11964" s="841" t="s">
        <v>169</v>
      </c>
      <c r="E11964" s="1696" t="s">
        <v>3061</v>
      </c>
      <c r="F11964" s="1697"/>
      <c r="G11964" s="1697"/>
      <c r="H11964" s="1697"/>
      <c r="K11964" s="841" t="s">
        <v>3266</v>
      </c>
      <c r="M11964" s="1357"/>
      <c r="Q11964" s="1357"/>
      <c r="S11964" s="1420"/>
      <c r="T11964" s="1420"/>
      <c r="V11964" s="1357">
        <v>11</v>
      </c>
    </row>
    <row r="11965" spans="1:22" s="841" customFormat="1" ht="15" x14ac:dyDescent="0.25">
      <c r="A11965" s="841" t="s">
        <v>169</v>
      </c>
      <c r="E11965" s="1689" t="s">
        <v>3063</v>
      </c>
      <c r="F11965" s="1689"/>
      <c r="G11965" s="1689"/>
      <c r="H11965" s="1689"/>
      <c r="K11965" s="841" t="s">
        <v>3634</v>
      </c>
      <c r="M11965" s="1357"/>
      <c r="Q11965" s="1357"/>
      <c r="S11965" s="1420"/>
      <c r="T11965" s="1420"/>
      <c r="V11965" s="1357">
        <v>280</v>
      </c>
    </row>
    <row r="11966" spans="1:22" s="841" customFormat="1" ht="15" x14ac:dyDescent="0.25">
      <c r="A11966" s="841" t="s">
        <v>169</v>
      </c>
      <c r="E11966" s="1689" t="s">
        <v>3064</v>
      </c>
      <c r="F11966" s="1689"/>
      <c r="G11966" s="1689"/>
      <c r="H11966" s="1689"/>
      <c r="K11966" s="841" t="s">
        <v>3634</v>
      </c>
      <c r="M11966" s="1357"/>
      <c r="Q11966" s="1357"/>
      <c r="S11966" s="1420"/>
      <c r="T11966" s="1420"/>
      <c r="V11966" s="1357">
        <v>411</v>
      </c>
    </row>
    <row r="11967" spans="1:22" s="841" customFormat="1" ht="15" x14ac:dyDescent="0.25">
      <c r="A11967" s="841" t="s">
        <v>169</v>
      </c>
      <c r="E11967" s="1689" t="s">
        <v>3065</v>
      </c>
      <c r="F11967" s="1689"/>
      <c r="G11967" s="1689"/>
      <c r="H11967" s="1689"/>
      <c r="K11967" s="841" t="s">
        <v>3634</v>
      </c>
      <c r="M11967" s="1357"/>
      <c r="Q11967" s="1357"/>
      <c r="S11967" s="1420"/>
      <c r="T11967" s="1420"/>
      <c r="V11967" s="1357">
        <v>387</v>
      </c>
    </row>
    <row r="11968" spans="1:22" s="841" customFormat="1" ht="15" x14ac:dyDescent="0.25">
      <c r="A11968" s="841" t="s">
        <v>169</v>
      </c>
      <c r="E11968" s="1689" t="s">
        <v>3390</v>
      </c>
      <c r="F11968" s="1689"/>
      <c r="G11968" s="1689"/>
      <c r="H11968" s="1689"/>
      <c r="K11968" s="841" t="s">
        <v>3634</v>
      </c>
      <c r="M11968" s="1357"/>
      <c r="Q11968" s="1357"/>
      <c r="S11968" s="1420"/>
      <c r="T11968" s="1420"/>
      <c r="V11968" s="1357">
        <v>274</v>
      </c>
    </row>
    <row r="11969" spans="1:22" s="841" customFormat="1" ht="15" x14ac:dyDescent="0.25">
      <c r="A11969" s="841" t="s">
        <v>169</v>
      </c>
      <c r="E11969" s="1692" t="s">
        <v>3067</v>
      </c>
      <c r="F11969" s="1693"/>
      <c r="G11969" s="1693"/>
      <c r="H11969" s="1693"/>
      <c r="K11969" s="841" t="s">
        <v>3267</v>
      </c>
      <c r="M11969" s="1357"/>
      <c r="Q11969" s="1357"/>
      <c r="S11969" s="1420"/>
      <c r="T11969" s="1420"/>
      <c r="V11969" s="1357">
        <v>46</v>
      </c>
    </row>
    <row r="11970" spans="1:22" s="841" customFormat="1" ht="15" x14ac:dyDescent="0.25">
      <c r="A11970" s="841" t="s">
        <v>169</v>
      </c>
      <c r="E11970" s="1690" t="s">
        <v>11</v>
      </c>
      <c r="F11970" s="1690"/>
      <c r="G11970" s="1408" t="s">
        <v>23</v>
      </c>
      <c r="H11970" s="1193">
        <v>6.87</v>
      </c>
      <c r="K11970" s="841" t="s">
        <v>3634</v>
      </c>
      <c r="L11970" s="841" t="s">
        <v>442</v>
      </c>
      <c r="M11970" s="1357"/>
      <c r="P11970" s="841" t="s">
        <v>3635</v>
      </c>
      <c r="Q11970" s="1357"/>
      <c r="S11970" s="1420"/>
      <c r="T11970" s="1420"/>
      <c r="V11970" s="1357">
        <v>14</v>
      </c>
    </row>
    <row r="11971" spans="1:22" s="841" customFormat="1" ht="15" x14ac:dyDescent="0.25">
      <c r="A11971" s="841" t="s">
        <v>169</v>
      </c>
      <c r="E11971" s="1690" t="s">
        <v>4634</v>
      </c>
      <c r="F11971" s="1690"/>
      <c r="G11971" s="1408" t="s">
        <v>23</v>
      </c>
      <c r="H11971" s="391">
        <v>0.70631400000000011</v>
      </c>
      <c r="K11971" s="841" t="s">
        <v>3634</v>
      </c>
      <c r="L11971" s="841" t="s">
        <v>442</v>
      </c>
      <c r="M11971" s="1357"/>
      <c r="P11971" s="841" t="s">
        <v>5867</v>
      </c>
      <c r="Q11971" s="1357"/>
      <c r="S11971" s="1420"/>
      <c r="T11971" s="1420"/>
      <c r="V11971" s="1357">
        <v>34</v>
      </c>
    </row>
    <row r="11972" spans="1:22" s="841" customFormat="1" ht="15" x14ac:dyDescent="0.25">
      <c r="A11972" s="841" t="s">
        <v>169</v>
      </c>
      <c r="E11972" s="1690" t="s">
        <v>4613</v>
      </c>
      <c r="F11972" s="1690"/>
      <c r="G11972" s="1408" t="s">
        <v>23</v>
      </c>
      <c r="H11972" s="391">
        <v>0.16</v>
      </c>
      <c r="K11972" s="841" t="s">
        <v>3634</v>
      </c>
      <c r="L11972" s="841" t="s">
        <v>442</v>
      </c>
      <c r="M11972" s="1357"/>
      <c r="P11972" s="841" t="s">
        <v>6497</v>
      </c>
      <c r="Q11972" s="1357"/>
      <c r="S11972" s="1420"/>
      <c r="T11972" s="1420">
        <v>43830</v>
      </c>
      <c r="V11972" s="1357">
        <v>84</v>
      </c>
    </row>
    <row r="11973" spans="1:22" s="841" customFormat="1" ht="15" x14ac:dyDescent="0.25">
      <c r="A11973" s="841" t="s">
        <v>169</v>
      </c>
      <c r="E11973" s="1690" t="s">
        <v>5868</v>
      </c>
      <c r="F11973" s="1690"/>
      <c r="G11973" s="1408" t="s">
        <v>23</v>
      </c>
      <c r="H11973" s="391">
        <v>0.02</v>
      </c>
      <c r="K11973" s="841" t="s">
        <v>3634</v>
      </c>
      <c r="L11973" s="841" t="s">
        <v>442</v>
      </c>
      <c r="M11973" s="1357"/>
      <c r="P11973" s="841" t="s">
        <v>6498</v>
      </c>
      <c r="Q11973" s="1357"/>
      <c r="S11973" s="1420"/>
      <c r="T11973" s="1420">
        <v>43830</v>
      </c>
      <c r="V11973" s="1357">
        <v>106</v>
      </c>
    </row>
    <row r="11974" spans="1:22" s="841" customFormat="1" ht="15" x14ac:dyDescent="0.25">
      <c r="A11974" s="841" t="s">
        <v>169</v>
      </c>
      <c r="E11974" s="1690" t="s">
        <v>4614</v>
      </c>
      <c r="F11974" s="1690"/>
      <c r="G11974" s="1408" t="s">
        <v>23</v>
      </c>
      <c r="H11974" s="391">
        <v>0.05</v>
      </c>
      <c r="K11974" s="841" t="s">
        <v>3634</v>
      </c>
      <c r="L11974" s="841" t="s">
        <v>442</v>
      </c>
      <c r="M11974" s="1357"/>
      <c r="P11974" s="841" t="s">
        <v>6499</v>
      </c>
      <c r="Q11974" s="1357"/>
      <c r="S11974" s="1420"/>
      <c r="T11974" s="1420">
        <v>43830</v>
      </c>
      <c r="V11974" s="1357">
        <v>84</v>
      </c>
    </row>
    <row r="11975" spans="1:22" s="841" customFormat="1" ht="15" x14ac:dyDescent="0.25">
      <c r="A11975" s="841" t="s">
        <v>169</v>
      </c>
      <c r="E11975" s="1690" t="s">
        <v>5869</v>
      </c>
      <c r="F11975" s="1690"/>
      <c r="G11975" s="1408" t="s">
        <v>23</v>
      </c>
      <c r="H11975" s="391">
        <v>0.01</v>
      </c>
      <c r="K11975" s="841" t="s">
        <v>3634</v>
      </c>
      <c r="L11975" s="841" t="s">
        <v>442</v>
      </c>
      <c r="M11975" s="1357"/>
      <c r="P11975" s="841" t="s">
        <v>6500</v>
      </c>
      <c r="Q11975" s="1357"/>
      <c r="S11975" s="1420"/>
      <c r="T11975" s="1420">
        <v>43830</v>
      </c>
      <c r="V11975" s="1357">
        <v>107</v>
      </c>
    </row>
    <row r="11976" spans="1:22" s="841" customFormat="1" ht="15" x14ac:dyDescent="0.25">
      <c r="A11976" s="841" t="s">
        <v>169</v>
      </c>
      <c r="E11976" s="1690" t="s">
        <v>84</v>
      </c>
      <c r="F11976" s="1690"/>
      <c r="G11976" s="1408" t="s">
        <v>24</v>
      </c>
      <c r="H11976" s="1327">
        <v>8.6319999999999994E-2</v>
      </c>
      <c r="K11976" s="841" t="s">
        <v>3634</v>
      </c>
      <c r="L11976" s="841" t="s">
        <v>442</v>
      </c>
      <c r="M11976" s="1357"/>
      <c r="P11976" s="841" t="s">
        <v>3636</v>
      </c>
      <c r="Q11976" s="1357"/>
      <c r="S11976" s="1420"/>
      <c r="T11976" s="1420"/>
      <c r="V11976" s="1357">
        <v>28</v>
      </c>
    </row>
    <row r="11977" spans="1:22" s="841" customFormat="1" ht="15" x14ac:dyDescent="0.25">
      <c r="A11977" s="841" t="s">
        <v>169</v>
      </c>
      <c r="E11977" s="1690" t="s">
        <v>5830</v>
      </c>
      <c r="F11977" s="1908"/>
      <c r="G11977" s="1408" t="s">
        <v>24</v>
      </c>
      <c r="H11977" s="1327">
        <v>6.9999999999999994E-5</v>
      </c>
      <c r="K11977" s="841" t="s">
        <v>3634</v>
      </c>
      <c r="L11977" s="841" t="s">
        <v>443</v>
      </c>
      <c r="M11977" s="1357"/>
      <c r="P11977" s="841" t="s">
        <v>5409</v>
      </c>
      <c r="Q11977" s="1357"/>
      <c r="S11977" s="1420"/>
      <c r="T11977" s="1420">
        <v>43465</v>
      </c>
      <c r="V11977" s="1357">
        <v>150</v>
      </c>
    </row>
    <row r="11978" spans="1:22" s="841" customFormat="1" ht="15" x14ac:dyDescent="0.25">
      <c r="A11978" s="841" t="s">
        <v>169</v>
      </c>
      <c r="E11978" s="1690" t="s">
        <v>4611</v>
      </c>
      <c r="F11978" s="1690"/>
      <c r="G11978" s="1408" t="s">
        <v>24</v>
      </c>
      <c r="H11978" s="1327">
        <v>-9.6000000000000002E-4</v>
      </c>
      <c r="K11978" s="841" t="s">
        <v>3634</v>
      </c>
      <c r="L11978" s="841" t="s">
        <v>442</v>
      </c>
      <c r="M11978" s="1357"/>
      <c r="P11978" s="841" t="s">
        <v>6501</v>
      </c>
      <c r="Q11978" s="1357"/>
      <c r="S11978" s="1420"/>
      <c r="T11978" s="1420">
        <v>43465</v>
      </c>
      <c r="V11978" s="1357">
        <v>109</v>
      </c>
    </row>
    <row r="11979" spans="1:22" s="841" customFormat="1" ht="15" x14ac:dyDescent="0.25">
      <c r="A11979" s="841" t="s">
        <v>169</v>
      </c>
      <c r="E11979" s="1690" t="s">
        <v>5827</v>
      </c>
      <c r="F11979" s="1908"/>
      <c r="G11979" s="1408" t="s">
        <v>24</v>
      </c>
      <c r="H11979" s="1327">
        <v>-1.1199999999999999E-3</v>
      </c>
      <c r="K11979" s="841" t="s">
        <v>3634</v>
      </c>
      <c r="L11979" s="841" t="s">
        <v>443</v>
      </c>
      <c r="M11979" s="1357"/>
      <c r="P11979" s="841" t="s">
        <v>3637</v>
      </c>
      <c r="Q11979" s="1357"/>
      <c r="S11979" s="1420"/>
      <c r="T11979" s="1420">
        <v>43465</v>
      </c>
      <c r="V11979" s="1357">
        <v>144</v>
      </c>
    </row>
    <row r="11980" spans="1:22" s="841" customFormat="1" ht="15" x14ac:dyDescent="0.25">
      <c r="A11980" s="841" t="s">
        <v>169</v>
      </c>
      <c r="E11980" s="1690" t="s">
        <v>5823</v>
      </c>
      <c r="F11980" s="1908"/>
      <c r="G11980" s="1408" t="s">
        <v>24</v>
      </c>
      <c r="H11980" s="1327">
        <v>-3.16E-3</v>
      </c>
      <c r="K11980" s="841" t="s">
        <v>3634</v>
      </c>
      <c r="L11980" s="841" t="s">
        <v>443</v>
      </c>
      <c r="M11980" s="1357"/>
      <c r="P11980" s="841" t="s">
        <v>3638</v>
      </c>
      <c r="Q11980" s="1357"/>
      <c r="S11980" s="1420"/>
      <c r="T11980" s="1420">
        <v>43465</v>
      </c>
      <c r="V11980" s="1357">
        <v>105</v>
      </c>
    </row>
    <row r="11981" spans="1:22" s="841" customFormat="1" ht="15" x14ac:dyDescent="0.25">
      <c r="A11981" s="841" t="s">
        <v>169</v>
      </c>
      <c r="E11981" s="1690" t="s">
        <v>5817</v>
      </c>
      <c r="F11981" s="1690"/>
      <c r="G11981" s="1408" t="s">
        <v>24</v>
      </c>
      <c r="H11981" s="1327">
        <v>-2.96E-3</v>
      </c>
      <c r="K11981" s="841" t="s">
        <v>3634</v>
      </c>
      <c r="L11981" s="841" t="s">
        <v>442</v>
      </c>
      <c r="M11981" s="1357"/>
      <c r="P11981" s="841" t="s">
        <v>6502</v>
      </c>
      <c r="Q11981" s="1357"/>
      <c r="S11981" s="1420"/>
      <c r="T11981" s="1420">
        <v>43465</v>
      </c>
      <c r="V11981" s="1357">
        <v>116</v>
      </c>
    </row>
    <row r="11982" spans="1:22" s="841" customFormat="1" ht="15" x14ac:dyDescent="0.25">
      <c r="A11982" s="841" t="s">
        <v>169</v>
      </c>
      <c r="E11982" s="1690" t="s">
        <v>5818</v>
      </c>
      <c r="F11982" s="1690"/>
      <c r="G11982" s="1408" t="s">
        <v>24</v>
      </c>
      <c r="H11982" s="1327">
        <v>2.9E-4</v>
      </c>
      <c r="K11982" s="841" t="s">
        <v>3634</v>
      </c>
      <c r="L11982" s="841" t="s">
        <v>442</v>
      </c>
      <c r="M11982" s="1357"/>
      <c r="P11982" s="841" t="s">
        <v>6503</v>
      </c>
      <c r="Q11982" s="1357"/>
      <c r="S11982" s="1420"/>
      <c r="T11982" s="1420">
        <v>43830</v>
      </c>
      <c r="V11982" s="1357">
        <v>109</v>
      </c>
    </row>
    <row r="11983" spans="1:22" s="841" customFormat="1" ht="15" x14ac:dyDescent="0.25">
      <c r="A11983" s="841" t="s">
        <v>169</v>
      </c>
      <c r="E11983" s="1690" t="s">
        <v>5825</v>
      </c>
      <c r="F11983" s="1690"/>
      <c r="G11983" s="1408" t="s">
        <v>24</v>
      </c>
      <c r="H11983" s="1327">
        <v>6.0000000000000002E-5</v>
      </c>
      <c r="K11983" s="841" t="s">
        <v>3634</v>
      </c>
      <c r="L11983" s="841" t="s">
        <v>442</v>
      </c>
      <c r="M11983" s="1357"/>
      <c r="P11983" s="841" t="s">
        <v>6504</v>
      </c>
      <c r="Q11983" s="1357"/>
      <c r="S11983" s="1420"/>
      <c r="T11983" s="1420">
        <v>43830</v>
      </c>
      <c r="V11983" s="1357">
        <v>109</v>
      </c>
    </row>
    <row r="11984" spans="1:22" s="841" customFormat="1" ht="15" x14ac:dyDescent="0.25">
      <c r="A11984" s="841" t="s">
        <v>169</v>
      </c>
      <c r="E11984" s="1690" t="s">
        <v>4612</v>
      </c>
      <c r="F11984" s="1690"/>
      <c r="G11984" s="1408" t="s">
        <v>24</v>
      </c>
      <c r="H11984" s="1327">
        <v>9.2000000000000003E-4</v>
      </c>
      <c r="K11984" s="841" t="s">
        <v>3634</v>
      </c>
      <c r="L11984" s="841" t="s">
        <v>442</v>
      </c>
      <c r="M11984" s="1357"/>
      <c r="P11984" s="841" t="s">
        <v>6505</v>
      </c>
      <c r="Q11984" s="1357"/>
      <c r="S11984" s="1420"/>
      <c r="T11984" s="1420">
        <v>43830</v>
      </c>
      <c r="V11984" s="1357">
        <v>91</v>
      </c>
    </row>
    <row r="11985" spans="1:22" s="841" customFormat="1" ht="15" x14ac:dyDescent="0.25">
      <c r="A11985" s="841" t="s">
        <v>169</v>
      </c>
      <c r="E11985" s="1690" t="s">
        <v>4613</v>
      </c>
      <c r="F11985" s="1690"/>
      <c r="G11985" s="1408" t="s">
        <v>24</v>
      </c>
      <c r="H11985" s="1327">
        <v>2.0300000000000001E-3</v>
      </c>
      <c r="K11985" s="841" t="s">
        <v>3634</v>
      </c>
      <c r="L11985" s="841" t="s">
        <v>442</v>
      </c>
      <c r="M11985" s="1357"/>
      <c r="P11985" s="841" t="s">
        <v>6506</v>
      </c>
      <c r="Q11985" s="1357"/>
      <c r="S11985" s="1420"/>
      <c r="T11985" s="1420">
        <v>43830</v>
      </c>
      <c r="V11985" s="1357">
        <v>84</v>
      </c>
    </row>
    <row r="11986" spans="1:22" s="841" customFormat="1" ht="15" x14ac:dyDescent="0.25">
      <c r="A11986" s="841" t="s">
        <v>169</v>
      </c>
      <c r="E11986" s="1690" t="s">
        <v>4614</v>
      </c>
      <c r="F11986" s="1690"/>
      <c r="G11986" s="1408" t="s">
        <v>24</v>
      </c>
      <c r="H11986" s="1327">
        <v>6.2E-4</v>
      </c>
      <c r="K11986" s="841" t="s">
        <v>3634</v>
      </c>
      <c r="L11986" s="841" t="s">
        <v>442</v>
      </c>
      <c r="M11986" s="1357"/>
      <c r="P11986" s="841" t="s">
        <v>6507</v>
      </c>
      <c r="Q11986" s="1357"/>
      <c r="S11986" s="1420"/>
      <c r="T11986" s="1420">
        <v>43830</v>
      </c>
      <c r="V11986" s="1357">
        <v>84</v>
      </c>
    </row>
    <row r="11987" spans="1:22" s="841" customFormat="1" ht="15" x14ac:dyDescent="0.25">
      <c r="A11987" s="841" t="s">
        <v>169</v>
      </c>
      <c r="E11987" s="1690" t="s">
        <v>221</v>
      </c>
      <c r="F11987" s="1690"/>
      <c r="G11987" s="1408" t="s">
        <v>24</v>
      </c>
      <c r="H11987" s="1327">
        <v>4.5999999999999999E-3</v>
      </c>
      <c r="K11987" s="841" t="s">
        <v>3634</v>
      </c>
      <c r="L11987" s="841" t="s">
        <v>444</v>
      </c>
      <c r="M11987" s="1357"/>
      <c r="P11987" s="841" t="s">
        <v>3639</v>
      </c>
      <c r="Q11987" s="1357"/>
      <c r="S11987" s="1420"/>
      <c r="T11987" s="1420"/>
      <c r="V11987" s="1357">
        <v>47</v>
      </c>
    </row>
    <row r="11988" spans="1:22" s="841" customFormat="1" ht="15" x14ac:dyDescent="0.25">
      <c r="A11988" s="841" t="s">
        <v>169</v>
      </c>
      <c r="E11988" s="1690" t="s">
        <v>217</v>
      </c>
      <c r="F11988" s="1690"/>
      <c r="G11988" s="1408" t="s">
        <v>24</v>
      </c>
      <c r="H11988" s="1327">
        <v>3.8999999999999998E-3</v>
      </c>
      <c r="K11988" s="841" t="s">
        <v>3634</v>
      </c>
      <c r="L11988" s="841" t="s">
        <v>444</v>
      </c>
      <c r="M11988" s="1357"/>
      <c r="P11988" s="841" t="s">
        <v>3640</v>
      </c>
      <c r="Q11988" s="1357"/>
      <c r="S11988" s="1420"/>
      <c r="T11988" s="1420"/>
      <c r="V11988" s="1357">
        <v>74</v>
      </c>
    </row>
    <row r="11989" spans="1:22" s="841" customFormat="1" ht="15" x14ac:dyDescent="0.25">
      <c r="A11989" s="841" t="s">
        <v>169</v>
      </c>
      <c r="E11989" s="1694" t="s">
        <v>3079</v>
      </c>
      <c r="F11989" s="1690"/>
      <c r="G11989" s="1408"/>
      <c r="H11989" s="1408"/>
      <c r="K11989" s="841" t="s">
        <v>3276</v>
      </c>
      <c r="M11989" s="1357"/>
      <c r="Q11989" s="1357"/>
      <c r="S11989" s="1420"/>
      <c r="T11989" s="1420"/>
      <c r="V11989" s="1357">
        <v>48</v>
      </c>
    </row>
    <row r="11990" spans="1:22" s="841" customFormat="1" ht="15" x14ac:dyDescent="0.25">
      <c r="A11990" s="841" t="s">
        <v>169</v>
      </c>
      <c r="E11990" s="1690" t="s">
        <v>2449</v>
      </c>
      <c r="F11990" s="1690"/>
      <c r="G11990" s="1408" t="s">
        <v>24</v>
      </c>
      <c r="H11990" s="393">
        <v>3.2000000000000002E-3</v>
      </c>
      <c r="K11990" s="841" t="s">
        <v>3634</v>
      </c>
      <c r="L11990" s="841" t="s">
        <v>3046</v>
      </c>
      <c r="M11990" s="1357"/>
      <c r="P11990" s="841" t="s">
        <v>3641</v>
      </c>
      <c r="Q11990" s="1357"/>
      <c r="S11990" s="1420"/>
      <c r="T11990" s="1420"/>
      <c r="V11990" s="1357">
        <v>55</v>
      </c>
    </row>
    <row r="11991" spans="1:22" s="841" customFormat="1" ht="15" x14ac:dyDescent="0.25">
      <c r="A11991" s="841" t="s">
        <v>169</v>
      </c>
      <c r="E11991" s="1690" t="s">
        <v>2450</v>
      </c>
      <c r="F11991" s="1690"/>
      <c r="G11991" s="1408" t="s">
        <v>24</v>
      </c>
      <c r="H11991" s="393">
        <v>4.0000000000000002E-4</v>
      </c>
      <c r="K11991" s="841" t="s">
        <v>3634</v>
      </c>
      <c r="L11991" s="841" t="s">
        <v>3046</v>
      </c>
      <c r="M11991" s="1357"/>
      <c r="P11991" s="841" t="s">
        <v>3641</v>
      </c>
      <c r="Q11991" s="1357"/>
      <c r="S11991" s="1420"/>
      <c r="T11991" s="1420"/>
      <c r="V11991" s="1357">
        <v>65</v>
      </c>
    </row>
    <row r="11992" spans="1:22" s="841" customFormat="1" ht="15" x14ac:dyDescent="0.25">
      <c r="A11992" s="841" t="s">
        <v>169</v>
      </c>
      <c r="E11992" s="1690" t="s">
        <v>439</v>
      </c>
      <c r="F11992" s="1690"/>
      <c r="G11992" s="1408" t="s">
        <v>24</v>
      </c>
      <c r="H11992" s="393">
        <v>2.9999999999999997E-4</v>
      </c>
      <c r="K11992" s="841" t="s">
        <v>3634</v>
      </c>
      <c r="L11992" s="841" t="s">
        <v>3046</v>
      </c>
      <c r="M11992" s="1357"/>
      <c r="P11992" s="841" t="s">
        <v>3642</v>
      </c>
      <c r="Q11992" s="1357"/>
      <c r="S11992" s="1420"/>
      <c r="T11992" s="1420"/>
      <c r="V11992" s="1357">
        <v>57</v>
      </c>
    </row>
    <row r="11993" spans="1:22" s="841" customFormat="1" ht="15" x14ac:dyDescent="0.25">
      <c r="A11993" s="841" t="s">
        <v>169</v>
      </c>
      <c r="E11993" s="1690" t="s">
        <v>32</v>
      </c>
      <c r="F11993" s="1690"/>
      <c r="G11993" s="1408" t="s">
        <v>23</v>
      </c>
      <c r="H11993" s="1328">
        <v>0.25</v>
      </c>
      <c r="K11993" s="841" t="s">
        <v>3634</v>
      </c>
      <c r="L11993" s="841" t="s">
        <v>3046</v>
      </c>
      <c r="M11993" s="1357"/>
      <c r="P11993" s="841" t="s">
        <v>3643</v>
      </c>
      <c r="Q11993" s="1357"/>
      <c r="S11993" s="1420"/>
      <c r="T11993" s="1420"/>
      <c r="V11993" s="1357">
        <v>63</v>
      </c>
    </row>
    <row r="11994" spans="1:22" s="841" customFormat="1" x14ac:dyDescent="0.25">
      <c r="A11994" s="841" t="s">
        <v>169</v>
      </c>
      <c r="E11994" s="1909" t="s">
        <v>615</v>
      </c>
      <c r="F11994" s="1915"/>
      <c r="G11994" s="1915"/>
      <c r="H11994" s="1915"/>
      <c r="K11994" s="841" t="s">
        <v>3644</v>
      </c>
      <c r="M11994" s="1357"/>
      <c r="Q11994" s="1357"/>
      <c r="S11994" s="1420"/>
      <c r="T11994" s="1420"/>
      <c r="V11994" s="1357">
        <v>38</v>
      </c>
    </row>
    <row r="11995" spans="1:22" s="841" customFormat="1" ht="15" x14ac:dyDescent="0.25">
      <c r="A11995" s="841" t="s">
        <v>169</v>
      </c>
      <c r="E11995" s="1689" t="s">
        <v>3693</v>
      </c>
      <c r="F11995" s="1689"/>
      <c r="G11995" s="1689"/>
      <c r="H11995" s="1689"/>
      <c r="K11995" s="841" t="s">
        <v>3644</v>
      </c>
      <c r="M11995" s="1357"/>
      <c r="Q11995" s="1357"/>
      <c r="S11995" s="1420"/>
      <c r="T11995" s="1420"/>
      <c r="V11995" s="1357">
        <v>526</v>
      </c>
    </row>
    <row r="11996" spans="1:22" s="841" customFormat="1" ht="15" x14ac:dyDescent="0.25">
      <c r="A11996" s="841" t="s">
        <v>169</v>
      </c>
      <c r="E11996" s="1696" t="s">
        <v>3061</v>
      </c>
      <c r="F11996" s="1697"/>
      <c r="G11996" s="1697"/>
      <c r="H11996" s="1697"/>
      <c r="K11996" s="841" t="s">
        <v>3281</v>
      </c>
      <c r="M11996" s="1357"/>
      <c r="Q11996" s="1357"/>
      <c r="S11996" s="1420"/>
      <c r="T11996" s="1420"/>
      <c r="V11996" s="1357">
        <v>11</v>
      </c>
    </row>
    <row r="11997" spans="1:22" s="841" customFormat="1" ht="15" x14ac:dyDescent="0.25">
      <c r="A11997" s="841" t="s">
        <v>169</v>
      </c>
      <c r="E11997" s="1689" t="s">
        <v>3063</v>
      </c>
      <c r="F11997" s="1689"/>
      <c r="G11997" s="1689"/>
      <c r="H11997" s="1689"/>
      <c r="K11997" s="841" t="s">
        <v>3644</v>
      </c>
      <c r="M11997" s="1357"/>
      <c r="Q11997" s="1357"/>
      <c r="S11997" s="1420"/>
      <c r="T11997" s="1420"/>
      <c r="V11997" s="1357">
        <v>280</v>
      </c>
    </row>
    <row r="11998" spans="1:22" s="841" customFormat="1" ht="15" x14ac:dyDescent="0.25">
      <c r="A11998" s="841" t="s">
        <v>169</v>
      </c>
      <c r="E11998" s="1689" t="s">
        <v>3064</v>
      </c>
      <c r="F11998" s="1689"/>
      <c r="G11998" s="1689"/>
      <c r="H11998" s="1689"/>
      <c r="K11998" s="841" t="s">
        <v>3644</v>
      </c>
      <c r="M11998" s="1357"/>
      <c r="Q11998" s="1357"/>
      <c r="S11998" s="1420"/>
      <c r="T11998" s="1420"/>
      <c r="V11998" s="1357">
        <v>411</v>
      </c>
    </row>
    <row r="11999" spans="1:22" s="841" customFormat="1" ht="15" x14ac:dyDescent="0.25">
      <c r="A11999" s="841" t="s">
        <v>169</v>
      </c>
      <c r="E11999" s="1689" t="s">
        <v>3065</v>
      </c>
      <c r="F11999" s="1689"/>
      <c r="G11999" s="1689"/>
      <c r="H11999" s="1689"/>
      <c r="K11999" s="841" t="s">
        <v>3644</v>
      </c>
      <c r="M11999" s="1357"/>
      <c r="Q11999" s="1357"/>
      <c r="S11999" s="1420"/>
      <c r="T11999" s="1420"/>
      <c r="V11999" s="1357">
        <v>387</v>
      </c>
    </row>
    <row r="12000" spans="1:22" s="841" customFormat="1" ht="15" x14ac:dyDescent="0.25">
      <c r="A12000" s="841" t="s">
        <v>169</v>
      </c>
      <c r="E12000" s="1689" t="s">
        <v>3390</v>
      </c>
      <c r="F12000" s="1689"/>
      <c r="G12000" s="1689"/>
      <c r="H12000" s="1689"/>
      <c r="K12000" s="841" t="s">
        <v>3644</v>
      </c>
      <c r="M12000" s="1357"/>
      <c r="Q12000" s="1357"/>
      <c r="S12000" s="1420"/>
      <c r="T12000" s="1420"/>
      <c r="V12000" s="1357">
        <v>274</v>
      </c>
    </row>
    <row r="12001" spans="1:22" s="841" customFormat="1" ht="15" x14ac:dyDescent="0.25">
      <c r="A12001" s="841" t="s">
        <v>169</v>
      </c>
      <c r="E12001" s="1692" t="s">
        <v>3067</v>
      </c>
      <c r="F12001" s="1693"/>
      <c r="G12001" s="1693"/>
      <c r="H12001" s="1693"/>
      <c r="K12001" s="841" t="s">
        <v>3282</v>
      </c>
      <c r="M12001" s="1357"/>
      <c r="Q12001" s="1357"/>
      <c r="S12001" s="1420"/>
      <c r="T12001" s="1420"/>
      <c r="V12001" s="1357">
        <v>46</v>
      </c>
    </row>
    <row r="12002" spans="1:22" s="841" customFormat="1" ht="15" x14ac:dyDescent="0.25">
      <c r="A12002" s="841" t="s">
        <v>169</v>
      </c>
      <c r="E12002" s="1690" t="s">
        <v>3928</v>
      </c>
      <c r="F12002" s="1690"/>
      <c r="G12002" s="1408" t="s">
        <v>23</v>
      </c>
      <c r="H12002" s="1193">
        <v>1.55</v>
      </c>
      <c r="K12002" s="841" t="s">
        <v>3644</v>
      </c>
      <c r="L12002" s="841" t="s">
        <v>442</v>
      </c>
      <c r="M12002" s="1357"/>
      <c r="P12002" s="841" t="s">
        <v>3646</v>
      </c>
      <c r="Q12002" s="1357"/>
      <c r="S12002" s="1420"/>
      <c r="T12002" s="1420"/>
      <c r="V12002" s="1357">
        <v>27</v>
      </c>
    </row>
    <row r="12003" spans="1:22" s="841" customFormat="1" ht="15" x14ac:dyDescent="0.25">
      <c r="A12003" s="841" t="s">
        <v>169</v>
      </c>
      <c r="E12003" s="1690" t="s">
        <v>84</v>
      </c>
      <c r="F12003" s="1690"/>
      <c r="G12003" s="1408" t="s">
        <v>25</v>
      </c>
      <c r="H12003" s="1194">
        <v>34.423099999999998</v>
      </c>
      <c r="K12003" s="841" t="s">
        <v>3644</v>
      </c>
      <c r="L12003" s="841" t="s">
        <v>442</v>
      </c>
      <c r="M12003" s="1357"/>
      <c r="P12003" s="841" t="s">
        <v>3647</v>
      </c>
      <c r="Q12003" s="1357"/>
      <c r="S12003" s="1420"/>
      <c r="T12003" s="1420"/>
      <c r="V12003" s="1357">
        <v>28</v>
      </c>
    </row>
    <row r="12004" spans="1:22" s="841" customFormat="1" ht="15" x14ac:dyDescent="0.25">
      <c r="A12004" s="841" t="s">
        <v>169</v>
      </c>
      <c r="E12004" s="1690" t="s">
        <v>5870</v>
      </c>
      <c r="F12004" s="1908"/>
      <c r="G12004" s="1408" t="s">
        <v>25</v>
      </c>
      <c r="H12004" s="393">
        <v>2.3599999999999999E-2</v>
      </c>
      <c r="K12004" s="841" t="s">
        <v>3644</v>
      </c>
      <c r="L12004" s="841" t="s">
        <v>443</v>
      </c>
      <c r="M12004" s="1357"/>
      <c r="P12004" s="841" t="s">
        <v>5445</v>
      </c>
      <c r="Q12004" s="1357"/>
      <c r="S12004" s="1420"/>
      <c r="T12004" s="1420">
        <v>43465</v>
      </c>
      <c r="V12004" s="1357">
        <v>148</v>
      </c>
    </row>
    <row r="12005" spans="1:22" s="841" customFormat="1" ht="15" x14ac:dyDescent="0.25">
      <c r="A12005" s="841" t="s">
        <v>169</v>
      </c>
      <c r="E12005" s="1690" t="s">
        <v>4611</v>
      </c>
      <c r="F12005" s="1690"/>
      <c r="G12005" s="1408" t="s">
        <v>25</v>
      </c>
      <c r="H12005" s="393">
        <v>-0.53469999999999995</v>
      </c>
      <c r="K12005" s="841" t="s">
        <v>3644</v>
      </c>
      <c r="L12005" s="841" t="s">
        <v>442</v>
      </c>
      <c r="M12005" s="1357"/>
      <c r="P12005" s="841" t="s">
        <v>6508</v>
      </c>
      <c r="Q12005" s="1357"/>
      <c r="S12005" s="1420"/>
      <c r="T12005" s="1420">
        <v>43465</v>
      </c>
      <c r="V12005" s="1357">
        <v>109</v>
      </c>
    </row>
    <row r="12006" spans="1:22" s="841" customFormat="1" ht="15" x14ac:dyDescent="0.25">
      <c r="A12006" s="841" t="s">
        <v>169</v>
      </c>
      <c r="E12006" s="1690" t="s">
        <v>5821</v>
      </c>
      <c r="F12006" s="1908"/>
      <c r="G12006" s="1408" t="s">
        <v>24</v>
      </c>
      <c r="H12006" s="1327">
        <v>-1.1199999999999999E-3</v>
      </c>
      <c r="K12006" s="841" t="s">
        <v>3644</v>
      </c>
      <c r="L12006" s="841" t="s">
        <v>443</v>
      </c>
      <c r="M12006" s="1357"/>
      <c r="P12006" s="841" t="s">
        <v>3649</v>
      </c>
      <c r="Q12006" s="1357"/>
      <c r="S12006" s="1420"/>
      <c r="T12006" s="1420">
        <v>43465</v>
      </c>
      <c r="V12006" s="1357">
        <v>143</v>
      </c>
    </row>
    <row r="12007" spans="1:22" s="841" customFormat="1" ht="15" x14ac:dyDescent="0.25">
      <c r="A12007" s="841" t="s">
        <v>169</v>
      </c>
      <c r="E12007" s="1690" t="s">
        <v>5823</v>
      </c>
      <c r="F12007" s="1908"/>
      <c r="G12007" s="1408" t="s">
        <v>25</v>
      </c>
      <c r="H12007" s="393">
        <v>-1.0860000000000001</v>
      </c>
      <c r="K12007" s="841" t="s">
        <v>3644</v>
      </c>
      <c r="L12007" s="841" t="s">
        <v>443</v>
      </c>
      <c r="M12007" s="1357"/>
      <c r="P12007" s="841" t="s">
        <v>3650</v>
      </c>
      <c r="Q12007" s="1357"/>
      <c r="S12007" s="1420"/>
      <c r="T12007" s="1420">
        <v>43465</v>
      </c>
      <c r="V12007" s="1357">
        <v>105</v>
      </c>
    </row>
    <row r="12008" spans="1:22" s="841" customFormat="1" ht="15" x14ac:dyDescent="0.25">
      <c r="A12008" s="841" t="s">
        <v>169</v>
      </c>
      <c r="E12008" s="1690" t="s">
        <v>5817</v>
      </c>
      <c r="F12008" s="1690"/>
      <c r="G12008" s="1408" t="s">
        <v>25</v>
      </c>
      <c r="H12008" s="393">
        <v>-1.6506000000000001</v>
      </c>
      <c r="K12008" s="841" t="s">
        <v>3644</v>
      </c>
      <c r="L12008" s="841" t="s">
        <v>442</v>
      </c>
      <c r="M12008" s="1357"/>
      <c r="P12008" s="841" t="s">
        <v>6509</v>
      </c>
      <c r="Q12008" s="1357"/>
      <c r="S12008" s="1420"/>
      <c r="T12008" s="1420">
        <v>43465</v>
      </c>
      <c r="V12008" s="1357">
        <v>116</v>
      </c>
    </row>
    <row r="12009" spans="1:22" s="841" customFormat="1" ht="15" x14ac:dyDescent="0.25">
      <c r="A12009" s="841" t="s">
        <v>169</v>
      </c>
      <c r="E12009" s="1690" t="s">
        <v>5818</v>
      </c>
      <c r="F12009" s="1690"/>
      <c r="G12009" s="1408" t="s">
        <v>25</v>
      </c>
      <c r="H12009" s="393">
        <v>7.4099999999999999E-2</v>
      </c>
      <c r="K12009" s="841" t="s">
        <v>3644</v>
      </c>
      <c r="L12009" s="841" t="s">
        <v>442</v>
      </c>
      <c r="M12009" s="1357"/>
      <c r="P12009" s="841" t="s">
        <v>6510</v>
      </c>
      <c r="Q12009" s="1357"/>
      <c r="S12009" s="1420"/>
      <c r="T12009" s="1420">
        <v>43830</v>
      </c>
      <c r="V12009" s="1357">
        <v>109</v>
      </c>
    </row>
    <row r="12010" spans="1:22" s="841" customFormat="1" ht="15" x14ac:dyDescent="0.25">
      <c r="A12010" s="841" t="s">
        <v>169</v>
      </c>
      <c r="E12010" s="1690" t="s">
        <v>5825</v>
      </c>
      <c r="F12010" s="1690"/>
      <c r="G12010" s="1408" t="s">
        <v>25</v>
      </c>
      <c r="H12010" s="393">
        <v>3.1199999999999999E-2</v>
      </c>
      <c r="K12010" s="841" t="s">
        <v>3644</v>
      </c>
      <c r="L12010" s="841" t="s">
        <v>442</v>
      </c>
      <c r="M12010" s="1357"/>
      <c r="P12010" s="841" t="s">
        <v>6511</v>
      </c>
      <c r="Q12010" s="1357"/>
      <c r="S12010" s="1420"/>
      <c r="T12010" s="1420">
        <v>43830</v>
      </c>
      <c r="V12010" s="1357">
        <v>109</v>
      </c>
    </row>
    <row r="12011" spans="1:22" s="841" customFormat="1" ht="15" x14ac:dyDescent="0.25">
      <c r="A12011" s="841" t="s">
        <v>169</v>
      </c>
      <c r="E12011" s="1690" t="s">
        <v>4612</v>
      </c>
      <c r="F12011" s="1690"/>
      <c r="G12011" s="1408" t="s">
        <v>25</v>
      </c>
      <c r="H12011" s="393">
        <v>0.51329999999999998</v>
      </c>
      <c r="K12011" s="841" t="s">
        <v>3644</v>
      </c>
      <c r="L12011" s="841" t="s">
        <v>442</v>
      </c>
      <c r="M12011" s="1357"/>
      <c r="P12011" s="841" t="s">
        <v>6512</v>
      </c>
      <c r="Q12011" s="1357"/>
      <c r="S12011" s="1420"/>
      <c r="T12011" s="1420">
        <v>43830</v>
      </c>
      <c r="V12011" s="1357">
        <v>91</v>
      </c>
    </row>
    <row r="12012" spans="1:22" s="841" customFormat="1" ht="15" x14ac:dyDescent="0.25">
      <c r="A12012" s="841" t="s">
        <v>169</v>
      </c>
      <c r="E12012" s="1690" t="s">
        <v>4614</v>
      </c>
      <c r="F12012" s="1690"/>
      <c r="G12012" s="1408" t="s">
        <v>25</v>
      </c>
      <c r="H12012" s="393">
        <v>4.7800000000000002E-2</v>
      </c>
      <c r="K12012" s="841" t="s">
        <v>3644</v>
      </c>
      <c r="L12012" s="841" t="s">
        <v>442</v>
      </c>
      <c r="M12012" s="1357"/>
      <c r="P12012" s="841" t="s">
        <v>6513</v>
      </c>
      <c r="Q12012" s="1357"/>
      <c r="S12012" s="1420"/>
      <c r="T12012" s="1420">
        <v>43830</v>
      </c>
      <c r="V12012" s="1357">
        <v>84</v>
      </c>
    </row>
    <row r="12013" spans="1:22" s="841" customFormat="1" ht="15" x14ac:dyDescent="0.25">
      <c r="A12013" s="841" t="s">
        <v>169</v>
      </c>
      <c r="E12013" s="1690" t="s">
        <v>221</v>
      </c>
      <c r="F12013" s="1690"/>
      <c r="G12013" s="1408" t="s">
        <v>33</v>
      </c>
      <c r="H12013" s="1194">
        <v>2.2848999999999999</v>
      </c>
      <c r="K12013" s="841" t="s">
        <v>3644</v>
      </c>
      <c r="L12013" s="841" t="s">
        <v>444</v>
      </c>
      <c r="M12013" s="1357"/>
      <c r="P12013" s="841" t="s">
        <v>3651</v>
      </c>
      <c r="Q12013" s="1357"/>
      <c r="S12013" s="1420"/>
      <c r="T12013" s="1420"/>
      <c r="V12013" s="1357">
        <v>47</v>
      </c>
    </row>
    <row r="12014" spans="1:22" s="841" customFormat="1" ht="15" x14ac:dyDescent="0.25">
      <c r="A12014" s="841" t="s">
        <v>169</v>
      </c>
      <c r="E12014" s="1690" t="s">
        <v>217</v>
      </c>
      <c r="F12014" s="1690"/>
      <c r="G12014" s="1408" t="s">
        <v>33</v>
      </c>
      <c r="H12014" s="1194">
        <v>2.4460999999999999</v>
      </c>
      <c r="K12014" s="841" t="s">
        <v>3644</v>
      </c>
      <c r="L12014" s="841" t="s">
        <v>444</v>
      </c>
      <c r="M12014" s="1357"/>
      <c r="P12014" s="841" t="s">
        <v>3652</v>
      </c>
      <c r="Q12014" s="1357"/>
      <c r="S12014" s="1420"/>
      <c r="T12014" s="1420"/>
      <c r="V12014" s="1357">
        <v>74</v>
      </c>
    </row>
    <row r="12015" spans="1:22" s="841" customFormat="1" ht="15" x14ac:dyDescent="0.25">
      <c r="A12015" s="841" t="s">
        <v>169</v>
      </c>
      <c r="E12015" s="1694" t="s">
        <v>3079</v>
      </c>
      <c r="F12015" s="1690"/>
      <c r="G12015" s="1408"/>
      <c r="H12015" s="1408"/>
      <c r="K12015" s="841" t="s">
        <v>3383</v>
      </c>
      <c r="M12015" s="1357"/>
      <c r="Q12015" s="1357"/>
      <c r="S12015" s="1420"/>
      <c r="T12015" s="1420"/>
      <c r="V12015" s="1357">
        <v>48</v>
      </c>
    </row>
    <row r="12016" spans="1:22" s="841" customFormat="1" ht="15" x14ac:dyDescent="0.25">
      <c r="A12016" s="841" t="s">
        <v>169</v>
      </c>
      <c r="E12016" s="1690" t="s">
        <v>2449</v>
      </c>
      <c r="F12016" s="1690"/>
      <c r="G12016" s="1408" t="s">
        <v>24</v>
      </c>
      <c r="H12016" s="393">
        <v>3.2000000000000002E-3</v>
      </c>
      <c r="K12016" s="841" t="s">
        <v>3644</v>
      </c>
      <c r="L12016" s="841" t="s">
        <v>3046</v>
      </c>
      <c r="M12016" s="1357"/>
      <c r="P12016" s="841" t="s">
        <v>3653</v>
      </c>
      <c r="Q12016" s="1357"/>
      <c r="S12016" s="1420"/>
      <c r="T12016" s="1420"/>
      <c r="V12016" s="1357">
        <v>55</v>
      </c>
    </row>
    <row r="12017" spans="1:22" s="841" customFormat="1" ht="15" x14ac:dyDescent="0.25">
      <c r="A12017" s="841" t="s">
        <v>169</v>
      </c>
      <c r="E12017" s="1690" t="s">
        <v>2450</v>
      </c>
      <c r="F12017" s="1690"/>
      <c r="G12017" s="1408" t="s">
        <v>24</v>
      </c>
      <c r="H12017" s="393">
        <v>4.0000000000000002E-4</v>
      </c>
      <c r="K12017" s="841" t="s">
        <v>3644</v>
      </c>
      <c r="L12017" s="841" t="s">
        <v>3046</v>
      </c>
      <c r="M12017" s="1357"/>
      <c r="P12017" s="841" t="s">
        <v>3653</v>
      </c>
      <c r="Q12017" s="1357"/>
      <c r="S12017" s="1420"/>
      <c r="T12017" s="1420"/>
      <c r="V12017" s="1357">
        <v>65</v>
      </c>
    </row>
    <row r="12018" spans="1:22" s="841" customFormat="1" ht="15" x14ac:dyDescent="0.25">
      <c r="A12018" s="841" t="s">
        <v>169</v>
      </c>
      <c r="E12018" s="1690" t="s">
        <v>439</v>
      </c>
      <c r="F12018" s="1690"/>
      <c r="G12018" s="1408" t="s">
        <v>24</v>
      </c>
      <c r="H12018" s="393">
        <v>2.9999999999999997E-4</v>
      </c>
      <c r="K12018" s="841" t="s">
        <v>3644</v>
      </c>
      <c r="L12018" s="841" t="s">
        <v>3046</v>
      </c>
      <c r="M12018" s="1357"/>
      <c r="P12018" s="841" t="s">
        <v>3654</v>
      </c>
      <c r="Q12018" s="1357"/>
      <c r="S12018" s="1420"/>
      <c r="T12018" s="1420"/>
      <c r="V12018" s="1357">
        <v>57</v>
      </c>
    </row>
    <row r="12019" spans="1:22" s="841" customFormat="1" ht="15" x14ac:dyDescent="0.25">
      <c r="A12019" s="841" t="s">
        <v>169</v>
      </c>
      <c r="E12019" s="1690" t="s">
        <v>32</v>
      </c>
      <c r="F12019" s="1690"/>
      <c r="G12019" s="1408" t="s">
        <v>23</v>
      </c>
      <c r="H12019" s="1328">
        <v>0.25</v>
      </c>
      <c r="K12019" s="841" t="s">
        <v>3644</v>
      </c>
      <c r="L12019" s="841" t="s">
        <v>3046</v>
      </c>
      <c r="M12019" s="1357"/>
      <c r="P12019" s="841" t="s">
        <v>3655</v>
      </c>
      <c r="Q12019" s="1357"/>
      <c r="S12019" s="1420"/>
      <c r="T12019" s="1420"/>
      <c r="V12019" s="1357">
        <v>63</v>
      </c>
    </row>
    <row r="12020" spans="1:22" s="841" customFormat="1" x14ac:dyDescent="0.25">
      <c r="A12020" s="841" t="s">
        <v>169</v>
      </c>
      <c r="E12020" s="1695" t="s">
        <v>618</v>
      </c>
      <c r="F12020" s="1915"/>
      <c r="G12020" s="1915"/>
      <c r="H12020" s="1915"/>
      <c r="K12020" s="841" t="s">
        <v>3656</v>
      </c>
      <c r="M12020" s="1357"/>
      <c r="Q12020" s="1357"/>
      <c r="S12020" s="1420"/>
      <c r="T12020" s="1420"/>
      <c r="V12020" s="1357">
        <v>31</v>
      </c>
    </row>
    <row r="12021" spans="1:22" s="841" customFormat="1" ht="15" x14ac:dyDescent="0.25">
      <c r="A12021" s="841" t="s">
        <v>169</v>
      </c>
      <c r="E12021" s="1689" t="s">
        <v>4635</v>
      </c>
      <c r="F12021" s="1689"/>
      <c r="G12021" s="1689"/>
      <c r="H12021" s="1689"/>
      <c r="K12021" s="841" t="s">
        <v>3656</v>
      </c>
      <c r="M12021" s="1357"/>
      <c r="Q12021" s="1357"/>
      <c r="S12021" s="1420"/>
      <c r="T12021" s="1420"/>
      <c r="V12021" s="1357">
        <v>282</v>
      </c>
    </row>
    <row r="12022" spans="1:22" s="841" customFormat="1" ht="15" x14ac:dyDescent="0.25">
      <c r="A12022" s="841" t="s">
        <v>169</v>
      </c>
      <c r="E12022" s="1696" t="s">
        <v>3061</v>
      </c>
      <c r="F12022" s="1697"/>
      <c r="G12022" s="1697"/>
      <c r="H12022" s="1697"/>
      <c r="K12022" s="841" t="s">
        <v>3345</v>
      </c>
      <c r="M12022" s="1357"/>
      <c r="Q12022" s="1357"/>
      <c r="S12022" s="1420"/>
      <c r="T12022" s="1420"/>
      <c r="V12022" s="1357">
        <v>11</v>
      </c>
    </row>
    <row r="12023" spans="1:22" s="841" customFormat="1" ht="15" x14ac:dyDescent="0.25">
      <c r="A12023" s="841" t="s">
        <v>169</v>
      </c>
      <c r="E12023" s="1689" t="s">
        <v>3063</v>
      </c>
      <c r="F12023" s="1689"/>
      <c r="G12023" s="1689"/>
      <c r="H12023" s="1689"/>
      <c r="K12023" s="841" t="s">
        <v>3656</v>
      </c>
      <c r="M12023" s="1357"/>
      <c r="Q12023" s="1357"/>
      <c r="S12023" s="1420"/>
      <c r="T12023" s="1420"/>
      <c r="V12023" s="1357">
        <v>280</v>
      </c>
    </row>
    <row r="12024" spans="1:22" s="841" customFormat="1" ht="15" x14ac:dyDescent="0.25">
      <c r="A12024" s="841" t="s">
        <v>169</v>
      </c>
      <c r="E12024" s="1689" t="s">
        <v>3064</v>
      </c>
      <c r="F12024" s="1689"/>
      <c r="G12024" s="1689"/>
      <c r="H12024" s="1689"/>
      <c r="K12024" s="841" t="s">
        <v>3656</v>
      </c>
      <c r="M12024" s="1357"/>
      <c r="Q12024" s="1357"/>
      <c r="S12024" s="1420"/>
      <c r="T12024" s="1420"/>
      <c r="V12024" s="1357">
        <v>411</v>
      </c>
    </row>
    <row r="12025" spans="1:22" s="841" customFormat="1" ht="15" x14ac:dyDescent="0.25">
      <c r="A12025" s="841" t="s">
        <v>169</v>
      </c>
      <c r="E12025" s="1689" t="s">
        <v>3129</v>
      </c>
      <c r="F12025" s="1689"/>
      <c r="G12025" s="1689"/>
      <c r="H12025" s="1689"/>
      <c r="K12025" s="841" t="s">
        <v>3656</v>
      </c>
      <c r="M12025" s="1357"/>
      <c r="Q12025" s="1357"/>
      <c r="S12025" s="1420"/>
      <c r="T12025" s="1420"/>
      <c r="V12025" s="1357">
        <v>211</v>
      </c>
    </row>
    <row r="12026" spans="1:22" s="841" customFormat="1" ht="15" x14ac:dyDescent="0.25">
      <c r="A12026" s="841" t="s">
        <v>169</v>
      </c>
      <c r="E12026" s="1689" t="s">
        <v>3390</v>
      </c>
      <c r="F12026" s="1689"/>
      <c r="G12026" s="1689"/>
      <c r="H12026" s="1689"/>
      <c r="K12026" s="841" t="s">
        <v>3656</v>
      </c>
      <c r="M12026" s="1357"/>
      <c r="Q12026" s="1357"/>
      <c r="S12026" s="1420"/>
      <c r="T12026" s="1420"/>
      <c r="V12026" s="1357">
        <v>274</v>
      </c>
    </row>
    <row r="12027" spans="1:22" s="841" customFormat="1" ht="15" x14ac:dyDescent="0.25">
      <c r="A12027" s="841" t="s">
        <v>169</v>
      </c>
      <c r="E12027" s="1692" t="s">
        <v>3067</v>
      </c>
      <c r="F12027" s="1693"/>
      <c r="G12027" s="1693"/>
      <c r="H12027" s="1693"/>
      <c r="K12027" s="841" t="s">
        <v>3346</v>
      </c>
      <c r="M12027" s="1357"/>
      <c r="Q12027" s="1357"/>
      <c r="S12027" s="1420"/>
      <c r="T12027" s="1420"/>
      <c r="V12027" s="1357">
        <v>46</v>
      </c>
    </row>
    <row r="12028" spans="1:22" s="841" customFormat="1" ht="15" x14ac:dyDescent="0.25">
      <c r="A12028" s="841" t="s">
        <v>169</v>
      </c>
      <c r="E12028" s="1690" t="s">
        <v>11</v>
      </c>
      <c r="F12028" s="1690"/>
      <c r="G12028" s="1408" t="s">
        <v>23</v>
      </c>
      <c r="H12028" s="1328">
        <v>5.33</v>
      </c>
      <c r="K12028" s="841" t="s">
        <v>3656</v>
      </c>
      <c r="L12028" s="841" t="s">
        <v>442</v>
      </c>
      <c r="M12028" s="1357"/>
      <c r="P12028" s="841" t="s">
        <v>3657</v>
      </c>
      <c r="Q12028" s="1357"/>
      <c r="S12028" s="1420"/>
      <c r="T12028" s="1420"/>
      <c r="V12028" s="1357">
        <v>14</v>
      </c>
    </row>
    <row r="12029" spans="1:22" s="841" customFormat="1" ht="18.75" x14ac:dyDescent="0.3">
      <c r="A12029" s="841" t="s">
        <v>169</v>
      </c>
      <c r="E12029" s="1405" t="s">
        <v>85</v>
      </c>
      <c r="F12029" s="657"/>
      <c r="G12029" s="657"/>
      <c r="H12029" s="657"/>
      <c r="K12029" s="841" t="s">
        <v>4636</v>
      </c>
      <c r="M12029" s="1357"/>
      <c r="Q12029" s="1357"/>
      <c r="S12029" s="1420"/>
      <c r="T12029" s="1420"/>
      <c r="V12029" s="1357">
        <v>10</v>
      </c>
    </row>
    <row r="12030" spans="1:22" s="841" customFormat="1" ht="15" x14ac:dyDescent="0.25">
      <c r="A12030" s="841" t="s">
        <v>169</v>
      </c>
      <c r="E12030" s="1690" t="s">
        <v>3702</v>
      </c>
      <c r="F12030" s="1690"/>
      <c r="G12030" s="1408" t="s">
        <v>25</v>
      </c>
      <c r="H12030" s="391">
        <v>-0.62</v>
      </c>
      <c r="M12030" s="1357"/>
      <c r="Q12030" s="1357"/>
      <c r="S12030" s="1420"/>
      <c r="T12030" s="1420"/>
      <c r="V12030" s="1357">
        <v>35</v>
      </c>
    </row>
    <row r="12031" spans="1:22" s="841" customFormat="1" ht="15" x14ac:dyDescent="0.25">
      <c r="A12031" s="841" t="s">
        <v>169</v>
      </c>
      <c r="E12031" s="1690" t="s">
        <v>3134</v>
      </c>
      <c r="F12031" s="1690"/>
      <c r="G12031" s="1408" t="s">
        <v>86</v>
      </c>
      <c r="H12031" s="391">
        <v>-1</v>
      </c>
      <c r="M12031" s="1357"/>
      <c r="Q12031" s="1357"/>
      <c r="S12031" s="1420"/>
      <c r="T12031" s="1420"/>
      <c r="V12031" s="1357">
        <v>87</v>
      </c>
    </row>
    <row r="12032" spans="1:22" s="841" customFormat="1" ht="18.75" x14ac:dyDescent="0.3">
      <c r="A12032" s="841" t="s">
        <v>169</v>
      </c>
      <c r="E12032" s="1405" t="s">
        <v>87</v>
      </c>
      <c r="F12032" s="657"/>
      <c r="G12032" s="657"/>
      <c r="H12032" s="657"/>
      <c r="K12032" s="841" t="s">
        <v>4637</v>
      </c>
      <c r="M12032" s="1357"/>
      <c r="Q12032" s="1357"/>
      <c r="S12032" s="1420"/>
      <c r="T12032" s="1420"/>
      <c r="V12032" s="1357">
        <v>24</v>
      </c>
    </row>
    <row r="12033" spans="1:22" s="841" customFormat="1" ht="15" x14ac:dyDescent="0.25">
      <c r="A12033" s="841" t="s">
        <v>169</v>
      </c>
      <c r="E12033" s="1926" t="s">
        <v>3061</v>
      </c>
      <c r="F12033" s="1689"/>
      <c r="G12033" s="1689"/>
      <c r="H12033" s="1689"/>
      <c r="M12033" s="1357"/>
      <c r="Q12033" s="1357"/>
      <c r="S12033" s="1420"/>
      <c r="T12033" s="1420"/>
      <c r="V12033" s="1357">
        <v>11</v>
      </c>
    </row>
    <row r="12034" spans="1:22" s="841" customFormat="1" ht="15" x14ac:dyDescent="0.25">
      <c r="A12034" s="841" t="s">
        <v>169</v>
      </c>
      <c r="E12034" s="1689" t="s">
        <v>3063</v>
      </c>
      <c r="F12034" s="1689"/>
      <c r="G12034" s="1689"/>
      <c r="H12034" s="1689"/>
      <c r="M12034" s="1357"/>
      <c r="Q12034" s="1357"/>
      <c r="S12034" s="1420"/>
      <c r="T12034" s="1420"/>
      <c r="V12034" s="1357">
        <v>280</v>
      </c>
    </row>
    <row r="12035" spans="1:22" s="841" customFormat="1" ht="15" x14ac:dyDescent="0.25">
      <c r="A12035" s="841" t="s">
        <v>169</v>
      </c>
      <c r="E12035" s="1689" t="s">
        <v>3136</v>
      </c>
      <c r="F12035" s="1689"/>
      <c r="G12035" s="1689"/>
      <c r="H12035" s="1689"/>
      <c r="M12035" s="1357"/>
      <c r="Q12035" s="1357"/>
      <c r="S12035" s="1420"/>
      <c r="T12035" s="1420"/>
      <c r="V12035" s="1357">
        <v>353</v>
      </c>
    </row>
    <row r="12036" spans="1:22" s="841" customFormat="1" ht="15" x14ac:dyDescent="0.25">
      <c r="A12036" s="841" t="s">
        <v>169</v>
      </c>
      <c r="E12036" s="1921" t="s">
        <v>3390</v>
      </c>
      <c r="F12036" s="1921"/>
      <c r="G12036" s="1921"/>
      <c r="H12036" s="1921"/>
      <c r="M12036" s="1357"/>
      <c r="Q12036" s="1357"/>
      <c r="S12036" s="1420"/>
      <c r="T12036" s="1420"/>
      <c r="V12036" s="1357">
        <v>274</v>
      </c>
    </row>
    <row r="12037" spans="1:22" s="841" customFormat="1" ht="15" x14ac:dyDescent="0.25">
      <c r="A12037" s="841" t="s">
        <v>169</v>
      </c>
      <c r="E12037" s="1390" t="s">
        <v>3137</v>
      </c>
      <c r="F12037" s="3"/>
      <c r="G12037" s="3"/>
      <c r="H12037" s="3"/>
      <c r="K12037" s="841" t="s">
        <v>4638</v>
      </c>
      <c r="M12037" s="1357"/>
      <c r="Q12037" s="1357"/>
      <c r="S12037" s="1420"/>
      <c r="T12037" s="1420"/>
      <c r="V12037" s="1357">
        <v>23</v>
      </c>
    </row>
    <row r="12038" spans="1:22" s="841" customFormat="1" ht="15" x14ac:dyDescent="0.25">
      <c r="A12038" s="841" t="s">
        <v>169</v>
      </c>
      <c r="E12038" s="1688" t="s">
        <v>3147</v>
      </c>
      <c r="F12038" s="1688"/>
      <c r="G12038" s="1408" t="s">
        <v>23</v>
      </c>
      <c r="H12038" s="391">
        <v>25</v>
      </c>
      <c r="M12038" s="1357"/>
      <c r="Q12038" s="1357"/>
      <c r="S12038" s="1420"/>
      <c r="T12038" s="1420"/>
      <c r="V12038" s="1357">
        <v>15</v>
      </c>
    </row>
    <row r="12039" spans="1:22" s="841" customFormat="1" ht="15" x14ac:dyDescent="0.25">
      <c r="A12039" s="841" t="s">
        <v>169</v>
      </c>
      <c r="E12039" s="1688" t="s">
        <v>3142</v>
      </c>
      <c r="F12039" s="1688"/>
      <c r="G12039" s="1408" t="s">
        <v>23</v>
      </c>
      <c r="H12039" s="391">
        <v>25</v>
      </c>
      <c r="M12039" s="1357"/>
      <c r="Q12039" s="1357"/>
      <c r="S12039" s="1420"/>
      <c r="T12039" s="1420"/>
      <c r="V12039" s="1357">
        <v>39</v>
      </c>
    </row>
    <row r="12040" spans="1:22" s="841" customFormat="1" ht="15" x14ac:dyDescent="0.25">
      <c r="A12040" s="841" t="s">
        <v>169</v>
      </c>
      <c r="E12040" s="1688" t="s">
        <v>5871</v>
      </c>
      <c r="F12040" s="1688"/>
      <c r="G12040" s="1408" t="s">
        <v>23</v>
      </c>
      <c r="H12040" s="391">
        <v>25</v>
      </c>
      <c r="M12040" s="1357"/>
      <c r="Q12040" s="1357"/>
      <c r="S12040" s="1420"/>
      <c r="T12040" s="1420"/>
      <c r="V12040" s="1357">
        <v>47</v>
      </c>
    </row>
    <row r="12041" spans="1:22" s="841" customFormat="1" ht="15" x14ac:dyDescent="0.25">
      <c r="A12041" s="841" t="s">
        <v>169</v>
      </c>
      <c r="E12041" s="1688" t="s">
        <v>4770</v>
      </c>
      <c r="F12041" s="1688"/>
      <c r="G12041" s="1408" t="s">
        <v>23</v>
      </c>
      <c r="H12041" s="391">
        <v>25</v>
      </c>
      <c r="M12041" s="1357"/>
      <c r="Q12041" s="1357"/>
      <c r="S12041" s="1420"/>
      <c r="T12041" s="1420"/>
      <c r="V12041" s="1357">
        <v>15</v>
      </c>
    </row>
    <row r="12042" spans="1:22" s="841" customFormat="1" ht="15" x14ac:dyDescent="0.25">
      <c r="A12042" s="841" t="s">
        <v>169</v>
      </c>
      <c r="E12042" s="1688" t="s">
        <v>3145</v>
      </c>
      <c r="F12042" s="1688"/>
      <c r="G12042" s="1408" t="s">
        <v>23</v>
      </c>
      <c r="H12042" s="391">
        <v>25</v>
      </c>
      <c r="M12042" s="1357"/>
      <c r="Q12042" s="1357"/>
      <c r="S12042" s="1420"/>
      <c r="T12042" s="1420"/>
      <c r="V12042" s="1357">
        <v>17</v>
      </c>
    </row>
    <row r="12043" spans="1:22" s="841" customFormat="1" ht="15" x14ac:dyDescent="0.25">
      <c r="A12043" s="841" t="s">
        <v>169</v>
      </c>
      <c r="E12043" s="1688" t="s">
        <v>88</v>
      </c>
      <c r="F12043" s="1688"/>
      <c r="G12043" s="1408" t="s">
        <v>23</v>
      </c>
      <c r="H12043" s="391">
        <v>35</v>
      </c>
      <c r="M12043" s="1357"/>
      <c r="Q12043" s="1357"/>
      <c r="S12043" s="1420"/>
      <c r="T12043" s="1420"/>
      <c r="V12043" s="1357">
        <v>89</v>
      </c>
    </row>
    <row r="12044" spans="1:22" s="841" customFormat="1" ht="15" x14ac:dyDescent="0.25">
      <c r="A12044" s="841" t="s">
        <v>169</v>
      </c>
      <c r="E12044" s="1688" t="s">
        <v>123</v>
      </c>
      <c r="F12044" s="1688"/>
      <c r="G12044" s="1408" t="s">
        <v>23</v>
      </c>
      <c r="H12044" s="391">
        <v>25</v>
      </c>
      <c r="M12044" s="1357"/>
      <c r="Q12044" s="1357"/>
      <c r="S12044" s="1420"/>
      <c r="T12044" s="1420"/>
      <c r="V12044" s="1357">
        <v>35</v>
      </c>
    </row>
    <row r="12045" spans="1:22" s="841" customFormat="1" ht="15" x14ac:dyDescent="0.25">
      <c r="A12045" s="841" t="s">
        <v>169</v>
      </c>
      <c r="E12045" s="1688" t="s">
        <v>94</v>
      </c>
      <c r="F12045" s="1688"/>
      <c r="G12045" s="1408" t="s">
        <v>23</v>
      </c>
      <c r="H12045" s="391">
        <v>55</v>
      </c>
      <c r="M12045" s="1357"/>
      <c r="Q12045" s="1357"/>
      <c r="S12045" s="1420"/>
      <c r="T12045" s="1420"/>
      <c r="V12045" s="1357">
        <v>19</v>
      </c>
    </row>
    <row r="12046" spans="1:22" s="841" customFormat="1" ht="15" x14ac:dyDescent="0.25">
      <c r="A12046" s="841" t="s">
        <v>169</v>
      </c>
      <c r="E12046" s="1688" t="s">
        <v>92</v>
      </c>
      <c r="F12046" s="1688"/>
      <c r="G12046" s="1408" t="s">
        <v>23</v>
      </c>
      <c r="H12046" s="391">
        <v>55</v>
      </c>
      <c r="M12046" s="1357"/>
      <c r="Q12046" s="1357"/>
      <c r="S12046" s="1420"/>
      <c r="T12046" s="1420"/>
      <c r="V12046" s="1357">
        <v>74</v>
      </c>
    </row>
    <row r="12047" spans="1:22" s="841" customFormat="1" ht="15" x14ac:dyDescent="0.25">
      <c r="A12047" s="841" t="s">
        <v>169</v>
      </c>
      <c r="E12047" s="1390" t="s">
        <v>3152</v>
      </c>
      <c r="F12047" s="3"/>
      <c r="G12047" s="3"/>
      <c r="H12047" s="1329"/>
      <c r="K12047" s="841" t="s">
        <v>4639</v>
      </c>
      <c r="M12047" s="1357"/>
      <c r="Q12047" s="1357"/>
      <c r="S12047" s="1420"/>
      <c r="T12047" s="1420"/>
      <c r="V12047" s="1357">
        <v>22</v>
      </c>
    </row>
    <row r="12048" spans="1:22" s="841" customFormat="1" ht="15" x14ac:dyDescent="0.25">
      <c r="A12048" s="841" t="s">
        <v>169</v>
      </c>
      <c r="E12048" s="1688" t="s">
        <v>5137</v>
      </c>
      <c r="F12048" s="1688"/>
      <c r="G12048" s="1086" t="s">
        <v>86</v>
      </c>
      <c r="H12048" s="1330">
        <v>1.5</v>
      </c>
      <c r="M12048" s="1357"/>
      <c r="Q12048" s="1357"/>
      <c r="S12048" s="1420"/>
      <c r="T12048" s="1420"/>
      <c r="V12048" s="1357">
        <v>24</v>
      </c>
    </row>
    <row r="12049" spans="1:22" s="841" customFormat="1" ht="15" x14ac:dyDescent="0.25">
      <c r="A12049" s="841" t="s">
        <v>169</v>
      </c>
      <c r="E12049" s="1688" t="s">
        <v>4772</v>
      </c>
      <c r="F12049" s="1688"/>
      <c r="G12049" s="1086" t="s">
        <v>86</v>
      </c>
      <c r="H12049" s="1330">
        <v>19.559999999999999</v>
      </c>
      <c r="M12049" s="1357"/>
      <c r="Q12049" s="1357"/>
      <c r="S12049" s="1420"/>
      <c r="T12049" s="1420"/>
      <c r="V12049" s="1357">
        <v>24</v>
      </c>
    </row>
    <row r="12050" spans="1:22" s="841" customFormat="1" ht="15" x14ac:dyDescent="0.25">
      <c r="A12050" s="841" t="s">
        <v>169</v>
      </c>
      <c r="E12050" s="1688" t="s">
        <v>3288</v>
      </c>
      <c r="F12050" s="1688"/>
      <c r="G12050" s="1408" t="s">
        <v>23</v>
      </c>
      <c r="H12050" s="1330">
        <v>55</v>
      </c>
      <c r="M12050" s="1357"/>
      <c r="Q12050" s="1357"/>
      <c r="S12050" s="1420"/>
      <c r="T12050" s="1420"/>
      <c r="V12050" s="1357">
        <v>47</v>
      </c>
    </row>
    <row r="12051" spans="1:22" s="841" customFormat="1" ht="15" x14ac:dyDescent="0.25">
      <c r="A12051" s="841" t="s">
        <v>169</v>
      </c>
      <c r="E12051" s="1688" t="s">
        <v>4773</v>
      </c>
      <c r="F12051" s="1688"/>
      <c r="G12051" s="1408" t="s">
        <v>23</v>
      </c>
      <c r="H12051" s="1330">
        <v>120</v>
      </c>
      <c r="M12051" s="1357"/>
      <c r="Q12051" s="1357"/>
      <c r="S12051" s="1420"/>
      <c r="T12051" s="1420"/>
      <c r="V12051" s="1357">
        <v>52</v>
      </c>
    </row>
    <row r="12052" spans="1:22" s="841" customFormat="1" ht="15" x14ac:dyDescent="0.25">
      <c r="A12052" s="841" t="s">
        <v>169</v>
      </c>
      <c r="E12052" s="1688" t="s">
        <v>4774</v>
      </c>
      <c r="F12052" s="1688"/>
      <c r="G12052" s="1408" t="s">
        <v>23</v>
      </c>
      <c r="H12052" s="1330">
        <v>400</v>
      </c>
      <c r="M12052" s="1357"/>
      <c r="Q12052" s="1357"/>
      <c r="S12052" s="1420"/>
      <c r="T12052" s="1420"/>
      <c r="V12052" s="1357">
        <v>51</v>
      </c>
    </row>
    <row r="12053" spans="1:22" s="841" customFormat="1" ht="15" x14ac:dyDescent="0.25">
      <c r="A12053" s="841" t="s">
        <v>169</v>
      </c>
      <c r="E12053" s="1688" t="s">
        <v>4775</v>
      </c>
      <c r="F12053" s="1688"/>
      <c r="G12053" s="1408" t="s">
        <v>23</v>
      </c>
      <c r="H12053" s="1330">
        <v>300</v>
      </c>
      <c r="M12053" s="1357"/>
      <c r="Q12053" s="1357"/>
      <c r="S12053" s="1420"/>
      <c r="T12053" s="1420"/>
      <c r="V12053" s="1357">
        <v>51</v>
      </c>
    </row>
    <row r="12054" spans="1:22" s="841" customFormat="1" ht="15" x14ac:dyDescent="0.25">
      <c r="A12054" s="841" t="s">
        <v>169</v>
      </c>
      <c r="E12054" s="1688" t="s">
        <v>4776</v>
      </c>
      <c r="F12054" s="1688"/>
      <c r="G12054" s="1408" t="s">
        <v>23</v>
      </c>
      <c r="H12054" s="1330">
        <v>820</v>
      </c>
      <c r="M12054" s="1357"/>
      <c r="Q12054" s="1357"/>
      <c r="S12054" s="1420"/>
      <c r="T12054" s="1420"/>
      <c r="V12054" s="1357">
        <v>50</v>
      </c>
    </row>
    <row r="12055" spans="1:22" s="841" customFormat="1" ht="15" x14ac:dyDescent="0.25">
      <c r="A12055" s="841" t="s">
        <v>169</v>
      </c>
      <c r="E12055" s="1688" t="s">
        <v>4777</v>
      </c>
      <c r="F12055" s="1688"/>
      <c r="G12055" s="1408" t="s">
        <v>23</v>
      </c>
      <c r="H12055" s="1330">
        <v>120</v>
      </c>
      <c r="M12055" s="1357"/>
      <c r="Q12055" s="1357"/>
      <c r="S12055" s="1420"/>
      <c r="T12055" s="1420"/>
      <c r="V12055" s="1357">
        <v>57</v>
      </c>
    </row>
    <row r="12056" spans="1:22" s="841" customFormat="1" ht="15" x14ac:dyDescent="0.25">
      <c r="A12056" s="841" t="s">
        <v>169</v>
      </c>
      <c r="E12056" s="1688" t="s">
        <v>4778</v>
      </c>
      <c r="F12056" s="1688"/>
      <c r="G12056" s="1408" t="s">
        <v>23</v>
      </c>
      <c r="H12056" s="1330">
        <v>400</v>
      </c>
      <c r="M12056" s="1357"/>
      <c r="Q12056" s="1357"/>
      <c r="S12056" s="1420"/>
      <c r="T12056" s="1420"/>
      <c r="V12056" s="1357">
        <v>56</v>
      </c>
    </row>
    <row r="12057" spans="1:22" s="841" customFormat="1" ht="15" x14ac:dyDescent="0.25">
      <c r="A12057" s="841" t="s">
        <v>169</v>
      </c>
      <c r="E12057" s="1390" t="s">
        <v>3164</v>
      </c>
      <c r="F12057" s="3"/>
      <c r="G12057" s="398"/>
      <c r="H12057" s="1331"/>
      <c r="M12057" s="1357"/>
      <c r="Q12057" s="1357"/>
      <c r="S12057" s="1420"/>
      <c r="T12057" s="1420"/>
      <c r="V12057" s="1357">
        <v>5</v>
      </c>
    </row>
    <row r="12058" spans="1:22" s="841" customFormat="1" ht="15" x14ac:dyDescent="0.25">
      <c r="A12058" s="841" t="s">
        <v>169</v>
      </c>
      <c r="E12058" s="1688" t="s">
        <v>3167</v>
      </c>
      <c r="F12058" s="1688"/>
      <c r="G12058" s="1408" t="s">
        <v>23</v>
      </c>
      <c r="H12058" s="1330">
        <v>55</v>
      </c>
      <c r="M12058" s="1357"/>
      <c r="Q12058" s="1357"/>
      <c r="S12058" s="1420"/>
      <c r="T12058" s="1420"/>
      <c r="V12058" s="1357">
        <v>39</v>
      </c>
    </row>
    <row r="12059" spans="1:22" s="841" customFormat="1" ht="15" x14ac:dyDescent="0.25">
      <c r="A12059" s="841" t="s">
        <v>169</v>
      </c>
      <c r="E12059" s="1688" t="s">
        <v>4773</v>
      </c>
      <c r="F12059" s="1688"/>
      <c r="G12059" s="1408" t="s">
        <v>23</v>
      </c>
      <c r="H12059" s="1330">
        <v>120</v>
      </c>
      <c r="M12059" s="1357"/>
      <c r="Q12059" s="1357"/>
      <c r="S12059" s="1420"/>
      <c r="T12059" s="1420"/>
      <c r="V12059" s="1357">
        <v>52</v>
      </c>
    </row>
    <row r="12060" spans="1:22" s="841" customFormat="1" ht="15" x14ac:dyDescent="0.25">
      <c r="A12060" s="841" t="s">
        <v>169</v>
      </c>
      <c r="E12060" s="1688" t="s">
        <v>4774</v>
      </c>
      <c r="F12060" s="1688"/>
      <c r="G12060" s="1408" t="s">
        <v>23</v>
      </c>
      <c r="H12060" s="1330">
        <v>400</v>
      </c>
      <c r="M12060" s="1357"/>
      <c r="Q12060" s="1357"/>
      <c r="S12060" s="1420"/>
      <c r="T12060" s="1420"/>
      <c r="V12060" s="1357">
        <v>51</v>
      </c>
    </row>
    <row r="12061" spans="1:22" s="841" customFormat="1" ht="15" x14ac:dyDescent="0.25">
      <c r="A12061" s="841" t="s">
        <v>169</v>
      </c>
      <c r="E12061" s="1688" t="s">
        <v>4775</v>
      </c>
      <c r="F12061" s="1688"/>
      <c r="G12061" s="1408" t="s">
        <v>23</v>
      </c>
      <c r="H12061" s="1330">
        <v>300</v>
      </c>
      <c r="M12061" s="1357"/>
      <c r="Q12061" s="1357"/>
      <c r="S12061" s="1420"/>
      <c r="T12061" s="1420"/>
      <c r="V12061" s="1357">
        <v>51</v>
      </c>
    </row>
    <row r="12062" spans="1:22" s="841" customFormat="1" ht="15" x14ac:dyDescent="0.25">
      <c r="A12062" s="841" t="s">
        <v>169</v>
      </c>
      <c r="E12062" s="1688" t="s">
        <v>4776</v>
      </c>
      <c r="F12062" s="1688"/>
      <c r="G12062" s="1408" t="s">
        <v>23</v>
      </c>
      <c r="H12062" s="1330">
        <v>820</v>
      </c>
      <c r="M12062" s="1357"/>
      <c r="Q12062" s="1357"/>
      <c r="S12062" s="1420"/>
      <c r="T12062" s="1420"/>
      <c r="V12062" s="1357">
        <v>50</v>
      </c>
    </row>
    <row r="12063" spans="1:22" s="841" customFormat="1" ht="15" x14ac:dyDescent="0.25">
      <c r="A12063" s="841" t="s">
        <v>169</v>
      </c>
      <c r="E12063" s="1688" t="s">
        <v>3888</v>
      </c>
      <c r="F12063" s="1688"/>
      <c r="G12063" s="1408" t="s">
        <v>23</v>
      </c>
      <c r="H12063" s="1330">
        <v>2040</v>
      </c>
      <c r="M12063" s="1357"/>
      <c r="Q12063" s="1357"/>
      <c r="S12063" s="1420"/>
      <c r="T12063" s="1420"/>
      <c r="V12063" s="1357">
        <v>62</v>
      </c>
    </row>
    <row r="12064" spans="1:22" s="841" customFormat="1" ht="15" x14ac:dyDescent="0.25">
      <c r="A12064" s="841" t="s">
        <v>169</v>
      </c>
      <c r="E12064" s="1688" t="s">
        <v>5872</v>
      </c>
      <c r="F12064" s="1688"/>
      <c r="G12064" s="1408" t="s">
        <v>23</v>
      </c>
      <c r="H12064" s="1330">
        <v>42</v>
      </c>
      <c r="M12064" s="1357"/>
      <c r="Q12064" s="1357"/>
      <c r="S12064" s="1420"/>
      <c r="T12064" s="1420"/>
      <c r="V12064" s="1357">
        <v>84</v>
      </c>
    </row>
    <row r="12065" spans="1:22" s="841" customFormat="1" ht="18.75" x14ac:dyDescent="0.3">
      <c r="A12065" s="841" t="s">
        <v>169</v>
      </c>
      <c r="E12065" s="1405" t="s">
        <v>77</v>
      </c>
      <c r="F12065" s="657"/>
      <c r="G12065" s="657"/>
      <c r="H12065" s="657"/>
      <c r="K12065" s="841" t="s">
        <v>4640</v>
      </c>
      <c r="M12065" s="1357"/>
      <c r="Q12065" s="1357"/>
      <c r="S12065" s="1420"/>
      <c r="T12065" s="1420"/>
      <c r="V12065" s="1357">
        <v>38</v>
      </c>
    </row>
    <row r="12066" spans="1:22" s="841" customFormat="1" ht="15" x14ac:dyDescent="0.25">
      <c r="A12066" s="841" t="s">
        <v>169</v>
      </c>
      <c r="E12066" s="1926" t="s">
        <v>3061</v>
      </c>
      <c r="F12066" s="1689"/>
      <c r="G12066" s="1689"/>
      <c r="H12066" s="1689"/>
      <c r="K12066" s="841" t="s">
        <v>3345</v>
      </c>
      <c r="M12066" s="1357"/>
      <c r="Q12066" s="1357"/>
      <c r="S12066" s="1420"/>
      <c r="T12066" s="1420"/>
      <c r="V12066" s="1357">
        <v>11</v>
      </c>
    </row>
    <row r="12067" spans="1:22" s="841" customFormat="1" ht="15" x14ac:dyDescent="0.25">
      <c r="A12067" s="841" t="s">
        <v>169</v>
      </c>
      <c r="E12067" s="1689" t="s">
        <v>3063</v>
      </c>
      <c r="F12067" s="1689"/>
      <c r="G12067" s="1689"/>
      <c r="H12067" s="1689"/>
      <c r="M12067" s="1357"/>
      <c r="Q12067" s="1357"/>
      <c r="S12067" s="1420"/>
      <c r="T12067" s="1420"/>
      <c r="V12067" s="1357">
        <v>280</v>
      </c>
    </row>
    <row r="12068" spans="1:22" s="841" customFormat="1" ht="15" x14ac:dyDescent="0.25">
      <c r="A12068" s="841" t="s">
        <v>169</v>
      </c>
      <c r="E12068" s="1689" t="s">
        <v>3064</v>
      </c>
      <c r="F12068" s="1689"/>
      <c r="G12068" s="1689"/>
      <c r="H12068" s="1689"/>
      <c r="M12068" s="1357"/>
      <c r="Q12068" s="1357"/>
      <c r="S12068" s="1420"/>
      <c r="T12068" s="1420"/>
      <c r="V12068" s="1357">
        <v>411</v>
      </c>
    </row>
    <row r="12069" spans="1:22" s="841" customFormat="1" ht="15" x14ac:dyDescent="0.25">
      <c r="A12069" s="841" t="s">
        <v>169</v>
      </c>
      <c r="E12069" s="1689" t="s">
        <v>3129</v>
      </c>
      <c r="F12069" s="1689"/>
      <c r="G12069" s="1689"/>
      <c r="H12069" s="1689"/>
      <c r="M12069" s="1357"/>
      <c r="Q12069" s="1357"/>
      <c r="S12069" s="1420"/>
      <c r="T12069" s="1420"/>
      <c r="V12069" s="1357">
        <v>211</v>
      </c>
    </row>
    <row r="12070" spans="1:22" s="841" customFormat="1" ht="15" x14ac:dyDescent="0.25">
      <c r="A12070" s="841" t="s">
        <v>169</v>
      </c>
      <c r="E12070" s="1689" t="s">
        <v>3390</v>
      </c>
      <c r="F12070" s="1689"/>
      <c r="G12070" s="1689"/>
      <c r="H12070" s="1689"/>
      <c r="M12070" s="1357"/>
      <c r="Q12070" s="1357"/>
      <c r="S12070" s="1420"/>
      <c r="T12070" s="1420"/>
      <c r="V12070" s="1357">
        <v>274</v>
      </c>
    </row>
    <row r="12071" spans="1:22" s="841" customFormat="1" ht="15" x14ac:dyDescent="0.25">
      <c r="A12071" s="841" t="s">
        <v>169</v>
      </c>
      <c r="E12071" s="1690" t="s">
        <v>4641</v>
      </c>
      <c r="F12071" s="1690"/>
      <c r="G12071" s="1907"/>
      <c r="H12071" s="1907"/>
      <c r="M12071" s="1357"/>
      <c r="Q12071" s="1357"/>
      <c r="S12071" s="1420"/>
      <c r="T12071" s="1420"/>
      <c r="V12071" s="1357">
        <v>201</v>
      </c>
    </row>
    <row r="12072" spans="1:22" s="841" customFormat="1" ht="15" x14ac:dyDescent="0.25">
      <c r="A12072" s="841" t="s">
        <v>169</v>
      </c>
      <c r="E12072" s="1690" t="s">
        <v>3176</v>
      </c>
      <c r="F12072" s="1690"/>
      <c r="G12072" s="718" t="s">
        <v>23</v>
      </c>
      <c r="H12072" s="1006">
        <v>100</v>
      </c>
      <c r="M12072" s="1357"/>
      <c r="Q12072" s="1357"/>
      <c r="S12072" s="1420"/>
      <c r="T12072" s="1420"/>
      <c r="V12072" s="1357">
        <v>106</v>
      </c>
    </row>
    <row r="12073" spans="1:22" s="841" customFormat="1" ht="15" x14ac:dyDescent="0.25">
      <c r="A12073" s="841" t="s">
        <v>169</v>
      </c>
      <c r="E12073" s="1690" t="s">
        <v>3177</v>
      </c>
      <c r="F12073" s="1690"/>
      <c r="G12073" s="718" t="s">
        <v>23</v>
      </c>
      <c r="H12073" s="1006">
        <v>20</v>
      </c>
      <c r="M12073" s="1357"/>
      <c r="Q12073" s="1357"/>
      <c r="S12073" s="1420"/>
      <c r="T12073" s="1420"/>
      <c r="V12073" s="1357">
        <v>34</v>
      </c>
    </row>
    <row r="12074" spans="1:22" s="841" customFormat="1" ht="15" x14ac:dyDescent="0.25">
      <c r="A12074" s="841" t="s">
        <v>169</v>
      </c>
      <c r="E12074" s="1690" t="s">
        <v>3178</v>
      </c>
      <c r="F12074" s="1690"/>
      <c r="G12074" s="718" t="s">
        <v>3179</v>
      </c>
      <c r="H12074" s="1006">
        <v>0.5</v>
      </c>
      <c r="M12074" s="1357"/>
      <c r="Q12074" s="1357"/>
      <c r="S12074" s="1420"/>
      <c r="T12074" s="1420"/>
      <c r="V12074" s="1357">
        <v>51</v>
      </c>
    </row>
    <row r="12075" spans="1:22" s="841" customFormat="1" ht="15" x14ac:dyDescent="0.25">
      <c r="A12075" s="841" t="s">
        <v>169</v>
      </c>
      <c r="E12075" s="1690" t="s">
        <v>3180</v>
      </c>
      <c r="F12075" s="1690"/>
      <c r="G12075" s="718" t="s">
        <v>3179</v>
      </c>
      <c r="H12075" s="1006">
        <v>0.3</v>
      </c>
      <c r="M12075" s="1357"/>
      <c r="Q12075" s="1357"/>
      <c r="S12075" s="1420"/>
      <c r="T12075" s="1420"/>
      <c r="V12075" s="1357">
        <v>75</v>
      </c>
    </row>
    <row r="12076" spans="1:22" s="841" customFormat="1" ht="15" x14ac:dyDescent="0.25">
      <c r="A12076" s="841" t="s">
        <v>169</v>
      </c>
      <c r="E12076" s="1690" t="s">
        <v>3181</v>
      </c>
      <c r="F12076" s="1690"/>
      <c r="G12076" s="718" t="s">
        <v>3179</v>
      </c>
      <c r="H12076" s="1006">
        <v>-0.3</v>
      </c>
      <c r="M12076" s="1357"/>
      <c r="Q12076" s="1357"/>
      <c r="S12076" s="1420"/>
      <c r="T12076" s="1420"/>
      <c r="V12076" s="1357">
        <v>72</v>
      </c>
    </row>
    <row r="12077" spans="1:22" s="841" customFormat="1" ht="15" x14ac:dyDescent="0.25">
      <c r="A12077" s="841" t="s">
        <v>169</v>
      </c>
      <c r="E12077" s="1690" t="s">
        <v>3292</v>
      </c>
      <c r="F12077" s="1690"/>
      <c r="G12077" s="3"/>
      <c r="H12077" s="3"/>
      <c r="M12077" s="1357"/>
      <c r="Q12077" s="1357"/>
      <c r="S12077" s="1420"/>
      <c r="T12077" s="1420"/>
      <c r="V12077" s="1357">
        <v>34</v>
      </c>
    </row>
    <row r="12078" spans="1:22" s="841" customFormat="1" ht="15" x14ac:dyDescent="0.25">
      <c r="A12078" s="841" t="s">
        <v>169</v>
      </c>
      <c r="E12078" s="1690" t="s">
        <v>5873</v>
      </c>
      <c r="F12078" s="1690"/>
      <c r="G12078" s="718" t="s">
        <v>23</v>
      </c>
      <c r="H12078" s="1006">
        <v>0.25</v>
      </c>
      <c r="M12078" s="1357"/>
      <c r="Q12078" s="1357"/>
      <c r="S12078" s="1420"/>
      <c r="T12078" s="1420"/>
      <c r="V12078" s="1357">
        <v>62</v>
      </c>
    </row>
    <row r="12079" spans="1:22" s="841" customFormat="1" ht="15" x14ac:dyDescent="0.25">
      <c r="A12079" s="841" t="s">
        <v>169</v>
      </c>
      <c r="E12079" s="1690" t="s">
        <v>5874</v>
      </c>
      <c r="F12079" s="1690"/>
      <c r="G12079" s="718" t="s">
        <v>23</v>
      </c>
      <c r="H12079" s="1006">
        <v>0.5</v>
      </c>
      <c r="M12079" s="1357"/>
      <c r="Q12079" s="1357"/>
      <c r="S12079" s="1420"/>
      <c r="T12079" s="1420"/>
      <c r="V12079" s="1357">
        <v>65</v>
      </c>
    </row>
    <row r="12080" spans="1:22" s="841" customFormat="1" ht="15" x14ac:dyDescent="0.25">
      <c r="A12080" s="841" t="s">
        <v>169</v>
      </c>
      <c r="E12080" s="1690" t="s">
        <v>3185</v>
      </c>
      <c r="F12080" s="1690"/>
      <c r="G12080" s="718"/>
      <c r="H12080" s="718"/>
      <c r="M12080" s="1357"/>
      <c r="Q12080" s="1357"/>
      <c r="S12080" s="1420"/>
      <c r="T12080" s="1420"/>
      <c r="V12080" s="1357">
        <v>91</v>
      </c>
    </row>
    <row r="12081" spans="1:22" s="841" customFormat="1" ht="15" x14ac:dyDescent="0.25">
      <c r="A12081" s="841" t="s">
        <v>169</v>
      </c>
      <c r="E12081" s="1690" t="s">
        <v>3186</v>
      </c>
      <c r="F12081" s="1690"/>
      <c r="G12081" s="718"/>
      <c r="H12081" s="718"/>
      <c r="M12081" s="1357"/>
      <c r="Q12081" s="1357"/>
      <c r="S12081" s="1420"/>
      <c r="T12081" s="1420"/>
      <c r="V12081" s="1357">
        <v>96</v>
      </c>
    </row>
    <row r="12082" spans="1:22" s="841" customFormat="1" ht="15" x14ac:dyDescent="0.25">
      <c r="A12082" s="841" t="s">
        <v>169</v>
      </c>
      <c r="E12082" s="1690" t="s">
        <v>3293</v>
      </c>
      <c r="F12082" s="1690"/>
      <c r="G12082" s="718"/>
      <c r="H12082" s="718"/>
      <c r="M12082" s="1357"/>
      <c r="Q12082" s="1357"/>
      <c r="S12082" s="1420"/>
      <c r="T12082" s="1420"/>
      <c r="V12082" s="1357">
        <v>77</v>
      </c>
    </row>
    <row r="12083" spans="1:22" s="841" customFormat="1" ht="15" x14ac:dyDescent="0.25">
      <c r="A12083" s="841" t="s">
        <v>169</v>
      </c>
      <c r="E12083" s="1690" t="s">
        <v>5875</v>
      </c>
      <c r="F12083" s="1690"/>
      <c r="G12083" s="3"/>
      <c r="H12083" s="720" t="s">
        <v>3189</v>
      </c>
      <c r="M12083" s="1357"/>
      <c r="Q12083" s="1357"/>
      <c r="S12083" s="1420"/>
      <c r="T12083" s="1420"/>
      <c r="V12083" s="1357">
        <v>23</v>
      </c>
    </row>
    <row r="12084" spans="1:22" s="841" customFormat="1" ht="15" x14ac:dyDescent="0.25">
      <c r="A12084" s="841" t="s">
        <v>169</v>
      </c>
      <c r="E12084" s="2121" t="s">
        <v>5876</v>
      </c>
      <c r="F12084" s="2121"/>
      <c r="G12084" s="718" t="s">
        <v>23</v>
      </c>
      <c r="H12084" s="1006">
        <v>2</v>
      </c>
      <c r="M12084" s="1357"/>
      <c r="Q12084" s="1357"/>
      <c r="S12084" s="1420"/>
      <c r="T12084" s="1420"/>
      <c r="V12084" s="1357">
        <v>74</v>
      </c>
    </row>
    <row r="12085" spans="1:22" s="841" customFormat="1" ht="18.75" x14ac:dyDescent="0.3">
      <c r="A12085" s="841" t="s">
        <v>169</v>
      </c>
      <c r="E12085" s="1405" t="s">
        <v>147</v>
      </c>
      <c r="F12085" s="657"/>
      <c r="G12085" s="657"/>
      <c r="H12085" s="657"/>
      <c r="K12085" s="841" t="s">
        <v>4642</v>
      </c>
      <c r="M12085" s="1357"/>
      <c r="Q12085" s="1357"/>
      <c r="S12085" s="1420"/>
      <c r="T12085" s="1420"/>
      <c r="V12085" s="1357">
        <v>12</v>
      </c>
    </row>
    <row r="12086" spans="1:22" s="841" customFormat="1" ht="15" x14ac:dyDescent="0.25">
      <c r="A12086" s="841" t="s">
        <v>169</v>
      </c>
      <c r="E12086" s="1704" t="s">
        <v>3192</v>
      </c>
      <c r="F12086" s="1704"/>
      <c r="G12086" s="1704"/>
      <c r="H12086" s="1704"/>
      <c r="M12086" s="1357"/>
      <c r="Q12086" s="1357"/>
      <c r="S12086" s="1420"/>
      <c r="T12086" s="1420"/>
      <c r="V12086" s="1357">
        <v>203</v>
      </c>
    </row>
    <row r="12087" spans="1:22" s="841" customFormat="1" ht="15" x14ac:dyDescent="0.25">
      <c r="A12087" s="841" t="s">
        <v>169</v>
      </c>
      <c r="E12087" s="1690" t="s">
        <v>3295</v>
      </c>
      <c r="F12087" s="1690"/>
      <c r="G12087" s="1408"/>
      <c r="H12087" s="1413">
        <v>1.0376000000000001</v>
      </c>
      <c r="M12087" s="1357"/>
      <c r="Q12087" s="1357"/>
      <c r="S12087" s="1420"/>
      <c r="T12087" s="1420"/>
      <c r="V12087" s="1357">
        <v>57</v>
      </c>
    </row>
    <row r="12088" spans="1:22" s="841" customFormat="1" ht="15" x14ac:dyDescent="0.25">
      <c r="A12088" s="841" t="s">
        <v>169</v>
      </c>
      <c r="E12088" s="1690" t="s">
        <v>3296</v>
      </c>
      <c r="F12088" s="1690"/>
      <c r="G12088" s="1408"/>
      <c r="H12088" s="1413">
        <v>1.0186999999999999</v>
      </c>
      <c r="M12088" s="1357"/>
      <c r="Q12088" s="1357"/>
      <c r="S12088" s="1420"/>
      <c r="T12088" s="1420"/>
      <c r="V12088" s="1357">
        <v>57</v>
      </c>
    </row>
    <row r="12089" spans="1:22" s="841" customFormat="1" ht="15" x14ac:dyDescent="0.25">
      <c r="A12089" s="841" t="s">
        <v>169</v>
      </c>
      <c r="E12089" s="1690" t="s">
        <v>3297</v>
      </c>
      <c r="F12089" s="1690"/>
      <c r="G12089" s="1408"/>
      <c r="H12089" s="1413">
        <v>1.0271999999999999</v>
      </c>
      <c r="M12089" s="1357"/>
      <c r="Q12089" s="1357"/>
      <c r="S12089" s="1420"/>
      <c r="T12089" s="1420"/>
      <c r="V12089" s="1357">
        <v>55</v>
      </c>
    </row>
    <row r="12090" spans="1:22" s="841" customFormat="1" ht="15" x14ac:dyDescent="0.25">
      <c r="A12090" s="841" t="s">
        <v>169</v>
      </c>
      <c r="E12090" s="1690" t="s">
        <v>3298</v>
      </c>
      <c r="F12090" s="1690"/>
      <c r="G12090" s="1408"/>
      <c r="H12090" s="1413">
        <v>1.0085</v>
      </c>
      <c r="J12090" s="841" t="s">
        <v>4643</v>
      </c>
      <c r="M12090" s="1357"/>
      <c r="Q12090" s="1357"/>
      <c r="S12090" s="1420"/>
      <c r="T12090" s="1420"/>
      <c r="V12090" s="1357">
        <v>55</v>
      </c>
    </row>
    <row r="12091" spans="1:22" s="841" customFormat="1" ht="23.25" x14ac:dyDescent="0.25">
      <c r="A12091" s="841" t="s">
        <v>245</v>
      </c>
      <c r="C12091" s="841" t="s">
        <v>3050</v>
      </c>
      <c r="E12091" s="1911" t="s">
        <v>245</v>
      </c>
      <c r="F12091" s="1911"/>
      <c r="G12091" s="1911"/>
      <c r="H12091" s="1911"/>
      <c r="I12091" s="841" t="s">
        <v>628</v>
      </c>
      <c r="J12091" s="841" t="s">
        <v>4763</v>
      </c>
      <c r="K12091" s="841" t="s">
        <v>245</v>
      </c>
      <c r="M12091" s="1357">
        <v>8</v>
      </c>
      <c r="Q12091" s="1357"/>
      <c r="S12091" s="1420"/>
      <c r="T12091" s="1420"/>
      <c r="V12091" s="1357">
        <v>47</v>
      </c>
    </row>
    <row r="12092" spans="1:22" s="841" customFormat="1" x14ac:dyDescent="0.25">
      <c r="A12092" s="841" t="s">
        <v>245</v>
      </c>
      <c r="C12092" s="841" t="s">
        <v>3052</v>
      </c>
      <c r="E12092" s="1912" t="s">
        <v>3053</v>
      </c>
      <c r="F12092" s="1912"/>
      <c r="G12092" s="1912"/>
      <c r="H12092" s="1912"/>
      <c r="M12092" s="1357"/>
      <c r="Q12092" s="1357"/>
      <c r="S12092" s="1420"/>
      <c r="T12092" s="1420"/>
      <c r="V12092" s="1357">
        <v>27</v>
      </c>
    </row>
    <row r="12093" spans="1:22" s="841" customFormat="1" ht="15.75" x14ac:dyDescent="0.25">
      <c r="A12093" s="841" t="s">
        <v>245</v>
      </c>
      <c r="C12093" s="841" t="s">
        <v>3054</v>
      </c>
      <c r="E12093" s="1913" t="s">
        <v>5107</v>
      </c>
      <c r="F12093" s="1913"/>
      <c r="G12093" s="1913"/>
      <c r="H12093" s="1913"/>
      <c r="M12093" s="1357"/>
      <c r="Q12093" s="1357"/>
      <c r="S12093" s="1420">
        <v>43221</v>
      </c>
      <c r="T12093" s="1420"/>
      <c r="V12093" s="1357">
        <v>45</v>
      </c>
    </row>
    <row r="12094" spans="1:22" s="841" customFormat="1" ht="15" x14ac:dyDescent="0.25">
      <c r="A12094" s="841" t="s">
        <v>245</v>
      </c>
      <c r="C12094" s="841" t="s">
        <v>3055</v>
      </c>
      <c r="E12094" s="1914" t="s">
        <v>3057</v>
      </c>
      <c r="F12094" s="1914"/>
      <c r="G12094" s="1914"/>
      <c r="H12094" s="1914"/>
      <c r="M12094" s="1357"/>
      <c r="Q12094" s="1357"/>
      <c r="S12094" s="1420"/>
      <c r="T12094" s="1420"/>
      <c r="V12094" s="1357">
        <v>53</v>
      </c>
    </row>
    <row r="12095" spans="1:22" s="841" customFormat="1" ht="15" x14ac:dyDescent="0.25">
      <c r="A12095" s="841" t="s">
        <v>245</v>
      </c>
      <c r="E12095" s="1925" t="s">
        <v>5877</v>
      </c>
      <c r="F12095" s="1925"/>
      <c r="G12095" s="1925"/>
      <c r="H12095" s="1925"/>
      <c r="K12095" s="841" t="s">
        <v>5877</v>
      </c>
      <c r="M12095" s="1357"/>
      <c r="Q12095" s="1357"/>
      <c r="S12095" s="1420"/>
      <c r="T12095" s="1420"/>
      <c r="V12095" s="1357">
        <v>12</v>
      </c>
    </row>
    <row r="12096" spans="1:22" s="841" customFormat="1" ht="15" x14ac:dyDescent="0.25">
      <c r="A12096" s="841" t="s">
        <v>245</v>
      </c>
      <c r="E12096" s="1909" t="s">
        <v>438</v>
      </c>
      <c r="F12096" s="1697"/>
      <c r="G12096" s="1697"/>
      <c r="H12096" s="1697"/>
      <c r="K12096" s="841" t="s">
        <v>3197</v>
      </c>
      <c r="M12096" s="1357"/>
      <c r="Q12096" s="1357"/>
      <c r="S12096" s="1420"/>
      <c r="T12096" s="1420"/>
      <c r="V12096" s="1357">
        <v>34</v>
      </c>
    </row>
    <row r="12097" spans="1:22" s="841" customFormat="1" ht="15" x14ac:dyDescent="0.25">
      <c r="A12097" s="841" t="s">
        <v>245</v>
      </c>
      <c r="E12097" s="1689" t="s">
        <v>4311</v>
      </c>
      <c r="F12097" s="1689"/>
      <c r="G12097" s="1689"/>
      <c r="H12097" s="1689"/>
      <c r="K12097" s="841" t="s">
        <v>3197</v>
      </c>
      <c r="M12097" s="1357"/>
      <c r="Q12097" s="1357"/>
      <c r="S12097" s="1420"/>
      <c r="T12097" s="1420"/>
      <c r="V12097" s="1357">
        <v>617</v>
      </c>
    </row>
    <row r="12098" spans="1:22" s="841" customFormat="1" ht="15" x14ac:dyDescent="0.25">
      <c r="A12098" s="841" t="s">
        <v>245</v>
      </c>
      <c r="E12098" s="1916" t="s">
        <v>3061</v>
      </c>
      <c r="F12098" s="1697"/>
      <c r="G12098" s="1697"/>
      <c r="H12098" s="1697"/>
      <c r="K12098" s="841" t="s">
        <v>3062</v>
      </c>
      <c r="M12098" s="1357"/>
      <c r="Q12098" s="1357"/>
      <c r="S12098" s="1420"/>
      <c r="T12098" s="1420"/>
      <c r="V12098" s="1357">
        <v>11</v>
      </c>
    </row>
    <row r="12099" spans="1:22" s="841" customFormat="1" ht="15" x14ac:dyDescent="0.25">
      <c r="A12099" s="841" t="s">
        <v>245</v>
      </c>
      <c r="E12099" s="1689" t="s">
        <v>3063</v>
      </c>
      <c r="F12099" s="1689"/>
      <c r="G12099" s="1689"/>
      <c r="H12099" s="1689"/>
      <c r="K12099" s="841" t="s">
        <v>3197</v>
      </c>
      <c r="M12099" s="1357"/>
      <c r="Q12099" s="1357"/>
      <c r="S12099" s="1420"/>
      <c r="T12099" s="1420"/>
      <c r="V12099" s="1357">
        <v>280</v>
      </c>
    </row>
    <row r="12100" spans="1:22" s="841" customFormat="1" ht="15" x14ac:dyDescent="0.25">
      <c r="A12100" s="841" t="s">
        <v>245</v>
      </c>
      <c r="E12100" s="1689" t="s">
        <v>3064</v>
      </c>
      <c r="F12100" s="1689"/>
      <c r="G12100" s="1689"/>
      <c r="H12100" s="1689"/>
      <c r="K12100" s="841" t="s">
        <v>3197</v>
      </c>
      <c r="M12100" s="1357"/>
      <c r="Q12100" s="1357"/>
      <c r="S12100" s="1420"/>
      <c r="T12100" s="1420"/>
      <c r="V12100" s="1357">
        <v>411</v>
      </c>
    </row>
    <row r="12101" spans="1:22" s="841" customFormat="1" ht="15" x14ac:dyDescent="0.25">
      <c r="A12101" s="841" t="s">
        <v>245</v>
      </c>
      <c r="E12101" s="1689" t="s">
        <v>3199</v>
      </c>
      <c r="F12101" s="1689"/>
      <c r="G12101" s="1689"/>
      <c r="H12101" s="1689"/>
      <c r="K12101" s="841" t="s">
        <v>3197</v>
      </c>
      <c r="M12101" s="1357"/>
      <c r="Q12101" s="1357"/>
      <c r="S12101" s="1420"/>
      <c r="T12101" s="1420"/>
      <c r="V12101" s="1357">
        <v>386</v>
      </c>
    </row>
    <row r="12102" spans="1:22" s="841" customFormat="1" ht="15" x14ac:dyDescent="0.25">
      <c r="A12102" s="841" t="s">
        <v>245</v>
      </c>
      <c r="E12102" s="1689" t="s">
        <v>3200</v>
      </c>
      <c r="F12102" s="1689"/>
      <c r="G12102" s="1689"/>
      <c r="H12102" s="1689"/>
      <c r="K12102" s="841" t="s">
        <v>3197</v>
      </c>
      <c r="M12102" s="1357"/>
      <c r="Q12102" s="1357"/>
      <c r="S12102" s="1420"/>
      <c r="T12102" s="1420"/>
      <c r="V12102" s="1357">
        <v>275</v>
      </c>
    </row>
    <row r="12103" spans="1:22" s="841" customFormat="1" ht="15" x14ac:dyDescent="0.25">
      <c r="A12103" s="841" t="s">
        <v>245</v>
      </c>
      <c r="E12103" s="1694" t="s">
        <v>3067</v>
      </c>
      <c r="F12103" s="1907"/>
      <c r="G12103" s="1907"/>
      <c r="H12103" s="1907"/>
      <c r="K12103" s="841" t="s">
        <v>3068</v>
      </c>
      <c r="M12103" s="1357"/>
      <c r="Q12103" s="1357"/>
      <c r="S12103" s="1420"/>
      <c r="T12103" s="1420"/>
      <c r="V12103" s="1357">
        <v>46</v>
      </c>
    </row>
    <row r="12104" spans="1:22" s="841" customFormat="1" ht="15" x14ac:dyDescent="0.25">
      <c r="A12104" s="841" t="s">
        <v>245</v>
      </c>
      <c r="E12104" s="1690" t="s">
        <v>11</v>
      </c>
      <c r="F12104" s="1690"/>
      <c r="G12104" s="1408" t="s">
        <v>23</v>
      </c>
      <c r="H12104" s="391">
        <v>22.23</v>
      </c>
      <c r="K12104" s="841" t="s">
        <v>3197</v>
      </c>
      <c r="L12104" s="841" t="s">
        <v>442</v>
      </c>
      <c r="M12104" s="1357"/>
      <c r="P12104" s="841" t="s">
        <v>3201</v>
      </c>
      <c r="Q12104" s="1357"/>
      <c r="S12104" s="1420"/>
      <c r="T12104" s="1420"/>
      <c r="V12104" s="1357">
        <v>14</v>
      </c>
    </row>
    <row r="12105" spans="1:22" s="841" customFormat="1" ht="15" x14ac:dyDescent="0.25">
      <c r="A12105" s="841" t="s">
        <v>245</v>
      </c>
      <c r="E12105" s="1690" t="s">
        <v>5109</v>
      </c>
      <c r="F12105" s="1690"/>
      <c r="G12105" s="1408" t="s">
        <v>23</v>
      </c>
      <c r="H12105" s="391">
        <v>0.56999999999999995</v>
      </c>
      <c r="K12105" s="841" t="s">
        <v>3197</v>
      </c>
      <c r="L12105" s="841" t="s">
        <v>443</v>
      </c>
      <c r="M12105" s="1357"/>
      <c r="P12105" s="841" t="s">
        <v>3202</v>
      </c>
      <c r="Q12105" s="1357"/>
      <c r="S12105" s="1420"/>
      <c r="T12105" s="1420">
        <v>44926</v>
      </c>
      <c r="V12105" s="1357">
        <v>64</v>
      </c>
    </row>
    <row r="12106" spans="1:22" s="841" customFormat="1" ht="15" x14ac:dyDescent="0.25">
      <c r="A12106" s="841" t="s">
        <v>245</v>
      </c>
      <c r="E12106" s="1690" t="s">
        <v>84</v>
      </c>
      <c r="F12106" s="1690"/>
      <c r="G12106" s="1408" t="s">
        <v>24</v>
      </c>
      <c r="H12106" s="393">
        <v>3.7000000000000002E-3</v>
      </c>
      <c r="K12106" s="841" t="s">
        <v>3197</v>
      </c>
      <c r="L12106" s="841" t="s">
        <v>442</v>
      </c>
      <c r="M12106" s="1357"/>
      <c r="P12106" s="841" t="s">
        <v>3203</v>
      </c>
      <c r="Q12106" s="1357"/>
      <c r="S12106" s="1420"/>
      <c r="T12106" s="1420"/>
      <c r="V12106" s="1357">
        <v>28</v>
      </c>
    </row>
    <row r="12107" spans="1:22" s="841" customFormat="1" ht="15" x14ac:dyDescent="0.25">
      <c r="A12107" s="841" t="s">
        <v>245</v>
      </c>
      <c r="E12107" s="1690" t="s">
        <v>5129</v>
      </c>
      <c r="F12107" s="1908"/>
      <c r="G12107" s="1408" t="s">
        <v>24</v>
      </c>
      <c r="H12107" s="393">
        <v>-1E-4</v>
      </c>
      <c r="K12107" s="841" t="s">
        <v>3197</v>
      </c>
      <c r="L12107" s="841" t="s">
        <v>443</v>
      </c>
      <c r="M12107" s="1357"/>
      <c r="P12107" s="841" t="s">
        <v>3205</v>
      </c>
      <c r="Q12107" s="1357"/>
      <c r="S12107" s="1420"/>
      <c r="T12107" s="1420">
        <v>43585</v>
      </c>
      <c r="V12107" s="1357">
        <v>139</v>
      </c>
    </row>
    <row r="12108" spans="1:22" s="841" customFormat="1" ht="15" x14ac:dyDescent="0.25">
      <c r="A12108" s="841" t="s">
        <v>245</v>
      </c>
      <c r="E12108" s="1690" t="s">
        <v>5130</v>
      </c>
      <c r="F12108" s="1908"/>
      <c r="G12108" s="1408" t="s">
        <v>24</v>
      </c>
      <c r="H12108" s="393">
        <v>-5.0000000000000001E-4</v>
      </c>
      <c r="K12108" s="841" t="s">
        <v>3197</v>
      </c>
      <c r="L12108" s="841" t="s">
        <v>443</v>
      </c>
      <c r="M12108" s="1357"/>
      <c r="P12108" s="841" t="s">
        <v>3207</v>
      </c>
      <c r="Q12108" s="1357"/>
      <c r="S12108" s="1420"/>
      <c r="T12108" s="1420">
        <v>43585</v>
      </c>
      <c r="V12108" s="1357">
        <v>96</v>
      </c>
    </row>
    <row r="12109" spans="1:22" s="841" customFormat="1" ht="15" x14ac:dyDescent="0.25">
      <c r="A12109" s="841" t="s">
        <v>245</v>
      </c>
      <c r="E12109" s="1690" t="s">
        <v>5424</v>
      </c>
      <c r="F12109" s="1908"/>
      <c r="G12109" s="1408" t="s">
        <v>24</v>
      </c>
      <c r="H12109" s="393">
        <v>-1E-4</v>
      </c>
      <c r="K12109" s="841" t="s">
        <v>3197</v>
      </c>
      <c r="L12109" s="841" t="s">
        <v>443</v>
      </c>
      <c r="M12109" s="1357"/>
      <c r="P12109" s="841" t="s">
        <v>5103</v>
      </c>
      <c r="Q12109" s="1357"/>
      <c r="S12109" s="1420"/>
      <c r="T12109" s="1420">
        <v>43585</v>
      </c>
      <c r="V12109" s="1357">
        <v>146</v>
      </c>
    </row>
    <row r="12110" spans="1:22" s="841" customFormat="1" ht="15" x14ac:dyDescent="0.25">
      <c r="A12110" s="841" t="s">
        <v>245</v>
      </c>
      <c r="E12110" s="1690" t="s">
        <v>221</v>
      </c>
      <c r="F12110" s="1690"/>
      <c r="G12110" s="1408" t="s">
        <v>24</v>
      </c>
      <c r="H12110" s="393">
        <v>6.0000000000000001E-3</v>
      </c>
      <c r="K12110" s="841" t="s">
        <v>3197</v>
      </c>
      <c r="L12110" s="841" t="s">
        <v>444</v>
      </c>
      <c r="M12110" s="1357"/>
      <c r="P12110" s="841" t="s">
        <v>3208</v>
      </c>
      <c r="Q12110" s="1357"/>
      <c r="S12110" s="1420"/>
      <c r="T12110" s="1420"/>
      <c r="V12110" s="1357">
        <v>47</v>
      </c>
    </row>
    <row r="12111" spans="1:22" s="841" customFormat="1" ht="15" x14ac:dyDescent="0.25">
      <c r="A12111" s="841" t="s">
        <v>245</v>
      </c>
      <c r="E12111" s="1690" t="s">
        <v>217</v>
      </c>
      <c r="F12111" s="1690"/>
      <c r="G12111" s="1408" t="s">
        <v>24</v>
      </c>
      <c r="H12111" s="393">
        <v>5.3E-3</v>
      </c>
      <c r="K12111" s="841" t="s">
        <v>3197</v>
      </c>
      <c r="L12111" s="841" t="s">
        <v>444</v>
      </c>
      <c r="M12111" s="1357"/>
      <c r="P12111" s="841" t="s">
        <v>3209</v>
      </c>
      <c r="Q12111" s="1357"/>
      <c r="S12111" s="1420"/>
      <c r="T12111" s="1420"/>
      <c r="V12111" s="1357">
        <v>74</v>
      </c>
    </row>
    <row r="12112" spans="1:22" s="841" customFormat="1" ht="15" x14ac:dyDescent="0.25">
      <c r="A12112" s="841" t="s">
        <v>245</v>
      </c>
      <c r="E12112" s="1694" t="s">
        <v>3079</v>
      </c>
      <c r="F12112" s="1690"/>
      <c r="G12112" s="1408"/>
      <c r="H12112" s="1408"/>
      <c r="K12112" s="841" t="s">
        <v>3080</v>
      </c>
      <c r="M12112" s="1357"/>
      <c r="Q12112" s="1357"/>
      <c r="S12112" s="1420"/>
      <c r="T12112" s="1420"/>
      <c r="V12112" s="1357">
        <v>48</v>
      </c>
    </row>
    <row r="12113" spans="1:22" s="841" customFormat="1" ht="15" x14ac:dyDescent="0.25">
      <c r="A12113" s="841" t="s">
        <v>245</v>
      </c>
      <c r="E12113" s="1690" t="s">
        <v>2449</v>
      </c>
      <c r="F12113" s="1690"/>
      <c r="G12113" s="1408" t="s">
        <v>24</v>
      </c>
      <c r="H12113" s="393">
        <v>3.2000000000000002E-3</v>
      </c>
      <c r="K12113" s="841" t="s">
        <v>3197</v>
      </c>
      <c r="L12113" s="841" t="s">
        <v>3046</v>
      </c>
      <c r="M12113" s="1357"/>
      <c r="P12113" s="841" t="s">
        <v>3210</v>
      </c>
      <c r="Q12113" s="1357"/>
      <c r="S12113" s="1420"/>
      <c r="T12113" s="1420"/>
      <c r="V12113" s="1357">
        <v>55</v>
      </c>
    </row>
    <row r="12114" spans="1:22" s="841" customFormat="1" ht="15" x14ac:dyDescent="0.25">
      <c r="A12114" s="841" t="s">
        <v>245</v>
      </c>
      <c r="E12114" s="1690" t="s">
        <v>2450</v>
      </c>
      <c r="F12114" s="1690"/>
      <c r="G12114" s="1408" t="s">
        <v>24</v>
      </c>
      <c r="H12114" s="393">
        <v>4.0000000000000002E-4</v>
      </c>
      <c r="K12114" s="841" t="s">
        <v>3197</v>
      </c>
      <c r="L12114" s="841" t="s">
        <v>3046</v>
      </c>
      <c r="M12114" s="1357"/>
      <c r="P12114" s="841" t="s">
        <v>3210</v>
      </c>
      <c r="Q12114" s="1357"/>
      <c r="S12114" s="1420"/>
      <c r="T12114" s="1420"/>
      <c r="V12114" s="1357">
        <v>65</v>
      </c>
    </row>
    <row r="12115" spans="1:22" s="841" customFormat="1" ht="15" x14ac:dyDescent="0.25">
      <c r="A12115" s="841" t="s">
        <v>245</v>
      </c>
      <c r="E12115" s="1690" t="s">
        <v>439</v>
      </c>
      <c r="F12115" s="1690"/>
      <c r="G12115" s="1408" t="s">
        <v>24</v>
      </c>
      <c r="H12115" s="393">
        <v>2.9999999999999997E-4</v>
      </c>
      <c r="K12115" s="841" t="s">
        <v>3197</v>
      </c>
      <c r="L12115" s="841" t="s">
        <v>3046</v>
      </c>
      <c r="M12115" s="1357"/>
      <c r="P12115" s="841" t="s">
        <v>3212</v>
      </c>
      <c r="Q12115" s="1357"/>
      <c r="S12115" s="1420"/>
      <c r="T12115" s="1420"/>
      <c r="V12115" s="1357">
        <v>57</v>
      </c>
    </row>
    <row r="12116" spans="1:22" s="841" customFormat="1" ht="15" x14ac:dyDescent="0.25">
      <c r="A12116" s="841" t="s">
        <v>245</v>
      </c>
      <c r="E12116" s="1690" t="s">
        <v>32</v>
      </c>
      <c r="F12116" s="1690"/>
      <c r="G12116" s="1408" t="s">
        <v>23</v>
      </c>
      <c r="H12116" s="1067">
        <v>0.25</v>
      </c>
      <c r="K12116" s="841" t="s">
        <v>3197</v>
      </c>
      <c r="L12116" s="841" t="s">
        <v>3046</v>
      </c>
      <c r="M12116" s="1357"/>
      <c r="P12116" s="841" t="s">
        <v>3213</v>
      </c>
      <c r="Q12116" s="1357"/>
      <c r="S12116" s="1420"/>
      <c r="T12116" s="1420"/>
      <c r="V12116" s="1357">
        <v>63</v>
      </c>
    </row>
    <row r="12117" spans="1:22" s="841" customFormat="1" x14ac:dyDescent="0.25">
      <c r="A12117" s="841" t="s">
        <v>245</v>
      </c>
      <c r="E12117" s="1909" t="s">
        <v>3214</v>
      </c>
      <c r="F12117" s="1915"/>
      <c r="G12117" s="1915"/>
      <c r="H12117" s="1915"/>
      <c r="K12117" s="841" t="s">
        <v>5110</v>
      </c>
      <c r="M12117" s="1357"/>
      <c r="Q12117" s="1357"/>
      <c r="S12117" s="1420"/>
      <c r="T12117" s="1420"/>
      <c r="V12117" s="1357">
        <v>54</v>
      </c>
    </row>
    <row r="12118" spans="1:22" s="841" customFormat="1" ht="15" x14ac:dyDescent="0.25">
      <c r="A12118" s="841" t="s">
        <v>245</v>
      </c>
      <c r="E12118" s="1689" t="s">
        <v>5878</v>
      </c>
      <c r="F12118" s="1689"/>
      <c r="G12118" s="1689"/>
      <c r="H12118" s="1689"/>
      <c r="K12118" s="841" t="s">
        <v>5110</v>
      </c>
      <c r="M12118" s="1357"/>
      <c r="Q12118" s="1357"/>
      <c r="S12118" s="1420"/>
      <c r="T12118" s="1420"/>
      <c r="V12118" s="1357">
        <v>991</v>
      </c>
    </row>
    <row r="12119" spans="1:22" s="841" customFormat="1" ht="15" x14ac:dyDescent="0.25">
      <c r="A12119" s="841" t="s">
        <v>245</v>
      </c>
      <c r="E12119" s="1916" t="s">
        <v>3061</v>
      </c>
      <c r="F12119" s="1697"/>
      <c r="G12119" s="1697"/>
      <c r="H12119" s="1697"/>
      <c r="K12119" s="841" t="s">
        <v>3086</v>
      </c>
      <c r="M12119" s="1357"/>
      <c r="Q12119" s="1357"/>
      <c r="S12119" s="1420"/>
      <c r="T12119" s="1420"/>
      <c r="V12119" s="1357">
        <v>11</v>
      </c>
    </row>
    <row r="12120" spans="1:22" s="841" customFormat="1" ht="15" x14ac:dyDescent="0.25">
      <c r="A12120" s="841" t="s">
        <v>245</v>
      </c>
      <c r="E12120" s="1689" t="s">
        <v>3063</v>
      </c>
      <c r="F12120" s="1689"/>
      <c r="G12120" s="1689"/>
      <c r="H12120" s="1689"/>
      <c r="K12120" s="841" t="s">
        <v>5110</v>
      </c>
      <c r="M12120" s="1357"/>
      <c r="Q12120" s="1357"/>
      <c r="S12120" s="1420"/>
      <c r="T12120" s="1420"/>
      <c r="V12120" s="1357">
        <v>280</v>
      </c>
    </row>
    <row r="12121" spans="1:22" s="841" customFormat="1" ht="15" x14ac:dyDescent="0.25">
      <c r="A12121" s="841" t="s">
        <v>245</v>
      </c>
      <c r="E12121" s="1689" t="s">
        <v>3064</v>
      </c>
      <c r="F12121" s="1689"/>
      <c r="G12121" s="1689"/>
      <c r="H12121" s="1689"/>
      <c r="K12121" s="841" t="s">
        <v>5110</v>
      </c>
      <c r="M12121" s="1357"/>
      <c r="Q12121" s="1357"/>
      <c r="S12121" s="1420"/>
      <c r="T12121" s="1420"/>
      <c r="V12121" s="1357">
        <v>411</v>
      </c>
    </row>
    <row r="12122" spans="1:22" s="841" customFormat="1" ht="15" x14ac:dyDescent="0.25">
      <c r="A12122" s="841" t="s">
        <v>245</v>
      </c>
      <c r="E12122" s="1689" t="s">
        <v>3199</v>
      </c>
      <c r="F12122" s="1689"/>
      <c r="G12122" s="1689"/>
      <c r="H12122" s="1689"/>
      <c r="K12122" s="841" t="s">
        <v>5110</v>
      </c>
      <c r="M12122" s="1357"/>
      <c r="Q12122" s="1357"/>
      <c r="S12122" s="1420"/>
      <c r="T12122" s="1420"/>
      <c r="V12122" s="1357">
        <v>386</v>
      </c>
    </row>
    <row r="12123" spans="1:22" s="841" customFormat="1" ht="15" x14ac:dyDescent="0.25">
      <c r="A12123" s="841" t="s">
        <v>245</v>
      </c>
      <c r="E12123" s="1689" t="s">
        <v>3200</v>
      </c>
      <c r="F12123" s="1689"/>
      <c r="G12123" s="1689"/>
      <c r="H12123" s="1689"/>
      <c r="K12123" s="841" t="s">
        <v>5110</v>
      </c>
      <c r="M12123" s="1357"/>
      <c r="Q12123" s="1357"/>
      <c r="S12123" s="1420"/>
      <c r="T12123" s="1420"/>
      <c r="V12123" s="1357">
        <v>275</v>
      </c>
    </row>
    <row r="12124" spans="1:22" s="841" customFormat="1" ht="15" x14ac:dyDescent="0.25">
      <c r="A12124" s="841" t="s">
        <v>245</v>
      </c>
      <c r="E12124" s="1694" t="s">
        <v>3067</v>
      </c>
      <c r="F12124" s="1907"/>
      <c r="G12124" s="1907"/>
      <c r="H12124" s="1907"/>
      <c r="K12124" s="841" t="s">
        <v>3087</v>
      </c>
      <c r="M12124" s="1357"/>
      <c r="Q12124" s="1357"/>
      <c r="S12124" s="1420"/>
      <c r="T12124" s="1420"/>
      <c r="V12124" s="1357">
        <v>46</v>
      </c>
    </row>
    <row r="12125" spans="1:22" s="841" customFormat="1" ht="15" x14ac:dyDescent="0.25">
      <c r="A12125" s="841" t="s">
        <v>245</v>
      </c>
      <c r="E12125" s="1690" t="s">
        <v>11</v>
      </c>
      <c r="F12125" s="1690"/>
      <c r="G12125" s="1408" t="s">
        <v>23</v>
      </c>
      <c r="H12125" s="391">
        <v>27.38</v>
      </c>
      <c r="K12125" s="841" t="s">
        <v>5110</v>
      </c>
      <c r="L12125" s="841" t="s">
        <v>442</v>
      </c>
      <c r="M12125" s="1357"/>
      <c r="P12125" s="841" t="s">
        <v>5111</v>
      </c>
      <c r="Q12125" s="1357"/>
      <c r="S12125" s="1420"/>
      <c r="T12125" s="1420"/>
      <c r="V12125" s="1357">
        <v>14</v>
      </c>
    </row>
    <row r="12126" spans="1:22" s="841" customFormat="1" ht="15" x14ac:dyDescent="0.25">
      <c r="A12126" s="841" t="s">
        <v>245</v>
      </c>
      <c r="E12126" s="1690" t="s">
        <v>5109</v>
      </c>
      <c r="F12126" s="1690"/>
      <c r="G12126" s="1408" t="s">
        <v>23</v>
      </c>
      <c r="H12126" s="391">
        <v>0.56999999999999995</v>
      </c>
      <c r="K12126" s="841" t="s">
        <v>5110</v>
      </c>
      <c r="L12126" s="841" t="s">
        <v>443</v>
      </c>
      <c r="M12126" s="1357"/>
      <c r="P12126" s="841" t="s">
        <v>5112</v>
      </c>
      <c r="Q12126" s="1357"/>
      <c r="S12126" s="1420"/>
      <c r="T12126" s="1420">
        <v>44926</v>
      </c>
      <c r="V12126" s="1357">
        <v>64</v>
      </c>
    </row>
    <row r="12127" spans="1:22" s="841" customFormat="1" ht="15" x14ac:dyDescent="0.25">
      <c r="A12127" s="841" t="s">
        <v>245</v>
      </c>
      <c r="E12127" s="1690" t="s">
        <v>84</v>
      </c>
      <c r="F12127" s="1690"/>
      <c r="G12127" s="1408" t="s">
        <v>24</v>
      </c>
      <c r="H12127" s="393">
        <v>1.78E-2</v>
      </c>
      <c r="K12127" s="841" t="s">
        <v>5110</v>
      </c>
      <c r="L12127" s="841" t="s">
        <v>442</v>
      </c>
      <c r="M12127" s="1357"/>
      <c r="P12127" s="841" t="s">
        <v>5113</v>
      </c>
      <c r="Q12127" s="1357"/>
      <c r="S12127" s="1420"/>
      <c r="T12127" s="1420"/>
      <c r="V12127" s="1357">
        <v>28</v>
      </c>
    </row>
    <row r="12128" spans="1:22" s="841" customFormat="1" ht="15" x14ac:dyDescent="0.25">
      <c r="A12128" s="841" t="s">
        <v>245</v>
      </c>
      <c r="E12128" s="1690" t="s">
        <v>5129</v>
      </c>
      <c r="F12128" s="1908"/>
      <c r="G12128" s="1408" t="s">
        <v>24</v>
      </c>
      <c r="H12128" s="393">
        <v>-1E-4</v>
      </c>
      <c r="K12128" s="841" t="s">
        <v>5110</v>
      </c>
      <c r="L12128" s="841" t="s">
        <v>443</v>
      </c>
      <c r="M12128" s="1357"/>
      <c r="P12128" s="841" t="s">
        <v>4818</v>
      </c>
      <c r="Q12128" s="1357"/>
      <c r="S12128" s="1420"/>
      <c r="T12128" s="1420">
        <v>43585</v>
      </c>
      <c r="V12128" s="1357">
        <v>139</v>
      </c>
    </row>
    <row r="12129" spans="1:22" s="841" customFormat="1" ht="15" x14ac:dyDescent="0.25">
      <c r="A12129" s="841" t="s">
        <v>245</v>
      </c>
      <c r="E12129" s="1690" t="s">
        <v>5130</v>
      </c>
      <c r="F12129" s="1908"/>
      <c r="G12129" s="1408" t="s">
        <v>24</v>
      </c>
      <c r="H12129" s="393">
        <v>-5.0000000000000001E-4</v>
      </c>
      <c r="K12129" s="841" t="s">
        <v>5110</v>
      </c>
      <c r="L12129" s="841" t="s">
        <v>443</v>
      </c>
      <c r="M12129" s="1357"/>
      <c r="P12129" s="841" t="s">
        <v>5124</v>
      </c>
      <c r="Q12129" s="1357"/>
      <c r="S12129" s="1420"/>
      <c r="T12129" s="1420">
        <v>43585</v>
      </c>
      <c r="V12129" s="1357">
        <v>96</v>
      </c>
    </row>
    <row r="12130" spans="1:22" s="841" customFormat="1" ht="15" x14ac:dyDescent="0.25">
      <c r="A12130" s="841" t="s">
        <v>245</v>
      </c>
      <c r="E12130" s="1690" t="s">
        <v>5424</v>
      </c>
      <c r="F12130" s="1908"/>
      <c r="G12130" s="1408" t="s">
        <v>24</v>
      </c>
      <c r="H12130" s="393">
        <v>-1E-4</v>
      </c>
      <c r="K12130" s="841" t="s">
        <v>5110</v>
      </c>
      <c r="L12130" s="841" t="s">
        <v>443</v>
      </c>
      <c r="M12130" s="1357"/>
      <c r="P12130" s="841" t="s">
        <v>5287</v>
      </c>
      <c r="Q12130" s="1357"/>
      <c r="S12130" s="1420"/>
      <c r="T12130" s="1420">
        <v>43585</v>
      </c>
      <c r="V12130" s="1357">
        <v>146</v>
      </c>
    </row>
    <row r="12131" spans="1:22" s="841" customFormat="1" ht="15" x14ac:dyDescent="0.25">
      <c r="A12131" s="841" t="s">
        <v>245</v>
      </c>
      <c r="E12131" s="1690" t="s">
        <v>221</v>
      </c>
      <c r="F12131" s="1690"/>
      <c r="G12131" s="1408" t="s">
        <v>24</v>
      </c>
      <c r="H12131" s="393">
        <v>5.7000000000000002E-3</v>
      </c>
      <c r="K12131" s="841" t="s">
        <v>5110</v>
      </c>
      <c r="L12131" s="841" t="s">
        <v>444</v>
      </c>
      <c r="M12131" s="1357"/>
      <c r="P12131" s="841" t="s">
        <v>5115</v>
      </c>
      <c r="Q12131" s="1357"/>
      <c r="S12131" s="1420"/>
      <c r="T12131" s="1420"/>
      <c r="V12131" s="1357">
        <v>47</v>
      </c>
    </row>
    <row r="12132" spans="1:22" s="841" customFormat="1" ht="15" x14ac:dyDescent="0.25">
      <c r="A12132" s="841" t="s">
        <v>245</v>
      </c>
      <c r="E12132" s="1690" t="s">
        <v>217</v>
      </c>
      <c r="F12132" s="1690"/>
      <c r="G12132" s="1408" t="s">
        <v>24</v>
      </c>
      <c r="H12132" s="393">
        <v>4.8999999999999998E-3</v>
      </c>
      <c r="K12132" s="841" t="s">
        <v>5110</v>
      </c>
      <c r="L12132" s="841" t="s">
        <v>444</v>
      </c>
      <c r="M12132" s="1357"/>
      <c r="P12132" s="841" t="s">
        <v>5116</v>
      </c>
      <c r="Q12132" s="1357"/>
      <c r="S12132" s="1420"/>
      <c r="T12132" s="1420"/>
      <c r="V12132" s="1357">
        <v>74</v>
      </c>
    </row>
    <row r="12133" spans="1:22" s="841" customFormat="1" ht="15" x14ac:dyDescent="0.25">
      <c r="A12133" s="841" t="s">
        <v>245</v>
      </c>
      <c r="E12133" s="1694" t="s">
        <v>3079</v>
      </c>
      <c r="F12133" s="1690"/>
      <c r="G12133" s="1408"/>
      <c r="H12133" s="1408"/>
      <c r="K12133" s="841" t="s">
        <v>3093</v>
      </c>
      <c r="M12133" s="1357"/>
      <c r="Q12133" s="1357"/>
      <c r="S12133" s="1420"/>
      <c r="T12133" s="1420"/>
      <c r="V12133" s="1357">
        <v>48</v>
      </c>
    </row>
    <row r="12134" spans="1:22" s="841" customFormat="1" ht="15" x14ac:dyDescent="0.25">
      <c r="A12134" s="841" t="s">
        <v>245</v>
      </c>
      <c r="E12134" s="1690" t="s">
        <v>2449</v>
      </c>
      <c r="F12134" s="1690"/>
      <c r="G12134" s="1408" t="s">
        <v>24</v>
      </c>
      <c r="H12134" s="393">
        <v>3.2000000000000002E-3</v>
      </c>
      <c r="K12134" s="841" t="s">
        <v>5110</v>
      </c>
      <c r="L12134" s="841" t="s">
        <v>3046</v>
      </c>
      <c r="M12134" s="1357"/>
      <c r="P12134" s="841" t="s">
        <v>5117</v>
      </c>
      <c r="Q12134" s="1357"/>
      <c r="S12134" s="1420"/>
      <c r="T12134" s="1420"/>
      <c r="V12134" s="1357">
        <v>55</v>
      </c>
    </row>
    <row r="12135" spans="1:22" s="841" customFormat="1" ht="15" x14ac:dyDescent="0.25">
      <c r="A12135" s="841" t="s">
        <v>245</v>
      </c>
      <c r="E12135" s="1690" t="s">
        <v>2450</v>
      </c>
      <c r="F12135" s="1690"/>
      <c r="G12135" s="1408" t="s">
        <v>24</v>
      </c>
      <c r="H12135" s="393">
        <v>4.0000000000000002E-4</v>
      </c>
      <c r="K12135" s="841" t="s">
        <v>5110</v>
      </c>
      <c r="L12135" s="841" t="s">
        <v>3046</v>
      </c>
      <c r="M12135" s="1357"/>
      <c r="P12135" s="841" t="s">
        <v>5117</v>
      </c>
      <c r="Q12135" s="1357"/>
      <c r="S12135" s="1420"/>
      <c r="T12135" s="1420"/>
      <c r="V12135" s="1357">
        <v>65</v>
      </c>
    </row>
    <row r="12136" spans="1:22" s="841" customFormat="1" ht="15" x14ac:dyDescent="0.25">
      <c r="A12136" s="841" t="s">
        <v>245</v>
      </c>
      <c r="E12136" s="1690" t="s">
        <v>439</v>
      </c>
      <c r="F12136" s="1690"/>
      <c r="G12136" s="1408" t="s">
        <v>24</v>
      </c>
      <c r="H12136" s="393">
        <v>2.9999999999999997E-4</v>
      </c>
      <c r="K12136" s="841" t="s">
        <v>5110</v>
      </c>
      <c r="L12136" s="841" t="s">
        <v>3046</v>
      </c>
      <c r="M12136" s="1357"/>
      <c r="P12136" s="841" t="s">
        <v>5118</v>
      </c>
      <c r="Q12136" s="1357"/>
      <c r="S12136" s="1420"/>
      <c r="T12136" s="1420"/>
      <c r="V12136" s="1357">
        <v>57</v>
      </c>
    </row>
    <row r="12137" spans="1:22" s="841" customFormat="1" ht="15" x14ac:dyDescent="0.25">
      <c r="A12137" s="841" t="s">
        <v>245</v>
      </c>
      <c r="E12137" s="1690" t="s">
        <v>32</v>
      </c>
      <c r="F12137" s="1690"/>
      <c r="G12137" s="1408" t="s">
        <v>23</v>
      </c>
      <c r="H12137" s="391">
        <v>0.25</v>
      </c>
      <c r="K12137" s="841" t="s">
        <v>5110</v>
      </c>
      <c r="L12137" s="841" t="s">
        <v>3046</v>
      </c>
      <c r="M12137" s="1357"/>
      <c r="P12137" s="841" t="s">
        <v>5119</v>
      </c>
      <c r="Q12137" s="1357"/>
      <c r="S12137" s="1420"/>
      <c r="T12137" s="1420"/>
      <c r="V12137" s="1357">
        <v>63</v>
      </c>
    </row>
    <row r="12138" spans="1:22" s="841" customFormat="1" x14ac:dyDescent="0.25">
      <c r="A12138" s="841" t="s">
        <v>245</v>
      </c>
      <c r="E12138" s="1909" t="s">
        <v>3216</v>
      </c>
      <c r="F12138" s="1915"/>
      <c r="G12138" s="1915"/>
      <c r="H12138" s="1915"/>
      <c r="K12138" s="841" t="s">
        <v>5180</v>
      </c>
      <c r="M12138" s="1357"/>
      <c r="Q12138" s="1357"/>
      <c r="S12138" s="1420"/>
      <c r="T12138" s="1420"/>
      <c r="V12138" s="1357">
        <v>51</v>
      </c>
    </row>
    <row r="12139" spans="1:22" s="841" customFormat="1" ht="15" x14ac:dyDescent="0.25">
      <c r="A12139" s="841" t="s">
        <v>245</v>
      </c>
      <c r="E12139" s="1689" t="s">
        <v>5878</v>
      </c>
      <c r="F12139" s="1689"/>
      <c r="G12139" s="1689"/>
      <c r="H12139" s="1689"/>
      <c r="K12139" s="841" t="s">
        <v>5180</v>
      </c>
      <c r="M12139" s="1357"/>
      <c r="Q12139" s="1357"/>
      <c r="S12139" s="1420"/>
      <c r="T12139" s="1420"/>
      <c r="V12139" s="1357">
        <v>991</v>
      </c>
    </row>
    <row r="12140" spans="1:22" s="841" customFormat="1" ht="15" x14ac:dyDescent="0.25">
      <c r="A12140" s="841" t="s">
        <v>245</v>
      </c>
      <c r="E12140" s="1916" t="s">
        <v>3061</v>
      </c>
      <c r="F12140" s="1697"/>
      <c r="G12140" s="1697"/>
      <c r="H12140" s="1697"/>
      <c r="K12140" s="841" t="s">
        <v>3098</v>
      </c>
      <c r="M12140" s="1357"/>
      <c r="Q12140" s="1357"/>
      <c r="S12140" s="1420"/>
      <c r="T12140" s="1420"/>
      <c r="V12140" s="1357">
        <v>11</v>
      </c>
    </row>
    <row r="12141" spans="1:22" s="841" customFormat="1" ht="15" x14ac:dyDescent="0.25">
      <c r="A12141" s="841" t="s">
        <v>245</v>
      </c>
      <c r="E12141" s="1689" t="s">
        <v>3063</v>
      </c>
      <c r="F12141" s="1689"/>
      <c r="G12141" s="1689"/>
      <c r="H12141" s="1689"/>
      <c r="K12141" s="841" t="s">
        <v>5180</v>
      </c>
      <c r="M12141" s="1357"/>
      <c r="Q12141" s="1357"/>
      <c r="S12141" s="1420"/>
      <c r="T12141" s="1420"/>
      <c r="V12141" s="1357">
        <v>280</v>
      </c>
    </row>
    <row r="12142" spans="1:22" s="841" customFormat="1" ht="15" x14ac:dyDescent="0.25">
      <c r="A12142" s="841" t="s">
        <v>245</v>
      </c>
      <c r="E12142" s="1689" t="s">
        <v>3064</v>
      </c>
      <c r="F12142" s="1689"/>
      <c r="G12142" s="1689"/>
      <c r="H12142" s="1689"/>
      <c r="K12142" s="841" t="s">
        <v>5180</v>
      </c>
      <c r="M12142" s="1357"/>
      <c r="Q12142" s="1357"/>
      <c r="S12142" s="1420"/>
      <c r="T12142" s="1420"/>
      <c r="V12142" s="1357">
        <v>411</v>
      </c>
    </row>
    <row r="12143" spans="1:22" s="841" customFormat="1" ht="15" x14ac:dyDescent="0.25">
      <c r="A12143" s="841" t="s">
        <v>245</v>
      </c>
      <c r="E12143" s="1689" t="s">
        <v>3199</v>
      </c>
      <c r="F12143" s="1689"/>
      <c r="G12143" s="1689"/>
      <c r="H12143" s="1689"/>
      <c r="K12143" s="841" t="s">
        <v>5180</v>
      </c>
      <c r="M12143" s="1357"/>
      <c r="Q12143" s="1357"/>
      <c r="S12143" s="1420"/>
      <c r="T12143" s="1420"/>
      <c r="V12143" s="1357">
        <v>386</v>
      </c>
    </row>
    <row r="12144" spans="1:22" s="841" customFormat="1" ht="15" x14ac:dyDescent="0.25">
      <c r="A12144" s="841" t="s">
        <v>245</v>
      </c>
      <c r="E12144" s="2104" t="s">
        <v>3627</v>
      </c>
      <c r="F12144" s="2104"/>
      <c r="G12144" s="2104"/>
      <c r="H12144" s="2104"/>
      <c r="K12144" s="841" t="s">
        <v>5180</v>
      </c>
      <c r="M12144" s="1357"/>
      <c r="Q12144" s="1357"/>
      <c r="S12144" s="1420"/>
      <c r="T12144" s="1420"/>
      <c r="V12144" s="1357">
        <v>610</v>
      </c>
    </row>
    <row r="12145" spans="1:22" s="841" customFormat="1" ht="15" x14ac:dyDescent="0.25">
      <c r="A12145" s="841" t="s">
        <v>245</v>
      </c>
      <c r="E12145" s="2104" t="s">
        <v>3569</v>
      </c>
      <c r="F12145" s="2104"/>
      <c r="G12145" s="2104"/>
      <c r="H12145" s="2104"/>
      <c r="K12145" s="841" t="s">
        <v>5180</v>
      </c>
      <c r="M12145" s="1357"/>
      <c r="Q12145" s="1357"/>
      <c r="S12145" s="1420"/>
      <c r="T12145" s="1420"/>
      <c r="V12145" s="1357">
        <v>626</v>
      </c>
    </row>
    <row r="12146" spans="1:22" s="841" customFormat="1" ht="15" x14ac:dyDescent="0.25">
      <c r="A12146" s="841" t="s">
        <v>245</v>
      </c>
      <c r="E12146" s="1689" t="s">
        <v>3200</v>
      </c>
      <c r="F12146" s="1689"/>
      <c r="G12146" s="1689"/>
      <c r="H12146" s="1689"/>
      <c r="K12146" s="841" t="s">
        <v>5180</v>
      </c>
      <c r="M12146" s="1357"/>
      <c r="Q12146" s="1357"/>
      <c r="S12146" s="1420"/>
      <c r="T12146" s="1420"/>
      <c r="V12146" s="1357">
        <v>275</v>
      </c>
    </row>
    <row r="12147" spans="1:22" s="841" customFormat="1" ht="15" x14ac:dyDescent="0.25">
      <c r="A12147" s="841" t="s">
        <v>245</v>
      </c>
      <c r="E12147" s="1694" t="s">
        <v>3067</v>
      </c>
      <c r="F12147" s="1907"/>
      <c r="G12147" s="1907"/>
      <c r="H12147" s="1907"/>
      <c r="K12147" s="841" t="s">
        <v>3099</v>
      </c>
      <c r="M12147" s="1357"/>
      <c r="Q12147" s="1357"/>
      <c r="S12147" s="1420"/>
      <c r="T12147" s="1420"/>
      <c r="V12147" s="1357">
        <v>46</v>
      </c>
    </row>
    <row r="12148" spans="1:22" s="841" customFormat="1" ht="15" x14ac:dyDescent="0.25">
      <c r="A12148" s="841" t="s">
        <v>245</v>
      </c>
      <c r="E12148" s="1690" t="s">
        <v>11</v>
      </c>
      <c r="F12148" s="1690"/>
      <c r="G12148" s="1408" t="s">
        <v>23</v>
      </c>
      <c r="H12148" s="391">
        <v>206.08</v>
      </c>
      <c r="K12148" s="841" t="s">
        <v>5180</v>
      </c>
      <c r="L12148" s="841" t="s">
        <v>442</v>
      </c>
      <c r="M12148" s="1357"/>
      <c r="P12148" s="841" t="s">
        <v>5181</v>
      </c>
      <c r="Q12148" s="1357"/>
      <c r="S12148" s="1420"/>
      <c r="T12148" s="1420"/>
      <c r="V12148" s="1357">
        <v>14</v>
      </c>
    </row>
    <row r="12149" spans="1:22" s="841" customFormat="1" ht="15" x14ac:dyDescent="0.25">
      <c r="A12149" s="841" t="s">
        <v>245</v>
      </c>
      <c r="E12149" s="1690" t="s">
        <v>84</v>
      </c>
      <c r="F12149" s="1690"/>
      <c r="G12149" s="1408" t="s">
        <v>33</v>
      </c>
      <c r="H12149" s="393">
        <v>3.3504999999999998</v>
      </c>
      <c r="K12149" s="841" t="s">
        <v>5180</v>
      </c>
      <c r="L12149" s="841" t="s">
        <v>442</v>
      </c>
      <c r="M12149" s="1357"/>
      <c r="P12149" s="841" t="s">
        <v>5182</v>
      </c>
      <c r="Q12149" s="1357"/>
      <c r="S12149" s="1420"/>
      <c r="T12149" s="1420"/>
      <c r="V12149" s="1357">
        <v>28</v>
      </c>
    </row>
    <row r="12150" spans="1:22" s="841" customFormat="1" ht="15" x14ac:dyDescent="0.25">
      <c r="A12150" s="841" t="s">
        <v>245</v>
      </c>
      <c r="E12150" s="1690" t="s">
        <v>5129</v>
      </c>
      <c r="F12150" s="1908"/>
      <c r="G12150" s="1408" t="s">
        <v>24</v>
      </c>
      <c r="H12150" s="393">
        <v>-1E-4</v>
      </c>
      <c r="K12150" s="841" t="s">
        <v>5180</v>
      </c>
      <c r="L12150" s="841" t="s">
        <v>443</v>
      </c>
      <c r="M12150" s="1357"/>
      <c r="P12150" s="841" t="s">
        <v>5461</v>
      </c>
      <c r="Q12150" s="1357"/>
      <c r="S12150" s="1420"/>
      <c r="T12150" s="1420">
        <v>43585</v>
      </c>
      <c r="V12150" s="1357">
        <v>139</v>
      </c>
    </row>
    <row r="12151" spans="1:22" s="841" customFormat="1" ht="15" x14ac:dyDescent="0.25">
      <c r="A12151" s="841" t="s">
        <v>245</v>
      </c>
      <c r="E12151" s="1690" t="s">
        <v>5130</v>
      </c>
      <c r="F12151" s="1908"/>
      <c r="G12151" s="1408" t="s">
        <v>33</v>
      </c>
      <c r="H12151" s="393">
        <v>-0.2848</v>
      </c>
      <c r="K12151" s="841" t="s">
        <v>5180</v>
      </c>
      <c r="L12151" s="841" t="s">
        <v>443</v>
      </c>
      <c r="M12151" s="1357"/>
      <c r="P12151" s="841" t="s">
        <v>5463</v>
      </c>
      <c r="Q12151" s="1357"/>
      <c r="S12151" s="1420"/>
      <c r="T12151" s="1420">
        <v>43585</v>
      </c>
      <c r="V12151" s="1357">
        <v>96</v>
      </c>
    </row>
    <row r="12152" spans="1:22" s="841" customFormat="1" ht="15" x14ac:dyDescent="0.25">
      <c r="A12152" s="841" t="s">
        <v>245</v>
      </c>
      <c r="E12152" s="1690" t="s">
        <v>5424</v>
      </c>
      <c r="F12152" s="1908"/>
      <c r="G12152" s="1408" t="s">
        <v>33</v>
      </c>
      <c r="H12152" s="393">
        <v>-2.9600000000000001E-2</v>
      </c>
      <c r="K12152" s="841" t="s">
        <v>5180</v>
      </c>
      <c r="L12152" s="841" t="s">
        <v>443</v>
      </c>
      <c r="M12152" s="1357"/>
      <c r="P12152" s="841" t="s">
        <v>5464</v>
      </c>
      <c r="Q12152" s="1357"/>
      <c r="S12152" s="1420"/>
      <c r="T12152" s="1420">
        <v>43585</v>
      </c>
      <c r="V12152" s="1357">
        <v>146</v>
      </c>
    </row>
    <row r="12153" spans="1:22" s="841" customFormat="1" ht="15" x14ac:dyDescent="0.25">
      <c r="A12153" s="841" t="s">
        <v>245</v>
      </c>
      <c r="E12153" s="1690" t="s">
        <v>221</v>
      </c>
      <c r="F12153" s="1690"/>
      <c r="G12153" s="1408" t="s">
        <v>33</v>
      </c>
      <c r="H12153" s="393">
        <v>2.2435999999999998</v>
      </c>
      <c r="K12153" s="841" t="s">
        <v>5180</v>
      </c>
      <c r="L12153" s="841" t="s">
        <v>444</v>
      </c>
      <c r="M12153" s="1357"/>
      <c r="P12153" s="841" t="s">
        <v>5184</v>
      </c>
      <c r="Q12153" s="1357"/>
      <c r="S12153" s="1420"/>
      <c r="T12153" s="1420"/>
      <c r="V12153" s="1357">
        <v>47</v>
      </c>
    </row>
    <row r="12154" spans="1:22" s="841" customFormat="1" ht="15" x14ac:dyDescent="0.25">
      <c r="A12154" s="841" t="s">
        <v>245</v>
      </c>
      <c r="E12154" s="1690" t="s">
        <v>3628</v>
      </c>
      <c r="F12154" s="1690"/>
      <c r="G12154" s="1408" t="s">
        <v>33</v>
      </c>
      <c r="H12154" s="393">
        <v>1.8597999999999999</v>
      </c>
      <c r="K12154" s="841" t="s">
        <v>5180</v>
      </c>
      <c r="L12154" s="841" t="s">
        <v>444</v>
      </c>
      <c r="M12154" s="1357"/>
      <c r="P12154" s="841" t="s">
        <v>5879</v>
      </c>
      <c r="Q12154" s="1357"/>
      <c r="S12154" s="1420"/>
      <c r="T12154" s="1420"/>
      <c r="V12154" s="1357">
        <v>75</v>
      </c>
    </row>
    <row r="12155" spans="1:22" s="841" customFormat="1" ht="15" x14ac:dyDescent="0.25">
      <c r="A12155" s="841" t="s">
        <v>245</v>
      </c>
      <c r="E12155" s="1690" t="s">
        <v>223</v>
      </c>
      <c r="F12155" s="1690"/>
      <c r="G12155" s="1408" t="s">
        <v>33</v>
      </c>
      <c r="H12155" s="393">
        <v>2.3799000000000001</v>
      </c>
      <c r="K12155" s="841" t="s">
        <v>5180</v>
      </c>
      <c r="L12155" s="841" t="s">
        <v>444</v>
      </c>
      <c r="M12155" s="1357"/>
      <c r="P12155" s="841" t="s">
        <v>5465</v>
      </c>
      <c r="Q12155" s="1357"/>
      <c r="S12155" s="1420"/>
      <c r="T12155" s="1420"/>
      <c r="V12155" s="1357">
        <v>66</v>
      </c>
    </row>
    <row r="12156" spans="1:22" s="841" customFormat="1" ht="15" x14ac:dyDescent="0.25">
      <c r="A12156" s="841" t="s">
        <v>245</v>
      </c>
      <c r="E12156" s="1690" t="s">
        <v>4822</v>
      </c>
      <c r="F12156" s="1690"/>
      <c r="G12156" s="1408" t="s">
        <v>33</v>
      </c>
      <c r="H12156" s="393">
        <v>2.0556999999999999</v>
      </c>
      <c r="K12156" s="841" t="s">
        <v>5180</v>
      </c>
      <c r="L12156" s="841" t="s">
        <v>444</v>
      </c>
      <c r="M12156" s="1357"/>
      <c r="P12156" s="841" t="s">
        <v>5880</v>
      </c>
      <c r="Q12156" s="1357"/>
      <c r="S12156" s="1420"/>
      <c r="T12156" s="1420"/>
      <c r="V12156" s="1357">
        <v>94</v>
      </c>
    </row>
    <row r="12157" spans="1:22" s="841" customFormat="1" ht="15" x14ac:dyDescent="0.25">
      <c r="A12157" s="841" t="s">
        <v>245</v>
      </c>
      <c r="E12157" s="1694" t="s">
        <v>3079</v>
      </c>
      <c r="F12157" s="1690"/>
      <c r="G12157" s="1408"/>
      <c r="H12157" s="1408"/>
      <c r="K12157" s="841" t="s">
        <v>3218</v>
      </c>
      <c r="M12157" s="1357"/>
      <c r="Q12157" s="1357"/>
      <c r="S12157" s="1420"/>
      <c r="T12157" s="1420"/>
      <c r="V12157" s="1357">
        <v>48</v>
      </c>
    </row>
    <row r="12158" spans="1:22" s="841" customFormat="1" ht="15" x14ac:dyDescent="0.25">
      <c r="A12158" s="841" t="s">
        <v>245</v>
      </c>
      <c r="E12158" s="1690" t="s">
        <v>2449</v>
      </c>
      <c r="F12158" s="1690"/>
      <c r="G12158" s="1408" t="s">
        <v>24</v>
      </c>
      <c r="H12158" s="393">
        <v>3.2000000000000002E-3</v>
      </c>
      <c r="K12158" s="841" t="s">
        <v>5180</v>
      </c>
      <c r="L12158" s="841" t="s">
        <v>3046</v>
      </c>
      <c r="M12158" s="1357"/>
      <c r="P12158" s="841" t="s">
        <v>5186</v>
      </c>
      <c r="Q12158" s="1357"/>
      <c r="S12158" s="1420"/>
      <c r="T12158" s="1420"/>
      <c r="V12158" s="1357">
        <v>55</v>
      </c>
    </row>
    <row r="12159" spans="1:22" s="841" customFormat="1" ht="15" x14ac:dyDescent="0.25">
      <c r="A12159" s="841" t="s">
        <v>245</v>
      </c>
      <c r="E12159" s="1690" t="s">
        <v>2450</v>
      </c>
      <c r="F12159" s="1690"/>
      <c r="G12159" s="1408" t="s">
        <v>24</v>
      </c>
      <c r="H12159" s="393">
        <v>4.0000000000000002E-4</v>
      </c>
      <c r="K12159" s="841" t="s">
        <v>5180</v>
      </c>
      <c r="L12159" s="841" t="s">
        <v>3046</v>
      </c>
      <c r="M12159" s="1357"/>
      <c r="P12159" s="841" t="s">
        <v>5186</v>
      </c>
      <c r="Q12159" s="1357"/>
      <c r="S12159" s="1420"/>
      <c r="T12159" s="1420"/>
      <c r="V12159" s="1357">
        <v>65</v>
      </c>
    </row>
    <row r="12160" spans="1:22" s="841" customFormat="1" ht="15" x14ac:dyDescent="0.25">
      <c r="A12160" s="841" t="s">
        <v>245</v>
      </c>
      <c r="E12160" s="1690" t="s">
        <v>439</v>
      </c>
      <c r="F12160" s="1690"/>
      <c r="G12160" s="1408" t="s">
        <v>24</v>
      </c>
      <c r="H12160" s="393">
        <v>2.9999999999999997E-4</v>
      </c>
      <c r="K12160" s="841" t="s">
        <v>5180</v>
      </c>
      <c r="L12160" s="841" t="s">
        <v>3046</v>
      </c>
      <c r="M12160" s="1357"/>
      <c r="P12160" s="841" t="s">
        <v>5187</v>
      </c>
      <c r="Q12160" s="1357"/>
      <c r="S12160" s="1420"/>
      <c r="T12160" s="1420"/>
      <c r="V12160" s="1357">
        <v>57</v>
      </c>
    </row>
    <row r="12161" spans="1:22" s="841" customFormat="1" ht="15" x14ac:dyDescent="0.25">
      <c r="A12161" s="841" t="s">
        <v>245</v>
      </c>
      <c r="E12161" s="1690" t="s">
        <v>32</v>
      </c>
      <c r="F12161" s="1690"/>
      <c r="G12161" s="1408" t="s">
        <v>23</v>
      </c>
      <c r="H12161" s="391">
        <v>0.25</v>
      </c>
      <c r="K12161" s="841" t="s">
        <v>5180</v>
      </c>
      <c r="L12161" s="841" t="s">
        <v>3046</v>
      </c>
      <c r="M12161" s="1357"/>
      <c r="P12161" s="841" t="s">
        <v>5188</v>
      </c>
      <c r="Q12161" s="1357"/>
      <c r="S12161" s="1420"/>
      <c r="T12161" s="1420"/>
      <c r="V12161" s="1357">
        <v>63</v>
      </c>
    </row>
    <row r="12162" spans="1:22" s="841" customFormat="1" ht="15" x14ac:dyDescent="0.25">
      <c r="A12162" s="841" t="s">
        <v>245</v>
      </c>
      <c r="E12162" s="1909" t="s">
        <v>5095</v>
      </c>
      <c r="F12162" s="1689"/>
      <c r="G12162" s="1689"/>
      <c r="H12162" s="1689"/>
      <c r="K12162" s="841" t="s">
        <v>5881</v>
      </c>
      <c r="M12162" s="1357"/>
      <c r="Q12162" s="1357"/>
      <c r="S12162" s="1420"/>
      <c r="T12162" s="1420"/>
      <c r="V12162" s="1357">
        <v>58</v>
      </c>
    </row>
    <row r="12163" spans="1:22" s="841" customFormat="1" ht="15" x14ac:dyDescent="0.25">
      <c r="A12163" s="841" t="s">
        <v>245</v>
      </c>
      <c r="E12163" s="1689" t="s">
        <v>4764</v>
      </c>
      <c r="F12163" s="1689"/>
      <c r="G12163" s="1689"/>
      <c r="H12163" s="1689"/>
      <c r="K12163" s="841" t="s">
        <v>5881</v>
      </c>
      <c r="M12163" s="1357"/>
      <c r="Q12163" s="1357"/>
      <c r="S12163" s="1420"/>
      <c r="T12163" s="1420"/>
      <c r="V12163" s="1357">
        <v>357</v>
      </c>
    </row>
    <row r="12164" spans="1:22" s="841" customFormat="1" ht="15" x14ac:dyDescent="0.25">
      <c r="A12164" s="841" t="s">
        <v>245</v>
      </c>
      <c r="E12164" s="1916" t="s">
        <v>3061</v>
      </c>
      <c r="F12164" s="1697"/>
      <c r="G12164" s="1697"/>
      <c r="H12164" s="1697"/>
      <c r="K12164" s="841" t="s">
        <v>3221</v>
      </c>
      <c r="M12164" s="1357"/>
      <c r="Q12164" s="1357"/>
      <c r="S12164" s="1420"/>
      <c r="T12164" s="1420"/>
      <c r="V12164" s="1357">
        <v>11</v>
      </c>
    </row>
    <row r="12165" spans="1:22" s="841" customFormat="1" ht="15" x14ac:dyDescent="0.25">
      <c r="A12165" s="841" t="s">
        <v>245</v>
      </c>
      <c r="E12165" s="1689" t="s">
        <v>3063</v>
      </c>
      <c r="F12165" s="1689"/>
      <c r="G12165" s="1689"/>
      <c r="H12165" s="1689"/>
      <c r="K12165" s="841" t="s">
        <v>5881</v>
      </c>
      <c r="M12165" s="1357"/>
      <c r="Q12165" s="1357"/>
      <c r="S12165" s="1420"/>
      <c r="T12165" s="1420"/>
      <c r="V12165" s="1357">
        <v>280</v>
      </c>
    </row>
    <row r="12166" spans="1:22" s="841" customFormat="1" ht="15" x14ac:dyDescent="0.25">
      <c r="A12166" s="841" t="s">
        <v>245</v>
      </c>
      <c r="E12166" s="1689" t="s">
        <v>3064</v>
      </c>
      <c r="F12166" s="1689"/>
      <c r="G12166" s="1689"/>
      <c r="H12166" s="1689"/>
      <c r="K12166" s="841" t="s">
        <v>5881</v>
      </c>
      <c r="M12166" s="1357"/>
      <c r="Q12166" s="1357"/>
      <c r="S12166" s="1420"/>
      <c r="T12166" s="1420"/>
      <c r="V12166" s="1357">
        <v>411</v>
      </c>
    </row>
    <row r="12167" spans="1:22" s="841" customFormat="1" ht="15" x14ac:dyDescent="0.25">
      <c r="A12167" s="841" t="s">
        <v>245</v>
      </c>
      <c r="E12167" s="1689" t="s">
        <v>3199</v>
      </c>
      <c r="F12167" s="1689"/>
      <c r="G12167" s="1689"/>
      <c r="H12167" s="1689"/>
      <c r="K12167" s="841" t="s">
        <v>5881</v>
      </c>
      <c r="M12167" s="1357"/>
      <c r="Q12167" s="1357"/>
      <c r="S12167" s="1420"/>
      <c r="T12167" s="1420"/>
      <c r="V12167" s="1357">
        <v>386</v>
      </c>
    </row>
    <row r="12168" spans="1:22" s="841" customFormat="1" ht="15" x14ac:dyDescent="0.25">
      <c r="A12168" s="841" t="s">
        <v>245</v>
      </c>
      <c r="E12168" s="2104" t="s">
        <v>3627</v>
      </c>
      <c r="F12168" s="2104"/>
      <c r="G12168" s="2104"/>
      <c r="H12168" s="2104"/>
      <c r="K12168" s="841" t="s">
        <v>5881</v>
      </c>
      <c r="M12168" s="1357"/>
      <c r="Q12168" s="1357"/>
      <c r="S12168" s="1420"/>
      <c r="T12168" s="1420"/>
      <c r="V12168" s="1357">
        <v>610</v>
      </c>
    </row>
    <row r="12169" spans="1:22" s="841" customFormat="1" ht="15" x14ac:dyDescent="0.25">
      <c r="A12169" s="841" t="s">
        <v>245</v>
      </c>
      <c r="E12169" s="2104" t="s">
        <v>3569</v>
      </c>
      <c r="F12169" s="2104"/>
      <c r="G12169" s="2104"/>
      <c r="H12169" s="2104"/>
      <c r="K12169" s="841" t="s">
        <v>5881</v>
      </c>
      <c r="M12169" s="1357"/>
      <c r="Q12169" s="1357"/>
      <c r="S12169" s="1420"/>
      <c r="T12169" s="1420"/>
      <c r="V12169" s="1357">
        <v>626</v>
      </c>
    </row>
    <row r="12170" spans="1:22" s="841" customFormat="1" ht="15" x14ac:dyDescent="0.25">
      <c r="A12170" s="841" t="s">
        <v>245</v>
      </c>
      <c r="E12170" s="1689" t="s">
        <v>3200</v>
      </c>
      <c r="F12170" s="1689"/>
      <c r="G12170" s="1689"/>
      <c r="H12170" s="1689"/>
      <c r="K12170" s="841" t="s">
        <v>5881</v>
      </c>
      <c r="M12170" s="1357"/>
      <c r="Q12170" s="1357"/>
      <c r="S12170" s="1420"/>
      <c r="T12170" s="1420"/>
      <c r="V12170" s="1357">
        <v>275</v>
      </c>
    </row>
    <row r="12171" spans="1:22" s="841" customFormat="1" ht="15" x14ac:dyDescent="0.25">
      <c r="A12171" s="841" t="s">
        <v>245</v>
      </c>
      <c r="E12171" s="1694" t="s">
        <v>3067</v>
      </c>
      <c r="F12171" s="1907"/>
      <c r="G12171" s="1907"/>
      <c r="H12171" s="1907"/>
      <c r="K12171" s="841" t="s">
        <v>3224</v>
      </c>
      <c r="M12171" s="1357"/>
      <c r="Q12171" s="1357"/>
      <c r="S12171" s="1420"/>
      <c r="T12171" s="1420"/>
      <c r="V12171" s="1357">
        <v>46</v>
      </c>
    </row>
    <row r="12172" spans="1:22" s="841" customFormat="1" ht="15" x14ac:dyDescent="0.25">
      <c r="A12172" s="841" t="s">
        <v>245</v>
      </c>
      <c r="E12172" s="1690" t="s">
        <v>11</v>
      </c>
      <c r="F12172" s="1690"/>
      <c r="G12172" s="1408" t="s">
        <v>23</v>
      </c>
      <c r="H12172" s="391">
        <v>2948.48</v>
      </c>
      <c r="K12172" s="841" t="s">
        <v>5881</v>
      </c>
      <c r="L12172" s="841" t="s">
        <v>442</v>
      </c>
      <c r="M12172" s="1357"/>
      <c r="P12172" s="841" t="s">
        <v>5882</v>
      </c>
      <c r="Q12172" s="1357"/>
      <c r="S12172" s="1420"/>
      <c r="T12172" s="1420"/>
      <c r="V12172" s="1357">
        <v>14</v>
      </c>
    </row>
    <row r="12173" spans="1:22" s="841" customFormat="1" ht="15" x14ac:dyDescent="0.25">
      <c r="A12173" s="841" t="s">
        <v>245</v>
      </c>
      <c r="E12173" s="1690" t="s">
        <v>84</v>
      </c>
      <c r="F12173" s="1690"/>
      <c r="G12173" s="1408" t="s">
        <v>33</v>
      </c>
      <c r="H12173" s="393">
        <v>2.8239999999999998</v>
      </c>
      <c r="K12173" s="841" t="s">
        <v>5881</v>
      </c>
      <c r="L12173" s="841" t="s">
        <v>442</v>
      </c>
      <c r="M12173" s="1357"/>
      <c r="P12173" s="841" t="s">
        <v>5883</v>
      </c>
      <c r="Q12173" s="1357"/>
      <c r="S12173" s="1420"/>
      <c r="T12173" s="1420"/>
      <c r="V12173" s="1357">
        <v>28</v>
      </c>
    </row>
    <row r="12174" spans="1:22" s="841" customFormat="1" ht="15" x14ac:dyDescent="0.25">
      <c r="A12174" s="841" t="s">
        <v>245</v>
      </c>
      <c r="E12174" s="1690" t="s">
        <v>5129</v>
      </c>
      <c r="F12174" s="1908"/>
      <c r="G12174" s="1408" t="s">
        <v>24</v>
      </c>
      <c r="H12174" s="393">
        <v>-1E-4</v>
      </c>
      <c r="K12174" s="841" t="s">
        <v>5881</v>
      </c>
      <c r="L12174" s="841" t="s">
        <v>443</v>
      </c>
      <c r="M12174" s="1357"/>
      <c r="P12174" s="841" t="s">
        <v>5884</v>
      </c>
      <c r="Q12174" s="1357"/>
      <c r="S12174" s="1420"/>
      <c r="T12174" s="1420">
        <v>43585</v>
      </c>
      <c r="V12174" s="1357">
        <v>139</v>
      </c>
    </row>
    <row r="12175" spans="1:22" s="841" customFormat="1" ht="15" x14ac:dyDescent="0.25">
      <c r="A12175" s="841" t="s">
        <v>245</v>
      </c>
      <c r="E12175" s="1690" t="s">
        <v>5130</v>
      </c>
      <c r="F12175" s="1908"/>
      <c r="G12175" s="1408" t="s">
        <v>33</v>
      </c>
      <c r="H12175" s="393">
        <v>-0.23269999999999999</v>
      </c>
      <c r="K12175" s="841" t="s">
        <v>5881</v>
      </c>
      <c r="L12175" s="841" t="s">
        <v>443</v>
      </c>
      <c r="M12175" s="1357"/>
      <c r="P12175" s="841" t="s">
        <v>5885</v>
      </c>
      <c r="Q12175" s="1357"/>
      <c r="S12175" s="1420"/>
      <c r="T12175" s="1420">
        <v>43585</v>
      </c>
      <c r="V12175" s="1357">
        <v>96</v>
      </c>
    </row>
    <row r="12176" spans="1:22" s="841" customFormat="1" ht="15" x14ac:dyDescent="0.25">
      <c r="A12176" s="841" t="s">
        <v>245</v>
      </c>
      <c r="E12176" s="1690" t="s">
        <v>5424</v>
      </c>
      <c r="F12176" s="1908"/>
      <c r="G12176" s="1408" t="s">
        <v>33</v>
      </c>
      <c r="H12176" s="393">
        <v>-2.4799999999999999E-2</v>
      </c>
      <c r="K12176" s="841" t="s">
        <v>5881</v>
      </c>
      <c r="L12176" s="841" t="s">
        <v>443</v>
      </c>
      <c r="M12176" s="1357"/>
      <c r="P12176" s="841" t="s">
        <v>5886</v>
      </c>
      <c r="Q12176" s="1357"/>
      <c r="S12176" s="1420"/>
      <c r="T12176" s="1420">
        <v>43585</v>
      </c>
      <c r="V12176" s="1357">
        <v>146</v>
      </c>
    </row>
    <row r="12177" spans="1:22" s="841" customFormat="1" ht="15" x14ac:dyDescent="0.25">
      <c r="A12177" s="841" t="s">
        <v>245</v>
      </c>
      <c r="E12177" s="1690" t="s">
        <v>221</v>
      </c>
      <c r="F12177" s="1690"/>
      <c r="G12177" s="1408" t="s">
        <v>33</v>
      </c>
      <c r="H12177" s="393">
        <v>2.3799000000000001</v>
      </c>
      <c r="K12177" s="841" t="s">
        <v>5881</v>
      </c>
      <c r="L12177" s="841" t="s">
        <v>444</v>
      </c>
      <c r="M12177" s="1357"/>
      <c r="P12177" s="841" t="s">
        <v>5887</v>
      </c>
      <c r="Q12177" s="1357"/>
      <c r="S12177" s="1420"/>
      <c r="T12177" s="1420"/>
      <c r="V12177" s="1357">
        <v>47</v>
      </c>
    </row>
    <row r="12178" spans="1:22" s="841" customFormat="1" ht="15" x14ac:dyDescent="0.25">
      <c r="A12178" s="841" t="s">
        <v>245</v>
      </c>
      <c r="E12178" s="1690" t="s">
        <v>3628</v>
      </c>
      <c r="F12178" s="1690"/>
      <c r="G12178" s="1408" t="s">
        <v>33</v>
      </c>
      <c r="H12178" s="393">
        <v>2.0556999999999999</v>
      </c>
      <c r="K12178" s="841" t="s">
        <v>5881</v>
      </c>
      <c r="L12178" s="841" t="s">
        <v>444</v>
      </c>
      <c r="M12178" s="1357"/>
      <c r="P12178" s="841" t="s">
        <v>5888</v>
      </c>
      <c r="Q12178" s="1357"/>
      <c r="S12178" s="1420"/>
      <c r="T12178" s="1420"/>
      <c r="V12178" s="1357">
        <v>75</v>
      </c>
    </row>
    <row r="12179" spans="1:22" s="841" customFormat="1" ht="15" x14ac:dyDescent="0.25">
      <c r="A12179" s="841" t="s">
        <v>245</v>
      </c>
      <c r="E12179" s="1694" t="s">
        <v>3079</v>
      </c>
      <c r="F12179" s="1690"/>
      <c r="G12179" s="1408"/>
      <c r="H12179" s="1408"/>
      <c r="K12179" s="841" t="s">
        <v>3225</v>
      </c>
      <c r="M12179" s="1357"/>
      <c r="Q12179" s="1357"/>
      <c r="S12179" s="1420"/>
      <c r="T12179" s="1420"/>
      <c r="V12179" s="1357">
        <v>48</v>
      </c>
    </row>
    <row r="12180" spans="1:22" s="841" customFormat="1" ht="15" x14ac:dyDescent="0.25">
      <c r="A12180" s="841" t="s">
        <v>245</v>
      </c>
      <c r="E12180" s="1690" t="s">
        <v>2449</v>
      </c>
      <c r="F12180" s="1690"/>
      <c r="G12180" s="1408" t="s">
        <v>24</v>
      </c>
      <c r="H12180" s="393">
        <v>3.2000000000000002E-3</v>
      </c>
      <c r="K12180" s="841" t="s">
        <v>5881</v>
      </c>
      <c r="L12180" s="841" t="s">
        <v>3046</v>
      </c>
      <c r="M12180" s="1357"/>
      <c r="P12180" s="841" t="s">
        <v>5889</v>
      </c>
      <c r="Q12180" s="1357"/>
      <c r="S12180" s="1420"/>
      <c r="T12180" s="1420"/>
      <c r="V12180" s="1357">
        <v>55</v>
      </c>
    </row>
    <row r="12181" spans="1:22" s="841" customFormat="1" ht="15" x14ac:dyDescent="0.25">
      <c r="A12181" s="841" t="s">
        <v>245</v>
      </c>
      <c r="E12181" s="1690" t="s">
        <v>2450</v>
      </c>
      <c r="F12181" s="1690"/>
      <c r="G12181" s="1408" t="s">
        <v>24</v>
      </c>
      <c r="H12181" s="393">
        <v>4.0000000000000002E-4</v>
      </c>
      <c r="K12181" s="841" t="s">
        <v>5881</v>
      </c>
      <c r="L12181" s="841" t="s">
        <v>3046</v>
      </c>
      <c r="M12181" s="1357"/>
      <c r="P12181" s="841" t="s">
        <v>5889</v>
      </c>
      <c r="Q12181" s="1357"/>
      <c r="S12181" s="1420"/>
      <c r="T12181" s="1420"/>
      <c r="V12181" s="1357">
        <v>65</v>
      </c>
    </row>
    <row r="12182" spans="1:22" s="841" customFormat="1" ht="15" x14ac:dyDescent="0.25">
      <c r="A12182" s="841" t="s">
        <v>245</v>
      </c>
      <c r="E12182" s="1690" t="s">
        <v>439</v>
      </c>
      <c r="F12182" s="1690"/>
      <c r="G12182" s="1408" t="s">
        <v>24</v>
      </c>
      <c r="H12182" s="393">
        <v>2.9999999999999997E-4</v>
      </c>
      <c r="K12182" s="841" t="s">
        <v>5881</v>
      </c>
      <c r="L12182" s="841" t="s">
        <v>3046</v>
      </c>
      <c r="M12182" s="1357"/>
      <c r="P12182" s="841" t="s">
        <v>5890</v>
      </c>
      <c r="Q12182" s="1357"/>
      <c r="S12182" s="1420"/>
      <c r="T12182" s="1420"/>
      <c r="V12182" s="1357">
        <v>57</v>
      </c>
    </row>
    <row r="12183" spans="1:22" s="841" customFormat="1" ht="15" x14ac:dyDescent="0.25">
      <c r="A12183" s="841" t="s">
        <v>245</v>
      </c>
      <c r="E12183" s="1690" t="s">
        <v>32</v>
      </c>
      <c r="F12183" s="1690"/>
      <c r="G12183" s="1408" t="s">
        <v>23</v>
      </c>
      <c r="H12183" s="391">
        <v>0.25</v>
      </c>
      <c r="K12183" s="841" t="s">
        <v>5881</v>
      </c>
      <c r="L12183" s="841" t="s">
        <v>3046</v>
      </c>
      <c r="M12183" s="1357"/>
      <c r="P12183" s="841" t="s">
        <v>5891</v>
      </c>
      <c r="Q12183" s="1357"/>
      <c r="S12183" s="1420"/>
      <c r="T12183" s="1420"/>
      <c r="V12183" s="1357">
        <v>63</v>
      </c>
    </row>
    <row r="12184" spans="1:22" s="841" customFormat="1" x14ac:dyDescent="0.25">
      <c r="A12184" s="841" t="s">
        <v>245</v>
      </c>
      <c r="E12184" s="1909" t="s">
        <v>617</v>
      </c>
      <c r="F12184" s="1915"/>
      <c r="G12184" s="1915"/>
      <c r="H12184" s="1915"/>
      <c r="K12184" s="841" t="s">
        <v>3457</v>
      </c>
      <c r="M12184" s="1357"/>
      <c r="Q12184" s="1357"/>
      <c r="S12184" s="1420"/>
      <c r="T12184" s="1420"/>
      <c r="V12184" s="1357">
        <v>47</v>
      </c>
    </row>
    <row r="12185" spans="1:22" s="841" customFormat="1" ht="15" x14ac:dyDescent="0.25">
      <c r="A12185" s="841" t="s">
        <v>245</v>
      </c>
      <c r="E12185" s="1689" t="s">
        <v>4765</v>
      </c>
      <c r="F12185" s="1689"/>
      <c r="G12185" s="1689"/>
      <c r="H12185" s="1689"/>
      <c r="K12185" s="841" t="s">
        <v>3457</v>
      </c>
      <c r="M12185" s="1357"/>
      <c r="Q12185" s="1357"/>
      <c r="S12185" s="1420"/>
      <c r="T12185" s="1420"/>
      <c r="V12185" s="1357">
        <v>582</v>
      </c>
    </row>
    <row r="12186" spans="1:22" s="841" customFormat="1" ht="15" x14ac:dyDescent="0.25">
      <c r="A12186" s="841" t="s">
        <v>245</v>
      </c>
      <c r="E12186" s="1916" t="s">
        <v>3061</v>
      </c>
      <c r="F12186" s="1697"/>
      <c r="G12186" s="1697"/>
      <c r="H12186" s="1697"/>
      <c r="K12186" s="841" t="s">
        <v>3107</v>
      </c>
      <c r="M12186" s="1357"/>
      <c r="Q12186" s="1357"/>
      <c r="S12186" s="1420"/>
      <c r="T12186" s="1420"/>
      <c r="V12186" s="1357">
        <v>11</v>
      </c>
    </row>
    <row r="12187" spans="1:22" s="841" customFormat="1" ht="15" x14ac:dyDescent="0.25">
      <c r="A12187" s="841" t="s">
        <v>245</v>
      </c>
      <c r="E12187" s="1689" t="s">
        <v>3063</v>
      </c>
      <c r="F12187" s="1689"/>
      <c r="G12187" s="1689"/>
      <c r="H12187" s="1689"/>
      <c r="K12187" s="841" t="s">
        <v>3457</v>
      </c>
      <c r="M12187" s="1357"/>
      <c r="Q12187" s="1357"/>
      <c r="S12187" s="1420"/>
      <c r="T12187" s="1420"/>
      <c r="V12187" s="1357">
        <v>280</v>
      </c>
    </row>
    <row r="12188" spans="1:22" s="841" customFormat="1" ht="15" x14ac:dyDescent="0.25">
      <c r="A12188" s="841" t="s">
        <v>245</v>
      </c>
      <c r="E12188" s="1689" t="s">
        <v>3064</v>
      </c>
      <c r="F12188" s="1689"/>
      <c r="G12188" s="1689"/>
      <c r="H12188" s="1689"/>
      <c r="K12188" s="841" t="s">
        <v>3457</v>
      </c>
      <c r="M12188" s="1357"/>
      <c r="Q12188" s="1357"/>
      <c r="S12188" s="1420"/>
      <c r="T12188" s="1420"/>
      <c r="V12188" s="1357">
        <v>411</v>
      </c>
    </row>
    <row r="12189" spans="1:22" s="841" customFormat="1" ht="15" x14ac:dyDescent="0.25">
      <c r="A12189" s="841" t="s">
        <v>245</v>
      </c>
      <c r="E12189" s="1689" t="s">
        <v>3199</v>
      </c>
      <c r="F12189" s="1689"/>
      <c r="G12189" s="1689"/>
      <c r="H12189" s="1689"/>
      <c r="K12189" s="841" t="s">
        <v>3457</v>
      </c>
      <c r="M12189" s="1357"/>
      <c r="Q12189" s="1357"/>
      <c r="S12189" s="1420"/>
      <c r="T12189" s="1420"/>
      <c r="V12189" s="1357">
        <v>386</v>
      </c>
    </row>
    <row r="12190" spans="1:22" s="841" customFormat="1" ht="15" x14ac:dyDescent="0.25">
      <c r="A12190" s="841" t="s">
        <v>245</v>
      </c>
      <c r="E12190" s="1689" t="s">
        <v>3200</v>
      </c>
      <c r="F12190" s="1689"/>
      <c r="G12190" s="1689"/>
      <c r="H12190" s="1689"/>
      <c r="K12190" s="841" t="s">
        <v>3457</v>
      </c>
      <c r="M12190" s="1357"/>
      <c r="Q12190" s="1357"/>
      <c r="S12190" s="1420"/>
      <c r="T12190" s="1420"/>
      <c r="V12190" s="1357">
        <v>275</v>
      </c>
    </row>
    <row r="12191" spans="1:22" s="841" customFormat="1" ht="15" x14ac:dyDescent="0.25">
      <c r="A12191" s="841" t="s">
        <v>245</v>
      </c>
      <c r="E12191" s="1694" t="s">
        <v>3067</v>
      </c>
      <c r="F12191" s="1907"/>
      <c r="G12191" s="1907"/>
      <c r="H12191" s="1907"/>
      <c r="K12191" s="841" t="s">
        <v>3108</v>
      </c>
      <c r="M12191" s="1357"/>
      <c r="Q12191" s="1357"/>
      <c r="S12191" s="1420"/>
      <c r="T12191" s="1420"/>
      <c r="V12191" s="1357">
        <v>46</v>
      </c>
    </row>
    <row r="12192" spans="1:22" s="841" customFormat="1" ht="15" x14ac:dyDescent="0.25">
      <c r="A12192" s="841" t="s">
        <v>245</v>
      </c>
      <c r="E12192" s="1690" t="s">
        <v>12</v>
      </c>
      <c r="F12192" s="1690"/>
      <c r="G12192" s="1408" t="s">
        <v>23</v>
      </c>
      <c r="H12192" s="391">
        <v>8.15</v>
      </c>
      <c r="K12192" s="841" t="s">
        <v>3457</v>
      </c>
      <c r="L12192" s="841" t="s">
        <v>442</v>
      </c>
      <c r="M12192" s="1357"/>
      <c r="P12192" s="841" t="s">
        <v>3458</v>
      </c>
      <c r="Q12192" s="1357"/>
      <c r="S12192" s="1420"/>
      <c r="T12192" s="1420"/>
      <c r="V12192" s="1357">
        <v>31</v>
      </c>
    </row>
    <row r="12193" spans="1:22" s="841" customFormat="1" ht="15" x14ac:dyDescent="0.25">
      <c r="A12193" s="841" t="s">
        <v>245</v>
      </c>
      <c r="E12193" s="1690" t="s">
        <v>84</v>
      </c>
      <c r="F12193" s="1690"/>
      <c r="G12193" s="1408" t="s">
        <v>24</v>
      </c>
      <c r="H12193" s="393">
        <v>1.1900000000000001E-2</v>
      </c>
      <c r="K12193" s="841" t="s">
        <v>3457</v>
      </c>
      <c r="L12193" s="841" t="s">
        <v>442</v>
      </c>
      <c r="M12193" s="1357"/>
      <c r="P12193" s="841" t="s">
        <v>3459</v>
      </c>
      <c r="Q12193" s="1357"/>
      <c r="S12193" s="1420"/>
      <c r="T12193" s="1420"/>
      <c r="V12193" s="1357">
        <v>28</v>
      </c>
    </row>
    <row r="12194" spans="1:22" s="841" customFormat="1" ht="15" x14ac:dyDescent="0.25">
      <c r="A12194" s="841" t="s">
        <v>245</v>
      </c>
      <c r="E12194" s="1690" t="s">
        <v>5129</v>
      </c>
      <c r="F12194" s="1908"/>
      <c r="G12194" s="1408" t="s">
        <v>24</v>
      </c>
      <c r="H12194" s="393">
        <v>-1E-4</v>
      </c>
      <c r="K12194" s="841" t="s">
        <v>3457</v>
      </c>
      <c r="L12194" s="841" t="s">
        <v>443</v>
      </c>
      <c r="M12194" s="1357"/>
      <c r="P12194" s="841" t="s">
        <v>3526</v>
      </c>
      <c r="Q12194" s="1357"/>
      <c r="S12194" s="1420"/>
      <c r="T12194" s="1420">
        <v>43585</v>
      </c>
      <c r="V12194" s="1357">
        <v>139</v>
      </c>
    </row>
    <row r="12195" spans="1:22" s="841" customFormat="1" ht="15" x14ac:dyDescent="0.25">
      <c r="A12195" s="841" t="s">
        <v>245</v>
      </c>
      <c r="E12195" s="1690" t="s">
        <v>5130</v>
      </c>
      <c r="F12195" s="1908"/>
      <c r="G12195" s="1408" t="s">
        <v>24</v>
      </c>
      <c r="H12195" s="393">
        <v>-5.0000000000000001E-4</v>
      </c>
      <c r="K12195" s="841" t="s">
        <v>3457</v>
      </c>
      <c r="L12195" s="841" t="s">
        <v>443</v>
      </c>
      <c r="M12195" s="1357"/>
      <c r="P12195" s="841" t="s">
        <v>3527</v>
      </c>
      <c r="Q12195" s="1357"/>
      <c r="S12195" s="1420"/>
      <c r="T12195" s="1420">
        <v>43585</v>
      </c>
      <c r="V12195" s="1357">
        <v>96</v>
      </c>
    </row>
    <row r="12196" spans="1:22" s="841" customFormat="1" ht="15" x14ac:dyDescent="0.25">
      <c r="A12196" s="841" t="s">
        <v>245</v>
      </c>
      <c r="E12196" s="1690" t="s">
        <v>5424</v>
      </c>
      <c r="F12196" s="1908"/>
      <c r="G12196" s="1408" t="s">
        <v>24</v>
      </c>
      <c r="H12196" s="393">
        <v>-1E-4</v>
      </c>
      <c r="K12196" s="841" t="s">
        <v>3457</v>
      </c>
      <c r="L12196" s="841" t="s">
        <v>443</v>
      </c>
      <c r="M12196" s="1357"/>
      <c r="P12196" s="841" t="s">
        <v>5292</v>
      </c>
      <c r="Q12196" s="1357"/>
      <c r="S12196" s="1420"/>
      <c r="T12196" s="1420">
        <v>43585</v>
      </c>
      <c r="V12196" s="1357">
        <v>146</v>
      </c>
    </row>
    <row r="12197" spans="1:22" s="841" customFormat="1" ht="15" x14ac:dyDescent="0.25">
      <c r="A12197" s="841" t="s">
        <v>245</v>
      </c>
      <c r="E12197" s="1690" t="s">
        <v>221</v>
      </c>
      <c r="F12197" s="1690"/>
      <c r="G12197" s="1408" t="s">
        <v>24</v>
      </c>
      <c r="H12197" s="393">
        <v>5.7000000000000002E-3</v>
      </c>
      <c r="K12197" s="841" t="s">
        <v>3457</v>
      </c>
      <c r="L12197" s="841" t="s">
        <v>444</v>
      </c>
      <c r="M12197" s="1357"/>
      <c r="P12197" s="841" t="s">
        <v>3462</v>
      </c>
      <c r="Q12197" s="1357"/>
      <c r="S12197" s="1420"/>
      <c r="T12197" s="1420"/>
      <c r="V12197" s="1357">
        <v>47</v>
      </c>
    </row>
    <row r="12198" spans="1:22" s="841" customFormat="1" ht="15" x14ac:dyDescent="0.25">
      <c r="A12198" s="841" t="s">
        <v>245</v>
      </c>
      <c r="E12198" s="1690" t="s">
        <v>3628</v>
      </c>
      <c r="F12198" s="1690"/>
      <c r="G12198" s="1408" t="s">
        <v>24</v>
      </c>
      <c r="H12198" s="393">
        <v>4.8999999999999998E-3</v>
      </c>
      <c r="K12198" s="841" t="s">
        <v>3457</v>
      </c>
      <c r="L12198" s="841" t="s">
        <v>444</v>
      </c>
      <c r="M12198" s="1357"/>
      <c r="P12198" s="841" t="s">
        <v>5892</v>
      </c>
      <c r="Q12198" s="1357"/>
      <c r="S12198" s="1420"/>
      <c r="T12198" s="1420"/>
      <c r="V12198" s="1357">
        <v>75</v>
      </c>
    </row>
    <row r="12199" spans="1:22" s="841" customFormat="1" ht="15" x14ac:dyDescent="0.25">
      <c r="A12199" s="841" t="s">
        <v>245</v>
      </c>
      <c r="E12199" s="1694" t="s">
        <v>3079</v>
      </c>
      <c r="F12199" s="1690"/>
      <c r="G12199" s="1408"/>
      <c r="H12199" s="1408"/>
      <c r="K12199" s="841" t="s">
        <v>3111</v>
      </c>
      <c r="M12199" s="1357"/>
      <c r="Q12199" s="1357"/>
      <c r="S12199" s="1420"/>
      <c r="T12199" s="1420"/>
      <c r="V12199" s="1357">
        <v>48</v>
      </c>
    </row>
    <row r="12200" spans="1:22" s="841" customFormat="1" ht="15" x14ac:dyDescent="0.25">
      <c r="A12200" s="841" t="s">
        <v>245</v>
      </c>
      <c r="E12200" s="1690" t="s">
        <v>2449</v>
      </c>
      <c r="F12200" s="1690"/>
      <c r="G12200" s="1408" t="s">
        <v>24</v>
      </c>
      <c r="H12200" s="393">
        <v>3.2000000000000002E-3</v>
      </c>
      <c r="K12200" s="841" t="s">
        <v>3457</v>
      </c>
      <c r="L12200" s="841" t="s">
        <v>3046</v>
      </c>
      <c r="M12200" s="1357"/>
      <c r="P12200" s="841" t="s">
        <v>3464</v>
      </c>
      <c r="Q12200" s="1357"/>
      <c r="S12200" s="1420"/>
      <c r="T12200" s="1420"/>
      <c r="V12200" s="1357">
        <v>55</v>
      </c>
    </row>
    <row r="12201" spans="1:22" s="841" customFormat="1" ht="15" x14ac:dyDescent="0.25">
      <c r="A12201" s="841" t="s">
        <v>245</v>
      </c>
      <c r="E12201" s="1690" t="s">
        <v>2450</v>
      </c>
      <c r="F12201" s="1690"/>
      <c r="G12201" s="1408" t="s">
        <v>24</v>
      </c>
      <c r="H12201" s="393">
        <v>4.0000000000000002E-4</v>
      </c>
      <c r="K12201" s="841" t="s">
        <v>3457</v>
      </c>
      <c r="L12201" s="841" t="s">
        <v>3046</v>
      </c>
      <c r="M12201" s="1357"/>
      <c r="P12201" s="841" t="s">
        <v>3464</v>
      </c>
      <c r="Q12201" s="1357"/>
      <c r="S12201" s="1420"/>
      <c r="T12201" s="1420"/>
      <c r="V12201" s="1357">
        <v>65</v>
      </c>
    </row>
    <row r="12202" spans="1:22" s="841" customFormat="1" ht="15" x14ac:dyDescent="0.25">
      <c r="A12202" s="841" t="s">
        <v>245</v>
      </c>
      <c r="E12202" s="1690" t="s">
        <v>439</v>
      </c>
      <c r="F12202" s="1690"/>
      <c r="G12202" s="1408" t="s">
        <v>24</v>
      </c>
      <c r="H12202" s="393">
        <v>2.9999999999999997E-4</v>
      </c>
      <c r="K12202" s="841" t="s">
        <v>3457</v>
      </c>
      <c r="L12202" s="841" t="s">
        <v>3046</v>
      </c>
      <c r="M12202" s="1357"/>
      <c r="P12202" s="841" t="s">
        <v>3465</v>
      </c>
      <c r="Q12202" s="1357"/>
      <c r="S12202" s="1420"/>
      <c r="T12202" s="1420"/>
      <c r="V12202" s="1357">
        <v>57</v>
      </c>
    </row>
    <row r="12203" spans="1:22" s="841" customFormat="1" ht="15" x14ac:dyDescent="0.25">
      <c r="A12203" s="841" t="s">
        <v>245</v>
      </c>
      <c r="E12203" s="1690" t="s">
        <v>32</v>
      </c>
      <c r="F12203" s="1690"/>
      <c r="G12203" s="1408" t="s">
        <v>23</v>
      </c>
      <c r="H12203" s="391">
        <v>0.25</v>
      </c>
      <c r="K12203" s="841" t="s">
        <v>3457</v>
      </c>
      <c r="L12203" s="841" t="s">
        <v>3046</v>
      </c>
      <c r="M12203" s="1357"/>
      <c r="P12203" s="841" t="s">
        <v>3466</v>
      </c>
      <c r="Q12203" s="1357"/>
      <c r="S12203" s="1420"/>
      <c r="T12203" s="1420"/>
      <c r="V12203" s="1357">
        <v>63</v>
      </c>
    </row>
    <row r="12204" spans="1:22" s="841" customFormat="1" x14ac:dyDescent="0.25">
      <c r="A12204" s="841" t="s">
        <v>245</v>
      </c>
      <c r="E12204" s="1909" t="s">
        <v>629</v>
      </c>
      <c r="F12204" s="1915"/>
      <c r="G12204" s="1915"/>
      <c r="H12204" s="1915"/>
      <c r="K12204" s="841" t="s">
        <v>3467</v>
      </c>
      <c r="M12204" s="1357"/>
      <c r="Q12204" s="1357"/>
      <c r="S12204" s="1420"/>
      <c r="T12204" s="1420"/>
      <c r="V12204" s="1357">
        <v>40</v>
      </c>
    </row>
    <row r="12205" spans="1:22" s="841" customFormat="1" ht="15" x14ac:dyDescent="0.25">
      <c r="A12205" s="841" t="s">
        <v>245</v>
      </c>
      <c r="E12205" s="1689" t="s">
        <v>3374</v>
      </c>
      <c r="F12205" s="1689"/>
      <c r="G12205" s="1689"/>
      <c r="H12205" s="1689"/>
      <c r="K12205" s="841" t="s">
        <v>3467</v>
      </c>
      <c r="M12205" s="1357"/>
      <c r="Q12205" s="1357"/>
      <c r="S12205" s="1420"/>
      <c r="T12205" s="1420"/>
      <c r="V12205" s="1357">
        <v>188</v>
      </c>
    </row>
    <row r="12206" spans="1:22" s="841" customFormat="1" ht="15" x14ac:dyDescent="0.25">
      <c r="A12206" s="841" t="s">
        <v>245</v>
      </c>
      <c r="E12206" s="1916" t="s">
        <v>3061</v>
      </c>
      <c r="F12206" s="1697"/>
      <c r="G12206" s="1697"/>
      <c r="H12206" s="1697"/>
      <c r="K12206" s="841" t="s">
        <v>3114</v>
      </c>
      <c r="M12206" s="1357"/>
      <c r="Q12206" s="1357"/>
      <c r="S12206" s="1420"/>
      <c r="T12206" s="1420"/>
      <c r="V12206" s="1357">
        <v>11</v>
      </c>
    </row>
    <row r="12207" spans="1:22" s="841" customFormat="1" ht="15" x14ac:dyDescent="0.25">
      <c r="A12207" s="841" t="s">
        <v>245</v>
      </c>
      <c r="E12207" s="1689" t="s">
        <v>3063</v>
      </c>
      <c r="F12207" s="1689"/>
      <c r="G12207" s="1689"/>
      <c r="H12207" s="1689"/>
      <c r="K12207" s="841" t="s">
        <v>3467</v>
      </c>
      <c r="M12207" s="1357"/>
      <c r="Q12207" s="1357"/>
      <c r="S12207" s="1420"/>
      <c r="T12207" s="1420"/>
      <c r="V12207" s="1357">
        <v>280</v>
      </c>
    </row>
    <row r="12208" spans="1:22" s="841" customFormat="1" ht="15" x14ac:dyDescent="0.25">
      <c r="A12208" s="841" t="s">
        <v>245</v>
      </c>
      <c r="E12208" s="1689" t="s">
        <v>3064</v>
      </c>
      <c r="F12208" s="1689"/>
      <c r="G12208" s="1689"/>
      <c r="H12208" s="1689"/>
      <c r="K12208" s="841" t="s">
        <v>3467</v>
      </c>
      <c r="M12208" s="1357"/>
      <c r="Q12208" s="1357"/>
      <c r="S12208" s="1420"/>
      <c r="T12208" s="1420"/>
      <c r="V12208" s="1357">
        <v>411</v>
      </c>
    </row>
    <row r="12209" spans="1:22" s="841" customFormat="1" ht="15" x14ac:dyDescent="0.25">
      <c r="A12209" s="841" t="s">
        <v>245</v>
      </c>
      <c r="E12209" s="1689" t="s">
        <v>3199</v>
      </c>
      <c r="F12209" s="1689"/>
      <c r="G12209" s="1689"/>
      <c r="H12209" s="1689"/>
      <c r="K12209" s="841" t="s">
        <v>3467</v>
      </c>
      <c r="M12209" s="1357"/>
      <c r="Q12209" s="1357"/>
      <c r="S12209" s="1420"/>
      <c r="T12209" s="1420"/>
      <c r="V12209" s="1357">
        <v>386</v>
      </c>
    </row>
    <row r="12210" spans="1:22" s="841" customFormat="1" ht="15" x14ac:dyDescent="0.25">
      <c r="A12210" s="841" t="s">
        <v>245</v>
      </c>
      <c r="E12210" s="1689" t="s">
        <v>3200</v>
      </c>
      <c r="F12210" s="1689"/>
      <c r="G12210" s="1689"/>
      <c r="H12210" s="1689"/>
      <c r="K12210" s="841" t="s">
        <v>3467</v>
      </c>
      <c r="M12210" s="1357"/>
      <c r="Q12210" s="1357"/>
      <c r="S12210" s="1420"/>
      <c r="T12210" s="1420"/>
      <c r="V12210" s="1357">
        <v>275</v>
      </c>
    </row>
    <row r="12211" spans="1:22" s="841" customFormat="1" ht="15" x14ac:dyDescent="0.25">
      <c r="A12211" s="841" t="s">
        <v>245</v>
      </c>
      <c r="E12211" s="1694" t="s">
        <v>3067</v>
      </c>
      <c r="F12211" s="1907"/>
      <c r="G12211" s="1907"/>
      <c r="H12211" s="1907"/>
      <c r="K12211" s="841" t="s">
        <v>3115</v>
      </c>
      <c r="M12211" s="1357"/>
      <c r="Q12211" s="1357"/>
      <c r="S12211" s="1420"/>
      <c r="T12211" s="1420"/>
      <c r="V12211" s="1357">
        <v>46</v>
      </c>
    </row>
    <row r="12212" spans="1:22" s="841" customFormat="1" ht="15" x14ac:dyDescent="0.25">
      <c r="A12212" s="841" t="s">
        <v>245</v>
      </c>
      <c r="E12212" s="1690" t="s">
        <v>12</v>
      </c>
      <c r="F12212" s="1690"/>
      <c r="G12212" s="1408" t="s">
        <v>23</v>
      </c>
      <c r="H12212" s="391">
        <v>8.0500000000000007</v>
      </c>
      <c r="K12212" s="841" t="s">
        <v>3467</v>
      </c>
      <c r="L12212" s="841" t="s">
        <v>442</v>
      </c>
      <c r="M12212" s="1357"/>
      <c r="P12212" s="841" t="s">
        <v>3468</v>
      </c>
      <c r="Q12212" s="1357"/>
      <c r="S12212" s="1420"/>
      <c r="T12212" s="1420"/>
      <c r="V12212" s="1357">
        <v>31</v>
      </c>
    </row>
    <row r="12213" spans="1:22" s="841" customFormat="1" ht="15" x14ac:dyDescent="0.25">
      <c r="A12213" s="841" t="s">
        <v>245</v>
      </c>
      <c r="E12213" s="1690" t="s">
        <v>84</v>
      </c>
      <c r="F12213" s="1690"/>
      <c r="G12213" s="1408" t="s">
        <v>33</v>
      </c>
      <c r="H12213" s="393">
        <v>6.4587000000000003</v>
      </c>
      <c r="K12213" s="841" t="s">
        <v>3467</v>
      </c>
      <c r="L12213" s="841" t="s">
        <v>442</v>
      </c>
      <c r="M12213" s="1357"/>
      <c r="P12213" s="841" t="s">
        <v>3469</v>
      </c>
      <c r="Q12213" s="1357"/>
      <c r="S12213" s="1420"/>
      <c r="T12213" s="1420"/>
      <c r="V12213" s="1357">
        <v>28</v>
      </c>
    </row>
    <row r="12214" spans="1:22" s="841" customFormat="1" ht="15" x14ac:dyDescent="0.25">
      <c r="A12214" s="841" t="s">
        <v>245</v>
      </c>
      <c r="E12214" s="1690" t="s">
        <v>5130</v>
      </c>
      <c r="F12214" s="1908"/>
      <c r="G12214" s="1408" t="s">
        <v>33</v>
      </c>
      <c r="H12214" s="393">
        <v>-0.1598</v>
      </c>
      <c r="K12214" s="841" t="s">
        <v>3467</v>
      </c>
      <c r="L12214" s="841" t="s">
        <v>443</v>
      </c>
      <c r="M12214" s="1357"/>
      <c r="P12214" s="841" t="s">
        <v>3880</v>
      </c>
      <c r="Q12214" s="1357"/>
      <c r="S12214" s="1420"/>
      <c r="T12214" s="1420">
        <v>43585</v>
      </c>
      <c r="V12214" s="1357">
        <v>96</v>
      </c>
    </row>
    <row r="12215" spans="1:22" s="841" customFormat="1" ht="15" x14ac:dyDescent="0.25">
      <c r="A12215" s="841" t="s">
        <v>245</v>
      </c>
      <c r="E12215" s="1690" t="s">
        <v>5424</v>
      </c>
      <c r="F12215" s="1908"/>
      <c r="G12215" s="1408" t="s">
        <v>33</v>
      </c>
      <c r="H12215" s="393">
        <v>-2.5999999999999999E-2</v>
      </c>
      <c r="K12215" s="841" t="s">
        <v>3467</v>
      </c>
      <c r="L12215" s="841" t="s">
        <v>443</v>
      </c>
      <c r="M12215" s="1357"/>
      <c r="P12215" s="841" t="s">
        <v>5454</v>
      </c>
      <c r="Q12215" s="1357"/>
      <c r="S12215" s="1420"/>
      <c r="T12215" s="1420">
        <v>43585</v>
      </c>
      <c r="V12215" s="1357">
        <v>146</v>
      </c>
    </row>
    <row r="12216" spans="1:22" s="841" customFormat="1" ht="15" x14ac:dyDescent="0.25">
      <c r="A12216" s="841" t="s">
        <v>245</v>
      </c>
      <c r="E12216" s="1690" t="s">
        <v>221</v>
      </c>
      <c r="F12216" s="1690"/>
      <c r="G12216" s="1408" t="s">
        <v>33</v>
      </c>
      <c r="H12216" s="393">
        <v>1.7008000000000001</v>
      </c>
      <c r="K12216" s="841" t="s">
        <v>3467</v>
      </c>
      <c r="L12216" s="841" t="s">
        <v>444</v>
      </c>
      <c r="M12216" s="1357"/>
      <c r="P12216" s="841" t="s">
        <v>3472</v>
      </c>
      <c r="Q12216" s="1357"/>
      <c r="S12216" s="1420"/>
      <c r="T12216" s="1420"/>
      <c r="V12216" s="1357">
        <v>47</v>
      </c>
    </row>
    <row r="12217" spans="1:22" s="841" customFormat="1" ht="15" x14ac:dyDescent="0.25">
      <c r="A12217" s="841" t="s">
        <v>245</v>
      </c>
      <c r="E12217" s="1690" t="s">
        <v>3628</v>
      </c>
      <c r="F12217" s="1690"/>
      <c r="G12217" s="1408" t="s">
        <v>33</v>
      </c>
      <c r="H12217" s="393">
        <v>1.468</v>
      </c>
      <c r="K12217" s="841" t="s">
        <v>3467</v>
      </c>
      <c r="L12217" s="841" t="s">
        <v>444</v>
      </c>
      <c r="M12217" s="1357"/>
      <c r="P12217" s="841" t="s">
        <v>5893</v>
      </c>
      <c r="Q12217" s="1357"/>
      <c r="S12217" s="1420"/>
      <c r="T12217" s="1420"/>
      <c r="V12217" s="1357">
        <v>75</v>
      </c>
    </row>
    <row r="12218" spans="1:22" s="841" customFormat="1" ht="15" x14ac:dyDescent="0.25">
      <c r="A12218" s="841" t="s">
        <v>245</v>
      </c>
      <c r="E12218" s="1694" t="s">
        <v>3079</v>
      </c>
      <c r="F12218" s="1690"/>
      <c r="G12218" s="1408"/>
      <c r="H12218" s="1408"/>
      <c r="K12218" s="841" t="s">
        <v>3122</v>
      </c>
      <c r="M12218" s="1357"/>
      <c r="Q12218" s="1357"/>
      <c r="S12218" s="1420"/>
      <c r="T12218" s="1420"/>
      <c r="V12218" s="1357">
        <v>48</v>
      </c>
    </row>
    <row r="12219" spans="1:22" s="841" customFormat="1" ht="15" x14ac:dyDescent="0.25">
      <c r="A12219" s="841" t="s">
        <v>245</v>
      </c>
      <c r="E12219" s="1690" t="s">
        <v>2449</v>
      </c>
      <c r="F12219" s="1690"/>
      <c r="G12219" s="1408" t="s">
        <v>24</v>
      </c>
      <c r="H12219" s="393">
        <v>3.2000000000000002E-3</v>
      </c>
      <c r="K12219" s="841" t="s">
        <v>3467</v>
      </c>
      <c r="L12219" s="841" t="s">
        <v>3046</v>
      </c>
      <c r="M12219" s="1357"/>
      <c r="P12219" s="841" t="s">
        <v>3474</v>
      </c>
      <c r="Q12219" s="1357"/>
      <c r="S12219" s="1420"/>
      <c r="T12219" s="1420"/>
      <c r="V12219" s="1357">
        <v>55</v>
      </c>
    </row>
    <row r="12220" spans="1:22" s="841" customFormat="1" ht="15" x14ac:dyDescent="0.25">
      <c r="A12220" s="841" t="s">
        <v>245</v>
      </c>
      <c r="E12220" s="1690" t="s">
        <v>2450</v>
      </c>
      <c r="F12220" s="1690"/>
      <c r="G12220" s="1408" t="s">
        <v>24</v>
      </c>
      <c r="H12220" s="393">
        <v>4.0000000000000002E-4</v>
      </c>
      <c r="K12220" s="841" t="s">
        <v>3467</v>
      </c>
      <c r="L12220" s="841" t="s">
        <v>3046</v>
      </c>
      <c r="M12220" s="1357"/>
      <c r="P12220" s="841" t="s">
        <v>3474</v>
      </c>
      <c r="Q12220" s="1357"/>
      <c r="S12220" s="1420"/>
      <c r="T12220" s="1420"/>
      <c r="V12220" s="1357">
        <v>65</v>
      </c>
    </row>
    <row r="12221" spans="1:22" s="841" customFormat="1" ht="15" x14ac:dyDescent="0.25">
      <c r="A12221" s="841" t="s">
        <v>245</v>
      </c>
      <c r="E12221" s="1690" t="s">
        <v>439</v>
      </c>
      <c r="F12221" s="1690"/>
      <c r="G12221" s="1408" t="s">
        <v>24</v>
      </c>
      <c r="H12221" s="393">
        <v>2.9999999999999997E-4</v>
      </c>
      <c r="K12221" s="841" t="s">
        <v>3467</v>
      </c>
      <c r="L12221" s="841" t="s">
        <v>3046</v>
      </c>
      <c r="M12221" s="1357"/>
      <c r="P12221" s="841" t="s">
        <v>3475</v>
      </c>
      <c r="Q12221" s="1357"/>
      <c r="S12221" s="1420"/>
      <c r="T12221" s="1420"/>
      <c r="V12221" s="1357">
        <v>57</v>
      </c>
    </row>
    <row r="12222" spans="1:22" s="841" customFormat="1" ht="15" x14ac:dyDescent="0.25">
      <c r="A12222" s="841" t="s">
        <v>245</v>
      </c>
      <c r="E12222" s="1690" t="s">
        <v>32</v>
      </c>
      <c r="F12222" s="1690"/>
      <c r="G12222" s="1408" t="s">
        <v>23</v>
      </c>
      <c r="H12222" s="391">
        <v>0.25</v>
      </c>
      <c r="K12222" s="841" t="s">
        <v>3467</v>
      </c>
      <c r="L12222" s="841" t="s">
        <v>3046</v>
      </c>
      <c r="M12222" s="1357"/>
      <c r="P12222" s="841" t="s">
        <v>3476</v>
      </c>
      <c r="Q12222" s="1357"/>
      <c r="S12222" s="1420"/>
      <c r="T12222" s="1420"/>
      <c r="V12222" s="1357">
        <v>63</v>
      </c>
    </row>
    <row r="12223" spans="1:22" s="841" customFormat="1" x14ac:dyDescent="0.25">
      <c r="A12223" s="841" t="s">
        <v>245</v>
      </c>
      <c r="E12223" s="1909" t="s">
        <v>615</v>
      </c>
      <c r="F12223" s="1915"/>
      <c r="G12223" s="1915"/>
      <c r="H12223" s="1915"/>
      <c r="K12223" s="841" t="s">
        <v>3477</v>
      </c>
      <c r="M12223" s="1357"/>
      <c r="Q12223" s="1357"/>
      <c r="S12223" s="1420"/>
      <c r="T12223" s="1420"/>
      <c r="V12223" s="1357">
        <v>38</v>
      </c>
    </row>
    <row r="12224" spans="1:22" s="841" customFormat="1" ht="15" x14ac:dyDescent="0.25">
      <c r="A12224" s="841" t="s">
        <v>245</v>
      </c>
      <c r="E12224" s="1689" t="s">
        <v>4766</v>
      </c>
      <c r="F12224" s="1689"/>
      <c r="G12224" s="1689"/>
      <c r="H12224" s="1689"/>
      <c r="K12224" s="841" t="s">
        <v>3477</v>
      </c>
      <c r="M12224" s="1357"/>
      <c r="Q12224" s="1357"/>
      <c r="S12224" s="1420"/>
      <c r="T12224" s="1420"/>
      <c r="V12224" s="1357">
        <v>475</v>
      </c>
    </row>
    <row r="12225" spans="1:22" s="841" customFormat="1" ht="15" x14ac:dyDescent="0.25">
      <c r="A12225" s="841" t="s">
        <v>245</v>
      </c>
      <c r="E12225" s="1916" t="s">
        <v>3061</v>
      </c>
      <c r="F12225" s="1697"/>
      <c r="G12225" s="1697"/>
      <c r="H12225" s="1697"/>
      <c r="K12225" s="841" t="s">
        <v>3128</v>
      </c>
      <c r="M12225" s="1357"/>
      <c r="Q12225" s="1357"/>
      <c r="S12225" s="1420"/>
      <c r="T12225" s="1420"/>
      <c r="V12225" s="1357">
        <v>11</v>
      </c>
    </row>
    <row r="12226" spans="1:22" s="841" customFormat="1" ht="15" x14ac:dyDescent="0.25">
      <c r="A12226" s="841" t="s">
        <v>245</v>
      </c>
      <c r="E12226" s="1689" t="s">
        <v>3063</v>
      </c>
      <c r="F12226" s="1689"/>
      <c r="G12226" s="1689"/>
      <c r="H12226" s="1689"/>
      <c r="K12226" s="841" t="s">
        <v>3477</v>
      </c>
      <c r="M12226" s="1357"/>
      <c r="Q12226" s="1357"/>
      <c r="S12226" s="1420"/>
      <c r="T12226" s="1420"/>
      <c r="V12226" s="1357">
        <v>280</v>
      </c>
    </row>
    <row r="12227" spans="1:22" s="841" customFormat="1" ht="15" x14ac:dyDescent="0.25">
      <c r="A12227" s="841" t="s">
        <v>245</v>
      </c>
      <c r="E12227" s="1689" t="s">
        <v>3064</v>
      </c>
      <c r="F12227" s="1689"/>
      <c r="G12227" s="1689"/>
      <c r="H12227" s="1689"/>
      <c r="K12227" s="841" t="s">
        <v>3477</v>
      </c>
      <c r="M12227" s="1357"/>
      <c r="Q12227" s="1357"/>
      <c r="S12227" s="1420"/>
      <c r="T12227" s="1420"/>
      <c r="V12227" s="1357">
        <v>411</v>
      </c>
    </row>
    <row r="12228" spans="1:22" s="841" customFormat="1" ht="15" x14ac:dyDescent="0.25">
      <c r="A12228" s="841" t="s">
        <v>245</v>
      </c>
      <c r="E12228" s="1689" t="s">
        <v>3199</v>
      </c>
      <c r="F12228" s="1689"/>
      <c r="G12228" s="1689"/>
      <c r="H12228" s="1689"/>
      <c r="K12228" s="841" t="s">
        <v>3477</v>
      </c>
      <c r="M12228" s="1357"/>
      <c r="Q12228" s="1357"/>
      <c r="S12228" s="1420"/>
      <c r="T12228" s="1420"/>
      <c r="V12228" s="1357">
        <v>386</v>
      </c>
    </row>
    <row r="12229" spans="1:22" s="841" customFormat="1" ht="15" x14ac:dyDescent="0.25">
      <c r="A12229" s="841" t="s">
        <v>245</v>
      </c>
      <c r="E12229" s="1689" t="s">
        <v>3200</v>
      </c>
      <c r="F12229" s="1689"/>
      <c r="G12229" s="1689"/>
      <c r="H12229" s="1689"/>
      <c r="K12229" s="841" t="s">
        <v>3477</v>
      </c>
      <c r="M12229" s="1357"/>
      <c r="Q12229" s="1357"/>
      <c r="S12229" s="1420"/>
      <c r="T12229" s="1420"/>
      <c r="V12229" s="1357">
        <v>275</v>
      </c>
    </row>
    <row r="12230" spans="1:22" s="841" customFormat="1" ht="15" x14ac:dyDescent="0.25">
      <c r="A12230" s="841" t="s">
        <v>245</v>
      </c>
      <c r="E12230" s="1694" t="s">
        <v>3067</v>
      </c>
      <c r="F12230" s="1907"/>
      <c r="G12230" s="1907"/>
      <c r="H12230" s="1907"/>
      <c r="K12230" s="841" t="s">
        <v>3130</v>
      </c>
      <c r="M12230" s="1357"/>
      <c r="Q12230" s="1357"/>
      <c r="S12230" s="1420"/>
      <c r="T12230" s="1420"/>
      <c r="V12230" s="1357">
        <v>46</v>
      </c>
    </row>
    <row r="12231" spans="1:22" s="841" customFormat="1" ht="15" x14ac:dyDescent="0.25">
      <c r="A12231" s="841" t="s">
        <v>245</v>
      </c>
      <c r="E12231" s="1690" t="s">
        <v>12</v>
      </c>
      <c r="F12231" s="1690"/>
      <c r="G12231" s="1408" t="s">
        <v>23</v>
      </c>
      <c r="H12231" s="391">
        <v>1.1200000000000001</v>
      </c>
      <c r="K12231" s="841" t="s">
        <v>3477</v>
      </c>
      <c r="L12231" s="841" t="s">
        <v>442</v>
      </c>
      <c r="M12231" s="1357"/>
      <c r="P12231" s="841" t="s">
        <v>3478</v>
      </c>
      <c r="Q12231" s="1357"/>
      <c r="S12231" s="1420"/>
      <c r="T12231" s="1420"/>
      <c r="V12231" s="1357">
        <v>31</v>
      </c>
    </row>
    <row r="12232" spans="1:22" s="841" customFormat="1" ht="15" x14ac:dyDescent="0.25">
      <c r="A12232" s="841" t="s">
        <v>245</v>
      </c>
      <c r="E12232" s="1690" t="s">
        <v>84</v>
      </c>
      <c r="F12232" s="1690"/>
      <c r="G12232" s="1408" t="s">
        <v>33</v>
      </c>
      <c r="H12232" s="393">
        <v>6.7321999999999997</v>
      </c>
      <c r="K12232" s="841" t="s">
        <v>3477</v>
      </c>
      <c r="L12232" s="841" t="s">
        <v>442</v>
      </c>
      <c r="M12232" s="1357"/>
      <c r="P12232" s="841" t="s">
        <v>3479</v>
      </c>
      <c r="Q12232" s="1357"/>
      <c r="S12232" s="1420"/>
      <c r="T12232" s="1420"/>
      <c r="V12232" s="1357">
        <v>28</v>
      </c>
    </row>
    <row r="12233" spans="1:22" s="841" customFormat="1" ht="15" x14ac:dyDescent="0.25">
      <c r="A12233" s="841" t="s">
        <v>245</v>
      </c>
      <c r="E12233" s="1690" t="s">
        <v>5129</v>
      </c>
      <c r="F12233" s="1908"/>
      <c r="G12233" s="1408" t="s">
        <v>24</v>
      </c>
      <c r="H12233" s="393">
        <v>-1E-4</v>
      </c>
      <c r="K12233" s="841" t="s">
        <v>3477</v>
      </c>
      <c r="L12233" s="841" t="s">
        <v>443</v>
      </c>
      <c r="M12233" s="1357"/>
      <c r="P12233" s="841" t="s">
        <v>4196</v>
      </c>
      <c r="Q12233" s="1357"/>
      <c r="S12233" s="1420"/>
      <c r="T12233" s="1420">
        <v>43585</v>
      </c>
      <c r="V12233" s="1357">
        <v>139</v>
      </c>
    </row>
    <row r="12234" spans="1:22" s="841" customFormat="1" ht="15" x14ac:dyDescent="0.25">
      <c r="A12234" s="841" t="s">
        <v>245</v>
      </c>
      <c r="E12234" s="1690" t="s">
        <v>5130</v>
      </c>
      <c r="F12234" s="1908"/>
      <c r="G12234" s="1408" t="s">
        <v>33</v>
      </c>
      <c r="H12234" s="393">
        <v>-0.34620000000000001</v>
      </c>
      <c r="K12234" s="841" t="s">
        <v>3477</v>
      </c>
      <c r="L12234" s="841" t="s">
        <v>443</v>
      </c>
      <c r="M12234" s="1357"/>
      <c r="P12234" s="841" t="s">
        <v>3882</v>
      </c>
      <c r="Q12234" s="1357"/>
      <c r="S12234" s="1420"/>
      <c r="T12234" s="1420">
        <v>43585</v>
      </c>
      <c r="V12234" s="1357">
        <v>96</v>
      </c>
    </row>
    <row r="12235" spans="1:22" s="841" customFormat="1" ht="15" x14ac:dyDescent="0.25">
      <c r="A12235" s="841" t="s">
        <v>245</v>
      </c>
      <c r="E12235" s="1690" t="s">
        <v>5424</v>
      </c>
      <c r="F12235" s="1908"/>
      <c r="G12235" s="1408" t="s">
        <v>33</v>
      </c>
      <c r="H12235" s="393">
        <v>-2.9399999999999999E-2</v>
      </c>
      <c r="K12235" s="841" t="s">
        <v>3477</v>
      </c>
      <c r="L12235" s="841" t="s">
        <v>443</v>
      </c>
      <c r="M12235" s="1357"/>
      <c r="P12235" s="841" t="s">
        <v>5367</v>
      </c>
      <c r="Q12235" s="1357"/>
      <c r="S12235" s="1420"/>
      <c r="T12235" s="1420">
        <v>43585</v>
      </c>
      <c r="V12235" s="1357">
        <v>146</v>
      </c>
    </row>
    <row r="12236" spans="1:22" s="841" customFormat="1" ht="15" x14ac:dyDescent="0.25">
      <c r="A12236" s="841" t="s">
        <v>245</v>
      </c>
      <c r="E12236" s="1690" t="s">
        <v>221</v>
      </c>
      <c r="F12236" s="1690"/>
      <c r="G12236" s="1408" t="s">
        <v>33</v>
      </c>
      <c r="H12236" s="393">
        <v>1.6919</v>
      </c>
      <c r="K12236" s="841" t="s">
        <v>3477</v>
      </c>
      <c r="L12236" s="841" t="s">
        <v>444</v>
      </c>
      <c r="M12236" s="1357"/>
      <c r="P12236" s="841" t="s">
        <v>3482</v>
      </c>
      <c r="Q12236" s="1357"/>
      <c r="S12236" s="1420"/>
      <c r="T12236" s="1420"/>
      <c r="V12236" s="1357">
        <v>47</v>
      </c>
    </row>
    <row r="12237" spans="1:22" s="841" customFormat="1" ht="15" x14ac:dyDescent="0.25">
      <c r="A12237" s="841" t="s">
        <v>245</v>
      </c>
      <c r="E12237" s="1690" t="s">
        <v>217</v>
      </c>
      <c r="F12237" s="1690"/>
      <c r="G12237" s="1408" t="s">
        <v>33</v>
      </c>
      <c r="H12237" s="393">
        <v>1.4378</v>
      </c>
      <c r="K12237" s="841" t="s">
        <v>3477</v>
      </c>
      <c r="L12237" s="841" t="s">
        <v>444</v>
      </c>
      <c r="M12237" s="1357"/>
      <c r="P12237" s="841" t="s">
        <v>3483</v>
      </c>
      <c r="Q12237" s="1357"/>
      <c r="S12237" s="1420"/>
      <c r="T12237" s="1420"/>
      <c r="V12237" s="1357">
        <v>74</v>
      </c>
    </row>
    <row r="12238" spans="1:22" s="841" customFormat="1" ht="15" x14ac:dyDescent="0.25">
      <c r="A12238" s="841" t="s">
        <v>245</v>
      </c>
      <c r="E12238" s="1694" t="s">
        <v>3079</v>
      </c>
      <c r="F12238" s="1690"/>
      <c r="G12238" s="1408"/>
      <c r="H12238" s="1408"/>
      <c r="K12238" s="841" t="s">
        <v>3260</v>
      </c>
      <c r="M12238" s="1357"/>
      <c r="Q12238" s="1357"/>
      <c r="S12238" s="1420"/>
      <c r="T12238" s="1420"/>
      <c r="V12238" s="1357">
        <v>48</v>
      </c>
    </row>
    <row r="12239" spans="1:22" s="841" customFormat="1" ht="15" x14ac:dyDescent="0.25">
      <c r="A12239" s="841" t="s">
        <v>245</v>
      </c>
      <c r="E12239" s="1690" t="s">
        <v>2449</v>
      </c>
      <c r="F12239" s="1690"/>
      <c r="G12239" s="1408" t="s">
        <v>24</v>
      </c>
      <c r="H12239" s="393">
        <v>3.2000000000000002E-3</v>
      </c>
      <c r="K12239" s="841" t="s">
        <v>3477</v>
      </c>
      <c r="L12239" s="841" t="s">
        <v>3046</v>
      </c>
      <c r="M12239" s="1357"/>
      <c r="P12239" s="841" t="s">
        <v>3484</v>
      </c>
      <c r="Q12239" s="1357"/>
      <c r="S12239" s="1420"/>
      <c r="T12239" s="1420"/>
      <c r="V12239" s="1357">
        <v>55</v>
      </c>
    </row>
    <row r="12240" spans="1:22" s="841" customFormat="1" ht="15" x14ac:dyDescent="0.25">
      <c r="A12240" s="841" t="s">
        <v>245</v>
      </c>
      <c r="E12240" s="1690" t="s">
        <v>2450</v>
      </c>
      <c r="F12240" s="1690"/>
      <c r="G12240" s="1408" t="s">
        <v>24</v>
      </c>
      <c r="H12240" s="393">
        <v>4.0000000000000002E-4</v>
      </c>
      <c r="K12240" s="841" t="s">
        <v>3477</v>
      </c>
      <c r="L12240" s="841" t="s">
        <v>3046</v>
      </c>
      <c r="M12240" s="1357"/>
      <c r="P12240" s="841" t="s">
        <v>3484</v>
      </c>
      <c r="Q12240" s="1357"/>
      <c r="S12240" s="1420"/>
      <c r="T12240" s="1420"/>
      <c r="V12240" s="1357">
        <v>65</v>
      </c>
    </row>
    <row r="12241" spans="1:22" s="841" customFormat="1" ht="15" x14ac:dyDescent="0.25">
      <c r="A12241" s="841" t="s">
        <v>245</v>
      </c>
      <c r="E12241" s="1690" t="s">
        <v>439</v>
      </c>
      <c r="F12241" s="1690"/>
      <c r="G12241" s="1408" t="s">
        <v>24</v>
      </c>
      <c r="H12241" s="393">
        <v>2.9999999999999997E-4</v>
      </c>
      <c r="K12241" s="841" t="s">
        <v>3477</v>
      </c>
      <c r="L12241" s="841" t="s">
        <v>3046</v>
      </c>
      <c r="M12241" s="1357"/>
      <c r="P12241" s="841" t="s">
        <v>3485</v>
      </c>
      <c r="Q12241" s="1357"/>
      <c r="S12241" s="1420"/>
      <c r="T12241" s="1420"/>
      <c r="V12241" s="1357">
        <v>57</v>
      </c>
    </row>
    <row r="12242" spans="1:22" s="841" customFormat="1" ht="15" x14ac:dyDescent="0.25">
      <c r="A12242" s="841" t="s">
        <v>245</v>
      </c>
      <c r="E12242" s="1690" t="s">
        <v>32</v>
      </c>
      <c r="F12242" s="1690"/>
      <c r="G12242" s="1408" t="s">
        <v>23</v>
      </c>
      <c r="H12242" s="391">
        <v>0.25</v>
      </c>
      <c r="K12242" s="841" t="s">
        <v>3477</v>
      </c>
      <c r="L12242" s="841" t="s">
        <v>3046</v>
      </c>
      <c r="M12242" s="1357"/>
      <c r="P12242" s="841" t="s">
        <v>3486</v>
      </c>
      <c r="Q12242" s="1357"/>
      <c r="S12242" s="1420"/>
      <c r="T12242" s="1420"/>
      <c r="V12242" s="1357">
        <v>63</v>
      </c>
    </row>
    <row r="12243" spans="1:22" s="841" customFormat="1" x14ac:dyDescent="0.25">
      <c r="A12243" s="841" t="s">
        <v>245</v>
      </c>
      <c r="E12243" s="1909" t="s">
        <v>618</v>
      </c>
      <c r="F12243" s="1915"/>
      <c r="G12243" s="1915"/>
      <c r="H12243" s="1915"/>
      <c r="K12243" s="841" t="s">
        <v>3487</v>
      </c>
      <c r="M12243" s="1357"/>
      <c r="Q12243" s="1357"/>
      <c r="S12243" s="1420"/>
      <c r="T12243" s="1420"/>
      <c r="V12243" s="1357">
        <v>31</v>
      </c>
    </row>
    <row r="12244" spans="1:22" s="841" customFormat="1" ht="15" x14ac:dyDescent="0.25">
      <c r="A12244" s="841" t="s">
        <v>245</v>
      </c>
      <c r="E12244" s="1689" t="s">
        <v>3372</v>
      </c>
      <c r="F12244" s="1689"/>
      <c r="G12244" s="1689"/>
      <c r="H12244" s="1689"/>
      <c r="K12244" s="841" t="s">
        <v>3487</v>
      </c>
      <c r="M12244" s="1357"/>
      <c r="Q12244" s="1357"/>
      <c r="S12244" s="1420"/>
      <c r="T12244" s="1420"/>
      <c r="V12244" s="1357">
        <v>285</v>
      </c>
    </row>
    <row r="12245" spans="1:22" s="841" customFormat="1" ht="15" x14ac:dyDescent="0.25">
      <c r="A12245" s="841" t="s">
        <v>245</v>
      </c>
      <c r="E12245" s="1916" t="s">
        <v>3061</v>
      </c>
      <c r="F12245" s="1697"/>
      <c r="G12245" s="1697"/>
      <c r="H12245" s="1697"/>
      <c r="K12245" s="841" t="s">
        <v>3266</v>
      </c>
      <c r="M12245" s="1357"/>
      <c r="Q12245" s="1357"/>
      <c r="S12245" s="1420"/>
      <c r="T12245" s="1420"/>
      <c r="V12245" s="1357">
        <v>11</v>
      </c>
    </row>
    <row r="12246" spans="1:22" s="841" customFormat="1" ht="15" x14ac:dyDescent="0.25">
      <c r="A12246" s="841" t="s">
        <v>245</v>
      </c>
      <c r="E12246" s="1689" t="s">
        <v>3063</v>
      </c>
      <c r="F12246" s="1689"/>
      <c r="G12246" s="1689"/>
      <c r="H12246" s="1689"/>
      <c r="K12246" s="841" t="s">
        <v>3487</v>
      </c>
      <c r="M12246" s="1357"/>
      <c r="Q12246" s="1357"/>
      <c r="S12246" s="1420"/>
      <c r="T12246" s="1420"/>
      <c r="V12246" s="1357">
        <v>280</v>
      </c>
    </row>
    <row r="12247" spans="1:22" s="841" customFormat="1" ht="15" x14ac:dyDescent="0.25">
      <c r="A12247" s="841" t="s">
        <v>245</v>
      </c>
      <c r="E12247" s="1689" t="s">
        <v>3064</v>
      </c>
      <c r="F12247" s="1689"/>
      <c r="G12247" s="1689"/>
      <c r="H12247" s="1689"/>
      <c r="K12247" s="841" t="s">
        <v>3487</v>
      </c>
      <c r="M12247" s="1357"/>
      <c r="Q12247" s="1357"/>
      <c r="S12247" s="1420"/>
      <c r="T12247" s="1420"/>
      <c r="V12247" s="1357">
        <v>411</v>
      </c>
    </row>
    <row r="12248" spans="1:22" s="841" customFormat="1" ht="15" x14ac:dyDescent="0.25">
      <c r="A12248" s="841" t="s">
        <v>245</v>
      </c>
      <c r="E12248" s="1689" t="s">
        <v>3129</v>
      </c>
      <c r="F12248" s="1689"/>
      <c r="G12248" s="1689"/>
      <c r="H12248" s="1689"/>
      <c r="K12248" s="841" t="s">
        <v>3487</v>
      </c>
      <c r="M12248" s="1357"/>
      <c r="Q12248" s="1357"/>
      <c r="S12248" s="1420"/>
      <c r="T12248" s="1420"/>
      <c r="V12248" s="1357">
        <v>211</v>
      </c>
    </row>
    <row r="12249" spans="1:22" s="841" customFormat="1" ht="15" x14ac:dyDescent="0.25">
      <c r="A12249" s="841" t="s">
        <v>245</v>
      </c>
      <c r="E12249" s="1689" t="s">
        <v>3200</v>
      </c>
      <c r="F12249" s="1689"/>
      <c r="G12249" s="1689"/>
      <c r="H12249" s="1689"/>
      <c r="K12249" s="841" t="s">
        <v>3487</v>
      </c>
      <c r="M12249" s="1357"/>
      <c r="Q12249" s="1357"/>
      <c r="S12249" s="1420"/>
      <c r="T12249" s="1420"/>
      <c r="V12249" s="1357">
        <v>275</v>
      </c>
    </row>
    <row r="12250" spans="1:22" s="841" customFormat="1" ht="15" x14ac:dyDescent="0.25">
      <c r="A12250" s="841" t="s">
        <v>245</v>
      </c>
      <c r="E12250" s="1694" t="s">
        <v>3067</v>
      </c>
      <c r="F12250" s="1907"/>
      <c r="G12250" s="1907"/>
      <c r="H12250" s="1907"/>
      <c r="K12250" s="841" t="s">
        <v>3267</v>
      </c>
      <c r="M12250" s="1357"/>
      <c r="Q12250" s="1357"/>
      <c r="S12250" s="1420"/>
      <c r="T12250" s="1420"/>
      <c r="V12250" s="1357">
        <v>46</v>
      </c>
    </row>
    <row r="12251" spans="1:22" s="841" customFormat="1" ht="15" x14ac:dyDescent="0.25">
      <c r="A12251" s="841" t="s">
        <v>245</v>
      </c>
      <c r="E12251" s="1690" t="s">
        <v>11</v>
      </c>
      <c r="F12251" s="1690"/>
      <c r="G12251" s="1408" t="s">
        <v>23</v>
      </c>
      <c r="H12251" s="391">
        <v>5.4</v>
      </c>
      <c r="K12251" s="841" t="s">
        <v>3487</v>
      </c>
      <c r="L12251" s="841" t="s">
        <v>442</v>
      </c>
      <c r="M12251" s="1357"/>
      <c r="P12251" s="841" t="s">
        <v>3488</v>
      </c>
      <c r="Q12251" s="1357"/>
      <c r="S12251" s="1420"/>
      <c r="T12251" s="1420"/>
      <c r="V12251" s="1357">
        <v>14</v>
      </c>
    </row>
    <row r="12252" spans="1:22" s="841" customFormat="1" ht="18.75" x14ac:dyDescent="0.3">
      <c r="A12252" s="841" t="s">
        <v>245</v>
      </c>
      <c r="E12252" s="1374" t="s">
        <v>85</v>
      </c>
      <c r="F12252" s="657"/>
      <c r="G12252" s="657"/>
      <c r="H12252" s="658"/>
      <c r="K12252" s="841" t="s">
        <v>4767</v>
      </c>
      <c r="M12252" s="1357"/>
      <c r="Q12252" s="1357"/>
      <c r="S12252" s="1420"/>
      <c r="T12252" s="1420"/>
      <c r="V12252" s="1357">
        <v>10</v>
      </c>
    </row>
    <row r="12253" spans="1:22" s="841" customFormat="1" ht="15" x14ac:dyDescent="0.25">
      <c r="A12253" s="841" t="s">
        <v>245</v>
      </c>
      <c r="E12253" s="1690" t="s">
        <v>3133</v>
      </c>
      <c r="F12253" s="1690"/>
      <c r="G12253" s="1408" t="s">
        <v>33</v>
      </c>
      <c r="H12253" s="393">
        <v>-0.6</v>
      </c>
      <c r="M12253" s="1357"/>
      <c r="Q12253" s="1357"/>
      <c r="S12253" s="1420"/>
      <c r="T12253" s="1420"/>
      <c r="V12253" s="1357">
        <v>68</v>
      </c>
    </row>
    <row r="12254" spans="1:22" s="841" customFormat="1" ht="15" x14ac:dyDescent="0.25">
      <c r="A12254" s="841" t="s">
        <v>245</v>
      </c>
      <c r="E12254" s="1690" t="s">
        <v>3134</v>
      </c>
      <c r="F12254" s="1690"/>
      <c r="G12254" s="1408" t="s">
        <v>86</v>
      </c>
      <c r="H12254" s="391">
        <v>-1</v>
      </c>
      <c r="M12254" s="1357"/>
      <c r="Q12254" s="1357"/>
      <c r="S12254" s="1420"/>
      <c r="T12254" s="1420"/>
      <c r="V12254" s="1357">
        <v>87</v>
      </c>
    </row>
    <row r="12255" spans="1:22" s="841" customFormat="1" ht="36.75" x14ac:dyDescent="0.3">
      <c r="A12255" s="841" t="s">
        <v>245</v>
      </c>
      <c r="E12255" s="1374" t="s">
        <v>87</v>
      </c>
      <c r="F12255" s="657"/>
      <c r="G12255" s="657"/>
      <c r="H12255" s="658"/>
      <c r="K12255" s="841" t="s">
        <v>4768</v>
      </c>
      <c r="M12255" s="1357"/>
      <c r="Q12255" s="1357"/>
      <c r="S12255" s="1420"/>
      <c r="T12255" s="1420"/>
      <c r="V12255" s="1357">
        <v>24</v>
      </c>
    </row>
    <row r="12256" spans="1:22" s="841" customFormat="1" ht="15" x14ac:dyDescent="0.25">
      <c r="A12256" s="841" t="s">
        <v>245</v>
      </c>
      <c r="E12256" s="1689" t="s">
        <v>3063</v>
      </c>
      <c r="F12256" s="1689"/>
      <c r="G12256" s="1689"/>
      <c r="H12256" s="1689"/>
      <c r="M12256" s="1357"/>
      <c r="Q12256" s="1357"/>
      <c r="S12256" s="1420"/>
      <c r="T12256" s="1420"/>
      <c r="V12256" s="1357">
        <v>280</v>
      </c>
    </row>
    <row r="12257" spans="1:22" s="841" customFormat="1" ht="15" x14ac:dyDescent="0.25">
      <c r="A12257" s="841" t="s">
        <v>245</v>
      </c>
      <c r="E12257" s="1689" t="s">
        <v>3136</v>
      </c>
      <c r="F12257" s="1689"/>
      <c r="G12257" s="1689"/>
      <c r="H12257" s="1689"/>
      <c r="M12257" s="1357"/>
      <c r="Q12257" s="1357"/>
      <c r="S12257" s="1420"/>
      <c r="T12257" s="1420"/>
      <c r="V12257" s="1357">
        <v>353</v>
      </c>
    </row>
    <row r="12258" spans="1:22" s="841" customFormat="1" ht="15" x14ac:dyDescent="0.25">
      <c r="A12258" s="841" t="s">
        <v>245</v>
      </c>
      <c r="E12258" s="1689" t="s">
        <v>3200</v>
      </c>
      <c r="F12258" s="1689"/>
      <c r="G12258" s="1689"/>
      <c r="H12258" s="1689"/>
      <c r="M12258" s="1357"/>
      <c r="Q12258" s="1357"/>
      <c r="S12258" s="1420"/>
      <c r="T12258" s="1420"/>
      <c r="V12258" s="1357">
        <v>275</v>
      </c>
    </row>
    <row r="12259" spans="1:22" s="841" customFormat="1" ht="15" x14ac:dyDescent="0.25">
      <c r="A12259" s="841" t="s">
        <v>245</v>
      </c>
      <c r="E12259" s="1370" t="s">
        <v>3137</v>
      </c>
      <c r="F12259" s="3"/>
      <c r="G12259" s="3"/>
      <c r="H12259" s="398"/>
      <c r="K12259" s="841" t="s">
        <v>4769</v>
      </c>
      <c r="M12259" s="1357"/>
      <c r="Q12259" s="1357"/>
      <c r="S12259" s="1420"/>
      <c r="T12259" s="1420"/>
      <c r="V12259" s="1357">
        <v>23</v>
      </c>
    </row>
    <row r="12260" spans="1:22" s="841" customFormat="1" ht="15" x14ac:dyDescent="0.25">
      <c r="A12260" s="841" t="s">
        <v>245</v>
      </c>
      <c r="E12260" s="1688" t="s">
        <v>3355</v>
      </c>
      <c r="F12260" s="1688"/>
      <c r="G12260" s="1408" t="s">
        <v>23</v>
      </c>
      <c r="H12260" s="391">
        <v>15</v>
      </c>
      <c r="M12260" s="1357"/>
      <c r="Q12260" s="1357"/>
      <c r="S12260" s="1420"/>
      <c r="T12260" s="1420"/>
      <c r="V12260" s="1357">
        <v>19</v>
      </c>
    </row>
    <row r="12261" spans="1:22" s="841" customFormat="1" ht="15" x14ac:dyDescent="0.25">
      <c r="A12261" s="841" t="s">
        <v>245</v>
      </c>
      <c r="E12261" s="1688" t="s">
        <v>3140</v>
      </c>
      <c r="F12261" s="1688"/>
      <c r="G12261" s="1408" t="s">
        <v>23</v>
      </c>
      <c r="H12261" s="391">
        <v>15</v>
      </c>
      <c r="M12261" s="1357"/>
      <c r="Q12261" s="1357"/>
      <c r="S12261" s="1420"/>
      <c r="T12261" s="1420"/>
      <c r="V12261" s="1357">
        <v>20</v>
      </c>
    </row>
    <row r="12262" spans="1:22" s="841" customFormat="1" ht="15" x14ac:dyDescent="0.25">
      <c r="A12262" s="841" t="s">
        <v>245</v>
      </c>
      <c r="E12262" s="1688" t="s">
        <v>4770</v>
      </c>
      <c r="F12262" s="1688"/>
      <c r="G12262" s="1408" t="s">
        <v>23</v>
      </c>
      <c r="H12262" s="391">
        <v>15</v>
      </c>
      <c r="M12262" s="1357"/>
      <c r="Q12262" s="1357"/>
      <c r="S12262" s="1420"/>
      <c r="T12262" s="1420"/>
      <c r="V12262" s="1357">
        <v>15</v>
      </c>
    </row>
    <row r="12263" spans="1:22" s="841" customFormat="1" ht="15" x14ac:dyDescent="0.25">
      <c r="A12263" s="841" t="s">
        <v>245</v>
      </c>
      <c r="E12263" s="1688" t="s">
        <v>3147</v>
      </c>
      <c r="F12263" s="1688"/>
      <c r="G12263" s="1408" t="s">
        <v>23</v>
      </c>
      <c r="H12263" s="391">
        <v>15</v>
      </c>
      <c r="M12263" s="1357"/>
      <c r="Q12263" s="1357"/>
      <c r="S12263" s="1420"/>
      <c r="T12263" s="1420"/>
      <c r="V12263" s="1357">
        <v>15</v>
      </c>
    </row>
    <row r="12264" spans="1:22" s="841" customFormat="1" ht="15" x14ac:dyDescent="0.25">
      <c r="A12264" s="841" t="s">
        <v>245</v>
      </c>
      <c r="E12264" s="1688" t="s">
        <v>123</v>
      </c>
      <c r="F12264" s="1688"/>
      <c r="G12264" s="1408" t="s">
        <v>23</v>
      </c>
      <c r="H12264" s="391">
        <v>25</v>
      </c>
      <c r="M12264" s="1357"/>
      <c r="Q12264" s="1357"/>
      <c r="S12264" s="1420"/>
      <c r="T12264" s="1420"/>
      <c r="V12264" s="1357">
        <v>35</v>
      </c>
    </row>
    <row r="12265" spans="1:22" s="841" customFormat="1" ht="15" x14ac:dyDescent="0.25">
      <c r="A12265" s="841" t="s">
        <v>245</v>
      </c>
      <c r="E12265" s="1688" t="s">
        <v>3151</v>
      </c>
      <c r="F12265" s="1688"/>
      <c r="G12265" s="1408" t="s">
        <v>23</v>
      </c>
      <c r="H12265" s="391">
        <v>15</v>
      </c>
      <c r="M12265" s="1357"/>
      <c r="Q12265" s="1357"/>
      <c r="S12265" s="1420"/>
      <c r="T12265" s="1420"/>
      <c r="V12265" s="1357">
        <v>19</v>
      </c>
    </row>
    <row r="12266" spans="1:22" s="841" customFormat="1" ht="15" x14ac:dyDescent="0.25">
      <c r="A12266" s="841" t="s">
        <v>245</v>
      </c>
      <c r="E12266" s="1688" t="s">
        <v>88</v>
      </c>
      <c r="F12266" s="1688"/>
      <c r="G12266" s="1408" t="s">
        <v>23</v>
      </c>
      <c r="H12266" s="391">
        <v>30</v>
      </c>
      <c r="M12266" s="1357"/>
      <c r="Q12266" s="1357"/>
      <c r="S12266" s="1420"/>
      <c r="T12266" s="1420"/>
      <c r="V12266" s="1357">
        <v>89</v>
      </c>
    </row>
    <row r="12267" spans="1:22" s="841" customFormat="1" ht="15" x14ac:dyDescent="0.25">
      <c r="A12267" s="841" t="s">
        <v>245</v>
      </c>
      <c r="E12267" s="1688" t="s">
        <v>94</v>
      </c>
      <c r="F12267" s="1688"/>
      <c r="G12267" s="1408" t="s">
        <v>23</v>
      </c>
      <c r="H12267" s="391">
        <v>30</v>
      </c>
      <c r="M12267" s="1357"/>
      <c r="Q12267" s="1357"/>
      <c r="S12267" s="1420"/>
      <c r="T12267" s="1420"/>
      <c r="V12267" s="1357">
        <v>19</v>
      </c>
    </row>
    <row r="12268" spans="1:22" s="841" customFormat="1" ht="15" x14ac:dyDescent="0.25">
      <c r="A12268" s="841" t="s">
        <v>245</v>
      </c>
      <c r="E12268" s="1688" t="s">
        <v>92</v>
      </c>
      <c r="F12268" s="1688"/>
      <c r="G12268" s="1408" t="s">
        <v>23</v>
      </c>
      <c r="H12268" s="391">
        <v>30</v>
      </c>
      <c r="M12268" s="1357"/>
      <c r="Q12268" s="1357"/>
      <c r="S12268" s="1420"/>
      <c r="T12268" s="1420"/>
      <c r="V12268" s="1357">
        <v>74</v>
      </c>
    </row>
    <row r="12269" spans="1:22" s="841" customFormat="1" ht="15" x14ac:dyDescent="0.25">
      <c r="A12269" s="841" t="s">
        <v>245</v>
      </c>
      <c r="E12269" s="1370" t="s">
        <v>3152</v>
      </c>
      <c r="F12269" s="3"/>
      <c r="G12269" s="3"/>
      <c r="H12269" s="398"/>
      <c r="K12269" s="841" t="s">
        <v>4771</v>
      </c>
      <c r="M12269" s="1357"/>
      <c r="Q12269" s="1357"/>
      <c r="S12269" s="1420"/>
      <c r="T12269" s="1420"/>
      <c r="V12269" s="1357">
        <v>22</v>
      </c>
    </row>
    <row r="12270" spans="1:22" s="841" customFormat="1" ht="15" x14ac:dyDescent="0.25">
      <c r="A12270" s="841" t="s">
        <v>245</v>
      </c>
      <c r="E12270" s="1688" t="s">
        <v>5137</v>
      </c>
      <c r="F12270" s="1688"/>
      <c r="G12270" s="1408" t="s">
        <v>86</v>
      </c>
      <c r="H12270" s="391">
        <v>1.5</v>
      </c>
      <c r="M12270" s="1357"/>
      <c r="Q12270" s="1357"/>
      <c r="S12270" s="1420"/>
      <c r="T12270" s="1420"/>
      <c r="V12270" s="1357">
        <v>24</v>
      </c>
    </row>
    <row r="12271" spans="1:22" s="841" customFormat="1" ht="15" x14ac:dyDescent="0.25">
      <c r="A12271" s="841" t="s">
        <v>245</v>
      </c>
      <c r="E12271" s="1688" t="s">
        <v>4772</v>
      </c>
      <c r="F12271" s="1688"/>
      <c r="G12271" s="1408" t="s">
        <v>86</v>
      </c>
      <c r="H12271" s="391">
        <v>19.559999999999999</v>
      </c>
      <c r="M12271" s="1357"/>
      <c r="Q12271" s="1357"/>
      <c r="S12271" s="1420"/>
      <c r="T12271" s="1420"/>
      <c r="V12271" s="1357">
        <v>24</v>
      </c>
    </row>
    <row r="12272" spans="1:22" s="841" customFormat="1" ht="15" x14ac:dyDescent="0.25">
      <c r="A12272" s="841" t="s">
        <v>245</v>
      </c>
      <c r="E12272" s="1688" t="s">
        <v>4773</v>
      </c>
      <c r="F12272" s="1688"/>
      <c r="G12272" s="1408" t="s">
        <v>23</v>
      </c>
      <c r="H12272" s="391">
        <v>65</v>
      </c>
      <c r="M12272" s="1357"/>
      <c r="Q12272" s="1357"/>
      <c r="S12272" s="1420"/>
      <c r="T12272" s="1420"/>
      <c r="V12272" s="1357">
        <v>52</v>
      </c>
    </row>
    <row r="12273" spans="1:22" s="841" customFormat="1" ht="15" x14ac:dyDescent="0.25">
      <c r="A12273" s="841" t="s">
        <v>245</v>
      </c>
      <c r="E12273" s="1688" t="s">
        <v>4774</v>
      </c>
      <c r="F12273" s="1688"/>
      <c r="G12273" s="1408" t="s">
        <v>23</v>
      </c>
      <c r="H12273" s="391">
        <v>185</v>
      </c>
      <c r="M12273" s="1357"/>
      <c r="Q12273" s="1357"/>
      <c r="S12273" s="1420"/>
      <c r="T12273" s="1420"/>
      <c r="V12273" s="1357">
        <v>51</v>
      </c>
    </row>
    <row r="12274" spans="1:22" s="841" customFormat="1" ht="15" x14ac:dyDescent="0.25">
      <c r="A12274" s="841" t="s">
        <v>245</v>
      </c>
      <c r="E12274" s="1688" t="s">
        <v>4775</v>
      </c>
      <c r="F12274" s="1688"/>
      <c r="G12274" s="1408" t="s">
        <v>23</v>
      </c>
      <c r="H12274" s="391">
        <v>185</v>
      </c>
      <c r="M12274" s="1357"/>
      <c r="Q12274" s="1357"/>
      <c r="S12274" s="1420"/>
      <c r="T12274" s="1420"/>
      <c r="V12274" s="1357">
        <v>51</v>
      </c>
    </row>
    <row r="12275" spans="1:22" s="841" customFormat="1" ht="15" x14ac:dyDescent="0.25">
      <c r="A12275" s="841" t="s">
        <v>245</v>
      </c>
      <c r="E12275" s="1688" t="s">
        <v>4776</v>
      </c>
      <c r="F12275" s="1688"/>
      <c r="G12275" s="1408" t="s">
        <v>23</v>
      </c>
      <c r="H12275" s="391">
        <v>415</v>
      </c>
      <c r="M12275" s="1357"/>
      <c r="Q12275" s="1357"/>
      <c r="S12275" s="1420"/>
      <c r="T12275" s="1420"/>
      <c r="V12275" s="1357">
        <v>50</v>
      </c>
    </row>
    <row r="12276" spans="1:22" s="841" customFormat="1" ht="15" x14ac:dyDescent="0.25">
      <c r="A12276" s="841" t="s">
        <v>245</v>
      </c>
      <c r="E12276" s="1688" t="s">
        <v>4777</v>
      </c>
      <c r="F12276" s="1688"/>
      <c r="G12276" s="1408" t="s">
        <v>23</v>
      </c>
      <c r="H12276" s="391">
        <v>65</v>
      </c>
      <c r="M12276" s="1357"/>
      <c r="Q12276" s="1357"/>
      <c r="S12276" s="1420"/>
      <c r="T12276" s="1420"/>
      <c r="V12276" s="1357">
        <v>57</v>
      </c>
    </row>
    <row r="12277" spans="1:22" s="841" customFormat="1" ht="15" x14ac:dyDescent="0.25">
      <c r="A12277" s="841" t="s">
        <v>245</v>
      </c>
      <c r="E12277" s="1688" t="s">
        <v>4778</v>
      </c>
      <c r="F12277" s="1688"/>
      <c r="G12277" s="1408" t="s">
        <v>23</v>
      </c>
      <c r="H12277" s="391">
        <v>185</v>
      </c>
      <c r="M12277" s="1357"/>
      <c r="Q12277" s="1357"/>
      <c r="S12277" s="1420"/>
      <c r="T12277" s="1420"/>
      <c r="V12277" s="1357">
        <v>56</v>
      </c>
    </row>
    <row r="12278" spans="1:22" s="841" customFormat="1" ht="15" x14ac:dyDescent="0.25">
      <c r="A12278" s="841" t="s">
        <v>245</v>
      </c>
      <c r="E12278" s="1370" t="s">
        <v>3164</v>
      </c>
      <c r="F12278" s="3"/>
      <c r="G12278" s="3"/>
      <c r="H12278" s="398"/>
      <c r="M12278" s="1357"/>
      <c r="Q12278" s="1357"/>
      <c r="S12278" s="1420"/>
      <c r="T12278" s="1420"/>
      <c r="V12278" s="1357">
        <v>5</v>
      </c>
    </row>
    <row r="12279" spans="1:22" s="841" customFormat="1" ht="15" x14ac:dyDescent="0.25">
      <c r="A12279" s="841" t="s">
        <v>245</v>
      </c>
      <c r="E12279" s="1688" t="s">
        <v>4779</v>
      </c>
      <c r="F12279" s="1688"/>
      <c r="G12279" s="1408" t="s">
        <v>23</v>
      </c>
      <c r="H12279" s="391">
        <v>30</v>
      </c>
      <c r="M12279" s="1357"/>
      <c r="Q12279" s="1357"/>
      <c r="S12279" s="1420"/>
      <c r="T12279" s="1420"/>
      <c r="V12279" s="1357">
        <v>39</v>
      </c>
    </row>
    <row r="12280" spans="1:22" s="841" customFormat="1" ht="15" x14ac:dyDescent="0.25">
      <c r="A12280" s="841" t="s">
        <v>245</v>
      </c>
      <c r="E12280" s="1688" t="s">
        <v>3168</v>
      </c>
      <c r="F12280" s="1688"/>
      <c r="G12280" s="1408" t="s">
        <v>23</v>
      </c>
      <c r="H12280" s="391">
        <v>165</v>
      </c>
      <c r="M12280" s="1357"/>
      <c r="Q12280" s="1357"/>
      <c r="S12280" s="1420"/>
      <c r="T12280" s="1420"/>
      <c r="V12280" s="1357">
        <v>34</v>
      </c>
    </row>
    <row r="12281" spans="1:22" s="841" customFormat="1" ht="15" x14ac:dyDescent="0.25">
      <c r="A12281" s="841" t="s">
        <v>245</v>
      </c>
      <c r="E12281" s="1688" t="s">
        <v>3491</v>
      </c>
      <c r="F12281" s="1688"/>
      <c r="G12281" s="1408" t="s">
        <v>23</v>
      </c>
      <c r="H12281" s="391">
        <v>22.35</v>
      </c>
      <c r="M12281" s="1357"/>
      <c r="Q12281" s="1357"/>
      <c r="S12281" s="1420"/>
      <c r="T12281" s="1420"/>
      <c r="V12281" s="1357">
        <v>59</v>
      </c>
    </row>
    <row r="12282" spans="1:22" s="841" customFormat="1" ht="15" x14ac:dyDescent="0.25">
      <c r="A12282" s="841" t="s">
        <v>245</v>
      </c>
      <c r="E12282" s="1688" t="s">
        <v>3166</v>
      </c>
      <c r="F12282" s="1688"/>
      <c r="G12282" s="1408"/>
      <c r="H12282" s="394"/>
      <c r="M12282" s="1357"/>
      <c r="Q12282" s="1357"/>
      <c r="S12282" s="1420"/>
      <c r="T12282" s="1420"/>
      <c r="V12282" s="1357">
        <v>44</v>
      </c>
    </row>
    <row r="12283" spans="1:22" s="841" customFormat="1" ht="36.75" x14ac:dyDescent="0.3">
      <c r="A12283" s="841" t="s">
        <v>245</v>
      </c>
      <c r="E12283" s="1374" t="s">
        <v>77</v>
      </c>
      <c r="F12283" s="657"/>
      <c r="G12283" s="657"/>
      <c r="H12283" s="658"/>
      <c r="K12283" s="841" t="s">
        <v>4780</v>
      </c>
      <c r="M12283" s="1357"/>
      <c r="Q12283" s="1357"/>
      <c r="S12283" s="1420"/>
      <c r="T12283" s="1420"/>
      <c r="V12283" s="1357">
        <v>38</v>
      </c>
    </row>
    <row r="12284" spans="1:22" s="841" customFormat="1" ht="15" x14ac:dyDescent="0.25">
      <c r="A12284" s="841" t="s">
        <v>245</v>
      </c>
      <c r="E12284" s="1689" t="s">
        <v>3063</v>
      </c>
      <c r="F12284" s="1689"/>
      <c r="G12284" s="1689"/>
      <c r="H12284" s="1689"/>
      <c r="M12284" s="1357"/>
      <c r="Q12284" s="1357"/>
      <c r="S12284" s="1420"/>
      <c r="T12284" s="1420"/>
      <c r="V12284" s="1357">
        <v>280</v>
      </c>
    </row>
    <row r="12285" spans="1:22" s="841" customFormat="1" ht="15" x14ac:dyDescent="0.25">
      <c r="A12285" s="841" t="s">
        <v>245</v>
      </c>
      <c r="E12285" s="1689" t="s">
        <v>3064</v>
      </c>
      <c r="F12285" s="1689"/>
      <c r="G12285" s="1689"/>
      <c r="H12285" s="1689"/>
      <c r="M12285" s="1357"/>
      <c r="Q12285" s="1357"/>
      <c r="S12285" s="1420"/>
      <c r="T12285" s="1420"/>
      <c r="V12285" s="1357">
        <v>411</v>
      </c>
    </row>
    <row r="12286" spans="1:22" s="841" customFormat="1" ht="15" x14ac:dyDescent="0.25">
      <c r="A12286" s="841" t="s">
        <v>245</v>
      </c>
      <c r="E12286" s="1689" t="s">
        <v>3129</v>
      </c>
      <c r="F12286" s="1689"/>
      <c r="G12286" s="1689"/>
      <c r="H12286" s="1689"/>
      <c r="M12286" s="1357"/>
      <c r="Q12286" s="1357"/>
      <c r="S12286" s="1420"/>
      <c r="T12286" s="1420"/>
      <c r="V12286" s="1357">
        <v>211</v>
      </c>
    </row>
    <row r="12287" spans="1:22" s="841" customFormat="1" ht="15" x14ac:dyDescent="0.25">
      <c r="A12287" s="841" t="s">
        <v>245</v>
      </c>
      <c r="E12287" s="1689" t="s">
        <v>3200</v>
      </c>
      <c r="F12287" s="1689"/>
      <c r="G12287" s="1689"/>
      <c r="H12287" s="1689"/>
      <c r="M12287" s="1357"/>
      <c r="Q12287" s="1357"/>
      <c r="S12287" s="1420"/>
      <c r="T12287" s="1420"/>
      <c r="V12287" s="1357">
        <v>275</v>
      </c>
    </row>
    <row r="12288" spans="1:22" s="841" customFormat="1" ht="15" x14ac:dyDescent="0.25">
      <c r="A12288" s="841" t="s">
        <v>245</v>
      </c>
      <c r="E12288" s="1689" t="s">
        <v>3291</v>
      </c>
      <c r="F12288" s="1689"/>
      <c r="G12288" s="1689"/>
      <c r="H12288" s="1689"/>
      <c r="M12288" s="1357"/>
      <c r="Q12288" s="1357"/>
      <c r="S12288" s="1420"/>
      <c r="T12288" s="1420"/>
      <c r="V12288" s="1357">
        <v>142</v>
      </c>
    </row>
    <row r="12289" spans="1:22" s="841" customFormat="1" ht="15" x14ac:dyDescent="0.25">
      <c r="A12289" s="841" t="s">
        <v>245</v>
      </c>
      <c r="E12289" s="1690" t="s">
        <v>3176</v>
      </c>
      <c r="F12289" s="1690"/>
      <c r="G12289" s="397" t="s">
        <v>23</v>
      </c>
      <c r="H12289" s="391">
        <v>100</v>
      </c>
      <c r="M12289" s="1357"/>
      <c r="Q12289" s="1357"/>
      <c r="S12289" s="1420"/>
      <c r="T12289" s="1420"/>
      <c r="V12289" s="1357">
        <v>106</v>
      </c>
    </row>
    <row r="12290" spans="1:22" s="841" customFormat="1" ht="15" x14ac:dyDescent="0.25">
      <c r="A12290" s="841" t="s">
        <v>245</v>
      </c>
      <c r="E12290" s="1690" t="s">
        <v>5894</v>
      </c>
      <c r="F12290" s="1690"/>
      <c r="G12290" s="397" t="s">
        <v>23</v>
      </c>
      <c r="H12290" s="391">
        <v>20</v>
      </c>
      <c r="M12290" s="1357"/>
      <c r="Q12290" s="1357"/>
      <c r="S12290" s="1420"/>
      <c r="T12290" s="1420"/>
      <c r="V12290" s="1357">
        <v>33</v>
      </c>
    </row>
    <row r="12291" spans="1:22" s="841" customFormat="1" ht="15" x14ac:dyDescent="0.25">
      <c r="A12291" s="841" t="s">
        <v>245</v>
      </c>
      <c r="E12291" s="1690" t="s">
        <v>5141</v>
      </c>
      <c r="F12291" s="1690"/>
      <c r="G12291" s="397" t="s">
        <v>3179</v>
      </c>
      <c r="H12291" s="391">
        <v>0.5</v>
      </c>
      <c r="M12291" s="1357"/>
      <c r="Q12291" s="1357"/>
      <c r="S12291" s="1420"/>
      <c r="T12291" s="1420"/>
      <c r="V12291" s="1357">
        <v>51</v>
      </c>
    </row>
    <row r="12292" spans="1:22" s="841" customFormat="1" ht="15" x14ac:dyDescent="0.25">
      <c r="A12292" s="841" t="s">
        <v>245</v>
      </c>
      <c r="E12292" s="1690" t="s">
        <v>3180</v>
      </c>
      <c r="F12292" s="1690"/>
      <c r="G12292" s="397" t="s">
        <v>3179</v>
      </c>
      <c r="H12292" s="391">
        <v>0.3</v>
      </c>
      <c r="M12292" s="1357"/>
      <c r="Q12292" s="1357"/>
      <c r="S12292" s="1420"/>
      <c r="T12292" s="1420"/>
      <c r="V12292" s="1357">
        <v>75</v>
      </c>
    </row>
    <row r="12293" spans="1:22" s="841" customFormat="1" ht="15" x14ac:dyDescent="0.25">
      <c r="A12293" s="841" t="s">
        <v>245</v>
      </c>
      <c r="E12293" s="1690" t="s">
        <v>3181</v>
      </c>
      <c r="F12293" s="1690"/>
      <c r="G12293" s="397" t="s">
        <v>3179</v>
      </c>
      <c r="H12293" s="391">
        <v>-0.3</v>
      </c>
      <c r="M12293" s="1357"/>
      <c r="Q12293" s="1357"/>
      <c r="S12293" s="1420"/>
      <c r="T12293" s="1420"/>
      <c r="V12293" s="1357">
        <v>72</v>
      </c>
    </row>
    <row r="12294" spans="1:22" s="841" customFormat="1" ht="15" x14ac:dyDescent="0.25">
      <c r="A12294" s="841" t="s">
        <v>245</v>
      </c>
      <c r="E12294" s="1690" t="s">
        <v>3292</v>
      </c>
      <c r="F12294" s="1690"/>
      <c r="G12294" s="397"/>
      <c r="H12294" s="392"/>
      <c r="M12294" s="1357"/>
      <c r="Q12294" s="1357"/>
      <c r="S12294" s="1420"/>
      <c r="T12294" s="1420"/>
      <c r="V12294" s="1357">
        <v>34</v>
      </c>
    </row>
    <row r="12295" spans="1:22" s="841" customFormat="1" ht="15" x14ac:dyDescent="0.25">
      <c r="A12295" s="841" t="s">
        <v>245</v>
      </c>
      <c r="E12295" s="1691" t="s">
        <v>3183</v>
      </c>
      <c r="F12295" s="1691"/>
      <c r="G12295" s="397" t="s">
        <v>23</v>
      </c>
      <c r="H12295" s="391">
        <v>0.25</v>
      </c>
      <c r="M12295" s="1357"/>
      <c r="Q12295" s="1357"/>
      <c r="S12295" s="1420"/>
      <c r="T12295" s="1420"/>
      <c r="V12295" s="1357">
        <v>57</v>
      </c>
    </row>
    <row r="12296" spans="1:22" s="841" customFormat="1" ht="15" x14ac:dyDescent="0.25">
      <c r="A12296" s="841" t="s">
        <v>245</v>
      </c>
      <c r="E12296" s="1691" t="s">
        <v>3184</v>
      </c>
      <c r="F12296" s="1691"/>
      <c r="G12296" s="397" t="s">
        <v>23</v>
      </c>
      <c r="H12296" s="391">
        <v>0.5</v>
      </c>
      <c r="M12296" s="1357"/>
      <c r="Q12296" s="1357"/>
      <c r="S12296" s="1420"/>
      <c r="T12296" s="1420"/>
      <c r="V12296" s="1357">
        <v>60</v>
      </c>
    </row>
    <row r="12297" spans="1:22" s="841" customFormat="1" ht="15" x14ac:dyDescent="0.25">
      <c r="A12297" s="841" t="s">
        <v>245</v>
      </c>
      <c r="E12297" s="1690" t="s">
        <v>3185</v>
      </c>
      <c r="F12297" s="1690"/>
      <c r="G12297" s="397"/>
      <c r="H12297" s="392"/>
      <c r="M12297" s="1357"/>
      <c r="Q12297" s="1357"/>
      <c r="S12297" s="1420"/>
      <c r="T12297" s="1420"/>
      <c r="V12297" s="1357">
        <v>91</v>
      </c>
    </row>
    <row r="12298" spans="1:22" s="841" customFormat="1" ht="15" x14ac:dyDescent="0.25">
      <c r="A12298" s="841" t="s">
        <v>245</v>
      </c>
      <c r="E12298" s="1690" t="s">
        <v>3186</v>
      </c>
      <c r="F12298" s="1690"/>
      <c r="G12298" s="397"/>
      <c r="H12298" s="392"/>
      <c r="M12298" s="1357"/>
      <c r="Q12298" s="1357"/>
      <c r="S12298" s="1420"/>
      <c r="T12298" s="1420"/>
      <c r="V12298" s="1357">
        <v>96</v>
      </c>
    </row>
    <row r="12299" spans="1:22" s="841" customFormat="1" ht="15" x14ac:dyDescent="0.25">
      <c r="A12299" s="841" t="s">
        <v>245</v>
      </c>
      <c r="E12299" s="1690" t="s">
        <v>3293</v>
      </c>
      <c r="F12299" s="1690"/>
      <c r="G12299" s="397"/>
      <c r="H12299" s="392"/>
      <c r="M12299" s="1357"/>
      <c r="Q12299" s="1357"/>
      <c r="S12299" s="1420"/>
      <c r="T12299" s="1420"/>
      <c r="V12299" s="1357">
        <v>77</v>
      </c>
    </row>
    <row r="12300" spans="1:22" s="841" customFormat="1" ht="15" x14ac:dyDescent="0.25">
      <c r="A12300" s="841" t="s">
        <v>245</v>
      </c>
      <c r="E12300" s="1691" t="s">
        <v>3188</v>
      </c>
      <c r="F12300" s="1691"/>
      <c r="G12300" s="397" t="s">
        <v>23</v>
      </c>
      <c r="H12300" s="392" t="s">
        <v>3189</v>
      </c>
      <c r="M12300" s="1357"/>
      <c r="Q12300" s="1357"/>
      <c r="S12300" s="1420"/>
      <c r="T12300" s="1420"/>
      <c r="V12300" s="1357">
        <v>18</v>
      </c>
    </row>
    <row r="12301" spans="1:22" s="841" customFormat="1" ht="15" x14ac:dyDescent="0.25">
      <c r="A12301" s="841" t="s">
        <v>245</v>
      </c>
      <c r="E12301" s="1691" t="s">
        <v>3190</v>
      </c>
      <c r="F12301" s="1691"/>
      <c r="G12301" s="397" t="s">
        <v>23</v>
      </c>
      <c r="H12301" s="391">
        <v>2</v>
      </c>
      <c r="M12301" s="1357"/>
      <c r="Q12301" s="1357"/>
      <c r="S12301" s="1420"/>
      <c r="T12301" s="1420"/>
      <c r="V12301" s="1357">
        <v>69</v>
      </c>
    </row>
    <row r="12302" spans="1:22" s="841" customFormat="1" ht="18.75" x14ac:dyDescent="0.3">
      <c r="A12302" s="841" t="s">
        <v>245</v>
      </c>
      <c r="E12302" s="1374" t="s">
        <v>147</v>
      </c>
      <c r="F12302" s="657"/>
      <c r="G12302" s="657"/>
      <c r="H12302" s="658"/>
      <c r="K12302" s="841" t="s">
        <v>4781</v>
      </c>
      <c r="M12302" s="1357"/>
      <c r="Q12302" s="1357"/>
      <c r="S12302" s="1420"/>
      <c r="T12302" s="1420"/>
      <c r="V12302" s="1357">
        <v>12</v>
      </c>
    </row>
    <row r="12303" spans="1:22" s="841" customFormat="1" ht="15" x14ac:dyDescent="0.25">
      <c r="A12303" s="841" t="s">
        <v>245</v>
      </c>
      <c r="E12303" s="1704" t="s">
        <v>3192</v>
      </c>
      <c r="F12303" s="1704"/>
      <c r="G12303" s="1704"/>
      <c r="H12303" s="1704"/>
      <c r="M12303" s="1357"/>
      <c r="Q12303" s="1357"/>
      <c r="S12303" s="1420"/>
      <c r="T12303" s="1420"/>
      <c r="V12303" s="1357">
        <v>203</v>
      </c>
    </row>
    <row r="12304" spans="1:22" s="841" customFormat="1" ht="15" x14ac:dyDescent="0.25">
      <c r="A12304" s="841" t="s">
        <v>245</v>
      </c>
      <c r="E12304" s="1690" t="s">
        <v>5895</v>
      </c>
      <c r="F12304" s="1690"/>
      <c r="G12304" s="1408"/>
      <c r="H12304" s="393">
        <v>1.0394000000000001</v>
      </c>
      <c r="M12304" s="1357"/>
      <c r="Q12304" s="1357"/>
      <c r="S12304" s="1420"/>
      <c r="T12304" s="1420"/>
      <c r="V12304" s="1357">
        <v>47</v>
      </c>
    </row>
    <row r="12305" spans="1:22" s="841" customFormat="1" ht="15" x14ac:dyDescent="0.25">
      <c r="A12305" s="841" t="s">
        <v>245</v>
      </c>
      <c r="E12305" s="1690" t="s">
        <v>5896</v>
      </c>
      <c r="F12305" s="1690"/>
      <c r="G12305" s="1408"/>
      <c r="H12305" s="393">
        <v>1.0289999999999999</v>
      </c>
      <c r="J12305" s="841" t="s">
        <v>4782</v>
      </c>
      <c r="M12305" s="1357"/>
      <c r="Q12305" s="1357"/>
      <c r="S12305" s="1420"/>
      <c r="T12305" s="1420"/>
      <c r="V12305" s="1357">
        <v>44</v>
      </c>
    </row>
    <row r="12306" spans="1:22" s="841" customFormat="1" ht="23.25" x14ac:dyDescent="0.25">
      <c r="A12306" s="841" t="s">
        <v>170</v>
      </c>
      <c r="C12306" s="841" t="s">
        <v>3050</v>
      </c>
      <c r="E12306" s="1911" t="s">
        <v>170</v>
      </c>
      <c r="F12306" s="1911"/>
      <c r="G12306" s="1911"/>
      <c r="H12306" s="1911"/>
      <c r="I12306" s="841" t="s">
        <v>628</v>
      </c>
      <c r="J12306" s="841" t="s">
        <v>4561</v>
      </c>
      <c r="K12306" s="841" t="s">
        <v>170</v>
      </c>
      <c r="M12306" s="1357">
        <v>6</v>
      </c>
      <c r="Q12306" s="1357"/>
      <c r="S12306" s="1420"/>
      <c r="T12306" s="1420"/>
      <c r="V12306" s="1357">
        <v>24</v>
      </c>
    </row>
    <row r="12307" spans="1:22" s="841" customFormat="1" x14ac:dyDescent="0.25">
      <c r="A12307" s="841" t="s">
        <v>170</v>
      </c>
      <c r="C12307" s="841" t="s">
        <v>3052</v>
      </c>
      <c r="E12307" s="1912" t="s">
        <v>3053</v>
      </c>
      <c r="F12307" s="1912"/>
      <c r="G12307" s="1912"/>
      <c r="H12307" s="1912"/>
      <c r="M12307" s="1357"/>
      <c r="Q12307" s="1357"/>
      <c r="S12307" s="1420"/>
      <c r="T12307" s="1420"/>
      <c r="V12307" s="1357">
        <v>27</v>
      </c>
    </row>
    <row r="12308" spans="1:22" s="841" customFormat="1" ht="15.75" x14ac:dyDescent="0.25">
      <c r="A12308" s="841" t="s">
        <v>170</v>
      </c>
      <c r="C12308" s="841" t="s">
        <v>3054</v>
      </c>
      <c r="E12308" s="1913" t="s">
        <v>5107</v>
      </c>
      <c r="F12308" s="1913"/>
      <c r="G12308" s="1913"/>
      <c r="H12308" s="1913"/>
      <c r="M12308" s="1357"/>
      <c r="Q12308" s="1357"/>
      <c r="S12308" s="1420">
        <v>43221</v>
      </c>
      <c r="T12308" s="1420"/>
      <c r="V12308" s="1357">
        <v>45</v>
      </c>
    </row>
    <row r="12309" spans="1:22" s="841" customFormat="1" ht="15" x14ac:dyDescent="0.25">
      <c r="A12309" s="841" t="s">
        <v>170</v>
      </c>
      <c r="C12309" s="841" t="s">
        <v>3055</v>
      </c>
      <c r="E12309" s="1914" t="s">
        <v>3056</v>
      </c>
      <c r="F12309" s="1914"/>
      <c r="G12309" s="1914"/>
      <c r="H12309" s="1914"/>
      <c r="M12309" s="1357"/>
      <c r="Q12309" s="1357"/>
      <c r="S12309" s="1420"/>
      <c r="T12309" s="1420"/>
      <c r="V12309" s="1357">
        <v>52</v>
      </c>
    </row>
    <row r="12310" spans="1:22" s="841" customFormat="1" ht="15" x14ac:dyDescent="0.25">
      <c r="A12310" s="841" t="s">
        <v>170</v>
      </c>
      <c r="E12310" s="1914" t="s">
        <v>3057</v>
      </c>
      <c r="F12310" s="1914"/>
      <c r="G12310" s="1914"/>
      <c r="H12310" s="1914"/>
      <c r="M12310" s="1357"/>
      <c r="Q12310" s="1357"/>
      <c r="S12310" s="1420"/>
      <c r="T12310" s="1420"/>
      <c r="V12310" s="1357">
        <v>53</v>
      </c>
    </row>
    <row r="12311" spans="1:22" s="841" customFormat="1" ht="15" x14ac:dyDescent="0.25">
      <c r="A12311" s="841" t="s">
        <v>170</v>
      </c>
      <c r="E12311" s="1925" t="s">
        <v>5897</v>
      </c>
      <c r="F12311" s="1925"/>
      <c r="G12311" s="1925"/>
      <c r="H12311" s="1925"/>
      <c r="K12311" s="841" t="s">
        <v>5897</v>
      </c>
      <c r="M12311" s="1357"/>
      <c r="Q12311" s="1357"/>
      <c r="S12311" s="1420"/>
      <c r="T12311" s="1420"/>
      <c r="V12311" s="1357">
        <v>12</v>
      </c>
    </row>
    <row r="12312" spans="1:22" s="841" customFormat="1" ht="15" x14ac:dyDescent="0.25">
      <c r="A12312" s="841" t="s">
        <v>170</v>
      </c>
      <c r="E12312" s="1909" t="s">
        <v>438</v>
      </c>
      <c r="F12312" s="1689"/>
      <c r="G12312" s="1697"/>
      <c r="H12312" s="1697"/>
      <c r="K12312" s="841" t="s">
        <v>3197</v>
      </c>
      <c r="M12312" s="1357"/>
      <c r="Q12312" s="1357"/>
      <c r="S12312" s="1420"/>
      <c r="T12312" s="1420"/>
      <c r="V12312" s="1357">
        <v>34</v>
      </c>
    </row>
    <row r="12313" spans="1:22" s="841" customFormat="1" ht="15" x14ac:dyDescent="0.25">
      <c r="A12313" s="841" t="s">
        <v>170</v>
      </c>
      <c r="E12313" s="1689" t="s">
        <v>4562</v>
      </c>
      <c r="F12313" s="1689"/>
      <c r="G12313" s="1689"/>
      <c r="H12313" s="1689"/>
      <c r="K12313" s="841" t="s">
        <v>3197</v>
      </c>
      <c r="M12313" s="1357"/>
      <c r="Q12313" s="1357"/>
      <c r="S12313" s="1420"/>
      <c r="T12313" s="1420"/>
      <c r="V12313" s="1357">
        <v>665</v>
      </c>
    </row>
    <row r="12314" spans="1:22" s="841" customFormat="1" ht="15" x14ac:dyDescent="0.25">
      <c r="A12314" s="841" t="s">
        <v>170</v>
      </c>
      <c r="E12314" s="1916" t="s">
        <v>3061</v>
      </c>
      <c r="F12314" s="1689"/>
      <c r="G12314" s="1697"/>
      <c r="H12314" s="1697"/>
      <c r="K12314" s="841" t="s">
        <v>3062</v>
      </c>
      <c r="M12314" s="1357"/>
      <c r="Q12314" s="1357"/>
      <c r="S12314" s="1420"/>
      <c r="T12314" s="1420"/>
      <c r="V12314" s="1357">
        <v>11</v>
      </c>
    </row>
    <row r="12315" spans="1:22" s="841" customFormat="1" ht="15" x14ac:dyDescent="0.25">
      <c r="A12315" s="841" t="s">
        <v>170</v>
      </c>
      <c r="E12315" s="1689" t="s">
        <v>3063</v>
      </c>
      <c r="F12315" s="1689"/>
      <c r="G12315" s="1689"/>
      <c r="H12315" s="1689"/>
      <c r="K12315" s="841" t="s">
        <v>3197</v>
      </c>
      <c r="M12315" s="1357"/>
      <c r="Q12315" s="1357"/>
      <c r="S12315" s="1420"/>
      <c r="T12315" s="1420"/>
      <c r="V12315" s="1357">
        <v>280</v>
      </c>
    </row>
    <row r="12316" spans="1:22" s="841" customFormat="1" ht="15" x14ac:dyDescent="0.25">
      <c r="A12316" s="841" t="s">
        <v>170</v>
      </c>
      <c r="E12316" s="1689" t="s">
        <v>4044</v>
      </c>
      <c r="F12316" s="1689"/>
      <c r="G12316" s="1689"/>
      <c r="H12316" s="1689"/>
      <c r="K12316" s="841" t="s">
        <v>3197</v>
      </c>
      <c r="M12316" s="1357"/>
      <c r="Q12316" s="1357"/>
      <c r="S12316" s="1420"/>
      <c r="T12316" s="1420"/>
      <c r="V12316" s="1357">
        <v>411</v>
      </c>
    </row>
    <row r="12317" spans="1:22" s="841" customFormat="1" ht="15" x14ac:dyDescent="0.25">
      <c r="A12317" s="841" t="s">
        <v>170</v>
      </c>
      <c r="E12317" s="1689" t="s">
        <v>4563</v>
      </c>
      <c r="F12317" s="1689"/>
      <c r="G12317" s="1689"/>
      <c r="H12317" s="1689"/>
      <c r="K12317" s="841" t="s">
        <v>3197</v>
      </c>
      <c r="M12317" s="1357"/>
      <c r="Q12317" s="1357"/>
      <c r="S12317" s="1420"/>
      <c r="T12317" s="1420"/>
      <c r="V12317" s="1357">
        <v>385</v>
      </c>
    </row>
    <row r="12318" spans="1:22" s="841" customFormat="1" ht="15" x14ac:dyDescent="0.25">
      <c r="A12318" s="841" t="s">
        <v>170</v>
      </c>
      <c r="E12318" s="1689" t="s">
        <v>4564</v>
      </c>
      <c r="F12318" s="1689"/>
      <c r="G12318" s="1689"/>
      <c r="H12318" s="1689"/>
      <c r="K12318" s="841" t="s">
        <v>3197</v>
      </c>
      <c r="M12318" s="1357"/>
      <c r="Q12318" s="1357"/>
      <c r="S12318" s="1420"/>
      <c r="T12318" s="1420"/>
      <c r="V12318" s="1357">
        <v>266</v>
      </c>
    </row>
    <row r="12319" spans="1:22" s="841" customFormat="1" ht="15" x14ac:dyDescent="0.25">
      <c r="A12319" s="841" t="s">
        <v>170</v>
      </c>
      <c r="E12319" s="1694" t="s">
        <v>3067</v>
      </c>
      <c r="F12319" s="1907"/>
      <c r="G12319" s="1907"/>
      <c r="H12319" s="1907"/>
      <c r="K12319" s="841" t="s">
        <v>3068</v>
      </c>
      <c r="M12319" s="1357"/>
      <c r="Q12319" s="1357"/>
      <c r="S12319" s="1420"/>
      <c r="T12319" s="1420"/>
      <c r="V12319" s="1357">
        <v>46</v>
      </c>
    </row>
    <row r="12320" spans="1:22" s="841" customFormat="1" ht="15" x14ac:dyDescent="0.25">
      <c r="A12320" s="841" t="s">
        <v>170</v>
      </c>
      <c r="E12320" s="1690" t="s">
        <v>11</v>
      </c>
      <c r="F12320" s="1690"/>
      <c r="G12320" s="1408" t="s">
        <v>23</v>
      </c>
      <c r="H12320" s="391">
        <v>20.190000000000001</v>
      </c>
      <c r="K12320" s="841" t="s">
        <v>3197</v>
      </c>
      <c r="L12320" s="841" t="s">
        <v>442</v>
      </c>
      <c r="M12320" s="1357"/>
      <c r="P12320" s="841" t="s">
        <v>3201</v>
      </c>
      <c r="Q12320" s="1357"/>
      <c r="S12320" s="1420"/>
      <c r="T12320" s="1420"/>
      <c r="V12320" s="1357">
        <v>14</v>
      </c>
    </row>
    <row r="12321" spans="1:22" s="841" customFormat="1" ht="15" x14ac:dyDescent="0.25">
      <c r="A12321" s="841" t="s">
        <v>170</v>
      </c>
      <c r="E12321" s="1690" t="s">
        <v>5109</v>
      </c>
      <c r="F12321" s="1690"/>
      <c r="G12321" s="1408" t="s">
        <v>23</v>
      </c>
      <c r="H12321" s="391">
        <v>0.56999999999999995</v>
      </c>
      <c r="K12321" s="841" t="s">
        <v>3197</v>
      </c>
      <c r="L12321" s="841" t="s">
        <v>443</v>
      </c>
      <c r="M12321" s="1357"/>
      <c r="P12321" s="841" t="s">
        <v>3202</v>
      </c>
      <c r="Q12321" s="1357"/>
      <c r="S12321" s="1420"/>
      <c r="T12321" s="1420">
        <v>44926</v>
      </c>
      <c r="V12321" s="1357">
        <v>64</v>
      </c>
    </row>
    <row r="12322" spans="1:22" s="841" customFormat="1" ht="15" x14ac:dyDescent="0.25">
      <c r="A12322" s="841" t="s">
        <v>170</v>
      </c>
      <c r="E12322" s="1690" t="s">
        <v>84</v>
      </c>
      <c r="F12322" s="1690"/>
      <c r="G12322" s="1408" t="s">
        <v>24</v>
      </c>
      <c r="H12322" s="393">
        <v>4.1000000000000003E-3</v>
      </c>
      <c r="K12322" s="841" t="s">
        <v>3197</v>
      </c>
      <c r="L12322" s="841" t="s">
        <v>442</v>
      </c>
      <c r="M12322" s="1357"/>
      <c r="P12322" s="841" t="s">
        <v>3203</v>
      </c>
      <c r="Q12322" s="1357"/>
      <c r="S12322" s="1420"/>
      <c r="T12322" s="1420"/>
      <c r="V12322" s="1357">
        <v>28</v>
      </c>
    </row>
    <row r="12323" spans="1:22" s="841" customFormat="1" ht="15" x14ac:dyDescent="0.25">
      <c r="A12323" s="841" t="s">
        <v>170</v>
      </c>
      <c r="E12323" s="1690" t="s">
        <v>18</v>
      </c>
      <c r="F12323" s="1690"/>
      <c r="G12323" s="1408" t="s">
        <v>24</v>
      </c>
      <c r="H12323" s="393">
        <v>2.3999999999999998E-3</v>
      </c>
      <c r="K12323" s="841" t="s">
        <v>3197</v>
      </c>
      <c r="L12323" s="841" t="s">
        <v>443</v>
      </c>
      <c r="M12323" s="1357"/>
      <c r="P12323" s="841" t="s">
        <v>3204</v>
      </c>
      <c r="Q12323" s="1357"/>
      <c r="S12323" s="1420"/>
      <c r="T12323" s="1420"/>
      <c r="V12323" s="1357">
        <v>24</v>
      </c>
    </row>
    <row r="12324" spans="1:22" s="841" customFormat="1" ht="15" x14ac:dyDescent="0.25">
      <c r="A12324" s="841" t="s">
        <v>170</v>
      </c>
      <c r="E12324" s="1690" t="s">
        <v>5129</v>
      </c>
      <c r="F12324" s="1908"/>
      <c r="G12324" s="1408" t="s">
        <v>24</v>
      </c>
      <c r="H12324" s="393">
        <v>-1E-4</v>
      </c>
      <c r="K12324" s="841" t="s">
        <v>3197</v>
      </c>
      <c r="L12324" s="841" t="s">
        <v>443</v>
      </c>
      <c r="M12324" s="1357"/>
      <c r="P12324" s="841" t="s">
        <v>3205</v>
      </c>
      <c r="Q12324" s="1357"/>
      <c r="S12324" s="1420"/>
      <c r="T12324" s="1420">
        <v>43585</v>
      </c>
      <c r="V12324" s="1357">
        <v>139</v>
      </c>
    </row>
    <row r="12325" spans="1:22" s="841" customFormat="1" ht="15" x14ac:dyDescent="0.25">
      <c r="A12325" s="841" t="s">
        <v>170</v>
      </c>
      <c r="E12325" s="1690" t="s">
        <v>5130</v>
      </c>
      <c r="F12325" s="1908"/>
      <c r="G12325" s="1408" t="s">
        <v>24</v>
      </c>
      <c r="H12325" s="393">
        <v>-4.1999999999999997E-3</v>
      </c>
      <c r="K12325" s="841" t="s">
        <v>3197</v>
      </c>
      <c r="L12325" s="841" t="s">
        <v>443</v>
      </c>
      <c r="M12325" s="1357"/>
      <c r="P12325" s="841" t="s">
        <v>3207</v>
      </c>
      <c r="Q12325" s="1357"/>
      <c r="S12325" s="1420"/>
      <c r="T12325" s="1420">
        <v>43585</v>
      </c>
      <c r="V12325" s="1357">
        <v>96</v>
      </c>
    </row>
    <row r="12326" spans="1:22" s="841" customFormat="1" ht="15" x14ac:dyDescent="0.25">
      <c r="A12326" s="841" t="s">
        <v>170</v>
      </c>
      <c r="E12326" s="1690" t="s">
        <v>221</v>
      </c>
      <c r="F12326" s="1690"/>
      <c r="G12326" s="1408" t="s">
        <v>24</v>
      </c>
      <c r="H12326" s="393">
        <v>6.7000000000000002E-3</v>
      </c>
      <c r="K12326" s="841" t="s">
        <v>3197</v>
      </c>
      <c r="L12326" s="841" t="s">
        <v>444</v>
      </c>
      <c r="M12326" s="1357"/>
      <c r="P12326" s="841" t="s">
        <v>3208</v>
      </c>
      <c r="Q12326" s="1357"/>
      <c r="S12326" s="1420"/>
      <c r="T12326" s="1420"/>
      <c r="V12326" s="1357">
        <v>47</v>
      </c>
    </row>
    <row r="12327" spans="1:22" s="841" customFormat="1" ht="15" x14ac:dyDescent="0.25">
      <c r="A12327" s="841" t="s">
        <v>170</v>
      </c>
      <c r="E12327" s="1690" t="s">
        <v>217</v>
      </c>
      <c r="F12327" s="1690"/>
      <c r="G12327" s="1408" t="s">
        <v>24</v>
      </c>
      <c r="H12327" s="393">
        <v>4.0000000000000001E-3</v>
      </c>
      <c r="K12327" s="841" t="s">
        <v>3197</v>
      </c>
      <c r="L12327" s="841" t="s">
        <v>444</v>
      </c>
      <c r="M12327" s="1357"/>
      <c r="P12327" s="841" t="s">
        <v>3209</v>
      </c>
      <c r="Q12327" s="1357"/>
      <c r="S12327" s="1420"/>
      <c r="T12327" s="1420"/>
      <c r="V12327" s="1357">
        <v>74</v>
      </c>
    </row>
    <row r="12328" spans="1:22" s="841" customFormat="1" ht="15" x14ac:dyDescent="0.25">
      <c r="A12328" s="841" t="s">
        <v>170</v>
      </c>
      <c r="E12328" s="1694" t="s">
        <v>3079</v>
      </c>
      <c r="F12328" s="1690"/>
      <c r="G12328" s="1408"/>
      <c r="H12328" s="1408"/>
      <c r="K12328" s="841" t="s">
        <v>3080</v>
      </c>
      <c r="M12328" s="1357"/>
      <c r="Q12328" s="1357"/>
      <c r="S12328" s="1420"/>
      <c r="T12328" s="1420"/>
      <c r="V12328" s="1357">
        <v>48</v>
      </c>
    </row>
    <row r="12329" spans="1:22" s="841" customFormat="1" ht="15" x14ac:dyDescent="0.25">
      <c r="A12329" s="841" t="s">
        <v>170</v>
      </c>
      <c r="E12329" s="1690" t="s">
        <v>2449</v>
      </c>
      <c r="F12329" s="1690"/>
      <c r="G12329" s="1408" t="s">
        <v>24</v>
      </c>
      <c r="H12329" s="393">
        <v>3.2000000000000002E-3</v>
      </c>
      <c r="K12329" s="841" t="s">
        <v>3197</v>
      </c>
      <c r="L12329" s="841" t="s">
        <v>3046</v>
      </c>
      <c r="M12329" s="1357"/>
      <c r="P12329" s="841" t="s">
        <v>3210</v>
      </c>
      <c r="Q12329" s="1357"/>
      <c r="S12329" s="1420"/>
      <c r="T12329" s="1420"/>
      <c r="V12329" s="1357">
        <v>55</v>
      </c>
    </row>
    <row r="12330" spans="1:22" s="841" customFormat="1" ht="15" x14ac:dyDescent="0.25">
      <c r="A12330" s="841" t="s">
        <v>170</v>
      </c>
      <c r="E12330" s="1690" t="s">
        <v>2450</v>
      </c>
      <c r="F12330" s="1690"/>
      <c r="G12330" s="1408" t="s">
        <v>24</v>
      </c>
      <c r="H12330" s="393">
        <v>4.0000000000000002E-4</v>
      </c>
      <c r="K12330" s="841" t="s">
        <v>3197</v>
      </c>
      <c r="L12330" s="841" t="s">
        <v>3046</v>
      </c>
      <c r="M12330" s="1357"/>
      <c r="P12330" s="841" t="s">
        <v>3210</v>
      </c>
      <c r="Q12330" s="1357"/>
      <c r="S12330" s="1420"/>
      <c r="T12330" s="1420"/>
      <c r="V12330" s="1357">
        <v>65</v>
      </c>
    </row>
    <row r="12331" spans="1:22" s="841" customFormat="1" ht="15" x14ac:dyDescent="0.25">
      <c r="A12331" s="841" t="s">
        <v>170</v>
      </c>
      <c r="E12331" s="1690" t="s">
        <v>439</v>
      </c>
      <c r="F12331" s="1690"/>
      <c r="G12331" s="1408" t="s">
        <v>24</v>
      </c>
      <c r="H12331" s="393">
        <v>2.9999999999999997E-4</v>
      </c>
      <c r="K12331" s="841" t="s">
        <v>3197</v>
      </c>
      <c r="L12331" s="841" t="s">
        <v>3046</v>
      </c>
      <c r="M12331" s="1357"/>
      <c r="P12331" s="841" t="s">
        <v>3212</v>
      </c>
      <c r="Q12331" s="1357"/>
      <c r="S12331" s="1420"/>
      <c r="T12331" s="1420"/>
      <c r="V12331" s="1357">
        <v>57</v>
      </c>
    </row>
    <row r="12332" spans="1:22" s="841" customFormat="1" ht="15" x14ac:dyDescent="0.25">
      <c r="A12332" s="841" t="s">
        <v>170</v>
      </c>
      <c r="E12332" s="1690" t="s">
        <v>32</v>
      </c>
      <c r="F12332" s="1690"/>
      <c r="G12332" s="1408" t="s">
        <v>23</v>
      </c>
      <c r="H12332" s="391">
        <v>0.25</v>
      </c>
      <c r="K12332" s="841" t="s">
        <v>3197</v>
      </c>
      <c r="L12332" s="841" t="s">
        <v>3046</v>
      </c>
      <c r="M12332" s="1357"/>
      <c r="P12332" s="841" t="s">
        <v>3213</v>
      </c>
      <c r="Q12332" s="1357"/>
      <c r="S12332" s="1420"/>
      <c r="T12332" s="1420"/>
      <c r="V12332" s="1357">
        <v>63</v>
      </c>
    </row>
    <row r="12333" spans="1:22" s="841" customFormat="1" x14ac:dyDescent="0.25">
      <c r="A12333" s="841" t="s">
        <v>170</v>
      </c>
      <c r="E12333" s="1909" t="s">
        <v>3214</v>
      </c>
      <c r="F12333" s="1923"/>
      <c r="G12333" s="1915"/>
      <c r="H12333" s="1915"/>
      <c r="K12333" s="841" t="s">
        <v>5110</v>
      </c>
      <c r="M12333" s="1357"/>
      <c r="Q12333" s="1357"/>
      <c r="S12333" s="1420"/>
      <c r="T12333" s="1420"/>
      <c r="V12333" s="1357">
        <v>54</v>
      </c>
    </row>
    <row r="12334" spans="1:22" s="841" customFormat="1" ht="15" x14ac:dyDescent="0.25">
      <c r="A12334" s="841" t="s">
        <v>170</v>
      </c>
      <c r="E12334" s="1689" t="s">
        <v>4041</v>
      </c>
      <c r="F12334" s="1689"/>
      <c r="G12334" s="1689"/>
      <c r="H12334" s="1689"/>
      <c r="K12334" s="841" t="s">
        <v>5110</v>
      </c>
      <c r="M12334" s="1357"/>
      <c r="Q12334" s="1357"/>
      <c r="S12334" s="1420"/>
      <c r="T12334" s="1420"/>
      <c r="V12334" s="1357">
        <v>331</v>
      </c>
    </row>
    <row r="12335" spans="1:22" s="841" customFormat="1" ht="15" x14ac:dyDescent="0.25">
      <c r="A12335" s="841" t="s">
        <v>170</v>
      </c>
      <c r="E12335" s="1916" t="s">
        <v>3061</v>
      </c>
      <c r="F12335" s="1689"/>
      <c r="G12335" s="1697"/>
      <c r="H12335" s="1697"/>
      <c r="K12335" s="841" t="s">
        <v>3086</v>
      </c>
      <c r="M12335" s="1357"/>
      <c r="Q12335" s="1357"/>
      <c r="S12335" s="1420"/>
      <c r="T12335" s="1420"/>
      <c r="V12335" s="1357">
        <v>11</v>
      </c>
    </row>
    <row r="12336" spans="1:22" s="841" customFormat="1" ht="15" x14ac:dyDescent="0.25">
      <c r="A12336" s="841" t="s">
        <v>170</v>
      </c>
      <c r="E12336" s="1689" t="s">
        <v>3063</v>
      </c>
      <c r="F12336" s="1689"/>
      <c r="G12336" s="1689"/>
      <c r="H12336" s="1689"/>
      <c r="K12336" s="841" t="s">
        <v>5110</v>
      </c>
      <c r="M12336" s="1357"/>
      <c r="Q12336" s="1357"/>
      <c r="S12336" s="1420"/>
      <c r="T12336" s="1420"/>
      <c r="V12336" s="1357">
        <v>280</v>
      </c>
    </row>
    <row r="12337" spans="1:22" s="841" customFormat="1" ht="15" x14ac:dyDescent="0.25">
      <c r="A12337" s="841" t="s">
        <v>170</v>
      </c>
      <c r="E12337" s="1689" t="s">
        <v>4044</v>
      </c>
      <c r="F12337" s="1689"/>
      <c r="G12337" s="1689"/>
      <c r="H12337" s="1689"/>
      <c r="K12337" s="841" t="s">
        <v>5110</v>
      </c>
      <c r="M12337" s="1357"/>
      <c r="Q12337" s="1357"/>
      <c r="S12337" s="1420"/>
      <c r="T12337" s="1420"/>
      <c r="V12337" s="1357">
        <v>411</v>
      </c>
    </row>
    <row r="12338" spans="1:22" s="841" customFormat="1" ht="15" x14ac:dyDescent="0.25">
      <c r="A12338" s="841" t="s">
        <v>170</v>
      </c>
      <c r="E12338" s="1689" t="s">
        <v>4565</v>
      </c>
      <c r="F12338" s="1689"/>
      <c r="G12338" s="1689"/>
      <c r="H12338" s="1689"/>
      <c r="K12338" s="841" t="s">
        <v>5110</v>
      </c>
      <c r="M12338" s="1357"/>
      <c r="Q12338" s="1357"/>
      <c r="S12338" s="1420"/>
      <c r="T12338" s="1420"/>
      <c r="V12338" s="1357">
        <v>386</v>
      </c>
    </row>
    <row r="12339" spans="1:22" s="841" customFormat="1" ht="15" x14ac:dyDescent="0.25">
      <c r="A12339" s="841" t="s">
        <v>170</v>
      </c>
      <c r="E12339" s="1689" t="s">
        <v>4564</v>
      </c>
      <c r="F12339" s="1689"/>
      <c r="G12339" s="1689"/>
      <c r="H12339" s="1689"/>
      <c r="K12339" s="841" t="s">
        <v>5110</v>
      </c>
      <c r="M12339" s="1357"/>
      <c r="Q12339" s="1357"/>
      <c r="S12339" s="1420"/>
      <c r="T12339" s="1420"/>
      <c r="V12339" s="1357">
        <v>266</v>
      </c>
    </row>
    <row r="12340" spans="1:22" s="841" customFormat="1" ht="15" x14ac:dyDescent="0.25">
      <c r="A12340" s="841" t="s">
        <v>170</v>
      </c>
      <c r="E12340" s="1694" t="s">
        <v>3067</v>
      </c>
      <c r="F12340" s="1907"/>
      <c r="G12340" s="1907"/>
      <c r="H12340" s="1907"/>
      <c r="K12340" s="841" t="s">
        <v>3087</v>
      </c>
      <c r="M12340" s="1357"/>
      <c r="Q12340" s="1357"/>
      <c r="S12340" s="1420"/>
      <c r="T12340" s="1420"/>
      <c r="V12340" s="1357">
        <v>46</v>
      </c>
    </row>
    <row r="12341" spans="1:22" s="841" customFormat="1" ht="15" x14ac:dyDescent="0.25">
      <c r="A12341" s="841" t="s">
        <v>170</v>
      </c>
      <c r="E12341" s="1690" t="s">
        <v>11</v>
      </c>
      <c r="F12341" s="1690"/>
      <c r="G12341" s="1408" t="s">
        <v>23</v>
      </c>
      <c r="H12341" s="391">
        <v>15.22</v>
      </c>
      <c r="K12341" s="841" t="s">
        <v>5110</v>
      </c>
      <c r="L12341" s="841" t="s">
        <v>442</v>
      </c>
      <c r="M12341" s="1357"/>
      <c r="P12341" s="841" t="s">
        <v>5111</v>
      </c>
      <c r="Q12341" s="1357"/>
      <c r="S12341" s="1420"/>
      <c r="T12341" s="1420"/>
      <c r="V12341" s="1357">
        <v>14</v>
      </c>
    </row>
    <row r="12342" spans="1:22" s="841" customFormat="1" ht="15" x14ac:dyDescent="0.25">
      <c r="A12342" s="841" t="s">
        <v>170</v>
      </c>
      <c r="E12342" s="1690" t="s">
        <v>5109</v>
      </c>
      <c r="F12342" s="1690"/>
      <c r="G12342" s="1408" t="s">
        <v>23</v>
      </c>
      <c r="H12342" s="391">
        <v>0.56999999999999995</v>
      </c>
      <c r="K12342" s="841" t="s">
        <v>5110</v>
      </c>
      <c r="L12342" s="841" t="s">
        <v>443</v>
      </c>
      <c r="M12342" s="1357"/>
      <c r="P12342" s="841" t="s">
        <v>5112</v>
      </c>
      <c r="Q12342" s="1357"/>
      <c r="S12342" s="1420"/>
      <c r="T12342" s="1420">
        <v>44926</v>
      </c>
      <c r="V12342" s="1357">
        <v>64</v>
      </c>
    </row>
    <row r="12343" spans="1:22" s="841" customFormat="1" ht="15" x14ac:dyDescent="0.25">
      <c r="A12343" s="841" t="s">
        <v>170</v>
      </c>
      <c r="E12343" s="1690" t="s">
        <v>84</v>
      </c>
      <c r="F12343" s="1690"/>
      <c r="G12343" s="1408" t="s">
        <v>24</v>
      </c>
      <c r="H12343" s="393">
        <v>1.54E-2</v>
      </c>
      <c r="K12343" s="841" t="s">
        <v>5110</v>
      </c>
      <c r="L12343" s="841" t="s">
        <v>442</v>
      </c>
      <c r="M12343" s="1357"/>
      <c r="P12343" s="841" t="s">
        <v>5113</v>
      </c>
      <c r="Q12343" s="1357"/>
      <c r="S12343" s="1420"/>
      <c r="T12343" s="1420"/>
      <c r="V12343" s="1357">
        <v>28</v>
      </c>
    </row>
    <row r="12344" spans="1:22" s="841" customFormat="1" ht="15" x14ac:dyDescent="0.25">
      <c r="A12344" s="841" t="s">
        <v>170</v>
      </c>
      <c r="E12344" s="1690" t="s">
        <v>18</v>
      </c>
      <c r="F12344" s="1690"/>
      <c r="G12344" s="1408" t="s">
        <v>24</v>
      </c>
      <c r="H12344" s="393">
        <v>2.0999999999999999E-3</v>
      </c>
      <c r="K12344" s="841" t="s">
        <v>5110</v>
      </c>
      <c r="L12344" s="841" t="s">
        <v>443</v>
      </c>
      <c r="M12344" s="1357"/>
      <c r="P12344" s="841" t="s">
        <v>5114</v>
      </c>
      <c r="Q12344" s="1357"/>
      <c r="S12344" s="1420"/>
      <c r="T12344" s="1420"/>
      <c r="V12344" s="1357">
        <v>24</v>
      </c>
    </row>
    <row r="12345" spans="1:22" s="841" customFormat="1" ht="15" x14ac:dyDescent="0.25">
      <c r="A12345" s="841" t="s">
        <v>170</v>
      </c>
      <c r="E12345" s="1690" t="s">
        <v>5129</v>
      </c>
      <c r="F12345" s="1908"/>
      <c r="G12345" s="1408" t="s">
        <v>24</v>
      </c>
      <c r="H12345" s="393">
        <v>-1E-4</v>
      </c>
      <c r="K12345" s="841" t="s">
        <v>5110</v>
      </c>
      <c r="L12345" s="841" t="s">
        <v>443</v>
      </c>
      <c r="M12345" s="1357"/>
      <c r="P12345" s="841" t="s">
        <v>4818</v>
      </c>
      <c r="Q12345" s="1357"/>
      <c r="S12345" s="1420"/>
      <c r="T12345" s="1420">
        <v>43585</v>
      </c>
      <c r="V12345" s="1357">
        <v>139</v>
      </c>
    </row>
    <row r="12346" spans="1:22" s="841" customFormat="1" ht="15" x14ac:dyDescent="0.25">
      <c r="A12346" s="841" t="s">
        <v>170</v>
      </c>
      <c r="E12346" s="1690" t="s">
        <v>5130</v>
      </c>
      <c r="F12346" s="1908"/>
      <c r="G12346" s="1408" t="s">
        <v>24</v>
      </c>
      <c r="H12346" s="393">
        <v>-4.1000000000000003E-3</v>
      </c>
      <c r="K12346" s="841" t="s">
        <v>5110</v>
      </c>
      <c r="L12346" s="841" t="s">
        <v>443</v>
      </c>
      <c r="M12346" s="1357"/>
      <c r="P12346" s="841" t="s">
        <v>5124</v>
      </c>
      <c r="Q12346" s="1357"/>
      <c r="S12346" s="1420"/>
      <c r="T12346" s="1420">
        <v>43585</v>
      </c>
      <c r="V12346" s="1357">
        <v>96</v>
      </c>
    </row>
    <row r="12347" spans="1:22" s="841" customFormat="1" ht="15" x14ac:dyDescent="0.25">
      <c r="A12347" s="841" t="s">
        <v>170</v>
      </c>
      <c r="E12347" s="1690" t="s">
        <v>221</v>
      </c>
      <c r="F12347" s="1690"/>
      <c r="G12347" s="1408" t="s">
        <v>24</v>
      </c>
      <c r="H12347" s="393">
        <v>6.0000000000000001E-3</v>
      </c>
      <c r="K12347" s="841" t="s">
        <v>5110</v>
      </c>
      <c r="L12347" s="841" t="s">
        <v>444</v>
      </c>
      <c r="M12347" s="1357"/>
      <c r="P12347" s="841" t="s">
        <v>5115</v>
      </c>
      <c r="Q12347" s="1357"/>
      <c r="S12347" s="1420"/>
      <c r="T12347" s="1420"/>
      <c r="V12347" s="1357">
        <v>47</v>
      </c>
    </row>
    <row r="12348" spans="1:22" s="841" customFormat="1" ht="15" x14ac:dyDescent="0.25">
      <c r="A12348" s="841" t="s">
        <v>170</v>
      </c>
      <c r="E12348" s="1690" t="s">
        <v>217</v>
      </c>
      <c r="F12348" s="1690"/>
      <c r="G12348" s="1408" t="s">
        <v>24</v>
      </c>
      <c r="H12348" s="393">
        <v>3.5000000000000001E-3</v>
      </c>
      <c r="K12348" s="841" t="s">
        <v>5110</v>
      </c>
      <c r="L12348" s="841" t="s">
        <v>444</v>
      </c>
      <c r="M12348" s="1357"/>
      <c r="P12348" s="841" t="s">
        <v>5116</v>
      </c>
      <c r="Q12348" s="1357"/>
      <c r="S12348" s="1420"/>
      <c r="T12348" s="1420"/>
      <c r="V12348" s="1357">
        <v>74</v>
      </c>
    </row>
    <row r="12349" spans="1:22" s="841" customFormat="1" ht="15" x14ac:dyDescent="0.25">
      <c r="A12349" s="841" t="s">
        <v>170</v>
      </c>
      <c r="E12349" s="1694" t="s">
        <v>3079</v>
      </c>
      <c r="F12349" s="1690"/>
      <c r="G12349" s="1408"/>
      <c r="H12349" s="1408"/>
      <c r="K12349" s="841" t="s">
        <v>3093</v>
      </c>
      <c r="M12349" s="1357"/>
      <c r="Q12349" s="1357"/>
      <c r="S12349" s="1420"/>
      <c r="T12349" s="1420"/>
      <c r="V12349" s="1357">
        <v>48</v>
      </c>
    </row>
    <row r="12350" spans="1:22" s="841" customFormat="1" ht="15" x14ac:dyDescent="0.25">
      <c r="A12350" s="841" t="s">
        <v>170</v>
      </c>
      <c r="E12350" s="1690" t="s">
        <v>2449</v>
      </c>
      <c r="F12350" s="1690"/>
      <c r="G12350" s="1408" t="s">
        <v>24</v>
      </c>
      <c r="H12350" s="393">
        <v>3.2000000000000002E-3</v>
      </c>
      <c r="K12350" s="841" t="s">
        <v>5110</v>
      </c>
      <c r="L12350" s="841" t="s">
        <v>3046</v>
      </c>
      <c r="M12350" s="1357"/>
      <c r="P12350" s="841" t="s">
        <v>5117</v>
      </c>
      <c r="Q12350" s="1357"/>
      <c r="S12350" s="1420"/>
      <c r="T12350" s="1420"/>
      <c r="V12350" s="1357">
        <v>55</v>
      </c>
    </row>
    <row r="12351" spans="1:22" s="841" customFormat="1" ht="15" x14ac:dyDescent="0.25">
      <c r="A12351" s="841" t="s">
        <v>170</v>
      </c>
      <c r="E12351" s="1690" t="s">
        <v>2450</v>
      </c>
      <c r="F12351" s="1690"/>
      <c r="G12351" s="1408" t="s">
        <v>24</v>
      </c>
      <c r="H12351" s="393">
        <v>4.0000000000000002E-4</v>
      </c>
      <c r="K12351" s="841" t="s">
        <v>5110</v>
      </c>
      <c r="L12351" s="841" t="s">
        <v>3046</v>
      </c>
      <c r="M12351" s="1357"/>
      <c r="P12351" s="841" t="s">
        <v>5117</v>
      </c>
      <c r="Q12351" s="1357"/>
      <c r="S12351" s="1420"/>
      <c r="T12351" s="1420"/>
      <c r="V12351" s="1357">
        <v>65</v>
      </c>
    </row>
    <row r="12352" spans="1:22" s="841" customFormat="1" ht="15" x14ac:dyDescent="0.25">
      <c r="A12352" s="841" t="s">
        <v>170</v>
      </c>
      <c r="E12352" s="1690" t="s">
        <v>439</v>
      </c>
      <c r="F12352" s="1690"/>
      <c r="G12352" s="1408" t="s">
        <v>24</v>
      </c>
      <c r="H12352" s="393">
        <v>2.9999999999999997E-4</v>
      </c>
      <c r="K12352" s="841" t="s">
        <v>5110</v>
      </c>
      <c r="L12352" s="841" t="s">
        <v>3046</v>
      </c>
      <c r="M12352" s="1357"/>
      <c r="P12352" s="841" t="s">
        <v>5118</v>
      </c>
      <c r="Q12352" s="1357"/>
      <c r="S12352" s="1420"/>
      <c r="T12352" s="1420"/>
      <c r="V12352" s="1357">
        <v>57</v>
      </c>
    </row>
    <row r="12353" spans="1:22" s="841" customFormat="1" ht="15" x14ac:dyDescent="0.25">
      <c r="A12353" s="841" t="s">
        <v>170</v>
      </c>
      <c r="E12353" s="1690" t="s">
        <v>32</v>
      </c>
      <c r="F12353" s="1690"/>
      <c r="G12353" s="1408" t="s">
        <v>23</v>
      </c>
      <c r="H12353" s="391">
        <v>0.25</v>
      </c>
      <c r="K12353" s="841" t="s">
        <v>5110</v>
      </c>
      <c r="L12353" s="841" t="s">
        <v>3046</v>
      </c>
      <c r="M12353" s="1357"/>
      <c r="P12353" s="841" t="s">
        <v>5119</v>
      </c>
      <c r="Q12353" s="1357"/>
      <c r="S12353" s="1420"/>
      <c r="T12353" s="1420"/>
      <c r="V12353" s="1357">
        <v>63</v>
      </c>
    </row>
    <row r="12354" spans="1:22" s="841" customFormat="1" x14ac:dyDescent="0.25">
      <c r="A12354" s="841" t="s">
        <v>170</v>
      </c>
      <c r="E12354" s="1909" t="s">
        <v>616</v>
      </c>
      <c r="F12354" s="1923"/>
      <c r="G12354" s="1915"/>
      <c r="H12354" s="1915"/>
      <c r="K12354" s="841" t="s">
        <v>6095</v>
      </c>
      <c r="M12354" s="1357"/>
      <c r="Q12354" s="1357"/>
      <c r="S12354" s="1420"/>
      <c r="T12354" s="1420"/>
      <c r="V12354" s="1357">
        <v>53</v>
      </c>
    </row>
    <row r="12355" spans="1:22" s="841" customFormat="1" ht="15" x14ac:dyDescent="0.25">
      <c r="A12355" s="841" t="s">
        <v>170</v>
      </c>
      <c r="E12355" s="1689" t="s">
        <v>4043</v>
      </c>
      <c r="F12355" s="1689"/>
      <c r="G12355" s="1689"/>
      <c r="H12355" s="1689"/>
      <c r="K12355" s="841" t="s">
        <v>6095</v>
      </c>
      <c r="M12355" s="1357"/>
      <c r="Q12355" s="1357"/>
      <c r="S12355" s="1420"/>
      <c r="T12355" s="1420"/>
      <c r="V12355" s="1357">
        <v>356</v>
      </c>
    </row>
    <row r="12356" spans="1:22" s="841" customFormat="1" ht="15" x14ac:dyDescent="0.25">
      <c r="A12356" s="841" t="s">
        <v>170</v>
      </c>
      <c r="E12356" s="1916" t="s">
        <v>3061</v>
      </c>
      <c r="F12356" s="1689"/>
      <c r="G12356" s="1697"/>
      <c r="H12356" s="1697"/>
      <c r="K12356" s="841" t="s">
        <v>3098</v>
      </c>
      <c r="M12356" s="1357"/>
      <c r="Q12356" s="1357"/>
      <c r="S12356" s="1420"/>
      <c r="T12356" s="1420"/>
      <c r="V12356" s="1357">
        <v>11</v>
      </c>
    </row>
    <row r="12357" spans="1:22" s="841" customFormat="1" ht="15" x14ac:dyDescent="0.25">
      <c r="A12357" s="841" t="s">
        <v>170</v>
      </c>
      <c r="E12357" s="1689" t="s">
        <v>3063</v>
      </c>
      <c r="F12357" s="1689"/>
      <c r="G12357" s="1689"/>
      <c r="H12357" s="1689"/>
      <c r="K12357" s="841" t="s">
        <v>6095</v>
      </c>
      <c r="M12357" s="1357"/>
      <c r="Q12357" s="1357"/>
      <c r="S12357" s="1420"/>
      <c r="T12357" s="1420"/>
      <c r="V12357" s="1357">
        <v>280</v>
      </c>
    </row>
    <row r="12358" spans="1:22" s="841" customFormat="1" ht="15" x14ac:dyDescent="0.25">
      <c r="A12358" s="841" t="s">
        <v>170</v>
      </c>
      <c r="E12358" s="1689" t="s">
        <v>4044</v>
      </c>
      <c r="F12358" s="1689"/>
      <c r="G12358" s="1689"/>
      <c r="H12358" s="1689"/>
      <c r="K12358" s="841" t="s">
        <v>6095</v>
      </c>
      <c r="M12358" s="1357"/>
      <c r="Q12358" s="1357"/>
      <c r="S12358" s="1420"/>
      <c r="T12358" s="1420"/>
      <c r="V12358" s="1357">
        <v>411</v>
      </c>
    </row>
    <row r="12359" spans="1:22" s="841" customFormat="1" ht="15" x14ac:dyDescent="0.25">
      <c r="A12359" s="841" t="s">
        <v>170</v>
      </c>
      <c r="E12359" s="1689" t="s">
        <v>4565</v>
      </c>
      <c r="F12359" s="1689"/>
      <c r="G12359" s="1689"/>
      <c r="H12359" s="1689"/>
      <c r="K12359" s="841" t="s">
        <v>6095</v>
      </c>
      <c r="M12359" s="1357"/>
      <c r="Q12359" s="1357"/>
      <c r="S12359" s="1420"/>
      <c r="T12359" s="1420"/>
      <c r="V12359" s="1357">
        <v>386</v>
      </c>
    </row>
    <row r="12360" spans="1:22" s="841" customFormat="1" ht="15" x14ac:dyDescent="0.25">
      <c r="A12360" s="841" t="s">
        <v>170</v>
      </c>
      <c r="E12360" s="1689" t="s">
        <v>5378</v>
      </c>
      <c r="F12360" s="1689"/>
      <c r="G12360" s="1689"/>
      <c r="H12360" s="1689"/>
      <c r="K12360" s="841" t="s">
        <v>6095</v>
      </c>
      <c r="M12360" s="1357"/>
      <c r="Q12360" s="1357"/>
      <c r="S12360" s="1420"/>
      <c r="T12360" s="1420"/>
      <c r="V12360" s="1357">
        <v>658</v>
      </c>
    </row>
    <row r="12361" spans="1:22" s="841" customFormat="1" ht="15" x14ac:dyDescent="0.25">
      <c r="A12361" s="841" t="s">
        <v>170</v>
      </c>
      <c r="E12361" s="1689" t="s">
        <v>4564</v>
      </c>
      <c r="F12361" s="1689"/>
      <c r="G12361" s="1689"/>
      <c r="H12361" s="1689"/>
      <c r="K12361" s="841" t="s">
        <v>6095</v>
      </c>
      <c r="M12361" s="1357"/>
      <c r="Q12361" s="1357"/>
      <c r="S12361" s="1420"/>
      <c r="T12361" s="1420"/>
      <c r="V12361" s="1357">
        <v>266</v>
      </c>
    </row>
    <row r="12362" spans="1:22" s="841" customFormat="1" ht="15" x14ac:dyDescent="0.25">
      <c r="A12362" s="841" t="s">
        <v>170</v>
      </c>
      <c r="E12362" s="1694" t="s">
        <v>3067</v>
      </c>
      <c r="F12362" s="1907"/>
      <c r="G12362" s="1907"/>
      <c r="H12362" s="1907"/>
      <c r="K12362" s="841" t="s">
        <v>3099</v>
      </c>
      <c r="M12362" s="1357"/>
      <c r="Q12362" s="1357"/>
      <c r="S12362" s="1420"/>
      <c r="T12362" s="1420"/>
      <c r="V12362" s="1357">
        <v>46</v>
      </c>
    </row>
    <row r="12363" spans="1:22" s="841" customFormat="1" ht="15" x14ac:dyDescent="0.25">
      <c r="A12363" s="841" t="s">
        <v>170</v>
      </c>
      <c r="E12363" s="1690" t="s">
        <v>11</v>
      </c>
      <c r="F12363" s="1690"/>
      <c r="G12363" s="1408" t="s">
        <v>23</v>
      </c>
      <c r="H12363" s="391">
        <v>34.83</v>
      </c>
      <c r="K12363" s="841" t="s">
        <v>6095</v>
      </c>
      <c r="L12363" s="841" t="s">
        <v>442</v>
      </c>
      <c r="M12363" s="1357"/>
      <c r="P12363" s="841" t="s">
        <v>6096</v>
      </c>
      <c r="Q12363" s="1357"/>
      <c r="S12363" s="1420"/>
      <c r="T12363" s="1420"/>
      <c r="V12363" s="1357">
        <v>14</v>
      </c>
    </row>
    <row r="12364" spans="1:22" s="841" customFormat="1" ht="15" x14ac:dyDescent="0.25">
      <c r="A12364" s="841" t="s">
        <v>170</v>
      </c>
      <c r="E12364" s="1690" t="s">
        <v>84</v>
      </c>
      <c r="F12364" s="1690"/>
      <c r="G12364" s="1408" t="s">
        <v>33</v>
      </c>
      <c r="H12364" s="393">
        <v>5.2546999999999997</v>
      </c>
      <c r="K12364" s="841" t="s">
        <v>6095</v>
      </c>
      <c r="L12364" s="841" t="s">
        <v>442</v>
      </c>
      <c r="M12364" s="1357"/>
      <c r="P12364" s="841" t="s">
        <v>6097</v>
      </c>
      <c r="Q12364" s="1357"/>
      <c r="S12364" s="1420"/>
      <c r="T12364" s="1420"/>
      <c r="V12364" s="1357">
        <v>28</v>
      </c>
    </row>
    <row r="12365" spans="1:22" s="841" customFormat="1" ht="15" x14ac:dyDescent="0.25">
      <c r="A12365" s="841" t="s">
        <v>170</v>
      </c>
      <c r="E12365" s="1690" t="s">
        <v>18</v>
      </c>
      <c r="F12365" s="1690"/>
      <c r="G12365" s="1408" t="s">
        <v>33</v>
      </c>
      <c r="H12365" s="393">
        <v>0.8246</v>
      </c>
      <c r="K12365" s="841" t="s">
        <v>6095</v>
      </c>
      <c r="L12365" s="841" t="s">
        <v>443</v>
      </c>
      <c r="M12365" s="1357"/>
      <c r="P12365" s="841" t="s">
        <v>6098</v>
      </c>
      <c r="Q12365" s="1357"/>
      <c r="S12365" s="1420"/>
      <c r="T12365" s="1420"/>
      <c r="V12365" s="1357">
        <v>24</v>
      </c>
    </row>
    <row r="12366" spans="1:22" s="841" customFormat="1" ht="15" x14ac:dyDescent="0.25">
      <c r="A12366" s="841" t="s">
        <v>170</v>
      </c>
      <c r="E12366" s="1690" t="s">
        <v>5129</v>
      </c>
      <c r="F12366" s="1908"/>
      <c r="G12366" s="1408" t="s">
        <v>24</v>
      </c>
      <c r="H12366" s="393">
        <v>-1E-4</v>
      </c>
      <c r="K12366" s="841" t="s">
        <v>6095</v>
      </c>
      <c r="L12366" s="841" t="s">
        <v>443</v>
      </c>
      <c r="M12366" s="1357"/>
      <c r="P12366" s="841" t="s">
        <v>6104</v>
      </c>
      <c r="Q12366" s="1357"/>
      <c r="S12366" s="1420"/>
      <c r="T12366" s="1420">
        <v>43585</v>
      </c>
      <c r="V12366" s="1357">
        <v>139</v>
      </c>
    </row>
    <row r="12367" spans="1:22" s="841" customFormat="1" ht="15" x14ac:dyDescent="0.25">
      <c r="A12367" s="841" t="s">
        <v>170</v>
      </c>
      <c r="E12367" s="1690" t="s">
        <v>5305</v>
      </c>
      <c r="F12367" s="1908"/>
      <c r="G12367" s="1408" t="s">
        <v>33</v>
      </c>
      <c r="H12367" s="393">
        <v>-2.1821000000000002</v>
      </c>
      <c r="K12367" s="841" t="s">
        <v>6095</v>
      </c>
      <c r="L12367" s="841" t="s">
        <v>443</v>
      </c>
      <c r="M12367" s="1357"/>
      <c r="P12367" s="841" t="s">
        <v>6105</v>
      </c>
      <c r="Q12367" s="1357"/>
      <c r="S12367" s="1420"/>
      <c r="T12367" s="1420">
        <v>43585</v>
      </c>
      <c r="V12367" s="1357">
        <v>156</v>
      </c>
    </row>
    <row r="12368" spans="1:22" s="841" customFormat="1" ht="15" x14ac:dyDescent="0.25">
      <c r="A12368" s="841" t="s">
        <v>170</v>
      </c>
      <c r="E12368" s="1690" t="s">
        <v>5130</v>
      </c>
      <c r="F12368" s="1908"/>
      <c r="G12368" s="1408" t="s">
        <v>33</v>
      </c>
      <c r="H12368" s="393">
        <v>0.90129999999999999</v>
      </c>
      <c r="K12368" s="841" t="s">
        <v>6095</v>
      </c>
      <c r="L12368" s="841" t="s">
        <v>443</v>
      </c>
      <c r="M12368" s="1357"/>
      <c r="P12368" s="841" t="s">
        <v>6105</v>
      </c>
      <c r="Q12368" s="1357"/>
      <c r="S12368" s="1420"/>
      <c r="T12368" s="1420">
        <v>43585</v>
      </c>
      <c r="V12368" s="1357">
        <v>96</v>
      </c>
    </row>
    <row r="12369" spans="1:22" s="841" customFormat="1" ht="15" x14ac:dyDescent="0.25">
      <c r="A12369" s="841" t="s">
        <v>170</v>
      </c>
      <c r="E12369" s="1690" t="s">
        <v>221</v>
      </c>
      <c r="F12369" s="1690"/>
      <c r="G12369" s="1408" t="s">
        <v>33</v>
      </c>
      <c r="H12369" s="393">
        <v>2.4868000000000001</v>
      </c>
      <c r="K12369" s="841" t="s">
        <v>6095</v>
      </c>
      <c r="L12369" s="841" t="s">
        <v>444</v>
      </c>
      <c r="M12369" s="1357"/>
      <c r="P12369" s="841" t="s">
        <v>6099</v>
      </c>
      <c r="Q12369" s="1357"/>
      <c r="S12369" s="1420"/>
      <c r="T12369" s="1420"/>
      <c r="V12369" s="1357">
        <v>47</v>
      </c>
    </row>
    <row r="12370" spans="1:22" s="841" customFormat="1" ht="15" x14ac:dyDescent="0.25">
      <c r="A12370" s="841" t="s">
        <v>170</v>
      </c>
      <c r="E12370" s="1690" t="s">
        <v>217</v>
      </c>
      <c r="F12370" s="1690"/>
      <c r="G12370" s="1408" t="s">
        <v>33</v>
      </c>
      <c r="H12370" s="393">
        <v>1.3522000000000001</v>
      </c>
      <c r="K12370" s="841" t="s">
        <v>6095</v>
      </c>
      <c r="L12370" s="841" t="s">
        <v>444</v>
      </c>
      <c r="M12370" s="1357"/>
      <c r="P12370" s="841" t="s">
        <v>6100</v>
      </c>
      <c r="Q12370" s="1357"/>
      <c r="S12370" s="1420"/>
      <c r="T12370" s="1420"/>
      <c r="V12370" s="1357">
        <v>74</v>
      </c>
    </row>
    <row r="12371" spans="1:22" s="841" customFormat="1" ht="15" x14ac:dyDescent="0.25">
      <c r="A12371" s="841" t="s">
        <v>170</v>
      </c>
      <c r="E12371" s="1694" t="s">
        <v>3079</v>
      </c>
      <c r="F12371" s="1690"/>
      <c r="G12371" s="1408"/>
      <c r="H12371" s="1408"/>
      <c r="K12371" s="841" t="s">
        <v>3218</v>
      </c>
      <c r="M12371" s="1357"/>
      <c r="Q12371" s="1357"/>
      <c r="S12371" s="1420"/>
      <c r="T12371" s="1420"/>
      <c r="V12371" s="1357">
        <v>48</v>
      </c>
    </row>
    <row r="12372" spans="1:22" s="841" customFormat="1" ht="15" x14ac:dyDescent="0.25">
      <c r="A12372" s="841" t="s">
        <v>170</v>
      </c>
      <c r="E12372" s="1690" t="s">
        <v>2449</v>
      </c>
      <c r="F12372" s="1690"/>
      <c r="G12372" s="1408" t="s">
        <v>24</v>
      </c>
      <c r="H12372" s="393">
        <v>3.2000000000000002E-3</v>
      </c>
      <c r="K12372" s="841" t="s">
        <v>6095</v>
      </c>
      <c r="L12372" s="841" t="s">
        <v>3046</v>
      </c>
      <c r="M12372" s="1357"/>
      <c r="P12372" s="841" t="s">
        <v>6101</v>
      </c>
      <c r="Q12372" s="1357"/>
      <c r="S12372" s="1420"/>
      <c r="T12372" s="1420"/>
      <c r="V12372" s="1357">
        <v>55</v>
      </c>
    </row>
    <row r="12373" spans="1:22" s="841" customFormat="1" ht="15" x14ac:dyDescent="0.25">
      <c r="A12373" s="841" t="s">
        <v>170</v>
      </c>
      <c r="E12373" s="1690" t="s">
        <v>2450</v>
      </c>
      <c r="F12373" s="1690"/>
      <c r="G12373" s="1408" t="s">
        <v>24</v>
      </c>
      <c r="H12373" s="393">
        <v>4.0000000000000002E-4</v>
      </c>
      <c r="K12373" s="841" t="s">
        <v>6095</v>
      </c>
      <c r="L12373" s="841" t="s">
        <v>3046</v>
      </c>
      <c r="M12373" s="1357"/>
      <c r="P12373" s="841" t="s">
        <v>6101</v>
      </c>
      <c r="Q12373" s="1357"/>
      <c r="S12373" s="1420"/>
      <c r="T12373" s="1420"/>
      <c r="V12373" s="1357">
        <v>65</v>
      </c>
    </row>
    <row r="12374" spans="1:22" s="841" customFormat="1" ht="15" x14ac:dyDescent="0.25">
      <c r="A12374" s="841" t="s">
        <v>170</v>
      </c>
      <c r="E12374" s="1690" t="s">
        <v>439</v>
      </c>
      <c r="F12374" s="1690"/>
      <c r="G12374" s="1408" t="s">
        <v>24</v>
      </c>
      <c r="H12374" s="393">
        <v>2.9999999999999997E-4</v>
      </c>
      <c r="K12374" s="841" t="s">
        <v>6095</v>
      </c>
      <c r="L12374" s="841" t="s">
        <v>3046</v>
      </c>
      <c r="M12374" s="1357"/>
      <c r="P12374" s="841" t="s">
        <v>6102</v>
      </c>
      <c r="Q12374" s="1357"/>
      <c r="S12374" s="1420"/>
      <c r="T12374" s="1420"/>
      <c r="V12374" s="1357">
        <v>57</v>
      </c>
    </row>
    <row r="12375" spans="1:22" s="841" customFormat="1" ht="15" x14ac:dyDescent="0.25">
      <c r="A12375" s="841" t="s">
        <v>170</v>
      </c>
      <c r="E12375" s="1690" t="s">
        <v>32</v>
      </c>
      <c r="F12375" s="1690"/>
      <c r="G12375" s="1408" t="s">
        <v>23</v>
      </c>
      <c r="H12375" s="391">
        <v>0.25</v>
      </c>
      <c r="K12375" s="841" t="s">
        <v>6095</v>
      </c>
      <c r="L12375" s="841" t="s">
        <v>3046</v>
      </c>
      <c r="M12375" s="1357"/>
      <c r="P12375" s="841" t="s">
        <v>6103</v>
      </c>
      <c r="Q12375" s="1357"/>
      <c r="S12375" s="1420"/>
      <c r="T12375" s="1420"/>
      <c r="V12375" s="1357">
        <v>63</v>
      </c>
    </row>
    <row r="12376" spans="1:22" s="841" customFormat="1" x14ac:dyDescent="0.25">
      <c r="A12376" s="841" t="s">
        <v>170</v>
      </c>
      <c r="E12376" s="1909" t="s">
        <v>617</v>
      </c>
      <c r="F12376" s="1923"/>
      <c r="G12376" s="1915"/>
      <c r="H12376" s="1915"/>
      <c r="K12376" s="841" t="s">
        <v>3406</v>
      </c>
      <c r="M12376" s="1357"/>
      <c r="Q12376" s="1357"/>
      <c r="S12376" s="1420"/>
      <c r="T12376" s="1420"/>
      <c r="V12376" s="1357">
        <v>47</v>
      </c>
    </row>
    <row r="12377" spans="1:22" s="841" customFormat="1" ht="15" x14ac:dyDescent="0.25">
      <c r="A12377" s="841" t="s">
        <v>170</v>
      </c>
      <c r="E12377" s="1689" t="s">
        <v>4566</v>
      </c>
      <c r="F12377" s="1689"/>
      <c r="G12377" s="1689"/>
      <c r="H12377" s="1689"/>
      <c r="K12377" s="841" t="s">
        <v>3406</v>
      </c>
      <c r="M12377" s="1357"/>
      <c r="Q12377" s="1357"/>
      <c r="S12377" s="1420"/>
      <c r="T12377" s="1420"/>
      <c r="V12377" s="1357">
        <v>621</v>
      </c>
    </row>
    <row r="12378" spans="1:22" s="841" customFormat="1" ht="15" x14ac:dyDescent="0.25">
      <c r="A12378" s="841" t="s">
        <v>170</v>
      </c>
      <c r="E12378" s="1916" t="s">
        <v>3061</v>
      </c>
      <c r="F12378" s="1689"/>
      <c r="G12378" s="1697"/>
      <c r="H12378" s="1697"/>
      <c r="K12378" s="841" t="s">
        <v>3221</v>
      </c>
      <c r="M12378" s="1357"/>
      <c r="Q12378" s="1357"/>
      <c r="S12378" s="1420"/>
      <c r="T12378" s="1420"/>
      <c r="V12378" s="1357">
        <v>11</v>
      </c>
    </row>
    <row r="12379" spans="1:22" s="841" customFormat="1" ht="15" x14ac:dyDescent="0.25">
      <c r="A12379" s="841" t="s">
        <v>170</v>
      </c>
      <c r="E12379" s="1689" t="s">
        <v>3063</v>
      </c>
      <c r="F12379" s="1689"/>
      <c r="G12379" s="1689"/>
      <c r="H12379" s="1689"/>
      <c r="K12379" s="841" t="s">
        <v>3406</v>
      </c>
      <c r="M12379" s="1357"/>
      <c r="Q12379" s="1357"/>
      <c r="S12379" s="1420"/>
      <c r="T12379" s="1420"/>
      <c r="V12379" s="1357">
        <v>280</v>
      </c>
    </row>
    <row r="12380" spans="1:22" s="841" customFormat="1" ht="15" x14ac:dyDescent="0.25">
      <c r="A12380" s="841" t="s">
        <v>170</v>
      </c>
      <c r="E12380" s="1689" t="s">
        <v>4044</v>
      </c>
      <c r="F12380" s="1689"/>
      <c r="G12380" s="1689"/>
      <c r="H12380" s="1689"/>
      <c r="K12380" s="841" t="s">
        <v>3406</v>
      </c>
      <c r="M12380" s="1357"/>
      <c r="Q12380" s="1357"/>
      <c r="S12380" s="1420"/>
      <c r="T12380" s="1420"/>
      <c r="V12380" s="1357">
        <v>411</v>
      </c>
    </row>
    <row r="12381" spans="1:22" s="841" customFormat="1" ht="15" x14ac:dyDescent="0.25">
      <c r="A12381" s="841" t="s">
        <v>170</v>
      </c>
      <c r="E12381" s="1689" t="s">
        <v>4565</v>
      </c>
      <c r="F12381" s="1689"/>
      <c r="G12381" s="1689"/>
      <c r="H12381" s="1689"/>
      <c r="K12381" s="841" t="s">
        <v>3406</v>
      </c>
      <c r="M12381" s="1357"/>
      <c r="Q12381" s="1357"/>
      <c r="S12381" s="1420"/>
      <c r="T12381" s="1420"/>
      <c r="V12381" s="1357">
        <v>386</v>
      </c>
    </row>
    <row r="12382" spans="1:22" s="841" customFormat="1" ht="15" x14ac:dyDescent="0.25">
      <c r="A12382" s="841" t="s">
        <v>170</v>
      </c>
      <c r="E12382" s="1689" t="s">
        <v>4564</v>
      </c>
      <c r="F12382" s="1689"/>
      <c r="G12382" s="1689"/>
      <c r="H12382" s="1689"/>
      <c r="K12382" s="841" t="s">
        <v>3406</v>
      </c>
      <c r="M12382" s="1357"/>
      <c r="Q12382" s="1357"/>
      <c r="S12382" s="1420"/>
      <c r="T12382" s="1420"/>
      <c r="V12382" s="1357">
        <v>266</v>
      </c>
    </row>
    <row r="12383" spans="1:22" s="841" customFormat="1" ht="15" x14ac:dyDescent="0.25">
      <c r="A12383" s="841" t="s">
        <v>170</v>
      </c>
      <c r="E12383" s="1694" t="s">
        <v>3067</v>
      </c>
      <c r="F12383" s="1907"/>
      <c r="G12383" s="1907"/>
      <c r="H12383" s="1907"/>
      <c r="K12383" s="841" t="s">
        <v>3224</v>
      </c>
      <c r="M12383" s="1357"/>
      <c r="Q12383" s="1357"/>
      <c r="S12383" s="1420"/>
      <c r="T12383" s="1420"/>
      <c r="V12383" s="1357">
        <v>46</v>
      </c>
    </row>
    <row r="12384" spans="1:22" s="841" customFormat="1" ht="15" x14ac:dyDescent="0.25">
      <c r="A12384" s="841" t="s">
        <v>170</v>
      </c>
      <c r="E12384" s="1690" t="s">
        <v>12</v>
      </c>
      <c r="F12384" s="1690"/>
      <c r="G12384" s="1408" t="s">
        <v>23</v>
      </c>
      <c r="H12384" s="391">
        <v>4.38</v>
      </c>
      <c r="K12384" s="841" t="s">
        <v>3406</v>
      </c>
      <c r="L12384" s="841" t="s">
        <v>442</v>
      </c>
      <c r="M12384" s="1357"/>
      <c r="P12384" s="841" t="s">
        <v>3408</v>
      </c>
      <c r="Q12384" s="1357"/>
      <c r="S12384" s="1420"/>
      <c r="T12384" s="1420"/>
      <c r="V12384" s="1357">
        <v>31</v>
      </c>
    </row>
    <row r="12385" spans="1:22" s="841" customFormat="1" ht="15" x14ac:dyDescent="0.25">
      <c r="A12385" s="841" t="s">
        <v>170</v>
      </c>
      <c r="E12385" s="1690" t="s">
        <v>84</v>
      </c>
      <c r="F12385" s="1690"/>
      <c r="G12385" s="1408" t="s">
        <v>24</v>
      </c>
      <c r="H12385" s="393">
        <v>8.8000000000000005E-3</v>
      </c>
      <c r="K12385" s="841" t="s">
        <v>3406</v>
      </c>
      <c r="L12385" s="841" t="s">
        <v>442</v>
      </c>
      <c r="M12385" s="1357"/>
      <c r="P12385" s="841" t="s">
        <v>3409</v>
      </c>
      <c r="Q12385" s="1357"/>
      <c r="S12385" s="1420"/>
      <c r="T12385" s="1420"/>
      <c r="V12385" s="1357">
        <v>28</v>
      </c>
    </row>
    <row r="12386" spans="1:22" s="841" customFormat="1" ht="15" x14ac:dyDescent="0.25">
      <c r="A12386" s="841" t="s">
        <v>170</v>
      </c>
      <c r="E12386" s="1690" t="s">
        <v>18</v>
      </c>
      <c r="F12386" s="1690"/>
      <c r="G12386" s="1408" t="s">
        <v>24</v>
      </c>
      <c r="H12386" s="393">
        <v>2.0999999999999999E-3</v>
      </c>
      <c r="K12386" s="841" t="s">
        <v>3406</v>
      </c>
      <c r="L12386" s="841" t="s">
        <v>443</v>
      </c>
      <c r="M12386" s="1357"/>
      <c r="P12386" s="841" t="s">
        <v>3549</v>
      </c>
      <c r="Q12386" s="1357"/>
      <c r="S12386" s="1420"/>
      <c r="T12386" s="1420"/>
      <c r="V12386" s="1357">
        <v>24</v>
      </c>
    </row>
    <row r="12387" spans="1:22" s="841" customFormat="1" ht="15" x14ac:dyDescent="0.25">
      <c r="A12387" s="841" t="s">
        <v>170</v>
      </c>
      <c r="E12387" s="1690" t="s">
        <v>5129</v>
      </c>
      <c r="F12387" s="1908"/>
      <c r="G12387" s="1408" t="s">
        <v>24</v>
      </c>
      <c r="H12387" s="393">
        <v>-2.0000000000000001E-4</v>
      </c>
      <c r="K12387" s="841" t="s">
        <v>3406</v>
      </c>
      <c r="L12387" s="841" t="s">
        <v>443</v>
      </c>
      <c r="M12387" s="1357"/>
      <c r="P12387" s="841" t="s">
        <v>3550</v>
      </c>
      <c r="Q12387" s="1357"/>
      <c r="S12387" s="1420"/>
      <c r="T12387" s="1420">
        <v>43585</v>
      </c>
      <c r="V12387" s="1357">
        <v>139</v>
      </c>
    </row>
    <row r="12388" spans="1:22" s="841" customFormat="1" ht="15" x14ac:dyDescent="0.25">
      <c r="A12388" s="841" t="s">
        <v>170</v>
      </c>
      <c r="E12388" s="1690" t="s">
        <v>5130</v>
      </c>
      <c r="F12388" s="1908"/>
      <c r="G12388" s="1408" t="s">
        <v>24</v>
      </c>
      <c r="H12388" s="393">
        <v>-4.1000000000000003E-3</v>
      </c>
      <c r="K12388" s="841" t="s">
        <v>3406</v>
      </c>
      <c r="L12388" s="841" t="s">
        <v>443</v>
      </c>
      <c r="M12388" s="1357"/>
      <c r="P12388" s="841" t="s">
        <v>3411</v>
      </c>
      <c r="Q12388" s="1357"/>
      <c r="S12388" s="1420"/>
      <c r="T12388" s="1420">
        <v>43585</v>
      </c>
      <c r="V12388" s="1357">
        <v>96</v>
      </c>
    </row>
    <row r="12389" spans="1:22" s="841" customFormat="1" ht="15" x14ac:dyDescent="0.25">
      <c r="A12389" s="841" t="s">
        <v>170</v>
      </c>
      <c r="E12389" s="1690" t="s">
        <v>221</v>
      </c>
      <c r="F12389" s="1690"/>
      <c r="G12389" s="1408" t="s">
        <v>24</v>
      </c>
      <c r="H12389" s="393">
        <v>6.0000000000000001E-3</v>
      </c>
      <c r="K12389" s="841" t="s">
        <v>3406</v>
      </c>
      <c r="L12389" s="841" t="s">
        <v>444</v>
      </c>
      <c r="M12389" s="1357"/>
      <c r="P12389" s="841" t="s">
        <v>3412</v>
      </c>
      <c r="Q12389" s="1357"/>
      <c r="S12389" s="1420"/>
      <c r="T12389" s="1420"/>
      <c r="V12389" s="1357">
        <v>47</v>
      </c>
    </row>
    <row r="12390" spans="1:22" s="841" customFormat="1" ht="15" x14ac:dyDescent="0.25">
      <c r="A12390" s="841" t="s">
        <v>170</v>
      </c>
      <c r="E12390" s="1690" t="s">
        <v>217</v>
      </c>
      <c r="F12390" s="1690"/>
      <c r="G12390" s="1408" t="s">
        <v>24</v>
      </c>
      <c r="H12390" s="393">
        <v>3.5000000000000001E-3</v>
      </c>
      <c r="K12390" s="841" t="s">
        <v>3406</v>
      </c>
      <c r="L12390" s="841" t="s">
        <v>444</v>
      </c>
      <c r="M12390" s="1357"/>
      <c r="P12390" s="841" t="s">
        <v>3413</v>
      </c>
      <c r="Q12390" s="1357"/>
      <c r="S12390" s="1420"/>
      <c r="T12390" s="1420"/>
      <c r="V12390" s="1357">
        <v>74</v>
      </c>
    </row>
    <row r="12391" spans="1:22" s="841" customFormat="1" ht="15" x14ac:dyDescent="0.25">
      <c r="A12391" s="841" t="s">
        <v>170</v>
      </c>
      <c r="E12391" s="1694" t="s">
        <v>3079</v>
      </c>
      <c r="F12391" s="1690"/>
      <c r="G12391" s="1408"/>
      <c r="H12391" s="1408"/>
      <c r="K12391" s="841" t="s">
        <v>3225</v>
      </c>
      <c r="M12391" s="1357"/>
      <c r="Q12391" s="1357"/>
      <c r="S12391" s="1420"/>
      <c r="T12391" s="1420"/>
      <c r="V12391" s="1357">
        <v>48</v>
      </c>
    </row>
    <row r="12392" spans="1:22" s="841" customFormat="1" ht="15" x14ac:dyDescent="0.25">
      <c r="A12392" s="841" t="s">
        <v>170</v>
      </c>
      <c r="E12392" s="1690" t="s">
        <v>2449</v>
      </c>
      <c r="F12392" s="1690"/>
      <c r="G12392" s="1408" t="s">
        <v>24</v>
      </c>
      <c r="H12392" s="393">
        <v>3.2000000000000002E-3</v>
      </c>
      <c r="K12392" s="841" t="s">
        <v>3406</v>
      </c>
      <c r="L12392" s="841" t="s">
        <v>3046</v>
      </c>
      <c r="M12392" s="1357"/>
      <c r="P12392" s="841" t="s">
        <v>3414</v>
      </c>
      <c r="Q12392" s="1357"/>
      <c r="S12392" s="1420"/>
      <c r="T12392" s="1420"/>
      <c r="V12392" s="1357">
        <v>55</v>
      </c>
    </row>
    <row r="12393" spans="1:22" s="841" customFormat="1" ht="15" x14ac:dyDescent="0.25">
      <c r="A12393" s="841" t="s">
        <v>170</v>
      </c>
      <c r="E12393" s="1690" t="s">
        <v>2450</v>
      </c>
      <c r="F12393" s="1690"/>
      <c r="G12393" s="1408" t="s">
        <v>24</v>
      </c>
      <c r="H12393" s="393">
        <v>4.0000000000000002E-4</v>
      </c>
      <c r="K12393" s="841" t="s">
        <v>3406</v>
      </c>
      <c r="L12393" s="841" t="s">
        <v>3046</v>
      </c>
      <c r="M12393" s="1357"/>
      <c r="P12393" s="841" t="s">
        <v>3414</v>
      </c>
      <c r="Q12393" s="1357"/>
      <c r="S12393" s="1420"/>
      <c r="T12393" s="1420"/>
      <c r="V12393" s="1357">
        <v>65</v>
      </c>
    </row>
    <row r="12394" spans="1:22" s="841" customFormat="1" ht="15" x14ac:dyDescent="0.25">
      <c r="A12394" s="841" t="s">
        <v>170</v>
      </c>
      <c r="E12394" s="1690" t="s">
        <v>439</v>
      </c>
      <c r="F12394" s="1690"/>
      <c r="G12394" s="1408" t="s">
        <v>24</v>
      </c>
      <c r="H12394" s="393">
        <v>2.9999999999999997E-4</v>
      </c>
      <c r="K12394" s="841" t="s">
        <v>3406</v>
      </c>
      <c r="L12394" s="841" t="s">
        <v>3046</v>
      </c>
      <c r="M12394" s="1357"/>
      <c r="P12394" s="841" t="s">
        <v>3415</v>
      </c>
      <c r="Q12394" s="1357"/>
      <c r="S12394" s="1420"/>
      <c r="T12394" s="1420"/>
      <c r="V12394" s="1357">
        <v>57</v>
      </c>
    </row>
    <row r="12395" spans="1:22" s="841" customFormat="1" ht="15" x14ac:dyDescent="0.25">
      <c r="A12395" s="841" t="s">
        <v>170</v>
      </c>
      <c r="E12395" s="1690" t="s">
        <v>32</v>
      </c>
      <c r="F12395" s="1690"/>
      <c r="G12395" s="1408" t="s">
        <v>23</v>
      </c>
      <c r="H12395" s="391">
        <v>0.25</v>
      </c>
      <c r="K12395" s="841" t="s">
        <v>3406</v>
      </c>
      <c r="L12395" s="841" t="s">
        <v>3046</v>
      </c>
      <c r="M12395" s="1357"/>
      <c r="P12395" s="841" t="s">
        <v>3416</v>
      </c>
      <c r="Q12395" s="1357"/>
      <c r="S12395" s="1420"/>
      <c r="T12395" s="1420"/>
      <c r="V12395" s="1357">
        <v>63</v>
      </c>
    </row>
    <row r="12396" spans="1:22" s="841" customFormat="1" x14ac:dyDescent="0.25">
      <c r="A12396" s="841" t="s">
        <v>170</v>
      </c>
      <c r="E12396" s="1909" t="s">
        <v>615</v>
      </c>
      <c r="F12396" s="1923"/>
      <c r="G12396" s="1915"/>
      <c r="H12396" s="1915"/>
      <c r="K12396" s="841" t="s">
        <v>3417</v>
      </c>
      <c r="M12396" s="1357"/>
      <c r="Q12396" s="1357"/>
      <c r="S12396" s="1420"/>
      <c r="T12396" s="1420"/>
      <c r="V12396" s="1357">
        <v>38</v>
      </c>
    </row>
    <row r="12397" spans="1:22" s="841" customFormat="1" ht="15" x14ac:dyDescent="0.25">
      <c r="A12397" s="841" t="s">
        <v>170</v>
      </c>
      <c r="E12397" s="1689" t="s">
        <v>4567</v>
      </c>
      <c r="F12397" s="1689"/>
      <c r="G12397" s="1689"/>
      <c r="H12397" s="1689"/>
      <c r="K12397" s="841" t="s">
        <v>3417</v>
      </c>
      <c r="M12397" s="1357"/>
      <c r="Q12397" s="1357"/>
      <c r="S12397" s="1420"/>
      <c r="T12397" s="1420"/>
      <c r="V12397" s="1357">
        <v>552</v>
      </c>
    </row>
    <row r="12398" spans="1:22" s="841" customFormat="1" ht="15" x14ac:dyDescent="0.25">
      <c r="A12398" s="841" t="s">
        <v>170</v>
      </c>
      <c r="E12398" s="1916" t="s">
        <v>3061</v>
      </c>
      <c r="F12398" s="1689"/>
      <c r="G12398" s="1697"/>
      <c r="H12398" s="1697"/>
      <c r="K12398" s="841" t="s">
        <v>3107</v>
      </c>
      <c r="M12398" s="1357"/>
      <c r="Q12398" s="1357"/>
      <c r="S12398" s="1420"/>
      <c r="T12398" s="1420"/>
      <c r="V12398" s="1357">
        <v>11</v>
      </c>
    </row>
    <row r="12399" spans="1:22" s="841" customFormat="1" ht="15" x14ac:dyDescent="0.25">
      <c r="A12399" s="841" t="s">
        <v>170</v>
      </c>
      <c r="E12399" s="1689" t="s">
        <v>3063</v>
      </c>
      <c r="F12399" s="1689"/>
      <c r="G12399" s="1689"/>
      <c r="H12399" s="1689"/>
      <c r="K12399" s="841" t="s">
        <v>3417</v>
      </c>
      <c r="M12399" s="1357"/>
      <c r="Q12399" s="1357"/>
      <c r="S12399" s="1420"/>
      <c r="T12399" s="1420"/>
      <c r="V12399" s="1357">
        <v>280</v>
      </c>
    </row>
    <row r="12400" spans="1:22" s="841" customFormat="1" ht="15" x14ac:dyDescent="0.25">
      <c r="A12400" s="841" t="s">
        <v>170</v>
      </c>
      <c r="E12400" s="1689" t="s">
        <v>4044</v>
      </c>
      <c r="F12400" s="1689"/>
      <c r="G12400" s="1689"/>
      <c r="H12400" s="1689"/>
      <c r="K12400" s="841" t="s">
        <v>3417</v>
      </c>
      <c r="M12400" s="1357"/>
      <c r="Q12400" s="1357"/>
      <c r="S12400" s="1420"/>
      <c r="T12400" s="1420"/>
      <c r="V12400" s="1357">
        <v>411</v>
      </c>
    </row>
    <row r="12401" spans="1:22" s="841" customFormat="1" ht="15" x14ac:dyDescent="0.25">
      <c r="A12401" s="841" t="s">
        <v>170</v>
      </c>
      <c r="E12401" s="1689" t="s">
        <v>4565</v>
      </c>
      <c r="F12401" s="1689"/>
      <c r="G12401" s="1689"/>
      <c r="H12401" s="1689"/>
      <c r="K12401" s="841" t="s">
        <v>3417</v>
      </c>
      <c r="M12401" s="1357"/>
      <c r="Q12401" s="1357"/>
      <c r="S12401" s="1420"/>
      <c r="T12401" s="1420"/>
      <c r="V12401" s="1357">
        <v>386</v>
      </c>
    </row>
    <row r="12402" spans="1:22" s="841" customFormat="1" ht="15" x14ac:dyDescent="0.25">
      <c r="A12402" s="841" t="s">
        <v>170</v>
      </c>
      <c r="E12402" s="1689" t="s">
        <v>4564</v>
      </c>
      <c r="F12402" s="1689"/>
      <c r="G12402" s="1689"/>
      <c r="H12402" s="1689"/>
      <c r="K12402" s="841" t="s">
        <v>3417</v>
      </c>
      <c r="M12402" s="1357"/>
      <c r="Q12402" s="1357"/>
      <c r="S12402" s="1420"/>
      <c r="T12402" s="1420"/>
      <c r="V12402" s="1357">
        <v>266</v>
      </c>
    </row>
    <row r="12403" spans="1:22" s="841" customFormat="1" ht="15" x14ac:dyDescent="0.25">
      <c r="A12403" s="841" t="s">
        <v>170</v>
      </c>
      <c r="E12403" s="1694" t="s">
        <v>3067</v>
      </c>
      <c r="F12403" s="1907"/>
      <c r="G12403" s="1907"/>
      <c r="H12403" s="1907"/>
      <c r="K12403" s="841" t="s">
        <v>3108</v>
      </c>
      <c r="M12403" s="1357"/>
      <c r="Q12403" s="1357"/>
      <c r="S12403" s="1420"/>
      <c r="T12403" s="1420"/>
      <c r="V12403" s="1357">
        <v>46</v>
      </c>
    </row>
    <row r="12404" spans="1:22" s="841" customFormat="1" ht="15" x14ac:dyDescent="0.25">
      <c r="A12404" s="841" t="s">
        <v>170</v>
      </c>
      <c r="E12404" s="1690" t="s">
        <v>12</v>
      </c>
      <c r="F12404" s="1690"/>
      <c r="G12404" s="1408" t="s">
        <v>23</v>
      </c>
      <c r="H12404" s="391">
        <v>1.62</v>
      </c>
      <c r="K12404" s="841" t="s">
        <v>3417</v>
      </c>
      <c r="L12404" s="841" t="s">
        <v>442</v>
      </c>
      <c r="M12404" s="1357"/>
      <c r="P12404" s="841" t="s">
        <v>3419</v>
      </c>
      <c r="Q12404" s="1357"/>
      <c r="S12404" s="1420"/>
      <c r="T12404" s="1420"/>
      <c r="V12404" s="1357">
        <v>31</v>
      </c>
    </row>
    <row r="12405" spans="1:22" s="841" customFormat="1" ht="15" x14ac:dyDescent="0.25">
      <c r="A12405" s="841" t="s">
        <v>170</v>
      </c>
      <c r="E12405" s="1690" t="s">
        <v>84</v>
      </c>
      <c r="F12405" s="1690"/>
      <c r="G12405" s="1408" t="s">
        <v>33</v>
      </c>
      <c r="H12405" s="393">
        <v>0.97160000000000002</v>
      </c>
      <c r="K12405" s="841" t="s">
        <v>3417</v>
      </c>
      <c r="L12405" s="841" t="s">
        <v>442</v>
      </c>
      <c r="M12405" s="1357"/>
      <c r="P12405" s="841" t="s">
        <v>3420</v>
      </c>
      <c r="Q12405" s="1357"/>
      <c r="S12405" s="1420"/>
      <c r="T12405" s="1420"/>
      <c r="V12405" s="1357">
        <v>28</v>
      </c>
    </row>
    <row r="12406" spans="1:22" s="841" customFormat="1" ht="15" x14ac:dyDescent="0.25">
      <c r="A12406" s="841" t="s">
        <v>170</v>
      </c>
      <c r="E12406" s="1690" t="s">
        <v>18</v>
      </c>
      <c r="F12406" s="1690"/>
      <c r="G12406" s="1408" t="s">
        <v>33</v>
      </c>
      <c r="H12406" s="393">
        <v>0.63970000000000005</v>
      </c>
      <c r="K12406" s="841" t="s">
        <v>3417</v>
      </c>
      <c r="L12406" s="841" t="s">
        <v>443</v>
      </c>
      <c r="M12406" s="1357"/>
      <c r="P12406" s="841" t="s">
        <v>3552</v>
      </c>
      <c r="Q12406" s="1357"/>
      <c r="S12406" s="1420"/>
      <c r="T12406" s="1420"/>
      <c r="V12406" s="1357">
        <v>24</v>
      </c>
    </row>
    <row r="12407" spans="1:22" s="841" customFormat="1" ht="15" x14ac:dyDescent="0.25">
      <c r="A12407" s="841" t="s">
        <v>170</v>
      </c>
      <c r="E12407" s="1690" t="s">
        <v>5129</v>
      </c>
      <c r="F12407" s="1908"/>
      <c r="G12407" s="1408" t="s">
        <v>24</v>
      </c>
      <c r="H12407" s="393">
        <v>-1E-4</v>
      </c>
      <c r="K12407" s="841" t="s">
        <v>3417</v>
      </c>
      <c r="L12407" s="841" t="s">
        <v>443</v>
      </c>
      <c r="M12407" s="1357"/>
      <c r="P12407" s="841" t="s">
        <v>3421</v>
      </c>
      <c r="Q12407" s="1357"/>
      <c r="S12407" s="1420"/>
      <c r="T12407" s="1420">
        <v>43585</v>
      </c>
      <c r="V12407" s="1357">
        <v>139</v>
      </c>
    </row>
    <row r="12408" spans="1:22" s="841" customFormat="1" ht="15" x14ac:dyDescent="0.25">
      <c r="A12408" s="841" t="s">
        <v>170</v>
      </c>
      <c r="E12408" s="1690" t="s">
        <v>5130</v>
      </c>
      <c r="F12408" s="1908"/>
      <c r="G12408" s="1408" t="s">
        <v>33</v>
      </c>
      <c r="H12408" s="393">
        <v>-1.3381000000000001</v>
      </c>
      <c r="K12408" s="841" t="s">
        <v>3417</v>
      </c>
      <c r="L12408" s="841" t="s">
        <v>443</v>
      </c>
      <c r="M12408" s="1357"/>
      <c r="P12408" s="841" t="s">
        <v>3423</v>
      </c>
      <c r="Q12408" s="1357"/>
      <c r="S12408" s="1420"/>
      <c r="T12408" s="1420">
        <v>43585</v>
      </c>
      <c r="V12408" s="1357">
        <v>96</v>
      </c>
    </row>
    <row r="12409" spans="1:22" s="841" customFormat="1" ht="15" x14ac:dyDescent="0.25">
      <c r="A12409" s="841" t="s">
        <v>170</v>
      </c>
      <c r="E12409" s="1690" t="s">
        <v>221</v>
      </c>
      <c r="F12409" s="1690"/>
      <c r="G12409" s="1408" t="s">
        <v>33</v>
      </c>
      <c r="H12409" s="393">
        <v>1.8756999999999999</v>
      </c>
      <c r="K12409" s="841" t="s">
        <v>3417</v>
      </c>
      <c r="L12409" s="841" t="s">
        <v>444</v>
      </c>
      <c r="M12409" s="1357"/>
      <c r="P12409" s="841" t="s">
        <v>3424</v>
      </c>
      <c r="Q12409" s="1357"/>
      <c r="S12409" s="1420"/>
      <c r="T12409" s="1420"/>
      <c r="V12409" s="1357">
        <v>47</v>
      </c>
    </row>
    <row r="12410" spans="1:22" s="841" customFormat="1" ht="15" x14ac:dyDescent="0.25">
      <c r="A12410" s="841" t="s">
        <v>170</v>
      </c>
      <c r="E12410" s="1690" t="s">
        <v>217</v>
      </c>
      <c r="F12410" s="1690"/>
      <c r="G12410" s="1408" t="s">
        <v>33</v>
      </c>
      <c r="H12410" s="393">
        <v>1.0452999999999999</v>
      </c>
      <c r="K12410" s="841" t="s">
        <v>3417</v>
      </c>
      <c r="L12410" s="841" t="s">
        <v>444</v>
      </c>
      <c r="M12410" s="1357"/>
      <c r="P12410" s="841" t="s">
        <v>3553</v>
      </c>
      <c r="Q12410" s="1357"/>
      <c r="S12410" s="1420"/>
      <c r="T12410" s="1420"/>
      <c r="V12410" s="1357">
        <v>74</v>
      </c>
    </row>
    <row r="12411" spans="1:22" s="841" customFormat="1" ht="15" x14ac:dyDescent="0.25">
      <c r="A12411" s="841" t="s">
        <v>170</v>
      </c>
      <c r="E12411" s="1694" t="s">
        <v>3079</v>
      </c>
      <c r="F12411" s="1690"/>
      <c r="G12411" s="1408"/>
      <c r="H12411" s="1408"/>
      <c r="K12411" s="841" t="s">
        <v>3111</v>
      </c>
      <c r="M12411" s="1357"/>
      <c r="Q12411" s="1357"/>
      <c r="S12411" s="1420"/>
      <c r="T12411" s="1420"/>
      <c r="V12411" s="1357">
        <v>48</v>
      </c>
    </row>
    <row r="12412" spans="1:22" s="841" customFormat="1" ht="15" x14ac:dyDescent="0.25">
      <c r="A12412" s="841" t="s">
        <v>170</v>
      </c>
      <c r="E12412" s="1690" t="s">
        <v>2449</v>
      </c>
      <c r="F12412" s="1690"/>
      <c r="G12412" s="1408" t="s">
        <v>24</v>
      </c>
      <c r="H12412" s="393">
        <v>3.2000000000000002E-3</v>
      </c>
      <c r="K12412" s="841" t="s">
        <v>3417</v>
      </c>
      <c r="L12412" s="841" t="s">
        <v>3046</v>
      </c>
      <c r="M12412" s="1357"/>
      <c r="P12412" s="841" t="s">
        <v>3426</v>
      </c>
      <c r="Q12412" s="1357"/>
      <c r="S12412" s="1420"/>
      <c r="T12412" s="1420"/>
      <c r="V12412" s="1357">
        <v>55</v>
      </c>
    </row>
    <row r="12413" spans="1:22" s="841" customFormat="1" ht="15" x14ac:dyDescent="0.25">
      <c r="A12413" s="841" t="s">
        <v>170</v>
      </c>
      <c r="E12413" s="1690" t="s">
        <v>2450</v>
      </c>
      <c r="F12413" s="1690"/>
      <c r="G12413" s="1408" t="s">
        <v>24</v>
      </c>
      <c r="H12413" s="393">
        <v>4.0000000000000002E-4</v>
      </c>
      <c r="K12413" s="841" t="s">
        <v>3417</v>
      </c>
      <c r="L12413" s="841" t="s">
        <v>3046</v>
      </c>
      <c r="M12413" s="1357"/>
      <c r="P12413" s="841" t="s">
        <v>3426</v>
      </c>
      <c r="Q12413" s="1357"/>
      <c r="S12413" s="1420"/>
      <c r="T12413" s="1420"/>
      <c r="V12413" s="1357">
        <v>65</v>
      </c>
    </row>
    <row r="12414" spans="1:22" s="841" customFormat="1" ht="15" x14ac:dyDescent="0.25">
      <c r="A12414" s="841" t="s">
        <v>170</v>
      </c>
      <c r="E12414" s="1690" t="s">
        <v>439</v>
      </c>
      <c r="F12414" s="1690"/>
      <c r="G12414" s="1408" t="s">
        <v>24</v>
      </c>
      <c r="H12414" s="393">
        <v>2.9999999999999997E-4</v>
      </c>
      <c r="K12414" s="841" t="s">
        <v>3417</v>
      </c>
      <c r="L12414" s="841" t="s">
        <v>3046</v>
      </c>
      <c r="M12414" s="1357"/>
      <c r="P12414" s="841" t="s">
        <v>3427</v>
      </c>
      <c r="Q12414" s="1357"/>
      <c r="S12414" s="1420"/>
      <c r="T12414" s="1420"/>
      <c r="V12414" s="1357">
        <v>57</v>
      </c>
    </row>
    <row r="12415" spans="1:22" s="841" customFormat="1" ht="15" x14ac:dyDescent="0.25">
      <c r="A12415" s="841" t="s">
        <v>170</v>
      </c>
      <c r="E12415" s="1690" t="s">
        <v>32</v>
      </c>
      <c r="F12415" s="1690"/>
      <c r="G12415" s="1408" t="s">
        <v>23</v>
      </c>
      <c r="H12415" s="391">
        <v>0.25</v>
      </c>
      <c r="K12415" s="841" t="s">
        <v>3417</v>
      </c>
      <c r="L12415" s="841" t="s">
        <v>3046</v>
      </c>
      <c r="M12415" s="1357"/>
      <c r="P12415" s="841" t="s">
        <v>3428</v>
      </c>
      <c r="Q12415" s="1357"/>
      <c r="S12415" s="1420"/>
      <c r="T12415" s="1420"/>
      <c r="V12415" s="1357">
        <v>63</v>
      </c>
    </row>
    <row r="12416" spans="1:22" s="841" customFormat="1" x14ac:dyDescent="0.25">
      <c r="A12416" s="841" t="s">
        <v>170</v>
      </c>
      <c r="E12416" s="1909" t="s">
        <v>618</v>
      </c>
      <c r="F12416" s="1923"/>
      <c r="G12416" s="1915"/>
      <c r="H12416" s="1915"/>
      <c r="K12416" s="841" t="s">
        <v>3371</v>
      </c>
      <c r="M12416" s="1357"/>
      <c r="Q12416" s="1357"/>
      <c r="S12416" s="1420"/>
      <c r="T12416" s="1420"/>
      <c r="V12416" s="1357">
        <v>31</v>
      </c>
    </row>
    <row r="12417" spans="1:22" s="841" customFormat="1" ht="15" x14ac:dyDescent="0.25">
      <c r="A12417" s="841" t="s">
        <v>170</v>
      </c>
      <c r="E12417" s="1689" t="s">
        <v>3429</v>
      </c>
      <c r="F12417" s="1689"/>
      <c r="G12417" s="1689"/>
      <c r="H12417" s="1689"/>
      <c r="K12417" s="841" t="s">
        <v>3371</v>
      </c>
      <c r="M12417" s="1357"/>
      <c r="Q12417" s="1357"/>
      <c r="S12417" s="1420"/>
      <c r="T12417" s="1420"/>
      <c r="V12417" s="1357">
        <v>285</v>
      </c>
    </row>
    <row r="12418" spans="1:22" s="841" customFormat="1" ht="15" x14ac:dyDescent="0.25">
      <c r="A12418" s="841" t="s">
        <v>170</v>
      </c>
      <c r="E12418" s="1916" t="s">
        <v>3061</v>
      </c>
      <c r="F12418" s="1689"/>
      <c r="G12418" s="1697"/>
      <c r="H12418" s="1697"/>
      <c r="K12418" s="841" t="s">
        <v>3114</v>
      </c>
      <c r="M12418" s="1357"/>
      <c r="Q12418" s="1357"/>
      <c r="S12418" s="1420"/>
      <c r="T12418" s="1420"/>
      <c r="V12418" s="1357">
        <v>11</v>
      </c>
    </row>
    <row r="12419" spans="1:22" s="841" customFormat="1" ht="15" x14ac:dyDescent="0.25">
      <c r="A12419" s="841" t="s">
        <v>170</v>
      </c>
      <c r="E12419" s="1689" t="s">
        <v>3063</v>
      </c>
      <c r="F12419" s="1689"/>
      <c r="G12419" s="1689"/>
      <c r="H12419" s="1689"/>
      <c r="K12419" s="841" t="s">
        <v>3371</v>
      </c>
      <c r="M12419" s="1357"/>
      <c r="Q12419" s="1357"/>
      <c r="S12419" s="1420"/>
      <c r="T12419" s="1420"/>
      <c r="V12419" s="1357">
        <v>280</v>
      </c>
    </row>
    <row r="12420" spans="1:22" s="841" customFormat="1" ht="15" x14ac:dyDescent="0.25">
      <c r="A12420" s="841" t="s">
        <v>170</v>
      </c>
      <c r="E12420" s="1689" t="s">
        <v>4044</v>
      </c>
      <c r="F12420" s="1689"/>
      <c r="G12420" s="1689"/>
      <c r="H12420" s="1689"/>
      <c r="K12420" s="841" t="s">
        <v>3371</v>
      </c>
      <c r="M12420" s="1357"/>
      <c r="Q12420" s="1357"/>
      <c r="S12420" s="1420"/>
      <c r="T12420" s="1420"/>
      <c r="V12420" s="1357">
        <v>411</v>
      </c>
    </row>
    <row r="12421" spans="1:22" s="841" customFormat="1" ht="15" x14ac:dyDescent="0.25">
      <c r="A12421" s="841" t="s">
        <v>170</v>
      </c>
      <c r="E12421" s="1689" t="s">
        <v>4568</v>
      </c>
      <c r="F12421" s="1689"/>
      <c r="G12421" s="1689"/>
      <c r="H12421" s="1689"/>
      <c r="K12421" s="841" t="s">
        <v>3371</v>
      </c>
      <c r="M12421" s="1357"/>
      <c r="Q12421" s="1357"/>
      <c r="S12421" s="1420"/>
      <c r="T12421" s="1420"/>
      <c r="V12421" s="1357">
        <v>212</v>
      </c>
    </row>
    <row r="12422" spans="1:22" s="841" customFormat="1" ht="15" x14ac:dyDescent="0.25">
      <c r="A12422" s="841" t="s">
        <v>170</v>
      </c>
      <c r="E12422" s="1689" t="s">
        <v>4564</v>
      </c>
      <c r="F12422" s="1689"/>
      <c r="G12422" s="1689"/>
      <c r="H12422" s="1689"/>
      <c r="K12422" s="841" t="s">
        <v>3371</v>
      </c>
      <c r="M12422" s="1357"/>
      <c r="Q12422" s="1357"/>
      <c r="S12422" s="1420"/>
      <c r="T12422" s="1420"/>
      <c r="V12422" s="1357">
        <v>266</v>
      </c>
    </row>
    <row r="12423" spans="1:22" s="841" customFormat="1" ht="15" x14ac:dyDescent="0.25">
      <c r="A12423" s="841" t="s">
        <v>170</v>
      </c>
      <c r="E12423" s="1694" t="s">
        <v>3067</v>
      </c>
      <c r="F12423" s="1907"/>
      <c r="G12423" s="1907"/>
      <c r="H12423" s="1907"/>
      <c r="K12423" s="841" t="s">
        <v>3115</v>
      </c>
      <c r="M12423" s="1357"/>
      <c r="Q12423" s="1357"/>
      <c r="S12423" s="1420"/>
      <c r="T12423" s="1420"/>
      <c r="V12423" s="1357">
        <v>46</v>
      </c>
    </row>
    <row r="12424" spans="1:22" s="841" customFormat="1" ht="15" x14ac:dyDescent="0.25">
      <c r="A12424" s="841" t="s">
        <v>170</v>
      </c>
      <c r="E12424" s="1690" t="s">
        <v>11</v>
      </c>
      <c r="F12424" s="1690"/>
      <c r="G12424" s="1408" t="s">
        <v>23</v>
      </c>
      <c r="H12424" s="391">
        <v>10</v>
      </c>
      <c r="K12424" s="841" t="s">
        <v>3371</v>
      </c>
      <c r="L12424" s="841" t="s">
        <v>442</v>
      </c>
      <c r="M12424" s="1357"/>
      <c r="P12424" s="841" t="s">
        <v>3373</v>
      </c>
      <c r="Q12424" s="1357"/>
      <c r="S12424" s="1420"/>
      <c r="T12424" s="1420"/>
      <c r="V12424" s="1357">
        <v>14</v>
      </c>
    </row>
    <row r="12425" spans="1:22" s="841" customFormat="1" ht="18.75" x14ac:dyDescent="0.3">
      <c r="A12425" s="841" t="s">
        <v>170</v>
      </c>
      <c r="E12425" s="1931" t="s">
        <v>85</v>
      </c>
      <c r="F12425" s="1964"/>
      <c r="G12425" s="737"/>
      <c r="H12425" s="737"/>
      <c r="K12425" s="841" t="s">
        <v>4569</v>
      </c>
      <c r="M12425" s="1357"/>
      <c r="Q12425" s="1357"/>
      <c r="S12425" s="1420"/>
      <c r="T12425" s="1420"/>
      <c r="V12425" s="1357">
        <v>10</v>
      </c>
    </row>
    <row r="12426" spans="1:22" s="841" customFormat="1" ht="15" x14ac:dyDescent="0.25">
      <c r="A12426" s="841" t="s">
        <v>170</v>
      </c>
      <c r="E12426" s="1690" t="s">
        <v>3133</v>
      </c>
      <c r="F12426" s="1690"/>
      <c r="G12426" s="1408" t="s">
        <v>33</v>
      </c>
      <c r="H12426" s="681">
        <v>-0.6</v>
      </c>
      <c r="M12426" s="1357"/>
      <c r="Q12426" s="1357"/>
      <c r="S12426" s="1420"/>
      <c r="T12426" s="1420"/>
      <c r="V12426" s="1357">
        <v>68</v>
      </c>
    </row>
    <row r="12427" spans="1:22" s="841" customFormat="1" ht="15" x14ac:dyDescent="0.25">
      <c r="A12427" s="841" t="s">
        <v>170</v>
      </c>
      <c r="E12427" s="1690" t="s">
        <v>3134</v>
      </c>
      <c r="F12427" s="1690"/>
      <c r="G12427" s="1408" t="s">
        <v>86</v>
      </c>
      <c r="H12427" s="391">
        <v>-1</v>
      </c>
      <c r="M12427" s="1357"/>
      <c r="Q12427" s="1357"/>
      <c r="S12427" s="1420"/>
      <c r="T12427" s="1420"/>
      <c r="V12427" s="1357">
        <v>87</v>
      </c>
    </row>
    <row r="12428" spans="1:22" s="841" customFormat="1" ht="18.75" x14ac:dyDescent="0.3">
      <c r="A12428" s="841" t="s">
        <v>170</v>
      </c>
      <c r="E12428" s="1931" t="s">
        <v>87</v>
      </c>
      <c r="F12428" s="1964"/>
      <c r="G12428" s="737"/>
      <c r="H12428" s="737"/>
      <c r="K12428" s="841" t="s">
        <v>4570</v>
      </c>
      <c r="M12428" s="1357"/>
      <c r="Q12428" s="1357"/>
      <c r="S12428" s="1420"/>
      <c r="T12428" s="1420"/>
      <c r="V12428" s="1357">
        <v>24</v>
      </c>
    </row>
    <row r="12429" spans="1:22" s="841" customFormat="1" ht="15" x14ac:dyDescent="0.25">
      <c r="A12429" s="841" t="s">
        <v>170</v>
      </c>
      <c r="E12429" s="1689" t="s">
        <v>3063</v>
      </c>
      <c r="F12429" s="1689"/>
      <c r="G12429" s="1689"/>
      <c r="H12429" s="1689"/>
      <c r="M12429" s="1357"/>
      <c r="Q12429" s="1357"/>
      <c r="S12429" s="1420"/>
      <c r="T12429" s="1420"/>
      <c r="V12429" s="1357">
        <v>280</v>
      </c>
    </row>
    <row r="12430" spans="1:22" s="841" customFormat="1" ht="15" x14ac:dyDescent="0.25">
      <c r="A12430" s="841" t="s">
        <v>170</v>
      </c>
      <c r="E12430" s="1689" t="s">
        <v>4129</v>
      </c>
      <c r="F12430" s="1689"/>
      <c r="G12430" s="1689"/>
      <c r="H12430" s="1689"/>
      <c r="M12430" s="1357"/>
      <c r="Q12430" s="1357"/>
      <c r="S12430" s="1420"/>
      <c r="T12430" s="1420"/>
      <c r="V12430" s="1357">
        <v>355</v>
      </c>
    </row>
    <row r="12431" spans="1:22" s="841" customFormat="1" ht="15" x14ac:dyDescent="0.25">
      <c r="A12431" s="841" t="s">
        <v>170</v>
      </c>
      <c r="E12431" s="1689" t="s">
        <v>3200</v>
      </c>
      <c r="F12431" s="1689"/>
      <c r="G12431" s="1689"/>
      <c r="H12431" s="1689"/>
      <c r="M12431" s="1357"/>
      <c r="Q12431" s="1357"/>
      <c r="S12431" s="1420"/>
      <c r="T12431" s="1420"/>
      <c r="V12431" s="1357">
        <v>275</v>
      </c>
    </row>
    <row r="12432" spans="1:22" s="841" customFormat="1" ht="15" x14ac:dyDescent="0.25">
      <c r="A12432" s="841" t="s">
        <v>170</v>
      </c>
      <c r="E12432" s="1694" t="s">
        <v>3137</v>
      </c>
      <c r="F12432" s="1908"/>
      <c r="G12432" s="396"/>
      <c r="H12432" s="396"/>
      <c r="K12432" s="841" t="s">
        <v>4571</v>
      </c>
      <c r="M12432" s="1357"/>
      <c r="Q12432" s="1357"/>
      <c r="S12432" s="1420"/>
      <c r="T12432" s="1420"/>
      <c r="V12432" s="1357">
        <v>23</v>
      </c>
    </row>
    <row r="12433" spans="1:22" s="841" customFormat="1" ht="15" x14ac:dyDescent="0.25">
      <c r="A12433" s="841" t="s">
        <v>170</v>
      </c>
      <c r="E12433" s="1688" t="s">
        <v>3355</v>
      </c>
      <c r="F12433" s="1688"/>
      <c r="G12433" s="1408" t="s">
        <v>23</v>
      </c>
      <c r="H12433" s="391">
        <v>15</v>
      </c>
      <c r="M12433" s="1357"/>
      <c r="Q12433" s="1357"/>
      <c r="S12433" s="1420"/>
      <c r="T12433" s="1420"/>
      <c r="V12433" s="1357">
        <v>19</v>
      </c>
    </row>
    <row r="12434" spans="1:22" s="841" customFormat="1" ht="15" x14ac:dyDescent="0.25">
      <c r="A12434" s="841" t="s">
        <v>170</v>
      </c>
      <c r="E12434" s="1688" t="s">
        <v>3140</v>
      </c>
      <c r="F12434" s="1688"/>
      <c r="G12434" s="1408" t="s">
        <v>23</v>
      </c>
      <c r="H12434" s="391">
        <v>15</v>
      </c>
      <c r="M12434" s="1357"/>
      <c r="Q12434" s="1357"/>
      <c r="S12434" s="1420"/>
      <c r="T12434" s="1420"/>
      <c r="V12434" s="1357">
        <v>20</v>
      </c>
    </row>
    <row r="12435" spans="1:22" s="841" customFormat="1" ht="15" x14ac:dyDescent="0.25">
      <c r="A12435" s="841" t="s">
        <v>170</v>
      </c>
      <c r="E12435" s="1688" t="s">
        <v>3143</v>
      </c>
      <c r="F12435" s="1688"/>
      <c r="G12435" s="1408" t="s">
        <v>23</v>
      </c>
      <c r="H12435" s="391">
        <v>15</v>
      </c>
      <c r="M12435" s="1357"/>
      <c r="Q12435" s="1357"/>
      <c r="S12435" s="1420"/>
      <c r="T12435" s="1420"/>
      <c r="V12435" s="1357">
        <v>37</v>
      </c>
    </row>
    <row r="12436" spans="1:22" s="841" customFormat="1" ht="15" x14ac:dyDescent="0.25">
      <c r="A12436" s="841" t="s">
        <v>170</v>
      </c>
      <c r="E12436" s="1688" t="s">
        <v>4770</v>
      </c>
      <c r="F12436" s="1688"/>
      <c r="G12436" s="1408" t="s">
        <v>23</v>
      </c>
      <c r="H12436" s="391">
        <v>15</v>
      </c>
      <c r="M12436" s="1357"/>
      <c r="Q12436" s="1357"/>
      <c r="S12436" s="1420"/>
      <c r="T12436" s="1420"/>
      <c r="V12436" s="1357">
        <v>15</v>
      </c>
    </row>
    <row r="12437" spans="1:22" s="841" customFormat="1" ht="15" x14ac:dyDescent="0.25">
      <c r="A12437" s="841" t="s">
        <v>170</v>
      </c>
      <c r="E12437" s="1688" t="s">
        <v>3145</v>
      </c>
      <c r="F12437" s="1688"/>
      <c r="G12437" s="1408" t="s">
        <v>23</v>
      </c>
      <c r="H12437" s="391">
        <v>15</v>
      </c>
      <c r="M12437" s="1357"/>
      <c r="Q12437" s="1357"/>
      <c r="S12437" s="1420"/>
      <c r="T12437" s="1420"/>
      <c r="V12437" s="1357">
        <v>17</v>
      </c>
    </row>
    <row r="12438" spans="1:22" s="841" customFormat="1" ht="15" x14ac:dyDescent="0.25">
      <c r="A12438" s="841" t="s">
        <v>170</v>
      </c>
      <c r="E12438" s="1688" t="s">
        <v>3147</v>
      </c>
      <c r="F12438" s="1688"/>
      <c r="G12438" s="1408" t="s">
        <v>23</v>
      </c>
      <c r="H12438" s="391">
        <v>15</v>
      </c>
      <c r="M12438" s="1357"/>
      <c r="Q12438" s="1357"/>
      <c r="S12438" s="1420"/>
      <c r="T12438" s="1420"/>
      <c r="V12438" s="1357">
        <v>15</v>
      </c>
    </row>
    <row r="12439" spans="1:22" s="841" customFormat="1" ht="15" x14ac:dyDescent="0.25">
      <c r="A12439" s="841" t="s">
        <v>170</v>
      </c>
      <c r="E12439" s="1688" t="s">
        <v>3148</v>
      </c>
      <c r="F12439" s="1688"/>
      <c r="G12439" s="1408" t="s">
        <v>23</v>
      </c>
      <c r="H12439" s="391">
        <v>15</v>
      </c>
      <c r="M12439" s="1357"/>
      <c r="Q12439" s="1357"/>
      <c r="S12439" s="1420"/>
      <c r="T12439" s="1420"/>
      <c r="V12439" s="1357">
        <v>56</v>
      </c>
    </row>
    <row r="12440" spans="1:22" s="841" customFormat="1" ht="15" x14ac:dyDescent="0.25">
      <c r="A12440" s="841" t="s">
        <v>170</v>
      </c>
      <c r="E12440" s="1688" t="s">
        <v>123</v>
      </c>
      <c r="F12440" s="1688"/>
      <c r="G12440" s="1408" t="s">
        <v>23</v>
      </c>
      <c r="H12440" s="391">
        <v>15</v>
      </c>
      <c r="M12440" s="1357"/>
      <c r="Q12440" s="1357"/>
      <c r="S12440" s="1420"/>
      <c r="T12440" s="1420"/>
      <c r="V12440" s="1357">
        <v>35</v>
      </c>
    </row>
    <row r="12441" spans="1:22" s="841" customFormat="1" ht="15" x14ac:dyDescent="0.25">
      <c r="A12441" s="841" t="s">
        <v>170</v>
      </c>
      <c r="E12441" s="1688" t="s">
        <v>3151</v>
      </c>
      <c r="F12441" s="1688"/>
      <c r="G12441" s="1408" t="s">
        <v>23</v>
      </c>
      <c r="H12441" s="391">
        <v>15</v>
      </c>
      <c r="M12441" s="1357"/>
      <c r="Q12441" s="1357"/>
      <c r="S12441" s="1420"/>
      <c r="T12441" s="1420"/>
      <c r="V12441" s="1357">
        <v>19</v>
      </c>
    </row>
    <row r="12442" spans="1:22" s="841" customFormat="1" ht="15" x14ac:dyDescent="0.25">
      <c r="A12442" s="841" t="s">
        <v>170</v>
      </c>
      <c r="E12442" s="1688" t="s">
        <v>88</v>
      </c>
      <c r="F12442" s="1688"/>
      <c r="G12442" s="1408" t="s">
        <v>23</v>
      </c>
      <c r="H12442" s="391">
        <v>30</v>
      </c>
      <c r="M12442" s="1357"/>
      <c r="Q12442" s="1357"/>
      <c r="S12442" s="1420"/>
      <c r="T12442" s="1420"/>
      <c r="V12442" s="1357">
        <v>89</v>
      </c>
    </row>
    <row r="12443" spans="1:22" s="841" customFormat="1" ht="15" x14ac:dyDescent="0.25">
      <c r="A12443" s="841" t="s">
        <v>170</v>
      </c>
      <c r="E12443" s="1688" t="s">
        <v>94</v>
      </c>
      <c r="F12443" s="1688"/>
      <c r="G12443" s="1408" t="s">
        <v>23</v>
      </c>
      <c r="H12443" s="391">
        <v>30</v>
      </c>
      <c r="M12443" s="1357"/>
      <c r="Q12443" s="1357"/>
      <c r="S12443" s="1420"/>
      <c r="T12443" s="1420"/>
      <c r="V12443" s="1357">
        <v>19</v>
      </c>
    </row>
    <row r="12444" spans="1:22" s="841" customFormat="1" ht="15" x14ac:dyDescent="0.25">
      <c r="A12444" s="841" t="s">
        <v>170</v>
      </c>
      <c r="E12444" s="1688" t="s">
        <v>92</v>
      </c>
      <c r="F12444" s="1688"/>
      <c r="G12444" s="1408" t="s">
        <v>23</v>
      </c>
      <c r="H12444" s="391">
        <v>30</v>
      </c>
      <c r="M12444" s="1357"/>
      <c r="Q12444" s="1357"/>
      <c r="S12444" s="1420"/>
      <c r="T12444" s="1420"/>
      <c r="V12444" s="1357">
        <v>74</v>
      </c>
    </row>
    <row r="12445" spans="1:22" s="841" customFormat="1" ht="15" x14ac:dyDescent="0.25">
      <c r="A12445" s="841" t="s">
        <v>170</v>
      </c>
      <c r="E12445" s="1694" t="s">
        <v>3152</v>
      </c>
      <c r="F12445" s="1908"/>
      <c r="G12445" s="396"/>
      <c r="H12445" s="396"/>
      <c r="K12445" s="841" t="s">
        <v>4572</v>
      </c>
      <c r="M12445" s="1357"/>
      <c r="Q12445" s="1357"/>
      <c r="S12445" s="1420"/>
      <c r="T12445" s="1420"/>
      <c r="V12445" s="1357">
        <v>22</v>
      </c>
    </row>
    <row r="12446" spans="1:22" s="841" customFormat="1" ht="15" x14ac:dyDescent="0.25">
      <c r="A12446" s="841" t="s">
        <v>170</v>
      </c>
      <c r="E12446" s="1688" t="s">
        <v>5137</v>
      </c>
      <c r="F12446" s="1688"/>
      <c r="G12446" s="1408" t="s">
        <v>86</v>
      </c>
      <c r="H12446" s="391">
        <v>1.5</v>
      </c>
      <c r="M12446" s="1357"/>
      <c r="Q12446" s="1357"/>
      <c r="S12446" s="1420"/>
      <c r="T12446" s="1420"/>
      <c r="V12446" s="1357">
        <v>24</v>
      </c>
    </row>
    <row r="12447" spans="1:22" s="841" customFormat="1" ht="15" x14ac:dyDescent="0.25">
      <c r="A12447" s="841" t="s">
        <v>170</v>
      </c>
      <c r="E12447" s="1688" t="s">
        <v>5765</v>
      </c>
      <c r="F12447" s="1688"/>
      <c r="G12447" s="1408" t="s">
        <v>86</v>
      </c>
      <c r="H12447" s="391">
        <v>19.559999999999999</v>
      </c>
      <c r="M12447" s="1357"/>
      <c r="Q12447" s="1357"/>
      <c r="S12447" s="1420"/>
      <c r="T12447" s="1420"/>
      <c r="V12447" s="1357">
        <v>31</v>
      </c>
    </row>
    <row r="12448" spans="1:22" s="841" customFormat="1" ht="15" x14ac:dyDescent="0.25">
      <c r="A12448" s="841" t="s">
        <v>170</v>
      </c>
      <c r="E12448" s="1688" t="s">
        <v>3288</v>
      </c>
      <c r="F12448" s="1688"/>
      <c r="G12448" s="1408" t="s">
        <v>23</v>
      </c>
      <c r="H12448" s="391">
        <v>30</v>
      </c>
      <c r="M12448" s="1357"/>
      <c r="Q12448" s="1357"/>
      <c r="S12448" s="1420"/>
      <c r="T12448" s="1420"/>
      <c r="V12448" s="1357">
        <v>47</v>
      </c>
    </row>
    <row r="12449" spans="1:22" s="841" customFormat="1" ht="15" x14ac:dyDescent="0.25">
      <c r="A12449" s="841" t="s">
        <v>170</v>
      </c>
      <c r="E12449" s="1688" t="s">
        <v>4773</v>
      </c>
      <c r="F12449" s="1688"/>
      <c r="G12449" s="1408" t="s">
        <v>23</v>
      </c>
      <c r="H12449" s="391">
        <v>65</v>
      </c>
      <c r="M12449" s="1357"/>
      <c r="Q12449" s="1357"/>
      <c r="S12449" s="1420"/>
      <c r="T12449" s="1420"/>
      <c r="V12449" s="1357">
        <v>52</v>
      </c>
    </row>
    <row r="12450" spans="1:22" s="841" customFormat="1" ht="15" x14ac:dyDescent="0.25">
      <c r="A12450" s="841" t="s">
        <v>170</v>
      </c>
      <c r="E12450" s="1688" t="s">
        <v>4774</v>
      </c>
      <c r="F12450" s="1688"/>
      <c r="G12450" s="1408" t="s">
        <v>23</v>
      </c>
      <c r="H12450" s="391">
        <v>185</v>
      </c>
      <c r="M12450" s="1357"/>
      <c r="Q12450" s="1357"/>
      <c r="S12450" s="1420"/>
      <c r="T12450" s="1420"/>
      <c r="V12450" s="1357">
        <v>51</v>
      </c>
    </row>
    <row r="12451" spans="1:22" s="841" customFormat="1" ht="15" x14ac:dyDescent="0.25">
      <c r="A12451" s="841" t="s">
        <v>170</v>
      </c>
      <c r="E12451" s="1688" t="s">
        <v>4775</v>
      </c>
      <c r="F12451" s="1688"/>
      <c r="G12451" s="1408" t="s">
        <v>23</v>
      </c>
      <c r="H12451" s="391">
        <v>185</v>
      </c>
      <c r="M12451" s="1357"/>
      <c r="Q12451" s="1357"/>
      <c r="S12451" s="1420"/>
      <c r="T12451" s="1420"/>
      <c r="V12451" s="1357">
        <v>51</v>
      </c>
    </row>
    <row r="12452" spans="1:22" s="841" customFormat="1" ht="15" x14ac:dyDescent="0.25">
      <c r="A12452" s="841" t="s">
        <v>170</v>
      </c>
      <c r="E12452" s="1688" t="s">
        <v>4776</v>
      </c>
      <c r="F12452" s="1688"/>
      <c r="G12452" s="1408" t="s">
        <v>23</v>
      </c>
      <c r="H12452" s="391">
        <v>415</v>
      </c>
      <c r="M12452" s="1357"/>
      <c r="Q12452" s="1357"/>
      <c r="S12452" s="1420"/>
      <c r="T12452" s="1420"/>
      <c r="V12452" s="1357">
        <v>50</v>
      </c>
    </row>
    <row r="12453" spans="1:22" s="841" customFormat="1" ht="15" x14ac:dyDescent="0.25">
      <c r="A12453" s="841" t="s">
        <v>170</v>
      </c>
      <c r="E12453" s="1688" t="s">
        <v>4777</v>
      </c>
      <c r="F12453" s="1688"/>
      <c r="G12453" s="1408" t="s">
        <v>23</v>
      </c>
      <c r="H12453" s="391">
        <v>65</v>
      </c>
      <c r="M12453" s="1357"/>
      <c r="Q12453" s="1357"/>
      <c r="S12453" s="1420"/>
      <c r="T12453" s="1420"/>
      <c r="V12453" s="1357">
        <v>57</v>
      </c>
    </row>
    <row r="12454" spans="1:22" s="841" customFormat="1" ht="15" x14ac:dyDescent="0.25">
      <c r="A12454" s="841" t="s">
        <v>170</v>
      </c>
      <c r="E12454" s="1688" t="s">
        <v>4778</v>
      </c>
      <c r="F12454" s="1688"/>
      <c r="G12454" s="1408" t="s">
        <v>23</v>
      </c>
      <c r="H12454" s="391">
        <v>185</v>
      </c>
      <c r="M12454" s="1357"/>
      <c r="Q12454" s="1357"/>
      <c r="S12454" s="1420"/>
      <c r="T12454" s="1420"/>
      <c r="V12454" s="1357">
        <v>56</v>
      </c>
    </row>
    <row r="12455" spans="1:22" s="841" customFormat="1" ht="15" x14ac:dyDescent="0.25">
      <c r="A12455" s="841" t="s">
        <v>170</v>
      </c>
      <c r="E12455" s="1694" t="s">
        <v>3164</v>
      </c>
      <c r="F12455" s="1908"/>
      <c r="G12455" s="396"/>
      <c r="H12455" s="396"/>
      <c r="M12455" s="1357"/>
      <c r="Q12455" s="1357"/>
      <c r="S12455" s="1420"/>
      <c r="T12455" s="1420"/>
      <c r="V12455" s="1357">
        <v>5</v>
      </c>
    </row>
    <row r="12456" spans="1:22" s="841" customFormat="1" ht="15" x14ac:dyDescent="0.25">
      <c r="A12456" s="841" t="s">
        <v>170</v>
      </c>
      <c r="E12456" s="1688" t="s">
        <v>3167</v>
      </c>
      <c r="F12456" s="1688"/>
      <c r="G12456" s="1408" t="s">
        <v>23</v>
      </c>
      <c r="H12456" s="391">
        <v>30</v>
      </c>
      <c r="M12456" s="1357"/>
      <c r="Q12456" s="1357"/>
      <c r="S12456" s="1420"/>
      <c r="T12456" s="1420"/>
      <c r="V12456" s="1357">
        <v>39</v>
      </c>
    </row>
    <row r="12457" spans="1:22" s="841" customFormat="1" ht="15" x14ac:dyDescent="0.25">
      <c r="A12457" s="841" t="s">
        <v>170</v>
      </c>
      <c r="E12457" s="1688" t="s">
        <v>3168</v>
      </c>
      <c r="F12457" s="1688"/>
      <c r="G12457" s="1408" t="s">
        <v>23</v>
      </c>
      <c r="H12457" s="391">
        <v>165</v>
      </c>
      <c r="M12457" s="1357"/>
      <c r="Q12457" s="1357"/>
      <c r="S12457" s="1420"/>
      <c r="T12457" s="1420"/>
      <c r="V12457" s="1357">
        <v>34</v>
      </c>
    </row>
    <row r="12458" spans="1:22" s="841" customFormat="1" ht="15" x14ac:dyDescent="0.25">
      <c r="A12458" s="841" t="s">
        <v>170</v>
      </c>
      <c r="E12458" s="1688" t="s">
        <v>3491</v>
      </c>
      <c r="F12458" s="1688"/>
      <c r="G12458" s="1408" t="s">
        <v>23</v>
      </c>
      <c r="H12458" s="391">
        <v>22.35</v>
      </c>
      <c r="M12458" s="1357"/>
      <c r="Q12458" s="1357"/>
      <c r="S12458" s="1420"/>
      <c r="T12458" s="1420"/>
      <c r="V12458" s="1357">
        <v>59</v>
      </c>
    </row>
    <row r="12459" spans="1:22" s="841" customFormat="1" ht="15" x14ac:dyDescent="0.25">
      <c r="A12459" s="841" t="s">
        <v>170</v>
      </c>
      <c r="E12459" s="1688" t="s">
        <v>3166</v>
      </c>
      <c r="F12459" s="1688"/>
      <c r="G12459" s="1408"/>
      <c r="H12459" s="391"/>
      <c r="M12459" s="1357"/>
      <c r="Q12459" s="1357"/>
      <c r="S12459" s="1420"/>
      <c r="T12459" s="1420"/>
      <c r="V12459" s="1357">
        <v>44</v>
      </c>
    </row>
    <row r="12460" spans="1:22" s="841" customFormat="1" ht="18.75" x14ac:dyDescent="0.3">
      <c r="A12460" s="841" t="s">
        <v>170</v>
      </c>
      <c r="E12460" s="1931" t="s">
        <v>77</v>
      </c>
      <c r="F12460" s="1964"/>
      <c r="G12460" s="737"/>
      <c r="H12460" s="737"/>
      <c r="K12460" s="841" t="s">
        <v>4573</v>
      </c>
      <c r="M12460" s="1357"/>
      <c r="Q12460" s="1357"/>
      <c r="S12460" s="1420"/>
      <c r="T12460" s="1420"/>
      <c r="V12460" s="1357">
        <v>38</v>
      </c>
    </row>
    <row r="12461" spans="1:22" s="841" customFormat="1" ht="15" x14ac:dyDescent="0.25">
      <c r="A12461" s="841" t="s">
        <v>170</v>
      </c>
      <c r="E12461" s="1689" t="s">
        <v>4135</v>
      </c>
      <c r="F12461" s="1689"/>
      <c r="G12461" s="1689"/>
      <c r="H12461" s="1689"/>
      <c r="M12461" s="1357"/>
      <c r="Q12461" s="1357"/>
      <c r="S12461" s="1420"/>
      <c r="T12461" s="1420"/>
      <c r="V12461" s="1357">
        <v>281</v>
      </c>
    </row>
    <row r="12462" spans="1:22" s="841" customFormat="1" ht="15" x14ac:dyDescent="0.25">
      <c r="A12462" s="841" t="s">
        <v>170</v>
      </c>
      <c r="E12462" s="1689" t="s">
        <v>4136</v>
      </c>
      <c r="F12462" s="1689"/>
      <c r="G12462" s="1689"/>
      <c r="H12462" s="1689"/>
      <c r="M12462" s="1357"/>
      <c r="Q12462" s="1357"/>
      <c r="S12462" s="1420"/>
      <c r="T12462" s="1420"/>
      <c r="V12462" s="1357">
        <v>414</v>
      </c>
    </row>
    <row r="12463" spans="1:22" s="841" customFormat="1" ht="15" x14ac:dyDescent="0.25">
      <c r="A12463" s="841" t="s">
        <v>170</v>
      </c>
      <c r="E12463" s="1689" t="s">
        <v>3129</v>
      </c>
      <c r="F12463" s="1689"/>
      <c r="G12463" s="1689"/>
      <c r="H12463" s="1689"/>
      <c r="M12463" s="1357"/>
      <c r="Q12463" s="1357"/>
      <c r="S12463" s="1420"/>
      <c r="T12463" s="1420"/>
      <c r="V12463" s="1357">
        <v>211</v>
      </c>
    </row>
    <row r="12464" spans="1:22" s="841" customFormat="1" ht="15" x14ac:dyDescent="0.25">
      <c r="A12464" s="841" t="s">
        <v>170</v>
      </c>
      <c r="E12464" s="1689" t="s">
        <v>4137</v>
      </c>
      <c r="F12464" s="1689"/>
      <c r="G12464" s="1689"/>
      <c r="H12464" s="1689"/>
      <c r="M12464" s="1357"/>
      <c r="Q12464" s="1357"/>
      <c r="S12464" s="1420"/>
      <c r="T12464" s="1420"/>
      <c r="V12464" s="1357">
        <v>277</v>
      </c>
    </row>
    <row r="12465" spans="1:22" s="841" customFormat="1" ht="15" x14ac:dyDescent="0.25">
      <c r="A12465" s="841" t="s">
        <v>170</v>
      </c>
      <c r="E12465" s="1689" t="s">
        <v>3291</v>
      </c>
      <c r="F12465" s="1689"/>
      <c r="G12465" s="1689"/>
      <c r="H12465" s="1689"/>
      <c r="M12465" s="1357"/>
      <c r="Q12465" s="1357"/>
      <c r="S12465" s="1420"/>
      <c r="T12465" s="1420"/>
      <c r="V12465" s="1357">
        <v>142</v>
      </c>
    </row>
    <row r="12466" spans="1:22" s="841" customFormat="1" ht="15" x14ac:dyDescent="0.25">
      <c r="A12466" s="841" t="s">
        <v>170</v>
      </c>
      <c r="E12466" s="1690" t="s">
        <v>3176</v>
      </c>
      <c r="F12466" s="1690"/>
      <c r="G12466" s="506" t="s">
        <v>23</v>
      </c>
      <c r="H12466" s="391">
        <v>100</v>
      </c>
      <c r="M12466" s="1357"/>
      <c r="Q12466" s="1357"/>
      <c r="S12466" s="1420"/>
      <c r="T12466" s="1420"/>
      <c r="V12466" s="1357">
        <v>106</v>
      </c>
    </row>
    <row r="12467" spans="1:22" s="841" customFormat="1" ht="15" x14ac:dyDescent="0.25">
      <c r="A12467" s="841" t="s">
        <v>170</v>
      </c>
      <c r="E12467" s="1690" t="s">
        <v>5140</v>
      </c>
      <c r="F12467" s="1690"/>
      <c r="G12467" s="506" t="s">
        <v>23</v>
      </c>
      <c r="H12467" s="391">
        <v>20</v>
      </c>
      <c r="M12467" s="1357"/>
      <c r="Q12467" s="1357"/>
      <c r="S12467" s="1420"/>
      <c r="T12467" s="1420"/>
      <c r="V12467" s="1357">
        <v>34</v>
      </c>
    </row>
    <row r="12468" spans="1:22" s="841" customFormat="1" ht="15" x14ac:dyDescent="0.25">
      <c r="A12468" s="841" t="s">
        <v>170</v>
      </c>
      <c r="E12468" s="1690" t="s">
        <v>5141</v>
      </c>
      <c r="F12468" s="1690"/>
      <c r="G12468" s="506" t="s">
        <v>3179</v>
      </c>
      <c r="H12468" s="391">
        <v>0.5</v>
      </c>
      <c r="M12468" s="1357"/>
      <c r="Q12468" s="1357"/>
      <c r="S12468" s="1420"/>
      <c r="T12468" s="1420"/>
      <c r="V12468" s="1357">
        <v>51</v>
      </c>
    </row>
    <row r="12469" spans="1:22" s="841" customFormat="1" ht="15" x14ac:dyDescent="0.25">
      <c r="A12469" s="841" t="s">
        <v>170</v>
      </c>
      <c r="E12469" s="1690" t="s">
        <v>3180</v>
      </c>
      <c r="F12469" s="1690"/>
      <c r="G12469" s="506" t="s">
        <v>3179</v>
      </c>
      <c r="H12469" s="391">
        <v>0.3</v>
      </c>
      <c r="M12469" s="1357"/>
      <c r="Q12469" s="1357"/>
      <c r="S12469" s="1420"/>
      <c r="T12469" s="1420"/>
      <c r="V12469" s="1357">
        <v>75</v>
      </c>
    </row>
    <row r="12470" spans="1:22" s="841" customFormat="1" ht="15" x14ac:dyDescent="0.25">
      <c r="A12470" s="841" t="s">
        <v>170</v>
      </c>
      <c r="E12470" s="1690" t="s">
        <v>3181</v>
      </c>
      <c r="F12470" s="1690"/>
      <c r="G12470" s="506" t="s">
        <v>3179</v>
      </c>
      <c r="H12470" s="391">
        <v>-0.3</v>
      </c>
      <c r="M12470" s="1357"/>
      <c r="Q12470" s="1357"/>
      <c r="S12470" s="1420"/>
      <c r="T12470" s="1420"/>
      <c r="V12470" s="1357">
        <v>72</v>
      </c>
    </row>
    <row r="12471" spans="1:22" s="841" customFormat="1" ht="15" x14ac:dyDescent="0.25">
      <c r="A12471" s="841" t="s">
        <v>170</v>
      </c>
      <c r="E12471" s="1690" t="s">
        <v>3182</v>
      </c>
      <c r="F12471" s="1690"/>
      <c r="G12471" s="506"/>
      <c r="H12471" s="392"/>
      <c r="M12471" s="1357"/>
      <c r="Q12471" s="1357"/>
      <c r="S12471" s="1420"/>
      <c r="T12471" s="1420"/>
      <c r="V12471" s="1357">
        <v>35</v>
      </c>
    </row>
    <row r="12472" spans="1:22" s="841" customFormat="1" ht="15" x14ac:dyDescent="0.25">
      <c r="A12472" s="841" t="s">
        <v>170</v>
      </c>
      <c r="E12472" s="1691" t="s">
        <v>3183</v>
      </c>
      <c r="F12472" s="1691"/>
      <c r="G12472" s="506" t="s">
        <v>23</v>
      </c>
      <c r="H12472" s="391">
        <v>0.25</v>
      </c>
      <c r="M12472" s="1357"/>
      <c r="Q12472" s="1357"/>
      <c r="S12472" s="1420"/>
      <c r="T12472" s="1420"/>
      <c r="V12472" s="1357">
        <v>57</v>
      </c>
    </row>
    <row r="12473" spans="1:22" s="841" customFormat="1" ht="15" x14ac:dyDescent="0.25">
      <c r="A12473" s="841" t="s">
        <v>170</v>
      </c>
      <c r="E12473" s="1691" t="s">
        <v>3184</v>
      </c>
      <c r="F12473" s="1691"/>
      <c r="G12473" s="506" t="s">
        <v>23</v>
      </c>
      <c r="H12473" s="391">
        <v>0.5</v>
      </c>
      <c r="M12473" s="1357"/>
      <c r="Q12473" s="1357"/>
      <c r="S12473" s="1420"/>
      <c r="T12473" s="1420"/>
      <c r="V12473" s="1357">
        <v>60</v>
      </c>
    </row>
    <row r="12474" spans="1:22" s="841" customFormat="1" ht="15" x14ac:dyDescent="0.25">
      <c r="A12474" s="841" t="s">
        <v>170</v>
      </c>
      <c r="E12474" s="1690" t="s">
        <v>3185</v>
      </c>
      <c r="F12474" s="1690"/>
      <c r="G12474" s="506"/>
      <c r="H12474" s="392"/>
      <c r="M12474" s="1357"/>
      <c r="Q12474" s="1357"/>
      <c r="S12474" s="1420"/>
      <c r="T12474" s="1420"/>
      <c r="V12474" s="1357">
        <v>91</v>
      </c>
    </row>
    <row r="12475" spans="1:22" s="841" customFormat="1" ht="15" x14ac:dyDescent="0.25">
      <c r="A12475" s="841" t="s">
        <v>170</v>
      </c>
      <c r="E12475" s="1690" t="s">
        <v>3186</v>
      </c>
      <c r="F12475" s="1690"/>
      <c r="G12475" s="506"/>
      <c r="H12475" s="392"/>
      <c r="M12475" s="1357"/>
      <c r="Q12475" s="1357"/>
      <c r="S12475" s="1420"/>
      <c r="T12475" s="1420"/>
      <c r="V12475" s="1357">
        <v>96</v>
      </c>
    </row>
    <row r="12476" spans="1:22" s="841" customFormat="1" ht="15" x14ac:dyDescent="0.25">
      <c r="A12476" s="841" t="s">
        <v>170</v>
      </c>
      <c r="E12476" s="1690" t="s">
        <v>3187</v>
      </c>
      <c r="F12476" s="1690"/>
      <c r="G12476" s="506"/>
      <c r="H12476" s="392"/>
      <c r="M12476" s="1357"/>
      <c r="Q12476" s="1357"/>
      <c r="S12476" s="1420"/>
      <c r="T12476" s="1420"/>
      <c r="V12476" s="1357">
        <v>78</v>
      </c>
    </row>
    <row r="12477" spans="1:22" s="841" customFormat="1" ht="15" x14ac:dyDescent="0.25">
      <c r="A12477" s="841" t="s">
        <v>170</v>
      </c>
      <c r="E12477" s="1691" t="s">
        <v>3188</v>
      </c>
      <c r="F12477" s="1691"/>
      <c r="G12477" s="506" t="s">
        <v>23</v>
      </c>
      <c r="H12477" s="392" t="s">
        <v>3189</v>
      </c>
      <c r="M12477" s="1357"/>
      <c r="Q12477" s="1357"/>
      <c r="S12477" s="1420"/>
      <c r="T12477" s="1420"/>
      <c r="V12477" s="1357">
        <v>18</v>
      </c>
    </row>
    <row r="12478" spans="1:22" s="841" customFormat="1" ht="15" x14ac:dyDescent="0.25">
      <c r="A12478" s="841" t="s">
        <v>170</v>
      </c>
      <c r="E12478" s="1691" t="s">
        <v>3190</v>
      </c>
      <c r="F12478" s="1691"/>
      <c r="G12478" s="506" t="s">
        <v>23</v>
      </c>
      <c r="H12478" s="391">
        <v>2</v>
      </c>
      <c r="M12478" s="1357"/>
      <c r="Q12478" s="1357"/>
      <c r="S12478" s="1420"/>
      <c r="T12478" s="1420"/>
      <c r="V12478" s="1357">
        <v>69</v>
      </c>
    </row>
    <row r="12479" spans="1:22" s="841" customFormat="1" ht="18.75" x14ac:dyDescent="0.3">
      <c r="A12479" s="841" t="s">
        <v>170</v>
      </c>
      <c r="E12479" s="1931" t="s">
        <v>147</v>
      </c>
      <c r="F12479" s="1964"/>
      <c r="G12479" s="737"/>
      <c r="H12479" s="737"/>
      <c r="K12479" s="841" t="s">
        <v>4574</v>
      </c>
      <c r="M12479" s="1357"/>
      <c r="Q12479" s="1357"/>
      <c r="S12479" s="1420"/>
      <c r="T12479" s="1420"/>
      <c r="V12479" s="1357">
        <v>12</v>
      </c>
    </row>
    <row r="12480" spans="1:22" s="841" customFormat="1" ht="15" x14ac:dyDescent="0.25">
      <c r="A12480" s="841" t="s">
        <v>170</v>
      </c>
      <c r="E12480" s="1704" t="s">
        <v>3192</v>
      </c>
      <c r="F12480" s="1704"/>
      <c r="G12480" s="1704"/>
      <c r="H12480" s="1704"/>
      <c r="M12480" s="1357"/>
      <c r="Q12480" s="1357"/>
      <c r="S12480" s="1420"/>
      <c r="T12480" s="1420"/>
      <c r="V12480" s="1357">
        <v>203</v>
      </c>
    </row>
    <row r="12481" spans="1:22" s="841" customFormat="1" ht="15" x14ac:dyDescent="0.25">
      <c r="A12481" s="841" t="s">
        <v>170</v>
      </c>
      <c r="E12481" s="1690" t="s">
        <v>3295</v>
      </c>
      <c r="F12481" s="1690"/>
      <c r="G12481" s="1408"/>
      <c r="H12481" s="393">
        <v>1.0802</v>
      </c>
      <c r="M12481" s="1357"/>
      <c r="Q12481" s="1357"/>
      <c r="S12481" s="1420"/>
      <c r="T12481" s="1420"/>
      <c r="V12481" s="1357">
        <v>57</v>
      </c>
    </row>
    <row r="12482" spans="1:22" s="841" customFormat="1" ht="15" x14ac:dyDescent="0.25">
      <c r="A12482" s="841" t="s">
        <v>170</v>
      </c>
      <c r="E12482" s="1690" t="s">
        <v>3297</v>
      </c>
      <c r="F12482" s="1690"/>
      <c r="G12482" s="1408"/>
      <c r="H12482" s="393">
        <v>1.0702</v>
      </c>
      <c r="J12482" s="841" t="s">
        <v>4575</v>
      </c>
      <c r="M12482" s="1357"/>
      <c r="Q12482" s="1357"/>
      <c r="S12482" s="1420"/>
      <c r="T12482" s="1420"/>
      <c r="V12482" s="1357">
        <v>55</v>
      </c>
    </row>
    <row r="12483" spans="1:22" s="841" customFormat="1" ht="23.25" x14ac:dyDescent="0.25">
      <c r="A12483" s="841" t="s">
        <v>195</v>
      </c>
      <c r="C12483" s="841" t="s">
        <v>3050</v>
      </c>
      <c r="E12483" s="1911" t="s">
        <v>195</v>
      </c>
      <c r="F12483" s="1911"/>
      <c r="G12483" s="1911"/>
      <c r="H12483" s="1911"/>
      <c r="I12483" s="841" t="s">
        <v>628</v>
      </c>
      <c r="J12483" s="841" t="s">
        <v>4576</v>
      </c>
      <c r="K12483" s="841" t="s">
        <v>195</v>
      </c>
      <c r="M12483" s="1357">
        <v>9</v>
      </c>
      <c r="Q12483" s="1357"/>
      <c r="S12483" s="1420"/>
      <c r="T12483" s="1420"/>
      <c r="V12483" s="1357">
        <v>22</v>
      </c>
    </row>
    <row r="12484" spans="1:22" s="841" customFormat="1" x14ac:dyDescent="0.25">
      <c r="A12484" s="841" t="s">
        <v>195</v>
      </c>
      <c r="C12484" s="841" t="s">
        <v>3052</v>
      </c>
      <c r="E12484" s="1912" t="s">
        <v>3053</v>
      </c>
      <c r="F12484" s="1912"/>
      <c r="G12484" s="1912"/>
      <c r="H12484" s="1912"/>
      <c r="M12484" s="1357"/>
      <c r="Q12484" s="1357"/>
      <c r="S12484" s="1420"/>
      <c r="T12484" s="1420"/>
      <c r="V12484" s="1357">
        <v>27</v>
      </c>
    </row>
    <row r="12485" spans="1:22" s="841" customFormat="1" ht="15.75" x14ac:dyDescent="0.25">
      <c r="A12485" s="841" t="s">
        <v>195</v>
      </c>
      <c r="C12485" s="841" t="s">
        <v>3054</v>
      </c>
      <c r="E12485" s="1913" t="s">
        <v>5107</v>
      </c>
      <c r="F12485" s="1913"/>
      <c r="G12485" s="1913"/>
      <c r="H12485" s="1913"/>
      <c r="M12485" s="1357"/>
      <c r="Q12485" s="1357"/>
      <c r="S12485" s="1420">
        <v>43221</v>
      </c>
      <c r="T12485" s="1420"/>
      <c r="V12485" s="1357">
        <v>45</v>
      </c>
    </row>
    <row r="12486" spans="1:22" s="841" customFormat="1" ht="15" x14ac:dyDescent="0.25">
      <c r="A12486" s="841" t="s">
        <v>195</v>
      </c>
      <c r="C12486" s="841" t="s">
        <v>3055</v>
      </c>
      <c r="E12486" s="1914" t="s">
        <v>3056</v>
      </c>
      <c r="F12486" s="1914"/>
      <c r="G12486" s="1914"/>
      <c r="H12486" s="1914"/>
      <c r="M12486" s="1357"/>
      <c r="Q12486" s="1357"/>
      <c r="S12486" s="1420"/>
      <c r="T12486" s="1420"/>
      <c r="V12486" s="1357">
        <v>52</v>
      </c>
    </row>
    <row r="12487" spans="1:22" s="841" customFormat="1" ht="15" x14ac:dyDescent="0.25">
      <c r="A12487" s="841" t="s">
        <v>195</v>
      </c>
      <c r="E12487" s="1914" t="s">
        <v>3057</v>
      </c>
      <c r="F12487" s="1914"/>
      <c r="G12487" s="1914"/>
      <c r="H12487" s="1914"/>
      <c r="M12487" s="1357"/>
      <c r="Q12487" s="1357"/>
      <c r="S12487" s="1420"/>
      <c r="T12487" s="1420"/>
      <c r="V12487" s="1357">
        <v>53</v>
      </c>
    </row>
    <row r="12488" spans="1:22" s="841" customFormat="1" ht="15" x14ac:dyDescent="0.25">
      <c r="A12488" s="841" t="s">
        <v>195</v>
      </c>
      <c r="E12488" s="1925" t="s">
        <v>5898</v>
      </c>
      <c r="F12488" s="1925"/>
      <c r="G12488" s="1925"/>
      <c r="H12488" s="1925"/>
      <c r="K12488" s="841" t="s">
        <v>5898</v>
      </c>
      <c r="M12488" s="1357"/>
      <c r="Q12488" s="1357"/>
      <c r="S12488" s="1420"/>
      <c r="T12488" s="1420"/>
      <c r="V12488" s="1357">
        <v>12</v>
      </c>
    </row>
    <row r="12489" spans="1:22" s="841" customFormat="1" ht="15" x14ac:dyDescent="0.25">
      <c r="A12489" s="841" t="s">
        <v>195</v>
      </c>
      <c r="E12489" s="1909" t="s">
        <v>438</v>
      </c>
      <c r="F12489" s="1697"/>
      <c r="G12489" s="1697"/>
      <c r="H12489" s="1697"/>
      <c r="K12489" s="841" t="s">
        <v>3197</v>
      </c>
      <c r="M12489" s="1357"/>
      <c r="Q12489" s="1357"/>
      <c r="S12489" s="1420"/>
      <c r="T12489" s="1420"/>
      <c r="V12489" s="1357">
        <v>34</v>
      </c>
    </row>
    <row r="12490" spans="1:22" s="841" customFormat="1" ht="15" x14ac:dyDescent="0.25">
      <c r="A12490" s="841" t="s">
        <v>195</v>
      </c>
      <c r="E12490" s="1689" t="s">
        <v>4577</v>
      </c>
      <c r="F12490" s="1689"/>
      <c r="G12490" s="1689"/>
      <c r="H12490" s="1689"/>
      <c r="K12490" s="841" t="s">
        <v>3197</v>
      </c>
      <c r="M12490" s="1357"/>
      <c r="Q12490" s="1357"/>
      <c r="S12490" s="1420"/>
      <c r="T12490" s="1420"/>
      <c r="V12490" s="1357">
        <v>334</v>
      </c>
    </row>
    <row r="12491" spans="1:22" s="841" customFormat="1" ht="15" x14ac:dyDescent="0.25">
      <c r="A12491" s="841" t="s">
        <v>195</v>
      </c>
      <c r="E12491" s="1916" t="s">
        <v>3061</v>
      </c>
      <c r="F12491" s="1697"/>
      <c r="G12491" s="1697"/>
      <c r="H12491" s="1697"/>
      <c r="K12491" s="841" t="s">
        <v>3062</v>
      </c>
      <c r="M12491" s="1357"/>
      <c r="Q12491" s="1357"/>
      <c r="S12491" s="1420"/>
      <c r="T12491" s="1420"/>
      <c r="V12491" s="1357">
        <v>11</v>
      </c>
    </row>
    <row r="12492" spans="1:22" s="841" customFormat="1" ht="15" x14ac:dyDescent="0.25">
      <c r="A12492" s="841" t="s">
        <v>195</v>
      </c>
      <c r="E12492" s="1689" t="s">
        <v>3063</v>
      </c>
      <c r="F12492" s="1689"/>
      <c r="G12492" s="1689"/>
      <c r="H12492" s="1689"/>
      <c r="K12492" s="841" t="s">
        <v>3197</v>
      </c>
      <c r="M12492" s="1357"/>
      <c r="Q12492" s="1357"/>
      <c r="S12492" s="1420"/>
      <c r="T12492" s="1420"/>
      <c r="V12492" s="1357">
        <v>280</v>
      </c>
    </row>
    <row r="12493" spans="1:22" s="841" customFormat="1" ht="15" x14ac:dyDescent="0.25">
      <c r="A12493" s="841" t="s">
        <v>195</v>
      </c>
      <c r="E12493" s="1689" t="s">
        <v>3064</v>
      </c>
      <c r="F12493" s="1689"/>
      <c r="G12493" s="1689"/>
      <c r="H12493" s="1689"/>
      <c r="K12493" s="841" t="s">
        <v>3197</v>
      </c>
      <c r="M12493" s="1357"/>
      <c r="Q12493" s="1357"/>
      <c r="S12493" s="1420"/>
      <c r="T12493" s="1420"/>
      <c r="V12493" s="1357">
        <v>411</v>
      </c>
    </row>
    <row r="12494" spans="1:22" s="841" customFormat="1" ht="15" x14ac:dyDescent="0.25">
      <c r="A12494" s="841" t="s">
        <v>195</v>
      </c>
      <c r="E12494" s="1689" t="s">
        <v>3065</v>
      </c>
      <c r="F12494" s="1689"/>
      <c r="G12494" s="1689"/>
      <c r="H12494" s="1689"/>
      <c r="K12494" s="841" t="s">
        <v>3197</v>
      </c>
      <c r="M12494" s="1357"/>
      <c r="Q12494" s="1357"/>
      <c r="S12494" s="1420"/>
      <c r="T12494" s="1420"/>
      <c r="V12494" s="1357">
        <v>387</v>
      </c>
    </row>
    <row r="12495" spans="1:22" s="841" customFormat="1" ht="15" x14ac:dyDescent="0.25">
      <c r="A12495" s="841" t="s">
        <v>195</v>
      </c>
      <c r="E12495" s="1689" t="s">
        <v>3200</v>
      </c>
      <c r="F12495" s="1689"/>
      <c r="G12495" s="1689"/>
      <c r="H12495" s="1689"/>
      <c r="K12495" s="841" t="s">
        <v>3197</v>
      </c>
      <c r="M12495" s="1357"/>
      <c r="Q12495" s="1357"/>
      <c r="S12495" s="1420"/>
      <c r="T12495" s="1420"/>
      <c r="V12495" s="1357">
        <v>275</v>
      </c>
    </row>
    <row r="12496" spans="1:22" s="841" customFormat="1" ht="15" x14ac:dyDescent="0.25">
      <c r="A12496" s="841" t="s">
        <v>195</v>
      </c>
      <c r="E12496" s="1694" t="s">
        <v>3067</v>
      </c>
      <c r="F12496" s="1907"/>
      <c r="G12496" s="1907"/>
      <c r="H12496" s="1907"/>
      <c r="K12496" s="841" t="s">
        <v>3068</v>
      </c>
      <c r="M12496" s="1357"/>
      <c r="Q12496" s="1357"/>
      <c r="S12496" s="1420"/>
      <c r="T12496" s="1420"/>
      <c r="V12496" s="1357">
        <v>46</v>
      </c>
    </row>
    <row r="12497" spans="1:22" s="841" customFormat="1" ht="15" x14ac:dyDescent="0.25">
      <c r="A12497" s="841" t="s">
        <v>195</v>
      </c>
      <c r="E12497" s="1690" t="s">
        <v>11</v>
      </c>
      <c r="F12497" s="1690"/>
      <c r="G12497" s="1408" t="s">
        <v>23</v>
      </c>
      <c r="H12497" s="391">
        <v>20.98</v>
      </c>
      <c r="K12497" s="841" t="s">
        <v>3197</v>
      </c>
      <c r="L12497" s="841" t="s">
        <v>442</v>
      </c>
      <c r="M12497" s="1357"/>
      <c r="P12497" s="841" t="s">
        <v>3201</v>
      </c>
      <c r="Q12497" s="1357"/>
      <c r="S12497" s="1420"/>
      <c r="T12497" s="1420"/>
      <c r="V12497" s="1357">
        <v>14</v>
      </c>
    </row>
    <row r="12498" spans="1:22" s="841" customFormat="1" ht="15" x14ac:dyDescent="0.25">
      <c r="A12498" s="841" t="s">
        <v>195</v>
      </c>
      <c r="E12498" s="1690" t="s">
        <v>5109</v>
      </c>
      <c r="F12498" s="1690"/>
      <c r="G12498" s="1408" t="s">
        <v>23</v>
      </c>
      <c r="H12498" s="391">
        <v>0.56999999999999995</v>
      </c>
      <c r="K12498" s="841" t="s">
        <v>3197</v>
      </c>
      <c r="L12498" s="841" t="s">
        <v>443</v>
      </c>
      <c r="M12498" s="1357"/>
      <c r="P12498" s="841" t="s">
        <v>3202</v>
      </c>
      <c r="Q12498" s="1357"/>
      <c r="S12498" s="1420"/>
      <c r="T12498" s="1420">
        <v>44926</v>
      </c>
      <c r="V12498" s="1357">
        <v>64</v>
      </c>
    </row>
    <row r="12499" spans="1:22" s="841" customFormat="1" ht="15" x14ac:dyDescent="0.25">
      <c r="A12499" s="841" t="s">
        <v>195</v>
      </c>
      <c r="E12499" s="1690" t="s">
        <v>84</v>
      </c>
      <c r="F12499" s="1690"/>
      <c r="G12499" s="1408" t="s">
        <v>24</v>
      </c>
      <c r="H12499" s="393">
        <v>1.01E-2</v>
      </c>
      <c r="K12499" s="841" t="s">
        <v>3197</v>
      </c>
      <c r="L12499" s="841" t="s">
        <v>442</v>
      </c>
      <c r="M12499" s="1357"/>
      <c r="P12499" s="841" t="s">
        <v>3203</v>
      </c>
      <c r="Q12499" s="1357"/>
      <c r="S12499" s="1420"/>
      <c r="T12499" s="1420"/>
      <c r="V12499" s="1357">
        <v>28</v>
      </c>
    </row>
    <row r="12500" spans="1:22" s="841" customFormat="1" ht="15" x14ac:dyDescent="0.25">
      <c r="A12500" s="841" t="s">
        <v>195</v>
      </c>
      <c r="E12500" s="1690" t="s">
        <v>221</v>
      </c>
      <c r="F12500" s="1690"/>
      <c r="G12500" s="1408" t="s">
        <v>24</v>
      </c>
      <c r="H12500" s="393">
        <v>6.4000000000000003E-3</v>
      </c>
      <c r="K12500" s="841" t="s">
        <v>3197</v>
      </c>
      <c r="L12500" s="841" t="s">
        <v>444</v>
      </c>
      <c r="M12500" s="1357"/>
      <c r="P12500" s="841" t="s">
        <v>3208</v>
      </c>
      <c r="Q12500" s="1357"/>
      <c r="S12500" s="1420"/>
      <c r="T12500" s="1420"/>
      <c r="V12500" s="1357">
        <v>47</v>
      </c>
    </row>
    <row r="12501" spans="1:22" s="841" customFormat="1" ht="15" x14ac:dyDescent="0.25">
      <c r="A12501" s="841" t="s">
        <v>195</v>
      </c>
      <c r="E12501" s="1690" t="s">
        <v>217</v>
      </c>
      <c r="F12501" s="1690"/>
      <c r="G12501" s="1408" t="s">
        <v>24</v>
      </c>
      <c r="H12501" s="393">
        <v>5.8999999999999999E-3</v>
      </c>
      <c r="K12501" s="841" t="s">
        <v>3197</v>
      </c>
      <c r="L12501" s="841" t="s">
        <v>444</v>
      </c>
      <c r="M12501" s="1357"/>
      <c r="P12501" s="841" t="s">
        <v>3209</v>
      </c>
      <c r="Q12501" s="1357"/>
      <c r="S12501" s="1420"/>
      <c r="T12501" s="1420"/>
      <c r="V12501" s="1357">
        <v>74</v>
      </c>
    </row>
    <row r="12502" spans="1:22" s="841" customFormat="1" ht="15" x14ac:dyDescent="0.25">
      <c r="A12502" s="841" t="s">
        <v>195</v>
      </c>
      <c r="E12502" s="1694" t="s">
        <v>3079</v>
      </c>
      <c r="F12502" s="1690"/>
      <c r="G12502" s="1408"/>
      <c r="H12502" s="1408"/>
      <c r="K12502" s="841" t="s">
        <v>3080</v>
      </c>
      <c r="M12502" s="1357"/>
      <c r="Q12502" s="1357"/>
      <c r="S12502" s="1420"/>
      <c r="T12502" s="1420"/>
      <c r="V12502" s="1357">
        <v>48</v>
      </c>
    </row>
    <row r="12503" spans="1:22" s="841" customFormat="1" ht="15" x14ac:dyDescent="0.25">
      <c r="A12503" s="841" t="s">
        <v>195</v>
      </c>
      <c r="E12503" s="1690" t="s">
        <v>2449</v>
      </c>
      <c r="F12503" s="1690"/>
      <c r="G12503" s="1408" t="s">
        <v>24</v>
      </c>
      <c r="H12503" s="393">
        <v>3.2000000000000002E-3</v>
      </c>
      <c r="K12503" s="841" t="s">
        <v>3197</v>
      </c>
      <c r="L12503" s="841" t="s">
        <v>3046</v>
      </c>
      <c r="M12503" s="1357"/>
      <c r="P12503" s="841" t="s">
        <v>3210</v>
      </c>
      <c r="Q12503" s="1357"/>
      <c r="S12503" s="1420"/>
      <c r="T12503" s="1420"/>
      <c r="V12503" s="1357">
        <v>55</v>
      </c>
    </row>
    <row r="12504" spans="1:22" s="841" customFormat="1" ht="15" x14ac:dyDescent="0.25">
      <c r="A12504" s="841" t="s">
        <v>195</v>
      </c>
      <c r="E12504" s="1690" t="s">
        <v>2450</v>
      </c>
      <c r="F12504" s="1690"/>
      <c r="G12504" s="1408" t="s">
        <v>24</v>
      </c>
      <c r="H12504" s="393">
        <v>4.0000000000000002E-4</v>
      </c>
      <c r="K12504" s="841" t="s">
        <v>3197</v>
      </c>
      <c r="L12504" s="841" t="s">
        <v>3046</v>
      </c>
      <c r="M12504" s="1357"/>
      <c r="P12504" s="841" t="s">
        <v>3210</v>
      </c>
      <c r="Q12504" s="1357"/>
      <c r="S12504" s="1420"/>
      <c r="T12504" s="1420"/>
      <c r="V12504" s="1357">
        <v>65</v>
      </c>
    </row>
    <row r="12505" spans="1:22" s="841" customFormat="1" ht="15" x14ac:dyDescent="0.25">
      <c r="A12505" s="841" t="s">
        <v>195</v>
      </c>
      <c r="E12505" s="1690" t="s">
        <v>439</v>
      </c>
      <c r="F12505" s="1690"/>
      <c r="G12505" s="1408" t="s">
        <v>24</v>
      </c>
      <c r="H12505" s="393">
        <v>2.9999999999999997E-4</v>
      </c>
      <c r="K12505" s="841" t="s">
        <v>3197</v>
      </c>
      <c r="L12505" s="841" t="s">
        <v>3046</v>
      </c>
      <c r="M12505" s="1357"/>
      <c r="P12505" s="841" t="s">
        <v>3212</v>
      </c>
      <c r="Q12505" s="1357"/>
      <c r="S12505" s="1420"/>
      <c r="T12505" s="1420"/>
      <c r="V12505" s="1357">
        <v>57</v>
      </c>
    </row>
    <row r="12506" spans="1:22" s="841" customFormat="1" ht="15" x14ac:dyDescent="0.25">
      <c r="A12506" s="841" t="s">
        <v>195</v>
      </c>
      <c r="E12506" s="1690" t="s">
        <v>32</v>
      </c>
      <c r="F12506" s="1690"/>
      <c r="G12506" s="1408" t="s">
        <v>23</v>
      </c>
      <c r="H12506" s="391">
        <v>0.25</v>
      </c>
      <c r="K12506" s="841" t="s">
        <v>3197</v>
      </c>
      <c r="L12506" s="841" t="s">
        <v>3046</v>
      </c>
      <c r="M12506" s="1357"/>
      <c r="P12506" s="841" t="s">
        <v>3213</v>
      </c>
      <c r="Q12506" s="1357"/>
      <c r="S12506" s="1420"/>
      <c r="T12506" s="1420"/>
      <c r="V12506" s="1357">
        <v>63</v>
      </c>
    </row>
    <row r="12507" spans="1:22" s="841" customFormat="1" x14ac:dyDescent="0.25">
      <c r="A12507" s="841" t="s">
        <v>195</v>
      </c>
      <c r="E12507" s="1909" t="s">
        <v>3214</v>
      </c>
      <c r="F12507" s="1915"/>
      <c r="G12507" s="1915"/>
      <c r="H12507" s="1915"/>
      <c r="K12507" s="841" t="s">
        <v>5110</v>
      </c>
      <c r="M12507" s="1357"/>
      <c r="Q12507" s="1357"/>
      <c r="S12507" s="1420"/>
      <c r="T12507" s="1420"/>
      <c r="V12507" s="1357">
        <v>54</v>
      </c>
    </row>
    <row r="12508" spans="1:22" s="841" customFormat="1" ht="15" x14ac:dyDescent="0.25">
      <c r="A12508" s="841" t="s">
        <v>195</v>
      </c>
      <c r="E12508" s="1689" t="s">
        <v>4578</v>
      </c>
      <c r="F12508" s="1689"/>
      <c r="G12508" s="1689"/>
      <c r="H12508" s="1689"/>
      <c r="K12508" s="841" t="s">
        <v>5110</v>
      </c>
      <c r="M12508" s="1357"/>
      <c r="Q12508" s="1357"/>
      <c r="S12508" s="1420"/>
      <c r="T12508" s="1420"/>
      <c r="V12508" s="1357">
        <v>295</v>
      </c>
    </row>
    <row r="12509" spans="1:22" s="841" customFormat="1" ht="15" x14ac:dyDescent="0.25">
      <c r="A12509" s="841" t="s">
        <v>195</v>
      </c>
      <c r="E12509" s="1916" t="s">
        <v>3061</v>
      </c>
      <c r="F12509" s="1697"/>
      <c r="G12509" s="1697"/>
      <c r="H12509" s="1697"/>
      <c r="K12509" s="841" t="s">
        <v>3086</v>
      </c>
      <c r="M12509" s="1357"/>
      <c r="Q12509" s="1357"/>
      <c r="S12509" s="1420"/>
      <c r="T12509" s="1420"/>
      <c r="V12509" s="1357">
        <v>11</v>
      </c>
    </row>
    <row r="12510" spans="1:22" s="841" customFormat="1" ht="15" x14ac:dyDescent="0.25">
      <c r="A12510" s="841" t="s">
        <v>195</v>
      </c>
      <c r="E12510" s="1689" t="s">
        <v>3063</v>
      </c>
      <c r="F12510" s="1689"/>
      <c r="G12510" s="1689"/>
      <c r="H12510" s="1689"/>
      <c r="K12510" s="841" t="s">
        <v>5110</v>
      </c>
      <c r="M12510" s="1357"/>
      <c r="Q12510" s="1357"/>
      <c r="S12510" s="1420"/>
      <c r="T12510" s="1420"/>
      <c r="V12510" s="1357">
        <v>280</v>
      </c>
    </row>
    <row r="12511" spans="1:22" s="841" customFormat="1" ht="15" x14ac:dyDescent="0.25">
      <c r="A12511" s="841" t="s">
        <v>195</v>
      </c>
      <c r="E12511" s="1689" t="s">
        <v>3064</v>
      </c>
      <c r="F12511" s="1689"/>
      <c r="G12511" s="1689"/>
      <c r="H12511" s="1689"/>
      <c r="K12511" s="841" t="s">
        <v>5110</v>
      </c>
      <c r="M12511" s="1357"/>
      <c r="Q12511" s="1357"/>
      <c r="S12511" s="1420"/>
      <c r="T12511" s="1420"/>
      <c r="V12511" s="1357">
        <v>411</v>
      </c>
    </row>
    <row r="12512" spans="1:22" s="841" customFormat="1" ht="15" x14ac:dyDescent="0.25">
      <c r="A12512" s="841" t="s">
        <v>195</v>
      </c>
      <c r="E12512" s="1689" t="s">
        <v>3065</v>
      </c>
      <c r="F12512" s="1689"/>
      <c r="G12512" s="1689"/>
      <c r="H12512" s="1689"/>
      <c r="K12512" s="841" t="s">
        <v>5110</v>
      </c>
      <c r="M12512" s="1357"/>
      <c r="Q12512" s="1357"/>
      <c r="S12512" s="1420"/>
      <c r="T12512" s="1420"/>
      <c r="V12512" s="1357">
        <v>387</v>
      </c>
    </row>
    <row r="12513" spans="1:22" s="841" customFormat="1" ht="15" x14ac:dyDescent="0.25">
      <c r="A12513" s="841" t="s">
        <v>195</v>
      </c>
      <c r="E12513" s="1689" t="s">
        <v>3200</v>
      </c>
      <c r="F12513" s="1689"/>
      <c r="G12513" s="1689"/>
      <c r="H12513" s="1689"/>
      <c r="K12513" s="841" t="s">
        <v>5110</v>
      </c>
      <c r="M12513" s="1357"/>
      <c r="Q12513" s="1357"/>
      <c r="S12513" s="1420"/>
      <c r="T12513" s="1420"/>
      <c r="V12513" s="1357">
        <v>275</v>
      </c>
    </row>
    <row r="12514" spans="1:22" s="841" customFormat="1" ht="15" x14ac:dyDescent="0.25">
      <c r="A12514" s="841" t="s">
        <v>195</v>
      </c>
      <c r="E12514" s="1694" t="s">
        <v>3067</v>
      </c>
      <c r="F12514" s="1907"/>
      <c r="G12514" s="1907"/>
      <c r="H12514" s="1907"/>
      <c r="K12514" s="841" t="s">
        <v>3087</v>
      </c>
      <c r="M12514" s="1357"/>
      <c r="Q12514" s="1357"/>
      <c r="S12514" s="1420"/>
      <c r="T12514" s="1420"/>
      <c r="V12514" s="1357">
        <v>46</v>
      </c>
    </row>
    <row r="12515" spans="1:22" s="841" customFormat="1" ht="15" x14ac:dyDescent="0.25">
      <c r="A12515" s="841" t="s">
        <v>195</v>
      </c>
      <c r="E12515" s="1690" t="s">
        <v>11</v>
      </c>
      <c r="F12515" s="1690"/>
      <c r="G12515" s="1408" t="s">
        <v>23</v>
      </c>
      <c r="H12515" s="391">
        <v>26.52</v>
      </c>
      <c r="K12515" s="841" t="s">
        <v>5110</v>
      </c>
      <c r="L12515" s="841" t="s">
        <v>442</v>
      </c>
      <c r="M12515" s="1357"/>
      <c r="P12515" s="841" t="s">
        <v>5111</v>
      </c>
      <c r="Q12515" s="1357"/>
      <c r="S12515" s="1420"/>
      <c r="T12515" s="1420"/>
      <c r="V12515" s="1357">
        <v>14</v>
      </c>
    </row>
    <row r="12516" spans="1:22" s="841" customFormat="1" ht="15" x14ac:dyDescent="0.25">
      <c r="A12516" s="841" t="s">
        <v>195</v>
      </c>
      <c r="E12516" s="1690" t="s">
        <v>5109</v>
      </c>
      <c r="F12516" s="1690"/>
      <c r="G12516" s="1408" t="s">
        <v>23</v>
      </c>
      <c r="H12516" s="391">
        <v>0.56999999999999995</v>
      </c>
      <c r="K12516" s="841" t="s">
        <v>5110</v>
      </c>
      <c r="L12516" s="841" t="s">
        <v>443</v>
      </c>
      <c r="M12516" s="1357"/>
      <c r="P12516" s="841" t="s">
        <v>5112</v>
      </c>
      <c r="Q12516" s="1357"/>
      <c r="S12516" s="1420"/>
      <c r="T12516" s="1420">
        <v>44926</v>
      </c>
      <c r="V12516" s="1357">
        <v>64</v>
      </c>
    </row>
    <row r="12517" spans="1:22" s="841" customFormat="1" ht="15" x14ac:dyDescent="0.25">
      <c r="A12517" s="841" t="s">
        <v>195</v>
      </c>
      <c r="E12517" s="1690" t="s">
        <v>84</v>
      </c>
      <c r="F12517" s="1690"/>
      <c r="G12517" s="1408" t="s">
        <v>24</v>
      </c>
      <c r="H12517" s="393">
        <v>1.8499999999999999E-2</v>
      </c>
      <c r="K12517" s="841" t="s">
        <v>5110</v>
      </c>
      <c r="L12517" s="841" t="s">
        <v>442</v>
      </c>
      <c r="M12517" s="1357"/>
      <c r="P12517" s="841" t="s">
        <v>5113</v>
      </c>
      <c r="Q12517" s="1357"/>
      <c r="S12517" s="1420"/>
      <c r="T12517" s="1420"/>
      <c r="V12517" s="1357">
        <v>28</v>
      </c>
    </row>
    <row r="12518" spans="1:22" s="841" customFormat="1" ht="15" x14ac:dyDescent="0.25">
      <c r="A12518" s="841" t="s">
        <v>195</v>
      </c>
      <c r="E12518" s="1690" t="s">
        <v>221</v>
      </c>
      <c r="F12518" s="1690"/>
      <c r="G12518" s="1408" t="s">
        <v>24</v>
      </c>
      <c r="H12518" s="393">
        <v>5.7999999999999996E-3</v>
      </c>
      <c r="K12518" s="841" t="s">
        <v>5110</v>
      </c>
      <c r="L12518" s="841" t="s">
        <v>444</v>
      </c>
      <c r="M12518" s="1357"/>
      <c r="P12518" s="841" t="s">
        <v>5115</v>
      </c>
      <c r="Q12518" s="1357"/>
      <c r="S12518" s="1420"/>
      <c r="T12518" s="1420"/>
      <c r="V12518" s="1357">
        <v>47</v>
      </c>
    </row>
    <row r="12519" spans="1:22" s="841" customFormat="1" ht="15" x14ac:dyDescent="0.25">
      <c r="A12519" s="841" t="s">
        <v>195</v>
      </c>
      <c r="E12519" s="1690" t="s">
        <v>217</v>
      </c>
      <c r="F12519" s="1690"/>
      <c r="G12519" s="1408" t="s">
        <v>24</v>
      </c>
      <c r="H12519" s="393">
        <v>5.4000000000000003E-3</v>
      </c>
      <c r="K12519" s="841" t="s">
        <v>5110</v>
      </c>
      <c r="L12519" s="841" t="s">
        <v>444</v>
      </c>
      <c r="M12519" s="1357"/>
      <c r="P12519" s="841" t="s">
        <v>5116</v>
      </c>
      <c r="Q12519" s="1357"/>
      <c r="S12519" s="1420"/>
      <c r="T12519" s="1420"/>
      <c r="V12519" s="1357">
        <v>74</v>
      </c>
    </row>
    <row r="12520" spans="1:22" s="841" customFormat="1" ht="15" x14ac:dyDescent="0.25">
      <c r="A12520" s="841" t="s">
        <v>195</v>
      </c>
      <c r="E12520" s="1694" t="s">
        <v>3079</v>
      </c>
      <c r="F12520" s="1690"/>
      <c r="G12520" s="1408"/>
      <c r="H12520" s="1408"/>
      <c r="K12520" s="841" t="s">
        <v>3093</v>
      </c>
      <c r="M12520" s="1357"/>
      <c r="Q12520" s="1357"/>
      <c r="S12520" s="1420"/>
      <c r="T12520" s="1420"/>
      <c r="V12520" s="1357">
        <v>48</v>
      </c>
    </row>
    <row r="12521" spans="1:22" s="841" customFormat="1" ht="15" x14ac:dyDescent="0.25">
      <c r="A12521" s="841" t="s">
        <v>195</v>
      </c>
      <c r="E12521" s="1690" t="s">
        <v>2449</v>
      </c>
      <c r="F12521" s="1690"/>
      <c r="G12521" s="1408" t="s">
        <v>24</v>
      </c>
      <c r="H12521" s="393">
        <v>3.2000000000000002E-3</v>
      </c>
      <c r="K12521" s="841" t="s">
        <v>5110</v>
      </c>
      <c r="L12521" s="841" t="s">
        <v>3046</v>
      </c>
      <c r="M12521" s="1357"/>
      <c r="P12521" s="841" t="s">
        <v>5117</v>
      </c>
      <c r="Q12521" s="1357"/>
      <c r="S12521" s="1420"/>
      <c r="T12521" s="1420"/>
      <c r="V12521" s="1357">
        <v>55</v>
      </c>
    </row>
    <row r="12522" spans="1:22" s="841" customFormat="1" ht="15" x14ac:dyDescent="0.25">
      <c r="A12522" s="841" t="s">
        <v>195</v>
      </c>
      <c r="E12522" s="1690" t="s">
        <v>2450</v>
      </c>
      <c r="F12522" s="1690"/>
      <c r="G12522" s="1408" t="s">
        <v>24</v>
      </c>
      <c r="H12522" s="393">
        <v>4.0000000000000002E-4</v>
      </c>
      <c r="K12522" s="841" t="s">
        <v>5110</v>
      </c>
      <c r="L12522" s="841" t="s">
        <v>3046</v>
      </c>
      <c r="M12522" s="1357"/>
      <c r="P12522" s="841" t="s">
        <v>5117</v>
      </c>
      <c r="Q12522" s="1357"/>
      <c r="S12522" s="1420"/>
      <c r="T12522" s="1420"/>
      <c r="V12522" s="1357">
        <v>65</v>
      </c>
    </row>
    <row r="12523" spans="1:22" s="841" customFormat="1" ht="15" x14ac:dyDescent="0.25">
      <c r="A12523" s="841" t="s">
        <v>195</v>
      </c>
      <c r="E12523" s="1690" t="s">
        <v>439</v>
      </c>
      <c r="F12523" s="1690"/>
      <c r="G12523" s="1408" t="s">
        <v>24</v>
      </c>
      <c r="H12523" s="393">
        <v>2.9999999999999997E-4</v>
      </c>
      <c r="K12523" s="841" t="s">
        <v>5110</v>
      </c>
      <c r="L12523" s="841" t="s">
        <v>3046</v>
      </c>
      <c r="M12523" s="1357"/>
      <c r="P12523" s="841" t="s">
        <v>5118</v>
      </c>
      <c r="Q12523" s="1357"/>
      <c r="S12523" s="1420"/>
      <c r="T12523" s="1420"/>
      <c r="V12523" s="1357">
        <v>57</v>
      </c>
    </row>
    <row r="12524" spans="1:22" s="841" customFormat="1" ht="15" x14ac:dyDescent="0.25">
      <c r="A12524" s="841" t="s">
        <v>195</v>
      </c>
      <c r="E12524" s="1690" t="s">
        <v>32</v>
      </c>
      <c r="F12524" s="1690"/>
      <c r="G12524" s="1408" t="s">
        <v>23</v>
      </c>
      <c r="H12524" s="391">
        <v>0.25</v>
      </c>
      <c r="K12524" s="841" t="s">
        <v>5110</v>
      </c>
      <c r="L12524" s="841" t="s">
        <v>3046</v>
      </c>
      <c r="M12524" s="1357"/>
      <c r="P12524" s="841" t="s">
        <v>5119</v>
      </c>
      <c r="Q12524" s="1357"/>
      <c r="S12524" s="1420"/>
      <c r="T12524" s="1420"/>
      <c r="V12524" s="1357">
        <v>63</v>
      </c>
    </row>
    <row r="12525" spans="1:22" s="841" customFormat="1" x14ac:dyDescent="0.25">
      <c r="A12525" s="841" t="s">
        <v>195</v>
      </c>
      <c r="E12525" s="1909" t="s">
        <v>3624</v>
      </c>
      <c r="F12525" s="1915"/>
      <c r="G12525" s="1915"/>
      <c r="H12525" s="1915"/>
      <c r="K12525" s="841" t="s">
        <v>5330</v>
      </c>
      <c r="M12525" s="1357"/>
      <c r="Q12525" s="1357"/>
      <c r="S12525" s="1420"/>
      <c r="T12525" s="1420"/>
      <c r="V12525" s="1357">
        <v>51</v>
      </c>
    </row>
    <row r="12526" spans="1:22" s="841" customFormat="1" ht="15" x14ac:dyDescent="0.25">
      <c r="A12526" s="841" t="s">
        <v>195</v>
      </c>
      <c r="E12526" s="1689" t="s">
        <v>4579</v>
      </c>
      <c r="F12526" s="1689"/>
      <c r="G12526" s="1689"/>
      <c r="H12526" s="1689"/>
      <c r="K12526" s="841" t="s">
        <v>5330</v>
      </c>
      <c r="M12526" s="1357"/>
      <c r="Q12526" s="1357"/>
      <c r="S12526" s="1420"/>
      <c r="T12526" s="1420"/>
      <c r="V12526" s="1357">
        <v>375</v>
      </c>
    </row>
    <row r="12527" spans="1:22" s="841" customFormat="1" ht="15" x14ac:dyDescent="0.25">
      <c r="A12527" s="841" t="s">
        <v>195</v>
      </c>
      <c r="E12527" s="1916" t="s">
        <v>3061</v>
      </c>
      <c r="F12527" s="1697"/>
      <c r="G12527" s="1697"/>
      <c r="H12527" s="1697"/>
      <c r="K12527" s="841" t="s">
        <v>3098</v>
      </c>
      <c r="M12527" s="1357"/>
      <c r="Q12527" s="1357"/>
      <c r="S12527" s="1420"/>
      <c r="T12527" s="1420"/>
      <c r="V12527" s="1357">
        <v>11</v>
      </c>
    </row>
    <row r="12528" spans="1:22" s="841" customFormat="1" ht="15" x14ac:dyDescent="0.25">
      <c r="A12528" s="841" t="s">
        <v>195</v>
      </c>
      <c r="E12528" s="1689" t="s">
        <v>3063</v>
      </c>
      <c r="F12528" s="1689"/>
      <c r="G12528" s="1689"/>
      <c r="H12528" s="1689"/>
      <c r="K12528" s="841" t="s">
        <v>5330</v>
      </c>
      <c r="M12528" s="1357"/>
      <c r="Q12528" s="1357"/>
      <c r="S12528" s="1420"/>
      <c r="T12528" s="1420"/>
      <c r="V12528" s="1357">
        <v>280</v>
      </c>
    </row>
    <row r="12529" spans="1:22" s="841" customFormat="1" ht="15" x14ac:dyDescent="0.25">
      <c r="A12529" s="841" t="s">
        <v>195</v>
      </c>
      <c r="E12529" s="1689" t="s">
        <v>3064</v>
      </c>
      <c r="F12529" s="1689"/>
      <c r="G12529" s="1689"/>
      <c r="H12529" s="1689"/>
      <c r="K12529" s="841" t="s">
        <v>5330</v>
      </c>
      <c r="M12529" s="1357"/>
      <c r="Q12529" s="1357"/>
      <c r="S12529" s="1420"/>
      <c r="T12529" s="1420"/>
      <c r="V12529" s="1357">
        <v>411</v>
      </c>
    </row>
    <row r="12530" spans="1:22" s="841" customFormat="1" ht="15" x14ac:dyDescent="0.25">
      <c r="A12530" s="841" t="s">
        <v>195</v>
      </c>
      <c r="E12530" s="1689" t="s">
        <v>3065</v>
      </c>
      <c r="F12530" s="1689"/>
      <c r="G12530" s="1689"/>
      <c r="H12530" s="1689"/>
      <c r="K12530" s="841" t="s">
        <v>5330</v>
      </c>
      <c r="M12530" s="1357"/>
      <c r="Q12530" s="1357"/>
      <c r="S12530" s="1420"/>
      <c r="T12530" s="1420"/>
      <c r="V12530" s="1357">
        <v>387</v>
      </c>
    </row>
    <row r="12531" spans="1:22" s="841" customFormat="1" ht="15" x14ac:dyDescent="0.25">
      <c r="A12531" s="841" t="s">
        <v>195</v>
      </c>
      <c r="E12531" s="1689" t="s">
        <v>3200</v>
      </c>
      <c r="F12531" s="1689"/>
      <c r="G12531" s="1689"/>
      <c r="H12531" s="1689"/>
      <c r="K12531" s="841" t="s">
        <v>5330</v>
      </c>
      <c r="M12531" s="1357"/>
      <c r="Q12531" s="1357"/>
      <c r="S12531" s="1420"/>
      <c r="T12531" s="1420"/>
      <c r="V12531" s="1357">
        <v>275</v>
      </c>
    </row>
    <row r="12532" spans="1:22" s="841" customFormat="1" ht="15" x14ac:dyDescent="0.25">
      <c r="A12532" s="841" t="s">
        <v>195</v>
      </c>
      <c r="E12532" s="1694" t="s">
        <v>3067</v>
      </c>
      <c r="F12532" s="1907"/>
      <c r="G12532" s="1907"/>
      <c r="H12532" s="1907"/>
      <c r="K12532" s="841" t="s">
        <v>3099</v>
      </c>
      <c r="M12532" s="1357"/>
      <c r="Q12532" s="1357"/>
      <c r="S12532" s="1420"/>
      <c r="T12532" s="1420"/>
      <c r="V12532" s="1357">
        <v>46</v>
      </c>
    </row>
    <row r="12533" spans="1:22" s="841" customFormat="1" ht="15" x14ac:dyDescent="0.25">
      <c r="A12533" s="841" t="s">
        <v>195</v>
      </c>
      <c r="E12533" s="1690" t="s">
        <v>11</v>
      </c>
      <c r="F12533" s="1690"/>
      <c r="G12533" s="1408" t="s">
        <v>23</v>
      </c>
      <c r="H12533" s="391">
        <v>137.91999999999999</v>
      </c>
      <c r="K12533" s="841" t="s">
        <v>5330</v>
      </c>
      <c r="L12533" s="841" t="s">
        <v>442</v>
      </c>
      <c r="M12533" s="1357"/>
      <c r="P12533" s="841" t="s">
        <v>5332</v>
      </c>
      <c r="Q12533" s="1357"/>
      <c r="S12533" s="1420"/>
      <c r="T12533" s="1420"/>
      <c r="V12533" s="1357">
        <v>14</v>
      </c>
    </row>
    <row r="12534" spans="1:22" s="841" customFormat="1" ht="15" x14ac:dyDescent="0.25">
      <c r="A12534" s="841" t="s">
        <v>195</v>
      </c>
      <c r="E12534" s="1690" t="s">
        <v>84</v>
      </c>
      <c r="F12534" s="1690"/>
      <c r="G12534" s="1408" t="s">
        <v>33</v>
      </c>
      <c r="H12534" s="393">
        <v>2.0857000000000001</v>
      </c>
      <c r="K12534" s="841" t="s">
        <v>5330</v>
      </c>
      <c r="L12534" s="841" t="s">
        <v>442</v>
      </c>
      <c r="M12534" s="1357"/>
      <c r="P12534" s="841" t="s">
        <v>5333</v>
      </c>
      <c r="Q12534" s="1357"/>
      <c r="S12534" s="1420"/>
      <c r="T12534" s="1420"/>
      <c r="V12534" s="1357">
        <v>28</v>
      </c>
    </row>
    <row r="12535" spans="1:22" s="841" customFormat="1" ht="15" x14ac:dyDescent="0.25">
      <c r="A12535" s="841" t="s">
        <v>195</v>
      </c>
      <c r="E12535" s="1690" t="s">
        <v>221</v>
      </c>
      <c r="F12535" s="1690"/>
      <c r="G12535" s="1408" t="s">
        <v>33</v>
      </c>
      <c r="H12535" s="393">
        <v>2.2559</v>
      </c>
      <c r="K12535" s="841" t="s">
        <v>5330</v>
      </c>
      <c r="L12535" s="841" t="s">
        <v>444</v>
      </c>
      <c r="M12535" s="1357"/>
      <c r="P12535" s="841" t="s">
        <v>5340</v>
      </c>
      <c r="Q12535" s="1357"/>
      <c r="S12535" s="1420"/>
      <c r="T12535" s="1420"/>
      <c r="V12535" s="1357">
        <v>47</v>
      </c>
    </row>
    <row r="12536" spans="1:22" s="841" customFormat="1" ht="15" x14ac:dyDescent="0.25">
      <c r="A12536" s="841" t="s">
        <v>195</v>
      </c>
      <c r="E12536" s="1690" t="s">
        <v>217</v>
      </c>
      <c r="F12536" s="1690"/>
      <c r="G12536" s="1408" t="s">
        <v>33</v>
      </c>
      <c r="H12536" s="393">
        <v>2.0693999999999999</v>
      </c>
      <c r="K12536" s="841" t="s">
        <v>5330</v>
      </c>
      <c r="L12536" s="841" t="s">
        <v>444</v>
      </c>
      <c r="M12536" s="1357"/>
      <c r="P12536" s="841" t="s">
        <v>5341</v>
      </c>
      <c r="Q12536" s="1357"/>
      <c r="S12536" s="1420"/>
      <c r="T12536" s="1420"/>
      <c r="V12536" s="1357">
        <v>74</v>
      </c>
    </row>
    <row r="12537" spans="1:22" s="841" customFormat="1" ht="15" x14ac:dyDescent="0.25">
      <c r="A12537" s="841" t="s">
        <v>195</v>
      </c>
      <c r="E12537" s="1694" t="s">
        <v>3079</v>
      </c>
      <c r="F12537" s="1690"/>
      <c r="G12537" s="1408"/>
      <c r="H12537" s="1408"/>
      <c r="K12537" s="841" t="s">
        <v>3218</v>
      </c>
      <c r="M12537" s="1357"/>
      <c r="Q12537" s="1357"/>
      <c r="S12537" s="1420"/>
      <c r="T12537" s="1420"/>
      <c r="V12537" s="1357">
        <v>48</v>
      </c>
    </row>
    <row r="12538" spans="1:22" s="841" customFormat="1" ht="15" x14ac:dyDescent="0.25">
      <c r="A12538" s="841" t="s">
        <v>195</v>
      </c>
      <c r="E12538" s="1690" t="s">
        <v>2449</v>
      </c>
      <c r="F12538" s="1690"/>
      <c r="G12538" s="1408" t="s">
        <v>24</v>
      </c>
      <c r="H12538" s="393">
        <v>3.2000000000000002E-3</v>
      </c>
      <c r="K12538" s="841" t="s">
        <v>5330</v>
      </c>
      <c r="L12538" s="841" t="s">
        <v>3046</v>
      </c>
      <c r="M12538" s="1357"/>
      <c r="P12538" s="841" t="s">
        <v>5342</v>
      </c>
      <c r="Q12538" s="1357"/>
      <c r="S12538" s="1420"/>
      <c r="T12538" s="1420"/>
      <c r="V12538" s="1357">
        <v>55</v>
      </c>
    </row>
    <row r="12539" spans="1:22" s="841" customFormat="1" ht="15" x14ac:dyDescent="0.25">
      <c r="A12539" s="841" t="s">
        <v>195</v>
      </c>
      <c r="E12539" s="1690" t="s">
        <v>2450</v>
      </c>
      <c r="F12539" s="1690"/>
      <c r="G12539" s="1408" t="s">
        <v>24</v>
      </c>
      <c r="H12539" s="393">
        <v>4.0000000000000002E-4</v>
      </c>
      <c r="K12539" s="841" t="s">
        <v>5330</v>
      </c>
      <c r="L12539" s="841" t="s">
        <v>3046</v>
      </c>
      <c r="M12539" s="1357"/>
      <c r="P12539" s="841" t="s">
        <v>5342</v>
      </c>
      <c r="Q12539" s="1357"/>
      <c r="S12539" s="1420"/>
      <c r="T12539" s="1420"/>
      <c r="V12539" s="1357">
        <v>65</v>
      </c>
    </row>
    <row r="12540" spans="1:22" s="841" customFormat="1" ht="15" x14ac:dyDescent="0.25">
      <c r="A12540" s="841" t="s">
        <v>195</v>
      </c>
      <c r="E12540" s="1690" t="s">
        <v>439</v>
      </c>
      <c r="F12540" s="1690"/>
      <c r="G12540" s="1408" t="s">
        <v>24</v>
      </c>
      <c r="H12540" s="393">
        <v>2.9999999999999997E-4</v>
      </c>
      <c r="K12540" s="841" t="s">
        <v>5330</v>
      </c>
      <c r="L12540" s="841" t="s">
        <v>3046</v>
      </c>
      <c r="M12540" s="1357"/>
      <c r="P12540" s="841" t="s">
        <v>5343</v>
      </c>
      <c r="Q12540" s="1357"/>
      <c r="S12540" s="1420"/>
      <c r="T12540" s="1420"/>
      <c r="V12540" s="1357">
        <v>57</v>
      </c>
    </row>
    <row r="12541" spans="1:22" s="841" customFormat="1" ht="15" x14ac:dyDescent="0.25">
      <c r="A12541" s="841" t="s">
        <v>195</v>
      </c>
      <c r="E12541" s="1690" t="s">
        <v>32</v>
      </c>
      <c r="F12541" s="1690"/>
      <c r="G12541" s="1408" t="s">
        <v>23</v>
      </c>
      <c r="H12541" s="391">
        <v>0.25</v>
      </c>
      <c r="K12541" s="841" t="s">
        <v>5330</v>
      </c>
      <c r="L12541" s="841" t="s">
        <v>3046</v>
      </c>
      <c r="M12541" s="1357"/>
      <c r="P12541" s="841" t="s">
        <v>5344</v>
      </c>
      <c r="Q12541" s="1357"/>
      <c r="S12541" s="1420"/>
      <c r="T12541" s="1420"/>
      <c r="V12541" s="1357">
        <v>63</v>
      </c>
    </row>
    <row r="12542" spans="1:22" s="841" customFormat="1" x14ac:dyDescent="0.25">
      <c r="A12542" s="841" t="s">
        <v>195</v>
      </c>
      <c r="E12542" s="1909" t="s">
        <v>643</v>
      </c>
      <c r="F12542" s="1915"/>
      <c r="G12542" s="1915"/>
      <c r="H12542" s="1915"/>
      <c r="K12542" s="841" t="s">
        <v>4580</v>
      </c>
      <c r="M12542" s="1357"/>
      <c r="Q12542" s="1357"/>
      <c r="S12542" s="1420"/>
      <c r="T12542" s="1420"/>
      <c r="V12542" s="1357">
        <v>54</v>
      </c>
    </row>
    <row r="12543" spans="1:22" s="841" customFormat="1" ht="15" x14ac:dyDescent="0.25">
      <c r="A12543" s="841" t="s">
        <v>195</v>
      </c>
      <c r="E12543" s="1689" t="s">
        <v>4581</v>
      </c>
      <c r="F12543" s="1689"/>
      <c r="G12543" s="1689"/>
      <c r="H12543" s="1689"/>
      <c r="K12543" s="841" t="s">
        <v>4580</v>
      </c>
      <c r="M12543" s="1357"/>
      <c r="Q12543" s="1357"/>
      <c r="S12543" s="1420"/>
      <c r="T12543" s="1420"/>
      <c r="V12543" s="1357">
        <v>392</v>
      </c>
    </row>
    <row r="12544" spans="1:22" s="841" customFormat="1" ht="15" x14ac:dyDescent="0.25">
      <c r="A12544" s="841" t="s">
        <v>195</v>
      </c>
      <c r="E12544" s="1916" t="s">
        <v>3061</v>
      </c>
      <c r="F12544" s="1697"/>
      <c r="G12544" s="1697"/>
      <c r="H12544" s="1697"/>
      <c r="K12544" s="841" t="s">
        <v>3221</v>
      </c>
      <c r="M12544" s="1357"/>
      <c r="Q12544" s="1357"/>
      <c r="S12544" s="1420"/>
      <c r="T12544" s="1420"/>
      <c r="V12544" s="1357">
        <v>11</v>
      </c>
    </row>
    <row r="12545" spans="1:22" s="841" customFormat="1" ht="15" x14ac:dyDescent="0.25">
      <c r="A12545" s="841" t="s">
        <v>195</v>
      </c>
      <c r="E12545" s="1689" t="s">
        <v>3063</v>
      </c>
      <c r="F12545" s="1689"/>
      <c r="G12545" s="1689"/>
      <c r="H12545" s="1689"/>
      <c r="K12545" s="841" t="s">
        <v>4580</v>
      </c>
      <c r="M12545" s="1357"/>
      <c r="Q12545" s="1357"/>
      <c r="S12545" s="1420"/>
      <c r="T12545" s="1420"/>
      <c r="V12545" s="1357">
        <v>280</v>
      </c>
    </row>
    <row r="12546" spans="1:22" s="841" customFormat="1" ht="15" x14ac:dyDescent="0.25">
      <c r="A12546" s="841" t="s">
        <v>195</v>
      </c>
      <c r="E12546" s="1689" t="s">
        <v>3064</v>
      </c>
      <c r="F12546" s="1689"/>
      <c r="G12546" s="1689"/>
      <c r="H12546" s="1689"/>
      <c r="K12546" s="841" t="s">
        <v>4580</v>
      </c>
      <c r="M12546" s="1357"/>
      <c r="Q12546" s="1357"/>
      <c r="S12546" s="1420"/>
      <c r="T12546" s="1420"/>
      <c r="V12546" s="1357">
        <v>411</v>
      </c>
    </row>
    <row r="12547" spans="1:22" s="841" customFormat="1" ht="15" x14ac:dyDescent="0.25">
      <c r="A12547" s="841" t="s">
        <v>195</v>
      </c>
      <c r="E12547" s="1689" t="s">
        <v>3065</v>
      </c>
      <c r="F12547" s="1689"/>
      <c r="G12547" s="1689"/>
      <c r="H12547" s="1689"/>
      <c r="K12547" s="841" t="s">
        <v>4580</v>
      </c>
      <c r="M12547" s="1357"/>
      <c r="Q12547" s="1357"/>
      <c r="S12547" s="1420"/>
      <c r="T12547" s="1420"/>
      <c r="V12547" s="1357">
        <v>387</v>
      </c>
    </row>
    <row r="12548" spans="1:22" s="841" customFormat="1" ht="15" x14ac:dyDescent="0.25">
      <c r="A12548" s="841" t="s">
        <v>195</v>
      </c>
      <c r="E12548" s="1689" t="s">
        <v>3200</v>
      </c>
      <c r="F12548" s="1689"/>
      <c r="G12548" s="1689"/>
      <c r="H12548" s="1689"/>
      <c r="K12548" s="841" t="s">
        <v>4580</v>
      </c>
      <c r="M12548" s="1357"/>
      <c r="Q12548" s="1357"/>
      <c r="S12548" s="1420"/>
      <c r="T12548" s="1420"/>
      <c r="V12548" s="1357">
        <v>275</v>
      </c>
    </row>
    <row r="12549" spans="1:22" s="841" customFormat="1" ht="15" x14ac:dyDescent="0.25">
      <c r="A12549" s="841" t="s">
        <v>195</v>
      </c>
      <c r="E12549" s="1694" t="s">
        <v>3067</v>
      </c>
      <c r="F12549" s="1907"/>
      <c r="G12549" s="1907"/>
      <c r="H12549" s="1907"/>
      <c r="K12549" s="841" t="s">
        <v>3224</v>
      </c>
      <c r="M12549" s="1357"/>
      <c r="Q12549" s="1357"/>
      <c r="S12549" s="1420"/>
      <c r="T12549" s="1420"/>
      <c r="V12549" s="1357">
        <v>46</v>
      </c>
    </row>
    <row r="12550" spans="1:22" s="841" customFormat="1" ht="15" x14ac:dyDescent="0.25">
      <c r="A12550" s="841" t="s">
        <v>195</v>
      </c>
      <c r="E12550" s="1690" t="s">
        <v>11</v>
      </c>
      <c r="F12550" s="1690"/>
      <c r="G12550" s="1408" t="s">
        <v>23</v>
      </c>
      <c r="H12550" s="391">
        <v>1434.34</v>
      </c>
      <c r="K12550" s="841" t="s">
        <v>4580</v>
      </c>
      <c r="L12550" s="841" t="s">
        <v>442</v>
      </c>
      <c r="M12550" s="1357"/>
      <c r="P12550" s="841" t="s">
        <v>4582</v>
      </c>
      <c r="Q12550" s="1357"/>
      <c r="S12550" s="1420"/>
      <c r="T12550" s="1420"/>
      <c r="V12550" s="1357">
        <v>14</v>
      </c>
    </row>
    <row r="12551" spans="1:22" s="841" customFormat="1" ht="15" x14ac:dyDescent="0.25">
      <c r="A12551" s="841" t="s">
        <v>195</v>
      </c>
      <c r="E12551" s="1690" t="s">
        <v>84</v>
      </c>
      <c r="F12551" s="1690"/>
      <c r="G12551" s="1408" t="s">
        <v>33</v>
      </c>
      <c r="H12551" s="393">
        <v>1.0811999999999999</v>
      </c>
      <c r="K12551" s="841" t="s">
        <v>4580</v>
      </c>
      <c r="L12551" s="841" t="s">
        <v>442</v>
      </c>
      <c r="M12551" s="1357"/>
      <c r="P12551" s="841" t="s">
        <v>4583</v>
      </c>
      <c r="Q12551" s="1357"/>
      <c r="S12551" s="1420"/>
      <c r="T12551" s="1420"/>
      <c r="V12551" s="1357">
        <v>28</v>
      </c>
    </row>
    <row r="12552" spans="1:22" s="841" customFormat="1" ht="15" x14ac:dyDescent="0.25">
      <c r="A12552" s="841" t="s">
        <v>195</v>
      </c>
      <c r="E12552" s="1690" t="s">
        <v>223</v>
      </c>
      <c r="F12552" s="1690"/>
      <c r="G12552" s="1408" t="s">
        <v>33</v>
      </c>
      <c r="H12552" s="393">
        <v>2.9561000000000002</v>
      </c>
      <c r="K12552" s="841" t="s">
        <v>4580</v>
      </c>
      <c r="L12552" s="841" t="s">
        <v>444</v>
      </c>
      <c r="M12552" s="1357"/>
      <c r="P12552" s="841" t="s">
        <v>4584</v>
      </c>
      <c r="Q12552" s="1357"/>
      <c r="S12552" s="1420"/>
      <c r="T12552" s="1420"/>
      <c r="V12552" s="1357">
        <v>66</v>
      </c>
    </row>
    <row r="12553" spans="1:22" s="841" customFormat="1" ht="15" x14ac:dyDescent="0.25">
      <c r="A12553" s="841" t="s">
        <v>195</v>
      </c>
      <c r="E12553" s="1690" t="s">
        <v>219</v>
      </c>
      <c r="F12553" s="1690"/>
      <c r="G12553" s="1408" t="s">
        <v>33</v>
      </c>
      <c r="H12553" s="393">
        <v>2.8201000000000001</v>
      </c>
      <c r="K12553" s="841" t="s">
        <v>4580</v>
      </c>
      <c r="L12553" s="841" t="s">
        <v>444</v>
      </c>
      <c r="M12553" s="1357"/>
      <c r="P12553" s="841" t="s">
        <v>4585</v>
      </c>
      <c r="Q12553" s="1357"/>
      <c r="S12553" s="1420"/>
      <c r="T12553" s="1420"/>
      <c r="V12553" s="1357">
        <v>93</v>
      </c>
    </row>
    <row r="12554" spans="1:22" s="841" customFormat="1" ht="15" x14ac:dyDescent="0.25">
      <c r="A12554" s="841" t="s">
        <v>195</v>
      </c>
      <c r="E12554" s="1694" t="s">
        <v>3079</v>
      </c>
      <c r="F12554" s="1690"/>
      <c r="G12554" s="1408"/>
      <c r="H12554" s="1408"/>
      <c r="K12554" s="841" t="s">
        <v>3225</v>
      </c>
      <c r="M12554" s="1357"/>
      <c r="Q12554" s="1357"/>
      <c r="S12554" s="1420"/>
      <c r="T12554" s="1420"/>
      <c r="V12554" s="1357">
        <v>48</v>
      </c>
    </row>
    <row r="12555" spans="1:22" s="841" customFormat="1" ht="15" x14ac:dyDescent="0.25">
      <c r="A12555" s="841" t="s">
        <v>195</v>
      </c>
      <c r="E12555" s="1690" t="s">
        <v>2449</v>
      </c>
      <c r="F12555" s="1690"/>
      <c r="G12555" s="1408" t="s">
        <v>24</v>
      </c>
      <c r="H12555" s="393">
        <v>3.2000000000000002E-3</v>
      </c>
      <c r="K12555" s="841" t="s">
        <v>4580</v>
      </c>
      <c r="L12555" s="841" t="s">
        <v>3046</v>
      </c>
      <c r="M12555" s="1357"/>
      <c r="P12555" s="841" t="s">
        <v>4586</v>
      </c>
      <c r="Q12555" s="1357"/>
      <c r="S12555" s="1420"/>
      <c r="T12555" s="1420"/>
      <c r="V12555" s="1357">
        <v>55</v>
      </c>
    </row>
    <row r="12556" spans="1:22" s="841" customFormat="1" ht="15" x14ac:dyDescent="0.25">
      <c r="A12556" s="841" t="s">
        <v>195</v>
      </c>
      <c r="E12556" s="1690" t="s">
        <v>2450</v>
      </c>
      <c r="F12556" s="1690"/>
      <c r="G12556" s="1408" t="s">
        <v>24</v>
      </c>
      <c r="H12556" s="393">
        <v>4.0000000000000002E-4</v>
      </c>
      <c r="K12556" s="841" t="s">
        <v>4580</v>
      </c>
      <c r="L12556" s="841" t="s">
        <v>3046</v>
      </c>
      <c r="M12556" s="1357"/>
      <c r="P12556" s="841" t="s">
        <v>4586</v>
      </c>
      <c r="Q12556" s="1357"/>
      <c r="S12556" s="1420"/>
      <c r="T12556" s="1420"/>
      <c r="V12556" s="1357">
        <v>65</v>
      </c>
    </row>
    <row r="12557" spans="1:22" s="841" customFormat="1" ht="15" x14ac:dyDescent="0.25">
      <c r="A12557" s="841" t="s">
        <v>195</v>
      </c>
      <c r="E12557" s="1690" t="s">
        <v>439</v>
      </c>
      <c r="F12557" s="1690"/>
      <c r="G12557" s="1408" t="s">
        <v>24</v>
      </c>
      <c r="H12557" s="393">
        <v>2.9999999999999997E-4</v>
      </c>
      <c r="K12557" s="841" t="s">
        <v>4580</v>
      </c>
      <c r="L12557" s="841" t="s">
        <v>3046</v>
      </c>
      <c r="M12557" s="1357"/>
      <c r="P12557" s="841" t="s">
        <v>4587</v>
      </c>
      <c r="Q12557" s="1357"/>
      <c r="S12557" s="1420"/>
      <c r="T12557" s="1420"/>
      <c r="V12557" s="1357">
        <v>57</v>
      </c>
    </row>
    <row r="12558" spans="1:22" s="841" customFormat="1" ht="15" x14ac:dyDescent="0.25">
      <c r="A12558" s="841" t="s">
        <v>195</v>
      </c>
      <c r="E12558" s="1690" t="s">
        <v>32</v>
      </c>
      <c r="F12558" s="1690"/>
      <c r="G12558" s="1408" t="s">
        <v>23</v>
      </c>
      <c r="H12558" s="391">
        <v>0.25</v>
      </c>
      <c r="K12558" s="841" t="s">
        <v>4580</v>
      </c>
      <c r="L12558" s="841" t="s">
        <v>3046</v>
      </c>
      <c r="M12558" s="1357"/>
      <c r="P12558" s="841" t="s">
        <v>4588</v>
      </c>
      <c r="Q12558" s="1357"/>
      <c r="S12558" s="1420"/>
      <c r="T12558" s="1420"/>
      <c r="V12558" s="1357">
        <v>63</v>
      </c>
    </row>
    <row r="12559" spans="1:22" s="841" customFormat="1" x14ac:dyDescent="0.25">
      <c r="A12559" s="841" t="s">
        <v>195</v>
      </c>
      <c r="E12559" s="1909" t="s">
        <v>644</v>
      </c>
      <c r="F12559" s="1915"/>
      <c r="G12559" s="1915"/>
      <c r="H12559" s="1915"/>
      <c r="K12559" s="841" t="s">
        <v>4589</v>
      </c>
      <c r="M12559" s="1357"/>
      <c r="Q12559" s="1357"/>
      <c r="S12559" s="1420"/>
      <c r="T12559" s="1420"/>
      <c r="V12559" s="1357">
        <v>72</v>
      </c>
    </row>
    <row r="12560" spans="1:22" s="841" customFormat="1" ht="15" x14ac:dyDescent="0.25">
      <c r="A12560" s="841" t="s">
        <v>195</v>
      </c>
      <c r="E12560" s="1689" t="s">
        <v>4590</v>
      </c>
      <c r="F12560" s="1689"/>
      <c r="G12560" s="1689"/>
      <c r="H12560" s="1689"/>
      <c r="K12560" s="841" t="s">
        <v>4589</v>
      </c>
      <c r="M12560" s="1357"/>
      <c r="Q12560" s="1357"/>
      <c r="S12560" s="1420"/>
      <c r="T12560" s="1420"/>
      <c r="V12560" s="1357">
        <v>369</v>
      </c>
    </row>
    <row r="12561" spans="1:22" s="841" customFormat="1" ht="15" x14ac:dyDescent="0.25">
      <c r="A12561" s="841" t="s">
        <v>195</v>
      </c>
      <c r="E12561" s="1916" t="s">
        <v>3061</v>
      </c>
      <c r="F12561" s="1697"/>
      <c r="G12561" s="1697"/>
      <c r="H12561" s="1697"/>
      <c r="K12561" s="841" t="s">
        <v>3107</v>
      </c>
      <c r="M12561" s="1357"/>
      <c r="Q12561" s="1357"/>
      <c r="S12561" s="1420"/>
      <c r="T12561" s="1420"/>
      <c r="V12561" s="1357">
        <v>11</v>
      </c>
    </row>
    <row r="12562" spans="1:22" s="841" customFormat="1" ht="15" x14ac:dyDescent="0.25">
      <c r="A12562" s="841" t="s">
        <v>195</v>
      </c>
      <c r="E12562" s="1689" t="s">
        <v>3063</v>
      </c>
      <c r="F12562" s="1689"/>
      <c r="G12562" s="1689"/>
      <c r="H12562" s="1689"/>
      <c r="K12562" s="841" t="s">
        <v>4589</v>
      </c>
      <c r="M12562" s="1357"/>
      <c r="Q12562" s="1357"/>
      <c r="S12562" s="1420"/>
      <c r="T12562" s="1420"/>
      <c r="V12562" s="1357">
        <v>280</v>
      </c>
    </row>
    <row r="12563" spans="1:22" s="841" customFormat="1" ht="15" x14ac:dyDescent="0.25">
      <c r="A12563" s="841" t="s">
        <v>195</v>
      </c>
      <c r="E12563" s="1689" t="s">
        <v>3064</v>
      </c>
      <c r="F12563" s="1689"/>
      <c r="G12563" s="1689"/>
      <c r="H12563" s="1689"/>
      <c r="K12563" s="841" t="s">
        <v>4589</v>
      </c>
      <c r="M12563" s="1357"/>
      <c r="Q12563" s="1357"/>
      <c r="S12563" s="1420"/>
      <c r="T12563" s="1420"/>
      <c r="V12563" s="1357">
        <v>411</v>
      </c>
    </row>
    <row r="12564" spans="1:22" s="841" customFormat="1" ht="15" x14ac:dyDescent="0.25">
      <c r="A12564" s="841" t="s">
        <v>195</v>
      </c>
      <c r="E12564" s="1689" t="s">
        <v>3065</v>
      </c>
      <c r="F12564" s="1689"/>
      <c r="G12564" s="1689"/>
      <c r="H12564" s="1689"/>
      <c r="K12564" s="841" t="s">
        <v>4589</v>
      </c>
      <c r="M12564" s="1357"/>
      <c r="Q12564" s="1357"/>
      <c r="S12564" s="1420"/>
      <c r="T12564" s="1420"/>
      <c r="V12564" s="1357">
        <v>387</v>
      </c>
    </row>
    <row r="12565" spans="1:22" s="841" customFormat="1" ht="15" x14ac:dyDescent="0.25">
      <c r="A12565" s="841" t="s">
        <v>195</v>
      </c>
      <c r="E12565" s="1689" t="s">
        <v>3200</v>
      </c>
      <c r="F12565" s="1689"/>
      <c r="G12565" s="1689"/>
      <c r="H12565" s="1689"/>
      <c r="K12565" s="841" t="s">
        <v>4589</v>
      </c>
      <c r="M12565" s="1357"/>
      <c r="Q12565" s="1357"/>
      <c r="S12565" s="1420"/>
      <c r="T12565" s="1420"/>
      <c r="V12565" s="1357">
        <v>275</v>
      </c>
    </row>
    <row r="12566" spans="1:22" s="841" customFormat="1" ht="15" x14ac:dyDescent="0.25">
      <c r="A12566" s="841" t="s">
        <v>195</v>
      </c>
      <c r="E12566" s="1694" t="s">
        <v>3067</v>
      </c>
      <c r="F12566" s="1907"/>
      <c r="G12566" s="1907"/>
      <c r="H12566" s="1907"/>
      <c r="K12566" s="841" t="s">
        <v>3108</v>
      </c>
      <c r="M12566" s="1357"/>
      <c r="Q12566" s="1357"/>
      <c r="S12566" s="1420"/>
      <c r="T12566" s="1420"/>
      <c r="V12566" s="1357">
        <v>46</v>
      </c>
    </row>
    <row r="12567" spans="1:22" s="841" customFormat="1" ht="15" x14ac:dyDescent="0.25">
      <c r="A12567" s="841" t="s">
        <v>195</v>
      </c>
      <c r="E12567" s="1690" t="s">
        <v>11</v>
      </c>
      <c r="F12567" s="1690"/>
      <c r="G12567" s="1408" t="s">
        <v>23</v>
      </c>
      <c r="H12567" s="391">
        <v>2019.32</v>
      </c>
      <c r="K12567" s="841" t="s">
        <v>4589</v>
      </c>
      <c r="L12567" s="841" t="s">
        <v>442</v>
      </c>
      <c r="M12567" s="1357"/>
      <c r="P12567" s="841" t="s">
        <v>4591</v>
      </c>
      <c r="Q12567" s="1357"/>
      <c r="S12567" s="1420"/>
      <c r="T12567" s="1420"/>
      <c r="V12567" s="1357">
        <v>14</v>
      </c>
    </row>
    <row r="12568" spans="1:22" s="841" customFormat="1" ht="15" x14ac:dyDescent="0.25">
      <c r="A12568" s="841" t="s">
        <v>195</v>
      </c>
      <c r="E12568" s="1690" t="s">
        <v>84</v>
      </c>
      <c r="F12568" s="1690"/>
      <c r="G12568" s="1408" t="s">
        <v>33</v>
      </c>
      <c r="H12568" s="393">
        <v>1.9078999999999999</v>
      </c>
      <c r="K12568" s="841" t="s">
        <v>4589</v>
      </c>
      <c r="L12568" s="841" t="s">
        <v>442</v>
      </c>
      <c r="M12568" s="1357"/>
      <c r="P12568" s="841" t="s">
        <v>4592</v>
      </c>
      <c r="Q12568" s="1357"/>
      <c r="S12568" s="1420"/>
      <c r="T12568" s="1420"/>
      <c r="V12568" s="1357">
        <v>28</v>
      </c>
    </row>
    <row r="12569" spans="1:22" s="841" customFormat="1" ht="15" x14ac:dyDescent="0.25">
      <c r="A12569" s="841" t="s">
        <v>195</v>
      </c>
      <c r="E12569" s="1690" t="s">
        <v>223</v>
      </c>
      <c r="F12569" s="1690"/>
      <c r="G12569" s="1408" t="s">
        <v>33</v>
      </c>
      <c r="H12569" s="393">
        <v>2.9561000000000002</v>
      </c>
      <c r="K12569" s="841" t="s">
        <v>4589</v>
      </c>
      <c r="L12569" s="841" t="s">
        <v>444</v>
      </c>
      <c r="M12569" s="1357"/>
      <c r="P12569" s="841" t="s">
        <v>4593</v>
      </c>
      <c r="Q12569" s="1357"/>
      <c r="S12569" s="1420"/>
      <c r="T12569" s="1420"/>
      <c r="V12569" s="1357">
        <v>66</v>
      </c>
    </row>
    <row r="12570" spans="1:22" s="841" customFormat="1" ht="15" x14ac:dyDescent="0.25">
      <c r="A12570" s="841" t="s">
        <v>195</v>
      </c>
      <c r="E12570" s="1690" t="s">
        <v>219</v>
      </c>
      <c r="F12570" s="1690"/>
      <c r="G12570" s="1408" t="s">
        <v>33</v>
      </c>
      <c r="H12570" s="393">
        <v>2.8201000000000001</v>
      </c>
      <c r="K12570" s="841" t="s">
        <v>4589</v>
      </c>
      <c r="L12570" s="841" t="s">
        <v>444</v>
      </c>
      <c r="M12570" s="1357"/>
      <c r="P12570" s="841" t="s">
        <v>4594</v>
      </c>
      <c r="Q12570" s="1357"/>
      <c r="S12570" s="1420"/>
      <c r="T12570" s="1420"/>
      <c r="V12570" s="1357">
        <v>93</v>
      </c>
    </row>
    <row r="12571" spans="1:22" s="841" customFormat="1" ht="15" x14ac:dyDescent="0.25">
      <c r="A12571" s="841" t="s">
        <v>195</v>
      </c>
      <c r="E12571" s="1694" t="s">
        <v>3079</v>
      </c>
      <c r="F12571" s="1690"/>
      <c r="G12571" s="1408"/>
      <c r="H12571" s="1408"/>
      <c r="K12571" s="841" t="s">
        <v>3111</v>
      </c>
      <c r="M12571" s="1357"/>
      <c r="Q12571" s="1357"/>
      <c r="S12571" s="1420"/>
      <c r="T12571" s="1420"/>
      <c r="V12571" s="1357">
        <v>48</v>
      </c>
    </row>
    <row r="12572" spans="1:22" s="841" customFormat="1" ht="15" x14ac:dyDescent="0.25">
      <c r="A12572" s="841" t="s">
        <v>195</v>
      </c>
      <c r="E12572" s="1690" t="s">
        <v>2449</v>
      </c>
      <c r="F12572" s="1690"/>
      <c r="G12572" s="1408" t="s">
        <v>24</v>
      </c>
      <c r="H12572" s="393">
        <v>3.2000000000000002E-3</v>
      </c>
      <c r="K12572" s="841" t="s">
        <v>4589</v>
      </c>
      <c r="L12572" s="841" t="s">
        <v>3046</v>
      </c>
      <c r="M12572" s="1357"/>
      <c r="P12572" s="841" t="s">
        <v>4595</v>
      </c>
      <c r="Q12572" s="1357"/>
      <c r="S12572" s="1420"/>
      <c r="T12572" s="1420"/>
      <c r="V12572" s="1357">
        <v>55</v>
      </c>
    </row>
    <row r="12573" spans="1:22" s="841" customFormat="1" ht="15" x14ac:dyDescent="0.25">
      <c r="A12573" s="841" t="s">
        <v>195</v>
      </c>
      <c r="E12573" s="1690" t="s">
        <v>2450</v>
      </c>
      <c r="F12573" s="1690"/>
      <c r="G12573" s="1408" t="s">
        <v>24</v>
      </c>
      <c r="H12573" s="393">
        <v>4.0000000000000002E-4</v>
      </c>
      <c r="K12573" s="841" t="s">
        <v>4589</v>
      </c>
      <c r="L12573" s="841" t="s">
        <v>3046</v>
      </c>
      <c r="M12573" s="1357"/>
      <c r="P12573" s="841" t="s">
        <v>4595</v>
      </c>
      <c r="Q12573" s="1357"/>
      <c r="S12573" s="1420"/>
      <c r="T12573" s="1420"/>
      <c r="V12573" s="1357">
        <v>65</v>
      </c>
    </row>
    <row r="12574" spans="1:22" s="841" customFormat="1" ht="15" x14ac:dyDescent="0.25">
      <c r="A12574" s="841" t="s">
        <v>195</v>
      </c>
      <c r="E12574" s="1690" t="s">
        <v>439</v>
      </c>
      <c r="F12574" s="1690"/>
      <c r="G12574" s="1408" t="s">
        <v>24</v>
      </c>
      <c r="H12574" s="393">
        <v>2.9999999999999997E-4</v>
      </c>
      <c r="K12574" s="841" t="s">
        <v>4589</v>
      </c>
      <c r="L12574" s="841" t="s">
        <v>3046</v>
      </c>
      <c r="M12574" s="1357"/>
      <c r="P12574" s="841" t="s">
        <v>4596</v>
      </c>
      <c r="Q12574" s="1357"/>
      <c r="S12574" s="1420"/>
      <c r="T12574" s="1420"/>
      <c r="V12574" s="1357">
        <v>57</v>
      </c>
    </row>
    <row r="12575" spans="1:22" s="841" customFormat="1" ht="15" x14ac:dyDescent="0.25">
      <c r="A12575" s="841" t="s">
        <v>195</v>
      </c>
      <c r="E12575" s="1690" t="s">
        <v>32</v>
      </c>
      <c r="F12575" s="1690"/>
      <c r="G12575" s="1408" t="s">
        <v>23</v>
      </c>
      <c r="H12575" s="391">
        <v>0.25</v>
      </c>
      <c r="K12575" s="841" t="s">
        <v>4589</v>
      </c>
      <c r="L12575" s="841" t="s">
        <v>3046</v>
      </c>
      <c r="M12575" s="1357"/>
      <c r="P12575" s="841" t="s">
        <v>4597</v>
      </c>
      <c r="Q12575" s="1357"/>
      <c r="S12575" s="1420"/>
      <c r="T12575" s="1420"/>
      <c r="V12575" s="1357">
        <v>63</v>
      </c>
    </row>
    <row r="12576" spans="1:22" s="841" customFormat="1" x14ac:dyDescent="0.25">
      <c r="A12576" s="841" t="s">
        <v>195</v>
      </c>
      <c r="E12576" s="1909" t="s">
        <v>617</v>
      </c>
      <c r="F12576" s="1915"/>
      <c r="G12576" s="1915"/>
      <c r="H12576" s="1915"/>
      <c r="K12576" s="841" t="s">
        <v>3238</v>
      </c>
      <c r="M12576" s="1357"/>
      <c r="Q12576" s="1357"/>
      <c r="S12576" s="1420"/>
      <c r="T12576" s="1420"/>
      <c r="V12576" s="1357">
        <v>47</v>
      </c>
    </row>
    <row r="12577" spans="1:22" s="841" customFormat="1" ht="15" x14ac:dyDescent="0.25">
      <c r="A12577" s="841" t="s">
        <v>195</v>
      </c>
      <c r="E12577" s="1689" t="s">
        <v>4598</v>
      </c>
      <c r="F12577" s="1689"/>
      <c r="G12577" s="1689"/>
      <c r="H12577" s="1689"/>
      <c r="K12577" s="841" t="s">
        <v>3238</v>
      </c>
      <c r="M12577" s="1357"/>
      <c r="Q12577" s="1357"/>
      <c r="S12577" s="1420"/>
      <c r="T12577" s="1420"/>
      <c r="V12577" s="1357">
        <v>682</v>
      </c>
    </row>
    <row r="12578" spans="1:22" s="841" customFormat="1" ht="15" x14ac:dyDescent="0.25">
      <c r="A12578" s="841" t="s">
        <v>195</v>
      </c>
      <c r="E12578" s="1916" t="s">
        <v>3061</v>
      </c>
      <c r="F12578" s="1697"/>
      <c r="G12578" s="1697"/>
      <c r="H12578" s="1697"/>
      <c r="K12578" s="841" t="s">
        <v>3114</v>
      </c>
      <c r="M12578" s="1357"/>
      <c r="Q12578" s="1357"/>
      <c r="S12578" s="1420"/>
      <c r="T12578" s="1420"/>
      <c r="V12578" s="1357">
        <v>11</v>
      </c>
    </row>
    <row r="12579" spans="1:22" s="841" customFormat="1" ht="15" x14ac:dyDescent="0.25">
      <c r="A12579" s="841" t="s">
        <v>195</v>
      </c>
      <c r="E12579" s="1689" t="s">
        <v>3063</v>
      </c>
      <c r="F12579" s="1689"/>
      <c r="G12579" s="1689"/>
      <c r="H12579" s="1689"/>
      <c r="K12579" s="841" t="s">
        <v>3238</v>
      </c>
      <c r="M12579" s="1357"/>
      <c r="Q12579" s="1357"/>
      <c r="S12579" s="1420"/>
      <c r="T12579" s="1420"/>
      <c r="V12579" s="1357">
        <v>280</v>
      </c>
    </row>
    <row r="12580" spans="1:22" s="841" customFormat="1" ht="15" x14ac:dyDescent="0.25">
      <c r="A12580" s="841" t="s">
        <v>195</v>
      </c>
      <c r="E12580" s="1689" t="s">
        <v>3064</v>
      </c>
      <c r="F12580" s="1689"/>
      <c r="G12580" s="1689"/>
      <c r="H12580" s="1689"/>
      <c r="K12580" s="841" t="s">
        <v>3238</v>
      </c>
      <c r="M12580" s="1357"/>
      <c r="Q12580" s="1357"/>
      <c r="S12580" s="1420"/>
      <c r="T12580" s="1420"/>
      <c r="V12580" s="1357">
        <v>411</v>
      </c>
    </row>
    <row r="12581" spans="1:22" s="841" customFormat="1" ht="15" x14ac:dyDescent="0.25">
      <c r="A12581" s="841" t="s">
        <v>195</v>
      </c>
      <c r="E12581" s="1689" t="s">
        <v>3065</v>
      </c>
      <c r="F12581" s="1689"/>
      <c r="G12581" s="1689"/>
      <c r="H12581" s="1689"/>
      <c r="K12581" s="841" t="s">
        <v>3238</v>
      </c>
      <c r="M12581" s="1357"/>
      <c r="Q12581" s="1357"/>
      <c r="S12581" s="1420"/>
      <c r="T12581" s="1420"/>
      <c r="V12581" s="1357">
        <v>387</v>
      </c>
    </row>
    <row r="12582" spans="1:22" s="841" customFormat="1" ht="15" x14ac:dyDescent="0.25">
      <c r="A12582" s="841" t="s">
        <v>195</v>
      </c>
      <c r="E12582" s="1689" t="s">
        <v>3200</v>
      </c>
      <c r="F12582" s="1689"/>
      <c r="G12582" s="1689"/>
      <c r="H12582" s="1689"/>
      <c r="K12582" s="841" t="s">
        <v>3238</v>
      </c>
      <c r="M12582" s="1357"/>
      <c r="Q12582" s="1357"/>
      <c r="S12582" s="1420"/>
      <c r="T12582" s="1420"/>
      <c r="V12582" s="1357">
        <v>275</v>
      </c>
    </row>
    <row r="12583" spans="1:22" s="841" customFormat="1" ht="15" x14ac:dyDescent="0.25">
      <c r="A12583" s="841" t="s">
        <v>195</v>
      </c>
      <c r="E12583" s="1694" t="s">
        <v>3067</v>
      </c>
      <c r="F12583" s="1907"/>
      <c r="G12583" s="1907"/>
      <c r="H12583" s="1907"/>
      <c r="K12583" s="841" t="s">
        <v>3115</v>
      </c>
      <c r="M12583" s="1357"/>
      <c r="Q12583" s="1357"/>
      <c r="S12583" s="1420"/>
      <c r="T12583" s="1420"/>
      <c r="V12583" s="1357">
        <v>46</v>
      </c>
    </row>
    <row r="12584" spans="1:22" s="841" customFormat="1" ht="15" x14ac:dyDescent="0.25">
      <c r="A12584" s="841" t="s">
        <v>195</v>
      </c>
      <c r="E12584" s="1690" t="s">
        <v>12</v>
      </c>
      <c r="F12584" s="1690"/>
      <c r="G12584" s="1408" t="s">
        <v>23</v>
      </c>
      <c r="H12584" s="391">
        <v>7.36</v>
      </c>
      <c r="K12584" s="841" t="s">
        <v>3238</v>
      </c>
      <c r="L12584" s="841" t="s">
        <v>442</v>
      </c>
      <c r="M12584" s="1357"/>
      <c r="P12584" s="841" t="s">
        <v>3240</v>
      </c>
      <c r="Q12584" s="1357"/>
      <c r="S12584" s="1420"/>
      <c r="T12584" s="1420"/>
      <c r="V12584" s="1357">
        <v>31</v>
      </c>
    </row>
    <row r="12585" spans="1:22" s="841" customFormat="1" ht="15" x14ac:dyDescent="0.25">
      <c r="A12585" s="841" t="s">
        <v>195</v>
      </c>
      <c r="E12585" s="1690" t="s">
        <v>84</v>
      </c>
      <c r="F12585" s="1690"/>
      <c r="G12585" s="1408" t="s">
        <v>24</v>
      </c>
      <c r="H12585" s="393">
        <v>1.29E-2</v>
      </c>
      <c r="K12585" s="841" t="s">
        <v>3238</v>
      </c>
      <c r="L12585" s="841" t="s">
        <v>442</v>
      </c>
      <c r="M12585" s="1357"/>
      <c r="P12585" s="841" t="s">
        <v>3241</v>
      </c>
      <c r="Q12585" s="1357"/>
      <c r="S12585" s="1420"/>
      <c r="T12585" s="1420"/>
      <c r="V12585" s="1357">
        <v>28</v>
      </c>
    </row>
    <row r="12586" spans="1:22" s="841" customFormat="1" ht="15" x14ac:dyDescent="0.25">
      <c r="A12586" s="841" t="s">
        <v>195</v>
      </c>
      <c r="E12586" s="1690" t="s">
        <v>221</v>
      </c>
      <c r="F12586" s="1690"/>
      <c r="G12586" s="1408" t="s">
        <v>24</v>
      </c>
      <c r="H12586" s="393">
        <v>5.7999999999999996E-3</v>
      </c>
      <c r="K12586" s="841" t="s">
        <v>3238</v>
      </c>
      <c r="L12586" s="841" t="s">
        <v>444</v>
      </c>
      <c r="M12586" s="1357"/>
      <c r="P12586" s="841" t="s">
        <v>3245</v>
      </c>
      <c r="Q12586" s="1357"/>
      <c r="S12586" s="1420"/>
      <c r="T12586" s="1420"/>
      <c r="V12586" s="1357">
        <v>47</v>
      </c>
    </row>
    <row r="12587" spans="1:22" s="841" customFormat="1" ht="15" x14ac:dyDescent="0.25">
      <c r="A12587" s="841" t="s">
        <v>195</v>
      </c>
      <c r="E12587" s="1690" t="s">
        <v>217</v>
      </c>
      <c r="F12587" s="1690"/>
      <c r="G12587" s="1408" t="s">
        <v>24</v>
      </c>
      <c r="H12587" s="393">
        <v>5.4000000000000003E-3</v>
      </c>
      <c r="K12587" s="841" t="s">
        <v>3238</v>
      </c>
      <c r="L12587" s="841" t="s">
        <v>444</v>
      </c>
      <c r="M12587" s="1357"/>
      <c r="P12587" s="841" t="s">
        <v>3246</v>
      </c>
      <c r="Q12587" s="1357"/>
      <c r="S12587" s="1420"/>
      <c r="T12587" s="1420"/>
      <c r="V12587" s="1357">
        <v>74</v>
      </c>
    </row>
    <row r="12588" spans="1:22" s="841" customFormat="1" ht="15" x14ac:dyDescent="0.25">
      <c r="A12588" s="841" t="s">
        <v>195</v>
      </c>
      <c r="E12588" s="1694" t="s">
        <v>3079</v>
      </c>
      <c r="F12588" s="1690"/>
      <c r="G12588" s="1408"/>
      <c r="H12588" s="1408"/>
      <c r="K12588" s="841" t="s">
        <v>3122</v>
      </c>
      <c r="M12588" s="1357"/>
      <c r="Q12588" s="1357"/>
      <c r="S12588" s="1420"/>
      <c r="T12588" s="1420"/>
      <c r="V12588" s="1357">
        <v>48</v>
      </c>
    </row>
    <row r="12589" spans="1:22" s="841" customFormat="1" ht="15" x14ac:dyDescent="0.25">
      <c r="A12589" s="841" t="s">
        <v>195</v>
      </c>
      <c r="E12589" s="1690" t="s">
        <v>2449</v>
      </c>
      <c r="F12589" s="1690"/>
      <c r="G12589" s="1408" t="s">
        <v>24</v>
      </c>
      <c r="H12589" s="393">
        <v>3.2000000000000002E-3</v>
      </c>
      <c r="K12589" s="841" t="s">
        <v>3238</v>
      </c>
      <c r="L12589" s="841" t="s">
        <v>3046</v>
      </c>
      <c r="M12589" s="1357"/>
      <c r="P12589" s="841" t="s">
        <v>3247</v>
      </c>
      <c r="Q12589" s="1357"/>
      <c r="S12589" s="1420"/>
      <c r="T12589" s="1420"/>
      <c r="V12589" s="1357">
        <v>55</v>
      </c>
    </row>
    <row r="12590" spans="1:22" s="841" customFormat="1" ht="15" x14ac:dyDescent="0.25">
      <c r="A12590" s="841" t="s">
        <v>195</v>
      </c>
      <c r="E12590" s="1690" t="s">
        <v>2450</v>
      </c>
      <c r="F12590" s="1690"/>
      <c r="G12590" s="1408" t="s">
        <v>24</v>
      </c>
      <c r="H12590" s="393">
        <v>4.0000000000000002E-4</v>
      </c>
      <c r="K12590" s="841" t="s">
        <v>3238</v>
      </c>
      <c r="L12590" s="841" t="s">
        <v>3046</v>
      </c>
      <c r="M12590" s="1357"/>
      <c r="P12590" s="841" t="s">
        <v>3247</v>
      </c>
      <c r="Q12590" s="1357"/>
      <c r="S12590" s="1420"/>
      <c r="T12590" s="1420"/>
      <c r="V12590" s="1357">
        <v>65</v>
      </c>
    </row>
    <row r="12591" spans="1:22" s="841" customFormat="1" ht="15" x14ac:dyDescent="0.25">
      <c r="A12591" s="841" t="s">
        <v>195</v>
      </c>
      <c r="E12591" s="1690" t="s">
        <v>439</v>
      </c>
      <c r="F12591" s="1690"/>
      <c r="G12591" s="1408" t="s">
        <v>24</v>
      </c>
      <c r="H12591" s="393">
        <v>2.9999999999999997E-4</v>
      </c>
      <c r="K12591" s="841" t="s">
        <v>3238</v>
      </c>
      <c r="L12591" s="841" t="s">
        <v>3046</v>
      </c>
      <c r="M12591" s="1357"/>
      <c r="P12591" s="841" t="s">
        <v>3248</v>
      </c>
      <c r="Q12591" s="1357"/>
      <c r="S12591" s="1420"/>
      <c r="T12591" s="1420"/>
      <c r="V12591" s="1357">
        <v>57</v>
      </c>
    </row>
    <row r="12592" spans="1:22" s="841" customFormat="1" ht="15" x14ac:dyDescent="0.25">
      <c r="A12592" s="841" t="s">
        <v>195</v>
      </c>
      <c r="E12592" s="1690" t="s">
        <v>32</v>
      </c>
      <c r="F12592" s="1690"/>
      <c r="G12592" s="1408" t="s">
        <v>23</v>
      </c>
      <c r="H12592" s="391">
        <v>0.25</v>
      </c>
      <c r="K12592" s="841" t="s">
        <v>3238</v>
      </c>
      <c r="L12592" s="841" t="s">
        <v>3046</v>
      </c>
      <c r="M12592" s="1357"/>
      <c r="P12592" s="841" t="s">
        <v>3249</v>
      </c>
      <c r="Q12592" s="1357"/>
      <c r="S12592" s="1420"/>
      <c r="T12592" s="1420"/>
      <c r="V12592" s="1357">
        <v>63</v>
      </c>
    </row>
    <row r="12593" spans="1:22" s="841" customFormat="1" x14ac:dyDescent="0.25">
      <c r="A12593" s="841" t="s">
        <v>195</v>
      </c>
      <c r="E12593" s="1909" t="s">
        <v>629</v>
      </c>
      <c r="F12593" s="1915"/>
      <c r="G12593" s="1915"/>
      <c r="H12593" s="1915"/>
      <c r="K12593" s="841" t="s">
        <v>3250</v>
      </c>
      <c r="M12593" s="1357"/>
      <c r="Q12593" s="1357"/>
      <c r="S12593" s="1420"/>
      <c r="T12593" s="1420"/>
      <c r="V12593" s="1357">
        <v>40</v>
      </c>
    </row>
    <row r="12594" spans="1:22" s="841" customFormat="1" ht="15" x14ac:dyDescent="0.25">
      <c r="A12594" s="841" t="s">
        <v>195</v>
      </c>
      <c r="E12594" s="1689" t="s">
        <v>4599</v>
      </c>
      <c r="F12594" s="1689"/>
      <c r="G12594" s="1689"/>
      <c r="H12594" s="1689"/>
      <c r="K12594" s="841" t="s">
        <v>3250</v>
      </c>
      <c r="M12594" s="1357"/>
      <c r="Q12594" s="1357"/>
      <c r="S12594" s="1420"/>
      <c r="T12594" s="1420"/>
      <c r="V12594" s="1357">
        <v>255</v>
      </c>
    </row>
    <row r="12595" spans="1:22" s="841" customFormat="1" ht="15" x14ac:dyDescent="0.25">
      <c r="A12595" s="841" t="s">
        <v>195</v>
      </c>
      <c r="E12595" s="1916" t="s">
        <v>3061</v>
      </c>
      <c r="F12595" s="1697"/>
      <c r="G12595" s="1697"/>
      <c r="H12595" s="1697"/>
      <c r="K12595" s="841" t="s">
        <v>3128</v>
      </c>
      <c r="M12595" s="1357"/>
      <c r="Q12595" s="1357"/>
      <c r="S12595" s="1420"/>
      <c r="T12595" s="1420"/>
      <c r="V12595" s="1357">
        <v>11</v>
      </c>
    </row>
    <row r="12596" spans="1:22" s="841" customFormat="1" ht="15" x14ac:dyDescent="0.25">
      <c r="A12596" s="841" t="s">
        <v>195</v>
      </c>
      <c r="E12596" s="1689" t="s">
        <v>3063</v>
      </c>
      <c r="F12596" s="1689"/>
      <c r="G12596" s="1689"/>
      <c r="H12596" s="1689"/>
      <c r="K12596" s="841" t="s">
        <v>3250</v>
      </c>
      <c r="M12596" s="1357"/>
      <c r="Q12596" s="1357"/>
      <c r="S12596" s="1420"/>
      <c r="T12596" s="1420"/>
      <c r="V12596" s="1357">
        <v>280</v>
      </c>
    </row>
    <row r="12597" spans="1:22" s="841" customFormat="1" ht="15" x14ac:dyDescent="0.25">
      <c r="A12597" s="841" t="s">
        <v>195</v>
      </c>
      <c r="E12597" s="1689" t="s">
        <v>3064</v>
      </c>
      <c r="F12597" s="1689"/>
      <c r="G12597" s="1689"/>
      <c r="H12597" s="1689"/>
      <c r="K12597" s="841" t="s">
        <v>3250</v>
      </c>
      <c r="M12597" s="1357"/>
      <c r="Q12597" s="1357"/>
      <c r="S12597" s="1420"/>
      <c r="T12597" s="1420"/>
      <c r="V12597" s="1357">
        <v>411</v>
      </c>
    </row>
    <row r="12598" spans="1:22" s="841" customFormat="1" ht="15" x14ac:dyDescent="0.25">
      <c r="A12598" s="841" t="s">
        <v>195</v>
      </c>
      <c r="E12598" s="1689" t="s">
        <v>3065</v>
      </c>
      <c r="F12598" s="1689"/>
      <c r="G12598" s="1689"/>
      <c r="H12598" s="1689"/>
      <c r="K12598" s="841" t="s">
        <v>3250</v>
      </c>
      <c r="M12598" s="1357"/>
      <c r="Q12598" s="1357"/>
      <c r="S12598" s="1420"/>
      <c r="T12598" s="1420"/>
      <c r="V12598" s="1357">
        <v>387</v>
      </c>
    </row>
    <row r="12599" spans="1:22" s="841" customFormat="1" ht="15" x14ac:dyDescent="0.25">
      <c r="A12599" s="841" t="s">
        <v>195</v>
      </c>
      <c r="E12599" s="1689" t="s">
        <v>3200</v>
      </c>
      <c r="F12599" s="1689"/>
      <c r="G12599" s="1689"/>
      <c r="H12599" s="1689"/>
      <c r="K12599" s="841" t="s">
        <v>3250</v>
      </c>
      <c r="M12599" s="1357"/>
      <c r="Q12599" s="1357"/>
      <c r="S12599" s="1420"/>
      <c r="T12599" s="1420"/>
      <c r="V12599" s="1357">
        <v>275</v>
      </c>
    </row>
    <row r="12600" spans="1:22" s="841" customFormat="1" ht="15" x14ac:dyDescent="0.25">
      <c r="A12600" s="841" t="s">
        <v>195</v>
      </c>
      <c r="E12600" s="1694" t="s">
        <v>3067</v>
      </c>
      <c r="F12600" s="1907"/>
      <c r="G12600" s="1907"/>
      <c r="H12600" s="1907"/>
      <c r="K12600" s="841" t="s">
        <v>3130</v>
      </c>
      <c r="M12600" s="1357"/>
      <c r="Q12600" s="1357"/>
      <c r="S12600" s="1420"/>
      <c r="T12600" s="1420"/>
      <c r="V12600" s="1357">
        <v>46</v>
      </c>
    </row>
    <row r="12601" spans="1:22" s="841" customFormat="1" ht="15" x14ac:dyDescent="0.25">
      <c r="A12601" s="841" t="s">
        <v>195</v>
      </c>
      <c r="E12601" s="1690" t="s">
        <v>12</v>
      </c>
      <c r="F12601" s="1690"/>
      <c r="G12601" s="1408" t="s">
        <v>23</v>
      </c>
      <c r="H12601" s="391">
        <v>2.52</v>
      </c>
      <c r="K12601" s="841" t="s">
        <v>3250</v>
      </c>
      <c r="L12601" s="841" t="s">
        <v>442</v>
      </c>
      <c r="M12601" s="1357"/>
      <c r="P12601" s="841" t="s">
        <v>3252</v>
      </c>
      <c r="Q12601" s="1357"/>
      <c r="S12601" s="1420"/>
      <c r="T12601" s="1420"/>
      <c r="V12601" s="1357">
        <v>31</v>
      </c>
    </row>
    <row r="12602" spans="1:22" s="841" customFormat="1" ht="15" x14ac:dyDescent="0.25">
      <c r="A12602" s="841" t="s">
        <v>195</v>
      </c>
      <c r="E12602" s="1690" t="s">
        <v>84</v>
      </c>
      <c r="F12602" s="1690"/>
      <c r="G12602" s="1408" t="s">
        <v>33</v>
      </c>
      <c r="H12602" s="393">
        <v>22.0444</v>
      </c>
      <c r="K12602" s="841" t="s">
        <v>3250</v>
      </c>
      <c r="L12602" s="841" t="s">
        <v>442</v>
      </c>
      <c r="M12602" s="1357"/>
      <c r="P12602" s="841" t="s">
        <v>3253</v>
      </c>
      <c r="Q12602" s="1357"/>
      <c r="S12602" s="1420"/>
      <c r="T12602" s="1420"/>
      <c r="V12602" s="1357">
        <v>28</v>
      </c>
    </row>
    <row r="12603" spans="1:22" s="841" customFormat="1" ht="15" x14ac:dyDescent="0.25">
      <c r="A12603" s="841" t="s">
        <v>195</v>
      </c>
      <c r="E12603" s="1690" t="s">
        <v>221</v>
      </c>
      <c r="F12603" s="1690"/>
      <c r="G12603" s="1408" t="s">
        <v>33</v>
      </c>
      <c r="H12603" s="393">
        <v>1.8574999999999999</v>
      </c>
      <c r="K12603" s="841" t="s">
        <v>3250</v>
      </c>
      <c r="L12603" s="841" t="s">
        <v>444</v>
      </c>
      <c r="M12603" s="1357"/>
      <c r="P12603" s="841" t="s">
        <v>3258</v>
      </c>
      <c r="Q12603" s="1357"/>
      <c r="S12603" s="1420"/>
      <c r="T12603" s="1420"/>
      <c r="V12603" s="1357">
        <v>47</v>
      </c>
    </row>
    <row r="12604" spans="1:22" s="841" customFormat="1" ht="15" x14ac:dyDescent="0.25">
      <c r="A12604" s="841" t="s">
        <v>195</v>
      </c>
      <c r="E12604" s="1690" t="s">
        <v>217</v>
      </c>
      <c r="F12604" s="1690"/>
      <c r="G12604" s="1408" t="s">
        <v>33</v>
      </c>
      <c r="H12604" s="393">
        <v>1.7045999999999999</v>
      </c>
      <c r="K12604" s="841" t="s">
        <v>3250</v>
      </c>
      <c r="L12604" s="841" t="s">
        <v>444</v>
      </c>
      <c r="M12604" s="1357"/>
      <c r="P12604" s="841" t="s">
        <v>3259</v>
      </c>
      <c r="Q12604" s="1357"/>
      <c r="S12604" s="1420"/>
      <c r="T12604" s="1420"/>
      <c r="V12604" s="1357">
        <v>74</v>
      </c>
    </row>
    <row r="12605" spans="1:22" s="841" customFormat="1" ht="15" x14ac:dyDescent="0.25">
      <c r="A12605" s="841" t="s">
        <v>195</v>
      </c>
      <c r="E12605" s="1694" t="s">
        <v>3079</v>
      </c>
      <c r="F12605" s="1690"/>
      <c r="G12605" s="1408"/>
      <c r="H12605" s="1408"/>
      <c r="K12605" s="841" t="s">
        <v>3260</v>
      </c>
      <c r="M12605" s="1357"/>
      <c r="Q12605" s="1357"/>
      <c r="S12605" s="1420"/>
      <c r="T12605" s="1420"/>
      <c r="V12605" s="1357">
        <v>48</v>
      </c>
    </row>
    <row r="12606" spans="1:22" s="841" customFormat="1" ht="15" x14ac:dyDescent="0.25">
      <c r="A12606" s="841" t="s">
        <v>195</v>
      </c>
      <c r="E12606" s="1690" t="s">
        <v>2449</v>
      </c>
      <c r="F12606" s="1690"/>
      <c r="G12606" s="1408" t="s">
        <v>24</v>
      </c>
      <c r="H12606" s="393">
        <v>3.2000000000000002E-3</v>
      </c>
      <c r="K12606" s="841" t="s">
        <v>3250</v>
      </c>
      <c r="L12606" s="841" t="s">
        <v>3046</v>
      </c>
      <c r="M12606" s="1357"/>
      <c r="P12606" s="841" t="s">
        <v>3261</v>
      </c>
      <c r="Q12606" s="1357"/>
      <c r="S12606" s="1420"/>
      <c r="T12606" s="1420"/>
      <c r="V12606" s="1357">
        <v>55</v>
      </c>
    </row>
    <row r="12607" spans="1:22" s="841" customFormat="1" ht="15" x14ac:dyDescent="0.25">
      <c r="A12607" s="841" t="s">
        <v>195</v>
      </c>
      <c r="E12607" s="1690" t="s">
        <v>2450</v>
      </c>
      <c r="F12607" s="1690"/>
      <c r="G12607" s="1408" t="s">
        <v>24</v>
      </c>
      <c r="H12607" s="393">
        <v>4.0000000000000002E-4</v>
      </c>
      <c r="K12607" s="841" t="s">
        <v>3250</v>
      </c>
      <c r="L12607" s="841" t="s">
        <v>3046</v>
      </c>
      <c r="M12607" s="1357"/>
      <c r="P12607" s="841" t="s">
        <v>3261</v>
      </c>
      <c r="Q12607" s="1357"/>
      <c r="S12607" s="1420"/>
      <c r="T12607" s="1420"/>
      <c r="V12607" s="1357">
        <v>65</v>
      </c>
    </row>
    <row r="12608" spans="1:22" s="841" customFormat="1" ht="15" x14ac:dyDescent="0.25">
      <c r="A12608" s="841" t="s">
        <v>195</v>
      </c>
      <c r="E12608" s="1690" t="s">
        <v>439</v>
      </c>
      <c r="F12608" s="1690"/>
      <c r="G12608" s="1408" t="s">
        <v>24</v>
      </c>
      <c r="H12608" s="393">
        <v>2.9999999999999997E-4</v>
      </c>
      <c r="K12608" s="841" t="s">
        <v>3250</v>
      </c>
      <c r="L12608" s="841" t="s">
        <v>3046</v>
      </c>
      <c r="M12608" s="1357"/>
      <c r="P12608" s="841" t="s">
        <v>3262</v>
      </c>
      <c r="Q12608" s="1357"/>
      <c r="S12608" s="1420"/>
      <c r="T12608" s="1420"/>
      <c r="V12608" s="1357">
        <v>57</v>
      </c>
    </row>
    <row r="12609" spans="1:22" s="841" customFormat="1" ht="15" x14ac:dyDescent="0.25">
      <c r="A12609" s="841" t="s">
        <v>195</v>
      </c>
      <c r="E12609" s="1690" t="s">
        <v>32</v>
      </c>
      <c r="F12609" s="1690"/>
      <c r="G12609" s="1408" t="s">
        <v>23</v>
      </c>
      <c r="H12609" s="391">
        <v>0.25</v>
      </c>
      <c r="K12609" s="841" t="s">
        <v>3250</v>
      </c>
      <c r="L12609" s="841" t="s">
        <v>3046</v>
      </c>
      <c r="M12609" s="1357"/>
      <c r="P12609" s="841" t="s">
        <v>3263</v>
      </c>
      <c r="Q12609" s="1357"/>
      <c r="S12609" s="1420"/>
      <c r="T12609" s="1420"/>
      <c r="V12609" s="1357">
        <v>63</v>
      </c>
    </row>
    <row r="12610" spans="1:22" s="841" customFormat="1" x14ac:dyDescent="0.25">
      <c r="A12610" s="841" t="s">
        <v>195</v>
      </c>
      <c r="E12610" s="1909" t="s">
        <v>615</v>
      </c>
      <c r="F12610" s="1915"/>
      <c r="G12610" s="1915"/>
      <c r="H12610" s="1915"/>
      <c r="K12610" s="841" t="s">
        <v>3264</v>
      </c>
      <c r="M12610" s="1357"/>
      <c r="Q12610" s="1357"/>
      <c r="S12610" s="1420"/>
      <c r="T12610" s="1420"/>
      <c r="V12610" s="1357">
        <v>38</v>
      </c>
    </row>
    <row r="12611" spans="1:22" s="841" customFormat="1" ht="15" x14ac:dyDescent="0.25">
      <c r="A12611" s="841" t="s">
        <v>195</v>
      </c>
      <c r="E12611" s="1689" t="s">
        <v>4600</v>
      </c>
      <c r="F12611" s="1689"/>
      <c r="G12611" s="1689"/>
      <c r="H12611" s="1689"/>
      <c r="K12611" s="841" t="s">
        <v>3264</v>
      </c>
      <c r="M12611" s="1357"/>
      <c r="Q12611" s="1357"/>
      <c r="S12611" s="1420"/>
      <c r="T12611" s="1420"/>
      <c r="V12611" s="1357">
        <v>546</v>
      </c>
    </row>
    <row r="12612" spans="1:22" s="841" customFormat="1" ht="15" x14ac:dyDescent="0.25">
      <c r="A12612" s="841" t="s">
        <v>195</v>
      </c>
      <c r="E12612" s="1916" t="s">
        <v>3061</v>
      </c>
      <c r="F12612" s="1697"/>
      <c r="G12612" s="1697"/>
      <c r="H12612" s="1697"/>
      <c r="K12612" s="841" t="s">
        <v>3266</v>
      </c>
      <c r="M12612" s="1357"/>
      <c r="Q12612" s="1357"/>
      <c r="S12612" s="1420"/>
      <c r="T12612" s="1420"/>
      <c r="V12612" s="1357">
        <v>11</v>
      </c>
    </row>
    <row r="12613" spans="1:22" s="841" customFormat="1" ht="15" x14ac:dyDescent="0.25">
      <c r="A12613" s="841" t="s">
        <v>195</v>
      </c>
      <c r="E12613" s="1689" t="s">
        <v>3063</v>
      </c>
      <c r="F12613" s="1689"/>
      <c r="G12613" s="1689"/>
      <c r="H12613" s="1689"/>
      <c r="K12613" s="841" t="s">
        <v>3264</v>
      </c>
      <c r="M12613" s="1357"/>
      <c r="Q12613" s="1357"/>
      <c r="S12613" s="1420"/>
      <c r="T12613" s="1420"/>
      <c r="V12613" s="1357">
        <v>280</v>
      </c>
    </row>
    <row r="12614" spans="1:22" s="841" customFormat="1" ht="15" x14ac:dyDescent="0.25">
      <c r="A12614" s="841" t="s">
        <v>195</v>
      </c>
      <c r="E12614" s="1689" t="s">
        <v>3064</v>
      </c>
      <c r="F12614" s="1689"/>
      <c r="G12614" s="1689"/>
      <c r="H12614" s="1689"/>
      <c r="K12614" s="841" t="s">
        <v>3264</v>
      </c>
      <c r="M12614" s="1357"/>
      <c r="Q12614" s="1357"/>
      <c r="S12614" s="1420"/>
      <c r="T12614" s="1420"/>
      <c r="V12614" s="1357">
        <v>411</v>
      </c>
    </row>
    <row r="12615" spans="1:22" s="841" customFormat="1" ht="15" x14ac:dyDescent="0.25">
      <c r="A12615" s="841" t="s">
        <v>195</v>
      </c>
      <c r="E12615" s="1689" t="s">
        <v>3065</v>
      </c>
      <c r="F12615" s="1689"/>
      <c r="G12615" s="1689"/>
      <c r="H12615" s="1689"/>
      <c r="K12615" s="841" t="s">
        <v>3264</v>
      </c>
      <c r="M12615" s="1357"/>
      <c r="Q12615" s="1357"/>
      <c r="S12615" s="1420"/>
      <c r="T12615" s="1420"/>
      <c r="V12615" s="1357">
        <v>387</v>
      </c>
    </row>
    <row r="12616" spans="1:22" s="841" customFormat="1" ht="15" x14ac:dyDescent="0.25">
      <c r="A12616" s="841" t="s">
        <v>195</v>
      </c>
      <c r="E12616" s="1689" t="s">
        <v>3200</v>
      </c>
      <c r="F12616" s="1689"/>
      <c r="G12616" s="1689"/>
      <c r="H12616" s="1689"/>
      <c r="K12616" s="841" t="s">
        <v>3264</v>
      </c>
      <c r="M12616" s="1357"/>
      <c r="Q12616" s="1357"/>
      <c r="S12616" s="1420"/>
      <c r="T12616" s="1420"/>
      <c r="V12616" s="1357">
        <v>275</v>
      </c>
    </row>
    <row r="12617" spans="1:22" s="841" customFormat="1" ht="15" x14ac:dyDescent="0.25">
      <c r="A12617" s="841" t="s">
        <v>195</v>
      </c>
      <c r="E12617" s="1694" t="s">
        <v>3067</v>
      </c>
      <c r="F12617" s="1907"/>
      <c r="G12617" s="1907"/>
      <c r="H12617" s="1907"/>
      <c r="K12617" s="841" t="s">
        <v>3267</v>
      </c>
      <c r="M12617" s="1357"/>
      <c r="Q12617" s="1357"/>
      <c r="S12617" s="1420"/>
      <c r="T12617" s="1420"/>
      <c r="V12617" s="1357">
        <v>46</v>
      </c>
    </row>
    <row r="12618" spans="1:22" s="841" customFormat="1" ht="15" x14ac:dyDescent="0.25">
      <c r="A12618" s="841" t="s">
        <v>195</v>
      </c>
      <c r="E12618" s="1690" t="s">
        <v>13</v>
      </c>
      <c r="F12618" s="1690"/>
      <c r="G12618" s="1408" t="s">
        <v>23</v>
      </c>
      <c r="H12618" s="391">
        <v>1789.05</v>
      </c>
      <c r="K12618" s="841" t="s">
        <v>3264</v>
      </c>
      <c r="L12618" s="841" t="s">
        <v>442</v>
      </c>
      <c r="M12618" s="1357"/>
      <c r="P12618" s="841" t="s">
        <v>3268</v>
      </c>
      <c r="Q12618" s="1357"/>
      <c r="S12618" s="1420"/>
      <c r="T12618" s="1420"/>
      <c r="V12618" s="1357">
        <v>29</v>
      </c>
    </row>
    <row r="12619" spans="1:22" s="841" customFormat="1" ht="15" x14ac:dyDescent="0.25">
      <c r="A12619" s="841" t="s">
        <v>195</v>
      </c>
      <c r="E12619" s="1690" t="s">
        <v>84</v>
      </c>
      <c r="F12619" s="1690"/>
      <c r="G12619" s="1408" t="s">
        <v>33</v>
      </c>
      <c r="H12619" s="393">
        <v>8.5358999999999998</v>
      </c>
      <c r="K12619" s="841" t="s">
        <v>3264</v>
      </c>
      <c r="L12619" s="841" t="s">
        <v>442</v>
      </c>
      <c r="M12619" s="1357"/>
      <c r="P12619" s="841" t="s">
        <v>3269</v>
      </c>
      <c r="Q12619" s="1357"/>
      <c r="S12619" s="1420"/>
      <c r="T12619" s="1420"/>
      <c r="V12619" s="1357">
        <v>28</v>
      </c>
    </row>
    <row r="12620" spans="1:22" s="841" customFormat="1" ht="15" x14ac:dyDescent="0.25">
      <c r="A12620" s="841" t="s">
        <v>195</v>
      </c>
      <c r="E12620" s="1690" t="s">
        <v>221</v>
      </c>
      <c r="F12620" s="1690"/>
      <c r="G12620" s="1408" t="s">
        <v>33</v>
      </c>
      <c r="H12620" s="393">
        <v>1.8527</v>
      </c>
      <c r="K12620" s="841" t="s">
        <v>3264</v>
      </c>
      <c r="L12620" s="841" t="s">
        <v>444</v>
      </c>
      <c r="M12620" s="1357"/>
      <c r="P12620" s="841" t="s">
        <v>3274</v>
      </c>
      <c r="Q12620" s="1357"/>
      <c r="S12620" s="1420"/>
      <c r="T12620" s="1420"/>
      <c r="V12620" s="1357">
        <v>47</v>
      </c>
    </row>
    <row r="12621" spans="1:22" s="841" customFormat="1" ht="15" x14ac:dyDescent="0.25">
      <c r="A12621" s="841" t="s">
        <v>195</v>
      </c>
      <c r="E12621" s="1690" t="s">
        <v>217</v>
      </c>
      <c r="F12621" s="1690"/>
      <c r="G12621" s="1408" t="s">
        <v>33</v>
      </c>
      <c r="H12621" s="393">
        <v>1.7001999999999999</v>
      </c>
      <c r="K12621" s="841" t="s">
        <v>3264</v>
      </c>
      <c r="L12621" s="841" t="s">
        <v>444</v>
      </c>
      <c r="M12621" s="1357"/>
      <c r="P12621" s="841" t="s">
        <v>3275</v>
      </c>
      <c r="Q12621" s="1357"/>
      <c r="S12621" s="1420"/>
      <c r="T12621" s="1420"/>
      <c r="V12621" s="1357">
        <v>74</v>
      </c>
    </row>
    <row r="12622" spans="1:22" s="841" customFormat="1" ht="15" x14ac:dyDescent="0.25">
      <c r="A12622" s="841" t="s">
        <v>195</v>
      </c>
      <c r="E12622" s="1694" t="s">
        <v>3079</v>
      </c>
      <c r="F12622" s="1690"/>
      <c r="G12622" s="1408"/>
      <c r="H12622" s="1408"/>
      <c r="K12622" s="841" t="s">
        <v>3276</v>
      </c>
      <c r="M12622" s="1357"/>
      <c r="Q12622" s="1357"/>
      <c r="S12622" s="1420"/>
      <c r="T12622" s="1420"/>
      <c r="V12622" s="1357">
        <v>48</v>
      </c>
    </row>
    <row r="12623" spans="1:22" s="841" customFormat="1" ht="15" x14ac:dyDescent="0.25">
      <c r="A12623" s="841" t="s">
        <v>195</v>
      </c>
      <c r="E12623" s="1690" t="s">
        <v>2449</v>
      </c>
      <c r="F12623" s="1690"/>
      <c r="G12623" s="1408" t="s">
        <v>24</v>
      </c>
      <c r="H12623" s="393">
        <v>3.2000000000000002E-3</v>
      </c>
      <c r="K12623" s="841" t="s">
        <v>3264</v>
      </c>
      <c r="L12623" s="841" t="s">
        <v>3046</v>
      </c>
      <c r="M12623" s="1357"/>
      <c r="P12623" s="841" t="s">
        <v>3277</v>
      </c>
      <c r="Q12623" s="1357"/>
      <c r="S12623" s="1420"/>
      <c r="T12623" s="1420"/>
      <c r="V12623" s="1357">
        <v>55</v>
      </c>
    </row>
    <row r="12624" spans="1:22" s="841" customFormat="1" ht="15" x14ac:dyDescent="0.25">
      <c r="A12624" s="841" t="s">
        <v>195</v>
      </c>
      <c r="E12624" s="1690" t="s">
        <v>2450</v>
      </c>
      <c r="F12624" s="1690"/>
      <c r="G12624" s="1408" t="s">
        <v>24</v>
      </c>
      <c r="H12624" s="393">
        <v>4.0000000000000002E-4</v>
      </c>
      <c r="K12624" s="841" t="s">
        <v>3264</v>
      </c>
      <c r="L12624" s="841" t="s">
        <v>3046</v>
      </c>
      <c r="M12624" s="1357"/>
      <c r="P12624" s="841" t="s">
        <v>3277</v>
      </c>
      <c r="Q12624" s="1357"/>
      <c r="S12624" s="1420"/>
      <c r="T12624" s="1420"/>
      <c r="V12624" s="1357">
        <v>65</v>
      </c>
    </row>
    <row r="12625" spans="1:22" s="841" customFormat="1" ht="15" x14ac:dyDescent="0.25">
      <c r="A12625" s="841" t="s">
        <v>195</v>
      </c>
      <c r="E12625" s="1690" t="s">
        <v>439</v>
      </c>
      <c r="F12625" s="1690"/>
      <c r="G12625" s="1408" t="s">
        <v>24</v>
      </c>
      <c r="H12625" s="393">
        <v>2.9999999999999997E-4</v>
      </c>
      <c r="K12625" s="841" t="s">
        <v>3264</v>
      </c>
      <c r="L12625" s="841" t="s">
        <v>3046</v>
      </c>
      <c r="M12625" s="1357"/>
      <c r="P12625" s="841" t="s">
        <v>3278</v>
      </c>
      <c r="Q12625" s="1357"/>
      <c r="S12625" s="1420"/>
      <c r="T12625" s="1420"/>
      <c r="V12625" s="1357">
        <v>57</v>
      </c>
    </row>
    <row r="12626" spans="1:22" s="841" customFormat="1" ht="15" x14ac:dyDescent="0.25">
      <c r="A12626" s="841" t="s">
        <v>195</v>
      </c>
      <c r="E12626" s="1690" t="s">
        <v>32</v>
      </c>
      <c r="F12626" s="1690"/>
      <c r="G12626" s="1408" t="s">
        <v>23</v>
      </c>
      <c r="H12626" s="391">
        <v>0.25</v>
      </c>
      <c r="K12626" s="841" t="s">
        <v>3264</v>
      </c>
      <c r="L12626" s="841" t="s">
        <v>3046</v>
      </c>
      <c r="M12626" s="1357"/>
      <c r="P12626" s="841" t="s">
        <v>3279</v>
      </c>
      <c r="Q12626" s="1357"/>
      <c r="S12626" s="1420"/>
      <c r="T12626" s="1420"/>
      <c r="V12626" s="1357">
        <v>63</v>
      </c>
    </row>
    <row r="12627" spans="1:22" s="841" customFormat="1" x14ac:dyDescent="0.25">
      <c r="A12627" s="841" t="s">
        <v>195</v>
      </c>
      <c r="E12627" s="1909" t="s">
        <v>618</v>
      </c>
      <c r="F12627" s="1915"/>
      <c r="G12627" s="1915"/>
      <c r="H12627" s="1915"/>
      <c r="K12627" s="841" t="s">
        <v>3280</v>
      </c>
      <c r="M12627" s="1357"/>
      <c r="Q12627" s="1357"/>
      <c r="S12627" s="1420"/>
      <c r="T12627" s="1420"/>
      <c r="V12627" s="1357">
        <v>31</v>
      </c>
    </row>
    <row r="12628" spans="1:22" s="841" customFormat="1" ht="15" x14ac:dyDescent="0.25">
      <c r="A12628" s="841" t="s">
        <v>195</v>
      </c>
      <c r="E12628" s="1689" t="s">
        <v>4601</v>
      </c>
      <c r="F12628" s="1689"/>
      <c r="G12628" s="1689"/>
      <c r="H12628" s="1689"/>
      <c r="K12628" s="841" t="s">
        <v>3280</v>
      </c>
      <c r="M12628" s="1357"/>
      <c r="Q12628" s="1357"/>
      <c r="S12628" s="1420"/>
      <c r="T12628" s="1420"/>
      <c r="V12628" s="1357">
        <v>288</v>
      </c>
    </row>
    <row r="12629" spans="1:22" s="841" customFormat="1" ht="15" x14ac:dyDescent="0.25">
      <c r="A12629" s="841" t="s">
        <v>195</v>
      </c>
      <c r="E12629" s="1916" t="s">
        <v>3061</v>
      </c>
      <c r="F12629" s="1697"/>
      <c r="G12629" s="1697"/>
      <c r="H12629" s="1697"/>
      <c r="K12629" s="841" t="s">
        <v>3281</v>
      </c>
      <c r="M12629" s="1357"/>
      <c r="Q12629" s="1357"/>
      <c r="S12629" s="1420"/>
      <c r="T12629" s="1420"/>
      <c r="V12629" s="1357">
        <v>11</v>
      </c>
    </row>
    <row r="12630" spans="1:22" s="841" customFormat="1" ht="15" x14ac:dyDescent="0.25">
      <c r="A12630" s="841" t="s">
        <v>195</v>
      </c>
      <c r="E12630" s="1689" t="s">
        <v>3063</v>
      </c>
      <c r="F12630" s="1689"/>
      <c r="G12630" s="1689"/>
      <c r="H12630" s="1689"/>
      <c r="K12630" s="841" t="s">
        <v>3280</v>
      </c>
      <c r="M12630" s="1357"/>
      <c r="Q12630" s="1357"/>
      <c r="S12630" s="1420"/>
      <c r="T12630" s="1420"/>
      <c r="V12630" s="1357">
        <v>280</v>
      </c>
    </row>
    <row r="12631" spans="1:22" s="841" customFormat="1" ht="15" x14ac:dyDescent="0.25">
      <c r="A12631" s="841" t="s">
        <v>195</v>
      </c>
      <c r="E12631" s="1689" t="s">
        <v>3064</v>
      </c>
      <c r="F12631" s="1689"/>
      <c r="G12631" s="1689"/>
      <c r="H12631" s="1689"/>
      <c r="K12631" s="841" t="s">
        <v>3280</v>
      </c>
      <c r="M12631" s="1357"/>
      <c r="Q12631" s="1357"/>
      <c r="S12631" s="1420"/>
      <c r="T12631" s="1420"/>
      <c r="V12631" s="1357">
        <v>411</v>
      </c>
    </row>
    <row r="12632" spans="1:22" s="841" customFormat="1" ht="15" x14ac:dyDescent="0.25">
      <c r="A12632" s="841" t="s">
        <v>195</v>
      </c>
      <c r="E12632" s="1689" t="s">
        <v>3129</v>
      </c>
      <c r="F12632" s="1689"/>
      <c r="G12632" s="1689"/>
      <c r="H12632" s="1689"/>
      <c r="K12632" s="841" t="s">
        <v>3280</v>
      </c>
      <c r="M12632" s="1357"/>
      <c r="Q12632" s="1357"/>
      <c r="S12632" s="1420"/>
      <c r="T12632" s="1420"/>
      <c r="V12632" s="1357">
        <v>211</v>
      </c>
    </row>
    <row r="12633" spans="1:22" s="841" customFormat="1" ht="15" x14ac:dyDescent="0.25">
      <c r="A12633" s="841" t="s">
        <v>195</v>
      </c>
      <c r="E12633" s="1689" t="s">
        <v>3200</v>
      </c>
      <c r="F12633" s="1689"/>
      <c r="G12633" s="1689"/>
      <c r="H12633" s="1689"/>
      <c r="K12633" s="841" t="s">
        <v>3280</v>
      </c>
      <c r="M12633" s="1357"/>
      <c r="Q12633" s="1357"/>
      <c r="S12633" s="1420"/>
      <c r="T12633" s="1420"/>
      <c r="V12633" s="1357">
        <v>275</v>
      </c>
    </row>
    <row r="12634" spans="1:22" s="841" customFormat="1" ht="15" x14ac:dyDescent="0.25">
      <c r="A12634" s="841" t="s">
        <v>195</v>
      </c>
      <c r="E12634" s="1694" t="s">
        <v>3067</v>
      </c>
      <c r="F12634" s="1907"/>
      <c r="G12634" s="1907"/>
      <c r="H12634" s="1907"/>
      <c r="K12634" s="841" t="s">
        <v>3282</v>
      </c>
      <c r="M12634" s="1357"/>
      <c r="Q12634" s="1357"/>
      <c r="S12634" s="1420"/>
      <c r="T12634" s="1420"/>
      <c r="V12634" s="1357">
        <v>46</v>
      </c>
    </row>
    <row r="12635" spans="1:22" s="841" customFormat="1" ht="15" x14ac:dyDescent="0.25">
      <c r="A12635" s="841" t="s">
        <v>195</v>
      </c>
      <c r="E12635" s="1690" t="s">
        <v>11</v>
      </c>
      <c r="F12635" s="1690"/>
      <c r="G12635" s="1408" t="s">
        <v>23</v>
      </c>
      <c r="H12635" s="391">
        <v>5.4</v>
      </c>
      <c r="K12635" s="841" t="s">
        <v>3280</v>
      </c>
      <c r="L12635" s="841" t="s">
        <v>442</v>
      </c>
      <c r="M12635" s="1357"/>
      <c r="P12635" s="841" t="s">
        <v>3283</v>
      </c>
      <c r="Q12635" s="1357"/>
      <c r="S12635" s="1420"/>
      <c r="T12635" s="1420"/>
      <c r="V12635" s="1357">
        <v>14</v>
      </c>
    </row>
    <row r="12636" spans="1:22" s="841" customFormat="1" ht="18.75" x14ac:dyDescent="0.3">
      <c r="A12636" s="841" t="s">
        <v>195</v>
      </c>
      <c r="E12636" s="1374" t="s">
        <v>85</v>
      </c>
      <c r="F12636" s="657"/>
      <c r="G12636" s="657"/>
      <c r="H12636" s="658"/>
      <c r="K12636" s="841" t="s">
        <v>4602</v>
      </c>
      <c r="M12636" s="1357"/>
      <c r="Q12636" s="1357"/>
      <c r="S12636" s="1420"/>
      <c r="T12636" s="1420"/>
      <c r="V12636" s="1357">
        <v>10</v>
      </c>
    </row>
    <row r="12637" spans="1:22" s="841" customFormat="1" ht="15" x14ac:dyDescent="0.25">
      <c r="A12637" s="841" t="s">
        <v>195</v>
      </c>
      <c r="E12637" s="1690" t="s">
        <v>3133</v>
      </c>
      <c r="F12637" s="1690"/>
      <c r="G12637" s="1408" t="s">
        <v>33</v>
      </c>
      <c r="H12637" s="681">
        <v>-0.6</v>
      </c>
      <c r="M12637" s="1357"/>
      <c r="Q12637" s="1357"/>
      <c r="S12637" s="1420"/>
      <c r="T12637" s="1420"/>
      <c r="V12637" s="1357">
        <v>68</v>
      </c>
    </row>
    <row r="12638" spans="1:22" s="841" customFormat="1" ht="15" x14ac:dyDescent="0.25">
      <c r="A12638" s="841" t="s">
        <v>195</v>
      </c>
      <c r="E12638" s="1690" t="s">
        <v>3134</v>
      </c>
      <c r="F12638" s="1690"/>
      <c r="G12638" s="1408" t="s">
        <v>86</v>
      </c>
      <c r="H12638" s="391">
        <v>-1</v>
      </c>
      <c r="M12638" s="1357"/>
      <c r="Q12638" s="1357"/>
      <c r="S12638" s="1420"/>
      <c r="T12638" s="1420"/>
      <c r="V12638" s="1357">
        <v>87</v>
      </c>
    </row>
    <row r="12639" spans="1:22" s="841" customFormat="1" ht="36.75" x14ac:dyDescent="0.3">
      <c r="A12639" s="841" t="s">
        <v>195</v>
      </c>
      <c r="E12639" s="1374" t="s">
        <v>87</v>
      </c>
      <c r="F12639" s="657"/>
      <c r="G12639" s="657"/>
      <c r="H12639" s="658"/>
      <c r="K12639" s="841" t="s">
        <v>4603</v>
      </c>
      <c r="M12639" s="1357"/>
      <c r="Q12639" s="1357"/>
      <c r="S12639" s="1420"/>
      <c r="T12639" s="1420"/>
      <c r="V12639" s="1357">
        <v>24</v>
      </c>
    </row>
    <row r="12640" spans="1:22" s="841" customFormat="1" ht="15" x14ac:dyDescent="0.25">
      <c r="A12640" s="841" t="s">
        <v>195</v>
      </c>
      <c r="E12640" s="1689" t="s">
        <v>3063</v>
      </c>
      <c r="F12640" s="1689"/>
      <c r="G12640" s="1689"/>
      <c r="H12640" s="1689"/>
      <c r="M12640" s="1357"/>
      <c r="Q12640" s="1357"/>
      <c r="S12640" s="1420"/>
      <c r="T12640" s="1420"/>
      <c r="V12640" s="1357">
        <v>280</v>
      </c>
    </row>
    <row r="12641" spans="1:22" s="841" customFormat="1" ht="15" x14ac:dyDescent="0.25">
      <c r="A12641" s="841" t="s">
        <v>195</v>
      </c>
      <c r="E12641" s="1689" t="s">
        <v>3136</v>
      </c>
      <c r="F12641" s="1689"/>
      <c r="G12641" s="1689"/>
      <c r="H12641" s="1689"/>
      <c r="M12641" s="1357"/>
      <c r="Q12641" s="1357"/>
      <c r="S12641" s="1420"/>
      <c r="T12641" s="1420"/>
      <c r="V12641" s="1357">
        <v>353</v>
      </c>
    </row>
    <row r="12642" spans="1:22" s="841" customFormat="1" ht="15" x14ac:dyDescent="0.25">
      <c r="A12642" s="841" t="s">
        <v>195</v>
      </c>
      <c r="E12642" s="1689" t="s">
        <v>3200</v>
      </c>
      <c r="F12642" s="1689"/>
      <c r="G12642" s="1689"/>
      <c r="H12642" s="1689"/>
      <c r="M12642" s="1357"/>
      <c r="Q12642" s="1357"/>
      <c r="S12642" s="1420"/>
      <c r="T12642" s="1420"/>
      <c r="V12642" s="1357">
        <v>275</v>
      </c>
    </row>
    <row r="12643" spans="1:22" s="841" customFormat="1" ht="15" x14ac:dyDescent="0.25">
      <c r="A12643" s="841" t="s">
        <v>195</v>
      </c>
      <c r="E12643" s="1370" t="s">
        <v>3137</v>
      </c>
      <c r="F12643" s="3"/>
      <c r="G12643" s="3"/>
      <c r="H12643" s="398"/>
      <c r="K12643" s="841" t="s">
        <v>4604</v>
      </c>
      <c r="M12643" s="1357"/>
      <c r="Q12643" s="1357"/>
      <c r="S12643" s="1420"/>
      <c r="T12643" s="1420"/>
      <c r="V12643" s="1357">
        <v>23</v>
      </c>
    </row>
    <row r="12644" spans="1:22" s="841" customFormat="1" ht="15" x14ac:dyDescent="0.25">
      <c r="A12644" s="841" t="s">
        <v>195</v>
      </c>
      <c r="E12644" s="1688" t="s">
        <v>123</v>
      </c>
      <c r="F12644" s="1688"/>
      <c r="G12644" s="1408" t="s">
        <v>23</v>
      </c>
      <c r="H12644" s="391">
        <v>15</v>
      </c>
      <c r="M12644" s="1357"/>
      <c r="Q12644" s="1357"/>
      <c r="S12644" s="1420"/>
      <c r="T12644" s="1420"/>
      <c r="V12644" s="1357">
        <v>35</v>
      </c>
    </row>
    <row r="12645" spans="1:22" s="841" customFormat="1" ht="15" x14ac:dyDescent="0.25">
      <c r="A12645" s="841" t="s">
        <v>195</v>
      </c>
      <c r="E12645" s="1688" t="s">
        <v>88</v>
      </c>
      <c r="F12645" s="1688"/>
      <c r="G12645" s="1408" t="s">
        <v>23</v>
      </c>
      <c r="H12645" s="391">
        <v>30</v>
      </c>
      <c r="M12645" s="1357"/>
      <c r="Q12645" s="1357"/>
      <c r="S12645" s="1420"/>
      <c r="T12645" s="1420"/>
      <c r="V12645" s="1357">
        <v>89</v>
      </c>
    </row>
    <row r="12646" spans="1:22" s="841" customFormat="1" ht="15" x14ac:dyDescent="0.25">
      <c r="A12646" s="841" t="s">
        <v>195</v>
      </c>
      <c r="E12646" s="1370" t="s">
        <v>3152</v>
      </c>
      <c r="F12646" s="3"/>
      <c r="G12646" s="3"/>
      <c r="H12646" s="398"/>
      <c r="K12646" s="841" t="s">
        <v>4605</v>
      </c>
      <c r="M12646" s="1357"/>
      <c r="Q12646" s="1357"/>
      <c r="S12646" s="1420"/>
      <c r="T12646" s="1420"/>
      <c r="V12646" s="1357">
        <v>22</v>
      </c>
    </row>
    <row r="12647" spans="1:22" s="841" customFormat="1" ht="15" x14ac:dyDescent="0.25">
      <c r="A12647" s="841" t="s">
        <v>195</v>
      </c>
      <c r="E12647" s="1688" t="s">
        <v>5137</v>
      </c>
      <c r="F12647" s="1688"/>
      <c r="G12647" s="1408" t="s">
        <v>86</v>
      </c>
      <c r="H12647" s="391">
        <v>1.5</v>
      </c>
      <c r="M12647" s="1357"/>
      <c r="Q12647" s="1357"/>
      <c r="S12647" s="1420"/>
      <c r="T12647" s="1420"/>
      <c r="V12647" s="1357">
        <v>24</v>
      </c>
    </row>
    <row r="12648" spans="1:22" s="841" customFormat="1" ht="15" x14ac:dyDescent="0.25">
      <c r="A12648" s="841" t="s">
        <v>195</v>
      </c>
      <c r="E12648" s="1688" t="s">
        <v>4772</v>
      </c>
      <c r="F12648" s="1688"/>
      <c r="G12648" s="1408" t="s">
        <v>86</v>
      </c>
      <c r="H12648" s="391">
        <v>19.559999999999999</v>
      </c>
      <c r="M12648" s="1357"/>
      <c r="Q12648" s="1357"/>
      <c r="S12648" s="1420"/>
      <c r="T12648" s="1420"/>
      <c r="V12648" s="1357">
        <v>24</v>
      </c>
    </row>
    <row r="12649" spans="1:22" s="841" customFormat="1" ht="15" x14ac:dyDescent="0.25">
      <c r="A12649" s="841" t="s">
        <v>195</v>
      </c>
      <c r="E12649" s="1688" t="s">
        <v>3288</v>
      </c>
      <c r="F12649" s="1688"/>
      <c r="G12649" s="1408" t="s">
        <v>23</v>
      </c>
      <c r="H12649" s="391">
        <v>30</v>
      </c>
      <c r="M12649" s="1357"/>
      <c r="Q12649" s="1357"/>
      <c r="S12649" s="1420"/>
      <c r="T12649" s="1420"/>
      <c r="V12649" s="1357">
        <v>47</v>
      </c>
    </row>
    <row r="12650" spans="1:22" s="841" customFormat="1" ht="15" x14ac:dyDescent="0.25">
      <c r="A12650" s="841" t="s">
        <v>195</v>
      </c>
      <c r="E12650" s="1688" t="s">
        <v>4773</v>
      </c>
      <c r="F12650" s="1688"/>
      <c r="G12650" s="1408" t="s">
        <v>23</v>
      </c>
      <c r="H12650" s="391">
        <v>65</v>
      </c>
      <c r="M12650" s="1357"/>
      <c r="Q12650" s="1357"/>
      <c r="S12650" s="1420"/>
      <c r="T12650" s="1420"/>
      <c r="V12650" s="1357">
        <v>52</v>
      </c>
    </row>
    <row r="12651" spans="1:22" s="841" customFormat="1" ht="15" x14ac:dyDescent="0.25">
      <c r="A12651" s="841" t="s">
        <v>195</v>
      </c>
      <c r="E12651" s="1688" t="s">
        <v>4774</v>
      </c>
      <c r="F12651" s="1688"/>
      <c r="G12651" s="1408" t="s">
        <v>23</v>
      </c>
      <c r="H12651" s="391">
        <v>185</v>
      </c>
      <c r="M12651" s="1357"/>
      <c r="Q12651" s="1357"/>
      <c r="S12651" s="1420"/>
      <c r="T12651" s="1420"/>
      <c r="V12651" s="1357">
        <v>51</v>
      </c>
    </row>
    <row r="12652" spans="1:22" s="841" customFormat="1" ht="15" x14ac:dyDescent="0.25">
      <c r="A12652" s="841" t="s">
        <v>195</v>
      </c>
      <c r="E12652" s="1688" t="s">
        <v>4775</v>
      </c>
      <c r="F12652" s="1688"/>
      <c r="G12652" s="1408" t="s">
        <v>23</v>
      </c>
      <c r="H12652" s="391">
        <v>185</v>
      </c>
      <c r="M12652" s="1357"/>
      <c r="Q12652" s="1357"/>
      <c r="S12652" s="1420"/>
      <c r="T12652" s="1420"/>
      <c r="V12652" s="1357">
        <v>51</v>
      </c>
    </row>
    <row r="12653" spans="1:22" s="841" customFormat="1" ht="15" x14ac:dyDescent="0.25">
      <c r="A12653" s="841" t="s">
        <v>195</v>
      </c>
      <c r="E12653" s="1688" t="s">
        <v>4778</v>
      </c>
      <c r="F12653" s="1688"/>
      <c r="G12653" s="1408" t="s">
        <v>23</v>
      </c>
      <c r="H12653" s="391">
        <v>185</v>
      </c>
      <c r="M12653" s="1357"/>
      <c r="Q12653" s="1357"/>
      <c r="S12653" s="1420"/>
      <c r="T12653" s="1420"/>
      <c r="V12653" s="1357">
        <v>56</v>
      </c>
    </row>
    <row r="12654" spans="1:22" s="841" customFormat="1" ht="15" x14ac:dyDescent="0.25">
      <c r="A12654" s="841" t="s">
        <v>195</v>
      </c>
      <c r="E12654" s="1370" t="s">
        <v>3164</v>
      </c>
      <c r="F12654" s="507"/>
      <c r="G12654" s="397"/>
      <c r="H12654" s="391"/>
      <c r="M12654" s="1357"/>
      <c r="Q12654" s="1357"/>
      <c r="S12654" s="1420"/>
      <c r="T12654" s="1420"/>
      <c r="V12654" s="1357">
        <v>5</v>
      </c>
    </row>
    <row r="12655" spans="1:22" s="841" customFormat="1" ht="15" x14ac:dyDescent="0.25">
      <c r="A12655" s="841" t="s">
        <v>195</v>
      </c>
      <c r="E12655" s="1688" t="s">
        <v>94</v>
      </c>
      <c r="F12655" s="1688"/>
      <c r="G12655" s="1408" t="s">
        <v>23</v>
      </c>
      <c r="H12655" s="391">
        <v>30</v>
      </c>
      <c r="M12655" s="1357"/>
      <c r="Q12655" s="1357"/>
      <c r="S12655" s="1420"/>
      <c r="T12655" s="1420"/>
      <c r="V12655" s="1357">
        <v>19</v>
      </c>
    </row>
    <row r="12656" spans="1:22" s="841" customFormat="1" ht="15" x14ac:dyDescent="0.25">
      <c r="A12656" s="841" t="s">
        <v>195</v>
      </c>
      <c r="E12656" s="1688" t="s">
        <v>3168</v>
      </c>
      <c r="F12656" s="1688"/>
      <c r="G12656" s="1408" t="s">
        <v>23</v>
      </c>
      <c r="H12656" s="391">
        <v>165</v>
      </c>
      <c r="M12656" s="1357"/>
      <c r="Q12656" s="1357"/>
      <c r="S12656" s="1420"/>
      <c r="T12656" s="1420"/>
      <c r="V12656" s="1357">
        <v>34</v>
      </c>
    </row>
    <row r="12657" spans="1:22" s="841" customFormat="1" ht="15" x14ac:dyDescent="0.25">
      <c r="A12657" s="841" t="s">
        <v>195</v>
      </c>
      <c r="E12657" s="1688" t="s">
        <v>3502</v>
      </c>
      <c r="F12657" s="1688"/>
      <c r="G12657" s="1408" t="s">
        <v>23</v>
      </c>
      <c r="H12657" s="391">
        <v>22.35</v>
      </c>
      <c r="M12657" s="1357"/>
      <c r="Q12657" s="1357"/>
      <c r="S12657" s="1420"/>
      <c r="T12657" s="1420"/>
      <c r="V12657" s="1357">
        <v>104</v>
      </c>
    </row>
    <row r="12658" spans="1:22" s="841" customFormat="1" x14ac:dyDescent="0.25">
      <c r="A12658" s="841" t="s">
        <v>195</v>
      </c>
      <c r="E12658" s="1931" t="s">
        <v>77</v>
      </c>
      <c r="F12658" s="1931"/>
      <c r="G12658" s="1931"/>
      <c r="H12658" s="1931"/>
      <c r="K12658" s="841" t="s">
        <v>4606</v>
      </c>
      <c r="M12658" s="1357"/>
      <c r="Q12658" s="1357"/>
      <c r="S12658" s="1420"/>
      <c r="T12658" s="1420"/>
      <c r="V12658" s="1357">
        <v>38</v>
      </c>
    </row>
    <row r="12659" spans="1:22" s="841" customFormat="1" ht="15" x14ac:dyDescent="0.25">
      <c r="A12659" s="841" t="s">
        <v>195</v>
      </c>
      <c r="E12659" s="1689" t="s">
        <v>3063</v>
      </c>
      <c r="F12659" s="1689"/>
      <c r="G12659" s="1689"/>
      <c r="H12659" s="1689"/>
      <c r="M12659" s="1357"/>
      <c r="Q12659" s="1357"/>
      <c r="S12659" s="1420"/>
      <c r="T12659" s="1420"/>
      <c r="V12659" s="1357">
        <v>280</v>
      </c>
    </row>
    <row r="12660" spans="1:22" s="841" customFormat="1" ht="15" x14ac:dyDescent="0.25">
      <c r="A12660" s="841" t="s">
        <v>195</v>
      </c>
      <c r="E12660" s="1689" t="s">
        <v>3064</v>
      </c>
      <c r="F12660" s="1689"/>
      <c r="G12660" s="1689"/>
      <c r="H12660" s="1689"/>
      <c r="M12660" s="1357"/>
      <c r="Q12660" s="1357"/>
      <c r="S12660" s="1420"/>
      <c r="T12660" s="1420"/>
      <c r="V12660" s="1357">
        <v>411</v>
      </c>
    </row>
    <row r="12661" spans="1:22" s="841" customFormat="1" ht="15" x14ac:dyDescent="0.25">
      <c r="A12661" s="841" t="s">
        <v>195</v>
      </c>
      <c r="E12661" s="1689" t="s">
        <v>3129</v>
      </c>
      <c r="F12661" s="1689"/>
      <c r="G12661" s="1689"/>
      <c r="H12661" s="1689"/>
      <c r="M12661" s="1357"/>
      <c r="Q12661" s="1357"/>
      <c r="S12661" s="1420"/>
      <c r="T12661" s="1420"/>
      <c r="V12661" s="1357">
        <v>211</v>
      </c>
    </row>
    <row r="12662" spans="1:22" s="841" customFormat="1" ht="15" x14ac:dyDescent="0.25">
      <c r="A12662" s="841" t="s">
        <v>195</v>
      </c>
      <c r="E12662" s="1689" t="s">
        <v>3200</v>
      </c>
      <c r="F12662" s="1689"/>
      <c r="G12662" s="1689"/>
      <c r="H12662" s="1689"/>
      <c r="M12662" s="1357"/>
      <c r="Q12662" s="1357"/>
      <c r="S12662" s="1420"/>
      <c r="T12662" s="1420"/>
      <c r="V12662" s="1357">
        <v>275</v>
      </c>
    </row>
    <row r="12663" spans="1:22" s="841" customFormat="1" ht="15" x14ac:dyDescent="0.25">
      <c r="A12663" s="841" t="s">
        <v>195</v>
      </c>
      <c r="E12663" s="1689" t="s">
        <v>3291</v>
      </c>
      <c r="F12663" s="1689"/>
      <c r="G12663" s="1689"/>
      <c r="H12663" s="1689"/>
      <c r="M12663" s="1357"/>
      <c r="Q12663" s="1357"/>
      <c r="S12663" s="1420"/>
      <c r="T12663" s="1420"/>
      <c r="V12663" s="1357">
        <v>142</v>
      </c>
    </row>
    <row r="12664" spans="1:22" s="841" customFormat="1" ht="15" x14ac:dyDescent="0.25">
      <c r="A12664" s="841" t="s">
        <v>195</v>
      </c>
      <c r="E12664" s="1690" t="s">
        <v>3176</v>
      </c>
      <c r="F12664" s="1690"/>
      <c r="G12664" s="397" t="s">
        <v>23</v>
      </c>
      <c r="H12664" s="391">
        <v>100</v>
      </c>
      <c r="M12664" s="1357"/>
      <c r="Q12664" s="1357"/>
      <c r="S12664" s="1420"/>
      <c r="T12664" s="1420"/>
      <c r="V12664" s="1357">
        <v>106</v>
      </c>
    </row>
    <row r="12665" spans="1:22" s="841" customFormat="1" ht="15" x14ac:dyDescent="0.25">
      <c r="A12665" s="841" t="s">
        <v>195</v>
      </c>
      <c r="E12665" s="1690" t="s">
        <v>3177</v>
      </c>
      <c r="F12665" s="1690"/>
      <c r="G12665" s="397" t="s">
        <v>23</v>
      </c>
      <c r="H12665" s="391">
        <v>20</v>
      </c>
      <c r="M12665" s="1357"/>
      <c r="Q12665" s="1357"/>
      <c r="S12665" s="1420"/>
      <c r="T12665" s="1420"/>
      <c r="V12665" s="1357">
        <v>34</v>
      </c>
    </row>
    <row r="12666" spans="1:22" s="841" customFormat="1" ht="15" x14ac:dyDescent="0.25">
      <c r="A12666" s="841" t="s">
        <v>195</v>
      </c>
      <c r="E12666" s="1690" t="s">
        <v>3178</v>
      </c>
      <c r="F12666" s="1690"/>
      <c r="G12666" s="397" t="s">
        <v>3179</v>
      </c>
      <c r="H12666" s="391">
        <v>0.5</v>
      </c>
      <c r="M12666" s="1357"/>
      <c r="Q12666" s="1357"/>
      <c r="S12666" s="1420"/>
      <c r="T12666" s="1420"/>
      <c r="V12666" s="1357">
        <v>51</v>
      </c>
    </row>
    <row r="12667" spans="1:22" s="841" customFormat="1" ht="15" x14ac:dyDescent="0.25">
      <c r="A12667" s="841" t="s">
        <v>195</v>
      </c>
      <c r="E12667" s="1690" t="s">
        <v>3180</v>
      </c>
      <c r="F12667" s="1690"/>
      <c r="G12667" s="397" t="s">
        <v>3179</v>
      </c>
      <c r="H12667" s="391">
        <v>0.3</v>
      </c>
      <c r="M12667" s="1357"/>
      <c r="Q12667" s="1357"/>
      <c r="S12667" s="1420"/>
      <c r="T12667" s="1420"/>
      <c r="V12667" s="1357">
        <v>75</v>
      </c>
    </row>
    <row r="12668" spans="1:22" s="841" customFormat="1" ht="15" x14ac:dyDescent="0.25">
      <c r="A12668" s="841" t="s">
        <v>195</v>
      </c>
      <c r="E12668" s="1690" t="s">
        <v>3181</v>
      </c>
      <c r="F12668" s="1690"/>
      <c r="G12668" s="397" t="s">
        <v>3179</v>
      </c>
      <c r="H12668" s="391">
        <v>-0.3</v>
      </c>
      <c r="M12668" s="1357"/>
      <c r="Q12668" s="1357"/>
      <c r="S12668" s="1420"/>
      <c r="T12668" s="1420"/>
      <c r="V12668" s="1357">
        <v>72</v>
      </c>
    </row>
    <row r="12669" spans="1:22" s="841" customFormat="1" ht="15" x14ac:dyDescent="0.25">
      <c r="A12669" s="841" t="s">
        <v>195</v>
      </c>
      <c r="E12669" s="1690" t="s">
        <v>3292</v>
      </c>
      <c r="F12669" s="1690"/>
      <c r="G12669" s="397"/>
      <c r="H12669" s="392"/>
      <c r="M12669" s="1357"/>
      <c r="Q12669" s="1357"/>
      <c r="S12669" s="1420"/>
      <c r="T12669" s="1420"/>
      <c r="V12669" s="1357">
        <v>34</v>
      </c>
    </row>
    <row r="12670" spans="1:22" s="841" customFormat="1" ht="15" x14ac:dyDescent="0.25">
      <c r="A12670" s="841" t="s">
        <v>195</v>
      </c>
      <c r="E12670" s="1691" t="s">
        <v>3183</v>
      </c>
      <c r="F12670" s="1691"/>
      <c r="G12670" s="397" t="s">
        <v>23</v>
      </c>
      <c r="H12670" s="391">
        <v>0.25</v>
      </c>
      <c r="M12670" s="1357"/>
      <c r="Q12670" s="1357"/>
      <c r="S12670" s="1420"/>
      <c r="T12670" s="1420"/>
      <c r="V12670" s="1357">
        <v>57</v>
      </c>
    </row>
    <row r="12671" spans="1:22" s="841" customFormat="1" ht="15" x14ac:dyDescent="0.25">
      <c r="A12671" s="841" t="s">
        <v>195</v>
      </c>
      <c r="E12671" s="1691" t="s">
        <v>3184</v>
      </c>
      <c r="F12671" s="1691"/>
      <c r="G12671" s="397" t="s">
        <v>23</v>
      </c>
      <c r="H12671" s="391">
        <v>0.5</v>
      </c>
      <c r="M12671" s="1357"/>
      <c r="Q12671" s="1357"/>
      <c r="S12671" s="1420"/>
      <c r="T12671" s="1420"/>
      <c r="V12671" s="1357">
        <v>60</v>
      </c>
    </row>
    <row r="12672" spans="1:22" s="841" customFormat="1" ht="15" x14ac:dyDescent="0.25">
      <c r="A12672" s="841" t="s">
        <v>195</v>
      </c>
      <c r="E12672" s="1690" t="s">
        <v>3185</v>
      </c>
      <c r="F12672" s="1690"/>
      <c r="G12672" s="397"/>
      <c r="H12672" s="392"/>
      <c r="M12672" s="1357"/>
      <c r="Q12672" s="1357"/>
      <c r="S12672" s="1420"/>
      <c r="T12672" s="1420"/>
      <c r="V12672" s="1357">
        <v>91</v>
      </c>
    </row>
    <row r="12673" spans="1:22" s="841" customFormat="1" ht="15" x14ac:dyDescent="0.25">
      <c r="A12673" s="841" t="s">
        <v>195</v>
      </c>
      <c r="E12673" s="1690" t="s">
        <v>3186</v>
      </c>
      <c r="F12673" s="1690"/>
      <c r="G12673" s="397"/>
      <c r="H12673" s="392"/>
      <c r="M12673" s="1357"/>
      <c r="Q12673" s="1357"/>
      <c r="S12673" s="1420"/>
      <c r="T12673" s="1420"/>
      <c r="V12673" s="1357">
        <v>96</v>
      </c>
    </row>
    <row r="12674" spans="1:22" s="841" customFormat="1" ht="15" x14ac:dyDescent="0.25">
      <c r="A12674" s="841" t="s">
        <v>195</v>
      </c>
      <c r="E12674" s="1690" t="s">
        <v>3293</v>
      </c>
      <c r="F12674" s="1690"/>
      <c r="G12674" s="397"/>
      <c r="H12674" s="392"/>
      <c r="M12674" s="1357"/>
      <c r="Q12674" s="1357"/>
      <c r="S12674" s="1420"/>
      <c r="T12674" s="1420"/>
      <c r="V12674" s="1357">
        <v>77</v>
      </c>
    </row>
    <row r="12675" spans="1:22" s="841" customFormat="1" ht="15" x14ac:dyDescent="0.25">
      <c r="A12675" s="841" t="s">
        <v>195</v>
      </c>
      <c r="E12675" s="1691" t="s">
        <v>3188</v>
      </c>
      <c r="F12675" s="1691"/>
      <c r="G12675" s="397" t="s">
        <v>23</v>
      </c>
      <c r="H12675" s="392" t="s">
        <v>3189</v>
      </c>
      <c r="M12675" s="1357"/>
      <c r="Q12675" s="1357"/>
      <c r="S12675" s="1420"/>
      <c r="T12675" s="1420"/>
      <c r="V12675" s="1357">
        <v>18</v>
      </c>
    </row>
    <row r="12676" spans="1:22" s="841" customFormat="1" ht="15" x14ac:dyDescent="0.25">
      <c r="A12676" s="841" t="s">
        <v>195</v>
      </c>
      <c r="E12676" s="1691" t="s">
        <v>3190</v>
      </c>
      <c r="F12676" s="1691"/>
      <c r="G12676" s="397" t="s">
        <v>23</v>
      </c>
      <c r="H12676" s="391">
        <v>2</v>
      </c>
      <c r="M12676" s="1357"/>
      <c r="Q12676" s="1357"/>
      <c r="S12676" s="1420"/>
      <c r="T12676" s="1420"/>
      <c r="V12676" s="1357">
        <v>69</v>
      </c>
    </row>
    <row r="12677" spans="1:22" s="841" customFormat="1" ht="18.75" x14ac:dyDescent="0.3">
      <c r="A12677" s="841" t="s">
        <v>195</v>
      </c>
      <c r="E12677" s="1374" t="s">
        <v>147</v>
      </c>
      <c r="F12677" s="657"/>
      <c r="G12677" s="657"/>
      <c r="H12677" s="658"/>
      <c r="K12677" s="841" t="s">
        <v>4607</v>
      </c>
      <c r="M12677" s="1357"/>
      <c r="Q12677" s="1357"/>
      <c r="S12677" s="1420"/>
      <c r="T12677" s="1420"/>
      <c r="V12677" s="1357">
        <v>12</v>
      </c>
    </row>
    <row r="12678" spans="1:22" s="841" customFormat="1" ht="15" x14ac:dyDescent="0.25">
      <c r="A12678" s="841" t="s">
        <v>195</v>
      </c>
      <c r="E12678" s="1704" t="s">
        <v>3192</v>
      </c>
      <c r="F12678" s="1704"/>
      <c r="G12678" s="1704"/>
      <c r="H12678" s="1704"/>
      <c r="M12678" s="1357"/>
      <c r="Q12678" s="1357"/>
      <c r="S12678" s="1420"/>
      <c r="T12678" s="1420"/>
      <c r="V12678" s="1357">
        <v>203</v>
      </c>
    </row>
    <row r="12679" spans="1:22" s="841" customFormat="1" ht="15" x14ac:dyDescent="0.25">
      <c r="A12679" s="841" t="s">
        <v>195</v>
      </c>
      <c r="E12679" s="1690" t="s">
        <v>3295</v>
      </c>
      <c r="F12679" s="1690"/>
      <c r="G12679" s="1408"/>
      <c r="H12679" s="393">
        <v>1.0333000000000001</v>
      </c>
      <c r="M12679" s="1357"/>
      <c r="Q12679" s="1357"/>
      <c r="S12679" s="1420"/>
      <c r="T12679" s="1420"/>
      <c r="V12679" s="1357">
        <v>57</v>
      </c>
    </row>
    <row r="12680" spans="1:22" s="841" customFormat="1" ht="15" x14ac:dyDescent="0.25">
      <c r="A12680" s="841" t="s">
        <v>195</v>
      </c>
      <c r="E12680" s="1690" t="s">
        <v>3297</v>
      </c>
      <c r="F12680" s="1690"/>
      <c r="G12680" s="1408"/>
      <c r="H12680" s="393">
        <v>1.0233000000000001</v>
      </c>
      <c r="J12680" s="841" t="s">
        <v>4608</v>
      </c>
      <c r="M12680" s="1357"/>
      <c r="Q12680" s="1357"/>
      <c r="S12680" s="1420"/>
      <c r="T12680" s="1420"/>
      <c r="V12680" s="1357">
        <v>55</v>
      </c>
    </row>
    <row r="12681" spans="1:22" s="841" customFormat="1" ht="23.25" x14ac:dyDescent="0.25">
      <c r="A12681" s="841" t="s">
        <v>171</v>
      </c>
      <c r="C12681" s="841" t="s">
        <v>3050</v>
      </c>
      <c r="E12681" s="1699" t="s">
        <v>171</v>
      </c>
      <c r="F12681" s="1699"/>
      <c r="G12681" s="1699"/>
      <c r="H12681" s="1699"/>
      <c r="I12681" s="841" t="s">
        <v>628</v>
      </c>
      <c r="J12681" s="841" t="s">
        <v>4660</v>
      </c>
      <c r="K12681" s="841" t="s">
        <v>171</v>
      </c>
      <c r="M12681" s="1357">
        <v>8</v>
      </c>
      <c r="Q12681" s="1357"/>
      <c r="S12681" s="1420"/>
      <c r="T12681" s="1420"/>
      <c r="V12681" s="1357">
        <v>25</v>
      </c>
    </row>
    <row r="12682" spans="1:22" s="841" customFormat="1" x14ac:dyDescent="0.25">
      <c r="A12682" s="841" t="s">
        <v>171</v>
      </c>
      <c r="C12682" s="841" t="s">
        <v>3052</v>
      </c>
      <c r="E12682" s="1700" t="s">
        <v>3053</v>
      </c>
      <c r="F12682" s="1700"/>
      <c r="G12682" s="1700"/>
      <c r="H12682" s="1700"/>
      <c r="M12682" s="1357"/>
      <c r="Q12682" s="1357"/>
      <c r="S12682" s="1420"/>
      <c r="T12682" s="1420"/>
      <c r="V12682" s="1357">
        <v>27</v>
      </c>
    </row>
    <row r="12683" spans="1:22" s="841" customFormat="1" ht="15.75" x14ac:dyDescent="0.25">
      <c r="A12683" s="841" t="s">
        <v>171</v>
      </c>
      <c r="C12683" s="841" t="s">
        <v>3054</v>
      </c>
      <c r="E12683" s="1701" t="s">
        <v>5101</v>
      </c>
      <c r="F12683" s="1701"/>
      <c r="G12683" s="1701"/>
      <c r="H12683" s="1701"/>
      <c r="M12683" s="1357"/>
      <c r="Q12683" s="1357"/>
      <c r="S12683" s="1420">
        <v>43101</v>
      </c>
      <c r="T12683" s="1420"/>
      <c r="V12683" s="1357">
        <v>49</v>
      </c>
    </row>
    <row r="12684" spans="1:22" s="841" customFormat="1" ht="15" x14ac:dyDescent="0.25">
      <c r="A12684" s="841" t="s">
        <v>171</v>
      </c>
      <c r="C12684" s="841" t="s">
        <v>3055</v>
      </c>
      <c r="E12684" s="1702" t="s">
        <v>3616</v>
      </c>
      <c r="F12684" s="1702"/>
      <c r="G12684" s="1702"/>
      <c r="H12684" s="1702"/>
      <c r="M12684" s="1357"/>
      <c r="Q12684" s="1357"/>
      <c r="S12684" s="1420"/>
      <c r="T12684" s="1420"/>
      <c r="V12684" s="1357">
        <v>53</v>
      </c>
    </row>
    <row r="12685" spans="1:22" s="841" customFormat="1" ht="15" x14ac:dyDescent="0.25">
      <c r="A12685" s="841" t="s">
        <v>171</v>
      </c>
      <c r="E12685" s="1702" t="s">
        <v>3057</v>
      </c>
      <c r="F12685" s="1702"/>
      <c r="G12685" s="1702"/>
      <c r="H12685" s="1702"/>
      <c r="M12685" s="1357"/>
      <c r="Q12685" s="1357"/>
      <c r="S12685" s="1420"/>
      <c r="T12685" s="1420"/>
      <c r="V12685" s="1357">
        <v>53</v>
      </c>
    </row>
    <row r="12686" spans="1:22" s="841" customFormat="1" ht="15" x14ac:dyDescent="0.25">
      <c r="A12686" s="841" t="s">
        <v>171</v>
      </c>
      <c r="E12686" s="1703" t="s">
        <v>5899</v>
      </c>
      <c r="F12686" s="1703"/>
      <c r="G12686" s="1703"/>
      <c r="H12686" s="1703"/>
      <c r="K12686" s="841" t="s">
        <v>5899</v>
      </c>
      <c r="M12686" s="1357"/>
      <c r="Q12686" s="1357"/>
      <c r="S12686" s="1420"/>
      <c r="T12686" s="1420"/>
      <c r="V12686" s="1357">
        <v>12</v>
      </c>
    </row>
    <row r="12687" spans="1:22" s="841" customFormat="1" ht="15" x14ac:dyDescent="0.25">
      <c r="A12687" s="841" t="s">
        <v>171</v>
      </c>
      <c r="E12687" s="1936" t="s">
        <v>438</v>
      </c>
      <c r="F12687" s="1689"/>
      <c r="G12687" s="1921"/>
      <c r="H12687" s="1921"/>
      <c r="K12687" s="841" t="s">
        <v>3197</v>
      </c>
      <c r="M12687" s="1357"/>
      <c r="Q12687" s="1357"/>
      <c r="S12687" s="1420"/>
      <c r="T12687" s="1420"/>
      <c r="V12687" s="1357">
        <v>34</v>
      </c>
    </row>
    <row r="12688" spans="1:22" s="841" customFormat="1" ht="15" x14ac:dyDescent="0.25">
      <c r="A12688" s="841" t="s">
        <v>171</v>
      </c>
      <c r="E12688" s="1689" t="s">
        <v>3951</v>
      </c>
      <c r="F12688" s="1689"/>
      <c r="G12688" s="1921"/>
      <c r="H12688" s="1921"/>
      <c r="K12688" s="841" t="s">
        <v>3197</v>
      </c>
      <c r="M12688" s="1357"/>
      <c r="Q12688" s="1357"/>
      <c r="S12688" s="1420"/>
      <c r="T12688" s="1420"/>
      <c r="V12688" s="1357">
        <v>652</v>
      </c>
    </row>
    <row r="12689" spans="1:22" s="841" customFormat="1" ht="15" x14ac:dyDescent="0.25">
      <c r="A12689" s="841" t="s">
        <v>171</v>
      </c>
      <c r="E12689" s="1916" t="s">
        <v>3061</v>
      </c>
      <c r="F12689" s="1689"/>
      <c r="G12689" s="1921"/>
      <c r="H12689" s="1921"/>
      <c r="K12689" s="841" t="s">
        <v>3062</v>
      </c>
      <c r="M12689" s="1357"/>
      <c r="Q12689" s="1357"/>
      <c r="S12689" s="1420"/>
      <c r="T12689" s="1420"/>
      <c r="V12689" s="1357">
        <v>11</v>
      </c>
    </row>
    <row r="12690" spans="1:22" s="841" customFormat="1" ht="15" x14ac:dyDescent="0.25">
      <c r="A12690" s="841" t="s">
        <v>171</v>
      </c>
      <c r="E12690" s="1689" t="s">
        <v>3063</v>
      </c>
      <c r="F12690" s="1689"/>
      <c r="G12690" s="1921"/>
      <c r="H12690" s="1921"/>
      <c r="K12690" s="841" t="s">
        <v>3197</v>
      </c>
      <c r="M12690" s="1357"/>
      <c r="Q12690" s="1357"/>
      <c r="S12690" s="1420"/>
      <c r="T12690" s="1420"/>
      <c r="V12690" s="1357">
        <v>280</v>
      </c>
    </row>
    <row r="12691" spans="1:22" s="841" customFormat="1" ht="15" x14ac:dyDescent="0.25">
      <c r="A12691" s="841" t="s">
        <v>171</v>
      </c>
      <c r="E12691" s="1689" t="s">
        <v>3064</v>
      </c>
      <c r="F12691" s="1689"/>
      <c r="G12691" s="1921"/>
      <c r="H12691" s="1921"/>
      <c r="K12691" s="841" t="s">
        <v>3197</v>
      </c>
      <c r="M12691" s="1357"/>
      <c r="Q12691" s="1357"/>
      <c r="S12691" s="1420"/>
      <c r="T12691" s="1420"/>
      <c r="V12691" s="1357">
        <v>411</v>
      </c>
    </row>
    <row r="12692" spans="1:22" s="841" customFormat="1" ht="15" x14ac:dyDescent="0.25">
      <c r="A12692" s="841" t="s">
        <v>171</v>
      </c>
      <c r="E12692" s="1689" t="s">
        <v>4661</v>
      </c>
      <c r="F12692" s="1689"/>
      <c r="G12692" s="1921"/>
      <c r="H12692" s="1921"/>
      <c r="K12692" s="841" t="s">
        <v>3197</v>
      </c>
      <c r="M12692" s="1357"/>
      <c r="Q12692" s="1357"/>
      <c r="S12692" s="1420"/>
      <c r="T12692" s="1420"/>
      <c r="V12692" s="1357">
        <v>385</v>
      </c>
    </row>
    <row r="12693" spans="1:22" s="841" customFormat="1" ht="15" x14ac:dyDescent="0.25">
      <c r="A12693" s="841" t="s">
        <v>171</v>
      </c>
      <c r="E12693" s="1689" t="s">
        <v>3390</v>
      </c>
      <c r="F12693" s="1689"/>
      <c r="G12693" s="1689"/>
      <c r="H12693" s="1689"/>
      <c r="K12693" s="841" t="s">
        <v>3197</v>
      </c>
      <c r="M12693" s="1357"/>
      <c r="Q12693" s="1357"/>
      <c r="S12693" s="1420"/>
      <c r="T12693" s="1420"/>
      <c r="V12693" s="1357">
        <v>274</v>
      </c>
    </row>
    <row r="12694" spans="1:22" s="841" customFormat="1" ht="15" x14ac:dyDescent="0.25">
      <c r="A12694" s="841" t="s">
        <v>171</v>
      </c>
      <c r="E12694" s="1694" t="s">
        <v>3067</v>
      </c>
      <c r="F12694" s="1907"/>
      <c r="G12694" s="1921"/>
      <c r="H12694" s="1921"/>
      <c r="K12694" s="841" t="s">
        <v>3068</v>
      </c>
      <c r="M12694" s="1357"/>
      <c r="Q12694" s="1357"/>
      <c r="S12694" s="1420"/>
      <c r="T12694" s="1420"/>
      <c r="V12694" s="1357">
        <v>46</v>
      </c>
    </row>
    <row r="12695" spans="1:22" s="841" customFormat="1" ht="15" x14ac:dyDescent="0.25">
      <c r="A12695" s="841" t="s">
        <v>171</v>
      </c>
      <c r="E12695" s="1920" t="s">
        <v>11</v>
      </c>
      <c r="F12695" s="1690"/>
      <c r="G12695" s="666" t="s">
        <v>23</v>
      </c>
      <c r="H12695" s="600">
        <v>27.49</v>
      </c>
      <c r="K12695" s="841" t="s">
        <v>3197</v>
      </c>
      <c r="L12695" s="841" t="s">
        <v>442</v>
      </c>
      <c r="M12695" s="1357"/>
      <c r="P12695" s="841" t="s">
        <v>3201</v>
      </c>
      <c r="Q12695" s="1357"/>
      <c r="S12695" s="1420"/>
      <c r="T12695" s="1420"/>
      <c r="V12695" s="1357">
        <v>14</v>
      </c>
    </row>
    <row r="12696" spans="1:22" s="841" customFormat="1" ht="15" x14ac:dyDescent="0.25">
      <c r="A12696" s="841" t="s">
        <v>171</v>
      </c>
      <c r="E12696" s="1920" t="s">
        <v>423</v>
      </c>
      <c r="F12696" s="1920"/>
      <c r="G12696" s="666" t="s">
        <v>23</v>
      </c>
      <c r="H12696" s="668">
        <v>0.79</v>
      </c>
      <c r="K12696" s="841" t="s">
        <v>3197</v>
      </c>
      <c r="L12696" s="841" t="s">
        <v>443</v>
      </c>
      <c r="M12696" s="1357"/>
      <c r="P12696" s="841" t="s">
        <v>3202</v>
      </c>
      <c r="Q12696" s="1357"/>
      <c r="S12696" s="1420"/>
      <c r="T12696" s="1420">
        <v>43404</v>
      </c>
      <c r="V12696" s="1357">
        <v>78</v>
      </c>
    </row>
    <row r="12697" spans="1:22" s="841" customFormat="1" ht="15" x14ac:dyDescent="0.25">
      <c r="A12697" s="841" t="s">
        <v>171</v>
      </c>
      <c r="E12697" s="1920" t="s">
        <v>4662</v>
      </c>
      <c r="F12697" s="1920"/>
      <c r="G12697" s="666" t="s">
        <v>23</v>
      </c>
      <c r="H12697" s="668">
        <v>0.57999999999999996</v>
      </c>
      <c r="K12697" s="841" t="s">
        <v>3197</v>
      </c>
      <c r="L12697" s="841" t="s">
        <v>442</v>
      </c>
      <c r="M12697" s="1357"/>
      <c r="P12697" s="841" t="s">
        <v>3364</v>
      </c>
      <c r="Q12697" s="1357"/>
      <c r="S12697" s="1420"/>
      <c r="T12697" s="1420">
        <v>43465</v>
      </c>
      <c r="V12697" s="1357">
        <v>84</v>
      </c>
    </row>
    <row r="12698" spans="1:22" s="841" customFormat="1" ht="15" x14ac:dyDescent="0.25">
      <c r="A12698" s="841" t="s">
        <v>171</v>
      </c>
      <c r="E12698" s="1920" t="s">
        <v>84</v>
      </c>
      <c r="F12698" s="1920"/>
      <c r="G12698" s="666" t="s">
        <v>24</v>
      </c>
      <c r="H12698" s="606">
        <v>5.3E-3</v>
      </c>
      <c r="K12698" s="841" t="s">
        <v>3197</v>
      </c>
      <c r="L12698" s="841" t="s">
        <v>442</v>
      </c>
      <c r="M12698" s="1357"/>
      <c r="P12698" s="841" t="s">
        <v>3203</v>
      </c>
      <c r="Q12698" s="1357"/>
      <c r="S12698" s="1420"/>
      <c r="T12698" s="1420"/>
      <c r="V12698" s="1357">
        <v>28</v>
      </c>
    </row>
    <row r="12699" spans="1:22" s="841" customFormat="1" ht="15" x14ac:dyDescent="0.25">
      <c r="A12699" s="841" t="s">
        <v>171</v>
      </c>
      <c r="E12699" s="1920" t="s">
        <v>18</v>
      </c>
      <c r="F12699" s="1920"/>
      <c r="G12699" s="666" t="s">
        <v>24</v>
      </c>
      <c r="H12699" s="667">
        <v>2.0000000000000001E-4</v>
      </c>
      <c r="K12699" s="841" t="s">
        <v>3197</v>
      </c>
      <c r="L12699" s="841" t="s">
        <v>443</v>
      </c>
      <c r="M12699" s="1357"/>
      <c r="P12699" s="841" t="s">
        <v>3204</v>
      </c>
      <c r="Q12699" s="1357"/>
      <c r="S12699" s="1420"/>
      <c r="T12699" s="1420"/>
      <c r="V12699" s="1357">
        <v>24</v>
      </c>
    </row>
    <row r="12700" spans="1:22" s="841" customFormat="1" ht="15" x14ac:dyDescent="0.25">
      <c r="A12700" s="841" t="s">
        <v>171</v>
      </c>
      <c r="E12700" s="1920" t="s">
        <v>5143</v>
      </c>
      <c r="F12700" s="1908"/>
      <c r="G12700" s="666" t="s">
        <v>24</v>
      </c>
      <c r="H12700" s="667">
        <v>5.0000000000000001E-4</v>
      </c>
      <c r="K12700" s="841" t="s">
        <v>3197</v>
      </c>
      <c r="L12700" s="841" t="s">
        <v>443</v>
      </c>
      <c r="M12700" s="1357"/>
      <c r="P12700" s="841" t="s">
        <v>3205</v>
      </c>
      <c r="Q12700" s="1357"/>
      <c r="S12700" s="1420"/>
      <c r="T12700" s="1420">
        <v>43465</v>
      </c>
      <c r="V12700" s="1357">
        <v>142</v>
      </c>
    </row>
    <row r="12701" spans="1:22" s="841" customFormat="1" ht="15" x14ac:dyDescent="0.25">
      <c r="A12701" s="841" t="s">
        <v>171</v>
      </c>
      <c r="E12701" s="1920" t="s">
        <v>5144</v>
      </c>
      <c r="F12701" s="1908"/>
      <c r="G12701" s="666" t="s">
        <v>24</v>
      </c>
      <c r="H12701" s="667">
        <v>-6.9999999999999999E-4</v>
      </c>
      <c r="K12701" s="841" t="s">
        <v>3197</v>
      </c>
      <c r="L12701" s="841" t="s">
        <v>443</v>
      </c>
      <c r="M12701" s="1357"/>
      <c r="P12701" s="841" t="s">
        <v>3207</v>
      </c>
      <c r="Q12701" s="1357"/>
      <c r="S12701" s="1420"/>
      <c r="T12701" s="1420">
        <v>43465</v>
      </c>
      <c r="V12701" s="1357">
        <v>99</v>
      </c>
    </row>
    <row r="12702" spans="1:22" s="841" customFormat="1" ht="15" x14ac:dyDescent="0.25">
      <c r="A12702" s="841" t="s">
        <v>171</v>
      </c>
      <c r="E12702" s="1920" t="s">
        <v>5900</v>
      </c>
      <c r="F12702" s="1908"/>
      <c r="G12702" s="666" t="s">
        <v>24</v>
      </c>
      <c r="H12702" s="667">
        <v>2.0000000000000001E-4</v>
      </c>
      <c r="K12702" s="841" t="s">
        <v>3197</v>
      </c>
      <c r="L12702" s="841" t="s">
        <v>443</v>
      </c>
      <c r="M12702" s="1357"/>
      <c r="P12702" s="841" t="s">
        <v>5103</v>
      </c>
      <c r="Q12702" s="1357"/>
      <c r="S12702" s="1420"/>
      <c r="T12702" s="1420">
        <v>43465</v>
      </c>
      <c r="V12702" s="1357">
        <v>149</v>
      </c>
    </row>
    <row r="12703" spans="1:22" s="841" customFormat="1" ht="15" x14ac:dyDescent="0.25">
      <c r="A12703" s="841" t="s">
        <v>171</v>
      </c>
      <c r="E12703" s="1920" t="s">
        <v>221</v>
      </c>
      <c r="F12703" s="1690"/>
      <c r="G12703" s="666" t="s">
        <v>24</v>
      </c>
      <c r="H12703" s="606">
        <v>6.7999999999999996E-3</v>
      </c>
      <c r="K12703" s="841" t="s">
        <v>3197</v>
      </c>
      <c r="L12703" s="841" t="s">
        <v>444</v>
      </c>
      <c r="M12703" s="1357"/>
      <c r="P12703" s="841" t="s">
        <v>3208</v>
      </c>
      <c r="Q12703" s="1357"/>
      <c r="S12703" s="1420"/>
      <c r="T12703" s="1420"/>
      <c r="V12703" s="1357">
        <v>47</v>
      </c>
    </row>
    <row r="12704" spans="1:22" s="841" customFormat="1" ht="15" x14ac:dyDescent="0.25">
      <c r="A12704" s="841" t="s">
        <v>171</v>
      </c>
      <c r="E12704" s="1920" t="s">
        <v>217</v>
      </c>
      <c r="F12704" s="1690"/>
      <c r="G12704" s="666" t="s">
        <v>24</v>
      </c>
      <c r="H12704" s="606">
        <v>2.3E-3</v>
      </c>
      <c r="K12704" s="841" t="s">
        <v>3197</v>
      </c>
      <c r="L12704" s="841" t="s">
        <v>444</v>
      </c>
      <c r="M12704" s="1357"/>
      <c r="P12704" s="841" t="s">
        <v>3209</v>
      </c>
      <c r="Q12704" s="1357"/>
      <c r="S12704" s="1420"/>
      <c r="T12704" s="1420"/>
      <c r="V12704" s="1357">
        <v>74</v>
      </c>
    </row>
    <row r="12705" spans="1:22" s="841" customFormat="1" ht="15" x14ac:dyDescent="0.25">
      <c r="A12705" s="841" t="s">
        <v>171</v>
      </c>
      <c r="E12705" s="1694" t="s">
        <v>3079</v>
      </c>
      <c r="F12705" s="1690"/>
      <c r="G12705" s="1904"/>
      <c r="H12705" s="1904"/>
      <c r="K12705" s="841" t="s">
        <v>3080</v>
      </c>
      <c r="M12705" s="1357"/>
      <c r="Q12705" s="1357"/>
      <c r="S12705" s="1420"/>
      <c r="T12705" s="1420"/>
      <c r="V12705" s="1357">
        <v>48</v>
      </c>
    </row>
    <row r="12706" spans="1:22" s="841" customFormat="1" ht="15" x14ac:dyDescent="0.25">
      <c r="A12706" s="841" t="s">
        <v>171</v>
      </c>
      <c r="E12706" s="1920" t="s">
        <v>2449</v>
      </c>
      <c r="F12706" s="1690"/>
      <c r="G12706" s="666" t="s">
        <v>24</v>
      </c>
      <c r="H12706" s="667">
        <v>3.2000000000000002E-3</v>
      </c>
      <c r="K12706" s="841" t="s">
        <v>3197</v>
      </c>
      <c r="L12706" s="841" t="s">
        <v>3046</v>
      </c>
      <c r="M12706" s="1357"/>
      <c r="P12706" s="841" t="s">
        <v>3210</v>
      </c>
      <c r="Q12706" s="1357"/>
      <c r="S12706" s="1420"/>
      <c r="T12706" s="1420"/>
      <c r="V12706" s="1357">
        <v>55</v>
      </c>
    </row>
    <row r="12707" spans="1:22" s="841" customFormat="1" ht="15" x14ac:dyDescent="0.25">
      <c r="A12707" s="841" t="s">
        <v>171</v>
      </c>
      <c r="E12707" s="1920" t="s">
        <v>2450</v>
      </c>
      <c r="F12707" s="1690"/>
      <c r="G12707" s="666" t="s">
        <v>24</v>
      </c>
      <c r="H12707" s="667">
        <v>4.0000000000000002E-4</v>
      </c>
      <c r="K12707" s="841" t="s">
        <v>3197</v>
      </c>
      <c r="L12707" s="841" t="s">
        <v>3046</v>
      </c>
      <c r="M12707" s="1357"/>
      <c r="P12707" s="841" t="s">
        <v>3210</v>
      </c>
      <c r="Q12707" s="1357"/>
      <c r="S12707" s="1420"/>
      <c r="T12707" s="1420"/>
      <c r="V12707" s="1357">
        <v>65</v>
      </c>
    </row>
    <row r="12708" spans="1:22" s="841" customFormat="1" ht="15" x14ac:dyDescent="0.25">
      <c r="A12708" s="841" t="s">
        <v>171</v>
      </c>
      <c r="E12708" s="1920" t="s">
        <v>439</v>
      </c>
      <c r="F12708" s="1690"/>
      <c r="G12708" s="666" t="s">
        <v>24</v>
      </c>
      <c r="H12708" s="667">
        <v>2.9999999999999997E-4</v>
      </c>
      <c r="K12708" s="841" t="s">
        <v>3197</v>
      </c>
      <c r="L12708" s="841" t="s">
        <v>3046</v>
      </c>
      <c r="M12708" s="1357"/>
      <c r="P12708" s="841" t="s">
        <v>3212</v>
      </c>
      <c r="Q12708" s="1357"/>
      <c r="S12708" s="1420"/>
      <c r="T12708" s="1420"/>
      <c r="V12708" s="1357">
        <v>57</v>
      </c>
    </row>
    <row r="12709" spans="1:22" s="841" customFormat="1" ht="15" x14ac:dyDescent="0.25">
      <c r="A12709" s="841" t="s">
        <v>171</v>
      </c>
      <c r="E12709" s="1920" t="s">
        <v>32</v>
      </c>
      <c r="F12709" s="1690"/>
      <c r="G12709" s="666" t="s">
        <v>23</v>
      </c>
      <c r="H12709" s="668">
        <v>0.25</v>
      </c>
      <c r="K12709" s="841" t="s">
        <v>3197</v>
      </c>
      <c r="L12709" s="841" t="s">
        <v>3046</v>
      </c>
      <c r="M12709" s="1357"/>
      <c r="P12709" s="841" t="s">
        <v>3213</v>
      </c>
      <c r="Q12709" s="1357"/>
      <c r="S12709" s="1420"/>
      <c r="T12709" s="1420"/>
      <c r="V12709" s="1357">
        <v>63</v>
      </c>
    </row>
    <row r="12710" spans="1:22" s="841" customFormat="1" x14ac:dyDescent="0.25">
      <c r="A12710" s="841" t="s">
        <v>171</v>
      </c>
      <c r="E12710" s="1936" t="s">
        <v>3214</v>
      </c>
      <c r="F12710" s="1923"/>
      <c r="G12710" s="1933"/>
      <c r="H12710" s="1933"/>
      <c r="K12710" s="841" t="s">
        <v>5110</v>
      </c>
      <c r="M12710" s="1357"/>
      <c r="Q12710" s="1357"/>
      <c r="S12710" s="1420"/>
      <c r="T12710" s="1420"/>
      <c r="V12710" s="1357">
        <v>54</v>
      </c>
    </row>
    <row r="12711" spans="1:22" s="841" customFormat="1" ht="15" x14ac:dyDescent="0.25">
      <c r="A12711" s="841" t="s">
        <v>171</v>
      </c>
      <c r="E12711" s="1689" t="s">
        <v>3955</v>
      </c>
      <c r="F12711" s="1689"/>
      <c r="G12711" s="1921"/>
      <c r="H12711" s="1921"/>
      <c r="K12711" s="841" t="s">
        <v>5110</v>
      </c>
      <c r="M12711" s="1357"/>
      <c r="Q12711" s="1357"/>
      <c r="S12711" s="1420"/>
      <c r="T12711" s="1420"/>
      <c r="V12711" s="1357">
        <v>336</v>
      </c>
    </row>
    <row r="12712" spans="1:22" s="841" customFormat="1" ht="15" x14ac:dyDescent="0.25">
      <c r="A12712" s="841" t="s">
        <v>171</v>
      </c>
      <c r="E12712" s="1916" t="s">
        <v>3061</v>
      </c>
      <c r="F12712" s="1689"/>
      <c r="G12712" s="1921"/>
      <c r="H12712" s="1921"/>
      <c r="K12712" s="841" t="s">
        <v>3086</v>
      </c>
      <c r="M12712" s="1357"/>
      <c r="Q12712" s="1357"/>
      <c r="S12712" s="1420"/>
      <c r="T12712" s="1420"/>
      <c r="V12712" s="1357">
        <v>11</v>
      </c>
    </row>
    <row r="12713" spans="1:22" s="841" customFormat="1" ht="15" x14ac:dyDescent="0.25">
      <c r="A12713" s="841" t="s">
        <v>171</v>
      </c>
      <c r="E12713" s="1689" t="s">
        <v>3063</v>
      </c>
      <c r="F12713" s="1689"/>
      <c r="G12713" s="1921"/>
      <c r="H12713" s="1921"/>
      <c r="K12713" s="841" t="s">
        <v>5110</v>
      </c>
      <c r="M12713" s="1357"/>
      <c r="Q12713" s="1357"/>
      <c r="S12713" s="1420"/>
      <c r="T12713" s="1420"/>
      <c r="V12713" s="1357">
        <v>280</v>
      </c>
    </row>
    <row r="12714" spans="1:22" s="841" customFormat="1" ht="15" x14ac:dyDescent="0.25">
      <c r="A12714" s="841" t="s">
        <v>171</v>
      </c>
      <c r="E12714" s="1689" t="s">
        <v>3064</v>
      </c>
      <c r="F12714" s="1689"/>
      <c r="G12714" s="1921"/>
      <c r="H12714" s="1921"/>
      <c r="K12714" s="841" t="s">
        <v>5110</v>
      </c>
      <c r="M12714" s="1357"/>
      <c r="Q12714" s="1357"/>
      <c r="S12714" s="1420"/>
      <c r="T12714" s="1420"/>
      <c r="V12714" s="1357">
        <v>411</v>
      </c>
    </row>
    <row r="12715" spans="1:22" s="841" customFormat="1" ht="15" x14ac:dyDescent="0.25">
      <c r="A12715" s="841" t="s">
        <v>171</v>
      </c>
      <c r="E12715" s="1689" t="s">
        <v>4661</v>
      </c>
      <c r="F12715" s="1689"/>
      <c r="G12715" s="1921"/>
      <c r="H12715" s="1921"/>
      <c r="K12715" s="841" t="s">
        <v>5110</v>
      </c>
      <c r="M12715" s="1357"/>
      <c r="Q12715" s="1357"/>
      <c r="S12715" s="1420"/>
      <c r="T12715" s="1420"/>
      <c r="V12715" s="1357">
        <v>385</v>
      </c>
    </row>
    <row r="12716" spans="1:22" s="841" customFormat="1" ht="15" x14ac:dyDescent="0.25">
      <c r="A12716" s="841" t="s">
        <v>171</v>
      </c>
      <c r="E12716" s="1689" t="s">
        <v>3390</v>
      </c>
      <c r="F12716" s="1689"/>
      <c r="G12716" s="1921"/>
      <c r="H12716" s="1921"/>
      <c r="K12716" s="841" t="s">
        <v>5110</v>
      </c>
      <c r="M12716" s="1357"/>
      <c r="Q12716" s="1357"/>
      <c r="S12716" s="1420"/>
      <c r="T12716" s="1420"/>
      <c r="V12716" s="1357">
        <v>274</v>
      </c>
    </row>
    <row r="12717" spans="1:22" s="841" customFormat="1" ht="15" x14ac:dyDescent="0.25">
      <c r="A12717" s="841" t="s">
        <v>171</v>
      </c>
      <c r="E12717" s="1694" t="s">
        <v>3067</v>
      </c>
      <c r="F12717" s="1907"/>
      <c r="G12717" s="1921"/>
      <c r="H12717" s="1921"/>
      <c r="K12717" s="841" t="s">
        <v>3087</v>
      </c>
      <c r="M12717" s="1357"/>
      <c r="Q12717" s="1357"/>
      <c r="S12717" s="1420"/>
      <c r="T12717" s="1420"/>
      <c r="V12717" s="1357">
        <v>46</v>
      </c>
    </row>
    <row r="12718" spans="1:22" s="841" customFormat="1" ht="15" x14ac:dyDescent="0.25">
      <c r="A12718" s="841" t="s">
        <v>171</v>
      </c>
      <c r="E12718" s="1920" t="s">
        <v>11</v>
      </c>
      <c r="F12718" s="1690"/>
      <c r="G12718" s="666" t="s">
        <v>23</v>
      </c>
      <c r="H12718" s="600">
        <v>32.76</v>
      </c>
      <c r="K12718" s="841" t="s">
        <v>5110</v>
      </c>
      <c r="L12718" s="841" t="s">
        <v>442</v>
      </c>
      <c r="M12718" s="1357"/>
      <c r="P12718" s="841" t="s">
        <v>5111</v>
      </c>
      <c r="Q12718" s="1357"/>
      <c r="S12718" s="1420"/>
      <c r="T12718" s="1420"/>
      <c r="V12718" s="1357">
        <v>14</v>
      </c>
    </row>
    <row r="12719" spans="1:22" s="841" customFormat="1" ht="15" x14ac:dyDescent="0.25">
      <c r="A12719" s="841" t="s">
        <v>171</v>
      </c>
      <c r="E12719" s="1920" t="s">
        <v>423</v>
      </c>
      <c r="F12719" s="1690"/>
      <c r="G12719" s="666" t="s">
        <v>23</v>
      </c>
      <c r="H12719" s="668">
        <v>0.79</v>
      </c>
      <c r="K12719" s="841" t="s">
        <v>5110</v>
      </c>
      <c r="L12719" s="841" t="s">
        <v>443</v>
      </c>
      <c r="M12719" s="1357"/>
      <c r="P12719" s="841" t="s">
        <v>5112</v>
      </c>
      <c r="Q12719" s="1357"/>
      <c r="S12719" s="1420"/>
      <c r="T12719" s="1420">
        <v>43404</v>
      </c>
      <c r="V12719" s="1357">
        <v>78</v>
      </c>
    </row>
    <row r="12720" spans="1:22" s="841" customFormat="1" ht="15" x14ac:dyDescent="0.25">
      <c r="A12720" s="841" t="s">
        <v>171</v>
      </c>
      <c r="E12720" s="1920" t="s">
        <v>4662</v>
      </c>
      <c r="F12720" s="1690"/>
      <c r="G12720" s="666" t="s">
        <v>23</v>
      </c>
      <c r="H12720" s="668">
        <v>1.38</v>
      </c>
      <c r="K12720" s="841" t="s">
        <v>5110</v>
      </c>
      <c r="L12720" s="841" t="s">
        <v>442</v>
      </c>
      <c r="M12720" s="1357"/>
      <c r="P12720" s="841" t="s">
        <v>5388</v>
      </c>
      <c r="Q12720" s="1357"/>
      <c r="S12720" s="1420"/>
      <c r="T12720" s="1420">
        <v>43465</v>
      </c>
      <c r="V12720" s="1357">
        <v>84</v>
      </c>
    </row>
    <row r="12721" spans="1:22" s="841" customFormat="1" ht="15" x14ac:dyDescent="0.25">
      <c r="A12721" s="841" t="s">
        <v>171</v>
      </c>
      <c r="E12721" s="1920" t="s">
        <v>84</v>
      </c>
      <c r="F12721" s="1690"/>
      <c r="G12721" s="666" t="s">
        <v>24</v>
      </c>
      <c r="H12721" s="606">
        <v>1.6299999999999999E-2</v>
      </c>
      <c r="K12721" s="841" t="s">
        <v>5110</v>
      </c>
      <c r="L12721" s="841" t="s">
        <v>442</v>
      </c>
      <c r="M12721" s="1357"/>
      <c r="P12721" s="841" t="s">
        <v>5113</v>
      </c>
      <c r="Q12721" s="1357"/>
      <c r="S12721" s="1420"/>
      <c r="T12721" s="1420"/>
      <c r="V12721" s="1357">
        <v>28</v>
      </c>
    </row>
    <row r="12722" spans="1:22" s="841" customFormat="1" ht="15" x14ac:dyDescent="0.25">
      <c r="A12722" s="841" t="s">
        <v>171</v>
      </c>
      <c r="E12722" s="1920" t="s">
        <v>18</v>
      </c>
      <c r="F12722" s="1690"/>
      <c r="G12722" s="666" t="s">
        <v>24</v>
      </c>
      <c r="H12722" s="667">
        <v>2.0000000000000001E-4</v>
      </c>
      <c r="K12722" s="841" t="s">
        <v>5110</v>
      </c>
      <c r="L12722" s="841" t="s">
        <v>443</v>
      </c>
      <c r="M12722" s="1357"/>
      <c r="P12722" s="841" t="s">
        <v>5114</v>
      </c>
      <c r="Q12722" s="1357"/>
      <c r="S12722" s="1420"/>
      <c r="T12722" s="1420"/>
      <c r="V12722" s="1357">
        <v>24</v>
      </c>
    </row>
    <row r="12723" spans="1:22" s="841" customFormat="1" ht="15" x14ac:dyDescent="0.25">
      <c r="A12723" s="841" t="s">
        <v>171</v>
      </c>
      <c r="E12723" s="1960" t="s">
        <v>5143</v>
      </c>
      <c r="F12723" s="1962"/>
      <c r="G12723" s="666" t="s">
        <v>24</v>
      </c>
      <c r="H12723" s="667">
        <v>5.0000000000000001E-4</v>
      </c>
      <c r="K12723" s="841" t="s">
        <v>5110</v>
      </c>
      <c r="L12723" s="841" t="s">
        <v>443</v>
      </c>
      <c r="M12723" s="1357"/>
      <c r="P12723" s="841" t="s">
        <v>4818</v>
      </c>
      <c r="Q12723" s="1357"/>
      <c r="S12723" s="1420"/>
      <c r="T12723" s="1420">
        <v>43465</v>
      </c>
      <c r="V12723" s="1357">
        <v>142</v>
      </c>
    </row>
    <row r="12724" spans="1:22" s="841" customFormat="1" ht="15" x14ac:dyDescent="0.25">
      <c r="A12724" s="841" t="s">
        <v>171</v>
      </c>
      <c r="E12724" s="1920" t="s">
        <v>5144</v>
      </c>
      <c r="F12724" s="1908"/>
      <c r="G12724" s="666" t="s">
        <v>24</v>
      </c>
      <c r="H12724" s="667">
        <v>-5.9999999999999995E-4</v>
      </c>
      <c r="K12724" s="841" t="s">
        <v>5110</v>
      </c>
      <c r="L12724" s="841" t="s">
        <v>443</v>
      </c>
      <c r="M12724" s="1357"/>
      <c r="P12724" s="841" t="s">
        <v>5124</v>
      </c>
      <c r="Q12724" s="1357"/>
      <c r="S12724" s="1420"/>
      <c r="T12724" s="1420">
        <v>43465</v>
      </c>
      <c r="V12724" s="1357">
        <v>99</v>
      </c>
    </row>
    <row r="12725" spans="1:22" s="841" customFormat="1" ht="15" x14ac:dyDescent="0.25">
      <c r="A12725" s="841" t="s">
        <v>171</v>
      </c>
      <c r="E12725" s="1920" t="s">
        <v>5900</v>
      </c>
      <c r="F12725" s="1908"/>
      <c r="G12725" s="666" t="s">
        <v>24</v>
      </c>
      <c r="H12725" s="667">
        <v>2.0000000000000001E-4</v>
      </c>
      <c r="K12725" s="841" t="s">
        <v>5110</v>
      </c>
      <c r="L12725" s="841" t="s">
        <v>443</v>
      </c>
      <c r="M12725" s="1357"/>
      <c r="P12725" s="841" t="s">
        <v>5287</v>
      </c>
      <c r="Q12725" s="1357"/>
      <c r="S12725" s="1420"/>
      <c r="T12725" s="1420">
        <v>43465</v>
      </c>
      <c r="V12725" s="1357">
        <v>149</v>
      </c>
    </row>
    <row r="12726" spans="1:22" s="841" customFormat="1" ht="15" x14ac:dyDescent="0.25">
      <c r="A12726" s="841" t="s">
        <v>171</v>
      </c>
      <c r="E12726" s="1920" t="s">
        <v>221</v>
      </c>
      <c r="F12726" s="1690"/>
      <c r="G12726" s="666" t="s">
        <v>24</v>
      </c>
      <c r="H12726" s="606">
        <v>6.3E-3</v>
      </c>
      <c r="K12726" s="841" t="s">
        <v>5110</v>
      </c>
      <c r="L12726" s="841" t="s">
        <v>444</v>
      </c>
      <c r="M12726" s="1357"/>
      <c r="P12726" s="841" t="s">
        <v>5115</v>
      </c>
      <c r="Q12726" s="1357"/>
      <c r="S12726" s="1420"/>
      <c r="T12726" s="1420"/>
      <c r="V12726" s="1357">
        <v>47</v>
      </c>
    </row>
    <row r="12727" spans="1:22" s="841" customFormat="1" ht="15" x14ac:dyDescent="0.25">
      <c r="A12727" s="841" t="s">
        <v>171</v>
      </c>
      <c r="E12727" s="1920" t="s">
        <v>217</v>
      </c>
      <c r="F12727" s="1690"/>
      <c r="G12727" s="666" t="s">
        <v>24</v>
      </c>
      <c r="H12727" s="606">
        <v>2.0999999999999999E-3</v>
      </c>
      <c r="K12727" s="841" t="s">
        <v>5110</v>
      </c>
      <c r="L12727" s="841" t="s">
        <v>444</v>
      </c>
      <c r="M12727" s="1357"/>
      <c r="P12727" s="841" t="s">
        <v>5116</v>
      </c>
      <c r="Q12727" s="1357"/>
      <c r="S12727" s="1420"/>
      <c r="T12727" s="1420"/>
      <c r="V12727" s="1357">
        <v>74</v>
      </c>
    </row>
    <row r="12728" spans="1:22" s="841" customFormat="1" ht="15" x14ac:dyDescent="0.25">
      <c r="A12728" s="841" t="s">
        <v>171</v>
      </c>
      <c r="E12728" s="1694" t="s">
        <v>3079</v>
      </c>
      <c r="F12728" s="1690"/>
      <c r="G12728" s="1904"/>
      <c r="H12728" s="1904"/>
      <c r="K12728" s="841" t="s">
        <v>3093</v>
      </c>
      <c r="M12728" s="1357"/>
      <c r="Q12728" s="1357"/>
      <c r="S12728" s="1420"/>
      <c r="T12728" s="1420"/>
      <c r="V12728" s="1357">
        <v>48</v>
      </c>
    </row>
    <row r="12729" spans="1:22" s="841" customFormat="1" ht="15" x14ac:dyDescent="0.25">
      <c r="A12729" s="841" t="s">
        <v>171</v>
      </c>
      <c r="E12729" s="1920" t="s">
        <v>2449</v>
      </c>
      <c r="F12729" s="1690"/>
      <c r="G12729" s="666" t="s">
        <v>24</v>
      </c>
      <c r="H12729" s="667">
        <v>3.2000000000000002E-3</v>
      </c>
      <c r="K12729" s="841" t="s">
        <v>5110</v>
      </c>
      <c r="L12729" s="841" t="s">
        <v>3046</v>
      </c>
      <c r="M12729" s="1357"/>
      <c r="P12729" s="841" t="s">
        <v>5117</v>
      </c>
      <c r="Q12729" s="1357"/>
      <c r="S12729" s="1420"/>
      <c r="T12729" s="1420"/>
      <c r="V12729" s="1357">
        <v>55</v>
      </c>
    </row>
    <row r="12730" spans="1:22" s="841" customFormat="1" ht="15" x14ac:dyDescent="0.25">
      <c r="A12730" s="841" t="s">
        <v>171</v>
      </c>
      <c r="E12730" s="1920" t="s">
        <v>2450</v>
      </c>
      <c r="F12730" s="1690"/>
      <c r="G12730" s="666" t="s">
        <v>24</v>
      </c>
      <c r="H12730" s="667">
        <v>4.0000000000000002E-4</v>
      </c>
      <c r="K12730" s="841" t="s">
        <v>5110</v>
      </c>
      <c r="L12730" s="841" t="s">
        <v>3046</v>
      </c>
      <c r="M12730" s="1357"/>
      <c r="P12730" s="841" t="s">
        <v>5117</v>
      </c>
      <c r="Q12730" s="1357"/>
      <c r="S12730" s="1420"/>
      <c r="T12730" s="1420"/>
      <c r="V12730" s="1357">
        <v>65</v>
      </c>
    </row>
    <row r="12731" spans="1:22" s="841" customFormat="1" ht="15" x14ac:dyDescent="0.25">
      <c r="A12731" s="841" t="s">
        <v>171</v>
      </c>
      <c r="E12731" s="1920" t="s">
        <v>439</v>
      </c>
      <c r="F12731" s="1690"/>
      <c r="G12731" s="666" t="s">
        <v>24</v>
      </c>
      <c r="H12731" s="667">
        <v>2.9999999999999997E-4</v>
      </c>
      <c r="K12731" s="841" t="s">
        <v>5110</v>
      </c>
      <c r="L12731" s="841" t="s">
        <v>3046</v>
      </c>
      <c r="M12731" s="1357"/>
      <c r="P12731" s="841" t="s">
        <v>5118</v>
      </c>
      <c r="Q12731" s="1357"/>
      <c r="S12731" s="1420"/>
      <c r="T12731" s="1420"/>
      <c r="V12731" s="1357">
        <v>57</v>
      </c>
    </row>
    <row r="12732" spans="1:22" s="841" customFormat="1" ht="15" x14ac:dyDescent="0.25">
      <c r="A12732" s="841" t="s">
        <v>171</v>
      </c>
      <c r="E12732" s="1920" t="s">
        <v>32</v>
      </c>
      <c r="F12732" s="1690"/>
      <c r="G12732" s="666" t="s">
        <v>23</v>
      </c>
      <c r="H12732" s="668">
        <v>0.25</v>
      </c>
      <c r="K12732" s="841" t="s">
        <v>5110</v>
      </c>
      <c r="L12732" s="841" t="s">
        <v>3046</v>
      </c>
      <c r="M12732" s="1357"/>
      <c r="P12732" s="841" t="s">
        <v>5119</v>
      </c>
      <c r="Q12732" s="1357"/>
      <c r="S12732" s="1420"/>
      <c r="T12732" s="1420"/>
      <c r="V12732" s="1357">
        <v>63</v>
      </c>
    </row>
    <row r="12733" spans="1:22" s="841" customFormat="1" x14ac:dyDescent="0.25">
      <c r="A12733" s="841" t="s">
        <v>171</v>
      </c>
      <c r="E12733" s="1936" t="s">
        <v>616</v>
      </c>
      <c r="F12733" s="1923"/>
      <c r="G12733" s="1933"/>
      <c r="H12733" s="1933"/>
      <c r="K12733" s="841" t="s">
        <v>6095</v>
      </c>
      <c r="M12733" s="1357"/>
      <c r="Q12733" s="1357"/>
      <c r="S12733" s="1420"/>
      <c r="T12733" s="1420"/>
      <c r="V12733" s="1357">
        <v>53</v>
      </c>
    </row>
    <row r="12734" spans="1:22" s="841" customFormat="1" ht="15" x14ac:dyDescent="0.25">
      <c r="A12734" s="841" t="s">
        <v>171</v>
      </c>
      <c r="E12734" s="1689" t="s">
        <v>4663</v>
      </c>
      <c r="F12734" s="1689"/>
      <c r="G12734" s="1921"/>
      <c r="H12734" s="1921"/>
      <c r="K12734" s="841" t="s">
        <v>6095</v>
      </c>
      <c r="M12734" s="1357"/>
      <c r="Q12734" s="1357"/>
      <c r="S12734" s="1420"/>
      <c r="T12734" s="1420"/>
      <c r="V12734" s="1357">
        <v>750</v>
      </c>
    </row>
    <row r="12735" spans="1:22" s="841" customFormat="1" ht="15" x14ac:dyDescent="0.25">
      <c r="A12735" s="841" t="s">
        <v>171</v>
      </c>
      <c r="E12735" s="1916" t="s">
        <v>3061</v>
      </c>
      <c r="F12735" s="1689"/>
      <c r="G12735" s="1921"/>
      <c r="H12735" s="1921"/>
      <c r="K12735" s="841" t="s">
        <v>3098</v>
      </c>
      <c r="M12735" s="1357"/>
      <c r="Q12735" s="1357"/>
      <c r="S12735" s="1420"/>
      <c r="T12735" s="1420"/>
      <c r="V12735" s="1357">
        <v>11</v>
      </c>
    </row>
    <row r="12736" spans="1:22" s="841" customFormat="1" ht="15" x14ac:dyDescent="0.25">
      <c r="A12736" s="841" t="s">
        <v>171</v>
      </c>
      <c r="E12736" s="1689" t="s">
        <v>3063</v>
      </c>
      <c r="F12736" s="1689"/>
      <c r="G12736" s="1921"/>
      <c r="H12736" s="1921"/>
      <c r="K12736" s="841" t="s">
        <v>6095</v>
      </c>
      <c r="M12736" s="1357"/>
      <c r="Q12736" s="1357"/>
      <c r="S12736" s="1420"/>
      <c r="T12736" s="1420"/>
      <c r="V12736" s="1357">
        <v>280</v>
      </c>
    </row>
    <row r="12737" spans="1:22" s="841" customFormat="1" ht="15" x14ac:dyDescent="0.25">
      <c r="A12737" s="841" t="s">
        <v>171</v>
      </c>
      <c r="E12737" s="1689" t="s">
        <v>3064</v>
      </c>
      <c r="F12737" s="1689"/>
      <c r="G12737" s="1921"/>
      <c r="H12737" s="1921"/>
      <c r="K12737" s="841" t="s">
        <v>6095</v>
      </c>
      <c r="M12737" s="1357"/>
      <c r="Q12737" s="1357"/>
      <c r="S12737" s="1420"/>
      <c r="T12737" s="1420"/>
      <c r="V12737" s="1357">
        <v>411</v>
      </c>
    </row>
    <row r="12738" spans="1:22" s="841" customFormat="1" ht="15" x14ac:dyDescent="0.25">
      <c r="A12738" s="841" t="s">
        <v>171</v>
      </c>
      <c r="E12738" s="1689" t="s">
        <v>4661</v>
      </c>
      <c r="F12738" s="1689"/>
      <c r="G12738" s="1921"/>
      <c r="H12738" s="1921"/>
      <c r="K12738" s="841" t="s">
        <v>6095</v>
      </c>
      <c r="M12738" s="1357"/>
      <c r="Q12738" s="1357"/>
      <c r="S12738" s="1420"/>
      <c r="T12738" s="1420"/>
      <c r="V12738" s="1357">
        <v>385</v>
      </c>
    </row>
    <row r="12739" spans="1:22" s="841" customFormat="1" ht="15" x14ac:dyDescent="0.25">
      <c r="A12739" s="841" t="s">
        <v>171</v>
      </c>
      <c r="E12739" s="1689" t="s">
        <v>5288</v>
      </c>
      <c r="F12739" s="1689"/>
      <c r="G12739" s="1689"/>
      <c r="H12739" s="1689"/>
      <c r="K12739" s="841" t="s">
        <v>6095</v>
      </c>
      <c r="M12739" s="1357"/>
      <c r="Q12739" s="1357"/>
      <c r="S12739" s="1420"/>
      <c r="T12739" s="1420"/>
      <c r="V12739" s="1357">
        <v>610</v>
      </c>
    </row>
    <row r="12740" spans="1:22" s="841" customFormat="1" ht="15" x14ac:dyDescent="0.25">
      <c r="A12740" s="841" t="s">
        <v>171</v>
      </c>
      <c r="E12740" s="1689" t="s">
        <v>3223</v>
      </c>
      <c r="F12740" s="1689"/>
      <c r="G12740" s="1689"/>
      <c r="H12740" s="1689"/>
      <c r="K12740" s="841" t="s">
        <v>6095</v>
      </c>
      <c r="M12740" s="1357"/>
      <c r="Q12740" s="1357"/>
      <c r="S12740" s="1420"/>
      <c r="T12740" s="1420"/>
      <c r="V12740" s="1357">
        <v>626</v>
      </c>
    </row>
    <row r="12741" spans="1:22" s="841" customFormat="1" ht="15" x14ac:dyDescent="0.25">
      <c r="A12741" s="841" t="s">
        <v>171</v>
      </c>
      <c r="E12741" s="1689" t="s">
        <v>3390</v>
      </c>
      <c r="F12741" s="1689"/>
      <c r="G12741" s="1921"/>
      <c r="H12741" s="1921"/>
      <c r="K12741" s="841" t="s">
        <v>6095</v>
      </c>
      <c r="M12741" s="1357"/>
      <c r="Q12741" s="1357"/>
      <c r="S12741" s="1420"/>
      <c r="T12741" s="1420"/>
      <c r="V12741" s="1357">
        <v>274</v>
      </c>
    </row>
    <row r="12742" spans="1:22" s="841" customFormat="1" ht="15" x14ac:dyDescent="0.25">
      <c r="A12742" s="841" t="s">
        <v>171</v>
      </c>
      <c r="E12742" s="1694" t="s">
        <v>3067</v>
      </c>
      <c r="F12742" s="1907"/>
      <c r="G12742" s="1921"/>
      <c r="H12742" s="1921"/>
      <c r="K12742" s="841" t="s">
        <v>3099</v>
      </c>
      <c r="M12742" s="1357"/>
      <c r="Q12742" s="1357"/>
      <c r="S12742" s="1420"/>
      <c r="T12742" s="1420"/>
      <c r="V12742" s="1357">
        <v>46</v>
      </c>
    </row>
    <row r="12743" spans="1:22" s="841" customFormat="1" ht="15" x14ac:dyDescent="0.25">
      <c r="A12743" s="841" t="s">
        <v>171</v>
      </c>
      <c r="E12743" s="1920" t="s">
        <v>11</v>
      </c>
      <c r="F12743" s="1690"/>
      <c r="G12743" s="666" t="s">
        <v>23</v>
      </c>
      <c r="H12743" s="600">
        <v>122.38</v>
      </c>
      <c r="K12743" s="841" t="s">
        <v>6095</v>
      </c>
      <c r="L12743" s="841" t="s">
        <v>442</v>
      </c>
      <c r="M12743" s="1357"/>
      <c r="P12743" s="841" t="s">
        <v>6096</v>
      </c>
      <c r="Q12743" s="1357"/>
      <c r="S12743" s="1420"/>
      <c r="T12743" s="1420"/>
      <c r="V12743" s="1357">
        <v>14</v>
      </c>
    </row>
    <row r="12744" spans="1:22" s="841" customFormat="1" ht="15" x14ac:dyDescent="0.25">
      <c r="A12744" s="841" t="s">
        <v>171</v>
      </c>
      <c r="E12744" s="1920" t="s">
        <v>84</v>
      </c>
      <c r="F12744" s="1690"/>
      <c r="G12744" s="666" t="s">
        <v>33</v>
      </c>
      <c r="H12744" s="606">
        <v>5.1921999999999997</v>
      </c>
      <c r="K12744" s="841" t="s">
        <v>6095</v>
      </c>
      <c r="L12744" s="841" t="s">
        <v>442</v>
      </c>
      <c r="M12744" s="1357"/>
      <c r="P12744" s="841" t="s">
        <v>6097</v>
      </c>
      <c r="Q12744" s="1357"/>
      <c r="S12744" s="1420"/>
      <c r="T12744" s="1420"/>
      <c r="V12744" s="1357">
        <v>28</v>
      </c>
    </row>
    <row r="12745" spans="1:22" s="841" customFormat="1" ht="15" x14ac:dyDescent="0.25">
      <c r="A12745" s="841" t="s">
        <v>171</v>
      </c>
      <c r="E12745" s="1920" t="s">
        <v>18</v>
      </c>
      <c r="F12745" s="1690"/>
      <c r="G12745" s="666" t="s">
        <v>33</v>
      </c>
      <c r="H12745" s="667">
        <v>7.3800000000000004E-2</v>
      </c>
      <c r="K12745" s="841" t="s">
        <v>6095</v>
      </c>
      <c r="L12745" s="841" t="s">
        <v>443</v>
      </c>
      <c r="M12745" s="1357"/>
      <c r="P12745" s="841" t="s">
        <v>6098</v>
      </c>
      <c r="Q12745" s="1357"/>
      <c r="S12745" s="1420"/>
      <c r="T12745" s="1420"/>
      <c r="V12745" s="1357">
        <v>24</v>
      </c>
    </row>
    <row r="12746" spans="1:22" s="841" customFormat="1" ht="15" x14ac:dyDescent="0.25">
      <c r="A12746" s="841" t="s">
        <v>171</v>
      </c>
      <c r="E12746" s="1920" t="s">
        <v>5143</v>
      </c>
      <c r="F12746" s="1908"/>
      <c r="G12746" s="666" t="s">
        <v>24</v>
      </c>
      <c r="H12746" s="667">
        <v>5.0000000000000001E-4</v>
      </c>
      <c r="K12746" s="841" t="s">
        <v>6095</v>
      </c>
      <c r="L12746" s="841" t="s">
        <v>443</v>
      </c>
      <c r="M12746" s="1357"/>
      <c r="P12746" s="841" t="s">
        <v>6104</v>
      </c>
      <c r="Q12746" s="1357"/>
      <c r="S12746" s="1420"/>
      <c r="T12746" s="1420">
        <v>43465</v>
      </c>
      <c r="V12746" s="1357">
        <v>142</v>
      </c>
    </row>
    <row r="12747" spans="1:22" s="841" customFormat="1" ht="15" x14ac:dyDescent="0.25">
      <c r="A12747" s="841" t="s">
        <v>171</v>
      </c>
      <c r="E12747" s="1920" t="s">
        <v>5450</v>
      </c>
      <c r="F12747" s="1908"/>
      <c r="G12747" s="666" t="s">
        <v>33</v>
      </c>
      <c r="H12747" s="667">
        <v>-0.20480000000000001</v>
      </c>
      <c r="K12747" s="841" t="s">
        <v>6095</v>
      </c>
      <c r="L12747" s="841" t="s">
        <v>443</v>
      </c>
      <c r="M12747" s="1357"/>
      <c r="P12747" s="841" t="s">
        <v>6105</v>
      </c>
      <c r="Q12747" s="1357"/>
      <c r="S12747" s="1420"/>
      <c r="T12747" s="1420">
        <v>43465</v>
      </c>
      <c r="V12747" s="1357">
        <v>159</v>
      </c>
    </row>
    <row r="12748" spans="1:22" s="841" customFormat="1" ht="15" x14ac:dyDescent="0.25">
      <c r="A12748" s="841" t="s">
        <v>171</v>
      </c>
      <c r="E12748" s="1920" t="s">
        <v>5144</v>
      </c>
      <c r="F12748" s="1908"/>
      <c r="G12748" s="666" t="s">
        <v>33</v>
      </c>
      <c r="H12748" s="667">
        <v>-3.7999999999999999E-2</v>
      </c>
      <c r="K12748" s="841" t="s">
        <v>6095</v>
      </c>
      <c r="L12748" s="841" t="s">
        <v>443</v>
      </c>
      <c r="M12748" s="1357"/>
      <c r="P12748" s="841" t="s">
        <v>6105</v>
      </c>
      <c r="Q12748" s="1357"/>
      <c r="S12748" s="1420"/>
      <c r="T12748" s="1420">
        <v>43465</v>
      </c>
      <c r="V12748" s="1357">
        <v>99</v>
      </c>
    </row>
    <row r="12749" spans="1:22" s="841" customFormat="1" ht="15" x14ac:dyDescent="0.25">
      <c r="A12749" s="841" t="s">
        <v>171</v>
      </c>
      <c r="E12749" s="1920" t="s">
        <v>5145</v>
      </c>
      <c r="F12749" s="1908"/>
      <c r="G12749" s="666" t="s">
        <v>33</v>
      </c>
      <c r="H12749" s="667">
        <v>6.5100000000000005E-2</v>
      </c>
      <c r="K12749" s="841" t="s">
        <v>6095</v>
      </c>
      <c r="L12749" s="841" t="s">
        <v>443</v>
      </c>
      <c r="M12749" s="1357"/>
      <c r="P12749" s="841" t="s">
        <v>6112</v>
      </c>
      <c r="Q12749" s="1357"/>
      <c r="S12749" s="1420"/>
      <c r="T12749" s="1420">
        <v>43465</v>
      </c>
      <c r="V12749" s="1357">
        <v>148</v>
      </c>
    </row>
    <row r="12750" spans="1:22" s="841" customFormat="1" ht="15" x14ac:dyDescent="0.25">
      <c r="A12750" s="841" t="s">
        <v>171</v>
      </c>
      <c r="E12750" s="1920" t="s">
        <v>222</v>
      </c>
      <c r="F12750" s="1690"/>
      <c r="G12750" s="666" t="s">
        <v>33</v>
      </c>
      <c r="H12750" s="606">
        <v>2.5804</v>
      </c>
      <c r="K12750" s="841" t="s">
        <v>6095</v>
      </c>
      <c r="L12750" s="841" t="s">
        <v>444</v>
      </c>
      <c r="M12750" s="1357"/>
      <c r="P12750" s="841" t="s">
        <v>6514</v>
      </c>
      <c r="Q12750" s="1357"/>
      <c r="S12750" s="1420"/>
      <c r="T12750" s="1420"/>
      <c r="V12750" s="1357">
        <v>70</v>
      </c>
    </row>
    <row r="12751" spans="1:22" s="841" customFormat="1" ht="15" x14ac:dyDescent="0.25">
      <c r="A12751" s="841" t="s">
        <v>171</v>
      </c>
      <c r="E12751" s="1920" t="s">
        <v>225</v>
      </c>
      <c r="F12751" s="1690"/>
      <c r="G12751" s="666" t="s">
        <v>33</v>
      </c>
      <c r="H12751" s="606">
        <v>2.7408000000000001</v>
      </c>
      <c r="K12751" s="841" t="s">
        <v>6095</v>
      </c>
      <c r="L12751" s="841" t="s">
        <v>444</v>
      </c>
      <c r="M12751" s="1357"/>
      <c r="P12751" s="841" t="s">
        <v>6515</v>
      </c>
      <c r="Q12751" s="1357"/>
      <c r="S12751" s="1420"/>
      <c r="T12751" s="1420"/>
      <c r="V12751" s="1357">
        <v>87</v>
      </c>
    </row>
    <row r="12752" spans="1:22" s="841" customFormat="1" ht="15" x14ac:dyDescent="0.25">
      <c r="A12752" s="841" t="s">
        <v>171</v>
      </c>
      <c r="E12752" s="1920" t="s">
        <v>224</v>
      </c>
      <c r="F12752" s="1690"/>
      <c r="G12752" s="666" t="s">
        <v>33</v>
      </c>
      <c r="H12752" s="606">
        <v>2.7370999999999999</v>
      </c>
      <c r="K12752" s="841" t="s">
        <v>6095</v>
      </c>
      <c r="L12752" s="841" t="s">
        <v>444</v>
      </c>
      <c r="M12752" s="1357"/>
      <c r="P12752" s="841" t="s">
        <v>6516</v>
      </c>
      <c r="Q12752" s="1357"/>
      <c r="S12752" s="1420"/>
      <c r="T12752" s="1420"/>
      <c r="V12752" s="1357">
        <v>86</v>
      </c>
    </row>
    <row r="12753" spans="1:22" s="841" customFormat="1" ht="15" x14ac:dyDescent="0.25">
      <c r="A12753" s="841" t="s">
        <v>171</v>
      </c>
      <c r="E12753" s="1920" t="s">
        <v>218</v>
      </c>
      <c r="F12753" s="1690"/>
      <c r="G12753" s="666" t="s">
        <v>33</v>
      </c>
      <c r="H12753" s="606">
        <v>0.82430000000000003</v>
      </c>
      <c r="K12753" s="841" t="s">
        <v>6095</v>
      </c>
      <c r="L12753" s="841" t="s">
        <v>444</v>
      </c>
      <c r="M12753" s="1357"/>
      <c r="P12753" s="841" t="s">
        <v>6517</v>
      </c>
      <c r="Q12753" s="1357"/>
      <c r="S12753" s="1420"/>
      <c r="T12753" s="1420"/>
      <c r="V12753" s="1357">
        <v>97</v>
      </c>
    </row>
    <row r="12754" spans="1:22" s="841" customFormat="1" ht="15" x14ac:dyDescent="0.25">
      <c r="A12754" s="841" t="s">
        <v>171</v>
      </c>
      <c r="E12754" s="1920" t="s">
        <v>4664</v>
      </c>
      <c r="F12754" s="1690"/>
      <c r="G12754" s="666" t="s">
        <v>33</v>
      </c>
      <c r="H12754" s="606">
        <v>1.0295000000000001</v>
      </c>
      <c r="K12754" s="841" t="s">
        <v>6095</v>
      </c>
      <c r="L12754" s="841" t="s">
        <v>444</v>
      </c>
      <c r="M12754" s="1357"/>
      <c r="P12754" s="841" t="s">
        <v>6518</v>
      </c>
      <c r="Q12754" s="1357"/>
      <c r="S12754" s="1420"/>
      <c r="T12754" s="1420"/>
      <c r="V12754" s="1357">
        <v>106</v>
      </c>
    </row>
    <row r="12755" spans="1:22" s="841" customFormat="1" ht="15" x14ac:dyDescent="0.25">
      <c r="A12755" s="841" t="s">
        <v>171</v>
      </c>
      <c r="E12755" s="1920" t="s">
        <v>4665</v>
      </c>
      <c r="F12755" s="1690"/>
      <c r="G12755" s="666" t="s">
        <v>33</v>
      </c>
      <c r="H12755" s="606">
        <v>1.0285</v>
      </c>
      <c r="K12755" s="841" t="s">
        <v>6095</v>
      </c>
      <c r="L12755" s="841" t="s">
        <v>444</v>
      </c>
      <c r="M12755" s="1357"/>
      <c r="P12755" s="841" t="s">
        <v>6519</v>
      </c>
      <c r="Q12755" s="1357"/>
      <c r="S12755" s="1420"/>
      <c r="T12755" s="1420"/>
      <c r="V12755" s="1357">
        <v>105</v>
      </c>
    </row>
    <row r="12756" spans="1:22" s="841" customFormat="1" ht="15" x14ac:dyDescent="0.25">
      <c r="A12756" s="841" t="s">
        <v>171</v>
      </c>
      <c r="E12756" s="1694" t="s">
        <v>3079</v>
      </c>
      <c r="F12756" s="1690"/>
      <c r="G12756" s="1904"/>
      <c r="H12756" s="1904"/>
      <c r="K12756" s="841" t="s">
        <v>3218</v>
      </c>
      <c r="M12756" s="1357"/>
      <c r="Q12756" s="1357"/>
      <c r="S12756" s="1420"/>
      <c r="T12756" s="1420"/>
      <c r="V12756" s="1357">
        <v>48</v>
      </c>
    </row>
    <row r="12757" spans="1:22" s="841" customFormat="1" ht="15" x14ac:dyDescent="0.25">
      <c r="A12757" s="841" t="s">
        <v>171</v>
      </c>
      <c r="E12757" s="1920" t="s">
        <v>2449</v>
      </c>
      <c r="F12757" s="1690"/>
      <c r="G12757" s="666" t="s">
        <v>24</v>
      </c>
      <c r="H12757" s="667">
        <v>3.2000000000000002E-3</v>
      </c>
      <c r="K12757" s="841" t="s">
        <v>6095</v>
      </c>
      <c r="L12757" s="841" t="s">
        <v>3046</v>
      </c>
      <c r="M12757" s="1357"/>
      <c r="P12757" s="841" t="s">
        <v>6101</v>
      </c>
      <c r="Q12757" s="1357"/>
      <c r="S12757" s="1420"/>
      <c r="T12757" s="1420"/>
      <c r="V12757" s="1357">
        <v>55</v>
      </c>
    </row>
    <row r="12758" spans="1:22" s="841" customFormat="1" ht="15" x14ac:dyDescent="0.25">
      <c r="A12758" s="841" t="s">
        <v>171</v>
      </c>
      <c r="E12758" s="1920" t="s">
        <v>2450</v>
      </c>
      <c r="F12758" s="1690"/>
      <c r="G12758" s="666" t="s">
        <v>24</v>
      </c>
      <c r="H12758" s="667">
        <v>4.0000000000000002E-4</v>
      </c>
      <c r="K12758" s="841" t="s">
        <v>6095</v>
      </c>
      <c r="L12758" s="841" t="s">
        <v>3046</v>
      </c>
      <c r="M12758" s="1357"/>
      <c r="P12758" s="841" t="s">
        <v>6101</v>
      </c>
      <c r="Q12758" s="1357"/>
      <c r="S12758" s="1420"/>
      <c r="T12758" s="1420"/>
      <c r="V12758" s="1357">
        <v>65</v>
      </c>
    </row>
    <row r="12759" spans="1:22" s="841" customFormat="1" ht="15" x14ac:dyDescent="0.25">
      <c r="A12759" s="841" t="s">
        <v>171</v>
      </c>
      <c r="E12759" s="1920" t="s">
        <v>439</v>
      </c>
      <c r="F12759" s="1690"/>
      <c r="G12759" s="666" t="s">
        <v>24</v>
      </c>
      <c r="H12759" s="667">
        <v>2.9999999999999997E-4</v>
      </c>
      <c r="K12759" s="841" t="s">
        <v>6095</v>
      </c>
      <c r="L12759" s="841" t="s">
        <v>3046</v>
      </c>
      <c r="M12759" s="1357"/>
      <c r="P12759" s="841" t="s">
        <v>6102</v>
      </c>
      <c r="Q12759" s="1357"/>
      <c r="S12759" s="1420"/>
      <c r="T12759" s="1420"/>
      <c r="V12759" s="1357">
        <v>57</v>
      </c>
    </row>
    <row r="12760" spans="1:22" s="841" customFormat="1" ht="15" x14ac:dyDescent="0.25">
      <c r="A12760" s="841" t="s">
        <v>171</v>
      </c>
      <c r="E12760" s="1920" t="s">
        <v>32</v>
      </c>
      <c r="F12760" s="1690"/>
      <c r="G12760" s="666" t="s">
        <v>23</v>
      </c>
      <c r="H12760" s="668">
        <v>0.25</v>
      </c>
      <c r="K12760" s="841" t="s">
        <v>6095</v>
      </c>
      <c r="L12760" s="841" t="s">
        <v>3046</v>
      </c>
      <c r="M12760" s="1357"/>
      <c r="P12760" s="841" t="s">
        <v>6103</v>
      </c>
      <c r="Q12760" s="1357"/>
      <c r="S12760" s="1420"/>
      <c r="T12760" s="1420"/>
      <c r="V12760" s="1357">
        <v>63</v>
      </c>
    </row>
    <row r="12761" spans="1:22" s="841" customFormat="1" x14ac:dyDescent="0.25">
      <c r="A12761" s="841" t="s">
        <v>171</v>
      </c>
      <c r="E12761" s="1936" t="s">
        <v>621</v>
      </c>
      <c r="F12761" s="1923"/>
      <c r="G12761" s="1933"/>
      <c r="H12761" s="1933"/>
      <c r="K12761" s="841" t="s">
        <v>4394</v>
      </c>
      <c r="M12761" s="1357"/>
      <c r="Q12761" s="1357"/>
      <c r="S12761" s="1420"/>
      <c r="T12761" s="1420"/>
      <c r="V12761" s="1357">
        <v>32</v>
      </c>
    </row>
    <row r="12762" spans="1:22" s="841" customFormat="1" ht="15" x14ac:dyDescent="0.25">
      <c r="A12762" s="841" t="s">
        <v>171</v>
      </c>
      <c r="E12762" s="1689" t="s">
        <v>4666</v>
      </c>
      <c r="F12762" s="1689"/>
      <c r="G12762" s="1921"/>
      <c r="H12762" s="1921"/>
      <c r="K12762" s="841" t="s">
        <v>4394</v>
      </c>
      <c r="M12762" s="1357"/>
      <c r="Q12762" s="1357"/>
      <c r="S12762" s="1420"/>
      <c r="T12762" s="1420"/>
      <c r="V12762" s="1357">
        <v>352</v>
      </c>
    </row>
    <row r="12763" spans="1:22" s="841" customFormat="1" ht="15" x14ac:dyDescent="0.25">
      <c r="A12763" s="841" t="s">
        <v>171</v>
      </c>
      <c r="E12763" s="1916" t="s">
        <v>3061</v>
      </c>
      <c r="F12763" s="1689"/>
      <c r="G12763" s="1921"/>
      <c r="H12763" s="1921"/>
      <c r="K12763" s="841" t="s">
        <v>3221</v>
      </c>
      <c r="M12763" s="1357"/>
      <c r="Q12763" s="1357"/>
      <c r="S12763" s="1420"/>
      <c r="T12763" s="1420"/>
      <c r="V12763" s="1357">
        <v>11</v>
      </c>
    </row>
    <row r="12764" spans="1:22" s="841" customFormat="1" ht="15" x14ac:dyDescent="0.25">
      <c r="A12764" s="841" t="s">
        <v>171</v>
      </c>
      <c r="E12764" s="1689" t="s">
        <v>3063</v>
      </c>
      <c r="F12764" s="1689"/>
      <c r="G12764" s="1921"/>
      <c r="H12764" s="1921"/>
      <c r="K12764" s="841" t="s">
        <v>4394</v>
      </c>
      <c r="M12764" s="1357"/>
      <c r="Q12764" s="1357"/>
      <c r="S12764" s="1420"/>
      <c r="T12764" s="1420"/>
      <c r="V12764" s="1357">
        <v>280</v>
      </c>
    </row>
    <row r="12765" spans="1:22" s="841" customFormat="1" ht="15" x14ac:dyDescent="0.25">
      <c r="A12765" s="841" t="s">
        <v>171</v>
      </c>
      <c r="E12765" s="1689" t="s">
        <v>3064</v>
      </c>
      <c r="F12765" s="1689"/>
      <c r="G12765" s="1921"/>
      <c r="H12765" s="1921"/>
      <c r="K12765" s="841" t="s">
        <v>4394</v>
      </c>
      <c r="M12765" s="1357"/>
      <c r="Q12765" s="1357"/>
      <c r="S12765" s="1420"/>
      <c r="T12765" s="1420"/>
      <c r="V12765" s="1357">
        <v>411</v>
      </c>
    </row>
    <row r="12766" spans="1:22" s="841" customFormat="1" ht="15" x14ac:dyDescent="0.25">
      <c r="A12766" s="841" t="s">
        <v>171</v>
      </c>
      <c r="E12766" s="1689" t="s">
        <v>4661</v>
      </c>
      <c r="F12766" s="1689"/>
      <c r="G12766" s="1921"/>
      <c r="H12766" s="1921"/>
      <c r="K12766" s="841" t="s">
        <v>4394</v>
      </c>
      <c r="M12766" s="1357"/>
      <c r="Q12766" s="1357"/>
      <c r="S12766" s="1420"/>
      <c r="T12766" s="1420"/>
      <c r="V12766" s="1357">
        <v>385</v>
      </c>
    </row>
    <row r="12767" spans="1:22" s="841" customFormat="1" ht="15" x14ac:dyDescent="0.25">
      <c r="A12767" s="841" t="s">
        <v>171</v>
      </c>
      <c r="E12767" s="1689" t="s">
        <v>3390</v>
      </c>
      <c r="F12767" s="1689"/>
      <c r="G12767" s="1921"/>
      <c r="H12767" s="1921"/>
      <c r="K12767" s="841" t="s">
        <v>4394</v>
      </c>
      <c r="M12767" s="1357"/>
      <c r="Q12767" s="1357"/>
      <c r="S12767" s="1420"/>
      <c r="T12767" s="1420"/>
      <c r="V12767" s="1357">
        <v>274</v>
      </c>
    </row>
    <row r="12768" spans="1:22" s="841" customFormat="1" ht="15" x14ac:dyDescent="0.25">
      <c r="A12768" s="841" t="s">
        <v>171</v>
      </c>
      <c r="E12768" s="1694" t="s">
        <v>3067</v>
      </c>
      <c r="F12768" s="1907"/>
      <c r="G12768" s="1921"/>
      <c r="H12768" s="1921"/>
      <c r="K12768" s="841" t="s">
        <v>3224</v>
      </c>
      <c r="M12768" s="1357"/>
      <c r="Q12768" s="1357"/>
      <c r="S12768" s="1420"/>
      <c r="T12768" s="1420"/>
      <c r="V12768" s="1357">
        <v>46</v>
      </c>
    </row>
    <row r="12769" spans="1:22" s="841" customFormat="1" ht="15" x14ac:dyDescent="0.25">
      <c r="A12769" s="841" t="s">
        <v>171</v>
      </c>
      <c r="E12769" s="1920" t="s">
        <v>11</v>
      </c>
      <c r="F12769" s="1690"/>
      <c r="G12769" s="666" t="s">
        <v>23</v>
      </c>
      <c r="H12769" s="600">
        <v>7151.12</v>
      </c>
      <c r="K12769" s="841" t="s">
        <v>4394</v>
      </c>
      <c r="L12769" s="841" t="s">
        <v>442</v>
      </c>
      <c r="M12769" s="1357"/>
      <c r="P12769" s="841" t="s">
        <v>4396</v>
      </c>
      <c r="Q12769" s="1357"/>
      <c r="S12769" s="1420"/>
      <c r="T12769" s="1420"/>
      <c r="V12769" s="1357">
        <v>14</v>
      </c>
    </row>
    <row r="12770" spans="1:22" s="841" customFormat="1" ht="15" x14ac:dyDescent="0.25">
      <c r="A12770" s="841" t="s">
        <v>171</v>
      </c>
      <c r="E12770" s="1920" t="s">
        <v>84</v>
      </c>
      <c r="F12770" s="1690"/>
      <c r="G12770" s="666" t="s">
        <v>33</v>
      </c>
      <c r="H12770" s="606">
        <v>4.1207000000000003</v>
      </c>
      <c r="K12770" s="841" t="s">
        <v>4394</v>
      </c>
      <c r="L12770" s="841" t="s">
        <v>442</v>
      </c>
      <c r="M12770" s="1357"/>
      <c r="P12770" s="841" t="s">
        <v>4397</v>
      </c>
      <c r="Q12770" s="1357"/>
      <c r="S12770" s="1420"/>
      <c r="T12770" s="1420"/>
      <c r="V12770" s="1357">
        <v>28</v>
      </c>
    </row>
    <row r="12771" spans="1:22" s="841" customFormat="1" ht="15" x14ac:dyDescent="0.25">
      <c r="A12771" s="841" t="s">
        <v>171</v>
      </c>
      <c r="E12771" s="1920" t="s">
        <v>18</v>
      </c>
      <c r="F12771" s="1690"/>
      <c r="G12771" s="666" t="s">
        <v>33</v>
      </c>
      <c r="H12771" s="667">
        <v>9.2499999999999999E-2</v>
      </c>
      <c r="K12771" s="841" t="s">
        <v>4394</v>
      </c>
      <c r="L12771" s="841" t="s">
        <v>443</v>
      </c>
      <c r="M12771" s="1357"/>
      <c r="P12771" s="841" t="s">
        <v>4398</v>
      </c>
      <c r="Q12771" s="1357"/>
      <c r="S12771" s="1420"/>
      <c r="T12771" s="1420"/>
      <c r="V12771" s="1357">
        <v>24</v>
      </c>
    </row>
    <row r="12772" spans="1:22" s="841" customFormat="1" ht="15" x14ac:dyDescent="0.25">
      <c r="A12772" s="841" t="s">
        <v>171</v>
      </c>
      <c r="E12772" s="1920" t="s">
        <v>5144</v>
      </c>
      <c r="F12772" s="1908"/>
      <c r="G12772" s="666" t="s">
        <v>33</v>
      </c>
      <c r="H12772" s="667">
        <v>-0.34350000000000003</v>
      </c>
      <c r="K12772" s="841" t="s">
        <v>4394</v>
      </c>
      <c r="L12772" s="841" t="s">
        <v>443</v>
      </c>
      <c r="M12772" s="1357"/>
      <c r="P12772" s="841" t="s">
        <v>4400</v>
      </c>
      <c r="Q12772" s="1357"/>
      <c r="S12772" s="1420"/>
      <c r="T12772" s="1420">
        <v>43465</v>
      </c>
      <c r="V12772" s="1357">
        <v>99</v>
      </c>
    </row>
    <row r="12773" spans="1:22" s="841" customFormat="1" ht="15" x14ac:dyDescent="0.25">
      <c r="A12773" s="841" t="s">
        <v>171</v>
      </c>
      <c r="E12773" s="1920" t="s">
        <v>223</v>
      </c>
      <c r="F12773" s="1690"/>
      <c r="G12773" s="666" t="s">
        <v>33</v>
      </c>
      <c r="H12773" s="606">
        <v>3.0345</v>
      </c>
      <c r="K12773" s="841" t="s">
        <v>4394</v>
      </c>
      <c r="L12773" s="841" t="s">
        <v>444</v>
      </c>
      <c r="M12773" s="1357"/>
      <c r="P12773" s="841" t="s">
        <v>5308</v>
      </c>
      <c r="Q12773" s="1357"/>
      <c r="S12773" s="1420"/>
      <c r="T12773" s="1420"/>
      <c r="V12773" s="1357">
        <v>66</v>
      </c>
    </row>
    <row r="12774" spans="1:22" s="841" customFormat="1" ht="15" x14ac:dyDescent="0.25">
      <c r="A12774" s="841" t="s">
        <v>171</v>
      </c>
      <c r="E12774" s="1920" t="s">
        <v>219</v>
      </c>
      <c r="F12774" s="1690"/>
      <c r="G12774" s="666" t="s">
        <v>33</v>
      </c>
      <c r="H12774" s="606">
        <v>1.0330999999999999</v>
      </c>
      <c r="K12774" s="841" t="s">
        <v>4394</v>
      </c>
      <c r="L12774" s="841" t="s">
        <v>444</v>
      </c>
      <c r="M12774" s="1357"/>
      <c r="P12774" s="841" t="s">
        <v>5309</v>
      </c>
      <c r="Q12774" s="1357"/>
      <c r="S12774" s="1420"/>
      <c r="T12774" s="1420"/>
      <c r="V12774" s="1357">
        <v>93</v>
      </c>
    </row>
    <row r="12775" spans="1:22" s="841" customFormat="1" ht="15" x14ac:dyDescent="0.25">
      <c r="A12775" s="841" t="s">
        <v>171</v>
      </c>
      <c r="E12775" s="1694" t="s">
        <v>3079</v>
      </c>
      <c r="F12775" s="1690"/>
      <c r="G12775" s="1904"/>
      <c r="H12775" s="1904"/>
      <c r="K12775" s="841" t="s">
        <v>3225</v>
      </c>
      <c r="M12775" s="1357"/>
      <c r="Q12775" s="1357"/>
      <c r="S12775" s="1420"/>
      <c r="T12775" s="1420"/>
      <c r="V12775" s="1357">
        <v>48</v>
      </c>
    </row>
    <row r="12776" spans="1:22" s="841" customFormat="1" ht="15" x14ac:dyDescent="0.25">
      <c r="A12776" s="841" t="s">
        <v>171</v>
      </c>
      <c r="E12776" s="1920" t="s">
        <v>2449</v>
      </c>
      <c r="F12776" s="1690"/>
      <c r="G12776" s="666" t="s">
        <v>24</v>
      </c>
      <c r="H12776" s="667">
        <v>3.2000000000000002E-3</v>
      </c>
      <c r="K12776" s="841" t="s">
        <v>4394</v>
      </c>
      <c r="L12776" s="841" t="s">
        <v>3046</v>
      </c>
      <c r="M12776" s="1357"/>
      <c r="P12776" s="841" t="s">
        <v>4403</v>
      </c>
      <c r="Q12776" s="1357"/>
      <c r="S12776" s="1420"/>
      <c r="T12776" s="1420"/>
      <c r="V12776" s="1357">
        <v>55</v>
      </c>
    </row>
    <row r="12777" spans="1:22" s="841" customFormat="1" ht="15" x14ac:dyDescent="0.25">
      <c r="A12777" s="841" t="s">
        <v>171</v>
      </c>
      <c r="E12777" s="1920" t="s">
        <v>2450</v>
      </c>
      <c r="F12777" s="1690"/>
      <c r="G12777" s="666" t="s">
        <v>24</v>
      </c>
      <c r="H12777" s="667">
        <v>4.0000000000000002E-4</v>
      </c>
      <c r="K12777" s="841" t="s">
        <v>4394</v>
      </c>
      <c r="L12777" s="841" t="s">
        <v>3046</v>
      </c>
      <c r="M12777" s="1357"/>
      <c r="P12777" s="841" t="s">
        <v>4403</v>
      </c>
      <c r="Q12777" s="1357"/>
      <c r="S12777" s="1420"/>
      <c r="T12777" s="1420"/>
      <c r="V12777" s="1357">
        <v>65</v>
      </c>
    </row>
    <row r="12778" spans="1:22" s="841" customFormat="1" ht="15" x14ac:dyDescent="0.25">
      <c r="A12778" s="841" t="s">
        <v>171</v>
      </c>
      <c r="E12778" s="1920" t="s">
        <v>439</v>
      </c>
      <c r="F12778" s="1690"/>
      <c r="G12778" s="666" t="s">
        <v>24</v>
      </c>
      <c r="H12778" s="667">
        <v>2.9999999999999997E-4</v>
      </c>
      <c r="K12778" s="841" t="s">
        <v>4394</v>
      </c>
      <c r="L12778" s="841" t="s">
        <v>3046</v>
      </c>
      <c r="M12778" s="1357"/>
      <c r="P12778" s="841" t="s">
        <v>4404</v>
      </c>
      <c r="Q12778" s="1357"/>
      <c r="S12778" s="1420"/>
      <c r="T12778" s="1420"/>
      <c r="V12778" s="1357">
        <v>57</v>
      </c>
    </row>
    <row r="12779" spans="1:22" s="841" customFormat="1" ht="15" x14ac:dyDescent="0.25">
      <c r="A12779" s="841" t="s">
        <v>171</v>
      </c>
      <c r="E12779" s="1920" t="s">
        <v>32</v>
      </c>
      <c r="F12779" s="1690"/>
      <c r="G12779" s="666" t="s">
        <v>23</v>
      </c>
      <c r="H12779" s="668">
        <v>0.25</v>
      </c>
      <c r="K12779" s="841" t="s">
        <v>4394</v>
      </c>
      <c r="L12779" s="841" t="s">
        <v>3046</v>
      </c>
      <c r="M12779" s="1357"/>
      <c r="P12779" s="841" t="s">
        <v>4405</v>
      </c>
      <c r="Q12779" s="1357"/>
      <c r="S12779" s="1420"/>
      <c r="T12779" s="1420"/>
      <c r="V12779" s="1357">
        <v>63</v>
      </c>
    </row>
    <row r="12780" spans="1:22" s="841" customFormat="1" x14ac:dyDescent="0.25">
      <c r="A12780" s="841" t="s">
        <v>171</v>
      </c>
      <c r="E12780" s="1936" t="s">
        <v>617</v>
      </c>
      <c r="F12780" s="1923"/>
      <c r="G12780" s="1933"/>
      <c r="H12780" s="1933"/>
      <c r="K12780" s="841" t="s">
        <v>3457</v>
      </c>
      <c r="M12780" s="1357"/>
      <c r="Q12780" s="1357"/>
      <c r="S12780" s="1420"/>
      <c r="T12780" s="1420"/>
      <c r="V12780" s="1357">
        <v>47</v>
      </c>
    </row>
    <row r="12781" spans="1:22" s="841" customFormat="1" ht="15" x14ac:dyDescent="0.25">
      <c r="A12781" s="841" t="s">
        <v>171</v>
      </c>
      <c r="E12781" s="1689" t="s">
        <v>4667</v>
      </c>
      <c r="F12781" s="1689"/>
      <c r="G12781" s="1921"/>
      <c r="H12781" s="1921"/>
      <c r="K12781" s="841" t="s">
        <v>3457</v>
      </c>
      <c r="M12781" s="1357"/>
      <c r="Q12781" s="1357"/>
      <c r="S12781" s="1420"/>
      <c r="T12781" s="1420"/>
      <c r="V12781" s="1357">
        <v>723</v>
      </c>
    </row>
    <row r="12782" spans="1:22" s="841" customFormat="1" ht="15" x14ac:dyDescent="0.25">
      <c r="A12782" s="841" t="s">
        <v>171</v>
      </c>
      <c r="E12782" s="1916" t="s">
        <v>3061</v>
      </c>
      <c r="F12782" s="1689"/>
      <c r="G12782" s="1921"/>
      <c r="H12782" s="1921"/>
      <c r="K12782" s="841" t="s">
        <v>3107</v>
      </c>
      <c r="M12782" s="1357"/>
      <c r="Q12782" s="1357"/>
      <c r="S12782" s="1420"/>
      <c r="T12782" s="1420"/>
      <c r="V12782" s="1357">
        <v>11</v>
      </c>
    </row>
    <row r="12783" spans="1:22" s="841" customFormat="1" ht="15" x14ac:dyDescent="0.25">
      <c r="A12783" s="841" t="s">
        <v>171</v>
      </c>
      <c r="E12783" s="1689" t="s">
        <v>3063</v>
      </c>
      <c r="F12783" s="1689"/>
      <c r="G12783" s="1921"/>
      <c r="H12783" s="1921"/>
      <c r="K12783" s="841" t="s">
        <v>3457</v>
      </c>
      <c r="M12783" s="1357"/>
      <c r="Q12783" s="1357"/>
      <c r="S12783" s="1420"/>
      <c r="T12783" s="1420"/>
      <c r="V12783" s="1357">
        <v>280</v>
      </c>
    </row>
    <row r="12784" spans="1:22" s="841" customFormat="1" ht="15" x14ac:dyDescent="0.25">
      <c r="A12784" s="841" t="s">
        <v>171</v>
      </c>
      <c r="E12784" s="1689" t="s">
        <v>3064</v>
      </c>
      <c r="F12784" s="1689"/>
      <c r="G12784" s="1921"/>
      <c r="H12784" s="1921"/>
      <c r="K12784" s="841" t="s">
        <v>3457</v>
      </c>
      <c r="M12784" s="1357"/>
      <c r="Q12784" s="1357"/>
      <c r="S12784" s="1420"/>
      <c r="T12784" s="1420"/>
      <c r="V12784" s="1357">
        <v>411</v>
      </c>
    </row>
    <row r="12785" spans="1:22" s="841" customFormat="1" ht="15" x14ac:dyDescent="0.25">
      <c r="A12785" s="841" t="s">
        <v>171</v>
      </c>
      <c r="E12785" s="1689" t="s">
        <v>4661</v>
      </c>
      <c r="F12785" s="1689"/>
      <c r="G12785" s="1921"/>
      <c r="H12785" s="1921"/>
      <c r="K12785" s="841" t="s">
        <v>3457</v>
      </c>
      <c r="M12785" s="1357"/>
      <c r="Q12785" s="1357"/>
      <c r="S12785" s="1420"/>
      <c r="T12785" s="1420"/>
      <c r="V12785" s="1357">
        <v>385</v>
      </c>
    </row>
    <row r="12786" spans="1:22" s="841" customFormat="1" ht="15" x14ac:dyDescent="0.25">
      <c r="A12786" s="841" t="s">
        <v>171</v>
      </c>
      <c r="E12786" s="1689" t="s">
        <v>3390</v>
      </c>
      <c r="F12786" s="1689"/>
      <c r="G12786" s="1921"/>
      <c r="H12786" s="1921"/>
      <c r="K12786" s="841" t="s">
        <v>3457</v>
      </c>
      <c r="M12786" s="1357"/>
      <c r="Q12786" s="1357"/>
      <c r="S12786" s="1420"/>
      <c r="T12786" s="1420"/>
      <c r="V12786" s="1357">
        <v>274</v>
      </c>
    </row>
    <row r="12787" spans="1:22" s="841" customFormat="1" ht="15" x14ac:dyDescent="0.25">
      <c r="A12787" s="841" t="s">
        <v>171</v>
      </c>
      <c r="E12787" s="1694" t="s">
        <v>3067</v>
      </c>
      <c r="F12787" s="1907"/>
      <c r="G12787" s="1921"/>
      <c r="H12787" s="1921"/>
      <c r="K12787" s="841" t="s">
        <v>3108</v>
      </c>
      <c r="M12787" s="1357"/>
      <c r="Q12787" s="1357"/>
      <c r="S12787" s="1420"/>
      <c r="T12787" s="1420"/>
      <c r="V12787" s="1357">
        <v>46</v>
      </c>
    </row>
    <row r="12788" spans="1:22" s="841" customFormat="1" ht="15" x14ac:dyDescent="0.25">
      <c r="A12788" s="841" t="s">
        <v>171</v>
      </c>
      <c r="E12788" s="1920" t="s">
        <v>12</v>
      </c>
      <c r="F12788" s="1690"/>
      <c r="G12788" s="666" t="s">
        <v>23</v>
      </c>
      <c r="H12788" s="600">
        <v>10.88</v>
      </c>
      <c r="K12788" s="841" t="s">
        <v>3457</v>
      </c>
      <c r="L12788" s="841" t="s">
        <v>442</v>
      </c>
      <c r="M12788" s="1357"/>
      <c r="P12788" s="841" t="s">
        <v>3458</v>
      </c>
      <c r="Q12788" s="1357"/>
      <c r="S12788" s="1420"/>
      <c r="T12788" s="1420"/>
      <c r="V12788" s="1357">
        <v>31</v>
      </c>
    </row>
    <row r="12789" spans="1:22" s="841" customFormat="1" ht="15" x14ac:dyDescent="0.25">
      <c r="A12789" s="841" t="s">
        <v>171</v>
      </c>
      <c r="E12789" s="1920" t="s">
        <v>84</v>
      </c>
      <c r="F12789" s="1690"/>
      <c r="G12789" s="666" t="s">
        <v>24</v>
      </c>
      <c r="H12789" s="606">
        <v>1.35E-2</v>
      </c>
      <c r="K12789" s="841" t="s">
        <v>3457</v>
      </c>
      <c r="L12789" s="841" t="s">
        <v>442</v>
      </c>
      <c r="M12789" s="1357"/>
      <c r="P12789" s="841" t="s">
        <v>3459</v>
      </c>
      <c r="Q12789" s="1357"/>
      <c r="S12789" s="1420"/>
      <c r="T12789" s="1420"/>
      <c r="V12789" s="1357">
        <v>28</v>
      </c>
    </row>
    <row r="12790" spans="1:22" s="841" customFormat="1" ht="15" x14ac:dyDescent="0.25">
      <c r="A12790" s="841" t="s">
        <v>171</v>
      </c>
      <c r="E12790" s="1920" t="s">
        <v>18</v>
      </c>
      <c r="F12790" s="1690"/>
      <c r="G12790" s="666" t="s">
        <v>24</v>
      </c>
      <c r="H12790" s="667">
        <v>2.0000000000000001E-4</v>
      </c>
      <c r="K12790" s="841" t="s">
        <v>3457</v>
      </c>
      <c r="L12790" s="841" t="s">
        <v>443</v>
      </c>
      <c r="M12790" s="1357"/>
      <c r="P12790" s="841" t="s">
        <v>3460</v>
      </c>
      <c r="Q12790" s="1357"/>
      <c r="S12790" s="1420"/>
      <c r="T12790" s="1420"/>
      <c r="V12790" s="1357">
        <v>24</v>
      </c>
    </row>
    <row r="12791" spans="1:22" s="841" customFormat="1" ht="15" x14ac:dyDescent="0.25">
      <c r="A12791" s="841" t="s">
        <v>171</v>
      </c>
      <c r="E12791" s="1920" t="s">
        <v>5143</v>
      </c>
      <c r="F12791" s="1908"/>
      <c r="G12791" s="666" t="s">
        <v>24</v>
      </c>
      <c r="H12791" s="667">
        <v>5.0000000000000001E-4</v>
      </c>
      <c r="K12791" s="841" t="s">
        <v>3457</v>
      </c>
      <c r="L12791" s="841" t="s">
        <v>443</v>
      </c>
      <c r="M12791" s="1357"/>
      <c r="P12791" s="841" t="s">
        <v>3526</v>
      </c>
      <c r="Q12791" s="1357"/>
      <c r="S12791" s="1420"/>
      <c r="T12791" s="1420">
        <v>43465</v>
      </c>
      <c r="V12791" s="1357">
        <v>142</v>
      </c>
    </row>
    <row r="12792" spans="1:22" s="841" customFormat="1" ht="15" x14ac:dyDescent="0.25">
      <c r="A12792" s="841" t="s">
        <v>171</v>
      </c>
      <c r="E12792" s="1920" t="s">
        <v>5144</v>
      </c>
      <c r="F12792" s="1908"/>
      <c r="G12792" s="666" t="s">
        <v>24</v>
      </c>
      <c r="H12792" s="667">
        <v>-6.9999999999999999E-4</v>
      </c>
      <c r="K12792" s="841" t="s">
        <v>3457</v>
      </c>
      <c r="L12792" s="841" t="s">
        <v>443</v>
      </c>
      <c r="M12792" s="1357"/>
      <c r="P12792" s="841" t="s">
        <v>3527</v>
      </c>
      <c r="Q12792" s="1357"/>
      <c r="S12792" s="1420"/>
      <c r="T12792" s="1420">
        <v>43465</v>
      </c>
      <c r="V12792" s="1357">
        <v>99</v>
      </c>
    </row>
    <row r="12793" spans="1:22" s="841" customFormat="1" ht="15" x14ac:dyDescent="0.25">
      <c r="A12793" s="841" t="s">
        <v>171</v>
      </c>
      <c r="E12793" s="1920" t="s">
        <v>5145</v>
      </c>
      <c r="F12793" s="1908"/>
      <c r="G12793" s="666" t="s">
        <v>24</v>
      </c>
      <c r="H12793" s="667">
        <v>2.0000000000000001E-4</v>
      </c>
      <c r="K12793" s="841" t="s">
        <v>3457</v>
      </c>
      <c r="L12793" s="841" t="s">
        <v>443</v>
      </c>
      <c r="M12793" s="1357"/>
      <c r="P12793" s="841" t="s">
        <v>5292</v>
      </c>
      <c r="Q12793" s="1357"/>
      <c r="S12793" s="1420"/>
      <c r="T12793" s="1420">
        <v>43465</v>
      </c>
      <c r="V12793" s="1357">
        <v>148</v>
      </c>
    </row>
    <row r="12794" spans="1:22" s="841" customFormat="1" ht="15" x14ac:dyDescent="0.25">
      <c r="A12794" s="841" t="s">
        <v>171</v>
      </c>
      <c r="E12794" s="1920" t="s">
        <v>221</v>
      </c>
      <c r="F12794" s="1690"/>
      <c r="G12794" s="666" t="s">
        <v>24</v>
      </c>
      <c r="H12794" s="606">
        <v>6.3E-3</v>
      </c>
      <c r="K12794" s="841" t="s">
        <v>3457</v>
      </c>
      <c r="L12794" s="841" t="s">
        <v>444</v>
      </c>
      <c r="M12794" s="1357"/>
      <c r="P12794" s="841" t="s">
        <v>3462</v>
      </c>
      <c r="Q12794" s="1357"/>
      <c r="S12794" s="1420"/>
      <c r="T12794" s="1420"/>
      <c r="V12794" s="1357">
        <v>47</v>
      </c>
    </row>
    <row r="12795" spans="1:22" s="841" customFormat="1" ht="15" x14ac:dyDescent="0.25">
      <c r="A12795" s="841" t="s">
        <v>171</v>
      </c>
      <c r="E12795" s="1920" t="s">
        <v>217</v>
      </c>
      <c r="F12795" s="1690"/>
      <c r="G12795" s="666" t="s">
        <v>24</v>
      </c>
      <c r="H12795" s="606">
        <v>2.0999999999999999E-3</v>
      </c>
      <c r="K12795" s="841" t="s">
        <v>3457</v>
      </c>
      <c r="L12795" s="841" t="s">
        <v>444</v>
      </c>
      <c r="M12795" s="1357"/>
      <c r="P12795" s="841" t="s">
        <v>3463</v>
      </c>
      <c r="Q12795" s="1357"/>
      <c r="S12795" s="1420"/>
      <c r="T12795" s="1420"/>
      <c r="V12795" s="1357">
        <v>74</v>
      </c>
    </row>
    <row r="12796" spans="1:22" s="841" customFormat="1" ht="15" x14ac:dyDescent="0.25">
      <c r="A12796" s="841" t="s">
        <v>171</v>
      </c>
      <c r="E12796" s="1694" t="s">
        <v>3079</v>
      </c>
      <c r="F12796" s="1690"/>
      <c r="G12796" s="1904"/>
      <c r="H12796" s="1904"/>
      <c r="K12796" s="841" t="s">
        <v>3111</v>
      </c>
      <c r="M12796" s="1357"/>
      <c r="Q12796" s="1357"/>
      <c r="S12796" s="1420"/>
      <c r="T12796" s="1420"/>
      <c r="V12796" s="1357">
        <v>48</v>
      </c>
    </row>
    <row r="12797" spans="1:22" s="841" customFormat="1" ht="15" x14ac:dyDescent="0.25">
      <c r="A12797" s="841" t="s">
        <v>171</v>
      </c>
      <c r="E12797" s="1920" t="s">
        <v>2449</v>
      </c>
      <c r="F12797" s="1690"/>
      <c r="G12797" s="666" t="s">
        <v>24</v>
      </c>
      <c r="H12797" s="667">
        <v>3.2000000000000002E-3</v>
      </c>
      <c r="K12797" s="841" t="s">
        <v>3457</v>
      </c>
      <c r="L12797" s="841" t="s">
        <v>3046</v>
      </c>
      <c r="M12797" s="1357"/>
      <c r="P12797" s="841" t="s">
        <v>3464</v>
      </c>
      <c r="Q12797" s="1357"/>
      <c r="S12797" s="1420"/>
      <c r="T12797" s="1420"/>
      <c r="V12797" s="1357">
        <v>55</v>
      </c>
    </row>
    <row r="12798" spans="1:22" s="841" customFormat="1" ht="15" x14ac:dyDescent="0.25">
      <c r="A12798" s="841" t="s">
        <v>171</v>
      </c>
      <c r="E12798" s="1920" t="s">
        <v>2450</v>
      </c>
      <c r="F12798" s="1690"/>
      <c r="G12798" s="666" t="s">
        <v>24</v>
      </c>
      <c r="H12798" s="667">
        <v>4.0000000000000002E-4</v>
      </c>
      <c r="K12798" s="841" t="s">
        <v>3457</v>
      </c>
      <c r="L12798" s="841" t="s">
        <v>3046</v>
      </c>
      <c r="M12798" s="1357"/>
      <c r="P12798" s="841" t="s">
        <v>3464</v>
      </c>
      <c r="Q12798" s="1357"/>
      <c r="S12798" s="1420"/>
      <c r="T12798" s="1420"/>
      <c r="V12798" s="1357">
        <v>65</v>
      </c>
    </row>
    <row r="12799" spans="1:22" s="841" customFormat="1" ht="15" x14ac:dyDescent="0.25">
      <c r="A12799" s="841" t="s">
        <v>171</v>
      </c>
      <c r="E12799" s="1920" t="s">
        <v>439</v>
      </c>
      <c r="F12799" s="1690"/>
      <c r="G12799" s="666" t="s">
        <v>24</v>
      </c>
      <c r="H12799" s="667">
        <v>2.9999999999999997E-4</v>
      </c>
      <c r="K12799" s="841" t="s">
        <v>3457</v>
      </c>
      <c r="L12799" s="841" t="s">
        <v>3046</v>
      </c>
      <c r="M12799" s="1357"/>
      <c r="P12799" s="841" t="s">
        <v>3465</v>
      </c>
      <c r="Q12799" s="1357"/>
      <c r="S12799" s="1420"/>
      <c r="T12799" s="1420"/>
      <c r="V12799" s="1357">
        <v>57</v>
      </c>
    </row>
    <row r="12800" spans="1:22" s="841" customFormat="1" ht="15" x14ac:dyDescent="0.25">
      <c r="A12800" s="841" t="s">
        <v>171</v>
      </c>
      <c r="E12800" s="1920" t="s">
        <v>32</v>
      </c>
      <c r="F12800" s="1690"/>
      <c r="G12800" s="666" t="s">
        <v>23</v>
      </c>
      <c r="H12800" s="668">
        <v>0.25</v>
      </c>
      <c r="K12800" s="841" t="s">
        <v>3457</v>
      </c>
      <c r="L12800" s="841" t="s">
        <v>3046</v>
      </c>
      <c r="M12800" s="1357"/>
      <c r="P12800" s="841" t="s">
        <v>3466</v>
      </c>
      <c r="Q12800" s="1357"/>
      <c r="S12800" s="1420"/>
      <c r="T12800" s="1420"/>
      <c r="V12800" s="1357">
        <v>63</v>
      </c>
    </row>
    <row r="12801" spans="1:22" s="841" customFormat="1" x14ac:dyDescent="0.25">
      <c r="A12801" s="841" t="s">
        <v>171</v>
      </c>
      <c r="E12801" s="1936" t="s">
        <v>615</v>
      </c>
      <c r="F12801" s="1923"/>
      <c r="G12801" s="1933"/>
      <c r="H12801" s="1933"/>
      <c r="K12801" s="841" t="s">
        <v>3112</v>
      </c>
      <c r="M12801" s="1357"/>
      <c r="Q12801" s="1357"/>
      <c r="S12801" s="1420"/>
      <c r="T12801" s="1420"/>
      <c r="V12801" s="1357">
        <v>38</v>
      </c>
    </row>
    <row r="12802" spans="1:22" s="841" customFormat="1" ht="15" x14ac:dyDescent="0.25">
      <c r="A12802" s="841" t="s">
        <v>171</v>
      </c>
      <c r="E12802" s="1689" t="s">
        <v>3930</v>
      </c>
      <c r="F12802" s="1689"/>
      <c r="G12802" s="1921"/>
      <c r="H12802" s="1921"/>
      <c r="K12802" s="841" t="s">
        <v>3112</v>
      </c>
      <c r="M12802" s="1357"/>
      <c r="Q12802" s="1357"/>
      <c r="S12802" s="1420"/>
      <c r="T12802" s="1420"/>
      <c r="V12802" s="1357">
        <v>543</v>
      </c>
    </row>
    <row r="12803" spans="1:22" s="841" customFormat="1" ht="15" x14ac:dyDescent="0.25">
      <c r="A12803" s="841" t="s">
        <v>171</v>
      </c>
      <c r="E12803" s="1916" t="s">
        <v>3061</v>
      </c>
      <c r="F12803" s="1689"/>
      <c r="G12803" s="1921"/>
      <c r="H12803" s="1921"/>
      <c r="K12803" s="841" t="s">
        <v>3114</v>
      </c>
      <c r="M12803" s="1357"/>
      <c r="Q12803" s="1357"/>
      <c r="S12803" s="1420"/>
      <c r="T12803" s="1420"/>
      <c r="V12803" s="1357">
        <v>11</v>
      </c>
    </row>
    <row r="12804" spans="1:22" s="841" customFormat="1" ht="15" x14ac:dyDescent="0.25">
      <c r="A12804" s="841" t="s">
        <v>171</v>
      </c>
      <c r="E12804" s="1689" t="s">
        <v>3063</v>
      </c>
      <c r="F12804" s="1689"/>
      <c r="G12804" s="1921"/>
      <c r="H12804" s="1921"/>
      <c r="K12804" s="841" t="s">
        <v>3112</v>
      </c>
      <c r="M12804" s="1357"/>
      <c r="Q12804" s="1357"/>
      <c r="S12804" s="1420"/>
      <c r="T12804" s="1420"/>
      <c r="V12804" s="1357">
        <v>280</v>
      </c>
    </row>
    <row r="12805" spans="1:22" s="841" customFormat="1" ht="15" x14ac:dyDescent="0.25">
      <c r="A12805" s="841" t="s">
        <v>171</v>
      </c>
      <c r="E12805" s="1689" t="s">
        <v>3064</v>
      </c>
      <c r="F12805" s="1689"/>
      <c r="G12805" s="1921"/>
      <c r="H12805" s="1921"/>
      <c r="K12805" s="841" t="s">
        <v>3112</v>
      </c>
      <c r="M12805" s="1357"/>
      <c r="Q12805" s="1357"/>
      <c r="S12805" s="1420"/>
      <c r="T12805" s="1420"/>
      <c r="V12805" s="1357">
        <v>411</v>
      </c>
    </row>
    <row r="12806" spans="1:22" s="841" customFormat="1" ht="15" x14ac:dyDescent="0.25">
      <c r="A12806" s="841" t="s">
        <v>171</v>
      </c>
      <c r="E12806" s="1689" t="s">
        <v>4661</v>
      </c>
      <c r="F12806" s="1689"/>
      <c r="G12806" s="1921"/>
      <c r="H12806" s="1921"/>
      <c r="K12806" s="841" t="s">
        <v>3112</v>
      </c>
      <c r="M12806" s="1357"/>
      <c r="Q12806" s="1357"/>
      <c r="S12806" s="1420"/>
      <c r="T12806" s="1420"/>
      <c r="V12806" s="1357">
        <v>385</v>
      </c>
    </row>
    <row r="12807" spans="1:22" s="841" customFormat="1" ht="15" x14ac:dyDescent="0.25">
      <c r="A12807" s="841" t="s">
        <v>171</v>
      </c>
      <c r="E12807" s="1689" t="s">
        <v>3390</v>
      </c>
      <c r="F12807" s="1689"/>
      <c r="G12807" s="1921"/>
      <c r="H12807" s="1921"/>
      <c r="K12807" s="841" t="s">
        <v>3112</v>
      </c>
      <c r="M12807" s="1357"/>
      <c r="Q12807" s="1357"/>
      <c r="S12807" s="1420"/>
      <c r="T12807" s="1420"/>
      <c r="V12807" s="1357">
        <v>274</v>
      </c>
    </row>
    <row r="12808" spans="1:22" s="841" customFormat="1" ht="15" x14ac:dyDescent="0.25">
      <c r="A12808" s="841" t="s">
        <v>171</v>
      </c>
      <c r="E12808" s="1694" t="s">
        <v>3067</v>
      </c>
      <c r="F12808" s="1907"/>
      <c r="G12808" s="1921"/>
      <c r="H12808" s="1921"/>
      <c r="K12808" s="841" t="s">
        <v>3115</v>
      </c>
      <c r="M12808" s="1357"/>
      <c r="Q12808" s="1357"/>
      <c r="S12808" s="1420"/>
      <c r="T12808" s="1420"/>
      <c r="V12808" s="1357">
        <v>46</v>
      </c>
    </row>
    <row r="12809" spans="1:22" s="841" customFormat="1" ht="15" x14ac:dyDescent="0.25">
      <c r="A12809" s="841" t="s">
        <v>171</v>
      </c>
      <c r="E12809" s="1920" t="s">
        <v>12</v>
      </c>
      <c r="F12809" s="1690"/>
      <c r="G12809" s="666" t="s">
        <v>23</v>
      </c>
      <c r="H12809" s="600">
        <v>0.34</v>
      </c>
      <c r="K12809" s="841" t="s">
        <v>3112</v>
      </c>
      <c r="L12809" s="841" t="s">
        <v>442</v>
      </c>
      <c r="M12809" s="1357"/>
      <c r="P12809" s="841" t="s">
        <v>3116</v>
      </c>
      <c r="Q12809" s="1357"/>
      <c r="S12809" s="1420"/>
      <c r="T12809" s="1420"/>
      <c r="V12809" s="1357">
        <v>31</v>
      </c>
    </row>
    <row r="12810" spans="1:22" s="841" customFormat="1" ht="15" x14ac:dyDescent="0.25">
      <c r="A12810" s="841" t="s">
        <v>171</v>
      </c>
      <c r="E12810" s="1920" t="s">
        <v>84</v>
      </c>
      <c r="F12810" s="1690"/>
      <c r="G12810" s="666" t="s">
        <v>33</v>
      </c>
      <c r="H12810" s="606">
        <v>9.6111000000000004</v>
      </c>
      <c r="K12810" s="841" t="s">
        <v>3112</v>
      </c>
      <c r="L12810" s="841" t="s">
        <v>442</v>
      </c>
      <c r="M12810" s="1357"/>
      <c r="P12810" s="841" t="s">
        <v>3117</v>
      </c>
      <c r="Q12810" s="1357"/>
      <c r="S12810" s="1420"/>
      <c r="T12810" s="1420"/>
      <c r="V12810" s="1357">
        <v>28</v>
      </c>
    </row>
    <row r="12811" spans="1:22" s="841" customFormat="1" ht="15" x14ac:dyDescent="0.25">
      <c r="A12811" s="841" t="s">
        <v>171</v>
      </c>
      <c r="E12811" s="1920" t="s">
        <v>18</v>
      </c>
      <c r="F12811" s="1690"/>
      <c r="G12811" s="666" t="s">
        <v>33</v>
      </c>
      <c r="H12811" s="667">
        <v>5.7000000000000002E-2</v>
      </c>
      <c r="K12811" s="841" t="s">
        <v>3112</v>
      </c>
      <c r="L12811" s="841" t="s">
        <v>443</v>
      </c>
      <c r="M12811" s="1357"/>
      <c r="P12811" s="841" t="s">
        <v>3497</v>
      </c>
      <c r="Q12811" s="1357"/>
      <c r="S12811" s="1420"/>
      <c r="T12811" s="1420"/>
      <c r="V12811" s="1357">
        <v>24</v>
      </c>
    </row>
    <row r="12812" spans="1:22" s="841" customFormat="1" ht="15" x14ac:dyDescent="0.25">
      <c r="A12812" s="841" t="s">
        <v>171</v>
      </c>
      <c r="E12812" s="1920" t="s">
        <v>5143</v>
      </c>
      <c r="F12812" s="1908"/>
      <c r="G12812" s="666" t="s">
        <v>24</v>
      </c>
      <c r="H12812" s="667">
        <v>5.0000000000000001E-4</v>
      </c>
      <c r="K12812" s="841" t="s">
        <v>3112</v>
      </c>
      <c r="L12812" s="841" t="s">
        <v>443</v>
      </c>
      <c r="M12812" s="1357"/>
      <c r="P12812" s="841" t="s">
        <v>3119</v>
      </c>
      <c r="Q12812" s="1357"/>
      <c r="S12812" s="1420"/>
      <c r="T12812" s="1420">
        <v>43465</v>
      </c>
      <c r="V12812" s="1357">
        <v>142</v>
      </c>
    </row>
    <row r="12813" spans="1:22" s="841" customFormat="1" ht="15" x14ac:dyDescent="0.25">
      <c r="A12813" s="841" t="s">
        <v>171</v>
      </c>
      <c r="E12813" s="1920" t="s">
        <v>5144</v>
      </c>
      <c r="F12813" s="1908"/>
      <c r="G12813" s="666" t="s">
        <v>33</v>
      </c>
      <c r="H12813" s="667">
        <v>-0.1993</v>
      </c>
      <c r="K12813" s="841" t="s">
        <v>3112</v>
      </c>
      <c r="L12813" s="841" t="s">
        <v>443</v>
      </c>
      <c r="M12813" s="1357"/>
      <c r="P12813" s="841" t="s">
        <v>3118</v>
      </c>
      <c r="Q12813" s="1357"/>
      <c r="S12813" s="1420"/>
      <c r="T12813" s="1420">
        <v>43465</v>
      </c>
      <c r="V12813" s="1357">
        <v>99</v>
      </c>
    </row>
    <row r="12814" spans="1:22" s="841" customFormat="1" ht="15" x14ac:dyDescent="0.25">
      <c r="A12814" s="841" t="s">
        <v>171</v>
      </c>
      <c r="E12814" s="1920" t="s">
        <v>5145</v>
      </c>
      <c r="F12814" s="1908"/>
      <c r="G12814" s="666" t="s">
        <v>33</v>
      </c>
      <c r="H12814" s="667">
        <v>6.0699999999999997E-2</v>
      </c>
      <c r="K12814" s="841" t="s">
        <v>3112</v>
      </c>
      <c r="L12814" s="841" t="s">
        <v>443</v>
      </c>
      <c r="M12814" s="1357"/>
      <c r="P12814" s="841" t="s">
        <v>5313</v>
      </c>
      <c r="Q12814" s="1357"/>
      <c r="S12814" s="1420"/>
      <c r="T12814" s="1420">
        <v>43465</v>
      </c>
      <c r="V12814" s="1357">
        <v>148</v>
      </c>
    </row>
    <row r="12815" spans="1:22" s="841" customFormat="1" ht="15" x14ac:dyDescent="0.25">
      <c r="A12815" s="841" t="s">
        <v>171</v>
      </c>
      <c r="E12815" s="1920" t="s">
        <v>221</v>
      </c>
      <c r="F12815" s="1690"/>
      <c r="G12815" s="666" t="s">
        <v>33</v>
      </c>
      <c r="H12815" s="606">
        <v>1.9461999999999999</v>
      </c>
      <c r="K12815" s="841" t="s">
        <v>3112</v>
      </c>
      <c r="L12815" s="841" t="s">
        <v>444</v>
      </c>
      <c r="M12815" s="1357"/>
      <c r="P12815" s="841" t="s">
        <v>3120</v>
      </c>
      <c r="Q12815" s="1357"/>
      <c r="S12815" s="1420"/>
      <c r="T12815" s="1420"/>
      <c r="V12815" s="1357">
        <v>47</v>
      </c>
    </row>
    <row r="12816" spans="1:22" s="841" customFormat="1" ht="15" x14ac:dyDescent="0.25">
      <c r="A12816" s="841" t="s">
        <v>171</v>
      </c>
      <c r="E12816" s="1920" t="s">
        <v>217</v>
      </c>
      <c r="F12816" s="1690"/>
      <c r="G12816" s="666" t="s">
        <v>33</v>
      </c>
      <c r="H12816" s="606">
        <v>0.63700000000000001</v>
      </c>
      <c r="K12816" s="841" t="s">
        <v>3112</v>
      </c>
      <c r="L12816" s="841" t="s">
        <v>444</v>
      </c>
      <c r="M12816" s="1357"/>
      <c r="P12816" s="841" t="s">
        <v>3121</v>
      </c>
      <c r="Q12816" s="1357"/>
      <c r="S12816" s="1420"/>
      <c r="T12816" s="1420"/>
      <c r="V12816" s="1357">
        <v>74</v>
      </c>
    </row>
    <row r="12817" spans="1:22" s="841" customFormat="1" ht="15" x14ac:dyDescent="0.25">
      <c r="A12817" s="841" t="s">
        <v>171</v>
      </c>
      <c r="E12817" s="1694" t="s">
        <v>3079</v>
      </c>
      <c r="F12817" s="1690"/>
      <c r="G12817" s="1904"/>
      <c r="H12817" s="1904"/>
      <c r="K12817" s="841" t="s">
        <v>3122</v>
      </c>
      <c r="M12817" s="1357"/>
      <c r="Q12817" s="1357"/>
      <c r="S12817" s="1420"/>
      <c r="T12817" s="1420"/>
      <c r="V12817" s="1357">
        <v>48</v>
      </c>
    </row>
    <row r="12818" spans="1:22" s="841" customFormat="1" ht="15" x14ac:dyDescent="0.25">
      <c r="A12818" s="841" t="s">
        <v>171</v>
      </c>
      <c r="E12818" s="1920" t="s">
        <v>2449</v>
      </c>
      <c r="F12818" s="1690"/>
      <c r="G12818" s="666" t="s">
        <v>24</v>
      </c>
      <c r="H12818" s="667">
        <v>3.2000000000000002E-3</v>
      </c>
      <c r="K12818" s="841" t="s">
        <v>3112</v>
      </c>
      <c r="L12818" s="841" t="s">
        <v>3046</v>
      </c>
      <c r="M12818" s="1357"/>
      <c r="P12818" s="841" t="s">
        <v>3123</v>
      </c>
      <c r="Q12818" s="1357"/>
      <c r="S12818" s="1420"/>
      <c r="T12818" s="1420"/>
      <c r="V12818" s="1357">
        <v>55</v>
      </c>
    </row>
    <row r="12819" spans="1:22" s="841" customFormat="1" ht="15" x14ac:dyDescent="0.25">
      <c r="A12819" s="841" t="s">
        <v>171</v>
      </c>
      <c r="E12819" s="1920" t="s">
        <v>2450</v>
      </c>
      <c r="F12819" s="1690"/>
      <c r="G12819" s="666" t="s">
        <v>24</v>
      </c>
      <c r="H12819" s="667">
        <v>4.0000000000000002E-4</v>
      </c>
      <c r="K12819" s="841" t="s">
        <v>3112</v>
      </c>
      <c r="L12819" s="841" t="s">
        <v>3046</v>
      </c>
      <c r="M12819" s="1357"/>
      <c r="P12819" s="841" t="s">
        <v>3123</v>
      </c>
      <c r="Q12819" s="1357"/>
      <c r="S12819" s="1420"/>
      <c r="T12819" s="1420"/>
      <c r="V12819" s="1357">
        <v>65</v>
      </c>
    </row>
    <row r="12820" spans="1:22" s="841" customFormat="1" ht="15" x14ac:dyDescent="0.25">
      <c r="A12820" s="841" t="s">
        <v>171</v>
      </c>
      <c r="E12820" s="1920" t="s">
        <v>439</v>
      </c>
      <c r="F12820" s="1690"/>
      <c r="G12820" s="666" t="s">
        <v>24</v>
      </c>
      <c r="H12820" s="667">
        <v>2.9999999999999997E-4</v>
      </c>
      <c r="K12820" s="841" t="s">
        <v>3112</v>
      </c>
      <c r="L12820" s="841" t="s">
        <v>3046</v>
      </c>
      <c r="M12820" s="1357"/>
      <c r="P12820" s="841" t="s">
        <v>3124</v>
      </c>
      <c r="Q12820" s="1357"/>
      <c r="S12820" s="1420"/>
      <c r="T12820" s="1420"/>
      <c r="V12820" s="1357">
        <v>57</v>
      </c>
    </row>
    <row r="12821" spans="1:22" s="841" customFormat="1" ht="15" x14ac:dyDescent="0.25">
      <c r="A12821" s="841" t="s">
        <v>171</v>
      </c>
      <c r="E12821" s="1920" t="s">
        <v>32</v>
      </c>
      <c r="F12821" s="1690"/>
      <c r="G12821" s="666" t="s">
        <v>23</v>
      </c>
      <c r="H12821" s="668">
        <v>0.25</v>
      </c>
      <c r="K12821" s="841" t="s">
        <v>3112</v>
      </c>
      <c r="L12821" s="841" t="s">
        <v>3046</v>
      </c>
      <c r="M12821" s="1357"/>
      <c r="P12821" s="841" t="s">
        <v>3125</v>
      </c>
      <c r="Q12821" s="1357"/>
      <c r="S12821" s="1420"/>
      <c r="T12821" s="1420"/>
      <c r="V12821" s="1357">
        <v>63</v>
      </c>
    </row>
    <row r="12822" spans="1:22" s="841" customFormat="1" x14ac:dyDescent="0.25">
      <c r="A12822" s="841" t="s">
        <v>171</v>
      </c>
      <c r="E12822" s="1909" t="s">
        <v>618</v>
      </c>
      <c r="F12822" s="1923"/>
      <c r="G12822" s="1933"/>
      <c r="H12822" s="1933"/>
      <c r="K12822" s="841" t="s">
        <v>3126</v>
      </c>
      <c r="M12822" s="1357"/>
      <c r="Q12822" s="1357"/>
      <c r="S12822" s="1420"/>
      <c r="T12822" s="1420"/>
      <c r="V12822" s="1357">
        <v>31</v>
      </c>
    </row>
    <row r="12823" spans="1:22" s="841" customFormat="1" ht="15" x14ac:dyDescent="0.25">
      <c r="A12823" s="841" t="s">
        <v>171</v>
      </c>
      <c r="E12823" s="1689" t="s">
        <v>3127</v>
      </c>
      <c r="F12823" s="1689"/>
      <c r="G12823" s="1921"/>
      <c r="H12823" s="1921"/>
      <c r="K12823" s="841" t="s">
        <v>3126</v>
      </c>
      <c r="M12823" s="1357"/>
      <c r="Q12823" s="1357"/>
      <c r="S12823" s="1420"/>
      <c r="T12823" s="1420"/>
      <c r="V12823" s="1357">
        <v>286</v>
      </c>
    </row>
    <row r="12824" spans="1:22" s="841" customFormat="1" ht="15" x14ac:dyDescent="0.25">
      <c r="A12824" s="841" t="s">
        <v>171</v>
      </c>
      <c r="E12824" s="1916" t="s">
        <v>3061</v>
      </c>
      <c r="F12824" s="1689"/>
      <c r="G12824" s="1921"/>
      <c r="H12824" s="1921"/>
      <c r="K12824" s="841" t="s">
        <v>3128</v>
      </c>
      <c r="M12824" s="1357"/>
      <c r="Q12824" s="1357"/>
      <c r="S12824" s="1420"/>
      <c r="T12824" s="1420"/>
      <c r="V12824" s="1357">
        <v>11</v>
      </c>
    </row>
    <row r="12825" spans="1:22" s="841" customFormat="1" ht="15" x14ac:dyDescent="0.25">
      <c r="A12825" s="841" t="s">
        <v>171</v>
      </c>
      <c r="E12825" s="1689" t="s">
        <v>3063</v>
      </c>
      <c r="F12825" s="1689"/>
      <c r="G12825" s="1921"/>
      <c r="H12825" s="1921"/>
      <c r="K12825" s="841" t="s">
        <v>3126</v>
      </c>
      <c r="M12825" s="1357"/>
      <c r="Q12825" s="1357"/>
      <c r="S12825" s="1420"/>
      <c r="T12825" s="1420"/>
      <c r="V12825" s="1357">
        <v>280</v>
      </c>
    </row>
    <row r="12826" spans="1:22" s="841" customFormat="1" ht="15" x14ac:dyDescent="0.25">
      <c r="A12826" s="841" t="s">
        <v>171</v>
      </c>
      <c r="E12826" s="1689" t="s">
        <v>3064</v>
      </c>
      <c r="F12826" s="1689"/>
      <c r="G12826" s="1921"/>
      <c r="H12826" s="1921"/>
      <c r="K12826" s="841" t="s">
        <v>3126</v>
      </c>
      <c r="M12826" s="1357"/>
      <c r="Q12826" s="1357"/>
      <c r="S12826" s="1420"/>
      <c r="T12826" s="1420"/>
      <c r="V12826" s="1357">
        <v>411</v>
      </c>
    </row>
    <row r="12827" spans="1:22" s="841" customFormat="1" ht="15" x14ac:dyDescent="0.25">
      <c r="A12827" s="841" t="s">
        <v>171</v>
      </c>
      <c r="E12827" s="1689" t="s">
        <v>3129</v>
      </c>
      <c r="F12827" s="1689"/>
      <c r="G12827" s="1921"/>
      <c r="H12827" s="1921"/>
      <c r="K12827" s="841" t="s">
        <v>3126</v>
      </c>
      <c r="M12827" s="1357"/>
      <c r="Q12827" s="1357"/>
      <c r="S12827" s="1420"/>
      <c r="T12827" s="1420"/>
      <c r="V12827" s="1357">
        <v>211</v>
      </c>
    </row>
    <row r="12828" spans="1:22" s="841" customFormat="1" ht="15" x14ac:dyDescent="0.25">
      <c r="A12828" s="841" t="s">
        <v>171</v>
      </c>
      <c r="E12828" s="1689" t="s">
        <v>3390</v>
      </c>
      <c r="F12828" s="1689"/>
      <c r="G12828" s="1921"/>
      <c r="H12828" s="1921"/>
      <c r="K12828" s="841" t="s">
        <v>3126</v>
      </c>
      <c r="M12828" s="1357"/>
      <c r="Q12828" s="1357"/>
      <c r="S12828" s="1420"/>
      <c r="T12828" s="1420"/>
      <c r="V12828" s="1357">
        <v>274</v>
      </c>
    </row>
    <row r="12829" spans="1:22" s="841" customFormat="1" ht="15" x14ac:dyDescent="0.25">
      <c r="A12829" s="841" t="s">
        <v>171</v>
      </c>
      <c r="E12829" s="1694" t="s">
        <v>3067</v>
      </c>
      <c r="F12829" s="1907"/>
      <c r="G12829" s="1921"/>
      <c r="H12829" s="1921"/>
      <c r="K12829" s="841" t="s">
        <v>3130</v>
      </c>
      <c r="M12829" s="1357"/>
      <c r="Q12829" s="1357"/>
      <c r="S12829" s="1420"/>
      <c r="T12829" s="1420"/>
      <c r="V12829" s="1357">
        <v>46</v>
      </c>
    </row>
    <row r="12830" spans="1:22" s="841" customFormat="1" ht="15" x14ac:dyDescent="0.25">
      <c r="A12830" s="841" t="s">
        <v>171</v>
      </c>
      <c r="E12830" s="1920" t="s">
        <v>11</v>
      </c>
      <c r="F12830" s="1690"/>
      <c r="G12830" s="666" t="s">
        <v>23</v>
      </c>
      <c r="H12830" s="600">
        <v>5.4</v>
      </c>
      <c r="K12830" s="841" t="s">
        <v>3126</v>
      </c>
      <c r="L12830" s="841" t="s">
        <v>442</v>
      </c>
      <c r="M12830" s="1357"/>
      <c r="P12830" s="841" t="s">
        <v>3131</v>
      </c>
      <c r="Q12830" s="1357"/>
      <c r="S12830" s="1420"/>
      <c r="T12830" s="1420"/>
      <c r="V12830" s="1357">
        <v>14</v>
      </c>
    </row>
    <row r="12831" spans="1:22" s="841" customFormat="1" x14ac:dyDescent="0.25">
      <c r="A12831" s="841" t="s">
        <v>171</v>
      </c>
      <c r="E12831" s="1909" t="s">
        <v>622</v>
      </c>
      <c r="F12831" s="1923"/>
      <c r="G12831" s="1933"/>
      <c r="H12831" s="1933"/>
      <c r="K12831" s="841" t="s">
        <v>3604</v>
      </c>
      <c r="M12831" s="1357"/>
      <c r="Q12831" s="1357"/>
      <c r="S12831" s="1420"/>
      <c r="T12831" s="1420"/>
      <c r="V12831" s="1357">
        <v>43</v>
      </c>
    </row>
    <row r="12832" spans="1:22" s="841" customFormat="1" ht="15" x14ac:dyDescent="0.25">
      <c r="A12832" s="841" t="s">
        <v>171</v>
      </c>
      <c r="E12832" s="1689" t="s">
        <v>4668</v>
      </c>
      <c r="F12832" s="1689"/>
      <c r="G12832" s="1921"/>
      <c r="H12832" s="1921"/>
      <c r="K12832" s="841" t="s">
        <v>3604</v>
      </c>
      <c r="M12832" s="1357"/>
      <c r="Q12832" s="1357"/>
      <c r="S12832" s="1420"/>
      <c r="T12832" s="1420"/>
      <c r="V12832" s="1357">
        <v>315</v>
      </c>
    </row>
    <row r="12833" spans="1:22" s="841" customFormat="1" ht="15" x14ac:dyDescent="0.25">
      <c r="A12833" s="841" t="s">
        <v>171</v>
      </c>
      <c r="E12833" s="1916" t="s">
        <v>3061</v>
      </c>
      <c r="F12833" s="1689"/>
      <c r="G12833" s="1921"/>
      <c r="H12833" s="1921"/>
      <c r="K12833" s="841" t="s">
        <v>3266</v>
      </c>
      <c r="M12833" s="1357"/>
      <c r="Q12833" s="1357"/>
      <c r="S12833" s="1420"/>
      <c r="T12833" s="1420"/>
      <c r="V12833" s="1357">
        <v>11</v>
      </c>
    </row>
    <row r="12834" spans="1:22" s="841" customFormat="1" ht="15" x14ac:dyDescent="0.25">
      <c r="A12834" s="841" t="s">
        <v>171</v>
      </c>
      <c r="E12834" s="1689" t="s">
        <v>3063</v>
      </c>
      <c r="F12834" s="1689"/>
      <c r="G12834" s="1921"/>
      <c r="H12834" s="1921"/>
      <c r="K12834" s="841" t="s">
        <v>3604</v>
      </c>
      <c r="M12834" s="1357"/>
      <c r="Q12834" s="1357"/>
      <c r="S12834" s="1420"/>
      <c r="T12834" s="1420"/>
      <c r="V12834" s="1357">
        <v>280</v>
      </c>
    </row>
    <row r="12835" spans="1:22" s="841" customFormat="1" ht="15" x14ac:dyDescent="0.25">
      <c r="A12835" s="841" t="s">
        <v>171</v>
      </c>
      <c r="E12835" s="1689" t="s">
        <v>3064</v>
      </c>
      <c r="F12835" s="1689"/>
      <c r="G12835" s="1921"/>
      <c r="H12835" s="1921"/>
      <c r="K12835" s="841" t="s">
        <v>3604</v>
      </c>
      <c r="M12835" s="1357"/>
      <c r="Q12835" s="1357"/>
      <c r="S12835" s="1420"/>
      <c r="T12835" s="1420"/>
      <c r="V12835" s="1357">
        <v>411</v>
      </c>
    </row>
    <row r="12836" spans="1:22" s="841" customFormat="1" ht="15" x14ac:dyDescent="0.25">
      <c r="A12836" s="841" t="s">
        <v>171</v>
      </c>
      <c r="E12836" s="1689" t="s">
        <v>4661</v>
      </c>
      <c r="F12836" s="1689"/>
      <c r="G12836" s="1921"/>
      <c r="H12836" s="1921"/>
      <c r="K12836" s="841" t="s">
        <v>3604</v>
      </c>
      <c r="M12836" s="1357"/>
      <c r="Q12836" s="1357"/>
      <c r="S12836" s="1420"/>
      <c r="T12836" s="1420"/>
      <c r="V12836" s="1357">
        <v>385</v>
      </c>
    </row>
    <row r="12837" spans="1:22" s="841" customFormat="1" ht="15" x14ac:dyDescent="0.25">
      <c r="A12837" s="841" t="s">
        <v>171</v>
      </c>
      <c r="E12837" s="1689" t="s">
        <v>3390</v>
      </c>
      <c r="F12837" s="1689"/>
      <c r="G12837" s="1921"/>
      <c r="H12837" s="1921"/>
      <c r="K12837" s="841" t="s">
        <v>3604</v>
      </c>
      <c r="M12837" s="1357"/>
      <c r="Q12837" s="1357"/>
      <c r="S12837" s="1420"/>
      <c r="T12837" s="1420"/>
      <c r="V12837" s="1357">
        <v>274</v>
      </c>
    </row>
    <row r="12838" spans="1:22" s="841" customFormat="1" ht="15" x14ac:dyDescent="0.25">
      <c r="A12838" s="841" t="s">
        <v>171</v>
      </c>
      <c r="E12838" s="1694" t="s">
        <v>3067</v>
      </c>
      <c r="F12838" s="1907"/>
      <c r="G12838" s="1921"/>
      <c r="H12838" s="1921"/>
      <c r="K12838" s="841" t="s">
        <v>3267</v>
      </c>
      <c r="M12838" s="1357"/>
      <c r="Q12838" s="1357"/>
      <c r="S12838" s="1420"/>
      <c r="T12838" s="1420"/>
      <c r="V12838" s="1357">
        <v>46</v>
      </c>
    </row>
    <row r="12839" spans="1:22" s="841" customFormat="1" ht="15" x14ac:dyDescent="0.25">
      <c r="A12839" s="841" t="s">
        <v>171</v>
      </c>
      <c r="E12839" s="1920" t="s">
        <v>84</v>
      </c>
      <c r="F12839" s="1690"/>
      <c r="G12839" s="666" t="s">
        <v>33</v>
      </c>
      <c r="H12839" s="606">
        <v>2.0500000000000001E-2</v>
      </c>
      <c r="K12839" s="841" t="s">
        <v>3604</v>
      </c>
      <c r="L12839" s="841" t="s">
        <v>442</v>
      </c>
      <c r="M12839" s="1357"/>
      <c r="P12839" s="841" t="s">
        <v>5651</v>
      </c>
      <c r="Q12839" s="1357"/>
      <c r="S12839" s="1420"/>
      <c r="T12839" s="1420"/>
      <c r="V12839" s="1357">
        <v>28</v>
      </c>
    </row>
    <row r="12840" spans="1:22" s="841" customFormat="1" ht="15" x14ac:dyDescent="0.25">
      <c r="A12840" s="841" t="s">
        <v>171</v>
      </c>
      <c r="E12840" s="1920" t="s">
        <v>5143</v>
      </c>
      <c r="F12840" s="1908"/>
      <c r="G12840" s="666" t="s">
        <v>24</v>
      </c>
      <c r="H12840" s="606">
        <v>5.0000000000000001E-4</v>
      </c>
      <c r="K12840" s="841" t="s">
        <v>3604</v>
      </c>
      <c r="L12840" s="841" t="s">
        <v>443</v>
      </c>
      <c r="M12840" s="1357"/>
      <c r="P12840" s="841" t="s">
        <v>4408</v>
      </c>
      <c r="Q12840" s="1357"/>
      <c r="S12840" s="1420"/>
      <c r="T12840" s="1420">
        <v>43465</v>
      </c>
      <c r="V12840" s="1357">
        <v>142</v>
      </c>
    </row>
    <row r="12841" spans="1:22" s="841" customFormat="1" ht="15" x14ac:dyDescent="0.25">
      <c r="A12841" s="841" t="s">
        <v>171</v>
      </c>
      <c r="E12841" s="1920" t="s">
        <v>5144</v>
      </c>
      <c r="F12841" s="1908"/>
      <c r="G12841" s="666" t="s">
        <v>33</v>
      </c>
      <c r="H12841" s="606">
        <v>-0.27710000000000001</v>
      </c>
      <c r="K12841" s="841" t="s">
        <v>3604</v>
      </c>
      <c r="L12841" s="841" t="s">
        <v>443</v>
      </c>
      <c r="M12841" s="1357"/>
      <c r="P12841" s="841" t="s">
        <v>4409</v>
      </c>
      <c r="Q12841" s="1357"/>
      <c r="S12841" s="1420"/>
      <c r="T12841" s="1420">
        <v>43465</v>
      </c>
      <c r="V12841" s="1357">
        <v>99</v>
      </c>
    </row>
    <row r="12842" spans="1:22" s="841" customFormat="1" ht="15" x14ac:dyDescent="0.25">
      <c r="A12842" s="841" t="s">
        <v>171</v>
      </c>
      <c r="E12842" s="1920" t="s">
        <v>5145</v>
      </c>
      <c r="F12842" s="1908"/>
      <c r="G12842" s="666" t="s">
        <v>33</v>
      </c>
      <c r="H12842" s="606">
        <v>7.2499999999999995E-2</v>
      </c>
      <c r="K12842" s="841" t="s">
        <v>3604</v>
      </c>
      <c r="L12842" s="841" t="s">
        <v>443</v>
      </c>
      <c r="M12842" s="1357"/>
      <c r="P12842" s="841" t="s">
        <v>5767</v>
      </c>
      <c r="Q12842" s="1357"/>
      <c r="S12842" s="1420"/>
      <c r="T12842" s="1420">
        <v>43465</v>
      </c>
      <c r="V12842" s="1357">
        <v>148</v>
      </c>
    </row>
    <row r="12843" spans="1:22" s="841" customFormat="1" ht="15" x14ac:dyDescent="0.25">
      <c r="A12843" s="841" t="s">
        <v>171</v>
      </c>
      <c r="E12843" s="1694" t="s">
        <v>3079</v>
      </c>
      <c r="F12843" s="1690"/>
      <c r="G12843" s="1904"/>
      <c r="H12843" s="1904"/>
      <c r="K12843" s="841" t="s">
        <v>3276</v>
      </c>
      <c r="M12843" s="1357"/>
      <c r="Q12843" s="1357"/>
      <c r="S12843" s="1420"/>
      <c r="T12843" s="1420"/>
      <c r="V12843" s="1357">
        <v>48</v>
      </c>
    </row>
    <row r="12844" spans="1:22" s="841" customFormat="1" ht="15" x14ac:dyDescent="0.25">
      <c r="A12844" s="841" t="s">
        <v>171</v>
      </c>
      <c r="E12844" s="1920" t="s">
        <v>2449</v>
      </c>
      <c r="F12844" s="1690"/>
      <c r="G12844" s="666" t="s">
        <v>24</v>
      </c>
      <c r="H12844" s="667">
        <v>3.2000000000000002E-3</v>
      </c>
      <c r="K12844" s="841" t="s">
        <v>3604</v>
      </c>
      <c r="L12844" s="841" t="s">
        <v>3046</v>
      </c>
      <c r="M12844" s="1357"/>
      <c r="P12844" s="841" t="s">
        <v>3609</v>
      </c>
      <c r="Q12844" s="1357"/>
      <c r="S12844" s="1420"/>
      <c r="T12844" s="1420"/>
      <c r="V12844" s="1357">
        <v>55</v>
      </c>
    </row>
    <row r="12845" spans="1:22" s="841" customFormat="1" ht="15" x14ac:dyDescent="0.25">
      <c r="A12845" s="841" t="s">
        <v>171</v>
      </c>
      <c r="E12845" s="1920" t="s">
        <v>2450</v>
      </c>
      <c r="F12845" s="1690"/>
      <c r="G12845" s="666" t="s">
        <v>24</v>
      </c>
      <c r="H12845" s="667">
        <v>4.0000000000000002E-4</v>
      </c>
      <c r="K12845" s="841" t="s">
        <v>3604</v>
      </c>
      <c r="L12845" s="841" t="s">
        <v>3046</v>
      </c>
      <c r="M12845" s="1357"/>
      <c r="P12845" s="841" t="s">
        <v>3609</v>
      </c>
      <c r="Q12845" s="1357"/>
      <c r="S12845" s="1420"/>
      <c r="T12845" s="1420"/>
      <c r="V12845" s="1357">
        <v>65</v>
      </c>
    </row>
    <row r="12846" spans="1:22" s="841" customFormat="1" ht="15" x14ac:dyDescent="0.25">
      <c r="A12846" s="841" t="s">
        <v>171</v>
      </c>
      <c r="E12846" s="1920" t="s">
        <v>439</v>
      </c>
      <c r="F12846" s="1690"/>
      <c r="G12846" s="666" t="s">
        <v>24</v>
      </c>
      <c r="H12846" s="667">
        <v>2.9999999999999997E-4</v>
      </c>
      <c r="K12846" s="841" t="s">
        <v>3604</v>
      </c>
      <c r="L12846" s="841" t="s">
        <v>3046</v>
      </c>
      <c r="M12846" s="1357"/>
      <c r="P12846" s="841" t="s">
        <v>3610</v>
      </c>
      <c r="Q12846" s="1357"/>
      <c r="S12846" s="1420"/>
      <c r="T12846" s="1420"/>
      <c r="V12846" s="1357">
        <v>57</v>
      </c>
    </row>
    <row r="12847" spans="1:22" s="841" customFormat="1" ht="15" x14ac:dyDescent="0.25">
      <c r="A12847" s="841" t="s">
        <v>171</v>
      </c>
      <c r="E12847" s="1920" t="s">
        <v>32</v>
      </c>
      <c r="F12847" s="1690"/>
      <c r="G12847" s="666" t="s">
        <v>23</v>
      </c>
      <c r="H12847" s="668">
        <v>0.25</v>
      </c>
      <c r="K12847" s="841" t="s">
        <v>3604</v>
      </c>
      <c r="L12847" s="841" t="s">
        <v>3046</v>
      </c>
      <c r="M12847" s="1357"/>
      <c r="P12847" s="841" t="s">
        <v>3611</v>
      </c>
      <c r="Q12847" s="1357"/>
      <c r="S12847" s="1420"/>
      <c r="T12847" s="1420"/>
      <c r="V12847" s="1357">
        <v>63</v>
      </c>
    </row>
    <row r="12848" spans="1:22" s="841" customFormat="1" x14ac:dyDescent="0.25">
      <c r="A12848" s="841" t="s">
        <v>171</v>
      </c>
      <c r="E12848" s="1931" t="s">
        <v>85</v>
      </c>
      <c r="F12848" s="1932"/>
      <c r="G12848" s="1933"/>
      <c r="H12848" s="1933"/>
      <c r="K12848" s="841" t="s">
        <v>4669</v>
      </c>
      <c r="M12848" s="1357"/>
      <c r="Q12848" s="1357"/>
      <c r="S12848" s="1420"/>
      <c r="T12848" s="1420"/>
      <c r="V12848" s="1357">
        <v>10</v>
      </c>
    </row>
    <row r="12849" spans="1:22" s="841" customFormat="1" ht="15" x14ac:dyDescent="0.25">
      <c r="A12849" s="841" t="s">
        <v>171</v>
      </c>
      <c r="E12849" s="1690" t="s">
        <v>3133</v>
      </c>
      <c r="F12849" s="1690"/>
      <c r="G12849" s="670" t="s">
        <v>33</v>
      </c>
      <c r="H12849" s="678">
        <v>-0.6</v>
      </c>
      <c r="M12849" s="1357"/>
      <c r="Q12849" s="1357"/>
      <c r="S12849" s="1420"/>
      <c r="T12849" s="1420"/>
      <c r="V12849" s="1357">
        <v>68</v>
      </c>
    </row>
    <row r="12850" spans="1:22" s="841" customFormat="1" ht="15" x14ac:dyDescent="0.25">
      <c r="A12850" s="841" t="s">
        <v>171</v>
      </c>
      <c r="E12850" s="1690" t="s">
        <v>3134</v>
      </c>
      <c r="F12850" s="1690"/>
      <c r="G12850" s="670" t="s">
        <v>86</v>
      </c>
      <c r="H12850" s="1332">
        <v>-1</v>
      </c>
      <c r="M12850" s="1357"/>
      <c r="Q12850" s="1357"/>
      <c r="S12850" s="1420"/>
      <c r="T12850" s="1420"/>
      <c r="V12850" s="1357">
        <v>87</v>
      </c>
    </row>
    <row r="12851" spans="1:22" s="841" customFormat="1" x14ac:dyDescent="0.25">
      <c r="A12851" s="841" t="s">
        <v>171</v>
      </c>
      <c r="E12851" s="1963" t="s">
        <v>87</v>
      </c>
      <c r="F12851" s="1932"/>
      <c r="G12851" s="1933"/>
      <c r="H12851" s="1933"/>
      <c r="K12851" s="841" t="s">
        <v>4670</v>
      </c>
      <c r="M12851" s="1357"/>
      <c r="Q12851" s="1357"/>
      <c r="S12851" s="1420"/>
      <c r="T12851" s="1420"/>
      <c r="V12851" s="1357">
        <v>24</v>
      </c>
    </row>
    <row r="12852" spans="1:22" s="841" customFormat="1" ht="15" x14ac:dyDescent="0.25">
      <c r="A12852" s="841" t="s">
        <v>171</v>
      </c>
      <c r="E12852" s="1926" t="s">
        <v>3061</v>
      </c>
      <c r="F12852" s="1689"/>
      <c r="G12852" s="1921"/>
      <c r="H12852" s="1921"/>
      <c r="M12852" s="1357"/>
      <c r="Q12852" s="1357"/>
      <c r="S12852" s="1420"/>
      <c r="T12852" s="1420"/>
      <c r="V12852" s="1357">
        <v>11</v>
      </c>
    </row>
    <row r="12853" spans="1:22" s="841" customFormat="1" ht="15" x14ac:dyDescent="0.25">
      <c r="A12853" s="841" t="s">
        <v>171</v>
      </c>
      <c r="E12853" s="1689" t="s">
        <v>3063</v>
      </c>
      <c r="F12853" s="1689"/>
      <c r="G12853" s="1921"/>
      <c r="H12853" s="1921"/>
      <c r="M12853" s="1357"/>
      <c r="Q12853" s="1357"/>
      <c r="S12853" s="1420"/>
      <c r="T12853" s="1420"/>
      <c r="V12853" s="1357">
        <v>280</v>
      </c>
    </row>
    <row r="12854" spans="1:22" s="841" customFormat="1" ht="15" x14ac:dyDescent="0.25">
      <c r="A12854" s="841" t="s">
        <v>171</v>
      </c>
      <c r="E12854" s="1689" t="s">
        <v>3136</v>
      </c>
      <c r="F12854" s="1689"/>
      <c r="G12854" s="1921"/>
      <c r="H12854" s="1921"/>
      <c r="M12854" s="1357"/>
      <c r="Q12854" s="1357"/>
      <c r="S12854" s="1420"/>
      <c r="T12854" s="1420"/>
      <c r="V12854" s="1357">
        <v>353</v>
      </c>
    </row>
    <row r="12855" spans="1:22" s="841" customFormat="1" ht="15" x14ac:dyDescent="0.25">
      <c r="A12855" s="841" t="s">
        <v>171</v>
      </c>
      <c r="E12855" s="1689" t="s">
        <v>3390</v>
      </c>
      <c r="F12855" s="1689"/>
      <c r="G12855" s="1921"/>
      <c r="H12855" s="1921"/>
      <c r="M12855" s="1357"/>
      <c r="Q12855" s="1357"/>
      <c r="S12855" s="1420"/>
      <c r="T12855" s="1420"/>
      <c r="V12855" s="1357">
        <v>274</v>
      </c>
    </row>
    <row r="12856" spans="1:22" s="841" customFormat="1" ht="15" x14ac:dyDescent="0.25">
      <c r="A12856" s="841" t="s">
        <v>171</v>
      </c>
      <c r="E12856" s="1694" t="s">
        <v>3137</v>
      </c>
      <c r="F12856" s="1690"/>
      <c r="G12856" s="1904"/>
      <c r="H12856" s="1904"/>
      <c r="K12856" s="841" t="s">
        <v>4671</v>
      </c>
      <c r="M12856" s="1357"/>
      <c r="Q12856" s="1357"/>
      <c r="S12856" s="1420"/>
      <c r="T12856" s="1420"/>
      <c r="V12856" s="1357">
        <v>23</v>
      </c>
    </row>
    <row r="12857" spans="1:22" s="841" customFormat="1" ht="15" x14ac:dyDescent="0.25">
      <c r="A12857" s="841" t="s">
        <v>171</v>
      </c>
      <c r="E12857" s="1688" t="s">
        <v>4770</v>
      </c>
      <c r="F12857" s="1688"/>
      <c r="G12857" s="670" t="s">
        <v>23</v>
      </c>
      <c r="H12857" s="1332">
        <v>15</v>
      </c>
      <c r="M12857" s="1357"/>
      <c r="Q12857" s="1357"/>
      <c r="S12857" s="1420"/>
      <c r="T12857" s="1420"/>
      <c r="V12857" s="1357">
        <v>15</v>
      </c>
    </row>
    <row r="12858" spans="1:22" s="841" customFormat="1" ht="15" x14ac:dyDescent="0.25">
      <c r="A12858" s="841" t="s">
        <v>171</v>
      </c>
      <c r="E12858" s="1688" t="s">
        <v>3146</v>
      </c>
      <c r="F12858" s="1688"/>
      <c r="G12858" s="670" t="s">
        <v>23</v>
      </c>
      <c r="H12858" s="1332">
        <v>15</v>
      </c>
      <c r="M12858" s="1357"/>
      <c r="Q12858" s="1357"/>
      <c r="S12858" s="1420"/>
      <c r="T12858" s="1420"/>
      <c r="V12858" s="1357">
        <v>19</v>
      </c>
    </row>
    <row r="12859" spans="1:22" s="841" customFormat="1" ht="15" x14ac:dyDescent="0.25">
      <c r="A12859" s="841" t="s">
        <v>171</v>
      </c>
      <c r="E12859" s="1688" t="s">
        <v>3148</v>
      </c>
      <c r="F12859" s="1688"/>
      <c r="G12859" s="670" t="s">
        <v>23</v>
      </c>
      <c r="H12859" s="1332">
        <v>15</v>
      </c>
      <c r="M12859" s="1357"/>
      <c r="Q12859" s="1357"/>
      <c r="S12859" s="1420"/>
      <c r="T12859" s="1420"/>
      <c r="V12859" s="1357">
        <v>56</v>
      </c>
    </row>
    <row r="12860" spans="1:22" s="841" customFormat="1" ht="15" x14ac:dyDescent="0.25">
      <c r="A12860" s="841" t="s">
        <v>171</v>
      </c>
      <c r="E12860" s="1688" t="s">
        <v>123</v>
      </c>
      <c r="F12860" s="1688"/>
      <c r="G12860" s="670" t="s">
        <v>23</v>
      </c>
      <c r="H12860" s="1332">
        <v>15</v>
      </c>
      <c r="M12860" s="1357"/>
      <c r="Q12860" s="1357"/>
      <c r="S12860" s="1420"/>
      <c r="T12860" s="1420"/>
      <c r="V12860" s="1357">
        <v>35</v>
      </c>
    </row>
    <row r="12861" spans="1:22" s="841" customFormat="1" ht="15" x14ac:dyDescent="0.25">
      <c r="A12861" s="841" t="s">
        <v>171</v>
      </c>
      <c r="E12861" s="1688" t="s">
        <v>3142</v>
      </c>
      <c r="F12861" s="1688"/>
      <c r="G12861" s="670" t="s">
        <v>23</v>
      </c>
      <c r="H12861" s="1332">
        <v>15</v>
      </c>
      <c r="M12861" s="1357"/>
      <c r="Q12861" s="1357"/>
      <c r="S12861" s="1420"/>
      <c r="T12861" s="1420"/>
      <c r="V12861" s="1357">
        <v>39</v>
      </c>
    </row>
    <row r="12862" spans="1:22" s="841" customFormat="1" ht="15" x14ac:dyDescent="0.25">
      <c r="A12862" s="841" t="s">
        <v>171</v>
      </c>
      <c r="E12862" s="1688" t="s">
        <v>3145</v>
      </c>
      <c r="F12862" s="1688"/>
      <c r="G12862" s="670" t="s">
        <v>23</v>
      </c>
      <c r="H12862" s="1332">
        <v>15</v>
      </c>
      <c r="M12862" s="1357"/>
      <c r="Q12862" s="1357"/>
      <c r="S12862" s="1420"/>
      <c r="T12862" s="1420"/>
      <c r="V12862" s="1357">
        <v>17</v>
      </c>
    </row>
    <row r="12863" spans="1:22" s="841" customFormat="1" ht="15" x14ac:dyDescent="0.25">
      <c r="A12863" s="841" t="s">
        <v>171</v>
      </c>
      <c r="E12863" s="1688" t="s">
        <v>3961</v>
      </c>
      <c r="F12863" s="1688"/>
      <c r="G12863" s="670" t="s">
        <v>23</v>
      </c>
      <c r="H12863" s="1332">
        <v>30</v>
      </c>
      <c r="M12863" s="1357"/>
      <c r="Q12863" s="1357"/>
      <c r="S12863" s="1420"/>
      <c r="T12863" s="1420"/>
      <c r="V12863" s="1357">
        <v>91</v>
      </c>
    </row>
    <row r="12864" spans="1:22" s="841" customFormat="1" ht="15" x14ac:dyDescent="0.25">
      <c r="A12864" s="841" t="s">
        <v>171</v>
      </c>
      <c r="E12864" s="1688" t="s">
        <v>92</v>
      </c>
      <c r="F12864" s="1688"/>
      <c r="G12864" s="670" t="s">
        <v>23</v>
      </c>
      <c r="H12864" s="1332">
        <v>30</v>
      </c>
      <c r="M12864" s="1357"/>
      <c r="Q12864" s="1357"/>
      <c r="S12864" s="1420"/>
      <c r="T12864" s="1420"/>
      <c r="V12864" s="1357">
        <v>74</v>
      </c>
    </row>
    <row r="12865" spans="1:22" s="841" customFormat="1" ht="15" x14ac:dyDescent="0.25">
      <c r="A12865" s="841" t="s">
        <v>171</v>
      </c>
      <c r="E12865" s="1694" t="s">
        <v>3152</v>
      </c>
      <c r="F12865" s="1690"/>
      <c r="G12865" s="1904"/>
      <c r="H12865" s="1904"/>
      <c r="K12865" s="841" t="s">
        <v>4672</v>
      </c>
      <c r="M12865" s="1357"/>
      <c r="Q12865" s="1357"/>
      <c r="S12865" s="1420"/>
      <c r="T12865" s="1420"/>
      <c r="V12865" s="1357">
        <v>22</v>
      </c>
    </row>
    <row r="12866" spans="1:22" s="841" customFormat="1" ht="15" x14ac:dyDescent="0.25">
      <c r="A12866" s="841" t="s">
        <v>171</v>
      </c>
      <c r="E12866" s="1368" t="s">
        <v>5137</v>
      </c>
      <c r="F12866" s="1368"/>
      <c r="G12866" s="670" t="s">
        <v>86</v>
      </c>
      <c r="H12866" s="1332">
        <v>1.5</v>
      </c>
      <c r="M12866" s="1357"/>
      <c r="Q12866" s="1357"/>
      <c r="S12866" s="1420"/>
      <c r="T12866" s="1420"/>
      <c r="V12866" s="1357">
        <v>24</v>
      </c>
    </row>
    <row r="12867" spans="1:22" s="841" customFormat="1" ht="15" x14ac:dyDescent="0.25">
      <c r="A12867" s="841" t="s">
        <v>171</v>
      </c>
      <c r="E12867" s="1368" t="s">
        <v>4772</v>
      </c>
      <c r="F12867" s="1368"/>
      <c r="G12867" s="670" t="s">
        <v>86</v>
      </c>
      <c r="H12867" s="1332">
        <v>19.559999999999999</v>
      </c>
      <c r="M12867" s="1357"/>
      <c r="Q12867" s="1357"/>
      <c r="S12867" s="1420"/>
      <c r="T12867" s="1420"/>
      <c r="V12867" s="1357">
        <v>24</v>
      </c>
    </row>
    <row r="12868" spans="1:22" s="841" customFormat="1" ht="23.25" x14ac:dyDescent="0.25">
      <c r="A12868" s="841" t="s">
        <v>171</v>
      </c>
      <c r="E12868" s="1368" t="s">
        <v>4773</v>
      </c>
      <c r="F12868" s="1368"/>
      <c r="G12868" s="670" t="s">
        <v>23</v>
      </c>
      <c r="H12868" s="1332">
        <v>65</v>
      </c>
      <c r="M12868" s="1357"/>
      <c r="Q12868" s="1357"/>
      <c r="S12868" s="1420"/>
      <c r="T12868" s="1420"/>
      <c r="V12868" s="1357">
        <v>52</v>
      </c>
    </row>
    <row r="12869" spans="1:22" s="841" customFormat="1" ht="23.25" x14ac:dyDescent="0.25">
      <c r="A12869" s="841" t="s">
        <v>171</v>
      </c>
      <c r="E12869" s="1368" t="s">
        <v>4774</v>
      </c>
      <c r="F12869" s="1368"/>
      <c r="G12869" s="670" t="s">
        <v>23</v>
      </c>
      <c r="H12869" s="1332">
        <v>185</v>
      </c>
      <c r="M12869" s="1357"/>
      <c r="Q12869" s="1357"/>
      <c r="S12869" s="1420"/>
      <c r="T12869" s="1420"/>
      <c r="V12869" s="1357">
        <v>51</v>
      </c>
    </row>
    <row r="12870" spans="1:22" s="841" customFormat="1" ht="15" x14ac:dyDescent="0.25">
      <c r="A12870" s="841" t="s">
        <v>171</v>
      </c>
      <c r="E12870" s="1694" t="s">
        <v>3164</v>
      </c>
      <c r="F12870" s="1690"/>
      <c r="G12870" s="1904"/>
      <c r="H12870" s="1904"/>
      <c r="M12870" s="1357"/>
      <c r="Q12870" s="1357"/>
      <c r="S12870" s="1420"/>
      <c r="T12870" s="1420"/>
      <c r="V12870" s="1357">
        <v>5</v>
      </c>
    </row>
    <row r="12871" spans="1:22" s="841" customFormat="1" ht="15" x14ac:dyDescent="0.25">
      <c r="A12871" s="841" t="s">
        <v>171</v>
      </c>
      <c r="E12871" s="1688" t="s">
        <v>3502</v>
      </c>
      <c r="F12871" s="1688"/>
      <c r="G12871" s="670" t="s">
        <v>23</v>
      </c>
      <c r="H12871" s="1332">
        <v>22.35</v>
      </c>
      <c r="M12871" s="1357"/>
      <c r="Q12871" s="1357"/>
      <c r="S12871" s="1420"/>
      <c r="T12871" s="1420"/>
      <c r="V12871" s="1357">
        <v>104</v>
      </c>
    </row>
    <row r="12872" spans="1:22" s="841" customFormat="1" x14ac:dyDescent="0.25">
      <c r="A12872" s="841" t="s">
        <v>171</v>
      </c>
      <c r="E12872" s="1931" t="s">
        <v>77</v>
      </c>
      <c r="F12872" s="1932"/>
      <c r="G12872" s="1933"/>
      <c r="H12872" s="1933"/>
      <c r="K12872" s="841" t="s">
        <v>4673</v>
      </c>
      <c r="M12872" s="1357"/>
      <c r="Q12872" s="1357"/>
      <c r="S12872" s="1420"/>
      <c r="T12872" s="1420"/>
      <c r="V12872" s="1357">
        <v>38</v>
      </c>
    </row>
    <row r="12873" spans="1:22" s="841" customFormat="1" ht="15" x14ac:dyDescent="0.25">
      <c r="A12873" s="841" t="s">
        <v>171</v>
      </c>
      <c r="E12873" s="1926" t="s">
        <v>3061</v>
      </c>
      <c r="F12873" s="1689"/>
      <c r="G12873" s="1921"/>
      <c r="H12873" s="1921"/>
      <c r="K12873" s="841" t="s">
        <v>3266</v>
      </c>
      <c r="M12873" s="1357"/>
      <c r="Q12873" s="1357"/>
      <c r="S12873" s="1420"/>
      <c r="T12873" s="1420"/>
      <c r="V12873" s="1357">
        <v>11</v>
      </c>
    </row>
    <row r="12874" spans="1:22" s="841" customFormat="1" ht="15" x14ac:dyDescent="0.25">
      <c r="A12874" s="841" t="s">
        <v>171</v>
      </c>
      <c r="E12874" s="1689" t="s">
        <v>3063</v>
      </c>
      <c r="F12874" s="1689"/>
      <c r="G12874" s="1921"/>
      <c r="H12874" s="1921"/>
      <c r="M12874" s="1357"/>
      <c r="Q12874" s="1357"/>
      <c r="S12874" s="1420"/>
      <c r="T12874" s="1420"/>
      <c r="V12874" s="1357">
        <v>280</v>
      </c>
    </row>
    <row r="12875" spans="1:22" s="841" customFormat="1" ht="15" x14ac:dyDescent="0.25">
      <c r="A12875" s="841" t="s">
        <v>171</v>
      </c>
      <c r="E12875" s="1689" t="s">
        <v>3064</v>
      </c>
      <c r="F12875" s="1689"/>
      <c r="G12875" s="1921"/>
      <c r="H12875" s="1921"/>
      <c r="M12875" s="1357"/>
      <c r="Q12875" s="1357"/>
      <c r="S12875" s="1420"/>
      <c r="T12875" s="1420"/>
      <c r="V12875" s="1357">
        <v>411</v>
      </c>
    </row>
    <row r="12876" spans="1:22" s="841" customFormat="1" ht="15" x14ac:dyDescent="0.25">
      <c r="A12876" s="841" t="s">
        <v>171</v>
      </c>
      <c r="E12876" s="1689" t="s">
        <v>3129</v>
      </c>
      <c r="F12876" s="1689"/>
      <c r="G12876" s="1921"/>
      <c r="H12876" s="1921"/>
      <c r="M12876" s="1357"/>
      <c r="Q12876" s="1357"/>
      <c r="S12876" s="1420"/>
      <c r="T12876" s="1420"/>
      <c r="V12876" s="1357">
        <v>211</v>
      </c>
    </row>
    <row r="12877" spans="1:22" s="841" customFormat="1" ht="15" x14ac:dyDescent="0.25">
      <c r="A12877" s="841" t="s">
        <v>171</v>
      </c>
      <c r="E12877" s="1689" t="s">
        <v>3390</v>
      </c>
      <c r="F12877" s="1689"/>
      <c r="G12877" s="1921"/>
      <c r="H12877" s="1921"/>
      <c r="M12877" s="1357"/>
      <c r="Q12877" s="1357"/>
      <c r="S12877" s="1420"/>
      <c r="T12877" s="1420"/>
      <c r="V12877" s="1357">
        <v>274</v>
      </c>
    </row>
    <row r="12878" spans="1:22" s="841" customFormat="1" ht="15" x14ac:dyDescent="0.25">
      <c r="A12878" s="841" t="s">
        <v>171</v>
      </c>
      <c r="E12878" s="1690" t="s">
        <v>3559</v>
      </c>
      <c r="F12878" s="1690"/>
      <c r="G12878" s="1962"/>
      <c r="H12878" s="1962"/>
      <c r="M12878" s="1357"/>
      <c r="Q12878" s="1357"/>
      <c r="S12878" s="1420"/>
      <c r="T12878" s="1420"/>
      <c r="V12878" s="1357">
        <v>141</v>
      </c>
    </row>
    <row r="12879" spans="1:22" s="841" customFormat="1" ht="15" x14ac:dyDescent="0.25">
      <c r="A12879" s="841" t="s">
        <v>171</v>
      </c>
      <c r="E12879" s="1690" t="s">
        <v>3176</v>
      </c>
      <c r="F12879" s="1690"/>
      <c r="G12879" s="672" t="s">
        <v>23</v>
      </c>
      <c r="H12879" s="1333">
        <v>100</v>
      </c>
      <c r="M12879" s="1357"/>
      <c r="Q12879" s="1357"/>
      <c r="S12879" s="1420"/>
      <c r="T12879" s="1420"/>
      <c r="V12879" s="1357">
        <v>106</v>
      </c>
    </row>
    <row r="12880" spans="1:22" s="841" customFormat="1" ht="15" x14ac:dyDescent="0.25">
      <c r="A12880" s="841" t="s">
        <v>171</v>
      </c>
      <c r="E12880" s="1690" t="s">
        <v>3177</v>
      </c>
      <c r="F12880" s="1690"/>
      <c r="G12880" s="672" t="s">
        <v>23</v>
      </c>
      <c r="H12880" s="1333">
        <v>20</v>
      </c>
      <c r="M12880" s="1357"/>
      <c r="Q12880" s="1357"/>
      <c r="S12880" s="1420"/>
      <c r="T12880" s="1420"/>
      <c r="V12880" s="1357">
        <v>34</v>
      </c>
    </row>
    <row r="12881" spans="1:22" s="841" customFormat="1" ht="15" x14ac:dyDescent="0.25">
      <c r="A12881" s="841" t="s">
        <v>171</v>
      </c>
      <c r="E12881" s="1690" t="s">
        <v>3178</v>
      </c>
      <c r="F12881" s="1690"/>
      <c r="G12881" s="672" t="s">
        <v>3179</v>
      </c>
      <c r="H12881" s="1333">
        <v>0.5</v>
      </c>
      <c r="M12881" s="1357"/>
      <c r="Q12881" s="1357"/>
      <c r="S12881" s="1420"/>
      <c r="T12881" s="1420"/>
      <c r="V12881" s="1357">
        <v>51</v>
      </c>
    </row>
    <row r="12882" spans="1:22" s="841" customFormat="1" ht="15" x14ac:dyDescent="0.25">
      <c r="A12882" s="841" t="s">
        <v>171</v>
      </c>
      <c r="E12882" s="1690" t="s">
        <v>3180</v>
      </c>
      <c r="F12882" s="1690"/>
      <c r="G12882" s="672" t="s">
        <v>3179</v>
      </c>
      <c r="H12882" s="1333">
        <v>0.3</v>
      </c>
      <c r="M12882" s="1357"/>
      <c r="Q12882" s="1357"/>
      <c r="S12882" s="1420"/>
      <c r="T12882" s="1420"/>
      <c r="V12882" s="1357">
        <v>75</v>
      </c>
    </row>
    <row r="12883" spans="1:22" s="841" customFormat="1" ht="15" x14ac:dyDescent="0.25">
      <c r="A12883" s="841" t="s">
        <v>171</v>
      </c>
      <c r="E12883" s="1690" t="s">
        <v>3181</v>
      </c>
      <c r="F12883" s="1690"/>
      <c r="G12883" s="672" t="s">
        <v>3179</v>
      </c>
      <c r="H12883" s="1333">
        <v>-0.3</v>
      </c>
      <c r="M12883" s="1357"/>
      <c r="Q12883" s="1357"/>
      <c r="S12883" s="1420"/>
      <c r="T12883" s="1420"/>
      <c r="V12883" s="1357">
        <v>72</v>
      </c>
    </row>
    <row r="12884" spans="1:22" s="841" customFormat="1" ht="15" x14ac:dyDescent="0.25">
      <c r="A12884" s="841" t="s">
        <v>171</v>
      </c>
      <c r="E12884" s="1691" t="s">
        <v>3292</v>
      </c>
      <c r="F12884" s="1691"/>
      <c r="G12884" s="1962"/>
      <c r="H12884" s="1962"/>
      <c r="M12884" s="1357"/>
      <c r="Q12884" s="1357"/>
      <c r="S12884" s="1420"/>
      <c r="T12884" s="1420"/>
      <c r="V12884" s="1357">
        <v>34</v>
      </c>
    </row>
    <row r="12885" spans="1:22" s="841" customFormat="1" ht="15" x14ac:dyDescent="0.25">
      <c r="A12885" s="841" t="s">
        <v>171</v>
      </c>
      <c r="E12885" s="1691" t="s">
        <v>3183</v>
      </c>
      <c r="F12885" s="1691"/>
      <c r="G12885" s="672" t="s">
        <v>23</v>
      </c>
      <c r="H12885" s="1333">
        <v>0.25</v>
      </c>
      <c r="M12885" s="1357"/>
      <c r="Q12885" s="1357"/>
      <c r="S12885" s="1420"/>
      <c r="T12885" s="1420"/>
      <c r="V12885" s="1357">
        <v>57</v>
      </c>
    </row>
    <row r="12886" spans="1:22" s="841" customFormat="1" ht="15" x14ac:dyDescent="0.25">
      <c r="A12886" s="841" t="s">
        <v>171</v>
      </c>
      <c r="E12886" s="1690" t="s">
        <v>3184</v>
      </c>
      <c r="F12886" s="1690"/>
      <c r="G12886" s="672" t="s">
        <v>23</v>
      </c>
      <c r="H12886" s="1333">
        <v>0.5</v>
      </c>
      <c r="M12886" s="1357"/>
      <c r="Q12886" s="1357"/>
      <c r="S12886" s="1420"/>
      <c r="T12886" s="1420"/>
      <c r="V12886" s="1357">
        <v>60</v>
      </c>
    </row>
    <row r="12887" spans="1:22" s="841" customFormat="1" ht="15" x14ac:dyDescent="0.25">
      <c r="A12887" s="841" t="s">
        <v>171</v>
      </c>
      <c r="E12887" s="1690" t="s">
        <v>3661</v>
      </c>
      <c r="F12887" s="1690"/>
      <c r="G12887" s="1962"/>
      <c r="H12887" s="1962"/>
      <c r="M12887" s="1357"/>
      <c r="Q12887" s="1357"/>
      <c r="S12887" s="1420"/>
      <c r="T12887" s="1420"/>
      <c r="V12887" s="1357">
        <v>92</v>
      </c>
    </row>
    <row r="12888" spans="1:22" s="841" customFormat="1" ht="15" x14ac:dyDescent="0.25">
      <c r="A12888" s="841" t="s">
        <v>171</v>
      </c>
      <c r="E12888" s="1690" t="s">
        <v>3662</v>
      </c>
      <c r="F12888" s="1690"/>
      <c r="G12888" s="1962"/>
      <c r="H12888" s="1962"/>
      <c r="M12888" s="1357"/>
      <c r="Q12888" s="1357"/>
      <c r="S12888" s="1420"/>
      <c r="T12888" s="1420"/>
      <c r="V12888" s="1357">
        <v>97</v>
      </c>
    </row>
    <row r="12889" spans="1:22" s="841" customFormat="1" ht="15" x14ac:dyDescent="0.25">
      <c r="A12889" s="841" t="s">
        <v>171</v>
      </c>
      <c r="E12889" s="1691" t="s">
        <v>3293</v>
      </c>
      <c r="F12889" s="1691"/>
      <c r="G12889" s="1962"/>
      <c r="H12889" s="1962"/>
      <c r="M12889" s="1357"/>
      <c r="Q12889" s="1357"/>
      <c r="S12889" s="1420"/>
      <c r="T12889" s="1420"/>
      <c r="V12889" s="1357">
        <v>77</v>
      </c>
    </row>
    <row r="12890" spans="1:22" s="841" customFormat="1" ht="15" x14ac:dyDescent="0.25">
      <c r="A12890" s="841" t="s">
        <v>171</v>
      </c>
      <c r="E12890" s="1691" t="s">
        <v>3188</v>
      </c>
      <c r="F12890" s="1691"/>
      <c r="G12890" s="672" t="s">
        <v>23</v>
      </c>
      <c r="H12890" s="1334" t="s">
        <v>3189</v>
      </c>
      <c r="M12890" s="1357"/>
      <c r="Q12890" s="1357"/>
      <c r="S12890" s="1420"/>
      <c r="T12890" s="1420"/>
      <c r="V12890" s="1357">
        <v>18</v>
      </c>
    </row>
    <row r="12891" spans="1:22" s="841" customFormat="1" ht="15" x14ac:dyDescent="0.25">
      <c r="A12891" s="841" t="s">
        <v>171</v>
      </c>
      <c r="E12891" s="2150" t="s">
        <v>3190</v>
      </c>
      <c r="F12891" s="1959"/>
      <c r="G12891" s="672" t="s">
        <v>23</v>
      </c>
      <c r="H12891" s="1333">
        <v>2</v>
      </c>
      <c r="M12891" s="1357"/>
      <c r="Q12891" s="1357"/>
      <c r="S12891" s="1420"/>
      <c r="T12891" s="1420"/>
      <c r="V12891" s="1357">
        <v>69</v>
      </c>
    </row>
    <row r="12892" spans="1:22" s="841" customFormat="1" ht="18.75" x14ac:dyDescent="0.25">
      <c r="A12892" s="841" t="s">
        <v>171</v>
      </c>
      <c r="E12892" s="1965" t="s">
        <v>147</v>
      </c>
      <c r="F12892" s="2149"/>
      <c r="G12892" s="2149"/>
      <c r="H12892" s="2149"/>
      <c r="K12892" s="841" t="s">
        <v>4674</v>
      </c>
      <c r="M12892" s="1357"/>
      <c r="Q12892" s="1357"/>
      <c r="S12892" s="1420"/>
      <c r="T12892" s="1420"/>
      <c r="V12892" s="1357">
        <v>12</v>
      </c>
    </row>
    <row r="12893" spans="1:22" s="841" customFormat="1" ht="15" x14ac:dyDescent="0.25">
      <c r="A12893" s="841" t="s">
        <v>171</v>
      </c>
      <c r="E12893" s="1704" t="s">
        <v>3192</v>
      </c>
      <c r="F12893" s="1704"/>
      <c r="G12893" s="1904"/>
      <c r="H12893" s="1904"/>
      <c r="M12893" s="1357"/>
      <c r="Q12893" s="1357"/>
      <c r="S12893" s="1420"/>
      <c r="T12893" s="1420"/>
      <c r="V12893" s="1357">
        <v>203</v>
      </c>
    </row>
    <row r="12894" spans="1:22" s="841" customFormat="1" ht="15" x14ac:dyDescent="0.25">
      <c r="A12894" s="841" t="s">
        <v>171</v>
      </c>
      <c r="E12894" s="1690" t="s">
        <v>3295</v>
      </c>
      <c r="F12894" s="1690"/>
      <c r="G12894" s="1407"/>
      <c r="H12894" s="1419">
        <v>1.0362</v>
      </c>
      <c r="M12894" s="1357"/>
      <c r="Q12894" s="1357"/>
      <c r="S12894" s="1420"/>
      <c r="T12894" s="1420"/>
      <c r="V12894" s="1357">
        <v>57</v>
      </c>
    </row>
    <row r="12895" spans="1:22" s="841" customFormat="1" ht="15" x14ac:dyDescent="0.25">
      <c r="A12895" s="841" t="s">
        <v>171</v>
      </c>
      <c r="E12895" s="1690" t="s">
        <v>3296</v>
      </c>
      <c r="F12895" s="1690"/>
      <c r="G12895" s="1407"/>
      <c r="H12895" s="1419">
        <v>1.0146999999999999</v>
      </c>
      <c r="M12895" s="1357"/>
      <c r="Q12895" s="1357"/>
      <c r="S12895" s="1420"/>
      <c r="T12895" s="1420"/>
      <c r="V12895" s="1357">
        <v>57</v>
      </c>
    </row>
    <row r="12896" spans="1:22" s="841" customFormat="1" ht="15" x14ac:dyDescent="0.25">
      <c r="A12896" s="841" t="s">
        <v>171</v>
      </c>
      <c r="E12896" s="1690" t="s">
        <v>3297</v>
      </c>
      <c r="F12896" s="1690"/>
      <c r="G12896" s="1407"/>
      <c r="H12896" s="1419">
        <v>1.0259</v>
      </c>
      <c r="M12896" s="1357"/>
      <c r="Q12896" s="1357"/>
      <c r="S12896" s="1420"/>
      <c r="T12896" s="1420"/>
      <c r="V12896" s="1357">
        <v>55</v>
      </c>
    </row>
    <row r="12897" spans="1:22" s="841" customFormat="1" ht="15" x14ac:dyDescent="0.25">
      <c r="A12897" s="841" t="s">
        <v>171</v>
      </c>
      <c r="E12897" s="1690" t="s">
        <v>3298</v>
      </c>
      <c r="F12897" s="1690"/>
      <c r="G12897" s="1407"/>
      <c r="H12897" s="1419">
        <v>1.0046999999999999</v>
      </c>
      <c r="J12897" s="841" t="s">
        <v>4675</v>
      </c>
      <c r="M12897" s="1357"/>
      <c r="Q12897" s="1357"/>
      <c r="S12897" s="1420"/>
      <c r="T12897" s="1420"/>
      <c r="V12897" s="1357">
        <v>55</v>
      </c>
    </row>
    <row r="12898" spans="1:22" s="841" customFormat="1" ht="23.25" x14ac:dyDescent="0.25">
      <c r="A12898" s="841" t="s">
        <v>246</v>
      </c>
      <c r="C12898" s="841" t="s">
        <v>3050</v>
      </c>
      <c r="E12898" s="1911" t="s">
        <v>246</v>
      </c>
      <c r="F12898" s="1911"/>
      <c r="G12898" s="1911"/>
      <c r="H12898" s="1911"/>
      <c r="I12898" s="841" t="s">
        <v>628</v>
      </c>
      <c r="J12898" s="841" t="s">
        <v>4797</v>
      </c>
      <c r="K12898" s="841" t="s">
        <v>246</v>
      </c>
      <c r="M12898" s="1357">
        <v>7</v>
      </c>
      <c r="Q12898" s="1357"/>
      <c r="S12898" s="1420"/>
      <c r="T12898" s="1420"/>
      <c r="V12898" s="1357">
        <v>35</v>
      </c>
    </row>
    <row r="12899" spans="1:22" s="841" customFormat="1" x14ac:dyDescent="0.25">
      <c r="A12899" s="841" t="s">
        <v>246</v>
      </c>
      <c r="C12899" s="841" t="s">
        <v>3052</v>
      </c>
      <c r="E12899" s="1912" t="s">
        <v>3053</v>
      </c>
      <c r="F12899" s="1912"/>
      <c r="G12899" s="1912"/>
      <c r="H12899" s="1912"/>
      <c r="M12899" s="1357"/>
      <c r="Q12899" s="1357"/>
      <c r="S12899" s="1420"/>
      <c r="T12899" s="1420"/>
      <c r="V12899" s="1357">
        <v>27</v>
      </c>
    </row>
    <row r="12900" spans="1:22" s="841" customFormat="1" ht="15.75" x14ac:dyDescent="0.25">
      <c r="A12900" s="841" t="s">
        <v>246</v>
      </c>
      <c r="C12900" s="841" t="s">
        <v>3054</v>
      </c>
      <c r="E12900" s="1913" t="s">
        <v>5107</v>
      </c>
      <c r="F12900" s="1913"/>
      <c r="G12900" s="1913"/>
      <c r="H12900" s="1913"/>
      <c r="M12900" s="1357"/>
      <c r="Q12900" s="1357"/>
      <c r="S12900" s="1420">
        <v>43221</v>
      </c>
      <c r="T12900" s="1420"/>
      <c r="V12900" s="1357">
        <v>45</v>
      </c>
    </row>
    <row r="12901" spans="1:22" s="841" customFormat="1" ht="15" x14ac:dyDescent="0.25">
      <c r="A12901" s="841" t="s">
        <v>246</v>
      </c>
      <c r="C12901" s="841" t="s">
        <v>3055</v>
      </c>
      <c r="E12901" s="1914" t="s">
        <v>3056</v>
      </c>
      <c r="F12901" s="1914"/>
      <c r="G12901" s="1914"/>
      <c r="H12901" s="1914"/>
      <c r="M12901" s="1357"/>
      <c r="Q12901" s="1357"/>
      <c r="S12901" s="1420"/>
      <c r="T12901" s="1420"/>
      <c r="V12901" s="1357">
        <v>52</v>
      </c>
    </row>
    <row r="12902" spans="1:22" s="841" customFormat="1" ht="15" x14ac:dyDescent="0.25">
      <c r="A12902" s="841" t="s">
        <v>246</v>
      </c>
      <c r="E12902" s="1914" t="s">
        <v>3057</v>
      </c>
      <c r="F12902" s="1914"/>
      <c r="G12902" s="1914"/>
      <c r="H12902" s="1914"/>
      <c r="M12902" s="1357"/>
      <c r="Q12902" s="1357"/>
      <c r="S12902" s="1420"/>
      <c r="T12902" s="1420"/>
      <c r="V12902" s="1357">
        <v>53</v>
      </c>
    </row>
    <row r="12903" spans="1:22" s="841" customFormat="1" ht="15" x14ac:dyDescent="0.25">
      <c r="A12903" s="841" t="s">
        <v>246</v>
      </c>
      <c r="E12903" s="1925" t="s">
        <v>5901</v>
      </c>
      <c r="F12903" s="1925"/>
      <c r="G12903" s="1925"/>
      <c r="H12903" s="1925"/>
      <c r="K12903" s="841" t="s">
        <v>5901</v>
      </c>
      <c r="M12903" s="1357"/>
      <c r="Q12903" s="1357"/>
      <c r="S12903" s="1420"/>
      <c r="T12903" s="1420"/>
      <c r="V12903" s="1357">
        <v>12</v>
      </c>
    </row>
    <row r="12904" spans="1:22" s="841" customFormat="1" ht="15" x14ac:dyDescent="0.25">
      <c r="A12904" s="841" t="s">
        <v>246</v>
      </c>
      <c r="E12904" s="1909" t="s">
        <v>438</v>
      </c>
      <c r="F12904" s="1689"/>
      <c r="G12904" s="1689"/>
      <c r="H12904" s="1697"/>
      <c r="K12904" s="841" t="s">
        <v>3197</v>
      </c>
      <c r="M12904" s="1357"/>
      <c r="Q12904" s="1357"/>
      <c r="S12904" s="1420"/>
      <c r="T12904" s="1420"/>
      <c r="V12904" s="1357">
        <v>34</v>
      </c>
    </row>
    <row r="12905" spans="1:22" s="841" customFormat="1" ht="15" x14ac:dyDescent="0.25">
      <c r="A12905" s="841" t="s">
        <v>246</v>
      </c>
      <c r="E12905" s="1689" t="s">
        <v>4798</v>
      </c>
      <c r="F12905" s="1689"/>
      <c r="G12905" s="1689"/>
      <c r="H12905" s="1689"/>
      <c r="K12905" s="841" t="s">
        <v>3197</v>
      </c>
      <c r="M12905" s="1357"/>
      <c r="Q12905" s="1357"/>
      <c r="S12905" s="1420"/>
      <c r="T12905" s="1420"/>
      <c r="V12905" s="1357">
        <v>319</v>
      </c>
    </row>
    <row r="12906" spans="1:22" s="841" customFormat="1" ht="15" x14ac:dyDescent="0.25">
      <c r="A12906" s="841" t="s">
        <v>246</v>
      </c>
      <c r="E12906" s="1916" t="s">
        <v>3061</v>
      </c>
      <c r="F12906" s="1926"/>
      <c r="G12906" s="1926"/>
      <c r="H12906" s="1926"/>
      <c r="K12906" s="841" t="s">
        <v>3062</v>
      </c>
      <c r="M12906" s="1357"/>
      <c r="Q12906" s="1357"/>
      <c r="S12906" s="1420"/>
      <c r="T12906" s="1420"/>
      <c r="V12906" s="1357">
        <v>11</v>
      </c>
    </row>
    <row r="12907" spans="1:22" s="841" customFormat="1" ht="15" x14ac:dyDescent="0.25">
      <c r="A12907" s="841" t="s">
        <v>246</v>
      </c>
      <c r="E12907" s="1689" t="s">
        <v>3063</v>
      </c>
      <c r="F12907" s="1689"/>
      <c r="G12907" s="1689"/>
      <c r="H12907" s="1689"/>
      <c r="K12907" s="841" t="s">
        <v>3197</v>
      </c>
      <c r="M12907" s="1357"/>
      <c r="Q12907" s="1357"/>
      <c r="S12907" s="1420"/>
      <c r="T12907" s="1420"/>
      <c r="V12907" s="1357">
        <v>280</v>
      </c>
    </row>
    <row r="12908" spans="1:22" s="841" customFormat="1" ht="15" x14ac:dyDescent="0.25">
      <c r="A12908" s="841" t="s">
        <v>246</v>
      </c>
      <c r="E12908" s="1689" t="s">
        <v>3064</v>
      </c>
      <c r="F12908" s="1689"/>
      <c r="G12908" s="1689"/>
      <c r="H12908" s="1689"/>
      <c r="K12908" s="841" t="s">
        <v>3197</v>
      </c>
      <c r="M12908" s="1357"/>
      <c r="Q12908" s="1357"/>
      <c r="S12908" s="1420"/>
      <c r="T12908" s="1420"/>
      <c r="V12908" s="1357">
        <v>411</v>
      </c>
    </row>
    <row r="12909" spans="1:22" s="841" customFormat="1" ht="15" x14ac:dyDescent="0.25">
      <c r="A12909" s="841" t="s">
        <v>246</v>
      </c>
      <c r="E12909" s="1689" t="s">
        <v>3065</v>
      </c>
      <c r="F12909" s="1689"/>
      <c r="G12909" s="1689"/>
      <c r="H12909" s="1689"/>
      <c r="K12909" s="841" t="s">
        <v>3197</v>
      </c>
      <c r="M12909" s="1357"/>
      <c r="Q12909" s="1357"/>
      <c r="S12909" s="1420"/>
      <c r="T12909" s="1420"/>
      <c r="V12909" s="1357">
        <v>387</v>
      </c>
    </row>
    <row r="12910" spans="1:22" s="841" customFormat="1" ht="15" x14ac:dyDescent="0.25">
      <c r="A12910" s="841" t="s">
        <v>246</v>
      </c>
      <c r="E12910" s="1689" t="s">
        <v>3200</v>
      </c>
      <c r="F12910" s="1689"/>
      <c r="G12910" s="1689"/>
      <c r="H12910" s="1689"/>
      <c r="K12910" s="841" t="s">
        <v>3197</v>
      </c>
      <c r="M12910" s="1357"/>
      <c r="Q12910" s="1357"/>
      <c r="S12910" s="1420"/>
      <c r="T12910" s="1420"/>
      <c r="V12910" s="1357">
        <v>275</v>
      </c>
    </row>
    <row r="12911" spans="1:22" s="841" customFormat="1" ht="15" x14ac:dyDescent="0.25">
      <c r="A12911" s="841" t="s">
        <v>246</v>
      </c>
      <c r="E12911" s="1694" t="s">
        <v>3067</v>
      </c>
      <c r="F12911" s="1907"/>
      <c r="G12911" s="1907"/>
      <c r="H12911" s="1907"/>
      <c r="K12911" s="841" t="s">
        <v>3068</v>
      </c>
      <c r="M12911" s="1357"/>
      <c r="Q12911" s="1357"/>
      <c r="S12911" s="1420"/>
      <c r="T12911" s="1420"/>
      <c r="V12911" s="1357">
        <v>46</v>
      </c>
    </row>
    <row r="12912" spans="1:22" s="841" customFormat="1" ht="15" x14ac:dyDescent="0.25">
      <c r="A12912" s="841" t="s">
        <v>246</v>
      </c>
      <c r="E12912" s="1690" t="s">
        <v>11</v>
      </c>
      <c r="F12912" s="1690"/>
      <c r="G12912" s="695" t="s">
        <v>23</v>
      </c>
      <c r="H12912" s="391">
        <v>24.94</v>
      </c>
      <c r="K12912" s="841" t="s">
        <v>3197</v>
      </c>
      <c r="L12912" s="841" t="s">
        <v>442</v>
      </c>
      <c r="M12912" s="1357"/>
      <c r="P12912" s="841" t="s">
        <v>3201</v>
      </c>
      <c r="Q12912" s="1357"/>
      <c r="S12912" s="1420"/>
      <c r="T12912" s="1420"/>
      <c r="V12912" s="1357">
        <v>14</v>
      </c>
    </row>
    <row r="12913" spans="1:22" s="841" customFormat="1" ht="15" x14ac:dyDescent="0.25">
      <c r="A12913" s="841" t="s">
        <v>246</v>
      </c>
      <c r="E12913" s="1690" t="s">
        <v>5109</v>
      </c>
      <c r="F12913" s="1690"/>
      <c r="G12913" s="631" t="s">
        <v>23</v>
      </c>
      <c r="H12913" s="391">
        <v>0.56999999999999995</v>
      </c>
      <c r="K12913" s="841" t="s">
        <v>3197</v>
      </c>
      <c r="L12913" s="841" t="s">
        <v>443</v>
      </c>
      <c r="M12913" s="1357"/>
      <c r="P12913" s="841" t="s">
        <v>3202</v>
      </c>
      <c r="Q12913" s="1357"/>
      <c r="S12913" s="1420"/>
      <c r="T12913" s="1420">
        <v>44926</v>
      </c>
      <c r="V12913" s="1357">
        <v>64</v>
      </c>
    </row>
    <row r="12914" spans="1:22" s="841" customFormat="1" ht="15" x14ac:dyDescent="0.25">
      <c r="A12914" s="841" t="s">
        <v>246</v>
      </c>
      <c r="E12914" s="1690" t="s">
        <v>84</v>
      </c>
      <c r="F12914" s="1690"/>
      <c r="G12914" s="695" t="s">
        <v>24</v>
      </c>
      <c r="H12914" s="393">
        <v>3.7000000000000002E-3</v>
      </c>
      <c r="K12914" s="841" t="s">
        <v>3197</v>
      </c>
      <c r="L12914" s="841" t="s">
        <v>442</v>
      </c>
      <c r="M12914" s="1357"/>
      <c r="P12914" s="841" t="s">
        <v>3203</v>
      </c>
      <c r="Q12914" s="1357"/>
      <c r="S12914" s="1420"/>
      <c r="T12914" s="1420"/>
      <c r="V12914" s="1357">
        <v>28</v>
      </c>
    </row>
    <row r="12915" spans="1:22" s="841" customFormat="1" ht="15" x14ac:dyDescent="0.25">
      <c r="A12915" s="841" t="s">
        <v>246</v>
      </c>
      <c r="E12915" s="1690" t="s">
        <v>5129</v>
      </c>
      <c r="F12915" s="1908"/>
      <c r="G12915" s="695" t="s">
        <v>24</v>
      </c>
      <c r="H12915" s="393">
        <v>-6.1999999999999998E-3</v>
      </c>
      <c r="K12915" s="841" t="s">
        <v>3197</v>
      </c>
      <c r="L12915" s="841" t="s">
        <v>443</v>
      </c>
      <c r="M12915" s="1357"/>
      <c r="P12915" s="841" t="s">
        <v>3205</v>
      </c>
      <c r="Q12915" s="1357"/>
      <c r="S12915" s="1420"/>
      <c r="T12915" s="1420">
        <v>43585</v>
      </c>
      <c r="V12915" s="1357">
        <v>139</v>
      </c>
    </row>
    <row r="12916" spans="1:22" s="841" customFormat="1" ht="15" x14ac:dyDescent="0.25">
      <c r="A12916" s="841" t="s">
        <v>246</v>
      </c>
      <c r="E12916" s="1690" t="s">
        <v>5130</v>
      </c>
      <c r="F12916" s="1908"/>
      <c r="G12916" s="695" t="s">
        <v>24</v>
      </c>
      <c r="H12916" s="393">
        <v>-1.1999999999999999E-3</v>
      </c>
      <c r="K12916" s="841" t="s">
        <v>3197</v>
      </c>
      <c r="L12916" s="841" t="s">
        <v>443</v>
      </c>
      <c r="M12916" s="1357"/>
      <c r="P12916" s="841" t="s">
        <v>3207</v>
      </c>
      <c r="Q12916" s="1357"/>
      <c r="S12916" s="1420"/>
      <c r="T12916" s="1420">
        <v>43585</v>
      </c>
      <c r="V12916" s="1357">
        <v>96</v>
      </c>
    </row>
    <row r="12917" spans="1:22" s="841" customFormat="1" ht="15" x14ac:dyDescent="0.25">
      <c r="A12917" s="841" t="s">
        <v>246</v>
      </c>
      <c r="E12917" s="1690" t="s">
        <v>221</v>
      </c>
      <c r="F12917" s="1690"/>
      <c r="G12917" s="631" t="s">
        <v>24</v>
      </c>
      <c r="H12917" s="393">
        <v>7.6E-3</v>
      </c>
      <c r="K12917" s="841" t="s">
        <v>3197</v>
      </c>
      <c r="L12917" s="841" t="s">
        <v>444</v>
      </c>
      <c r="M12917" s="1357"/>
      <c r="P12917" s="841" t="s">
        <v>3208</v>
      </c>
      <c r="Q12917" s="1357"/>
      <c r="S12917" s="1420"/>
      <c r="T12917" s="1420"/>
      <c r="V12917" s="1357">
        <v>47</v>
      </c>
    </row>
    <row r="12918" spans="1:22" s="841" customFormat="1" ht="15" x14ac:dyDescent="0.25">
      <c r="A12918" s="841" t="s">
        <v>246</v>
      </c>
      <c r="E12918" s="1690" t="s">
        <v>217</v>
      </c>
      <c r="F12918" s="1690"/>
      <c r="G12918" s="631" t="s">
        <v>24</v>
      </c>
      <c r="H12918" s="393">
        <v>6.8999999999999999E-3</v>
      </c>
      <c r="K12918" s="841" t="s">
        <v>3197</v>
      </c>
      <c r="L12918" s="841" t="s">
        <v>444</v>
      </c>
      <c r="M12918" s="1357"/>
      <c r="P12918" s="841" t="s">
        <v>3209</v>
      </c>
      <c r="Q12918" s="1357"/>
      <c r="S12918" s="1420"/>
      <c r="T12918" s="1420"/>
      <c r="V12918" s="1357">
        <v>74</v>
      </c>
    </row>
    <row r="12919" spans="1:22" s="841" customFormat="1" ht="15" x14ac:dyDescent="0.25">
      <c r="A12919" s="841" t="s">
        <v>246</v>
      </c>
      <c r="E12919" s="1694" t="s">
        <v>3079</v>
      </c>
      <c r="F12919" s="1906"/>
      <c r="G12919" s="1408"/>
      <c r="H12919" s="1408"/>
      <c r="K12919" s="841" t="s">
        <v>3080</v>
      </c>
      <c r="M12919" s="1357"/>
      <c r="Q12919" s="1357"/>
      <c r="S12919" s="1420"/>
      <c r="T12919" s="1420"/>
      <c r="V12919" s="1357">
        <v>48</v>
      </c>
    </row>
    <row r="12920" spans="1:22" s="841" customFormat="1" ht="15" x14ac:dyDescent="0.25">
      <c r="A12920" s="841" t="s">
        <v>246</v>
      </c>
      <c r="E12920" s="1690" t="s">
        <v>2449</v>
      </c>
      <c r="F12920" s="1690"/>
      <c r="G12920" s="695" t="s">
        <v>24</v>
      </c>
      <c r="H12920" s="393">
        <v>3.2000000000000002E-3</v>
      </c>
      <c r="K12920" s="841" t="s">
        <v>3197</v>
      </c>
      <c r="L12920" s="841" t="s">
        <v>3046</v>
      </c>
      <c r="M12920" s="1357"/>
      <c r="P12920" s="841" t="s">
        <v>3210</v>
      </c>
      <c r="Q12920" s="1357"/>
      <c r="S12920" s="1420"/>
      <c r="T12920" s="1420"/>
      <c r="V12920" s="1357">
        <v>55</v>
      </c>
    </row>
    <row r="12921" spans="1:22" s="841" customFormat="1" ht="15" x14ac:dyDescent="0.25">
      <c r="A12921" s="841" t="s">
        <v>246</v>
      </c>
      <c r="E12921" s="1690" t="s">
        <v>2450</v>
      </c>
      <c r="F12921" s="1690"/>
      <c r="G12921" s="1408" t="s">
        <v>24</v>
      </c>
      <c r="H12921" s="393">
        <v>4.0000000000000002E-4</v>
      </c>
      <c r="K12921" s="841" t="s">
        <v>3197</v>
      </c>
      <c r="L12921" s="841" t="s">
        <v>3046</v>
      </c>
      <c r="M12921" s="1357"/>
      <c r="P12921" s="841" t="s">
        <v>3210</v>
      </c>
      <c r="Q12921" s="1357"/>
      <c r="S12921" s="1420"/>
      <c r="T12921" s="1420"/>
      <c r="V12921" s="1357">
        <v>65</v>
      </c>
    </row>
    <row r="12922" spans="1:22" s="841" customFormat="1" ht="15" x14ac:dyDescent="0.25">
      <c r="A12922" s="841" t="s">
        <v>246</v>
      </c>
      <c r="E12922" s="1690" t="s">
        <v>439</v>
      </c>
      <c r="F12922" s="1690"/>
      <c r="G12922" s="695" t="s">
        <v>24</v>
      </c>
      <c r="H12922" s="393">
        <v>2.9999999999999997E-4</v>
      </c>
      <c r="K12922" s="841" t="s">
        <v>3197</v>
      </c>
      <c r="L12922" s="841" t="s">
        <v>3046</v>
      </c>
      <c r="M12922" s="1357"/>
      <c r="P12922" s="841" t="s">
        <v>3212</v>
      </c>
      <c r="Q12922" s="1357"/>
      <c r="S12922" s="1420"/>
      <c r="T12922" s="1420"/>
      <c r="V12922" s="1357">
        <v>57</v>
      </c>
    </row>
    <row r="12923" spans="1:22" s="841" customFormat="1" ht="15" x14ac:dyDescent="0.25">
      <c r="A12923" s="841" t="s">
        <v>246</v>
      </c>
      <c r="E12923" s="1690" t="s">
        <v>32</v>
      </c>
      <c r="F12923" s="1690"/>
      <c r="G12923" s="1408" t="s">
        <v>23</v>
      </c>
      <c r="H12923" s="391">
        <v>0.25</v>
      </c>
      <c r="K12923" s="841" t="s">
        <v>3197</v>
      </c>
      <c r="L12923" s="841" t="s">
        <v>3046</v>
      </c>
      <c r="M12923" s="1357"/>
      <c r="P12923" s="841" t="s">
        <v>3213</v>
      </c>
      <c r="Q12923" s="1357"/>
      <c r="S12923" s="1420"/>
      <c r="T12923" s="1420"/>
      <c r="V12923" s="1357">
        <v>63</v>
      </c>
    </row>
    <row r="12924" spans="1:22" s="841" customFormat="1" x14ac:dyDescent="0.25">
      <c r="A12924" s="841" t="s">
        <v>246</v>
      </c>
      <c r="E12924" s="1909" t="s">
        <v>3214</v>
      </c>
      <c r="F12924" s="1909"/>
      <c r="G12924" s="1909"/>
      <c r="H12924" s="1915"/>
      <c r="K12924" s="841" t="s">
        <v>5110</v>
      </c>
      <c r="M12924" s="1357"/>
      <c r="Q12924" s="1357"/>
      <c r="S12924" s="1420"/>
      <c r="T12924" s="1420"/>
      <c r="V12924" s="1357">
        <v>54</v>
      </c>
    </row>
    <row r="12925" spans="1:22" s="841" customFormat="1" ht="15" x14ac:dyDescent="0.25">
      <c r="A12925" s="841" t="s">
        <v>246</v>
      </c>
      <c r="E12925" s="1689" t="s">
        <v>4800</v>
      </c>
      <c r="F12925" s="1689"/>
      <c r="G12925" s="1689"/>
      <c r="H12925" s="1689"/>
      <c r="K12925" s="841" t="s">
        <v>5110</v>
      </c>
      <c r="M12925" s="1357"/>
      <c r="Q12925" s="1357"/>
      <c r="S12925" s="1420"/>
      <c r="T12925" s="1420"/>
      <c r="V12925" s="1357">
        <v>468</v>
      </c>
    </row>
    <row r="12926" spans="1:22" s="841" customFormat="1" ht="15" x14ac:dyDescent="0.25">
      <c r="A12926" s="841" t="s">
        <v>246</v>
      </c>
      <c r="E12926" s="1916" t="s">
        <v>3061</v>
      </c>
      <c r="F12926" s="1926"/>
      <c r="G12926" s="1926"/>
      <c r="H12926" s="1697"/>
      <c r="K12926" s="841" t="s">
        <v>3086</v>
      </c>
      <c r="M12926" s="1357"/>
      <c r="Q12926" s="1357"/>
      <c r="S12926" s="1420"/>
      <c r="T12926" s="1420"/>
      <c r="V12926" s="1357">
        <v>11</v>
      </c>
    </row>
    <row r="12927" spans="1:22" s="841" customFormat="1" ht="15" x14ac:dyDescent="0.25">
      <c r="A12927" s="841" t="s">
        <v>246</v>
      </c>
      <c r="E12927" s="1689" t="s">
        <v>3063</v>
      </c>
      <c r="F12927" s="1689"/>
      <c r="G12927" s="1689"/>
      <c r="H12927" s="1689"/>
      <c r="K12927" s="841" t="s">
        <v>5110</v>
      </c>
      <c r="M12927" s="1357"/>
      <c r="Q12927" s="1357"/>
      <c r="S12927" s="1420"/>
      <c r="T12927" s="1420"/>
      <c r="V12927" s="1357">
        <v>280</v>
      </c>
    </row>
    <row r="12928" spans="1:22" s="841" customFormat="1" ht="15" x14ac:dyDescent="0.25">
      <c r="A12928" s="841" t="s">
        <v>246</v>
      </c>
      <c r="E12928" s="1689" t="s">
        <v>3064</v>
      </c>
      <c r="F12928" s="1689"/>
      <c r="G12928" s="1689"/>
      <c r="H12928" s="1689"/>
      <c r="K12928" s="841" t="s">
        <v>5110</v>
      </c>
      <c r="M12928" s="1357"/>
      <c r="Q12928" s="1357"/>
      <c r="S12928" s="1420"/>
      <c r="T12928" s="1420"/>
      <c r="V12928" s="1357">
        <v>411</v>
      </c>
    </row>
    <row r="12929" spans="1:22" s="841" customFormat="1" ht="15" x14ac:dyDescent="0.25">
      <c r="A12929" s="841" t="s">
        <v>246</v>
      </c>
      <c r="E12929" s="1689" t="s">
        <v>3065</v>
      </c>
      <c r="F12929" s="1689"/>
      <c r="G12929" s="1689"/>
      <c r="H12929" s="1689"/>
      <c r="K12929" s="841" t="s">
        <v>5110</v>
      </c>
      <c r="M12929" s="1357"/>
      <c r="Q12929" s="1357"/>
      <c r="S12929" s="1420"/>
      <c r="T12929" s="1420"/>
      <c r="V12929" s="1357">
        <v>387</v>
      </c>
    </row>
    <row r="12930" spans="1:22" s="841" customFormat="1" ht="15" x14ac:dyDescent="0.25">
      <c r="A12930" s="841" t="s">
        <v>246</v>
      </c>
      <c r="E12930" s="1689" t="s">
        <v>3200</v>
      </c>
      <c r="F12930" s="1689"/>
      <c r="G12930" s="1689"/>
      <c r="H12930" s="1689"/>
      <c r="K12930" s="841" t="s">
        <v>5110</v>
      </c>
      <c r="M12930" s="1357"/>
      <c r="Q12930" s="1357"/>
      <c r="S12930" s="1420"/>
      <c r="T12930" s="1420"/>
      <c r="V12930" s="1357">
        <v>275</v>
      </c>
    </row>
    <row r="12931" spans="1:22" s="841" customFormat="1" ht="15" x14ac:dyDescent="0.25">
      <c r="A12931" s="841" t="s">
        <v>246</v>
      </c>
      <c r="E12931" s="1694" t="s">
        <v>3067</v>
      </c>
      <c r="F12931" s="1922"/>
      <c r="G12931" s="1922"/>
      <c r="H12931" s="1907"/>
      <c r="K12931" s="841" t="s">
        <v>3087</v>
      </c>
      <c r="M12931" s="1357"/>
      <c r="Q12931" s="1357"/>
      <c r="S12931" s="1420"/>
      <c r="T12931" s="1420"/>
      <c r="V12931" s="1357">
        <v>46</v>
      </c>
    </row>
    <row r="12932" spans="1:22" s="841" customFormat="1" ht="15" x14ac:dyDescent="0.25">
      <c r="A12932" s="841" t="s">
        <v>246</v>
      </c>
      <c r="E12932" s="1690" t="s">
        <v>11</v>
      </c>
      <c r="F12932" s="1690"/>
      <c r="G12932" s="695" t="s">
        <v>23</v>
      </c>
      <c r="H12932" s="391">
        <v>31.23</v>
      </c>
      <c r="K12932" s="841" t="s">
        <v>5110</v>
      </c>
      <c r="L12932" s="841" t="s">
        <v>442</v>
      </c>
      <c r="M12932" s="1357"/>
      <c r="P12932" s="841" t="s">
        <v>5111</v>
      </c>
      <c r="Q12932" s="1357"/>
      <c r="S12932" s="1420"/>
      <c r="T12932" s="1420"/>
      <c r="V12932" s="1357">
        <v>14</v>
      </c>
    </row>
    <row r="12933" spans="1:22" s="841" customFormat="1" ht="15" x14ac:dyDescent="0.25">
      <c r="A12933" s="841" t="s">
        <v>246</v>
      </c>
      <c r="E12933" s="1690" t="s">
        <v>5109</v>
      </c>
      <c r="F12933" s="1690"/>
      <c r="G12933" s="631" t="s">
        <v>23</v>
      </c>
      <c r="H12933" s="391">
        <v>0.56999999999999995</v>
      </c>
      <c r="K12933" s="841" t="s">
        <v>5110</v>
      </c>
      <c r="L12933" s="841" t="s">
        <v>443</v>
      </c>
      <c r="M12933" s="1357"/>
      <c r="P12933" s="841" t="s">
        <v>5112</v>
      </c>
      <c r="Q12933" s="1357"/>
      <c r="S12933" s="1420"/>
      <c r="T12933" s="1420">
        <v>44926</v>
      </c>
      <c r="V12933" s="1357">
        <v>64</v>
      </c>
    </row>
    <row r="12934" spans="1:22" s="841" customFormat="1" ht="15" x14ac:dyDescent="0.25">
      <c r="A12934" s="841" t="s">
        <v>246</v>
      </c>
      <c r="E12934" s="1690" t="s">
        <v>84</v>
      </c>
      <c r="F12934" s="1690"/>
      <c r="G12934" s="695" t="s">
        <v>24</v>
      </c>
      <c r="H12934" s="393">
        <v>9.1999999999999998E-3</v>
      </c>
      <c r="K12934" s="841" t="s">
        <v>5110</v>
      </c>
      <c r="L12934" s="841" t="s">
        <v>442</v>
      </c>
      <c r="M12934" s="1357"/>
      <c r="P12934" s="841" t="s">
        <v>5113</v>
      </c>
      <c r="Q12934" s="1357"/>
      <c r="S12934" s="1420"/>
      <c r="T12934" s="1420"/>
      <c r="V12934" s="1357">
        <v>28</v>
      </c>
    </row>
    <row r="12935" spans="1:22" s="841" customFormat="1" ht="15" x14ac:dyDescent="0.25">
      <c r="A12935" s="841" t="s">
        <v>246</v>
      </c>
      <c r="E12935" s="1690" t="s">
        <v>5129</v>
      </c>
      <c r="F12935" s="1908"/>
      <c r="G12935" s="695" t="s">
        <v>24</v>
      </c>
      <c r="H12935" s="393">
        <v>-6.1999999999999998E-3</v>
      </c>
      <c r="K12935" s="841" t="s">
        <v>5110</v>
      </c>
      <c r="L12935" s="841" t="s">
        <v>443</v>
      </c>
      <c r="M12935" s="1357"/>
      <c r="P12935" s="841" t="s">
        <v>4818</v>
      </c>
      <c r="Q12935" s="1357"/>
      <c r="S12935" s="1420"/>
      <c r="T12935" s="1420">
        <v>43585</v>
      </c>
      <c r="V12935" s="1357">
        <v>139</v>
      </c>
    </row>
    <row r="12936" spans="1:22" s="841" customFormat="1" ht="15" x14ac:dyDescent="0.25">
      <c r="A12936" s="841" t="s">
        <v>246</v>
      </c>
      <c r="E12936" s="1690" t="s">
        <v>5130</v>
      </c>
      <c r="F12936" s="1908"/>
      <c r="G12936" s="695" t="s">
        <v>24</v>
      </c>
      <c r="H12936" s="393">
        <v>-1.1999999999999999E-3</v>
      </c>
      <c r="K12936" s="841" t="s">
        <v>5110</v>
      </c>
      <c r="L12936" s="841" t="s">
        <v>443</v>
      </c>
      <c r="M12936" s="1357"/>
      <c r="P12936" s="841" t="s">
        <v>5124</v>
      </c>
      <c r="Q12936" s="1357"/>
      <c r="S12936" s="1420"/>
      <c r="T12936" s="1420">
        <v>43585</v>
      </c>
      <c r="V12936" s="1357">
        <v>96</v>
      </c>
    </row>
    <row r="12937" spans="1:22" s="841" customFormat="1" ht="15" x14ac:dyDescent="0.25">
      <c r="A12937" s="841" t="s">
        <v>246</v>
      </c>
      <c r="E12937" s="1690" t="s">
        <v>221</v>
      </c>
      <c r="F12937" s="1690"/>
      <c r="G12937" s="631" t="s">
        <v>24</v>
      </c>
      <c r="H12937" s="393">
        <v>6.7000000000000002E-3</v>
      </c>
      <c r="K12937" s="841" t="s">
        <v>5110</v>
      </c>
      <c r="L12937" s="841" t="s">
        <v>444</v>
      </c>
      <c r="M12937" s="1357"/>
      <c r="P12937" s="841" t="s">
        <v>5115</v>
      </c>
      <c r="Q12937" s="1357"/>
      <c r="S12937" s="1420"/>
      <c r="T12937" s="1420"/>
      <c r="V12937" s="1357">
        <v>47</v>
      </c>
    </row>
    <row r="12938" spans="1:22" s="841" customFormat="1" ht="15" x14ac:dyDescent="0.25">
      <c r="A12938" s="841" t="s">
        <v>246</v>
      </c>
      <c r="E12938" s="1690" t="s">
        <v>217</v>
      </c>
      <c r="F12938" s="1690"/>
      <c r="G12938" s="631" t="s">
        <v>24</v>
      </c>
      <c r="H12938" s="393">
        <v>5.7999999999999996E-3</v>
      </c>
      <c r="K12938" s="841" t="s">
        <v>5110</v>
      </c>
      <c r="L12938" s="841" t="s">
        <v>444</v>
      </c>
      <c r="M12938" s="1357"/>
      <c r="P12938" s="841" t="s">
        <v>5116</v>
      </c>
      <c r="Q12938" s="1357"/>
      <c r="S12938" s="1420"/>
      <c r="T12938" s="1420"/>
      <c r="V12938" s="1357">
        <v>74</v>
      </c>
    </row>
    <row r="12939" spans="1:22" s="841" customFormat="1" ht="15" x14ac:dyDescent="0.25">
      <c r="A12939" s="841" t="s">
        <v>246</v>
      </c>
      <c r="E12939" s="1694" t="s">
        <v>3079</v>
      </c>
      <c r="F12939" s="1906"/>
      <c r="G12939" s="1408"/>
      <c r="H12939" s="1408"/>
      <c r="K12939" s="841" t="s">
        <v>3093</v>
      </c>
      <c r="M12939" s="1357"/>
      <c r="Q12939" s="1357"/>
      <c r="S12939" s="1420"/>
      <c r="T12939" s="1420"/>
      <c r="V12939" s="1357">
        <v>48</v>
      </c>
    </row>
    <row r="12940" spans="1:22" s="841" customFormat="1" ht="15" x14ac:dyDescent="0.25">
      <c r="A12940" s="841" t="s">
        <v>246</v>
      </c>
      <c r="E12940" s="1690" t="s">
        <v>2449</v>
      </c>
      <c r="F12940" s="1690"/>
      <c r="G12940" s="695" t="s">
        <v>24</v>
      </c>
      <c r="H12940" s="393">
        <v>3.2000000000000002E-3</v>
      </c>
      <c r="K12940" s="841" t="s">
        <v>5110</v>
      </c>
      <c r="L12940" s="841" t="s">
        <v>3046</v>
      </c>
      <c r="M12940" s="1357"/>
      <c r="P12940" s="841" t="s">
        <v>5117</v>
      </c>
      <c r="Q12940" s="1357"/>
      <c r="S12940" s="1420"/>
      <c r="T12940" s="1420"/>
      <c r="V12940" s="1357">
        <v>55</v>
      </c>
    </row>
    <row r="12941" spans="1:22" s="841" customFormat="1" ht="15" x14ac:dyDescent="0.25">
      <c r="A12941" s="841" t="s">
        <v>246</v>
      </c>
      <c r="E12941" s="1690" t="s">
        <v>2450</v>
      </c>
      <c r="F12941" s="1690"/>
      <c r="G12941" s="1408" t="s">
        <v>24</v>
      </c>
      <c r="H12941" s="393">
        <v>4.0000000000000002E-4</v>
      </c>
      <c r="K12941" s="841" t="s">
        <v>5110</v>
      </c>
      <c r="L12941" s="841" t="s">
        <v>3046</v>
      </c>
      <c r="M12941" s="1357"/>
      <c r="P12941" s="841" t="s">
        <v>5117</v>
      </c>
      <c r="Q12941" s="1357"/>
      <c r="S12941" s="1420"/>
      <c r="T12941" s="1420"/>
      <c r="V12941" s="1357">
        <v>65</v>
      </c>
    </row>
    <row r="12942" spans="1:22" s="841" customFormat="1" ht="15" x14ac:dyDescent="0.25">
      <c r="A12942" s="841" t="s">
        <v>246</v>
      </c>
      <c r="E12942" s="1690" t="s">
        <v>439</v>
      </c>
      <c r="F12942" s="1690"/>
      <c r="G12942" s="695" t="s">
        <v>24</v>
      </c>
      <c r="H12942" s="393">
        <v>2.9999999999999997E-4</v>
      </c>
      <c r="K12942" s="841" t="s">
        <v>5110</v>
      </c>
      <c r="L12942" s="841" t="s">
        <v>3046</v>
      </c>
      <c r="M12942" s="1357"/>
      <c r="P12942" s="841" t="s">
        <v>5118</v>
      </c>
      <c r="Q12942" s="1357"/>
      <c r="S12942" s="1420"/>
      <c r="T12942" s="1420"/>
      <c r="V12942" s="1357">
        <v>57</v>
      </c>
    </row>
    <row r="12943" spans="1:22" s="841" customFormat="1" ht="15" x14ac:dyDescent="0.25">
      <c r="A12943" s="841" t="s">
        <v>246</v>
      </c>
      <c r="E12943" s="1690" t="s">
        <v>32</v>
      </c>
      <c r="F12943" s="1690"/>
      <c r="G12943" s="1408" t="s">
        <v>23</v>
      </c>
      <c r="H12943" s="391">
        <v>0.25</v>
      </c>
      <c r="K12943" s="841" t="s">
        <v>5110</v>
      </c>
      <c r="L12943" s="841" t="s">
        <v>3046</v>
      </c>
      <c r="M12943" s="1357"/>
      <c r="P12943" s="841" t="s">
        <v>5119</v>
      </c>
      <c r="Q12943" s="1357"/>
      <c r="S12943" s="1420"/>
      <c r="T12943" s="1420"/>
      <c r="V12943" s="1357">
        <v>63</v>
      </c>
    </row>
    <row r="12944" spans="1:22" s="841" customFormat="1" x14ac:dyDescent="0.25">
      <c r="A12944" s="841" t="s">
        <v>246</v>
      </c>
      <c r="E12944" s="1909" t="s">
        <v>616</v>
      </c>
      <c r="F12944" s="1909"/>
      <c r="G12944" s="1909"/>
      <c r="H12944" s="1915"/>
      <c r="K12944" s="841" t="s">
        <v>6095</v>
      </c>
      <c r="M12944" s="1357"/>
      <c r="Q12944" s="1357"/>
      <c r="S12944" s="1420"/>
      <c r="T12944" s="1420"/>
      <c r="V12944" s="1357">
        <v>53</v>
      </c>
    </row>
    <row r="12945" spans="1:22" s="841" customFormat="1" ht="15" x14ac:dyDescent="0.25">
      <c r="A12945" s="841" t="s">
        <v>246</v>
      </c>
      <c r="E12945" s="1689" t="s">
        <v>4801</v>
      </c>
      <c r="F12945" s="1689"/>
      <c r="G12945" s="1689"/>
      <c r="H12945" s="1689"/>
      <c r="K12945" s="841" t="s">
        <v>6095</v>
      </c>
      <c r="M12945" s="1357"/>
      <c r="Q12945" s="1357"/>
      <c r="S12945" s="1420"/>
      <c r="T12945" s="1420"/>
      <c r="V12945" s="1357">
        <v>493</v>
      </c>
    </row>
    <row r="12946" spans="1:22" s="841" customFormat="1" ht="15" x14ac:dyDescent="0.25">
      <c r="A12946" s="841" t="s">
        <v>246</v>
      </c>
      <c r="E12946" s="1916" t="s">
        <v>3061</v>
      </c>
      <c r="F12946" s="1926"/>
      <c r="G12946" s="1926"/>
      <c r="H12946" s="1697"/>
      <c r="K12946" s="841" t="s">
        <v>3098</v>
      </c>
      <c r="M12946" s="1357"/>
      <c r="Q12946" s="1357"/>
      <c r="S12946" s="1420"/>
      <c r="T12946" s="1420"/>
      <c r="V12946" s="1357">
        <v>11</v>
      </c>
    </row>
    <row r="12947" spans="1:22" s="841" customFormat="1" ht="15" x14ac:dyDescent="0.25">
      <c r="A12947" s="841" t="s">
        <v>246</v>
      </c>
      <c r="E12947" s="1689" t="s">
        <v>3063</v>
      </c>
      <c r="F12947" s="1689"/>
      <c r="G12947" s="1689"/>
      <c r="H12947" s="1689"/>
      <c r="K12947" s="841" t="s">
        <v>6095</v>
      </c>
      <c r="M12947" s="1357"/>
      <c r="Q12947" s="1357"/>
      <c r="S12947" s="1420"/>
      <c r="T12947" s="1420"/>
      <c r="V12947" s="1357">
        <v>280</v>
      </c>
    </row>
    <row r="12948" spans="1:22" s="841" customFormat="1" ht="15" x14ac:dyDescent="0.25">
      <c r="A12948" s="841" t="s">
        <v>246</v>
      </c>
      <c r="E12948" s="1689" t="s">
        <v>3064</v>
      </c>
      <c r="F12948" s="1689"/>
      <c r="G12948" s="1689"/>
      <c r="H12948" s="1689"/>
      <c r="K12948" s="841" t="s">
        <v>6095</v>
      </c>
      <c r="M12948" s="1357"/>
      <c r="Q12948" s="1357"/>
      <c r="S12948" s="1420"/>
      <c r="T12948" s="1420"/>
      <c r="V12948" s="1357">
        <v>411</v>
      </c>
    </row>
    <row r="12949" spans="1:22" s="841" customFormat="1" ht="15" x14ac:dyDescent="0.25">
      <c r="A12949" s="841" t="s">
        <v>246</v>
      </c>
      <c r="E12949" s="1689" t="s">
        <v>3065</v>
      </c>
      <c r="F12949" s="1689"/>
      <c r="G12949" s="1689"/>
      <c r="H12949" s="1689"/>
      <c r="K12949" s="841" t="s">
        <v>6095</v>
      </c>
      <c r="M12949" s="1357"/>
      <c r="Q12949" s="1357"/>
      <c r="S12949" s="1420"/>
      <c r="T12949" s="1420"/>
      <c r="V12949" s="1357">
        <v>387</v>
      </c>
    </row>
    <row r="12950" spans="1:22" s="841" customFormat="1" ht="15" x14ac:dyDescent="0.25">
      <c r="A12950" s="841" t="s">
        <v>246</v>
      </c>
      <c r="E12950" s="1689" t="s">
        <v>5132</v>
      </c>
      <c r="F12950" s="1689"/>
      <c r="G12950" s="1689"/>
      <c r="H12950" s="1689"/>
      <c r="K12950" s="841" t="s">
        <v>6095</v>
      </c>
      <c r="M12950" s="1357"/>
      <c r="Q12950" s="1357"/>
      <c r="S12950" s="1420"/>
      <c r="T12950" s="1420"/>
      <c r="V12950" s="1357">
        <v>658</v>
      </c>
    </row>
    <row r="12951" spans="1:22" s="841" customFormat="1" ht="15" x14ac:dyDescent="0.25">
      <c r="A12951" s="841" t="s">
        <v>246</v>
      </c>
      <c r="E12951" s="1689" t="s">
        <v>3200</v>
      </c>
      <c r="F12951" s="1689"/>
      <c r="G12951" s="1689"/>
      <c r="H12951" s="1689"/>
      <c r="K12951" s="841" t="s">
        <v>6095</v>
      </c>
      <c r="M12951" s="1357"/>
      <c r="Q12951" s="1357"/>
      <c r="S12951" s="1420"/>
      <c r="T12951" s="1420"/>
      <c r="V12951" s="1357">
        <v>275</v>
      </c>
    </row>
    <row r="12952" spans="1:22" s="841" customFormat="1" ht="15" x14ac:dyDescent="0.25">
      <c r="A12952" s="841" t="s">
        <v>246</v>
      </c>
      <c r="E12952" s="1694" t="s">
        <v>3067</v>
      </c>
      <c r="F12952" s="1907"/>
      <c r="G12952" s="1907"/>
      <c r="H12952" s="1907"/>
      <c r="K12952" s="841" t="s">
        <v>3099</v>
      </c>
      <c r="M12952" s="1357"/>
      <c r="Q12952" s="1357"/>
      <c r="S12952" s="1420"/>
      <c r="T12952" s="1420"/>
      <c r="V12952" s="1357">
        <v>46</v>
      </c>
    </row>
    <row r="12953" spans="1:22" s="841" customFormat="1" ht="15" x14ac:dyDescent="0.25">
      <c r="A12953" s="841" t="s">
        <v>246</v>
      </c>
      <c r="E12953" s="1690" t="s">
        <v>11</v>
      </c>
      <c r="F12953" s="1690"/>
      <c r="G12953" s="695" t="s">
        <v>23</v>
      </c>
      <c r="H12953" s="391">
        <v>284.37</v>
      </c>
      <c r="K12953" s="841" t="s">
        <v>6095</v>
      </c>
      <c r="L12953" s="841" t="s">
        <v>442</v>
      </c>
      <c r="M12953" s="1357"/>
      <c r="P12953" s="841" t="s">
        <v>6096</v>
      </c>
      <c r="Q12953" s="1357"/>
      <c r="S12953" s="1420"/>
      <c r="T12953" s="1420"/>
      <c r="V12953" s="1357">
        <v>14</v>
      </c>
    </row>
    <row r="12954" spans="1:22" s="841" customFormat="1" ht="15" x14ac:dyDescent="0.25">
      <c r="A12954" s="841" t="s">
        <v>246</v>
      </c>
      <c r="E12954" s="1690" t="s">
        <v>84</v>
      </c>
      <c r="F12954" s="1690"/>
      <c r="G12954" s="695" t="s">
        <v>33</v>
      </c>
      <c r="H12954" s="393">
        <v>3.0663999999999998</v>
      </c>
      <c r="K12954" s="841" t="s">
        <v>6095</v>
      </c>
      <c r="L12954" s="841" t="s">
        <v>442</v>
      </c>
      <c r="M12954" s="1357"/>
      <c r="P12954" s="841" t="s">
        <v>6097</v>
      </c>
      <c r="Q12954" s="1357"/>
      <c r="S12954" s="1420"/>
      <c r="T12954" s="1420"/>
      <c r="V12954" s="1357">
        <v>28</v>
      </c>
    </row>
    <row r="12955" spans="1:22" s="841" customFormat="1" ht="15" x14ac:dyDescent="0.25">
      <c r="A12955" s="841" t="s">
        <v>246</v>
      </c>
      <c r="E12955" s="1690" t="s">
        <v>5129</v>
      </c>
      <c r="F12955" s="1908"/>
      <c r="G12955" s="695" t="s">
        <v>24</v>
      </c>
      <c r="H12955" s="393">
        <v>-6.1999999999999998E-3</v>
      </c>
      <c r="K12955" s="841" t="s">
        <v>6095</v>
      </c>
      <c r="L12955" s="841" t="s">
        <v>443</v>
      </c>
      <c r="M12955" s="1357"/>
      <c r="P12955" s="841" t="s">
        <v>6104</v>
      </c>
      <c r="Q12955" s="1357"/>
      <c r="S12955" s="1420"/>
      <c r="T12955" s="1420">
        <v>43585</v>
      </c>
      <c r="V12955" s="1357">
        <v>139</v>
      </c>
    </row>
    <row r="12956" spans="1:22" s="841" customFormat="1" ht="15" x14ac:dyDescent="0.25">
      <c r="A12956" s="841" t="s">
        <v>246</v>
      </c>
      <c r="E12956" s="1690" t="s">
        <v>5305</v>
      </c>
      <c r="F12956" s="1908"/>
      <c r="G12956" s="695" t="s">
        <v>33</v>
      </c>
      <c r="H12956" s="393">
        <v>-0.33550000000000002</v>
      </c>
      <c r="K12956" s="841" t="s">
        <v>6095</v>
      </c>
      <c r="L12956" s="841" t="s">
        <v>443</v>
      </c>
      <c r="M12956" s="1357"/>
      <c r="P12956" s="841" t="s">
        <v>6105</v>
      </c>
      <c r="Q12956" s="1357"/>
      <c r="S12956" s="1420"/>
      <c r="T12956" s="1420">
        <v>43585</v>
      </c>
      <c r="V12956" s="1357">
        <v>156</v>
      </c>
    </row>
    <row r="12957" spans="1:22" s="841" customFormat="1" ht="15" x14ac:dyDescent="0.25">
      <c r="A12957" s="841" t="s">
        <v>246</v>
      </c>
      <c r="E12957" s="1690" t="s">
        <v>5130</v>
      </c>
      <c r="F12957" s="1908"/>
      <c r="G12957" s="695" t="s">
        <v>33</v>
      </c>
      <c r="H12957" s="393">
        <v>-8.5599999999999996E-2</v>
      </c>
      <c r="K12957" s="841" t="s">
        <v>6095</v>
      </c>
      <c r="L12957" s="841" t="s">
        <v>443</v>
      </c>
      <c r="M12957" s="1357"/>
      <c r="P12957" s="841" t="s">
        <v>6105</v>
      </c>
      <c r="Q12957" s="1357"/>
      <c r="S12957" s="1420"/>
      <c r="T12957" s="1420">
        <v>43585</v>
      </c>
      <c r="V12957" s="1357">
        <v>96</v>
      </c>
    </row>
    <row r="12958" spans="1:22" s="841" customFormat="1" ht="15" x14ac:dyDescent="0.25">
      <c r="A12958" s="841" t="s">
        <v>246</v>
      </c>
      <c r="E12958" s="1690" t="s">
        <v>221</v>
      </c>
      <c r="F12958" s="1690"/>
      <c r="G12958" s="631" t="s">
        <v>33</v>
      </c>
      <c r="H12958" s="393">
        <v>2.2907999999999999</v>
      </c>
      <c r="K12958" s="841" t="s">
        <v>6095</v>
      </c>
      <c r="L12958" s="841" t="s">
        <v>444</v>
      </c>
      <c r="M12958" s="1357"/>
      <c r="P12958" s="841" t="s">
        <v>6099</v>
      </c>
      <c r="Q12958" s="1357"/>
      <c r="S12958" s="1420"/>
      <c r="T12958" s="1420"/>
      <c r="V12958" s="1357">
        <v>47</v>
      </c>
    </row>
    <row r="12959" spans="1:22" s="841" customFormat="1" ht="15" x14ac:dyDescent="0.25">
      <c r="A12959" s="841" t="s">
        <v>246</v>
      </c>
      <c r="E12959" s="1690" t="s">
        <v>3628</v>
      </c>
      <c r="F12959" s="1690"/>
      <c r="G12959" s="631" t="s">
        <v>33</v>
      </c>
      <c r="H12959" s="393">
        <v>2.2804000000000002</v>
      </c>
      <c r="K12959" s="841" t="s">
        <v>6095</v>
      </c>
      <c r="L12959" s="841" t="s">
        <v>444</v>
      </c>
      <c r="M12959" s="1357"/>
      <c r="P12959" s="841" t="s">
        <v>6219</v>
      </c>
      <c r="Q12959" s="1357"/>
      <c r="S12959" s="1420"/>
      <c r="T12959" s="1420"/>
      <c r="V12959" s="1357">
        <v>75</v>
      </c>
    </row>
    <row r="12960" spans="1:22" s="841" customFormat="1" ht="15" x14ac:dyDescent="0.25">
      <c r="A12960" s="841" t="s">
        <v>246</v>
      </c>
      <c r="E12960" s="1694" t="s">
        <v>3079</v>
      </c>
      <c r="F12960" s="1906"/>
      <c r="G12960" s="1408"/>
      <c r="H12960" s="1408"/>
      <c r="K12960" s="841" t="s">
        <v>3218</v>
      </c>
      <c r="M12960" s="1357"/>
      <c r="Q12960" s="1357"/>
      <c r="S12960" s="1420"/>
      <c r="T12960" s="1420"/>
      <c r="V12960" s="1357">
        <v>48</v>
      </c>
    </row>
    <row r="12961" spans="1:22" s="841" customFormat="1" ht="15" x14ac:dyDescent="0.25">
      <c r="A12961" s="841" t="s">
        <v>246</v>
      </c>
      <c r="E12961" s="1690" t="s">
        <v>2449</v>
      </c>
      <c r="F12961" s="1690"/>
      <c r="G12961" s="695" t="s">
        <v>24</v>
      </c>
      <c r="H12961" s="393">
        <v>3.2000000000000002E-3</v>
      </c>
      <c r="K12961" s="841" t="s">
        <v>6095</v>
      </c>
      <c r="L12961" s="841" t="s">
        <v>3046</v>
      </c>
      <c r="M12961" s="1357"/>
      <c r="P12961" s="841" t="s">
        <v>6101</v>
      </c>
      <c r="Q12961" s="1357"/>
      <c r="S12961" s="1420"/>
      <c r="T12961" s="1420"/>
      <c r="V12961" s="1357">
        <v>55</v>
      </c>
    </row>
    <row r="12962" spans="1:22" s="841" customFormat="1" ht="15" x14ac:dyDescent="0.25">
      <c r="A12962" s="841" t="s">
        <v>246</v>
      </c>
      <c r="E12962" s="1690" t="s">
        <v>2450</v>
      </c>
      <c r="F12962" s="1690"/>
      <c r="G12962" s="1408" t="s">
        <v>24</v>
      </c>
      <c r="H12962" s="393">
        <v>4.0000000000000002E-4</v>
      </c>
      <c r="K12962" s="841" t="s">
        <v>6095</v>
      </c>
      <c r="L12962" s="841" t="s">
        <v>3046</v>
      </c>
      <c r="M12962" s="1357"/>
      <c r="P12962" s="841" t="s">
        <v>6101</v>
      </c>
      <c r="Q12962" s="1357"/>
      <c r="S12962" s="1420"/>
      <c r="T12962" s="1420"/>
      <c r="V12962" s="1357">
        <v>65</v>
      </c>
    </row>
    <row r="12963" spans="1:22" s="841" customFormat="1" ht="15" x14ac:dyDescent="0.25">
      <c r="A12963" s="841" t="s">
        <v>246</v>
      </c>
      <c r="E12963" s="1690" t="s">
        <v>439</v>
      </c>
      <c r="F12963" s="1690"/>
      <c r="G12963" s="695" t="s">
        <v>24</v>
      </c>
      <c r="H12963" s="393">
        <v>2.9999999999999997E-4</v>
      </c>
      <c r="K12963" s="841" t="s">
        <v>6095</v>
      </c>
      <c r="L12963" s="841" t="s">
        <v>3046</v>
      </c>
      <c r="M12963" s="1357"/>
      <c r="P12963" s="841" t="s">
        <v>6102</v>
      </c>
      <c r="Q12963" s="1357"/>
      <c r="S12963" s="1420"/>
      <c r="T12963" s="1420"/>
      <c r="V12963" s="1357">
        <v>57</v>
      </c>
    </row>
    <row r="12964" spans="1:22" s="841" customFormat="1" ht="15" x14ac:dyDescent="0.25">
      <c r="A12964" s="841" t="s">
        <v>246</v>
      </c>
      <c r="E12964" s="1690" t="s">
        <v>32</v>
      </c>
      <c r="F12964" s="1690"/>
      <c r="G12964" s="1408" t="s">
        <v>23</v>
      </c>
      <c r="H12964" s="391">
        <v>0.25</v>
      </c>
      <c r="K12964" s="841" t="s">
        <v>6095</v>
      </c>
      <c r="L12964" s="841" t="s">
        <v>3046</v>
      </c>
      <c r="M12964" s="1357"/>
      <c r="P12964" s="841" t="s">
        <v>6103</v>
      </c>
      <c r="Q12964" s="1357"/>
      <c r="S12964" s="1420"/>
      <c r="T12964" s="1420"/>
      <c r="V12964" s="1357">
        <v>63</v>
      </c>
    </row>
    <row r="12965" spans="1:22" s="841" customFormat="1" x14ac:dyDescent="0.25">
      <c r="A12965" s="841" t="s">
        <v>246</v>
      </c>
      <c r="E12965" s="1909" t="s">
        <v>617</v>
      </c>
      <c r="F12965" s="1923"/>
      <c r="G12965" s="1923"/>
      <c r="H12965" s="1915"/>
      <c r="K12965" s="841" t="s">
        <v>3406</v>
      </c>
      <c r="M12965" s="1357"/>
      <c r="Q12965" s="1357"/>
      <c r="S12965" s="1420"/>
      <c r="T12965" s="1420"/>
      <c r="V12965" s="1357">
        <v>47</v>
      </c>
    </row>
    <row r="12966" spans="1:22" s="841" customFormat="1" ht="15" x14ac:dyDescent="0.25">
      <c r="A12966" s="841" t="s">
        <v>246</v>
      </c>
      <c r="E12966" s="1689" t="s">
        <v>4802</v>
      </c>
      <c r="F12966" s="1689"/>
      <c r="G12966" s="1689"/>
      <c r="H12966" s="1689"/>
      <c r="K12966" s="841" t="s">
        <v>3406</v>
      </c>
      <c r="M12966" s="1357"/>
      <c r="Q12966" s="1357"/>
      <c r="S12966" s="1420"/>
      <c r="T12966" s="1420"/>
      <c r="V12966" s="1357">
        <v>774</v>
      </c>
    </row>
    <row r="12967" spans="1:22" s="841" customFormat="1" ht="15" x14ac:dyDescent="0.25">
      <c r="A12967" s="841" t="s">
        <v>246</v>
      </c>
      <c r="E12967" s="1916" t="s">
        <v>3061</v>
      </c>
      <c r="F12967" s="1689"/>
      <c r="G12967" s="1689"/>
      <c r="H12967" s="1697"/>
      <c r="K12967" s="841" t="s">
        <v>3221</v>
      </c>
      <c r="M12967" s="1357"/>
      <c r="Q12967" s="1357"/>
      <c r="S12967" s="1420"/>
      <c r="T12967" s="1420"/>
      <c r="V12967" s="1357">
        <v>11</v>
      </c>
    </row>
    <row r="12968" spans="1:22" s="841" customFormat="1" ht="15" x14ac:dyDescent="0.25">
      <c r="A12968" s="841" t="s">
        <v>246</v>
      </c>
      <c r="E12968" s="1689" t="s">
        <v>3063</v>
      </c>
      <c r="F12968" s="1689"/>
      <c r="G12968" s="1689"/>
      <c r="H12968" s="1689"/>
      <c r="K12968" s="841" t="s">
        <v>3406</v>
      </c>
      <c r="M12968" s="1357"/>
      <c r="Q12968" s="1357"/>
      <c r="S12968" s="1420"/>
      <c r="T12968" s="1420"/>
      <c r="V12968" s="1357">
        <v>280</v>
      </c>
    </row>
    <row r="12969" spans="1:22" s="841" customFormat="1" ht="15" x14ac:dyDescent="0.25">
      <c r="A12969" s="841" t="s">
        <v>246</v>
      </c>
      <c r="E12969" s="1689" t="s">
        <v>3064</v>
      </c>
      <c r="F12969" s="1689"/>
      <c r="G12969" s="1689"/>
      <c r="H12969" s="1689"/>
      <c r="K12969" s="841" t="s">
        <v>3406</v>
      </c>
      <c r="M12969" s="1357"/>
      <c r="Q12969" s="1357"/>
      <c r="S12969" s="1420"/>
      <c r="T12969" s="1420"/>
      <c r="V12969" s="1357">
        <v>411</v>
      </c>
    </row>
    <row r="12970" spans="1:22" s="841" customFormat="1" ht="15" x14ac:dyDescent="0.25">
      <c r="A12970" s="841" t="s">
        <v>246</v>
      </c>
      <c r="E12970" s="1689" t="s">
        <v>3065</v>
      </c>
      <c r="F12970" s="1689"/>
      <c r="G12970" s="1689"/>
      <c r="H12970" s="1689"/>
      <c r="K12970" s="841" t="s">
        <v>3406</v>
      </c>
      <c r="M12970" s="1357"/>
      <c r="Q12970" s="1357"/>
      <c r="S12970" s="1420"/>
      <c r="T12970" s="1420"/>
      <c r="V12970" s="1357">
        <v>387</v>
      </c>
    </row>
    <row r="12971" spans="1:22" s="841" customFormat="1" ht="15" x14ac:dyDescent="0.25">
      <c r="A12971" s="841" t="s">
        <v>246</v>
      </c>
      <c r="E12971" s="1689" t="s">
        <v>3200</v>
      </c>
      <c r="F12971" s="1689"/>
      <c r="G12971" s="1689"/>
      <c r="H12971" s="1689"/>
      <c r="K12971" s="841" t="s">
        <v>3406</v>
      </c>
      <c r="M12971" s="1357"/>
      <c r="Q12971" s="1357"/>
      <c r="S12971" s="1420"/>
      <c r="T12971" s="1420"/>
      <c r="V12971" s="1357">
        <v>275</v>
      </c>
    </row>
    <row r="12972" spans="1:22" s="841" customFormat="1" ht="15" x14ac:dyDescent="0.25">
      <c r="A12972" s="841" t="s">
        <v>246</v>
      </c>
      <c r="E12972" s="1694" t="s">
        <v>3067</v>
      </c>
      <c r="F12972" s="1907"/>
      <c r="G12972" s="1907"/>
      <c r="H12972" s="1907"/>
      <c r="K12972" s="841" t="s">
        <v>3224</v>
      </c>
      <c r="M12972" s="1357"/>
      <c r="Q12972" s="1357"/>
      <c r="S12972" s="1420"/>
      <c r="T12972" s="1420"/>
      <c r="V12972" s="1357">
        <v>46</v>
      </c>
    </row>
    <row r="12973" spans="1:22" s="841" customFormat="1" ht="15" x14ac:dyDescent="0.25">
      <c r="A12973" s="841" t="s">
        <v>246</v>
      </c>
      <c r="E12973" s="1690" t="s">
        <v>12</v>
      </c>
      <c r="F12973" s="1690"/>
      <c r="G12973" s="695" t="s">
        <v>23</v>
      </c>
      <c r="H12973" s="391">
        <v>10.42</v>
      </c>
      <c r="K12973" s="841" t="s">
        <v>3406</v>
      </c>
      <c r="L12973" s="841" t="s">
        <v>442</v>
      </c>
      <c r="M12973" s="1357"/>
      <c r="P12973" s="841" t="s">
        <v>3408</v>
      </c>
      <c r="Q12973" s="1357"/>
      <c r="S12973" s="1420"/>
      <c r="T12973" s="1420"/>
      <c r="V12973" s="1357">
        <v>31</v>
      </c>
    </row>
    <row r="12974" spans="1:22" s="841" customFormat="1" ht="15" x14ac:dyDescent="0.25">
      <c r="A12974" s="841" t="s">
        <v>246</v>
      </c>
      <c r="E12974" s="1690" t="s">
        <v>84</v>
      </c>
      <c r="F12974" s="1690"/>
      <c r="G12974" s="695" t="s">
        <v>24</v>
      </c>
      <c r="H12974" s="393">
        <v>6.8999999999999999E-3</v>
      </c>
      <c r="K12974" s="841" t="s">
        <v>3406</v>
      </c>
      <c r="L12974" s="841" t="s">
        <v>442</v>
      </c>
      <c r="M12974" s="1357"/>
      <c r="P12974" s="841" t="s">
        <v>3409</v>
      </c>
      <c r="Q12974" s="1357"/>
      <c r="S12974" s="1420"/>
      <c r="T12974" s="1420"/>
      <c r="V12974" s="1357">
        <v>28</v>
      </c>
    </row>
    <row r="12975" spans="1:22" s="841" customFormat="1" ht="15" x14ac:dyDescent="0.25">
      <c r="A12975" s="841" t="s">
        <v>246</v>
      </c>
      <c r="E12975" s="1690" t="s">
        <v>5129</v>
      </c>
      <c r="F12975" s="1908"/>
      <c r="G12975" s="695" t="s">
        <v>24</v>
      </c>
      <c r="H12975" s="393">
        <v>-6.1999999999999998E-3</v>
      </c>
      <c r="K12975" s="841" t="s">
        <v>3406</v>
      </c>
      <c r="L12975" s="841" t="s">
        <v>443</v>
      </c>
      <c r="M12975" s="1357"/>
      <c r="P12975" s="841" t="s">
        <v>3550</v>
      </c>
      <c r="Q12975" s="1357"/>
      <c r="S12975" s="1420"/>
      <c r="T12975" s="1420">
        <v>43585</v>
      </c>
      <c r="V12975" s="1357">
        <v>139</v>
      </c>
    </row>
    <row r="12976" spans="1:22" s="841" customFormat="1" ht="15" x14ac:dyDescent="0.25">
      <c r="A12976" s="841" t="s">
        <v>246</v>
      </c>
      <c r="E12976" s="1690" t="s">
        <v>5130</v>
      </c>
      <c r="F12976" s="1908"/>
      <c r="G12976" s="695" t="s">
        <v>24</v>
      </c>
      <c r="H12976" s="393">
        <v>-1.1999999999999999E-3</v>
      </c>
      <c r="K12976" s="841" t="s">
        <v>3406</v>
      </c>
      <c r="L12976" s="841" t="s">
        <v>443</v>
      </c>
      <c r="M12976" s="1357"/>
      <c r="P12976" s="841" t="s">
        <v>3411</v>
      </c>
      <c r="Q12976" s="1357"/>
      <c r="S12976" s="1420"/>
      <c r="T12976" s="1420">
        <v>43585</v>
      </c>
      <c r="V12976" s="1357">
        <v>96</v>
      </c>
    </row>
    <row r="12977" spans="1:22" s="841" customFormat="1" ht="15" x14ac:dyDescent="0.25">
      <c r="A12977" s="841" t="s">
        <v>246</v>
      </c>
      <c r="E12977" s="1690" t="s">
        <v>221</v>
      </c>
      <c r="F12977" s="1690"/>
      <c r="G12977" s="631" t="s">
        <v>24</v>
      </c>
      <c r="H12977" s="393">
        <v>6.7000000000000002E-3</v>
      </c>
      <c r="K12977" s="841" t="s">
        <v>3406</v>
      </c>
      <c r="L12977" s="841" t="s">
        <v>444</v>
      </c>
      <c r="M12977" s="1357"/>
      <c r="P12977" s="841" t="s">
        <v>3412</v>
      </c>
      <c r="Q12977" s="1357"/>
      <c r="S12977" s="1420"/>
      <c r="T12977" s="1420"/>
      <c r="V12977" s="1357">
        <v>47</v>
      </c>
    </row>
    <row r="12978" spans="1:22" s="841" customFormat="1" ht="15" x14ac:dyDescent="0.25">
      <c r="A12978" s="841" t="s">
        <v>246</v>
      </c>
      <c r="E12978" s="1690" t="s">
        <v>217</v>
      </c>
      <c r="F12978" s="1690"/>
      <c r="G12978" s="631" t="s">
        <v>24</v>
      </c>
      <c r="H12978" s="393">
        <v>5.7999999999999996E-3</v>
      </c>
      <c r="K12978" s="841" t="s">
        <v>3406</v>
      </c>
      <c r="L12978" s="841" t="s">
        <v>444</v>
      </c>
      <c r="M12978" s="1357"/>
      <c r="P12978" s="841" t="s">
        <v>3413</v>
      </c>
      <c r="Q12978" s="1357"/>
      <c r="S12978" s="1420"/>
      <c r="T12978" s="1420"/>
      <c r="V12978" s="1357">
        <v>74</v>
      </c>
    </row>
    <row r="12979" spans="1:22" s="841" customFormat="1" ht="15" x14ac:dyDescent="0.25">
      <c r="A12979" s="841" t="s">
        <v>246</v>
      </c>
      <c r="E12979" s="1694" t="s">
        <v>3079</v>
      </c>
      <c r="F12979" s="1906"/>
      <c r="G12979" s="1408"/>
      <c r="H12979" s="1408"/>
      <c r="K12979" s="841" t="s">
        <v>3225</v>
      </c>
      <c r="M12979" s="1357"/>
      <c r="Q12979" s="1357"/>
      <c r="S12979" s="1420"/>
      <c r="T12979" s="1420"/>
      <c r="V12979" s="1357">
        <v>48</v>
      </c>
    </row>
    <row r="12980" spans="1:22" s="841" customFormat="1" ht="15" x14ac:dyDescent="0.25">
      <c r="A12980" s="841" t="s">
        <v>246</v>
      </c>
      <c r="E12980" s="1690" t="s">
        <v>2449</v>
      </c>
      <c r="F12980" s="1690"/>
      <c r="G12980" s="695" t="s">
        <v>24</v>
      </c>
      <c r="H12980" s="393">
        <v>3.2000000000000002E-3</v>
      </c>
      <c r="K12980" s="841" t="s">
        <v>3406</v>
      </c>
      <c r="L12980" s="841" t="s">
        <v>3046</v>
      </c>
      <c r="M12980" s="1357"/>
      <c r="P12980" s="841" t="s">
        <v>3414</v>
      </c>
      <c r="Q12980" s="1357"/>
      <c r="S12980" s="1420"/>
      <c r="T12980" s="1420"/>
      <c r="V12980" s="1357">
        <v>55</v>
      </c>
    </row>
    <row r="12981" spans="1:22" s="841" customFormat="1" ht="15" x14ac:dyDescent="0.25">
      <c r="A12981" s="841" t="s">
        <v>246</v>
      </c>
      <c r="E12981" s="1690" t="s">
        <v>2450</v>
      </c>
      <c r="F12981" s="1690"/>
      <c r="G12981" s="1408" t="s">
        <v>24</v>
      </c>
      <c r="H12981" s="393">
        <v>4.0000000000000002E-4</v>
      </c>
      <c r="K12981" s="841" t="s">
        <v>3406</v>
      </c>
      <c r="L12981" s="841" t="s">
        <v>3046</v>
      </c>
      <c r="M12981" s="1357"/>
      <c r="P12981" s="841" t="s">
        <v>3414</v>
      </c>
      <c r="Q12981" s="1357"/>
      <c r="S12981" s="1420"/>
      <c r="T12981" s="1420"/>
      <c r="V12981" s="1357">
        <v>65</v>
      </c>
    </row>
    <row r="12982" spans="1:22" s="841" customFormat="1" ht="15" x14ac:dyDescent="0.25">
      <c r="A12982" s="841" t="s">
        <v>246</v>
      </c>
      <c r="E12982" s="1690" t="s">
        <v>439</v>
      </c>
      <c r="F12982" s="1690"/>
      <c r="G12982" s="695" t="s">
        <v>24</v>
      </c>
      <c r="H12982" s="393">
        <v>2.9999999999999997E-4</v>
      </c>
      <c r="K12982" s="841" t="s">
        <v>3406</v>
      </c>
      <c r="L12982" s="841" t="s">
        <v>3046</v>
      </c>
      <c r="M12982" s="1357"/>
      <c r="P12982" s="841" t="s">
        <v>3415</v>
      </c>
      <c r="Q12982" s="1357"/>
      <c r="S12982" s="1420"/>
      <c r="T12982" s="1420"/>
      <c r="V12982" s="1357">
        <v>57</v>
      </c>
    </row>
    <row r="12983" spans="1:22" s="841" customFormat="1" ht="15" x14ac:dyDescent="0.25">
      <c r="A12983" s="841" t="s">
        <v>246</v>
      </c>
      <c r="E12983" s="1690" t="s">
        <v>32</v>
      </c>
      <c r="F12983" s="1690"/>
      <c r="G12983" s="1408" t="s">
        <v>23</v>
      </c>
      <c r="H12983" s="391">
        <v>0.25</v>
      </c>
      <c r="K12983" s="841" t="s">
        <v>3406</v>
      </c>
      <c r="L12983" s="841" t="s">
        <v>3046</v>
      </c>
      <c r="M12983" s="1357"/>
      <c r="P12983" s="841" t="s">
        <v>3416</v>
      </c>
      <c r="Q12983" s="1357"/>
      <c r="S12983" s="1420"/>
      <c r="T12983" s="1420"/>
      <c r="V12983" s="1357">
        <v>63</v>
      </c>
    </row>
    <row r="12984" spans="1:22" s="841" customFormat="1" x14ac:dyDescent="0.25">
      <c r="A12984" s="841" t="s">
        <v>246</v>
      </c>
      <c r="E12984" s="1909" t="s">
        <v>629</v>
      </c>
      <c r="F12984" s="1923"/>
      <c r="G12984" s="1923"/>
      <c r="H12984" s="1915"/>
      <c r="K12984" s="841" t="s">
        <v>3571</v>
      </c>
      <c r="M12984" s="1357"/>
      <c r="Q12984" s="1357"/>
      <c r="S12984" s="1420"/>
      <c r="T12984" s="1420"/>
      <c r="V12984" s="1357">
        <v>40</v>
      </c>
    </row>
    <row r="12985" spans="1:22" s="841" customFormat="1" ht="15" x14ac:dyDescent="0.25">
      <c r="A12985" s="841" t="s">
        <v>246</v>
      </c>
      <c r="E12985" s="1689" t="s">
        <v>4803</v>
      </c>
      <c r="F12985" s="1689"/>
      <c r="G12985" s="1689"/>
      <c r="H12985" s="1689"/>
      <c r="K12985" s="841" t="s">
        <v>3571</v>
      </c>
      <c r="M12985" s="1357"/>
      <c r="Q12985" s="1357"/>
      <c r="S12985" s="1420"/>
      <c r="T12985" s="1420"/>
      <c r="V12985" s="1357">
        <v>401</v>
      </c>
    </row>
    <row r="12986" spans="1:22" s="841" customFormat="1" ht="15" x14ac:dyDescent="0.25">
      <c r="A12986" s="841" t="s">
        <v>246</v>
      </c>
      <c r="E12986" s="1916" t="s">
        <v>3061</v>
      </c>
      <c r="F12986" s="1689"/>
      <c r="G12986" s="1689"/>
      <c r="H12986" s="1697"/>
      <c r="K12986" s="841" t="s">
        <v>3107</v>
      </c>
      <c r="M12986" s="1357"/>
      <c r="Q12986" s="1357"/>
      <c r="S12986" s="1420"/>
      <c r="T12986" s="1420"/>
      <c r="V12986" s="1357">
        <v>11</v>
      </c>
    </row>
    <row r="12987" spans="1:22" s="841" customFormat="1" ht="15" x14ac:dyDescent="0.25">
      <c r="A12987" s="841" t="s">
        <v>246</v>
      </c>
      <c r="E12987" s="1689" t="s">
        <v>3063</v>
      </c>
      <c r="F12987" s="1689"/>
      <c r="G12987" s="1689"/>
      <c r="H12987" s="1689"/>
      <c r="K12987" s="841" t="s">
        <v>3571</v>
      </c>
      <c r="M12987" s="1357"/>
      <c r="Q12987" s="1357"/>
      <c r="S12987" s="1420"/>
      <c r="T12987" s="1420"/>
      <c r="V12987" s="1357">
        <v>280</v>
      </c>
    </row>
    <row r="12988" spans="1:22" s="841" customFormat="1" ht="15" x14ac:dyDescent="0.25">
      <c r="A12988" s="841" t="s">
        <v>246</v>
      </c>
      <c r="E12988" s="1689" t="s">
        <v>3064</v>
      </c>
      <c r="F12988" s="1689"/>
      <c r="G12988" s="1689"/>
      <c r="H12988" s="1689"/>
      <c r="K12988" s="841" t="s">
        <v>3571</v>
      </c>
      <c r="M12988" s="1357"/>
      <c r="Q12988" s="1357"/>
      <c r="S12988" s="1420"/>
      <c r="T12988" s="1420"/>
      <c r="V12988" s="1357">
        <v>411</v>
      </c>
    </row>
    <row r="12989" spans="1:22" s="841" customFormat="1" ht="15" x14ac:dyDescent="0.25">
      <c r="A12989" s="841" t="s">
        <v>246</v>
      </c>
      <c r="E12989" s="1689" t="s">
        <v>3065</v>
      </c>
      <c r="F12989" s="1689"/>
      <c r="G12989" s="1689"/>
      <c r="H12989" s="1689"/>
      <c r="K12989" s="841" t="s">
        <v>3571</v>
      </c>
      <c r="M12989" s="1357"/>
      <c r="Q12989" s="1357"/>
      <c r="S12989" s="1420"/>
      <c r="T12989" s="1420"/>
      <c r="V12989" s="1357">
        <v>387</v>
      </c>
    </row>
    <row r="12990" spans="1:22" s="841" customFormat="1" ht="15" x14ac:dyDescent="0.25">
      <c r="A12990" s="841" t="s">
        <v>246</v>
      </c>
      <c r="E12990" s="1689" t="s">
        <v>3200</v>
      </c>
      <c r="F12990" s="1689"/>
      <c r="G12990" s="1689"/>
      <c r="H12990" s="1689"/>
      <c r="K12990" s="841" t="s">
        <v>3571</v>
      </c>
      <c r="M12990" s="1357"/>
      <c r="Q12990" s="1357"/>
      <c r="S12990" s="1420"/>
      <c r="T12990" s="1420"/>
      <c r="V12990" s="1357">
        <v>275</v>
      </c>
    </row>
    <row r="12991" spans="1:22" s="841" customFormat="1" ht="15" x14ac:dyDescent="0.25">
      <c r="A12991" s="841" t="s">
        <v>246</v>
      </c>
      <c r="E12991" s="1694" t="s">
        <v>3067</v>
      </c>
      <c r="F12991" s="1907"/>
      <c r="G12991" s="1907"/>
      <c r="H12991" s="1907"/>
      <c r="K12991" s="841" t="s">
        <v>3108</v>
      </c>
      <c r="M12991" s="1357"/>
      <c r="Q12991" s="1357"/>
      <c r="S12991" s="1420"/>
      <c r="T12991" s="1420"/>
      <c r="V12991" s="1357">
        <v>46</v>
      </c>
    </row>
    <row r="12992" spans="1:22" s="841" customFormat="1" ht="15" x14ac:dyDescent="0.25">
      <c r="A12992" s="841" t="s">
        <v>246</v>
      </c>
      <c r="E12992" s="1690" t="s">
        <v>12</v>
      </c>
      <c r="F12992" s="1690"/>
      <c r="G12992" s="695" t="s">
        <v>23</v>
      </c>
      <c r="H12992" s="391">
        <v>3.84</v>
      </c>
      <c r="K12992" s="841" t="s">
        <v>3571</v>
      </c>
      <c r="L12992" s="841" t="s">
        <v>442</v>
      </c>
      <c r="M12992" s="1357"/>
      <c r="P12992" s="841" t="s">
        <v>3573</v>
      </c>
      <c r="Q12992" s="1357"/>
      <c r="S12992" s="1420"/>
      <c r="T12992" s="1420"/>
      <c r="V12992" s="1357">
        <v>31</v>
      </c>
    </row>
    <row r="12993" spans="1:22" s="841" customFormat="1" ht="15" x14ac:dyDescent="0.25">
      <c r="A12993" s="841" t="s">
        <v>246</v>
      </c>
      <c r="E12993" s="1690" t="s">
        <v>84</v>
      </c>
      <c r="F12993" s="1690"/>
      <c r="G12993" s="695" t="s">
        <v>33</v>
      </c>
      <c r="H12993" s="393">
        <v>8.5934000000000008</v>
      </c>
      <c r="K12993" s="841" t="s">
        <v>3571</v>
      </c>
      <c r="L12993" s="841" t="s">
        <v>442</v>
      </c>
      <c r="M12993" s="1357"/>
      <c r="P12993" s="841" t="s">
        <v>3574</v>
      </c>
      <c r="Q12993" s="1357"/>
      <c r="S12993" s="1420"/>
      <c r="T12993" s="1420"/>
      <c r="V12993" s="1357">
        <v>28</v>
      </c>
    </row>
    <row r="12994" spans="1:22" s="841" customFormat="1" ht="15" x14ac:dyDescent="0.25">
      <c r="A12994" s="841" t="s">
        <v>246</v>
      </c>
      <c r="E12994" s="1690" t="s">
        <v>5129</v>
      </c>
      <c r="F12994" s="1908"/>
      <c r="G12994" s="695" t="s">
        <v>24</v>
      </c>
      <c r="H12994" s="393">
        <v>-6.1999999999999998E-3</v>
      </c>
      <c r="K12994" s="841" t="s">
        <v>3571</v>
      </c>
      <c r="L12994" s="841" t="s">
        <v>443</v>
      </c>
      <c r="M12994" s="1357"/>
      <c r="P12994" s="841" t="s">
        <v>3717</v>
      </c>
      <c r="Q12994" s="1357"/>
      <c r="S12994" s="1420"/>
      <c r="T12994" s="1420">
        <v>43585</v>
      </c>
      <c r="V12994" s="1357">
        <v>139</v>
      </c>
    </row>
    <row r="12995" spans="1:22" s="841" customFormat="1" ht="15" x14ac:dyDescent="0.25">
      <c r="A12995" s="841" t="s">
        <v>246</v>
      </c>
      <c r="E12995" s="1690" t="s">
        <v>5130</v>
      </c>
      <c r="F12995" s="1908"/>
      <c r="G12995" s="695" t="s">
        <v>33</v>
      </c>
      <c r="H12995" s="393">
        <v>-0.43890000000000001</v>
      </c>
      <c r="K12995" s="841" t="s">
        <v>3571</v>
      </c>
      <c r="L12995" s="841" t="s">
        <v>443</v>
      </c>
      <c r="M12995" s="1357"/>
      <c r="P12995" s="841" t="s">
        <v>3718</v>
      </c>
      <c r="Q12995" s="1357"/>
      <c r="S12995" s="1420"/>
      <c r="T12995" s="1420">
        <v>43585</v>
      </c>
      <c r="V12995" s="1357">
        <v>96</v>
      </c>
    </row>
    <row r="12996" spans="1:22" s="841" customFormat="1" ht="15" x14ac:dyDescent="0.25">
      <c r="A12996" s="841" t="s">
        <v>246</v>
      </c>
      <c r="E12996" s="1690" t="s">
        <v>221</v>
      </c>
      <c r="F12996" s="1690"/>
      <c r="G12996" s="631" t="s">
        <v>33</v>
      </c>
      <c r="H12996" s="393">
        <v>2.1448</v>
      </c>
      <c r="K12996" s="841" t="s">
        <v>3571</v>
      </c>
      <c r="L12996" s="841" t="s">
        <v>444</v>
      </c>
      <c r="M12996" s="1357"/>
      <c r="P12996" s="841" t="s">
        <v>3576</v>
      </c>
      <c r="Q12996" s="1357"/>
      <c r="S12996" s="1420"/>
      <c r="T12996" s="1420"/>
      <c r="V12996" s="1357">
        <v>47</v>
      </c>
    </row>
    <row r="12997" spans="1:22" s="841" customFormat="1" ht="15" x14ac:dyDescent="0.25">
      <c r="A12997" s="841" t="s">
        <v>246</v>
      </c>
      <c r="E12997" s="1690" t="s">
        <v>217</v>
      </c>
      <c r="F12997" s="1690"/>
      <c r="G12997" s="631" t="s">
        <v>33</v>
      </c>
      <c r="H12997" s="393">
        <v>1.8803000000000001</v>
      </c>
      <c r="K12997" s="841" t="s">
        <v>3571</v>
      </c>
      <c r="L12997" s="841" t="s">
        <v>444</v>
      </c>
      <c r="M12997" s="1357"/>
      <c r="P12997" s="841" t="s">
        <v>3577</v>
      </c>
      <c r="Q12997" s="1357"/>
      <c r="S12997" s="1420"/>
      <c r="T12997" s="1420"/>
      <c r="V12997" s="1357">
        <v>74</v>
      </c>
    </row>
    <row r="12998" spans="1:22" s="841" customFormat="1" ht="15" x14ac:dyDescent="0.25">
      <c r="A12998" s="841" t="s">
        <v>246</v>
      </c>
      <c r="E12998" s="1694" t="s">
        <v>3079</v>
      </c>
      <c r="F12998" s="1690"/>
      <c r="G12998" s="1408"/>
      <c r="H12998" s="1408"/>
      <c r="K12998" s="841" t="s">
        <v>3111</v>
      </c>
      <c r="M12998" s="1357"/>
      <c r="Q12998" s="1357"/>
      <c r="S12998" s="1420"/>
      <c r="T12998" s="1420"/>
      <c r="V12998" s="1357">
        <v>48</v>
      </c>
    </row>
    <row r="12999" spans="1:22" s="841" customFormat="1" ht="15" x14ac:dyDescent="0.25">
      <c r="A12999" s="841" t="s">
        <v>246</v>
      </c>
      <c r="E12999" s="1690" t="s">
        <v>2449</v>
      </c>
      <c r="F12999" s="1690"/>
      <c r="G12999" s="695" t="s">
        <v>24</v>
      </c>
      <c r="H12999" s="393">
        <v>3.2000000000000002E-3</v>
      </c>
      <c r="K12999" s="841" t="s">
        <v>3571</v>
      </c>
      <c r="L12999" s="841" t="s">
        <v>3046</v>
      </c>
      <c r="M12999" s="1357"/>
      <c r="P12999" s="841" t="s">
        <v>3578</v>
      </c>
      <c r="Q12999" s="1357"/>
      <c r="S12999" s="1420"/>
      <c r="T12999" s="1420"/>
      <c r="V12999" s="1357">
        <v>55</v>
      </c>
    </row>
    <row r="13000" spans="1:22" s="841" customFormat="1" ht="15" x14ac:dyDescent="0.25">
      <c r="A13000" s="841" t="s">
        <v>246</v>
      </c>
      <c r="E13000" s="1690" t="s">
        <v>2450</v>
      </c>
      <c r="F13000" s="1690"/>
      <c r="G13000" s="1408" t="s">
        <v>24</v>
      </c>
      <c r="H13000" s="393">
        <v>4.0000000000000002E-4</v>
      </c>
      <c r="K13000" s="841" t="s">
        <v>3571</v>
      </c>
      <c r="L13000" s="841" t="s">
        <v>3046</v>
      </c>
      <c r="M13000" s="1357"/>
      <c r="P13000" s="841" t="s">
        <v>3578</v>
      </c>
      <c r="Q13000" s="1357"/>
      <c r="S13000" s="1420"/>
      <c r="T13000" s="1420"/>
      <c r="V13000" s="1357">
        <v>65</v>
      </c>
    </row>
    <row r="13001" spans="1:22" s="841" customFormat="1" ht="15" x14ac:dyDescent="0.25">
      <c r="A13001" s="841" t="s">
        <v>246</v>
      </c>
      <c r="E13001" s="1690" t="s">
        <v>439</v>
      </c>
      <c r="F13001" s="1690"/>
      <c r="G13001" s="695" t="s">
        <v>24</v>
      </c>
      <c r="H13001" s="393">
        <v>2.9999999999999997E-4</v>
      </c>
      <c r="K13001" s="841" t="s">
        <v>3571</v>
      </c>
      <c r="L13001" s="841" t="s">
        <v>3046</v>
      </c>
      <c r="M13001" s="1357"/>
      <c r="P13001" s="841" t="s">
        <v>3579</v>
      </c>
      <c r="Q13001" s="1357"/>
      <c r="S13001" s="1420"/>
      <c r="T13001" s="1420"/>
      <c r="V13001" s="1357">
        <v>57</v>
      </c>
    </row>
    <row r="13002" spans="1:22" s="841" customFormat="1" ht="15" x14ac:dyDescent="0.25">
      <c r="A13002" s="841" t="s">
        <v>246</v>
      </c>
      <c r="E13002" s="1690" t="s">
        <v>32</v>
      </c>
      <c r="F13002" s="1690"/>
      <c r="G13002" s="1408" t="s">
        <v>23</v>
      </c>
      <c r="H13002" s="391">
        <v>0.25</v>
      </c>
      <c r="K13002" s="841" t="s">
        <v>3571</v>
      </c>
      <c r="L13002" s="841" t="s">
        <v>3046</v>
      </c>
      <c r="M13002" s="1357"/>
      <c r="P13002" s="841" t="s">
        <v>3580</v>
      </c>
      <c r="Q13002" s="1357"/>
      <c r="S13002" s="1420"/>
      <c r="T13002" s="1420"/>
      <c r="V13002" s="1357">
        <v>63</v>
      </c>
    </row>
    <row r="13003" spans="1:22" s="841" customFormat="1" x14ac:dyDescent="0.25">
      <c r="A13003" s="841" t="s">
        <v>246</v>
      </c>
      <c r="E13003" s="1909" t="s">
        <v>615</v>
      </c>
      <c r="F13003" s="1923"/>
      <c r="G13003" s="1923"/>
      <c r="H13003" s="1915"/>
      <c r="K13003" s="841" t="s">
        <v>3112</v>
      </c>
      <c r="M13003" s="1357"/>
      <c r="Q13003" s="1357"/>
      <c r="S13003" s="1420"/>
      <c r="T13003" s="1420"/>
      <c r="V13003" s="1357">
        <v>38</v>
      </c>
    </row>
    <row r="13004" spans="1:22" s="841" customFormat="1" ht="15" x14ac:dyDescent="0.25">
      <c r="A13004" s="841" t="s">
        <v>246</v>
      </c>
      <c r="E13004" s="1689" t="s">
        <v>4804</v>
      </c>
      <c r="F13004" s="1689"/>
      <c r="G13004" s="1689"/>
      <c r="H13004" s="1689"/>
      <c r="K13004" s="841" t="s">
        <v>3112</v>
      </c>
      <c r="M13004" s="1357"/>
      <c r="Q13004" s="1357"/>
      <c r="S13004" s="1420"/>
      <c r="T13004" s="1420"/>
      <c r="V13004" s="1357">
        <v>383</v>
      </c>
    </row>
    <row r="13005" spans="1:22" s="841" customFormat="1" ht="15" x14ac:dyDescent="0.25">
      <c r="A13005" s="841" t="s">
        <v>246</v>
      </c>
      <c r="E13005" s="1916" t="s">
        <v>3061</v>
      </c>
      <c r="F13005" s="1689"/>
      <c r="G13005" s="1689"/>
      <c r="H13005" s="1697"/>
      <c r="K13005" s="841" t="s">
        <v>3114</v>
      </c>
      <c r="M13005" s="1357"/>
      <c r="Q13005" s="1357"/>
      <c r="S13005" s="1420"/>
      <c r="T13005" s="1420"/>
      <c r="V13005" s="1357">
        <v>11</v>
      </c>
    </row>
    <row r="13006" spans="1:22" s="841" customFormat="1" ht="15" x14ac:dyDescent="0.25">
      <c r="A13006" s="841" t="s">
        <v>246</v>
      </c>
      <c r="E13006" s="1689" t="s">
        <v>3063</v>
      </c>
      <c r="F13006" s="1689"/>
      <c r="G13006" s="1689"/>
      <c r="H13006" s="1689"/>
      <c r="K13006" s="841" t="s">
        <v>3112</v>
      </c>
      <c r="M13006" s="1357"/>
      <c r="Q13006" s="1357"/>
      <c r="S13006" s="1420"/>
      <c r="T13006" s="1420"/>
      <c r="V13006" s="1357">
        <v>280</v>
      </c>
    </row>
    <row r="13007" spans="1:22" s="841" customFormat="1" ht="15" x14ac:dyDescent="0.25">
      <c r="A13007" s="841" t="s">
        <v>246</v>
      </c>
      <c r="E13007" s="1689" t="s">
        <v>3064</v>
      </c>
      <c r="F13007" s="1689"/>
      <c r="G13007" s="1689"/>
      <c r="H13007" s="1689"/>
      <c r="K13007" s="841" t="s">
        <v>3112</v>
      </c>
      <c r="M13007" s="1357"/>
      <c r="Q13007" s="1357"/>
      <c r="S13007" s="1420"/>
      <c r="T13007" s="1420"/>
      <c r="V13007" s="1357">
        <v>411</v>
      </c>
    </row>
    <row r="13008" spans="1:22" s="841" customFormat="1" ht="15" x14ac:dyDescent="0.25">
      <c r="A13008" s="841" t="s">
        <v>246</v>
      </c>
      <c r="E13008" s="1689" t="s">
        <v>3065</v>
      </c>
      <c r="F13008" s="1689"/>
      <c r="G13008" s="1689"/>
      <c r="H13008" s="1689"/>
      <c r="K13008" s="841" t="s">
        <v>3112</v>
      </c>
      <c r="M13008" s="1357"/>
      <c r="Q13008" s="1357"/>
      <c r="S13008" s="1420"/>
      <c r="T13008" s="1420"/>
      <c r="V13008" s="1357">
        <v>387</v>
      </c>
    </row>
    <row r="13009" spans="1:22" s="841" customFormat="1" ht="15" x14ac:dyDescent="0.25">
      <c r="A13009" s="841" t="s">
        <v>246</v>
      </c>
      <c r="E13009" s="1689" t="s">
        <v>3200</v>
      </c>
      <c r="F13009" s="1689"/>
      <c r="G13009" s="1689"/>
      <c r="H13009" s="1689"/>
      <c r="K13009" s="841" t="s">
        <v>3112</v>
      </c>
      <c r="M13009" s="1357"/>
      <c r="Q13009" s="1357"/>
      <c r="S13009" s="1420"/>
      <c r="T13009" s="1420"/>
      <c r="V13009" s="1357">
        <v>275</v>
      </c>
    </row>
    <row r="13010" spans="1:22" s="841" customFormat="1" ht="15" x14ac:dyDescent="0.25">
      <c r="A13010" s="841" t="s">
        <v>246</v>
      </c>
      <c r="E13010" s="1694" t="s">
        <v>3067</v>
      </c>
      <c r="F13010" s="1907"/>
      <c r="G13010" s="1907"/>
      <c r="H13010" s="1907"/>
      <c r="K13010" s="841" t="s">
        <v>3115</v>
      </c>
      <c r="M13010" s="1357"/>
      <c r="Q13010" s="1357"/>
      <c r="S13010" s="1420"/>
      <c r="T13010" s="1420"/>
      <c r="V13010" s="1357">
        <v>46</v>
      </c>
    </row>
    <row r="13011" spans="1:22" s="841" customFormat="1" ht="15" x14ac:dyDescent="0.25">
      <c r="A13011" s="841" t="s">
        <v>246</v>
      </c>
      <c r="E13011" s="1690" t="s">
        <v>3928</v>
      </c>
      <c r="F13011" s="1690"/>
      <c r="G13011" s="695" t="s">
        <v>23</v>
      </c>
      <c r="H13011" s="391">
        <v>0.61</v>
      </c>
      <c r="K13011" s="841" t="s">
        <v>3112</v>
      </c>
      <c r="L13011" s="841" t="s">
        <v>442</v>
      </c>
      <c r="M13011" s="1357"/>
      <c r="P13011" s="841" t="s">
        <v>3116</v>
      </c>
      <c r="Q13011" s="1357"/>
      <c r="S13011" s="1420"/>
      <c r="T13011" s="1420"/>
      <c r="V13011" s="1357">
        <v>27</v>
      </c>
    </row>
    <row r="13012" spans="1:22" s="841" customFormat="1" ht="15" x14ac:dyDescent="0.25">
      <c r="A13012" s="841" t="s">
        <v>246</v>
      </c>
      <c r="E13012" s="1690" t="s">
        <v>84</v>
      </c>
      <c r="F13012" s="1690"/>
      <c r="G13012" s="695" t="s">
        <v>33</v>
      </c>
      <c r="H13012" s="393">
        <v>2.5453999999999999</v>
      </c>
      <c r="K13012" s="841" t="s">
        <v>3112</v>
      </c>
      <c r="L13012" s="841" t="s">
        <v>442</v>
      </c>
      <c r="M13012" s="1357"/>
      <c r="P13012" s="841" t="s">
        <v>3117</v>
      </c>
      <c r="Q13012" s="1357"/>
      <c r="S13012" s="1420"/>
      <c r="T13012" s="1420"/>
      <c r="V13012" s="1357">
        <v>28</v>
      </c>
    </row>
    <row r="13013" spans="1:22" s="841" customFormat="1" ht="15" x14ac:dyDescent="0.25">
      <c r="A13013" s="841" t="s">
        <v>246</v>
      </c>
      <c r="E13013" s="1690" t="s">
        <v>5129</v>
      </c>
      <c r="F13013" s="1908"/>
      <c r="G13013" s="695" t="s">
        <v>24</v>
      </c>
      <c r="H13013" s="393">
        <v>-6.1999999999999998E-3</v>
      </c>
      <c r="K13013" s="841" t="s">
        <v>3112</v>
      </c>
      <c r="L13013" s="841" t="s">
        <v>443</v>
      </c>
      <c r="M13013" s="1357"/>
      <c r="P13013" s="841" t="s">
        <v>3119</v>
      </c>
      <c r="Q13013" s="1357"/>
      <c r="S13013" s="1420"/>
      <c r="T13013" s="1420">
        <v>43585</v>
      </c>
      <c r="V13013" s="1357">
        <v>139</v>
      </c>
    </row>
    <row r="13014" spans="1:22" s="841" customFormat="1" ht="15" x14ac:dyDescent="0.25">
      <c r="A13014" s="841" t="s">
        <v>246</v>
      </c>
      <c r="E13014" s="1690" t="s">
        <v>5130</v>
      </c>
      <c r="F13014" s="1908"/>
      <c r="G13014" s="695" t="s">
        <v>33</v>
      </c>
      <c r="H13014" s="393">
        <v>-0.4249</v>
      </c>
      <c r="K13014" s="841" t="s">
        <v>3112</v>
      </c>
      <c r="L13014" s="841" t="s">
        <v>443</v>
      </c>
      <c r="M13014" s="1357"/>
      <c r="P13014" s="841" t="s">
        <v>3118</v>
      </c>
      <c r="Q13014" s="1357"/>
      <c r="S13014" s="1420"/>
      <c r="T13014" s="1420">
        <v>43585</v>
      </c>
      <c r="V13014" s="1357">
        <v>96</v>
      </c>
    </row>
    <row r="13015" spans="1:22" s="841" customFormat="1" ht="15" x14ac:dyDescent="0.25">
      <c r="A13015" s="841" t="s">
        <v>246</v>
      </c>
      <c r="E13015" s="1690" t="s">
        <v>221</v>
      </c>
      <c r="F13015" s="1690"/>
      <c r="G13015" s="631" t="s">
        <v>33</v>
      </c>
      <c r="H13015" s="393">
        <v>2.1402000000000001</v>
      </c>
      <c r="K13015" s="841" t="s">
        <v>3112</v>
      </c>
      <c r="L13015" s="841" t="s">
        <v>444</v>
      </c>
      <c r="M13015" s="1357"/>
      <c r="P13015" s="841" t="s">
        <v>3120</v>
      </c>
      <c r="Q13015" s="1357"/>
      <c r="S13015" s="1420"/>
      <c r="T13015" s="1420"/>
      <c r="V13015" s="1357">
        <v>47</v>
      </c>
    </row>
    <row r="13016" spans="1:22" s="841" customFormat="1" ht="15" x14ac:dyDescent="0.25">
      <c r="A13016" s="841" t="s">
        <v>246</v>
      </c>
      <c r="E13016" s="1690" t="s">
        <v>217</v>
      </c>
      <c r="F13016" s="1690"/>
      <c r="G13016" s="631" t="s">
        <v>33</v>
      </c>
      <c r="H13016" s="393">
        <v>1.8761000000000001</v>
      </c>
      <c r="K13016" s="841" t="s">
        <v>3112</v>
      </c>
      <c r="L13016" s="841" t="s">
        <v>444</v>
      </c>
      <c r="M13016" s="1357"/>
      <c r="P13016" s="841" t="s">
        <v>3121</v>
      </c>
      <c r="Q13016" s="1357"/>
      <c r="S13016" s="1420"/>
      <c r="T13016" s="1420"/>
      <c r="V13016" s="1357">
        <v>74</v>
      </c>
    </row>
    <row r="13017" spans="1:22" s="841" customFormat="1" ht="15" x14ac:dyDescent="0.25">
      <c r="A13017" s="841" t="s">
        <v>246</v>
      </c>
      <c r="E13017" s="1694" t="s">
        <v>3079</v>
      </c>
      <c r="F13017" s="1906"/>
      <c r="G13017" s="1408"/>
      <c r="H13017" s="1408"/>
      <c r="K13017" s="841" t="s">
        <v>3122</v>
      </c>
      <c r="M13017" s="1357"/>
      <c r="Q13017" s="1357"/>
      <c r="S13017" s="1420"/>
      <c r="T13017" s="1420"/>
      <c r="V13017" s="1357">
        <v>48</v>
      </c>
    </row>
    <row r="13018" spans="1:22" s="841" customFormat="1" ht="15" x14ac:dyDescent="0.25">
      <c r="A13018" s="841" t="s">
        <v>246</v>
      </c>
      <c r="E13018" s="1690" t="s">
        <v>2449</v>
      </c>
      <c r="F13018" s="1690"/>
      <c r="G13018" s="695" t="s">
        <v>24</v>
      </c>
      <c r="H13018" s="393">
        <v>3.2000000000000002E-3</v>
      </c>
      <c r="K13018" s="841" t="s">
        <v>3112</v>
      </c>
      <c r="L13018" s="841" t="s">
        <v>3046</v>
      </c>
      <c r="M13018" s="1357"/>
      <c r="P13018" s="841" t="s">
        <v>3123</v>
      </c>
      <c r="Q13018" s="1357"/>
      <c r="S13018" s="1420"/>
      <c r="T13018" s="1420"/>
      <c r="V13018" s="1357">
        <v>55</v>
      </c>
    </row>
    <row r="13019" spans="1:22" s="841" customFormat="1" ht="15" x14ac:dyDescent="0.25">
      <c r="A13019" s="841" t="s">
        <v>246</v>
      </c>
      <c r="E13019" s="1690" t="s">
        <v>2450</v>
      </c>
      <c r="F13019" s="1690"/>
      <c r="G13019" s="1408" t="s">
        <v>24</v>
      </c>
      <c r="H13019" s="393">
        <v>4.0000000000000002E-4</v>
      </c>
      <c r="K13019" s="841" t="s">
        <v>3112</v>
      </c>
      <c r="L13019" s="841" t="s">
        <v>3046</v>
      </c>
      <c r="M13019" s="1357"/>
      <c r="P13019" s="841" t="s">
        <v>3123</v>
      </c>
      <c r="Q13019" s="1357"/>
      <c r="S13019" s="1420"/>
      <c r="T13019" s="1420"/>
      <c r="V13019" s="1357">
        <v>65</v>
      </c>
    </row>
    <row r="13020" spans="1:22" s="841" customFormat="1" ht="15" x14ac:dyDescent="0.25">
      <c r="A13020" s="841" t="s">
        <v>246</v>
      </c>
      <c r="E13020" s="1690" t="s">
        <v>439</v>
      </c>
      <c r="F13020" s="1690"/>
      <c r="G13020" s="695" t="s">
        <v>24</v>
      </c>
      <c r="H13020" s="393">
        <v>2.9999999999999997E-4</v>
      </c>
      <c r="K13020" s="841" t="s">
        <v>3112</v>
      </c>
      <c r="L13020" s="841" t="s">
        <v>3046</v>
      </c>
      <c r="M13020" s="1357"/>
      <c r="P13020" s="841" t="s">
        <v>3124</v>
      </c>
      <c r="Q13020" s="1357"/>
      <c r="S13020" s="1420"/>
      <c r="T13020" s="1420"/>
      <c r="V13020" s="1357">
        <v>57</v>
      </c>
    </row>
    <row r="13021" spans="1:22" s="841" customFormat="1" ht="15" x14ac:dyDescent="0.25">
      <c r="A13021" s="841" t="s">
        <v>246</v>
      </c>
      <c r="E13021" s="1690" t="s">
        <v>32</v>
      </c>
      <c r="F13021" s="1690"/>
      <c r="G13021" s="1408" t="s">
        <v>23</v>
      </c>
      <c r="H13021" s="391">
        <v>0.25</v>
      </c>
      <c r="K13021" s="841" t="s">
        <v>3112</v>
      </c>
      <c r="L13021" s="841" t="s">
        <v>3046</v>
      </c>
      <c r="M13021" s="1357"/>
      <c r="P13021" s="841" t="s">
        <v>3125</v>
      </c>
      <c r="Q13021" s="1357"/>
      <c r="S13021" s="1420"/>
      <c r="T13021" s="1420"/>
      <c r="V13021" s="1357">
        <v>63</v>
      </c>
    </row>
    <row r="13022" spans="1:22" s="841" customFormat="1" x14ac:dyDescent="0.25">
      <c r="A13022" s="841" t="s">
        <v>246</v>
      </c>
      <c r="E13022" s="1909" t="s">
        <v>618</v>
      </c>
      <c r="F13022" s="1909"/>
      <c r="G13022" s="1915"/>
      <c r="H13022" s="1915"/>
      <c r="K13022" s="841" t="s">
        <v>3126</v>
      </c>
      <c r="M13022" s="1357"/>
      <c r="Q13022" s="1357"/>
      <c r="S13022" s="1420"/>
      <c r="T13022" s="1420"/>
      <c r="V13022" s="1357">
        <v>31</v>
      </c>
    </row>
    <row r="13023" spans="1:22" s="841" customFormat="1" ht="15" x14ac:dyDescent="0.25">
      <c r="A13023" s="841" t="s">
        <v>246</v>
      </c>
      <c r="E13023" s="1689" t="s">
        <v>3781</v>
      </c>
      <c r="F13023" s="1689"/>
      <c r="G13023" s="1689"/>
      <c r="H13023" s="1689"/>
      <c r="K13023" s="841" t="s">
        <v>3126</v>
      </c>
      <c r="M13023" s="1357"/>
      <c r="Q13023" s="1357"/>
      <c r="S13023" s="1420"/>
      <c r="T13023" s="1420"/>
      <c r="V13023" s="1357">
        <v>286</v>
      </c>
    </row>
    <row r="13024" spans="1:22" s="841" customFormat="1" ht="15" x14ac:dyDescent="0.25">
      <c r="A13024" s="841" t="s">
        <v>246</v>
      </c>
      <c r="E13024" s="1916" t="s">
        <v>3061</v>
      </c>
      <c r="F13024" s="1689"/>
      <c r="G13024" s="1689"/>
      <c r="H13024" s="1697"/>
      <c r="K13024" s="841" t="s">
        <v>3128</v>
      </c>
      <c r="M13024" s="1357"/>
      <c r="Q13024" s="1357"/>
      <c r="S13024" s="1420"/>
      <c r="T13024" s="1420"/>
      <c r="V13024" s="1357">
        <v>11</v>
      </c>
    </row>
    <row r="13025" spans="1:22" s="841" customFormat="1" ht="15" x14ac:dyDescent="0.25">
      <c r="A13025" s="841" t="s">
        <v>246</v>
      </c>
      <c r="E13025" s="1689" t="s">
        <v>3063</v>
      </c>
      <c r="F13025" s="1689"/>
      <c r="G13025" s="1689"/>
      <c r="H13025" s="1689"/>
      <c r="K13025" s="841" t="s">
        <v>3126</v>
      </c>
      <c r="M13025" s="1357"/>
      <c r="Q13025" s="1357"/>
      <c r="S13025" s="1420"/>
      <c r="T13025" s="1420"/>
      <c r="V13025" s="1357">
        <v>280</v>
      </c>
    </row>
    <row r="13026" spans="1:22" s="841" customFormat="1" ht="15" x14ac:dyDescent="0.25">
      <c r="A13026" s="841" t="s">
        <v>246</v>
      </c>
      <c r="E13026" s="1689" t="s">
        <v>3064</v>
      </c>
      <c r="F13026" s="1689"/>
      <c r="G13026" s="1689"/>
      <c r="H13026" s="1689"/>
      <c r="K13026" s="841" t="s">
        <v>3126</v>
      </c>
      <c r="M13026" s="1357"/>
      <c r="Q13026" s="1357"/>
      <c r="S13026" s="1420"/>
      <c r="T13026" s="1420"/>
      <c r="V13026" s="1357">
        <v>411</v>
      </c>
    </row>
    <row r="13027" spans="1:22" s="841" customFormat="1" ht="15" x14ac:dyDescent="0.25">
      <c r="A13027" s="841" t="s">
        <v>246</v>
      </c>
      <c r="E13027" s="1689" t="s">
        <v>3129</v>
      </c>
      <c r="F13027" s="1689"/>
      <c r="G13027" s="1689"/>
      <c r="H13027" s="1689"/>
      <c r="K13027" s="841" t="s">
        <v>3126</v>
      </c>
      <c r="M13027" s="1357"/>
      <c r="Q13027" s="1357"/>
      <c r="S13027" s="1420"/>
      <c r="T13027" s="1420"/>
      <c r="V13027" s="1357">
        <v>211</v>
      </c>
    </row>
    <row r="13028" spans="1:22" s="841" customFormat="1" ht="15" x14ac:dyDescent="0.25">
      <c r="A13028" s="841" t="s">
        <v>246</v>
      </c>
      <c r="E13028" s="1689" t="s">
        <v>3200</v>
      </c>
      <c r="F13028" s="1689"/>
      <c r="G13028" s="1689"/>
      <c r="H13028" s="1689"/>
      <c r="K13028" s="841" t="s">
        <v>3126</v>
      </c>
      <c r="M13028" s="1357"/>
      <c r="Q13028" s="1357"/>
      <c r="S13028" s="1420"/>
      <c r="T13028" s="1420"/>
      <c r="V13028" s="1357">
        <v>275</v>
      </c>
    </row>
    <row r="13029" spans="1:22" s="841" customFormat="1" ht="15" x14ac:dyDescent="0.25">
      <c r="A13029" s="841" t="s">
        <v>246</v>
      </c>
      <c r="E13029" s="1694" t="s">
        <v>3067</v>
      </c>
      <c r="F13029" s="1907"/>
      <c r="G13029" s="1907"/>
      <c r="H13029" s="1907"/>
      <c r="K13029" s="841" t="s">
        <v>3130</v>
      </c>
      <c r="M13029" s="1357"/>
      <c r="Q13029" s="1357"/>
      <c r="S13029" s="1420"/>
      <c r="T13029" s="1420"/>
      <c r="V13029" s="1357">
        <v>46</v>
      </c>
    </row>
    <row r="13030" spans="1:22" s="841" customFormat="1" ht="15" x14ac:dyDescent="0.25">
      <c r="A13030" s="841" t="s">
        <v>246</v>
      </c>
      <c r="E13030" s="1690" t="s">
        <v>11</v>
      </c>
      <c r="F13030" s="1690"/>
      <c r="G13030" s="695" t="s">
        <v>23</v>
      </c>
      <c r="H13030" s="391">
        <v>11</v>
      </c>
      <c r="K13030" s="841" t="s">
        <v>3126</v>
      </c>
      <c r="L13030" s="841" t="s">
        <v>442</v>
      </c>
      <c r="M13030" s="1357"/>
      <c r="P13030" s="841" t="s">
        <v>3131</v>
      </c>
      <c r="Q13030" s="1357"/>
      <c r="S13030" s="1420"/>
      <c r="T13030" s="1420"/>
      <c r="V13030" s="1357">
        <v>14</v>
      </c>
    </row>
    <row r="13031" spans="1:22" s="841" customFormat="1" ht="18.75" x14ac:dyDescent="0.3">
      <c r="A13031" s="841" t="s">
        <v>246</v>
      </c>
      <c r="E13031" s="1931" t="s">
        <v>85</v>
      </c>
      <c r="F13031" s="1931"/>
      <c r="G13031" s="658"/>
      <c r="H13031" s="657"/>
      <c r="K13031" s="841" t="s">
        <v>5902</v>
      </c>
      <c r="M13031" s="1357"/>
      <c r="Q13031" s="1357"/>
      <c r="S13031" s="1420"/>
      <c r="T13031" s="1420"/>
      <c r="V13031" s="1357">
        <v>10</v>
      </c>
    </row>
    <row r="13032" spans="1:22" s="841" customFormat="1" ht="15" x14ac:dyDescent="0.25">
      <c r="A13032" s="841" t="s">
        <v>246</v>
      </c>
      <c r="E13032" s="1690" t="s">
        <v>3133</v>
      </c>
      <c r="F13032" s="1690"/>
      <c r="G13032" s="1408" t="s">
        <v>33</v>
      </c>
      <c r="H13032" s="393">
        <v>-0.7</v>
      </c>
      <c r="M13032" s="1357"/>
      <c r="Q13032" s="1357"/>
      <c r="S13032" s="1420"/>
      <c r="T13032" s="1420"/>
      <c r="V13032" s="1357">
        <v>68</v>
      </c>
    </row>
    <row r="13033" spans="1:22" s="841" customFormat="1" ht="15" x14ac:dyDescent="0.25">
      <c r="A13033" s="841" t="s">
        <v>246</v>
      </c>
      <c r="E13033" s="1690" t="s">
        <v>3134</v>
      </c>
      <c r="F13033" s="1690"/>
      <c r="G13033" s="1408" t="s">
        <v>86</v>
      </c>
      <c r="H13033" s="391">
        <v>-1</v>
      </c>
      <c r="M13033" s="1357"/>
      <c r="Q13033" s="1357"/>
      <c r="S13033" s="1420"/>
      <c r="T13033" s="1420"/>
      <c r="V13033" s="1357">
        <v>87</v>
      </c>
    </row>
    <row r="13034" spans="1:22" s="841" customFormat="1" ht="18.75" x14ac:dyDescent="0.3">
      <c r="A13034" s="841" t="s">
        <v>246</v>
      </c>
      <c r="E13034" s="1931" t="s">
        <v>87</v>
      </c>
      <c r="F13034" s="1931"/>
      <c r="G13034" s="658"/>
      <c r="H13034" s="657"/>
      <c r="K13034" s="841" t="s">
        <v>5903</v>
      </c>
      <c r="M13034" s="1357"/>
      <c r="Q13034" s="1357"/>
      <c r="S13034" s="1420"/>
      <c r="T13034" s="1420"/>
      <c r="V13034" s="1357">
        <v>24</v>
      </c>
    </row>
    <row r="13035" spans="1:22" s="841" customFormat="1" ht="15" x14ac:dyDescent="0.25">
      <c r="A13035" s="841" t="s">
        <v>246</v>
      </c>
      <c r="E13035" s="1689" t="s">
        <v>3063</v>
      </c>
      <c r="F13035" s="1689"/>
      <c r="G13035" s="1689"/>
      <c r="H13035" s="1689"/>
      <c r="M13035" s="1357"/>
      <c r="Q13035" s="1357"/>
      <c r="S13035" s="1420"/>
      <c r="T13035" s="1420"/>
      <c r="V13035" s="1357">
        <v>280</v>
      </c>
    </row>
    <row r="13036" spans="1:22" s="841" customFormat="1" ht="15" x14ac:dyDescent="0.25">
      <c r="A13036" s="841" t="s">
        <v>246</v>
      </c>
      <c r="E13036" s="1689" t="s">
        <v>3136</v>
      </c>
      <c r="F13036" s="1689"/>
      <c r="G13036" s="1689"/>
      <c r="H13036" s="1689"/>
      <c r="M13036" s="1357"/>
      <c r="Q13036" s="1357"/>
      <c r="S13036" s="1420"/>
      <c r="T13036" s="1420"/>
      <c r="V13036" s="1357">
        <v>353</v>
      </c>
    </row>
    <row r="13037" spans="1:22" s="841" customFormat="1" ht="15" x14ac:dyDescent="0.25">
      <c r="A13037" s="841" t="s">
        <v>246</v>
      </c>
      <c r="E13037" s="1689" t="s">
        <v>3200</v>
      </c>
      <c r="F13037" s="1689"/>
      <c r="G13037" s="1689"/>
      <c r="H13037" s="1689"/>
      <c r="M13037" s="1357"/>
      <c r="Q13037" s="1357"/>
      <c r="S13037" s="1420"/>
      <c r="T13037" s="1420"/>
      <c r="V13037" s="1357">
        <v>275</v>
      </c>
    </row>
    <row r="13038" spans="1:22" s="841" customFormat="1" ht="15" x14ac:dyDescent="0.25">
      <c r="A13038" s="841" t="s">
        <v>246</v>
      </c>
      <c r="E13038" s="1370" t="s">
        <v>3137</v>
      </c>
      <c r="F13038" s="924"/>
      <c r="G13038" s="925"/>
      <c r="H13038" s="924"/>
      <c r="K13038" s="841" t="s">
        <v>5904</v>
      </c>
      <c r="M13038" s="1357"/>
      <c r="Q13038" s="1357"/>
      <c r="S13038" s="1420"/>
      <c r="T13038" s="1420"/>
      <c r="V13038" s="1357">
        <v>23</v>
      </c>
    </row>
    <row r="13039" spans="1:22" s="841" customFormat="1" ht="15" x14ac:dyDescent="0.25">
      <c r="A13039" s="841" t="s">
        <v>246</v>
      </c>
      <c r="E13039" s="1688" t="s">
        <v>3355</v>
      </c>
      <c r="F13039" s="1688"/>
      <c r="G13039" s="1408" t="s">
        <v>23</v>
      </c>
      <c r="H13039" s="391">
        <v>15</v>
      </c>
      <c r="M13039" s="1357"/>
      <c r="Q13039" s="1357"/>
      <c r="S13039" s="1420"/>
      <c r="T13039" s="1420"/>
      <c r="V13039" s="1357">
        <v>19</v>
      </c>
    </row>
    <row r="13040" spans="1:22" s="841" customFormat="1" ht="15" x14ac:dyDescent="0.25">
      <c r="A13040" s="841" t="s">
        <v>246</v>
      </c>
      <c r="E13040" s="1688" t="s">
        <v>3140</v>
      </c>
      <c r="F13040" s="1688"/>
      <c r="G13040" s="1408" t="s">
        <v>23</v>
      </c>
      <c r="H13040" s="391">
        <v>15</v>
      </c>
      <c r="M13040" s="1357"/>
      <c r="Q13040" s="1357"/>
      <c r="S13040" s="1420"/>
      <c r="T13040" s="1420"/>
      <c r="V13040" s="1357">
        <v>20</v>
      </c>
    </row>
    <row r="13041" spans="1:22" s="841" customFormat="1" ht="15" x14ac:dyDescent="0.25">
      <c r="A13041" s="841" t="s">
        <v>246</v>
      </c>
      <c r="E13041" s="1688" t="s">
        <v>3143</v>
      </c>
      <c r="F13041" s="1688"/>
      <c r="G13041" s="1408" t="s">
        <v>23</v>
      </c>
      <c r="H13041" s="391">
        <v>15</v>
      </c>
      <c r="M13041" s="1357"/>
      <c r="Q13041" s="1357"/>
      <c r="S13041" s="1420"/>
      <c r="T13041" s="1420"/>
      <c r="V13041" s="1357">
        <v>37</v>
      </c>
    </row>
    <row r="13042" spans="1:22" s="841" customFormat="1" ht="15" x14ac:dyDescent="0.25">
      <c r="A13042" s="841" t="s">
        <v>246</v>
      </c>
      <c r="E13042" s="1688" t="s">
        <v>4770</v>
      </c>
      <c r="F13042" s="1688"/>
      <c r="G13042" s="1408" t="s">
        <v>23</v>
      </c>
      <c r="H13042" s="391">
        <v>15</v>
      </c>
      <c r="M13042" s="1357"/>
      <c r="Q13042" s="1357"/>
      <c r="S13042" s="1420"/>
      <c r="T13042" s="1420"/>
      <c r="V13042" s="1357">
        <v>15</v>
      </c>
    </row>
    <row r="13043" spans="1:22" s="841" customFormat="1" ht="15" x14ac:dyDescent="0.25">
      <c r="A13043" s="841" t="s">
        <v>246</v>
      </c>
      <c r="E13043" s="1688" t="s">
        <v>3147</v>
      </c>
      <c r="F13043" s="1688"/>
      <c r="G13043" s="1408" t="s">
        <v>23</v>
      </c>
      <c r="H13043" s="391">
        <v>15</v>
      </c>
      <c r="M13043" s="1357"/>
      <c r="Q13043" s="1357"/>
      <c r="S13043" s="1420"/>
      <c r="T13043" s="1420"/>
      <c r="V13043" s="1357">
        <v>15</v>
      </c>
    </row>
    <row r="13044" spans="1:22" s="841" customFormat="1" ht="15" x14ac:dyDescent="0.25">
      <c r="A13044" s="841" t="s">
        <v>246</v>
      </c>
      <c r="E13044" s="1688" t="s">
        <v>123</v>
      </c>
      <c r="F13044" s="1688"/>
      <c r="G13044" s="1408" t="s">
        <v>23</v>
      </c>
      <c r="H13044" s="391">
        <v>15</v>
      </c>
      <c r="M13044" s="1357"/>
      <c r="Q13044" s="1357"/>
      <c r="S13044" s="1420"/>
      <c r="T13044" s="1420"/>
      <c r="V13044" s="1357">
        <v>35</v>
      </c>
    </row>
    <row r="13045" spans="1:22" s="841" customFormat="1" ht="15" x14ac:dyDescent="0.25">
      <c r="A13045" s="841" t="s">
        <v>246</v>
      </c>
      <c r="E13045" s="1688" t="s">
        <v>3150</v>
      </c>
      <c r="F13045" s="1688"/>
      <c r="G13045" s="1408" t="s">
        <v>23</v>
      </c>
      <c r="H13045" s="391">
        <v>15</v>
      </c>
      <c r="M13045" s="1357"/>
      <c r="Q13045" s="1357"/>
      <c r="S13045" s="1420"/>
      <c r="T13045" s="1420"/>
      <c r="V13045" s="1357">
        <v>24</v>
      </c>
    </row>
    <row r="13046" spans="1:22" s="841" customFormat="1" ht="15" x14ac:dyDescent="0.25">
      <c r="A13046" s="841" t="s">
        <v>246</v>
      </c>
      <c r="E13046" s="1688" t="s">
        <v>3151</v>
      </c>
      <c r="F13046" s="1688"/>
      <c r="G13046" s="1408" t="s">
        <v>23</v>
      </c>
      <c r="H13046" s="391">
        <v>15</v>
      </c>
      <c r="M13046" s="1357"/>
      <c r="Q13046" s="1357"/>
      <c r="S13046" s="1420"/>
      <c r="T13046" s="1420"/>
      <c r="V13046" s="1357">
        <v>19</v>
      </c>
    </row>
    <row r="13047" spans="1:22" s="841" customFormat="1" ht="15" x14ac:dyDescent="0.25">
      <c r="A13047" s="841" t="s">
        <v>246</v>
      </c>
      <c r="E13047" s="1688" t="s">
        <v>88</v>
      </c>
      <c r="F13047" s="1688"/>
      <c r="G13047" s="1408" t="s">
        <v>23</v>
      </c>
      <c r="H13047" s="391">
        <v>30</v>
      </c>
      <c r="M13047" s="1357"/>
      <c r="Q13047" s="1357"/>
      <c r="S13047" s="1420"/>
      <c r="T13047" s="1420"/>
      <c r="V13047" s="1357">
        <v>89</v>
      </c>
    </row>
    <row r="13048" spans="1:22" s="841" customFormat="1" ht="15" x14ac:dyDescent="0.25">
      <c r="A13048" s="841" t="s">
        <v>246</v>
      </c>
      <c r="E13048" s="1688" t="s">
        <v>94</v>
      </c>
      <c r="F13048" s="1688"/>
      <c r="G13048" s="1408" t="s">
        <v>23</v>
      </c>
      <c r="H13048" s="391">
        <v>30</v>
      </c>
      <c r="M13048" s="1357"/>
      <c r="Q13048" s="1357"/>
      <c r="S13048" s="1420"/>
      <c r="T13048" s="1420"/>
      <c r="V13048" s="1357">
        <v>19</v>
      </c>
    </row>
    <row r="13049" spans="1:22" s="841" customFormat="1" ht="15" x14ac:dyDescent="0.25">
      <c r="A13049" s="841" t="s">
        <v>246</v>
      </c>
      <c r="E13049" s="1688" t="s">
        <v>92</v>
      </c>
      <c r="F13049" s="1688"/>
      <c r="G13049" s="1408" t="s">
        <v>23</v>
      </c>
      <c r="H13049" s="391">
        <v>30</v>
      </c>
      <c r="M13049" s="1357"/>
      <c r="Q13049" s="1357"/>
      <c r="S13049" s="1420"/>
      <c r="T13049" s="1420"/>
      <c r="V13049" s="1357">
        <v>74</v>
      </c>
    </row>
    <row r="13050" spans="1:22" s="841" customFormat="1" ht="15" x14ac:dyDescent="0.25">
      <c r="A13050" s="841" t="s">
        <v>246</v>
      </c>
      <c r="E13050" s="1370" t="s">
        <v>3152</v>
      </c>
      <c r="F13050" s="924"/>
      <c r="G13050" s="924"/>
      <c r="H13050" s="925"/>
      <c r="K13050" s="841" t="s">
        <v>5905</v>
      </c>
      <c r="M13050" s="1357"/>
      <c r="Q13050" s="1357"/>
      <c r="S13050" s="1420"/>
      <c r="T13050" s="1420"/>
      <c r="V13050" s="1357">
        <v>22</v>
      </c>
    </row>
    <row r="13051" spans="1:22" s="841" customFormat="1" ht="15" x14ac:dyDescent="0.25">
      <c r="A13051" s="841" t="s">
        <v>246</v>
      </c>
      <c r="E13051" s="1688" t="s">
        <v>5137</v>
      </c>
      <c r="F13051" s="1688"/>
      <c r="G13051" s="1408" t="s">
        <v>86</v>
      </c>
      <c r="H13051" s="391">
        <v>1.5</v>
      </c>
      <c r="M13051" s="1357"/>
      <c r="Q13051" s="1357"/>
      <c r="S13051" s="1420"/>
      <c r="T13051" s="1420"/>
      <c r="V13051" s="1357">
        <v>24</v>
      </c>
    </row>
    <row r="13052" spans="1:22" s="841" customFormat="1" ht="15" x14ac:dyDescent="0.25">
      <c r="A13052" s="841" t="s">
        <v>246</v>
      </c>
      <c r="E13052" s="1688" t="s">
        <v>4772</v>
      </c>
      <c r="F13052" s="1688"/>
      <c r="G13052" s="1408" t="s">
        <v>86</v>
      </c>
      <c r="H13052" s="391">
        <v>19.559999999999999</v>
      </c>
      <c r="M13052" s="1357"/>
      <c r="Q13052" s="1357"/>
      <c r="S13052" s="1420"/>
      <c r="T13052" s="1420"/>
      <c r="V13052" s="1357">
        <v>24</v>
      </c>
    </row>
    <row r="13053" spans="1:22" s="841" customFormat="1" ht="15" x14ac:dyDescent="0.25">
      <c r="A13053" s="841" t="s">
        <v>246</v>
      </c>
      <c r="E13053" s="1688" t="s">
        <v>137</v>
      </c>
      <c r="F13053" s="1688"/>
      <c r="G13053" s="1408" t="s">
        <v>23</v>
      </c>
      <c r="H13053" s="391">
        <v>30</v>
      </c>
      <c r="M13053" s="1357"/>
      <c r="Q13053" s="1357"/>
      <c r="S13053" s="1420"/>
      <c r="T13053" s="1420"/>
      <c r="V13053" s="1357">
        <v>70</v>
      </c>
    </row>
    <row r="13054" spans="1:22" s="841" customFormat="1" ht="15" x14ac:dyDescent="0.25">
      <c r="A13054" s="841" t="s">
        <v>246</v>
      </c>
      <c r="E13054" s="1688" t="s">
        <v>5906</v>
      </c>
      <c r="F13054" s="1688"/>
      <c r="G13054" s="1408" t="s">
        <v>23</v>
      </c>
      <c r="H13054" s="391">
        <v>65</v>
      </c>
      <c r="M13054" s="1357"/>
      <c r="Q13054" s="1357"/>
      <c r="S13054" s="1420"/>
      <c r="T13054" s="1420"/>
      <c r="V13054" s="1357">
        <v>52</v>
      </c>
    </row>
    <row r="13055" spans="1:22" s="841" customFormat="1" ht="15" x14ac:dyDescent="0.25">
      <c r="A13055" s="841" t="s">
        <v>246</v>
      </c>
      <c r="E13055" s="1688" t="s">
        <v>5907</v>
      </c>
      <c r="F13055" s="1688"/>
      <c r="G13055" s="1408" t="s">
        <v>23</v>
      </c>
      <c r="H13055" s="391">
        <v>185</v>
      </c>
      <c r="M13055" s="1357"/>
      <c r="Q13055" s="1357"/>
      <c r="S13055" s="1420"/>
      <c r="T13055" s="1420"/>
      <c r="V13055" s="1357">
        <v>51</v>
      </c>
    </row>
    <row r="13056" spans="1:22" s="841" customFormat="1" ht="15" x14ac:dyDescent="0.25">
      <c r="A13056" s="841" t="s">
        <v>246</v>
      </c>
      <c r="E13056" s="1688" t="s">
        <v>3162</v>
      </c>
      <c r="F13056" s="1688"/>
      <c r="G13056" s="1408" t="s">
        <v>23</v>
      </c>
      <c r="H13056" s="391">
        <v>65</v>
      </c>
      <c r="M13056" s="1357"/>
      <c r="Q13056" s="1357"/>
      <c r="S13056" s="1420"/>
      <c r="T13056" s="1420"/>
      <c r="V13056" s="1357">
        <v>57</v>
      </c>
    </row>
    <row r="13057" spans="1:22" s="841" customFormat="1" ht="15" x14ac:dyDescent="0.25">
      <c r="A13057" s="841" t="s">
        <v>246</v>
      </c>
      <c r="E13057" s="1370" t="s">
        <v>3164</v>
      </c>
      <c r="F13057" s="924"/>
      <c r="G13057" s="924"/>
      <c r="H13057" s="925"/>
      <c r="M13057" s="1357"/>
      <c r="Q13057" s="1357"/>
      <c r="S13057" s="1420"/>
      <c r="T13057" s="1420"/>
      <c r="V13057" s="1357">
        <v>5</v>
      </c>
    </row>
    <row r="13058" spans="1:22" s="841" customFormat="1" ht="15" x14ac:dyDescent="0.25">
      <c r="A13058" s="841" t="s">
        <v>246</v>
      </c>
      <c r="E13058" s="1688" t="s">
        <v>4805</v>
      </c>
      <c r="F13058" s="1688"/>
      <c r="G13058" s="1408" t="s">
        <v>23</v>
      </c>
      <c r="H13058" s="391">
        <v>22.35</v>
      </c>
      <c r="M13058" s="1357"/>
      <c r="Q13058" s="1357"/>
      <c r="S13058" s="1420"/>
      <c r="T13058" s="1420"/>
      <c r="V13058" s="1357">
        <v>487</v>
      </c>
    </row>
    <row r="13059" spans="1:22" s="841" customFormat="1" ht="15" x14ac:dyDescent="0.25">
      <c r="A13059" s="841" t="s">
        <v>246</v>
      </c>
      <c r="E13059" s="1688" t="s">
        <v>4806</v>
      </c>
      <c r="F13059" s="1688"/>
      <c r="G13059" s="1408" t="s">
        <v>23</v>
      </c>
      <c r="H13059" s="391">
        <v>10</v>
      </c>
      <c r="M13059" s="1357"/>
      <c r="Q13059" s="1357"/>
      <c r="S13059" s="1420"/>
      <c r="T13059" s="1420"/>
      <c r="V13059" s="1357">
        <v>110</v>
      </c>
    </row>
    <row r="13060" spans="1:22" s="841" customFormat="1" ht="18.75" x14ac:dyDescent="0.3">
      <c r="A13060" s="841" t="s">
        <v>246</v>
      </c>
      <c r="E13060" s="1931" t="s">
        <v>77</v>
      </c>
      <c r="F13060" s="1964"/>
      <c r="G13060" s="1335"/>
      <c r="H13060" s="1336"/>
      <c r="K13060" s="841" t="s">
        <v>5908</v>
      </c>
      <c r="M13060" s="1357"/>
      <c r="Q13060" s="1357"/>
      <c r="S13060" s="1420"/>
      <c r="T13060" s="1420"/>
      <c r="V13060" s="1357">
        <v>38</v>
      </c>
    </row>
    <row r="13061" spans="1:22" s="841" customFormat="1" ht="15" x14ac:dyDescent="0.25">
      <c r="A13061" s="841" t="s">
        <v>246</v>
      </c>
      <c r="E13061" s="1689" t="s">
        <v>3063</v>
      </c>
      <c r="F13061" s="1689"/>
      <c r="G13061" s="1689"/>
      <c r="H13061" s="1689"/>
      <c r="M13061" s="1357"/>
      <c r="Q13061" s="1357"/>
      <c r="S13061" s="1420"/>
      <c r="T13061" s="1420"/>
      <c r="V13061" s="1357">
        <v>280</v>
      </c>
    </row>
    <row r="13062" spans="1:22" s="841" customFormat="1" ht="15" x14ac:dyDescent="0.25">
      <c r="A13062" s="841" t="s">
        <v>246</v>
      </c>
      <c r="E13062" s="1689" t="s">
        <v>3064</v>
      </c>
      <c r="F13062" s="1689"/>
      <c r="G13062" s="1689"/>
      <c r="H13062" s="1689"/>
      <c r="M13062" s="1357"/>
      <c r="Q13062" s="1357"/>
      <c r="S13062" s="1420"/>
      <c r="T13062" s="1420"/>
      <c r="V13062" s="1357">
        <v>411</v>
      </c>
    </row>
    <row r="13063" spans="1:22" s="841" customFormat="1" ht="15" x14ac:dyDescent="0.25">
      <c r="A13063" s="841" t="s">
        <v>246</v>
      </c>
      <c r="E13063" s="1689" t="s">
        <v>3129</v>
      </c>
      <c r="F13063" s="1689"/>
      <c r="G13063" s="1689"/>
      <c r="H13063" s="1689"/>
      <c r="M13063" s="1357"/>
      <c r="Q13063" s="1357"/>
      <c r="S13063" s="1420"/>
      <c r="T13063" s="1420"/>
      <c r="V13063" s="1357">
        <v>211</v>
      </c>
    </row>
    <row r="13064" spans="1:22" s="841" customFormat="1" ht="15" x14ac:dyDescent="0.25">
      <c r="A13064" s="841" t="s">
        <v>246</v>
      </c>
      <c r="E13064" s="1689" t="s">
        <v>3200</v>
      </c>
      <c r="F13064" s="1689"/>
      <c r="G13064" s="1689"/>
      <c r="H13064" s="1689"/>
      <c r="M13064" s="1357"/>
      <c r="Q13064" s="1357"/>
      <c r="S13064" s="1420"/>
      <c r="T13064" s="1420"/>
      <c r="V13064" s="1357">
        <v>275</v>
      </c>
    </row>
    <row r="13065" spans="1:22" s="841" customFormat="1" ht="15" x14ac:dyDescent="0.25">
      <c r="A13065" s="841" t="s">
        <v>246</v>
      </c>
      <c r="E13065" s="1689" t="s">
        <v>3291</v>
      </c>
      <c r="F13065" s="1689"/>
      <c r="G13065" s="1689"/>
      <c r="H13065" s="1689"/>
      <c r="M13065" s="1357"/>
      <c r="Q13065" s="1357"/>
      <c r="S13065" s="1420"/>
      <c r="T13065" s="1420"/>
      <c r="V13065" s="1357">
        <v>142</v>
      </c>
    </row>
    <row r="13066" spans="1:22" s="841" customFormat="1" ht="15" x14ac:dyDescent="0.25">
      <c r="A13066" s="841" t="s">
        <v>246</v>
      </c>
      <c r="E13066" s="1690" t="s">
        <v>3176</v>
      </c>
      <c r="F13066" s="1690"/>
      <c r="G13066" s="397" t="s">
        <v>23</v>
      </c>
      <c r="H13066" s="391">
        <v>100</v>
      </c>
      <c r="M13066" s="1357"/>
      <c r="Q13066" s="1357"/>
      <c r="S13066" s="1420"/>
      <c r="T13066" s="1420"/>
      <c r="V13066" s="1357">
        <v>106</v>
      </c>
    </row>
    <row r="13067" spans="1:22" s="841" customFormat="1" ht="15" x14ac:dyDescent="0.25">
      <c r="A13067" s="841" t="s">
        <v>246</v>
      </c>
      <c r="E13067" s="1690" t="s">
        <v>3177</v>
      </c>
      <c r="F13067" s="1690"/>
      <c r="G13067" s="397" t="s">
        <v>23</v>
      </c>
      <c r="H13067" s="391">
        <v>20</v>
      </c>
      <c r="M13067" s="1357"/>
      <c r="Q13067" s="1357"/>
      <c r="S13067" s="1420"/>
      <c r="T13067" s="1420"/>
      <c r="V13067" s="1357">
        <v>34</v>
      </c>
    </row>
    <row r="13068" spans="1:22" s="841" customFormat="1" ht="15" x14ac:dyDescent="0.25">
      <c r="A13068" s="841" t="s">
        <v>246</v>
      </c>
      <c r="E13068" s="1690" t="s">
        <v>3178</v>
      </c>
      <c r="F13068" s="1690"/>
      <c r="G13068" s="397" t="s">
        <v>3179</v>
      </c>
      <c r="H13068" s="391">
        <v>0.5</v>
      </c>
      <c r="M13068" s="1357"/>
      <c r="Q13068" s="1357"/>
      <c r="S13068" s="1420"/>
      <c r="T13068" s="1420"/>
      <c r="V13068" s="1357">
        <v>51</v>
      </c>
    </row>
    <row r="13069" spans="1:22" s="841" customFormat="1" ht="15" x14ac:dyDescent="0.25">
      <c r="A13069" s="841" t="s">
        <v>246</v>
      </c>
      <c r="E13069" s="1690" t="s">
        <v>3180</v>
      </c>
      <c r="F13069" s="1690"/>
      <c r="G13069" s="397" t="s">
        <v>3179</v>
      </c>
      <c r="H13069" s="391">
        <v>0.3</v>
      </c>
      <c r="M13069" s="1357"/>
      <c r="Q13069" s="1357"/>
      <c r="S13069" s="1420"/>
      <c r="T13069" s="1420"/>
      <c r="V13069" s="1357">
        <v>75</v>
      </c>
    </row>
    <row r="13070" spans="1:22" s="841" customFormat="1" ht="15" x14ac:dyDescent="0.25">
      <c r="A13070" s="841" t="s">
        <v>246</v>
      </c>
      <c r="E13070" s="1690" t="s">
        <v>3181</v>
      </c>
      <c r="F13070" s="1690"/>
      <c r="G13070" s="397" t="s">
        <v>3179</v>
      </c>
      <c r="H13070" s="391">
        <v>-0.3</v>
      </c>
      <c r="M13070" s="1357"/>
      <c r="Q13070" s="1357"/>
      <c r="S13070" s="1420"/>
      <c r="T13070" s="1420"/>
      <c r="V13070" s="1357">
        <v>72</v>
      </c>
    </row>
    <row r="13071" spans="1:22" s="841" customFormat="1" ht="15" x14ac:dyDescent="0.25">
      <c r="A13071" s="841" t="s">
        <v>246</v>
      </c>
      <c r="E13071" s="1690" t="s">
        <v>3292</v>
      </c>
      <c r="F13071" s="1690"/>
      <c r="G13071" s="397"/>
      <c r="H13071" s="392"/>
      <c r="M13071" s="1357"/>
      <c r="Q13071" s="1357"/>
      <c r="S13071" s="1420"/>
      <c r="T13071" s="1420"/>
      <c r="V13071" s="1357">
        <v>34</v>
      </c>
    </row>
    <row r="13072" spans="1:22" s="841" customFormat="1" ht="15" x14ac:dyDescent="0.25">
      <c r="A13072" s="841" t="s">
        <v>246</v>
      </c>
      <c r="E13072" s="1691" t="s">
        <v>3183</v>
      </c>
      <c r="F13072" s="1691"/>
      <c r="G13072" s="397" t="s">
        <v>23</v>
      </c>
      <c r="H13072" s="391">
        <v>0.25</v>
      </c>
      <c r="M13072" s="1357"/>
      <c r="Q13072" s="1357"/>
      <c r="S13072" s="1420"/>
      <c r="T13072" s="1420"/>
      <c r="V13072" s="1357">
        <v>57</v>
      </c>
    </row>
    <row r="13073" spans="1:22" s="841" customFormat="1" ht="15" x14ac:dyDescent="0.25">
      <c r="A13073" s="841" t="s">
        <v>246</v>
      </c>
      <c r="E13073" s="1691" t="s">
        <v>3184</v>
      </c>
      <c r="F13073" s="1691"/>
      <c r="G13073" s="397" t="s">
        <v>23</v>
      </c>
      <c r="H13073" s="391">
        <v>0.5</v>
      </c>
      <c r="M13073" s="1357"/>
      <c r="Q13073" s="1357"/>
      <c r="S13073" s="1420"/>
      <c r="T13073" s="1420"/>
      <c r="V13073" s="1357">
        <v>60</v>
      </c>
    </row>
    <row r="13074" spans="1:22" s="841" customFormat="1" ht="15" x14ac:dyDescent="0.25">
      <c r="A13074" s="841" t="s">
        <v>246</v>
      </c>
      <c r="E13074" s="1690" t="s">
        <v>3185</v>
      </c>
      <c r="F13074" s="1690"/>
      <c r="G13074" s="397"/>
      <c r="H13074" s="392"/>
      <c r="M13074" s="1357"/>
      <c r="Q13074" s="1357"/>
      <c r="S13074" s="1420"/>
      <c r="T13074" s="1420"/>
      <c r="V13074" s="1357">
        <v>91</v>
      </c>
    </row>
    <row r="13075" spans="1:22" s="841" customFormat="1" ht="15" x14ac:dyDescent="0.25">
      <c r="A13075" s="841" t="s">
        <v>246</v>
      </c>
      <c r="E13075" s="1690" t="s">
        <v>3186</v>
      </c>
      <c r="F13075" s="1690"/>
      <c r="G13075" s="397"/>
      <c r="H13075" s="392"/>
      <c r="M13075" s="1357"/>
      <c r="Q13075" s="1357"/>
      <c r="S13075" s="1420"/>
      <c r="T13075" s="1420"/>
      <c r="V13075" s="1357">
        <v>96</v>
      </c>
    </row>
    <row r="13076" spans="1:22" s="841" customFormat="1" ht="15" x14ac:dyDescent="0.25">
      <c r="A13076" s="841" t="s">
        <v>246</v>
      </c>
      <c r="E13076" s="1690" t="s">
        <v>3293</v>
      </c>
      <c r="F13076" s="1690"/>
      <c r="G13076" s="397"/>
      <c r="H13076" s="392"/>
      <c r="M13076" s="1357"/>
      <c r="Q13076" s="1357"/>
      <c r="S13076" s="1420"/>
      <c r="T13076" s="1420"/>
      <c r="V13076" s="1357">
        <v>77</v>
      </c>
    </row>
    <row r="13077" spans="1:22" s="841" customFormat="1" ht="15" x14ac:dyDescent="0.25">
      <c r="A13077" s="841" t="s">
        <v>246</v>
      </c>
      <c r="E13077" s="1691" t="s">
        <v>3188</v>
      </c>
      <c r="F13077" s="1691"/>
      <c r="G13077" s="397" t="s">
        <v>23</v>
      </c>
      <c r="H13077" s="392" t="s">
        <v>3189</v>
      </c>
      <c r="M13077" s="1357"/>
      <c r="Q13077" s="1357"/>
      <c r="S13077" s="1420"/>
      <c r="T13077" s="1420"/>
      <c r="V13077" s="1357">
        <v>18</v>
      </c>
    </row>
    <row r="13078" spans="1:22" s="841" customFormat="1" ht="15" x14ac:dyDescent="0.25">
      <c r="A13078" s="841" t="s">
        <v>246</v>
      </c>
      <c r="E13078" s="1691" t="s">
        <v>3190</v>
      </c>
      <c r="F13078" s="1691"/>
      <c r="G13078" s="397" t="s">
        <v>23</v>
      </c>
      <c r="H13078" s="391">
        <v>2</v>
      </c>
      <c r="M13078" s="1357"/>
      <c r="Q13078" s="1357"/>
      <c r="S13078" s="1420"/>
      <c r="T13078" s="1420"/>
      <c r="V13078" s="1357">
        <v>69</v>
      </c>
    </row>
    <row r="13079" spans="1:22" s="841" customFormat="1" ht="18.75" x14ac:dyDescent="0.25">
      <c r="A13079" s="841" t="s">
        <v>246</v>
      </c>
      <c r="E13079" s="1374" t="s">
        <v>147</v>
      </c>
      <c r="F13079" s="1336"/>
      <c r="G13079" s="1335"/>
      <c r="H13079" s="1336"/>
      <c r="K13079" s="841" t="s">
        <v>5909</v>
      </c>
      <c r="M13079" s="1357"/>
      <c r="Q13079" s="1357"/>
      <c r="S13079" s="1420"/>
      <c r="T13079" s="1420"/>
      <c r="V13079" s="1357">
        <v>12</v>
      </c>
    </row>
    <row r="13080" spans="1:22" s="841" customFormat="1" ht="15" x14ac:dyDescent="0.25">
      <c r="A13080" s="841" t="s">
        <v>246</v>
      </c>
      <c r="E13080" s="1704" t="s">
        <v>3192</v>
      </c>
      <c r="F13080" s="1704"/>
      <c r="G13080" s="1704"/>
      <c r="H13080" s="1948"/>
      <c r="M13080" s="1357"/>
      <c r="Q13080" s="1357"/>
      <c r="S13080" s="1420"/>
      <c r="T13080" s="1420"/>
      <c r="V13080" s="1357">
        <v>203</v>
      </c>
    </row>
    <row r="13081" spans="1:22" s="841" customFormat="1" ht="15" x14ac:dyDescent="0.25">
      <c r="A13081" s="841" t="s">
        <v>246</v>
      </c>
      <c r="E13081" s="1690" t="s">
        <v>3295</v>
      </c>
      <c r="F13081" s="1690"/>
      <c r="G13081" s="1408"/>
      <c r="H13081" s="393">
        <v>1.0476000000000001</v>
      </c>
      <c r="M13081" s="1357"/>
      <c r="Q13081" s="1357"/>
      <c r="S13081" s="1420"/>
      <c r="T13081" s="1420"/>
      <c r="V13081" s="1357">
        <v>57</v>
      </c>
    </row>
    <row r="13082" spans="1:22" s="841" customFormat="1" ht="15" x14ac:dyDescent="0.25">
      <c r="A13082" s="841" t="s">
        <v>246</v>
      </c>
      <c r="E13082" s="1690" t="s">
        <v>3297</v>
      </c>
      <c r="F13082" s="1690"/>
      <c r="G13082" s="1408"/>
      <c r="H13082" s="393">
        <v>1.0370999999999999</v>
      </c>
      <c r="J13082" s="841" t="s">
        <v>4676</v>
      </c>
      <c r="M13082" s="1357"/>
      <c r="Q13082" s="1357"/>
      <c r="S13082" s="1420"/>
      <c r="T13082" s="1420"/>
      <c r="V13082" s="1357">
        <v>55</v>
      </c>
    </row>
    <row r="13083" spans="1:22" s="841" customFormat="1" ht="23.25" x14ac:dyDescent="0.25">
      <c r="A13083" s="841" t="s">
        <v>210</v>
      </c>
      <c r="C13083" s="841" t="s">
        <v>3050</v>
      </c>
      <c r="E13083" s="2086" t="s">
        <v>210</v>
      </c>
      <c r="F13083" s="2086"/>
      <c r="G13083" s="2086"/>
      <c r="H13083" s="2086"/>
      <c r="I13083" s="841" t="s">
        <v>628</v>
      </c>
      <c r="J13083" s="841" t="s">
        <v>4677</v>
      </c>
      <c r="K13083" s="841" t="s">
        <v>210</v>
      </c>
      <c r="M13083" s="1357">
        <v>8</v>
      </c>
      <c r="Q13083" s="1357"/>
      <c r="S13083" s="1420"/>
      <c r="T13083" s="1420"/>
      <c r="V13083" s="1357">
        <v>27</v>
      </c>
    </row>
    <row r="13084" spans="1:22" s="841" customFormat="1" x14ac:dyDescent="0.25">
      <c r="A13084" s="841" t="s">
        <v>210</v>
      </c>
      <c r="C13084" s="841" t="s">
        <v>3052</v>
      </c>
      <c r="E13084" s="2001" t="s">
        <v>3053</v>
      </c>
      <c r="F13084" s="2001"/>
      <c r="G13084" s="2001"/>
      <c r="H13084" s="2001"/>
      <c r="M13084" s="1357"/>
      <c r="Q13084" s="1357"/>
      <c r="S13084" s="1420"/>
      <c r="T13084" s="1420"/>
      <c r="V13084" s="1357">
        <v>27</v>
      </c>
    </row>
    <row r="13085" spans="1:22" s="841" customFormat="1" ht="15.75" x14ac:dyDescent="0.25">
      <c r="A13085" s="841" t="s">
        <v>210</v>
      </c>
      <c r="C13085" s="841" t="s">
        <v>3054</v>
      </c>
      <c r="E13085" s="2087" t="s">
        <v>5107</v>
      </c>
      <c r="F13085" s="2087"/>
      <c r="G13085" s="2087"/>
      <c r="H13085" s="2087"/>
      <c r="M13085" s="1357"/>
      <c r="Q13085" s="1357"/>
      <c r="S13085" s="1420">
        <v>43221</v>
      </c>
      <c r="T13085" s="1420"/>
      <c r="V13085" s="1357">
        <v>45</v>
      </c>
    </row>
    <row r="13086" spans="1:22" s="841" customFormat="1" ht="15" x14ac:dyDescent="0.25">
      <c r="A13086" s="841" t="s">
        <v>210</v>
      </c>
      <c r="C13086" s="841" t="s">
        <v>3055</v>
      </c>
      <c r="E13086" s="2088" t="s">
        <v>3056</v>
      </c>
      <c r="F13086" s="2088"/>
      <c r="G13086" s="2088"/>
      <c r="H13086" s="2088"/>
      <c r="M13086" s="1357"/>
      <c r="Q13086" s="1357"/>
      <c r="S13086" s="1420"/>
      <c r="T13086" s="1420"/>
      <c r="V13086" s="1357">
        <v>52</v>
      </c>
    </row>
    <row r="13087" spans="1:22" s="841" customFormat="1" ht="15" x14ac:dyDescent="0.25">
      <c r="A13087" s="841" t="s">
        <v>210</v>
      </c>
      <c r="E13087" s="2088" t="s">
        <v>3057</v>
      </c>
      <c r="F13087" s="2088"/>
      <c r="G13087" s="2088"/>
      <c r="H13087" s="2088"/>
      <c r="M13087" s="1357"/>
      <c r="Q13087" s="1357"/>
      <c r="S13087" s="1420"/>
      <c r="T13087" s="1420"/>
      <c r="V13087" s="1357">
        <v>53</v>
      </c>
    </row>
    <row r="13088" spans="1:22" s="841" customFormat="1" ht="15" x14ac:dyDescent="0.25">
      <c r="A13088" s="841" t="s">
        <v>210</v>
      </c>
      <c r="E13088" s="2089" t="s">
        <v>5910</v>
      </c>
      <c r="F13088" s="2089"/>
      <c r="G13088" s="2089"/>
      <c r="H13088" s="2089"/>
      <c r="K13088" s="841" t="s">
        <v>5910</v>
      </c>
      <c r="M13088" s="1357"/>
      <c r="Q13088" s="1357"/>
      <c r="S13088" s="1420"/>
      <c r="T13088" s="1420"/>
      <c r="V13088" s="1357">
        <v>12</v>
      </c>
    </row>
    <row r="13089" spans="1:22" s="841" customFormat="1" ht="15" x14ac:dyDescent="0.25">
      <c r="A13089" s="841" t="s">
        <v>210</v>
      </c>
      <c r="E13089" s="1967" t="s">
        <v>438</v>
      </c>
      <c r="F13089" s="1977"/>
      <c r="G13089" s="1977"/>
      <c r="H13089" s="1977"/>
      <c r="K13089" s="841" t="s">
        <v>3197</v>
      </c>
      <c r="M13089" s="1357"/>
      <c r="Q13089" s="1357"/>
      <c r="S13089" s="1420"/>
      <c r="T13089" s="1420"/>
      <c r="V13089" s="1357">
        <v>34</v>
      </c>
    </row>
    <row r="13090" spans="1:22" s="841" customFormat="1" ht="15" x14ac:dyDescent="0.25">
      <c r="A13090" s="841" t="s">
        <v>210</v>
      </c>
      <c r="E13090" s="2122" t="s">
        <v>4678</v>
      </c>
      <c r="F13090" s="2122"/>
      <c r="G13090" s="2122"/>
      <c r="H13090" s="2122"/>
      <c r="K13090" s="841" t="s">
        <v>3197</v>
      </c>
      <c r="M13090" s="1357"/>
      <c r="Q13090" s="1357"/>
      <c r="S13090" s="1420"/>
      <c r="T13090" s="1420"/>
      <c r="V13090" s="1357">
        <v>373</v>
      </c>
    </row>
    <row r="13091" spans="1:22" s="841" customFormat="1" ht="15" x14ac:dyDescent="0.25">
      <c r="A13091" s="841" t="s">
        <v>210</v>
      </c>
      <c r="E13091" s="1944" t="s">
        <v>3061</v>
      </c>
      <c r="F13091" s="1689"/>
      <c r="G13091" s="1689"/>
      <c r="H13091" s="1689"/>
      <c r="K13091" s="841" t="s">
        <v>3062</v>
      </c>
      <c r="M13091" s="1357"/>
      <c r="Q13091" s="1357"/>
      <c r="S13091" s="1420"/>
      <c r="T13091" s="1420"/>
      <c r="V13091" s="1357">
        <v>11</v>
      </c>
    </row>
    <row r="13092" spans="1:22" s="841" customFormat="1" ht="15" x14ac:dyDescent="0.25">
      <c r="A13092" s="841" t="s">
        <v>210</v>
      </c>
      <c r="E13092" s="1917" t="s">
        <v>3063</v>
      </c>
      <c r="F13092" s="1917"/>
      <c r="G13092" s="1917"/>
      <c r="H13092" s="1917"/>
      <c r="K13092" s="841" t="s">
        <v>3197</v>
      </c>
      <c r="M13092" s="1357"/>
      <c r="Q13092" s="1357"/>
      <c r="S13092" s="1420"/>
      <c r="T13092" s="1420"/>
      <c r="V13092" s="1357">
        <v>280</v>
      </c>
    </row>
    <row r="13093" spans="1:22" s="841" customFormat="1" ht="15" x14ac:dyDescent="0.25">
      <c r="A13093" s="841" t="s">
        <v>210</v>
      </c>
      <c r="E13093" s="1927" t="s">
        <v>3064</v>
      </c>
      <c r="F13093" s="1927"/>
      <c r="G13093" s="1927"/>
      <c r="H13093" s="1927"/>
      <c r="K13093" s="841" t="s">
        <v>3197</v>
      </c>
      <c r="M13093" s="1357"/>
      <c r="Q13093" s="1357"/>
      <c r="S13093" s="1420"/>
      <c r="T13093" s="1420"/>
      <c r="V13093" s="1357">
        <v>411</v>
      </c>
    </row>
    <row r="13094" spans="1:22" s="841" customFormat="1" ht="15" x14ac:dyDescent="0.25">
      <c r="A13094" s="841" t="s">
        <v>210</v>
      </c>
      <c r="E13094" s="1928" t="s">
        <v>3199</v>
      </c>
      <c r="F13094" s="1928"/>
      <c r="G13094" s="1928"/>
      <c r="H13094" s="1928"/>
      <c r="K13094" s="841" t="s">
        <v>3197</v>
      </c>
      <c r="M13094" s="1357"/>
      <c r="Q13094" s="1357"/>
      <c r="S13094" s="1420"/>
      <c r="T13094" s="1420"/>
      <c r="V13094" s="1357">
        <v>386</v>
      </c>
    </row>
    <row r="13095" spans="1:22" s="841" customFormat="1" ht="15" x14ac:dyDescent="0.25">
      <c r="A13095" s="841" t="s">
        <v>210</v>
      </c>
      <c r="E13095" s="1929" t="s">
        <v>3390</v>
      </c>
      <c r="F13095" s="1929"/>
      <c r="G13095" s="1929"/>
      <c r="H13095" s="1929"/>
      <c r="K13095" s="841" t="s">
        <v>3197</v>
      </c>
      <c r="M13095" s="1357"/>
      <c r="Q13095" s="1357"/>
      <c r="S13095" s="1420"/>
      <c r="T13095" s="1420"/>
      <c r="V13095" s="1357">
        <v>274</v>
      </c>
    </row>
    <row r="13096" spans="1:22" s="841" customFormat="1" ht="15" x14ac:dyDescent="0.25">
      <c r="A13096" s="841" t="s">
        <v>210</v>
      </c>
      <c r="E13096" s="1919" t="s">
        <v>3067</v>
      </c>
      <c r="F13096" s="1907"/>
      <c r="G13096" s="1907"/>
      <c r="H13096" s="1907"/>
      <c r="K13096" s="841" t="s">
        <v>3068</v>
      </c>
      <c r="M13096" s="1357"/>
      <c r="Q13096" s="1357"/>
      <c r="S13096" s="1420"/>
      <c r="T13096" s="1420"/>
      <c r="V13096" s="1357">
        <v>46</v>
      </c>
    </row>
    <row r="13097" spans="1:22" s="841" customFormat="1" ht="15" x14ac:dyDescent="0.25">
      <c r="A13097" s="841" t="s">
        <v>210</v>
      </c>
      <c r="E13097" s="1918" t="s">
        <v>357</v>
      </c>
      <c r="F13097" s="1918"/>
      <c r="G13097" s="679" t="s">
        <v>23</v>
      </c>
      <c r="H13097" s="391">
        <v>31.81</v>
      </c>
      <c r="K13097" s="841" t="s">
        <v>3197</v>
      </c>
      <c r="L13097" s="841" t="s">
        <v>442</v>
      </c>
      <c r="M13097" s="1357"/>
      <c r="P13097" s="841" t="s">
        <v>3201</v>
      </c>
      <c r="Q13097" s="1357"/>
      <c r="S13097" s="1420"/>
      <c r="T13097" s="1420"/>
      <c r="V13097" s="1357">
        <v>22</v>
      </c>
    </row>
    <row r="13098" spans="1:22" s="841" customFormat="1" ht="15" x14ac:dyDescent="0.25">
      <c r="A13098" s="841" t="s">
        <v>210</v>
      </c>
      <c r="E13098" s="1934" t="s">
        <v>5911</v>
      </c>
      <c r="F13098" s="1904"/>
      <c r="G13098" s="679" t="s">
        <v>23</v>
      </c>
      <c r="H13098" s="391">
        <v>1.47</v>
      </c>
      <c r="K13098" s="841" t="s">
        <v>3197</v>
      </c>
      <c r="L13098" s="841" t="s">
        <v>442</v>
      </c>
      <c r="M13098" s="1357"/>
      <c r="P13098" s="841" t="s">
        <v>6520</v>
      </c>
      <c r="Q13098" s="1357"/>
      <c r="S13098" s="1420"/>
      <c r="T13098" s="1420"/>
      <c r="V13098" s="1357">
        <v>146</v>
      </c>
    </row>
    <row r="13099" spans="1:22" s="841" customFormat="1" ht="15" x14ac:dyDescent="0.25">
      <c r="A13099" s="841" t="s">
        <v>210</v>
      </c>
      <c r="E13099" s="1918" t="s">
        <v>5109</v>
      </c>
      <c r="F13099" s="1918"/>
      <c r="G13099" s="679" t="s">
        <v>23</v>
      </c>
      <c r="H13099" s="699">
        <v>0.56999999999999995</v>
      </c>
      <c r="K13099" s="841" t="s">
        <v>3197</v>
      </c>
      <c r="L13099" s="841" t="s">
        <v>443</v>
      </c>
      <c r="M13099" s="1357"/>
      <c r="P13099" s="841" t="s">
        <v>3202</v>
      </c>
      <c r="Q13099" s="1357"/>
      <c r="S13099" s="1420"/>
      <c r="T13099" s="1420">
        <v>44926</v>
      </c>
      <c r="V13099" s="1357">
        <v>64</v>
      </c>
    </row>
    <row r="13100" spans="1:22" s="841" customFormat="1" ht="15" x14ac:dyDescent="0.25">
      <c r="A13100" s="841" t="s">
        <v>210</v>
      </c>
      <c r="E13100" s="1918" t="s">
        <v>3109</v>
      </c>
      <c r="F13100" s="1918"/>
      <c r="G13100" s="679" t="s">
        <v>24</v>
      </c>
      <c r="H13100" s="393">
        <v>5.1999999999999998E-3</v>
      </c>
      <c r="K13100" s="841" t="s">
        <v>3197</v>
      </c>
      <c r="L13100" s="841" t="s">
        <v>442</v>
      </c>
      <c r="M13100" s="1357"/>
      <c r="P13100" s="841" t="s">
        <v>3203</v>
      </c>
      <c r="Q13100" s="1357"/>
      <c r="S13100" s="1420"/>
      <c r="T13100" s="1420"/>
      <c r="V13100" s="1357">
        <v>29</v>
      </c>
    </row>
    <row r="13101" spans="1:22" s="841" customFormat="1" ht="15" x14ac:dyDescent="0.25">
      <c r="A13101" s="841" t="s">
        <v>210</v>
      </c>
      <c r="E13101" s="1918" t="s">
        <v>18</v>
      </c>
      <c r="F13101" s="1918"/>
      <c r="G13101" s="679" t="s">
        <v>24</v>
      </c>
      <c r="H13101" s="676">
        <v>2.8999999999999998E-3</v>
      </c>
      <c r="K13101" s="841" t="s">
        <v>3197</v>
      </c>
      <c r="L13101" s="841" t="s">
        <v>443</v>
      </c>
      <c r="M13101" s="1357"/>
      <c r="P13101" s="841" t="s">
        <v>3204</v>
      </c>
      <c r="Q13101" s="1357"/>
      <c r="S13101" s="1420"/>
      <c r="T13101" s="1420"/>
      <c r="V13101" s="1357">
        <v>24</v>
      </c>
    </row>
    <row r="13102" spans="1:22" s="841" customFormat="1" ht="15" x14ac:dyDescent="0.25">
      <c r="A13102" s="841" t="s">
        <v>210</v>
      </c>
      <c r="E13102" s="1918" t="s">
        <v>221</v>
      </c>
      <c r="F13102" s="1918"/>
      <c r="G13102" s="679" t="s">
        <v>24</v>
      </c>
      <c r="H13102" s="393">
        <v>6.6E-3</v>
      </c>
      <c r="K13102" s="841" t="s">
        <v>3197</v>
      </c>
      <c r="L13102" s="841" t="s">
        <v>444</v>
      </c>
      <c r="M13102" s="1357"/>
      <c r="P13102" s="841" t="s">
        <v>3208</v>
      </c>
      <c r="Q13102" s="1357"/>
      <c r="S13102" s="1420"/>
      <c r="T13102" s="1420"/>
      <c r="V13102" s="1357">
        <v>47</v>
      </c>
    </row>
    <row r="13103" spans="1:22" s="841" customFormat="1" ht="15" x14ac:dyDescent="0.25">
      <c r="A13103" s="841" t="s">
        <v>210</v>
      </c>
      <c r="E13103" s="1918" t="s">
        <v>217</v>
      </c>
      <c r="F13103" s="1918"/>
      <c r="G13103" s="679" t="s">
        <v>24</v>
      </c>
      <c r="H13103" s="393">
        <v>4.7000000000000002E-3</v>
      </c>
      <c r="K13103" s="841" t="s">
        <v>3197</v>
      </c>
      <c r="L13103" s="841" t="s">
        <v>444</v>
      </c>
      <c r="M13103" s="1357"/>
      <c r="P13103" s="841" t="s">
        <v>3209</v>
      </c>
      <c r="Q13103" s="1357"/>
      <c r="S13103" s="1420"/>
      <c r="T13103" s="1420"/>
      <c r="V13103" s="1357">
        <v>74</v>
      </c>
    </row>
    <row r="13104" spans="1:22" s="841" customFormat="1" ht="15" x14ac:dyDescent="0.25">
      <c r="A13104" s="841" t="s">
        <v>210</v>
      </c>
      <c r="E13104" s="1919" t="s">
        <v>3079</v>
      </c>
      <c r="F13104" s="1690"/>
      <c r="G13104" s="1690"/>
      <c r="H13104" s="1690"/>
      <c r="K13104" s="841" t="s">
        <v>3080</v>
      </c>
      <c r="M13104" s="1357"/>
      <c r="Q13104" s="1357"/>
      <c r="S13104" s="1420"/>
      <c r="T13104" s="1420"/>
      <c r="V13104" s="1357">
        <v>48</v>
      </c>
    </row>
    <row r="13105" spans="1:22" s="841" customFormat="1" ht="15" x14ac:dyDescent="0.25">
      <c r="A13105" s="841" t="s">
        <v>210</v>
      </c>
      <c r="E13105" s="1918" t="s">
        <v>2449</v>
      </c>
      <c r="F13105" s="1918"/>
      <c r="G13105" s="700" t="s">
        <v>24</v>
      </c>
      <c r="H13105" s="681">
        <v>3.2000000000000002E-3</v>
      </c>
      <c r="K13105" s="841" t="s">
        <v>3197</v>
      </c>
      <c r="L13105" s="841" t="s">
        <v>3046</v>
      </c>
      <c r="M13105" s="1357"/>
      <c r="P13105" s="841" t="s">
        <v>3210</v>
      </c>
      <c r="Q13105" s="1357"/>
      <c r="S13105" s="1420"/>
      <c r="T13105" s="1420"/>
      <c r="V13105" s="1357">
        <v>55</v>
      </c>
    </row>
    <row r="13106" spans="1:22" s="841" customFormat="1" ht="15" x14ac:dyDescent="0.25">
      <c r="A13106" s="841" t="s">
        <v>210</v>
      </c>
      <c r="E13106" s="1918" t="s">
        <v>2450</v>
      </c>
      <c r="F13106" s="1918"/>
      <c r="G13106" s="700" t="s">
        <v>24</v>
      </c>
      <c r="H13106" s="681">
        <v>4.0000000000000002E-4</v>
      </c>
      <c r="K13106" s="841" t="s">
        <v>3197</v>
      </c>
      <c r="L13106" s="841" t="s">
        <v>3046</v>
      </c>
      <c r="M13106" s="1357"/>
      <c r="P13106" s="841" t="s">
        <v>3210</v>
      </c>
      <c r="Q13106" s="1357"/>
      <c r="S13106" s="1420"/>
      <c r="T13106" s="1420"/>
      <c r="V13106" s="1357">
        <v>65</v>
      </c>
    </row>
    <row r="13107" spans="1:22" s="841" customFormat="1" ht="15" x14ac:dyDescent="0.25">
      <c r="A13107" s="841" t="s">
        <v>210</v>
      </c>
      <c r="E13107" s="1918" t="s">
        <v>439</v>
      </c>
      <c r="F13107" s="1918"/>
      <c r="G13107" s="700" t="s">
        <v>24</v>
      </c>
      <c r="H13107" s="681">
        <v>2.9999999999999997E-4</v>
      </c>
      <c r="K13107" s="841" t="s">
        <v>3197</v>
      </c>
      <c r="L13107" s="841" t="s">
        <v>3046</v>
      </c>
      <c r="M13107" s="1357"/>
      <c r="P13107" s="841" t="s">
        <v>3212</v>
      </c>
      <c r="Q13107" s="1357"/>
      <c r="S13107" s="1420"/>
      <c r="T13107" s="1420"/>
      <c r="V13107" s="1357">
        <v>57</v>
      </c>
    </row>
    <row r="13108" spans="1:22" s="841" customFormat="1" ht="15" x14ac:dyDescent="0.25">
      <c r="A13108" s="841" t="s">
        <v>210</v>
      </c>
      <c r="E13108" s="1918" t="s">
        <v>32</v>
      </c>
      <c r="F13108" s="1918"/>
      <c r="G13108" s="700" t="s">
        <v>23</v>
      </c>
      <c r="H13108" s="701">
        <v>0.25</v>
      </c>
      <c r="K13108" s="841" t="s">
        <v>3197</v>
      </c>
      <c r="L13108" s="841" t="s">
        <v>3046</v>
      </c>
      <c r="M13108" s="1357"/>
      <c r="P13108" s="841" t="s">
        <v>3213</v>
      </c>
      <c r="Q13108" s="1357"/>
      <c r="S13108" s="1420"/>
      <c r="T13108" s="1420"/>
      <c r="V13108" s="1357">
        <v>63</v>
      </c>
    </row>
    <row r="13109" spans="1:22" s="841" customFormat="1" x14ac:dyDescent="0.25">
      <c r="A13109" s="841" t="s">
        <v>210</v>
      </c>
      <c r="E13109" s="1967" t="s">
        <v>3214</v>
      </c>
      <c r="F13109" s="1967"/>
      <c r="G13109" s="1967"/>
      <c r="H13109" s="1968"/>
      <c r="K13109" s="841" t="s">
        <v>5110</v>
      </c>
      <c r="M13109" s="1357"/>
      <c r="Q13109" s="1357"/>
      <c r="S13109" s="1420"/>
      <c r="T13109" s="1420"/>
      <c r="V13109" s="1357">
        <v>54</v>
      </c>
    </row>
    <row r="13110" spans="1:22" s="841" customFormat="1" ht="15" x14ac:dyDescent="0.25">
      <c r="A13110" s="841" t="s">
        <v>210</v>
      </c>
      <c r="E13110" s="1917" t="s">
        <v>4679</v>
      </c>
      <c r="F13110" s="1917"/>
      <c r="G13110" s="1917"/>
      <c r="H13110" s="1917"/>
      <c r="K13110" s="841" t="s">
        <v>5110</v>
      </c>
      <c r="M13110" s="1357"/>
      <c r="Q13110" s="1357"/>
      <c r="S13110" s="1420"/>
      <c r="T13110" s="1420"/>
      <c r="V13110" s="1357">
        <v>445</v>
      </c>
    </row>
    <row r="13111" spans="1:22" s="841" customFormat="1" ht="15" x14ac:dyDescent="0.25">
      <c r="A13111" s="841" t="s">
        <v>210</v>
      </c>
      <c r="E13111" s="1944" t="s">
        <v>3061</v>
      </c>
      <c r="F13111" s="1689"/>
      <c r="G13111" s="1689"/>
      <c r="H13111" s="1689"/>
      <c r="K13111" s="841" t="s">
        <v>3086</v>
      </c>
      <c r="M13111" s="1357"/>
      <c r="Q13111" s="1357"/>
      <c r="S13111" s="1420"/>
      <c r="T13111" s="1420"/>
      <c r="V13111" s="1357">
        <v>11</v>
      </c>
    </row>
    <row r="13112" spans="1:22" s="841" customFormat="1" ht="15" x14ac:dyDescent="0.25">
      <c r="A13112" s="841" t="s">
        <v>210</v>
      </c>
      <c r="E13112" s="1917" t="s">
        <v>3063</v>
      </c>
      <c r="F13112" s="1917"/>
      <c r="G13112" s="1917"/>
      <c r="H13112" s="1917"/>
      <c r="K13112" s="841" t="s">
        <v>5110</v>
      </c>
      <c r="M13112" s="1357"/>
      <c r="Q13112" s="1357"/>
      <c r="S13112" s="1420"/>
      <c r="T13112" s="1420"/>
      <c r="V13112" s="1357">
        <v>280</v>
      </c>
    </row>
    <row r="13113" spans="1:22" s="841" customFormat="1" ht="15" x14ac:dyDescent="0.25">
      <c r="A13113" s="841" t="s">
        <v>210</v>
      </c>
      <c r="E13113" s="1927" t="s">
        <v>3064</v>
      </c>
      <c r="F13113" s="1927"/>
      <c r="G13113" s="1927"/>
      <c r="H13113" s="1927"/>
      <c r="K13113" s="841" t="s">
        <v>5110</v>
      </c>
      <c r="M13113" s="1357"/>
      <c r="Q13113" s="1357"/>
      <c r="S13113" s="1420"/>
      <c r="T13113" s="1420"/>
      <c r="V13113" s="1357">
        <v>411</v>
      </c>
    </row>
    <row r="13114" spans="1:22" s="841" customFormat="1" ht="15" x14ac:dyDescent="0.25">
      <c r="A13114" s="841" t="s">
        <v>210</v>
      </c>
      <c r="E13114" s="1928" t="s">
        <v>3199</v>
      </c>
      <c r="F13114" s="1928"/>
      <c r="G13114" s="1928"/>
      <c r="H13114" s="1928"/>
      <c r="K13114" s="841" t="s">
        <v>5110</v>
      </c>
      <c r="M13114" s="1357"/>
      <c r="Q13114" s="1357"/>
      <c r="S13114" s="1420"/>
      <c r="T13114" s="1420"/>
      <c r="V13114" s="1357">
        <v>386</v>
      </c>
    </row>
    <row r="13115" spans="1:22" s="841" customFormat="1" ht="15" x14ac:dyDescent="0.25">
      <c r="A13115" s="841" t="s">
        <v>210</v>
      </c>
      <c r="E13115" s="1929" t="s">
        <v>3390</v>
      </c>
      <c r="F13115" s="1929"/>
      <c r="G13115" s="1929"/>
      <c r="H13115" s="1929"/>
      <c r="K13115" s="841" t="s">
        <v>5110</v>
      </c>
      <c r="M13115" s="1357"/>
      <c r="Q13115" s="1357"/>
      <c r="S13115" s="1420"/>
      <c r="T13115" s="1420"/>
      <c r="V13115" s="1357">
        <v>274</v>
      </c>
    </row>
    <row r="13116" spans="1:22" s="841" customFormat="1" ht="15" x14ac:dyDescent="0.25">
      <c r="A13116" s="841" t="s">
        <v>210</v>
      </c>
      <c r="E13116" s="1919" t="s">
        <v>3067</v>
      </c>
      <c r="F13116" s="1907"/>
      <c r="G13116" s="1907"/>
      <c r="H13116" s="1907"/>
      <c r="K13116" s="841" t="s">
        <v>3087</v>
      </c>
      <c r="M13116" s="1357"/>
      <c r="Q13116" s="1357"/>
      <c r="S13116" s="1420"/>
      <c r="T13116" s="1420"/>
      <c r="V13116" s="1357">
        <v>46</v>
      </c>
    </row>
    <row r="13117" spans="1:22" s="841" customFormat="1" ht="15" x14ac:dyDescent="0.25">
      <c r="A13117" s="841" t="s">
        <v>210</v>
      </c>
      <c r="E13117" s="1918" t="s">
        <v>357</v>
      </c>
      <c r="F13117" s="1918"/>
      <c r="G13117" s="679" t="s">
        <v>23</v>
      </c>
      <c r="H13117" s="391">
        <v>42.63</v>
      </c>
      <c r="K13117" s="841" t="s">
        <v>5110</v>
      </c>
      <c r="L13117" s="841" t="s">
        <v>442</v>
      </c>
      <c r="M13117" s="1357"/>
      <c r="P13117" s="841" t="s">
        <v>5111</v>
      </c>
      <c r="Q13117" s="1357"/>
      <c r="S13117" s="1420"/>
      <c r="T13117" s="1420"/>
      <c r="V13117" s="1357">
        <v>22</v>
      </c>
    </row>
    <row r="13118" spans="1:22" s="841" customFormat="1" ht="15" x14ac:dyDescent="0.25">
      <c r="A13118" s="841" t="s">
        <v>210</v>
      </c>
      <c r="E13118" s="1934" t="s">
        <v>5911</v>
      </c>
      <c r="F13118" s="1904"/>
      <c r="G13118" s="679" t="s">
        <v>23</v>
      </c>
      <c r="H13118" s="391">
        <v>1.77</v>
      </c>
      <c r="K13118" s="841" t="s">
        <v>5110</v>
      </c>
      <c r="L13118" s="841" t="s">
        <v>442</v>
      </c>
      <c r="M13118" s="1357"/>
      <c r="P13118" s="841" t="s">
        <v>6521</v>
      </c>
      <c r="Q13118" s="1357"/>
      <c r="S13118" s="1420"/>
      <c r="T13118" s="1420"/>
      <c r="V13118" s="1357">
        <v>146</v>
      </c>
    </row>
    <row r="13119" spans="1:22" s="841" customFormat="1" ht="15" x14ac:dyDescent="0.25">
      <c r="A13119" s="841" t="s">
        <v>210</v>
      </c>
      <c r="E13119" s="1918" t="s">
        <v>5109</v>
      </c>
      <c r="F13119" s="1918"/>
      <c r="G13119" s="679" t="s">
        <v>23</v>
      </c>
      <c r="H13119" s="699">
        <v>0.56999999999999995</v>
      </c>
      <c r="K13119" s="841" t="s">
        <v>5110</v>
      </c>
      <c r="L13119" s="841" t="s">
        <v>443</v>
      </c>
      <c r="M13119" s="1357"/>
      <c r="P13119" s="841" t="s">
        <v>5112</v>
      </c>
      <c r="Q13119" s="1357"/>
      <c r="S13119" s="1420"/>
      <c r="T13119" s="1420">
        <v>44926</v>
      </c>
      <c r="V13119" s="1357">
        <v>64</v>
      </c>
    </row>
    <row r="13120" spans="1:22" s="841" customFormat="1" ht="15" x14ac:dyDescent="0.25">
      <c r="A13120" s="841" t="s">
        <v>210</v>
      </c>
      <c r="E13120" s="1918" t="s">
        <v>3109</v>
      </c>
      <c r="F13120" s="1918"/>
      <c r="G13120" s="679" t="s">
        <v>24</v>
      </c>
      <c r="H13120" s="393">
        <v>1.83E-2</v>
      </c>
      <c r="K13120" s="841" t="s">
        <v>5110</v>
      </c>
      <c r="L13120" s="841" t="s">
        <v>442</v>
      </c>
      <c r="M13120" s="1357"/>
      <c r="P13120" s="841" t="s">
        <v>5113</v>
      </c>
      <c r="Q13120" s="1357"/>
      <c r="S13120" s="1420"/>
      <c r="T13120" s="1420"/>
      <c r="V13120" s="1357">
        <v>29</v>
      </c>
    </row>
    <row r="13121" spans="1:22" s="841" customFormat="1" ht="15" x14ac:dyDescent="0.25">
      <c r="A13121" s="841" t="s">
        <v>210</v>
      </c>
      <c r="E13121" s="1918" t="s">
        <v>18</v>
      </c>
      <c r="F13121" s="1918"/>
      <c r="G13121" s="679" t="s">
        <v>24</v>
      </c>
      <c r="H13121" s="676">
        <v>2.5000000000000001E-3</v>
      </c>
      <c r="K13121" s="841" t="s">
        <v>5110</v>
      </c>
      <c r="L13121" s="841" t="s">
        <v>443</v>
      </c>
      <c r="M13121" s="1357"/>
      <c r="P13121" s="841" t="s">
        <v>5114</v>
      </c>
      <c r="Q13121" s="1357"/>
      <c r="S13121" s="1420"/>
      <c r="T13121" s="1420"/>
      <c r="V13121" s="1357">
        <v>24</v>
      </c>
    </row>
    <row r="13122" spans="1:22" s="841" customFormat="1" ht="15" x14ac:dyDescent="0.25">
      <c r="A13122" s="841" t="s">
        <v>210</v>
      </c>
      <c r="E13122" s="1934" t="s">
        <v>5912</v>
      </c>
      <c r="F13122" s="1904"/>
      <c r="G13122" s="679" t="s">
        <v>24</v>
      </c>
      <c r="H13122" s="676">
        <v>8.0000000000000004E-4</v>
      </c>
      <c r="K13122" s="841" t="s">
        <v>5110</v>
      </c>
      <c r="L13122" s="841" t="s">
        <v>442</v>
      </c>
      <c r="M13122" s="1357"/>
      <c r="P13122" s="841" t="s">
        <v>6522</v>
      </c>
      <c r="Q13122" s="1357"/>
      <c r="S13122" s="1420"/>
      <c r="T13122" s="1420"/>
      <c r="V13122" s="1357">
        <v>145</v>
      </c>
    </row>
    <row r="13123" spans="1:22" s="841" customFormat="1" ht="15" x14ac:dyDescent="0.25">
      <c r="A13123" s="841" t="s">
        <v>210</v>
      </c>
      <c r="E13123" s="1918" t="s">
        <v>221</v>
      </c>
      <c r="F13123" s="1918"/>
      <c r="G13123" s="679" t="s">
        <v>24</v>
      </c>
      <c r="H13123" s="393">
        <v>6.1000000000000004E-3</v>
      </c>
      <c r="K13123" s="841" t="s">
        <v>5110</v>
      </c>
      <c r="L13123" s="841" t="s">
        <v>444</v>
      </c>
      <c r="M13123" s="1357"/>
      <c r="P13123" s="841" t="s">
        <v>5115</v>
      </c>
      <c r="Q13123" s="1357"/>
      <c r="S13123" s="1420"/>
      <c r="T13123" s="1420"/>
      <c r="V13123" s="1357">
        <v>47</v>
      </c>
    </row>
    <row r="13124" spans="1:22" s="841" customFormat="1" ht="15" x14ac:dyDescent="0.25">
      <c r="A13124" s="841" t="s">
        <v>210</v>
      </c>
      <c r="E13124" s="1918" t="s">
        <v>217</v>
      </c>
      <c r="F13124" s="1918"/>
      <c r="G13124" s="679" t="s">
        <v>24</v>
      </c>
      <c r="H13124" s="393">
        <v>3.8999999999999998E-3</v>
      </c>
      <c r="K13124" s="841" t="s">
        <v>5110</v>
      </c>
      <c r="L13124" s="841" t="s">
        <v>444</v>
      </c>
      <c r="M13124" s="1357"/>
      <c r="P13124" s="841" t="s">
        <v>5116</v>
      </c>
      <c r="Q13124" s="1357"/>
      <c r="S13124" s="1420"/>
      <c r="T13124" s="1420"/>
      <c r="V13124" s="1357">
        <v>74</v>
      </c>
    </row>
    <row r="13125" spans="1:22" s="841" customFormat="1" ht="15" x14ac:dyDescent="0.25">
      <c r="A13125" s="841" t="s">
        <v>210</v>
      </c>
      <c r="E13125" s="1919" t="s">
        <v>3079</v>
      </c>
      <c r="F13125" s="1690"/>
      <c r="G13125" s="1690"/>
      <c r="H13125" s="1690"/>
      <c r="K13125" s="841" t="s">
        <v>3093</v>
      </c>
      <c r="M13125" s="1357"/>
      <c r="Q13125" s="1357"/>
      <c r="S13125" s="1420"/>
      <c r="T13125" s="1420"/>
      <c r="V13125" s="1357">
        <v>48</v>
      </c>
    </row>
    <row r="13126" spans="1:22" s="841" customFormat="1" ht="15" x14ac:dyDescent="0.25">
      <c r="A13126" s="841" t="s">
        <v>210</v>
      </c>
      <c r="E13126" s="1918" t="s">
        <v>2449</v>
      </c>
      <c r="F13126" s="1918"/>
      <c r="G13126" s="700" t="s">
        <v>24</v>
      </c>
      <c r="H13126" s="681">
        <v>3.2000000000000002E-3</v>
      </c>
      <c r="K13126" s="841" t="s">
        <v>5110</v>
      </c>
      <c r="L13126" s="841" t="s">
        <v>3046</v>
      </c>
      <c r="M13126" s="1357"/>
      <c r="P13126" s="841" t="s">
        <v>5117</v>
      </c>
      <c r="Q13126" s="1357"/>
      <c r="S13126" s="1420"/>
      <c r="T13126" s="1420"/>
      <c r="V13126" s="1357">
        <v>55</v>
      </c>
    </row>
    <row r="13127" spans="1:22" s="841" customFormat="1" ht="15" x14ac:dyDescent="0.25">
      <c r="A13127" s="841" t="s">
        <v>210</v>
      </c>
      <c r="E13127" s="1918" t="s">
        <v>2450</v>
      </c>
      <c r="F13127" s="1918"/>
      <c r="G13127" s="700" t="s">
        <v>24</v>
      </c>
      <c r="H13127" s="681">
        <v>4.0000000000000002E-4</v>
      </c>
      <c r="K13127" s="841" t="s">
        <v>5110</v>
      </c>
      <c r="L13127" s="841" t="s">
        <v>3046</v>
      </c>
      <c r="M13127" s="1357"/>
      <c r="P13127" s="841" t="s">
        <v>5117</v>
      </c>
      <c r="Q13127" s="1357"/>
      <c r="S13127" s="1420"/>
      <c r="T13127" s="1420"/>
      <c r="V13127" s="1357">
        <v>65</v>
      </c>
    </row>
    <row r="13128" spans="1:22" s="841" customFormat="1" ht="15" x14ac:dyDescent="0.25">
      <c r="A13128" s="841" t="s">
        <v>210</v>
      </c>
      <c r="E13128" s="1918" t="s">
        <v>439</v>
      </c>
      <c r="F13128" s="1918"/>
      <c r="G13128" s="700" t="s">
        <v>24</v>
      </c>
      <c r="H13128" s="681">
        <v>2.9999999999999997E-4</v>
      </c>
      <c r="K13128" s="841" t="s">
        <v>5110</v>
      </c>
      <c r="L13128" s="841" t="s">
        <v>3046</v>
      </c>
      <c r="M13128" s="1357"/>
      <c r="P13128" s="841" t="s">
        <v>5118</v>
      </c>
      <c r="Q13128" s="1357"/>
      <c r="S13128" s="1420"/>
      <c r="T13128" s="1420"/>
      <c r="V13128" s="1357">
        <v>57</v>
      </c>
    </row>
    <row r="13129" spans="1:22" s="841" customFormat="1" ht="15" x14ac:dyDescent="0.25">
      <c r="A13129" s="841" t="s">
        <v>210</v>
      </c>
      <c r="E13129" s="1918" t="s">
        <v>32</v>
      </c>
      <c r="F13129" s="1918"/>
      <c r="G13129" s="700" t="s">
        <v>23</v>
      </c>
      <c r="H13129" s="701">
        <v>0.25</v>
      </c>
      <c r="K13129" s="841" t="s">
        <v>5110</v>
      </c>
      <c r="L13129" s="841" t="s">
        <v>3046</v>
      </c>
      <c r="M13129" s="1357"/>
      <c r="P13129" s="841" t="s">
        <v>5119</v>
      </c>
      <c r="Q13129" s="1357"/>
      <c r="S13129" s="1420"/>
      <c r="T13129" s="1420"/>
      <c r="V13129" s="1357">
        <v>63</v>
      </c>
    </row>
    <row r="13130" spans="1:22" s="841" customFormat="1" x14ac:dyDescent="0.25">
      <c r="A13130" s="841" t="s">
        <v>210</v>
      </c>
      <c r="E13130" s="1967" t="s">
        <v>3216</v>
      </c>
      <c r="F13130" s="1967"/>
      <c r="G13130" s="1967"/>
      <c r="H13130" s="1968"/>
      <c r="K13130" s="841" t="s">
        <v>5180</v>
      </c>
      <c r="M13130" s="1357"/>
      <c r="Q13130" s="1357"/>
      <c r="S13130" s="1420"/>
      <c r="T13130" s="1420"/>
      <c r="V13130" s="1357">
        <v>51</v>
      </c>
    </row>
    <row r="13131" spans="1:22" s="841" customFormat="1" ht="15" x14ac:dyDescent="0.25">
      <c r="A13131" s="841" t="s">
        <v>210</v>
      </c>
      <c r="E13131" s="1917" t="s">
        <v>4680</v>
      </c>
      <c r="F13131" s="1917"/>
      <c r="G13131" s="1917"/>
      <c r="H13131" s="1917"/>
      <c r="K13131" s="841" t="s">
        <v>5180</v>
      </c>
      <c r="M13131" s="1357"/>
      <c r="Q13131" s="1357"/>
      <c r="S13131" s="1420"/>
      <c r="T13131" s="1420"/>
      <c r="V13131" s="1357">
        <v>373</v>
      </c>
    </row>
    <row r="13132" spans="1:22" s="841" customFormat="1" ht="15" x14ac:dyDescent="0.25">
      <c r="A13132" s="841" t="s">
        <v>210</v>
      </c>
      <c r="E13132" s="1944" t="s">
        <v>3061</v>
      </c>
      <c r="F13132" s="1689"/>
      <c r="G13132" s="1689"/>
      <c r="H13132" s="1689"/>
      <c r="K13132" s="841" t="s">
        <v>3098</v>
      </c>
      <c r="M13132" s="1357"/>
      <c r="Q13132" s="1357"/>
      <c r="S13132" s="1420"/>
      <c r="T13132" s="1420"/>
      <c r="V13132" s="1357">
        <v>11</v>
      </c>
    </row>
    <row r="13133" spans="1:22" s="841" customFormat="1" ht="15" x14ac:dyDescent="0.25">
      <c r="A13133" s="841" t="s">
        <v>210</v>
      </c>
      <c r="E13133" s="1917" t="s">
        <v>3063</v>
      </c>
      <c r="F13133" s="1917"/>
      <c r="G13133" s="1917"/>
      <c r="H13133" s="1917"/>
      <c r="K13133" s="841" t="s">
        <v>5180</v>
      </c>
      <c r="M13133" s="1357"/>
      <c r="Q13133" s="1357"/>
      <c r="S13133" s="1420"/>
      <c r="T13133" s="1420"/>
      <c r="V13133" s="1357">
        <v>280</v>
      </c>
    </row>
    <row r="13134" spans="1:22" s="841" customFormat="1" ht="15" x14ac:dyDescent="0.25">
      <c r="A13134" s="841" t="s">
        <v>210</v>
      </c>
      <c r="E13134" s="1927" t="s">
        <v>3064</v>
      </c>
      <c r="F13134" s="1927"/>
      <c r="G13134" s="1927"/>
      <c r="H13134" s="1927"/>
      <c r="K13134" s="841" t="s">
        <v>5180</v>
      </c>
      <c r="M13134" s="1357"/>
      <c r="Q13134" s="1357"/>
      <c r="S13134" s="1420"/>
      <c r="T13134" s="1420"/>
      <c r="V13134" s="1357">
        <v>411</v>
      </c>
    </row>
    <row r="13135" spans="1:22" s="841" customFormat="1" ht="15" x14ac:dyDescent="0.25">
      <c r="A13135" s="841" t="s">
        <v>210</v>
      </c>
      <c r="E13135" s="1928" t="s">
        <v>3199</v>
      </c>
      <c r="F13135" s="1928"/>
      <c r="G13135" s="1928"/>
      <c r="H13135" s="1928"/>
      <c r="K13135" s="841" t="s">
        <v>5180</v>
      </c>
      <c r="M13135" s="1357"/>
      <c r="Q13135" s="1357"/>
      <c r="S13135" s="1420"/>
      <c r="T13135" s="1420"/>
      <c r="V13135" s="1357">
        <v>386</v>
      </c>
    </row>
    <row r="13136" spans="1:22" s="841" customFormat="1" ht="15" x14ac:dyDescent="0.25">
      <c r="A13136" s="841" t="s">
        <v>210</v>
      </c>
      <c r="E13136" s="1929" t="s">
        <v>3390</v>
      </c>
      <c r="F13136" s="1929"/>
      <c r="G13136" s="1929"/>
      <c r="H13136" s="1929"/>
      <c r="K13136" s="841" t="s">
        <v>5180</v>
      </c>
      <c r="M13136" s="1357"/>
      <c r="Q13136" s="1357"/>
      <c r="S13136" s="1420"/>
      <c r="T13136" s="1420"/>
      <c r="V13136" s="1357">
        <v>274</v>
      </c>
    </row>
    <row r="13137" spans="1:22" s="841" customFormat="1" ht="15" x14ac:dyDescent="0.25">
      <c r="A13137" s="841" t="s">
        <v>210</v>
      </c>
      <c r="E13137" s="1919" t="s">
        <v>3067</v>
      </c>
      <c r="F13137" s="1907"/>
      <c r="G13137" s="1907"/>
      <c r="H13137" s="1907"/>
      <c r="K13137" s="841" t="s">
        <v>3099</v>
      </c>
      <c r="M13137" s="1357"/>
      <c r="Q13137" s="1357"/>
      <c r="S13137" s="1420"/>
      <c r="T13137" s="1420"/>
      <c r="V13137" s="1357">
        <v>46</v>
      </c>
    </row>
    <row r="13138" spans="1:22" s="841" customFormat="1" ht="15" x14ac:dyDescent="0.25">
      <c r="A13138" s="841" t="s">
        <v>210</v>
      </c>
      <c r="E13138" s="1918" t="s">
        <v>357</v>
      </c>
      <c r="F13138" s="1918"/>
      <c r="G13138" s="679" t="s">
        <v>23</v>
      </c>
      <c r="H13138" s="391">
        <v>282</v>
      </c>
      <c r="K13138" s="841" t="s">
        <v>5180</v>
      </c>
      <c r="L13138" s="841" t="s">
        <v>442</v>
      </c>
      <c r="M13138" s="1357"/>
      <c r="P13138" s="841" t="s">
        <v>5181</v>
      </c>
      <c r="Q13138" s="1357"/>
      <c r="S13138" s="1420"/>
      <c r="T13138" s="1420"/>
      <c r="V13138" s="1357">
        <v>22</v>
      </c>
    </row>
    <row r="13139" spans="1:22" s="841" customFormat="1" ht="15" x14ac:dyDescent="0.25">
      <c r="A13139" s="841" t="s">
        <v>210</v>
      </c>
      <c r="E13139" s="1934" t="s">
        <v>5911</v>
      </c>
      <c r="F13139" s="1904"/>
      <c r="G13139" s="679" t="s">
        <v>23</v>
      </c>
      <c r="H13139" s="391">
        <v>11.73</v>
      </c>
      <c r="K13139" s="841" t="s">
        <v>5180</v>
      </c>
      <c r="L13139" s="841" t="s">
        <v>442</v>
      </c>
      <c r="M13139" s="1357"/>
      <c r="P13139" s="841" t="s">
        <v>6523</v>
      </c>
      <c r="Q13139" s="1357"/>
      <c r="S13139" s="1420"/>
      <c r="T13139" s="1420"/>
      <c r="V13139" s="1357">
        <v>146</v>
      </c>
    </row>
    <row r="13140" spans="1:22" s="841" customFormat="1" ht="15" x14ac:dyDescent="0.25">
      <c r="A13140" s="841" t="s">
        <v>210</v>
      </c>
      <c r="E13140" s="1918" t="s">
        <v>3109</v>
      </c>
      <c r="F13140" s="1918"/>
      <c r="G13140" s="679" t="s">
        <v>33</v>
      </c>
      <c r="H13140" s="393">
        <v>2.6897000000000002</v>
      </c>
      <c r="K13140" s="841" t="s">
        <v>5180</v>
      </c>
      <c r="L13140" s="841" t="s">
        <v>442</v>
      </c>
      <c r="M13140" s="1357"/>
      <c r="P13140" s="841" t="s">
        <v>5182</v>
      </c>
      <c r="Q13140" s="1357"/>
      <c r="S13140" s="1420"/>
      <c r="T13140" s="1420"/>
      <c r="V13140" s="1357">
        <v>29</v>
      </c>
    </row>
    <row r="13141" spans="1:22" s="841" customFormat="1" ht="15" x14ac:dyDescent="0.25">
      <c r="A13141" s="841" t="s">
        <v>210</v>
      </c>
      <c r="E13141" s="1918" t="s">
        <v>18</v>
      </c>
      <c r="F13141" s="1918"/>
      <c r="G13141" s="679" t="s">
        <v>33</v>
      </c>
      <c r="H13141" s="676">
        <v>0.99519999999999997</v>
      </c>
      <c r="K13141" s="841" t="s">
        <v>5180</v>
      </c>
      <c r="L13141" s="841" t="s">
        <v>443</v>
      </c>
      <c r="M13141" s="1357"/>
      <c r="P13141" s="841" t="s">
        <v>5183</v>
      </c>
      <c r="Q13141" s="1357"/>
      <c r="S13141" s="1420"/>
      <c r="T13141" s="1420"/>
      <c r="V13141" s="1357">
        <v>24</v>
      </c>
    </row>
    <row r="13142" spans="1:22" s="841" customFormat="1" ht="15" x14ac:dyDescent="0.25">
      <c r="A13142" s="841" t="s">
        <v>210</v>
      </c>
      <c r="E13142" s="1934" t="s">
        <v>5912</v>
      </c>
      <c r="F13142" s="1904"/>
      <c r="G13142" s="679" t="s">
        <v>33</v>
      </c>
      <c r="H13142" s="676">
        <v>0.1118</v>
      </c>
      <c r="K13142" s="841" t="s">
        <v>5180</v>
      </c>
      <c r="L13142" s="841" t="s">
        <v>442</v>
      </c>
      <c r="M13142" s="1357"/>
      <c r="P13142" s="841" t="s">
        <v>6524</v>
      </c>
      <c r="Q13142" s="1357"/>
      <c r="S13142" s="1420"/>
      <c r="T13142" s="1420"/>
      <c r="V13142" s="1357">
        <v>145</v>
      </c>
    </row>
    <row r="13143" spans="1:22" s="841" customFormat="1" ht="15" x14ac:dyDescent="0.25">
      <c r="A13143" s="841" t="s">
        <v>210</v>
      </c>
      <c r="E13143" s="1918" t="s">
        <v>221</v>
      </c>
      <c r="F13143" s="1918"/>
      <c r="G13143" s="679" t="s">
        <v>33</v>
      </c>
      <c r="H13143" s="393">
        <v>2.5274999999999999</v>
      </c>
      <c r="K13143" s="841" t="s">
        <v>5180</v>
      </c>
      <c r="L13143" s="841" t="s">
        <v>444</v>
      </c>
      <c r="M13143" s="1357"/>
      <c r="P13143" s="841" t="s">
        <v>5184</v>
      </c>
      <c r="Q13143" s="1357"/>
      <c r="S13143" s="1420"/>
      <c r="T13143" s="1420"/>
      <c r="V13143" s="1357">
        <v>47</v>
      </c>
    </row>
    <row r="13144" spans="1:22" s="841" customFormat="1" ht="15" x14ac:dyDescent="0.25">
      <c r="A13144" s="841" t="s">
        <v>210</v>
      </c>
      <c r="E13144" s="1918" t="s">
        <v>217</v>
      </c>
      <c r="F13144" s="1918"/>
      <c r="G13144" s="679" t="s">
        <v>33</v>
      </c>
      <c r="H13144" s="393">
        <v>1.5763</v>
      </c>
      <c r="K13144" s="841" t="s">
        <v>5180</v>
      </c>
      <c r="L13144" s="841" t="s">
        <v>444</v>
      </c>
      <c r="M13144" s="1357"/>
      <c r="P13144" s="841" t="s">
        <v>5185</v>
      </c>
      <c r="Q13144" s="1357"/>
      <c r="S13144" s="1420"/>
      <c r="T13144" s="1420"/>
      <c r="V13144" s="1357">
        <v>74</v>
      </c>
    </row>
    <row r="13145" spans="1:22" s="841" customFormat="1" ht="15" x14ac:dyDescent="0.25">
      <c r="A13145" s="841" t="s">
        <v>210</v>
      </c>
      <c r="E13145" s="1919" t="s">
        <v>3079</v>
      </c>
      <c r="F13145" s="1690"/>
      <c r="G13145" s="1690"/>
      <c r="H13145" s="1690"/>
      <c r="K13145" s="841" t="s">
        <v>3218</v>
      </c>
      <c r="M13145" s="1357"/>
      <c r="Q13145" s="1357"/>
      <c r="S13145" s="1420"/>
      <c r="T13145" s="1420"/>
      <c r="V13145" s="1357">
        <v>48</v>
      </c>
    </row>
    <row r="13146" spans="1:22" s="841" customFormat="1" ht="15" x14ac:dyDescent="0.25">
      <c r="A13146" s="841" t="s">
        <v>210</v>
      </c>
      <c r="E13146" s="1918" t="s">
        <v>2449</v>
      </c>
      <c r="F13146" s="1918"/>
      <c r="G13146" s="700" t="s">
        <v>24</v>
      </c>
      <c r="H13146" s="681">
        <v>3.2000000000000002E-3</v>
      </c>
      <c r="K13146" s="841" t="s">
        <v>5180</v>
      </c>
      <c r="L13146" s="841" t="s">
        <v>3046</v>
      </c>
      <c r="M13146" s="1357"/>
      <c r="P13146" s="841" t="s">
        <v>5186</v>
      </c>
      <c r="Q13146" s="1357"/>
      <c r="S13146" s="1420"/>
      <c r="T13146" s="1420"/>
      <c r="V13146" s="1357">
        <v>55</v>
      </c>
    </row>
    <row r="13147" spans="1:22" s="841" customFormat="1" ht="15" x14ac:dyDescent="0.25">
      <c r="A13147" s="841" t="s">
        <v>210</v>
      </c>
      <c r="E13147" s="1918" t="s">
        <v>2450</v>
      </c>
      <c r="F13147" s="1918"/>
      <c r="G13147" s="700" t="s">
        <v>24</v>
      </c>
      <c r="H13147" s="681">
        <v>4.0000000000000002E-4</v>
      </c>
      <c r="K13147" s="841" t="s">
        <v>5180</v>
      </c>
      <c r="L13147" s="841" t="s">
        <v>3046</v>
      </c>
      <c r="M13147" s="1357"/>
      <c r="P13147" s="841" t="s">
        <v>5186</v>
      </c>
      <c r="Q13147" s="1357"/>
      <c r="S13147" s="1420"/>
      <c r="T13147" s="1420"/>
      <c r="V13147" s="1357">
        <v>65</v>
      </c>
    </row>
    <row r="13148" spans="1:22" s="841" customFormat="1" ht="15" x14ac:dyDescent="0.25">
      <c r="A13148" s="841" t="s">
        <v>210</v>
      </c>
      <c r="E13148" s="1918" t="s">
        <v>439</v>
      </c>
      <c r="F13148" s="1918"/>
      <c r="G13148" s="700" t="s">
        <v>24</v>
      </c>
      <c r="H13148" s="681">
        <v>2.9999999999999997E-4</v>
      </c>
      <c r="K13148" s="841" t="s">
        <v>5180</v>
      </c>
      <c r="L13148" s="841" t="s">
        <v>3046</v>
      </c>
      <c r="M13148" s="1357"/>
      <c r="P13148" s="841" t="s">
        <v>5187</v>
      </c>
      <c r="Q13148" s="1357"/>
      <c r="S13148" s="1420"/>
      <c r="T13148" s="1420"/>
      <c r="V13148" s="1357">
        <v>57</v>
      </c>
    </row>
    <row r="13149" spans="1:22" s="841" customFormat="1" ht="15" x14ac:dyDescent="0.25">
      <c r="A13149" s="841" t="s">
        <v>210</v>
      </c>
      <c r="E13149" s="1918" t="s">
        <v>32</v>
      </c>
      <c r="F13149" s="1918"/>
      <c r="G13149" s="700" t="s">
        <v>23</v>
      </c>
      <c r="H13149" s="701">
        <v>0.25</v>
      </c>
      <c r="K13149" s="841" t="s">
        <v>5180</v>
      </c>
      <c r="L13149" s="841" t="s">
        <v>3046</v>
      </c>
      <c r="M13149" s="1357"/>
      <c r="P13149" s="841" t="s">
        <v>5188</v>
      </c>
      <c r="Q13149" s="1357"/>
      <c r="S13149" s="1420"/>
      <c r="T13149" s="1420"/>
      <c r="V13149" s="1357">
        <v>63</v>
      </c>
    </row>
    <row r="13150" spans="1:22" s="841" customFormat="1" x14ac:dyDescent="0.25">
      <c r="A13150" s="841" t="s">
        <v>210</v>
      </c>
      <c r="E13150" s="1967" t="s">
        <v>3219</v>
      </c>
      <c r="F13150" s="1967"/>
      <c r="G13150" s="1967"/>
      <c r="H13150" s="1968"/>
      <c r="K13150" s="841" t="s">
        <v>5189</v>
      </c>
      <c r="M13150" s="1357"/>
      <c r="Q13150" s="1357"/>
      <c r="S13150" s="1420"/>
      <c r="T13150" s="1420"/>
      <c r="V13150" s="1357">
        <v>56</v>
      </c>
    </row>
    <row r="13151" spans="1:22" s="841" customFormat="1" ht="15" x14ac:dyDescent="0.25">
      <c r="A13151" s="841" t="s">
        <v>210</v>
      </c>
      <c r="E13151" s="1917" t="s">
        <v>4681</v>
      </c>
      <c r="F13151" s="1917"/>
      <c r="G13151" s="1917"/>
      <c r="H13151" s="1917"/>
      <c r="K13151" s="841" t="s">
        <v>5189</v>
      </c>
      <c r="M13151" s="1357"/>
      <c r="Q13151" s="1357"/>
      <c r="S13151" s="1420"/>
      <c r="T13151" s="1420"/>
      <c r="V13151" s="1357">
        <v>388</v>
      </c>
    </row>
    <row r="13152" spans="1:22" s="841" customFormat="1" ht="15" x14ac:dyDescent="0.25">
      <c r="A13152" s="841" t="s">
        <v>210</v>
      </c>
      <c r="E13152" s="1935" t="s">
        <v>3061</v>
      </c>
      <c r="F13152" s="1697"/>
      <c r="G13152" s="1697"/>
      <c r="H13152" s="1697"/>
      <c r="K13152" s="841" t="s">
        <v>3221</v>
      </c>
      <c r="M13152" s="1357"/>
      <c r="Q13152" s="1357"/>
      <c r="S13152" s="1420"/>
      <c r="T13152" s="1420"/>
      <c r="V13152" s="1357">
        <v>11</v>
      </c>
    </row>
    <row r="13153" spans="1:22" s="841" customFormat="1" ht="15" x14ac:dyDescent="0.25">
      <c r="A13153" s="841" t="s">
        <v>210</v>
      </c>
      <c r="E13153" s="1917" t="s">
        <v>3063</v>
      </c>
      <c r="F13153" s="1917"/>
      <c r="G13153" s="1917"/>
      <c r="H13153" s="1917"/>
      <c r="K13153" s="841" t="s">
        <v>5189</v>
      </c>
      <c r="M13153" s="1357"/>
      <c r="Q13153" s="1357"/>
      <c r="S13153" s="1420"/>
      <c r="T13153" s="1420"/>
      <c r="V13153" s="1357">
        <v>280</v>
      </c>
    </row>
    <row r="13154" spans="1:22" s="841" customFormat="1" ht="15" x14ac:dyDescent="0.25">
      <c r="A13154" s="841" t="s">
        <v>210</v>
      </c>
      <c r="E13154" s="1927" t="s">
        <v>3064</v>
      </c>
      <c r="F13154" s="1927"/>
      <c r="G13154" s="1927"/>
      <c r="H13154" s="1927"/>
      <c r="K13154" s="841" t="s">
        <v>5189</v>
      </c>
      <c r="M13154" s="1357"/>
      <c r="Q13154" s="1357"/>
      <c r="S13154" s="1420"/>
      <c r="T13154" s="1420"/>
      <c r="V13154" s="1357">
        <v>411</v>
      </c>
    </row>
    <row r="13155" spans="1:22" s="841" customFormat="1" ht="15" x14ac:dyDescent="0.25">
      <c r="A13155" s="841" t="s">
        <v>210</v>
      </c>
      <c r="E13155" s="1928" t="s">
        <v>3199</v>
      </c>
      <c r="F13155" s="1928"/>
      <c r="G13155" s="1928"/>
      <c r="H13155" s="1928"/>
      <c r="K13155" s="841" t="s">
        <v>5189</v>
      </c>
      <c r="M13155" s="1357"/>
      <c r="Q13155" s="1357"/>
      <c r="S13155" s="1420"/>
      <c r="T13155" s="1420"/>
      <c r="V13155" s="1357">
        <v>386</v>
      </c>
    </row>
    <row r="13156" spans="1:22" s="841" customFormat="1" ht="15" x14ac:dyDescent="0.25">
      <c r="A13156" s="841" t="s">
        <v>210</v>
      </c>
      <c r="E13156" s="1929" t="s">
        <v>3390</v>
      </c>
      <c r="F13156" s="1929"/>
      <c r="G13156" s="1929"/>
      <c r="H13156" s="1929"/>
      <c r="K13156" s="841" t="s">
        <v>5189</v>
      </c>
      <c r="M13156" s="1357"/>
      <c r="Q13156" s="1357"/>
      <c r="S13156" s="1420"/>
      <c r="T13156" s="1420"/>
      <c r="V13156" s="1357">
        <v>274</v>
      </c>
    </row>
    <row r="13157" spans="1:22" s="841" customFormat="1" ht="15" x14ac:dyDescent="0.25">
      <c r="A13157" s="841" t="s">
        <v>210</v>
      </c>
      <c r="E13157" s="1930" t="s">
        <v>3067</v>
      </c>
      <c r="F13157" s="1693"/>
      <c r="G13157" s="1693"/>
      <c r="H13157" s="1693"/>
      <c r="K13157" s="841" t="s">
        <v>3224</v>
      </c>
      <c r="M13157" s="1357"/>
      <c r="Q13157" s="1357"/>
      <c r="S13157" s="1420"/>
      <c r="T13157" s="1420"/>
      <c r="V13157" s="1357">
        <v>46</v>
      </c>
    </row>
    <row r="13158" spans="1:22" s="841" customFormat="1" ht="15" x14ac:dyDescent="0.25">
      <c r="A13158" s="841" t="s">
        <v>210</v>
      </c>
      <c r="E13158" s="1918" t="s">
        <v>357</v>
      </c>
      <c r="F13158" s="1918"/>
      <c r="G13158" s="679" t="s">
        <v>23</v>
      </c>
      <c r="H13158" s="391">
        <v>2304.8000000000002</v>
      </c>
      <c r="K13158" s="841" t="s">
        <v>5189</v>
      </c>
      <c r="L13158" s="841" t="s">
        <v>442</v>
      </c>
      <c r="M13158" s="1357"/>
      <c r="P13158" s="841" t="s">
        <v>5190</v>
      </c>
      <c r="Q13158" s="1357"/>
      <c r="S13158" s="1420"/>
      <c r="T13158" s="1420"/>
      <c r="V13158" s="1357">
        <v>22</v>
      </c>
    </row>
    <row r="13159" spans="1:22" s="841" customFormat="1" ht="15" x14ac:dyDescent="0.25">
      <c r="A13159" s="841" t="s">
        <v>210</v>
      </c>
      <c r="E13159" s="1934" t="s">
        <v>5911</v>
      </c>
      <c r="F13159" s="1904"/>
      <c r="G13159" s="679" t="s">
        <v>23</v>
      </c>
      <c r="H13159" s="391">
        <v>95.84</v>
      </c>
      <c r="K13159" s="841" t="s">
        <v>5189</v>
      </c>
      <c r="L13159" s="841" t="s">
        <v>442</v>
      </c>
      <c r="M13159" s="1357"/>
      <c r="P13159" s="841" t="s">
        <v>6525</v>
      </c>
      <c r="Q13159" s="1357"/>
      <c r="S13159" s="1420"/>
      <c r="T13159" s="1420"/>
      <c r="V13159" s="1357">
        <v>146</v>
      </c>
    </row>
    <row r="13160" spans="1:22" s="841" customFormat="1" ht="15" x14ac:dyDescent="0.25">
      <c r="A13160" s="841" t="s">
        <v>210</v>
      </c>
      <c r="E13160" s="1918" t="s">
        <v>3109</v>
      </c>
      <c r="F13160" s="1918"/>
      <c r="G13160" s="679" t="s">
        <v>33</v>
      </c>
      <c r="H13160" s="393">
        <v>3.1179000000000001</v>
      </c>
      <c r="K13160" s="841" t="s">
        <v>5189</v>
      </c>
      <c r="L13160" s="841" t="s">
        <v>442</v>
      </c>
      <c r="M13160" s="1357"/>
      <c r="P13160" s="841" t="s">
        <v>5191</v>
      </c>
      <c r="Q13160" s="1357"/>
      <c r="S13160" s="1420"/>
      <c r="T13160" s="1420"/>
      <c r="V13160" s="1357">
        <v>29</v>
      </c>
    </row>
    <row r="13161" spans="1:22" s="841" customFormat="1" ht="15" x14ac:dyDescent="0.25">
      <c r="A13161" s="841" t="s">
        <v>210</v>
      </c>
      <c r="E13161" s="1918" t="s">
        <v>18</v>
      </c>
      <c r="F13161" s="1918"/>
      <c r="G13161" s="679" t="s">
        <v>33</v>
      </c>
      <c r="H13161" s="676">
        <v>1.0911</v>
      </c>
      <c r="K13161" s="841" t="s">
        <v>5189</v>
      </c>
      <c r="L13161" s="841" t="s">
        <v>443</v>
      </c>
      <c r="M13161" s="1357"/>
      <c r="P13161" s="841" t="s">
        <v>5192</v>
      </c>
      <c r="Q13161" s="1357"/>
      <c r="S13161" s="1420"/>
      <c r="T13161" s="1420"/>
      <c r="V13161" s="1357">
        <v>24</v>
      </c>
    </row>
    <row r="13162" spans="1:22" s="841" customFormat="1" ht="15" x14ac:dyDescent="0.25">
      <c r="A13162" s="841" t="s">
        <v>210</v>
      </c>
      <c r="E13162" s="1934" t="s">
        <v>5911</v>
      </c>
      <c r="F13162" s="1904"/>
      <c r="G13162" s="679" t="s">
        <v>33</v>
      </c>
      <c r="H13162" s="676">
        <v>0.12970000000000001</v>
      </c>
      <c r="K13162" s="841" t="s">
        <v>5189</v>
      </c>
      <c r="L13162" s="841" t="s">
        <v>442</v>
      </c>
      <c r="M13162" s="1357"/>
      <c r="P13162" s="841" t="s">
        <v>6526</v>
      </c>
      <c r="Q13162" s="1357"/>
      <c r="S13162" s="1420"/>
      <c r="T13162" s="1420"/>
      <c r="V13162" s="1357">
        <v>146</v>
      </c>
    </row>
    <row r="13163" spans="1:22" s="841" customFormat="1" ht="15" x14ac:dyDescent="0.25">
      <c r="A13163" s="841" t="s">
        <v>210</v>
      </c>
      <c r="E13163" s="1918" t="s">
        <v>221</v>
      </c>
      <c r="F13163" s="1918"/>
      <c r="G13163" s="679" t="s">
        <v>33</v>
      </c>
      <c r="H13163" s="393">
        <v>2.6844999999999999</v>
      </c>
      <c r="K13163" s="841" t="s">
        <v>5189</v>
      </c>
      <c r="L13163" s="841" t="s">
        <v>444</v>
      </c>
      <c r="M13163" s="1357"/>
      <c r="P13163" s="841" t="s">
        <v>5193</v>
      </c>
      <c r="Q13163" s="1357"/>
      <c r="S13163" s="1420"/>
      <c r="T13163" s="1420"/>
      <c r="V13163" s="1357">
        <v>47</v>
      </c>
    </row>
    <row r="13164" spans="1:22" s="841" customFormat="1" ht="15" x14ac:dyDescent="0.25">
      <c r="A13164" s="841" t="s">
        <v>210</v>
      </c>
      <c r="E13164" s="1918" t="s">
        <v>217</v>
      </c>
      <c r="F13164" s="1918"/>
      <c r="G13164" s="679" t="s">
        <v>33</v>
      </c>
      <c r="H13164" s="393">
        <v>1.7282</v>
      </c>
      <c r="K13164" s="841" t="s">
        <v>5189</v>
      </c>
      <c r="L13164" s="841" t="s">
        <v>444</v>
      </c>
      <c r="M13164" s="1357"/>
      <c r="P13164" s="841" t="s">
        <v>5194</v>
      </c>
      <c r="Q13164" s="1357"/>
      <c r="S13164" s="1420"/>
      <c r="T13164" s="1420"/>
      <c r="V13164" s="1357">
        <v>74</v>
      </c>
    </row>
    <row r="13165" spans="1:22" s="841" customFormat="1" ht="15" x14ac:dyDescent="0.25">
      <c r="A13165" s="841" t="s">
        <v>210</v>
      </c>
      <c r="E13165" s="1919" t="s">
        <v>3079</v>
      </c>
      <c r="F13165" s="1690"/>
      <c r="G13165" s="679"/>
      <c r="H13165" s="1093"/>
      <c r="K13165" s="841" t="s">
        <v>3225</v>
      </c>
      <c r="M13165" s="1357"/>
      <c r="Q13165" s="1357"/>
      <c r="S13165" s="1420"/>
      <c r="T13165" s="1420"/>
      <c r="V13165" s="1357">
        <v>48</v>
      </c>
    </row>
    <row r="13166" spans="1:22" s="841" customFormat="1" ht="15" x14ac:dyDescent="0.25">
      <c r="A13166" s="841" t="s">
        <v>210</v>
      </c>
      <c r="E13166" s="1918" t="s">
        <v>2449</v>
      </c>
      <c r="F13166" s="1918"/>
      <c r="G13166" s="700" t="s">
        <v>24</v>
      </c>
      <c r="H13166" s="681">
        <v>3.2000000000000002E-3</v>
      </c>
      <c r="K13166" s="841" t="s">
        <v>5189</v>
      </c>
      <c r="L13166" s="841" t="s">
        <v>3046</v>
      </c>
      <c r="M13166" s="1357"/>
      <c r="P13166" s="841" t="s">
        <v>5195</v>
      </c>
      <c r="Q13166" s="1357"/>
      <c r="S13166" s="1420"/>
      <c r="T13166" s="1420"/>
      <c r="V13166" s="1357">
        <v>55</v>
      </c>
    </row>
    <row r="13167" spans="1:22" s="841" customFormat="1" ht="15" x14ac:dyDescent="0.25">
      <c r="A13167" s="841" t="s">
        <v>210</v>
      </c>
      <c r="E13167" s="1918" t="s">
        <v>2450</v>
      </c>
      <c r="F13167" s="1918"/>
      <c r="G13167" s="700" t="s">
        <v>24</v>
      </c>
      <c r="H13167" s="681">
        <v>4.0000000000000002E-4</v>
      </c>
      <c r="K13167" s="841" t="s">
        <v>5189</v>
      </c>
      <c r="L13167" s="841" t="s">
        <v>3046</v>
      </c>
      <c r="M13167" s="1357"/>
      <c r="P13167" s="841" t="s">
        <v>5195</v>
      </c>
      <c r="Q13167" s="1357"/>
      <c r="S13167" s="1420"/>
      <c r="T13167" s="1420"/>
      <c r="V13167" s="1357">
        <v>65</v>
      </c>
    </row>
    <row r="13168" spans="1:22" s="841" customFormat="1" ht="15" x14ac:dyDescent="0.25">
      <c r="A13168" s="841" t="s">
        <v>210</v>
      </c>
      <c r="E13168" s="1918" t="s">
        <v>439</v>
      </c>
      <c r="F13168" s="1918"/>
      <c r="G13168" s="700" t="s">
        <v>24</v>
      </c>
      <c r="H13168" s="681">
        <v>2.9999999999999997E-4</v>
      </c>
      <c r="K13168" s="841" t="s">
        <v>5189</v>
      </c>
      <c r="L13168" s="841" t="s">
        <v>3046</v>
      </c>
      <c r="M13168" s="1357"/>
      <c r="P13168" s="841" t="s">
        <v>5196</v>
      </c>
      <c r="Q13168" s="1357"/>
      <c r="S13168" s="1420"/>
      <c r="T13168" s="1420"/>
      <c r="V13168" s="1357">
        <v>57</v>
      </c>
    </row>
    <row r="13169" spans="1:22" s="841" customFormat="1" ht="15" x14ac:dyDescent="0.25">
      <c r="A13169" s="841" t="s">
        <v>210</v>
      </c>
      <c r="E13169" s="1918" t="s">
        <v>32</v>
      </c>
      <c r="F13169" s="1918"/>
      <c r="G13169" s="700" t="s">
        <v>23</v>
      </c>
      <c r="H13169" s="701">
        <v>0.25</v>
      </c>
      <c r="K13169" s="841" t="s">
        <v>5189</v>
      </c>
      <c r="L13169" s="841" t="s">
        <v>3046</v>
      </c>
      <c r="M13169" s="1357"/>
      <c r="P13169" s="841" t="s">
        <v>5197</v>
      </c>
      <c r="Q13169" s="1357"/>
      <c r="S13169" s="1420"/>
      <c r="T13169" s="1420"/>
      <c r="V13169" s="1357">
        <v>63</v>
      </c>
    </row>
    <row r="13170" spans="1:22" s="841" customFormat="1" x14ac:dyDescent="0.25">
      <c r="A13170" s="841" t="s">
        <v>210</v>
      </c>
      <c r="E13170" s="1967" t="s">
        <v>617</v>
      </c>
      <c r="F13170" s="1967"/>
      <c r="G13170" s="1967"/>
      <c r="H13170" s="1968"/>
      <c r="K13170" s="841" t="s">
        <v>3457</v>
      </c>
      <c r="M13170" s="1357"/>
      <c r="Q13170" s="1357"/>
      <c r="S13170" s="1420"/>
      <c r="T13170" s="1420"/>
      <c r="V13170" s="1357">
        <v>47</v>
      </c>
    </row>
    <row r="13171" spans="1:22" s="841" customFormat="1" ht="15" x14ac:dyDescent="0.25">
      <c r="A13171" s="841" t="s">
        <v>210</v>
      </c>
      <c r="E13171" s="1917" t="s">
        <v>4682</v>
      </c>
      <c r="F13171" s="1917"/>
      <c r="G13171" s="1917"/>
      <c r="H13171" s="1917"/>
      <c r="K13171" s="841" t="s">
        <v>3457</v>
      </c>
      <c r="M13171" s="1357"/>
      <c r="Q13171" s="1357"/>
      <c r="S13171" s="1420"/>
      <c r="T13171" s="1420"/>
      <c r="V13171" s="1357">
        <v>721</v>
      </c>
    </row>
    <row r="13172" spans="1:22" s="841" customFormat="1" ht="15" x14ac:dyDescent="0.25">
      <c r="A13172" s="841" t="s">
        <v>210</v>
      </c>
      <c r="E13172" s="1935" t="s">
        <v>3061</v>
      </c>
      <c r="F13172" s="1697"/>
      <c r="G13172" s="1697"/>
      <c r="H13172" s="1697"/>
      <c r="K13172" s="841" t="s">
        <v>3107</v>
      </c>
      <c r="M13172" s="1357"/>
      <c r="Q13172" s="1357"/>
      <c r="S13172" s="1420"/>
      <c r="T13172" s="1420"/>
      <c r="V13172" s="1357">
        <v>11</v>
      </c>
    </row>
    <row r="13173" spans="1:22" s="841" customFormat="1" ht="15" x14ac:dyDescent="0.25">
      <c r="A13173" s="841" t="s">
        <v>210</v>
      </c>
      <c r="E13173" s="1917" t="s">
        <v>3063</v>
      </c>
      <c r="F13173" s="1917"/>
      <c r="G13173" s="1917"/>
      <c r="H13173" s="1917"/>
      <c r="K13173" s="841" t="s">
        <v>3457</v>
      </c>
      <c r="M13173" s="1357"/>
      <c r="Q13173" s="1357"/>
      <c r="S13173" s="1420"/>
      <c r="T13173" s="1420"/>
      <c r="V13173" s="1357">
        <v>280</v>
      </c>
    </row>
    <row r="13174" spans="1:22" s="841" customFormat="1" ht="15" x14ac:dyDescent="0.25">
      <c r="A13174" s="841" t="s">
        <v>210</v>
      </c>
      <c r="E13174" s="1927" t="s">
        <v>3064</v>
      </c>
      <c r="F13174" s="1927"/>
      <c r="G13174" s="1927"/>
      <c r="H13174" s="1927"/>
      <c r="K13174" s="841" t="s">
        <v>3457</v>
      </c>
      <c r="M13174" s="1357"/>
      <c r="Q13174" s="1357"/>
      <c r="S13174" s="1420"/>
      <c r="T13174" s="1420"/>
      <c r="V13174" s="1357">
        <v>411</v>
      </c>
    </row>
    <row r="13175" spans="1:22" s="841" customFormat="1" ht="15" x14ac:dyDescent="0.25">
      <c r="A13175" s="841" t="s">
        <v>210</v>
      </c>
      <c r="E13175" s="1928" t="s">
        <v>3199</v>
      </c>
      <c r="F13175" s="1928"/>
      <c r="G13175" s="1928"/>
      <c r="H13175" s="1928"/>
      <c r="K13175" s="841" t="s">
        <v>3457</v>
      </c>
      <c r="M13175" s="1357"/>
      <c r="Q13175" s="1357"/>
      <c r="S13175" s="1420"/>
      <c r="T13175" s="1420"/>
      <c r="V13175" s="1357">
        <v>386</v>
      </c>
    </row>
    <row r="13176" spans="1:22" s="841" customFormat="1" ht="15" x14ac:dyDescent="0.25">
      <c r="A13176" s="841" t="s">
        <v>210</v>
      </c>
      <c r="E13176" s="1929" t="s">
        <v>3390</v>
      </c>
      <c r="F13176" s="1929"/>
      <c r="G13176" s="1929"/>
      <c r="H13176" s="1929"/>
      <c r="K13176" s="841" t="s">
        <v>3457</v>
      </c>
      <c r="M13176" s="1357"/>
      <c r="Q13176" s="1357"/>
      <c r="S13176" s="1420"/>
      <c r="T13176" s="1420"/>
      <c r="V13176" s="1357">
        <v>274</v>
      </c>
    </row>
    <row r="13177" spans="1:22" s="841" customFormat="1" ht="15" x14ac:dyDescent="0.25">
      <c r="A13177" s="841" t="s">
        <v>210</v>
      </c>
      <c r="E13177" s="1930" t="s">
        <v>3067</v>
      </c>
      <c r="F13177" s="1693"/>
      <c r="G13177" s="1693"/>
      <c r="H13177" s="1693"/>
      <c r="K13177" s="841" t="s">
        <v>3108</v>
      </c>
      <c r="M13177" s="1357"/>
      <c r="Q13177" s="1357"/>
      <c r="S13177" s="1420"/>
      <c r="T13177" s="1420"/>
      <c r="V13177" s="1357">
        <v>46</v>
      </c>
    </row>
    <row r="13178" spans="1:22" s="841" customFormat="1" ht="15" x14ac:dyDescent="0.25">
      <c r="A13178" s="841" t="s">
        <v>210</v>
      </c>
      <c r="E13178" s="1918" t="s">
        <v>357</v>
      </c>
      <c r="F13178" s="1918"/>
      <c r="G13178" s="679" t="s">
        <v>23</v>
      </c>
      <c r="H13178" s="391">
        <v>28.96</v>
      </c>
      <c r="K13178" s="841" t="s">
        <v>3457</v>
      </c>
      <c r="L13178" s="841" t="s">
        <v>442</v>
      </c>
      <c r="M13178" s="1357"/>
      <c r="P13178" s="841" t="s">
        <v>3458</v>
      </c>
      <c r="Q13178" s="1357"/>
      <c r="S13178" s="1420"/>
      <c r="T13178" s="1420"/>
      <c r="V13178" s="1357">
        <v>22</v>
      </c>
    </row>
    <row r="13179" spans="1:22" s="841" customFormat="1" ht="15" x14ac:dyDescent="0.25">
      <c r="A13179" s="841" t="s">
        <v>210</v>
      </c>
      <c r="E13179" s="1934" t="s">
        <v>5911</v>
      </c>
      <c r="F13179" s="1904"/>
      <c r="G13179" s="679" t="s">
        <v>23</v>
      </c>
      <c r="H13179" s="391">
        <v>1.2</v>
      </c>
      <c r="K13179" s="841" t="s">
        <v>3457</v>
      </c>
      <c r="L13179" s="841" t="s">
        <v>442</v>
      </c>
      <c r="M13179" s="1357"/>
      <c r="P13179" s="841" t="s">
        <v>6527</v>
      </c>
      <c r="Q13179" s="1357"/>
      <c r="S13179" s="1420"/>
      <c r="T13179" s="1420"/>
      <c r="V13179" s="1357">
        <v>146</v>
      </c>
    </row>
    <row r="13180" spans="1:22" s="841" customFormat="1" ht="15" x14ac:dyDescent="0.25">
      <c r="A13180" s="841" t="s">
        <v>210</v>
      </c>
      <c r="E13180" s="1918" t="s">
        <v>3109</v>
      </c>
      <c r="F13180" s="1918"/>
      <c r="G13180" s="679" t="s">
        <v>24</v>
      </c>
      <c r="H13180" s="393">
        <v>1.5900000000000001E-2</v>
      </c>
      <c r="K13180" s="841" t="s">
        <v>3457</v>
      </c>
      <c r="L13180" s="841" t="s">
        <v>442</v>
      </c>
      <c r="M13180" s="1357"/>
      <c r="P13180" s="841" t="s">
        <v>3459</v>
      </c>
      <c r="Q13180" s="1357"/>
      <c r="S13180" s="1420"/>
      <c r="T13180" s="1420"/>
      <c r="V13180" s="1357">
        <v>29</v>
      </c>
    </row>
    <row r="13181" spans="1:22" s="841" customFormat="1" ht="15" x14ac:dyDescent="0.25">
      <c r="A13181" s="841" t="s">
        <v>210</v>
      </c>
      <c r="E13181" s="1918" t="s">
        <v>18</v>
      </c>
      <c r="F13181" s="1918"/>
      <c r="G13181" s="679" t="s">
        <v>24</v>
      </c>
      <c r="H13181" s="676">
        <v>2.5000000000000001E-3</v>
      </c>
      <c r="K13181" s="841" t="s">
        <v>3457</v>
      </c>
      <c r="L13181" s="841" t="s">
        <v>443</v>
      </c>
      <c r="M13181" s="1357"/>
      <c r="P13181" s="841" t="s">
        <v>3460</v>
      </c>
      <c r="Q13181" s="1357"/>
      <c r="S13181" s="1420"/>
      <c r="T13181" s="1420"/>
      <c r="V13181" s="1357">
        <v>24</v>
      </c>
    </row>
    <row r="13182" spans="1:22" s="841" customFormat="1" ht="15" x14ac:dyDescent="0.25">
      <c r="A13182" s="841" t="s">
        <v>210</v>
      </c>
      <c r="E13182" s="1934" t="s">
        <v>5912</v>
      </c>
      <c r="F13182" s="1904"/>
      <c r="G13182" s="679" t="s">
        <v>24</v>
      </c>
      <c r="H13182" s="676">
        <v>6.9999999999999999E-4</v>
      </c>
      <c r="K13182" s="841" t="s">
        <v>3457</v>
      </c>
      <c r="L13182" s="841" t="s">
        <v>442</v>
      </c>
      <c r="M13182" s="1357"/>
      <c r="P13182" s="841" t="s">
        <v>6528</v>
      </c>
      <c r="Q13182" s="1357"/>
      <c r="S13182" s="1420"/>
      <c r="T13182" s="1420"/>
      <c r="V13182" s="1357">
        <v>145</v>
      </c>
    </row>
    <row r="13183" spans="1:22" s="841" customFormat="1" ht="15" x14ac:dyDescent="0.25">
      <c r="A13183" s="841" t="s">
        <v>210</v>
      </c>
      <c r="E13183" s="1918" t="s">
        <v>221</v>
      </c>
      <c r="F13183" s="1918"/>
      <c r="G13183" s="679" t="s">
        <v>24</v>
      </c>
      <c r="H13183" s="393">
        <v>6.1000000000000004E-3</v>
      </c>
      <c r="K13183" s="841" t="s">
        <v>3457</v>
      </c>
      <c r="L13183" s="841" t="s">
        <v>444</v>
      </c>
      <c r="M13183" s="1357"/>
      <c r="P13183" s="841" t="s">
        <v>3462</v>
      </c>
      <c r="Q13183" s="1357"/>
      <c r="S13183" s="1420"/>
      <c r="T13183" s="1420"/>
      <c r="V13183" s="1357">
        <v>47</v>
      </c>
    </row>
    <row r="13184" spans="1:22" s="841" customFormat="1" ht="15" x14ac:dyDescent="0.25">
      <c r="A13184" s="841" t="s">
        <v>210</v>
      </c>
      <c r="E13184" s="1918" t="s">
        <v>217</v>
      </c>
      <c r="F13184" s="1918"/>
      <c r="G13184" s="679" t="s">
        <v>24</v>
      </c>
      <c r="H13184" s="393">
        <v>3.8999999999999998E-3</v>
      </c>
      <c r="K13184" s="841" t="s">
        <v>3457</v>
      </c>
      <c r="L13184" s="841" t="s">
        <v>444</v>
      </c>
      <c r="M13184" s="1357"/>
      <c r="P13184" s="841" t="s">
        <v>3463</v>
      </c>
      <c r="Q13184" s="1357"/>
      <c r="S13184" s="1420"/>
      <c r="T13184" s="1420"/>
      <c r="V13184" s="1357">
        <v>74</v>
      </c>
    </row>
    <row r="13185" spans="1:22" s="841" customFormat="1" ht="15" x14ac:dyDescent="0.25">
      <c r="A13185" s="841" t="s">
        <v>210</v>
      </c>
      <c r="E13185" s="1919" t="s">
        <v>3079</v>
      </c>
      <c r="F13185" s="1690"/>
      <c r="G13185" s="679"/>
      <c r="H13185" s="1093"/>
      <c r="K13185" s="841" t="s">
        <v>3111</v>
      </c>
      <c r="M13185" s="1357"/>
      <c r="Q13185" s="1357"/>
      <c r="S13185" s="1420"/>
      <c r="T13185" s="1420"/>
      <c r="V13185" s="1357">
        <v>48</v>
      </c>
    </row>
    <row r="13186" spans="1:22" s="841" customFormat="1" ht="15" x14ac:dyDescent="0.25">
      <c r="A13186" s="841" t="s">
        <v>210</v>
      </c>
      <c r="E13186" s="1918" t="s">
        <v>2449</v>
      </c>
      <c r="F13186" s="1918"/>
      <c r="G13186" s="700" t="s">
        <v>24</v>
      </c>
      <c r="H13186" s="681">
        <v>3.2000000000000002E-3</v>
      </c>
      <c r="K13186" s="841" t="s">
        <v>3457</v>
      </c>
      <c r="L13186" s="841" t="s">
        <v>3046</v>
      </c>
      <c r="M13186" s="1357"/>
      <c r="P13186" s="841" t="s">
        <v>3464</v>
      </c>
      <c r="Q13186" s="1357"/>
      <c r="S13186" s="1420"/>
      <c r="T13186" s="1420"/>
      <c r="V13186" s="1357">
        <v>55</v>
      </c>
    </row>
    <row r="13187" spans="1:22" s="841" customFormat="1" ht="15" x14ac:dyDescent="0.25">
      <c r="A13187" s="841" t="s">
        <v>210</v>
      </c>
      <c r="E13187" s="1918" t="s">
        <v>2450</v>
      </c>
      <c r="F13187" s="1918"/>
      <c r="G13187" s="700" t="s">
        <v>24</v>
      </c>
      <c r="H13187" s="681">
        <v>4.0000000000000002E-4</v>
      </c>
      <c r="K13187" s="841" t="s">
        <v>3457</v>
      </c>
      <c r="L13187" s="841" t="s">
        <v>3046</v>
      </c>
      <c r="M13187" s="1357"/>
      <c r="P13187" s="841" t="s">
        <v>3464</v>
      </c>
      <c r="Q13187" s="1357"/>
      <c r="S13187" s="1420"/>
      <c r="T13187" s="1420"/>
      <c r="V13187" s="1357">
        <v>65</v>
      </c>
    </row>
    <row r="13188" spans="1:22" s="841" customFormat="1" ht="15" x14ac:dyDescent="0.25">
      <c r="A13188" s="841" t="s">
        <v>210</v>
      </c>
      <c r="E13188" s="1918" t="s">
        <v>439</v>
      </c>
      <c r="F13188" s="1918"/>
      <c r="G13188" s="700" t="s">
        <v>24</v>
      </c>
      <c r="H13188" s="681">
        <v>2.9999999999999997E-4</v>
      </c>
      <c r="K13188" s="841" t="s">
        <v>3457</v>
      </c>
      <c r="L13188" s="841" t="s">
        <v>3046</v>
      </c>
      <c r="M13188" s="1357"/>
      <c r="P13188" s="841" t="s">
        <v>3465</v>
      </c>
      <c r="Q13188" s="1357"/>
      <c r="S13188" s="1420"/>
      <c r="T13188" s="1420"/>
      <c r="V13188" s="1357">
        <v>57</v>
      </c>
    </row>
    <row r="13189" spans="1:22" s="841" customFormat="1" ht="15" x14ac:dyDescent="0.25">
      <c r="A13189" s="841" t="s">
        <v>210</v>
      </c>
      <c r="E13189" s="1918" t="s">
        <v>32</v>
      </c>
      <c r="F13189" s="1918"/>
      <c r="G13189" s="700" t="s">
        <v>23</v>
      </c>
      <c r="H13189" s="701">
        <v>0.25</v>
      </c>
      <c r="K13189" s="841" t="s">
        <v>3457</v>
      </c>
      <c r="L13189" s="841" t="s">
        <v>3046</v>
      </c>
      <c r="M13189" s="1357"/>
      <c r="P13189" s="841" t="s">
        <v>3466</v>
      </c>
      <c r="Q13189" s="1357"/>
      <c r="S13189" s="1420"/>
      <c r="T13189" s="1420"/>
      <c r="V13189" s="1357">
        <v>63</v>
      </c>
    </row>
    <row r="13190" spans="1:22" s="841" customFormat="1" x14ac:dyDescent="0.25">
      <c r="A13190" s="841" t="s">
        <v>210</v>
      </c>
      <c r="E13190" s="1967" t="s">
        <v>629</v>
      </c>
      <c r="F13190" s="1967"/>
      <c r="G13190" s="1967"/>
      <c r="H13190" s="1968"/>
      <c r="K13190" s="841" t="s">
        <v>3467</v>
      </c>
      <c r="M13190" s="1357"/>
      <c r="Q13190" s="1357"/>
      <c r="S13190" s="1420"/>
      <c r="T13190" s="1420"/>
      <c r="V13190" s="1357">
        <v>40</v>
      </c>
    </row>
    <row r="13191" spans="1:22" s="841" customFormat="1" ht="15" x14ac:dyDescent="0.25">
      <c r="A13191" s="841" t="s">
        <v>210</v>
      </c>
      <c r="E13191" s="1917" t="s">
        <v>4683</v>
      </c>
      <c r="F13191" s="1917"/>
      <c r="G13191" s="1917"/>
      <c r="H13191" s="1917"/>
      <c r="K13191" s="841" t="s">
        <v>3467</v>
      </c>
      <c r="M13191" s="1357"/>
      <c r="Q13191" s="1357"/>
      <c r="S13191" s="1420"/>
      <c r="T13191" s="1420"/>
      <c r="V13191" s="1357">
        <v>246</v>
      </c>
    </row>
    <row r="13192" spans="1:22" s="841" customFormat="1" ht="15" x14ac:dyDescent="0.25">
      <c r="A13192" s="841" t="s">
        <v>210</v>
      </c>
      <c r="E13192" s="1935" t="s">
        <v>3061</v>
      </c>
      <c r="F13192" s="1697"/>
      <c r="G13192" s="1697"/>
      <c r="H13192" s="1697"/>
      <c r="K13192" s="841" t="s">
        <v>3114</v>
      </c>
      <c r="M13192" s="1357"/>
      <c r="Q13192" s="1357"/>
      <c r="S13192" s="1420"/>
      <c r="T13192" s="1420"/>
      <c r="V13192" s="1357">
        <v>11</v>
      </c>
    </row>
    <row r="13193" spans="1:22" s="841" customFormat="1" ht="15" x14ac:dyDescent="0.25">
      <c r="A13193" s="841" t="s">
        <v>210</v>
      </c>
      <c r="E13193" s="1917" t="s">
        <v>3063</v>
      </c>
      <c r="F13193" s="1917"/>
      <c r="G13193" s="1917"/>
      <c r="H13193" s="1917"/>
      <c r="K13193" s="841" t="s">
        <v>3467</v>
      </c>
      <c r="M13193" s="1357"/>
      <c r="Q13193" s="1357"/>
      <c r="S13193" s="1420"/>
      <c r="T13193" s="1420"/>
      <c r="V13193" s="1357">
        <v>280</v>
      </c>
    </row>
    <row r="13194" spans="1:22" s="841" customFormat="1" ht="15" x14ac:dyDescent="0.25">
      <c r="A13194" s="841" t="s">
        <v>210</v>
      </c>
      <c r="E13194" s="1927" t="s">
        <v>3064</v>
      </c>
      <c r="F13194" s="1927"/>
      <c r="G13194" s="1927"/>
      <c r="H13194" s="1927"/>
      <c r="K13194" s="841" t="s">
        <v>3467</v>
      </c>
      <c r="M13194" s="1357"/>
      <c r="Q13194" s="1357"/>
      <c r="S13194" s="1420"/>
      <c r="T13194" s="1420"/>
      <c r="V13194" s="1357">
        <v>411</v>
      </c>
    </row>
    <row r="13195" spans="1:22" s="841" customFormat="1" ht="15" x14ac:dyDescent="0.25">
      <c r="A13195" s="841" t="s">
        <v>210</v>
      </c>
      <c r="E13195" s="1928" t="s">
        <v>3199</v>
      </c>
      <c r="F13195" s="1928"/>
      <c r="G13195" s="1928"/>
      <c r="H13195" s="1928"/>
      <c r="K13195" s="841" t="s">
        <v>3467</v>
      </c>
      <c r="M13195" s="1357"/>
      <c r="Q13195" s="1357"/>
      <c r="S13195" s="1420"/>
      <c r="T13195" s="1420"/>
      <c r="V13195" s="1357">
        <v>386</v>
      </c>
    </row>
    <row r="13196" spans="1:22" s="841" customFormat="1" ht="15" x14ac:dyDescent="0.25">
      <c r="A13196" s="841" t="s">
        <v>210</v>
      </c>
      <c r="E13196" s="1929" t="s">
        <v>3390</v>
      </c>
      <c r="F13196" s="1929"/>
      <c r="G13196" s="1929"/>
      <c r="H13196" s="1929"/>
      <c r="K13196" s="841" t="s">
        <v>3467</v>
      </c>
      <c r="M13196" s="1357"/>
      <c r="Q13196" s="1357"/>
      <c r="S13196" s="1420"/>
      <c r="T13196" s="1420"/>
      <c r="V13196" s="1357">
        <v>274</v>
      </c>
    </row>
    <row r="13197" spans="1:22" s="841" customFormat="1" ht="15" x14ac:dyDescent="0.25">
      <c r="A13197" s="841" t="s">
        <v>210</v>
      </c>
      <c r="E13197" s="1930" t="s">
        <v>3067</v>
      </c>
      <c r="F13197" s="1693"/>
      <c r="G13197" s="1693"/>
      <c r="H13197" s="1693"/>
      <c r="K13197" s="841" t="s">
        <v>3115</v>
      </c>
      <c r="M13197" s="1357"/>
      <c r="Q13197" s="1357"/>
      <c r="S13197" s="1420"/>
      <c r="T13197" s="1420"/>
      <c r="V13197" s="1357">
        <v>46</v>
      </c>
    </row>
    <row r="13198" spans="1:22" s="841" customFormat="1" ht="15" x14ac:dyDescent="0.25">
      <c r="A13198" s="841" t="s">
        <v>210</v>
      </c>
      <c r="E13198" s="1918" t="s">
        <v>4684</v>
      </c>
      <c r="F13198" s="1918"/>
      <c r="G13198" s="679" t="s">
        <v>23</v>
      </c>
      <c r="H13198" s="391">
        <v>7.55</v>
      </c>
      <c r="K13198" s="841" t="s">
        <v>3467</v>
      </c>
      <c r="L13198" s="841" t="s">
        <v>442</v>
      </c>
      <c r="M13198" s="1357"/>
      <c r="P13198" s="841" t="s">
        <v>3468</v>
      </c>
      <c r="Q13198" s="1357"/>
      <c r="S13198" s="1420"/>
      <c r="T13198" s="1420"/>
      <c r="V13198" s="1357">
        <v>39</v>
      </c>
    </row>
    <row r="13199" spans="1:22" s="841" customFormat="1" ht="15" x14ac:dyDescent="0.25">
      <c r="A13199" s="841" t="s">
        <v>210</v>
      </c>
      <c r="E13199" s="1934" t="s">
        <v>5911</v>
      </c>
      <c r="F13199" s="1904"/>
      <c r="G13199" s="679" t="s">
        <v>23</v>
      </c>
      <c r="H13199" s="391">
        <v>0.31</v>
      </c>
      <c r="K13199" s="841" t="s">
        <v>3467</v>
      </c>
      <c r="L13199" s="841" t="s">
        <v>442</v>
      </c>
      <c r="M13199" s="1357"/>
      <c r="P13199" s="841" t="s">
        <v>6529</v>
      </c>
      <c r="Q13199" s="1357"/>
      <c r="S13199" s="1420"/>
      <c r="T13199" s="1420"/>
      <c r="V13199" s="1357">
        <v>146</v>
      </c>
    </row>
    <row r="13200" spans="1:22" s="841" customFormat="1" ht="15" x14ac:dyDescent="0.25">
      <c r="A13200" s="841" t="s">
        <v>210</v>
      </c>
      <c r="E13200" s="1918" t="s">
        <v>3109</v>
      </c>
      <c r="F13200" s="1918"/>
      <c r="G13200" s="679" t="s">
        <v>33</v>
      </c>
      <c r="H13200" s="393">
        <v>27.907800000000002</v>
      </c>
      <c r="K13200" s="841" t="s">
        <v>3467</v>
      </c>
      <c r="L13200" s="841" t="s">
        <v>442</v>
      </c>
      <c r="M13200" s="1357"/>
      <c r="P13200" s="841" t="s">
        <v>3469</v>
      </c>
      <c r="Q13200" s="1357"/>
      <c r="S13200" s="1420"/>
      <c r="T13200" s="1420"/>
      <c r="V13200" s="1357">
        <v>29</v>
      </c>
    </row>
    <row r="13201" spans="1:22" s="841" customFormat="1" ht="15" x14ac:dyDescent="0.25">
      <c r="A13201" s="841" t="s">
        <v>210</v>
      </c>
      <c r="E13201" s="1918" t="s">
        <v>18</v>
      </c>
      <c r="F13201" s="1918"/>
      <c r="G13201" s="679" t="s">
        <v>33</v>
      </c>
      <c r="H13201" s="676">
        <v>0.78559999999999997</v>
      </c>
      <c r="K13201" s="841" t="s">
        <v>3467</v>
      </c>
      <c r="L13201" s="841" t="s">
        <v>443</v>
      </c>
      <c r="M13201" s="1357"/>
      <c r="P13201" s="841" t="s">
        <v>3470</v>
      </c>
      <c r="Q13201" s="1357"/>
      <c r="S13201" s="1420"/>
      <c r="T13201" s="1420"/>
      <c r="V13201" s="1357">
        <v>24</v>
      </c>
    </row>
    <row r="13202" spans="1:22" s="841" customFormat="1" ht="15" x14ac:dyDescent="0.25">
      <c r="A13202" s="841" t="s">
        <v>210</v>
      </c>
      <c r="E13202" s="1934" t="s">
        <v>5911</v>
      </c>
      <c r="F13202" s="1904"/>
      <c r="G13202" s="679" t="s">
        <v>33</v>
      </c>
      <c r="H13202" s="676">
        <v>1.1605000000000001</v>
      </c>
      <c r="K13202" s="841" t="s">
        <v>3467</v>
      </c>
      <c r="L13202" s="841" t="s">
        <v>442</v>
      </c>
      <c r="M13202" s="1357"/>
      <c r="P13202" s="841" t="s">
        <v>6530</v>
      </c>
      <c r="Q13202" s="1357"/>
      <c r="S13202" s="1420"/>
      <c r="T13202" s="1420"/>
      <c r="V13202" s="1357">
        <v>146</v>
      </c>
    </row>
    <row r="13203" spans="1:22" s="841" customFormat="1" ht="15" x14ac:dyDescent="0.25">
      <c r="A13203" s="841" t="s">
        <v>210</v>
      </c>
      <c r="E13203" s="1918" t="s">
        <v>221</v>
      </c>
      <c r="F13203" s="1918"/>
      <c r="G13203" s="679" t="s">
        <v>33</v>
      </c>
      <c r="H13203" s="393">
        <v>1.9157</v>
      </c>
      <c r="K13203" s="841" t="s">
        <v>3467</v>
      </c>
      <c r="L13203" s="841" t="s">
        <v>444</v>
      </c>
      <c r="M13203" s="1357"/>
      <c r="P13203" s="841" t="s">
        <v>3472</v>
      </c>
      <c r="Q13203" s="1357"/>
      <c r="S13203" s="1420"/>
      <c r="T13203" s="1420"/>
      <c r="V13203" s="1357">
        <v>47</v>
      </c>
    </row>
    <row r="13204" spans="1:22" s="841" customFormat="1" ht="15" x14ac:dyDescent="0.25">
      <c r="A13204" s="841" t="s">
        <v>210</v>
      </c>
      <c r="E13204" s="1918" t="s">
        <v>217</v>
      </c>
      <c r="F13204" s="1918"/>
      <c r="G13204" s="679" t="s">
        <v>33</v>
      </c>
      <c r="H13204" s="393">
        <v>1.2442</v>
      </c>
      <c r="K13204" s="841" t="s">
        <v>3467</v>
      </c>
      <c r="L13204" s="841" t="s">
        <v>444</v>
      </c>
      <c r="M13204" s="1357"/>
      <c r="P13204" s="841" t="s">
        <v>3473</v>
      </c>
      <c r="Q13204" s="1357"/>
      <c r="S13204" s="1420"/>
      <c r="T13204" s="1420"/>
      <c r="V13204" s="1357">
        <v>74</v>
      </c>
    </row>
    <row r="13205" spans="1:22" s="841" customFormat="1" ht="15" x14ac:dyDescent="0.25">
      <c r="A13205" s="841" t="s">
        <v>210</v>
      </c>
      <c r="E13205" s="1919" t="s">
        <v>3079</v>
      </c>
      <c r="F13205" s="1690"/>
      <c r="G13205" s="679"/>
      <c r="H13205" s="1093"/>
      <c r="K13205" s="841" t="s">
        <v>3122</v>
      </c>
      <c r="M13205" s="1357"/>
      <c r="Q13205" s="1357"/>
      <c r="S13205" s="1420"/>
      <c r="T13205" s="1420"/>
      <c r="V13205" s="1357">
        <v>48</v>
      </c>
    </row>
    <row r="13206" spans="1:22" s="841" customFormat="1" ht="15" x14ac:dyDescent="0.25">
      <c r="A13206" s="841" t="s">
        <v>210</v>
      </c>
      <c r="E13206" s="1918" t="s">
        <v>2449</v>
      </c>
      <c r="F13206" s="1918"/>
      <c r="G13206" s="700" t="s">
        <v>24</v>
      </c>
      <c r="H13206" s="681">
        <v>3.2000000000000002E-3</v>
      </c>
      <c r="K13206" s="841" t="s">
        <v>3467</v>
      </c>
      <c r="L13206" s="841" t="s">
        <v>3046</v>
      </c>
      <c r="M13206" s="1357"/>
      <c r="P13206" s="841" t="s">
        <v>3474</v>
      </c>
      <c r="Q13206" s="1357"/>
      <c r="S13206" s="1420"/>
      <c r="T13206" s="1420"/>
      <c r="V13206" s="1357">
        <v>55</v>
      </c>
    </row>
    <row r="13207" spans="1:22" s="841" customFormat="1" ht="15" x14ac:dyDescent="0.25">
      <c r="A13207" s="841" t="s">
        <v>210</v>
      </c>
      <c r="E13207" s="1918" t="s">
        <v>2450</v>
      </c>
      <c r="F13207" s="1918"/>
      <c r="G13207" s="700" t="s">
        <v>24</v>
      </c>
      <c r="H13207" s="681">
        <v>4.0000000000000002E-4</v>
      </c>
      <c r="K13207" s="841" t="s">
        <v>3467</v>
      </c>
      <c r="L13207" s="841" t="s">
        <v>3046</v>
      </c>
      <c r="M13207" s="1357"/>
      <c r="P13207" s="841" t="s">
        <v>3474</v>
      </c>
      <c r="Q13207" s="1357"/>
      <c r="S13207" s="1420"/>
      <c r="T13207" s="1420"/>
      <c r="V13207" s="1357">
        <v>65</v>
      </c>
    </row>
    <row r="13208" spans="1:22" s="841" customFormat="1" ht="15" x14ac:dyDescent="0.25">
      <c r="A13208" s="841" t="s">
        <v>210</v>
      </c>
      <c r="E13208" s="1918" t="s">
        <v>439</v>
      </c>
      <c r="F13208" s="1918"/>
      <c r="G13208" s="700" t="s">
        <v>24</v>
      </c>
      <c r="H13208" s="681">
        <v>2.9999999999999997E-4</v>
      </c>
      <c r="K13208" s="841" t="s">
        <v>3467</v>
      </c>
      <c r="L13208" s="841" t="s">
        <v>3046</v>
      </c>
      <c r="M13208" s="1357"/>
      <c r="P13208" s="841" t="s">
        <v>3475</v>
      </c>
      <c r="Q13208" s="1357"/>
      <c r="S13208" s="1420"/>
      <c r="T13208" s="1420"/>
      <c r="V13208" s="1357">
        <v>57</v>
      </c>
    </row>
    <row r="13209" spans="1:22" s="841" customFormat="1" ht="15" x14ac:dyDescent="0.25">
      <c r="A13209" s="841" t="s">
        <v>210</v>
      </c>
      <c r="E13209" s="1918" t="s">
        <v>32</v>
      </c>
      <c r="F13209" s="1918"/>
      <c r="G13209" s="700" t="s">
        <v>23</v>
      </c>
      <c r="H13209" s="701">
        <v>0.25</v>
      </c>
      <c r="K13209" s="841" t="s">
        <v>3467</v>
      </c>
      <c r="L13209" s="841" t="s">
        <v>3046</v>
      </c>
      <c r="M13209" s="1357"/>
      <c r="P13209" s="841" t="s">
        <v>3476</v>
      </c>
      <c r="Q13209" s="1357"/>
      <c r="S13209" s="1420"/>
      <c r="T13209" s="1420"/>
      <c r="V13209" s="1357">
        <v>63</v>
      </c>
    </row>
    <row r="13210" spans="1:22" s="841" customFormat="1" x14ac:dyDescent="0.25">
      <c r="A13210" s="841" t="s">
        <v>210</v>
      </c>
      <c r="E13210" s="1967" t="s">
        <v>615</v>
      </c>
      <c r="F13210" s="1967"/>
      <c r="G13210" s="1967"/>
      <c r="H13210" s="1968"/>
      <c r="K13210" s="841" t="s">
        <v>3477</v>
      </c>
      <c r="M13210" s="1357"/>
      <c r="Q13210" s="1357"/>
      <c r="S13210" s="1420"/>
      <c r="T13210" s="1420"/>
      <c r="V13210" s="1357">
        <v>38</v>
      </c>
    </row>
    <row r="13211" spans="1:22" s="841" customFormat="1" ht="15" x14ac:dyDescent="0.25">
      <c r="A13211" s="841" t="s">
        <v>210</v>
      </c>
      <c r="E13211" s="1917" t="s">
        <v>4685</v>
      </c>
      <c r="F13211" s="1917"/>
      <c r="G13211" s="1917"/>
      <c r="H13211" s="1917"/>
      <c r="K13211" s="841" t="s">
        <v>3477</v>
      </c>
      <c r="M13211" s="1357"/>
      <c r="Q13211" s="1357"/>
      <c r="S13211" s="1420"/>
      <c r="T13211" s="1420"/>
      <c r="V13211" s="1357">
        <v>488</v>
      </c>
    </row>
    <row r="13212" spans="1:22" s="841" customFormat="1" ht="15" x14ac:dyDescent="0.25">
      <c r="A13212" s="841" t="s">
        <v>210</v>
      </c>
      <c r="E13212" s="1935" t="s">
        <v>3061</v>
      </c>
      <c r="F13212" s="1697"/>
      <c r="G13212" s="1697"/>
      <c r="H13212" s="1697"/>
      <c r="K13212" s="841" t="s">
        <v>3128</v>
      </c>
      <c r="M13212" s="1357"/>
      <c r="Q13212" s="1357"/>
      <c r="S13212" s="1420"/>
      <c r="T13212" s="1420"/>
      <c r="V13212" s="1357">
        <v>11</v>
      </c>
    </row>
    <row r="13213" spans="1:22" s="841" customFormat="1" ht="15" x14ac:dyDescent="0.25">
      <c r="A13213" s="841" t="s">
        <v>210</v>
      </c>
      <c r="E13213" s="1917" t="s">
        <v>3063</v>
      </c>
      <c r="F13213" s="1917"/>
      <c r="G13213" s="1917"/>
      <c r="H13213" s="1917"/>
      <c r="K13213" s="841" t="s">
        <v>3477</v>
      </c>
      <c r="M13213" s="1357"/>
      <c r="Q13213" s="1357"/>
      <c r="S13213" s="1420"/>
      <c r="T13213" s="1420"/>
      <c r="V13213" s="1357">
        <v>280</v>
      </c>
    </row>
    <row r="13214" spans="1:22" s="841" customFormat="1" ht="15" x14ac:dyDescent="0.25">
      <c r="A13214" s="841" t="s">
        <v>210</v>
      </c>
      <c r="E13214" s="1927" t="s">
        <v>3064</v>
      </c>
      <c r="F13214" s="1927"/>
      <c r="G13214" s="1927"/>
      <c r="H13214" s="1927"/>
      <c r="K13214" s="841" t="s">
        <v>3477</v>
      </c>
      <c r="M13214" s="1357"/>
      <c r="Q13214" s="1357"/>
      <c r="S13214" s="1420"/>
      <c r="T13214" s="1420"/>
      <c r="V13214" s="1357">
        <v>411</v>
      </c>
    </row>
    <row r="13215" spans="1:22" s="841" customFormat="1" ht="15" x14ac:dyDescent="0.25">
      <c r="A13215" s="841" t="s">
        <v>210</v>
      </c>
      <c r="E13215" s="1928" t="s">
        <v>3199</v>
      </c>
      <c r="F13215" s="1928"/>
      <c r="G13215" s="1928"/>
      <c r="H13215" s="1928"/>
      <c r="K13215" s="841" t="s">
        <v>3477</v>
      </c>
      <c r="M13215" s="1357"/>
      <c r="Q13215" s="1357"/>
      <c r="S13215" s="1420"/>
      <c r="T13215" s="1420"/>
      <c r="V13215" s="1357">
        <v>386</v>
      </c>
    </row>
    <row r="13216" spans="1:22" s="841" customFormat="1" ht="15" x14ac:dyDescent="0.25">
      <c r="A13216" s="841" t="s">
        <v>210</v>
      </c>
      <c r="E13216" s="1929" t="s">
        <v>3390</v>
      </c>
      <c r="F13216" s="1929"/>
      <c r="G13216" s="1929"/>
      <c r="H13216" s="1929"/>
      <c r="K13216" s="841" t="s">
        <v>3477</v>
      </c>
      <c r="M13216" s="1357"/>
      <c r="Q13216" s="1357"/>
      <c r="S13216" s="1420"/>
      <c r="T13216" s="1420"/>
      <c r="V13216" s="1357">
        <v>274</v>
      </c>
    </row>
    <row r="13217" spans="1:22" s="841" customFormat="1" ht="15" x14ac:dyDescent="0.25">
      <c r="A13217" s="841" t="s">
        <v>210</v>
      </c>
      <c r="E13217" s="1930" t="s">
        <v>3067</v>
      </c>
      <c r="F13217" s="1693"/>
      <c r="G13217" s="1693"/>
      <c r="H13217" s="1693"/>
      <c r="K13217" s="841" t="s">
        <v>3130</v>
      </c>
      <c r="M13217" s="1357"/>
      <c r="Q13217" s="1357"/>
      <c r="S13217" s="1420"/>
      <c r="T13217" s="1420"/>
      <c r="V13217" s="1357">
        <v>46</v>
      </c>
    </row>
    <row r="13218" spans="1:22" s="841" customFormat="1" ht="15" x14ac:dyDescent="0.25">
      <c r="A13218" s="841" t="s">
        <v>210</v>
      </c>
      <c r="E13218" s="1918" t="s">
        <v>4684</v>
      </c>
      <c r="F13218" s="1918"/>
      <c r="G13218" s="679" t="s">
        <v>23</v>
      </c>
      <c r="H13218" s="391">
        <v>1.63</v>
      </c>
      <c r="K13218" s="841" t="s">
        <v>3477</v>
      </c>
      <c r="L13218" s="841" t="s">
        <v>442</v>
      </c>
      <c r="M13218" s="1357"/>
      <c r="P13218" s="841" t="s">
        <v>3478</v>
      </c>
      <c r="Q13218" s="1357"/>
      <c r="S13218" s="1420"/>
      <c r="T13218" s="1420"/>
      <c r="V13218" s="1357">
        <v>39</v>
      </c>
    </row>
    <row r="13219" spans="1:22" s="841" customFormat="1" ht="15" x14ac:dyDescent="0.25">
      <c r="A13219" s="841" t="s">
        <v>210</v>
      </c>
      <c r="E13219" s="1934" t="s">
        <v>5911</v>
      </c>
      <c r="F13219" s="1904"/>
      <c r="G13219" s="679" t="s">
        <v>23</v>
      </c>
      <c r="H13219" s="391">
        <v>7.0000000000000007E-2</v>
      </c>
      <c r="K13219" s="841" t="s">
        <v>3477</v>
      </c>
      <c r="L13219" s="841" t="s">
        <v>442</v>
      </c>
      <c r="M13219" s="1357"/>
      <c r="P13219" s="841" t="s">
        <v>6531</v>
      </c>
      <c r="Q13219" s="1357"/>
      <c r="S13219" s="1420"/>
      <c r="T13219" s="1420"/>
      <c r="V13219" s="1357">
        <v>146</v>
      </c>
    </row>
    <row r="13220" spans="1:22" s="841" customFormat="1" ht="15" x14ac:dyDescent="0.25">
      <c r="A13220" s="841" t="s">
        <v>210</v>
      </c>
      <c r="E13220" s="1918" t="s">
        <v>3109</v>
      </c>
      <c r="F13220" s="1918"/>
      <c r="G13220" s="679" t="s">
        <v>33</v>
      </c>
      <c r="H13220" s="393">
        <v>1.8053999999999999</v>
      </c>
      <c r="K13220" s="841" t="s">
        <v>3477</v>
      </c>
      <c r="L13220" s="841" t="s">
        <v>442</v>
      </c>
      <c r="M13220" s="1357"/>
      <c r="P13220" s="841" t="s">
        <v>3479</v>
      </c>
      <c r="Q13220" s="1357"/>
      <c r="S13220" s="1420"/>
      <c r="T13220" s="1420"/>
      <c r="V13220" s="1357">
        <v>29</v>
      </c>
    </row>
    <row r="13221" spans="1:22" s="841" customFormat="1" ht="15" x14ac:dyDescent="0.25">
      <c r="A13221" s="841" t="s">
        <v>210</v>
      </c>
      <c r="E13221" s="1918" t="s">
        <v>18</v>
      </c>
      <c r="F13221" s="1918"/>
      <c r="G13221" s="679" t="s">
        <v>33</v>
      </c>
      <c r="H13221" s="676">
        <v>0.76949999999999996</v>
      </c>
      <c r="K13221" s="841" t="s">
        <v>3477</v>
      </c>
      <c r="L13221" s="841" t="s">
        <v>443</v>
      </c>
      <c r="M13221" s="1357"/>
      <c r="P13221" s="841" t="s">
        <v>3480</v>
      </c>
      <c r="Q13221" s="1357"/>
      <c r="S13221" s="1420"/>
      <c r="T13221" s="1420"/>
      <c r="V13221" s="1357">
        <v>24</v>
      </c>
    </row>
    <row r="13222" spans="1:22" s="841" customFormat="1" ht="15" x14ac:dyDescent="0.25">
      <c r="A13222" s="841" t="s">
        <v>210</v>
      </c>
      <c r="E13222" s="1934" t="s">
        <v>5912</v>
      </c>
      <c r="F13222" s="1904"/>
      <c r="G13222" s="679" t="s">
        <v>33</v>
      </c>
      <c r="H13222" s="676">
        <v>7.51E-2</v>
      </c>
      <c r="K13222" s="841" t="s">
        <v>3477</v>
      </c>
      <c r="L13222" s="841" t="s">
        <v>442</v>
      </c>
      <c r="M13222" s="1357"/>
      <c r="P13222" s="841" t="s">
        <v>6532</v>
      </c>
      <c r="Q13222" s="1357"/>
      <c r="S13222" s="1420"/>
      <c r="T13222" s="1420"/>
      <c r="V13222" s="1357">
        <v>145</v>
      </c>
    </row>
    <row r="13223" spans="1:22" s="841" customFormat="1" ht="15" x14ac:dyDescent="0.25">
      <c r="A13223" s="841" t="s">
        <v>210</v>
      </c>
      <c r="E13223" s="1918" t="s">
        <v>221</v>
      </c>
      <c r="F13223" s="1918"/>
      <c r="G13223" s="679" t="s">
        <v>33</v>
      </c>
      <c r="H13223" s="393">
        <v>1.9059999999999999</v>
      </c>
      <c r="K13223" s="841" t="s">
        <v>3477</v>
      </c>
      <c r="L13223" s="841" t="s">
        <v>444</v>
      </c>
      <c r="M13223" s="1357"/>
      <c r="P13223" s="841" t="s">
        <v>3482</v>
      </c>
      <c r="Q13223" s="1357"/>
      <c r="S13223" s="1420"/>
      <c r="T13223" s="1420"/>
      <c r="V13223" s="1357">
        <v>47</v>
      </c>
    </row>
    <row r="13224" spans="1:22" s="841" customFormat="1" ht="15" x14ac:dyDescent="0.25">
      <c r="A13224" s="841" t="s">
        <v>210</v>
      </c>
      <c r="E13224" s="1918" t="s">
        <v>217</v>
      </c>
      <c r="F13224" s="1918"/>
      <c r="G13224" s="679" t="s">
        <v>33</v>
      </c>
      <c r="H13224" s="393">
        <v>1.2188000000000001</v>
      </c>
      <c r="K13224" s="841" t="s">
        <v>3477</v>
      </c>
      <c r="L13224" s="841" t="s">
        <v>444</v>
      </c>
      <c r="M13224" s="1357"/>
      <c r="P13224" s="841" t="s">
        <v>3483</v>
      </c>
      <c r="Q13224" s="1357"/>
      <c r="S13224" s="1420"/>
      <c r="T13224" s="1420"/>
      <c r="V13224" s="1357">
        <v>74</v>
      </c>
    </row>
    <row r="13225" spans="1:22" s="841" customFormat="1" ht="15" x14ac:dyDescent="0.25">
      <c r="A13225" s="841" t="s">
        <v>210</v>
      </c>
      <c r="E13225" s="1919" t="s">
        <v>3079</v>
      </c>
      <c r="F13225" s="1690"/>
      <c r="G13225" s="679"/>
      <c r="H13225" s="1093"/>
      <c r="K13225" s="841" t="s">
        <v>3260</v>
      </c>
      <c r="M13225" s="1357"/>
      <c r="Q13225" s="1357"/>
      <c r="S13225" s="1420"/>
      <c r="T13225" s="1420"/>
      <c r="V13225" s="1357">
        <v>48</v>
      </c>
    </row>
    <row r="13226" spans="1:22" s="841" customFormat="1" ht="15" x14ac:dyDescent="0.25">
      <c r="A13226" s="841" t="s">
        <v>210</v>
      </c>
      <c r="E13226" s="1918" t="s">
        <v>2449</v>
      </c>
      <c r="F13226" s="1918"/>
      <c r="G13226" s="700" t="s">
        <v>24</v>
      </c>
      <c r="H13226" s="681">
        <v>3.2000000000000002E-3</v>
      </c>
      <c r="K13226" s="841" t="s">
        <v>3477</v>
      </c>
      <c r="L13226" s="841" t="s">
        <v>3046</v>
      </c>
      <c r="M13226" s="1357"/>
      <c r="P13226" s="841" t="s">
        <v>3484</v>
      </c>
      <c r="Q13226" s="1357"/>
      <c r="S13226" s="1420"/>
      <c r="T13226" s="1420"/>
      <c r="V13226" s="1357">
        <v>55</v>
      </c>
    </row>
    <row r="13227" spans="1:22" s="841" customFormat="1" ht="15" x14ac:dyDescent="0.25">
      <c r="A13227" s="841" t="s">
        <v>210</v>
      </c>
      <c r="E13227" s="1918" t="s">
        <v>2450</v>
      </c>
      <c r="F13227" s="1918"/>
      <c r="G13227" s="700" t="s">
        <v>24</v>
      </c>
      <c r="H13227" s="681">
        <v>4.0000000000000002E-4</v>
      </c>
      <c r="K13227" s="841" t="s">
        <v>3477</v>
      </c>
      <c r="L13227" s="841" t="s">
        <v>3046</v>
      </c>
      <c r="M13227" s="1357"/>
      <c r="P13227" s="841" t="s">
        <v>3484</v>
      </c>
      <c r="Q13227" s="1357"/>
      <c r="S13227" s="1420"/>
      <c r="T13227" s="1420"/>
      <c r="V13227" s="1357">
        <v>65</v>
      </c>
    </row>
    <row r="13228" spans="1:22" s="841" customFormat="1" ht="15" x14ac:dyDescent="0.25">
      <c r="A13228" s="841" t="s">
        <v>210</v>
      </c>
      <c r="E13228" s="1918" t="s">
        <v>439</v>
      </c>
      <c r="F13228" s="1918"/>
      <c r="G13228" s="700" t="s">
        <v>24</v>
      </c>
      <c r="H13228" s="681">
        <v>2.9999999999999997E-4</v>
      </c>
      <c r="K13228" s="841" t="s">
        <v>3477</v>
      </c>
      <c r="L13228" s="841" t="s">
        <v>3046</v>
      </c>
      <c r="M13228" s="1357"/>
      <c r="P13228" s="841" t="s">
        <v>3485</v>
      </c>
      <c r="Q13228" s="1357"/>
      <c r="S13228" s="1420"/>
      <c r="T13228" s="1420"/>
      <c r="V13228" s="1357">
        <v>57</v>
      </c>
    </row>
    <row r="13229" spans="1:22" s="841" customFormat="1" ht="15" x14ac:dyDescent="0.25">
      <c r="A13229" s="841" t="s">
        <v>210</v>
      </c>
      <c r="E13229" s="1918" t="s">
        <v>32</v>
      </c>
      <c r="F13229" s="1918"/>
      <c r="G13229" s="700" t="s">
        <v>23</v>
      </c>
      <c r="H13229" s="701">
        <v>0.25</v>
      </c>
      <c r="K13229" s="841" t="s">
        <v>3477</v>
      </c>
      <c r="L13229" s="841" t="s">
        <v>3046</v>
      </c>
      <c r="M13229" s="1357"/>
      <c r="P13229" s="841" t="s">
        <v>3486</v>
      </c>
      <c r="Q13229" s="1357"/>
      <c r="S13229" s="1420"/>
      <c r="T13229" s="1420"/>
      <c r="V13229" s="1357">
        <v>63</v>
      </c>
    </row>
    <row r="13230" spans="1:22" s="841" customFormat="1" x14ac:dyDescent="0.25">
      <c r="A13230" s="841" t="s">
        <v>210</v>
      </c>
      <c r="E13230" s="2151" t="s">
        <v>618</v>
      </c>
      <c r="F13230" s="1915"/>
      <c r="G13230" s="1915"/>
      <c r="H13230" s="1915"/>
      <c r="K13230" s="841" t="s">
        <v>3487</v>
      </c>
      <c r="M13230" s="1357"/>
      <c r="Q13230" s="1357"/>
      <c r="S13230" s="1420"/>
      <c r="T13230" s="1420"/>
      <c r="V13230" s="1357">
        <v>31</v>
      </c>
    </row>
    <row r="13231" spans="1:22" s="841" customFormat="1" ht="15" x14ac:dyDescent="0.25">
      <c r="A13231" s="841" t="s">
        <v>210</v>
      </c>
      <c r="E13231" s="1917" t="s">
        <v>3429</v>
      </c>
      <c r="F13231" s="1917"/>
      <c r="G13231" s="1917"/>
      <c r="H13231" s="1917"/>
      <c r="K13231" s="841" t="s">
        <v>3487</v>
      </c>
      <c r="M13231" s="1357"/>
      <c r="Q13231" s="1357"/>
      <c r="S13231" s="1420"/>
      <c r="T13231" s="1420"/>
      <c r="V13231" s="1357">
        <v>285</v>
      </c>
    </row>
    <row r="13232" spans="1:22" s="841" customFormat="1" ht="15" x14ac:dyDescent="0.25">
      <c r="A13232" s="841" t="s">
        <v>210</v>
      </c>
      <c r="E13232" s="1935" t="s">
        <v>3061</v>
      </c>
      <c r="F13232" s="1697"/>
      <c r="G13232" s="1697"/>
      <c r="H13232" s="1697"/>
      <c r="K13232" s="841" t="s">
        <v>3266</v>
      </c>
      <c r="M13232" s="1357"/>
      <c r="Q13232" s="1357"/>
      <c r="S13232" s="1420"/>
      <c r="T13232" s="1420"/>
      <c r="V13232" s="1357">
        <v>11</v>
      </c>
    </row>
    <row r="13233" spans="1:22" s="841" customFormat="1" ht="15" x14ac:dyDescent="0.25">
      <c r="A13233" s="841" t="s">
        <v>210</v>
      </c>
      <c r="E13233" s="1917" t="s">
        <v>3063</v>
      </c>
      <c r="F13233" s="1917"/>
      <c r="G13233" s="1917"/>
      <c r="H13233" s="1917"/>
      <c r="K13233" s="841" t="s">
        <v>3487</v>
      </c>
      <c r="M13233" s="1357"/>
      <c r="Q13233" s="1357"/>
      <c r="S13233" s="1420"/>
      <c r="T13233" s="1420"/>
      <c r="V13233" s="1357">
        <v>280</v>
      </c>
    </row>
    <row r="13234" spans="1:22" s="841" customFormat="1" ht="15" x14ac:dyDescent="0.25">
      <c r="A13234" s="841" t="s">
        <v>210</v>
      </c>
      <c r="E13234" s="1917" t="s">
        <v>4044</v>
      </c>
      <c r="F13234" s="1917"/>
      <c r="G13234" s="1917"/>
      <c r="H13234" s="1917"/>
      <c r="K13234" s="841" t="s">
        <v>3487</v>
      </c>
      <c r="M13234" s="1357"/>
      <c r="Q13234" s="1357"/>
      <c r="S13234" s="1420"/>
      <c r="T13234" s="1420"/>
      <c r="V13234" s="1357">
        <v>411</v>
      </c>
    </row>
    <row r="13235" spans="1:22" s="841" customFormat="1" ht="15" x14ac:dyDescent="0.25">
      <c r="A13235" s="841" t="s">
        <v>210</v>
      </c>
      <c r="E13235" s="1917" t="s">
        <v>4568</v>
      </c>
      <c r="F13235" s="1917"/>
      <c r="G13235" s="1917"/>
      <c r="H13235" s="1917"/>
      <c r="K13235" s="841" t="s">
        <v>3487</v>
      </c>
      <c r="M13235" s="1357"/>
      <c r="Q13235" s="1357"/>
      <c r="S13235" s="1420"/>
      <c r="T13235" s="1420"/>
      <c r="V13235" s="1357">
        <v>212</v>
      </c>
    </row>
    <row r="13236" spans="1:22" s="841" customFormat="1" ht="15" x14ac:dyDescent="0.25">
      <c r="A13236" s="841" t="s">
        <v>210</v>
      </c>
      <c r="E13236" s="1917" t="s">
        <v>4564</v>
      </c>
      <c r="F13236" s="1917"/>
      <c r="G13236" s="1917"/>
      <c r="H13236" s="1917"/>
      <c r="K13236" s="841" t="s">
        <v>3487</v>
      </c>
      <c r="M13236" s="1357"/>
      <c r="Q13236" s="1357"/>
      <c r="S13236" s="1420"/>
      <c r="T13236" s="1420"/>
      <c r="V13236" s="1357">
        <v>266</v>
      </c>
    </row>
    <row r="13237" spans="1:22" s="841" customFormat="1" ht="15" x14ac:dyDescent="0.25">
      <c r="A13237" s="841" t="s">
        <v>210</v>
      </c>
      <c r="E13237" s="2123" t="s">
        <v>3067</v>
      </c>
      <c r="F13237" s="1693"/>
      <c r="G13237" s="1693"/>
      <c r="H13237" s="1693"/>
      <c r="K13237" s="841" t="s">
        <v>3267</v>
      </c>
      <c r="M13237" s="1357"/>
      <c r="Q13237" s="1357"/>
      <c r="S13237" s="1420"/>
      <c r="T13237" s="1420"/>
      <c r="V13237" s="1357">
        <v>46</v>
      </c>
    </row>
    <row r="13238" spans="1:22" s="841" customFormat="1" ht="15" x14ac:dyDescent="0.25">
      <c r="A13238" s="841" t="s">
        <v>210</v>
      </c>
      <c r="E13238" s="1918" t="s">
        <v>357</v>
      </c>
      <c r="F13238" s="1918"/>
      <c r="G13238" s="679" t="s">
        <v>23</v>
      </c>
      <c r="H13238" s="699">
        <v>15.69</v>
      </c>
      <c r="K13238" s="841" t="s">
        <v>3487</v>
      </c>
      <c r="L13238" s="841" t="s">
        <v>442</v>
      </c>
      <c r="M13238" s="1357"/>
      <c r="P13238" s="841" t="s">
        <v>3488</v>
      </c>
      <c r="Q13238" s="1357"/>
      <c r="S13238" s="1420"/>
      <c r="T13238" s="1420"/>
      <c r="V13238" s="1357">
        <v>22</v>
      </c>
    </row>
    <row r="13239" spans="1:22" s="841" customFormat="1" x14ac:dyDescent="0.25">
      <c r="A13239" s="841" t="s">
        <v>210</v>
      </c>
      <c r="E13239" s="702" t="s">
        <v>85</v>
      </c>
      <c r="F13239" s="703"/>
      <c r="G13239" s="703"/>
      <c r="H13239" s="704"/>
      <c r="K13239" s="841" t="s">
        <v>4686</v>
      </c>
      <c r="M13239" s="1357"/>
      <c r="Q13239" s="1357"/>
      <c r="S13239" s="1420"/>
      <c r="T13239" s="1420"/>
      <c r="V13239" s="1357">
        <v>10</v>
      </c>
    </row>
    <row r="13240" spans="1:22" s="841" customFormat="1" ht="15" x14ac:dyDescent="0.25">
      <c r="A13240" s="841" t="s">
        <v>210</v>
      </c>
      <c r="E13240" s="1918" t="s">
        <v>3133</v>
      </c>
      <c r="F13240" s="1918"/>
      <c r="G13240" s="705" t="s">
        <v>33</v>
      </c>
      <c r="H13240" s="681">
        <v>-0.6</v>
      </c>
      <c r="M13240" s="1357"/>
      <c r="Q13240" s="1357"/>
      <c r="S13240" s="1420"/>
      <c r="T13240" s="1420"/>
      <c r="V13240" s="1357">
        <v>68</v>
      </c>
    </row>
    <row r="13241" spans="1:22" s="841" customFormat="1" ht="15" x14ac:dyDescent="0.25">
      <c r="A13241" s="841" t="s">
        <v>210</v>
      </c>
      <c r="E13241" s="1918" t="s">
        <v>3134</v>
      </c>
      <c r="F13241" s="1918"/>
      <c r="G13241" s="705" t="s">
        <v>86</v>
      </c>
      <c r="H13241" s="699">
        <v>-1</v>
      </c>
      <c r="M13241" s="1357"/>
      <c r="Q13241" s="1357"/>
      <c r="S13241" s="1420"/>
      <c r="T13241" s="1420"/>
      <c r="V13241" s="1357">
        <v>87</v>
      </c>
    </row>
    <row r="13242" spans="1:22" s="841" customFormat="1" x14ac:dyDescent="0.25">
      <c r="A13242" s="841" t="s">
        <v>210</v>
      </c>
      <c r="E13242" s="702" t="s">
        <v>87</v>
      </c>
      <c r="F13242" s="703"/>
      <c r="G13242" s="703"/>
      <c r="H13242" s="728"/>
      <c r="K13242" s="841" t="s">
        <v>4687</v>
      </c>
      <c r="M13242" s="1357"/>
      <c r="Q13242" s="1357"/>
      <c r="S13242" s="1420"/>
      <c r="T13242" s="1420"/>
      <c r="V13242" s="1357">
        <v>24</v>
      </c>
    </row>
    <row r="13243" spans="1:22" s="841" customFormat="1" ht="15" x14ac:dyDescent="0.25">
      <c r="A13243" s="841" t="s">
        <v>210</v>
      </c>
      <c r="E13243" s="1979" t="s">
        <v>3061</v>
      </c>
      <c r="F13243" s="1689"/>
      <c r="G13243" s="1689"/>
      <c r="H13243" s="1689"/>
      <c r="M13243" s="1357"/>
      <c r="Q13243" s="1357"/>
      <c r="S13243" s="1420"/>
      <c r="T13243" s="1420"/>
      <c r="V13243" s="1357">
        <v>11</v>
      </c>
    </row>
    <row r="13244" spans="1:22" s="841" customFormat="1" ht="15" x14ac:dyDescent="0.25">
      <c r="A13244" s="841" t="s">
        <v>210</v>
      </c>
      <c r="E13244" s="1945" t="s">
        <v>3063</v>
      </c>
      <c r="F13244" s="1945"/>
      <c r="G13244" s="1945"/>
      <c r="H13244" s="1946"/>
      <c r="M13244" s="1357"/>
      <c r="Q13244" s="1357"/>
      <c r="S13244" s="1420"/>
      <c r="T13244" s="1420"/>
      <c r="V13244" s="1357">
        <v>280</v>
      </c>
    </row>
    <row r="13245" spans="1:22" s="841" customFormat="1" ht="15" x14ac:dyDescent="0.25">
      <c r="A13245" s="841" t="s">
        <v>210</v>
      </c>
      <c r="E13245" s="1945" t="s">
        <v>3136</v>
      </c>
      <c r="F13245" s="1945"/>
      <c r="G13245" s="1945"/>
      <c r="H13245" s="1946"/>
      <c r="M13245" s="1357"/>
      <c r="Q13245" s="1357"/>
      <c r="S13245" s="1420"/>
      <c r="T13245" s="1420"/>
      <c r="V13245" s="1357">
        <v>353</v>
      </c>
    </row>
    <row r="13246" spans="1:22" s="841" customFormat="1" ht="15" x14ac:dyDescent="0.25">
      <c r="A13246" s="841" t="s">
        <v>210</v>
      </c>
      <c r="E13246" s="1945" t="s">
        <v>3390</v>
      </c>
      <c r="F13246" s="1945"/>
      <c r="G13246" s="1945"/>
      <c r="H13246" s="1946"/>
      <c r="M13246" s="1357"/>
      <c r="Q13246" s="1357"/>
      <c r="S13246" s="1420"/>
      <c r="T13246" s="1420"/>
      <c r="V13246" s="1357">
        <v>274</v>
      </c>
    </row>
    <row r="13247" spans="1:22" s="841" customFormat="1" ht="15" x14ac:dyDescent="0.25">
      <c r="A13247" s="841" t="s">
        <v>210</v>
      </c>
      <c r="E13247" s="709" t="s">
        <v>3137</v>
      </c>
      <c r="F13247" s="712"/>
      <c r="G13247" s="712"/>
      <c r="H13247" s="729"/>
      <c r="K13247" s="841" t="s">
        <v>4688</v>
      </c>
      <c r="M13247" s="1357"/>
      <c r="Q13247" s="1357"/>
      <c r="S13247" s="1420"/>
      <c r="T13247" s="1420"/>
      <c r="V13247" s="1357">
        <v>23</v>
      </c>
    </row>
    <row r="13248" spans="1:22" s="841" customFormat="1" ht="15" x14ac:dyDescent="0.25">
      <c r="A13248" s="841" t="s">
        <v>210</v>
      </c>
      <c r="E13248" s="1924" t="s">
        <v>3146</v>
      </c>
      <c r="F13248" s="1688"/>
      <c r="G13248" s="679" t="s">
        <v>23</v>
      </c>
      <c r="H13248" s="699">
        <v>15</v>
      </c>
      <c r="M13248" s="1357"/>
      <c r="Q13248" s="1357"/>
      <c r="S13248" s="1420"/>
      <c r="T13248" s="1420"/>
      <c r="V13248" s="1357">
        <v>19</v>
      </c>
    </row>
    <row r="13249" spans="1:22" s="841" customFormat="1" ht="15" x14ac:dyDescent="0.25">
      <c r="A13249" s="841" t="s">
        <v>210</v>
      </c>
      <c r="E13249" s="1924" t="s">
        <v>3147</v>
      </c>
      <c r="F13249" s="1688"/>
      <c r="G13249" s="679" t="s">
        <v>23</v>
      </c>
      <c r="H13249" s="699">
        <v>15</v>
      </c>
      <c r="M13249" s="1357"/>
      <c r="Q13249" s="1357"/>
      <c r="S13249" s="1420"/>
      <c r="T13249" s="1420"/>
      <c r="V13249" s="1357">
        <v>15</v>
      </c>
    </row>
    <row r="13250" spans="1:22" s="841" customFormat="1" ht="15" x14ac:dyDescent="0.25">
      <c r="A13250" s="841" t="s">
        <v>210</v>
      </c>
      <c r="E13250" s="1924" t="s">
        <v>123</v>
      </c>
      <c r="F13250" s="1688"/>
      <c r="G13250" s="679" t="s">
        <v>23</v>
      </c>
      <c r="H13250" s="699">
        <v>15</v>
      </c>
      <c r="M13250" s="1357"/>
      <c r="Q13250" s="1357"/>
      <c r="S13250" s="1420"/>
      <c r="T13250" s="1420"/>
      <c r="V13250" s="1357">
        <v>35</v>
      </c>
    </row>
    <row r="13251" spans="1:22" s="841" customFormat="1" ht="15" x14ac:dyDescent="0.25">
      <c r="A13251" s="841" t="s">
        <v>210</v>
      </c>
      <c r="E13251" s="1924" t="s">
        <v>3151</v>
      </c>
      <c r="F13251" s="1688"/>
      <c r="G13251" s="679" t="s">
        <v>23</v>
      </c>
      <c r="H13251" s="699">
        <v>15</v>
      </c>
      <c r="M13251" s="1357"/>
      <c r="Q13251" s="1357"/>
      <c r="S13251" s="1420"/>
      <c r="T13251" s="1420"/>
      <c r="V13251" s="1357">
        <v>19</v>
      </c>
    </row>
    <row r="13252" spans="1:22" s="841" customFormat="1" ht="15" x14ac:dyDescent="0.25">
      <c r="A13252" s="841" t="s">
        <v>210</v>
      </c>
      <c r="E13252" s="1924" t="s">
        <v>88</v>
      </c>
      <c r="F13252" s="1688"/>
      <c r="G13252" s="679" t="s">
        <v>23</v>
      </c>
      <c r="H13252" s="699">
        <v>30</v>
      </c>
      <c r="M13252" s="1357"/>
      <c r="Q13252" s="1357"/>
      <c r="S13252" s="1420"/>
      <c r="T13252" s="1420"/>
      <c r="V13252" s="1357">
        <v>89</v>
      </c>
    </row>
    <row r="13253" spans="1:22" s="841" customFormat="1" ht="15" x14ac:dyDescent="0.25">
      <c r="A13253" s="841" t="s">
        <v>210</v>
      </c>
      <c r="E13253" s="1924" t="s">
        <v>94</v>
      </c>
      <c r="F13253" s="1688"/>
      <c r="G13253" s="679" t="s">
        <v>23</v>
      </c>
      <c r="H13253" s="699">
        <v>30</v>
      </c>
      <c r="M13253" s="1357"/>
      <c r="Q13253" s="1357"/>
      <c r="S13253" s="1420"/>
      <c r="T13253" s="1420"/>
      <c r="V13253" s="1357">
        <v>19</v>
      </c>
    </row>
    <row r="13254" spans="1:22" s="841" customFormat="1" ht="15" x14ac:dyDescent="0.25">
      <c r="A13254" s="841" t="s">
        <v>210</v>
      </c>
      <c r="E13254" s="1924" t="s">
        <v>92</v>
      </c>
      <c r="F13254" s="1688"/>
      <c r="G13254" s="679" t="s">
        <v>23</v>
      </c>
      <c r="H13254" s="699">
        <v>30</v>
      </c>
      <c r="M13254" s="1357"/>
      <c r="Q13254" s="1357"/>
      <c r="S13254" s="1420"/>
      <c r="T13254" s="1420"/>
      <c r="V13254" s="1357">
        <v>74</v>
      </c>
    </row>
    <row r="13255" spans="1:22" s="841" customFormat="1" ht="15" x14ac:dyDescent="0.25">
      <c r="A13255" s="841" t="s">
        <v>210</v>
      </c>
      <c r="E13255" s="709" t="s">
        <v>3152</v>
      </c>
      <c r="F13255" s="712"/>
      <c r="G13255" s="712"/>
      <c r="H13255" s="740"/>
      <c r="K13255" s="841" t="s">
        <v>4689</v>
      </c>
      <c r="M13255" s="1357"/>
      <c r="Q13255" s="1357"/>
      <c r="S13255" s="1420"/>
      <c r="T13255" s="1420"/>
      <c r="V13255" s="1357">
        <v>22</v>
      </c>
    </row>
    <row r="13256" spans="1:22" s="841" customFormat="1" ht="15" x14ac:dyDescent="0.25">
      <c r="A13256" s="841" t="s">
        <v>210</v>
      </c>
      <c r="E13256" s="1924" t="s">
        <v>5137</v>
      </c>
      <c r="F13256" s="1924"/>
      <c r="G13256" s="679" t="s">
        <v>86</v>
      </c>
      <c r="H13256" s="699">
        <v>1.5</v>
      </c>
      <c r="M13256" s="1357"/>
      <c r="Q13256" s="1357"/>
      <c r="S13256" s="1420"/>
      <c r="T13256" s="1420"/>
      <c r="V13256" s="1357">
        <v>24</v>
      </c>
    </row>
    <row r="13257" spans="1:22" s="841" customFormat="1" ht="15" x14ac:dyDescent="0.25">
      <c r="A13257" s="841" t="s">
        <v>210</v>
      </c>
      <c r="E13257" s="1924" t="s">
        <v>4772</v>
      </c>
      <c r="F13257" s="1924"/>
      <c r="G13257" s="679" t="s">
        <v>86</v>
      </c>
      <c r="H13257" s="699">
        <v>19.559999999999999</v>
      </c>
      <c r="M13257" s="1357"/>
      <c r="Q13257" s="1357"/>
      <c r="S13257" s="1420"/>
      <c r="T13257" s="1420"/>
      <c r="V13257" s="1357">
        <v>24</v>
      </c>
    </row>
    <row r="13258" spans="1:22" s="841" customFormat="1" ht="15" x14ac:dyDescent="0.25">
      <c r="A13258" s="841" t="s">
        <v>210</v>
      </c>
      <c r="E13258" s="1924" t="s">
        <v>3156</v>
      </c>
      <c r="F13258" s="1924"/>
      <c r="G13258" s="679" t="s">
        <v>23</v>
      </c>
      <c r="H13258" s="699">
        <v>30</v>
      </c>
      <c r="M13258" s="1357"/>
      <c r="Q13258" s="1357"/>
      <c r="S13258" s="1420"/>
      <c r="T13258" s="1420"/>
      <c r="V13258" s="1357">
        <v>79</v>
      </c>
    </row>
    <row r="13259" spans="1:22" s="841" customFormat="1" ht="15" x14ac:dyDescent="0.25">
      <c r="A13259" s="841" t="s">
        <v>210</v>
      </c>
      <c r="E13259" s="1924" t="s">
        <v>4773</v>
      </c>
      <c r="F13259" s="1924"/>
      <c r="G13259" s="679" t="s">
        <v>23</v>
      </c>
      <c r="H13259" s="699">
        <v>65</v>
      </c>
      <c r="M13259" s="1357"/>
      <c r="Q13259" s="1357"/>
      <c r="S13259" s="1420"/>
      <c r="T13259" s="1420"/>
      <c r="V13259" s="1357">
        <v>52</v>
      </c>
    </row>
    <row r="13260" spans="1:22" s="841" customFormat="1" ht="15" x14ac:dyDescent="0.25">
      <c r="A13260" s="841" t="s">
        <v>210</v>
      </c>
      <c r="E13260" s="1924" t="s">
        <v>4774</v>
      </c>
      <c r="F13260" s="1924"/>
      <c r="G13260" s="679" t="s">
        <v>23</v>
      </c>
      <c r="H13260" s="699">
        <v>185</v>
      </c>
      <c r="M13260" s="1357"/>
      <c r="Q13260" s="1357"/>
      <c r="S13260" s="1420"/>
      <c r="T13260" s="1420"/>
      <c r="V13260" s="1357">
        <v>51</v>
      </c>
    </row>
    <row r="13261" spans="1:22" s="841" customFormat="1" ht="15" x14ac:dyDescent="0.25">
      <c r="A13261" s="841" t="s">
        <v>210</v>
      </c>
      <c r="E13261" s="1924" t="s">
        <v>4775</v>
      </c>
      <c r="F13261" s="1924"/>
      <c r="G13261" s="679" t="s">
        <v>23</v>
      </c>
      <c r="H13261" s="699">
        <v>185</v>
      </c>
      <c r="M13261" s="1357"/>
      <c r="Q13261" s="1357"/>
      <c r="S13261" s="1420"/>
      <c r="T13261" s="1420"/>
      <c r="V13261" s="1357">
        <v>51</v>
      </c>
    </row>
    <row r="13262" spans="1:22" s="841" customFormat="1" ht="15" x14ac:dyDescent="0.25">
      <c r="A13262" s="841" t="s">
        <v>210</v>
      </c>
      <c r="E13262" s="1924" t="s">
        <v>4776</v>
      </c>
      <c r="F13262" s="1924"/>
      <c r="G13262" s="679" t="s">
        <v>23</v>
      </c>
      <c r="H13262" s="699">
        <v>415</v>
      </c>
      <c r="M13262" s="1357"/>
      <c r="Q13262" s="1357"/>
      <c r="S13262" s="1420"/>
      <c r="T13262" s="1420"/>
      <c r="V13262" s="1357">
        <v>50</v>
      </c>
    </row>
    <row r="13263" spans="1:22" s="841" customFormat="1" ht="15" x14ac:dyDescent="0.25">
      <c r="A13263" s="841" t="s">
        <v>210</v>
      </c>
      <c r="E13263" s="1924" t="s">
        <v>4777</v>
      </c>
      <c r="F13263" s="1924"/>
      <c r="G13263" s="679" t="s">
        <v>23</v>
      </c>
      <c r="H13263" s="699">
        <v>65</v>
      </c>
      <c r="M13263" s="1357"/>
      <c r="Q13263" s="1357"/>
      <c r="S13263" s="1420"/>
      <c r="T13263" s="1420"/>
      <c r="V13263" s="1357">
        <v>57</v>
      </c>
    </row>
    <row r="13264" spans="1:22" s="841" customFormat="1" ht="15" x14ac:dyDescent="0.25">
      <c r="A13264" s="841" t="s">
        <v>210</v>
      </c>
      <c r="E13264" s="741" t="s">
        <v>3164</v>
      </c>
      <c r="F13264" s="1406"/>
      <c r="G13264" s="742"/>
      <c r="H13264" s="673"/>
      <c r="M13264" s="1357"/>
      <c r="Q13264" s="1357"/>
      <c r="S13264" s="1420"/>
      <c r="T13264" s="1420"/>
      <c r="V13264" s="1357">
        <v>5</v>
      </c>
    </row>
    <row r="13265" spans="1:22" s="841" customFormat="1" ht="15" x14ac:dyDescent="0.25">
      <c r="A13265" s="841" t="s">
        <v>210</v>
      </c>
      <c r="E13265" s="1924" t="s">
        <v>4380</v>
      </c>
      <c r="F13265" s="1924"/>
      <c r="G13265" s="679" t="s">
        <v>23</v>
      </c>
      <c r="H13265" s="699">
        <v>50</v>
      </c>
      <c r="M13265" s="1357"/>
      <c r="Q13265" s="1357"/>
      <c r="S13265" s="1420"/>
      <c r="T13265" s="1420"/>
      <c r="V13265" s="1357">
        <v>50</v>
      </c>
    </row>
    <row r="13266" spans="1:22" s="841" customFormat="1" ht="15" x14ac:dyDescent="0.25">
      <c r="A13266" s="841" t="s">
        <v>210</v>
      </c>
      <c r="E13266" s="1924" t="s">
        <v>3167</v>
      </c>
      <c r="F13266" s="1924"/>
      <c r="G13266" s="679" t="s">
        <v>23</v>
      </c>
      <c r="H13266" s="699">
        <v>30</v>
      </c>
      <c r="M13266" s="1357"/>
      <c r="Q13266" s="1357"/>
      <c r="S13266" s="1420"/>
      <c r="T13266" s="1420"/>
      <c r="V13266" s="1357">
        <v>39</v>
      </c>
    </row>
    <row r="13267" spans="1:22" s="841" customFormat="1" ht="15" x14ac:dyDescent="0.25">
      <c r="A13267" s="841" t="s">
        <v>210</v>
      </c>
      <c r="E13267" s="1924" t="s">
        <v>3614</v>
      </c>
      <c r="F13267" s="1924"/>
      <c r="G13267" s="679" t="s">
        <v>23</v>
      </c>
      <c r="H13267" s="699">
        <v>165</v>
      </c>
      <c r="M13267" s="1357"/>
      <c r="Q13267" s="1357"/>
      <c r="S13267" s="1420"/>
      <c r="T13267" s="1420"/>
      <c r="V13267" s="1357">
        <v>61</v>
      </c>
    </row>
    <row r="13268" spans="1:22" s="841" customFormat="1" ht="15" x14ac:dyDescent="0.25">
      <c r="A13268" s="841" t="s">
        <v>210</v>
      </c>
      <c r="E13268" s="1924" t="s">
        <v>3434</v>
      </c>
      <c r="F13268" s="1924"/>
      <c r="G13268" s="679" t="s">
        <v>23</v>
      </c>
      <c r="H13268" s="699">
        <v>500</v>
      </c>
      <c r="M13268" s="1357"/>
      <c r="Q13268" s="1357"/>
      <c r="S13268" s="1420"/>
      <c r="T13268" s="1420"/>
      <c r="V13268" s="1357">
        <v>64</v>
      </c>
    </row>
    <row r="13269" spans="1:22" s="841" customFormat="1" ht="15" x14ac:dyDescent="0.25">
      <c r="A13269" s="841" t="s">
        <v>210</v>
      </c>
      <c r="E13269" s="1924" t="s">
        <v>3491</v>
      </c>
      <c r="F13269" s="1924"/>
      <c r="G13269" s="679" t="s">
        <v>23</v>
      </c>
      <c r="H13269" s="699">
        <v>22.35</v>
      </c>
      <c r="M13269" s="1357"/>
      <c r="Q13269" s="1357"/>
      <c r="S13269" s="1420"/>
      <c r="T13269" s="1420"/>
      <c r="V13269" s="1357">
        <v>59</v>
      </c>
    </row>
    <row r="13270" spans="1:22" s="841" customFormat="1" ht="15" x14ac:dyDescent="0.25">
      <c r="A13270" s="841" t="s">
        <v>210</v>
      </c>
      <c r="E13270" s="1924" t="s">
        <v>3166</v>
      </c>
      <c r="F13270" s="1688"/>
      <c r="G13270" s="679"/>
      <c r="H13270" s="699"/>
      <c r="M13270" s="1357"/>
      <c r="Q13270" s="1357"/>
      <c r="S13270" s="1420"/>
      <c r="T13270" s="1420"/>
      <c r="V13270" s="1357">
        <v>44</v>
      </c>
    </row>
    <row r="13271" spans="1:22" s="841" customFormat="1" x14ac:dyDescent="0.25">
      <c r="A13271" s="841" t="s">
        <v>210</v>
      </c>
      <c r="E13271" s="702" t="s">
        <v>77</v>
      </c>
      <c r="F13271" s="703"/>
      <c r="G13271" s="703"/>
      <c r="H13271" s="728"/>
      <c r="K13271" s="841" t="s">
        <v>4690</v>
      </c>
      <c r="M13271" s="1357"/>
      <c r="Q13271" s="1357"/>
      <c r="S13271" s="1420"/>
      <c r="T13271" s="1420"/>
      <c r="V13271" s="1357">
        <v>38</v>
      </c>
    </row>
    <row r="13272" spans="1:22" s="841" customFormat="1" ht="15" x14ac:dyDescent="0.25">
      <c r="A13272" s="841" t="s">
        <v>210</v>
      </c>
      <c r="E13272" s="1945" t="s">
        <v>3063</v>
      </c>
      <c r="F13272" s="1945"/>
      <c r="G13272" s="1945"/>
      <c r="H13272" s="1946"/>
      <c r="M13272" s="1357"/>
      <c r="Q13272" s="1357"/>
      <c r="S13272" s="1420"/>
      <c r="T13272" s="1420"/>
      <c r="V13272" s="1357">
        <v>280</v>
      </c>
    </row>
    <row r="13273" spans="1:22" s="841" customFormat="1" ht="15" x14ac:dyDescent="0.25">
      <c r="A13273" s="841" t="s">
        <v>210</v>
      </c>
      <c r="E13273" s="1945" t="s">
        <v>3064</v>
      </c>
      <c r="F13273" s="1945"/>
      <c r="G13273" s="1945"/>
      <c r="H13273" s="1946"/>
      <c r="M13273" s="1357"/>
      <c r="Q13273" s="1357"/>
      <c r="S13273" s="1420"/>
      <c r="T13273" s="1420"/>
      <c r="V13273" s="1357">
        <v>411</v>
      </c>
    </row>
    <row r="13274" spans="1:22" s="841" customFormat="1" ht="15" x14ac:dyDescent="0.25">
      <c r="A13274" s="841" t="s">
        <v>210</v>
      </c>
      <c r="E13274" s="1945" t="s">
        <v>3129</v>
      </c>
      <c r="F13274" s="1945"/>
      <c r="G13274" s="1945"/>
      <c r="H13274" s="1946"/>
      <c r="M13274" s="1357"/>
      <c r="Q13274" s="1357"/>
      <c r="S13274" s="1420"/>
      <c r="T13274" s="1420"/>
      <c r="V13274" s="1357">
        <v>211</v>
      </c>
    </row>
    <row r="13275" spans="1:22" s="841" customFormat="1" ht="15" x14ac:dyDescent="0.25">
      <c r="A13275" s="841" t="s">
        <v>210</v>
      </c>
      <c r="E13275" s="1945" t="s">
        <v>3390</v>
      </c>
      <c r="F13275" s="1945"/>
      <c r="G13275" s="1945"/>
      <c r="H13275" s="1946"/>
      <c r="M13275" s="1357"/>
      <c r="Q13275" s="1357"/>
      <c r="S13275" s="1420"/>
      <c r="T13275" s="1420"/>
      <c r="V13275" s="1357">
        <v>274</v>
      </c>
    </row>
    <row r="13276" spans="1:22" s="841" customFormat="1" ht="15" x14ac:dyDescent="0.25">
      <c r="A13276" s="841" t="s">
        <v>210</v>
      </c>
      <c r="E13276" s="1945" t="s">
        <v>3291</v>
      </c>
      <c r="F13276" s="1945"/>
      <c r="G13276" s="1945"/>
      <c r="H13276" s="1946"/>
      <c r="M13276" s="1357"/>
      <c r="Q13276" s="1357"/>
      <c r="S13276" s="1420"/>
      <c r="T13276" s="1420"/>
      <c r="V13276" s="1357">
        <v>142</v>
      </c>
    </row>
    <row r="13277" spans="1:22" s="841" customFormat="1" ht="15" x14ac:dyDescent="0.25">
      <c r="A13277" s="841" t="s">
        <v>210</v>
      </c>
      <c r="E13277" s="1918" t="s">
        <v>3176</v>
      </c>
      <c r="F13277" s="1918"/>
      <c r="G13277" s="688" t="s">
        <v>23</v>
      </c>
      <c r="H13277" s="689">
        <v>100</v>
      </c>
      <c r="M13277" s="1357"/>
      <c r="Q13277" s="1357"/>
      <c r="S13277" s="1420"/>
      <c r="T13277" s="1420"/>
      <c r="V13277" s="1357">
        <v>106</v>
      </c>
    </row>
    <row r="13278" spans="1:22" s="841" customFormat="1" ht="15" x14ac:dyDescent="0.25">
      <c r="A13278" s="841" t="s">
        <v>210</v>
      </c>
      <c r="E13278" s="1918" t="s">
        <v>5140</v>
      </c>
      <c r="F13278" s="1918"/>
      <c r="G13278" s="688" t="s">
        <v>23</v>
      </c>
      <c r="H13278" s="689">
        <v>20</v>
      </c>
      <c r="M13278" s="1357"/>
      <c r="Q13278" s="1357"/>
      <c r="S13278" s="1420"/>
      <c r="T13278" s="1420"/>
      <c r="V13278" s="1357">
        <v>34</v>
      </c>
    </row>
    <row r="13279" spans="1:22" s="841" customFormat="1" ht="15" x14ac:dyDescent="0.25">
      <c r="A13279" s="841" t="s">
        <v>210</v>
      </c>
      <c r="E13279" s="1918" t="s">
        <v>5141</v>
      </c>
      <c r="F13279" s="1918"/>
      <c r="G13279" s="688" t="s">
        <v>3179</v>
      </c>
      <c r="H13279" s="689">
        <v>0.5</v>
      </c>
      <c r="M13279" s="1357"/>
      <c r="Q13279" s="1357"/>
      <c r="S13279" s="1420"/>
      <c r="T13279" s="1420"/>
      <c r="V13279" s="1357">
        <v>51</v>
      </c>
    </row>
    <row r="13280" spans="1:22" s="841" customFormat="1" ht="15" x14ac:dyDescent="0.25">
      <c r="A13280" s="841" t="s">
        <v>210</v>
      </c>
      <c r="E13280" s="1918" t="s">
        <v>3180</v>
      </c>
      <c r="F13280" s="1918"/>
      <c r="G13280" s="688" t="s">
        <v>3179</v>
      </c>
      <c r="H13280" s="689">
        <v>0.3</v>
      </c>
      <c r="M13280" s="1357"/>
      <c r="Q13280" s="1357"/>
      <c r="S13280" s="1420"/>
      <c r="T13280" s="1420"/>
      <c r="V13280" s="1357">
        <v>75</v>
      </c>
    </row>
    <row r="13281" spans="1:22" s="841" customFormat="1" ht="15" x14ac:dyDescent="0.25">
      <c r="A13281" s="841" t="s">
        <v>210</v>
      </c>
      <c r="E13281" s="1918" t="s">
        <v>3181</v>
      </c>
      <c r="F13281" s="1918"/>
      <c r="G13281" s="688" t="s">
        <v>3179</v>
      </c>
      <c r="H13281" s="689">
        <v>-0.3</v>
      </c>
      <c r="M13281" s="1357"/>
      <c r="Q13281" s="1357"/>
      <c r="S13281" s="1420"/>
      <c r="T13281" s="1420"/>
      <c r="V13281" s="1357">
        <v>72</v>
      </c>
    </row>
    <row r="13282" spans="1:22" s="841" customFormat="1" ht="15" x14ac:dyDescent="0.25">
      <c r="A13282" s="841" t="s">
        <v>210</v>
      </c>
      <c r="E13282" s="1918" t="s">
        <v>3182</v>
      </c>
      <c r="F13282" s="1918"/>
      <c r="G13282" s="730"/>
      <c r="H13282" s="691"/>
      <c r="M13282" s="1357"/>
      <c r="Q13282" s="1357"/>
      <c r="S13282" s="1420"/>
      <c r="T13282" s="1420"/>
      <c r="V13282" s="1357">
        <v>35</v>
      </c>
    </row>
    <row r="13283" spans="1:22" s="841" customFormat="1" ht="15" x14ac:dyDescent="0.25">
      <c r="A13283" s="841" t="s">
        <v>210</v>
      </c>
      <c r="E13283" s="2028" t="s">
        <v>3183</v>
      </c>
      <c r="F13283" s="2028"/>
      <c r="G13283" s="688" t="s">
        <v>23</v>
      </c>
      <c r="H13283" s="689">
        <v>0.25</v>
      </c>
      <c r="M13283" s="1357"/>
      <c r="Q13283" s="1357"/>
      <c r="S13283" s="1420"/>
      <c r="T13283" s="1420"/>
      <c r="V13283" s="1357">
        <v>57</v>
      </c>
    </row>
    <row r="13284" spans="1:22" s="841" customFormat="1" ht="15" x14ac:dyDescent="0.25">
      <c r="A13284" s="841" t="s">
        <v>210</v>
      </c>
      <c r="E13284" s="2028" t="s">
        <v>3184</v>
      </c>
      <c r="F13284" s="2028"/>
      <c r="G13284" s="688" t="s">
        <v>23</v>
      </c>
      <c r="H13284" s="689">
        <v>0.5</v>
      </c>
      <c r="M13284" s="1357"/>
      <c r="Q13284" s="1357"/>
      <c r="S13284" s="1420"/>
      <c r="T13284" s="1420"/>
      <c r="V13284" s="1357">
        <v>60</v>
      </c>
    </row>
    <row r="13285" spans="1:22" s="841" customFormat="1" ht="15" x14ac:dyDescent="0.25">
      <c r="A13285" s="841" t="s">
        <v>210</v>
      </c>
      <c r="E13285" s="1918" t="s">
        <v>3185</v>
      </c>
      <c r="F13285" s="1918"/>
      <c r="G13285" s="730"/>
      <c r="H13285" s="691"/>
      <c r="M13285" s="1357"/>
      <c r="Q13285" s="1357"/>
      <c r="S13285" s="1420"/>
      <c r="T13285" s="1420"/>
      <c r="V13285" s="1357">
        <v>91</v>
      </c>
    </row>
    <row r="13286" spans="1:22" s="841" customFormat="1" ht="15" x14ac:dyDescent="0.25">
      <c r="A13286" s="841" t="s">
        <v>210</v>
      </c>
      <c r="E13286" s="1918" t="s">
        <v>3186</v>
      </c>
      <c r="F13286" s="1918"/>
      <c r="G13286" s="730"/>
      <c r="H13286" s="691"/>
      <c r="M13286" s="1357"/>
      <c r="Q13286" s="1357"/>
      <c r="S13286" s="1420"/>
      <c r="T13286" s="1420"/>
      <c r="V13286" s="1357">
        <v>96</v>
      </c>
    </row>
    <row r="13287" spans="1:22" s="841" customFormat="1" ht="15" x14ac:dyDescent="0.25">
      <c r="A13287" s="841" t="s">
        <v>210</v>
      </c>
      <c r="E13287" s="1918" t="s">
        <v>3187</v>
      </c>
      <c r="F13287" s="1918"/>
      <c r="G13287" s="730"/>
      <c r="H13287" s="691"/>
      <c r="M13287" s="1357"/>
      <c r="Q13287" s="1357"/>
      <c r="S13287" s="1420"/>
      <c r="T13287" s="1420"/>
      <c r="V13287" s="1357">
        <v>78</v>
      </c>
    </row>
    <row r="13288" spans="1:22" s="841" customFormat="1" ht="15" x14ac:dyDescent="0.25">
      <c r="A13288" s="841" t="s">
        <v>210</v>
      </c>
      <c r="E13288" s="2028" t="s">
        <v>3188</v>
      </c>
      <c r="F13288" s="2028"/>
      <c r="G13288" s="688" t="s">
        <v>23</v>
      </c>
      <c r="H13288" s="689" t="s">
        <v>3189</v>
      </c>
      <c r="M13288" s="1357"/>
      <c r="Q13288" s="1357"/>
      <c r="S13288" s="1420"/>
      <c r="T13288" s="1420"/>
      <c r="V13288" s="1357">
        <v>18</v>
      </c>
    </row>
    <row r="13289" spans="1:22" s="841" customFormat="1" ht="15" x14ac:dyDescent="0.25">
      <c r="A13289" s="841" t="s">
        <v>210</v>
      </c>
      <c r="E13289" s="2028" t="s">
        <v>3190</v>
      </c>
      <c r="F13289" s="2028"/>
      <c r="G13289" s="688" t="s">
        <v>23</v>
      </c>
      <c r="H13289" s="689">
        <v>2</v>
      </c>
      <c r="M13289" s="1357"/>
      <c r="Q13289" s="1357"/>
      <c r="S13289" s="1420"/>
      <c r="T13289" s="1420"/>
      <c r="V13289" s="1357">
        <v>69</v>
      </c>
    </row>
    <row r="13290" spans="1:22" s="841" customFormat="1" x14ac:dyDescent="0.25">
      <c r="A13290" s="841" t="s">
        <v>210</v>
      </c>
      <c r="E13290" s="702" t="s">
        <v>147</v>
      </c>
      <c r="F13290" s="703"/>
      <c r="G13290" s="703"/>
      <c r="H13290" s="728"/>
      <c r="K13290" s="841" t="s">
        <v>4691</v>
      </c>
      <c r="M13290" s="1357"/>
      <c r="Q13290" s="1357"/>
      <c r="S13290" s="1420"/>
      <c r="T13290" s="1420"/>
      <c r="V13290" s="1357">
        <v>12</v>
      </c>
    </row>
    <row r="13291" spans="1:22" s="841" customFormat="1" ht="15" x14ac:dyDescent="0.25">
      <c r="A13291" s="841" t="s">
        <v>210</v>
      </c>
      <c r="E13291" s="1938" t="s">
        <v>3192</v>
      </c>
      <c r="F13291" s="1938"/>
      <c r="G13291" s="1938"/>
      <c r="H13291" s="2105"/>
      <c r="M13291" s="1357"/>
      <c r="Q13291" s="1357"/>
      <c r="S13291" s="1420"/>
      <c r="T13291" s="1420"/>
      <c r="V13291" s="1357">
        <v>203</v>
      </c>
    </row>
    <row r="13292" spans="1:22" s="841" customFormat="1" ht="15" x14ac:dyDescent="0.25">
      <c r="A13292" s="841" t="s">
        <v>210</v>
      </c>
      <c r="E13292" s="1918" t="s">
        <v>3295</v>
      </c>
      <c r="F13292" s="1918"/>
      <c r="G13292" s="700"/>
      <c r="H13292" s="676">
        <v>1.0656000000000001</v>
      </c>
      <c r="M13292" s="1357"/>
      <c r="Q13292" s="1357"/>
      <c r="S13292" s="1420"/>
      <c r="T13292" s="1420"/>
      <c r="V13292" s="1357">
        <v>57</v>
      </c>
    </row>
    <row r="13293" spans="1:22" s="841" customFormat="1" ht="15" x14ac:dyDescent="0.25">
      <c r="A13293" s="841" t="s">
        <v>210</v>
      </c>
      <c r="E13293" s="1918" t="s">
        <v>3297</v>
      </c>
      <c r="F13293" s="1918"/>
      <c r="G13293" s="700"/>
      <c r="H13293" s="676">
        <v>1.0548999999999999</v>
      </c>
      <c r="J13293" s="841" t="s">
        <v>4692</v>
      </c>
      <c r="M13293" s="1357"/>
      <c r="Q13293" s="1357"/>
      <c r="S13293" s="1420"/>
      <c r="T13293" s="1420"/>
      <c r="V13293" s="1357">
        <v>55</v>
      </c>
    </row>
    <row r="13294" spans="1:22" s="841" customFormat="1" ht="23.25" x14ac:dyDescent="0.25">
      <c r="A13294" s="841" t="s">
        <v>196</v>
      </c>
      <c r="C13294" s="841" t="s">
        <v>3050</v>
      </c>
      <c r="E13294" s="1911" t="s">
        <v>196</v>
      </c>
      <c r="F13294" s="1911"/>
      <c r="G13294" s="1911"/>
      <c r="H13294" s="1911"/>
      <c r="I13294" s="841" t="s">
        <v>628</v>
      </c>
      <c r="J13294" s="841" t="s">
        <v>4693</v>
      </c>
      <c r="K13294" s="841" t="s">
        <v>196</v>
      </c>
      <c r="M13294" s="1357">
        <v>9</v>
      </c>
      <c r="Q13294" s="1357"/>
      <c r="S13294" s="1420"/>
      <c r="T13294" s="1420"/>
      <c r="V13294" s="1357">
        <v>28</v>
      </c>
    </row>
    <row r="13295" spans="1:22" s="841" customFormat="1" x14ac:dyDescent="0.25">
      <c r="A13295" s="841" t="s">
        <v>196</v>
      </c>
      <c r="C13295" s="841" t="s">
        <v>3052</v>
      </c>
      <c r="E13295" s="1912" t="s">
        <v>3053</v>
      </c>
      <c r="F13295" s="1912"/>
      <c r="G13295" s="1912"/>
      <c r="H13295" s="1912"/>
      <c r="M13295" s="1357"/>
      <c r="Q13295" s="1357"/>
      <c r="S13295" s="1420"/>
      <c r="T13295" s="1420"/>
      <c r="V13295" s="1357">
        <v>27</v>
      </c>
    </row>
    <row r="13296" spans="1:22" s="841" customFormat="1" ht="15.75" x14ac:dyDescent="0.25">
      <c r="A13296" s="841" t="s">
        <v>196</v>
      </c>
      <c r="C13296" s="841" t="s">
        <v>3054</v>
      </c>
      <c r="E13296" s="1913" t="s">
        <v>5107</v>
      </c>
      <c r="F13296" s="1913"/>
      <c r="G13296" s="1913"/>
      <c r="H13296" s="1913"/>
      <c r="M13296" s="1357"/>
      <c r="Q13296" s="1357"/>
      <c r="S13296" s="1420">
        <v>43221</v>
      </c>
      <c r="T13296" s="1420"/>
      <c r="V13296" s="1357">
        <v>45</v>
      </c>
    </row>
    <row r="13297" spans="1:22" s="841" customFormat="1" ht="15" x14ac:dyDescent="0.25">
      <c r="A13297" s="841" t="s">
        <v>196</v>
      </c>
      <c r="C13297" s="841" t="s">
        <v>3055</v>
      </c>
      <c r="E13297" s="1914" t="s">
        <v>3056</v>
      </c>
      <c r="F13297" s="1914"/>
      <c r="G13297" s="1914"/>
      <c r="H13297" s="1914"/>
      <c r="M13297" s="1357"/>
      <c r="Q13297" s="1357"/>
      <c r="S13297" s="1420"/>
      <c r="T13297" s="1420"/>
      <c r="V13297" s="1357">
        <v>52</v>
      </c>
    </row>
    <row r="13298" spans="1:22" s="841" customFormat="1" ht="15" x14ac:dyDescent="0.25">
      <c r="A13298" s="841" t="s">
        <v>196</v>
      </c>
      <c r="E13298" s="1914" t="s">
        <v>3057</v>
      </c>
      <c r="F13298" s="1914"/>
      <c r="G13298" s="1914"/>
      <c r="H13298" s="1914"/>
      <c r="M13298" s="1357"/>
      <c r="Q13298" s="1357"/>
      <c r="S13298" s="1420"/>
      <c r="T13298" s="1420"/>
      <c r="V13298" s="1357">
        <v>53</v>
      </c>
    </row>
    <row r="13299" spans="1:22" s="841" customFormat="1" ht="15" x14ac:dyDescent="0.25">
      <c r="A13299" s="841" t="s">
        <v>196</v>
      </c>
      <c r="E13299" s="1925" t="s">
        <v>5913</v>
      </c>
      <c r="F13299" s="1925"/>
      <c r="G13299" s="1925"/>
      <c r="H13299" s="1925"/>
      <c r="K13299" s="841" t="s">
        <v>5913</v>
      </c>
      <c r="M13299" s="1357"/>
      <c r="Q13299" s="1357"/>
      <c r="S13299" s="1420"/>
      <c r="T13299" s="1420"/>
      <c r="V13299" s="1357">
        <v>12</v>
      </c>
    </row>
    <row r="13300" spans="1:22" s="841" customFormat="1" ht="15" x14ac:dyDescent="0.25">
      <c r="A13300" s="841" t="s">
        <v>196</v>
      </c>
      <c r="E13300" s="1909" t="s">
        <v>438</v>
      </c>
      <c r="F13300" s="1697"/>
      <c r="G13300" s="1697"/>
      <c r="H13300" s="1697"/>
      <c r="K13300" s="841" t="s">
        <v>3197</v>
      </c>
      <c r="M13300" s="1357"/>
      <c r="Q13300" s="1357"/>
      <c r="S13300" s="1420"/>
      <c r="T13300" s="1420"/>
      <c r="V13300" s="1357">
        <v>34</v>
      </c>
    </row>
    <row r="13301" spans="1:22" s="841" customFormat="1" ht="15" x14ac:dyDescent="0.25">
      <c r="A13301" s="841" t="s">
        <v>196</v>
      </c>
      <c r="E13301" s="1689" t="s">
        <v>4694</v>
      </c>
      <c r="F13301" s="1689"/>
      <c r="G13301" s="1689"/>
      <c r="H13301" s="1689"/>
      <c r="K13301" s="841" t="s">
        <v>3197</v>
      </c>
      <c r="M13301" s="1357"/>
      <c r="Q13301" s="1357"/>
      <c r="S13301" s="1420"/>
      <c r="T13301" s="1420"/>
      <c r="V13301" s="1357">
        <v>263</v>
      </c>
    </row>
    <row r="13302" spans="1:22" s="841" customFormat="1" ht="15" x14ac:dyDescent="0.25">
      <c r="A13302" s="841" t="s">
        <v>196</v>
      </c>
      <c r="E13302" s="1916" t="s">
        <v>3061</v>
      </c>
      <c r="F13302" s="1697"/>
      <c r="G13302" s="1697"/>
      <c r="H13302" s="1697"/>
      <c r="K13302" s="841" t="s">
        <v>3062</v>
      </c>
      <c r="M13302" s="1357"/>
      <c r="Q13302" s="1357"/>
      <c r="S13302" s="1420"/>
      <c r="T13302" s="1420"/>
      <c r="V13302" s="1357">
        <v>11</v>
      </c>
    </row>
    <row r="13303" spans="1:22" s="841" customFormat="1" ht="15" x14ac:dyDescent="0.25">
      <c r="A13303" s="841" t="s">
        <v>196</v>
      </c>
      <c r="E13303" s="1689" t="s">
        <v>3063</v>
      </c>
      <c r="F13303" s="1689"/>
      <c r="G13303" s="1689"/>
      <c r="H13303" s="1689"/>
      <c r="K13303" s="841" t="s">
        <v>3197</v>
      </c>
      <c r="M13303" s="1357"/>
      <c r="Q13303" s="1357"/>
      <c r="S13303" s="1420"/>
      <c r="T13303" s="1420"/>
      <c r="V13303" s="1357">
        <v>280</v>
      </c>
    </row>
    <row r="13304" spans="1:22" s="841" customFormat="1" ht="15" x14ac:dyDescent="0.25">
      <c r="A13304" s="841" t="s">
        <v>196</v>
      </c>
      <c r="E13304" s="1689" t="s">
        <v>3064</v>
      </c>
      <c r="F13304" s="1689"/>
      <c r="G13304" s="1689"/>
      <c r="H13304" s="1689"/>
      <c r="K13304" s="841" t="s">
        <v>3197</v>
      </c>
      <c r="M13304" s="1357"/>
      <c r="Q13304" s="1357"/>
      <c r="S13304" s="1420"/>
      <c r="T13304" s="1420"/>
      <c r="V13304" s="1357">
        <v>411</v>
      </c>
    </row>
    <row r="13305" spans="1:22" s="841" customFormat="1" ht="15" x14ac:dyDescent="0.25">
      <c r="A13305" s="841" t="s">
        <v>196</v>
      </c>
      <c r="E13305" s="1689" t="s">
        <v>3065</v>
      </c>
      <c r="F13305" s="1689"/>
      <c r="G13305" s="1689"/>
      <c r="H13305" s="1689"/>
      <c r="K13305" s="841" t="s">
        <v>3197</v>
      </c>
      <c r="M13305" s="1357"/>
      <c r="Q13305" s="1357"/>
      <c r="S13305" s="1420"/>
      <c r="T13305" s="1420"/>
      <c r="V13305" s="1357">
        <v>387</v>
      </c>
    </row>
    <row r="13306" spans="1:22" s="841" customFormat="1" ht="15" x14ac:dyDescent="0.25">
      <c r="A13306" s="841" t="s">
        <v>196</v>
      </c>
      <c r="E13306" s="1689" t="s">
        <v>3200</v>
      </c>
      <c r="F13306" s="1689"/>
      <c r="G13306" s="1689"/>
      <c r="H13306" s="1689"/>
      <c r="K13306" s="841" t="s">
        <v>3197</v>
      </c>
      <c r="M13306" s="1357"/>
      <c r="Q13306" s="1357"/>
      <c r="S13306" s="1420"/>
      <c r="T13306" s="1420"/>
      <c r="V13306" s="1357">
        <v>275</v>
      </c>
    </row>
    <row r="13307" spans="1:22" s="841" customFormat="1" ht="15" x14ac:dyDescent="0.25">
      <c r="A13307" s="841" t="s">
        <v>196</v>
      </c>
      <c r="E13307" s="1694" t="s">
        <v>3067</v>
      </c>
      <c r="F13307" s="1907"/>
      <c r="G13307" s="1907"/>
      <c r="H13307" s="1907"/>
      <c r="K13307" s="841" t="s">
        <v>3068</v>
      </c>
      <c r="M13307" s="1357"/>
      <c r="Q13307" s="1357"/>
      <c r="S13307" s="1420"/>
      <c r="T13307" s="1420"/>
      <c r="V13307" s="1357">
        <v>46</v>
      </c>
    </row>
    <row r="13308" spans="1:22" s="841" customFormat="1" ht="15" x14ac:dyDescent="0.25">
      <c r="A13308" s="841" t="s">
        <v>196</v>
      </c>
      <c r="E13308" s="1690" t="s">
        <v>11</v>
      </c>
      <c r="F13308" s="1690"/>
      <c r="G13308" s="1408" t="s">
        <v>23</v>
      </c>
      <c r="H13308" s="391">
        <v>29.57</v>
      </c>
      <c r="K13308" s="841" t="s">
        <v>3197</v>
      </c>
      <c r="L13308" s="841" t="s">
        <v>442</v>
      </c>
      <c r="M13308" s="1357"/>
      <c r="P13308" s="841" t="s">
        <v>3201</v>
      </c>
      <c r="Q13308" s="1357"/>
      <c r="S13308" s="1420"/>
      <c r="T13308" s="1420"/>
      <c r="V13308" s="1357">
        <v>14</v>
      </c>
    </row>
    <row r="13309" spans="1:22" s="841" customFormat="1" ht="15" x14ac:dyDescent="0.25">
      <c r="A13309" s="841" t="s">
        <v>196</v>
      </c>
      <c r="E13309" s="1690" t="s">
        <v>5109</v>
      </c>
      <c r="F13309" s="1690"/>
      <c r="G13309" s="1408" t="s">
        <v>23</v>
      </c>
      <c r="H13309" s="391">
        <v>0.56999999999999995</v>
      </c>
      <c r="K13309" s="841" t="s">
        <v>3197</v>
      </c>
      <c r="L13309" s="841" t="s">
        <v>443</v>
      </c>
      <c r="M13309" s="1357"/>
      <c r="P13309" s="841" t="s">
        <v>3202</v>
      </c>
      <c r="Q13309" s="1357"/>
      <c r="S13309" s="1420"/>
      <c r="T13309" s="1420">
        <v>44926</v>
      </c>
      <c r="V13309" s="1357">
        <v>64</v>
      </c>
    </row>
    <row r="13310" spans="1:22" s="841" customFormat="1" ht="15" x14ac:dyDescent="0.25">
      <c r="A13310" s="841" t="s">
        <v>196</v>
      </c>
      <c r="E13310" s="1690" t="s">
        <v>84</v>
      </c>
      <c r="F13310" s="1690"/>
      <c r="G13310" s="1408" t="s">
        <v>24</v>
      </c>
      <c r="H13310" s="393">
        <v>5.7999999999999996E-3</v>
      </c>
      <c r="K13310" s="841" t="s">
        <v>3197</v>
      </c>
      <c r="L13310" s="841" t="s">
        <v>442</v>
      </c>
      <c r="M13310" s="1357"/>
      <c r="P13310" s="841" t="s">
        <v>3203</v>
      </c>
      <c r="Q13310" s="1357"/>
      <c r="S13310" s="1420"/>
      <c r="T13310" s="1420"/>
      <c r="V13310" s="1357">
        <v>28</v>
      </c>
    </row>
    <row r="13311" spans="1:22" s="841" customFormat="1" ht="15" x14ac:dyDescent="0.25">
      <c r="A13311" s="841" t="s">
        <v>196</v>
      </c>
      <c r="E13311" s="1690" t="s">
        <v>5130</v>
      </c>
      <c r="F13311" s="1908"/>
      <c r="G13311" s="1408" t="s">
        <v>24</v>
      </c>
      <c r="H13311" s="393">
        <v>-3.2000000000000002E-3</v>
      </c>
      <c r="K13311" s="841" t="s">
        <v>3197</v>
      </c>
      <c r="L13311" s="841" t="s">
        <v>443</v>
      </c>
      <c r="M13311" s="1357"/>
      <c r="P13311" s="841" t="s">
        <v>3207</v>
      </c>
      <c r="Q13311" s="1357"/>
      <c r="S13311" s="1420"/>
      <c r="T13311" s="1420">
        <v>43585</v>
      </c>
      <c r="V13311" s="1357">
        <v>96</v>
      </c>
    </row>
    <row r="13312" spans="1:22" s="841" customFormat="1" ht="15" x14ac:dyDescent="0.25">
      <c r="A13312" s="841" t="s">
        <v>196</v>
      </c>
      <c r="E13312" s="1690" t="s">
        <v>221</v>
      </c>
      <c r="F13312" s="1690"/>
      <c r="G13312" s="1408" t="s">
        <v>24</v>
      </c>
      <c r="H13312" s="393">
        <v>6.7000000000000002E-3</v>
      </c>
      <c r="K13312" s="841" t="s">
        <v>3197</v>
      </c>
      <c r="L13312" s="841" t="s">
        <v>444</v>
      </c>
      <c r="M13312" s="1357"/>
      <c r="P13312" s="841" t="s">
        <v>3208</v>
      </c>
      <c r="Q13312" s="1357"/>
      <c r="S13312" s="1420"/>
      <c r="T13312" s="1420"/>
      <c r="V13312" s="1357">
        <v>47</v>
      </c>
    </row>
    <row r="13313" spans="1:22" s="841" customFormat="1" ht="15" x14ac:dyDescent="0.25">
      <c r="A13313" s="841" t="s">
        <v>196</v>
      </c>
      <c r="E13313" s="1690" t="s">
        <v>217</v>
      </c>
      <c r="F13313" s="1690"/>
      <c r="G13313" s="1408" t="s">
        <v>24</v>
      </c>
      <c r="H13313" s="393">
        <v>6.6E-3</v>
      </c>
      <c r="K13313" s="841" t="s">
        <v>3197</v>
      </c>
      <c r="L13313" s="841" t="s">
        <v>444</v>
      </c>
      <c r="M13313" s="1357"/>
      <c r="P13313" s="841" t="s">
        <v>3209</v>
      </c>
      <c r="Q13313" s="1357"/>
      <c r="S13313" s="1420"/>
      <c r="T13313" s="1420"/>
      <c r="V13313" s="1357">
        <v>74</v>
      </c>
    </row>
    <row r="13314" spans="1:22" s="841" customFormat="1" ht="15" x14ac:dyDescent="0.25">
      <c r="A13314" s="841" t="s">
        <v>196</v>
      </c>
      <c r="E13314" s="1694" t="s">
        <v>3079</v>
      </c>
      <c r="F13314" s="1690"/>
      <c r="G13314" s="1408"/>
      <c r="H13314" s="1408"/>
      <c r="K13314" s="841" t="s">
        <v>3080</v>
      </c>
      <c r="M13314" s="1357"/>
      <c r="Q13314" s="1357"/>
      <c r="S13314" s="1420"/>
      <c r="T13314" s="1420"/>
      <c r="V13314" s="1357">
        <v>48</v>
      </c>
    </row>
    <row r="13315" spans="1:22" s="841" customFormat="1" ht="15" x14ac:dyDescent="0.25">
      <c r="A13315" s="841" t="s">
        <v>196</v>
      </c>
      <c r="E13315" s="1690" t="s">
        <v>2449</v>
      </c>
      <c r="F13315" s="1690"/>
      <c r="G13315" s="1408" t="s">
        <v>24</v>
      </c>
      <c r="H13315" s="393">
        <v>3.2000000000000002E-3</v>
      </c>
      <c r="K13315" s="841" t="s">
        <v>3197</v>
      </c>
      <c r="L13315" s="841" t="s">
        <v>3046</v>
      </c>
      <c r="M13315" s="1357"/>
      <c r="P13315" s="841" t="s">
        <v>3210</v>
      </c>
      <c r="Q13315" s="1357"/>
      <c r="S13315" s="1420"/>
      <c r="T13315" s="1420"/>
      <c r="V13315" s="1357">
        <v>55</v>
      </c>
    </row>
    <row r="13316" spans="1:22" s="841" customFormat="1" ht="15" x14ac:dyDescent="0.25">
      <c r="A13316" s="841" t="s">
        <v>196</v>
      </c>
      <c r="E13316" s="1690" t="s">
        <v>2450</v>
      </c>
      <c r="F13316" s="1690"/>
      <c r="G13316" s="1408" t="s">
        <v>24</v>
      </c>
      <c r="H13316" s="393">
        <v>4.0000000000000002E-4</v>
      </c>
      <c r="K13316" s="841" t="s">
        <v>3197</v>
      </c>
      <c r="L13316" s="841" t="s">
        <v>3046</v>
      </c>
      <c r="M13316" s="1357"/>
      <c r="P13316" s="841" t="s">
        <v>3210</v>
      </c>
      <c r="Q13316" s="1357"/>
      <c r="S13316" s="1420"/>
      <c r="T13316" s="1420"/>
      <c r="V13316" s="1357">
        <v>65</v>
      </c>
    </row>
    <row r="13317" spans="1:22" s="841" customFormat="1" ht="15" x14ac:dyDescent="0.25">
      <c r="A13317" s="841" t="s">
        <v>196</v>
      </c>
      <c r="E13317" s="1690" t="s">
        <v>439</v>
      </c>
      <c r="F13317" s="1690"/>
      <c r="G13317" s="1408" t="s">
        <v>24</v>
      </c>
      <c r="H13317" s="393">
        <v>2.9999999999999997E-4</v>
      </c>
      <c r="K13317" s="841" t="s">
        <v>3197</v>
      </c>
      <c r="L13317" s="841" t="s">
        <v>3046</v>
      </c>
      <c r="M13317" s="1357"/>
      <c r="P13317" s="841" t="s">
        <v>3212</v>
      </c>
      <c r="Q13317" s="1357"/>
      <c r="S13317" s="1420"/>
      <c r="T13317" s="1420"/>
      <c r="V13317" s="1357">
        <v>57</v>
      </c>
    </row>
    <row r="13318" spans="1:22" s="841" customFormat="1" ht="15" x14ac:dyDescent="0.25">
      <c r="A13318" s="841" t="s">
        <v>196</v>
      </c>
      <c r="E13318" s="1690" t="s">
        <v>32</v>
      </c>
      <c r="F13318" s="1690"/>
      <c r="G13318" s="1408" t="s">
        <v>23</v>
      </c>
      <c r="H13318" s="391">
        <v>0.25</v>
      </c>
      <c r="K13318" s="841" t="s">
        <v>3197</v>
      </c>
      <c r="L13318" s="841" t="s">
        <v>3046</v>
      </c>
      <c r="M13318" s="1357"/>
      <c r="P13318" s="841" t="s">
        <v>3213</v>
      </c>
      <c r="Q13318" s="1357"/>
      <c r="S13318" s="1420"/>
      <c r="T13318" s="1420"/>
      <c r="V13318" s="1357">
        <v>63</v>
      </c>
    </row>
    <row r="13319" spans="1:22" s="841" customFormat="1" x14ac:dyDescent="0.25">
      <c r="A13319" s="841" t="s">
        <v>196</v>
      </c>
      <c r="E13319" s="1909" t="s">
        <v>3214</v>
      </c>
      <c r="F13319" s="1915"/>
      <c r="G13319" s="1915"/>
      <c r="H13319" s="1915"/>
      <c r="K13319" s="841" t="s">
        <v>5110</v>
      </c>
      <c r="M13319" s="1357"/>
      <c r="Q13319" s="1357"/>
      <c r="S13319" s="1420"/>
      <c r="T13319" s="1420"/>
      <c r="V13319" s="1357">
        <v>54</v>
      </c>
    </row>
    <row r="13320" spans="1:22" s="841" customFormat="1" ht="15" x14ac:dyDescent="0.25">
      <c r="A13320" s="841" t="s">
        <v>196</v>
      </c>
      <c r="E13320" s="1689" t="s">
        <v>4695</v>
      </c>
      <c r="F13320" s="1689"/>
      <c r="G13320" s="1689"/>
      <c r="H13320" s="1689"/>
      <c r="K13320" s="841" t="s">
        <v>5110</v>
      </c>
      <c r="M13320" s="1357"/>
      <c r="Q13320" s="1357"/>
      <c r="S13320" s="1420"/>
      <c r="T13320" s="1420"/>
      <c r="V13320" s="1357">
        <v>560</v>
      </c>
    </row>
    <row r="13321" spans="1:22" s="841" customFormat="1" ht="15" x14ac:dyDescent="0.25">
      <c r="A13321" s="841" t="s">
        <v>196</v>
      </c>
      <c r="E13321" s="1916" t="s">
        <v>3061</v>
      </c>
      <c r="F13321" s="1697"/>
      <c r="G13321" s="1697"/>
      <c r="H13321" s="1697"/>
      <c r="K13321" s="841" t="s">
        <v>3086</v>
      </c>
      <c r="M13321" s="1357"/>
      <c r="Q13321" s="1357"/>
      <c r="S13321" s="1420"/>
      <c r="T13321" s="1420"/>
      <c r="V13321" s="1357">
        <v>11</v>
      </c>
    </row>
    <row r="13322" spans="1:22" s="841" customFormat="1" ht="15" x14ac:dyDescent="0.25">
      <c r="A13322" s="841" t="s">
        <v>196</v>
      </c>
      <c r="E13322" s="1689" t="s">
        <v>3063</v>
      </c>
      <c r="F13322" s="1689"/>
      <c r="G13322" s="1689"/>
      <c r="H13322" s="1689"/>
      <c r="K13322" s="841" t="s">
        <v>5110</v>
      </c>
      <c r="M13322" s="1357"/>
      <c r="Q13322" s="1357"/>
      <c r="S13322" s="1420"/>
      <c r="T13322" s="1420"/>
      <c r="V13322" s="1357">
        <v>280</v>
      </c>
    </row>
    <row r="13323" spans="1:22" s="841" customFormat="1" ht="15" x14ac:dyDescent="0.25">
      <c r="A13323" s="841" t="s">
        <v>196</v>
      </c>
      <c r="E13323" s="1689" t="s">
        <v>3064</v>
      </c>
      <c r="F13323" s="1689"/>
      <c r="G13323" s="1689"/>
      <c r="H13323" s="1689"/>
      <c r="K13323" s="841" t="s">
        <v>5110</v>
      </c>
      <c r="M13323" s="1357"/>
      <c r="Q13323" s="1357"/>
      <c r="S13323" s="1420"/>
      <c r="T13323" s="1420"/>
      <c r="V13323" s="1357">
        <v>411</v>
      </c>
    </row>
    <row r="13324" spans="1:22" s="841" customFormat="1" ht="15" x14ac:dyDescent="0.25">
      <c r="A13324" s="841" t="s">
        <v>196</v>
      </c>
      <c r="E13324" s="1689" t="s">
        <v>3065</v>
      </c>
      <c r="F13324" s="1689"/>
      <c r="G13324" s="1689"/>
      <c r="H13324" s="1689"/>
      <c r="K13324" s="841" t="s">
        <v>5110</v>
      </c>
      <c r="M13324" s="1357"/>
      <c r="Q13324" s="1357"/>
      <c r="S13324" s="1420"/>
      <c r="T13324" s="1420"/>
      <c r="V13324" s="1357">
        <v>387</v>
      </c>
    </row>
    <row r="13325" spans="1:22" s="841" customFormat="1" ht="15" x14ac:dyDescent="0.25">
      <c r="A13325" s="841" t="s">
        <v>196</v>
      </c>
      <c r="E13325" s="1689" t="s">
        <v>3200</v>
      </c>
      <c r="F13325" s="1689"/>
      <c r="G13325" s="1689"/>
      <c r="H13325" s="1689"/>
      <c r="K13325" s="841" t="s">
        <v>5110</v>
      </c>
      <c r="M13325" s="1357"/>
      <c r="Q13325" s="1357"/>
      <c r="S13325" s="1420"/>
      <c r="T13325" s="1420"/>
      <c r="V13325" s="1357">
        <v>275</v>
      </c>
    </row>
    <row r="13326" spans="1:22" s="841" customFormat="1" ht="15" x14ac:dyDescent="0.25">
      <c r="A13326" s="841" t="s">
        <v>196</v>
      </c>
      <c r="E13326" s="1694" t="s">
        <v>3067</v>
      </c>
      <c r="F13326" s="1907"/>
      <c r="G13326" s="1907"/>
      <c r="H13326" s="1907"/>
      <c r="K13326" s="841" t="s">
        <v>3087</v>
      </c>
      <c r="M13326" s="1357"/>
      <c r="Q13326" s="1357"/>
      <c r="S13326" s="1420"/>
      <c r="T13326" s="1420"/>
      <c r="V13326" s="1357">
        <v>46</v>
      </c>
    </row>
    <row r="13327" spans="1:22" s="841" customFormat="1" ht="15" x14ac:dyDescent="0.25">
      <c r="A13327" s="841" t="s">
        <v>196</v>
      </c>
      <c r="E13327" s="1690" t="s">
        <v>11</v>
      </c>
      <c r="F13327" s="1690"/>
      <c r="G13327" s="1408" t="s">
        <v>23</v>
      </c>
      <c r="H13327" s="391">
        <v>32.36</v>
      </c>
      <c r="K13327" s="841" t="s">
        <v>5110</v>
      </c>
      <c r="L13327" s="841" t="s">
        <v>442</v>
      </c>
      <c r="M13327" s="1357"/>
      <c r="P13327" s="841" t="s">
        <v>5111</v>
      </c>
      <c r="Q13327" s="1357"/>
      <c r="S13327" s="1420"/>
      <c r="T13327" s="1420"/>
      <c r="V13327" s="1357">
        <v>14</v>
      </c>
    </row>
    <row r="13328" spans="1:22" s="841" customFormat="1" ht="15" x14ac:dyDescent="0.25">
      <c r="A13328" s="841" t="s">
        <v>196</v>
      </c>
      <c r="E13328" s="1690" t="s">
        <v>5109</v>
      </c>
      <c r="F13328" s="1690"/>
      <c r="G13328" s="1408" t="s">
        <v>23</v>
      </c>
      <c r="H13328" s="391">
        <v>0.56999999999999995</v>
      </c>
      <c r="K13328" s="841" t="s">
        <v>5110</v>
      </c>
      <c r="L13328" s="841" t="s">
        <v>443</v>
      </c>
      <c r="M13328" s="1357"/>
      <c r="P13328" s="841" t="s">
        <v>5112</v>
      </c>
      <c r="Q13328" s="1357"/>
      <c r="S13328" s="1420"/>
      <c r="T13328" s="1420">
        <v>44926</v>
      </c>
      <c r="V13328" s="1357">
        <v>64</v>
      </c>
    </row>
    <row r="13329" spans="1:22" s="841" customFormat="1" ht="15" x14ac:dyDescent="0.25">
      <c r="A13329" s="841" t="s">
        <v>196</v>
      </c>
      <c r="E13329" s="1690" t="s">
        <v>84</v>
      </c>
      <c r="F13329" s="1690"/>
      <c r="G13329" s="1408" t="s">
        <v>24</v>
      </c>
      <c r="H13329" s="393">
        <v>1.11E-2</v>
      </c>
      <c r="K13329" s="841" t="s">
        <v>5110</v>
      </c>
      <c r="L13329" s="841" t="s">
        <v>442</v>
      </c>
      <c r="M13329" s="1357"/>
      <c r="P13329" s="841" t="s">
        <v>5113</v>
      </c>
      <c r="Q13329" s="1357"/>
      <c r="S13329" s="1420"/>
      <c r="T13329" s="1420"/>
      <c r="V13329" s="1357">
        <v>28</v>
      </c>
    </row>
    <row r="13330" spans="1:22" s="841" customFormat="1" ht="15" x14ac:dyDescent="0.25">
      <c r="A13330" s="841" t="s">
        <v>196</v>
      </c>
      <c r="E13330" s="1690" t="s">
        <v>5130</v>
      </c>
      <c r="F13330" s="1908"/>
      <c r="G13330" s="1408" t="s">
        <v>24</v>
      </c>
      <c r="H13330" s="393">
        <v>-3.0999999999999999E-3</v>
      </c>
      <c r="K13330" s="841" t="s">
        <v>5110</v>
      </c>
      <c r="L13330" s="841" t="s">
        <v>443</v>
      </c>
      <c r="M13330" s="1357"/>
      <c r="P13330" s="841" t="s">
        <v>5124</v>
      </c>
      <c r="Q13330" s="1357"/>
      <c r="S13330" s="1420"/>
      <c r="T13330" s="1420">
        <v>43585</v>
      </c>
      <c r="V13330" s="1357">
        <v>96</v>
      </c>
    </row>
    <row r="13331" spans="1:22" s="841" customFormat="1" ht="15" x14ac:dyDescent="0.25">
      <c r="A13331" s="841" t="s">
        <v>196</v>
      </c>
      <c r="E13331" s="1690" t="s">
        <v>221</v>
      </c>
      <c r="F13331" s="1690"/>
      <c r="G13331" s="1408" t="s">
        <v>24</v>
      </c>
      <c r="H13331" s="393">
        <v>6.1000000000000004E-3</v>
      </c>
      <c r="K13331" s="841" t="s">
        <v>5110</v>
      </c>
      <c r="L13331" s="841" t="s">
        <v>444</v>
      </c>
      <c r="M13331" s="1357"/>
      <c r="P13331" s="841" t="s">
        <v>5115</v>
      </c>
      <c r="Q13331" s="1357"/>
      <c r="S13331" s="1420"/>
      <c r="T13331" s="1420"/>
      <c r="V13331" s="1357">
        <v>47</v>
      </c>
    </row>
    <row r="13332" spans="1:22" s="841" customFormat="1" ht="15" x14ac:dyDescent="0.25">
      <c r="A13332" s="841" t="s">
        <v>196</v>
      </c>
      <c r="E13332" s="1690" t="s">
        <v>217</v>
      </c>
      <c r="F13332" s="1690"/>
      <c r="G13332" s="1408" t="s">
        <v>24</v>
      </c>
      <c r="H13332" s="393">
        <v>5.7999999999999996E-3</v>
      </c>
      <c r="K13332" s="841" t="s">
        <v>5110</v>
      </c>
      <c r="L13332" s="841" t="s">
        <v>444</v>
      </c>
      <c r="M13332" s="1357"/>
      <c r="P13332" s="841" t="s">
        <v>5116</v>
      </c>
      <c r="Q13332" s="1357"/>
      <c r="S13332" s="1420"/>
      <c r="T13332" s="1420"/>
      <c r="V13332" s="1357">
        <v>74</v>
      </c>
    </row>
    <row r="13333" spans="1:22" s="841" customFormat="1" ht="15" x14ac:dyDescent="0.25">
      <c r="A13333" s="841" t="s">
        <v>196</v>
      </c>
      <c r="E13333" s="1694" t="s">
        <v>3079</v>
      </c>
      <c r="F13333" s="1690"/>
      <c r="G13333" s="1408"/>
      <c r="H13333" s="1408"/>
      <c r="K13333" s="841" t="s">
        <v>3093</v>
      </c>
      <c r="M13333" s="1357"/>
      <c r="Q13333" s="1357"/>
      <c r="S13333" s="1420"/>
      <c r="T13333" s="1420"/>
      <c r="V13333" s="1357">
        <v>48</v>
      </c>
    </row>
    <row r="13334" spans="1:22" s="841" customFormat="1" ht="15" x14ac:dyDescent="0.25">
      <c r="A13334" s="841" t="s">
        <v>196</v>
      </c>
      <c r="E13334" s="1690" t="s">
        <v>2449</v>
      </c>
      <c r="F13334" s="1690"/>
      <c r="G13334" s="1408" t="s">
        <v>24</v>
      </c>
      <c r="H13334" s="393">
        <v>3.2000000000000002E-3</v>
      </c>
      <c r="K13334" s="841" t="s">
        <v>5110</v>
      </c>
      <c r="L13334" s="841" t="s">
        <v>3046</v>
      </c>
      <c r="M13334" s="1357"/>
      <c r="P13334" s="841" t="s">
        <v>5117</v>
      </c>
      <c r="Q13334" s="1357"/>
      <c r="S13334" s="1420"/>
      <c r="T13334" s="1420"/>
      <c r="V13334" s="1357">
        <v>55</v>
      </c>
    </row>
    <row r="13335" spans="1:22" s="841" customFormat="1" ht="15" x14ac:dyDescent="0.25">
      <c r="A13335" s="841" t="s">
        <v>196</v>
      </c>
      <c r="E13335" s="1690" t="s">
        <v>2450</v>
      </c>
      <c r="F13335" s="1690"/>
      <c r="G13335" s="1408" t="s">
        <v>24</v>
      </c>
      <c r="H13335" s="393">
        <v>4.0000000000000002E-4</v>
      </c>
      <c r="K13335" s="841" t="s">
        <v>5110</v>
      </c>
      <c r="L13335" s="841" t="s">
        <v>3046</v>
      </c>
      <c r="M13335" s="1357"/>
      <c r="P13335" s="841" t="s">
        <v>5117</v>
      </c>
      <c r="Q13335" s="1357"/>
      <c r="S13335" s="1420"/>
      <c r="T13335" s="1420"/>
      <c r="V13335" s="1357">
        <v>65</v>
      </c>
    </row>
    <row r="13336" spans="1:22" s="841" customFormat="1" ht="15" x14ac:dyDescent="0.25">
      <c r="A13336" s="841" t="s">
        <v>196</v>
      </c>
      <c r="E13336" s="1690" t="s">
        <v>439</v>
      </c>
      <c r="F13336" s="1690"/>
      <c r="G13336" s="1408" t="s">
        <v>24</v>
      </c>
      <c r="H13336" s="393">
        <v>2.9999999999999997E-4</v>
      </c>
      <c r="K13336" s="841" t="s">
        <v>5110</v>
      </c>
      <c r="L13336" s="841" t="s">
        <v>3046</v>
      </c>
      <c r="M13336" s="1357"/>
      <c r="P13336" s="841" t="s">
        <v>5118</v>
      </c>
      <c r="Q13336" s="1357"/>
      <c r="S13336" s="1420"/>
      <c r="T13336" s="1420"/>
      <c r="V13336" s="1357">
        <v>57</v>
      </c>
    </row>
    <row r="13337" spans="1:22" s="841" customFormat="1" ht="15" x14ac:dyDescent="0.25">
      <c r="A13337" s="841" t="s">
        <v>196</v>
      </c>
      <c r="E13337" s="1690" t="s">
        <v>32</v>
      </c>
      <c r="F13337" s="1690"/>
      <c r="G13337" s="1408" t="s">
        <v>23</v>
      </c>
      <c r="H13337" s="391">
        <v>0.25</v>
      </c>
      <c r="K13337" s="841" t="s">
        <v>5110</v>
      </c>
      <c r="L13337" s="841" t="s">
        <v>3046</v>
      </c>
      <c r="M13337" s="1357"/>
      <c r="P13337" s="841" t="s">
        <v>5119</v>
      </c>
      <c r="Q13337" s="1357"/>
      <c r="S13337" s="1420"/>
      <c r="T13337" s="1420"/>
      <c r="V13337" s="1357">
        <v>63</v>
      </c>
    </row>
    <row r="13338" spans="1:22" s="841" customFormat="1" x14ac:dyDescent="0.25">
      <c r="A13338" s="841" t="s">
        <v>196</v>
      </c>
      <c r="E13338" s="1909" t="s">
        <v>3624</v>
      </c>
      <c r="F13338" s="1915"/>
      <c r="G13338" s="1915"/>
      <c r="H13338" s="1915"/>
      <c r="K13338" s="841" t="s">
        <v>5330</v>
      </c>
      <c r="M13338" s="1357"/>
      <c r="Q13338" s="1357"/>
      <c r="S13338" s="1420"/>
      <c r="T13338" s="1420"/>
      <c r="V13338" s="1357">
        <v>51</v>
      </c>
    </row>
    <row r="13339" spans="1:22" s="841" customFormat="1" ht="15" x14ac:dyDescent="0.25">
      <c r="A13339" s="841" t="s">
        <v>196</v>
      </c>
      <c r="E13339" s="1689" t="s">
        <v>4696</v>
      </c>
      <c r="F13339" s="1689"/>
      <c r="G13339" s="1689"/>
      <c r="H13339" s="1689"/>
      <c r="K13339" s="841" t="s">
        <v>5330</v>
      </c>
      <c r="M13339" s="1357"/>
      <c r="Q13339" s="1357"/>
      <c r="S13339" s="1420"/>
      <c r="T13339" s="1420"/>
      <c r="V13339" s="1357">
        <v>430</v>
      </c>
    </row>
    <row r="13340" spans="1:22" s="841" customFormat="1" ht="15" x14ac:dyDescent="0.25">
      <c r="A13340" s="841" t="s">
        <v>196</v>
      </c>
      <c r="E13340" s="1916" t="s">
        <v>3061</v>
      </c>
      <c r="F13340" s="1697"/>
      <c r="G13340" s="1697"/>
      <c r="H13340" s="1697"/>
      <c r="K13340" s="841" t="s">
        <v>3098</v>
      </c>
      <c r="M13340" s="1357"/>
      <c r="Q13340" s="1357"/>
      <c r="S13340" s="1420"/>
      <c r="T13340" s="1420"/>
      <c r="V13340" s="1357">
        <v>11</v>
      </c>
    </row>
    <row r="13341" spans="1:22" s="841" customFormat="1" ht="15" x14ac:dyDescent="0.25">
      <c r="A13341" s="841" t="s">
        <v>196</v>
      </c>
      <c r="E13341" s="1689" t="s">
        <v>3063</v>
      </c>
      <c r="F13341" s="1689"/>
      <c r="G13341" s="1689"/>
      <c r="H13341" s="1689"/>
      <c r="K13341" s="841" t="s">
        <v>5330</v>
      </c>
      <c r="M13341" s="1357"/>
      <c r="Q13341" s="1357"/>
      <c r="S13341" s="1420"/>
      <c r="T13341" s="1420"/>
      <c r="V13341" s="1357">
        <v>280</v>
      </c>
    </row>
    <row r="13342" spans="1:22" s="841" customFormat="1" ht="15" x14ac:dyDescent="0.25">
      <c r="A13342" s="841" t="s">
        <v>196</v>
      </c>
      <c r="E13342" s="1689" t="s">
        <v>3064</v>
      </c>
      <c r="F13342" s="1689"/>
      <c r="G13342" s="1689"/>
      <c r="H13342" s="1689"/>
      <c r="K13342" s="841" t="s">
        <v>5330</v>
      </c>
      <c r="M13342" s="1357"/>
      <c r="Q13342" s="1357"/>
      <c r="S13342" s="1420"/>
      <c r="T13342" s="1420"/>
      <c r="V13342" s="1357">
        <v>411</v>
      </c>
    </row>
    <row r="13343" spans="1:22" s="841" customFormat="1" ht="15" x14ac:dyDescent="0.25">
      <c r="A13343" s="841" t="s">
        <v>196</v>
      </c>
      <c r="E13343" s="1689" t="s">
        <v>3065</v>
      </c>
      <c r="F13343" s="1689"/>
      <c r="G13343" s="1689"/>
      <c r="H13343" s="1689"/>
      <c r="K13343" s="841" t="s">
        <v>5330</v>
      </c>
      <c r="M13343" s="1357"/>
      <c r="Q13343" s="1357"/>
      <c r="S13343" s="1420"/>
      <c r="T13343" s="1420"/>
      <c r="V13343" s="1357">
        <v>387</v>
      </c>
    </row>
    <row r="13344" spans="1:22" s="841" customFormat="1" ht="15" x14ac:dyDescent="0.25">
      <c r="A13344" s="841" t="s">
        <v>196</v>
      </c>
      <c r="E13344" s="1689" t="s">
        <v>3200</v>
      </c>
      <c r="F13344" s="1689"/>
      <c r="G13344" s="1689"/>
      <c r="H13344" s="1689"/>
      <c r="K13344" s="841" t="s">
        <v>5330</v>
      </c>
      <c r="M13344" s="1357"/>
      <c r="Q13344" s="1357"/>
      <c r="S13344" s="1420"/>
      <c r="T13344" s="1420"/>
      <c r="V13344" s="1357">
        <v>275</v>
      </c>
    </row>
    <row r="13345" spans="1:22" s="841" customFormat="1" ht="15" x14ac:dyDescent="0.25">
      <c r="A13345" s="841" t="s">
        <v>196</v>
      </c>
      <c r="E13345" s="1694" t="s">
        <v>3067</v>
      </c>
      <c r="F13345" s="1907"/>
      <c r="G13345" s="1907"/>
      <c r="H13345" s="1907"/>
      <c r="K13345" s="841" t="s">
        <v>3099</v>
      </c>
      <c r="M13345" s="1357"/>
      <c r="Q13345" s="1357"/>
      <c r="S13345" s="1420"/>
      <c r="T13345" s="1420"/>
      <c r="V13345" s="1357">
        <v>46</v>
      </c>
    </row>
    <row r="13346" spans="1:22" s="841" customFormat="1" ht="15" x14ac:dyDescent="0.25">
      <c r="A13346" s="841" t="s">
        <v>196</v>
      </c>
      <c r="E13346" s="1690" t="s">
        <v>11</v>
      </c>
      <c r="F13346" s="1690"/>
      <c r="G13346" s="1408" t="s">
        <v>23</v>
      </c>
      <c r="H13346" s="391">
        <v>155.11000000000001</v>
      </c>
      <c r="K13346" s="841" t="s">
        <v>5330</v>
      </c>
      <c r="L13346" s="841" t="s">
        <v>442</v>
      </c>
      <c r="M13346" s="1357"/>
      <c r="P13346" s="841" t="s">
        <v>5332</v>
      </c>
      <c r="Q13346" s="1357"/>
      <c r="S13346" s="1420"/>
      <c r="T13346" s="1420"/>
      <c r="V13346" s="1357">
        <v>14</v>
      </c>
    </row>
    <row r="13347" spans="1:22" s="841" customFormat="1" ht="15" x14ac:dyDescent="0.25">
      <c r="A13347" s="841" t="s">
        <v>196</v>
      </c>
      <c r="E13347" s="1690" t="s">
        <v>84</v>
      </c>
      <c r="F13347" s="1690"/>
      <c r="G13347" s="1408" t="s">
        <v>33</v>
      </c>
      <c r="H13347" s="393">
        <v>2.4245999999999999</v>
      </c>
      <c r="K13347" s="841" t="s">
        <v>5330</v>
      </c>
      <c r="L13347" s="841" t="s">
        <v>442</v>
      </c>
      <c r="M13347" s="1357"/>
      <c r="P13347" s="841" t="s">
        <v>5333</v>
      </c>
      <c r="Q13347" s="1357"/>
      <c r="S13347" s="1420"/>
      <c r="T13347" s="1420"/>
      <c r="V13347" s="1357">
        <v>28</v>
      </c>
    </row>
    <row r="13348" spans="1:22" s="841" customFormat="1" ht="15" x14ac:dyDescent="0.25">
      <c r="A13348" s="841" t="s">
        <v>196</v>
      </c>
      <c r="E13348" s="1690" t="s">
        <v>5130</v>
      </c>
      <c r="F13348" s="1908"/>
      <c r="G13348" s="1408" t="s">
        <v>33</v>
      </c>
      <c r="H13348" s="393">
        <v>-1.0569999999999999</v>
      </c>
      <c r="K13348" s="841" t="s">
        <v>5330</v>
      </c>
      <c r="L13348" s="841" t="s">
        <v>443</v>
      </c>
      <c r="M13348" s="1357"/>
      <c r="P13348" s="841" t="s">
        <v>5336</v>
      </c>
      <c r="Q13348" s="1357"/>
      <c r="S13348" s="1420"/>
      <c r="T13348" s="1420">
        <v>43585</v>
      </c>
      <c r="V13348" s="1357">
        <v>96</v>
      </c>
    </row>
    <row r="13349" spans="1:22" s="841" customFormat="1" ht="15" x14ac:dyDescent="0.25">
      <c r="A13349" s="841" t="s">
        <v>196</v>
      </c>
      <c r="E13349" s="1690" t="s">
        <v>221</v>
      </c>
      <c r="F13349" s="1690"/>
      <c r="G13349" s="1408" t="s">
        <v>33</v>
      </c>
      <c r="H13349" s="393">
        <v>2.4420999999999999</v>
      </c>
      <c r="K13349" s="841" t="s">
        <v>5330</v>
      </c>
      <c r="L13349" s="841" t="s">
        <v>444</v>
      </c>
      <c r="M13349" s="1357"/>
      <c r="P13349" s="841" t="s">
        <v>5340</v>
      </c>
      <c r="Q13349" s="1357"/>
      <c r="S13349" s="1420"/>
      <c r="T13349" s="1420"/>
      <c r="V13349" s="1357">
        <v>47</v>
      </c>
    </row>
    <row r="13350" spans="1:22" s="841" customFormat="1" ht="15" x14ac:dyDescent="0.25">
      <c r="A13350" s="841" t="s">
        <v>196</v>
      </c>
      <c r="E13350" s="1690" t="s">
        <v>217</v>
      </c>
      <c r="F13350" s="1690"/>
      <c r="G13350" s="1408" t="s">
        <v>33</v>
      </c>
      <c r="H13350" s="393">
        <v>2.3237000000000001</v>
      </c>
      <c r="K13350" s="841" t="s">
        <v>5330</v>
      </c>
      <c r="L13350" s="841" t="s">
        <v>444</v>
      </c>
      <c r="M13350" s="1357"/>
      <c r="P13350" s="841" t="s">
        <v>5341</v>
      </c>
      <c r="Q13350" s="1357"/>
      <c r="S13350" s="1420"/>
      <c r="T13350" s="1420"/>
      <c r="V13350" s="1357">
        <v>74</v>
      </c>
    </row>
    <row r="13351" spans="1:22" s="841" customFormat="1" ht="15" x14ac:dyDescent="0.25">
      <c r="A13351" s="841" t="s">
        <v>196</v>
      </c>
      <c r="E13351" s="1694" t="s">
        <v>3079</v>
      </c>
      <c r="F13351" s="1690"/>
      <c r="G13351" s="1408"/>
      <c r="H13351" s="1408"/>
      <c r="K13351" s="841" t="s">
        <v>3218</v>
      </c>
      <c r="M13351" s="1357"/>
      <c r="Q13351" s="1357"/>
      <c r="S13351" s="1420"/>
      <c r="T13351" s="1420"/>
      <c r="V13351" s="1357">
        <v>48</v>
      </c>
    </row>
    <row r="13352" spans="1:22" s="841" customFormat="1" ht="15" x14ac:dyDescent="0.25">
      <c r="A13352" s="841" t="s">
        <v>196</v>
      </c>
      <c r="E13352" s="1690" t="s">
        <v>2449</v>
      </c>
      <c r="F13352" s="1690"/>
      <c r="G13352" s="1408" t="s">
        <v>24</v>
      </c>
      <c r="H13352" s="393">
        <v>3.2000000000000002E-3</v>
      </c>
      <c r="K13352" s="841" t="s">
        <v>5330</v>
      </c>
      <c r="L13352" s="841" t="s">
        <v>3046</v>
      </c>
      <c r="M13352" s="1357"/>
      <c r="P13352" s="841" t="s">
        <v>5342</v>
      </c>
      <c r="Q13352" s="1357"/>
      <c r="S13352" s="1420"/>
      <c r="T13352" s="1420"/>
      <c r="V13352" s="1357">
        <v>55</v>
      </c>
    </row>
    <row r="13353" spans="1:22" s="841" customFormat="1" ht="15" x14ac:dyDescent="0.25">
      <c r="A13353" s="841" t="s">
        <v>196</v>
      </c>
      <c r="E13353" s="1690" t="s">
        <v>2450</v>
      </c>
      <c r="F13353" s="1690"/>
      <c r="G13353" s="1408" t="s">
        <v>24</v>
      </c>
      <c r="H13353" s="393">
        <v>4.0000000000000002E-4</v>
      </c>
      <c r="K13353" s="841" t="s">
        <v>5330</v>
      </c>
      <c r="L13353" s="841" t="s">
        <v>3046</v>
      </c>
      <c r="M13353" s="1357"/>
      <c r="P13353" s="841" t="s">
        <v>5342</v>
      </c>
      <c r="Q13353" s="1357"/>
      <c r="S13353" s="1420"/>
      <c r="T13353" s="1420"/>
      <c r="V13353" s="1357">
        <v>65</v>
      </c>
    </row>
    <row r="13354" spans="1:22" s="841" customFormat="1" ht="15" x14ac:dyDescent="0.25">
      <c r="A13354" s="841" t="s">
        <v>196</v>
      </c>
      <c r="E13354" s="1690" t="s">
        <v>439</v>
      </c>
      <c r="F13354" s="1690"/>
      <c r="G13354" s="1408" t="s">
        <v>24</v>
      </c>
      <c r="H13354" s="393">
        <v>2.9999999999999997E-4</v>
      </c>
      <c r="K13354" s="841" t="s">
        <v>5330</v>
      </c>
      <c r="L13354" s="841" t="s">
        <v>3046</v>
      </c>
      <c r="M13354" s="1357"/>
      <c r="P13354" s="841" t="s">
        <v>5343</v>
      </c>
      <c r="Q13354" s="1357"/>
      <c r="S13354" s="1420"/>
      <c r="T13354" s="1420"/>
      <c r="V13354" s="1357">
        <v>57</v>
      </c>
    </row>
    <row r="13355" spans="1:22" s="841" customFormat="1" ht="15" x14ac:dyDescent="0.25">
      <c r="A13355" s="841" t="s">
        <v>196</v>
      </c>
      <c r="E13355" s="1690" t="s">
        <v>32</v>
      </c>
      <c r="F13355" s="1690"/>
      <c r="G13355" s="1408" t="s">
        <v>23</v>
      </c>
      <c r="H13355" s="391">
        <v>0.25</v>
      </c>
      <c r="K13355" s="841" t="s">
        <v>5330</v>
      </c>
      <c r="L13355" s="841" t="s">
        <v>3046</v>
      </c>
      <c r="M13355" s="1357"/>
      <c r="P13355" s="841" t="s">
        <v>5344</v>
      </c>
      <c r="Q13355" s="1357"/>
      <c r="S13355" s="1420"/>
      <c r="T13355" s="1420"/>
      <c r="V13355" s="1357">
        <v>63</v>
      </c>
    </row>
    <row r="13356" spans="1:22" s="841" customFormat="1" x14ac:dyDescent="0.25">
      <c r="A13356" s="841" t="s">
        <v>196</v>
      </c>
      <c r="E13356" s="1909" t="s">
        <v>3626</v>
      </c>
      <c r="F13356" s="1915"/>
      <c r="G13356" s="1915"/>
      <c r="H13356" s="1915"/>
      <c r="K13356" s="841" t="s">
        <v>5345</v>
      </c>
      <c r="M13356" s="1357"/>
      <c r="Q13356" s="1357"/>
      <c r="S13356" s="1420"/>
      <c r="T13356" s="1420"/>
      <c r="V13356" s="1357">
        <v>54</v>
      </c>
    </row>
    <row r="13357" spans="1:22" s="841" customFormat="1" ht="15" x14ac:dyDescent="0.25">
      <c r="A13357" s="841" t="s">
        <v>196</v>
      </c>
      <c r="E13357" s="1689" t="s">
        <v>4697</v>
      </c>
      <c r="F13357" s="1689"/>
      <c r="G13357" s="1689"/>
      <c r="H13357" s="1689"/>
      <c r="K13357" s="841" t="s">
        <v>5345</v>
      </c>
      <c r="M13357" s="1357"/>
      <c r="Q13357" s="1357"/>
      <c r="S13357" s="1420"/>
      <c r="T13357" s="1420"/>
      <c r="V13357" s="1357">
        <v>445</v>
      </c>
    </row>
    <row r="13358" spans="1:22" s="841" customFormat="1" ht="15" x14ac:dyDescent="0.25">
      <c r="A13358" s="841" t="s">
        <v>196</v>
      </c>
      <c r="E13358" s="1916" t="s">
        <v>3061</v>
      </c>
      <c r="F13358" s="1697"/>
      <c r="G13358" s="1697"/>
      <c r="H13358" s="1697"/>
      <c r="K13358" s="841" t="s">
        <v>3221</v>
      </c>
      <c r="M13358" s="1357"/>
      <c r="Q13358" s="1357"/>
      <c r="S13358" s="1420"/>
      <c r="T13358" s="1420"/>
      <c r="V13358" s="1357">
        <v>11</v>
      </c>
    </row>
    <row r="13359" spans="1:22" s="841" customFormat="1" ht="15" x14ac:dyDescent="0.25">
      <c r="A13359" s="841" t="s">
        <v>196</v>
      </c>
      <c r="E13359" s="1689" t="s">
        <v>3063</v>
      </c>
      <c r="F13359" s="1689"/>
      <c r="G13359" s="1689"/>
      <c r="H13359" s="1689"/>
      <c r="K13359" s="841" t="s">
        <v>5345</v>
      </c>
      <c r="M13359" s="1357"/>
      <c r="Q13359" s="1357"/>
      <c r="S13359" s="1420"/>
      <c r="T13359" s="1420"/>
      <c r="V13359" s="1357">
        <v>280</v>
      </c>
    </row>
    <row r="13360" spans="1:22" s="841" customFormat="1" ht="15" x14ac:dyDescent="0.25">
      <c r="A13360" s="841" t="s">
        <v>196</v>
      </c>
      <c r="E13360" s="1689" t="s">
        <v>3064</v>
      </c>
      <c r="F13360" s="1689"/>
      <c r="G13360" s="1689"/>
      <c r="H13360" s="1689"/>
      <c r="K13360" s="841" t="s">
        <v>5345</v>
      </c>
      <c r="M13360" s="1357"/>
      <c r="Q13360" s="1357"/>
      <c r="S13360" s="1420"/>
      <c r="T13360" s="1420"/>
      <c r="V13360" s="1357">
        <v>411</v>
      </c>
    </row>
    <row r="13361" spans="1:22" s="841" customFormat="1" ht="15" x14ac:dyDescent="0.25">
      <c r="A13361" s="841" t="s">
        <v>196</v>
      </c>
      <c r="E13361" s="1689" t="s">
        <v>3065</v>
      </c>
      <c r="F13361" s="1689"/>
      <c r="G13361" s="1689"/>
      <c r="H13361" s="1689"/>
      <c r="K13361" s="841" t="s">
        <v>5345</v>
      </c>
      <c r="M13361" s="1357"/>
      <c r="Q13361" s="1357"/>
      <c r="S13361" s="1420"/>
      <c r="T13361" s="1420"/>
      <c r="V13361" s="1357">
        <v>387</v>
      </c>
    </row>
    <row r="13362" spans="1:22" s="841" customFormat="1" ht="15" x14ac:dyDescent="0.25">
      <c r="A13362" s="841" t="s">
        <v>196</v>
      </c>
      <c r="E13362" s="1689" t="s">
        <v>3200</v>
      </c>
      <c r="F13362" s="1689"/>
      <c r="G13362" s="1689"/>
      <c r="H13362" s="1689"/>
      <c r="K13362" s="841" t="s">
        <v>5345</v>
      </c>
      <c r="M13362" s="1357"/>
      <c r="Q13362" s="1357"/>
      <c r="S13362" s="1420"/>
      <c r="T13362" s="1420"/>
      <c r="V13362" s="1357">
        <v>275</v>
      </c>
    </row>
    <row r="13363" spans="1:22" s="841" customFormat="1" ht="15" x14ac:dyDescent="0.25">
      <c r="A13363" s="841" t="s">
        <v>196</v>
      </c>
      <c r="E13363" s="1694" t="s">
        <v>3067</v>
      </c>
      <c r="F13363" s="1907"/>
      <c r="G13363" s="1907"/>
      <c r="H13363" s="1907"/>
      <c r="K13363" s="841" t="s">
        <v>3224</v>
      </c>
      <c r="M13363" s="1357"/>
      <c r="Q13363" s="1357"/>
      <c r="S13363" s="1420"/>
      <c r="T13363" s="1420"/>
      <c r="V13363" s="1357">
        <v>46</v>
      </c>
    </row>
    <row r="13364" spans="1:22" s="841" customFormat="1" ht="15" x14ac:dyDescent="0.25">
      <c r="A13364" s="841" t="s">
        <v>196</v>
      </c>
      <c r="E13364" s="1690" t="s">
        <v>11</v>
      </c>
      <c r="F13364" s="1690"/>
      <c r="G13364" s="1408" t="s">
        <v>23</v>
      </c>
      <c r="H13364" s="391">
        <v>1645.04</v>
      </c>
      <c r="K13364" s="841" t="s">
        <v>5345</v>
      </c>
      <c r="L13364" s="841" t="s">
        <v>442</v>
      </c>
      <c r="M13364" s="1357"/>
      <c r="P13364" s="841" t="s">
        <v>5347</v>
      </c>
      <c r="Q13364" s="1357"/>
      <c r="S13364" s="1420"/>
      <c r="T13364" s="1420"/>
      <c r="V13364" s="1357">
        <v>14</v>
      </c>
    </row>
    <row r="13365" spans="1:22" s="841" customFormat="1" ht="15" x14ac:dyDescent="0.25">
      <c r="A13365" s="841" t="s">
        <v>196</v>
      </c>
      <c r="E13365" s="1690" t="s">
        <v>84</v>
      </c>
      <c r="F13365" s="1690"/>
      <c r="G13365" s="1408" t="s">
        <v>33</v>
      </c>
      <c r="H13365" s="393">
        <v>1.1289</v>
      </c>
      <c r="K13365" s="841" t="s">
        <v>5345</v>
      </c>
      <c r="L13365" s="841" t="s">
        <v>442</v>
      </c>
      <c r="M13365" s="1357"/>
      <c r="P13365" s="841" t="s">
        <v>5348</v>
      </c>
      <c r="Q13365" s="1357"/>
      <c r="S13365" s="1420"/>
      <c r="T13365" s="1420"/>
      <c r="V13365" s="1357">
        <v>28</v>
      </c>
    </row>
    <row r="13366" spans="1:22" s="841" customFormat="1" ht="15" x14ac:dyDescent="0.25">
      <c r="A13366" s="841" t="s">
        <v>196</v>
      </c>
      <c r="E13366" s="1690" t="s">
        <v>5130</v>
      </c>
      <c r="F13366" s="1908"/>
      <c r="G13366" s="1408" t="s">
        <v>33</v>
      </c>
      <c r="H13366" s="393">
        <v>-1.3729</v>
      </c>
      <c r="K13366" s="841" t="s">
        <v>5345</v>
      </c>
      <c r="L13366" s="841" t="s">
        <v>443</v>
      </c>
      <c r="M13366" s="1357"/>
      <c r="P13366" s="841" t="s">
        <v>5351</v>
      </c>
      <c r="Q13366" s="1357"/>
      <c r="S13366" s="1420"/>
      <c r="T13366" s="1420">
        <v>43585</v>
      </c>
      <c r="V13366" s="1357">
        <v>96</v>
      </c>
    </row>
    <row r="13367" spans="1:22" s="841" customFormat="1" ht="15" x14ac:dyDescent="0.25">
      <c r="A13367" s="841" t="s">
        <v>196</v>
      </c>
      <c r="E13367" s="1690" t="s">
        <v>221</v>
      </c>
      <c r="F13367" s="1690"/>
      <c r="G13367" s="1408" t="s">
        <v>33</v>
      </c>
      <c r="H13367" s="393">
        <v>2.5937999999999999</v>
      </c>
      <c r="K13367" s="841" t="s">
        <v>5345</v>
      </c>
      <c r="L13367" s="841" t="s">
        <v>444</v>
      </c>
      <c r="M13367" s="1357"/>
      <c r="P13367" s="841" t="s">
        <v>5914</v>
      </c>
      <c r="Q13367" s="1357"/>
      <c r="S13367" s="1420"/>
      <c r="T13367" s="1420"/>
      <c r="V13367" s="1357">
        <v>47</v>
      </c>
    </row>
    <row r="13368" spans="1:22" s="841" customFormat="1" ht="15" x14ac:dyDescent="0.25">
      <c r="A13368" s="841" t="s">
        <v>196</v>
      </c>
      <c r="E13368" s="1690" t="s">
        <v>217</v>
      </c>
      <c r="F13368" s="1690"/>
      <c r="G13368" s="1408" t="s">
        <v>33</v>
      </c>
      <c r="H13368" s="393">
        <v>2.5476000000000001</v>
      </c>
      <c r="K13368" s="841" t="s">
        <v>5345</v>
      </c>
      <c r="L13368" s="841" t="s">
        <v>444</v>
      </c>
      <c r="M13368" s="1357"/>
      <c r="P13368" s="841" t="s">
        <v>5915</v>
      </c>
      <c r="Q13368" s="1357"/>
      <c r="S13368" s="1420"/>
      <c r="T13368" s="1420"/>
      <c r="V13368" s="1357">
        <v>74</v>
      </c>
    </row>
    <row r="13369" spans="1:22" s="841" customFormat="1" ht="15" x14ac:dyDescent="0.25">
      <c r="A13369" s="841" t="s">
        <v>196</v>
      </c>
      <c r="E13369" s="1694" t="s">
        <v>3079</v>
      </c>
      <c r="F13369" s="1690"/>
      <c r="G13369" s="1408"/>
      <c r="H13369" s="1408"/>
      <c r="K13369" s="841" t="s">
        <v>3225</v>
      </c>
      <c r="M13369" s="1357"/>
      <c r="Q13369" s="1357"/>
      <c r="S13369" s="1420"/>
      <c r="T13369" s="1420"/>
      <c r="V13369" s="1357">
        <v>48</v>
      </c>
    </row>
    <row r="13370" spans="1:22" s="841" customFormat="1" ht="15" x14ac:dyDescent="0.25">
      <c r="A13370" s="841" t="s">
        <v>196</v>
      </c>
      <c r="E13370" s="1690" t="s">
        <v>2449</v>
      </c>
      <c r="F13370" s="1690"/>
      <c r="G13370" s="1408" t="s">
        <v>24</v>
      </c>
      <c r="H13370" s="393">
        <v>3.2000000000000002E-3</v>
      </c>
      <c r="K13370" s="841" t="s">
        <v>5345</v>
      </c>
      <c r="L13370" s="841" t="s">
        <v>3046</v>
      </c>
      <c r="M13370" s="1357"/>
      <c r="P13370" s="841" t="s">
        <v>5356</v>
      </c>
      <c r="Q13370" s="1357"/>
      <c r="S13370" s="1420"/>
      <c r="T13370" s="1420"/>
      <c r="V13370" s="1357">
        <v>55</v>
      </c>
    </row>
    <row r="13371" spans="1:22" s="841" customFormat="1" ht="15" x14ac:dyDescent="0.25">
      <c r="A13371" s="841" t="s">
        <v>196</v>
      </c>
      <c r="E13371" s="1690" t="s">
        <v>2450</v>
      </c>
      <c r="F13371" s="1690"/>
      <c r="G13371" s="1408" t="s">
        <v>24</v>
      </c>
      <c r="H13371" s="393">
        <v>4.0000000000000002E-4</v>
      </c>
      <c r="K13371" s="841" t="s">
        <v>5345</v>
      </c>
      <c r="L13371" s="841" t="s">
        <v>3046</v>
      </c>
      <c r="M13371" s="1357"/>
      <c r="P13371" s="841" t="s">
        <v>5356</v>
      </c>
      <c r="Q13371" s="1357"/>
      <c r="S13371" s="1420"/>
      <c r="T13371" s="1420"/>
      <c r="V13371" s="1357">
        <v>65</v>
      </c>
    </row>
    <row r="13372" spans="1:22" s="841" customFormat="1" ht="15" x14ac:dyDescent="0.25">
      <c r="A13372" s="841" t="s">
        <v>196</v>
      </c>
      <c r="E13372" s="1690" t="s">
        <v>439</v>
      </c>
      <c r="F13372" s="1690"/>
      <c r="G13372" s="1408" t="s">
        <v>24</v>
      </c>
      <c r="H13372" s="393">
        <v>2.9999999999999997E-4</v>
      </c>
      <c r="K13372" s="841" t="s">
        <v>5345</v>
      </c>
      <c r="L13372" s="841" t="s">
        <v>3046</v>
      </c>
      <c r="M13372" s="1357"/>
      <c r="P13372" s="841" t="s">
        <v>5357</v>
      </c>
      <c r="Q13372" s="1357"/>
      <c r="S13372" s="1420"/>
      <c r="T13372" s="1420"/>
      <c r="V13372" s="1357">
        <v>57</v>
      </c>
    </row>
    <row r="13373" spans="1:22" s="841" customFormat="1" ht="15" x14ac:dyDescent="0.25">
      <c r="A13373" s="841" t="s">
        <v>196</v>
      </c>
      <c r="E13373" s="1690" t="s">
        <v>32</v>
      </c>
      <c r="F13373" s="1690"/>
      <c r="G13373" s="1408" t="s">
        <v>23</v>
      </c>
      <c r="H13373" s="391">
        <v>0.25</v>
      </c>
      <c r="K13373" s="841" t="s">
        <v>5345</v>
      </c>
      <c r="L13373" s="841" t="s">
        <v>3046</v>
      </c>
      <c r="M13373" s="1357"/>
      <c r="P13373" s="841" t="s">
        <v>5358</v>
      </c>
      <c r="Q13373" s="1357"/>
      <c r="S13373" s="1420"/>
      <c r="T13373" s="1420"/>
      <c r="V13373" s="1357">
        <v>63</v>
      </c>
    </row>
    <row r="13374" spans="1:22" s="841" customFormat="1" x14ac:dyDescent="0.25">
      <c r="A13374" s="841" t="s">
        <v>196</v>
      </c>
      <c r="E13374" s="1909" t="s">
        <v>621</v>
      </c>
      <c r="F13374" s="1915"/>
      <c r="G13374" s="1915"/>
      <c r="H13374" s="1915"/>
      <c r="K13374" s="841" t="s">
        <v>3226</v>
      </c>
      <c r="M13374" s="1357"/>
      <c r="Q13374" s="1357"/>
      <c r="S13374" s="1420"/>
      <c r="T13374" s="1420"/>
      <c r="V13374" s="1357">
        <v>32</v>
      </c>
    </row>
    <row r="13375" spans="1:22" s="841" customFormat="1" ht="15" x14ac:dyDescent="0.25">
      <c r="A13375" s="841" t="s">
        <v>196</v>
      </c>
      <c r="E13375" s="1689" t="s">
        <v>4698</v>
      </c>
      <c r="F13375" s="1689"/>
      <c r="G13375" s="1689"/>
      <c r="H13375" s="1689"/>
      <c r="K13375" s="841" t="s">
        <v>3226</v>
      </c>
      <c r="M13375" s="1357"/>
      <c r="Q13375" s="1357"/>
      <c r="S13375" s="1420"/>
      <c r="T13375" s="1420"/>
      <c r="V13375" s="1357">
        <v>447</v>
      </c>
    </row>
    <row r="13376" spans="1:22" s="841" customFormat="1" ht="15" x14ac:dyDescent="0.25">
      <c r="A13376" s="841" t="s">
        <v>196</v>
      </c>
      <c r="E13376" s="1916" t="s">
        <v>3061</v>
      </c>
      <c r="F13376" s="1697"/>
      <c r="G13376" s="1697"/>
      <c r="H13376" s="1697"/>
      <c r="K13376" s="841" t="s">
        <v>3107</v>
      </c>
      <c r="M13376" s="1357"/>
      <c r="Q13376" s="1357"/>
      <c r="S13376" s="1420"/>
      <c r="T13376" s="1420"/>
      <c r="V13376" s="1357">
        <v>11</v>
      </c>
    </row>
    <row r="13377" spans="1:22" s="841" customFormat="1" ht="15" x14ac:dyDescent="0.25">
      <c r="A13377" s="841" t="s">
        <v>196</v>
      </c>
      <c r="E13377" s="1689" t="s">
        <v>3063</v>
      </c>
      <c r="F13377" s="1689"/>
      <c r="G13377" s="1689"/>
      <c r="H13377" s="1689"/>
      <c r="K13377" s="841" t="s">
        <v>3226</v>
      </c>
      <c r="M13377" s="1357"/>
      <c r="Q13377" s="1357"/>
      <c r="S13377" s="1420"/>
      <c r="T13377" s="1420"/>
      <c r="V13377" s="1357">
        <v>280</v>
      </c>
    </row>
    <row r="13378" spans="1:22" s="841" customFormat="1" ht="15" x14ac:dyDescent="0.25">
      <c r="A13378" s="841" t="s">
        <v>196</v>
      </c>
      <c r="E13378" s="1689" t="s">
        <v>3064</v>
      </c>
      <c r="F13378" s="1689"/>
      <c r="G13378" s="1689"/>
      <c r="H13378" s="1689"/>
      <c r="K13378" s="841" t="s">
        <v>3226</v>
      </c>
      <c r="M13378" s="1357"/>
      <c r="Q13378" s="1357"/>
      <c r="S13378" s="1420"/>
      <c r="T13378" s="1420"/>
      <c r="V13378" s="1357">
        <v>411</v>
      </c>
    </row>
    <row r="13379" spans="1:22" s="841" customFormat="1" ht="15" x14ac:dyDescent="0.25">
      <c r="A13379" s="841" t="s">
        <v>196</v>
      </c>
      <c r="E13379" s="1689" t="s">
        <v>3065</v>
      </c>
      <c r="F13379" s="1689"/>
      <c r="G13379" s="1689"/>
      <c r="H13379" s="1689"/>
      <c r="K13379" s="841" t="s">
        <v>3226</v>
      </c>
      <c r="M13379" s="1357"/>
      <c r="Q13379" s="1357"/>
      <c r="S13379" s="1420"/>
      <c r="T13379" s="1420"/>
      <c r="V13379" s="1357">
        <v>387</v>
      </c>
    </row>
    <row r="13380" spans="1:22" s="841" customFormat="1" ht="15" x14ac:dyDescent="0.25">
      <c r="A13380" s="841" t="s">
        <v>196</v>
      </c>
      <c r="E13380" s="1689" t="s">
        <v>3200</v>
      </c>
      <c r="F13380" s="1689"/>
      <c r="G13380" s="1689"/>
      <c r="H13380" s="1689"/>
      <c r="K13380" s="841" t="s">
        <v>3226</v>
      </c>
      <c r="M13380" s="1357"/>
      <c r="Q13380" s="1357"/>
      <c r="S13380" s="1420"/>
      <c r="T13380" s="1420"/>
      <c r="V13380" s="1357">
        <v>275</v>
      </c>
    </row>
    <row r="13381" spans="1:22" s="841" customFormat="1" ht="15" x14ac:dyDescent="0.25">
      <c r="A13381" s="841" t="s">
        <v>196</v>
      </c>
      <c r="E13381" s="1694" t="s">
        <v>3067</v>
      </c>
      <c r="F13381" s="1907"/>
      <c r="G13381" s="1907"/>
      <c r="H13381" s="1907"/>
      <c r="K13381" s="841" t="s">
        <v>3108</v>
      </c>
      <c r="M13381" s="1357"/>
      <c r="Q13381" s="1357"/>
      <c r="S13381" s="1420"/>
      <c r="T13381" s="1420"/>
      <c r="V13381" s="1357">
        <v>46</v>
      </c>
    </row>
    <row r="13382" spans="1:22" s="841" customFormat="1" ht="15" x14ac:dyDescent="0.25">
      <c r="A13382" s="841" t="s">
        <v>196</v>
      </c>
      <c r="E13382" s="1690" t="s">
        <v>11</v>
      </c>
      <c r="F13382" s="1690"/>
      <c r="G13382" s="1408" t="s">
        <v>23</v>
      </c>
      <c r="H13382" s="391">
        <v>9895.57</v>
      </c>
      <c r="K13382" s="841" t="s">
        <v>3226</v>
      </c>
      <c r="L13382" s="841" t="s">
        <v>442</v>
      </c>
      <c r="M13382" s="1357"/>
      <c r="P13382" s="841" t="s">
        <v>3228</v>
      </c>
      <c r="Q13382" s="1357"/>
      <c r="S13382" s="1420"/>
      <c r="T13382" s="1420"/>
      <c r="V13382" s="1357">
        <v>14</v>
      </c>
    </row>
    <row r="13383" spans="1:22" s="841" customFormat="1" ht="15" x14ac:dyDescent="0.25">
      <c r="A13383" s="841" t="s">
        <v>196</v>
      </c>
      <c r="E13383" s="1690" t="s">
        <v>84</v>
      </c>
      <c r="F13383" s="1690"/>
      <c r="G13383" s="1408" t="s">
        <v>33</v>
      </c>
      <c r="H13383" s="393">
        <v>1.7813000000000001</v>
      </c>
      <c r="K13383" s="841" t="s">
        <v>3226</v>
      </c>
      <c r="L13383" s="841" t="s">
        <v>442</v>
      </c>
      <c r="M13383" s="1357"/>
      <c r="P13383" s="841" t="s">
        <v>3229</v>
      </c>
      <c r="Q13383" s="1357"/>
      <c r="S13383" s="1420"/>
      <c r="T13383" s="1420"/>
      <c r="V13383" s="1357">
        <v>28</v>
      </c>
    </row>
    <row r="13384" spans="1:22" s="841" customFormat="1" ht="15" x14ac:dyDescent="0.25">
      <c r="A13384" s="841" t="s">
        <v>196</v>
      </c>
      <c r="E13384" s="1690" t="s">
        <v>5130</v>
      </c>
      <c r="F13384" s="1908"/>
      <c r="G13384" s="1408" t="s">
        <v>33</v>
      </c>
      <c r="H13384" s="393">
        <v>-0.11</v>
      </c>
      <c r="K13384" s="841" t="s">
        <v>3226</v>
      </c>
      <c r="L13384" s="841" t="s">
        <v>443</v>
      </c>
      <c r="M13384" s="1357"/>
      <c r="P13384" s="841" t="s">
        <v>3232</v>
      </c>
      <c r="Q13384" s="1357"/>
      <c r="S13384" s="1420"/>
      <c r="T13384" s="1420">
        <v>43585</v>
      </c>
      <c r="V13384" s="1357">
        <v>96</v>
      </c>
    </row>
    <row r="13385" spans="1:22" s="841" customFormat="1" ht="15" x14ac:dyDescent="0.25">
      <c r="A13385" s="841" t="s">
        <v>196</v>
      </c>
      <c r="E13385" s="1690" t="s">
        <v>221</v>
      </c>
      <c r="F13385" s="1690"/>
      <c r="G13385" s="1408" t="s">
        <v>33</v>
      </c>
      <c r="H13385" s="393">
        <v>2.8723000000000001</v>
      </c>
      <c r="K13385" s="841" t="s">
        <v>3226</v>
      </c>
      <c r="L13385" s="841" t="s">
        <v>444</v>
      </c>
      <c r="M13385" s="1357"/>
      <c r="P13385" s="841" t="s">
        <v>3600</v>
      </c>
      <c r="Q13385" s="1357"/>
      <c r="S13385" s="1420"/>
      <c r="T13385" s="1420"/>
      <c r="V13385" s="1357">
        <v>47</v>
      </c>
    </row>
    <row r="13386" spans="1:22" s="841" customFormat="1" ht="15" x14ac:dyDescent="0.25">
      <c r="A13386" s="841" t="s">
        <v>196</v>
      </c>
      <c r="E13386" s="1690" t="s">
        <v>217</v>
      </c>
      <c r="F13386" s="1690"/>
      <c r="G13386" s="1408" t="s">
        <v>33</v>
      </c>
      <c r="H13386" s="393">
        <v>2.9129999999999998</v>
      </c>
      <c r="K13386" s="841" t="s">
        <v>3226</v>
      </c>
      <c r="L13386" s="841" t="s">
        <v>444</v>
      </c>
      <c r="M13386" s="1357"/>
      <c r="P13386" s="841" t="s">
        <v>3601</v>
      </c>
      <c r="Q13386" s="1357"/>
      <c r="S13386" s="1420"/>
      <c r="T13386" s="1420"/>
      <c r="V13386" s="1357">
        <v>74</v>
      </c>
    </row>
    <row r="13387" spans="1:22" s="841" customFormat="1" ht="15" x14ac:dyDescent="0.25">
      <c r="A13387" s="841" t="s">
        <v>196</v>
      </c>
      <c r="E13387" s="1694" t="s">
        <v>3079</v>
      </c>
      <c r="F13387" s="1690"/>
      <c r="G13387" s="1408"/>
      <c r="H13387" s="1408"/>
      <c r="K13387" s="841" t="s">
        <v>3111</v>
      </c>
      <c r="M13387" s="1357"/>
      <c r="Q13387" s="1357"/>
      <c r="S13387" s="1420"/>
      <c r="T13387" s="1420"/>
      <c r="V13387" s="1357">
        <v>48</v>
      </c>
    </row>
    <row r="13388" spans="1:22" s="841" customFormat="1" ht="15" x14ac:dyDescent="0.25">
      <c r="A13388" s="841" t="s">
        <v>196</v>
      </c>
      <c r="E13388" s="1690" t="s">
        <v>2449</v>
      </c>
      <c r="F13388" s="1690"/>
      <c r="G13388" s="1408" t="s">
        <v>24</v>
      </c>
      <c r="H13388" s="393">
        <v>3.2000000000000002E-3</v>
      </c>
      <c r="K13388" s="841" t="s">
        <v>3226</v>
      </c>
      <c r="L13388" s="841" t="s">
        <v>3046</v>
      </c>
      <c r="M13388" s="1357"/>
      <c r="P13388" s="841" t="s">
        <v>3235</v>
      </c>
      <c r="Q13388" s="1357"/>
      <c r="S13388" s="1420"/>
      <c r="T13388" s="1420"/>
      <c r="V13388" s="1357">
        <v>55</v>
      </c>
    </row>
    <row r="13389" spans="1:22" s="841" customFormat="1" ht="15" x14ac:dyDescent="0.25">
      <c r="A13389" s="841" t="s">
        <v>196</v>
      </c>
      <c r="E13389" s="1690" t="s">
        <v>2450</v>
      </c>
      <c r="F13389" s="1690"/>
      <c r="G13389" s="1408" t="s">
        <v>24</v>
      </c>
      <c r="H13389" s="393">
        <v>4.0000000000000002E-4</v>
      </c>
      <c r="K13389" s="841" t="s">
        <v>3226</v>
      </c>
      <c r="L13389" s="841" t="s">
        <v>3046</v>
      </c>
      <c r="M13389" s="1357"/>
      <c r="P13389" s="841" t="s">
        <v>3235</v>
      </c>
      <c r="Q13389" s="1357"/>
      <c r="S13389" s="1420"/>
      <c r="T13389" s="1420"/>
      <c r="V13389" s="1357">
        <v>65</v>
      </c>
    </row>
    <row r="13390" spans="1:22" s="841" customFormat="1" ht="15" x14ac:dyDescent="0.25">
      <c r="A13390" s="841" t="s">
        <v>196</v>
      </c>
      <c r="E13390" s="1690" t="s">
        <v>439</v>
      </c>
      <c r="F13390" s="1690"/>
      <c r="G13390" s="1408" t="s">
        <v>24</v>
      </c>
      <c r="H13390" s="393">
        <v>2.9999999999999997E-4</v>
      </c>
      <c r="K13390" s="841" t="s">
        <v>3226</v>
      </c>
      <c r="L13390" s="841" t="s">
        <v>3046</v>
      </c>
      <c r="M13390" s="1357"/>
      <c r="P13390" s="841" t="s">
        <v>3236</v>
      </c>
      <c r="Q13390" s="1357"/>
      <c r="S13390" s="1420"/>
      <c r="T13390" s="1420"/>
      <c r="V13390" s="1357">
        <v>57</v>
      </c>
    </row>
    <row r="13391" spans="1:22" s="841" customFormat="1" ht="15" x14ac:dyDescent="0.25">
      <c r="A13391" s="841" t="s">
        <v>196</v>
      </c>
      <c r="E13391" s="1690" t="s">
        <v>32</v>
      </c>
      <c r="F13391" s="1690"/>
      <c r="G13391" s="1408" t="s">
        <v>23</v>
      </c>
      <c r="H13391" s="391">
        <v>0.25</v>
      </c>
      <c r="K13391" s="841" t="s">
        <v>3226</v>
      </c>
      <c r="L13391" s="841" t="s">
        <v>3046</v>
      </c>
      <c r="M13391" s="1357"/>
      <c r="P13391" s="841" t="s">
        <v>3237</v>
      </c>
      <c r="Q13391" s="1357"/>
      <c r="S13391" s="1420"/>
      <c r="T13391" s="1420"/>
      <c r="V13391" s="1357">
        <v>63</v>
      </c>
    </row>
    <row r="13392" spans="1:22" s="841" customFormat="1" x14ac:dyDescent="0.25">
      <c r="A13392" s="841" t="s">
        <v>196</v>
      </c>
      <c r="E13392" s="1909" t="s">
        <v>617</v>
      </c>
      <c r="F13392" s="1915"/>
      <c r="G13392" s="1915"/>
      <c r="H13392" s="1915"/>
      <c r="K13392" s="841" t="s">
        <v>3238</v>
      </c>
      <c r="M13392" s="1357"/>
      <c r="Q13392" s="1357"/>
      <c r="S13392" s="1420"/>
      <c r="T13392" s="1420"/>
      <c r="V13392" s="1357">
        <v>47</v>
      </c>
    </row>
    <row r="13393" spans="1:22" s="841" customFormat="1" ht="15" x14ac:dyDescent="0.25">
      <c r="A13393" s="841" t="s">
        <v>196</v>
      </c>
      <c r="E13393" s="1689" t="s">
        <v>4699</v>
      </c>
      <c r="F13393" s="1689"/>
      <c r="G13393" s="1689"/>
      <c r="H13393" s="1689"/>
      <c r="K13393" s="841" t="s">
        <v>3238</v>
      </c>
      <c r="M13393" s="1357"/>
      <c r="Q13393" s="1357"/>
      <c r="S13393" s="1420"/>
      <c r="T13393" s="1420"/>
      <c r="V13393" s="1357">
        <v>750</v>
      </c>
    </row>
    <row r="13394" spans="1:22" s="841" customFormat="1" ht="15" x14ac:dyDescent="0.25">
      <c r="A13394" s="841" t="s">
        <v>196</v>
      </c>
      <c r="E13394" s="1916" t="s">
        <v>3061</v>
      </c>
      <c r="F13394" s="1697"/>
      <c r="G13394" s="1697"/>
      <c r="H13394" s="1697"/>
      <c r="K13394" s="841" t="s">
        <v>3114</v>
      </c>
      <c r="M13394" s="1357"/>
      <c r="Q13394" s="1357"/>
      <c r="S13394" s="1420"/>
      <c r="T13394" s="1420"/>
      <c r="V13394" s="1357">
        <v>11</v>
      </c>
    </row>
    <row r="13395" spans="1:22" s="841" customFormat="1" ht="15" x14ac:dyDescent="0.25">
      <c r="A13395" s="841" t="s">
        <v>196</v>
      </c>
      <c r="E13395" s="1689" t="s">
        <v>3063</v>
      </c>
      <c r="F13395" s="1689"/>
      <c r="G13395" s="1689"/>
      <c r="H13395" s="1689"/>
      <c r="K13395" s="841" t="s">
        <v>3238</v>
      </c>
      <c r="M13395" s="1357"/>
      <c r="Q13395" s="1357"/>
      <c r="S13395" s="1420"/>
      <c r="T13395" s="1420"/>
      <c r="V13395" s="1357">
        <v>280</v>
      </c>
    </row>
    <row r="13396" spans="1:22" s="841" customFormat="1" ht="15" x14ac:dyDescent="0.25">
      <c r="A13396" s="841" t="s">
        <v>196</v>
      </c>
      <c r="E13396" s="1689" t="s">
        <v>3064</v>
      </c>
      <c r="F13396" s="1689"/>
      <c r="G13396" s="1689"/>
      <c r="H13396" s="1689"/>
      <c r="K13396" s="841" t="s">
        <v>3238</v>
      </c>
      <c r="M13396" s="1357"/>
      <c r="Q13396" s="1357"/>
      <c r="S13396" s="1420"/>
      <c r="T13396" s="1420"/>
      <c r="V13396" s="1357">
        <v>411</v>
      </c>
    </row>
    <row r="13397" spans="1:22" s="841" customFormat="1" ht="15" x14ac:dyDescent="0.25">
      <c r="A13397" s="841" t="s">
        <v>196</v>
      </c>
      <c r="E13397" s="1689" t="s">
        <v>3065</v>
      </c>
      <c r="F13397" s="1689"/>
      <c r="G13397" s="1689"/>
      <c r="H13397" s="1689"/>
      <c r="K13397" s="841" t="s">
        <v>3238</v>
      </c>
      <c r="M13397" s="1357"/>
      <c r="Q13397" s="1357"/>
      <c r="S13397" s="1420"/>
      <c r="T13397" s="1420"/>
      <c r="V13397" s="1357">
        <v>387</v>
      </c>
    </row>
    <row r="13398" spans="1:22" s="841" customFormat="1" ht="15" x14ac:dyDescent="0.25">
      <c r="A13398" s="841" t="s">
        <v>196</v>
      </c>
      <c r="E13398" s="1689" t="s">
        <v>3200</v>
      </c>
      <c r="F13398" s="1689"/>
      <c r="G13398" s="1689"/>
      <c r="H13398" s="1689"/>
      <c r="K13398" s="841" t="s">
        <v>3238</v>
      </c>
      <c r="M13398" s="1357"/>
      <c r="Q13398" s="1357"/>
      <c r="S13398" s="1420"/>
      <c r="T13398" s="1420"/>
      <c r="V13398" s="1357">
        <v>275</v>
      </c>
    </row>
    <row r="13399" spans="1:22" s="841" customFormat="1" ht="15" x14ac:dyDescent="0.25">
      <c r="A13399" s="841" t="s">
        <v>196</v>
      </c>
      <c r="E13399" s="1694" t="s">
        <v>3067</v>
      </c>
      <c r="F13399" s="1907"/>
      <c r="G13399" s="1907"/>
      <c r="H13399" s="1907"/>
      <c r="K13399" s="841" t="s">
        <v>3115</v>
      </c>
      <c r="M13399" s="1357"/>
      <c r="Q13399" s="1357"/>
      <c r="S13399" s="1420"/>
      <c r="T13399" s="1420"/>
      <c r="V13399" s="1357">
        <v>46</v>
      </c>
    </row>
    <row r="13400" spans="1:22" s="841" customFormat="1" ht="15" x14ac:dyDescent="0.25">
      <c r="A13400" s="841" t="s">
        <v>196</v>
      </c>
      <c r="E13400" s="1690" t="s">
        <v>12</v>
      </c>
      <c r="F13400" s="1690"/>
      <c r="G13400" s="1408" t="s">
        <v>23</v>
      </c>
      <c r="H13400" s="391">
        <v>75.709999999999994</v>
      </c>
      <c r="K13400" s="841" t="s">
        <v>3238</v>
      </c>
      <c r="L13400" s="841" t="s">
        <v>442</v>
      </c>
      <c r="M13400" s="1357"/>
      <c r="P13400" s="841" t="s">
        <v>3240</v>
      </c>
      <c r="Q13400" s="1357"/>
      <c r="S13400" s="1420"/>
      <c r="T13400" s="1420"/>
      <c r="V13400" s="1357">
        <v>31</v>
      </c>
    </row>
    <row r="13401" spans="1:22" s="841" customFormat="1" ht="15" x14ac:dyDescent="0.25">
      <c r="A13401" s="841" t="s">
        <v>196</v>
      </c>
      <c r="E13401" s="1690" t="s">
        <v>84</v>
      </c>
      <c r="F13401" s="1690"/>
      <c r="G13401" s="1408" t="s">
        <v>24</v>
      </c>
      <c r="H13401" s="393">
        <v>6.7199999999999996E-2</v>
      </c>
      <c r="K13401" s="841" t="s">
        <v>3238</v>
      </c>
      <c r="L13401" s="841" t="s">
        <v>442</v>
      </c>
      <c r="M13401" s="1357"/>
      <c r="P13401" s="841" t="s">
        <v>3241</v>
      </c>
      <c r="Q13401" s="1357"/>
      <c r="S13401" s="1420"/>
      <c r="T13401" s="1420"/>
      <c r="V13401" s="1357">
        <v>28</v>
      </c>
    </row>
    <row r="13402" spans="1:22" s="841" customFormat="1" ht="15" x14ac:dyDescent="0.25">
      <c r="A13402" s="841" t="s">
        <v>196</v>
      </c>
      <c r="E13402" s="1690" t="s">
        <v>5130</v>
      </c>
      <c r="F13402" s="1908"/>
      <c r="G13402" s="1408" t="s">
        <v>24</v>
      </c>
      <c r="H13402" s="393">
        <v>-3.0999999999999999E-3</v>
      </c>
      <c r="K13402" s="841" t="s">
        <v>3238</v>
      </c>
      <c r="L13402" s="841" t="s">
        <v>443</v>
      </c>
      <c r="M13402" s="1357"/>
      <c r="P13402" s="841" t="s">
        <v>3244</v>
      </c>
      <c r="Q13402" s="1357"/>
      <c r="S13402" s="1420"/>
      <c r="T13402" s="1420">
        <v>43585</v>
      </c>
      <c r="V13402" s="1357">
        <v>96</v>
      </c>
    </row>
    <row r="13403" spans="1:22" s="841" customFormat="1" ht="15" x14ac:dyDescent="0.25">
      <c r="A13403" s="841" t="s">
        <v>196</v>
      </c>
      <c r="E13403" s="1690" t="s">
        <v>221</v>
      </c>
      <c r="F13403" s="1690"/>
      <c r="G13403" s="1408" t="s">
        <v>24</v>
      </c>
      <c r="H13403" s="393">
        <v>6.1000000000000004E-3</v>
      </c>
      <c r="K13403" s="841" t="s">
        <v>3238</v>
      </c>
      <c r="L13403" s="841" t="s">
        <v>444</v>
      </c>
      <c r="M13403" s="1357"/>
      <c r="P13403" s="841" t="s">
        <v>3245</v>
      </c>
      <c r="Q13403" s="1357"/>
      <c r="S13403" s="1420"/>
      <c r="T13403" s="1420"/>
      <c r="V13403" s="1357">
        <v>47</v>
      </c>
    </row>
    <row r="13404" spans="1:22" s="841" customFormat="1" ht="15" x14ac:dyDescent="0.25">
      <c r="A13404" s="841" t="s">
        <v>196</v>
      </c>
      <c r="E13404" s="1690" t="s">
        <v>217</v>
      </c>
      <c r="F13404" s="1690"/>
      <c r="G13404" s="1408" t="s">
        <v>24</v>
      </c>
      <c r="H13404" s="393">
        <v>5.7999999999999996E-3</v>
      </c>
      <c r="K13404" s="841" t="s">
        <v>3238</v>
      </c>
      <c r="L13404" s="841" t="s">
        <v>444</v>
      </c>
      <c r="M13404" s="1357"/>
      <c r="P13404" s="841" t="s">
        <v>3246</v>
      </c>
      <c r="Q13404" s="1357"/>
      <c r="S13404" s="1420"/>
      <c r="T13404" s="1420"/>
      <c r="V13404" s="1357">
        <v>74</v>
      </c>
    </row>
    <row r="13405" spans="1:22" s="841" customFormat="1" ht="15" x14ac:dyDescent="0.25">
      <c r="A13405" s="841" t="s">
        <v>196</v>
      </c>
      <c r="E13405" s="1694" t="s">
        <v>3079</v>
      </c>
      <c r="F13405" s="1690"/>
      <c r="G13405" s="1408"/>
      <c r="H13405" s="1408"/>
      <c r="K13405" s="841" t="s">
        <v>3122</v>
      </c>
      <c r="M13405" s="1357"/>
      <c r="Q13405" s="1357"/>
      <c r="S13405" s="1420"/>
      <c r="T13405" s="1420"/>
      <c r="V13405" s="1357">
        <v>48</v>
      </c>
    </row>
    <row r="13406" spans="1:22" s="841" customFormat="1" ht="15" x14ac:dyDescent="0.25">
      <c r="A13406" s="841" t="s">
        <v>196</v>
      </c>
      <c r="E13406" s="1690" t="s">
        <v>2449</v>
      </c>
      <c r="F13406" s="1690"/>
      <c r="G13406" s="1408" t="s">
        <v>24</v>
      </c>
      <c r="H13406" s="393">
        <v>3.2000000000000002E-3</v>
      </c>
      <c r="K13406" s="841" t="s">
        <v>3238</v>
      </c>
      <c r="L13406" s="841" t="s">
        <v>3046</v>
      </c>
      <c r="M13406" s="1357"/>
      <c r="P13406" s="841" t="s">
        <v>3247</v>
      </c>
      <c r="Q13406" s="1357"/>
      <c r="S13406" s="1420"/>
      <c r="T13406" s="1420"/>
      <c r="V13406" s="1357">
        <v>55</v>
      </c>
    </row>
    <row r="13407" spans="1:22" s="841" customFormat="1" ht="15" x14ac:dyDescent="0.25">
      <c r="A13407" s="841" t="s">
        <v>196</v>
      </c>
      <c r="E13407" s="1690" t="s">
        <v>2450</v>
      </c>
      <c r="F13407" s="1690"/>
      <c r="G13407" s="1408" t="s">
        <v>24</v>
      </c>
      <c r="H13407" s="393">
        <v>4.0000000000000002E-4</v>
      </c>
      <c r="K13407" s="841" t="s">
        <v>3238</v>
      </c>
      <c r="L13407" s="841" t="s">
        <v>3046</v>
      </c>
      <c r="M13407" s="1357"/>
      <c r="P13407" s="841" t="s">
        <v>3247</v>
      </c>
      <c r="Q13407" s="1357"/>
      <c r="S13407" s="1420"/>
      <c r="T13407" s="1420"/>
      <c r="V13407" s="1357">
        <v>65</v>
      </c>
    </row>
    <row r="13408" spans="1:22" s="841" customFormat="1" ht="15" x14ac:dyDescent="0.25">
      <c r="A13408" s="841" t="s">
        <v>196</v>
      </c>
      <c r="E13408" s="1690" t="s">
        <v>439</v>
      </c>
      <c r="F13408" s="1690"/>
      <c r="G13408" s="1408" t="s">
        <v>24</v>
      </c>
      <c r="H13408" s="393">
        <v>2.9999999999999997E-4</v>
      </c>
      <c r="K13408" s="841" t="s">
        <v>3238</v>
      </c>
      <c r="L13408" s="841" t="s">
        <v>3046</v>
      </c>
      <c r="M13408" s="1357"/>
      <c r="P13408" s="841" t="s">
        <v>3248</v>
      </c>
      <c r="Q13408" s="1357"/>
      <c r="S13408" s="1420"/>
      <c r="T13408" s="1420"/>
      <c r="V13408" s="1357">
        <v>57</v>
      </c>
    </row>
    <row r="13409" spans="1:22" s="841" customFormat="1" ht="15" x14ac:dyDescent="0.25">
      <c r="A13409" s="841" t="s">
        <v>196</v>
      </c>
      <c r="E13409" s="1690" t="s">
        <v>32</v>
      </c>
      <c r="F13409" s="1690"/>
      <c r="G13409" s="1408" t="s">
        <v>23</v>
      </c>
      <c r="H13409" s="391">
        <v>0.25</v>
      </c>
      <c r="K13409" s="841" t="s">
        <v>3238</v>
      </c>
      <c r="L13409" s="841" t="s">
        <v>3046</v>
      </c>
      <c r="M13409" s="1357"/>
      <c r="P13409" s="841" t="s">
        <v>3249</v>
      </c>
      <c r="Q13409" s="1357"/>
      <c r="S13409" s="1420"/>
      <c r="T13409" s="1420"/>
      <c r="V13409" s="1357">
        <v>63</v>
      </c>
    </row>
    <row r="13410" spans="1:22" s="841" customFormat="1" x14ac:dyDescent="0.25">
      <c r="A13410" s="841" t="s">
        <v>196</v>
      </c>
      <c r="E13410" s="1909" t="s">
        <v>629</v>
      </c>
      <c r="F13410" s="1915"/>
      <c r="G13410" s="1915"/>
      <c r="H13410" s="1915"/>
      <c r="K13410" s="841" t="s">
        <v>3250</v>
      </c>
      <c r="M13410" s="1357"/>
      <c r="Q13410" s="1357"/>
      <c r="S13410" s="1420"/>
      <c r="T13410" s="1420"/>
      <c r="V13410" s="1357">
        <v>40</v>
      </c>
    </row>
    <row r="13411" spans="1:22" s="841" customFormat="1" ht="15" x14ac:dyDescent="0.25">
      <c r="A13411" s="841" t="s">
        <v>196</v>
      </c>
      <c r="E13411" s="1689" t="s">
        <v>4325</v>
      </c>
      <c r="F13411" s="1689"/>
      <c r="G13411" s="1689"/>
      <c r="H13411" s="1689"/>
      <c r="K13411" s="841" t="s">
        <v>3250</v>
      </c>
      <c r="M13411" s="1357"/>
      <c r="Q13411" s="1357"/>
      <c r="S13411" s="1420"/>
      <c r="T13411" s="1420"/>
      <c r="V13411" s="1357">
        <v>253</v>
      </c>
    </row>
    <row r="13412" spans="1:22" s="841" customFormat="1" ht="15" x14ac:dyDescent="0.25">
      <c r="A13412" s="841" t="s">
        <v>196</v>
      </c>
      <c r="E13412" s="1916" t="s">
        <v>3061</v>
      </c>
      <c r="F13412" s="1697"/>
      <c r="G13412" s="1697"/>
      <c r="H13412" s="1697"/>
      <c r="K13412" s="841" t="s">
        <v>3128</v>
      </c>
      <c r="M13412" s="1357"/>
      <c r="Q13412" s="1357"/>
      <c r="S13412" s="1420"/>
      <c r="T13412" s="1420"/>
      <c r="V13412" s="1357">
        <v>11</v>
      </c>
    </row>
    <row r="13413" spans="1:22" s="841" customFormat="1" ht="15" x14ac:dyDescent="0.25">
      <c r="A13413" s="841" t="s">
        <v>196</v>
      </c>
      <c r="E13413" s="1689" t="s">
        <v>3063</v>
      </c>
      <c r="F13413" s="1689"/>
      <c r="G13413" s="1689"/>
      <c r="H13413" s="1689"/>
      <c r="K13413" s="841" t="s">
        <v>3250</v>
      </c>
      <c r="M13413" s="1357"/>
      <c r="Q13413" s="1357"/>
      <c r="S13413" s="1420"/>
      <c r="T13413" s="1420"/>
      <c r="V13413" s="1357">
        <v>280</v>
      </c>
    </row>
    <row r="13414" spans="1:22" s="841" customFormat="1" ht="15" x14ac:dyDescent="0.25">
      <c r="A13414" s="841" t="s">
        <v>196</v>
      </c>
      <c r="E13414" s="1689" t="s">
        <v>3064</v>
      </c>
      <c r="F13414" s="1689"/>
      <c r="G13414" s="1689"/>
      <c r="H13414" s="1689"/>
      <c r="K13414" s="841" t="s">
        <v>3250</v>
      </c>
      <c r="M13414" s="1357"/>
      <c r="Q13414" s="1357"/>
      <c r="S13414" s="1420"/>
      <c r="T13414" s="1420"/>
      <c r="V13414" s="1357">
        <v>411</v>
      </c>
    </row>
    <row r="13415" spans="1:22" s="841" customFormat="1" ht="15" x14ac:dyDescent="0.25">
      <c r="A13415" s="841" t="s">
        <v>196</v>
      </c>
      <c r="E13415" s="1689" t="s">
        <v>3065</v>
      </c>
      <c r="F13415" s="1689"/>
      <c r="G13415" s="1689"/>
      <c r="H13415" s="1689"/>
      <c r="K13415" s="841" t="s">
        <v>3250</v>
      </c>
      <c r="M13415" s="1357"/>
      <c r="Q13415" s="1357"/>
      <c r="S13415" s="1420"/>
      <c r="T13415" s="1420"/>
      <c r="V13415" s="1357">
        <v>387</v>
      </c>
    </row>
    <row r="13416" spans="1:22" s="841" customFormat="1" ht="15" x14ac:dyDescent="0.25">
      <c r="A13416" s="841" t="s">
        <v>196</v>
      </c>
      <c r="E13416" s="1689" t="s">
        <v>3200</v>
      </c>
      <c r="F13416" s="1689"/>
      <c r="G13416" s="1689"/>
      <c r="H13416" s="1689"/>
      <c r="K13416" s="841" t="s">
        <v>3250</v>
      </c>
      <c r="M13416" s="1357"/>
      <c r="Q13416" s="1357"/>
      <c r="S13416" s="1420"/>
      <c r="T13416" s="1420"/>
      <c r="V13416" s="1357">
        <v>275</v>
      </c>
    </row>
    <row r="13417" spans="1:22" s="841" customFormat="1" ht="15" x14ac:dyDescent="0.25">
      <c r="A13417" s="841" t="s">
        <v>196</v>
      </c>
      <c r="E13417" s="1694" t="s">
        <v>3067</v>
      </c>
      <c r="F13417" s="1907"/>
      <c r="G13417" s="1907"/>
      <c r="H13417" s="1907"/>
      <c r="K13417" s="841" t="s">
        <v>3130</v>
      </c>
      <c r="M13417" s="1357"/>
      <c r="Q13417" s="1357"/>
      <c r="S13417" s="1420"/>
      <c r="T13417" s="1420"/>
      <c r="V13417" s="1357">
        <v>46</v>
      </c>
    </row>
    <row r="13418" spans="1:22" s="841" customFormat="1" ht="15" x14ac:dyDescent="0.25">
      <c r="A13418" s="841" t="s">
        <v>196</v>
      </c>
      <c r="E13418" s="1690" t="s">
        <v>12</v>
      </c>
      <c r="F13418" s="1690"/>
      <c r="G13418" s="1408" t="s">
        <v>23</v>
      </c>
      <c r="H13418" s="391">
        <v>37.11</v>
      </c>
      <c r="K13418" s="841" t="s">
        <v>3250</v>
      </c>
      <c r="L13418" s="841" t="s">
        <v>442</v>
      </c>
      <c r="M13418" s="1357"/>
      <c r="P13418" s="841" t="s">
        <v>3252</v>
      </c>
      <c r="Q13418" s="1357"/>
      <c r="S13418" s="1420"/>
      <c r="T13418" s="1420"/>
      <c r="V13418" s="1357">
        <v>31</v>
      </c>
    </row>
    <row r="13419" spans="1:22" s="841" customFormat="1" ht="15" x14ac:dyDescent="0.25">
      <c r="A13419" s="841" t="s">
        <v>196</v>
      </c>
      <c r="E13419" s="1690" t="s">
        <v>5130</v>
      </c>
      <c r="F13419" s="1908"/>
      <c r="G13419" s="1408" t="s">
        <v>33</v>
      </c>
      <c r="H13419" s="393">
        <v>-1.4058999999999999</v>
      </c>
      <c r="K13419" s="841" t="s">
        <v>3250</v>
      </c>
      <c r="L13419" s="841" t="s">
        <v>443</v>
      </c>
      <c r="M13419" s="1357"/>
      <c r="P13419" s="841" t="s">
        <v>3257</v>
      </c>
      <c r="Q13419" s="1357"/>
      <c r="S13419" s="1420"/>
      <c r="T13419" s="1420">
        <v>43585</v>
      </c>
      <c r="V13419" s="1357">
        <v>96</v>
      </c>
    </row>
    <row r="13420" spans="1:22" s="841" customFormat="1" ht="15" x14ac:dyDescent="0.25">
      <c r="A13420" s="841" t="s">
        <v>196</v>
      </c>
      <c r="E13420" s="1690" t="s">
        <v>221</v>
      </c>
      <c r="F13420" s="1690"/>
      <c r="G13420" s="1408" t="s">
        <v>33</v>
      </c>
      <c r="H13420" s="393">
        <v>1.8506</v>
      </c>
      <c r="K13420" s="841" t="s">
        <v>3250</v>
      </c>
      <c r="L13420" s="841" t="s">
        <v>444</v>
      </c>
      <c r="M13420" s="1357"/>
      <c r="P13420" s="841" t="s">
        <v>3258</v>
      </c>
      <c r="Q13420" s="1357"/>
      <c r="S13420" s="1420"/>
      <c r="T13420" s="1420"/>
      <c r="V13420" s="1357">
        <v>47</v>
      </c>
    </row>
    <row r="13421" spans="1:22" s="841" customFormat="1" ht="15" x14ac:dyDescent="0.25">
      <c r="A13421" s="841" t="s">
        <v>196</v>
      </c>
      <c r="E13421" s="1690" t="s">
        <v>217</v>
      </c>
      <c r="F13421" s="1690"/>
      <c r="G13421" s="1408" t="s">
        <v>33</v>
      </c>
      <c r="H13421" s="393">
        <v>1.835</v>
      </c>
      <c r="K13421" s="841" t="s">
        <v>3250</v>
      </c>
      <c r="L13421" s="841" t="s">
        <v>444</v>
      </c>
      <c r="M13421" s="1357"/>
      <c r="P13421" s="841" t="s">
        <v>3259</v>
      </c>
      <c r="Q13421" s="1357"/>
      <c r="S13421" s="1420"/>
      <c r="T13421" s="1420"/>
      <c r="V13421" s="1357">
        <v>74</v>
      </c>
    </row>
    <row r="13422" spans="1:22" s="841" customFormat="1" ht="15" x14ac:dyDescent="0.25">
      <c r="A13422" s="841" t="s">
        <v>196</v>
      </c>
      <c r="E13422" s="1694" t="s">
        <v>3079</v>
      </c>
      <c r="F13422" s="1690"/>
      <c r="G13422" s="1408"/>
      <c r="H13422" s="1408"/>
      <c r="K13422" s="841" t="s">
        <v>3260</v>
      </c>
      <c r="M13422" s="1357"/>
      <c r="Q13422" s="1357"/>
      <c r="S13422" s="1420"/>
      <c r="T13422" s="1420"/>
      <c r="V13422" s="1357">
        <v>48</v>
      </c>
    </row>
    <row r="13423" spans="1:22" s="841" customFormat="1" ht="15" x14ac:dyDescent="0.25">
      <c r="A13423" s="841" t="s">
        <v>196</v>
      </c>
      <c r="E13423" s="1690" t="s">
        <v>2449</v>
      </c>
      <c r="F13423" s="1690"/>
      <c r="G13423" s="1408" t="s">
        <v>24</v>
      </c>
      <c r="H13423" s="393">
        <v>3.2000000000000002E-3</v>
      </c>
      <c r="K13423" s="841" t="s">
        <v>3250</v>
      </c>
      <c r="L13423" s="841" t="s">
        <v>3046</v>
      </c>
      <c r="M13423" s="1357"/>
      <c r="P13423" s="841" t="s">
        <v>3261</v>
      </c>
      <c r="Q13423" s="1357"/>
      <c r="S13423" s="1420"/>
      <c r="T13423" s="1420"/>
      <c r="V13423" s="1357">
        <v>55</v>
      </c>
    </row>
    <row r="13424" spans="1:22" s="841" customFormat="1" ht="15" x14ac:dyDescent="0.25">
      <c r="A13424" s="841" t="s">
        <v>196</v>
      </c>
      <c r="E13424" s="1690" t="s">
        <v>2450</v>
      </c>
      <c r="F13424" s="1690"/>
      <c r="G13424" s="1408" t="s">
        <v>24</v>
      </c>
      <c r="H13424" s="393">
        <v>4.0000000000000002E-4</v>
      </c>
      <c r="K13424" s="841" t="s">
        <v>3250</v>
      </c>
      <c r="L13424" s="841" t="s">
        <v>3046</v>
      </c>
      <c r="M13424" s="1357"/>
      <c r="P13424" s="841" t="s">
        <v>3261</v>
      </c>
      <c r="Q13424" s="1357"/>
      <c r="S13424" s="1420"/>
      <c r="T13424" s="1420"/>
      <c r="V13424" s="1357">
        <v>65</v>
      </c>
    </row>
    <row r="13425" spans="1:22" s="841" customFormat="1" ht="15" x14ac:dyDescent="0.25">
      <c r="A13425" s="841" t="s">
        <v>196</v>
      </c>
      <c r="E13425" s="1690" t="s">
        <v>439</v>
      </c>
      <c r="F13425" s="1690"/>
      <c r="G13425" s="1408" t="s">
        <v>24</v>
      </c>
      <c r="H13425" s="393">
        <v>2.9999999999999997E-4</v>
      </c>
      <c r="K13425" s="841" t="s">
        <v>3250</v>
      </c>
      <c r="L13425" s="841" t="s">
        <v>3046</v>
      </c>
      <c r="M13425" s="1357"/>
      <c r="P13425" s="841" t="s">
        <v>3262</v>
      </c>
      <c r="Q13425" s="1357"/>
      <c r="S13425" s="1420"/>
      <c r="T13425" s="1420"/>
      <c r="V13425" s="1357">
        <v>57</v>
      </c>
    </row>
    <row r="13426" spans="1:22" s="841" customFormat="1" ht="15" x14ac:dyDescent="0.25">
      <c r="A13426" s="841" t="s">
        <v>196</v>
      </c>
      <c r="E13426" s="1690" t="s">
        <v>32</v>
      </c>
      <c r="F13426" s="1690"/>
      <c r="G13426" s="1408" t="s">
        <v>23</v>
      </c>
      <c r="H13426" s="391">
        <v>0.25</v>
      </c>
      <c r="K13426" s="841" t="s">
        <v>3250</v>
      </c>
      <c r="L13426" s="841" t="s">
        <v>3046</v>
      </c>
      <c r="M13426" s="1357"/>
      <c r="P13426" s="841" t="s">
        <v>3263</v>
      </c>
      <c r="Q13426" s="1357"/>
      <c r="S13426" s="1420"/>
      <c r="T13426" s="1420"/>
      <c r="V13426" s="1357">
        <v>63</v>
      </c>
    </row>
    <row r="13427" spans="1:22" s="841" customFormat="1" x14ac:dyDescent="0.25">
      <c r="A13427" s="841" t="s">
        <v>196</v>
      </c>
      <c r="E13427" s="1909" t="s">
        <v>615</v>
      </c>
      <c r="F13427" s="1915"/>
      <c r="G13427" s="1915"/>
      <c r="H13427" s="1915"/>
      <c r="K13427" s="841" t="s">
        <v>3264</v>
      </c>
      <c r="M13427" s="1357"/>
      <c r="Q13427" s="1357"/>
      <c r="S13427" s="1420"/>
      <c r="T13427" s="1420"/>
      <c r="V13427" s="1357">
        <v>38</v>
      </c>
    </row>
    <row r="13428" spans="1:22" s="841" customFormat="1" ht="15" x14ac:dyDescent="0.25">
      <c r="A13428" s="841" t="s">
        <v>196</v>
      </c>
      <c r="E13428" s="1689" t="s">
        <v>4700</v>
      </c>
      <c r="F13428" s="1689"/>
      <c r="G13428" s="1689"/>
      <c r="H13428" s="1689"/>
      <c r="K13428" s="841" t="s">
        <v>3264</v>
      </c>
      <c r="M13428" s="1357"/>
      <c r="Q13428" s="1357"/>
      <c r="S13428" s="1420"/>
      <c r="T13428" s="1420"/>
      <c r="V13428" s="1357">
        <v>651</v>
      </c>
    </row>
    <row r="13429" spans="1:22" s="841" customFormat="1" ht="15" x14ac:dyDescent="0.25">
      <c r="A13429" s="841" t="s">
        <v>196</v>
      </c>
      <c r="E13429" s="1916" t="s">
        <v>3061</v>
      </c>
      <c r="F13429" s="1697"/>
      <c r="G13429" s="1697"/>
      <c r="H13429" s="1697"/>
      <c r="K13429" s="841" t="s">
        <v>3266</v>
      </c>
      <c r="M13429" s="1357"/>
      <c r="Q13429" s="1357"/>
      <c r="S13429" s="1420"/>
      <c r="T13429" s="1420"/>
      <c r="V13429" s="1357">
        <v>11</v>
      </c>
    </row>
    <row r="13430" spans="1:22" s="841" customFormat="1" ht="15" x14ac:dyDescent="0.25">
      <c r="A13430" s="841" t="s">
        <v>196</v>
      </c>
      <c r="E13430" s="1689" t="s">
        <v>3063</v>
      </c>
      <c r="F13430" s="1689"/>
      <c r="G13430" s="1689"/>
      <c r="H13430" s="1689"/>
      <c r="K13430" s="841" t="s">
        <v>3264</v>
      </c>
      <c r="M13430" s="1357"/>
      <c r="Q13430" s="1357"/>
      <c r="S13430" s="1420"/>
      <c r="T13430" s="1420"/>
      <c r="V13430" s="1357">
        <v>280</v>
      </c>
    </row>
    <row r="13431" spans="1:22" s="841" customFormat="1" ht="15" x14ac:dyDescent="0.25">
      <c r="A13431" s="841" t="s">
        <v>196</v>
      </c>
      <c r="E13431" s="1689" t="s">
        <v>3064</v>
      </c>
      <c r="F13431" s="1689"/>
      <c r="G13431" s="1689"/>
      <c r="H13431" s="1689"/>
      <c r="K13431" s="841" t="s">
        <v>3264</v>
      </c>
      <c r="M13431" s="1357"/>
      <c r="Q13431" s="1357"/>
      <c r="S13431" s="1420"/>
      <c r="T13431" s="1420"/>
      <c r="V13431" s="1357">
        <v>411</v>
      </c>
    </row>
    <row r="13432" spans="1:22" s="841" customFormat="1" ht="15" x14ac:dyDescent="0.25">
      <c r="A13432" s="841" t="s">
        <v>196</v>
      </c>
      <c r="E13432" s="1689" t="s">
        <v>3065</v>
      </c>
      <c r="F13432" s="1689"/>
      <c r="G13432" s="1689"/>
      <c r="H13432" s="1689"/>
      <c r="K13432" s="841" t="s">
        <v>3264</v>
      </c>
      <c r="M13432" s="1357"/>
      <c r="Q13432" s="1357"/>
      <c r="S13432" s="1420"/>
      <c r="T13432" s="1420"/>
      <c r="V13432" s="1357">
        <v>387</v>
      </c>
    </row>
    <row r="13433" spans="1:22" s="841" customFormat="1" ht="15" x14ac:dyDescent="0.25">
      <c r="A13433" s="841" t="s">
        <v>196</v>
      </c>
      <c r="E13433" s="1689" t="s">
        <v>3200</v>
      </c>
      <c r="F13433" s="1689"/>
      <c r="G13433" s="1689"/>
      <c r="H13433" s="1689"/>
      <c r="K13433" s="841" t="s">
        <v>3264</v>
      </c>
      <c r="M13433" s="1357"/>
      <c r="Q13433" s="1357"/>
      <c r="S13433" s="1420"/>
      <c r="T13433" s="1420"/>
      <c r="V13433" s="1357">
        <v>275</v>
      </c>
    </row>
    <row r="13434" spans="1:22" s="841" customFormat="1" ht="15" x14ac:dyDescent="0.25">
      <c r="A13434" s="841" t="s">
        <v>196</v>
      </c>
      <c r="E13434" s="1694" t="s">
        <v>3067</v>
      </c>
      <c r="F13434" s="1907"/>
      <c r="G13434" s="1907"/>
      <c r="H13434" s="1907"/>
      <c r="K13434" s="841" t="s">
        <v>3267</v>
      </c>
      <c r="M13434" s="1357"/>
      <c r="Q13434" s="1357"/>
      <c r="S13434" s="1420"/>
      <c r="T13434" s="1420"/>
      <c r="V13434" s="1357">
        <v>46</v>
      </c>
    </row>
    <row r="13435" spans="1:22" s="841" customFormat="1" ht="15" x14ac:dyDescent="0.25">
      <c r="A13435" s="841" t="s">
        <v>196</v>
      </c>
      <c r="E13435" s="1690" t="s">
        <v>12</v>
      </c>
      <c r="F13435" s="1690"/>
      <c r="G13435" s="1408" t="s">
        <v>23</v>
      </c>
      <c r="H13435" s="391">
        <v>4.54</v>
      </c>
      <c r="K13435" s="841" t="s">
        <v>3264</v>
      </c>
      <c r="L13435" s="841" t="s">
        <v>442</v>
      </c>
      <c r="M13435" s="1357"/>
      <c r="P13435" s="841" t="s">
        <v>3268</v>
      </c>
      <c r="Q13435" s="1357"/>
      <c r="S13435" s="1420"/>
      <c r="T13435" s="1420"/>
      <c r="V13435" s="1357">
        <v>31</v>
      </c>
    </row>
    <row r="13436" spans="1:22" s="841" customFormat="1" ht="15" x14ac:dyDescent="0.25">
      <c r="A13436" s="841" t="s">
        <v>196</v>
      </c>
      <c r="E13436" s="1690" t="s">
        <v>84</v>
      </c>
      <c r="F13436" s="1690"/>
      <c r="G13436" s="1408" t="s">
        <v>33</v>
      </c>
      <c r="H13436" s="393">
        <v>24.837399999999999</v>
      </c>
      <c r="K13436" s="841" t="s">
        <v>3264</v>
      </c>
      <c r="L13436" s="841" t="s">
        <v>442</v>
      </c>
      <c r="M13436" s="1357"/>
      <c r="P13436" s="841" t="s">
        <v>3269</v>
      </c>
      <c r="Q13436" s="1357"/>
      <c r="S13436" s="1420"/>
      <c r="T13436" s="1420"/>
      <c r="V13436" s="1357">
        <v>28</v>
      </c>
    </row>
    <row r="13437" spans="1:22" s="841" customFormat="1" ht="15" x14ac:dyDescent="0.25">
      <c r="A13437" s="841" t="s">
        <v>196</v>
      </c>
      <c r="E13437" s="1690" t="s">
        <v>5130</v>
      </c>
      <c r="F13437" s="1908"/>
      <c r="G13437" s="1408" t="s">
        <v>33</v>
      </c>
      <c r="H13437" s="393">
        <v>-1.3695999999999999</v>
      </c>
      <c r="K13437" s="841" t="s">
        <v>3264</v>
      </c>
      <c r="L13437" s="841" t="s">
        <v>443</v>
      </c>
      <c r="M13437" s="1357"/>
      <c r="P13437" s="841" t="s">
        <v>3273</v>
      </c>
      <c r="Q13437" s="1357"/>
      <c r="S13437" s="1420"/>
      <c r="T13437" s="1420">
        <v>43585</v>
      </c>
      <c r="V13437" s="1357">
        <v>96</v>
      </c>
    </row>
    <row r="13438" spans="1:22" s="841" customFormat="1" ht="15" x14ac:dyDescent="0.25">
      <c r="A13438" s="841" t="s">
        <v>196</v>
      </c>
      <c r="E13438" s="1690" t="s">
        <v>221</v>
      </c>
      <c r="F13438" s="1690"/>
      <c r="G13438" s="1408" t="s">
        <v>33</v>
      </c>
      <c r="H13438" s="393">
        <v>1.8418000000000001</v>
      </c>
      <c r="K13438" s="841" t="s">
        <v>3264</v>
      </c>
      <c r="L13438" s="841" t="s">
        <v>444</v>
      </c>
      <c r="M13438" s="1357"/>
      <c r="P13438" s="841" t="s">
        <v>3274</v>
      </c>
      <c r="Q13438" s="1357"/>
      <c r="S13438" s="1420"/>
      <c r="T13438" s="1420"/>
      <c r="V13438" s="1357">
        <v>47</v>
      </c>
    </row>
    <row r="13439" spans="1:22" s="841" customFormat="1" ht="15" x14ac:dyDescent="0.25">
      <c r="A13439" s="841" t="s">
        <v>196</v>
      </c>
      <c r="E13439" s="1690" t="s">
        <v>217</v>
      </c>
      <c r="F13439" s="1690"/>
      <c r="G13439" s="1408" t="s">
        <v>33</v>
      </c>
      <c r="H13439" s="393">
        <v>1.8339000000000001</v>
      </c>
      <c r="K13439" s="841" t="s">
        <v>3264</v>
      </c>
      <c r="L13439" s="841" t="s">
        <v>444</v>
      </c>
      <c r="M13439" s="1357"/>
      <c r="P13439" s="841" t="s">
        <v>3275</v>
      </c>
      <c r="Q13439" s="1357"/>
      <c r="S13439" s="1420"/>
      <c r="T13439" s="1420"/>
      <c r="V13439" s="1357">
        <v>74</v>
      </c>
    </row>
    <row r="13440" spans="1:22" s="841" customFormat="1" ht="15" x14ac:dyDescent="0.25">
      <c r="A13440" s="841" t="s">
        <v>196</v>
      </c>
      <c r="E13440" s="1694" t="s">
        <v>3079</v>
      </c>
      <c r="F13440" s="1690"/>
      <c r="G13440" s="1408"/>
      <c r="H13440" s="1408"/>
      <c r="K13440" s="841" t="s">
        <v>3276</v>
      </c>
      <c r="M13440" s="1357"/>
      <c r="Q13440" s="1357"/>
      <c r="S13440" s="1420"/>
      <c r="T13440" s="1420"/>
      <c r="V13440" s="1357">
        <v>48</v>
      </c>
    </row>
    <row r="13441" spans="1:22" s="841" customFormat="1" ht="15" x14ac:dyDescent="0.25">
      <c r="A13441" s="841" t="s">
        <v>196</v>
      </c>
      <c r="E13441" s="1690" t="s">
        <v>2449</v>
      </c>
      <c r="F13441" s="1690"/>
      <c r="G13441" s="1408" t="s">
        <v>24</v>
      </c>
      <c r="H13441" s="393">
        <v>3.2000000000000002E-3</v>
      </c>
      <c r="K13441" s="841" t="s">
        <v>3264</v>
      </c>
      <c r="L13441" s="841" t="s">
        <v>3046</v>
      </c>
      <c r="M13441" s="1357"/>
      <c r="P13441" s="841" t="s">
        <v>3277</v>
      </c>
      <c r="Q13441" s="1357"/>
      <c r="S13441" s="1420"/>
      <c r="T13441" s="1420"/>
      <c r="V13441" s="1357">
        <v>55</v>
      </c>
    </row>
    <row r="13442" spans="1:22" s="841" customFormat="1" ht="15" x14ac:dyDescent="0.25">
      <c r="A13442" s="841" t="s">
        <v>196</v>
      </c>
      <c r="E13442" s="1690" t="s">
        <v>2450</v>
      </c>
      <c r="F13442" s="1690"/>
      <c r="G13442" s="1408" t="s">
        <v>24</v>
      </c>
      <c r="H13442" s="393">
        <v>4.0000000000000002E-4</v>
      </c>
      <c r="K13442" s="841" t="s">
        <v>3264</v>
      </c>
      <c r="L13442" s="841" t="s">
        <v>3046</v>
      </c>
      <c r="M13442" s="1357"/>
      <c r="P13442" s="841" t="s">
        <v>3277</v>
      </c>
      <c r="Q13442" s="1357"/>
      <c r="S13442" s="1420"/>
      <c r="T13442" s="1420"/>
      <c r="V13442" s="1357">
        <v>65</v>
      </c>
    </row>
    <row r="13443" spans="1:22" s="841" customFormat="1" ht="15" x14ac:dyDescent="0.25">
      <c r="A13443" s="841" t="s">
        <v>196</v>
      </c>
      <c r="E13443" s="1690" t="s">
        <v>439</v>
      </c>
      <c r="F13443" s="1690"/>
      <c r="G13443" s="1408" t="s">
        <v>24</v>
      </c>
      <c r="H13443" s="393">
        <v>2.9999999999999997E-4</v>
      </c>
      <c r="K13443" s="841" t="s">
        <v>3264</v>
      </c>
      <c r="L13443" s="841" t="s">
        <v>3046</v>
      </c>
      <c r="M13443" s="1357"/>
      <c r="P13443" s="841" t="s">
        <v>3278</v>
      </c>
      <c r="Q13443" s="1357"/>
      <c r="S13443" s="1420"/>
      <c r="T13443" s="1420"/>
      <c r="V13443" s="1357">
        <v>57</v>
      </c>
    </row>
    <row r="13444" spans="1:22" s="841" customFormat="1" ht="15" x14ac:dyDescent="0.25">
      <c r="A13444" s="841" t="s">
        <v>196</v>
      </c>
      <c r="E13444" s="1690" t="s">
        <v>32</v>
      </c>
      <c r="F13444" s="1690"/>
      <c r="G13444" s="1408" t="s">
        <v>23</v>
      </c>
      <c r="H13444" s="391">
        <v>0.25</v>
      </c>
      <c r="K13444" s="841" t="s">
        <v>3264</v>
      </c>
      <c r="L13444" s="841" t="s">
        <v>3046</v>
      </c>
      <c r="M13444" s="1357"/>
      <c r="P13444" s="841" t="s">
        <v>3279</v>
      </c>
      <c r="Q13444" s="1357"/>
      <c r="S13444" s="1420"/>
      <c r="T13444" s="1420"/>
      <c r="V13444" s="1357">
        <v>63</v>
      </c>
    </row>
    <row r="13445" spans="1:22" s="841" customFormat="1" x14ac:dyDescent="0.25">
      <c r="A13445" s="841" t="s">
        <v>196</v>
      </c>
      <c r="E13445" s="1909" t="s">
        <v>618</v>
      </c>
      <c r="F13445" s="1915"/>
      <c r="G13445" s="1915"/>
      <c r="H13445" s="1915"/>
      <c r="K13445" s="841" t="s">
        <v>3280</v>
      </c>
      <c r="M13445" s="1357"/>
      <c r="Q13445" s="1357"/>
      <c r="S13445" s="1420"/>
      <c r="T13445" s="1420"/>
      <c r="V13445" s="1357">
        <v>31</v>
      </c>
    </row>
    <row r="13446" spans="1:22" s="841" customFormat="1" ht="15" x14ac:dyDescent="0.25">
      <c r="A13446" s="841" t="s">
        <v>196</v>
      </c>
      <c r="E13446" s="1689" t="s">
        <v>4701</v>
      </c>
      <c r="F13446" s="1689"/>
      <c r="G13446" s="1689"/>
      <c r="H13446" s="1689"/>
      <c r="K13446" s="841" t="s">
        <v>3280</v>
      </c>
      <c r="M13446" s="1357"/>
      <c r="Q13446" s="1357"/>
      <c r="S13446" s="1420"/>
      <c r="T13446" s="1420"/>
      <c r="V13446" s="1357">
        <v>286</v>
      </c>
    </row>
    <row r="13447" spans="1:22" s="841" customFormat="1" ht="15" x14ac:dyDescent="0.25">
      <c r="A13447" s="841" t="s">
        <v>196</v>
      </c>
      <c r="E13447" s="1916" t="s">
        <v>3061</v>
      </c>
      <c r="F13447" s="1697"/>
      <c r="G13447" s="1697"/>
      <c r="H13447" s="1697"/>
      <c r="K13447" s="841" t="s">
        <v>3281</v>
      </c>
      <c r="M13447" s="1357"/>
      <c r="Q13447" s="1357"/>
      <c r="S13447" s="1420"/>
      <c r="T13447" s="1420"/>
      <c r="V13447" s="1357">
        <v>11</v>
      </c>
    </row>
    <row r="13448" spans="1:22" s="841" customFormat="1" ht="15" x14ac:dyDescent="0.25">
      <c r="A13448" s="841" t="s">
        <v>196</v>
      </c>
      <c r="E13448" s="1689" t="s">
        <v>3063</v>
      </c>
      <c r="F13448" s="1689"/>
      <c r="G13448" s="1689"/>
      <c r="H13448" s="1689"/>
      <c r="K13448" s="841" t="s">
        <v>3280</v>
      </c>
      <c r="M13448" s="1357"/>
      <c r="Q13448" s="1357"/>
      <c r="S13448" s="1420"/>
      <c r="T13448" s="1420"/>
      <c r="V13448" s="1357">
        <v>280</v>
      </c>
    </row>
    <row r="13449" spans="1:22" s="841" customFormat="1" ht="15" x14ac:dyDescent="0.25">
      <c r="A13449" s="841" t="s">
        <v>196</v>
      </c>
      <c r="E13449" s="1689" t="s">
        <v>3064</v>
      </c>
      <c r="F13449" s="1689"/>
      <c r="G13449" s="1689"/>
      <c r="H13449" s="1689"/>
      <c r="K13449" s="841" t="s">
        <v>3280</v>
      </c>
      <c r="M13449" s="1357"/>
      <c r="Q13449" s="1357"/>
      <c r="S13449" s="1420"/>
      <c r="T13449" s="1420"/>
      <c r="V13449" s="1357">
        <v>411</v>
      </c>
    </row>
    <row r="13450" spans="1:22" s="841" customFormat="1" ht="15" x14ac:dyDescent="0.25">
      <c r="A13450" s="841" t="s">
        <v>196</v>
      </c>
      <c r="E13450" s="1689" t="s">
        <v>3065</v>
      </c>
      <c r="F13450" s="1689"/>
      <c r="G13450" s="1689"/>
      <c r="H13450" s="1689"/>
      <c r="K13450" s="841" t="s">
        <v>3280</v>
      </c>
      <c r="M13450" s="1357"/>
      <c r="Q13450" s="1357"/>
      <c r="S13450" s="1420"/>
      <c r="T13450" s="1420"/>
      <c r="V13450" s="1357">
        <v>387</v>
      </c>
    </row>
    <row r="13451" spans="1:22" s="841" customFormat="1" ht="15" x14ac:dyDescent="0.25">
      <c r="A13451" s="841" t="s">
        <v>196</v>
      </c>
      <c r="E13451" s="1689" t="s">
        <v>3200</v>
      </c>
      <c r="F13451" s="1689"/>
      <c r="G13451" s="1689"/>
      <c r="H13451" s="1689"/>
      <c r="K13451" s="841" t="s">
        <v>3280</v>
      </c>
      <c r="M13451" s="1357"/>
      <c r="Q13451" s="1357"/>
      <c r="S13451" s="1420"/>
      <c r="T13451" s="1420"/>
      <c r="V13451" s="1357">
        <v>275</v>
      </c>
    </row>
    <row r="13452" spans="1:22" s="841" customFormat="1" ht="15" x14ac:dyDescent="0.25">
      <c r="A13452" s="841" t="s">
        <v>196</v>
      </c>
      <c r="E13452" s="1694" t="s">
        <v>3067</v>
      </c>
      <c r="F13452" s="1907"/>
      <c r="G13452" s="1907"/>
      <c r="H13452" s="1907"/>
      <c r="K13452" s="841" t="s">
        <v>3282</v>
      </c>
      <c r="M13452" s="1357"/>
      <c r="Q13452" s="1357"/>
      <c r="S13452" s="1420"/>
      <c r="T13452" s="1420"/>
      <c r="V13452" s="1357">
        <v>46</v>
      </c>
    </row>
    <row r="13453" spans="1:22" s="841" customFormat="1" ht="15" x14ac:dyDescent="0.25">
      <c r="A13453" s="841" t="s">
        <v>196</v>
      </c>
      <c r="E13453" s="1690" t="s">
        <v>11</v>
      </c>
      <c r="F13453" s="1690"/>
      <c r="G13453" s="1408" t="s">
        <v>23</v>
      </c>
      <c r="H13453" s="391">
        <v>5.4</v>
      </c>
      <c r="K13453" s="841" t="s">
        <v>3280</v>
      </c>
      <c r="L13453" s="841" t="s">
        <v>442</v>
      </c>
      <c r="M13453" s="1357"/>
      <c r="P13453" s="841" t="s">
        <v>3283</v>
      </c>
      <c r="Q13453" s="1357"/>
      <c r="S13453" s="1420"/>
      <c r="T13453" s="1420"/>
      <c r="V13453" s="1357">
        <v>14</v>
      </c>
    </row>
    <row r="13454" spans="1:22" s="841" customFormat="1" ht="18.75" x14ac:dyDescent="0.25">
      <c r="A13454" s="841" t="s">
        <v>196</v>
      </c>
      <c r="E13454" s="1374" t="s">
        <v>85</v>
      </c>
      <c r="F13454" s="661"/>
      <c r="G13454" s="661"/>
      <c r="H13454" s="662"/>
      <c r="K13454" s="841" t="s">
        <v>4702</v>
      </c>
      <c r="M13454" s="1357"/>
      <c r="Q13454" s="1357"/>
      <c r="S13454" s="1420"/>
      <c r="T13454" s="1420"/>
      <c r="V13454" s="1357">
        <v>10</v>
      </c>
    </row>
    <row r="13455" spans="1:22" s="841" customFormat="1" ht="15" x14ac:dyDescent="0.25">
      <c r="A13455" s="841" t="s">
        <v>196</v>
      </c>
      <c r="E13455" s="1690" t="s">
        <v>3133</v>
      </c>
      <c r="F13455" s="1690"/>
      <c r="G13455" s="1408" t="s">
        <v>33</v>
      </c>
      <c r="H13455" s="681">
        <v>-0.6</v>
      </c>
      <c r="M13455" s="1357"/>
      <c r="Q13455" s="1357"/>
      <c r="S13455" s="1420"/>
      <c r="T13455" s="1420"/>
      <c r="V13455" s="1357">
        <v>68</v>
      </c>
    </row>
    <row r="13456" spans="1:22" s="841" customFormat="1" ht="15" x14ac:dyDescent="0.25">
      <c r="A13456" s="841" t="s">
        <v>196</v>
      </c>
      <c r="E13456" s="1690" t="s">
        <v>3134</v>
      </c>
      <c r="F13456" s="1690"/>
      <c r="G13456" s="1408" t="s">
        <v>86</v>
      </c>
      <c r="H13456" s="391">
        <v>-1</v>
      </c>
      <c r="M13456" s="1357"/>
      <c r="Q13456" s="1357"/>
      <c r="S13456" s="1420"/>
      <c r="T13456" s="1420"/>
      <c r="V13456" s="1357">
        <v>87</v>
      </c>
    </row>
    <row r="13457" spans="1:22" s="841" customFormat="1" ht="36" x14ac:dyDescent="0.25">
      <c r="A13457" s="841" t="s">
        <v>196</v>
      </c>
      <c r="E13457" s="1374" t="s">
        <v>87</v>
      </c>
      <c r="F13457" s="661"/>
      <c r="G13457" s="661"/>
      <c r="H13457" s="662"/>
      <c r="K13457" s="841" t="s">
        <v>4703</v>
      </c>
      <c r="M13457" s="1357"/>
      <c r="Q13457" s="1357"/>
      <c r="S13457" s="1420"/>
      <c r="T13457" s="1420"/>
      <c r="V13457" s="1357">
        <v>24</v>
      </c>
    </row>
    <row r="13458" spans="1:22" s="841" customFormat="1" ht="15" x14ac:dyDescent="0.25">
      <c r="A13458" s="841" t="s">
        <v>196</v>
      </c>
      <c r="E13458" s="1689" t="s">
        <v>3063</v>
      </c>
      <c r="F13458" s="1689"/>
      <c r="G13458" s="1689"/>
      <c r="H13458" s="1689"/>
      <c r="M13458" s="1357"/>
      <c r="Q13458" s="1357"/>
      <c r="S13458" s="1420"/>
      <c r="T13458" s="1420"/>
      <c r="V13458" s="1357">
        <v>280</v>
      </c>
    </row>
    <row r="13459" spans="1:22" s="841" customFormat="1" ht="15" x14ac:dyDescent="0.25">
      <c r="A13459" s="841" t="s">
        <v>196</v>
      </c>
      <c r="E13459" s="1689" t="s">
        <v>3136</v>
      </c>
      <c r="F13459" s="1689"/>
      <c r="G13459" s="1689"/>
      <c r="H13459" s="1689"/>
      <c r="M13459" s="1357"/>
      <c r="Q13459" s="1357"/>
      <c r="S13459" s="1420"/>
      <c r="T13459" s="1420"/>
      <c r="V13459" s="1357">
        <v>353</v>
      </c>
    </row>
    <row r="13460" spans="1:22" s="841" customFormat="1" ht="15" x14ac:dyDescent="0.25">
      <c r="A13460" s="841" t="s">
        <v>196</v>
      </c>
      <c r="E13460" s="1689" t="s">
        <v>3200</v>
      </c>
      <c r="F13460" s="1689"/>
      <c r="G13460" s="1689"/>
      <c r="H13460" s="1689"/>
      <c r="M13460" s="1357"/>
      <c r="Q13460" s="1357"/>
      <c r="S13460" s="1420"/>
      <c r="T13460" s="1420"/>
      <c r="V13460" s="1357">
        <v>275</v>
      </c>
    </row>
    <row r="13461" spans="1:22" s="841" customFormat="1" ht="15" x14ac:dyDescent="0.25">
      <c r="A13461" s="841" t="s">
        <v>196</v>
      </c>
      <c r="E13461" s="1370" t="s">
        <v>3137</v>
      </c>
      <c r="F13461" s="500"/>
      <c r="G13461" s="500"/>
      <c r="H13461" s="501"/>
      <c r="K13461" s="841" t="s">
        <v>4704</v>
      </c>
      <c r="M13461" s="1357"/>
      <c r="Q13461" s="1357"/>
      <c r="S13461" s="1420"/>
      <c r="T13461" s="1420"/>
      <c r="V13461" s="1357">
        <v>23</v>
      </c>
    </row>
    <row r="13462" spans="1:22" s="841" customFormat="1" ht="15" x14ac:dyDescent="0.25">
      <c r="A13462" s="841" t="s">
        <v>196</v>
      </c>
      <c r="E13462" s="1688" t="s">
        <v>3355</v>
      </c>
      <c r="F13462" s="1688"/>
      <c r="G13462" s="1408" t="s">
        <v>23</v>
      </c>
      <c r="H13462" s="391">
        <v>15</v>
      </c>
      <c r="M13462" s="1357"/>
      <c r="Q13462" s="1357"/>
      <c r="S13462" s="1420"/>
      <c r="T13462" s="1420"/>
      <c r="V13462" s="1357">
        <v>19</v>
      </c>
    </row>
    <row r="13463" spans="1:22" s="841" customFormat="1" ht="15" x14ac:dyDescent="0.25">
      <c r="A13463" s="841" t="s">
        <v>196</v>
      </c>
      <c r="E13463" s="1688" t="s">
        <v>88</v>
      </c>
      <c r="F13463" s="1688"/>
      <c r="G13463" s="1408" t="s">
        <v>23</v>
      </c>
      <c r="H13463" s="391">
        <v>30</v>
      </c>
      <c r="M13463" s="1357"/>
      <c r="Q13463" s="1357"/>
      <c r="S13463" s="1420"/>
      <c r="T13463" s="1420"/>
      <c r="V13463" s="1357">
        <v>89</v>
      </c>
    </row>
    <row r="13464" spans="1:22" s="841" customFormat="1" ht="15" x14ac:dyDescent="0.25">
      <c r="A13464" s="841" t="s">
        <v>196</v>
      </c>
      <c r="E13464" s="1688" t="s">
        <v>94</v>
      </c>
      <c r="F13464" s="1688"/>
      <c r="G13464" s="1408" t="s">
        <v>23</v>
      </c>
      <c r="H13464" s="391">
        <v>15</v>
      </c>
      <c r="M13464" s="1357"/>
      <c r="Q13464" s="1357"/>
      <c r="S13464" s="1420"/>
      <c r="T13464" s="1420"/>
      <c r="V13464" s="1357">
        <v>19</v>
      </c>
    </row>
    <row r="13465" spans="1:22" s="841" customFormat="1" ht="15" x14ac:dyDescent="0.25">
      <c r="A13465" s="841" t="s">
        <v>196</v>
      </c>
      <c r="E13465" s="1688" t="s">
        <v>92</v>
      </c>
      <c r="F13465" s="1688"/>
      <c r="G13465" s="1408" t="s">
        <v>23</v>
      </c>
      <c r="H13465" s="391">
        <v>30</v>
      </c>
      <c r="M13465" s="1357"/>
      <c r="Q13465" s="1357"/>
      <c r="S13465" s="1420"/>
      <c r="T13465" s="1420"/>
      <c r="V13465" s="1357">
        <v>74</v>
      </c>
    </row>
    <row r="13466" spans="1:22" s="841" customFormat="1" ht="15" x14ac:dyDescent="0.25">
      <c r="A13466" s="841" t="s">
        <v>196</v>
      </c>
      <c r="E13466" s="1370" t="s">
        <v>3152</v>
      </c>
      <c r="F13466" s="500"/>
      <c r="G13466" s="500"/>
      <c r="H13466" s="501"/>
      <c r="K13466" s="841" t="s">
        <v>4705</v>
      </c>
      <c r="M13466" s="1357"/>
      <c r="Q13466" s="1357"/>
      <c r="S13466" s="1420"/>
      <c r="T13466" s="1420"/>
      <c r="V13466" s="1357">
        <v>22</v>
      </c>
    </row>
    <row r="13467" spans="1:22" s="841" customFormat="1" ht="15" x14ac:dyDescent="0.25">
      <c r="A13467" s="841" t="s">
        <v>196</v>
      </c>
      <c r="E13467" s="1688" t="s">
        <v>5137</v>
      </c>
      <c r="F13467" s="1688"/>
      <c r="G13467" s="1408" t="s">
        <v>86</v>
      </c>
      <c r="H13467" s="391">
        <v>1.5</v>
      </c>
      <c r="M13467" s="1357"/>
      <c r="Q13467" s="1357"/>
      <c r="S13467" s="1420"/>
      <c r="T13467" s="1420"/>
      <c r="V13467" s="1357">
        <v>24</v>
      </c>
    </row>
    <row r="13468" spans="1:22" s="841" customFormat="1" ht="15" x14ac:dyDescent="0.25">
      <c r="A13468" s="841" t="s">
        <v>196</v>
      </c>
      <c r="E13468" s="1688" t="s">
        <v>4772</v>
      </c>
      <c r="F13468" s="1688"/>
      <c r="G13468" s="1408" t="s">
        <v>86</v>
      </c>
      <c r="H13468" s="391">
        <v>19.559999999999999</v>
      </c>
      <c r="M13468" s="1357"/>
      <c r="Q13468" s="1357"/>
      <c r="S13468" s="1420"/>
      <c r="T13468" s="1420"/>
      <c r="V13468" s="1357">
        <v>24</v>
      </c>
    </row>
    <row r="13469" spans="1:22" s="841" customFormat="1" ht="15" x14ac:dyDescent="0.25">
      <c r="A13469" s="841" t="s">
        <v>196</v>
      </c>
      <c r="E13469" s="1688" t="s">
        <v>3288</v>
      </c>
      <c r="F13469" s="1688"/>
      <c r="G13469" s="1408" t="s">
        <v>23</v>
      </c>
      <c r="H13469" s="391">
        <v>30</v>
      </c>
      <c r="M13469" s="1357"/>
      <c r="Q13469" s="1357"/>
      <c r="S13469" s="1420"/>
      <c r="T13469" s="1420"/>
      <c r="V13469" s="1357">
        <v>47</v>
      </c>
    </row>
    <row r="13470" spans="1:22" s="841" customFormat="1" ht="15" x14ac:dyDescent="0.25">
      <c r="A13470" s="841" t="s">
        <v>196</v>
      </c>
      <c r="E13470" s="1688" t="s">
        <v>5916</v>
      </c>
      <c r="F13470" s="1688"/>
      <c r="G13470" s="1408" t="s">
        <v>23</v>
      </c>
      <c r="H13470" s="391">
        <v>65</v>
      </c>
      <c r="M13470" s="1357"/>
      <c r="Q13470" s="1357"/>
      <c r="S13470" s="1420"/>
      <c r="T13470" s="1420"/>
      <c r="V13470" s="1357">
        <v>52</v>
      </c>
    </row>
    <row r="13471" spans="1:22" s="841" customFormat="1" ht="15" x14ac:dyDescent="0.25">
      <c r="A13471" s="841" t="s">
        <v>196</v>
      </c>
      <c r="E13471" s="1688" t="s">
        <v>5917</v>
      </c>
      <c r="F13471" s="1688"/>
      <c r="G13471" s="1408" t="s">
        <v>23</v>
      </c>
      <c r="H13471" s="391">
        <v>185</v>
      </c>
      <c r="M13471" s="1357"/>
      <c r="Q13471" s="1357"/>
      <c r="S13471" s="1420"/>
      <c r="T13471" s="1420"/>
      <c r="V13471" s="1357">
        <v>51</v>
      </c>
    </row>
    <row r="13472" spans="1:22" s="841" customFormat="1" ht="15" x14ac:dyDescent="0.25">
      <c r="A13472" s="841" t="s">
        <v>196</v>
      </c>
      <c r="E13472" s="1688" t="s">
        <v>5918</v>
      </c>
      <c r="F13472" s="1688"/>
      <c r="G13472" s="1408" t="s">
        <v>23</v>
      </c>
      <c r="H13472" s="391">
        <v>185</v>
      </c>
      <c r="M13472" s="1357"/>
      <c r="Q13472" s="1357"/>
      <c r="S13472" s="1420"/>
      <c r="T13472" s="1420"/>
      <c r="V13472" s="1357">
        <v>51</v>
      </c>
    </row>
    <row r="13473" spans="1:22" s="841" customFormat="1" ht="15" x14ac:dyDescent="0.25">
      <c r="A13473" s="841" t="s">
        <v>196</v>
      </c>
      <c r="E13473" s="1370" t="s">
        <v>3164</v>
      </c>
      <c r="F13473" s="1403"/>
      <c r="G13473" s="502"/>
      <c r="H13473" s="395"/>
      <c r="M13473" s="1357"/>
      <c r="Q13473" s="1357"/>
      <c r="S13473" s="1420"/>
      <c r="T13473" s="1420"/>
      <c r="V13473" s="1357">
        <v>5</v>
      </c>
    </row>
    <row r="13474" spans="1:22" s="841" customFormat="1" ht="15" x14ac:dyDescent="0.25">
      <c r="A13474" s="841" t="s">
        <v>196</v>
      </c>
      <c r="E13474" s="1688" t="s">
        <v>3491</v>
      </c>
      <c r="F13474" s="1688"/>
      <c r="G13474" s="1408" t="s">
        <v>23</v>
      </c>
      <c r="H13474" s="391">
        <v>22.35</v>
      </c>
      <c r="M13474" s="1357"/>
      <c r="Q13474" s="1357"/>
      <c r="S13474" s="1420"/>
      <c r="T13474" s="1420"/>
      <c r="V13474" s="1357">
        <v>59</v>
      </c>
    </row>
    <row r="13475" spans="1:22" s="841" customFormat="1" ht="15" x14ac:dyDescent="0.25">
      <c r="A13475" s="841" t="s">
        <v>196</v>
      </c>
      <c r="E13475" s="1688" t="s">
        <v>3492</v>
      </c>
      <c r="F13475" s="1688"/>
      <c r="G13475" s="1408"/>
      <c r="H13475" s="391"/>
      <c r="M13475" s="1357"/>
      <c r="Q13475" s="1357"/>
      <c r="S13475" s="1420"/>
      <c r="T13475" s="1420"/>
      <c r="V13475" s="1357">
        <v>46</v>
      </c>
    </row>
    <row r="13476" spans="1:22" s="841" customFormat="1" x14ac:dyDescent="0.25">
      <c r="A13476" s="841" t="s">
        <v>196</v>
      </c>
      <c r="E13476" s="1931" t="s">
        <v>77</v>
      </c>
      <c r="F13476" s="1931"/>
      <c r="G13476" s="1931"/>
      <c r="H13476" s="1931"/>
      <c r="K13476" s="841" t="s">
        <v>4706</v>
      </c>
      <c r="M13476" s="1357"/>
      <c r="Q13476" s="1357"/>
      <c r="S13476" s="1420"/>
      <c r="T13476" s="1420"/>
      <c r="V13476" s="1357">
        <v>38</v>
      </c>
    </row>
    <row r="13477" spans="1:22" s="841" customFormat="1" ht="15" x14ac:dyDescent="0.25">
      <c r="A13477" s="841" t="s">
        <v>196</v>
      </c>
      <c r="E13477" s="1689" t="s">
        <v>3063</v>
      </c>
      <c r="F13477" s="1689"/>
      <c r="G13477" s="1689"/>
      <c r="H13477" s="1689"/>
      <c r="M13477" s="1357"/>
      <c r="Q13477" s="1357"/>
      <c r="S13477" s="1420"/>
      <c r="T13477" s="1420"/>
      <c r="V13477" s="1357">
        <v>280</v>
      </c>
    </row>
    <row r="13478" spans="1:22" s="841" customFormat="1" ht="15" x14ac:dyDescent="0.25">
      <c r="A13478" s="841" t="s">
        <v>196</v>
      </c>
      <c r="E13478" s="1689" t="s">
        <v>3064</v>
      </c>
      <c r="F13478" s="1689"/>
      <c r="G13478" s="1689"/>
      <c r="H13478" s="1689"/>
      <c r="M13478" s="1357"/>
      <c r="Q13478" s="1357"/>
      <c r="S13478" s="1420"/>
      <c r="T13478" s="1420"/>
      <c r="V13478" s="1357">
        <v>411</v>
      </c>
    </row>
    <row r="13479" spans="1:22" s="841" customFormat="1" ht="15" x14ac:dyDescent="0.25">
      <c r="A13479" s="841" t="s">
        <v>196</v>
      </c>
      <c r="E13479" s="1689" t="s">
        <v>3129</v>
      </c>
      <c r="F13479" s="1689"/>
      <c r="G13479" s="1689"/>
      <c r="H13479" s="1689"/>
      <c r="M13479" s="1357"/>
      <c r="Q13479" s="1357"/>
      <c r="S13479" s="1420"/>
      <c r="T13479" s="1420"/>
      <c r="V13479" s="1357">
        <v>211</v>
      </c>
    </row>
    <row r="13480" spans="1:22" s="841" customFormat="1" ht="15" x14ac:dyDescent="0.25">
      <c r="A13480" s="841" t="s">
        <v>196</v>
      </c>
      <c r="E13480" s="1689" t="s">
        <v>3200</v>
      </c>
      <c r="F13480" s="1689"/>
      <c r="G13480" s="1689"/>
      <c r="H13480" s="1689"/>
      <c r="M13480" s="1357"/>
      <c r="Q13480" s="1357"/>
      <c r="S13480" s="1420"/>
      <c r="T13480" s="1420"/>
      <c r="V13480" s="1357">
        <v>275</v>
      </c>
    </row>
    <row r="13481" spans="1:22" s="841" customFormat="1" ht="15" x14ac:dyDescent="0.25">
      <c r="A13481" s="841" t="s">
        <v>196</v>
      </c>
      <c r="E13481" s="1689" t="s">
        <v>3291</v>
      </c>
      <c r="F13481" s="1689"/>
      <c r="G13481" s="1689"/>
      <c r="H13481" s="1689"/>
      <c r="M13481" s="1357"/>
      <c r="Q13481" s="1357"/>
      <c r="S13481" s="1420"/>
      <c r="T13481" s="1420"/>
      <c r="V13481" s="1357">
        <v>142</v>
      </c>
    </row>
    <row r="13482" spans="1:22" s="841" customFormat="1" ht="15" x14ac:dyDescent="0.25">
      <c r="A13482" s="841" t="s">
        <v>196</v>
      </c>
      <c r="E13482" s="1690" t="s">
        <v>3176</v>
      </c>
      <c r="F13482" s="1690"/>
      <c r="G13482" s="502" t="s">
        <v>23</v>
      </c>
      <c r="H13482" s="395">
        <v>100</v>
      </c>
      <c r="M13482" s="1357"/>
      <c r="Q13482" s="1357"/>
      <c r="S13482" s="1420"/>
      <c r="T13482" s="1420"/>
      <c r="V13482" s="1357">
        <v>106</v>
      </c>
    </row>
    <row r="13483" spans="1:22" s="841" customFormat="1" ht="15" x14ac:dyDescent="0.25">
      <c r="A13483" s="841" t="s">
        <v>196</v>
      </c>
      <c r="E13483" s="1690" t="s">
        <v>5140</v>
      </c>
      <c r="F13483" s="1690"/>
      <c r="G13483" s="502" t="s">
        <v>23</v>
      </c>
      <c r="H13483" s="395">
        <v>20</v>
      </c>
      <c r="M13483" s="1357"/>
      <c r="Q13483" s="1357"/>
      <c r="S13483" s="1420"/>
      <c r="T13483" s="1420"/>
      <c r="V13483" s="1357">
        <v>34</v>
      </c>
    </row>
    <row r="13484" spans="1:22" s="841" customFormat="1" ht="15" x14ac:dyDescent="0.25">
      <c r="A13484" s="841" t="s">
        <v>196</v>
      </c>
      <c r="E13484" s="1690" t="s">
        <v>5141</v>
      </c>
      <c r="F13484" s="1690"/>
      <c r="G13484" s="502" t="s">
        <v>3179</v>
      </c>
      <c r="H13484" s="395">
        <v>0.5</v>
      </c>
      <c r="M13484" s="1357"/>
      <c r="Q13484" s="1357"/>
      <c r="S13484" s="1420"/>
      <c r="T13484" s="1420"/>
      <c r="V13484" s="1357">
        <v>51</v>
      </c>
    </row>
    <row r="13485" spans="1:22" s="841" customFormat="1" ht="15" x14ac:dyDescent="0.25">
      <c r="A13485" s="841" t="s">
        <v>196</v>
      </c>
      <c r="E13485" s="1690" t="s">
        <v>3180</v>
      </c>
      <c r="F13485" s="1690"/>
      <c r="G13485" s="502" t="s">
        <v>3179</v>
      </c>
      <c r="H13485" s="395">
        <v>0.3</v>
      </c>
      <c r="M13485" s="1357"/>
      <c r="Q13485" s="1357"/>
      <c r="S13485" s="1420"/>
      <c r="T13485" s="1420"/>
      <c r="V13485" s="1357">
        <v>75</v>
      </c>
    </row>
    <row r="13486" spans="1:22" s="841" customFormat="1" ht="15" x14ac:dyDescent="0.25">
      <c r="A13486" s="841" t="s">
        <v>196</v>
      </c>
      <c r="E13486" s="1690" t="s">
        <v>3181</v>
      </c>
      <c r="F13486" s="1690"/>
      <c r="G13486" s="502" t="s">
        <v>3179</v>
      </c>
      <c r="H13486" s="395">
        <v>-0.3</v>
      </c>
      <c r="M13486" s="1357"/>
      <c r="Q13486" s="1357"/>
      <c r="S13486" s="1420"/>
      <c r="T13486" s="1420"/>
      <c r="V13486" s="1357">
        <v>72</v>
      </c>
    </row>
    <row r="13487" spans="1:22" s="841" customFormat="1" ht="15" x14ac:dyDescent="0.25">
      <c r="A13487" s="841" t="s">
        <v>196</v>
      </c>
      <c r="E13487" s="1690" t="s">
        <v>3292</v>
      </c>
      <c r="F13487" s="1690"/>
      <c r="G13487" s="502"/>
      <c r="H13487" s="503"/>
      <c r="M13487" s="1357"/>
      <c r="Q13487" s="1357"/>
      <c r="S13487" s="1420"/>
      <c r="T13487" s="1420"/>
      <c r="V13487" s="1357">
        <v>34</v>
      </c>
    </row>
    <row r="13488" spans="1:22" s="841" customFormat="1" ht="15" x14ac:dyDescent="0.25">
      <c r="A13488" s="841" t="s">
        <v>196</v>
      </c>
      <c r="E13488" s="1691" t="s">
        <v>3183</v>
      </c>
      <c r="F13488" s="1691"/>
      <c r="G13488" s="502" t="s">
        <v>23</v>
      </c>
      <c r="H13488" s="395">
        <v>0.25</v>
      </c>
      <c r="M13488" s="1357"/>
      <c r="Q13488" s="1357"/>
      <c r="S13488" s="1420"/>
      <c r="T13488" s="1420"/>
      <c r="V13488" s="1357">
        <v>57</v>
      </c>
    </row>
    <row r="13489" spans="1:22" s="841" customFormat="1" ht="15" x14ac:dyDescent="0.25">
      <c r="A13489" s="841" t="s">
        <v>196</v>
      </c>
      <c r="E13489" s="1691" t="s">
        <v>3184</v>
      </c>
      <c r="F13489" s="1691"/>
      <c r="G13489" s="502" t="s">
        <v>23</v>
      </c>
      <c r="H13489" s="395">
        <v>0.5</v>
      </c>
      <c r="M13489" s="1357"/>
      <c r="Q13489" s="1357"/>
      <c r="S13489" s="1420"/>
      <c r="T13489" s="1420"/>
      <c r="V13489" s="1357">
        <v>60</v>
      </c>
    </row>
    <row r="13490" spans="1:22" s="841" customFormat="1" ht="15" x14ac:dyDescent="0.25">
      <c r="A13490" s="841" t="s">
        <v>196</v>
      </c>
      <c r="E13490" s="1690" t="s">
        <v>3185</v>
      </c>
      <c r="F13490" s="1690"/>
      <c r="G13490" s="502"/>
      <c r="H13490" s="503"/>
      <c r="M13490" s="1357"/>
      <c r="Q13490" s="1357"/>
      <c r="S13490" s="1420"/>
      <c r="T13490" s="1420"/>
      <c r="V13490" s="1357">
        <v>91</v>
      </c>
    </row>
    <row r="13491" spans="1:22" s="841" customFormat="1" ht="15" x14ac:dyDescent="0.25">
      <c r="A13491" s="841" t="s">
        <v>196</v>
      </c>
      <c r="E13491" s="1690" t="s">
        <v>3186</v>
      </c>
      <c r="F13491" s="1690"/>
      <c r="G13491" s="502"/>
      <c r="H13491" s="503"/>
      <c r="M13491" s="1357"/>
      <c r="Q13491" s="1357"/>
      <c r="S13491" s="1420"/>
      <c r="T13491" s="1420"/>
      <c r="V13491" s="1357">
        <v>96</v>
      </c>
    </row>
    <row r="13492" spans="1:22" s="841" customFormat="1" ht="15" x14ac:dyDescent="0.25">
      <c r="A13492" s="841" t="s">
        <v>196</v>
      </c>
      <c r="E13492" s="1690" t="s">
        <v>3293</v>
      </c>
      <c r="F13492" s="1690"/>
      <c r="G13492" s="502"/>
      <c r="H13492" s="503"/>
      <c r="M13492" s="1357"/>
      <c r="Q13492" s="1357"/>
      <c r="S13492" s="1420"/>
      <c r="T13492" s="1420"/>
      <c r="V13492" s="1357">
        <v>77</v>
      </c>
    </row>
    <row r="13493" spans="1:22" s="841" customFormat="1" ht="15" x14ac:dyDescent="0.25">
      <c r="A13493" s="841" t="s">
        <v>196</v>
      </c>
      <c r="E13493" s="1691" t="s">
        <v>3188</v>
      </c>
      <c r="F13493" s="1691"/>
      <c r="G13493" s="502" t="s">
        <v>23</v>
      </c>
      <c r="H13493" s="503" t="s">
        <v>3189</v>
      </c>
      <c r="M13493" s="1357"/>
      <c r="Q13493" s="1357"/>
      <c r="S13493" s="1420"/>
      <c r="T13493" s="1420"/>
      <c r="V13493" s="1357">
        <v>18</v>
      </c>
    </row>
    <row r="13494" spans="1:22" s="841" customFormat="1" ht="15" x14ac:dyDescent="0.25">
      <c r="A13494" s="841" t="s">
        <v>196</v>
      </c>
      <c r="E13494" s="1691" t="s">
        <v>3190</v>
      </c>
      <c r="F13494" s="1691"/>
      <c r="G13494" s="502" t="s">
        <v>23</v>
      </c>
      <c r="H13494" s="395">
        <v>2</v>
      </c>
      <c r="M13494" s="1357"/>
      <c r="Q13494" s="1357"/>
      <c r="S13494" s="1420"/>
      <c r="T13494" s="1420"/>
      <c r="V13494" s="1357">
        <v>69</v>
      </c>
    </row>
    <row r="13495" spans="1:22" s="841" customFormat="1" ht="18.75" x14ac:dyDescent="0.25">
      <c r="A13495" s="841" t="s">
        <v>196</v>
      </c>
      <c r="E13495" s="1374" t="s">
        <v>147</v>
      </c>
      <c r="F13495" s="661"/>
      <c r="G13495" s="661"/>
      <c r="H13495" s="662"/>
      <c r="K13495" s="841" t="s">
        <v>4707</v>
      </c>
      <c r="M13495" s="1357"/>
      <c r="Q13495" s="1357"/>
      <c r="S13495" s="1420"/>
      <c r="T13495" s="1420"/>
      <c r="V13495" s="1357">
        <v>12</v>
      </c>
    </row>
    <row r="13496" spans="1:22" s="841" customFormat="1" ht="15" x14ac:dyDescent="0.25">
      <c r="A13496" s="841" t="s">
        <v>196</v>
      </c>
      <c r="E13496" s="1704" t="s">
        <v>3192</v>
      </c>
      <c r="F13496" s="1704"/>
      <c r="G13496" s="1704"/>
      <c r="H13496" s="1704"/>
      <c r="M13496" s="1357"/>
      <c r="Q13496" s="1357"/>
      <c r="S13496" s="1420"/>
      <c r="T13496" s="1420"/>
      <c r="V13496" s="1357">
        <v>203</v>
      </c>
    </row>
    <row r="13497" spans="1:22" s="841" customFormat="1" ht="15" x14ac:dyDescent="0.25">
      <c r="A13497" s="841" t="s">
        <v>196</v>
      </c>
      <c r="E13497" s="1690" t="s">
        <v>3295</v>
      </c>
      <c r="F13497" s="1690"/>
      <c r="G13497" s="1408"/>
      <c r="H13497" s="393">
        <v>1.0467</v>
      </c>
      <c r="M13497" s="1357"/>
      <c r="Q13497" s="1357"/>
      <c r="S13497" s="1420"/>
      <c r="T13497" s="1420"/>
      <c r="V13497" s="1357">
        <v>57</v>
      </c>
    </row>
    <row r="13498" spans="1:22" s="841" customFormat="1" ht="15" x14ac:dyDescent="0.25">
      <c r="A13498" s="841" t="s">
        <v>196</v>
      </c>
      <c r="E13498" s="1690" t="s">
        <v>3296</v>
      </c>
      <c r="F13498" s="1690"/>
      <c r="G13498" s="1408"/>
      <c r="H13498" s="393">
        <v>1.0145</v>
      </c>
      <c r="M13498" s="1357"/>
      <c r="Q13498" s="1357"/>
      <c r="S13498" s="1420"/>
      <c r="T13498" s="1420"/>
      <c r="V13498" s="1357">
        <v>57</v>
      </c>
    </row>
    <row r="13499" spans="1:22" s="841" customFormat="1" ht="15" x14ac:dyDescent="0.25">
      <c r="A13499" s="841" t="s">
        <v>196</v>
      </c>
      <c r="E13499" s="1690" t="s">
        <v>3297</v>
      </c>
      <c r="F13499" s="1690"/>
      <c r="G13499" s="1408"/>
      <c r="H13499" s="393">
        <v>1.0362</v>
      </c>
      <c r="M13499" s="1357"/>
      <c r="Q13499" s="1357"/>
      <c r="S13499" s="1420"/>
      <c r="T13499" s="1420"/>
      <c r="V13499" s="1357">
        <v>55</v>
      </c>
    </row>
    <row r="13500" spans="1:22" s="841" customFormat="1" ht="15" x14ac:dyDescent="0.25">
      <c r="A13500" s="841" t="s">
        <v>196</v>
      </c>
      <c r="E13500" s="1690" t="s">
        <v>3298</v>
      </c>
      <c r="F13500" s="1690"/>
      <c r="G13500" s="1408"/>
      <c r="H13500" s="393">
        <v>1.0044999999999999</v>
      </c>
      <c r="J13500" s="841" t="s">
        <v>4708</v>
      </c>
      <c r="M13500" s="1357"/>
      <c r="Q13500" s="1357"/>
      <c r="S13500" s="1420"/>
      <c r="T13500" s="1420"/>
      <c r="V13500" s="1357">
        <v>55</v>
      </c>
    </row>
    <row r="13501" spans="1:22" s="841" customFormat="1" ht="23.25" x14ac:dyDescent="0.25">
      <c r="A13501" s="841" t="s">
        <v>197</v>
      </c>
      <c r="C13501" s="841" t="s">
        <v>3050</v>
      </c>
      <c r="E13501" s="1911" t="s">
        <v>197</v>
      </c>
      <c r="F13501" s="1911"/>
      <c r="G13501" s="1911"/>
      <c r="H13501" s="1911"/>
      <c r="I13501" s="841" t="s">
        <v>628</v>
      </c>
      <c r="J13501" s="841" t="s">
        <v>6533</v>
      </c>
      <c r="K13501" s="841" t="s">
        <v>197</v>
      </c>
      <c r="M13501" s="1357">
        <v>7</v>
      </c>
      <c r="Q13501" s="1357"/>
      <c r="S13501" s="1420"/>
      <c r="T13501" s="1420"/>
      <c r="V13501" s="1357">
        <v>19</v>
      </c>
    </row>
    <row r="13502" spans="1:22" s="841" customFormat="1" x14ac:dyDescent="0.25">
      <c r="A13502" s="841" t="s">
        <v>197</v>
      </c>
      <c r="C13502" s="841" t="s">
        <v>3052</v>
      </c>
      <c r="E13502" s="1912" t="s">
        <v>3053</v>
      </c>
      <c r="F13502" s="1912"/>
      <c r="G13502" s="1912"/>
      <c r="H13502" s="1912"/>
      <c r="M13502" s="1357"/>
      <c r="Q13502" s="1357"/>
      <c r="S13502" s="1420"/>
      <c r="T13502" s="1420"/>
      <c r="V13502" s="1357">
        <v>27</v>
      </c>
    </row>
    <row r="13503" spans="1:22" s="841" customFormat="1" ht="15.75" x14ac:dyDescent="0.25">
      <c r="A13503" s="841" t="s">
        <v>197</v>
      </c>
      <c r="C13503" s="841" t="s">
        <v>3054</v>
      </c>
      <c r="E13503" s="1913" t="s">
        <v>6534</v>
      </c>
      <c r="F13503" s="1913"/>
      <c r="G13503" s="1913"/>
      <c r="H13503" s="1913"/>
      <c r="M13503" s="1357"/>
      <c r="Q13503" s="1357"/>
      <c r="S13503" s="1420">
        <v>43252</v>
      </c>
      <c r="T13503" s="1420"/>
      <c r="V13503" s="1357">
        <v>46</v>
      </c>
    </row>
    <row r="13504" spans="1:22" s="841" customFormat="1" ht="15" x14ac:dyDescent="0.25">
      <c r="A13504" s="841" t="s">
        <v>197</v>
      </c>
      <c r="C13504" s="841" t="s">
        <v>3055</v>
      </c>
      <c r="E13504" s="1914" t="s">
        <v>3056</v>
      </c>
      <c r="F13504" s="1914"/>
      <c r="G13504" s="1914"/>
      <c r="H13504" s="1914"/>
      <c r="M13504" s="1357"/>
      <c r="Q13504" s="1357"/>
      <c r="S13504" s="1420"/>
      <c r="T13504" s="1420"/>
      <c r="V13504" s="1357">
        <v>52</v>
      </c>
    </row>
    <row r="13505" spans="1:22" s="841" customFormat="1" ht="15" x14ac:dyDescent="0.25">
      <c r="A13505" s="841" t="s">
        <v>197</v>
      </c>
      <c r="E13505" s="1914" t="s">
        <v>3057</v>
      </c>
      <c r="F13505" s="1914"/>
      <c r="G13505" s="1914"/>
      <c r="H13505" s="1914"/>
      <c r="M13505" s="1357"/>
      <c r="Q13505" s="1357"/>
      <c r="S13505" s="1420"/>
      <c r="T13505" s="1420"/>
      <c r="V13505" s="1357">
        <v>53</v>
      </c>
    </row>
    <row r="13506" spans="1:22" s="841" customFormat="1" ht="15" x14ac:dyDescent="0.25">
      <c r="A13506" s="841" t="s">
        <v>197</v>
      </c>
      <c r="E13506" s="1925" t="s">
        <v>6535</v>
      </c>
      <c r="F13506" s="1925"/>
      <c r="G13506" s="1925"/>
      <c r="H13506" s="1925"/>
      <c r="K13506" s="841" t="s">
        <v>6535</v>
      </c>
      <c r="M13506" s="1357"/>
      <c r="Q13506" s="1357"/>
      <c r="S13506" s="1420"/>
      <c r="T13506" s="1420"/>
      <c r="V13506" s="1357">
        <v>12</v>
      </c>
    </row>
    <row r="13507" spans="1:22" s="841" customFormat="1" ht="15" x14ac:dyDescent="0.25">
      <c r="A13507" s="841" t="s">
        <v>197</v>
      </c>
      <c r="E13507" s="1909" t="s">
        <v>438</v>
      </c>
      <c r="F13507" s="1697"/>
      <c r="G13507" s="1697"/>
      <c r="H13507" s="1697"/>
      <c r="K13507" s="841" t="s">
        <v>3197</v>
      </c>
      <c r="M13507" s="1357"/>
      <c r="Q13507" s="1357"/>
      <c r="S13507" s="1420"/>
      <c r="T13507" s="1420"/>
      <c r="V13507" s="1357">
        <v>34</v>
      </c>
    </row>
    <row r="13508" spans="1:22" s="841" customFormat="1" ht="15" x14ac:dyDescent="0.25">
      <c r="A13508" s="841" t="s">
        <v>197</v>
      </c>
      <c r="E13508" s="1689" t="s">
        <v>6536</v>
      </c>
      <c r="F13508" s="1689"/>
      <c r="G13508" s="1689"/>
      <c r="H13508" s="1689"/>
      <c r="K13508" s="841" t="s">
        <v>3197</v>
      </c>
      <c r="M13508" s="1357"/>
      <c r="Q13508" s="1357"/>
      <c r="S13508" s="1420"/>
      <c r="T13508" s="1420"/>
      <c r="V13508" s="1357">
        <v>372</v>
      </c>
    </row>
    <row r="13509" spans="1:22" s="841" customFormat="1" ht="15" x14ac:dyDescent="0.25">
      <c r="A13509" s="841" t="s">
        <v>197</v>
      </c>
      <c r="E13509" s="1916" t="s">
        <v>3061</v>
      </c>
      <c r="F13509" s="1697"/>
      <c r="G13509" s="1697"/>
      <c r="H13509" s="1697"/>
      <c r="K13509" s="841" t="s">
        <v>3062</v>
      </c>
      <c r="M13509" s="1357"/>
      <c r="Q13509" s="1357"/>
      <c r="S13509" s="1420"/>
      <c r="T13509" s="1420"/>
      <c r="V13509" s="1357">
        <v>11</v>
      </c>
    </row>
    <row r="13510" spans="1:22" s="841" customFormat="1" ht="15" x14ac:dyDescent="0.25">
      <c r="A13510" s="841" t="s">
        <v>197</v>
      </c>
      <c r="E13510" s="1689" t="s">
        <v>3063</v>
      </c>
      <c r="F13510" s="1689"/>
      <c r="G13510" s="1689"/>
      <c r="H13510" s="1689"/>
      <c r="K13510" s="841" t="s">
        <v>3197</v>
      </c>
      <c r="M13510" s="1357"/>
      <c r="Q13510" s="1357"/>
      <c r="S13510" s="1420"/>
      <c r="T13510" s="1420"/>
      <c r="V13510" s="1357">
        <v>280</v>
      </c>
    </row>
    <row r="13511" spans="1:22" s="841" customFormat="1" ht="15" x14ac:dyDescent="0.25">
      <c r="A13511" s="841" t="s">
        <v>197</v>
      </c>
      <c r="E13511" s="1689" t="s">
        <v>3064</v>
      </c>
      <c r="F13511" s="1689"/>
      <c r="G13511" s="1689"/>
      <c r="H13511" s="1689"/>
      <c r="K13511" s="841" t="s">
        <v>3197</v>
      </c>
      <c r="M13511" s="1357"/>
      <c r="Q13511" s="1357"/>
      <c r="S13511" s="1420"/>
      <c r="T13511" s="1420"/>
      <c r="V13511" s="1357">
        <v>411</v>
      </c>
    </row>
    <row r="13512" spans="1:22" s="841" customFormat="1" ht="15" x14ac:dyDescent="0.25">
      <c r="A13512" s="841" t="s">
        <v>197</v>
      </c>
      <c r="E13512" s="1689" t="s">
        <v>3199</v>
      </c>
      <c r="F13512" s="1689"/>
      <c r="G13512" s="1689"/>
      <c r="H13512" s="1689"/>
      <c r="K13512" s="841" t="s">
        <v>3197</v>
      </c>
      <c r="M13512" s="1357"/>
      <c r="Q13512" s="1357"/>
      <c r="S13512" s="1420"/>
      <c r="T13512" s="1420"/>
      <c r="V13512" s="1357">
        <v>386</v>
      </c>
    </row>
    <row r="13513" spans="1:22" s="841" customFormat="1" ht="15" x14ac:dyDescent="0.25">
      <c r="A13513" s="841" t="s">
        <v>197</v>
      </c>
      <c r="E13513" s="1689" t="s">
        <v>3200</v>
      </c>
      <c r="F13513" s="1689"/>
      <c r="G13513" s="1689"/>
      <c r="H13513" s="1689"/>
      <c r="K13513" s="841" t="s">
        <v>3197</v>
      </c>
      <c r="M13513" s="1357"/>
      <c r="Q13513" s="1357"/>
      <c r="S13513" s="1420"/>
      <c r="T13513" s="1420"/>
      <c r="V13513" s="1357">
        <v>275</v>
      </c>
    </row>
    <row r="13514" spans="1:22" s="841" customFormat="1" ht="15" x14ac:dyDescent="0.25">
      <c r="A13514" s="841" t="s">
        <v>197</v>
      </c>
      <c r="E13514" s="1694" t="s">
        <v>3067</v>
      </c>
      <c r="F13514" s="1907"/>
      <c r="G13514" s="1907"/>
      <c r="H13514" s="1907"/>
      <c r="K13514" s="841" t="s">
        <v>3068</v>
      </c>
      <c r="M13514" s="1357"/>
      <c r="Q13514" s="1357"/>
      <c r="S13514" s="1420"/>
      <c r="T13514" s="1420"/>
      <c r="V13514" s="1357">
        <v>46</v>
      </c>
    </row>
    <row r="13515" spans="1:22" s="841" customFormat="1" ht="15" x14ac:dyDescent="0.25">
      <c r="A13515" s="841" t="s">
        <v>197</v>
      </c>
      <c r="E13515" s="1690" t="s">
        <v>11</v>
      </c>
      <c r="F13515" s="1690"/>
      <c r="G13515" s="1408" t="s">
        <v>23</v>
      </c>
      <c r="H13515" s="391">
        <v>24.72</v>
      </c>
      <c r="K13515" s="841" t="s">
        <v>3197</v>
      </c>
      <c r="L13515" s="841" t="s">
        <v>442</v>
      </c>
      <c r="M13515" s="1357"/>
      <c r="P13515" s="841" t="s">
        <v>3201</v>
      </c>
      <c r="Q13515" s="1357"/>
      <c r="S13515" s="1420"/>
      <c r="T13515" s="1420"/>
      <c r="V13515" s="1357">
        <v>14</v>
      </c>
    </row>
    <row r="13516" spans="1:22" s="841" customFormat="1" ht="15" x14ac:dyDescent="0.25">
      <c r="A13516" s="841" t="s">
        <v>197</v>
      </c>
      <c r="E13516" s="1690" t="s">
        <v>5109</v>
      </c>
      <c r="F13516" s="1690"/>
      <c r="G13516" s="1408" t="s">
        <v>23</v>
      </c>
      <c r="H13516" s="391">
        <v>0.56999999999999995</v>
      </c>
      <c r="K13516" s="841" t="s">
        <v>3197</v>
      </c>
      <c r="L13516" s="841" t="s">
        <v>443</v>
      </c>
      <c r="M13516" s="1357"/>
      <c r="P13516" s="841" t="s">
        <v>3202</v>
      </c>
      <c r="Q13516" s="1357"/>
      <c r="S13516" s="1420"/>
      <c r="T13516" s="1420">
        <v>44926</v>
      </c>
      <c r="V13516" s="1357">
        <v>64</v>
      </c>
    </row>
    <row r="13517" spans="1:22" s="841" customFormat="1" ht="15" x14ac:dyDescent="0.25">
      <c r="A13517" s="841" t="s">
        <v>197</v>
      </c>
      <c r="E13517" s="1690" t="s">
        <v>6537</v>
      </c>
      <c r="F13517" s="1908"/>
      <c r="G13517" s="1408" t="s">
        <v>23</v>
      </c>
      <c r="H13517" s="391">
        <v>0.04</v>
      </c>
      <c r="K13517" s="841" t="s">
        <v>3197</v>
      </c>
      <c r="L13517" s="841" t="s">
        <v>442</v>
      </c>
      <c r="M13517" s="1357"/>
      <c r="P13517" s="841" t="s">
        <v>3207</v>
      </c>
      <c r="Q13517" s="1357"/>
      <c r="S13517" s="1420"/>
      <c r="T13517" s="1420">
        <v>43982</v>
      </c>
      <c r="V13517" s="1357">
        <v>102</v>
      </c>
    </row>
    <row r="13518" spans="1:22" s="841" customFormat="1" ht="15" x14ac:dyDescent="0.25">
      <c r="A13518" s="841" t="s">
        <v>197</v>
      </c>
      <c r="E13518" s="1690" t="s">
        <v>84</v>
      </c>
      <c r="F13518" s="1690"/>
      <c r="G13518" s="1408" t="s">
        <v>24</v>
      </c>
      <c r="H13518" s="393">
        <v>4.4000000000000003E-3</v>
      </c>
      <c r="K13518" s="841" t="s">
        <v>3197</v>
      </c>
      <c r="L13518" s="841" t="s">
        <v>442</v>
      </c>
      <c r="M13518" s="1357"/>
      <c r="P13518" s="841" t="s">
        <v>3203</v>
      </c>
      <c r="Q13518" s="1357"/>
      <c r="S13518" s="1420"/>
      <c r="T13518" s="1420"/>
      <c r="V13518" s="1357">
        <v>28</v>
      </c>
    </row>
    <row r="13519" spans="1:22" s="841" customFormat="1" ht="15" x14ac:dyDescent="0.25">
      <c r="A13519" s="841" t="s">
        <v>197</v>
      </c>
      <c r="E13519" s="1690" t="s">
        <v>18</v>
      </c>
      <c r="F13519" s="1690"/>
      <c r="G13519" s="1408" t="s">
        <v>24</v>
      </c>
      <c r="H13519" s="393">
        <v>3.0999999999999999E-3</v>
      </c>
      <c r="K13519" s="841" t="s">
        <v>3197</v>
      </c>
      <c r="L13519" s="841" t="s">
        <v>443</v>
      </c>
      <c r="M13519" s="1357"/>
      <c r="P13519" s="841" t="s">
        <v>3204</v>
      </c>
      <c r="Q13519" s="1357"/>
      <c r="S13519" s="1420"/>
      <c r="T13519" s="1420"/>
      <c r="V13519" s="1357">
        <v>24</v>
      </c>
    </row>
    <row r="13520" spans="1:22" s="841" customFormat="1" ht="15" x14ac:dyDescent="0.25">
      <c r="A13520" s="841" t="s">
        <v>197</v>
      </c>
      <c r="E13520" s="1690" t="s">
        <v>6538</v>
      </c>
      <c r="F13520" s="1908"/>
      <c r="G13520" s="1408" t="s">
        <v>24</v>
      </c>
      <c r="H13520" s="393">
        <v>1E-3</v>
      </c>
      <c r="K13520" s="841" t="s">
        <v>3197</v>
      </c>
      <c r="L13520" s="841" t="s">
        <v>443</v>
      </c>
      <c r="M13520" s="1357"/>
      <c r="P13520" s="841" t="s">
        <v>3207</v>
      </c>
      <c r="Q13520" s="1357"/>
      <c r="S13520" s="1420"/>
      <c r="T13520" s="1420">
        <v>43982</v>
      </c>
      <c r="V13520" s="1357">
        <v>94</v>
      </c>
    </row>
    <row r="13521" spans="1:22" s="841" customFormat="1" ht="15" x14ac:dyDescent="0.25">
      <c r="A13521" s="841" t="s">
        <v>197</v>
      </c>
      <c r="E13521" s="1904" t="s">
        <v>6539</v>
      </c>
      <c r="F13521" s="1904"/>
      <c r="G13521" s="631" t="s">
        <v>24</v>
      </c>
      <c r="H13521" s="393">
        <v>1E-4</v>
      </c>
      <c r="K13521" s="841" t="s">
        <v>3197</v>
      </c>
      <c r="L13521" s="841" t="s">
        <v>442</v>
      </c>
      <c r="M13521" s="1357"/>
      <c r="P13521" s="841" t="s">
        <v>3206</v>
      </c>
      <c r="Q13521" s="1357"/>
      <c r="S13521" s="1420"/>
      <c r="T13521" s="1420">
        <v>43982</v>
      </c>
      <c r="V13521" s="1357">
        <v>127</v>
      </c>
    </row>
    <row r="13522" spans="1:22" s="841" customFormat="1" ht="15" x14ac:dyDescent="0.25">
      <c r="A13522" s="841" t="s">
        <v>197</v>
      </c>
      <c r="E13522" s="1690" t="s">
        <v>221</v>
      </c>
      <c r="F13522" s="1690"/>
      <c r="G13522" s="1408" t="s">
        <v>24</v>
      </c>
      <c r="H13522" s="393">
        <v>6.4000000000000003E-3</v>
      </c>
      <c r="K13522" s="841" t="s">
        <v>3197</v>
      </c>
      <c r="L13522" s="841" t="s">
        <v>444</v>
      </c>
      <c r="M13522" s="1357"/>
      <c r="P13522" s="841" t="s">
        <v>3208</v>
      </c>
      <c r="Q13522" s="1357"/>
      <c r="S13522" s="1420"/>
      <c r="T13522" s="1420"/>
      <c r="V13522" s="1357">
        <v>47</v>
      </c>
    </row>
    <row r="13523" spans="1:22" s="841" customFormat="1" ht="15" x14ac:dyDescent="0.25">
      <c r="A13523" s="841" t="s">
        <v>197</v>
      </c>
      <c r="E13523" s="1690" t="s">
        <v>217</v>
      </c>
      <c r="F13523" s="1690"/>
      <c r="G13523" s="1408" t="s">
        <v>24</v>
      </c>
      <c r="H13523" s="393">
        <v>4.7000000000000002E-3</v>
      </c>
      <c r="K13523" s="841" t="s">
        <v>3197</v>
      </c>
      <c r="L13523" s="841" t="s">
        <v>444</v>
      </c>
      <c r="M13523" s="1357"/>
      <c r="P13523" s="841" t="s">
        <v>3209</v>
      </c>
      <c r="Q13523" s="1357"/>
      <c r="S13523" s="1420"/>
      <c r="T13523" s="1420"/>
      <c r="V13523" s="1357">
        <v>74</v>
      </c>
    </row>
    <row r="13524" spans="1:22" s="841" customFormat="1" ht="15" x14ac:dyDescent="0.25">
      <c r="A13524" s="841" t="s">
        <v>197</v>
      </c>
      <c r="E13524" s="1694" t="s">
        <v>3079</v>
      </c>
      <c r="F13524" s="1690"/>
      <c r="G13524" s="1408"/>
      <c r="H13524" s="394"/>
      <c r="K13524" s="841" t="s">
        <v>3080</v>
      </c>
      <c r="M13524" s="1357"/>
      <c r="Q13524" s="1357"/>
      <c r="S13524" s="1420"/>
      <c r="T13524" s="1420"/>
      <c r="V13524" s="1357">
        <v>48</v>
      </c>
    </row>
    <row r="13525" spans="1:22" s="841" customFormat="1" ht="15" x14ac:dyDescent="0.25">
      <c r="A13525" s="841" t="s">
        <v>197</v>
      </c>
      <c r="E13525" s="1690" t="s">
        <v>2449</v>
      </c>
      <c r="F13525" s="1690"/>
      <c r="G13525" s="1408" t="s">
        <v>24</v>
      </c>
      <c r="H13525" s="393">
        <v>3.2000000000000002E-3</v>
      </c>
      <c r="K13525" s="841" t="s">
        <v>3197</v>
      </c>
      <c r="L13525" s="841" t="s">
        <v>3046</v>
      </c>
      <c r="M13525" s="1357"/>
      <c r="P13525" s="841" t="s">
        <v>3210</v>
      </c>
      <c r="Q13525" s="1357"/>
      <c r="S13525" s="1420"/>
      <c r="T13525" s="1420"/>
      <c r="V13525" s="1357">
        <v>55</v>
      </c>
    </row>
    <row r="13526" spans="1:22" s="841" customFormat="1" ht="15" x14ac:dyDescent="0.25">
      <c r="A13526" s="841" t="s">
        <v>197</v>
      </c>
      <c r="E13526" s="1690" t="s">
        <v>3211</v>
      </c>
      <c r="F13526" s="1690"/>
      <c r="G13526" s="1408" t="s">
        <v>24</v>
      </c>
      <c r="H13526" s="393">
        <v>4.0000000000000002E-4</v>
      </c>
      <c r="K13526" s="841" t="s">
        <v>3197</v>
      </c>
      <c r="L13526" s="841" t="s">
        <v>3046</v>
      </c>
      <c r="M13526" s="1357"/>
      <c r="P13526" s="841" t="s">
        <v>3210</v>
      </c>
      <c r="Q13526" s="1357"/>
      <c r="S13526" s="1420"/>
      <c r="T13526" s="1420"/>
      <c r="V13526" s="1357">
        <v>64</v>
      </c>
    </row>
    <row r="13527" spans="1:22" s="841" customFormat="1" ht="15" x14ac:dyDescent="0.25">
      <c r="A13527" s="841" t="s">
        <v>197</v>
      </c>
      <c r="E13527" s="1690" t="s">
        <v>439</v>
      </c>
      <c r="F13527" s="1690"/>
      <c r="G13527" s="1408" t="s">
        <v>24</v>
      </c>
      <c r="H13527" s="393">
        <v>2.9999999999999997E-4</v>
      </c>
      <c r="K13527" s="841" t="s">
        <v>3197</v>
      </c>
      <c r="L13527" s="841" t="s">
        <v>3046</v>
      </c>
      <c r="M13527" s="1357"/>
      <c r="P13527" s="841" t="s">
        <v>3212</v>
      </c>
      <c r="Q13527" s="1357"/>
      <c r="S13527" s="1420"/>
      <c r="T13527" s="1420"/>
      <c r="V13527" s="1357">
        <v>57</v>
      </c>
    </row>
    <row r="13528" spans="1:22" s="841" customFormat="1" ht="15" x14ac:dyDescent="0.25">
      <c r="A13528" s="841" t="s">
        <v>197</v>
      </c>
      <c r="E13528" s="1690" t="s">
        <v>32</v>
      </c>
      <c r="F13528" s="1690"/>
      <c r="G13528" s="1408" t="s">
        <v>23</v>
      </c>
      <c r="H13528" s="391">
        <v>0.25</v>
      </c>
      <c r="K13528" s="841" t="s">
        <v>3197</v>
      </c>
      <c r="L13528" s="841" t="s">
        <v>3046</v>
      </c>
      <c r="M13528" s="1357"/>
      <c r="P13528" s="841" t="s">
        <v>3213</v>
      </c>
      <c r="Q13528" s="1357"/>
      <c r="S13528" s="1420"/>
      <c r="T13528" s="1420"/>
      <c r="V13528" s="1357">
        <v>63</v>
      </c>
    </row>
    <row r="13529" spans="1:22" s="841" customFormat="1" x14ac:dyDescent="0.25">
      <c r="A13529" s="841" t="s">
        <v>197</v>
      </c>
      <c r="E13529" s="1909" t="s">
        <v>3214</v>
      </c>
      <c r="F13529" s="1915"/>
      <c r="G13529" s="1915"/>
      <c r="H13529" s="1915"/>
      <c r="K13529" s="841" t="s">
        <v>5110</v>
      </c>
      <c r="M13529" s="1357"/>
      <c r="Q13529" s="1357"/>
      <c r="S13529" s="1420"/>
      <c r="T13529" s="1420"/>
      <c r="V13529" s="1357">
        <v>54</v>
      </c>
    </row>
    <row r="13530" spans="1:22" s="841" customFormat="1" ht="15" x14ac:dyDescent="0.25">
      <c r="A13530" s="841" t="s">
        <v>197</v>
      </c>
      <c r="E13530" s="1689" t="s">
        <v>6540</v>
      </c>
      <c r="F13530" s="1689"/>
      <c r="G13530" s="1689"/>
      <c r="H13530" s="1689"/>
      <c r="K13530" s="841" t="s">
        <v>5110</v>
      </c>
      <c r="M13530" s="1357"/>
      <c r="Q13530" s="1357"/>
      <c r="S13530" s="1420"/>
      <c r="T13530" s="1420"/>
      <c r="V13530" s="1357">
        <v>563</v>
      </c>
    </row>
    <row r="13531" spans="1:22" s="841" customFormat="1" ht="15" x14ac:dyDescent="0.25">
      <c r="A13531" s="841" t="s">
        <v>197</v>
      </c>
      <c r="E13531" s="1916" t="s">
        <v>3061</v>
      </c>
      <c r="F13531" s="1697"/>
      <c r="G13531" s="1697"/>
      <c r="H13531" s="1697"/>
      <c r="K13531" s="841" t="s">
        <v>3086</v>
      </c>
      <c r="M13531" s="1357"/>
      <c r="Q13531" s="1357"/>
      <c r="S13531" s="1420"/>
      <c r="T13531" s="1420"/>
      <c r="V13531" s="1357">
        <v>11</v>
      </c>
    </row>
    <row r="13532" spans="1:22" s="841" customFormat="1" ht="15" x14ac:dyDescent="0.25">
      <c r="A13532" s="841" t="s">
        <v>197</v>
      </c>
      <c r="E13532" s="1689" t="s">
        <v>3063</v>
      </c>
      <c r="F13532" s="1689"/>
      <c r="G13532" s="1689"/>
      <c r="H13532" s="1689"/>
      <c r="K13532" s="841" t="s">
        <v>5110</v>
      </c>
      <c r="M13532" s="1357"/>
      <c r="Q13532" s="1357"/>
      <c r="S13532" s="1420"/>
      <c r="T13532" s="1420"/>
      <c r="V13532" s="1357">
        <v>280</v>
      </c>
    </row>
    <row r="13533" spans="1:22" s="841" customFormat="1" ht="15" x14ac:dyDescent="0.25">
      <c r="A13533" s="841" t="s">
        <v>197</v>
      </c>
      <c r="E13533" s="1689" t="s">
        <v>3064</v>
      </c>
      <c r="F13533" s="1689"/>
      <c r="G13533" s="1689"/>
      <c r="H13533" s="1689"/>
      <c r="K13533" s="841" t="s">
        <v>5110</v>
      </c>
      <c r="M13533" s="1357"/>
      <c r="Q13533" s="1357"/>
      <c r="S13533" s="1420"/>
      <c r="T13533" s="1420"/>
      <c r="V13533" s="1357">
        <v>411</v>
      </c>
    </row>
    <row r="13534" spans="1:22" s="841" customFormat="1" ht="15" x14ac:dyDescent="0.25">
      <c r="A13534" s="841" t="s">
        <v>197</v>
      </c>
      <c r="E13534" s="1689" t="s">
        <v>3199</v>
      </c>
      <c r="F13534" s="1689"/>
      <c r="G13534" s="1689"/>
      <c r="H13534" s="1689"/>
      <c r="K13534" s="841" t="s">
        <v>5110</v>
      </c>
      <c r="M13534" s="1357"/>
      <c r="Q13534" s="1357"/>
      <c r="S13534" s="1420"/>
      <c r="T13534" s="1420"/>
      <c r="V13534" s="1357">
        <v>386</v>
      </c>
    </row>
    <row r="13535" spans="1:22" s="841" customFormat="1" ht="15" x14ac:dyDescent="0.25">
      <c r="A13535" s="841" t="s">
        <v>197</v>
      </c>
      <c r="E13535" s="1689" t="s">
        <v>3200</v>
      </c>
      <c r="F13535" s="1689"/>
      <c r="G13535" s="1689"/>
      <c r="H13535" s="1689"/>
      <c r="K13535" s="841" t="s">
        <v>5110</v>
      </c>
      <c r="M13535" s="1357"/>
      <c r="Q13535" s="1357"/>
      <c r="S13535" s="1420"/>
      <c r="T13535" s="1420"/>
      <c r="V13535" s="1357">
        <v>275</v>
      </c>
    </row>
    <row r="13536" spans="1:22" s="841" customFormat="1" ht="15" x14ac:dyDescent="0.25">
      <c r="A13536" s="841" t="s">
        <v>197</v>
      </c>
      <c r="E13536" s="1694" t="s">
        <v>3067</v>
      </c>
      <c r="F13536" s="1907"/>
      <c r="G13536" s="1907"/>
      <c r="H13536" s="1907"/>
      <c r="K13536" s="841" t="s">
        <v>3087</v>
      </c>
      <c r="M13536" s="1357"/>
      <c r="Q13536" s="1357"/>
      <c r="S13536" s="1420"/>
      <c r="T13536" s="1420"/>
      <c r="V13536" s="1357">
        <v>46</v>
      </c>
    </row>
    <row r="13537" spans="1:22" s="841" customFormat="1" ht="15" x14ac:dyDescent="0.25">
      <c r="A13537" s="841" t="s">
        <v>197</v>
      </c>
      <c r="E13537" s="1690" t="s">
        <v>11</v>
      </c>
      <c r="F13537" s="1690"/>
      <c r="G13537" s="1408" t="s">
        <v>23</v>
      </c>
      <c r="H13537" s="391">
        <v>27.26</v>
      </c>
      <c r="K13537" s="841" t="s">
        <v>5110</v>
      </c>
      <c r="L13537" s="841" t="s">
        <v>442</v>
      </c>
      <c r="M13537" s="1357"/>
      <c r="P13537" s="841" t="s">
        <v>5111</v>
      </c>
      <c r="Q13537" s="1357"/>
      <c r="S13537" s="1420"/>
      <c r="T13537" s="1420"/>
      <c r="V13537" s="1357">
        <v>14</v>
      </c>
    </row>
    <row r="13538" spans="1:22" s="841" customFormat="1" ht="15" x14ac:dyDescent="0.25">
      <c r="A13538" s="841" t="s">
        <v>197</v>
      </c>
      <c r="E13538" s="1690" t="s">
        <v>5109</v>
      </c>
      <c r="F13538" s="1690"/>
      <c r="G13538" s="1408" t="s">
        <v>23</v>
      </c>
      <c r="H13538" s="391">
        <v>0.56999999999999995</v>
      </c>
      <c r="K13538" s="841" t="s">
        <v>5110</v>
      </c>
      <c r="L13538" s="841" t="s">
        <v>443</v>
      </c>
      <c r="M13538" s="1357"/>
      <c r="P13538" s="841" t="s">
        <v>5112</v>
      </c>
      <c r="Q13538" s="1357"/>
      <c r="S13538" s="1420"/>
      <c r="T13538" s="1420">
        <v>44926</v>
      </c>
      <c r="V13538" s="1357">
        <v>64</v>
      </c>
    </row>
    <row r="13539" spans="1:22" s="841" customFormat="1" ht="15" x14ac:dyDescent="0.25">
      <c r="A13539" s="841" t="s">
        <v>197</v>
      </c>
      <c r="E13539" s="1690" t="s">
        <v>84</v>
      </c>
      <c r="F13539" s="1690"/>
      <c r="G13539" s="1408" t="s">
        <v>24</v>
      </c>
      <c r="H13539" s="393">
        <v>1.2200000000000001E-2</v>
      </c>
      <c r="K13539" s="841" t="s">
        <v>5110</v>
      </c>
      <c r="L13539" s="841" t="s">
        <v>442</v>
      </c>
      <c r="M13539" s="1357"/>
      <c r="P13539" s="841" t="s">
        <v>5113</v>
      </c>
      <c r="Q13539" s="1357"/>
      <c r="S13539" s="1420"/>
      <c r="T13539" s="1420"/>
      <c r="V13539" s="1357">
        <v>28</v>
      </c>
    </row>
    <row r="13540" spans="1:22" s="841" customFormat="1" ht="15" x14ac:dyDescent="0.25">
      <c r="A13540" s="841" t="s">
        <v>197</v>
      </c>
      <c r="E13540" s="1690" t="s">
        <v>18</v>
      </c>
      <c r="F13540" s="1690"/>
      <c r="G13540" s="1408" t="s">
        <v>24</v>
      </c>
      <c r="H13540" s="393">
        <v>2.8E-3</v>
      </c>
      <c r="K13540" s="841" t="s">
        <v>5110</v>
      </c>
      <c r="L13540" s="841" t="s">
        <v>443</v>
      </c>
      <c r="M13540" s="1357"/>
      <c r="P13540" s="841" t="s">
        <v>5114</v>
      </c>
      <c r="Q13540" s="1357"/>
      <c r="S13540" s="1420"/>
      <c r="T13540" s="1420"/>
      <c r="V13540" s="1357">
        <v>24</v>
      </c>
    </row>
    <row r="13541" spans="1:22" s="841" customFormat="1" ht="15" x14ac:dyDescent="0.25">
      <c r="A13541" s="841" t="s">
        <v>197</v>
      </c>
      <c r="E13541" s="1690" t="s">
        <v>6538</v>
      </c>
      <c r="F13541" s="1908"/>
      <c r="G13541" s="1408" t="s">
        <v>24</v>
      </c>
      <c r="H13541" s="393">
        <v>1.1000000000000001E-3</v>
      </c>
      <c r="K13541" s="841" t="s">
        <v>5110</v>
      </c>
      <c r="L13541" s="841" t="s">
        <v>443</v>
      </c>
      <c r="M13541" s="1357"/>
      <c r="P13541" s="841" t="s">
        <v>5124</v>
      </c>
      <c r="Q13541" s="1357"/>
      <c r="S13541" s="1420"/>
      <c r="T13541" s="1420">
        <v>43982</v>
      </c>
      <c r="V13541" s="1357">
        <v>94</v>
      </c>
    </row>
    <row r="13542" spans="1:22" s="841" customFormat="1" ht="15" x14ac:dyDescent="0.25">
      <c r="A13542" s="841" t="s">
        <v>197</v>
      </c>
      <c r="E13542" s="1690" t="s">
        <v>6537</v>
      </c>
      <c r="F13542" s="1908"/>
      <c r="G13542" s="1408" t="s">
        <v>24</v>
      </c>
      <c r="H13542" s="393">
        <v>1E-4</v>
      </c>
      <c r="K13542" s="841" t="s">
        <v>5110</v>
      </c>
      <c r="L13542" s="841" t="s">
        <v>442</v>
      </c>
      <c r="M13542" s="1357"/>
      <c r="P13542" s="841" t="s">
        <v>5124</v>
      </c>
      <c r="Q13542" s="1357"/>
      <c r="S13542" s="1420"/>
      <c r="T13542" s="1420">
        <v>43982</v>
      </c>
      <c r="V13542" s="1357">
        <v>102</v>
      </c>
    </row>
    <row r="13543" spans="1:22" s="841" customFormat="1" ht="15" x14ac:dyDescent="0.25">
      <c r="A13543" s="841" t="s">
        <v>197</v>
      </c>
      <c r="E13543" s="1904" t="s">
        <v>6539</v>
      </c>
      <c r="F13543" s="1904"/>
      <c r="G13543" s="631" t="s">
        <v>24</v>
      </c>
      <c r="H13543" s="393">
        <v>1.8E-3</v>
      </c>
      <c r="K13543" s="841" t="s">
        <v>5110</v>
      </c>
      <c r="L13543" s="841" t="s">
        <v>442</v>
      </c>
      <c r="M13543" s="1357"/>
      <c r="P13543" s="841" t="s">
        <v>5285</v>
      </c>
      <c r="Q13543" s="1357"/>
      <c r="S13543" s="1420"/>
      <c r="T13543" s="1420">
        <v>43982</v>
      </c>
      <c r="V13543" s="1357">
        <v>127</v>
      </c>
    </row>
    <row r="13544" spans="1:22" s="841" customFormat="1" ht="15" x14ac:dyDescent="0.25">
      <c r="A13544" s="841" t="s">
        <v>197</v>
      </c>
      <c r="E13544" s="1690" t="s">
        <v>221</v>
      </c>
      <c r="F13544" s="1690"/>
      <c r="G13544" s="1408" t="s">
        <v>24</v>
      </c>
      <c r="H13544" s="393">
        <v>5.7999999999999996E-3</v>
      </c>
      <c r="K13544" s="841" t="s">
        <v>5110</v>
      </c>
      <c r="L13544" s="841" t="s">
        <v>444</v>
      </c>
      <c r="M13544" s="1357"/>
      <c r="P13544" s="841" t="s">
        <v>5115</v>
      </c>
      <c r="Q13544" s="1357"/>
      <c r="S13544" s="1420"/>
      <c r="T13544" s="1420"/>
      <c r="V13544" s="1357">
        <v>47</v>
      </c>
    </row>
    <row r="13545" spans="1:22" s="841" customFormat="1" ht="15" x14ac:dyDescent="0.25">
      <c r="A13545" s="841" t="s">
        <v>197</v>
      </c>
      <c r="E13545" s="1690" t="s">
        <v>217</v>
      </c>
      <c r="F13545" s="1690"/>
      <c r="G13545" s="1408" t="s">
        <v>24</v>
      </c>
      <c r="H13545" s="393">
        <v>4.1999999999999997E-3</v>
      </c>
      <c r="K13545" s="841" t="s">
        <v>5110</v>
      </c>
      <c r="L13545" s="841" t="s">
        <v>444</v>
      </c>
      <c r="M13545" s="1357"/>
      <c r="P13545" s="841" t="s">
        <v>5116</v>
      </c>
      <c r="Q13545" s="1357"/>
      <c r="S13545" s="1420"/>
      <c r="T13545" s="1420"/>
      <c r="V13545" s="1357">
        <v>74</v>
      </c>
    </row>
    <row r="13546" spans="1:22" s="841" customFormat="1" ht="15" x14ac:dyDescent="0.25">
      <c r="A13546" s="841" t="s">
        <v>197</v>
      </c>
      <c r="E13546" s="1694" t="s">
        <v>3079</v>
      </c>
      <c r="F13546" s="1690"/>
      <c r="G13546" s="1408"/>
      <c r="H13546" s="394"/>
      <c r="K13546" s="841" t="s">
        <v>3093</v>
      </c>
      <c r="M13546" s="1357"/>
      <c r="Q13546" s="1357"/>
      <c r="S13546" s="1420"/>
      <c r="T13546" s="1420"/>
      <c r="V13546" s="1357">
        <v>48</v>
      </c>
    </row>
    <row r="13547" spans="1:22" s="841" customFormat="1" ht="15" x14ac:dyDescent="0.25">
      <c r="A13547" s="841" t="s">
        <v>197</v>
      </c>
      <c r="E13547" s="1690" t="s">
        <v>2449</v>
      </c>
      <c r="F13547" s="1690"/>
      <c r="G13547" s="1408" t="s">
        <v>24</v>
      </c>
      <c r="H13547" s="393">
        <v>3.2000000000000002E-3</v>
      </c>
      <c r="K13547" s="841" t="s">
        <v>5110</v>
      </c>
      <c r="L13547" s="841" t="s">
        <v>3046</v>
      </c>
      <c r="M13547" s="1357"/>
      <c r="P13547" s="841" t="s">
        <v>5117</v>
      </c>
      <c r="Q13547" s="1357"/>
      <c r="S13547" s="1420"/>
      <c r="T13547" s="1420"/>
      <c r="V13547" s="1357">
        <v>55</v>
      </c>
    </row>
    <row r="13548" spans="1:22" s="841" customFormat="1" ht="15" x14ac:dyDescent="0.25">
      <c r="A13548" s="841" t="s">
        <v>197</v>
      </c>
      <c r="E13548" s="1690" t="s">
        <v>3211</v>
      </c>
      <c r="F13548" s="1690"/>
      <c r="G13548" s="1408" t="s">
        <v>24</v>
      </c>
      <c r="H13548" s="393">
        <v>4.0000000000000002E-4</v>
      </c>
      <c r="K13548" s="841" t="s">
        <v>5110</v>
      </c>
      <c r="L13548" s="841" t="s">
        <v>3046</v>
      </c>
      <c r="M13548" s="1357"/>
      <c r="P13548" s="841" t="s">
        <v>5117</v>
      </c>
      <c r="Q13548" s="1357"/>
      <c r="S13548" s="1420"/>
      <c r="T13548" s="1420"/>
      <c r="V13548" s="1357">
        <v>64</v>
      </c>
    </row>
    <row r="13549" spans="1:22" s="841" customFormat="1" ht="15" x14ac:dyDescent="0.25">
      <c r="A13549" s="841" t="s">
        <v>197</v>
      </c>
      <c r="E13549" s="1690" t="s">
        <v>439</v>
      </c>
      <c r="F13549" s="1690"/>
      <c r="G13549" s="1408" t="s">
        <v>24</v>
      </c>
      <c r="H13549" s="393">
        <v>2.9999999999999997E-4</v>
      </c>
      <c r="K13549" s="841" t="s">
        <v>5110</v>
      </c>
      <c r="L13549" s="841" t="s">
        <v>3046</v>
      </c>
      <c r="M13549" s="1357"/>
      <c r="P13549" s="841" t="s">
        <v>5118</v>
      </c>
      <c r="Q13549" s="1357"/>
      <c r="S13549" s="1420"/>
      <c r="T13549" s="1420"/>
      <c r="V13549" s="1357">
        <v>57</v>
      </c>
    </row>
    <row r="13550" spans="1:22" s="841" customFormat="1" ht="15" x14ac:dyDescent="0.25">
      <c r="A13550" s="841" t="s">
        <v>197</v>
      </c>
      <c r="E13550" s="1690" t="s">
        <v>32</v>
      </c>
      <c r="F13550" s="1690"/>
      <c r="G13550" s="1408" t="s">
        <v>23</v>
      </c>
      <c r="H13550" s="391">
        <v>0.25</v>
      </c>
      <c r="K13550" s="841" t="s">
        <v>5110</v>
      </c>
      <c r="L13550" s="841" t="s">
        <v>3046</v>
      </c>
      <c r="M13550" s="1357"/>
      <c r="P13550" s="841" t="s">
        <v>5119</v>
      </c>
      <c r="Q13550" s="1357"/>
      <c r="S13550" s="1420"/>
      <c r="T13550" s="1420"/>
      <c r="V13550" s="1357">
        <v>63</v>
      </c>
    </row>
    <row r="13551" spans="1:22" s="841" customFormat="1" x14ac:dyDescent="0.25">
      <c r="A13551" s="841" t="s">
        <v>197</v>
      </c>
      <c r="E13551" s="1909" t="s">
        <v>616</v>
      </c>
      <c r="F13551" s="1915"/>
      <c r="G13551" s="1915"/>
      <c r="H13551" s="1915"/>
      <c r="K13551" s="841" t="s">
        <v>6095</v>
      </c>
      <c r="M13551" s="1357"/>
      <c r="Q13551" s="1357"/>
      <c r="S13551" s="1420"/>
      <c r="T13551" s="1420"/>
      <c r="V13551" s="1357">
        <v>53</v>
      </c>
    </row>
    <row r="13552" spans="1:22" s="841" customFormat="1" ht="15" x14ac:dyDescent="0.25">
      <c r="A13552" s="841" t="s">
        <v>197</v>
      </c>
      <c r="E13552" s="1921" t="s">
        <v>6541</v>
      </c>
      <c r="F13552" s="1921"/>
      <c r="G13552" s="1921"/>
      <c r="H13552" s="1921"/>
      <c r="K13552" s="841" t="s">
        <v>6095</v>
      </c>
      <c r="M13552" s="1357"/>
      <c r="Q13552" s="1357"/>
      <c r="S13552" s="1420"/>
      <c r="T13552" s="1420"/>
      <c r="V13552" s="1357">
        <v>558</v>
      </c>
    </row>
    <row r="13553" spans="1:22" s="841" customFormat="1" ht="15" x14ac:dyDescent="0.25">
      <c r="A13553" s="841" t="s">
        <v>197</v>
      </c>
      <c r="E13553" s="1916" t="s">
        <v>3061</v>
      </c>
      <c r="F13553" s="1697"/>
      <c r="G13553" s="1697"/>
      <c r="H13553" s="1697"/>
      <c r="K13553" s="841" t="s">
        <v>3098</v>
      </c>
      <c r="M13553" s="1357"/>
      <c r="Q13553" s="1357"/>
      <c r="S13553" s="1420"/>
      <c r="T13553" s="1420"/>
      <c r="V13553" s="1357">
        <v>11</v>
      </c>
    </row>
    <row r="13554" spans="1:22" s="841" customFormat="1" ht="15" x14ac:dyDescent="0.25">
      <c r="A13554" s="841" t="s">
        <v>197</v>
      </c>
      <c r="E13554" s="1921" t="s">
        <v>3063</v>
      </c>
      <c r="F13554" s="1921"/>
      <c r="G13554" s="1921"/>
      <c r="H13554" s="1921"/>
      <c r="K13554" s="841" t="s">
        <v>6095</v>
      </c>
      <c r="M13554" s="1357"/>
      <c r="Q13554" s="1357"/>
      <c r="S13554" s="1420"/>
      <c r="T13554" s="1420"/>
      <c r="V13554" s="1357">
        <v>280</v>
      </c>
    </row>
    <row r="13555" spans="1:22" s="841" customFormat="1" ht="15" x14ac:dyDescent="0.25">
      <c r="A13555" s="841" t="s">
        <v>197</v>
      </c>
      <c r="E13555" s="1921" t="s">
        <v>3064</v>
      </c>
      <c r="F13555" s="1921"/>
      <c r="G13555" s="1921"/>
      <c r="H13555" s="1921"/>
      <c r="K13555" s="841" t="s">
        <v>6095</v>
      </c>
      <c r="M13555" s="1357"/>
      <c r="Q13555" s="1357"/>
      <c r="S13555" s="1420"/>
      <c r="T13555" s="1420"/>
      <c r="V13555" s="1357">
        <v>411</v>
      </c>
    </row>
    <row r="13556" spans="1:22" s="841" customFormat="1" ht="15" x14ac:dyDescent="0.25">
      <c r="A13556" s="841" t="s">
        <v>197</v>
      </c>
      <c r="E13556" s="1921" t="s">
        <v>3199</v>
      </c>
      <c r="F13556" s="1921"/>
      <c r="G13556" s="1921"/>
      <c r="H13556" s="1921"/>
      <c r="K13556" s="841" t="s">
        <v>6095</v>
      </c>
      <c r="M13556" s="1357"/>
      <c r="Q13556" s="1357"/>
      <c r="S13556" s="1420"/>
      <c r="T13556" s="1420"/>
      <c r="V13556" s="1357">
        <v>386</v>
      </c>
    </row>
    <row r="13557" spans="1:22" s="841" customFormat="1" ht="15" x14ac:dyDescent="0.25">
      <c r="A13557" s="841" t="s">
        <v>197</v>
      </c>
      <c r="E13557" s="1921" t="s">
        <v>3569</v>
      </c>
      <c r="F13557" s="1921"/>
      <c r="G13557" s="1921"/>
      <c r="H13557" s="1921"/>
      <c r="K13557" s="841" t="s">
        <v>6095</v>
      </c>
      <c r="M13557" s="1357"/>
      <c r="Q13557" s="1357"/>
      <c r="S13557" s="1420"/>
      <c r="T13557" s="1420"/>
      <c r="V13557" s="1357">
        <v>626</v>
      </c>
    </row>
    <row r="13558" spans="1:22" s="841" customFormat="1" ht="15" x14ac:dyDescent="0.25">
      <c r="A13558" s="841" t="s">
        <v>197</v>
      </c>
      <c r="E13558" s="1921" t="s">
        <v>3200</v>
      </c>
      <c r="F13558" s="1921"/>
      <c r="G13558" s="1921"/>
      <c r="H13558" s="1921"/>
      <c r="K13558" s="841" t="s">
        <v>6095</v>
      </c>
      <c r="M13558" s="1357"/>
      <c r="Q13558" s="1357"/>
      <c r="S13558" s="1420"/>
      <c r="T13558" s="1420"/>
      <c r="V13558" s="1357">
        <v>275</v>
      </c>
    </row>
    <row r="13559" spans="1:22" s="841" customFormat="1" ht="15" x14ac:dyDescent="0.25">
      <c r="A13559" s="841" t="s">
        <v>197</v>
      </c>
      <c r="E13559" s="1694" t="s">
        <v>3067</v>
      </c>
      <c r="F13559" s="1907"/>
      <c r="G13559" s="1907"/>
      <c r="H13559" s="1907"/>
      <c r="K13559" s="841" t="s">
        <v>3099</v>
      </c>
      <c r="M13559" s="1357"/>
      <c r="Q13559" s="1357"/>
      <c r="S13559" s="1420"/>
      <c r="T13559" s="1420"/>
      <c r="V13559" s="1357">
        <v>46</v>
      </c>
    </row>
    <row r="13560" spans="1:22" s="841" customFormat="1" ht="15" x14ac:dyDescent="0.25">
      <c r="A13560" s="841" t="s">
        <v>197</v>
      </c>
      <c r="E13560" s="1690" t="s">
        <v>11</v>
      </c>
      <c r="F13560" s="1690"/>
      <c r="G13560" s="1408" t="s">
        <v>23</v>
      </c>
      <c r="H13560" s="391">
        <v>232.02</v>
      </c>
      <c r="K13560" s="841" t="s">
        <v>6095</v>
      </c>
      <c r="L13560" s="841" t="s">
        <v>442</v>
      </c>
      <c r="M13560" s="1357"/>
      <c r="P13560" s="841" t="s">
        <v>6096</v>
      </c>
      <c r="Q13560" s="1357"/>
      <c r="S13560" s="1420"/>
      <c r="T13560" s="1420"/>
      <c r="V13560" s="1357">
        <v>14</v>
      </c>
    </row>
    <row r="13561" spans="1:22" s="841" customFormat="1" ht="15" x14ac:dyDescent="0.25">
      <c r="A13561" s="841" t="s">
        <v>197</v>
      </c>
      <c r="E13561" s="1690" t="s">
        <v>84</v>
      </c>
      <c r="F13561" s="1690"/>
      <c r="G13561" s="1408" t="s">
        <v>33</v>
      </c>
      <c r="H13561" s="393">
        <v>2.4485999999999999</v>
      </c>
      <c r="K13561" s="841" t="s">
        <v>6095</v>
      </c>
      <c r="L13561" s="841" t="s">
        <v>442</v>
      </c>
      <c r="M13561" s="1357"/>
      <c r="P13561" s="841" t="s">
        <v>6097</v>
      </c>
      <c r="Q13561" s="1357"/>
      <c r="S13561" s="1420"/>
      <c r="T13561" s="1420"/>
      <c r="V13561" s="1357">
        <v>28</v>
      </c>
    </row>
    <row r="13562" spans="1:22" s="841" customFormat="1" ht="15" x14ac:dyDescent="0.25">
      <c r="A13562" s="841" t="s">
        <v>197</v>
      </c>
      <c r="E13562" s="1690" t="s">
        <v>18</v>
      </c>
      <c r="F13562" s="1690"/>
      <c r="G13562" s="1408" t="s">
        <v>33</v>
      </c>
      <c r="H13562" s="393">
        <v>1.0438000000000001</v>
      </c>
      <c r="K13562" s="841" t="s">
        <v>6095</v>
      </c>
      <c r="L13562" s="841" t="s">
        <v>443</v>
      </c>
      <c r="M13562" s="1357"/>
      <c r="P13562" s="841" t="s">
        <v>6098</v>
      </c>
      <c r="Q13562" s="1357"/>
      <c r="S13562" s="1420"/>
      <c r="T13562" s="1420"/>
      <c r="V13562" s="1357">
        <v>24</v>
      </c>
    </row>
    <row r="13563" spans="1:22" s="841" customFormat="1" ht="15" x14ac:dyDescent="0.25">
      <c r="A13563" s="841" t="s">
        <v>197</v>
      </c>
      <c r="E13563" s="1690" t="s">
        <v>6538</v>
      </c>
      <c r="F13563" s="1908"/>
      <c r="G13563" s="1408" t="s">
        <v>33</v>
      </c>
      <c r="H13563" s="393">
        <v>0.65510000000000002</v>
      </c>
      <c r="K13563" s="841" t="s">
        <v>6095</v>
      </c>
      <c r="L13563" s="841" t="s">
        <v>443</v>
      </c>
      <c r="M13563" s="1357"/>
      <c r="P13563" s="841" t="s">
        <v>6105</v>
      </c>
      <c r="Q13563" s="1357"/>
      <c r="S13563" s="1420"/>
      <c r="T13563" s="1420">
        <v>43982</v>
      </c>
      <c r="V13563" s="1357">
        <v>94</v>
      </c>
    </row>
    <row r="13564" spans="1:22" s="841" customFormat="1" ht="15" x14ac:dyDescent="0.25">
      <c r="A13564" s="841" t="s">
        <v>197</v>
      </c>
      <c r="E13564" s="1904" t="s">
        <v>6542</v>
      </c>
      <c r="F13564" s="1962"/>
      <c r="G13564" s="631" t="s">
        <v>33</v>
      </c>
      <c r="H13564" s="393">
        <v>-0.25619999999999998</v>
      </c>
      <c r="K13564" s="841" t="s">
        <v>6095</v>
      </c>
      <c r="L13564" s="841" t="s">
        <v>443</v>
      </c>
      <c r="M13564" s="1357"/>
      <c r="P13564" s="841" t="s">
        <v>6105</v>
      </c>
      <c r="Q13564" s="1357"/>
      <c r="S13564" s="1420"/>
      <c r="T13564" s="1420">
        <v>43982</v>
      </c>
      <c r="V13564" s="1357">
        <v>151</v>
      </c>
    </row>
    <row r="13565" spans="1:22" s="841" customFormat="1" ht="15" x14ac:dyDescent="0.25">
      <c r="A13565" s="841" t="s">
        <v>197</v>
      </c>
      <c r="E13565" s="1690" t="s">
        <v>6537</v>
      </c>
      <c r="F13565" s="1908"/>
      <c r="G13565" s="1408" t="s">
        <v>33</v>
      </c>
      <c r="H13565" s="393">
        <v>2.6100000000000002E-2</v>
      </c>
      <c r="K13565" s="841" t="s">
        <v>6095</v>
      </c>
      <c r="L13565" s="841" t="s">
        <v>442</v>
      </c>
      <c r="M13565" s="1357"/>
      <c r="P13565" s="841" t="s">
        <v>6105</v>
      </c>
      <c r="Q13565" s="1357"/>
      <c r="S13565" s="1420"/>
      <c r="T13565" s="1420">
        <v>43982</v>
      </c>
      <c r="V13565" s="1357">
        <v>102</v>
      </c>
    </row>
    <row r="13566" spans="1:22" s="841" customFormat="1" ht="15" x14ac:dyDescent="0.25">
      <c r="A13566" s="841" t="s">
        <v>197</v>
      </c>
      <c r="E13566" s="1904" t="s">
        <v>6539</v>
      </c>
      <c r="F13566" s="1904"/>
      <c r="G13566" s="1427" t="s">
        <v>33</v>
      </c>
      <c r="H13566" s="393">
        <v>-5.1000000000000004E-3</v>
      </c>
      <c r="K13566" s="841" t="s">
        <v>6095</v>
      </c>
      <c r="L13566" s="841" t="s">
        <v>442</v>
      </c>
      <c r="M13566" s="1357"/>
      <c r="P13566" s="841" t="s">
        <v>6111</v>
      </c>
      <c r="Q13566" s="1357"/>
      <c r="S13566" s="1420"/>
      <c r="T13566" s="1420">
        <v>43982</v>
      </c>
      <c r="V13566" s="1357">
        <v>127</v>
      </c>
    </row>
    <row r="13567" spans="1:22" s="841" customFormat="1" ht="15" x14ac:dyDescent="0.25">
      <c r="A13567" s="841" t="s">
        <v>197</v>
      </c>
      <c r="E13567" s="1690" t="s">
        <v>221</v>
      </c>
      <c r="F13567" s="1690"/>
      <c r="G13567" s="1408" t="s">
        <v>33</v>
      </c>
      <c r="H13567" s="393">
        <v>2.4198</v>
      </c>
      <c r="K13567" s="841" t="s">
        <v>6095</v>
      </c>
      <c r="L13567" s="841" t="s">
        <v>444</v>
      </c>
      <c r="M13567" s="1357"/>
      <c r="P13567" s="841" t="s">
        <v>6099</v>
      </c>
      <c r="Q13567" s="1357"/>
      <c r="S13567" s="1420"/>
      <c r="T13567" s="1420"/>
      <c r="V13567" s="1357">
        <v>47</v>
      </c>
    </row>
    <row r="13568" spans="1:22" s="841" customFormat="1" ht="15" x14ac:dyDescent="0.25">
      <c r="A13568" s="841" t="s">
        <v>197</v>
      </c>
      <c r="E13568" s="1690" t="s">
        <v>217</v>
      </c>
      <c r="F13568" s="1690"/>
      <c r="G13568" s="1408" t="s">
        <v>33</v>
      </c>
      <c r="H13568" s="393">
        <v>1.68</v>
      </c>
      <c r="K13568" s="841" t="s">
        <v>6095</v>
      </c>
      <c r="L13568" s="841" t="s">
        <v>444</v>
      </c>
      <c r="M13568" s="1357"/>
      <c r="P13568" s="841" t="s">
        <v>6100</v>
      </c>
      <c r="Q13568" s="1357"/>
      <c r="S13568" s="1420"/>
      <c r="T13568" s="1420"/>
      <c r="V13568" s="1357">
        <v>74</v>
      </c>
    </row>
    <row r="13569" spans="1:22" s="841" customFormat="1" ht="15" x14ac:dyDescent="0.25">
      <c r="A13569" s="841" t="s">
        <v>197</v>
      </c>
      <c r="E13569" s="1694" t="s">
        <v>3079</v>
      </c>
      <c r="F13569" s="1690"/>
      <c r="G13569" s="1408"/>
      <c r="H13569" s="394"/>
      <c r="K13569" s="841" t="s">
        <v>3218</v>
      </c>
      <c r="M13569" s="1357"/>
      <c r="Q13569" s="1357"/>
      <c r="S13569" s="1420"/>
      <c r="T13569" s="1420"/>
      <c r="V13569" s="1357">
        <v>48</v>
      </c>
    </row>
    <row r="13570" spans="1:22" s="841" customFormat="1" ht="15" x14ac:dyDescent="0.25">
      <c r="A13570" s="841" t="s">
        <v>197</v>
      </c>
      <c r="E13570" s="1690" t="s">
        <v>2449</v>
      </c>
      <c r="F13570" s="1690"/>
      <c r="G13570" s="1408" t="s">
        <v>24</v>
      </c>
      <c r="H13570" s="393">
        <v>3.2000000000000002E-3</v>
      </c>
      <c r="K13570" s="841" t="s">
        <v>6095</v>
      </c>
      <c r="L13570" s="841" t="s">
        <v>3046</v>
      </c>
      <c r="M13570" s="1357"/>
      <c r="P13570" s="841" t="s">
        <v>6101</v>
      </c>
      <c r="Q13570" s="1357"/>
      <c r="S13570" s="1420"/>
      <c r="T13570" s="1420"/>
      <c r="V13570" s="1357">
        <v>55</v>
      </c>
    </row>
    <row r="13571" spans="1:22" s="841" customFormat="1" ht="15" x14ac:dyDescent="0.25">
      <c r="A13571" s="841" t="s">
        <v>197</v>
      </c>
      <c r="E13571" s="1690" t="s">
        <v>3211</v>
      </c>
      <c r="F13571" s="1690"/>
      <c r="G13571" s="1408" t="s">
        <v>24</v>
      </c>
      <c r="H13571" s="393">
        <v>4.0000000000000002E-4</v>
      </c>
      <c r="K13571" s="841" t="s">
        <v>6095</v>
      </c>
      <c r="L13571" s="841" t="s">
        <v>3046</v>
      </c>
      <c r="M13571" s="1357"/>
      <c r="P13571" s="841" t="s">
        <v>6101</v>
      </c>
      <c r="Q13571" s="1357"/>
      <c r="S13571" s="1420"/>
      <c r="T13571" s="1420"/>
      <c r="V13571" s="1357">
        <v>64</v>
      </c>
    </row>
    <row r="13572" spans="1:22" s="841" customFormat="1" ht="15" x14ac:dyDescent="0.25">
      <c r="A13572" s="841" t="s">
        <v>197</v>
      </c>
      <c r="E13572" s="1690" t="s">
        <v>439</v>
      </c>
      <c r="F13572" s="1690"/>
      <c r="G13572" s="1408" t="s">
        <v>24</v>
      </c>
      <c r="H13572" s="393">
        <v>2.9999999999999997E-4</v>
      </c>
      <c r="K13572" s="841" t="s">
        <v>6095</v>
      </c>
      <c r="L13572" s="841" t="s">
        <v>3046</v>
      </c>
      <c r="M13572" s="1357"/>
      <c r="P13572" s="841" t="s">
        <v>6102</v>
      </c>
      <c r="Q13572" s="1357"/>
      <c r="S13572" s="1420"/>
      <c r="T13572" s="1420"/>
      <c r="V13572" s="1357">
        <v>57</v>
      </c>
    </row>
    <row r="13573" spans="1:22" s="841" customFormat="1" ht="15" x14ac:dyDescent="0.25">
      <c r="A13573" s="841" t="s">
        <v>197</v>
      </c>
      <c r="E13573" s="1690" t="s">
        <v>32</v>
      </c>
      <c r="F13573" s="1690"/>
      <c r="G13573" s="1408" t="s">
        <v>23</v>
      </c>
      <c r="H13573" s="391">
        <v>0.25</v>
      </c>
      <c r="K13573" s="841" t="s">
        <v>6095</v>
      </c>
      <c r="L13573" s="841" t="s">
        <v>3046</v>
      </c>
      <c r="M13573" s="1357"/>
      <c r="P13573" s="841" t="s">
        <v>6103</v>
      </c>
      <c r="Q13573" s="1357"/>
      <c r="S13573" s="1420"/>
      <c r="T13573" s="1420"/>
      <c r="V13573" s="1357">
        <v>63</v>
      </c>
    </row>
    <row r="13574" spans="1:22" s="841" customFormat="1" x14ac:dyDescent="0.25">
      <c r="A13574" s="841" t="s">
        <v>197</v>
      </c>
      <c r="E13574" s="1909" t="s">
        <v>617</v>
      </c>
      <c r="F13574" s="1915"/>
      <c r="G13574" s="1915"/>
      <c r="H13574" s="1915"/>
      <c r="K13574" s="841" t="s">
        <v>3406</v>
      </c>
      <c r="M13574" s="1357"/>
      <c r="Q13574" s="1357"/>
      <c r="S13574" s="1420"/>
      <c r="T13574" s="1420"/>
      <c r="V13574" s="1357">
        <v>47</v>
      </c>
    </row>
    <row r="13575" spans="1:22" s="841" customFormat="1" ht="15" x14ac:dyDescent="0.25">
      <c r="A13575" s="841" t="s">
        <v>197</v>
      </c>
      <c r="E13575" s="1689" t="s">
        <v>6543</v>
      </c>
      <c r="F13575" s="1689"/>
      <c r="G13575" s="1689"/>
      <c r="H13575" s="1689"/>
      <c r="K13575" s="841" t="s">
        <v>3406</v>
      </c>
      <c r="M13575" s="1357"/>
      <c r="Q13575" s="1357"/>
      <c r="S13575" s="1420"/>
      <c r="T13575" s="1420"/>
      <c r="V13575" s="1357">
        <v>619</v>
      </c>
    </row>
    <row r="13576" spans="1:22" s="841" customFormat="1" ht="15" x14ac:dyDescent="0.25">
      <c r="A13576" s="841" t="s">
        <v>197</v>
      </c>
      <c r="E13576" s="1916" t="s">
        <v>3061</v>
      </c>
      <c r="F13576" s="1697"/>
      <c r="G13576" s="1697"/>
      <c r="H13576" s="1697"/>
      <c r="K13576" s="841" t="s">
        <v>3221</v>
      </c>
      <c r="M13576" s="1357"/>
      <c r="Q13576" s="1357"/>
      <c r="S13576" s="1420"/>
      <c r="T13576" s="1420"/>
      <c r="V13576" s="1357">
        <v>11</v>
      </c>
    </row>
    <row r="13577" spans="1:22" s="841" customFormat="1" ht="15" x14ac:dyDescent="0.25">
      <c r="A13577" s="841" t="s">
        <v>197</v>
      </c>
      <c r="E13577" s="1689" t="s">
        <v>3063</v>
      </c>
      <c r="F13577" s="1689"/>
      <c r="G13577" s="1689"/>
      <c r="H13577" s="1689"/>
      <c r="K13577" s="841" t="s">
        <v>3406</v>
      </c>
      <c r="M13577" s="1357"/>
      <c r="Q13577" s="1357"/>
      <c r="S13577" s="1420"/>
      <c r="T13577" s="1420"/>
      <c r="V13577" s="1357">
        <v>280</v>
      </c>
    </row>
    <row r="13578" spans="1:22" s="841" customFormat="1" ht="15" x14ac:dyDescent="0.25">
      <c r="A13578" s="841" t="s">
        <v>197</v>
      </c>
      <c r="E13578" s="1689" t="s">
        <v>3064</v>
      </c>
      <c r="F13578" s="1689"/>
      <c r="G13578" s="1689"/>
      <c r="H13578" s="1689"/>
      <c r="K13578" s="841" t="s">
        <v>3406</v>
      </c>
      <c r="M13578" s="1357"/>
      <c r="Q13578" s="1357"/>
      <c r="S13578" s="1420"/>
      <c r="T13578" s="1420"/>
      <c r="V13578" s="1357">
        <v>411</v>
      </c>
    </row>
    <row r="13579" spans="1:22" s="841" customFormat="1" ht="15" x14ac:dyDescent="0.25">
      <c r="A13579" s="841" t="s">
        <v>197</v>
      </c>
      <c r="E13579" s="1689" t="s">
        <v>3199</v>
      </c>
      <c r="F13579" s="1689"/>
      <c r="G13579" s="1689"/>
      <c r="H13579" s="1689"/>
      <c r="K13579" s="841" t="s">
        <v>3406</v>
      </c>
      <c r="M13579" s="1357"/>
      <c r="Q13579" s="1357"/>
      <c r="S13579" s="1420"/>
      <c r="T13579" s="1420"/>
      <c r="V13579" s="1357">
        <v>386</v>
      </c>
    </row>
    <row r="13580" spans="1:22" s="841" customFormat="1" ht="15" x14ac:dyDescent="0.25">
      <c r="A13580" s="841" t="s">
        <v>197</v>
      </c>
      <c r="E13580" s="1689" t="s">
        <v>3200</v>
      </c>
      <c r="F13580" s="1689"/>
      <c r="G13580" s="1689"/>
      <c r="H13580" s="1689"/>
      <c r="K13580" s="841" t="s">
        <v>3406</v>
      </c>
      <c r="M13580" s="1357"/>
      <c r="Q13580" s="1357"/>
      <c r="S13580" s="1420"/>
      <c r="T13580" s="1420"/>
      <c r="V13580" s="1357">
        <v>275</v>
      </c>
    </row>
    <row r="13581" spans="1:22" s="841" customFormat="1" ht="15" x14ac:dyDescent="0.25">
      <c r="A13581" s="841" t="s">
        <v>197</v>
      </c>
      <c r="E13581" s="1694" t="s">
        <v>3067</v>
      </c>
      <c r="F13581" s="1907"/>
      <c r="G13581" s="1907"/>
      <c r="H13581" s="1907"/>
      <c r="K13581" s="841" t="s">
        <v>3224</v>
      </c>
      <c r="M13581" s="1357"/>
      <c r="Q13581" s="1357"/>
      <c r="S13581" s="1420"/>
      <c r="T13581" s="1420"/>
      <c r="V13581" s="1357">
        <v>46</v>
      </c>
    </row>
    <row r="13582" spans="1:22" s="841" customFormat="1" ht="15" x14ac:dyDescent="0.25">
      <c r="A13582" s="841" t="s">
        <v>197</v>
      </c>
      <c r="E13582" s="1690" t="s">
        <v>13</v>
      </c>
      <c r="F13582" s="1690"/>
      <c r="G13582" s="1408" t="s">
        <v>23</v>
      </c>
      <c r="H13582" s="391">
        <v>5.0599999999999996</v>
      </c>
      <c r="K13582" s="841" t="s">
        <v>3406</v>
      </c>
      <c r="L13582" s="841" t="s">
        <v>442</v>
      </c>
      <c r="M13582" s="1357"/>
      <c r="P13582" s="841" t="s">
        <v>3408</v>
      </c>
      <c r="Q13582" s="1357"/>
      <c r="S13582" s="1420"/>
      <c r="T13582" s="1420"/>
      <c r="V13582" s="1357">
        <v>29</v>
      </c>
    </row>
    <row r="13583" spans="1:22" s="841" customFormat="1" ht="15" x14ac:dyDescent="0.25">
      <c r="A13583" s="841" t="s">
        <v>197</v>
      </c>
      <c r="E13583" s="1690" t="s">
        <v>84</v>
      </c>
      <c r="F13583" s="1690"/>
      <c r="G13583" s="1408" t="s">
        <v>24</v>
      </c>
      <c r="H13583" s="393">
        <v>1.89E-2</v>
      </c>
      <c r="K13583" s="841" t="s">
        <v>3406</v>
      </c>
      <c r="L13583" s="841" t="s">
        <v>442</v>
      </c>
      <c r="M13583" s="1357"/>
      <c r="P13583" s="841" t="s">
        <v>3409</v>
      </c>
      <c r="Q13583" s="1357"/>
      <c r="S13583" s="1420"/>
      <c r="T13583" s="1420"/>
      <c r="V13583" s="1357">
        <v>28</v>
      </c>
    </row>
    <row r="13584" spans="1:22" s="841" customFormat="1" ht="15" x14ac:dyDescent="0.25">
      <c r="A13584" s="841" t="s">
        <v>197</v>
      </c>
      <c r="E13584" s="1690" t="s">
        <v>18</v>
      </c>
      <c r="F13584" s="1690"/>
      <c r="G13584" s="1408" t="s">
        <v>24</v>
      </c>
      <c r="H13584" s="393">
        <v>2.8E-3</v>
      </c>
      <c r="K13584" s="841" t="s">
        <v>3406</v>
      </c>
      <c r="L13584" s="841" t="s">
        <v>443</v>
      </c>
      <c r="M13584" s="1357"/>
      <c r="P13584" s="841" t="s">
        <v>3549</v>
      </c>
      <c r="Q13584" s="1357"/>
      <c r="S13584" s="1420"/>
      <c r="T13584" s="1420"/>
      <c r="V13584" s="1357">
        <v>24</v>
      </c>
    </row>
    <row r="13585" spans="1:22" s="841" customFormat="1" ht="15" x14ac:dyDescent="0.25">
      <c r="A13585" s="841" t="s">
        <v>197</v>
      </c>
      <c r="E13585" s="1690" t="s">
        <v>6538</v>
      </c>
      <c r="F13585" s="1908"/>
      <c r="G13585" s="1408" t="s">
        <v>24</v>
      </c>
      <c r="H13585" s="393">
        <v>6.9999999999999999E-4</v>
      </c>
      <c r="K13585" s="841" t="s">
        <v>3406</v>
      </c>
      <c r="L13585" s="841" t="s">
        <v>443</v>
      </c>
      <c r="M13585" s="1357"/>
      <c r="P13585" s="841" t="s">
        <v>3411</v>
      </c>
      <c r="Q13585" s="1357"/>
      <c r="S13585" s="1420"/>
      <c r="T13585" s="1420">
        <v>43982</v>
      </c>
      <c r="V13585" s="1357">
        <v>94</v>
      </c>
    </row>
    <row r="13586" spans="1:22" s="841" customFormat="1" ht="15" x14ac:dyDescent="0.25">
      <c r="A13586" s="841" t="s">
        <v>197</v>
      </c>
      <c r="E13586" s="1690" t="s">
        <v>6537</v>
      </c>
      <c r="F13586" s="1908"/>
      <c r="G13586" s="1408" t="s">
        <v>24</v>
      </c>
      <c r="H13586" s="393">
        <v>1E-4</v>
      </c>
      <c r="K13586" s="841" t="s">
        <v>3406</v>
      </c>
      <c r="L13586" s="841" t="s">
        <v>442</v>
      </c>
      <c r="M13586" s="1357"/>
      <c r="P13586" s="841" t="s">
        <v>3411</v>
      </c>
      <c r="Q13586" s="1357"/>
      <c r="S13586" s="1420"/>
      <c r="T13586" s="1420">
        <v>43982</v>
      </c>
      <c r="V13586" s="1357">
        <v>102</v>
      </c>
    </row>
    <row r="13587" spans="1:22" s="841" customFormat="1" ht="15" x14ac:dyDescent="0.25">
      <c r="A13587" s="841" t="s">
        <v>197</v>
      </c>
      <c r="E13587" s="1904" t="s">
        <v>6539</v>
      </c>
      <c r="F13587" s="1904"/>
      <c r="G13587" s="631" t="s">
        <v>24</v>
      </c>
      <c r="H13587" s="393">
        <v>-5.0000000000000001E-4</v>
      </c>
      <c r="K13587" s="841" t="s">
        <v>3406</v>
      </c>
      <c r="L13587" s="841" t="s">
        <v>442</v>
      </c>
      <c r="M13587" s="1357"/>
      <c r="P13587" s="841" t="s">
        <v>3410</v>
      </c>
      <c r="Q13587" s="1357"/>
      <c r="S13587" s="1420"/>
      <c r="T13587" s="1420">
        <v>43982</v>
      </c>
      <c r="V13587" s="1357">
        <v>127</v>
      </c>
    </row>
    <row r="13588" spans="1:22" s="841" customFormat="1" ht="15" x14ac:dyDescent="0.25">
      <c r="A13588" s="841" t="s">
        <v>197</v>
      </c>
      <c r="E13588" s="1690" t="s">
        <v>221</v>
      </c>
      <c r="F13588" s="1690"/>
      <c r="G13588" s="1408" t="s">
        <v>24</v>
      </c>
      <c r="H13588" s="393">
        <v>5.7999999999999996E-3</v>
      </c>
      <c r="K13588" s="841" t="s">
        <v>3406</v>
      </c>
      <c r="L13588" s="841" t="s">
        <v>444</v>
      </c>
      <c r="M13588" s="1357"/>
      <c r="P13588" s="841" t="s">
        <v>3412</v>
      </c>
      <c r="Q13588" s="1357"/>
      <c r="S13588" s="1420"/>
      <c r="T13588" s="1420"/>
      <c r="V13588" s="1357">
        <v>47</v>
      </c>
    </row>
    <row r="13589" spans="1:22" s="841" customFormat="1" ht="15" x14ac:dyDescent="0.25">
      <c r="A13589" s="841" t="s">
        <v>197</v>
      </c>
      <c r="E13589" s="1690" t="s">
        <v>217</v>
      </c>
      <c r="F13589" s="1690"/>
      <c r="G13589" s="1408" t="s">
        <v>24</v>
      </c>
      <c r="H13589" s="393">
        <v>4.1999999999999997E-3</v>
      </c>
      <c r="K13589" s="841" t="s">
        <v>3406</v>
      </c>
      <c r="L13589" s="841" t="s">
        <v>444</v>
      </c>
      <c r="M13589" s="1357"/>
      <c r="P13589" s="841" t="s">
        <v>3413</v>
      </c>
      <c r="Q13589" s="1357"/>
      <c r="S13589" s="1420"/>
      <c r="T13589" s="1420"/>
      <c r="V13589" s="1357">
        <v>74</v>
      </c>
    </row>
    <row r="13590" spans="1:22" s="841" customFormat="1" ht="15" x14ac:dyDescent="0.25">
      <c r="A13590" s="841" t="s">
        <v>197</v>
      </c>
      <c r="E13590" s="1694" t="s">
        <v>3079</v>
      </c>
      <c r="F13590" s="1906"/>
      <c r="G13590" s="1408"/>
      <c r="H13590" s="394"/>
      <c r="K13590" s="841" t="s">
        <v>3225</v>
      </c>
      <c r="M13590" s="1357"/>
      <c r="Q13590" s="1357"/>
      <c r="S13590" s="1420"/>
      <c r="T13590" s="1420"/>
      <c r="V13590" s="1357">
        <v>48</v>
      </c>
    </row>
    <row r="13591" spans="1:22" s="841" customFormat="1" ht="15" x14ac:dyDescent="0.25">
      <c r="A13591" s="841" t="s">
        <v>197</v>
      </c>
      <c r="E13591" s="1690" t="s">
        <v>2449</v>
      </c>
      <c r="F13591" s="1690"/>
      <c r="G13591" s="1408" t="s">
        <v>24</v>
      </c>
      <c r="H13591" s="393">
        <v>3.2000000000000002E-3</v>
      </c>
      <c r="K13591" s="841" t="s">
        <v>3406</v>
      </c>
      <c r="L13591" s="841" t="s">
        <v>3046</v>
      </c>
      <c r="M13591" s="1357"/>
      <c r="P13591" s="841" t="s">
        <v>3414</v>
      </c>
      <c r="Q13591" s="1357"/>
      <c r="S13591" s="1420"/>
      <c r="T13591" s="1420"/>
      <c r="V13591" s="1357">
        <v>55</v>
      </c>
    </row>
    <row r="13592" spans="1:22" s="841" customFormat="1" ht="15" x14ac:dyDescent="0.25">
      <c r="A13592" s="841" t="s">
        <v>197</v>
      </c>
      <c r="E13592" s="1690" t="s">
        <v>3211</v>
      </c>
      <c r="F13592" s="1690"/>
      <c r="G13592" s="1408" t="s">
        <v>24</v>
      </c>
      <c r="H13592" s="393">
        <v>4.0000000000000002E-4</v>
      </c>
      <c r="K13592" s="841" t="s">
        <v>3406</v>
      </c>
      <c r="L13592" s="841" t="s">
        <v>3046</v>
      </c>
      <c r="M13592" s="1357"/>
      <c r="P13592" s="841" t="s">
        <v>3414</v>
      </c>
      <c r="Q13592" s="1357"/>
      <c r="S13592" s="1420"/>
      <c r="T13592" s="1420"/>
      <c r="V13592" s="1357">
        <v>64</v>
      </c>
    </row>
    <row r="13593" spans="1:22" s="841" customFormat="1" ht="15" x14ac:dyDescent="0.25">
      <c r="A13593" s="841" t="s">
        <v>197</v>
      </c>
      <c r="E13593" s="1690" t="s">
        <v>439</v>
      </c>
      <c r="F13593" s="1690"/>
      <c r="G13593" s="1408" t="s">
        <v>24</v>
      </c>
      <c r="H13593" s="393">
        <v>2.9999999999999997E-4</v>
      </c>
      <c r="K13593" s="841" t="s">
        <v>3406</v>
      </c>
      <c r="L13593" s="841" t="s">
        <v>3046</v>
      </c>
      <c r="M13593" s="1357"/>
      <c r="P13593" s="841" t="s">
        <v>3415</v>
      </c>
      <c r="Q13593" s="1357"/>
      <c r="S13593" s="1420"/>
      <c r="T13593" s="1420"/>
      <c r="V13593" s="1357">
        <v>57</v>
      </c>
    </row>
    <row r="13594" spans="1:22" s="841" customFormat="1" ht="15" x14ac:dyDescent="0.25">
      <c r="A13594" s="841" t="s">
        <v>197</v>
      </c>
      <c r="E13594" s="1690" t="s">
        <v>32</v>
      </c>
      <c r="F13594" s="1690"/>
      <c r="G13594" s="1408" t="s">
        <v>23</v>
      </c>
      <c r="H13594" s="391">
        <v>0.25</v>
      </c>
      <c r="K13594" s="841" t="s">
        <v>3406</v>
      </c>
      <c r="L13594" s="841" t="s">
        <v>3046</v>
      </c>
      <c r="M13594" s="1357"/>
      <c r="P13594" s="841" t="s">
        <v>3416</v>
      </c>
      <c r="Q13594" s="1357"/>
      <c r="S13594" s="1420"/>
      <c r="T13594" s="1420"/>
      <c r="V13594" s="1357">
        <v>63</v>
      </c>
    </row>
    <row r="13595" spans="1:22" s="841" customFormat="1" x14ac:dyDescent="0.25">
      <c r="A13595" s="841" t="s">
        <v>197</v>
      </c>
      <c r="E13595" s="1909" t="s">
        <v>629</v>
      </c>
      <c r="F13595" s="1915"/>
      <c r="G13595" s="1915"/>
      <c r="H13595" s="1915"/>
      <c r="K13595" s="841" t="s">
        <v>3571</v>
      </c>
      <c r="M13595" s="1357"/>
      <c r="Q13595" s="1357"/>
      <c r="S13595" s="1420"/>
      <c r="T13595" s="1420"/>
      <c r="V13595" s="1357">
        <v>40</v>
      </c>
    </row>
    <row r="13596" spans="1:22" s="841" customFormat="1" ht="15" x14ac:dyDescent="0.25">
      <c r="A13596" s="841" t="s">
        <v>197</v>
      </c>
      <c r="E13596" s="1689" t="s">
        <v>3251</v>
      </c>
      <c r="F13596" s="1689"/>
      <c r="G13596" s="1689"/>
      <c r="H13596" s="1689"/>
      <c r="K13596" s="841" t="s">
        <v>3571</v>
      </c>
      <c r="M13596" s="1357"/>
      <c r="Q13596" s="1357"/>
      <c r="S13596" s="1420"/>
      <c r="T13596" s="1420"/>
      <c r="V13596" s="1357">
        <v>253</v>
      </c>
    </row>
    <row r="13597" spans="1:22" s="841" customFormat="1" ht="15" x14ac:dyDescent="0.25">
      <c r="A13597" s="841" t="s">
        <v>197</v>
      </c>
      <c r="E13597" s="1916" t="s">
        <v>3061</v>
      </c>
      <c r="F13597" s="1697"/>
      <c r="G13597" s="1697"/>
      <c r="H13597" s="1697"/>
      <c r="K13597" s="841" t="s">
        <v>3107</v>
      </c>
      <c r="M13597" s="1357"/>
      <c r="Q13597" s="1357"/>
      <c r="S13597" s="1420"/>
      <c r="T13597" s="1420"/>
      <c r="V13597" s="1357">
        <v>11</v>
      </c>
    </row>
    <row r="13598" spans="1:22" s="841" customFormat="1" ht="15" x14ac:dyDescent="0.25">
      <c r="A13598" s="841" t="s">
        <v>197</v>
      </c>
      <c r="E13598" s="1689" t="s">
        <v>3063</v>
      </c>
      <c r="F13598" s="1689"/>
      <c r="G13598" s="1689"/>
      <c r="H13598" s="1689"/>
      <c r="K13598" s="841" t="s">
        <v>3571</v>
      </c>
      <c r="M13598" s="1357"/>
      <c r="Q13598" s="1357"/>
      <c r="S13598" s="1420"/>
      <c r="T13598" s="1420"/>
      <c r="V13598" s="1357">
        <v>280</v>
      </c>
    </row>
    <row r="13599" spans="1:22" s="841" customFormat="1" ht="15" x14ac:dyDescent="0.25">
      <c r="A13599" s="841" t="s">
        <v>197</v>
      </c>
      <c r="E13599" s="1689" t="s">
        <v>3064</v>
      </c>
      <c r="F13599" s="1689"/>
      <c r="G13599" s="1689"/>
      <c r="H13599" s="1689"/>
      <c r="K13599" s="841" t="s">
        <v>3571</v>
      </c>
      <c r="M13599" s="1357"/>
      <c r="Q13599" s="1357"/>
      <c r="S13599" s="1420"/>
      <c r="T13599" s="1420"/>
      <c r="V13599" s="1357">
        <v>411</v>
      </c>
    </row>
    <row r="13600" spans="1:22" s="841" customFormat="1" ht="15" x14ac:dyDescent="0.25">
      <c r="A13600" s="841" t="s">
        <v>197</v>
      </c>
      <c r="E13600" s="1689" t="s">
        <v>3199</v>
      </c>
      <c r="F13600" s="1689"/>
      <c r="G13600" s="1689"/>
      <c r="H13600" s="1689"/>
      <c r="K13600" s="841" t="s">
        <v>3571</v>
      </c>
      <c r="M13600" s="1357"/>
      <c r="Q13600" s="1357"/>
      <c r="S13600" s="1420"/>
      <c r="T13600" s="1420"/>
      <c r="V13600" s="1357">
        <v>386</v>
      </c>
    </row>
    <row r="13601" spans="1:22" s="841" customFormat="1" ht="15" x14ac:dyDescent="0.25">
      <c r="A13601" s="841" t="s">
        <v>197</v>
      </c>
      <c r="E13601" s="1689" t="s">
        <v>3200</v>
      </c>
      <c r="F13601" s="1689"/>
      <c r="G13601" s="1689"/>
      <c r="H13601" s="1689"/>
      <c r="K13601" s="841" t="s">
        <v>3571</v>
      </c>
      <c r="M13601" s="1357"/>
      <c r="Q13601" s="1357"/>
      <c r="S13601" s="1420"/>
      <c r="T13601" s="1420"/>
      <c r="V13601" s="1357">
        <v>275</v>
      </c>
    </row>
    <row r="13602" spans="1:22" s="841" customFormat="1" ht="15" x14ac:dyDescent="0.25">
      <c r="A13602" s="841" t="s">
        <v>197</v>
      </c>
      <c r="E13602" s="1694" t="s">
        <v>3067</v>
      </c>
      <c r="F13602" s="1907"/>
      <c r="G13602" s="1907"/>
      <c r="H13602" s="1907"/>
      <c r="K13602" s="841" t="s">
        <v>3108</v>
      </c>
      <c r="M13602" s="1357"/>
      <c r="Q13602" s="1357"/>
      <c r="S13602" s="1420"/>
      <c r="T13602" s="1420"/>
      <c r="V13602" s="1357">
        <v>46</v>
      </c>
    </row>
    <row r="13603" spans="1:22" s="841" customFormat="1" ht="15" x14ac:dyDescent="0.25">
      <c r="A13603" s="841" t="s">
        <v>197</v>
      </c>
      <c r="E13603" s="1690" t="s">
        <v>12</v>
      </c>
      <c r="F13603" s="1690"/>
      <c r="G13603" s="1408" t="s">
        <v>23</v>
      </c>
      <c r="H13603" s="391">
        <v>5.73</v>
      </c>
      <c r="K13603" s="841" t="s">
        <v>3571</v>
      </c>
      <c r="L13603" s="841" t="s">
        <v>442</v>
      </c>
      <c r="M13603" s="1357"/>
      <c r="P13603" s="841" t="s">
        <v>3573</v>
      </c>
      <c r="Q13603" s="1357"/>
      <c r="S13603" s="1420"/>
      <c r="T13603" s="1420"/>
      <c r="V13603" s="1357">
        <v>31</v>
      </c>
    </row>
    <row r="13604" spans="1:22" s="841" customFormat="1" ht="15" x14ac:dyDescent="0.25">
      <c r="A13604" s="841" t="s">
        <v>197</v>
      </c>
      <c r="E13604" s="1690" t="s">
        <v>84</v>
      </c>
      <c r="F13604" s="1690"/>
      <c r="G13604" s="1408" t="s">
        <v>33</v>
      </c>
      <c r="H13604" s="393">
        <v>29.669</v>
      </c>
      <c r="K13604" s="841" t="s">
        <v>3571</v>
      </c>
      <c r="L13604" s="841" t="s">
        <v>442</v>
      </c>
      <c r="M13604" s="1357"/>
      <c r="P13604" s="841" t="s">
        <v>3574</v>
      </c>
      <c r="Q13604" s="1357"/>
      <c r="S13604" s="1420"/>
      <c r="T13604" s="1420"/>
      <c r="V13604" s="1357">
        <v>28</v>
      </c>
    </row>
    <row r="13605" spans="1:22" s="841" customFormat="1" ht="15" x14ac:dyDescent="0.25">
      <c r="A13605" s="841" t="s">
        <v>197</v>
      </c>
      <c r="E13605" s="1690" t="s">
        <v>18</v>
      </c>
      <c r="F13605" s="1690"/>
      <c r="G13605" s="1408" t="s">
        <v>33</v>
      </c>
      <c r="H13605" s="393">
        <v>0.82450000000000001</v>
      </c>
      <c r="K13605" s="841" t="s">
        <v>3571</v>
      </c>
      <c r="L13605" s="841" t="s">
        <v>443</v>
      </c>
      <c r="M13605" s="1357"/>
      <c r="P13605" s="841" t="s">
        <v>3575</v>
      </c>
      <c r="Q13605" s="1357"/>
      <c r="S13605" s="1420"/>
      <c r="T13605" s="1420"/>
      <c r="V13605" s="1357">
        <v>24</v>
      </c>
    </row>
    <row r="13606" spans="1:22" s="841" customFormat="1" ht="15" x14ac:dyDescent="0.25">
      <c r="A13606" s="841" t="s">
        <v>197</v>
      </c>
      <c r="E13606" s="1690" t="s">
        <v>6538</v>
      </c>
      <c r="F13606" s="1908"/>
      <c r="G13606" s="1408" t="s">
        <v>33</v>
      </c>
      <c r="H13606" s="393">
        <v>0.5837</v>
      </c>
      <c r="K13606" s="841" t="s">
        <v>3571</v>
      </c>
      <c r="L13606" s="841" t="s">
        <v>443</v>
      </c>
      <c r="M13606" s="1357"/>
      <c r="P13606" s="841" t="s">
        <v>3718</v>
      </c>
      <c r="Q13606" s="1357"/>
      <c r="S13606" s="1420"/>
      <c r="T13606" s="1420">
        <v>43982</v>
      </c>
      <c r="V13606" s="1357">
        <v>94</v>
      </c>
    </row>
    <row r="13607" spans="1:22" s="841" customFormat="1" ht="15" x14ac:dyDescent="0.25">
      <c r="A13607" s="841" t="s">
        <v>197</v>
      </c>
      <c r="E13607" s="1690" t="s">
        <v>6537</v>
      </c>
      <c r="F13607" s="1908"/>
      <c r="G13607" s="1408" t="s">
        <v>33</v>
      </c>
      <c r="H13607" s="393">
        <v>5.6599999999999998E-2</v>
      </c>
      <c r="K13607" s="841" t="s">
        <v>3571</v>
      </c>
      <c r="L13607" s="841" t="s">
        <v>442</v>
      </c>
      <c r="M13607" s="1357"/>
      <c r="P13607" s="841" t="s">
        <v>3718</v>
      </c>
      <c r="Q13607" s="1357"/>
      <c r="S13607" s="1420"/>
      <c r="T13607" s="1420">
        <v>43982</v>
      </c>
      <c r="V13607" s="1357">
        <v>102</v>
      </c>
    </row>
    <row r="13608" spans="1:22" s="841" customFormat="1" ht="15" x14ac:dyDescent="0.25">
      <c r="A13608" s="841" t="s">
        <v>197</v>
      </c>
      <c r="E13608" s="1904" t="s">
        <v>6539</v>
      </c>
      <c r="F13608" s="1904"/>
      <c r="G13608" s="631" t="s">
        <v>33</v>
      </c>
      <c r="H13608" s="393">
        <v>-0.10290000000000001</v>
      </c>
      <c r="K13608" s="841" t="s">
        <v>3571</v>
      </c>
      <c r="L13608" s="841" t="s">
        <v>442</v>
      </c>
      <c r="M13608" s="1357"/>
      <c r="P13608" s="841" t="s">
        <v>4293</v>
      </c>
      <c r="Q13608" s="1357"/>
      <c r="S13608" s="1420"/>
      <c r="T13608" s="1420">
        <v>43982</v>
      </c>
      <c r="V13608" s="1357">
        <v>127</v>
      </c>
    </row>
    <row r="13609" spans="1:22" s="841" customFormat="1" ht="15" x14ac:dyDescent="0.25">
      <c r="A13609" s="841" t="s">
        <v>197</v>
      </c>
      <c r="E13609" s="1690" t="s">
        <v>221</v>
      </c>
      <c r="F13609" s="1690"/>
      <c r="G13609" s="1408" t="s">
        <v>33</v>
      </c>
      <c r="H13609" s="393">
        <v>1.8365</v>
      </c>
      <c r="K13609" s="841" t="s">
        <v>3571</v>
      </c>
      <c r="L13609" s="841" t="s">
        <v>444</v>
      </c>
      <c r="M13609" s="1357"/>
      <c r="P13609" s="841" t="s">
        <v>3576</v>
      </c>
      <c r="Q13609" s="1357"/>
      <c r="S13609" s="1420"/>
      <c r="T13609" s="1420"/>
      <c r="V13609" s="1357">
        <v>47</v>
      </c>
    </row>
    <row r="13610" spans="1:22" s="841" customFormat="1" ht="15" x14ac:dyDescent="0.25">
      <c r="A13610" s="841" t="s">
        <v>197</v>
      </c>
      <c r="E13610" s="1690" t="s">
        <v>217</v>
      </c>
      <c r="F13610" s="1690"/>
      <c r="G13610" s="1408" t="s">
        <v>33</v>
      </c>
      <c r="H13610" s="393">
        <v>1.3270999999999999</v>
      </c>
      <c r="K13610" s="841" t="s">
        <v>3571</v>
      </c>
      <c r="L13610" s="841" t="s">
        <v>444</v>
      </c>
      <c r="M13610" s="1357"/>
      <c r="P13610" s="841" t="s">
        <v>3577</v>
      </c>
      <c r="Q13610" s="1357"/>
      <c r="S13610" s="1420"/>
      <c r="T13610" s="1420"/>
      <c r="V13610" s="1357">
        <v>74</v>
      </c>
    </row>
    <row r="13611" spans="1:22" s="841" customFormat="1" ht="15" x14ac:dyDescent="0.25">
      <c r="A13611" s="841" t="s">
        <v>197</v>
      </c>
      <c r="E13611" s="1694" t="s">
        <v>3079</v>
      </c>
      <c r="F13611" s="1690"/>
      <c r="G13611" s="1408"/>
      <c r="H13611" s="394"/>
      <c r="K13611" s="841" t="s">
        <v>3111</v>
      </c>
      <c r="M13611" s="1357"/>
      <c r="Q13611" s="1357"/>
      <c r="S13611" s="1420"/>
      <c r="T13611" s="1420"/>
      <c r="V13611" s="1357">
        <v>48</v>
      </c>
    </row>
    <row r="13612" spans="1:22" s="841" customFormat="1" ht="15" x14ac:dyDescent="0.25">
      <c r="A13612" s="841" t="s">
        <v>197</v>
      </c>
      <c r="E13612" s="1690" t="s">
        <v>2449</v>
      </c>
      <c r="F13612" s="1690"/>
      <c r="G13612" s="1408" t="s">
        <v>24</v>
      </c>
      <c r="H13612" s="393">
        <v>3.2000000000000002E-3</v>
      </c>
      <c r="K13612" s="841" t="s">
        <v>3571</v>
      </c>
      <c r="L13612" s="841" t="s">
        <v>3046</v>
      </c>
      <c r="M13612" s="1357"/>
      <c r="P13612" s="841" t="s">
        <v>3578</v>
      </c>
      <c r="Q13612" s="1357"/>
      <c r="S13612" s="1420"/>
      <c r="T13612" s="1420"/>
      <c r="V13612" s="1357">
        <v>55</v>
      </c>
    </row>
    <row r="13613" spans="1:22" s="841" customFormat="1" ht="15" x14ac:dyDescent="0.25">
      <c r="A13613" s="841" t="s">
        <v>197</v>
      </c>
      <c r="E13613" s="1690" t="s">
        <v>3211</v>
      </c>
      <c r="F13613" s="1690"/>
      <c r="G13613" s="1408" t="s">
        <v>24</v>
      </c>
      <c r="H13613" s="393">
        <v>4.0000000000000002E-4</v>
      </c>
      <c r="K13613" s="841" t="s">
        <v>3571</v>
      </c>
      <c r="L13613" s="841" t="s">
        <v>3046</v>
      </c>
      <c r="M13613" s="1357"/>
      <c r="P13613" s="841" t="s">
        <v>3578</v>
      </c>
      <c r="Q13613" s="1357"/>
      <c r="S13613" s="1420"/>
      <c r="T13613" s="1420"/>
      <c r="V13613" s="1357">
        <v>64</v>
      </c>
    </row>
    <row r="13614" spans="1:22" s="841" customFormat="1" ht="15" x14ac:dyDescent="0.25">
      <c r="A13614" s="841" t="s">
        <v>197</v>
      </c>
      <c r="E13614" s="1690" t="s">
        <v>439</v>
      </c>
      <c r="F13614" s="1690"/>
      <c r="G13614" s="1408" t="s">
        <v>24</v>
      </c>
      <c r="H13614" s="393">
        <v>2.9999999999999997E-4</v>
      </c>
      <c r="K13614" s="841" t="s">
        <v>3571</v>
      </c>
      <c r="L13614" s="841" t="s">
        <v>3046</v>
      </c>
      <c r="M13614" s="1357"/>
      <c r="P13614" s="841" t="s">
        <v>3579</v>
      </c>
      <c r="Q13614" s="1357"/>
      <c r="S13614" s="1420"/>
      <c r="T13614" s="1420"/>
      <c r="V13614" s="1357">
        <v>57</v>
      </c>
    </row>
    <row r="13615" spans="1:22" s="841" customFormat="1" ht="15" x14ac:dyDescent="0.25">
      <c r="A13615" s="841" t="s">
        <v>197</v>
      </c>
      <c r="E13615" s="1690" t="s">
        <v>32</v>
      </c>
      <c r="F13615" s="1690"/>
      <c r="G13615" s="1408" t="s">
        <v>23</v>
      </c>
      <c r="H13615" s="391">
        <v>0.25</v>
      </c>
      <c r="K13615" s="841" t="s">
        <v>3571</v>
      </c>
      <c r="L13615" s="841" t="s">
        <v>3046</v>
      </c>
      <c r="M13615" s="1357"/>
      <c r="P13615" s="841" t="s">
        <v>3580</v>
      </c>
      <c r="Q13615" s="1357"/>
      <c r="S13615" s="1420"/>
      <c r="T13615" s="1420"/>
      <c r="V13615" s="1357">
        <v>63</v>
      </c>
    </row>
    <row r="13616" spans="1:22" s="841" customFormat="1" x14ac:dyDescent="0.25">
      <c r="A13616" s="841" t="s">
        <v>197</v>
      </c>
      <c r="E13616" s="1909" t="s">
        <v>615</v>
      </c>
      <c r="F13616" s="1915"/>
      <c r="G13616" s="1915"/>
      <c r="H13616" s="1915"/>
      <c r="K13616" s="841" t="s">
        <v>3112</v>
      </c>
      <c r="M13616" s="1357"/>
      <c r="Q13616" s="1357"/>
      <c r="S13616" s="1420"/>
      <c r="T13616" s="1420"/>
      <c r="V13616" s="1357">
        <v>38</v>
      </c>
    </row>
    <row r="13617" spans="1:22" s="841" customFormat="1" ht="15" x14ac:dyDescent="0.25">
      <c r="A13617" s="841" t="s">
        <v>197</v>
      </c>
      <c r="E13617" s="1689" t="s">
        <v>6544</v>
      </c>
      <c r="F13617" s="1689"/>
      <c r="G13617" s="1689"/>
      <c r="H13617" s="1689"/>
      <c r="K13617" s="841" t="s">
        <v>3112</v>
      </c>
      <c r="M13617" s="1357"/>
      <c r="Q13617" s="1357"/>
      <c r="S13617" s="1420"/>
      <c r="T13617" s="1420"/>
      <c r="V13617" s="1357">
        <v>550</v>
      </c>
    </row>
    <row r="13618" spans="1:22" s="841" customFormat="1" ht="15" x14ac:dyDescent="0.25">
      <c r="A13618" s="841" t="s">
        <v>197</v>
      </c>
      <c r="E13618" s="1916" t="s">
        <v>3061</v>
      </c>
      <c r="F13618" s="1697"/>
      <c r="G13618" s="1697"/>
      <c r="H13618" s="1697"/>
      <c r="K13618" s="841" t="s">
        <v>3114</v>
      </c>
      <c r="M13618" s="1357"/>
      <c r="Q13618" s="1357"/>
      <c r="S13618" s="1420"/>
      <c r="T13618" s="1420"/>
      <c r="V13618" s="1357">
        <v>11</v>
      </c>
    </row>
    <row r="13619" spans="1:22" s="841" customFormat="1" ht="15" x14ac:dyDescent="0.25">
      <c r="A13619" s="841" t="s">
        <v>197</v>
      </c>
      <c r="E13619" s="1689" t="s">
        <v>3063</v>
      </c>
      <c r="F13619" s="1689"/>
      <c r="G13619" s="1689"/>
      <c r="H13619" s="1689"/>
      <c r="K13619" s="841" t="s">
        <v>3112</v>
      </c>
      <c r="M13619" s="1357"/>
      <c r="Q13619" s="1357"/>
      <c r="S13619" s="1420"/>
      <c r="T13619" s="1420"/>
      <c r="V13619" s="1357">
        <v>280</v>
      </c>
    </row>
    <row r="13620" spans="1:22" s="841" customFormat="1" ht="15" x14ac:dyDescent="0.25">
      <c r="A13620" s="841" t="s">
        <v>197</v>
      </c>
      <c r="E13620" s="1689" t="s">
        <v>3064</v>
      </c>
      <c r="F13620" s="1689"/>
      <c r="G13620" s="1689"/>
      <c r="H13620" s="1689"/>
      <c r="K13620" s="841" t="s">
        <v>3112</v>
      </c>
      <c r="M13620" s="1357"/>
      <c r="Q13620" s="1357"/>
      <c r="S13620" s="1420"/>
      <c r="T13620" s="1420"/>
      <c r="V13620" s="1357">
        <v>411</v>
      </c>
    </row>
    <row r="13621" spans="1:22" s="841" customFormat="1" ht="15" x14ac:dyDescent="0.25">
      <c r="A13621" s="841" t="s">
        <v>197</v>
      </c>
      <c r="E13621" s="1689" t="s">
        <v>3199</v>
      </c>
      <c r="F13621" s="1689"/>
      <c r="G13621" s="1689"/>
      <c r="H13621" s="1689"/>
      <c r="K13621" s="841" t="s">
        <v>3112</v>
      </c>
      <c r="M13621" s="1357"/>
      <c r="Q13621" s="1357"/>
      <c r="S13621" s="1420"/>
      <c r="T13621" s="1420"/>
      <c r="V13621" s="1357">
        <v>386</v>
      </c>
    </row>
    <row r="13622" spans="1:22" s="841" customFormat="1" ht="15" x14ac:dyDescent="0.25">
      <c r="A13622" s="841" t="s">
        <v>197</v>
      </c>
      <c r="E13622" s="1689" t="s">
        <v>3200</v>
      </c>
      <c r="F13622" s="1689"/>
      <c r="G13622" s="1689"/>
      <c r="H13622" s="1689"/>
      <c r="K13622" s="841" t="s">
        <v>3112</v>
      </c>
      <c r="M13622" s="1357"/>
      <c r="Q13622" s="1357"/>
      <c r="S13622" s="1420"/>
      <c r="T13622" s="1420"/>
      <c r="V13622" s="1357">
        <v>275</v>
      </c>
    </row>
    <row r="13623" spans="1:22" s="841" customFormat="1" ht="15" x14ac:dyDescent="0.25">
      <c r="A13623" s="841" t="s">
        <v>197</v>
      </c>
      <c r="E13623" s="1694" t="s">
        <v>3067</v>
      </c>
      <c r="F13623" s="1907"/>
      <c r="G13623" s="1907"/>
      <c r="H13623" s="1907"/>
      <c r="K13623" s="841" t="s">
        <v>3115</v>
      </c>
      <c r="M13623" s="1357"/>
      <c r="Q13623" s="1357"/>
      <c r="S13623" s="1420"/>
      <c r="T13623" s="1420"/>
      <c r="V13623" s="1357">
        <v>46</v>
      </c>
    </row>
    <row r="13624" spans="1:22" s="841" customFormat="1" ht="15" x14ac:dyDescent="0.25">
      <c r="A13624" s="841" t="s">
        <v>197</v>
      </c>
      <c r="E13624" s="1690" t="s">
        <v>12</v>
      </c>
      <c r="F13624" s="1690"/>
      <c r="G13624" s="1408" t="s">
        <v>23</v>
      </c>
      <c r="H13624" s="391">
        <v>5.72</v>
      </c>
      <c r="K13624" s="841" t="s">
        <v>3112</v>
      </c>
      <c r="L13624" s="841" t="s">
        <v>442</v>
      </c>
      <c r="M13624" s="1357"/>
      <c r="P13624" s="841" t="s">
        <v>3116</v>
      </c>
      <c r="Q13624" s="1357"/>
      <c r="S13624" s="1420"/>
      <c r="T13624" s="1420"/>
      <c r="V13624" s="1357">
        <v>31</v>
      </c>
    </row>
    <row r="13625" spans="1:22" s="841" customFormat="1" ht="15" x14ac:dyDescent="0.25">
      <c r="A13625" s="841" t="s">
        <v>197</v>
      </c>
      <c r="E13625" s="1690" t="s">
        <v>84</v>
      </c>
      <c r="F13625" s="1690"/>
      <c r="G13625" s="1408" t="s">
        <v>33</v>
      </c>
      <c r="H13625" s="393">
        <v>4.7811000000000003</v>
      </c>
      <c r="K13625" s="841" t="s">
        <v>3112</v>
      </c>
      <c r="L13625" s="841" t="s">
        <v>442</v>
      </c>
      <c r="M13625" s="1357"/>
      <c r="P13625" s="841" t="s">
        <v>3117</v>
      </c>
      <c r="Q13625" s="1357"/>
      <c r="S13625" s="1420"/>
      <c r="T13625" s="1420"/>
      <c r="V13625" s="1357">
        <v>28</v>
      </c>
    </row>
    <row r="13626" spans="1:22" s="841" customFormat="1" ht="15" x14ac:dyDescent="0.25">
      <c r="A13626" s="841" t="s">
        <v>197</v>
      </c>
      <c r="E13626" s="1690" t="s">
        <v>18</v>
      </c>
      <c r="F13626" s="1690"/>
      <c r="G13626" s="1408" t="s">
        <v>33</v>
      </c>
      <c r="H13626" s="393">
        <v>0.80559999999999998</v>
      </c>
      <c r="K13626" s="841" t="s">
        <v>3112</v>
      </c>
      <c r="L13626" s="841" t="s">
        <v>443</v>
      </c>
      <c r="M13626" s="1357"/>
      <c r="P13626" s="841" t="s">
        <v>3497</v>
      </c>
      <c r="Q13626" s="1357"/>
      <c r="S13626" s="1420"/>
      <c r="T13626" s="1420"/>
      <c r="V13626" s="1357">
        <v>24</v>
      </c>
    </row>
    <row r="13627" spans="1:22" s="841" customFormat="1" ht="15" x14ac:dyDescent="0.25">
      <c r="A13627" s="841" t="s">
        <v>197</v>
      </c>
      <c r="E13627" s="1690" t="s">
        <v>6538</v>
      </c>
      <c r="F13627" s="1908"/>
      <c r="G13627" s="1408" t="s">
        <v>33</v>
      </c>
      <c r="H13627" s="393">
        <v>0.44569999999999999</v>
      </c>
      <c r="K13627" s="841" t="s">
        <v>3112</v>
      </c>
      <c r="L13627" s="841" t="s">
        <v>443</v>
      </c>
      <c r="M13627" s="1357"/>
      <c r="P13627" s="841" t="s">
        <v>3118</v>
      </c>
      <c r="Q13627" s="1357"/>
      <c r="S13627" s="1420"/>
      <c r="T13627" s="1420">
        <v>43982</v>
      </c>
      <c r="V13627" s="1357">
        <v>94</v>
      </c>
    </row>
    <row r="13628" spans="1:22" s="841" customFormat="1" ht="15" x14ac:dyDescent="0.25">
      <c r="A13628" s="841" t="s">
        <v>197</v>
      </c>
      <c r="E13628" s="1690" t="s">
        <v>6537</v>
      </c>
      <c r="F13628" s="1908"/>
      <c r="G13628" s="1408" t="s">
        <v>33</v>
      </c>
      <c r="H13628" s="393">
        <v>2.2700000000000001E-2</v>
      </c>
      <c r="K13628" s="841" t="s">
        <v>3112</v>
      </c>
      <c r="L13628" s="841" t="s">
        <v>442</v>
      </c>
      <c r="M13628" s="1357"/>
      <c r="P13628" s="841" t="s">
        <v>3118</v>
      </c>
      <c r="Q13628" s="1357"/>
      <c r="S13628" s="1420"/>
      <c r="T13628" s="1420">
        <v>43982</v>
      </c>
      <c r="V13628" s="1357">
        <v>102</v>
      </c>
    </row>
    <row r="13629" spans="1:22" s="841" customFormat="1" ht="15" x14ac:dyDescent="0.25">
      <c r="A13629" s="841" t="s">
        <v>197</v>
      </c>
      <c r="E13629" s="1904" t="s">
        <v>6539</v>
      </c>
      <c r="F13629" s="1904"/>
      <c r="G13629" s="631" t="s">
        <v>33</v>
      </c>
      <c r="H13629" s="393">
        <v>-4.2999999999999997E-2</v>
      </c>
      <c r="K13629" s="841" t="s">
        <v>3112</v>
      </c>
      <c r="L13629" s="841" t="s">
        <v>442</v>
      </c>
      <c r="M13629" s="1357"/>
      <c r="P13629" s="841" t="s">
        <v>4294</v>
      </c>
      <c r="Q13629" s="1357"/>
      <c r="S13629" s="1420"/>
      <c r="T13629" s="1420">
        <v>43982</v>
      </c>
      <c r="V13629" s="1357">
        <v>127</v>
      </c>
    </row>
    <row r="13630" spans="1:22" s="841" customFormat="1" ht="15" x14ac:dyDescent="0.25">
      <c r="A13630" s="841" t="s">
        <v>197</v>
      </c>
      <c r="E13630" s="1690" t="s">
        <v>221</v>
      </c>
      <c r="F13630" s="1690"/>
      <c r="G13630" s="1408" t="s">
        <v>33</v>
      </c>
      <c r="H13630" s="393">
        <v>1.8223</v>
      </c>
      <c r="K13630" s="841" t="s">
        <v>3112</v>
      </c>
      <c r="L13630" s="841" t="s">
        <v>444</v>
      </c>
      <c r="M13630" s="1357"/>
      <c r="P13630" s="841" t="s">
        <v>3120</v>
      </c>
      <c r="Q13630" s="1357"/>
      <c r="S13630" s="1420"/>
      <c r="T13630" s="1420"/>
      <c r="V13630" s="1357">
        <v>47</v>
      </c>
    </row>
    <row r="13631" spans="1:22" s="841" customFormat="1" ht="15" x14ac:dyDescent="0.25">
      <c r="A13631" s="841" t="s">
        <v>197</v>
      </c>
      <c r="E13631" s="1690" t="s">
        <v>217</v>
      </c>
      <c r="F13631" s="1690"/>
      <c r="G13631" s="1408" t="s">
        <v>33</v>
      </c>
      <c r="H13631" s="393">
        <v>1.2966</v>
      </c>
      <c r="K13631" s="841" t="s">
        <v>3112</v>
      </c>
      <c r="L13631" s="841" t="s">
        <v>444</v>
      </c>
      <c r="M13631" s="1357"/>
      <c r="P13631" s="841" t="s">
        <v>3121</v>
      </c>
      <c r="Q13631" s="1357"/>
      <c r="S13631" s="1420"/>
      <c r="T13631" s="1420"/>
      <c r="V13631" s="1357">
        <v>74</v>
      </c>
    </row>
    <row r="13632" spans="1:22" s="841" customFormat="1" ht="15" x14ac:dyDescent="0.25">
      <c r="A13632" s="841" t="s">
        <v>197</v>
      </c>
      <c r="E13632" s="1694" t="s">
        <v>3079</v>
      </c>
      <c r="F13632" s="1690"/>
      <c r="G13632" s="1408"/>
      <c r="H13632" s="394"/>
      <c r="K13632" s="841" t="s">
        <v>3122</v>
      </c>
      <c r="M13632" s="1357"/>
      <c r="Q13632" s="1357"/>
      <c r="S13632" s="1420"/>
      <c r="T13632" s="1420"/>
      <c r="V13632" s="1357">
        <v>48</v>
      </c>
    </row>
    <row r="13633" spans="1:22" s="841" customFormat="1" ht="15" x14ac:dyDescent="0.25">
      <c r="A13633" s="841" t="s">
        <v>197</v>
      </c>
      <c r="E13633" s="1690" t="s">
        <v>2449</v>
      </c>
      <c r="F13633" s="1690"/>
      <c r="G13633" s="1408" t="s">
        <v>24</v>
      </c>
      <c r="H13633" s="393">
        <v>3.2000000000000002E-3</v>
      </c>
      <c r="K13633" s="841" t="s">
        <v>3112</v>
      </c>
      <c r="L13633" s="841" t="s">
        <v>3046</v>
      </c>
      <c r="M13633" s="1357"/>
      <c r="P13633" s="841" t="s">
        <v>3123</v>
      </c>
      <c r="Q13633" s="1357"/>
      <c r="S13633" s="1420"/>
      <c r="T13633" s="1420"/>
      <c r="V13633" s="1357">
        <v>55</v>
      </c>
    </row>
    <row r="13634" spans="1:22" s="841" customFormat="1" ht="15" x14ac:dyDescent="0.25">
      <c r="A13634" s="841" t="s">
        <v>197</v>
      </c>
      <c r="E13634" s="1690" t="s">
        <v>3211</v>
      </c>
      <c r="F13634" s="1690"/>
      <c r="G13634" s="1408" t="s">
        <v>24</v>
      </c>
      <c r="H13634" s="393">
        <v>4.0000000000000002E-4</v>
      </c>
      <c r="K13634" s="841" t="s">
        <v>3112</v>
      </c>
      <c r="L13634" s="841" t="s">
        <v>3046</v>
      </c>
      <c r="M13634" s="1357"/>
      <c r="P13634" s="841" t="s">
        <v>3123</v>
      </c>
      <c r="Q13634" s="1357"/>
      <c r="S13634" s="1420"/>
      <c r="T13634" s="1420"/>
      <c r="V13634" s="1357">
        <v>64</v>
      </c>
    </row>
    <row r="13635" spans="1:22" s="841" customFormat="1" ht="15" x14ac:dyDescent="0.25">
      <c r="A13635" s="841" t="s">
        <v>197</v>
      </c>
      <c r="E13635" s="1690" t="s">
        <v>439</v>
      </c>
      <c r="F13635" s="1690"/>
      <c r="G13635" s="1408" t="s">
        <v>24</v>
      </c>
      <c r="H13635" s="393">
        <v>2.9999999999999997E-4</v>
      </c>
      <c r="K13635" s="841" t="s">
        <v>3112</v>
      </c>
      <c r="L13635" s="841" t="s">
        <v>3046</v>
      </c>
      <c r="M13635" s="1357"/>
      <c r="P13635" s="841" t="s">
        <v>3124</v>
      </c>
      <c r="Q13635" s="1357"/>
      <c r="S13635" s="1420"/>
      <c r="T13635" s="1420"/>
      <c r="V13635" s="1357">
        <v>57</v>
      </c>
    </row>
    <row r="13636" spans="1:22" s="841" customFormat="1" ht="15" x14ac:dyDescent="0.25">
      <c r="A13636" s="841" t="s">
        <v>197</v>
      </c>
      <c r="E13636" s="1690" t="s">
        <v>32</v>
      </c>
      <c r="F13636" s="1690"/>
      <c r="G13636" s="1408" t="s">
        <v>23</v>
      </c>
      <c r="H13636" s="391">
        <v>0.25</v>
      </c>
      <c r="K13636" s="841" t="s">
        <v>3112</v>
      </c>
      <c r="L13636" s="841" t="s">
        <v>3046</v>
      </c>
      <c r="M13636" s="1357"/>
      <c r="P13636" s="841" t="s">
        <v>3125</v>
      </c>
      <c r="Q13636" s="1357"/>
      <c r="S13636" s="1420"/>
      <c r="T13636" s="1420"/>
      <c r="V13636" s="1357">
        <v>63</v>
      </c>
    </row>
    <row r="13637" spans="1:22" s="841" customFormat="1" x14ac:dyDescent="0.25">
      <c r="A13637" s="841" t="s">
        <v>197</v>
      </c>
      <c r="E13637" s="1909" t="s">
        <v>618</v>
      </c>
      <c r="F13637" s="1915"/>
      <c r="G13637" s="1915"/>
      <c r="H13637" s="1915"/>
      <c r="K13637" s="841" t="s">
        <v>3126</v>
      </c>
      <c r="M13637" s="1357"/>
      <c r="Q13637" s="1357"/>
      <c r="S13637" s="1420"/>
      <c r="T13637" s="1420"/>
      <c r="V13637" s="1357">
        <v>31</v>
      </c>
    </row>
    <row r="13638" spans="1:22" s="841" customFormat="1" ht="15" x14ac:dyDescent="0.25">
      <c r="A13638" s="841" t="s">
        <v>197</v>
      </c>
      <c r="E13638" s="1689" t="s">
        <v>3372</v>
      </c>
      <c r="F13638" s="1689"/>
      <c r="G13638" s="1689"/>
      <c r="H13638" s="1689"/>
      <c r="K13638" s="841" t="s">
        <v>3126</v>
      </c>
      <c r="M13638" s="1357"/>
      <c r="Q13638" s="1357"/>
      <c r="S13638" s="1420"/>
      <c r="T13638" s="1420"/>
      <c r="V13638" s="1357">
        <v>285</v>
      </c>
    </row>
    <row r="13639" spans="1:22" s="841" customFormat="1" ht="15" x14ac:dyDescent="0.25">
      <c r="A13639" s="841" t="s">
        <v>197</v>
      </c>
      <c r="E13639" s="1916" t="s">
        <v>3061</v>
      </c>
      <c r="F13639" s="1697"/>
      <c r="G13639" s="1697"/>
      <c r="H13639" s="1697"/>
      <c r="K13639" s="841" t="s">
        <v>3128</v>
      </c>
      <c r="M13639" s="1357"/>
      <c r="Q13639" s="1357"/>
      <c r="S13639" s="1420"/>
      <c r="T13639" s="1420"/>
      <c r="V13639" s="1357">
        <v>11</v>
      </c>
    </row>
    <row r="13640" spans="1:22" s="841" customFormat="1" ht="15" x14ac:dyDescent="0.25">
      <c r="A13640" s="841" t="s">
        <v>197</v>
      </c>
      <c r="E13640" s="1689" t="s">
        <v>3063</v>
      </c>
      <c r="F13640" s="1689"/>
      <c r="G13640" s="1689"/>
      <c r="H13640" s="1689"/>
      <c r="K13640" s="841" t="s">
        <v>3126</v>
      </c>
      <c r="M13640" s="1357"/>
      <c r="Q13640" s="1357"/>
      <c r="S13640" s="1420"/>
      <c r="T13640" s="1420"/>
      <c r="V13640" s="1357">
        <v>280</v>
      </c>
    </row>
    <row r="13641" spans="1:22" s="841" customFormat="1" ht="15" x14ac:dyDescent="0.25">
      <c r="A13641" s="841" t="s">
        <v>197</v>
      </c>
      <c r="E13641" s="1689" t="s">
        <v>3064</v>
      </c>
      <c r="F13641" s="1689"/>
      <c r="G13641" s="1689"/>
      <c r="H13641" s="1689"/>
      <c r="K13641" s="841" t="s">
        <v>3126</v>
      </c>
      <c r="M13641" s="1357"/>
      <c r="Q13641" s="1357"/>
      <c r="S13641" s="1420"/>
      <c r="T13641" s="1420"/>
      <c r="V13641" s="1357">
        <v>411</v>
      </c>
    </row>
    <row r="13642" spans="1:22" s="841" customFormat="1" ht="15" x14ac:dyDescent="0.25">
      <c r="A13642" s="841" t="s">
        <v>197</v>
      </c>
      <c r="E13642" s="1689" t="s">
        <v>3129</v>
      </c>
      <c r="F13642" s="1689"/>
      <c r="G13642" s="1689"/>
      <c r="H13642" s="1689"/>
      <c r="K13642" s="841" t="s">
        <v>3126</v>
      </c>
      <c r="M13642" s="1357"/>
      <c r="Q13642" s="1357"/>
      <c r="S13642" s="1420"/>
      <c r="T13642" s="1420"/>
      <c r="V13642" s="1357">
        <v>211</v>
      </c>
    </row>
    <row r="13643" spans="1:22" s="841" customFormat="1" ht="15" x14ac:dyDescent="0.25">
      <c r="A13643" s="841" t="s">
        <v>197</v>
      </c>
      <c r="E13643" s="1689" t="s">
        <v>3200</v>
      </c>
      <c r="F13643" s="1689"/>
      <c r="G13643" s="1689"/>
      <c r="H13643" s="1689"/>
      <c r="K13643" s="841" t="s">
        <v>3126</v>
      </c>
      <c r="M13643" s="1357"/>
      <c r="Q13643" s="1357"/>
      <c r="S13643" s="1420"/>
      <c r="T13643" s="1420"/>
      <c r="V13643" s="1357">
        <v>275</v>
      </c>
    </row>
    <row r="13644" spans="1:22" s="841" customFormat="1" ht="15" x14ac:dyDescent="0.25">
      <c r="A13644" s="841" t="s">
        <v>197</v>
      </c>
      <c r="E13644" s="1694" t="s">
        <v>3067</v>
      </c>
      <c r="F13644" s="1907"/>
      <c r="G13644" s="1907"/>
      <c r="H13644" s="1907"/>
      <c r="K13644" s="841" t="s">
        <v>3130</v>
      </c>
      <c r="M13644" s="1357"/>
      <c r="Q13644" s="1357"/>
      <c r="S13644" s="1420"/>
      <c r="T13644" s="1420"/>
      <c r="V13644" s="1357">
        <v>46</v>
      </c>
    </row>
    <row r="13645" spans="1:22" s="841" customFormat="1" ht="15" x14ac:dyDescent="0.25">
      <c r="A13645" s="841" t="s">
        <v>197</v>
      </c>
      <c r="E13645" s="1690" t="s">
        <v>11</v>
      </c>
      <c r="F13645" s="1690"/>
      <c r="G13645" s="1408" t="s">
        <v>23</v>
      </c>
      <c r="H13645" s="391">
        <v>10</v>
      </c>
      <c r="K13645" s="841" t="s">
        <v>3126</v>
      </c>
      <c r="L13645" s="841" t="s">
        <v>442</v>
      </c>
      <c r="M13645" s="1357"/>
      <c r="P13645" s="841" t="s">
        <v>3131</v>
      </c>
      <c r="Q13645" s="1357"/>
      <c r="S13645" s="1420"/>
      <c r="T13645" s="1420"/>
      <c r="V13645" s="1357">
        <v>14</v>
      </c>
    </row>
    <row r="13646" spans="1:22" s="841" customFormat="1" ht="18.75" x14ac:dyDescent="0.3">
      <c r="A13646" s="841" t="s">
        <v>197</v>
      </c>
      <c r="E13646" s="1374" t="s">
        <v>85</v>
      </c>
      <c r="F13646" s="657"/>
      <c r="G13646" s="657"/>
      <c r="H13646" s="658"/>
      <c r="K13646" s="841" t="s">
        <v>6545</v>
      </c>
      <c r="M13646" s="1357"/>
      <c r="Q13646" s="1357"/>
      <c r="S13646" s="1420"/>
      <c r="T13646" s="1420"/>
      <c r="V13646" s="1357">
        <v>10</v>
      </c>
    </row>
    <row r="13647" spans="1:22" s="841" customFormat="1" ht="15" x14ac:dyDescent="0.25">
      <c r="A13647" s="841" t="s">
        <v>197</v>
      </c>
      <c r="E13647" s="1690" t="s">
        <v>3133</v>
      </c>
      <c r="F13647" s="1690"/>
      <c r="G13647" s="1408" t="s">
        <v>33</v>
      </c>
      <c r="H13647" s="393">
        <v>-0.6</v>
      </c>
      <c r="M13647" s="1357"/>
      <c r="Q13647" s="1357"/>
      <c r="S13647" s="1420"/>
      <c r="T13647" s="1420"/>
      <c r="V13647" s="1357">
        <v>68</v>
      </c>
    </row>
    <row r="13648" spans="1:22" s="841" customFormat="1" ht="15" x14ac:dyDescent="0.25">
      <c r="A13648" s="841" t="s">
        <v>197</v>
      </c>
      <c r="E13648" s="1690" t="s">
        <v>5273</v>
      </c>
      <c r="F13648" s="1690"/>
      <c r="G13648" s="1408" t="s">
        <v>86</v>
      </c>
      <c r="H13648" s="391">
        <v>-1</v>
      </c>
      <c r="M13648" s="1357"/>
      <c r="Q13648" s="1357"/>
      <c r="S13648" s="1420"/>
      <c r="T13648" s="1420"/>
      <c r="V13648" s="1357">
        <v>89</v>
      </c>
    </row>
    <row r="13649" spans="1:22" s="841" customFormat="1" ht="36.75" x14ac:dyDescent="0.3">
      <c r="A13649" s="841" t="s">
        <v>197</v>
      </c>
      <c r="E13649" s="1374" t="s">
        <v>87</v>
      </c>
      <c r="F13649" s="657"/>
      <c r="G13649" s="657"/>
      <c r="H13649" s="658"/>
      <c r="K13649" s="841" t="s">
        <v>6546</v>
      </c>
      <c r="M13649" s="1357"/>
      <c r="Q13649" s="1357"/>
      <c r="S13649" s="1420"/>
      <c r="T13649" s="1420"/>
      <c r="V13649" s="1357">
        <v>24</v>
      </c>
    </row>
    <row r="13650" spans="1:22" s="841" customFormat="1" ht="15" x14ac:dyDescent="0.25">
      <c r="A13650" s="841" t="s">
        <v>197</v>
      </c>
      <c r="E13650" s="1921" t="s">
        <v>3063</v>
      </c>
      <c r="F13650" s="1921"/>
      <c r="G13650" s="1921"/>
      <c r="H13650" s="1921"/>
      <c r="M13650" s="1357"/>
      <c r="Q13650" s="1357"/>
      <c r="S13650" s="1420"/>
      <c r="T13650" s="1420"/>
      <c r="V13650" s="1357">
        <v>280</v>
      </c>
    </row>
    <row r="13651" spans="1:22" s="841" customFormat="1" ht="15" x14ac:dyDescent="0.25">
      <c r="A13651" s="841" t="s">
        <v>197</v>
      </c>
      <c r="E13651" s="1921" t="s">
        <v>3136</v>
      </c>
      <c r="F13651" s="1921"/>
      <c r="G13651" s="1921"/>
      <c r="H13651" s="1921"/>
      <c r="M13651" s="1357"/>
      <c r="Q13651" s="1357"/>
      <c r="S13651" s="1420"/>
      <c r="T13651" s="1420"/>
      <c r="V13651" s="1357">
        <v>353</v>
      </c>
    </row>
    <row r="13652" spans="1:22" s="841" customFormat="1" ht="15" x14ac:dyDescent="0.25">
      <c r="A13652" s="841" t="s">
        <v>197</v>
      </c>
      <c r="E13652" s="1921" t="s">
        <v>3200</v>
      </c>
      <c r="F13652" s="1921"/>
      <c r="G13652" s="1921"/>
      <c r="H13652" s="1921"/>
      <c r="M13652" s="1357"/>
      <c r="Q13652" s="1357"/>
      <c r="S13652" s="1420"/>
      <c r="T13652" s="1420"/>
      <c r="V13652" s="1357">
        <v>275</v>
      </c>
    </row>
    <row r="13653" spans="1:22" s="841" customFormat="1" ht="15" x14ac:dyDescent="0.25">
      <c r="A13653" s="841" t="s">
        <v>197</v>
      </c>
      <c r="E13653" s="1370" t="s">
        <v>3137</v>
      </c>
      <c r="F13653" s="3"/>
      <c r="G13653" s="3"/>
      <c r="H13653" s="398"/>
      <c r="K13653" s="841" t="s">
        <v>6547</v>
      </c>
      <c r="M13653" s="1357"/>
      <c r="Q13653" s="1357"/>
      <c r="S13653" s="1420"/>
      <c r="T13653" s="1420"/>
      <c r="V13653" s="1357">
        <v>23</v>
      </c>
    </row>
    <row r="13654" spans="1:22" s="841" customFormat="1" ht="15" x14ac:dyDescent="0.25">
      <c r="A13654" s="841" t="s">
        <v>197</v>
      </c>
      <c r="E13654" s="1905" t="s">
        <v>3355</v>
      </c>
      <c r="F13654" s="1905"/>
      <c r="G13654" s="1407" t="s">
        <v>23</v>
      </c>
      <c r="H13654" s="600">
        <v>15</v>
      </c>
      <c r="M13654" s="1357"/>
      <c r="Q13654" s="1357"/>
      <c r="S13654" s="1420"/>
      <c r="T13654" s="1420"/>
      <c r="V13654" s="1357">
        <v>19</v>
      </c>
    </row>
    <row r="13655" spans="1:22" s="841" customFormat="1" ht="15" x14ac:dyDescent="0.25">
      <c r="A13655" s="841" t="s">
        <v>197</v>
      </c>
      <c r="E13655" s="1905" t="s">
        <v>3140</v>
      </c>
      <c r="F13655" s="1905"/>
      <c r="G13655" s="1407" t="s">
        <v>23</v>
      </c>
      <c r="H13655" s="600">
        <v>15</v>
      </c>
      <c r="M13655" s="1357"/>
      <c r="Q13655" s="1357"/>
      <c r="S13655" s="1420"/>
      <c r="T13655" s="1420"/>
      <c r="V13655" s="1357">
        <v>20</v>
      </c>
    </row>
    <row r="13656" spans="1:22" s="841" customFormat="1" ht="15" x14ac:dyDescent="0.25">
      <c r="A13656" s="841" t="s">
        <v>197</v>
      </c>
      <c r="E13656" s="1905" t="s">
        <v>3141</v>
      </c>
      <c r="F13656" s="1905"/>
      <c r="G13656" s="1407" t="s">
        <v>23</v>
      </c>
      <c r="H13656" s="600">
        <v>15</v>
      </c>
      <c r="M13656" s="1357"/>
      <c r="Q13656" s="1357"/>
      <c r="S13656" s="1420"/>
      <c r="T13656" s="1420"/>
      <c r="V13656" s="1357">
        <v>26</v>
      </c>
    </row>
    <row r="13657" spans="1:22" s="841" customFormat="1" ht="15" x14ac:dyDescent="0.25">
      <c r="A13657" s="841" t="s">
        <v>197</v>
      </c>
      <c r="E13657" s="1905" t="s">
        <v>3142</v>
      </c>
      <c r="F13657" s="1905"/>
      <c r="G13657" s="1407" t="s">
        <v>23</v>
      </c>
      <c r="H13657" s="600">
        <v>15</v>
      </c>
      <c r="M13657" s="1357"/>
      <c r="Q13657" s="1357"/>
      <c r="S13657" s="1420"/>
      <c r="T13657" s="1420"/>
      <c r="V13657" s="1357">
        <v>39</v>
      </c>
    </row>
    <row r="13658" spans="1:22" s="841" customFormat="1" ht="15" x14ac:dyDescent="0.25">
      <c r="A13658" s="841" t="s">
        <v>197</v>
      </c>
      <c r="E13658" s="1905" t="s">
        <v>3143</v>
      </c>
      <c r="F13658" s="1905"/>
      <c r="G13658" s="1407" t="s">
        <v>23</v>
      </c>
      <c r="H13658" s="600">
        <v>15</v>
      </c>
      <c r="M13658" s="1357"/>
      <c r="Q13658" s="1357"/>
      <c r="S13658" s="1420"/>
      <c r="T13658" s="1420"/>
      <c r="V13658" s="1357">
        <v>37</v>
      </c>
    </row>
    <row r="13659" spans="1:22" s="841" customFormat="1" ht="15" x14ac:dyDescent="0.25">
      <c r="A13659" s="841" t="s">
        <v>197</v>
      </c>
      <c r="E13659" s="1905" t="s">
        <v>4770</v>
      </c>
      <c r="F13659" s="1905"/>
      <c r="G13659" s="1407" t="s">
        <v>23</v>
      </c>
      <c r="H13659" s="600">
        <v>15</v>
      </c>
      <c r="M13659" s="1357"/>
      <c r="Q13659" s="1357"/>
      <c r="S13659" s="1420"/>
      <c r="T13659" s="1420"/>
      <c r="V13659" s="1357">
        <v>15</v>
      </c>
    </row>
    <row r="13660" spans="1:22" s="841" customFormat="1" ht="15" x14ac:dyDescent="0.25">
      <c r="A13660" s="841" t="s">
        <v>197</v>
      </c>
      <c r="E13660" s="1905" t="s">
        <v>3145</v>
      </c>
      <c r="F13660" s="1905"/>
      <c r="G13660" s="1407" t="s">
        <v>23</v>
      </c>
      <c r="H13660" s="600">
        <v>15</v>
      </c>
      <c r="M13660" s="1357"/>
      <c r="Q13660" s="1357"/>
      <c r="S13660" s="1420"/>
      <c r="T13660" s="1420"/>
      <c r="V13660" s="1357">
        <v>17</v>
      </c>
    </row>
    <row r="13661" spans="1:22" s="841" customFormat="1" ht="15" x14ac:dyDescent="0.25">
      <c r="A13661" s="841" t="s">
        <v>197</v>
      </c>
      <c r="E13661" s="1905" t="s">
        <v>3146</v>
      </c>
      <c r="F13661" s="1905"/>
      <c r="G13661" s="1407" t="s">
        <v>23</v>
      </c>
      <c r="H13661" s="600">
        <v>15</v>
      </c>
      <c r="M13661" s="1357"/>
      <c r="Q13661" s="1357"/>
      <c r="S13661" s="1420"/>
      <c r="T13661" s="1420"/>
      <c r="V13661" s="1357">
        <v>19</v>
      </c>
    </row>
    <row r="13662" spans="1:22" s="841" customFormat="1" ht="15" x14ac:dyDescent="0.25">
      <c r="A13662" s="841" t="s">
        <v>197</v>
      </c>
      <c r="E13662" s="1905" t="s">
        <v>3147</v>
      </c>
      <c r="F13662" s="1905"/>
      <c r="G13662" s="1407" t="s">
        <v>23</v>
      </c>
      <c r="H13662" s="600">
        <v>15</v>
      </c>
      <c r="M13662" s="1357"/>
      <c r="Q13662" s="1357"/>
      <c r="S13662" s="1420"/>
      <c r="T13662" s="1420"/>
      <c r="V13662" s="1357">
        <v>15</v>
      </c>
    </row>
    <row r="13663" spans="1:22" s="841" customFormat="1" ht="15" x14ac:dyDescent="0.25">
      <c r="A13663" s="841" t="s">
        <v>197</v>
      </c>
      <c r="E13663" s="1905" t="s">
        <v>3148</v>
      </c>
      <c r="F13663" s="1905"/>
      <c r="G13663" s="1407" t="s">
        <v>23</v>
      </c>
      <c r="H13663" s="600">
        <v>15</v>
      </c>
      <c r="M13663" s="1357"/>
      <c r="Q13663" s="1357"/>
      <c r="S13663" s="1420"/>
      <c r="T13663" s="1420"/>
      <c r="V13663" s="1357">
        <v>56</v>
      </c>
    </row>
    <row r="13664" spans="1:22" s="841" customFormat="1" ht="15" x14ac:dyDescent="0.25">
      <c r="A13664" s="841" t="s">
        <v>197</v>
      </c>
      <c r="E13664" s="1905" t="s">
        <v>123</v>
      </c>
      <c r="F13664" s="1905"/>
      <c r="G13664" s="1407" t="s">
        <v>23</v>
      </c>
      <c r="H13664" s="600">
        <v>15</v>
      </c>
      <c r="M13664" s="1357"/>
      <c r="Q13664" s="1357"/>
      <c r="S13664" s="1420"/>
      <c r="T13664" s="1420"/>
      <c r="V13664" s="1357">
        <v>35</v>
      </c>
    </row>
    <row r="13665" spans="1:22" s="841" customFormat="1" ht="15" x14ac:dyDescent="0.25">
      <c r="A13665" s="841" t="s">
        <v>197</v>
      </c>
      <c r="E13665" s="1905" t="s">
        <v>3150</v>
      </c>
      <c r="F13665" s="1905"/>
      <c r="G13665" s="1407" t="s">
        <v>23</v>
      </c>
      <c r="H13665" s="600">
        <v>15</v>
      </c>
      <c r="M13665" s="1357"/>
      <c r="Q13665" s="1357"/>
      <c r="S13665" s="1420"/>
      <c r="T13665" s="1420"/>
      <c r="V13665" s="1357">
        <v>24</v>
      </c>
    </row>
    <row r="13666" spans="1:22" s="841" customFormat="1" ht="15" x14ac:dyDescent="0.25">
      <c r="A13666" s="841" t="s">
        <v>197</v>
      </c>
      <c r="E13666" s="1905" t="s">
        <v>3151</v>
      </c>
      <c r="F13666" s="1905"/>
      <c r="G13666" s="1407" t="s">
        <v>23</v>
      </c>
      <c r="H13666" s="600">
        <v>15</v>
      </c>
      <c r="M13666" s="1357"/>
      <c r="Q13666" s="1357"/>
      <c r="S13666" s="1420"/>
      <c r="T13666" s="1420"/>
      <c r="V13666" s="1357">
        <v>19</v>
      </c>
    </row>
    <row r="13667" spans="1:22" s="841" customFormat="1" ht="15" x14ac:dyDescent="0.25">
      <c r="A13667" s="841" t="s">
        <v>197</v>
      </c>
      <c r="E13667" s="1905" t="s">
        <v>88</v>
      </c>
      <c r="F13667" s="1905"/>
      <c r="G13667" s="1407" t="s">
        <v>23</v>
      </c>
      <c r="H13667" s="600">
        <v>30</v>
      </c>
      <c r="M13667" s="1357"/>
      <c r="Q13667" s="1357"/>
      <c r="S13667" s="1420"/>
      <c r="T13667" s="1420"/>
      <c r="V13667" s="1357">
        <v>89</v>
      </c>
    </row>
    <row r="13668" spans="1:22" s="841" customFormat="1" ht="15" x14ac:dyDescent="0.25">
      <c r="A13668" s="841" t="s">
        <v>197</v>
      </c>
      <c r="E13668" s="1905" t="s">
        <v>92</v>
      </c>
      <c r="F13668" s="1905"/>
      <c r="G13668" s="1407" t="s">
        <v>23</v>
      </c>
      <c r="H13668" s="600">
        <v>30</v>
      </c>
      <c r="M13668" s="1357"/>
      <c r="Q13668" s="1357"/>
      <c r="S13668" s="1420"/>
      <c r="T13668" s="1420"/>
      <c r="V13668" s="1357">
        <v>74</v>
      </c>
    </row>
    <row r="13669" spans="1:22" s="841" customFormat="1" ht="15" x14ac:dyDescent="0.25">
      <c r="A13669" s="841" t="s">
        <v>197</v>
      </c>
      <c r="E13669" s="1905" t="s">
        <v>94</v>
      </c>
      <c r="F13669" s="1905"/>
      <c r="G13669" s="1407" t="s">
        <v>23</v>
      </c>
      <c r="H13669" s="600">
        <v>30</v>
      </c>
      <c r="M13669" s="1357"/>
      <c r="Q13669" s="1357"/>
      <c r="S13669" s="1420"/>
      <c r="T13669" s="1420"/>
      <c r="V13669" s="1357">
        <v>19</v>
      </c>
    </row>
    <row r="13670" spans="1:22" s="841" customFormat="1" ht="15" x14ac:dyDescent="0.25">
      <c r="A13670" s="841" t="s">
        <v>197</v>
      </c>
      <c r="E13670" s="1370" t="s">
        <v>3152</v>
      </c>
      <c r="F13670" s="3"/>
      <c r="G13670" s="3"/>
      <c r="H13670" s="398"/>
      <c r="K13670" s="841" t="s">
        <v>6548</v>
      </c>
      <c r="M13670" s="1357"/>
      <c r="Q13670" s="1357"/>
      <c r="S13670" s="1420"/>
      <c r="T13670" s="1420"/>
      <c r="V13670" s="1357">
        <v>22</v>
      </c>
    </row>
    <row r="13671" spans="1:22" s="841" customFormat="1" ht="15" x14ac:dyDescent="0.25">
      <c r="A13671" s="841" t="s">
        <v>197</v>
      </c>
      <c r="E13671" s="1905" t="s">
        <v>5137</v>
      </c>
      <c r="F13671" s="1905"/>
      <c r="G13671" s="1407" t="s">
        <v>86</v>
      </c>
      <c r="H13671" s="600">
        <v>1.5</v>
      </c>
      <c r="M13671" s="1357"/>
      <c r="Q13671" s="1357"/>
      <c r="S13671" s="1420"/>
      <c r="T13671" s="1420"/>
      <c r="V13671" s="1357">
        <v>24</v>
      </c>
    </row>
    <row r="13672" spans="1:22" s="841" customFormat="1" ht="15" x14ac:dyDescent="0.25">
      <c r="A13672" s="841" t="s">
        <v>197</v>
      </c>
      <c r="E13672" s="1905" t="s">
        <v>4772</v>
      </c>
      <c r="F13672" s="1905"/>
      <c r="G13672" s="1407" t="s">
        <v>86</v>
      </c>
      <c r="H13672" s="600">
        <v>19.559999999999999</v>
      </c>
      <c r="M13672" s="1357"/>
      <c r="Q13672" s="1357"/>
      <c r="S13672" s="1420"/>
      <c r="T13672" s="1420"/>
      <c r="V13672" s="1357">
        <v>24</v>
      </c>
    </row>
    <row r="13673" spans="1:22" s="841" customFormat="1" ht="15" x14ac:dyDescent="0.25">
      <c r="A13673" s="841" t="s">
        <v>197</v>
      </c>
      <c r="E13673" s="1905" t="s">
        <v>3288</v>
      </c>
      <c r="F13673" s="1905"/>
      <c r="G13673" s="1407" t="s">
        <v>23</v>
      </c>
      <c r="H13673" s="600">
        <v>30</v>
      </c>
      <c r="M13673" s="1357"/>
      <c r="Q13673" s="1357"/>
      <c r="S13673" s="1420"/>
      <c r="T13673" s="1420"/>
      <c r="V13673" s="1357">
        <v>47</v>
      </c>
    </row>
    <row r="13674" spans="1:22" s="841" customFormat="1" ht="15" x14ac:dyDescent="0.25">
      <c r="A13674" s="841" t="s">
        <v>197</v>
      </c>
      <c r="E13674" s="1905" t="s">
        <v>3157</v>
      </c>
      <c r="F13674" s="1905"/>
      <c r="G13674" s="1407" t="s">
        <v>23</v>
      </c>
      <c r="H13674" s="600">
        <v>165</v>
      </c>
      <c r="M13674" s="1357"/>
      <c r="Q13674" s="1357"/>
      <c r="S13674" s="1420"/>
      <c r="T13674" s="1420"/>
      <c r="V13674" s="1357">
        <v>69</v>
      </c>
    </row>
    <row r="13675" spans="1:22" s="841" customFormat="1" ht="15" x14ac:dyDescent="0.25">
      <c r="A13675" s="841" t="s">
        <v>197</v>
      </c>
      <c r="E13675" s="1905" t="s">
        <v>4773</v>
      </c>
      <c r="F13675" s="1905"/>
      <c r="G13675" s="1407" t="s">
        <v>23</v>
      </c>
      <c r="H13675" s="600">
        <v>65</v>
      </c>
      <c r="M13675" s="1357"/>
      <c r="Q13675" s="1357"/>
      <c r="S13675" s="1420"/>
      <c r="T13675" s="1420"/>
      <c r="V13675" s="1357">
        <v>52</v>
      </c>
    </row>
    <row r="13676" spans="1:22" s="841" customFormat="1" ht="15" x14ac:dyDescent="0.25">
      <c r="A13676" s="841" t="s">
        <v>197</v>
      </c>
      <c r="E13676" s="1905" t="s">
        <v>4774</v>
      </c>
      <c r="F13676" s="1905"/>
      <c r="G13676" s="1407" t="s">
        <v>23</v>
      </c>
      <c r="H13676" s="600">
        <v>185</v>
      </c>
      <c r="M13676" s="1357"/>
      <c r="Q13676" s="1357"/>
      <c r="S13676" s="1420"/>
      <c r="T13676" s="1420"/>
      <c r="V13676" s="1357">
        <v>51</v>
      </c>
    </row>
    <row r="13677" spans="1:22" s="841" customFormat="1" ht="15" x14ac:dyDescent="0.25">
      <c r="A13677" s="841" t="s">
        <v>197</v>
      </c>
      <c r="E13677" s="1905" t="s">
        <v>4775</v>
      </c>
      <c r="F13677" s="1905"/>
      <c r="G13677" s="1407" t="s">
        <v>23</v>
      </c>
      <c r="H13677" s="600">
        <v>185</v>
      </c>
      <c r="M13677" s="1357"/>
      <c r="Q13677" s="1357"/>
      <c r="S13677" s="1420"/>
      <c r="T13677" s="1420"/>
      <c r="V13677" s="1357">
        <v>51</v>
      </c>
    </row>
    <row r="13678" spans="1:22" s="841" customFormat="1" ht="15" x14ac:dyDescent="0.25">
      <c r="A13678" s="841" t="s">
        <v>197</v>
      </c>
      <c r="E13678" s="1905" t="s">
        <v>4776</v>
      </c>
      <c r="F13678" s="1905"/>
      <c r="G13678" s="1407" t="s">
        <v>23</v>
      </c>
      <c r="H13678" s="600">
        <v>415</v>
      </c>
      <c r="M13678" s="1357"/>
      <c r="Q13678" s="1357"/>
      <c r="S13678" s="1420"/>
      <c r="T13678" s="1420"/>
      <c r="V13678" s="1357">
        <v>50</v>
      </c>
    </row>
    <row r="13679" spans="1:22" s="841" customFormat="1" ht="15" x14ac:dyDescent="0.25">
      <c r="A13679" s="841" t="s">
        <v>197</v>
      </c>
      <c r="E13679" s="1905" t="s">
        <v>4777</v>
      </c>
      <c r="F13679" s="1905"/>
      <c r="G13679" s="1407" t="s">
        <v>23</v>
      </c>
      <c r="H13679" s="600">
        <v>65</v>
      </c>
      <c r="M13679" s="1357"/>
      <c r="Q13679" s="1357"/>
      <c r="S13679" s="1420"/>
      <c r="T13679" s="1420"/>
      <c r="V13679" s="1357">
        <v>57</v>
      </c>
    </row>
    <row r="13680" spans="1:22" s="841" customFormat="1" ht="15" x14ac:dyDescent="0.25">
      <c r="A13680" s="841" t="s">
        <v>197</v>
      </c>
      <c r="E13680" s="1905" t="s">
        <v>4778</v>
      </c>
      <c r="F13680" s="1905"/>
      <c r="G13680" s="1407" t="s">
        <v>23</v>
      </c>
      <c r="H13680" s="600">
        <v>185</v>
      </c>
      <c r="M13680" s="1357"/>
      <c r="Q13680" s="1357"/>
      <c r="S13680" s="1420"/>
      <c r="T13680" s="1420"/>
      <c r="V13680" s="1357">
        <v>56</v>
      </c>
    </row>
    <row r="13681" spans="1:22" s="841" customFormat="1" ht="15" x14ac:dyDescent="0.25">
      <c r="A13681" s="841" t="s">
        <v>197</v>
      </c>
      <c r="E13681" s="1370" t="s">
        <v>3164</v>
      </c>
      <c r="F13681" s="3"/>
      <c r="G13681" s="3"/>
      <c r="H13681" s="398"/>
      <c r="M13681" s="1357"/>
      <c r="Q13681" s="1357"/>
      <c r="S13681" s="1420"/>
      <c r="T13681" s="1420"/>
      <c r="V13681" s="1357">
        <v>5</v>
      </c>
    </row>
    <row r="13682" spans="1:22" s="841" customFormat="1" ht="15" x14ac:dyDescent="0.25">
      <c r="A13682" s="841" t="s">
        <v>197</v>
      </c>
      <c r="E13682" s="1905" t="s">
        <v>4779</v>
      </c>
      <c r="F13682" s="1905"/>
      <c r="G13682" s="1407" t="s">
        <v>23</v>
      </c>
      <c r="H13682" s="600">
        <v>30</v>
      </c>
      <c r="M13682" s="1357"/>
      <c r="Q13682" s="1357"/>
      <c r="S13682" s="1420"/>
      <c r="T13682" s="1420"/>
      <c r="V13682" s="1357">
        <v>39</v>
      </c>
    </row>
    <row r="13683" spans="1:22" s="841" customFormat="1" ht="15" x14ac:dyDescent="0.25">
      <c r="A13683" s="841" t="s">
        <v>197</v>
      </c>
      <c r="E13683" s="1905" t="s">
        <v>3168</v>
      </c>
      <c r="F13683" s="1905"/>
      <c r="G13683" s="1407" t="s">
        <v>23</v>
      </c>
      <c r="H13683" s="600">
        <v>165</v>
      </c>
      <c r="M13683" s="1357"/>
      <c r="Q13683" s="1357"/>
      <c r="S13683" s="1420"/>
      <c r="T13683" s="1420"/>
      <c r="V13683" s="1357">
        <v>34</v>
      </c>
    </row>
    <row r="13684" spans="1:22" s="841" customFormat="1" ht="15" x14ac:dyDescent="0.25">
      <c r="A13684" s="841" t="s">
        <v>197</v>
      </c>
      <c r="E13684" s="1905" t="s">
        <v>3434</v>
      </c>
      <c r="F13684" s="1905"/>
      <c r="G13684" s="1407" t="s">
        <v>23</v>
      </c>
      <c r="H13684" s="600">
        <v>500</v>
      </c>
      <c r="M13684" s="1357"/>
      <c r="Q13684" s="1357"/>
      <c r="S13684" s="1420"/>
      <c r="T13684" s="1420"/>
      <c r="V13684" s="1357">
        <v>64</v>
      </c>
    </row>
    <row r="13685" spans="1:22" s="841" customFormat="1" ht="15" x14ac:dyDescent="0.25">
      <c r="A13685" s="841" t="s">
        <v>197</v>
      </c>
      <c r="E13685" s="1905" t="s">
        <v>3489</v>
      </c>
      <c r="F13685" s="1905"/>
      <c r="G13685" s="1407" t="s">
        <v>23</v>
      </c>
      <c r="H13685" s="600">
        <v>300</v>
      </c>
      <c r="M13685" s="1357"/>
      <c r="Q13685" s="1357"/>
      <c r="S13685" s="1420"/>
      <c r="T13685" s="1420"/>
      <c r="V13685" s="1357">
        <v>67</v>
      </c>
    </row>
    <row r="13686" spans="1:22" s="841" customFormat="1" ht="15" x14ac:dyDescent="0.25">
      <c r="A13686" s="841" t="s">
        <v>197</v>
      </c>
      <c r="E13686" s="1905" t="s">
        <v>3490</v>
      </c>
      <c r="F13686" s="1905"/>
      <c r="G13686" s="1407" t="s">
        <v>23</v>
      </c>
      <c r="H13686" s="600">
        <v>1000</v>
      </c>
      <c r="M13686" s="1357"/>
      <c r="Q13686" s="1357"/>
      <c r="S13686" s="1420"/>
      <c r="T13686" s="1420"/>
      <c r="V13686" s="1357">
        <v>66</v>
      </c>
    </row>
    <row r="13687" spans="1:22" s="841" customFormat="1" ht="15" x14ac:dyDescent="0.25">
      <c r="A13687" s="841" t="s">
        <v>197</v>
      </c>
      <c r="E13687" s="2152" t="s">
        <v>6549</v>
      </c>
      <c r="F13687" s="2152"/>
      <c r="G13687" s="1363" t="s">
        <v>23</v>
      </c>
      <c r="H13687" s="1148">
        <v>22.35</v>
      </c>
      <c r="M13687" s="1357"/>
      <c r="Q13687" s="1357"/>
      <c r="S13687" s="1420"/>
      <c r="T13687" s="1420">
        <v>43343</v>
      </c>
      <c r="V13687" s="1357">
        <v>161</v>
      </c>
    </row>
    <row r="13688" spans="1:22" s="841" customFormat="1" ht="15" x14ac:dyDescent="0.25">
      <c r="A13688" s="841" t="s">
        <v>197</v>
      </c>
      <c r="E13688" s="2153" t="s">
        <v>6550</v>
      </c>
      <c r="F13688" s="2153"/>
      <c r="G13688" s="1363" t="s">
        <v>23</v>
      </c>
      <c r="H13688" s="1148">
        <v>28.09</v>
      </c>
      <c r="M13688" s="1357"/>
      <c r="Q13688" s="1357"/>
      <c r="S13688" s="1420"/>
      <c r="T13688" s="1420">
        <v>43465</v>
      </c>
      <c r="V13688" s="1357">
        <v>186</v>
      </c>
    </row>
    <row r="13689" spans="1:22" s="841" customFormat="1" ht="36.75" x14ac:dyDescent="0.3">
      <c r="A13689" s="841" t="s">
        <v>197</v>
      </c>
      <c r="E13689" s="1374" t="s">
        <v>77</v>
      </c>
      <c r="F13689" s="657"/>
      <c r="G13689" s="657"/>
      <c r="H13689" s="658"/>
      <c r="K13689" s="841" t="s">
        <v>6551</v>
      </c>
      <c r="M13689" s="1357"/>
      <c r="Q13689" s="1357"/>
      <c r="S13689" s="1420"/>
      <c r="T13689" s="1420"/>
      <c r="V13689" s="1357">
        <v>38</v>
      </c>
    </row>
    <row r="13690" spans="1:22" s="841" customFormat="1" ht="15" x14ac:dyDescent="0.25">
      <c r="A13690" s="841" t="s">
        <v>197</v>
      </c>
      <c r="E13690" s="1689" t="s">
        <v>3063</v>
      </c>
      <c r="F13690" s="1689"/>
      <c r="G13690" s="1689"/>
      <c r="H13690" s="1689"/>
      <c r="M13690" s="1357"/>
      <c r="Q13690" s="1357"/>
      <c r="S13690" s="1420"/>
      <c r="T13690" s="1420"/>
      <c r="V13690" s="1357">
        <v>280</v>
      </c>
    </row>
    <row r="13691" spans="1:22" s="841" customFormat="1" ht="15" x14ac:dyDescent="0.25">
      <c r="A13691" s="841" t="s">
        <v>197</v>
      </c>
      <c r="E13691" s="1689" t="s">
        <v>3064</v>
      </c>
      <c r="F13691" s="1689"/>
      <c r="G13691" s="1689"/>
      <c r="H13691" s="1689"/>
      <c r="M13691" s="1357"/>
      <c r="Q13691" s="1357"/>
      <c r="S13691" s="1420"/>
      <c r="T13691" s="1420"/>
      <c r="V13691" s="1357">
        <v>411</v>
      </c>
    </row>
    <row r="13692" spans="1:22" s="841" customFormat="1" ht="15" x14ac:dyDescent="0.25">
      <c r="A13692" s="841" t="s">
        <v>197</v>
      </c>
      <c r="E13692" s="1689" t="s">
        <v>3129</v>
      </c>
      <c r="F13692" s="1689"/>
      <c r="G13692" s="1689"/>
      <c r="H13692" s="1689"/>
      <c r="M13692" s="1357"/>
      <c r="Q13692" s="1357"/>
      <c r="S13692" s="1420"/>
      <c r="T13692" s="1420"/>
      <c r="V13692" s="1357">
        <v>211</v>
      </c>
    </row>
    <row r="13693" spans="1:22" s="841" customFormat="1" ht="15" x14ac:dyDescent="0.25">
      <c r="A13693" s="841" t="s">
        <v>197</v>
      </c>
      <c r="E13693" s="1689" t="s">
        <v>3200</v>
      </c>
      <c r="F13693" s="1689"/>
      <c r="G13693" s="1689"/>
      <c r="H13693" s="1689"/>
      <c r="M13693" s="1357"/>
      <c r="Q13693" s="1357"/>
      <c r="S13693" s="1420"/>
      <c r="T13693" s="1420"/>
      <c r="V13693" s="1357">
        <v>275</v>
      </c>
    </row>
    <row r="13694" spans="1:22" s="841" customFormat="1" ht="15" x14ac:dyDescent="0.25">
      <c r="A13694" s="841" t="s">
        <v>197</v>
      </c>
      <c r="E13694" s="1689" t="s">
        <v>3291</v>
      </c>
      <c r="F13694" s="1689"/>
      <c r="G13694" s="1689"/>
      <c r="H13694" s="1689"/>
      <c r="M13694" s="1357"/>
      <c r="Q13694" s="1357"/>
      <c r="S13694" s="1420"/>
      <c r="T13694" s="1420"/>
      <c r="V13694" s="1357">
        <v>142</v>
      </c>
    </row>
    <row r="13695" spans="1:22" s="841" customFormat="1" ht="15" x14ac:dyDescent="0.25">
      <c r="A13695" s="841" t="s">
        <v>197</v>
      </c>
      <c r="E13695" s="1690" t="s">
        <v>3176</v>
      </c>
      <c r="F13695" s="1690"/>
      <c r="G13695" s="397" t="s">
        <v>23</v>
      </c>
      <c r="H13695" s="391">
        <v>100</v>
      </c>
      <c r="M13695" s="1357"/>
      <c r="Q13695" s="1357"/>
      <c r="S13695" s="1420"/>
      <c r="T13695" s="1420"/>
      <c r="V13695" s="1357">
        <v>106</v>
      </c>
    </row>
    <row r="13696" spans="1:22" s="841" customFormat="1" ht="15" x14ac:dyDescent="0.25">
      <c r="A13696" s="841" t="s">
        <v>197</v>
      </c>
      <c r="E13696" s="1690" t="s">
        <v>5140</v>
      </c>
      <c r="F13696" s="1690"/>
      <c r="G13696" s="397" t="s">
        <v>23</v>
      </c>
      <c r="H13696" s="391">
        <v>20</v>
      </c>
      <c r="M13696" s="1357"/>
      <c r="Q13696" s="1357"/>
      <c r="S13696" s="1420"/>
      <c r="T13696" s="1420"/>
      <c r="V13696" s="1357">
        <v>34</v>
      </c>
    </row>
    <row r="13697" spans="1:22" s="841" customFormat="1" ht="15" x14ac:dyDescent="0.25">
      <c r="A13697" s="841" t="s">
        <v>197</v>
      </c>
      <c r="E13697" s="1690" t="s">
        <v>5141</v>
      </c>
      <c r="F13697" s="1690"/>
      <c r="G13697" s="397" t="s">
        <v>3179</v>
      </c>
      <c r="H13697" s="391">
        <v>0.5</v>
      </c>
      <c r="M13697" s="1357"/>
      <c r="Q13697" s="1357"/>
      <c r="S13697" s="1420"/>
      <c r="T13697" s="1420"/>
      <c r="V13697" s="1357">
        <v>51</v>
      </c>
    </row>
    <row r="13698" spans="1:22" s="841" customFormat="1" ht="15" x14ac:dyDescent="0.25">
      <c r="A13698" s="841" t="s">
        <v>197</v>
      </c>
      <c r="E13698" s="1690" t="s">
        <v>3180</v>
      </c>
      <c r="F13698" s="1690"/>
      <c r="G13698" s="397" t="s">
        <v>3179</v>
      </c>
      <c r="H13698" s="391">
        <v>0.3</v>
      </c>
      <c r="M13698" s="1357"/>
      <c r="Q13698" s="1357"/>
      <c r="S13698" s="1420"/>
      <c r="T13698" s="1420"/>
      <c r="V13698" s="1357">
        <v>75</v>
      </c>
    </row>
    <row r="13699" spans="1:22" s="841" customFormat="1" ht="15" x14ac:dyDescent="0.25">
      <c r="A13699" s="841" t="s">
        <v>197</v>
      </c>
      <c r="E13699" s="1690" t="s">
        <v>3181</v>
      </c>
      <c r="F13699" s="1690"/>
      <c r="G13699" s="397" t="s">
        <v>3179</v>
      </c>
      <c r="H13699" s="391">
        <v>-0.3</v>
      </c>
      <c r="M13699" s="1357"/>
      <c r="Q13699" s="1357"/>
      <c r="S13699" s="1420"/>
      <c r="T13699" s="1420"/>
      <c r="V13699" s="1357">
        <v>72</v>
      </c>
    </row>
    <row r="13700" spans="1:22" s="841" customFormat="1" ht="15" x14ac:dyDescent="0.25">
      <c r="A13700" s="841" t="s">
        <v>197</v>
      </c>
      <c r="E13700" s="1690" t="s">
        <v>3292</v>
      </c>
      <c r="F13700" s="1690"/>
      <c r="G13700" s="397"/>
      <c r="H13700" s="392"/>
      <c r="M13700" s="1357"/>
      <c r="Q13700" s="1357"/>
      <c r="S13700" s="1420"/>
      <c r="T13700" s="1420"/>
      <c r="V13700" s="1357">
        <v>34</v>
      </c>
    </row>
    <row r="13701" spans="1:22" s="841" customFormat="1" ht="15" x14ac:dyDescent="0.25">
      <c r="A13701" s="841" t="s">
        <v>197</v>
      </c>
      <c r="E13701" s="1691" t="s">
        <v>3183</v>
      </c>
      <c r="F13701" s="1691"/>
      <c r="G13701" s="397" t="s">
        <v>23</v>
      </c>
      <c r="H13701" s="391">
        <v>0.25</v>
      </c>
      <c r="M13701" s="1357"/>
      <c r="Q13701" s="1357"/>
      <c r="S13701" s="1420"/>
      <c r="T13701" s="1420"/>
      <c r="V13701" s="1357">
        <v>57</v>
      </c>
    </row>
    <row r="13702" spans="1:22" s="841" customFormat="1" ht="15" x14ac:dyDescent="0.25">
      <c r="A13702" s="841" t="s">
        <v>197</v>
      </c>
      <c r="E13702" s="1691" t="s">
        <v>3184</v>
      </c>
      <c r="F13702" s="1691"/>
      <c r="G13702" s="397" t="s">
        <v>23</v>
      </c>
      <c r="H13702" s="391">
        <v>0.5</v>
      </c>
      <c r="M13702" s="1357"/>
      <c r="Q13702" s="1357"/>
      <c r="S13702" s="1420"/>
      <c r="T13702" s="1420"/>
      <c r="V13702" s="1357">
        <v>60</v>
      </c>
    </row>
    <row r="13703" spans="1:22" s="841" customFormat="1" ht="15" x14ac:dyDescent="0.25">
      <c r="A13703" s="841" t="s">
        <v>197</v>
      </c>
      <c r="E13703" s="1690" t="s">
        <v>3185</v>
      </c>
      <c r="F13703" s="1690"/>
      <c r="G13703" s="397"/>
      <c r="H13703" s="392"/>
      <c r="M13703" s="1357"/>
      <c r="Q13703" s="1357"/>
      <c r="S13703" s="1420"/>
      <c r="T13703" s="1420"/>
      <c r="V13703" s="1357">
        <v>91</v>
      </c>
    </row>
    <row r="13704" spans="1:22" s="841" customFormat="1" ht="15" x14ac:dyDescent="0.25">
      <c r="A13704" s="841" t="s">
        <v>197</v>
      </c>
      <c r="E13704" s="1690" t="s">
        <v>3186</v>
      </c>
      <c r="F13704" s="1690"/>
      <c r="G13704" s="397"/>
      <c r="H13704" s="392"/>
      <c r="M13704" s="1357"/>
      <c r="Q13704" s="1357"/>
      <c r="S13704" s="1420"/>
      <c r="T13704" s="1420"/>
      <c r="V13704" s="1357">
        <v>96</v>
      </c>
    </row>
    <row r="13705" spans="1:22" s="841" customFormat="1" ht="15" x14ac:dyDescent="0.25">
      <c r="A13705" s="841" t="s">
        <v>197</v>
      </c>
      <c r="E13705" s="1690" t="s">
        <v>3293</v>
      </c>
      <c r="F13705" s="1690"/>
      <c r="G13705" s="397"/>
      <c r="H13705" s="392"/>
      <c r="M13705" s="1357"/>
      <c r="Q13705" s="1357"/>
      <c r="S13705" s="1420"/>
      <c r="T13705" s="1420"/>
      <c r="V13705" s="1357">
        <v>77</v>
      </c>
    </row>
    <row r="13706" spans="1:22" s="841" customFormat="1" ht="15" x14ac:dyDescent="0.25">
      <c r="A13706" s="841" t="s">
        <v>197</v>
      </c>
      <c r="E13706" s="1691" t="s">
        <v>3188</v>
      </c>
      <c r="F13706" s="1691"/>
      <c r="G13706" s="397" t="s">
        <v>23</v>
      </c>
      <c r="H13706" s="392" t="s">
        <v>3189</v>
      </c>
      <c r="M13706" s="1357"/>
      <c r="Q13706" s="1357"/>
      <c r="S13706" s="1420"/>
      <c r="T13706" s="1420"/>
      <c r="V13706" s="1357">
        <v>18</v>
      </c>
    </row>
    <row r="13707" spans="1:22" s="841" customFormat="1" ht="15" x14ac:dyDescent="0.25">
      <c r="A13707" s="841" t="s">
        <v>197</v>
      </c>
      <c r="E13707" s="1691" t="s">
        <v>3190</v>
      </c>
      <c r="F13707" s="1691"/>
      <c r="G13707" s="397" t="s">
        <v>23</v>
      </c>
      <c r="H13707" s="391">
        <v>2</v>
      </c>
      <c r="M13707" s="1357"/>
      <c r="Q13707" s="1357"/>
      <c r="S13707" s="1420"/>
      <c r="T13707" s="1420"/>
      <c r="V13707" s="1357">
        <v>69</v>
      </c>
    </row>
    <row r="13708" spans="1:22" s="841" customFormat="1" ht="18.75" x14ac:dyDescent="0.3">
      <c r="A13708" s="841" t="s">
        <v>197</v>
      </c>
      <c r="E13708" s="1374" t="s">
        <v>147</v>
      </c>
      <c r="F13708" s="657"/>
      <c r="G13708" s="657"/>
      <c r="H13708" s="658"/>
      <c r="K13708" s="841" t="s">
        <v>6552</v>
      </c>
      <c r="M13708" s="1357"/>
      <c r="Q13708" s="1357"/>
      <c r="S13708" s="1420"/>
      <c r="T13708" s="1420"/>
      <c r="V13708" s="1357">
        <v>12</v>
      </c>
    </row>
    <row r="13709" spans="1:22" s="841" customFormat="1" ht="15" x14ac:dyDescent="0.25">
      <c r="A13709" s="841" t="s">
        <v>197</v>
      </c>
      <c r="E13709" s="1704" t="s">
        <v>3192</v>
      </c>
      <c r="F13709" s="1704"/>
      <c r="G13709" s="1704"/>
      <c r="H13709" s="1704"/>
      <c r="M13709" s="1357"/>
      <c r="Q13709" s="1357"/>
      <c r="S13709" s="1420"/>
      <c r="T13709" s="1420"/>
      <c r="V13709" s="1357">
        <v>203</v>
      </c>
    </row>
    <row r="13710" spans="1:22" s="841" customFormat="1" ht="15" x14ac:dyDescent="0.25">
      <c r="A13710" s="841" t="s">
        <v>197</v>
      </c>
      <c r="E13710" s="1690" t="s">
        <v>3295</v>
      </c>
      <c r="F13710" s="1690"/>
      <c r="G13710" s="1408"/>
      <c r="H13710" s="393">
        <v>1.0712999999999999</v>
      </c>
      <c r="M13710" s="1357"/>
      <c r="Q13710" s="1357"/>
      <c r="S13710" s="1420"/>
      <c r="T13710" s="1420"/>
      <c r="V13710" s="1357">
        <v>57</v>
      </c>
    </row>
    <row r="13711" spans="1:22" s="841" customFormat="1" ht="15" x14ac:dyDescent="0.25">
      <c r="A13711" s="841" t="s">
        <v>197</v>
      </c>
      <c r="E13711" s="1690" t="s">
        <v>3297</v>
      </c>
      <c r="F13711" s="1690"/>
      <c r="G13711" s="1408"/>
      <c r="H13711" s="393">
        <v>1.0607</v>
      </c>
      <c r="J13711" s="841" t="s">
        <v>6553</v>
      </c>
      <c r="M13711" s="1357"/>
      <c r="Q13711" s="1357"/>
      <c r="S13711" s="1420"/>
      <c r="T13711" s="1420"/>
      <c r="V13711" s="1357">
        <v>55</v>
      </c>
    </row>
    <row r="13712" spans="1:22" s="841" customFormat="1" ht="23.25" x14ac:dyDescent="0.25">
      <c r="A13712" s="841" t="s">
        <v>198</v>
      </c>
      <c r="C13712" s="841" t="s">
        <v>3050</v>
      </c>
      <c r="E13712" s="2154" t="s">
        <v>198</v>
      </c>
      <c r="F13712" s="2155"/>
      <c r="G13712" s="2155"/>
      <c r="H13712" s="2155"/>
      <c r="I13712" s="841" t="s">
        <v>628</v>
      </c>
      <c r="J13712" s="841" t="s">
        <v>4644</v>
      </c>
      <c r="K13712" s="841" t="s">
        <v>198</v>
      </c>
      <c r="M13712" s="1357">
        <v>7</v>
      </c>
      <c r="Q13712" s="1357"/>
      <c r="S13712" s="1420"/>
      <c r="T13712" s="1420"/>
      <c r="V13712" s="1357">
        <v>33</v>
      </c>
    </row>
    <row r="13713" spans="1:22" s="841" customFormat="1" x14ac:dyDescent="0.25">
      <c r="A13713" s="841" t="s">
        <v>198</v>
      </c>
      <c r="C13713" s="841" t="s">
        <v>3052</v>
      </c>
      <c r="E13713" s="2156" t="s">
        <v>3053</v>
      </c>
      <c r="F13713" s="2157"/>
      <c r="G13713" s="2157"/>
      <c r="H13713" s="2157"/>
      <c r="M13713" s="1357"/>
      <c r="Q13713" s="1357"/>
      <c r="S13713" s="1420"/>
      <c r="T13713" s="1420"/>
      <c r="V13713" s="1357">
        <v>27</v>
      </c>
    </row>
    <row r="13714" spans="1:22" s="841" customFormat="1" ht="15.75" x14ac:dyDescent="0.25">
      <c r="A13714" s="841" t="s">
        <v>198</v>
      </c>
      <c r="C13714" s="841" t="s">
        <v>3054</v>
      </c>
      <c r="E13714" s="2158" t="s">
        <v>5101</v>
      </c>
      <c r="F13714" s="2159"/>
      <c r="G13714" s="2159"/>
      <c r="H13714" s="2159"/>
      <c r="M13714" s="1357"/>
      <c r="Q13714" s="1357"/>
      <c r="S13714" s="1420">
        <v>43101</v>
      </c>
      <c r="T13714" s="1420"/>
      <c r="V13714" s="1357">
        <v>49</v>
      </c>
    </row>
    <row r="13715" spans="1:22" s="841" customFormat="1" ht="15" x14ac:dyDescent="0.25">
      <c r="A13715" s="841" t="s">
        <v>198</v>
      </c>
      <c r="C13715" s="841" t="s">
        <v>3055</v>
      </c>
      <c r="E13715" s="2160" t="s">
        <v>3056</v>
      </c>
      <c r="F13715" s="2161"/>
      <c r="G13715" s="2161"/>
      <c r="H13715" s="2161"/>
      <c r="M13715" s="1357"/>
      <c r="Q13715" s="1357"/>
      <c r="S13715" s="1420"/>
      <c r="T13715" s="1420"/>
      <c r="V13715" s="1357">
        <v>52</v>
      </c>
    </row>
    <row r="13716" spans="1:22" s="841" customFormat="1" ht="15" x14ac:dyDescent="0.25">
      <c r="A13716" s="841" t="s">
        <v>198</v>
      </c>
      <c r="E13716" s="2160" t="s">
        <v>3057</v>
      </c>
      <c r="F13716" s="2161"/>
      <c r="G13716" s="2161"/>
      <c r="H13716" s="2161"/>
      <c r="M13716" s="1357"/>
      <c r="Q13716" s="1357"/>
      <c r="S13716" s="1420"/>
      <c r="T13716" s="1420"/>
      <c r="V13716" s="1357">
        <v>53</v>
      </c>
    </row>
    <row r="13717" spans="1:22" s="841" customFormat="1" ht="15" x14ac:dyDescent="0.25">
      <c r="A13717" s="841" t="s">
        <v>198</v>
      </c>
      <c r="E13717" s="2162" t="s">
        <v>5919</v>
      </c>
      <c r="F13717" s="2163"/>
      <c r="G13717" s="2163"/>
      <c r="H13717" s="2163"/>
      <c r="K13717" s="841" t="s">
        <v>5919</v>
      </c>
      <c r="M13717" s="1357"/>
      <c r="Q13717" s="1357"/>
      <c r="S13717" s="1420"/>
      <c r="T13717" s="1420"/>
      <c r="V13717" s="1357">
        <v>25</v>
      </c>
    </row>
    <row r="13718" spans="1:22" s="841" customFormat="1" ht="15" x14ac:dyDescent="0.25">
      <c r="A13718" s="841" t="s">
        <v>198</v>
      </c>
      <c r="E13718" s="2164" t="s">
        <v>438</v>
      </c>
      <c r="F13718" s="2165"/>
      <c r="G13718" s="2165"/>
      <c r="H13718" s="2165"/>
      <c r="K13718" s="841" t="s">
        <v>3197</v>
      </c>
      <c r="M13718" s="1357"/>
      <c r="Q13718" s="1357"/>
      <c r="S13718" s="1420"/>
      <c r="T13718" s="1420"/>
      <c r="V13718" s="1357">
        <v>34</v>
      </c>
    </row>
    <row r="13719" spans="1:22" s="841" customFormat="1" ht="15" x14ac:dyDescent="0.25">
      <c r="A13719" s="841" t="s">
        <v>198</v>
      </c>
      <c r="E13719" s="2024" t="s">
        <v>4645</v>
      </c>
      <c r="F13719" s="2024"/>
      <c r="G13719" s="2024"/>
      <c r="H13719" s="2024"/>
      <c r="K13719" s="841" t="s">
        <v>3197</v>
      </c>
      <c r="M13719" s="1357"/>
      <c r="Q13719" s="1357"/>
      <c r="S13719" s="1420"/>
      <c r="T13719" s="1420"/>
      <c r="V13719" s="1357">
        <v>411</v>
      </c>
    </row>
    <row r="13720" spans="1:22" s="841" customFormat="1" ht="15" x14ac:dyDescent="0.25">
      <c r="A13720" s="841" t="s">
        <v>198</v>
      </c>
      <c r="E13720" s="2166" t="s">
        <v>3061</v>
      </c>
      <c r="F13720" s="2165"/>
      <c r="G13720" s="2165"/>
      <c r="H13720" s="2165"/>
      <c r="K13720" s="841" t="s">
        <v>3062</v>
      </c>
      <c r="M13720" s="1357"/>
      <c r="Q13720" s="1357"/>
      <c r="S13720" s="1420"/>
      <c r="T13720" s="1420"/>
      <c r="V13720" s="1357">
        <v>11</v>
      </c>
    </row>
    <row r="13721" spans="1:22" s="841" customFormat="1" ht="15" x14ac:dyDescent="0.25">
      <c r="A13721" s="841" t="s">
        <v>198</v>
      </c>
      <c r="E13721" s="2024" t="s">
        <v>3063</v>
      </c>
      <c r="F13721" s="2024"/>
      <c r="G13721" s="2024"/>
      <c r="H13721" s="2024"/>
      <c r="K13721" s="841" t="s">
        <v>3197</v>
      </c>
      <c r="M13721" s="1357"/>
      <c r="Q13721" s="1357"/>
      <c r="S13721" s="1420"/>
      <c r="T13721" s="1420"/>
      <c r="V13721" s="1357">
        <v>280</v>
      </c>
    </row>
    <row r="13722" spans="1:22" s="841" customFormat="1" ht="15" x14ac:dyDescent="0.25">
      <c r="A13722" s="841" t="s">
        <v>198</v>
      </c>
      <c r="E13722" s="2024" t="s">
        <v>3064</v>
      </c>
      <c r="F13722" s="2024"/>
      <c r="G13722" s="2024"/>
      <c r="H13722" s="2024"/>
      <c r="K13722" s="841" t="s">
        <v>3197</v>
      </c>
      <c r="M13722" s="1357"/>
      <c r="Q13722" s="1357"/>
      <c r="S13722" s="1420"/>
      <c r="T13722" s="1420"/>
      <c r="V13722" s="1357">
        <v>411</v>
      </c>
    </row>
    <row r="13723" spans="1:22" s="841" customFormat="1" ht="15" x14ac:dyDescent="0.25">
      <c r="A13723" s="841" t="s">
        <v>198</v>
      </c>
      <c r="E13723" s="2024" t="s">
        <v>3065</v>
      </c>
      <c r="F13723" s="2024"/>
      <c r="G13723" s="2024"/>
      <c r="H13723" s="2024"/>
      <c r="K13723" s="841" t="s">
        <v>3197</v>
      </c>
      <c r="M13723" s="1357"/>
      <c r="Q13723" s="1357"/>
      <c r="S13723" s="1420"/>
      <c r="T13723" s="1420"/>
      <c r="V13723" s="1357">
        <v>387</v>
      </c>
    </row>
    <row r="13724" spans="1:22" s="841" customFormat="1" ht="15" x14ac:dyDescent="0.25">
      <c r="A13724" s="841" t="s">
        <v>198</v>
      </c>
      <c r="E13724" s="2024" t="s">
        <v>3200</v>
      </c>
      <c r="F13724" s="2024"/>
      <c r="G13724" s="2024"/>
      <c r="H13724" s="2024"/>
      <c r="K13724" s="841" t="s">
        <v>3197</v>
      </c>
      <c r="M13724" s="1357"/>
      <c r="Q13724" s="1357"/>
      <c r="S13724" s="1420"/>
      <c r="T13724" s="1420"/>
      <c r="V13724" s="1357">
        <v>275</v>
      </c>
    </row>
    <row r="13725" spans="1:22" s="841" customFormat="1" ht="15" x14ac:dyDescent="0.25">
      <c r="A13725" s="841" t="s">
        <v>198</v>
      </c>
      <c r="E13725" s="2167" t="s">
        <v>3067</v>
      </c>
      <c r="F13725" s="2168"/>
      <c r="G13725" s="2168"/>
      <c r="H13725" s="2168"/>
      <c r="K13725" s="841" t="s">
        <v>3068</v>
      </c>
      <c r="M13725" s="1357"/>
      <c r="Q13725" s="1357"/>
      <c r="S13725" s="1420"/>
      <c r="T13725" s="1420"/>
      <c r="V13725" s="1357">
        <v>46</v>
      </c>
    </row>
    <row r="13726" spans="1:22" s="841" customFormat="1" ht="15" x14ac:dyDescent="0.25">
      <c r="A13726" s="841" t="s">
        <v>198</v>
      </c>
      <c r="E13726" s="2169" t="s">
        <v>11</v>
      </c>
      <c r="F13726" s="2169"/>
      <c r="G13726" s="510" t="s">
        <v>23</v>
      </c>
      <c r="H13726" s="628">
        <v>29.18</v>
      </c>
      <c r="K13726" s="841" t="s">
        <v>3197</v>
      </c>
      <c r="L13726" s="841" t="s">
        <v>442</v>
      </c>
      <c r="M13726" s="1357"/>
      <c r="P13726" s="841" t="s">
        <v>3201</v>
      </c>
      <c r="Q13726" s="1357"/>
      <c r="S13726" s="1420"/>
      <c r="T13726" s="1420"/>
      <c r="V13726" s="1357">
        <v>14</v>
      </c>
    </row>
    <row r="13727" spans="1:22" s="841" customFormat="1" ht="15" x14ac:dyDescent="0.25">
      <c r="A13727" s="841" t="s">
        <v>198</v>
      </c>
      <c r="E13727" s="2169" t="s">
        <v>5920</v>
      </c>
      <c r="F13727" s="2169"/>
      <c r="G13727" s="510" t="s">
        <v>23</v>
      </c>
      <c r="H13727" s="628">
        <v>0.76</v>
      </c>
      <c r="K13727" s="841" t="s">
        <v>3197</v>
      </c>
      <c r="L13727" s="841" t="s">
        <v>442</v>
      </c>
      <c r="M13727" s="1357"/>
      <c r="P13727" s="841" t="s">
        <v>3207</v>
      </c>
      <c r="Q13727" s="1357"/>
      <c r="S13727" s="1420"/>
      <c r="T13727" s="1420">
        <v>43465</v>
      </c>
      <c r="V13727" s="1357">
        <v>109</v>
      </c>
    </row>
    <row r="13728" spans="1:22" s="841" customFormat="1" ht="15" x14ac:dyDescent="0.25">
      <c r="A13728" s="841" t="s">
        <v>198</v>
      </c>
      <c r="E13728" s="2169" t="s">
        <v>3896</v>
      </c>
      <c r="F13728" s="2169"/>
      <c r="G13728" s="510" t="s">
        <v>23</v>
      </c>
      <c r="H13728" s="628">
        <v>0.6</v>
      </c>
      <c r="K13728" s="841" t="s">
        <v>3197</v>
      </c>
      <c r="L13728" s="841" t="s">
        <v>442</v>
      </c>
      <c r="M13728" s="1357"/>
      <c r="P13728" s="841" t="s">
        <v>3364</v>
      </c>
      <c r="Q13728" s="1357"/>
      <c r="S13728" s="1420"/>
      <c r="T13728" s="1420">
        <v>43830</v>
      </c>
      <c r="V13728" s="1357">
        <v>84</v>
      </c>
    </row>
    <row r="13729" spans="1:22" s="841" customFormat="1" ht="15" x14ac:dyDescent="0.25">
      <c r="A13729" s="841" t="s">
        <v>198</v>
      </c>
      <c r="E13729" s="2169" t="s">
        <v>423</v>
      </c>
      <c r="F13729" s="2169"/>
      <c r="G13729" s="510" t="s">
        <v>23</v>
      </c>
      <c r="H13729" s="628">
        <v>0.79</v>
      </c>
      <c r="K13729" s="841" t="s">
        <v>3197</v>
      </c>
      <c r="L13729" s="841" t="s">
        <v>443</v>
      </c>
      <c r="M13729" s="1357"/>
      <c r="P13729" s="841" t="s">
        <v>3202</v>
      </c>
      <c r="Q13729" s="1357"/>
      <c r="S13729" s="1420"/>
      <c r="T13729" s="1420">
        <v>43404</v>
      </c>
      <c r="V13729" s="1357">
        <v>78</v>
      </c>
    </row>
    <row r="13730" spans="1:22" s="841" customFormat="1" ht="15" x14ac:dyDescent="0.25">
      <c r="A13730" s="841" t="s">
        <v>198</v>
      </c>
      <c r="E13730" s="2169" t="s">
        <v>84</v>
      </c>
      <c r="F13730" s="2169"/>
      <c r="G13730" s="510" t="s">
        <v>24</v>
      </c>
      <c r="H13730" s="627">
        <v>3.8E-3</v>
      </c>
      <c r="K13730" s="841" t="s">
        <v>3197</v>
      </c>
      <c r="L13730" s="841" t="s">
        <v>442</v>
      </c>
      <c r="M13730" s="1357"/>
      <c r="P13730" s="841" t="s">
        <v>3203</v>
      </c>
      <c r="Q13730" s="1357"/>
      <c r="S13730" s="1420"/>
      <c r="T13730" s="1420"/>
      <c r="V13730" s="1357">
        <v>28</v>
      </c>
    </row>
    <row r="13731" spans="1:22" s="841" customFormat="1" ht="15" x14ac:dyDescent="0.25">
      <c r="A13731" s="841" t="s">
        <v>198</v>
      </c>
      <c r="E13731" s="2169" t="s">
        <v>18</v>
      </c>
      <c r="F13731" s="2169"/>
      <c r="G13731" s="510" t="s">
        <v>24</v>
      </c>
      <c r="H13731" s="627">
        <v>1E-3</v>
      </c>
      <c r="K13731" s="841" t="s">
        <v>3197</v>
      </c>
      <c r="L13731" s="841" t="s">
        <v>443</v>
      </c>
      <c r="M13731" s="1357"/>
      <c r="P13731" s="841" t="s">
        <v>3204</v>
      </c>
      <c r="Q13731" s="1357"/>
      <c r="S13731" s="1420"/>
      <c r="T13731" s="1420"/>
      <c r="V13731" s="1357">
        <v>24</v>
      </c>
    </row>
    <row r="13732" spans="1:22" s="841" customFormat="1" ht="15" x14ac:dyDescent="0.25">
      <c r="A13732" s="841" t="s">
        <v>198</v>
      </c>
      <c r="E13732" s="2169" t="s">
        <v>5143</v>
      </c>
      <c r="F13732" s="2170"/>
      <c r="G13732" s="510" t="s">
        <v>24</v>
      </c>
      <c r="H13732" s="627">
        <v>1.2999999999999999E-3</v>
      </c>
      <c r="K13732" s="841" t="s">
        <v>3197</v>
      </c>
      <c r="L13732" s="841" t="s">
        <v>443</v>
      </c>
      <c r="M13732" s="1357"/>
      <c r="P13732" s="841" t="s">
        <v>3205</v>
      </c>
      <c r="Q13732" s="1357"/>
      <c r="S13732" s="1420"/>
      <c r="T13732" s="1420">
        <v>43465</v>
      </c>
      <c r="V13732" s="1357">
        <v>142</v>
      </c>
    </row>
    <row r="13733" spans="1:22" s="841" customFormat="1" ht="15" x14ac:dyDescent="0.25">
      <c r="A13733" s="841" t="s">
        <v>198</v>
      </c>
      <c r="E13733" s="2169" t="s">
        <v>5144</v>
      </c>
      <c r="F13733" s="2170"/>
      <c r="G13733" s="510" t="s">
        <v>24</v>
      </c>
      <c r="H13733" s="627">
        <v>-2.8E-3</v>
      </c>
      <c r="K13733" s="841" t="s">
        <v>3197</v>
      </c>
      <c r="L13733" s="841" t="s">
        <v>443</v>
      </c>
      <c r="M13733" s="1357"/>
      <c r="P13733" s="841" t="s">
        <v>3207</v>
      </c>
      <c r="Q13733" s="1357"/>
      <c r="S13733" s="1420"/>
      <c r="T13733" s="1420">
        <v>43465</v>
      </c>
      <c r="V13733" s="1357">
        <v>99</v>
      </c>
    </row>
    <row r="13734" spans="1:22" s="841" customFormat="1" ht="15" x14ac:dyDescent="0.25">
      <c r="A13734" s="841" t="s">
        <v>198</v>
      </c>
      <c r="E13734" s="2169" t="s">
        <v>5102</v>
      </c>
      <c r="F13734" s="2170"/>
      <c r="G13734" s="510" t="s">
        <v>24</v>
      </c>
      <c r="H13734" s="627">
        <v>2.0000000000000001E-4</v>
      </c>
      <c r="K13734" s="841" t="s">
        <v>3197</v>
      </c>
      <c r="L13734" s="841" t="s">
        <v>443</v>
      </c>
      <c r="M13734" s="1357"/>
      <c r="P13734" s="841" t="s">
        <v>5103</v>
      </c>
      <c r="Q13734" s="1357"/>
      <c r="S13734" s="1420"/>
      <c r="T13734" s="1420">
        <v>43465</v>
      </c>
      <c r="V13734" s="1357">
        <v>142</v>
      </c>
    </row>
    <row r="13735" spans="1:22" s="841" customFormat="1" ht="15" x14ac:dyDescent="0.25">
      <c r="A13735" s="841" t="s">
        <v>198</v>
      </c>
      <c r="E13735" s="2169" t="s">
        <v>221</v>
      </c>
      <c r="F13735" s="2169"/>
      <c r="G13735" s="510" t="s">
        <v>24</v>
      </c>
      <c r="H13735" s="627">
        <v>7.4999999999999997E-3</v>
      </c>
      <c r="K13735" s="841" t="s">
        <v>3197</v>
      </c>
      <c r="L13735" s="841" t="s">
        <v>444</v>
      </c>
      <c r="M13735" s="1357"/>
      <c r="P13735" s="841" t="s">
        <v>3208</v>
      </c>
      <c r="Q13735" s="1357"/>
      <c r="S13735" s="1420"/>
      <c r="T13735" s="1420"/>
      <c r="V13735" s="1357">
        <v>47</v>
      </c>
    </row>
    <row r="13736" spans="1:22" s="841" customFormat="1" ht="15" x14ac:dyDescent="0.25">
      <c r="A13736" s="841" t="s">
        <v>198</v>
      </c>
      <c r="E13736" s="2169" t="s">
        <v>217</v>
      </c>
      <c r="F13736" s="2169"/>
      <c r="G13736" s="510" t="s">
        <v>24</v>
      </c>
      <c r="H13736" s="627">
        <v>6.7000000000000002E-3</v>
      </c>
      <c r="K13736" s="841" t="s">
        <v>3197</v>
      </c>
      <c r="L13736" s="841" t="s">
        <v>444</v>
      </c>
      <c r="M13736" s="1357"/>
      <c r="P13736" s="841" t="s">
        <v>3209</v>
      </c>
      <c r="Q13736" s="1357"/>
      <c r="S13736" s="1420"/>
      <c r="T13736" s="1420"/>
      <c r="V13736" s="1357">
        <v>74</v>
      </c>
    </row>
    <row r="13737" spans="1:22" s="841" customFormat="1" ht="15" x14ac:dyDescent="0.25">
      <c r="A13737" s="841" t="s">
        <v>198</v>
      </c>
      <c r="E13737" s="2167" t="s">
        <v>3079</v>
      </c>
      <c r="F13737" s="2169"/>
      <c r="G13737" s="510"/>
      <c r="H13737" s="510"/>
      <c r="K13737" s="841" t="s">
        <v>3080</v>
      </c>
      <c r="M13737" s="1357"/>
      <c r="Q13737" s="1357"/>
      <c r="S13737" s="1420"/>
      <c r="T13737" s="1420"/>
      <c r="V13737" s="1357">
        <v>48</v>
      </c>
    </row>
    <row r="13738" spans="1:22" s="841" customFormat="1" ht="15" x14ac:dyDescent="0.25">
      <c r="A13738" s="841" t="s">
        <v>198</v>
      </c>
      <c r="E13738" s="2169" t="s">
        <v>2449</v>
      </c>
      <c r="F13738" s="2169"/>
      <c r="G13738" s="510" t="s">
        <v>24</v>
      </c>
      <c r="H13738" s="627">
        <v>3.2000000000000002E-3</v>
      </c>
      <c r="K13738" s="841" t="s">
        <v>3197</v>
      </c>
      <c r="L13738" s="841" t="s">
        <v>3046</v>
      </c>
      <c r="M13738" s="1357"/>
      <c r="P13738" s="841" t="s">
        <v>3210</v>
      </c>
      <c r="Q13738" s="1357"/>
      <c r="S13738" s="1420"/>
      <c r="T13738" s="1420"/>
      <c r="V13738" s="1357">
        <v>55</v>
      </c>
    </row>
    <row r="13739" spans="1:22" s="841" customFormat="1" ht="15" x14ac:dyDescent="0.25">
      <c r="A13739" s="841" t="s">
        <v>198</v>
      </c>
      <c r="E13739" s="2171" t="s">
        <v>2450</v>
      </c>
      <c r="F13739" s="2171"/>
      <c r="G13739" s="510" t="s">
        <v>24</v>
      </c>
      <c r="H13739" s="627">
        <v>4.0000000000000002E-4</v>
      </c>
      <c r="K13739" s="841" t="s">
        <v>3197</v>
      </c>
      <c r="L13739" s="841" t="s">
        <v>3046</v>
      </c>
      <c r="M13739" s="1357"/>
      <c r="P13739" s="841" t="s">
        <v>3210</v>
      </c>
      <c r="Q13739" s="1357"/>
      <c r="S13739" s="1420"/>
      <c r="T13739" s="1420"/>
      <c r="V13739" s="1357">
        <v>65</v>
      </c>
    </row>
    <row r="13740" spans="1:22" s="841" customFormat="1" ht="15" x14ac:dyDescent="0.25">
      <c r="A13740" s="841" t="s">
        <v>198</v>
      </c>
      <c r="E13740" s="2169" t="s">
        <v>439</v>
      </c>
      <c r="F13740" s="2169"/>
      <c r="G13740" s="510" t="s">
        <v>24</v>
      </c>
      <c r="H13740" s="627">
        <v>2.9999999999999997E-4</v>
      </c>
      <c r="K13740" s="841" t="s">
        <v>3197</v>
      </c>
      <c r="L13740" s="841" t="s">
        <v>3046</v>
      </c>
      <c r="M13740" s="1357"/>
      <c r="P13740" s="841" t="s">
        <v>3212</v>
      </c>
      <c r="Q13740" s="1357"/>
      <c r="S13740" s="1420"/>
      <c r="T13740" s="1420"/>
      <c r="V13740" s="1357">
        <v>57</v>
      </c>
    </row>
    <row r="13741" spans="1:22" s="841" customFormat="1" ht="15" x14ac:dyDescent="0.25">
      <c r="A13741" s="841" t="s">
        <v>198</v>
      </c>
      <c r="E13741" s="2169" t="s">
        <v>32</v>
      </c>
      <c r="F13741" s="2169"/>
      <c r="G13741" s="510" t="s">
        <v>23</v>
      </c>
      <c r="H13741" s="628">
        <v>0.25</v>
      </c>
      <c r="K13741" s="841" t="s">
        <v>3197</v>
      </c>
      <c r="L13741" s="841" t="s">
        <v>3046</v>
      </c>
      <c r="M13741" s="1357"/>
      <c r="P13741" s="841" t="s">
        <v>3213</v>
      </c>
      <c r="Q13741" s="1357"/>
      <c r="S13741" s="1420"/>
      <c r="T13741" s="1420"/>
      <c r="V13741" s="1357">
        <v>63</v>
      </c>
    </row>
    <row r="13742" spans="1:22" s="841" customFormat="1" x14ac:dyDescent="0.25">
      <c r="A13742" s="841" t="s">
        <v>198</v>
      </c>
      <c r="E13742" s="2164" t="s">
        <v>3214</v>
      </c>
      <c r="F13742" s="2172"/>
      <c r="G13742" s="2172"/>
      <c r="H13742" s="2172"/>
      <c r="K13742" s="841" t="s">
        <v>5110</v>
      </c>
      <c r="M13742" s="1357"/>
      <c r="Q13742" s="1357"/>
      <c r="S13742" s="1420"/>
      <c r="T13742" s="1420"/>
      <c r="V13742" s="1357">
        <v>54</v>
      </c>
    </row>
    <row r="13743" spans="1:22" s="841" customFormat="1" ht="15" x14ac:dyDescent="0.25">
      <c r="A13743" s="841" t="s">
        <v>198</v>
      </c>
      <c r="E13743" s="2024" t="s">
        <v>4646</v>
      </c>
      <c r="F13743" s="2024"/>
      <c r="G13743" s="2024"/>
      <c r="H13743" s="2024"/>
      <c r="K13743" s="841" t="s">
        <v>5110</v>
      </c>
      <c r="M13743" s="1357"/>
      <c r="Q13743" s="1357"/>
      <c r="S13743" s="1420"/>
      <c r="T13743" s="1420"/>
      <c r="V13743" s="1357">
        <v>403</v>
      </c>
    </row>
    <row r="13744" spans="1:22" s="841" customFormat="1" ht="15" x14ac:dyDescent="0.25">
      <c r="A13744" s="841" t="s">
        <v>198</v>
      </c>
      <c r="E13744" s="2166" t="s">
        <v>3061</v>
      </c>
      <c r="F13744" s="2165"/>
      <c r="G13744" s="2165"/>
      <c r="H13744" s="2165"/>
      <c r="K13744" s="841" t="s">
        <v>3086</v>
      </c>
      <c r="M13744" s="1357"/>
      <c r="Q13744" s="1357"/>
      <c r="S13744" s="1420"/>
      <c r="T13744" s="1420"/>
      <c r="V13744" s="1357">
        <v>11</v>
      </c>
    </row>
    <row r="13745" spans="1:22" s="841" customFormat="1" ht="15" x14ac:dyDescent="0.25">
      <c r="A13745" s="841" t="s">
        <v>198</v>
      </c>
      <c r="E13745" s="2024" t="s">
        <v>3063</v>
      </c>
      <c r="F13745" s="2024"/>
      <c r="G13745" s="2024"/>
      <c r="H13745" s="2024"/>
      <c r="K13745" s="841" t="s">
        <v>5110</v>
      </c>
      <c r="M13745" s="1357"/>
      <c r="Q13745" s="1357"/>
      <c r="S13745" s="1420"/>
      <c r="T13745" s="1420"/>
      <c r="V13745" s="1357">
        <v>280</v>
      </c>
    </row>
    <row r="13746" spans="1:22" s="841" customFormat="1" ht="15" x14ac:dyDescent="0.25">
      <c r="A13746" s="841" t="s">
        <v>198</v>
      </c>
      <c r="E13746" s="2024" t="s">
        <v>3064</v>
      </c>
      <c r="F13746" s="2024"/>
      <c r="G13746" s="2024"/>
      <c r="H13746" s="2024"/>
      <c r="K13746" s="841" t="s">
        <v>5110</v>
      </c>
      <c r="M13746" s="1357"/>
      <c r="Q13746" s="1357"/>
      <c r="S13746" s="1420"/>
      <c r="T13746" s="1420"/>
      <c r="V13746" s="1357">
        <v>411</v>
      </c>
    </row>
    <row r="13747" spans="1:22" s="841" customFormat="1" ht="15" x14ac:dyDescent="0.25">
      <c r="A13747" s="841" t="s">
        <v>198</v>
      </c>
      <c r="E13747" s="2024" t="s">
        <v>4647</v>
      </c>
      <c r="F13747" s="2024"/>
      <c r="G13747" s="2024"/>
      <c r="H13747" s="2024"/>
      <c r="K13747" s="841" t="s">
        <v>5110</v>
      </c>
      <c r="M13747" s="1357"/>
      <c r="Q13747" s="1357"/>
      <c r="S13747" s="1420"/>
      <c r="T13747" s="1420"/>
      <c r="V13747" s="1357">
        <v>388</v>
      </c>
    </row>
    <row r="13748" spans="1:22" s="841" customFormat="1" ht="15" x14ac:dyDescent="0.25">
      <c r="A13748" s="841" t="s">
        <v>198</v>
      </c>
      <c r="E13748" s="2024" t="s">
        <v>3200</v>
      </c>
      <c r="F13748" s="2024"/>
      <c r="G13748" s="2024"/>
      <c r="H13748" s="2024"/>
      <c r="K13748" s="841" t="s">
        <v>5110</v>
      </c>
      <c r="M13748" s="1357"/>
      <c r="Q13748" s="1357"/>
      <c r="S13748" s="1420"/>
      <c r="T13748" s="1420"/>
      <c r="V13748" s="1357">
        <v>275</v>
      </c>
    </row>
    <row r="13749" spans="1:22" s="841" customFormat="1" ht="15" x14ac:dyDescent="0.25">
      <c r="A13749" s="841" t="s">
        <v>198</v>
      </c>
      <c r="E13749" s="2167" t="s">
        <v>3067</v>
      </c>
      <c r="F13749" s="2168"/>
      <c r="G13749" s="2168"/>
      <c r="H13749" s="2168"/>
      <c r="K13749" s="841" t="s">
        <v>3087</v>
      </c>
      <c r="M13749" s="1357"/>
      <c r="Q13749" s="1357"/>
      <c r="S13749" s="1420"/>
      <c r="T13749" s="1420"/>
      <c r="V13749" s="1357">
        <v>46</v>
      </c>
    </row>
    <row r="13750" spans="1:22" s="841" customFormat="1" ht="15" x14ac:dyDescent="0.25">
      <c r="A13750" s="841" t="s">
        <v>198</v>
      </c>
      <c r="E13750" s="2169" t="s">
        <v>11</v>
      </c>
      <c r="F13750" s="2169"/>
      <c r="G13750" s="510" t="s">
        <v>23</v>
      </c>
      <c r="H13750" s="628">
        <v>26.87</v>
      </c>
      <c r="K13750" s="841" t="s">
        <v>5110</v>
      </c>
      <c r="L13750" s="841" t="s">
        <v>442</v>
      </c>
      <c r="M13750" s="1357"/>
      <c r="P13750" s="841" t="s">
        <v>5111</v>
      </c>
      <c r="Q13750" s="1357"/>
      <c r="S13750" s="1420"/>
      <c r="T13750" s="1420"/>
      <c r="V13750" s="1357">
        <v>14</v>
      </c>
    </row>
    <row r="13751" spans="1:22" s="841" customFormat="1" ht="15" x14ac:dyDescent="0.25">
      <c r="A13751" s="841" t="s">
        <v>198</v>
      </c>
      <c r="E13751" s="2169" t="s">
        <v>3896</v>
      </c>
      <c r="F13751" s="2169"/>
      <c r="G13751" s="510" t="s">
        <v>23</v>
      </c>
      <c r="H13751" s="628">
        <v>4.0199999999999996</v>
      </c>
      <c r="K13751" s="841" t="s">
        <v>5110</v>
      </c>
      <c r="L13751" s="841" t="s">
        <v>442</v>
      </c>
      <c r="M13751" s="1357"/>
      <c r="P13751" s="841" t="s">
        <v>5388</v>
      </c>
      <c r="Q13751" s="1357"/>
      <c r="S13751" s="1420"/>
      <c r="T13751" s="1420">
        <v>43830</v>
      </c>
      <c r="V13751" s="1357">
        <v>84</v>
      </c>
    </row>
    <row r="13752" spans="1:22" s="841" customFormat="1" ht="15" x14ac:dyDescent="0.25">
      <c r="A13752" s="841" t="s">
        <v>198</v>
      </c>
      <c r="E13752" s="2169" t="s">
        <v>423</v>
      </c>
      <c r="F13752" s="2169"/>
      <c r="G13752" s="510" t="s">
        <v>23</v>
      </c>
      <c r="H13752" s="628">
        <v>0.79</v>
      </c>
      <c r="K13752" s="841" t="s">
        <v>5110</v>
      </c>
      <c r="L13752" s="841" t="s">
        <v>443</v>
      </c>
      <c r="M13752" s="1357"/>
      <c r="P13752" s="841" t="s">
        <v>5112</v>
      </c>
      <c r="Q13752" s="1357"/>
      <c r="S13752" s="1420"/>
      <c r="T13752" s="1420">
        <v>43404</v>
      </c>
      <c r="V13752" s="1357">
        <v>78</v>
      </c>
    </row>
    <row r="13753" spans="1:22" s="841" customFormat="1" ht="15" x14ac:dyDescent="0.25">
      <c r="A13753" s="841" t="s">
        <v>198</v>
      </c>
      <c r="E13753" s="2169" t="s">
        <v>84</v>
      </c>
      <c r="F13753" s="2169"/>
      <c r="G13753" s="510" t="s">
        <v>24</v>
      </c>
      <c r="H13753" s="627">
        <v>2.01E-2</v>
      </c>
      <c r="K13753" s="841" t="s">
        <v>5110</v>
      </c>
      <c r="L13753" s="841" t="s">
        <v>442</v>
      </c>
      <c r="M13753" s="1357"/>
      <c r="P13753" s="841" t="s">
        <v>5113</v>
      </c>
      <c r="Q13753" s="1357"/>
      <c r="S13753" s="1420"/>
      <c r="T13753" s="1420"/>
      <c r="V13753" s="1357">
        <v>28</v>
      </c>
    </row>
    <row r="13754" spans="1:22" s="841" customFormat="1" ht="15" x14ac:dyDescent="0.25">
      <c r="A13754" s="841" t="s">
        <v>198</v>
      </c>
      <c r="E13754" s="2169" t="s">
        <v>18</v>
      </c>
      <c r="F13754" s="2169"/>
      <c r="G13754" s="510" t="s">
        <v>24</v>
      </c>
      <c r="H13754" s="627">
        <v>8.9999999999999998E-4</v>
      </c>
      <c r="K13754" s="841" t="s">
        <v>5110</v>
      </c>
      <c r="L13754" s="841" t="s">
        <v>443</v>
      </c>
      <c r="M13754" s="1357"/>
      <c r="P13754" s="841" t="s">
        <v>5114</v>
      </c>
      <c r="Q13754" s="1357"/>
      <c r="S13754" s="1420"/>
      <c r="T13754" s="1420"/>
      <c r="V13754" s="1357">
        <v>24</v>
      </c>
    </row>
    <row r="13755" spans="1:22" s="841" customFormat="1" ht="15" x14ac:dyDescent="0.25">
      <c r="A13755" s="841" t="s">
        <v>198</v>
      </c>
      <c r="E13755" s="2169" t="s">
        <v>5143</v>
      </c>
      <c r="F13755" s="2170"/>
      <c r="G13755" s="510" t="s">
        <v>24</v>
      </c>
      <c r="H13755" s="627">
        <v>1.2999999999999999E-3</v>
      </c>
      <c r="K13755" s="841" t="s">
        <v>5110</v>
      </c>
      <c r="L13755" s="841" t="s">
        <v>443</v>
      </c>
      <c r="M13755" s="1357"/>
      <c r="P13755" s="841" t="s">
        <v>4818</v>
      </c>
      <c r="Q13755" s="1357"/>
      <c r="S13755" s="1420"/>
      <c r="T13755" s="1420">
        <v>43465</v>
      </c>
      <c r="V13755" s="1357">
        <v>142</v>
      </c>
    </row>
    <row r="13756" spans="1:22" s="841" customFormat="1" ht="15" x14ac:dyDescent="0.25">
      <c r="A13756" s="841" t="s">
        <v>198</v>
      </c>
      <c r="E13756" s="2169" t="s">
        <v>5144</v>
      </c>
      <c r="F13756" s="2170"/>
      <c r="G13756" s="510" t="s">
        <v>24</v>
      </c>
      <c r="H13756" s="627">
        <v>-2.8E-3</v>
      </c>
      <c r="K13756" s="841" t="s">
        <v>5110</v>
      </c>
      <c r="L13756" s="841" t="s">
        <v>443</v>
      </c>
      <c r="M13756" s="1357"/>
      <c r="P13756" s="841" t="s">
        <v>5124</v>
      </c>
      <c r="Q13756" s="1357"/>
      <c r="S13756" s="1420"/>
      <c r="T13756" s="1420">
        <v>43465</v>
      </c>
      <c r="V13756" s="1357">
        <v>99</v>
      </c>
    </row>
    <row r="13757" spans="1:22" s="841" customFormat="1" ht="15" x14ac:dyDescent="0.25">
      <c r="A13757" s="841" t="s">
        <v>198</v>
      </c>
      <c r="E13757" s="2169" t="s">
        <v>5102</v>
      </c>
      <c r="F13757" s="2170"/>
      <c r="G13757" s="510" t="s">
        <v>24</v>
      </c>
      <c r="H13757" s="627">
        <v>2.0000000000000001E-4</v>
      </c>
      <c r="K13757" s="841" t="s">
        <v>5110</v>
      </c>
      <c r="L13757" s="841" t="s">
        <v>443</v>
      </c>
      <c r="M13757" s="1357"/>
      <c r="P13757" s="841" t="s">
        <v>5287</v>
      </c>
      <c r="Q13757" s="1357"/>
      <c r="S13757" s="1420"/>
      <c r="T13757" s="1420">
        <v>43465</v>
      </c>
      <c r="V13757" s="1357">
        <v>142</v>
      </c>
    </row>
    <row r="13758" spans="1:22" s="841" customFormat="1" ht="15" x14ac:dyDescent="0.25">
      <c r="A13758" s="841" t="s">
        <v>198</v>
      </c>
      <c r="E13758" s="2169" t="s">
        <v>5920</v>
      </c>
      <c r="F13758" s="2169"/>
      <c r="G13758" s="510" t="s">
        <v>24</v>
      </c>
      <c r="H13758" s="627">
        <v>1E-3</v>
      </c>
      <c r="K13758" s="841" t="s">
        <v>5110</v>
      </c>
      <c r="L13758" s="841" t="s">
        <v>442</v>
      </c>
      <c r="M13758" s="1357"/>
      <c r="P13758" s="841" t="s">
        <v>5124</v>
      </c>
      <c r="Q13758" s="1357"/>
      <c r="S13758" s="1420"/>
      <c r="T13758" s="1420">
        <v>43465</v>
      </c>
      <c r="V13758" s="1357">
        <v>109</v>
      </c>
    </row>
    <row r="13759" spans="1:22" s="841" customFormat="1" ht="15" x14ac:dyDescent="0.25">
      <c r="A13759" s="841" t="s">
        <v>198</v>
      </c>
      <c r="E13759" s="2169" t="s">
        <v>221</v>
      </c>
      <c r="F13759" s="2169"/>
      <c r="G13759" s="510" t="s">
        <v>24</v>
      </c>
      <c r="H13759" s="627">
        <v>6.7999999999999996E-3</v>
      </c>
      <c r="K13759" s="841" t="s">
        <v>5110</v>
      </c>
      <c r="L13759" s="841" t="s">
        <v>444</v>
      </c>
      <c r="M13759" s="1357"/>
      <c r="P13759" s="841" t="s">
        <v>5115</v>
      </c>
      <c r="Q13759" s="1357"/>
      <c r="S13759" s="1420"/>
      <c r="T13759" s="1420"/>
      <c r="V13759" s="1357">
        <v>47</v>
      </c>
    </row>
    <row r="13760" spans="1:22" s="841" customFormat="1" ht="15" x14ac:dyDescent="0.25">
      <c r="A13760" s="841" t="s">
        <v>198</v>
      </c>
      <c r="E13760" s="2169" t="s">
        <v>217</v>
      </c>
      <c r="F13760" s="2169"/>
      <c r="G13760" s="510" t="s">
        <v>24</v>
      </c>
      <c r="H13760" s="627">
        <v>6.1999999999999998E-3</v>
      </c>
      <c r="K13760" s="841" t="s">
        <v>5110</v>
      </c>
      <c r="L13760" s="841" t="s">
        <v>444</v>
      </c>
      <c r="M13760" s="1357"/>
      <c r="P13760" s="841" t="s">
        <v>5116</v>
      </c>
      <c r="Q13760" s="1357"/>
      <c r="S13760" s="1420"/>
      <c r="T13760" s="1420"/>
      <c r="V13760" s="1357">
        <v>74</v>
      </c>
    </row>
    <row r="13761" spans="1:22" s="841" customFormat="1" ht="15" x14ac:dyDescent="0.25">
      <c r="A13761" s="841" t="s">
        <v>198</v>
      </c>
      <c r="E13761" s="2167" t="s">
        <v>3079</v>
      </c>
      <c r="F13761" s="2169"/>
      <c r="G13761" s="510"/>
      <c r="H13761" s="510"/>
      <c r="K13761" s="841" t="s">
        <v>3093</v>
      </c>
      <c r="M13761" s="1357"/>
      <c r="Q13761" s="1357"/>
      <c r="S13761" s="1420"/>
      <c r="T13761" s="1420"/>
      <c r="V13761" s="1357">
        <v>48</v>
      </c>
    </row>
    <row r="13762" spans="1:22" s="841" customFormat="1" ht="15" x14ac:dyDescent="0.25">
      <c r="A13762" s="841" t="s">
        <v>198</v>
      </c>
      <c r="E13762" s="2169" t="s">
        <v>2449</v>
      </c>
      <c r="F13762" s="2169"/>
      <c r="G13762" s="510" t="s">
        <v>24</v>
      </c>
      <c r="H13762" s="627">
        <v>3.2000000000000002E-3</v>
      </c>
      <c r="K13762" s="841" t="s">
        <v>5110</v>
      </c>
      <c r="L13762" s="841" t="s">
        <v>3046</v>
      </c>
      <c r="M13762" s="1357"/>
      <c r="P13762" s="841" t="s">
        <v>5117</v>
      </c>
      <c r="Q13762" s="1357"/>
      <c r="S13762" s="1420"/>
      <c r="T13762" s="1420"/>
      <c r="V13762" s="1357">
        <v>55</v>
      </c>
    </row>
    <row r="13763" spans="1:22" s="841" customFormat="1" ht="15" x14ac:dyDescent="0.25">
      <c r="A13763" s="841" t="s">
        <v>198</v>
      </c>
      <c r="E13763" s="2171" t="s">
        <v>2450</v>
      </c>
      <c r="F13763" s="2171"/>
      <c r="G13763" s="510" t="s">
        <v>24</v>
      </c>
      <c r="H13763" s="627">
        <v>4.0000000000000002E-4</v>
      </c>
      <c r="K13763" s="841" t="s">
        <v>5110</v>
      </c>
      <c r="L13763" s="841" t="s">
        <v>3046</v>
      </c>
      <c r="M13763" s="1357"/>
      <c r="P13763" s="841" t="s">
        <v>5117</v>
      </c>
      <c r="Q13763" s="1357"/>
      <c r="S13763" s="1420"/>
      <c r="T13763" s="1420"/>
      <c r="V13763" s="1357">
        <v>65</v>
      </c>
    </row>
    <row r="13764" spans="1:22" s="841" customFormat="1" ht="15" x14ac:dyDescent="0.25">
      <c r="A13764" s="841" t="s">
        <v>198</v>
      </c>
      <c r="E13764" s="2169" t="s">
        <v>439</v>
      </c>
      <c r="F13764" s="2169"/>
      <c r="G13764" s="510" t="s">
        <v>24</v>
      </c>
      <c r="H13764" s="627">
        <v>2.9999999999999997E-4</v>
      </c>
      <c r="K13764" s="841" t="s">
        <v>5110</v>
      </c>
      <c r="L13764" s="841" t="s">
        <v>3046</v>
      </c>
      <c r="M13764" s="1357"/>
      <c r="P13764" s="841" t="s">
        <v>5118</v>
      </c>
      <c r="Q13764" s="1357"/>
      <c r="S13764" s="1420"/>
      <c r="T13764" s="1420"/>
      <c r="V13764" s="1357">
        <v>57</v>
      </c>
    </row>
    <row r="13765" spans="1:22" s="841" customFormat="1" ht="15" x14ac:dyDescent="0.25">
      <c r="A13765" s="841" t="s">
        <v>198</v>
      </c>
      <c r="E13765" s="2169" t="s">
        <v>32</v>
      </c>
      <c r="F13765" s="2169"/>
      <c r="G13765" s="510" t="s">
        <v>23</v>
      </c>
      <c r="H13765" s="628">
        <v>0.25</v>
      </c>
      <c r="K13765" s="841" t="s">
        <v>5110</v>
      </c>
      <c r="L13765" s="841" t="s">
        <v>3046</v>
      </c>
      <c r="M13765" s="1357"/>
      <c r="P13765" s="841" t="s">
        <v>5119</v>
      </c>
      <c r="Q13765" s="1357"/>
      <c r="S13765" s="1420"/>
      <c r="T13765" s="1420"/>
      <c r="V13765" s="1357">
        <v>63</v>
      </c>
    </row>
    <row r="13766" spans="1:22" s="841" customFormat="1" x14ac:dyDescent="0.25">
      <c r="A13766" s="841" t="s">
        <v>198</v>
      </c>
      <c r="E13766" s="2164" t="s">
        <v>616</v>
      </c>
      <c r="F13766" s="2172"/>
      <c r="G13766" s="2172"/>
      <c r="H13766" s="2172"/>
      <c r="K13766" s="841" t="s">
        <v>6095</v>
      </c>
      <c r="M13766" s="1357"/>
      <c r="Q13766" s="1357"/>
      <c r="S13766" s="1420"/>
      <c r="T13766" s="1420"/>
      <c r="V13766" s="1357">
        <v>53</v>
      </c>
    </row>
    <row r="13767" spans="1:22" s="841" customFormat="1" ht="15" x14ac:dyDescent="0.25">
      <c r="A13767" s="841" t="s">
        <v>198</v>
      </c>
      <c r="E13767" s="2024" t="s">
        <v>4648</v>
      </c>
      <c r="F13767" s="2165"/>
      <c r="G13767" s="2165"/>
      <c r="H13767" s="2165"/>
      <c r="K13767" s="841" t="s">
        <v>6095</v>
      </c>
      <c r="M13767" s="1357"/>
      <c r="Q13767" s="1357"/>
      <c r="S13767" s="1420"/>
      <c r="T13767" s="1420"/>
      <c r="V13767" s="1357">
        <v>479</v>
      </c>
    </row>
    <row r="13768" spans="1:22" s="841" customFormat="1" ht="15" x14ac:dyDescent="0.25">
      <c r="A13768" s="841" t="s">
        <v>198</v>
      </c>
      <c r="E13768" s="2166" t="s">
        <v>3061</v>
      </c>
      <c r="F13768" s="2165"/>
      <c r="G13768" s="2165"/>
      <c r="H13768" s="2165"/>
      <c r="K13768" s="841" t="s">
        <v>3098</v>
      </c>
      <c r="M13768" s="1357"/>
      <c r="Q13768" s="1357"/>
      <c r="S13768" s="1420"/>
      <c r="T13768" s="1420"/>
      <c r="V13768" s="1357">
        <v>11</v>
      </c>
    </row>
    <row r="13769" spans="1:22" s="841" customFormat="1" ht="15" x14ac:dyDescent="0.25">
      <c r="A13769" s="841" t="s">
        <v>198</v>
      </c>
      <c r="E13769" s="2024" t="s">
        <v>3063</v>
      </c>
      <c r="F13769" s="2165"/>
      <c r="G13769" s="2165"/>
      <c r="H13769" s="2165"/>
      <c r="K13769" s="841" t="s">
        <v>6095</v>
      </c>
      <c r="M13769" s="1357"/>
      <c r="Q13769" s="1357"/>
      <c r="S13769" s="1420"/>
      <c r="T13769" s="1420"/>
      <c r="V13769" s="1357">
        <v>280</v>
      </c>
    </row>
    <row r="13770" spans="1:22" s="841" customFormat="1" ht="15" x14ac:dyDescent="0.25">
      <c r="A13770" s="841" t="s">
        <v>198</v>
      </c>
      <c r="E13770" s="2024" t="s">
        <v>3064</v>
      </c>
      <c r="F13770" s="2165"/>
      <c r="G13770" s="2165"/>
      <c r="H13770" s="2165"/>
      <c r="K13770" s="841" t="s">
        <v>6095</v>
      </c>
      <c r="M13770" s="1357"/>
      <c r="Q13770" s="1357"/>
      <c r="S13770" s="1420"/>
      <c r="T13770" s="1420"/>
      <c r="V13770" s="1357">
        <v>411</v>
      </c>
    </row>
    <row r="13771" spans="1:22" s="841" customFormat="1" ht="15" x14ac:dyDescent="0.25">
      <c r="A13771" s="841" t="s">
        <v>198</v>
      </c>
      <c r="E13771" s="2024" t="s">
        <v>4370</v>
      </c>
      <c r="F13771" s="2165"/>
      <c r="G13771" s="2165"/>
      <c r="H13771" s="2165"/>
      <c r="K13771" s="841" t="s">
        <v>6095</v>
      </c>
      <c r="M13771" s="1357"/>
      <c r="Q13771" s="1357"/>
      <c r="S13771" s="1420"/>
      <c r="T13771" s="1420"/>
      <c r="V13771" s="1357">
        <v>388</v>
      </c>
    </row>
    <row r="13772" spans="1:22" s="841" customFormat="1" ht="15" x14ac:dyDescent="0.25">
      <c r="A13772" s="841" t="s">
        <v>198</v>
      </c>
      <c r="E13772" s="2024" t="s">
        <v>5921</v>
      </c>
      <c r="F13772" s="2024"/>
      <c r="G13772" s="2024"/>
      <c r="H13772" s="2024"/>
      <c r="K13772" s="841" t="s">
        <v>6095</v>
      </c>
      <c r="M13772" s="1357"/>
      <c r="Q13772" s="1357"/>
      <c r="S13772" s="1420"/>
      <c r="T13772" s="1420"/>
      <c r="V13772" s="1357">
        <v>608</v>
      </c>
    </row>
    <row r="13773" spans="1:22" s="841" customFormat="1" ht="15" x14ac:dyDescent="0.25">
      <c r="A13773" s="841" t="s">
        <v>198</v>
      </c>
      <c r="E13773" s="2024" t="s">
        <v>5922</v>
      </c>
      <c r="F13773" s="2024"/>
      <c r="G13773" s="2024"/>
      <c r="H13773" s="2024"/>
      <c r="K13773" s="841" t="s">
        <v>6095</v>
      </c>
      <c r="M13773" s="1357"/>
      <c r="Q13773" s="1357"/>
      <c r="S13773" s="1420"/>
      <c r="T13773" s="1420"/>
      <c r="V13773" s="1357">
        <v>630</v>
      </c>
    </row>
    <row r="13774" spans="1:22" s="841" customFormat="1" ht="15" x14ac:dyDescent="0.25">
      <c r="A13774" s="841" t="s">
        <v>198</v>
      </c>
      <c r="E13774" s="2024" t="s">
        <v>3200</v>
      </c>
      <c r="F13774" s="2165"/>
      <c r="G13774" s="2165"/>
      <c r="H13774" s="2165"/>
      <c r="K13774" s="841" t="s">
        <v>6095</v>
      </c>
      <c r="M13774" s="1357"/>
      <c r="Q13774" s="1357"/>
      <c r="S13774" s="1420"/>
      <c r="T13774" s="1420"/>
      <c r="V13774" s="1357">
        <v>275</v>
      </c>
    </row>
    <row r="13775" spans="1:22" s="841" customFormat="1" ht="15" x14ac:dyDescent="0.25">
      <c r="A13775" s="841" t="s">
        <v>198</v>
      </c>
      <c r="E13775" s="2167" t="s">
        <v>3067</v>
      </c>
      <c r="F13775" s="2168"/>
      <c r="G13775" s="2168"/>
      <c r="H13775" s="2168"/>
      <c r="K13775" s="841" t="s">
        <v>3099</v>
      </c>
      <c r="M13775" s="1357"/>
      <c r="Q13775" s="1357"/>
      <c r="S13775" s="1420"/>
      <c r="T13775" s="1420"/>
      <c r="V13775" s="1357">
        <v>46</v>
      </c>
    </row>
    <row r="13776" spans="1:22" s="841" customFormat="1" ht="15" x14ac:dyDescent="0.25">
      <c r="A13776" s="841" t="s">
        <v>198</v>
      </c>
      <c r="E13776" s="2169" t="s">
        <v>11</v>
      </c>
      <c r="F13776" s="2169"/>
      <c r="G13776" s="510" t="s">
        <v>23</v>
      </c>
      <c r="H13776" s="628">
        <v>207.9</v>
      </c>
      <c r="K13776" s="841" t="s">
        <v>6095</v>
      </c>
      <c r="L13776" s="841" t="s">
        <v>442</v>
      </c>
      <c r="M13776" s="1357"/>
      <c r="P13776" s="841" t="s">
        <v>6096</v>
      </c>
      <c r="Q13776" s="1357"/>
      <c r="S13776" s="1420"/>
      <c r="T13776" s="1420"/>
      <c r="V13776" s="1357">
        <v>14</v>
      </c>
    </row>
    <row r="13777" spans="1:22" s="841" customFormat="1" ht="15" x14ac:dyDescent="0.25">
      <c r="A13777" s="841" t="s">
        <v>198</v>
      </c>
      <c r="E13777" s="2169" t="s">
        <v>84</v>
      </c>
      <c r="F13777" s="2169"/>
      <c r="G13777" s="510" t="s">
        <v>33</v>
      </c>
      <c r="H13777" s="627">
        <v>4.1398999999999999</v>
      </c>
      <c r="K13777" s="841" t="s">
        <v>6095</v>
      </c>
      <c r="L13777" s="841" t="s">
        <v>442</v>
      </c>
      <c r="M13777" s="1357"/>
      <c r="P13777" s="841" t="s">
        <v>6097</v>
      </c>
      <c r="Q13777" s="1357"/>
      <c r="S13777" s="1420"/>
      <c r="T13777" s="1420"/>
      <c r="V13777" s="1357">
        <v>28</v>
      </c>
    </row>
    <row r="13778" spans="1:22" s="841" customFormat="1" ht="15" x14ac:dyDescent="0.25">
      <c r="A13778" s="841" t="s">
        <v>198</v>
      </c>
      <c r="E13778" s="2169" t="s">
        <v>18</v>
      </c>
      <c r="F13778" s="2169"/>
      <c r="G13778" s="510" t="s">
        <v>33</v>
      </c>
      <c r="H13778" s="627">
        <v>0.31809999999999999</v>
      </c>
      <c r="K13778" s="841" t="s">
        <v>6095</v>
      </c>
      <c r="L13778" s="841" t="s">
        <v>443</v>
      </c>
      <c r="M13778" s="1357"/>
      <c r="P13778" s="841" t="s">
        <v>6098</v>
      </c>
      <c r="Q13778" s="1357"/>
      <c r="S13778" s="1420"/>
      <c r="T13778" s="1420"/>
      <c r="V13778" s="1357">
        <v>24</v>
      </c>
    </row>
    <row r="13779" spans="1:22" s="841" customFormat="1" ht="15" x14ac:dyDescent="0.25">
      <c r="A13779" s="841" t="s">
        <v>198</v>
      </c>
      <c r="E13779" s="2169" t="s">
        <v>5143</v>
      </c>
      <c r="F13779" s="2170"/>
      <c r="G13779" s="510" t="s">
        <v>24</v>
      </c>
      <c r="H13779" s="627">
        <v>1.2999999999999999E-3</v>
      </c>
      <c r="K13779" s="841" t="s">
        <v>6095</v>
      </c>
      <c r="L13779" s="841" t="s">
        <v>443</v>
      </c>
      <c r="M13779" s="1357"/>
      <c r="P13779" s="841" t="s">
        <v>6104</v>
      </c>
      <c r="Q13779" s="1357"/>
      <c r="S13779" s="1420"/>
      <c r="T13779" s="1420">
        <v>43465</v>
      </c>
      <c r="V13779" s="1357">
        <v>142</v>
      </c>
    </row>
    <row r="13780" spans="1:22" s="841" customFormat="1" ht="15" x14ac:dyDescent="0.25">
      <c r="A13780" s="841" t="s">
        <v>198</v>
      </c>
      <c r="E13780" s="2169" t="s">
        <v>5450</v>
      </c>
      <c r="F13780" s="2170"/>
      <c r="G13780" s="510" t="s">
        <v>33</v>
      </c>
      <c r="H13780" s="627">
        <v>-1.4329000000000001</v>
      </c>
      <c r="K13780" s="841" t="s">
        <v>6095</v>
      </c>
      <c r="L13780" s="841" t="s">
        <v>443</v>
      </c>
      <c r="M13780" s="1357"/>
      <c r="P13780" s="841" t="s">
        <v>6105</v>
      </c>
      <c r="Q13780" s="1357"/>
      <c r="S13780" s="1420"/>
      <c r="T13780" s="1420">
        <v>43465</v>
      </c>
      <c r="V13780" s="1357">
        <v>159</v>
      </c>
    </row>
    <row r="13781" spans="1:22" s="841" customFormat="1" ht="15" x14ac:dyDescent="0.25">
      <c r="A13781" s="841" t="s">
        <v>198</v>
      </c>
      <c r="E13781" s="2169" t="s">
        <v>5144</v>
      </c>
      <c r="F13781" s="2170"/>
      <c r="G13781" s="510" t="s">
        <v>33</v>
      </c>
      <c r="H13781" s="627">
        <v>0.28289999999999998</v>
      </c>
      <c r="K13781" s="841" t="s">
        <v>6095</v>
      </c>
      <c r="L13781" s="841" t="s">
        <v>443</v>
      </c>
      <c r="M13781" s="1357"/>
      <c r="P13781" s="841" t="s">
        <v>6105</v>
      </c>
      <c r="Q13781" s="1357"/>
      <c r="S13781" s="1420"/>
      <c r="T13781" s="1420">
        <v>43465</v>
      </c>
      <c r="V13781" s="1357">
        <v>99</v>
      </c>
    </row>
    <row r="13782" spans="1:22" s="841" customFormat="1" ht="15" x14ac:dyDescent="0.25">
      <c r="A13782" s="841" t="s">
        <v>198</v>
      </c>
      <c r="E13782" s="2169" t="s">
        <v>5102</v>
      </c>
      <c r="F13782" s="2170"/>
      <c r="G13782" s="510" t="s">
        <v>33</v>
      </c>
      <c r="H13782" s="627">
        <v>8.6599999999999996E-2</v>
      </c>
      <c r="K13782" s="841" t="s">
        <v>6095</v>
      </c>
      <c r="L13782" s="841" t="s">
        <v>443</v>
      </c>
      <c r="M13782" s="1357"/>
      <c r="P13782" s="841" t="s">
        <v>6112</v>
      </c>
      <c r="Q13782" s="1357"/>
      <c r="S13782" s="1420"/>
      <c r="T13782" s="1420">
        <v>43465</v>
      </c>
      <c r="V13782" s="1357">
        <v>142</v>
      </c>
    </row>
    <row r="13783" spans="1:22" s="841" customFormat="1" ht="15" x14ac:dyDescent="0.25">
      <c r="A13783" s="841" t="s">
        <v>198</v>
      </c>
      <c r="E13783" s="2169" t="s">
        <v>5920</v>
      </c>
      <c r="F13783" s="2169"/>
      <c r="G13783" s="510" t="s">
        <v>33</v>
      </c>
      <c r="H13783" s="627">
        <v>0.41720000000000002</v>
      </c>
      <c r="K13783" s="841" t="s">
        <v>6095</v>
      </c>
      <c r="L13783" s="841" t="s">
        <v>442</v>
      </c>
      <c r="M13783" s="1357"/>
      <c r="P13783" s="841" t="s">
        <v>6105</v>
      </c>
      <c r="Q13783" s="1357"/>
      <c r="S13783" s="1420"/>
      <c r="T13783" s="1420">
        <v>43465</v>
      </c>
      <c r="V13783" s="1357">
        <v>109</v>
      </c>
    </row>
    <row r="13784" spans="1:22" s="841" customFormat="1" ht="15" x14ac:dyDescent="0.25">
      <c r="A13784" s="841" t="s">
        <v>198</v>
      </c>
      <c r="E13784" s="2169" t="s">
        <v>221</v>
      </c>
      <c r="F13784" s="2169"/>
      <c r="G13784" s="510" t="s">
        <v>33</v>
      </c>
      <c r="H13784" s="627">
        <v>2.73</v>
      </c>
      <c r="K13784" s="841" t="s">
        <v>6095</v>
      </c>
      <c r="L13784" s="841" t="s">
        <v>444</v>
      </c>
      <c r="M13784" s="1357"/>
      <c r="P13784" s="841" t="s">
        <v>6099</v>
      </c>
      <c r="Q13784" s="1357"/>
      <c r="S13784" s="1420"/>
      <c r="T13784" s="1420"/>
      <c r="V13784" s="1357">
        <v>47</v>
      </c>
    </row>
    <row r="13785" spans="1:22" s="841" customFormat="1" ht="15" x14ac:dyDescent="0.25">
      <c r="A13785" s="841" t="s">
        <v>198</v>
      </c>
      <c r="E13785" s="2169" t="s">
        <v>217</v>
      </c>
      <c r="F13785" s="2169"/>
      <c r="G13785" s="510" t="s">
        <v>33</v>
      </c>
      <c r="H13785" s="627">
        <v>2.3527999999999998</v>
      </c>
      <c r="K13785" s="841" t="s">
        <v>6095</v>
      </c>
      <c r="L13785" s="841" t="s">
        <v>444</v>
      </c>
      <c r="M13785" s="1357"/>
      <c r="P13785" s="841" t="s">
        <v>6100</v>
      </c>
      <c r="Q13785" s="1357"/>
      <c r="S13785" s="1420"/>
      <c r="T13785" s="1420"/>
      <c r="V13785" s="1357">
        <v>74</v>
      </c>
    </row>
    <row r="13786" spans="1:22" s="841" customFormat="1" ht="15" x14ac:dyDescent="0.25">
      <c r="A13786" s="841" t="s">
        <v>198</v>
      </c>
      <c r="E13786" s="2167" t="s">
        <v>3079</v>
      </c>
      <c r="F13786" s="2169"/>
      <c r="G13786" s="510"/>
      <c r="H13786" s="510"/>
      <c r="K13786" s="841" t="s">
        <v>3218</v>
      </c>
      <c r="M13786" s="1357"/>
      <c r="Q13786" s="1357"/>
      <c r="S13786" s="1420"/>
      <c r="T13786" s="1420"/>
      <c r="V13786" s="1357">
        <v>48</v>
      </c>
    </row>
    <row r="13787" spans="1:22" s="841" customFormat="1" ht="15" x14ac:dyDescent="0.25">
      <c r="A13787" s="841" t="s">
        <v>198</v>
      </c>
      <c r="E13787" s="2169" t="s">
        <v>2449</v>
      </c>
      <c r="F13787" s="2169"/>
      <c r="G13787" s="510" t="s">
        <v>24</v>
      </c>
      <c r="H13787" s="627">
        <v>3.2000000000000002E-3</v>
      </c>
      <c r="K13787" s="841" t="s">
        <v>6095</v>
      </c>
      <c r="L13787" s="841" t="s">
        <v>3046</v>
      </c>
      <c r="M13787" s="1357"/>
      <c r="P13787" s="841" t="s">
        <v>6101</v>
      </c>
      <c r="Q13787" s="1357"/>
      <c r="S13787" s="1420"/>
      <c r="T13787" s="1420"/>
      <c r="V13787" s="1357">
        <v>55</v>
      </c>
    </row>
    <row r="13788" spans="1:22" s="841" customFormat="1" ht="15" x14ac:dyDescent="0.25">
      <c r="A13788" s="841" t="s">
        <v>198</v>
      </c>
      <c r="E13788" s="2171" t="s">
        <v>2450</v>
      </c>
      <c r="F13788" s="2171"/>
      <c r="G13788" s="510" t="s">
        <v>24</v>
      </c>
      <c r="H13788" s="627">
        <v>4.0000000000000002E-4</v>
      </c>
      <c r="K13788" s="841" t="s">
        <v>6095</v>
      </c>
      <c r="L13788" s="841" t="s">
        <v>3046</v>
      </c>
      <c r="M13788" s="1357"/>
      <c r="P13788" s="841" t="s">
        <v>6101</v>
      </c>
      <c r="Q13788" s="1357"/>
      <c r="S13788" s="1420"/>
      <c r="T13788" s="1420"/>
      <c r="V13788" s="1357">
        <v>65</v>
      </c>
    </row>
    <row r="13789" spans="1:22" s="841" customFormat="1" ht="15" x14ac:dyDescent="0.25">
      <c r="A13789" s="841" t="s">
        <v>198</v>
      </c>
      <c r="E13789" s="2169" t="s">
        <v>439</v>
      </c>
      <c r="F13789" s="2169"/>
      <c r="G13789" s="510" t="s">
        <v>24</v>
      </c>
      <c r="H13789" s="627">
        <v>2.9999999999999997E-4</v>
      </c>
      <c r="K13789" s="841" t="s">
        <v>6095</v>
      </c>
      <c r="L13789" s="841" t="s">
        <v>3046</v>
      </c>
      <c r="M13789" s="1357"/>
      <c r="P13789" s="841" t="s">
        <v>6102</v>
      </c>
      <c r="Q13789" s="1357"/>
      <c r="S13789" s="1420"/>
      <c r="T13789" s="1420"/>
      <c r="V13789" s="1357">
        <v>57</v>
      </c>
    </row>
    <row r="13790" spans="1:22" s="841" customFormat="1" ht="15" x14ac:dyDescent="0.25">
      <c r="A13790" s="841" t="s">
        <v>198</v>
      </c>
      <c r="E13790" s="2169" t="s">
        <v>32</v>
      </c>
      <c r="F13790" s="2169"/>
      <c r="G13790" s="510" t="s">
        <v>23</v>
      </c>
      <c r="H13790" s="628">
        <v>0.25</v>
      </c>
      <c r="K13790" s="841" t="s">
        <v>6095</v>
      </c>
      <c r="L13790" s="841" t="s">
        <v>3046</v>
      </c>
      <c r="M13790" s="1357"/>
      <c r="P13790" s="841" t="s">
        <v>6103</v>
      </c>
      <c r="Q13790" s="1357"/>
      <c r="S13790" s="1420"/>
      <c r="T13790" s="1420"/>
      <c r="V13790" s="1357">
        <v>63</v>
      </c>
    </row>
    <row r="13791" spans="1:22" s="841" customFormat="1" x14ac:dyDescent="0.25">
      <c r="A13791" s="841" t="s">
        <v>198</v>
      </c>
      <c r="E13791" s="2164" t="s">
        <v>617</v>
      </c>
      <c r="F13791" s="2172"/>
      <c r="G13791" s="2172"/>
      <c r="H13791" s="2172"/>
      <c r="K13791" s="841" t="s">
        <v>3406</v>
      </c>
      <c r="M13791" s="1357"/>
      <c r="Q13791" s="1357"/>
      <c r="S13791" s="1420"/>
      <c r="T13791" s="1420"/>
      <c r="V13791" s="1357">
        <v>47</v>
      </c>
    </row>
    <row r="13792" spans="1:22" s="841" customFormat="1" ht="15" x14ac:dyDescent="0.25">
      <c r="A13792" s="841" t="s">
        <v>198</v>
      </c>
      <c r="E13792" s="2024" t="s">
        <v>4649</v>
      </c>
      <c r="F13792" s="2165"/>
      <c r="G13792" s="2165"/>
      <c r="H13792" s="2165"/>
      <c r="K13792" s="841" t="s">
        <v>3406</v>
      </c>
      <c r="M13792" s="1357"/>
      <c r="Q13792" s="1357"/>
      <c r="S13792" s="1420"/>
      <c r="T13792" s="1420"/>
      <c r="V13792" s="1357">
        <v>713</v>
      </c>
    </row>
    <row r="13793" spans="1:22" s="841" customFormat="1" ht="15" x14ac:dyDescent="0.25">
      <c r="A13793" s="841" t="s">
        <v>198</v>
      </c>
      <c r="E13793" s="2166" t="s">
        <v>3061</v>
      </c>
      <c r="F13793" s="2165"/>
      <c r="G13793" s="2165"/>
      <c r="H13793" s="2165"/>
      <c r="K13793" s="841" t="s">
        <v>3221</v>
      </c>
      <c r="M13793" s="1357"/>
      <c r="Q13793" s="1357"/>
      <c r="S13793" s="1420"/>
      <c r="T13793" s="1420"/>
      <c r="V13793" s="1357">
        <v>11</v>
      </c>
    </row>
    <row r="13794" spans="1:22" s="841" customFormat="1" ht="15" x14ac:dyDescent="0.25">
      <c r="A13794" s="841" t="s">
        <v>198</v>
      </c>
      <c r="E13794" s="2024" t="s">
        <v>3063</v>
      </c>
      <c r="F13794" s="2165"/>
      <c r="G13794" s="2165"/>
      <c r="H13794" s="2165"/>
      <c r="K13794" s="841" t="s">
        <v>3406</v>
      </c>
      <c r="M13794" s="1357"/>
      <c r="Q13794" s="1357"/>
      <c r="S13794" s="1420"/>
      <c r="T13794" s="1420"/>
      <c r="V13794" s="1357">
        <v>280</v>
      </c>
    </row>
    <row r="13795" spans="1:22" s="841" customFormat="1" ht="15" x14ac:dyDescent="0.25">
      <c r="A13795" s="841" t="s">
        <v>198</v>
      </c>
      <c r="E13795" s="2024" t="s">
        <v>3064</v>
      </c>
      <c r="F13795" s="2165"/>
      <c r="G13795" s="2165"/>
      <c r="H13795" s="2165"/>
      <c r="K13795" s="841" t="s">
        <v>3406</v>
      </c>
      <c r="M13795" s="1357"/>
      <c r="Q13795" s="1357"/>
      <c r="S13795" s="1420"/>
      <c r="T13795" s="1420"/>
      <c r="V13795" s="1357">
        <v>411</v>
      </c>
    </row>
    <row r="13796" spans="1:22" s="841" customFormat="1" ht="15" x14ac:dyDescent="0.25">
      <c r="A13796" s="841" t="s">
        <v>198</v>
      </c>
      <c r="E13796" s="2024" t="s">
        <v>4370</v>
      </c>
      <c r="F13796" s="2165"/>
      <c r="G13796" s="2165"/>
      <c r="H13796" s="2165"/>
      <c r="K13796" s="841" t="s">
        <v>3406</v>
      </c>
      <c r="M13796" s="1357"/>
      <c r="Q13796" s="1357"/>
      <c r="S13796" s="1420"/>
      <c r="T13796" s="1420"/>
      <c r="V13796" s="1357">
        <v>388</v>
      </c>
    </row>
    <row r="13797" spans="1:22" s="841" customFormat="1" ht="15" x14ac:dyDescent="0.25">
      <c r="A13797" s="841" t="s">
        <v>198</v>
      </c>
      <c r="E13797" s="2024" t="s">
        <v>3200</v>
      </c>
      <c r="F13797" s="2165"/>
      <c r="G13797" s="2165"/>
      <c r="H13797" s="2165"/>
      <c r="K13797" s="841" t="s">
        <v>3406</v>
      </c>
      <c r="M13797" s="1357"/>
      <c r="Q13797" s="1357"/>
      <c r="S13797" s="1420"/>
      <c r="T13797" s="1420"/>
      <c r="V13797" s="1357">
        <v>275</v>
      </c>
    </row>
    <row r="13798" spans="1:22" s="841" customFormat="1" ht="15" x14ac:dyDescent="0.25">
      <c r="A13798" s="841" t="s">
        <v>198</v>
      </c>
      <c r="E13798" s="2167" t="s">
        <v>3067</v>
      </c>
      <c r="F13798" s="2168"/>
      <c r="G13798" s="2168"/>
      <c r="H13798" s="2168"/>
      <c r="K13798" s="841" t="s">
        <v>3224</v>
      </c>
      <c r="M13798" s="1357"/>
      <c r="Q13798" s="1357"/>
      <c r="S13798" s="1420"/>
      <c r="T13798" s="1420"/>
      <c r="V13798" s="1357">
        <v>46</v>
      </c>
    </row>
    <row r="13799" spans="1:22" s="841" customFormat="1" ht="15" x14ac:dyDescent="0.25">
      <c r="A13799" s="841" t="s">
        <v>198</v>
      </c>
      <c r="E13799" s="2169" t="s">
        <v>12</v>
      </c>
      <c r="F13799" s="2169"/>
      <c r="G13799" s="510" t="s">
        <v>23</v>
      </c>
      <c r="H13799" s="628">
        <v>10.07</v>
      </c>
      <c r="K13799" s="841" t="s">
        <v>3406</v>
      </c>
      <c r="L13799" s="841" t="s">
        <v>442</v>
      </c>
      <c r="M13799" s="1357"/>
      <c r="P13799" s="841" t="s">
        <v>3408</v>
      </c>
      <c r="Q13799" s="1357"/>
      <c r="S13799" s="1420"/>
      <c r="T13799" s="1420"/>
      <c r="V13799" s="1357">
        <v>31</v>
      </c>
    </row>
    <row r="13800" spans="1:22" s="841" customFormat="1" ht="15" x14ac:dyDescent="0.25">
      <c r="A13800" s="841" t="s">
        <v>198</v>
      </c>
      <c r="E13800" s="2169" t="s">
        <v>84</v>
      </c>
      <c r="F13800" s="2169"/>
      <c r="G13800" s="510" t="s">
        <v>24</v>
      </c>
      <c r="H13800" s="627">
        <v>3.2500000000000001E-2</v>
      </c>
      <c r="K13800" s="841" t="s">
        <v>3406</v>
      </c>
      <c r="L13800" s="841" t="s">
        <v>442</v>
      </c>
      <c r="M13800" s="1357"/>
      <c r="P13800" s="841" t="s">
        <v>3409</v>
      </c>
      <c r="Q13800" s="1357"/>
      <c r="S13800" s="1420"/>
      <c r="T13800" s="1420"/>
      <c r="V13800" s="1357">
        <v>28</v>
      </c>
    </row>
    <row r="13801" spans="1:22" s="841" customFormat="1" ht="15" x14ac:dyDescent="0.25">
      <c r="A13801" s="841" t="s">
        <v>198</v>
      </c>
      <c r="E13801" s="2169" t="s">
        <v>18</v>
      </c>
      <c r="F13801" s="2169"/>
      <c r="G13801" s="510" t="s">
        <v>24</v>
      </c>
      <c r="H13801" s="627">
        <v>8.9999999999999998E-4</v>
      </c>
      <c r="K13801" s="841" t="s">
        <v>3406</v>
      </c>
      <c r="L13801" s="841" t="s">
        <v>443</v>
      </c>
      <c r="M13801" s="1357"/>
      <c r="P13801" s="841" t="s">
        <v>3549</v>
      </c>
      <c r="Q13801" s="1357"/>
      <c r="S13801" s="1420"/>
      <c r="T13801" s="1420"/>
      <c r="V13801" s="1357">
        <v>24</v>
      </c>
    </row>
    <row r="13802" spans="1:22" s="841" customFormat="1" ht="15" x14ac:dyDescent="0.25">
      <c r="A13802" s="841" t="s">
        <v>198</v>
      </c>
      <c r="E13802" s="2169" t="s">
        <v>5144</v>
      </c>
      <c r="F13802" s="2170"/>
      <c r="G13802" s="510" t="s">
        <v>24</v>
      </c>
      <c r="H13802" s="627">
        <v>-3.0999999999999999E-3</v>
      </c>
      <c r="K13802" s="841" t="s">
        <v>3406</v>
      </c>
      <c r="L13802" s="841" t="s">
        <v>443</v>
      </c>
      <c r="M13802" s="1357"/>
      <c r="P13802" s="841" t="s">
        <v>3411</v>
      </c>
      <c r="Q13802" s="1357"/>
      <c r="S13802" s="1420"/>
      <c r="T13802" s="1420">
        <v>43465</v>
      </c>
      <c r="V13802" s="1357">
        <v>99</v>
      </c>
    </row>
    <row r="13803" spans="1:22" s="841" customFormat="1" ht="15" x14ac:dyDescent="0.25">
      <c r="A13803" s="841" t="s">
        <v>198</v>
      </c>
      <c r="E13803" s="2169" t="s">
        <v>5102</v>
      </c>
      <c r="F13803" s="2170"/>
      <c r="G13803" s="510" t="s">
        <v>24</v>
      </c>
      <c r="H13803" s="627">
        <v>2.0000000000000001E-4</v>
      </c>
      <c r="K13803" s="841" t="s">
        <v>3406</v>
      </c>
      <c r="L13803" s="841" t="s">
        <v>443</v>
      </c>
      <c r="M13803" s="1357"/>
      <c r="P13803" s="841" t="s">
        <v>5104</v>
      </c>
      <c r="Q13803" s="1357"/>
      <c r="S13803" s="1420"/>
      <c r="T13803" s="1420">
        <v>43465</v>
      </c>
      <c r="V13803" s="1357">
        <v>142</v>
      </c>
    </row>
    <row r="13804" spans="1:22" s="841" customFormat="1" ht="15" x14ac:dyDescent="0.25">
      <c r="A13804" s="841" t="s">
        <v>198</v>
      </c>
      <c r="E13804" s="2169" t="s">
        <v>5920</v>
      </c>
      <c r="F13804" s="2169"/>
      <c r="G13804" s="510" t="s">
        <v>24</v>
      </c>
      <c r="H13804" s="627">
        <v>1E-3</v>
      </c>
      <c r="K13804" s="841" t="s">
        <v>3406</v>
      </c>
      <c r="L13804" s="841" t="s">
        <v>442</v>
      </c>
      <c r="M13804" s="1357"/>
      <c r="P13804" s="841" t="s">
        <v>3411</v>
      </c>
      <c r="Q13804" s="1357"/>
      <c r="S13804" s="1420"/>
      <c r="T13804" s="1420">
        <v>43465</v>
      </c>
      <c r="V13804" s="1357">
        <v>109</v>
      </c>
    </row>
    <row r="13805" spans="1:22" s="841" customFormat="1" ht="15" x14ac:dyDescent="0.25">
      <c r="A13805" s="841" t="s">
        <v>198</v>
      </c>
      <c r="E13805" s="2169" t="s">
        <v>221</v>
      </c>
      <c r="F13805" s="2169"/>
      <c r="G13805" s="510" t="s">
        <v>24</v>
      </c>
      <c r="H13805" s="627">
        <v>6.7999999999999996E-3</v>
      </c>
      <c r="K13805" s="841" t="s">
        <v>3406</v>
      </c>
      <c r="L13805" s="841" t="s">
        <v>444</v>
      </c>
      <c r="M13805" s="1357"/>
      <c r="P13805" s="841" t="s">
        <v>3412</v>
      </c>
      <c r="Q13805" s="1357"/>
      <c r="S13805" s="1420"/>
      <c r="T13805" s="1420"/>
      <c r="V13805" s="1357">
        <v>47</v>
      </c>
    </row>
    <row r="13806" spans="1:22" s="841" customFormat="1" ht="15" x14ac:dyDescent="0.25">
      <c r="A13806" s="841" t="s">
        <v>198</v>
      </c>
      <c r="E13806" s="2169" t="s">
        <v>217</v>
      </c>
      <c r="F13806" s="2169"/>
      <c r="G13806" s="510" t="s">
        <v>24</v>
      </c>
      <c r="H13806" s="627">
        <v>6.1999999999999998E-3</v>
      </c>
      <c r="K13806" s="841" t="s">
        <v>3406</v>
      </c>
      <c r="L13806" s="841" t="s">
        <v>444</v>
      </c>
      <c r="M13806" s="1357"/>
      <c r="P13806" s="841" t="s">
        <v>3413</v>
      </c>
      <c r="Q13806" s="1357"/>
      <c r="S13806" s="1420"/>
      <c r="T13806" s="1420"/>
      <c r="V13806" s="1357">
        <v>74</v>
      </c>
    </row>
    <row r="13807" spans="1:22" s="841" customFormat="1" ht="15" x14ac:dyDescent="0.25">
      <c r="A13807" s="841" t="s">
        <v>198</v>
      </c>
      <c r="E13807" s="2167" t="s">
        <v>3079</v>
      </c>
      <c r="F13807" s="2169"/>
      <c r="G13807" s="510"/>
      <c r="H13807" s="510"/>
      <c r="K13807" s="841" t="s">
        <v>3225</v>
      </c>
      <c r="M13807" s="1357"/>
      <c r="Q13807" s="1357"/>
      <c r="S13807" s="1420"/>
      <c r="T13807" s="1420"/>
      <c r="V13807" s="1357">
        <v>48</v>
      </c>
    </row>
    <row r="13808" spans="1:22" s="841" customFormat="1" ht="15" x14ac:dyDescent="0.25">
      <c r="A13808" s="841" t="s">
        <v>198</v>
      </c>
      <c r="E13808" s="2169" t="s">
        <v>2449</v>
      </c>
      <c r="F13808" s="2169"/>
      <c r="G13808" s="510" t="s">
        <v>24</v>
      </c>
      <c r="H13808" s="627">
        <v>3.2000000000000002E-3</v>
      </c>
      <c r="K13808" s="841" t="s">
        <v>3406</v>
      </c>
      <c r="L13808" s="841" t="s">
        <v>3046</v>
      </c>
      <c r="M13808" s="1357"/>
      <c r="P13808" s="841" t="s">
        <v>3414</v>
      </c>
      <c r="Q13808" s="1357"/>
      <c r="S13808" s="1420"/>
      <c r="T13808" s="1420"/>
      <c r="V13808" s="1357">
        <v>55</v>
      </c>
    </row>
    <row r="13809" spans="1:22" s="841" customFormat="1" ht="15" x14ac:dyDescent="0.25">
      <c r="A13809" s="841" t="s">
        <v>198</v>
      </c>
      <c r="E13809" s="2171" t="s">
        <v>2450</v>
      </c>
      <c r="F13809" s="2171"/>
      <c r="G13809" s="510" t="s">
        <v>24</v>
      </c>
      <c r="H13809" s="627">
        <v>4.0000000000000002E-4</v>
      </c>
      <c r="K13809" s="841" t="s">
        <v>3406</v>
      </c>
      <c r="L13809" s="841" t="s">
        <v>3046</v>
      </c>
      <c r="M13809" s="1357"/>
      <c r="P13809" s="841" t="s">
        <v>3414</v>
      </c>
      <c r="Q13809" s="1357"/>
      <c r="S13809" s="1420"/>
      <c r="T13809" s="1420"/>
      <c r="V13809" s="1357">
        <v>65</v>
      </c>
    </row>
    <row r="13810" spans="1:22" s="841" customFormat="1" ht="15" x14ac:dyDescent="0.25">
      <c r="A13810" s="841" t="s">
        <v>198</v>
      </c>
      <c r="E13810" s="2169" t="s">
        <v>439</v>
      </c>
      <c r="F13810" s="2169"/>
      <c r="G13810" s="510" t="s">
        <v>24</v>
      </c>
      <c r="H13810" s="627">
        <v>2.9999999999999997E-4</v>
      </c>
      <c r="K13810" s="841" t="s">
        <v>3406</v>
      </c>
      <c r="L13810" s="841" t="s">
        <v>3046</v>
      </c>
      <c r="M13810" s="1357"/>
      <c r="P13810" s="841" t="s">
        <v>3415</v>
      </c>
      <c r="Q13810" s="1357"/>
      <c r="S13810" s="1420"/>
      <c r="T13810" s="1420"/>
      <c r="V13810" s="1357">
        <v>57</v>
      </c>
    </row>
    <row r="13811" spans="1:22" s="841" customFormat="1" ht="15" x14ac:dyDescent="0.25">
      <c r="A13811" s="841" t="s">
        <v>198</v>
      </c>
      <c r="E13811" s="2169" t="s">
        <v>32</v>
      </c>
      <c r="F13811" s="2169"/>
      <c r="G13811" s="510" t="s">
        <v>23</v>
      </c>
      <c r="H13811" s="628">
        <v>0.25</v>
      </c>
      <c r="K13811" s="841" t="s">
        <v>3406</v>
      </c>
      <c r="L13811" s="841" t="s">
        <v>3046</v>
      </c>
      <c r="M13811" s="1357"/>
      <c r="P13811" s="841" t="s">
        <v>3416</v>
      </c>
      <c r="Q13811" s="1357"/>
      <c r="S13811" s="1420"/>
      <c r="T13811" s="1420"/>
      <c r="V13811" s="1357">
        <v>63</v>
      </c>
    </row>
    <row r="13812" spans="1:22" s="841" customFormat="1" x14ac:dyDescent="0.25">
      <c r="A13812" s="841" t="s">
        <v>198</v>
      </c>
      <c r="E13812" s="2164" t="s">
        <v>629</v>
      </c>
      <c r="F13812" s="2172"/>
      <c r="G13812" s="2172"/>
      <c r="H13812" s="2172"/>
      <c r="K13812" s="841" t="s">
        <v>3571</v>
      </c>
      <c r="M13812" s="1357"/>
      <c r="Q13812" s="1357"/>
      <c r="S13812" s="1420"/>
      <c r="T13812" s="1420"/>
      <c r="V13812" s="1357">
        <v>40</v>
      </c>
    </row>
    <row r="13813" spans="1:22" s="841" customFormat="1" ht="15" x14ac:dyDescent="0.25">
      <c r="A13813" s="841" t="s">
        <v>198</v>
      </c>
      <c r="E13813" s="2024" t="s">
        <v>3251</v>
      </c>
      <c r="F13813" s="2165"/>
      <c r="G13813" s="2165"/>
      <c r="H13813" s="2165"/>
      <c r="K13813" s="841" t="s">
        <v>3571</v>
      </c>
      <c r="M13813" s="1357"/>
      <c r="Q13813" s="1357"/>
      <c r="S13813" s="1420"/>
      <c r="T13813" s="1420"/>
      <c r="V13813" s="1357">
        <v>253</v>
      </c>
    </row>
    <row r="13814" spans="1:22" s="841" customFormat="1" ht="15" x14ac:dyDescent="0.25">
      <c r="A13814" s="841" t="s">
        <v>198</v>
      </c>
      <c r="E13814" s="2166" t="s">
        <v>3061</v>
      </c>
      <c r="F13814" s="2165"/>
      <c r="G13814" s="2165"/>
      <c r="H13814" s="2165"/>
      <c r="K13814" s="841" t="s">
        <v>3107</v>
      </c>
      <c r="M13814" s="1357"/>
      <c r="Q13814" s="1357"/>
      <c r="S13814" s="1420"/>
      <c r="T13814" s="1420"/>
      <c r="V13814" s="1357">
        <v>11</v>
      </c>
    </row>
    <row r="13815" spans="1:22" s="841" customFormat="1" ht="15" x14ac:dyDescent="0.25">
      <c r="A13815" s="841" t="s">
        <v>198</v>
      </c>
      <c r="E13815" s="2024" t="s">
        <v>3063</v>
      </c>
      <c r="F13815" s="2165"/>
      <c r="G13815" s="2165"/>
      <c r="H13815" s="2165"/>
      <c r="K13815" s="841" t="s">
        <v>3571</v>
      </c>
      <c r="M13815" s="1357"/>
      <c r="Q13815" s="1357"/>
      <c r="S13815" s="1420"/>
      <c r="T13815" s="1420"/>
      <c r="V13815" s="1357">
        <v>280</v>
      </c>
    </row>
    <row r="13816" spans="1:22" s="841" customFormat="1" ht="15" x14ac:dyDescent="0.25">
      <c r="A13816" s="841" t="s">
        <v>198</v>
      </c>
      <c r="E13816" s="2024" t="s">
        <v>3064</v>
      </c>
      <c r="F13816" s="2165"/>
      <c r="G13816" s="2165"/>
      <c r="H13816" s="2165"/>
      <c r="K13816" s="841" t="s">
        <v>3571</v>
      </c>
      <c r="M13816" s="1357"/>
      <c r="Q13816" s="1357"/>
      <c r="S13816" s="1420"/>
      <c r="T13816" s="1420"/>
      <c r="V13816" s="1357">
        <v>411</v>
      </c>
    </row>
    <row r="13817" spans="1:22" s="841" customFormat="1" ht="15" x14ac:dyDescent="0.25">
      <c r="A13817" s="841" t="s">
        <v>198</v>
      </c>
      <c r="E13817" s="2024" t="s">
        <v>4370</v>
      </c>
      <c r="F13817" s="2165"/>
      <c r="G13817" s="2165"/>
      <c r="H13817" s="2165"/>
      <c r="K13817" s="841" t="s">
        <v>3571</v>
      </c>
      <c r="M13817" s="1357"/>
      <c r="Q13817" s="1357"/>
      <c r="S13817" s="1420"/>
      <c r="T13817" s="1420"/>
      <c r="V13817" s="1357">
        <v>388</v>
      </c>
    </row>
    <row r="13818" spans="1:22" s="841" customFormat="1" ht="15" x14ac:dyDescent="0.25">
      <c r="A13818" s="841" t="s">
        <v>198</v>
      </c>
      <c r="E13818" s="2024" t="s">
        <v>3200</v>
      </c>
      <c r="F13818" s="2165"/>
      <c r="G13818" s="2165"/>
      <c r="H13818" s="2165"/>
      <c r="K13818" s="841" t="s">
        <v>3571</v>
      </c>
      <c r="M13818" s="1357"/>
      <c r="Q13818" s="1357"/>
      <c r="S13818" s="1420"/>
      <c r="T13818" s="1420"/>
      <c r="V13818" s="1357">
        <v>275</v>
      </c>
    </row>
    <row r="13819" spans="1:22" s="841" customFormat="1" ht="15" x14ac:dyDescent="0.25">
      <c r="A13819" s="841" t="s">
        <v>198</v>
      </c>
      <c r="E13819" s="2167" t="s">
        <v>3067</v>
      </c>
      <c r="F13819" s="2168"/>
      <c r="G13819" s="2168"/>
      <c r="H13819" s="2168"/>
      <c r="K13819" s="841" t="s">
        <v>3108</v>
      </c>
      <c r="M13819" s="1357"/>
      <c r="Q13819" s="1357"/>
      <c r="S13819" s="1420"/>
      <c r="T13819" s="1420"/>
      <c r="V13819" s="1357">
        <v>46</v>
      </c>
    </row>
    <row r="13820" spans="1:22" s="841" customFormat="1" ht="15" x14ac:dyDescent="0.25">
      <c r="A13820" s="841" t="s">
        <v>198</v>
      </c>
      <c r="E13820" s="2169" t="s">
        <v>435</v>
      </c>
      <c r="F13820" s="2169"/>
      <c r="G13820" s="510" t="s">
        <v>23</v>
      </c>
      <c r="H13820" s="628">
        <v>5.73</v>
      </c>
      <c r="K13820" s="841" t="s">
        <v>3571</v>
      </c>
      <c r="L13820" s="841" t="s">
        <v>442</v>
      </c>
      <c r="M13820" s="1357"/>
      <c r="P13820" s="841" t="s">
        <v>3573</v>
      </c>
      <c r="Q13820" s="1357"/>
      <c r="S13820" s="1420"/>
      <c r="T13820" s="1420"/>
      <c r="V13820" s="1357">
        <v>26</v>
      </c>
    </row>
    <row r="13821" spans="1:22" s="841" customFormat="1" ht="15" x14ac:dyDescent="0.25">
      <c r="A13821" s="841" t="s">
        <v>198</v>
      </c>
      <c r="E13821" s="2169" t="s">
        <v>84</v>
      </c>
      <c r="F13821" s="2169"/>
      <c r="G13821" s="510" t="s">
        <v>33</v>
      </c>
      <c r="H13821" s="627">
        <v>15.404999999999999</v>
      </c>
      <c r="K13821" s="841" t="s">
        <v>3571</v>
      </c>
      <c r="L13821" s="841" t="s">
        <v>442</v>
      </c>
      <c r="M13821" s="1357"/>
      <c r="P13821" s="841" t="s">
        <v>3574</v>
      </c>
      <c r="Q13821" s="1357"/>
      <c r="S13821" s="1420"/>
      <c r="T13821" s="1420"/>
      <c r="V13821" s="1357">
        <v>28</v>
      </c>
    </row>
    <row r="13822" spans="1:22" s="841" customFormat="1" ht="15" x14ac:dyDescent="0.25">
      <c r="A13822" s="841" t="s">
        <v>198</v>
      </c>
      <c r="E13822" s="2169" t="s">
        <v>5144</v>
      </c>
      <c r="F13822" s="2170"/>
      <c r="G13822" s="510" t="s">
        <v>33</v>
      </c>
      <c r="H13822" s="627">
        <v>-0.96660000000000001</v>
      </c>
      <c r="K13822" s="841" t="s">
        <v>3571</v>
      </c>
      <c r="L13822" s="841" t="s">
        <v>443</v>
      </c>
      <c r="M13822" s="1357"/>
      <c r="P13822" s="841" t="s">
        <v>3718</v>
      </c>
      <c r="Q13822" s="1357"/>
      <c r="S13822" s="1420"/>
      <c r="T13822" s="1420">
        <v>43465</v>
      </c>
      <c r="V13822" s="1357">
        <v>99</v>
      </c>
    </row>
    <row r="13823" spans="1:22" s="841" customFormat="1" ht="15" x14ac:dyDescent="0.25">
      <c r="A13823" s="841" t="s">
        <v>198</v>
      </c>
      <c r="E13823" s="2169" t="s">
        <v>221</v>
      </c>
      <c r="F13823" s="2169"/>
      <c r="G13823" s="510" t="s">
        <v>33</v>
      </c>
      <c r="H13823" s="627">
        <v>2.0695000000000001</v>
      </c>
      <c r="K13823" s="841" t="s">
        <v>3571</v>
      </c>
      <c r="L13823" s="841" t="s">
        <v>444</v>
      </c>
      <c r="M13823" s="1357"/>
      <c r="P13823" s="841" t="s">
        <v>3576</v>
      </c>
      <c r="Q13823" s="1357"/>
      <c r="S13823" s="1420"/>
      <c r="T13823" s="1420"/>
      <c r="V13823" s="1357">
        <v>47</v>
      </c>
    </row>
    <row r="13824" spans="1:22" s="841" customFormat="1" ht="15" x14ac:dyDescent="0.25">
      <c r="A13824" s="841" t="s">
        <v>198</v>
      </c>
      <c r="E13824" s="2169" t="s">
        <v>217</v>
      </c>
      <c r="F13824" s="2169"/>
      <c r="G13824" s="510" t="s">
        <v>33</v>
      </c>
      <c r="H13824" s="627">
        <v>1.857</v>
      </c>
      <c r="K13824" s="841" t="s">
        <v>3571</v>
      </c>
      <c r="L13824" s="841" t="s">
        <v>444</v>
      </c>
      <c r="M13824" s="1357"/>
      <c r="P13824" s="841" t="s">
        <v>3577</v>
      </c>
      <c r="Q13824" s="1357"/>
      <c r="S13824" s="1420"/>
      <c r="T13824" s="1420"/>
      <c r="V13824" s="1357">
        <v>74</v>
      </c>
    </row>
    <row r="13825" spans="1:22" s="841" customFormat="1" ht="15" x14ac:dyDescent="0.25">
      <c r="A13825" s="841" t="s">
        <v>198</v>
      </c>
      <c r="E13825" s="2167" t="s">
        <v>3079</v>
      </c>
      <c r="F13825" s="2169"/>
      <c r="G13825" s="510"/>
      <c r="H13825" s="510"/>
      <c r="K13825" s="841" t="s">
        <v>3111</v>
      </c>
      <c r="M13825" s="1357"/>
      <c r="Q13825" s="1357"/>
      <c r="S13825" s="1420"/>
      <c r="T13825" s="1420"/>
      <c r="V13825" s="1357">
        <v>48</v>
      </c>
    </row>
    <row r="13826" spans="1:22" s="841" customFormat="1" ht="15" x14ac:dyDescent="0.25">
      <c r="A13826" s="841" t="s">
        <v>198</v>
      </c>
      <c r="E13826" s="2169" t="s">
        <v>2449</v>
      </c>
      <c r="F13826" s="2169"/>
      <c r="G13826" s="510" t="s">
        <v>24</v>
      </c>
      <c r="H13826" s="627">
        <v>3.2000000000000002E-3</v>
      </c>
      <c r="K13826" s="841" t="s">
        <v>3571</v>
      </c>
      <c r="L13826" s="841" t="s">
        <v>3046</v>
      </c>
      <c r="M13826" s="1357"/>
      <c r="P13826" s="841" t="s">
        <v>3578</v>
      </c>
      <c r="Q13826" s="1357"/>
      <c r="S13826" s="1420"/>
      <c r="T13826" s="1420"/>
      <c r="V13826" s="1357">
        <v>55</v>
      </c>
    </row>
    <row r="13827" spans="1:22" s="841" customFormat="1" ht="15" x14ac:dyDescent="0.25">
      <c r="A13827" s="841" t="s">
        <v>198</v>
      </c>
      <c r="E13827" s="2171" t="s">
        <v>2450</v>
      </c>
      <c r="F13827" s="2171"/>
      <c r="G13827" s="510" t="s">
        <v>24</v>
      </c>
      <c r="H13827" s="627">
        <v>4.0000000000000002E-4</v>
      </c>
      <c r="K13827" s="841" t="s">
        <v>3571</v>
      </c>
      <c r="L13827" s="841" t="s">
        <v>3046</v>
      </c>
      <c r="M13827" s="1357"/>
      <c r="P13827" s="841" t="s">
        <v>3578</v>
      </c>
      <c r="Q13827" s="1357"/>
      <c r="S13827" s="1420"/>
      <c r="T13827" s="1420"/>
      <c r="V13827" s="1357">
        <v>65</v>
      </c>
    </row>
    <row r="13828" spans="1:22" s="841" customFormat="1" ht="15" x14ac:dyDescent="0.25">
      <c r="A13828" s="841" t="s">
        <v>198</v>
      </c>
      <c r="E13828" s="2169" t="s">
        <v>439</v>
      </c>
      <c r="F13828" s="2169"/>
      <c r="G13828" s="510" t="s">
        <v>24</v>
      </c>
      <c r="H13828" s="627">
        <v>2.9999999999999997E-4</v>
      </c>
      <c r="K13828" s="841" t="s">
        <v>3571</v>
      </c>
      <c r="L13828" s="841" t="s">
        <v>3046</v>
      </c>
      <c r="M13828" s="1357"/>
      <c r="P13828" s="841" t="s">
        <v>3579</v>
      </c>
      <c r="Q13828" s="1357"/>
      <c r="S13828" s="1420"/>
      <c r="T13828" s="1420"/>
      <c r="V13828" s="1357">
        <v>57</v>
      </c>
    </row>
    <row r="13829" spans="1:22" s="841" customFormat="1" ht="15" x14ac:dyDescent="0.25">
      <c r="A13829" s="841" t="s">
        <v>198</v>
      </c>
      <c r="E13829" s="2169" t="s">
        <v>32</v>
      </c>
      <c r="F13829" s="2169"/>
      <c r="G13829" s="510" t="s">
        <v>23</v>
      </c>
      <c r="H13829" s="628">
        <v>0.25</v>
      </c>
      <c r="K13829" s="841" t="s">
        <v>3571</v>
      </c>
      <c r="L13829" s="841" t="s">
        <v>3046</v>
      </c>
      <c r="M13829" s="1357"/>
      <c r="P13829" s="841" t="s">
        <v>3580</v>
      </c>
      <c r="Q13829" s="1357"/>
      <c r="S13829" s="1420"/>
      <c r="T13829" s="1420"/>
      <c r="V13829" s="1357">
        <v>63</v>
      </c>
    </row>
    <row r="13830" spans="1:22" s="841" customFormat="1" x14ac:dyDescent="0.25">
      <c r="A13830" s="841" t="s">
        <v>198</v>
      </c>
      <c r="E13830" s="2164" t="s">
        <v>615</v>
      </c>
      <c r="F13830" s="2172"/>
      <c r="G13830" s="2172"/>
      <c r="H13830" s="2172"/>
      <c r="K13830" s="841" t="s">
        <v>3112</v>
      </c>
      <c r="M13830" s="1357"/>
      <c r="Q13830" s="1357"/>
      <c r="S13830" s="1420"/>
      <c r="T13830" s="1420"/>
      <c r="V13830" s="1357">
        <v>38</v>
      </c>
    </row>
    <row r="13831" spans="1:22" s="841" customFormat="1" ht="15" x14ac:dyDescent="0.25">
      <c r="A13831" s="841" t="s">
        <v>198</v>
      </c>
      <c r="E13831" s="2024" t="s">
        <v>4650</v>
      </c>
      <c r="F13831" s="2165"/>
      <c r="G13831" s="2165"/>
      <c r="H13831" s="2165"/>
      <c r="K13831" s="841" t="s">
        <v>3112</v>
      </c>
      <c r="M13831" s="1357"/>
      <c r="Q13831" s="1357"/>
      <c r="S13831" s="1420"/>
      <c r="T13831" s="1420"/>
      <c r="V13831" s="1357">
        <v>466</v>
      </c>
    </row>
    <row r="13832" spans="1:22" s="841" customFormat="1" ht="15" x14ac:dyDescent="0.25">
      <c r="A13832" s="841" t="s">
        <v>198</v>
      </c>
      <c r="E13832" s="2166" t="s">
        <v>3061</v>
      </c>
      <c r="F13832" s="2165"/>
      <c r="G13832" s="2165"/>
      <c r="H13832" s="2165"/>
      <c r="K13832" s="841" t="s">
        <v>3114</v>
      </c>
      <c r="M13832" s="1357"/>
      <c r="Q13832" s="1357"/>
      <c r="S13832" s="1420"/>
      <c r="T13832" s="1420"/>
      <c r="V13832" s="1357">
        <v>11</v>
      </c>
    </row>
    <row r="13833" spans="1:22" s="841" customFormat="1" ht="15" x14ac:dyDescent="0.25">
      <c r="A13833" s="841" t="s">
        <v>198</v>
      </c>
      <c r="E13833" s="2024" t="s">
        <v>3063</v>
      </c>
      <c r="F13833" s="2165"/>
      <c r="G13833" s="2165"/>
      <c r="H13833" s="2165"/>
      <c r="K13833" s="841" t="s">
        <v>3112</v>
      </c>
      <c r="M13833" s="1357"/>
      <c r="Q13833" s="1357"/>
      <c r="S13833" s="1420"/>
      <c r="T13833" s="1420"/>
      <c r="V13833" s="1357">
        <v>280</v>
      </c>
    </row>
    <row r="13834" spans="1:22" s="841" customFormat="1" ht="15" x14ac:dyDescent="0.25">
      <c r="A13834" s="841" t="s">
        <v>198</v>
      </c>
      <c r="E13834" s="2024" t="s">
        <v>3064</v>
      </c>
      <c r="F13834" s="2165"/>
      <c r="G13834" s="2165"/>
      <c r="H13834" s="2165"/>
      <c r="K13834" s="841" t="s">
        <v>3112</v>
      </c>
      <c r="M13834" s="1357"/>
      <c r="Q13834" s="1357"/>
      <c r="S13834" s="1420"/>
      <c r="T13834" s="1420"/>
      <c r="V13834" s="1357">
        <v>411</v>
      </c>
    </row>
    <row r="13835" spans="1:22" s="841" customFormat="1" ht="15" x14ac:dyDescent="0.25">
      <c r="A13835" s="841" t="s">
        <v>198</v>
      </c>
      <c r="E13835" s="2024" t="s">
        <v>4370</v>
      </c>
      <c r="F13835" s="2165"/>
      <c r="G13835" s="2165"/>
      <c r="H13835" s="2165"/>
      <c r="K13835" s="841" t="s">
        <v>3112</v>
      </c>
      <c r="M13835" s="1357"/>
      <c r="Q13835" s="1357"/>
      <c r="S13835" s="1420"/>
      <c r="T13835" s="1420"/>
      <c r="V13835" s="1357">
        <v>388</v>
      </c>
    </row>
    <row r="13836" spans="1:22" s="841" customFormat="1" ht="15" x14ac:dyDescent="0.25">
      <c r="A13836" s="841" t="s">
        <v>198</v>
      </c>
      <c r="E13836" s="2024" t="s">
        <v>3200</v>
      </c>
      <c r="F13836" s="2165"/>
      <c r="G13836" s="2165"/>
      <c r="H13836" s="2165"/>
      <c r="K13836" s="841" t="s">
        <v>3112</v>
      </c>
      <c r="M13836" s="1357"/>
      <c r="Q13836" s="1357"/>
      <c r="S13836" s="1420"/>
      <c r="T13836" s="1420"/>
      <c r="V13836" s="1357">
        <v>275</v>
      </c>
    </row>
    <row r="13837" spans="1:22" s="841" customFormat="1" ht="15" x14ac:dyDescent="0.25">
      <c r="A13837" s="841" t="s">
        <v>198</v>
      </c>
      <c r="E13837" s="2167" t="s">
        <v>3067</v>
      </c>
      <c r="F13837" s="2168"/>
      <c r="G13837" s="2168"/>
      <c r="H13837" s="2168"/>
      <c r="K13837" s="841" t="s">
        <v>3115</v>
      </c>
      <c r="M13837" s="1357"/>
      <c r="Q13837" s="1357"/>
      <c r="S13837" s="1420"/>
      <c r="T13837" s="1420"/>
      <c r="V13837" s="1357">
        <v>46</v>
      </c>
    </row>
    <row r="13838" spans="1:22" s="841" customFormat="1" ht="15" x14ac:dyDescent="0.25">
      <c r="A13838" s="841" t="s">
        <v>198</v>
      </c>
      <c r="E13838" s="2169" t="s">
        <v>435</v>
      </c>
      <c r="F13838" s="2169"/>
      <c r="G13838" s="510" t="s">
        <v>23</v>
      </c>
      <c r="H13838" s="628">
        <v>1.8</v>
      </c>
      <c r="K13838" s="841" t="s">
        <v>3112</v>
      </c>
      <c r="L13838" s="841" t="s">
        <v>442</v>
      </c>
      <c r="M13838" s="1357"/>
      <c r="P13838" s="841" t="s">
        <v>3116</v>
      </c>
      <c r="Q13838" s="1357"/>
      <c r="S13838" s="1420"/>
      <c r="T13838" s="1420"/>
      <c r="V13838" s="1357">
        <v>26</v>
      </c>
    </row>
    <row r="13839" spans="1:22" s="841" customFormat="1" ht="15" x14ac:dyDescent="0.25">
      <c r="A13839" s="841" t="s">
        <v>198</v>
      </c>
      <c r="E13839" s="2169" t="s">
        <v>84</v>
      </c>
      <c r="F13839" s="2169"/>
      <c r="G13839" s="510" t="s">
        <v>33</v>
      </c>
      <c r="H13839" s="627">
        <v>7.0857999999999999</v>
      </c>
      <c r="K13839" s="841" t="s">
        <v>3112</v>
      </c>
      <c r="L13839" s="841" t="s">
        <v>442</v>
      </c>
      <c r="M13839" s="1357"/>
      <c r="P13839" s="841" t="s">
        <v>3117</v>
      </c>
      <c r="Q13839" s="1357"/>
      <c r="S13839" s="1420"/>
      <c r="T13839" s="1420"/>
      <c r="V13839" s="1357">
        <v>28</v>
      </c>
    </row>
    <row r="13840" spans="1:22" s="841" customFormat="1" ht="15" x14ac:dyDescent="0.25">
      <c r="A13840" s="841" t="s">
        <v>198</v>
      </c>
      <c r="E13840" s="2169" t="s">
        <v>18</v>
      </c>
      <c r="F13840" s="2169"/>
      <c r="G13840" s="510" t="s">
        <v>33</v>
      </c>
      <c r="H13840" s="627">
        <v>0.24590000000000001</v>
      </c>
      <c r="K13840" s="841" t="s">
        <v>3112</v>
      </c>
      <c r="L13840" s="841" t="s">
        <v>443</v>
      </c>
      <c r="M13840" s="1357"/>
      <c r="P13840" s="841" t="s">
        <v>3497</v>
      </c>
      <c r="Q13840" s="1357"/>
      <c r="S13840" s="1420"/>
      <c r="T13840" s="1420"/>
      <c r="V13840" s="1357">
        <v>24</v>
      </c>
    </row>
    <row r="13841" spans="1:22" s="841" customFormat="1" ht="15" x14ac:dyDescent="0.25">
      <c r="A13841" s="841" t="s">
        <v>198</v>
      </c>
      <c r="E13841" s="2169" t="s">
        <v>5143</v>
      </c>
      <c r="F13841" s="2170"/>
      <c r="G13841" s="510" t="s">
        <v>24</v>
      </c>
      <c r="H13841" s="627">
        <v>1.2999999999999999E-3</v>
      </c>
      <c r="K13841" s="841" t="s">
        <v>3112</v>
      </c>
      <c r="L13841" s="841" t="s">
        <v>443</v>
      </c>
      <c r="M13841" s="1357"/>
      <c r="P13841" s="841" t="s">
        <v>3119</v>
      </c>
      <c r="Q13841" s="1357"/>
      <c r="S13841" s="1420"/>
      <c r="T13841" s="1420">
        <v>43465</v>
      </c>
      <c r="V13841" s="1357">
        <v>142</v>
      </c>
    </row>
    <row r="13842" spans="1:22" s="841" customFormat="1" ht="15" x14ac:dyDescent="0.25">
      <c r="A13842" s="841" t="s">
        <v>198</v>
      </c>
      <c r="E13842" s="2169" t="s">
        <v>5144</v>
      </c>
      <c r="F13842" s="2170"/>
      <c r="G13842" s="510" t="s">
        <v>33</v>
      </c>
      <c r="H13842" s="627">
        <v>-1.0827</v>
      </c>
      <c r="K13842" s="841" t="s">
        <v>3112</v>
      </c>
      <c r="L13842" s="841" t="s">
        <v>443</v>
      </c>
      <c r="M13842" s="1357"/>
      <c r="P13842" s="841" t="s">
        <v>3118</v>
      </c>
      <c r="Q13842" s="1357"/>
      <c r="S13842" s="1420"/>
      <c r="T13842" s="1420">
        <v>43465</v>
      </c>
      <c r="V13842" s="1357">
        <v>99</v>
      </c>
    </row>
    <row r="13843" spans="1:22" s="841" customFormat="1" ht="15" x14ac:dyDescent="0.25">
      <c r="A13843" s="841" t="s">
        <v>198</v>
      </c>
      <c r="E13843" s="2169" t="s">
        <v>5102</v>
      </c>
      <c r="F13843" s="2170"/>
      <c r="G13843" s="510" t="s">
        <v>33</v>
      </c>
      <c r="H13843" s="627">
        <v>8.1000000000000003E-2</v>
      </c>
      <c r="K13843" s="841" t="s">
        <v>3112</v>
      </c>
      <c r="L13843" s="841" t="s">
        <v>443</v>
      </c>
      <c r="M13843" s="1357"/>
      <c r="P13843" s="841" t="s">
        <v>5313</v>
      </c>
      <c r="Q13843" s="1357"/>
      <c r="S13843" s="1420"/>
      <c r="T13843" s="1420">
        <v>43465</v>
      </c>
      <c r="V13843" s="1357">
        <v>142</v>
      </c>
    </row>
    <row r="13844" spans="1:22" s="841" customFormat="1" ht="15" x14ac:dyDescent="0.25">
      <c r="A13844" s="841" t="s">
        <v>198</v>
      </c>
      <c r="E13844" s="2169" t="s">
        <v>5920</v>
      </c>
      <c r="F13844" s="2169"/>
      <c r="G13844" s="510" t="s">
        <v>33</v>
      </c>
      <c r="H13844" s="627">
        <v>0.3674</v>
      </c>
      <c r="K13844" s="841" t="s">
        <v>3112</v>
      </c>
      <c r="L13844" s="841" t="s">
        <v>442</v>
      </c>
      <c r="M13844" s="1357"/>
      <c r="P13844" s="841" t="s">
        <v>3118</v>
      </c>
      <c r="Q13844" s="1357"/>
      <c r="S13844" s="1420"/>
      <c r="T13844" s="1420">
        <v>43465</v>
      </c>
      <c r="V13844" s="1357">
        <v>109</v>
      </c>
    </row>
    <row r="13845" spans="1:22" s="841" customFormat="1" ht="15" x14ac:dyDescent="0.25">
      <c r="A13845" s="841" t="s">
        <v>198</v>
      </c>
      <c r="E13845" s="2169" t="s">
        <v>221</v>
      </c>
      <c r="F13845" s="2169"/>
      <c r="G13845" s="510" t="s">
        <v>33</v>
      </c>
      <c r="H13845" s="627">
        <v>2.0590000000000002</v>
      </c>
      <c r="K13845" s="841" t="s">
        <v>3112</v>
      </c>
      <c r="L13845" s="841" t="s">
        <v>444</v>
      </c>
      <c r="M13845" s="1357"/>
      <c r="P13845" s="841" t="s">
        <v>3120</v>
      </c>
      <c r="Q13845" s="1357"/>
      <c r="S13845" s="1420"/>
      <c r="T13845" s="1420"/>
      <c r="V13845" s="1357">
        <v>47</v>
      </c>
    </row>
    <row r="13846" spans="1:22" s="841" customFormat="1" ht="15" x14ac:dyDescent="0.25">
      <c r="A13846" s="841" t="s">
        <v>198</v>
      </c>
      <c r="E13846" s="2169" t="s">
        <v>217</v>
      </c>
      <c r="F13846" s="2169"/>
      <c r="G13846" s="510" t="s">
        <v>33</v>
      </c>
      <c r="H13846" s="627">
        <v>1.8189</v>
      </c>
      <c r="K13846" s="841" t="s">
        <v>3112</v>
      </c>
      <c r="L13846" s="841" t="s">
        <v>444</v>
      </c>
      <c r="M13846" s="1357"/>
      <c r="P13846" s="841" t="s">
        <v>3121</v>
      </c>
      <c r="Q13846" s="1357"/>
      <c r="S13846" s="1420"/>
      <c r="T13846" s="1420"/>
      <c r="V13846" s="1357">
        <v>74</v>
      </c>
    </row>
    <row r="13847" spans="1:22" s="841" customFormat="1" ht="15" x14ac:dyDescent="0.25">
      <c r="A13847" s="841" t="s">
        <v>198</v>
      </c>
      <c r="E13847" s="2167" t="s">
        <v>3079</v>
      </c>
      <c r="F13847" s="2169"/>
      <c r="G13847" s="510"/>
      <c r="H13847" s="510"/>
      <c r="K13847" s="841" t="s">
        <v>3122</v>
      </c>
      <c r="M13847" s="1357"/>
      <c r="Q13847" s="1357"/>
      <c r="S13847" s="1420"/>
      <c r="T13847" s="1420"/>
      <c r="V13847" s="1357">
        <v>48</v>
      </c>
    </row>
    <row r="13848" spans="1:22" s="841" customFormat="1" ht="15" x14ac:dyDescent="0.25">
      <c r="A13848" s="841" t="s">
        <v>198</v>
      </c>
      <c r="E13848" s="2169" t="s">
        <v>2449</v>
      </c>
      <c r="F13848" s="2169"/>
      <c r="G13848" s="510" t="s">
        <v>24</v>
      </c>
      <c r="H13848" s="627">
        <v>3.2000000000000002E-3</v>
      </c>
      <c r="K13848" s="841" t="s">
        <v>3112</v>
      </c>
      <c r="L13848" s="841" t="s">
        <v>3046</v>
      </c>
      <c r="M13848" s="1357"/>
      <c r="P13848" s="841" t="s">
        <v>3123</v>
      </c>
      <c r="Q13848" s="1357"/>
      <c r="S13848" s="1420"/>
      <c r="T13848" s="1420"/>
      <c r="V13848" s="1357">
        <v>55</v>
      </c>
    </row>
    <row r="13849" spans="1:22" s="841" customFormat="1" ht="15" x14ac:dyDescent="0.25">
      <c r="A13849" s="841" t="s">
        <v>198</v>
      </c>
      <c r="E13849" s="2171" t="s">
        <v>2450</v>
      </c>
      <c r="F13849" s="2171"/>
      <c r="G13849" s="510" t="s">
        <v>24</v>
      </c>
      <c r="H13849" s="627">
        <v>4.0000000000000002E-4</v>
      </c>
      <c r="K13849" s="841" t="s">
        <v>3112</v>
      </c>
      <c r="L13849" s="841" t="s">
        <v>3046</v>
      </c>
      <c r="M13849" s="1357"/>
      <c r="P13849" s="841" t="s">
        <v>3123</v>
      </c>
      <c r="Q13849" s="1357"/>
      <c r="S13849" s="1420"/>
      <c r="T13849" s="1420"/>
      <c r="V13849" s="1357">
        <v>65</v>
      </c>
    </row>
    <row r="13850" spans="1:22" s="841" customFormat="1" ht="15" x14ac:dyDescent="0.25">
      <c r="A13850" s="841" t="s">
        <v>198</v>
      </c>
      <c r="E13850" s="2169" t="s">
        <v>439</v>
      </c>
      <c r="F13850" s="2169"/>
      <c r="G13850" s="510" t="s">
        <v>24</v>
      </c>
      <c r="H13850" s="627">
        <v>2.9999999999999997E-4</v>
      </c>
      <c r="K13850" s="841" t="s">
        <v>3112</v>
      </c>
      <c r="L13850" s="841" t="s">
        <v>3046</v>
      </c>
      <c r="M13850" s="1357"/>
      <c r="P13850" s="841" t="s">
        <v>3124</v>
      </c>
      <c r="Q13850" s="1357"/>
      <c r="S13850" s="1420"/>
      <c r="T13850" s="1420"/>
      <c r="V13850" s="1357">
        <v>57</v>
      </c>
    </row>
    <row r="13851" spans="1:22" s="841" customFormat="1" ht="15" x14ac:dyDescent="0.25">
      <c r="A13851" s="841" t="s">
        <v>198</v>
      </c>
      <c r="E13851" s="2169" t="s">
        <v>32</v>
      </c>
      <c r="F13851" s="2169"/>
      <c r="G13851" s="510" t="s">
        <v>23</v>
      </c>
      <c r="H13851" s="628">
        <v>0.25</v>
      </c>
      <c r="K13851" s="841" t="s">
        <v>3112</v>
      </c>
      <c r="L13851" s="841" t="s">
        <v>3046</v>
      </c>
      <c r="M13851" s="1357"/>
      <c r="P13851" s="841" t="s">
        <v>3125</v>
      </c>
      <c r="Q13851" s="1357"/>
      <c r="S13851" s="1420"/>
      <c r="T13851" s="1420"/>
      <c r="V13851" s="1357">
        <v>63</v>
      </c>
    </row>
    <row r="13852" spans="1:22" s="841" customFormat="1" x14ac:dyDescent="0.25">
      <c r="A13852" s="841" t="s">
        <v>198</v>
      </c>
      <c r="E13852" s="2164" t="s">
        <v>618</v>
      </c>
      <c r="F13852" s="2172"/>
      <c r="G13852" s="2172"/>
      <c r="H13852" s="2172"/>
      <c r="K13852" s="841" t="s">
        <v>3126</v>
      </c>
      <c r="M13852" s="1357"/>
      <c r="Q13852" s="1357"/>
      <c r="S13852" s="1420"/>
      <c r="T13852" s="1420"/>
      <c r="V13852" s="1357">
        <v>31</v>
      </c>
    </row>
    <row r="13853" spans="1:22" s="841" customFormat="1" ht="15" x14ac:dyDescent="0.25">
      <c r="A13853" s="841" t="s">
        <v>198</v>
      </c>
      <c r="E13853" s="2024" t="s">
        <v>4651</v>
      </c>
      <c r="F13853" s="2165"/>
      <c r="G13853" s="2165"/>
      <c r="H13853" s="2165"/>
      <c r="K13853" s="841" t="s">
        <v>3126</v>
      </c>
      <c r="M13853" s="1357"/>
      <c r="Q13853" s="1357"/>
      <c r="S13853" s="1420"/>
      <c r="T13853" s="1420"/>
      <c r="V13853" s="1357">
        <v>286</v>
      </c>
    </row>
    <row r="13854" spans="1:22" s="841" customFormat="1" ht="15" x14ac:dyDescent="0.25">
      <c r="A13854" s="841" t="s">
        <v>198</v>
      </c>
      <c r="E13854" s="2166" t="s">
        <v>3061</v>
      </c>
      <c r="F13854" s="2165"/>
      <c r="G13854" s="2165"/>
      <c r="H13854" s="2165"/>
      <c r="K13854" s="841" t="s">
        <v>3128</v>
      </c>
      <c r="M13854" s="1357"/>
      <c r="Q13854" s="1357"/>
      <c r="S13854" s="1420"/>
      <c r="T13854" s="1420"/>
      <c r="V13854" s="1357">
        <v>11</v>
      </c>
    </row>
    <row r="13855" spans="1:22" s="841" customFormat="1" ht="15" x14ac:dyDescent="0.25">
      <c r="A13855" s="841" t="s">
        <v>198</v>
      </c>
      <c r="E13855" s="2024" t="s">
        <v>3063</v>
      </c>
      <c r="F13855" s="2165"/>
      <c r="G13855" s="2165"/>
      <c r="H13855" s="2165"/>
      <c r="K13855" s="841" t="s">
        <v>3126</v>
      </c>
      <c r="M13855" s="1357"/>
      <c r="Q13855" s="1357"/>
      <c r="S13855" s="1420"/>
      <c r="T13855" s="1420"/>
      <c r="V13855" s="1357">
        <v>280</v>
      </c>
    </row>
    <row r="13856" spans="1:22" s="841" customFormat="1" ht="15" x14ac:dyDescent="0.25">
      <c r="A13856" s="841" t="s">
        <v>198</v>
      </c>
      <c r="E13856" s="2024" t="s">
        <v>3064</v>
      </c>
      <c r="F13856" s="2165"/>
      <c r="G13856" s="2165"/>
      <c r="H13856" s="2165"/>
      <c r="K13856" s="841" t="s">
        <v>3126</v>
      </c>
      <c r="M13856" s="1357"/>
      <c r="Q13856" s="1357"/>
      <c r="S13856" s="1420"/>
      <c r="T13856" s="1420"/>
      <c r="V13856" s="1357">
        <v>411</v>
      </c>
    </row>
    <row r="13857" spans="1:22" s="841" customFormat="1" ht="15" x14ac:dyDescent="0.25">
      <c r="A13857" s="841" t="s">
        <v>198</v>
      </c>
      <c r="E13857" s="2024" t="s">
        <v>3129</v>
      </c>
      <c r="F13857" s="2165"/>
      <c r="G13857" s="2165"/>
      <c r="H13857" s="2165"/>
      <c r="K13857" s="841" t="s">
        <v>3126</v>
      </c>
      <c r="M13857" s="1357"/>
      <c r="Q13857" s="1357"/>
      <c r="S13857" s="1420"/>
      <c r="T13857" s="1420"/>
      <c r="V13857" s="1357">
        <v>211</v>
      </c>
    </row>
    <row r="13858" spans="1:22" s="841" customFormat="1" ht="15" x14ac:dyDescent="0.25">
      <c r="A13858" s="841" t="s">
        <v>198</v>
      </c>
      <c r="E13858" s="2024" t="s">
        <v>3200</v>
      </c>
      <c r="F13858" s="2165"/>
      <c r="G13858" s="2165"/>
      <c r="H13858" s="2165"/>
      <c r="K13858" s="841" t="s">
        <v>3126</v>
      </c>
      <c r="M13858" s="1357"/>
      <c r="Q13858" s="1357"/>
      <c r="S13858" s="1420"/>
      <c r="T13858" s="1420"/>
      <c r="V13858" s="1357">
        <v>275</v>
      </c>
    </row>
    <row r="13859" spans="1:22" s="841" customFormat="1" ht="15" x14ac:dyDescent="0.25">
      <c r="A13859" s="841" t="s">
        <v>198</v>
      </c>
      <c r="E13859" s="2167" t="s">
        <v>3067</v>
      </c>
      <c r="F13859" s="2168"/>
      <c r="G13859" s="2168"/>
      <c r="H13859" s="2168"/>
      <c r="K13859" s="841" t="s">
        <v>3130</v>
      </c>
      <c r="M13859" s="1357"/>
      <c r="Q13859" s="1357"/>
      <c r="S13859" s="1420"/>
      <c r="T13859" s="1420"/>
      <c r="V13859" s="1357">
        <v>46</v>
      </c>
    </row>
    <row r="13860" spans="1:22" s="841" customFormat="1" ht="15" x14ac:dyDescent="0.25">
      <c r="A13860" s="841" t="s">
        <v>198</v>
      </c>
      <c r="E13860" s="2169" t="s">
        <v>11</v>
      </c>
      <c r="F13860" s="2169"/>
      <c r="G13860" s="510" t="s">
        <v>23</v>
      </c>
      <c r="H13860" s="628">
        <v>5.4</v>
      </c>
      <c r="K13860" s="841" t="s">
        <v>3126</v>
      </c>
      <c r="L13860" s="841" t="s">
        <v>442</v>
      </c>
      <c r="M13860" s="1357"/>
      <c r="P13860" s="841" t="s">
        <v>3131</v>
      </c>
      <c r="Q13860" s="1357"/>
      <c r="S13860" s="1420"/>
      <c r="T13860" s="1420"/>
      <c r="V13860" s="1357">
        <v>14</v>
      </c>
    </row>
    <row r="13861" spans="1:22" s="841" customFormat="1" ht="18.75" x14ac:dyDescent="0.3">
      <c r="A13861" s="841" t="s">
        <v>198</v>
      </c>
      <c r="E13861" s="1404" t="s">
        <v>85</v>
      </c>
      <c r="F13861" s="1337"/>
      <c r="G13861" s="1337"/>
      <c r="H13861" s="1337"/>
      <c r="K13861" s="841" t="s">
        <v>4652</v>
      </c>
      <c r="M13861" s="1357"/>
      <c r="Q13861" s="1357"/>
      <c r="S13861" s="1420"/>
      <c r="T13861" s="1420"/>
      <c r="V13861" s="1357">
        <v>10</v>
      </c>
    </row>
    <row r="13862" spans="1:22" s="841" customFormat="1" ht="15" x14ac:dyDescent="0.25">
      <c r="A13862" s="841" t="s">
        <v>198</v>
      </c>
      <c r="E13862" s="2169" t="s">
        <v>3133</v>
      </c>
      <c r="F13862" s="2169"/>
      <c r="G13862" s="510" t="s">
        <v>33</v>
      </c>
      <c r="H13862" s="681">
        <v>-0.6</v>
      </c>
      <c r="M13862" s="1357"/>
      <c r="Q13862" s="1357"/>
      <c r="S13862" s="1420"/>
      <c r="T13862" s="1420"/>
      <c r="V13862" s="1357">
        <v>68</v>
      </c>
    </row>
    <row r="13863" spans="1:22" s="841" customFormat="1" ht="15" x14ac:dyDescent="0.25">
      <c r="A13863" s="841" t="s">
        <v>198</v>
      </c>
      <c r="E13863" s="2169" t="s">
        <v>3134</v>
      </c>
      <c r="F13863" s="2169"/>
      <c r="G13863" s="510" t="s">
        <v>86</v>
      </c>
      <c r="H13863" s="628">
        <v>-1</v>
      </c>
      <c r="M13863" s="1357"/>
      <c r="Q13863" s="1357"/>
      <c r="S13863" s="1420"/>
      <c r="T13863" s="1420"/>
      <c r="V13863" s="1357">
        <v>87</v>
      </c>
    </row>
    <row r="13864" spans="1:22" s="841" customFormat="1" ht="36.75" x14ac:dyDescent="0.3">
      <c r="A13864" s="841" t="s">
        <v>198</v>
      </c>
      <c r="E13864" s="1411" t="s">
        <v>87</v>
      </c>
      <c r="F13864" s="1337"/>
      <c r="G13864" s="1337"/>
      <c r="H13864" s="1337"/>
      <c r="K13864" s="841" t="s">
        <v>4653</v>
      </c>
      <c r="M13864" s="1357"/>
      <c r="Q13864" s="1357"/>
      <c r="S13864" s="1420"/>
      <c r="T13864" s="1420"/>
      <c r="V13864" s="1357">
        <v>24</v>
      </c>
    </row>
    <row r="13865" spans="1:22" s="841" customFormat="1" ht="15" x14ac:dyDescent="0.25">
      <c r="A13865" s="841" t="s">
        <v>198</v>
      </c>
      <c r="E13865" s="2024" t="s">
        <v>3063</v>
      </c>
      <c r="F13865" s="2024"/>
      <c r="G13865" s="2024"/>
      <c r="H13865" s="2024"/>
      <c r="M13865" s="1357"/>
      <c r="Q13865" s="1357"/>
      <c r="S13865" s="1420"/>
      <c r="T13865" s="1420"/>
      <c r="V13865" s="1357">
        <v>280</v>
      </c>
    </row>
    <row r="13866" spans="1:22" s="841" customFormat="1" ht="15" x14ac:dyDescent="0.25">
      <c r="A13866" s="841" t="s">
        <v>198</v>
      </c>
      <c r="E13866" s="2024" t="s">
        <v>3136</v>
      </c>
      <c r="F13866" s="2024"/>
      <c r="G13866" s="2024"/>
      <c r="H13866" s="2024"/>
      <c r="M13866" s="1357"/>
      <c r="Q13866" s="1357"/>
      <c r="S13866" s="1420"/>
      <c r="T13866" s="1420"/>
      <c r="V13866" s="1357">
        <v>353</v>
      </c>
    </row>
    <row r="13867" spans="1:22" s="841" customFormat="1" ht="15" x14ac:dyDescent="0.25">
      <c r="A13867" s="841" t="s">
        <v>198</v>
      </c>
      <c r="E13867" s="2024" t="s">
        <v>3200</v>
      </c>
      <c r="F13867" s="2024"/>
      <c r="G13867" s="2024"/>
      <c r="H13867" s="2024"/>
      <c r="M13867" s="1357"/>
      <c r="Q13867" s="1357"/>
      <c r="S13867" s="1420"/>
      <c r="T13867" s="1420"/>
      <c r="V13867" s="1357">
        <v>275</v>
      </c>
    </row>
    <row r="13868" spans="1:22" s="841" customFormat="1" ht="15" x14ac:dyDescent="0.25">
      <c r="A13868" s="841" t="s">
        <v>198</v>
      </c>
      <c r="E13868" s="1410" t="s">
        <v>3137</v>
      </c>
      <c r="F13868" s="1338"/>
      <c r="G13868" s="1338"/>
      <c r="H13868" s="1338"/>
      <c r="K13868" s="841" t="s">
        <v>4654</v>
      </c>
      <c r="M13868" s="1357"/>
      <c r="Q13868" s="1357"/>
      <c r="S13868" s="1420"/>
      <c r="T13868" s="1420"/>
      <c r="V13868" s="1357">
        <v>23</v>
      </c>
    </row>
    <row r="13869" spans="1:22" s="841" customFormat="1" ht="15" x14ac:dyDescent="0.25">
      <c r="A13869" s="841" t="s">
        <v>198</v>
      </c>
      <c r="E13869" s="2173" t="s">
        <v>3355</v>
      </c>
      <c r="F13869" s="2173"/>
      <c r="G13869" s="510" t="s">
        <v>23</v>
      </c>
      <c r="H13869" s="628">
        <v>15</v>
      </c>
      <c r="M13869" s="1357"/>
      <c r="Q13869" s="1357"/>
      <c r="S13869" s="1420"/>
      <c r="T13869" s="1420"/>
      <c r="V13869" s="1357">
        <v>19</v>
      </c>
    </row>
    <row r="13870" spans="1:22" s="841" customFormat="1" ht="15" x14ac:dyDescent="0.25">
      <c r="A13870" s="841" t="s">
        <v>198</v>
      </c>
      <c r="E13870" s="2173" t="s">
        <v>3140</v>
      </c>
      <c r="F13870" s="2173"/>
      <c r="G13870" s="510" t="s">
        <v>23</v>
      </c>
      <c r="H13870" s="628">
        <v>15</v>
      </c>
      <c r="M13870" s="1357"/>
      <c r="Q13870" s="1357"/>
      <c r="S13870" s="1420"/>
      <c r="T13870" s="1420"/>
      <c r="V13870" s="1357">
        <v>20</v>
      </c>
    </row>
    <row r="13871" spans="1:22" s="841" customFormat="1" ht="15" x14ac:dyDescent="0.25">
      <c r="A13871" s="841" t="s">
        <v>198</v>
      </c>
      <c r="E13871" s="2173" t="s">
        <v>3141</v>
      </c>
      <c r="F13871" s="2173"/>
      <c r="G13871" s="510" t="s">
        <v>23</v>
      </c>
      <c r="H13871" s="628">
        <v>15</v>
      </c>
      <c r="M13871" s="1357"/>
      <c r="Q13871" s="1357"/>
      <c r="S13871" s="1420"/>
      <c r="T13871" s="1420"/>
      <c r="V13871" s="1357">
        <v>26</v>
      </c>
    </row>
    <row r="13872" spans="1:22" s="841" customFormat="1" ht="15" x14ac:dyDescent="0.25">
      <c r="A13872" s="841" t="s">
        <v>198</v>
      </c>
      <c r="E13872" s="2173" t="s">
        <v>3144</v>
      </c>
      <c r="F13872" s="2173"/>
      <c r="G13872" s="510" t="s">
        <v>23</v>
      </c>
      <c r="H13872" s="628">
        <v>15</v>
      </c>
      <c r="M13872" s="1357"/>
      <c r="Q13872" s="1357"/>
      <c r="S13872" s="1420"/>
      <c r="T13872" s="1420"/>
      <c r="V13872" s="1357">
        <v>15</v>
      </c>
    </row>
    <row r="13873" spans="1:22" s="841" customFormat="1" ht="15" x14ac:dyDescent="0.25">
      <c r="A13873" s="841" t="s">
        <v>198</v>
      </c>
      <c r="E13873" s="2173" t="s">
        <v>3147</v>
      </c>
      <c r="F13873" s="2173"/>
      <c r="G13873" s="510" t="s">
        <v>23</v>
      </c>
      <c r="H13873" s="628">
        <v>15</v>
      </c>
      <c r="M13873" s="1357"/>
      <c r="Q13873" s="1357"/>
      <c r="S13873" s="1420"/>
      <c r="T13873" s="1420"/>
      <c r="V13873" s="1357">
        <v>15</v>
      </c>
    </row>
    <row r="13874" spans="1:22" s="841" customFormat="1" ht="15" x14ac:dyDescent="0.25">
      <c r="A13874" s="841" t="s">
        <v>198</v>
      </c>
      <c r="E13874" s="2173" t="s">
        <v>3148</v>
      </c>
      <c r="F13874" s="2173"/>
      <c r="G13874" s="510" t="s">
        <v>23</v>
      </c>
      <c r="H13874" s="628">
        <v>15</v>
      </c>
      <c r="M13874" s="1357"/>
      <c r="Q13874" s="1357"/>
      <c r="S13874" s="1420"/>
      <c r="T13874" s="1420"/>
      <c r="V13874" s="1357">
        <v>56</v>
      </c>
    </row>
    <row r="13875" spans="1:22" s="841" customFormat="1" ht="15" x14ac:dyDescent="0.25">
      <c r="A13875" s="841" t="s">
        <v>198</v>
      </c>
      <c r="E13875" s="2173" t="s">
        <v>88</v>
      </c>
      <c r="F13875" s="2173"/>
      <c r="G13875" s="510" t="s">
        <v>23</v>
      </c>
      <c r="H13875" s="628">
        <v>30</v>
      </c>
      <c r="M13875" s="1357"/>
      <c r="Q13875" s="1357"/>
      <c r="S13875" s="1420"/>
      <c r="T13875" s="1420"/>
      <c r="V13875" s="1357">
        <v>89</v>
      </c>
    </row>
    <row r="13876" spans="1:22" s="841" customFormat="1" ht="15" x14ac:dyDescent="0.25">
      <c r="A13876" s="841" t="s">
        <v>198</v>
      </c>
      <c r="E13876" s="2173" t="s">
        <v>3149</v>
      </c>
      <c r="F13876" s="2173"/>
      <c r="G13876" s="510" t="s">
        <v>23</v>
      </c>
      <c r="H13876" s="628">
        <v>15</v>
      </c>
      <c r="M13876" s="1357"/>
      <c r="Q13876" s="1357"/>
      <c r="S13876" s="1420"/>
      <c r="T13876" s="1420"/>
      <c r="V13876" s="1357">
        <v>35</v>
      </c>
    </row>
    <row r="13877" spans="1:22" s="841" customFormat="1" ht="15" x14ac:dyDescent="0.25">
      <c r="A13877" s="841" t="s">
        <v>198</v>
      </c>
      <c r="E13877" s="2173" t="s">
        <v>94</v>
      </c>
      <c r="F13877" s="2173"/>
      <c r="G13877" s="510" t="s">
        <v>23</v>
      </c>
      <c r="H13877" s="628">
        <v>30</v>
      </c>
      <c r="M13877" s="1357"/>
      <c r="Q13877" s="1357"/>
      <c r="S13877" s="1420"/>
      <c r="T13877" s="1420"/>
      <c r="V13877" s="1357">
        <v>19</v>
      </c>
    </row>
    <row r="13878" spans="1:22" s="841" customFormat="1" ht="15" x14ac:dyDescent="0.25">
      <c r="A13878" s="841" t="s">
        <v>198</v>
      </c>
      <c r="E13878" s="2173" t="s">
        <v>92</v>
      </c>
      <c r="F13878" s="2173"/>
      <c r="G13878" s="510" t="s">
        <v>23</v>
      </c>
      <c r="H13878" s="628">
        <v>30</v>
      </c>
      <c r="M13878" s="1357"/>
      <c r="Q13878" s="1357"/>
      <c r="S13878" s="1420"/>
      <c r="T13878" s="1420"/>
      <c r="V13878" s="1357">
        <v>74</v>
      </c>
    </row>
    <row r="13879" spans="1:22" s="841" customFormat="1" ht="15" x14ac:dyDescent="0.25">
      <c r="A13879" s="841" t="s">
        <v>198</v>
      </c>
      <c r="E13879" s="2173" t="s">
        <v>3151</v>
      </c>
      <c r="F13879" s="2173"/>
      <c r="G13879" s="510" t="s">
        <v>23</v>
      </c>
      <c r="H13879" s="628">
        <v>15</v>
      </c>
      <c r="M13879" s="1357"/>
      <c r="Q13879" s="1357"/>
      <c r="S13879" s="1420"/>
      <c r="T13879" s="1420"/>
      <c r="V13879" s="1357">
        <v>19</v>
      </c>
    </row>
    <row r="13880" spans="1:22" s="841" customFormat="1" ht="15" x14ac:dyDescent="0.25">
      <c r="A13880" s="841" t="s">
        <v>198</v>
      </c>
      <c r="E13880" s="1410" t="s">
        <v>3152</v>
      </c>
      <c r="F13880" s="1338"/>
      <c r="G13880" s="1338"/>
      <c r="H13880" s="1338"/>
      <c r="K13880" s="841" t="s">
        <v>4655</v>
      </c>
      <c r="M13880" s="1357"/>
      <c r="Q13880" s="1357"/>
      <c r="S13880" s="1420"/>
      <c r="T13880" s="1420"/>
      <c r="V13880" s="1357">
        <v>22</v>
      </c>
    </row>
    <row r="13881" spans="1:22" s="841" customFormat="1" ht="15" x14ac:dyDescent="0.25">
      <c r="A13881" s="841" t="s">
        <v>198</v>
      </c>
      <c r="E13881" s="2173" t="s">
        <v>5137</v>
      </c>
      <c r="F13881" s="2173"/>
      <c r="G13881" s="510" t="s">
        <v>86</v>
      </c>
      <c r="H13881" s="628">
        <v>1.5</v>
      </c>
      <c r="M13881" s="1357"/>
      <c r="Q13881" s="1357"/>
      <c r="S13881" s="1420"/>
      <c r="T13881" s="1420"/>
      <c r="V13881" s="1357">
        <v>24</v>
      </c>
    </row>
    <row r="13882" spans="1:22" s="841" customFormat="1" ht="15" x14ac:dyDescent="0.25">
      <c r="A13882" s="841" t="s">
        <v>198</v>
      </c>
      <c r="E13882" s="2173" t="s">
        <v>4772</v>
      </c>
      <c r="F13882" s="2173"/>
      <c r="G13882" s="510" t="s">
        <v>86</v>
      </c>
      <c r="H13882" s="628">
        <v>19.559999999999999</v>
      </c>
      <c r="M13882" s="1357"/>
      <c r="Q13882" s="1357"/>
      <c r="S13882" s="1420"/>
      <c r="T13882" s="1420"/>
      <c r="V13882" s="1357">
        <v>24</v>
      </c>
    </row>
    <row r="13883" spans="1:22" s="841" customFormat="1" ht="15" x14ac:dyDescent="0.25">
      <c r="A13883" s="841" t="s">
        <v>198</v>
      </c>
      <c r="E13883" s="2173" t="s">
        <v>3288</v>
      </c>
      <c r="F13883" s="2173"/>
      <c r="G13883" s="510" t="s">
        <v>23</v>
      </c>
      <c r="H13883" s="628">
        <v>30</v>
      </c>
      <c r="M13883" s="1357"/>
      <c r="Q13883" s="1357"/>
      <c r="S13883" s="1420"/>
      <c r="T13883" s="1420"/>
      <c r="V13883" s="1357">
        <v>47</v>
      </c>
    </row>
    <row r="13884" spans="1:22" s="841" customFormat="1" ht="15" x14ac:dyDescent="0.25">
      <c r="A13884" s="841" t="s">
        <v>198</v>
      </c>
      <c r="E13884" s="2173" t="s">
        <v>3157</v>
      </c>
      <c r="F13884" s="2173"/>
      <c r="G13884" s="510" t="s">
        <v>23</v>
      </c>
      <c r="H13884" s="628">
        <v>165</v>
      </c>
      <c r="M13884" s="1357"/>
      <c r="Q13884" s="1357"/>
      <c r="S13884" s="1420"/>
      <c r="T13884" s="1420"/>
      <c r="V13884" s="1357">
        <v>69</v>
      </c>
    </row>
    <row r="13885" spans="1:22" s="841" customFormat="1" ht="15" x14ac:dyDescent="0.25">
      <c r="A13885" s="841" t="s">
        <v>198</v>
      </c>
      <c r="E13885" s="2173" t="s">
        <v>4773</v>
      </c>
      <c r="F13885" s="2173"/>
      <c r="G13885" s="510" t="s">
        <v>23</v>
      </c>
      <c r="H13885" s="628">
        <v>65</v>
      </c>
      <c r="M13885" s="1357"/>
      <c r="Q13885" s="1357"/>
      <c r="S13885" s="1420"/>
      <c r="T13885" s="1420"/>
      <c r="V13885" s="1357">
        <v>52</v>
      </c>
    </row>
    <row r="13886" spans="1:22" s="841" customFormat="1" ht="15" x14ac:dyDescent="0.25">
      <c r="A13886" s="841" t="s">
        <v>198</v>
      </c>
      <c r="E13886" s="2173" t="s">
        <v>4774</v>
      </c>
      <c r="F13886" s="2173"/>
      <c r="G13886" s="510" t="s">
        <v>23</v>
      </c>
      <c r="H13886" s="628">
        <v>185</v>
      </c>
      <c r="M13886" s="1357"/>
      <c r="Q13886" s="1357"/>
      <c r="S13886" s="1420"/>
      <c r="T13886" s="1420"/>
      <c r="V13886" s="1357">
        <v>51</v>
      </c>
    </row>
    <row r="13887" spans="1:22" s="841" customFormat="1" ht="15" x14ac:dyDescent="0.25">
      <c r="A13887" s="841" t="s">
        <v>198</v>
      </c>
      <c r="E13887" s="2173" t="s">
        <v>4775</v>
      </c>
      <c r="F13887" s="2173"/>
      <c r="G13887" s="510" t="s">
        <v>23</v>
      </c>
      <c r="H13887" s="628">
        <v>185</v>
      </c>
      <c r="M13887" s="1357"/>
      <c r="Q13887" s="1357"/>
      <c r="S13887" s="1420"/>
      <c r="T13887" s="1420"/>
      <c r="V13887" s="1357">
        <v>51</v>
      </c>
    </row>
    <row r="13888" spans="1:22" s="841" customFormat="1" ht="15" x14ac:dyDescent="0.25">
      <c r="A13888" s="841" t="s">
        <v>198</v>
      </c>
      <c r="E13888" s="2173" t="s">
        <v>4776</v>
      </c>
      <c r="F13888" s="2173"/>
      <c r="G13888" s="510" t="s">
        <v>23</v>
      </c>
      <c r="H13888" s="628">
        <v>415</v>
      </c>
      <c r="M13888" s="1357"/>
      <c r="Q13888" s="1357"/>
      <c r="S13888" s="1420"/>
      <c r="T13888" s="1420"/>
      <c r="V13888" s="1357">
        <v>50</v>
      </c>
    </row>
    <row r="13889" spans="1:22" s="841" customFormat="1" ht="15" x14ac:dyDescent="0.25">
      <c r="A13889" s="841" t="s">
        <v>198</v>
      </c>
      <c r="E13889" s="2173" t="s">
        <v>4777</v>
      </c>
      <c r="F13889" s="2173"/>
      <c r="G13889" s="510" t="s">
        <v>23</v>
      </c>
      <c r="H13889" s="628">
        <v>65</v>
      </c>
      <c r="M13889" s="1357"/>
      <c r="Q13889" s="1357"/>
      <c r="S13889" s="1420"/>
      <c r="T13889" s="1420"/>
      <c r="V13889" s="1357">
        <v>57</v>
      </c>
    </row>
    <row r="13890" spans="1:22" s="841" customFormat="1" ht="15" x14ac:dyDescent="0.25">
      <c r="A13890" s="841" t="s">
        <v>198</v>
      </c>
      <c r="E13890" s="2173" t="s">
        <v>4778</v>
      </c>
      <c r="F13890" s="2173"/>
      <c r="G13890" s="510" t="s">
        <v>23</v>
      </c>
      <c r="H13890" s="628">
        <v>185</v>
      </c>
      <c r="M13890" s="1357"/>
      <c r="Q13890" s="1357"/>
      <c r="S13890" s="1420"/>
      <c r="T13890" s="1420"/>
      <c r="V13890" s="1357">
        <v>56</v>
      </c>
    </row>
    <row r="13891" spans="1:22" s="841" customFormat="1" ht="15" x14ac:dyDescent="0.25">
      <c r="A13891" s="841" t="s">
        <v>198</v>
      </c>
      <c r="E13891" s="511" t="s">
        <v>3887</v>
      </c>
      <c r="F13891" s="1339"/>
      <c r="G13891" s="1339"/>
      <c r="H13891" s="1340"/>
      <c r="M13891" s="1357"/>
      <c r="Q13891" s="1357"/>
      <c r="S13891" s="1420"/>
      <c r="T13891" s="1420"/>
      <c r="V13891" s="1357">
        <v>6</v>
      </c>
    </row>
    <row r="13892" spans="1:22" s="841" customFormat="1" ht="15" x14ac:dyDescent="0.25">
      <c r="A13892" s="841" t="s">
        <v>198</v>
      </c>
      <c r="E13892" s="2173" t="s">
        <v>3434</v>
      </c>
      <c r="F13892" s="2173"/>
      <c r="G13892" s="510" t="s">
        <v>23</v>
      </c>
      <c r="H13892" s="628">
        <v>500</v>
      </c>
      <c r="M13892" s="1357"/>
      <c r="Q13892" s="1357"/>
      <c r="S13892" s="1420"/>
      <c r="T13892" s="1420"/>
      <c r="V13892" s="1357">
        <v>64</v>
      </c>
    </row>
    <row r="13893" spans="1:22" s="841" customFormat="1" ht="15" x14ac:dyDescent="0.25">
      <c r="A13893" s="841" t="s">
        <v>198</v>
      </c>
      <c r="E13893" s="2173" t="s">
        <v>3489</v>
      </c>
      <c r="F13893" s="2173"/>
      <c r="G13893" s="510" t="s">
        <v>23</v>
      </c>
      <c r="H13893" s="628">
        <v>300</v>
      </c>
      <c r="M13893" s="1357"/>
      <c r="Q13893" s="1357"/>
      <c r="S13893" s="1420"/>
      <c r="T13893" s="1420"/>
      <c r="V13893" s="1357">
        <v>67</v>
      </c>
    </row>
    <row r="13894" spans="1:22" s="841" customFormat="1" ht="15" x14ac:dyDescent="0.25">
      <c r="A13894" s="841" t="s">
        <v>198</v>
      </c>
      <c r="E13894" s="2173" t="s">
        <v>3490</v>
      </c>
      <c r="F13894" s="2173"/>
      <c r="G13894" s="510" t="s">
        <v>23</v>
      </c>
      <c r="H13894" s="628">
        <v>1000</v>
      </c>
      <c r="M13894" s="1357"/>
      <c r="Q13894" s="1357"/>
      <c r="S13894" s="1420"/>
      <c r="T13894" s="1420"/>
      <c r="V13894" s="1357">
        <v>66</v>
      </c>
    </row>
    <row r="13895" spans="1:22" s="841" customFormat="1" ht="15" x14ac:dyDescent="0.25">
      <c r="A13895" s="841" t="s">
        <v>198</v>
      </c>
      <c r="E13895" s="2173" t="s">
        <v>3167</v>
      </c>
      <c r="F13895" s="2173"/>
      <c r="G13895" s="510" t="s">
        <v>23</v>
      </c>
      <c r="H13895" s="628">
        <v>30</v>
      </c>
      <c r="M13895" s="1357"/>
      <c r="Q13895" s="1357"/>
      <c r="S13895" s="1420"/>
      <c r="T13895" s="1420"/>
      <c r="V13895" s="1357">
        <v>39</v>
      </c>
    </row>
    <row r="13896" spans="1:22" s="841" customFormat="1" ht="15" x14ac:dyDescent="0.25">
      <c r="A13896" s="841" t="s">
        <v>198</v>
      </c>
      <c r="E13896" s="2173" t="s">
        <v>3168</v>
      </c>
      <c r="F13896" s="2173"/>
      <c r="G13896" s="510" t="s">
        <v>23</v>
      </c>
      <c r="H13896" s="628">
        <v>165</v>
      </c>
      <c r="M13896" s="1357"/>
      <c r="Q13896" s="1357"/>
      <c r="S13896" s="1420"/>
      <c r="T13896" s="1420"/>
      <c r="V13896" s="1357">
        <v>34</v>
      </c>
    </row>
    <row r="13897" spans="1:22" s="841" customFormat="1" ht="15" x14ac:dyDescent="0.25">
      <c r="A13897" s="841" t="s">
        <v>198</v>
      </c>
      <c r="E13897" s="2173" t="s">
        <v>3502</v>
      </c>
      <c r="F13897" s="2173"/>
      <c r="G13897" s="510" t="s">
        <v>23</v>
      </c>
      <c r="H13897" s="628">
        <v>22.35</v>
      </c>
      <c r="M13897" s="1357"/>
      <c r="Q13897" s="1357"/>
      <c r="S13897" s="1420"/>
      <c r="T13897" s="1420"/>
      <c r="V13897" s="1357">
        <v>104</v>
      </c>
    </row>
    <row r="13898" spans="1:22" s="841" customFormat="1" ht="18.75" x14ac:dyDescent="0.3">
      <c r="A13898" s="841" t="s">
        <v>198</v>
      </c>
      <c r="E13898" s="2174" t="s">
        <v>77</v>
      </c>
      <c r="F13898" s="2174"/>
      <c r="G13898" s="1337"/>
      <c r="H13898" s="1337"/>
      <c r="K13898" s="841" t="s">
        <v>4656</v>
      </c>
      <c r="M13898" s="1357"/>
      <c r="Q13898" s="1357"/>
      <c r="S13898" s="1420"/>
      <c r="T13898" s="1420"/>
      <c r="V13898" s="1357">
        <v>38</v>
      </c>
    </row>
    <row r="13899" spans="1:22" s="841" customFormat="1" ht="15" x14ac:dyDescent="0.25">
      <c r="A13899" s="841" t="s">
        <v>198</v>
      </c>
      <c r="E13899" s="2024" t="s">
        <v>3063</v>
      </c>
      <c r="F13899" s="2024"/>
      <c r="G13899" s="2024"/>
      <c r="H13899" s="2024"/>
      <c r="M13899" s="1357"/>
      <c r="Q13899" s="1357"/>
      <c r="S13899" s="1420"/>
      <c r="T13899" s="1420"/>
      <c r="V13899" s="1357">
        <v>280</v>
      </c>
    </row>
    <row r="13900" spans="1:22" s="841" customFormat="1" ht="15" x14ac:dyDescent="0.25">
      <c r="A13900" s="841" t="s">
        <v>198</v>
      </c>
      <c r="E13900" s="2024" t="s">
        <v>3064</v>
      </c>
      <c r="F13900" s="2024"/>
      <c r="G13900" s="2024"/>
      <c r="H13900" s="2024"/>
      <c r="M13900" s="1357"/>
      <c r="Q13900" s="1357"/>
      <c r="S13900" s="1420"/>
      <c r="T13900" s="1420"/>
      <c r="V13900" s="1357">
        <v>411</v>
      </c>
    </row>
    <row r="13901" spans="1:22" s="841" customFormat="1" ht="15" x14ac:dyDescent="0.25">
      <c r="A13901" s="841" t="s">
        <v>198</v>
      </c>
      <c r="E13901" s="2024" t="s">
        <v>3129</v>
      </c>
      <c r="F13901" s="2024"/>
      <c r="G13901" s="2024"/>
      <c r="H13901" s="2024"/>
      <c r="M13901" s="1357"/>
      <c r="Q13901" s="1357"/>
      <c r="S13901" s="1420"/>
      <c r="T13901" s="1420"/>
      <c r="V13901" s="1357">
        <v>211</v>
      </c>
    </row>
    <row r="13902" spans="1:22" s="841" customFormat="1" ht="15" x14ac:dyDescent="0.25">
      <c r="A13902" s="841" t="s">
        <v>198</v>
      </c>
      <c r="E13902" s="2024" t="s">
        <v>4657</v>
      </c>
      <c r="F13902" s="2024"/>
      <c r="G13902" s="2024"/>
      <c r="H13902" s="2024"/>
      <c r="M13902" s="1357"/>
      <c r="Q13902" s="1357"/>
      <c r="S13902" s="1420"/>
      <c r="T13902" s="1420"/>
      <c r="V13902" s="1357">
        <v>276</v>
      </c>
    </row>
    <row r="13903" spans="1:22" s="841" customFormat="1" ht="15" x14ac:dyDescent="0.25">
      <c r="A13903" s="841" t="s">
        <v>198</v>
      </c>
      <c r="E13903" s="2024" t="s">
        <v>3291</v>
      </c>
      <c r="F13903" s="2024"/>
      <c r="G13903" s="2024"/>
      <c r="H13903" s="2024"/>
      <c r="M13903" s="1357"/>
      <c r="Q13903" s="1357"/>
      <c r="S13903" s="1420"/>
      <c r="T13903" s="1420"/>
      <c r="V13903" s="1357">
        <v>142</v>
      </c>
    </row>
    <row r="13904" spans="1:22" s="841" customFormat="1" ht="15" x14ac:dyDescent="0.25">
      <c r="A13904" s="841" t="s">
        <v>198</v>
      </c>
      <c r="E13904" s="2169" t="s">
        <v>3176</v>
      </c>
      <c r="F13904" s="2169"/>
      <c r="G13904" s="1341" t="s">
        <v>23</v>
      </c>
      <c r="H13904" s="628">
        <v>100</v>
      </c>
      <c r="M13904" s="1357"/>
      <c r="Q13904" s="1357"/>
      <c r="S13904" s="1420"/>
      <c r="T13904" s="1420"/>
      <c r="V13904" s="1357">
        <v>106</v>
      </c>
    </row>
    <row r="13905" spans="1:22" s="841" customFormat="1" ht="15" x14ac:dyDescent="0.25">
      <c r="A13905" s="841" t="s">
        <v>198</v>
      </c>
      <c r="E13905" s="2169" t="s">
        <v>5140</v>
      </c>
      <c r="F13905" s="2169"/>
      <c r="G13905" s="1341" t="s">
        <v>23</v>
      </c>
      <c r="H13905" s="628">
        <v>20</v>
      </c>
      <c r="M13905" s="1357"/>
      <c r="Q13905" s="1357"/>
      <c r="S13905" s="1420"/>
      <c r="T13905" s="1420"/>
      <c r="V13905" s="1357">
        <v>34</v>
      </c>
    </row>
    <row r="13906" spans="1:22" s="841" customFormat="1" ht="15" x14ac:dyDescent="0.25">
      <c r="A13906" s="841" t="s">
        <v>198</v>
      </c>
      <c r="E13906" s="2169" t="s">
        <v>5141</v>
      </c>
      <c r="F13906" s="2169"/>
      <c r="G13906" s="1341" t="s">
        <v>3179</v>
      </c>
      <c r="H13906" s="628">
        <v>0.5</v>
      </c>
      <c r="M13906" s="1357"/>
      <c r="Q13906" s="1357"/>
      <c r="S13906" s="1420"/>
      <c r="T13906" s="1420"/>
      <c r="V13906" s="1357">
        <v>51</v>
      </c>
    </row>
    <row r="13907" spans="1:22" s="841" customFormat="1" ht="15" x14ac:dyDescent="0.25">
      <c r="A13907" s="841" t="s">
        <v>198</v>
      </c>
      <c r="E13907" s="2169" t="s">
        <v>3180</v>
      </c>
      <c r="F13907" s="2169"/>
      <c r="G13907" s="1341" t="s">
        <v>3179</v>
      </c>
      <c r="H13907" s="628">
        <v>0.3</v>
      </c>
      <c r="M13907" s="1357"/>
      <c r="Q13907" s="1357"/>
      <c r="S13907" s="1420"/>
      <c r="T13907" s="1420"/>
      <c r="V13907" s="1357">
        <v>75</v>
      </c>
    </row>
    <row r="13908" spans="1:22" s="841" customFormat="1" ht="15" x14ac:dyDescent="0.25">
      <c r="A13908" s="841" t="s">
        <v>198</v>
      </c>
      <c r="E13908" s="2169" t="s">
        <v>3181</v>
      </c>
      <c r="F13908" s="2169"/>
      <c r="G13908" s="1341" t="s">
        <v>3179</v>
      </c>
      <c r="H13908" s="628">
        <v>-0.3</v>
      </c>
      <c r="M13908" s="1357"/>
      <c r="Q13908" s="1357"/>
      <c r="S13908" s="1420"/>
      <c r="T13908" s="1420"/>
      <c r="V13908" s="1357">
        <v>72</v>
      </c>
    </row>
    <row r="13909" spans="1:22" s="841" customFormat="1" ht="15" x14ac:dyDescent="0.25">
      <c r="A13909" s="841" t="s">
        <v>198</v>
      </c>
      <c r="E13909" s="2169" t="s">
        <v>3292</v>
      </c>
      <c r="F13909" s="2169"/>
      <c r="G13909" s="1341"/>
      <c r="H13909" s="1342"/>
      <c r="M13909" s="1357"/>
      <c r="Q13909" s="1357"/>
      <c r="S13909" s="1420"/>
      <c r="T13909" s="1420"/>
      <c r="V13909" s="1357">
        <v>34</v>
      </c>
    </row>
    <row r="13910" spans="1:22" s="841" customFormat="1" ht="15" x14ac:dyDescent="0.25">
      <c r="A13910" s="841" t="s">
        <v>198</v>
      </c>
      <c r="E13910" s="2175" t="s">
        <v>3183</v>
      </c>
      <c r="F13910" s="2175"/>
      <c r="G13910" s="1341" t="s">
        <v>23</v>
      </c>
      <c r="H13910" s="628">
        <v>0.25</v>
      </c>
      <c r="M13910" s="1357"/>
      <c r="Q13910" s="1357"/>
      <c r="S13910" s="1420"/>
      <c r="T13910" s="1420"/>
      <c r="V13910" s="1357">
        <v>57</v>
      </c>
    </row>
    <row r="13911" spans="1:22" s="841" customFormat="1" ht="15" x14ac:dyDescent="0.25">
      <c r="A13911" s="841" t="s">
        <v>198</v>
      </c>
      <c r="E13911" s="2175" t="s">
        <v>3184</v>
      </c>
      <c r="F13911" s="2175"/>
      <c r="G13911" s="1341" t="s">
        <v>23</v>
      </c>
      <c r="H13911" s="628">
        <v>0.5</v>
      </c>
      <c r="M13911" s="1357"/>
      <c r="Q13911" s="1357"/>
      <c r="S13911" s="1420"/>
      <c r="T13911" s="1420"/>
      <c r="V13911" s="1357">
        <v>60</v>
      </c>
    </row>
    <row r="13912" spans="1:22" s="841" customFormat="1" ht="15" x14ac:dyDescent="0.25">
      <c r="A13912" s="841" t="s">
        <v>198</v>
      </c>
      <c r="E13912" s="2169" t="s">
        <v>3185</v>
      </c>
      <c r="F13912" s="2169"/>
      <c r="G13912" s="1341"/>
      <c r="H13912" s="1342"/>
      <c r="M13912" s="1357"/>
      <c r="Q13912" s="1357"/>
      <c r="S13912" s="1420"/>
      <c r="T13912" s="1420"/>
      <c r="V13912" s="1357">
        <v>91</v>
      </c>
    </row>
    <row r="13913" spans="1:22" s="841" customFormat="1" ht="15" x14ac:dyDescent="0.25">
      <c r="A13913" s="841" t="s">
        <v>198</v>
      </c>
      <c r="E13913" s="2169" t="s">
        <v>3186</v>
      </c>
      <c r="F13913" s="2169"/>
      <c r="G13913" s="1341"/>
      <c r="H13913" s="1342"/>
      <c r="M13913" s="1357"/>
      <c r="Q13913" s="1357"/>
      <c r="S13913" s="1420"/>
      <c r="T13913" s="1420"/>
      <c r="V13913" s="1357">
        <v>96</v>
      </c>
    </row>
    <row r="13914" spans="1:22" s="841" customFormat="1" ht="15" x14ac:dyDescent="0.25">
      <c r="A13914" s="841" t="s">
        <v>198</v>
      </c>
      <c r="E13914" s="2169" t="s">
        <v>3293</v>
      </c>
      <c r="F13914" s="2169"/>
      <c r="G13914" s="1341"/>
      <c r="H13914" s="1342"/>
      <c r="M13914" s="1357"/>
      <c r="Q13914" s="1357"/>
      <c r="S13914" s="1420"/>
      <c r="T13914" s="1420"/>
      <c r="V13914" s="1357">
        <v>77</v>
      </c>
    </row>
    <row r="13915" spans="1:22" s="841" customFormat="1" ht="15" x14ac:dyDescent="0.25">
      <c r="A13915" s="841" t="s">
        <v>198</v>
      </c>
      <c r="E13915" s="2175" t="s">
        <v>3188</v>
      </c>
      <c r="F13915" s="2175"/>
      <c r="G13915" s="1341" t="s">
        <v>23</v>
      </c>
      <c r="H13915" s="1342" t="s">
        <v>3189</v>
      </c>
      <c r="M13915" s="1357"/>
      <c r="Q13915" s="1357"/>
      <c r="S13915" s="1420"/>
      <c r="T13915" s="1420"/>
      <c r="V13915" s="1357">
        <v>18</v>
      </c>
    </row>
    <row r="13916" spans="1:22" s="841" customFormat="1" ht="15" x14ac:dyDescent="0.25">
      <c r="A13916" s="841" t="s">
        <v>198</v>
      </c>
      <c r="E13916" s="2175" t="s">
        <v>3190</v>
      </c>
      <c r="F13916" s="2175"/>
      <c r="G13916" s="1341" t="s">
        <v>23</v>
      </c>
      <c r="H13916" s="628">
        <v>2</v>
      </c>
      <c r="M13916" s="1357"/>
      <c r="Q13916" s="1357"/>
      <c r="S13916" s="1420"/>
      <c r="T13916" s="1420"/>
      <c r="V13916" s="1357">
        <v>69</v>
      </c>
    </row>
    <row r="13917" spans="1:22" s="841" customFormat="1" ht="18.75" x14ac:dyDescent="0.3">
      <c r="A13917" s="841" t="s">
        <v>198</v>
      </c>
      <c r="E13917" s="1411" t="s">
        <v>147</v>
      </c>
      <c r="F13917" s="1337"/>
      <c r="G13917" s="1337"/>
      <c r="H13917" s="1337"/>
      <c r="K13917" s="841" t="s">
        <v>4658</v>
      </c>
      <c r="M13917" s="1357"/>
      <c r="Q13917" s="1357"/>
      <c r="S13917" s="1420"/>
      <c r="T13917" s="1420"/>
      <c r="V13917" s="1357">
        <v>12</v>
      </c>
    </row>
    <row r="13918" spans="1:22" s="841" customFormat="1" ht="15" x14ac:dyDescent="0.25">
      <c r="A13918" s="841" t="s">
        <v>198</v>
      </c>
      <c r="E13918" s="2176" t="s">
        <v>3192</v>
      </c>
      <c r="F13918" s="2177"/>
      <c r="G13918" s="2177"/>
      <c r="H13918" s="2177"/>
      <c r="M13918" s="1357"/>
      <c r="Q13918" s="1357"/>
      <c r="S13918" s="1420"/>
      <c r="T13918" s="1420"/>
      <c r="V13918" s="1357">
        <v>203</v>
      </c>
    </row>
    <row r="13919" spans="1:22" s="841" customFormat="1" ht="15" x14ac:dyDescent="0.25">
      <c r="A13919" s="841" t="s">
        <v>198</v>
      </c>
      <c r="E13919" s="2169" t="s">
        <v>3295</v>
      </c>
      <c r="F13919" s="2169"/>
      <c r="G13919" s="510"/>
      <c r="H13919" s="627">
        <v>1.0454000000000001</v>
      </c>
      <c r="M13919" s="1357"/>
      <c r="Q13919" s="1357"/>
      <c r="S13919" s="1420"/>
      <c r="T13919" s="1420"/>
      <c r="V13919" s="1357">
        <v>57</v>
      </c>
    </row>
    <row r="13920" spans="1:22" s="841" customFormat="1" ht="15" x14ac:dyDescent="0.25">
      <c r="A13920" s="841" t="s">
        <v>198</v>
      </c>
      <c r="E13920" s="2169" t="s">
        <v>3297</v>
      </c>
      <c r="F13920" s="2169"/>
      <c r="G13920" s="510"/>
      <c r="H13920" s="627">
        <v>1.0348999999999999</v>
      </c>
      <c r="J13920" s="841" t="s">
        <v>4659</v>
      </c>
      <c r="M13920" s="1357"/>
      <c r="Q13920" s="1357"/>
      <c r="S13920" s="1420"/>
      <c r="T13920" s="1420"/>
      <c r="V13920" s="1357">
        <v>55</v>
      </c>
    </row>
    <row r="13921" spans="1:22" s="841" customFormat="1" ht="20.25" x14ac:dyDescent="0.25">
      <c r="A13921" s="841" t="s">
        <v>211</v>
      </c>
      <c r="B13921" s="841" t="s">
        <v>3963</v>
      </c>
      <c r="C13921" s="841" t="s">
        <v>3050</v>
      </c>
      <c r="E13921" s="2178" t="s">
        <v>211</v>
      </c>
      <c r="F13921" s="2178"/>
      <c r="G13921" s="2178"/>
      <c r="H13921" s="2178"/>
      <c r="I13921" s="841" t="s">
        <v>628</v>
      </c>
      <c r="J13921" s="841" t="s">
        <v>3964</v>
      </c>
      <c r="K13921" s="841" t="s">
        <v>211</v>
      </c>
      <c r="M13921" s="1357">
        <v>7</v>
      </c>
      <c r="Q13921" s="1357"/>
      <c r="S13921" s="1420"/>
      <c r="T13921" s="1420"/>
      <c r="V13921" s="1357">
        <v>23</v>
      </c>
    </row>
    <row r="13922" spans="1:22" s="841" customFormat="1" ht="20.25" x14ac:dyDescent="0.25">
      <c r="A13922" s="841" t="s">
        <v>211</v>
      </c>
      <c r="B13922" s="841" t="s">
        <v>3963</v>
      </c>
      <c r="C13922" s="841" t="s">
        <v>3052</v>
      </c>
      <c r="E13922" s="2178" t="s">
        <v>2463</v>
      </c>
      <c r="F13922" s="2178"/>
      <c r="G13922" s="2178"/>
      <c r="H13922" s="2178"/>
      <c r="M13922" s="1357"/>
      <c r="Q13922" s="1357"/>
      <c r="S13922" s="1420"/>
      <c r="T13922" s="1420"/>
      <c r="V13922" s="1357">
        <v>49</v>
      </c>
    </row>
    <row r="13923" spans="1:22" s="841" customFormat="1" x14ac:dyDescent="0.25">
      <c r="A13923" s="841" t="s">
        <v>211</v>
      </c>
      <c r="B13923" s="841" t="s">
        <v>3963</v>
      </c>
      <c r="C13923" s="841" t="s">
        <v>3054</v>
      </c>
      <c r="E13923" s="1912" t="s">
        <v>3053</v>
      </c>
      <c r="F13923" s="1912"/>
      <c r="G13923" s="1912"/>
      <c r="H13923" s="1912"/>
      <c r="M13923" s="1357"/>
      <c r="Q13923" s="1357"/>
      <c r="S13923" s="1420"/>
      <c r="T13923" s="1420"/>
      <c r="V13923" s="1357">
        <v>27</v>
      </c>
    </row>
    <row r="13924" spans="1:22" s="841" customFormat="1" ht="15.75" x14ac:dyDescent="0.25">
      <c r="A13924" s="841" t="s">
        <v>211</v>
      </c>
      <c r="B13924" s="841" t="s">
        <v>3963</v>
      </c>
      <c r="C13924" s="841" t="s">
        <v>3055</v>
      </c>
      <c r="E13924" s="1913" t="s">
        <v>5107</v>
      </c>
      <c r="F13924" s="1913"/>
      <c r="G13924" s="1913"/>
      <c r="H13924" s="1913"/>
      <c r="M13924" s="1357"/>
      <c r="Q13924" s="1357"/>
      <c r="S13924" s="1420">
        <v>43221</v>
      </c>
      <c r="T13924" s="1420"/>
      <c r="V13924" s="1357">
        <v>45</v>
      </c>
    </row>
    <row r="13925" spans="1:22" s="841" customFormat="1" ht="15" x14ac:dyDescent="0.25">
      <c r="A13925" s="841" t="s">
        <v>211</v>
      </c>
      <c r="B13925" s="841" t="s">
        <v>3963</v>
      </c>
      <c r="E13925" s="1914" t="s">
        <v>3616</v>
      </c>
      <c r="F13925" s="1914"/>
      <c r="G13925" s="1914"/>
      <c r="H13925" s="1914"/>
      <c r="M13925" s="1357"/>
      <c r="Q13925" s="1357"/>
      <c r="S13925" s="1420"/>
      <c r="T13925" s="1420"/>
      <c r="V13925" s="1357">
        <v>53</v>
      </c>
    </row>
    <row r="13926" spans="1:22" s="841" customFormat="1" ht="15" x14ac:dyDescent="0.25">
      <c r="A13926" s="841" t="s">
        <v>211</v>
      </c>
      <c r="B13926" s="841" t="s">
        <v>3963</v>
      </c>
      <c r="E13926" s="1914" t="s">
        <v>3057</v>
      </c>
      <c r="F13926" s="1914"/>
      <c r="G13926" s="1914"/>
      <c r="H13926" s="1914"/>
      <c r="M13926" s="1357"/>
      <c r="Q13926" s="1357"/>
      <c r="S13926" s="1420"/>
      <c r="T13926" s="1420"/>
      <c r="V13926" s="1357">
        <v>53</v>
      </c>
    </row>
    <row r="13927" spans="1:22" s="841" customFormat="1" ht="15" x14ac:dyDescent="0.25">
      <c r="A13927" s="841" t="s">
        <v>211</v>
      </c>
      <c r="B13927" s="841" t="s">
        <v>3963</v>
      </c>
      <c r="E13927" s="1925" t="s">
        <v>5473</v>
      </c>
      <c r="F13927" s="1925"/>
      <c r="G13927" s="1925"/>
      <c r="H13927" s="1925"/>
      <c r="K13927" s="841" t="s">
        <v>5473</v>
      </c>
      <c r="M13927" s="1357"/>
      <c r="Q13927" s="1357"/>
      <c r="S13927" s="1420"/>
      <c r="T13927" s="1420"/>
      <c r="V13927" s="1357">
        <v>12</v>
      </c>
    </row>
    <row r="13928" spans="1:22" s="841" customFormat="1" ht="15" x14ac:dyDescent="0.25">
      <c r="A13928" s="841" t="s">
        <v>211</v>
      </c>
      <c r="B13928" s="841" t="s">
        <v>3963</v>
      </c>
      <c r="E13928" s="1936" t="s">
        <v>438</v>
      </c>
      <c r="F13928" s="1689"/>
      <c r="G13928" s="1689"/>
      <c r="H13928" s="1689"/>
      <c r="K13928" s="841" t="s">
        <v>3197</v>
      </c>
      <c r="M13928" s="1357"/>
      <c r="Q13928" s="1357"/>
      <c r="S13928" s="1420"/>
      <c r="T13928" s="1420"/>
      <c r="V13928" s="1357">
        <v>34</v>
      </c>
    </row>
    <row r="13929" spans="1:22" s="841" customFormat="1" ht="15" x14ac:dyDescent="0.25">
      <c r="A13929" s="841" t="s">
        <v>211</v>
      </c>
      <c r="B13929" s="841" t="s">
        <v>3963</v>
      </c>
      <c r="E13929" s="2072" t="s">
        <v>3965</v>
      </c>
      <c r="F13929" s="2072"/>
      <c r="G13929" s="2072"/>
      <c r="H13929" s="2072"/>
      <c r="K13929" s="841" t="s">
        <v>3197</v>
      </c>
      <c r="M13929" s="1357"/>
      <c r="Q13929" s="1357"/>
      <c r="S13929" s="1420"/>
      <c r="T13929" s="1420"/>
      <c r="V13929" s="1357">
        <v>618</v>
      </c>
    </row>
    <row r="13930" spans="1:22" s="841" customFormat="1" ht="15" x14ac:dyDescent="0.25">
      <c r="A13930" s="841" t="s">
        <v>211</v>
      </c>
      <c r="B13930" s="841" t="s">
        <v>3963</v>
      </c>
      <c r="E13930" s="1916" t="s">
        <v>3061</v>
      </c>
      <c r="F13930" s="1689"/>
      <c r="G13930" s="1689"/>
      <c r="H13930" s="1689"/>
      <c r="K13930" s="841" t="s">
        <v>3062</v>
      </c>
      <c r="M13930" s="1357"/>
      <c r="Q13930" s="1357"/>
      <c r="S13930" s="1420"/>
      <c r="T13930" s="1420"/>
      <c r="V13930" s="1357">
        <v>11</v>
      </c>
    </row>
    <row r="13931" spans="1:22" s="841" customFormat="1" ht="15" x14ac:dyDescent="0.25">
      <c r="A13931" s="841" t="s">
        <v>211</v>
      </c>
      <c r="B13931" s="841" t="s">
        <v>3963</v>
      </c>
      <c r="E13931" s="2072" t="s">
        <v>3063</v>
      </c>
      <c r="F13931" s="2072"/>
      <c r="G13931" s="2072"/>
      <c r="H13931" s="2072"/>
      <c r="K13931" s="841" t="s">
        <v>3197</v>
      </c>
      <c r="M13931" s="1357"/>
      <c r="Q13931" s="1357"/>
      <c r="S13931" s="1420"/>
      <c r="T13931" s="1420"/>
      <c r="V13931" s="1357">
        <v>280</v>
      </c>
    </row>
    <row r="13932" spans="1:22" s="841" customFormat="1" ht="15" x14ac:dyDescent="0.25">
      <c r="A13932" s="841" t="s">
        <v>211</v>
      </c>
      <c r="B13932" s="841" t="s">
        <v>3963</v>
      </c>
      <c r="E13932" s="2072" t="s">
        <v>3064</v>
      </c>
      <c r="F13932" s="2072"/>
      <c r="G13932" s="2072"/>
      <c r="H13932" s="2072"/>
      <c r="K13932" s="841" t="s">
        <v>3197</v>
      </c>
      <c r="M13932" s="1357"/>
      <c r="Q13932" s="1357"/>
      <c r="S13932" s="1420"/>
      <c r="T13932" s="1420"/>
      <c r="V13932" s="1357">
        <v>411</v>
      </c>
    </row>
    <row r="13933" spans="1:22" s="841" customFormat="1" ht="15" x14ac:dyDescent="0.25">
      <c r="A13933" s="841" t="s">
        <v>211</v>
      </c>
      <c r="B13933" s="841" t="s">
        <v>3963</v>
      </c>
      <c r="E13933" s="2072" t="s">
        <v>3065</v>
      </c>
      <c r="F13933" s="2072"/>
      <c r="G13933" s="2072"/>
      <c r="H13933" s="2072"/>
      <c r="K13933" s="841" t="s">
        <v>3197</v>
      </c>
      <c r="M13933" s="1357"/>
      <c r="Q13933" s="1357"/>
      <c r="S13933" s="1420"/>
      <c r="T13933" s="1420"/>
      <c r="V13933" s="1357">
        <v>387</v>
      </c>
    </row>
    <row r="13934" spans="1:22" s="841" customFormat="1" ht="15" x14ac:dyDescent="0.25">
      <c r="A13934" s="841" t="s">
        <v>211</v>
      </c>
      <c r="B13934" s="841" t="s">
        <v>3963</v>
      </c>
      <c r="E13934" s="2072" t="s">
        <v>3390</v>
      </c>
      <c r="F13934" s="2072"/>
      <c r="G13934" s="2072"/>
      <c r="H13934" s="2072"/>
      <c r="K13934" s="841" t="s">
        <v>3197</v>
      </c>
      <c r="M13934" s="1357"/>
      <c r="Q13934" s="1357"/>
      <c r="S13934" s="1420"/>
      <c r="T13934" s="1420"/>
      <c r="V13934" s="1357">
        <v>274</v>
      </c>
    </row>
    <row r="13935" spans="1:22" s="841" customFormat="1" ht="15" x14ac:dyDescent="0.25">
      <c r="A13935" s="841" t="s">
        <v>211</v>
      </c>
      <c r="B13935" s="841" t="s">
        <v>3963</v>
      </c>
      <c r="E13935" s="1694" t="s">
        <v>3067</v>
      </c>
      <c r="F13935" s="1907"/>
      <c r="G13935" s="1907"/>
      <c r="H13935" s="1907"/>
      <c r="K13935" s="841" t="s">
        <v>3068</v>
      </c>
      <c r="M13935" s="1357"/>
      <c r="Q13935" s="1357"/>
      <c r="S13935" s="1420"/>
      <c r="T13935" s="1420"/>
      <c r="V13935" s="1357">
        <v>46</v>
      </c>
    </row>
    <row r="13936" spans="1:22" s="841" customFormat="1" ht="15" x14ac:dyDescent="0.25">
      <c r="A13936" s="841" t="s">
        <v>211</v>
      </c>
      <c r="B13936" s="841" t="s">
        <v>3963</v>
      </c>
      <c r="E13936" s="1920" t="s">
        <v>11</v>
      </c>
      <c r="F13936" s="1920"/>
      <c r="G13936" s="1366" t="s">
        <v>23</v>
      </c>
      <c r="H13936" s="1193">
        <v>23.16</v>
      </c>
      <c r="K13936" s="841" t="s">
        <v>3197</v>
      </c>
      <c r="L13936" s="841" t="s">
        <v>442</v>
      </c>
      <c r="M13936" s="1357"/>
      <c r="P13936" s="841" t="s">
        <v>3201</v>
      </c>
      <c r="Q13936" s="1357"/>
      <c r="S13936" s="1420"/>
      <c r="T13936" s="1420"/>
      <c r="V13936" s="1357">
        <v>14</v>
      </c>
    </row>
    <row r="13937" spans="1:22" s="841" customFormat="1" ht="15" x14ac:dyDescent="0.25">
      <c r="A13937" s="841" t="s">
        <v>211</v>
      </c>
      <c r="B13937" s="841" t="s">
        <v>3963</v>
      </c>
      <c r="E13937" s="1920" t="s">
        <v>5923</v>
      </c>
      <c r="F13937" s="1690"/>
      <c r="G13937" s="1366" t="s">
        <v>23</v>
      </c>
      <c r="H13937" s="391">
        <v>-0.23</v>
      </c>
      <c r="K13937" s="841" t="s">
        <v>3197</v>
      </c>
      <c r="L13937" s="841" t="s">
        <v>442</v>
      </c>
      <c r="M13937" s="1357"/>
      <c r="P13937" s="841" t="s">
        <v>6554</v>
      </c>
      <c r="Q13937" s="1357"/>
      <c r="S13937" s="1420"/>
      <c r="T13937" s="1420">
        <v>44134</v>
      </c>
      <c r="V13937" s="1357">
        <v>91</v>
      </c>
    </row>
    <row r="13938" spans="1:22" s="841" customFormat="1" ht="15" x14ac:dyDescent="0.25">
      <c r="A13938" s="841" t="s">
        <v>211</v>
      </c>
      <c r="B13938" s="841" t="s">
        <v>3963</v>
      </c>
      <c r="E13938" s="1920" t="s">
        <v>5109</v>
      </c>
      <c r="F13938" s="1920"/>
      <c r="G13938" s="1366" t="s">
        <v>23</v>
      </c>
      <c r="H13938" s="1195">
        <v>0.56999999999999995</v>
      </c>
      <c r="K13938" s="841" t="s">
        <v>3197</v>
      </c>
      <c r="L13938" s="841" t="s">
        <v>443</v>
      </c>
      <c r="M13938" s="1357"/>
      <c r="P13938" s="841" t="s">
        <v>3202</v>
      </c>
      <c r="Q13938" s="1357"/>
      <c r="S13938" s="1420"/>
      <c r="T13938" s="1420">
        <v>44926</v>
      </c>
      <c r="V13938" s="1357">
        <v>64</v>
      </c>
    </row>
    <row r="13939" spans="1:22" s="841" customFormat="1" ht="15" x14ac:dyDescent="0.25">
      <c r="A13939" s="841" t="s">
        <v>211</v>
      </c>
      <c r="B13939" s="841" t="s">
        <v>3963</v>
      </c>
      <c r="E13939" s="1920" t="s">
        <v>5924</v>
      </c>
      <c r="F13939" s="1920"/>
      <c r="G13939" s="1366" t="s">
        <v>23</v>
      </c>
      <c r="H13939" s="1195">
        <v>0.64</v>
      </c>
      <c r="K13939" s="841" t="s">
        <v>3197</v>
      </c>
      <c r="L13939" s="841" t="s">
        <v>442</v>
      </c>
      <c r="M13939" s="1357"/>
      <c r="P13939" s="841" t="s">
        <v>6555</v>
      </c>
      <c r="Q13939" s="1357"/>
      <c r="S13939" s="1420"/>
      <c r="T13939" s="1420"/>
      <c r="V13939" s="1357">
        <v>158</v>
      </c>
    </row>
    <row r="13940" spans="1:22" s="841" customFormat="1" ht="15" x14ac:dyDescent="0.25">
      <c r="A13940" s="841" t="s">
        <v>211</v>
      </c>
      <c r="B13940" s="841" t="s">
        <v>3963</v>
      </c>
      <c r="E13940" s="1920" t="s">
        <v>84</v>
      </c>
      <c r="F13940" s="1920"/>
      <c r="G13940" s="1366" t="s">
        <v>24</v>
      </c>
      <c r="H13940" s="1194">
        <v>8.8999999999999999E-3</v>
      </c>
      <c r="K13940" s="841" t="s">
        <v>3197</v>
      </c>
      <c r="L13940" s="841" t="s">
        <v>442</v>
      </c>
      <c r="M13940" s="1357"/>
      <c r="P13940" s="841" t="s">
        <v>3203</v>
      </c>
      <c r="Q13940" s="1357"/>
      <c r="S13940" s="1420"/>
      <c r="T13940" s="1420"/>
      <c r="V13940" s="1357">
        <v>28</v>
      </c>
    </row>
    <row r="13941" spans="1:22" s="841" customFormat="1" ht="15" x14ac:dyDescent="0.25">
      <c r="A13941" s="841" t="s">
        <v>211</v>
      </c>
      <c r="B13941" s="841" t="s">
        <v>3963</v>
      </c>
      <c r="E13941" s="1920" t="s">
        <v>5925</v>
      </c>
      <c r="F13941" s="1908"/>
      <c r="G13941" s="1366" t="s">
        <v>24</v>
      </c>
      <c r="H13941" s="393">
        <v>2.9999999999999997E-4</v>
      </c>
      <c r="K13941" s="841" t="s">
        <v>3197</v>
      </c>
      <c r="L13941" s="841" t="s">
        <v>443</v>
      </c>
      <c r="M13941" s="1357"/>
      <c r="P13941" s="841" t="s">
        <v>5103</v>
      </c>
      <c r="Q13941" s="1357"/>
      <c r="S13941" s="1420"/>
      <c r="T13941" s="1420">
        <v>43585</v>
      </c>
      <c r="V13941" s="1357">
        <v>146</v>
      </c>
    </row>
    <row r="13942" spans="1:22" s="841" customFormat="1" ht="15" x14ac:dyDescent="0.25">
      <c r="A13942" s="841" t="s">
        <v>211</v>
      </c>
      <c r="B13942" s="841" t="s">
        <v>3963</v>
      </c>
      <c r="E13942" s="1920" t="s">
        <v>5926</v>
      </c>
      <c r="F13942" s="1920"/>
      <c r="G13942" s="1366" t="s">
        <v>24</v>
      </c>
      <c r="H13942" s="1196">
        <v>8.0000000000000004E-4</v>
      </c>
      <c r="K13942" s="841" t="s">
        <v>3197</v>
      </c>
      <c r="L13942" s="841" t="s">
        <v>442</v>
      </c>
      <c r="M13942" s="1357"/>
      <c r="P13942" s="841" t="s">
        <v>6556</v>
      </c>
      <c r="Q13942" s="1357"/>
      <c r="S13942" s="1420"/>
      <c r="T13942" s="1420"/>
      <c r="V13942" s="1357">
        <v>133</v>
      </c>
    </row>
    <row r="13943" spans="1:22" s="841" customFormat="1" ht="15" x14ac:dyDescent="0.25">
      <c r="A13943" s="841" t="s">
        <v>211</v>
      </c>
      <c r="B13943" s="841" t="s">
        <v>3963</v>
      </c>
      <c r="E13943" s="1920" t="s">
        <v>5129</v>
      </c>
      <c r="F13943" s="1908"/>
      <c r="G13943" s="1366" t="s">
        <v>24</v>
      </c>
      <c r="H13943" s="1196">
        <v>3.5999999999999999E-3</v>
      </c>
      <c r="K13943" s="841" t="s">
        <v>3197</v>
      </c>
      <c r="L13943" s="841" t="s">
        <v>443</v>
      </c>
      <c r="M13943" s="1357"/>
      <c r="P13943" s="841" t="s">
        <v>3205</v>
      </c>
      <c r="Q13943" s="1357"/>
      <c r="S13943" s="1420"/>
      <c r="T13943" s="1420">
        <v>43585</v>
      </c>
      <c r="V13943" s="1357">
        <v>139</v>
      </c>
    </row>
    <row r="13944" spans="1:22" s="841" customFormat="1" ht="15" x14ac:dyDescent="0.25">
      <c r="A13944" s="841" t="s">
        <v>211</v>
      </c>
      <c r="B13944" s="841" t="s">
        <v>3963</v>
      </c>
      <c r="E13944" s="1920" t="s">
        <v>5130</v>
      </c>
      <c r="F13944" s="1908"/>
      <c r="G13944" s="1366" t="s">
        <v>24</v>
      </c>
      <c r="H13944" s="1196">
        <v>-2.6008309470857815E-3</v>
      </c>
      <c r="K13944" s="841" t="s">
        <v>3197</v>
      </c>
      <c r="L13944" s="841" t="s">
        <v>443</v>
      </c>
      <c r="M13944" s="1357"/>
      <c r="P13944" s="841" t="s">
        <v>3207</v>
      </c>
      <c r="Q13944" s="1357"/>
      <c r="S13944" s="1420"/>
      <c r="T13944" s="1420">
        <v>43585</v>
      </c>
      <c r="V13944" s="1357">
        <v>96</v>
      </c>
    </row>
    <row r="13945" spans="1:22" s="841" customFormat="1" ht="15" x14ac:dyDescent="0.25">
      <c r="A13945" s="841" t="s">
        <v>211</v>
      </c>
      <c r="B13945" s="841" t="s">
        <v>3963</v>
      </c>
      <c r="E13945" s="1920" t="s">
        <v>5923</v>
      </c>
      <c r="F13945" s="1690"/>
      <c r="G13945" s="1366" t="s">
        <v>24</v>
      </c>
      <c r="H13945" s="1196">
        <v>-1E-4</v>
      </c>
      <c r="K13945" s="841" t="s">
        <v>3197</v>
      </c>
      <c r="L13945" s="841" t="s">
        <v>442</v>
      </c>
      <c r="M13945" s="1357"/>
      <c r="P13945" s="841" t="s">
        <v>6557</v>
      </c>
      <c r="Q13945" s="1357"/>
      <c r="S13945" s="1420"/>
      <c r="T13945" s="1420">
        <v>44134</v>
      </c>
      <c r="V13945" s="1357">
        <v>91</v>
      </c>
    </row>
    <row r="13946" spans="1:22" s="841" customFormat="1" ht="15" x14ac:dyDescent="0.25">
      <c r="A13946" s="841" t="s">
        <v>211</v>
      </c>
      <c r="B13946" s="841" t="s">
        <v>3963</v>
      </c>
      <c r="E13946" s="1920" t="s">
        <v>221</v>
      </c>
      <c r="F13946" s="1920"/>
      <c r="G13946" s="1366" t="s">
        <v>24</v>
      </c>
      <c r="H13946" s="1194">
        <v>7.1000000000000004E-3</v>
      </c>
      <c r="K13946" s="841" t="s">
        <v>3197</v>
      </c>
      <c r="L13946" s="841" t="s">
        <v>444</v>
      </c>
      <c r="M13946" s="1357"/>
      <c r="P13946" s="841" t="s">
        <v>3208</v>
      </c>
      <c r="Q13946" s="1357"/>
      <c r="S13946" s="1420"/>
      <c r="T13946" s="1420"/>
      <c r="V13946" s="1357">
        <v>47</v>
      </c>
    </row>
    <row r="13947" spans="1:22" s="841" customFormat="1" ht="15" x14ac:dyDescent="0.25">
      <c r="A13947" s="841" t="s">
        <v>211</v>
      </c>
      <c r="B13947" s="841" t="s">
        <v>3963</v>
      </c>
      <c r="E13947" s="1920" t="s">
        <v>217</v>
      </c>
      <c r="F13947" s="1920"/>
      <c r="G13947" s="1366" t="s">
        <v>24</v>
      </c>
      <c r="H13947" s="1194">
        <v>6.4000000000000003E-3</v>
      </c>
      <c r="K13947" s="841" t="s">
        <v>3197</v>
      </c>
      <c r="L13947" s="841" t="s">
        <v>444</v>
      </c>
      <c r="M13947" s="1357"/>
      <c r="P13947" s="841" t="s">
        <v>3209</v>
      </c>
      <c r="Q13947" s="1357"/>
      <c r="S13947" s="1420"/>
      <c r="T13947" s="1420"/>
      <c r="V13947" s="1357">
        <v>74</v>
      </c>
    </row>
    <row r="13948" spans="1:22" s="841" customFormat="1" ht="15" x14ac:dyDescent="0.25">
      <c r="A13948" s="841" t="s">
        <v>211</v>
      </c>
      <c r="B13948" s="841" t="s">
        <v>3963</v>
      </c>
      <c r="E13948" s="1694" t="s">
        <v>3079</v>
      </c>
      <c r="F13948" s="1690"/>
      <c r="G13948" s="1365"/>
      <c r="H13948" s="1365"/>
      <c r="K13948" s="841" t="s">
        <v>3080</v>
      </c>
      <c r="M13948" s="1357"/>
      <c r="Q13948" s="1357"/>
      <c r="S13948" s="1420"/>
      <c r="T13948" s="1420"/>
      <c r="V13948" s="1357">
        <v>48</v>
      </c>
    </row>
    <row r="13949" spans="1:22" s="841" customFormat="1" ht="15" x14ac:dyDescent="0.25">
      <c r="A13949" s="841" t="s">
        <v>211</v>
      </c>
      <c r="B13949" s="841" t="s">
        <v>3963</v>
      </c>
      <c r="E13949" s="1920" t="s">
        <v>2449</v>
      </c>
      <c r="F13949" s="1920"/>
      <c r="G13949" s="1366" t="s">
        <v>24</v>
      </c>
      <c r="H13949" s="1196">
        <v>3.2000000000000002E-3</v>
      </c>
      <c r="K13949" s="841" t="s">
        <v>3197</v>
      </c>
      <c r="L13949" s="841" t="s">
        <v>3046</v>
      </c>
      <c r="M13949" s="1357"/>
      <c r="P13949" s="841" t="s">
        <v>3210</v>
      </c>
      <c r="Q13949" s="1357"/>
      <c r="S13949" s="1420"/>
      <c r="T13949" s="1420"/>
      <c r="V13949" s="1357">
        <v>55</v>
      </c>
    </row>
    <row r="13950" spans="1:22" s="841" customFormat="1" ht="15" x14ac:dyDescent="0.25">
      <c r="A13950" s="841" t="s">
        <v>211</v>
      </c>
      <c r="B13950" s="841" t="s">
        <v>3963</v>
      </c>
      <c r="E13950" s="1920" t="s">
        <v>2450</v>
      </c>
      <c r="F13950" s="1920"/>
      <c r="G13950" s="1366" t="s">
        <v>24</v>
      </c>
      <c r="H13950" s="1196">
        <v>4.0000000000000002E-4</v>
      </c>
      <c r="K13950" s="841" t="s">
        <v>3197</v>
      </c>
      <c r="L13950" s="841" t="s">
        <v>3046</v>
      </c>
      <c r="M13950" s="1357"/>
      <c r="P13950" s="841" t="s">
        <v>3210</v>
      </c>
      <c r="Q13950" s="1357"/>
      <c r="S13950" s="1420"/>
      <c r="T13950" s="1420"/>
      <c r="V13950" s="1357">
        <v>65</v>
      </c>
    </row>
    <row r="13951" spans="1:22" s="841" customFormat="1" ht="15" x14ac:dyDescent="0.25">
      <c r="A13951" s="841" t="s">
        <v>211</v>
      </c>
      <c r="B13951" s="841" t="s">
        <v>3963</v>
      </c>
      <c r="E13951" s="1920" t="s">
        <v>439</v>
      </c>
      <c r="F13951" s="1920"/>
      <c r="G13951" s="1366" t="s">
        <v>24</v>
      </c>
      <c r="H13951" s="1196">
        <v>2.9999999999999997E-4</v>
      </c>
      <c r="K13951" s="841" t="s">
        <v>3197</v>
      </c>
      <c r="L13951" s="841" t="s">
        <v>3046</v>
      </c>
      <c r="M13951" s="1357"/>
      <c r="P13951" s="841" t="s">
        <v>3212</v>
      </c>
      <c r="Q13951" s="1357"/>
      <c r="S13951" s="1420"/>
      <c r="T13951" s="1420"/>
      <c r="V13951" s="1357">
        <v>57</v>
      </c>
    </row>
    <row r="13952" spans="1:22" s="841" customFormat="1" ht="15" x14ac:dyDescent="0.25">
      <c r="A13952" s="841" t="s">
        <v>211</v>
      </c>
      <c r="B13952" s="841" t="s">
        <v>3963</v>
      </c>
      <c r="E13952" s="1920" t="s">
        <v>32</v>
      </c>
      <c r="F13952" s="1920"/>
      <c r="G13952" s="1366" t="s">
        <v>23</v>
      </c>
      <c r="H13952" s="1196">
        <v>0.25</v>
      </c>
      <c r="K13952" s="841" t="s">
        <v>3197</v>
      </c>
      <c r="L13952" s="841" t="s">
        <v>3046</v>
      </c>
      <c r="M13952" s="1357"/>
      <c r="P13952" s="841" t="s">
        <v>3213</v>
      </c>
      <c r="Q13952" s="1357"/>
      <c r="S13952" s="1420"/>
      <c r="T13952" s="1420"/>
      <c r="V13952" s="1357">
        <v>63</v>
      </c>
    </row>
    <row r="13953" spans="1:22" s="841" customFormat="1" x14ac:dyDescent="0.25">
      <c r="A13953" s="841" t="s">
        <v>211</v>
      </c>
      <c r="B13953" s="841" t="s">
        <v>3963</v>
      </c>
      <c r="E13953" s="1936" t="s">
        <v>3214</v>
      </c>
      <c r="F13953" s="1923"/>
      <c r="G13953" s="1923"/>
      <c r="H13953" s="1923"/>
      <c r="K13953" s="841" t="s">
        <v>5110</v>
      </c>
      <c r="M13953" s="1357"/>
      <c r="Q13953" s="1357"/>
      <c r="S13953" s="1420"/>
      <c r="T13953" s="1420"/>
      <c r="V13953" s="1357">
        <v>54</v>
      </c>
    </row>
    <row r="13954" spans="1:22" s="841" customFormat="1" ht="15" x14ac:dyDescent="0.25">
      <c r="A13954" s="841" t="s">
        <v>211</v>
      </c>
      <c r="B13954" s="841" t="s">
        <v>3963</v>
      </c>
      <c r="E13954" s="2072" t="s">
        <v>3925</v>
      </c>
      <c r="F13954" s="2072"/>
      <c r="G13954" s="2072"/>
      <c r="H13954" s="2072"/>
      <c r="K13954" s="841" t="s">
        <v>5110</v>
      </c>
      <c r="M13954" s="1357"/>
      <c r="Q13954" s="1357"/>
      <c r="S13954" s="1420"/>
      <c r="T13954" s="1420"/>
      <c r="V13954" s="1357">
        <v>335</v>
      </c>
    </row>
    <row r="13955" spans="1:22" s="841" customFormat="1" ht="15" x14ac:dyDescent="0.25">
      <c r="A13955" s="841" t="s">
        <v>211</v>
      </c>
      <c r="B13955" s="841" t="s">
        <v>3963</v>
      </c>
      <c r="E13955" s="1916" t="s">
        <v>3061</v>
      </c>
      <c r="F13955" s="1689"/>
      <c r="G13955" s="1689"/>
      <c r="H13955" s="1689"/>
      <c r="K13955" s="841" t="s">
        <v>3086</v>
      </c>
      <c r="M13955" s="1357"/>
      <c r="Q13955" s="1357"/>
      <c r="S13955" s="1420"/>
      <c r="T13955" s="1420"/>
      <c r="V13955" s="1357">
        <v>11</v>
      </c>
    </row>
    <row r="13956" spans="1:22" s="841" customFormat="1" ht="15" x14ac:dyDescent="0.25">
      <c r="A13956" s="841" t="s">
        <v>211</v>
      </c>
      <c r="B13956" s="841" t="s">
        <v>3963</v>
      </c>
      <c r="E13956" s="2072" t="s">
        <v>3063</v>
      </c>
      <c r="F13956" s="2072"/>
      <c r="G13956" s="2072"/>
      <c r="H13956" s="2072"/>
      <c r="K13956" s="841" t="s">
        <v>5110</v>
      </c>
      <c r="M13956" s="1357"/>
      <c r="Q13956" s="1357"/>
      <c r="S13956" s="1420"/>
      <c r="T13956" s="1420"/>
      <c r="V13956" s="1357">
        <v>280</v>
      </c>
    </row>
    <row r="13957" spans="1:22" s="841" customFormat="1" ht="15" x14ac:dyDescent="0.25">
      <c r="A13957" s="841" t="s">
        <v>211</v>
      </c>
      <c r="B13957" s="841" t="s">
        <v>3963</v>
      </c>
      <c r="E13957" s="2072" t="s">
        <v>3064</v>
      </c>
      <c r="F13957" s="2072"/>
      <c r="G13957" s="2072"/>
      <c r="H13957" s="2072"/>
      <c r="K13957" s="841" t="s">
        <v>5110</v>
      </c>
      <c r="M13957" s="1357"/>
      <c r="Q13957" s="1357"/>
      <c r="S13957" s="1420"/>
      <c r="T13957" s="1420"/>
      <c r="V13957" s="1357">
        <v>411</v>
      </c>
    </row>
    <row r="13958" spans="1:22" s="841" customFormat="1" ht="15" x14ac:dyDescent="0.25">
      <c r="A13958" s="841" t="s">
        <v>211</v>
      </c>
      <c r="B13958" s="841" t="s">
        <v>3963</v>
      </c>
      <c r="E13958" s="2072" t="s">
        <v>3065</v>
      </c>
      <c r="F13958" s="2072"/>
      <c r="G13958" s="2072"/>
      <c r="H13958" s="2072"/>
      <c r="K13958" s="841" t="s">
        <v>5110</v>
      </c>
      <c r="M13958" s="1357"/>
      <c r="Q13958" s="1357"/>
      <c r="S13958" s="1420"/>
      <c r="T13958" s="1420"/>
      <c r="V13958" s="1357">
        <v>387</v>
      </c>
    </row>
    <row r="13959" spans="1:22" s="841" customFormat="1" ht="15" x14ac:dyDescent="0.25">
      <c r="A13959" s="841" t="s">
        <v>211</v>
      </c>
      <c r="B13959" s="841" t="s">
        <v>3963</v>
      </c>
      <c r="E13959" s="2072" t="s">
        <v>3390</v>
      </c>
      <c r="F13959" s="2072"/>
      <c r="G13959" s="2072"/>
      <c r="H13959" s="2072"/>
      <c r="K13959" s="841" t="s">
        <v>5110</v>
      </c>
      <c r="M13959" s="1357"/>
      <c r="Q13959" s="1357"/>
      <c r="S13959" s="1420"/>
      <c r="T13959" s="1420"/>
      <c r="V13959" s="1357">
        <v>274</v>
      </c>
    </row>
    <row r="13960" spans="1:22" s="841" customFormat="1" ht="15" x14ac:dyDescent="0.25">
      <c r="A13960" s="841" t="s">
        <v>211</v>
      </c>
      <c r="B13960" s="841" t="s">
        <v>3963</v>
      </c>
      <c r="E13960" s="1694" t="s">
        <v>3067</v>
      </c>
      <c r="F13960" s="1907"/>
      <c r="G13960" s="1907"/>
      <c r="H13960" s="1907"/>
      <c r="K13960" s="841" t="s">
        <v>3087</v>
      </c>
      <c r="M13960" s="1357"/>
      <c r="Q13960" s="1357"/>
      <c r="S13960" s="1420"/>
      <c r="T13960" s="1420"/>
      <c r="V13960" s="1357">
        <v>46</v>
      </c>
    </row>
    <row r="13961" spans="1:22" s="841" customFormat="1" ht="15" x14ac:dyDescent="0.25">
      <c r="A13961" s="841" t="s">
        <v>211</v>
      </c>
      <c r="B13961" s="841" t="s">
        <v>3963</v>
      </c>
      <c r="E13961" s="1920" t="s">
        <v>11</v>
      </c>
      <c r="F13961" s="1920"/>
      <c r="G13961" s="1366" t="s">
        <v>23</v>
      </c>
      <c r="H13961" s="1193">
        <v>25.19</v>
      </c>
      <c r="K13961" s="841" t="s">
        <v>5110</v>
      </c>
      <c r="L13961" s="841" t="s">
        <v>442</v>
      </c>
      <c r="M13961" s="1357"/>
      <c r="P13961" s="841" t="s">
        <v>5111</v>
      </c>
      <c r="Q13961" s="1357"/>
      <c r="S13961" s="1420"/>
      <c r="T13961" s="1420"/>
      <c r="V13961" s="1357">
        <v>14</v>
      </c>
    </row>
    <row r="13962" spans="1:22" s="841" customFormat="1" ht="15" x14ac:dyDescent="0.25">
      <c r="A13962" s="841" t="s">
        <v>211</v>
      </c>
      <c r="B13962" s="841" t="s">
        <v>3963</v>
      </c>
      <c r="E13962" s="1920" t="s">
        <v>3966</v>
      </c>
      <c r="F13962" s="1920"/>
      <c r="G13962" s="1366" t="s">
        <v>23</v>
      </c>
      <c r="H13962" s="1195">
        <v>-0.25</v>
      </c>
      <c r="K13962" s="841" t="s">
        <v>5110</v>
      </c>
      <c r="L13962" s="841" t="s">
        <v>442</v>
      </c>
      <c r="M13962" s="1357"/>
      <c r="P13962" s="841" t="s">
        <v>6558</v>
      </c>
      <c r="Q13962" s="1357"/>
      <c r="S13962" s="1420"/>
      <c r="T13962" s="1420">
        <v>44134</v>
      </c>
      <c r="V13962" s="1357">
        <v>91</v>
      </c>
    </row>
    <row r="13963" spans="1:22" s="841" customFormat="1" ht="15" x14ac:dyDescent="0.25">
      <c r="A13963" s="841" t="s">
        <v>211</v>
      </c>
      <c r="B13963" s="841" t="s">
        <v>3963</v>
      </c>
      <c r="E13963" s="1920" t="s">
        <v>5109</v>
      </c>
      <c r="F13963" s="1920"/>
      <c r="G13963" s="1366" t="s">
        <v>23</v>
      </c>
      <c r="H13963" s="1195">
        <v>0.56999999999999995</v>
      </c>
      <c r="K13963" s="841" t="s">
        <v>5110</v>
      </c>
      <c r="L13963" s="841" t="s">
        <v>443</v>
      </c>
      <c r="M13963" s="1357"/>
      <c r="P13963" s="841" t="s">
        <v>5112</v>
      </c>
      <c r="Q13963" s="1357"/>
      <c r="S13963" s="1420"/>
      <c r="T13963" s="1420">
        <v>44926</v>
      </c>
      <c r="V13963" s="1357">
        <v>64</v>
      </c>
    </row>
    <row r="13964" spans="1:22" s="841" customFormat="1" ht="15" x14ac:dyDescent="0.25">
      <c r="A13964" s="841" t="s">
        <v>211</v>
      </c>
      <c r="B13964" s="841" t="s">
        <v>3963</v>
      </c>
      <c r="E13964" s="1920" t="s">
        <v>5924</v>
      </c>
      <c r="F13964" s="1920"/>
      <c r="G13964" s="1366" t="s">
        <v>23</v>
      </c>
      <c r="H13964" s="1195">
        <v>4.24</v>
      </c>
      <c r="K13964" s="841" t="s">
        <v>5110</v>
      </c>
      <c r="L13964" s="841" t="s">
        <v>442</v>
      </c>
      <c r="M13964" s="1357"/>
      <c r="P13964" s="841" t="s">
        <v>6559</v>
      </c>
      <c r="Q13964" s="1357"/>
      <c r="S13964" s="1420"/>
      <c r="T13964" s="1420"/>
      <c r="V13964" s="1357">
        <v>158</v>
      </c>
    </row>
    <row r="13965" spans="1:22" s="841" customFormat="1" ht="15" x14ac:dyDescent="0.25">
      <c r="A13965" s="841" t="s">
        <v>211</v>
      </c>
      <c r="B13965" s="841" t="s">
        <v>3963</v>
      </c>
      <c r="E13965" s="1920" t="s">
        <v>84</v>
      </c>
      <c r="F13965" s="1920"/>
      <c r="G13965" s="1366" t="s">
        <v>24</v>
      </c>
      <c r="H13965" s="1194">
        <v>1.4500000000000001E-2</v>
      </c>
      <c r="K13965" s="841" t="s">
        <v>5110</v>
      </c>
      <c r="L13965" s="841" t="s">
        <v>442</v>
      </c>
      <c r="M13965" s="1357"/>
      <c r="P13965" s="841" t="s">
        <v>5113</v>
      </c>
      <c r="Q13965" s="1357"/>
      <c r="S13965" s="1420"/>
      <c r="T13965" s="1420"/>
      <c r="V13965" s="1357">
        <v>28</v>
      </c>
    </row>
    <row r="13966" spans="1:22" s="841" customFormat="1" ht="15" x14ac:dyDescent="0.25">
      <c r="A13966" s="841" t="s">
        <v>211</v>
      </c>
      <c r="B13966" s="841" t="s">
        <v>3963</v>
      </c>
      <c r="E13966" s="1920" t="s">
        <v>5766</v>
      </c>
      <c r="F13966" s="1908"/>
      <c r="G13966" s="1366" t="s">
        <v>24</v>
      </c>
      <c r="H13966" s="393">
        <v>2.9999999999999997E-4</v>
      </c>
      <c r="K13966" s="841" t="s">
        <v>5110</v>
      </c>
      <c r="L13966" s="841" t="s">
        <v>443</v>
      </c>
      <c r="M13966" s="1357"/>
      <c r="P13966" s="841" t="s">
        <v>5287</v>
      </c>
      <c r="Q13966" s="1357"/>
      <c r="S13966" s="1420"/>
      <c r="T13966" s="1420">
        <v>43585</v>
      </c>
      <c r="V13966" s="1357">
        <v>145</v>
      </c>
    </row>
    <row r="13967" spans="1:22" s="841" customFormat="1" ht="15" x14ac:dyDescent="0.25">
      <c r="A13967" s="841" t="s">
        <v>211</v>
      </c>
      <c r="B13967" s="841" t="s">
        <v>3963</v>
      </c>
      <c r="E13967" s="1920" t="s">
        <v>3966</v>
      </c>
      <c r="F13967" s="1920"/>
      <c r="G13967" s="1366" t="s">
        <v>24</v>
      </c>
      <c r="H13967" s="1196">
        <v>-2.0000000000000001E-4</v>
      </c>
      <c r="K13967" s="841" t="s">
        <v>5110</v>
      </c>
      <c r="L13967" s="841" t="s">
        <v>442</v>
      </c>
      <c r="M13967" s="1357"/>
      <c r="P13967" s="841" t="s">
        <v>6560</v>
      </c>
      <c r="Q13967" s="1357"/>
      <c r="S13967" s="1420"/>
      <c r="T13967" s="1420">
        <v>44134</v>
      </c>
      <c r="V13967" s="1357">
        <v>91</v>
      </c>
    </row>
    <row r="13968" spans="1:22" s="841" customFormat="1" ht="15" x14ac:dyDescent="0.25">
      <c r="A13968" s="841" t="s">
        <v>211</v>
      </c>
      <c r="B13968" s="841" t="s">
        <v>3963</v>
      </c>
      <c r="E13968" s="1920" t="s">
        <v>5129</v>
      </c>
      <c r="F13968" s="1908"/>
      <c r="G13968" s="1366" t="s">
        <v>24</v>
      </c>
      <c r="H13968" s="1196">
        <v>3.5999999999999999E-3</v>
      </c>
      <c r="K13968" s="841" t="s">
        <v>5110</v>
      </c>
      <c r="L13968" s="841" t="s">
        <v>443</v>
      </c>
      <c r="M13968" s="1357"/>
      <c r="P13968" s="841" t="s">
        <v>4818</v>
      </c>
      <c r="Q13968" s="1357"/>
      <c r="S13968" s="1420"/>
      <c r="T13968" s="1420">
        <v>43585</v>
      </c>
      <c r="V13968" s="1357">
        <v>139</v>
      </c>
    </row>
    <row r="13969" spans="1:22" s="841" customFormat="1" ht="15" x14ac:dyDescent="0.25">
      <c r="A13969" s="841" t="s">
        <v>211</v>
      </c>
      <c r="B13969" s="841" t="s">
        <v>3963</v>
      </c>
      <c r="E13969" s="1920" t="s">
        <v>5130</v>
      </c>
      <c r="F13969" s="1908"/>
      <c r="G13969" s="1366" t="s">
        <v>24</v>
      </c>
      <c r="H13969" s="1196">
        <v>-2.6352319924297521E-3</v>
      </c>
      <c r="K13969" s="841" t="s">
        <v>5110</v>
      </c>
      <c r="L13969" s="841" t="s">
        <v>443</v>
      </c>
      <c r="M13969" s="1357"/>
      <c r="P13969" s="841" t="s">
        <v>5124</v>
      </c>
      <c r="Q13969" s="1357"/>
      <c r="S13969" s="1420"/>
      <c r="T13969" s="1420">
        <v>43585</v>
      </c>
      <c r="V13969" s="1357">
        <v>96</v>
      </c>
    </row>
    <row r="13970" spans="1:22" s="841" customFormat="1" ht="15" x14ac:dyDescent="0.25">
      <c r="A13970" s="841" t="s">
        <v>211</v>
      </c>
      <c r="B13970" s="841" t="s">
        <v>3963</v>
      </c>
      <c r="E13970" s="1920" t="s">
        <v>5927</v>
      </c>
      <c r="F13970" s="1920"/>
      <c r="G13970" s="1366" t="s">
        <v>24</v>
      </c>
      <c r="H13970" s="1196">
        <v>6.9999999999999999E-4</v>
      </c>
      <c r="K13970" s="841" t="s">
        <v>5110</v>
      </c>
      <c r="L13970" s="841" t="s">
        <v>442</v>
      </c>
      <c r="M13970" s="1357"/>
      <c r="P13970" s="841" t="s">
        <v>6561</v>
      </c>
      <c r="Q13970" s="1357"/>
      <c r="S13970" s="1420"/>
      <c r="T13970" s="1420"/>
      <c r="V13970" s="1357">
        <v>134</v>
      </c>
    </row>
    <row r="13971" spans="1:22" s="841" customFormat="1" ht="15" x14ac:dyDescent="0.25">
      <c r="A13971" s="841" t="s">
        <v>211</v>
      </c>
      <c r="B13971" s="841" t="s">
        <v>3963</v>
      </c>
      <c r="E13971" s="1920" t="s">
        <v>221</v>
      </c>
      <c r="F13971" s="1920"/>
      <c r="G13971" s="1366" t="s">
        <v>24</v>
      </c>
      <c r="H13971" s="1194">
        <v>6.4000000000000003E-3</v>
      </c>
      <c r="K13971" s="841" t="s">
        <v>5110</v>
      </c>
      <c r="L13971" s="841" t="s">
        <v>444</v>
      </c>
      <c r="M13971" s="1357"/>
      <c r="P13971" s="841" t="s">
        <v>5115</v>
      </c>
      <c r="Q13971" s="1357"/>
      <c r="S13971" s="1420"/>
      <c r="T13971" s="1420"/>
      <c r="V13971" s="1357">
        <v>47</v>
      </c>
    </row>
    <row r="13972" spans="1:22" s="841" customFormat="1" ht="15" x14ac:dyDescent="0.25">
      <c r="A13972" s="841" t="s">
        <v>211</v>
      </c>
      <c r="B13972" s="841" t="s">
        <v>3963</v>
      </c>
      <c r="E13972" s="1920" t="s">
        <v>217</v>
      </c>
      <c r="F13972" s="1920"/>
      <c r="G13972" s="1366" t="s">
        <v>24</v>
      </c>
      <c r="H13972" s="1194">
        <v>6.0000000000000001E-3</v>
      </c>
      <c r="K13972" s="841" t="s">
        <v>5110</v>
      </c>
      <c r="L13972" s="841" t="s">
        <v>444</v>
      </c>
      <c r="M13972" s="1357"/>
      <c r="P13972" s="841" t="s">
        <v>5116</v>
      </c>
      <c r="Q13972" s="1357"/>
      <c r="S13972" s="1420"/>
      <c r="T13972" s="1420"/>
      <c r="V13972" s="1357">
        <v>74</v>
      </c>
    </row>
    <row r="13973" spans="1:22" s="841" customFormat="1" ht="15" x14ac:dyDescent="0.25">
      <c r="A13973" s="841" t="s">
        <v>211</v>
      </c>
      <c r="B13973" s="841" t="s">
        <v>3963</v>
      </c>
      <c r="E13973" s="1694" t="s">
        <v>3079</v>
      </c>
      <c r="F13973" s="1690"/>
      <c r="G13973" s="1365"/>
      <c r="H13973" s="1365"/>
      <c r="K13973" s="841" t="s">
        <v>3093</v>
      </c>
      <c r="M13973" s="1357"/>
      <c r="Q13973" s="1357"/>
      <c r="S13973" s="1420"/>
      <c r="T13973" s="1420"/>
      <c r="V13973" s="1357">
        <v>48</v>
      </c>
    </row>
    <row r="13974" spans="1:22" s="841" customFormat="1" ht="15" x14ac:dyDescent="0.25">
      <c r="A13974" s="841" t="s">
        <v>211</v>
      </c>
      <c r="B13974" s="841" t="s">
        <v>3963</v>
      </c>
      <c r="E13974" s="1920" t="s">
        <v>2449</v>
      </c>
      <c r="F13974" s="1920"/>
      <c r="G13974" s="1366" t="s">
        <v>24</v>
      </c>
      <c r="H13974" s="1196">
        <v>3.2000000000000002E-3</v>
      </c>
      <c r="K13974" s="841" t="s">
        <v>5110</v>
      </c>
      <c r="L13974" s="841" t="s">
        <v>3046</v>
      </c>
      <c r="M13974" s="1357"/>
      <c r="P13974" s="841" t="s">
        <v>5117</v>
      </c>
      <c r="Q13974" s="1357"/>
      <c r="S13974" s="1420"/>
      <c r="T13974" s="1420"/>
      <c r="V13974" s="1357">
        <v>55</v>
      </c>
    </row>
    <row r="13975" spans="1:22" s="841" customFormat="1" ht="15" x14ac:dyDescent="0.25">
      <c r="A13975" s="841" t="s">
        <v>211</v>
      </c>
      <c r="B13975" s="841" t="s">
        <v>3963</v>
      </c>
      <c r="E13975" s="1920" t="s">
        <v>2450</v>
      </c>
      <c r="F13975" s="1920"/>
      <c r="G13975" s="1366" t="s">
        <v>24</v>
      </c>
      <c r="H13975" s="1196">
        <v>4.0000000000000002E-4</v>
      </c>
      <c r="K13975" s="841" t="s">
        <v>5110</v>
      </c>
      <c r="L13975" s="841" t="s">
        <v>3046</v>
      </c>
      <c r="M13975" s="1357"/>
      <c r="P13975" s="841" t="s">
        <v>5117</v>
      </c>
      <c r="Q13975" s="1357"/>
      <c r="S13975" s="1420"/>
      <c r="T13975" s="1420"/>
      <c r="V13975" s="1357">
        <v>65</v>
      </c>
    </row>
    <row r="13976" spans="1:22" s="841" customFormat="1" ht="15" x14ac:dyDescent="0.25">
      <c r="A13976" s="841" t="s">
        <v>211</v>
      </c>
      <c r="B13976" s="841" t="s">
        <v>3963</v>
      </c>
      <c r="E13976" s="1920" t="s">
        <v>439</v>
      </c>
      <c r="F13976" s="1920"/>
      <c r="G13976" s="1366" t="s">
        <v>24</v>
      </c>
      <c r="H13976" s="1196">
        <v>2.9999999999999997E-4</v>
      </c>
      <c r="K13976" s="841" t="s">
        <v>5110</v>
      </c>
      <c r="L13976" s="841" t="s">
        <v>3046</v>
      </c>
      <c r="M13976" s="1357"/>
      <c r="P13976" s="841" t="s">
        <v>5118</v>
      </c>
      <c r="Q13976" s="1357"/>
      <c r="S13976" s="1420"/>
      <c r="T13976" s="1420"/>
      <c r="V13976" s="1357">
        <v>57</v>
      </c>
    </row>
    <row r="13977" spans="1:22" s="841" customFormat="1" ht="15" x14ac:dyDescent="0.25">
      <c r="A13977" s="841" t="s">
        <v>211</v>
      </c>
      <c r="B13977" s="841" t="s">
        <v>3963</v>
      </c>
      <c r="E13977" s="1920" t="s">
        <v>32</v>
      </c>
      <c r="F13977" s="1920"/>
      <c r="G13977" s="1366" t="s">
        <v>23</v>
      </c>
      <c r="H13977" s="1196">
        <v>0.25</v>
      </c>
      <c r="K13977" s="841" t="s">
        <v>5110</v>
      </c>
      <c r="L13977" s="841" t="s">
        <v>3046</v>
      </c>
      <c r="M13977" s="1357"/>
      <c r="P13977" s="841" t="s">
        <v>5119</v>
      </c>
      <c r="Q13977" s="1357"/>
      <c r="S13977" s="1420"/>
      <c r="T13977" s="1420"/>
      <c r="V13977" s="1357">
        <v>63</v>
      </c>
    </row>
    <row r="13978" spans="1:22" s="841" customFormat="1" x14ac:dyDescent="0.25">
      <c r="A13978" s="841" t="s">
        <v>211</v>
      </c>
      <c r="B13978" s="841" t="s">
        <v>3963</v>
      </c>
      <c r="E13978" s="1936" t="s">
        <v>3216</v>
      </c>
      <c r="F13978" s="1923"/>
      <c r="G13978" s="1923"/>
      <c r="H13978" s="1923"/>
      <c r="K13978" s="841" t="s">
        <v>5180</v>
      </c>
      <c r="M13978" s="1357"/>
      <c r="Q13978" s="1357"/>
      <c r="S13978" s="1420"/>
      <c r="T13978" s="1420"/>
      <c r="V13978" s="1357">
        <v>51</v>
      </c>
    </row>
    <row r="13979" spans="1:22" s="841" customFormat="1" ht="15" x14ac:dyDescent="0.25">
      <c r="A13979" s="841" t="s">
        <v>211</v>
      </c>
      <c r="B13979" s="841" t="s">
        <v>3963</v>
      </c>
      <c r="E13979" s="2072" t="s">
        <v>3967</v>
      </c>
      <c r="F13979" s="2072"/>
      <c r="G13979" s="2072"/>
      <c r="H13979" s="2072"/>
      <c r="K13979" s="841" t="s">
        <v>5180</v>
      </c>
      <c r="M13979" s="1357"/>
      <c r="Q13979" s="1357"/>
      <c r="S13979" s="1420"/>
      <c r="T13979" s="1420"/>
      <c r="V13979" s="1357">
        <v>374</v>
      </c>
    </row>
    <row r="13980" spans="1:22" s="841" customFormat="1" ht="15" x14ac:dyDescent="0.25">
      <c r="A13980" s="841" t="s">
        <v>211</v>
      </c>
      <c r="B13980" s="841" t="s">
        <v>3963</v>
      </c>
      <c r="E13980" s="1916" t="s">
        <v>3061</v>
      </c>
      <c r="F13980" s="1689"/>
      <c r="G13980" s="1689"/>
      <c r="H13980" s="1689"/>
      <c r="K13980" s="841" t="s">
        <v>3098</v>
      </c>
      <c r="M13980" s="1357"/>
      <c r="Q13980" s="1357"/>
      <c r="S13980" s="1420"/>
      <c r="T13980" s="1420"/>
      <c r="V13980" s="1357">
        <v>11</v>
      </c>
    </row>
    <row r="13981" spans="1:22" s="841" customFormat="1" ht="15" x14ac:dyDescent="0.25">
      <c r="A13981" s="841" t="s">
        <v>211</v>
      </c>
      <c r="B13981" s="841" t="s">
        <v>3963</v>
      </c>
      <c r="E13981" s="2072" t="s">
        <v>3063</v>
      </c>
      <c r="F13981" s="2072"/>
      <c r="G13981" s="2072"/>
      <c r="H13981" s="2072"/>
      <c r="K13981" s="841" t="s">
        <v>5180</v>
      </c>
      <c r="M13981" s="1357"/>
      <c r="Q13981" s="1357"/>
      <c r="S13981" s="1420"/>
      <c r="T13981" s="1420"/>
      <c r="V13981" s="1357">
        <v>280</v>
      </c>
    </row>
    <row r="13982" spans="1:22" s="841" customFormat="1" ht="15" x14ac:dyDescent="0.25">
      <c r="A13982" s="841" t="s">
        <v>211</v>
      </c>
      <c r="B13982" s="841" t="s">
        <v>3963</v>
      </c>
      <c r="E13982" s="2072" t="s">
        <v>3064</v>
      </c>
      <c r="F13982" s="2072"/>
      <c r="G13982" s="2072"/>
      <c r="H13982" s="2072"/>
      <c r="K13982" s="841" t="s">
        <v>5180</v>
      </c>
      <c r="M13982" s="1357"/>
      <c r="Q13982" s="1357"/>
      <c r="S13982" s="1420"/>
      <c r="T13982" s="1420"/>
      <c r="V13982" s="1357">
        <v>411</v>
      </c>
    </row>
    <row r="13983" spans="1:22" s="841" customFormat="1" ht="15" x14ac:dyDescent="0.25">
      <c r="A13983" s="841" t="s">
        <v>211</v>
      </c>
      <c r="B13983" s="841" t="s">
        <v>3963</v>
      </c>
      <c r="E13983" s="2072" t="s">
        <v>3065</v>
      </c>
      <c r="F13983" s="2072"/>
      <c r="G13983" s="2072"/>
      <c r="H13983" s="2072"/>
      <c r="K13983" s="841" t="s">
        <v>5180</v>
      </c>
      <c r="M13983" s="1357"/>
      <c r="Q13983" s="1357"/>
      <c r="S13983" s="1420"/>
      <c r="T13983" s="1420"/>
      <c r="V13983" s="1357">
        <v>387</v>
      </c>
    </row>
    <row r="13984" spans="1:22" s="841" customFormat="1" ht="15" x14ac:dyDescent="0.25">
      <c r="A13984" s="841" t="s">
        <v>211</v>
      </c>
      <c r="B13984" s="841" t="s">
        <v>3963</v>
      </c>
      <c r="E13984" s="1966" t="s">
        <v>3627</v>
      </c>
      <c r="F13984" s="1966"/>
      <c r="G13984" s="1966"/>
      <c r="H13984" s="1966"/>
      <c r="K13984" s="841" t="s">
        <v>5180</v>
      </c>
      <c r="M13984" s="1357"/>
      <c r="Q13984" s="1357"/>
      <c r="S13984" s="1420"/>
      <c r="T13984" s="1420"/>
      <c r="V13984" s="1357">
        <v>610</v>
      </c>
    </row>
    <row r="13985" spans="1:22" s="841" customFormat="1" ht="15" x14ac:dyDescent="0.25">
      <c r="A13985" s="841" t="s">
        <v>211</v>
      </c>
      <c r="B13985" s="841" t="s">
        <v>3963</v>
      </c>
      <c r="E13985" s="1966" t="s">
        <v>5304</v>
      </c>
      <c r="F13985" s="1966"/>
      <c r="G13985" s="1966"/>
      <c r="H13985" s="1966"/>
      <c r="K13985" s="841" t="s">
        <v>5180</v>
      </c>
      <c r="M13985" s="1357"/>
      <c r="Q13985" s="1357"/>
      <c r="S13985" s="1420"/>
      <c r="T13985" s="1420"/>
      <c r="V13985" s="1357">
        <v>617</v>
      </c>
    </row>
    <row r="13986" spans="1:22" s="841" customFormat="1" ht="15" x14ac:dyDescent="0.25">
      <c r="A13986" s="841" t="s">
        <v>211</v>
      </c>
      <c r="B13986" s="841" t="s">
        <v>3963</v>
      </c>
      <c r="E13986" s="2072" t="s">
        <v>3390</v>
      </c>
      <c r="F13986" s="2072"/>
      <c r="G13986" s="2072"/>
      <c r="H13986" s="2072"/>
      <c r="K13986" s="841" t="s">
        <v>5180</v>
      </c>
      <c r="M13986" s="1357"/>
      <c r="Q13986" s="1357"/>
      <c r="S13986" s="1420"/>
      <c r="T13986" s="1420"/>
      <c r="V13986" s="1357">
        <v>274</v>
      </c>
    </row>
    <row r="13987" spans="1:22" s="841" customFormat="1" ht="15" x14ac:dyDescent="0.25">
      <c r="A13987" s="841" t="s">
        <v>211</v>
      </c>
      <c r="B13987" s="841" t="s">
        <v>3963</v>
      </c>
      <c r="E13987" s="1694" t="s">
        <v>3067</v>
      </c>
      <c r="F13987" s="1907"/>
      <c r="G13987" s="1907"/>
      <c r="H13987" s="1907"/>
      <c r="K13987" s="841" t="s">
        <v>3099</v>
      </c>
      <c r="M13987" s="1357"/>
      <c r="Q13987" s="1357"/>
      <c r="S13987" s="1420"/>
      <c r="T13987" s="1420"/>
      <c r="V13987" s="1357">
        <v>46</v>
      </c>
    </row>
    <row r="13988" spans="1:22" s="841" customFormat="1" ht="15" x14ac:dyDescent="0.25">
      <c r="A13988" s="841" t="s">
        <v>211</v>
      </c>
      <c r="B13988" s="841" t="s">
        <v>3963</v>
      </c>
      <c r="E13988" s="1920" t="s">
        <v>11</v>
      </c>
      <c r="F13988" s="1920"/>
      <c r="G13988" s="1366" t="s">
        <v>23</v>
      </c>
      <c r="H13988" s="1193">
        <v>139.96</v>
      </c>
      <c r="K13988" s="841" t="s">
        <v>5180</v>
      </c>
      <c r="L13988" s="841" t="s">
        <v>442</v>
      </c>
      <c r="M13988" s="1357"/>
      <c r="P13988" s="841" t="s">
        <v>5181</v>
      </c>
      <c r="Q13988" s="1357"/>
      <c r="S13988" s="1420"/>
      <c r="T13988" s="1420"/>
      <c r="V13988" s="1357">
        <v>14</v>
      </c>
    </row>
    <row r="13989" spans="1:22" s="841" customFormat="1" ht="15" x14ac:dyDescent="0.25">
      <c r="A13989" s="841" t="s">
        <v>211</v>
      </c>
      <c r="B13989" s="841" t="s">
        <v>3963</v>
      </c>
      <c r="E13989" s="1920" t="s">
        <v>3966</v>
      </c>
      <c r="F13989" s="1920"/>
      <c r="G13989" s="1366" t="s">
        <v>23</v>
      </c>
      <c r="H13989" s="1195">
        <v>-1.4</v>
      </c>
      <c r="K13989" s="841" t="s">
        <v>5180</v>
      </c>
      <c r="L13989" s="841" t="s">
        <v>442</v>
      </c>
      <c r="M13989" s="1357"/>
      <c r="P13989" s="841" t="s">
        <v>6562</v>
      </c>
      <c r="Q13989" s="1357"/>
      <c r="S13989" s="1420"/>
      <c r="T13989" s="1420">
        <v>44134</v>
      </c>
      <c r="V13989" s="1357">
        <v>91</v>
      </c>
    </row>
    <row r="13990" spans="1:22" s="841" customFormat="1" ht="15" x14ac:dyDescent="0.25">
      <c r="A13990" s="841" t="s">
        <v>211</v>
      </c>
      <c r="B13990" s="841" t="s">
        <v>3963</v>
      </c>
      <c r="E13990" s="1920" t="s">
        <v>84</v>
      </c>
      <c r="F13990" s="1920"/>
      <c r="G13990" s="1366" t="s">
        <v>33</v>
      </c>
      <c r="H13990" s="1194">
        <v>2.5777000000000001</v>
      </c>
      <c r="K13990" s="841" t="s">
        <v>5180</v>
      </c>
      <c r="L13990" s="841" t="s">
        <v>442</v>
      </c>
      <c r="M13990" s="1357"/>
      <c r="P13990" s="841" t="s">
        <v>5182</v>
      </c>
      <c r="Q13990" s="1357"/>
      <c r="S13990" s="1420"/>
      <c r="T13990" s="1420"/>
      <c r="V13990" s="1357">
        <v>28</v>
      </c>
    </row>
    <row r="13991" spans="1:22" s="841" customFormat="1" ht="15" x14ac:dyDescent="0.25">
      <c r="A13991" s="841" t="s">
        <v>211</v>
      </c>
      <c r="B13991" s="841" t="s">
        <v>3963</v>
      </c>
      <c r="E13991" s="1920" t="s">
        <v>5393</v>
      </c>
      <c r="F13991" s="1908"/>
      <c r="G13991" s="1366" t="s">
        <v>33</v>
      </c>
      <c r="H13991" s="393">
        <v>9.3899999999999997E-2</v>
      </c>
      <c r="K13991" s="841" t="s">
        <v>5180</v>
      </c>
      <c r="L13991" s="841" t="s">
        <v>443</v>
      </c>
      <c r="M13991" s="1357"/>
      <c r="P13991" s="841" t="s">
        <v>5464</v>
      </c>
      <c r="Q13991" s="1357"/>
      <c r="S13991" s="1420"/>
      <c r="T13991" s="1420">
        <v>43585</v>
      </c>
      <c r="V13991" s="1357">
        <v>145</v>
      </c>
    </row>
    <row r="13992" spans="1:22" s="841" customFormat="1" ht="15" x14ac:dyDescent="0.25">
      <c r="A13992" s="841" t="s">
        <v>211</v>
      </c>
      <c r="B13992" s="841" t="s">
        <v>3963</v>
      </c>
      <c r="E13992" s="1920" t="s">
        <v>3966</v>
      </c>
      <c r="F13992" s="1920"/>
      <c r="G13992" s="1366" t="s">
        <v>33</v>
      </c>
      <c r="H13992" s="1196">
        <v>-2.58E-2</v>
      </c>
      <c r="K13992" s="841" t="s">
        <v>5180</v>
      </c>
      <c r="L13992" s="841" t="s">
        <v>442</v>
      </c>
      <c r="M13992" s="1357"/>
      <c r="P13992" s="841" t="s">
        <v>6563</v>
      </c>
      <c r="Q13992" s="1357"/>
      <c r="S13992" s="1420"/>
      <c r="T13992" s="1420">
        <v>44134</v>
      </c>
      <c r="V13992" s="1357">
        <v>91</v>
      </c>
    </row>
    <row r="13993" spans="1:22" s="841" customFormat="1" ht="15" x14ac:dyDescent="0.25">
      <c r="A13993" s="841" t="s">
        <v>211</v>
      </c>
      <c r="B13993" s="841" t="s">
        <v>3963</v>
      </c>
      <c r="E13993" s="1920" t="s">
        <v>5129</v>
      </c>
      <c r="F13993" s="1908"/>
      <c r="G13993" s="1366" t="s">
        <v>24</v>
      </c>
      <c r="H13993" s="1196">
        <v>3.5999999999999999E-3</v>
      </c>
      <c r="K13993" s="841" t="s">
        <v>5180</v>
      </c>
      <c r="L13993" s="841" t="s">
        <v>443</v>
      </c>
      <c r="M13993" s="1357"/>
      <c r="P13993" s="841" t="s">
        <v>5461</v>
      </c>
      <c r="Q13993" s="1357"/>
      <c r="S13993" s="1420"/>
      <c r="T13993" s="1420">
        <v>43585</v>
      </c>
      <c r="V13993" s="1357">
        <v>139</v>
      </c>
    </row>
    <row r="13994" spans="1:22" s="841" customFormat="1" ht="15" x14ac:dyDescent="0.25">
      <c r="A13994" s="841" t="s">
        <v>211</v>
      </c>
      <c r="B13994" s="841" t="s">
        <v>3963</v>
      </c>
      <c r="E13994" s="1920" t="s">
        <v>5305</v>
      </c>
      <c r="F13994" s="1908"/>
      <c r="G13994" s="1366" t="s">
        <v>33</v>
      </c>
      <c r="H13994" s="1196">
        <v>-1.5734702942134626</v>
      </c>
      <c r="K13994" s="841" t="s">
        <v>5180</v>
      </c>
      <c r="L13994" s="841" t="s">
        <v>443</v>
      </c>
      <c r="M13994" s="1357"/>
      <c r="P13994" s="841" t="s">
        <v>5463</v>
      </c>
      <c r="Q13994" s="1357"/>
      <c r="S13994" s="1420"/>
      <c r="T13994" s="1420">
        <v>43585</v>
      </c>
      <c r="V13994" s="1357">
        <v>156</v>
      </c>
    </row>
    <row r="13995" spans="1:22" s="841" customFormat="1" ht="15" x14ac:dyDescent="0.25">
      <c r="A13995" s="841" t="s">
        <v>211</v>
      </c>
      <c r="B13995" s="841" t="s">
        <v>3963</v>
      </c>
      <c r="E13995" s="1920" t="s">
        <v>5130</v>
      </c>
      <c r="F13995" s="1908"/>
      <c r="G13995" s="1366" t="s">
        <v>33</v>
      </c>
      <c r="H13995" s="1196">
        <v>0.63619029432948149</v>
      </c>
      <c r="K13995" s="841" t="s">
        <v>5180</v>
      </c>
      <c r="L13995" s="841" t="s">
        <v>443</v>
      </c>
      <c r="M13995" s="1357"/>
      <c r="P13995" s="841" t="s">
        <v>5463</v>
      </c>
      <c r="Q13995" s="1357"/>
      <c r="S13995" s="1420"/>
      <c r="T13995" s="1420">
        <v>43585</v>
      </c>
      <c r="V13995" s="1357">
        <v>96</v>
      </c>
    </row>
    <row r="13996" spans="1:22" s="841" customFormat="1" ht="15" x14ac:dyDescent="0.25">
      <c r="A13996" s="841" t="s">
        <v>211</v>
      </c>
      <c r="B13996" s="841" t="s">
        <v>3963</v>
      </c>
      <c r="E13996" s="1920" t="s">
        <v>5926</v>
      </c>
      <c r="F13996" s="1920"/>
      <c r="G13996" s="1366" t="s">
        <v>33</v>
      </c>
      <c r="H13996" s="1196">
        <v>0.3251</v>
      </c>
      <c r="K13996" s="841" t="s">
        <v>5180</v>
      </c>
      <c r="L13996" s="841" t="s">
        <v>442</v>
      </c>
      <c r="M13996" s="1357"/>
      <c r="P13996" s="841" t="s">
        <v>6564</v>
      </c>
      <c r="Q13996" s="1357"/>
      <c r="S13996" s="1420"/>
      <c r="T13996" s="1420"/>
      <c r="V13996" s="1357">
        <v>133</v>
      </c>
    </row>
    <row r="13997" spans="1:22" s="841" customFormat="1" ht="15" x14ac:dyDescent="0.25">
      <c r="A13997" s="841" t="s">
        <v>211</v>
      </c>
      <c r="B13997" s="841" t="s">
        <v>3963</v>
      </c>
      <c r="E13997" s="1920" t="s">
        <v>221</v>
      </c>
      <c r="F13997" s="1920"/>
      <c r="G13997" s="1366" t="s">
        <v>33</v>
      </c>
      <c r="H13997" s="1194">
        <v>2.7526999999999999</v>
      </c>
      <c r="K13997" s="841" t="s">
        <v>5180</v>
      </c>
      <c r="L13997" s="841" t="s">
        <v>444</v>
      </c>
      <c r="M13997" s="1357"/>
      <c r="P13997" s="841" t="s">
        <v>5184</v>
      </c>
      <c r="Q13997" s="1357"/>
      <c r="S13997" s="1420"/>
      <c r="T13997" s="1420"/>
      <c r="V13997" s="1357">
        <v>47</v>
      </c>
    </row>
    <row r="13998" spans="1:22" s="841" customFormat="1" ht="15" x14ac:dyDescent="0.25">
      <c r="A13998" s="841" t="s">
        <v>211</v>
      </c>
      <c r="B13998" s="841" t="s">
        <v>3963</v>
      </c>
      <c r="E13998" s="1920" t="s">
        <v>217</v>
      </c>
      <c r="F13998" s="1920"/>
      <c r="G13998" s="1366" t="s">
        <v>33</v>
      </c>
      <c r="H13998" s="1194">
        <v>2.5512000000000001</v>
      </c>
      <c r="K13998" s="841" t="s">
        <v>5180</v>
      </c>
      <c r="L13998" s="841" t="s">
        <v>444</v>
      </c>
      <c r="M13998" s="1357"/>
      <c r="P13998" s="841" t="s">
        <v>5185</v>
      </c>
      <c r="Q13998" s="1357"/>
      <c r="S13998" s="1420"/>
      <c r="T13998" s="1420"/>
      <c r="V13998" s="1357">
        <v>74</v>
      </c>
    </row>
    <row r="13999" spans="1:22" s="841" customFormat="1" ht="15" x14ac:dyDescent="0.25">
      <c r="A13999" s="841" t="s">
        <v>211</v>
      </c>
      <c r="B13999" s="841" t="s">
        <v>3963</v>
      </c>
      <c r="E13999" s="1694" t="s">
        <v>3079</v>
      </c>
      <c r="F13999" s="1690"/>
      <c r="G13999" s="1365"/>
      <c r="H13999" s="1365"/>
      <c r="K13999" s="841" t="s">
        <v>3218</v>
      </c>
      <c r="M13999" s="1357"/>
      <c r="Q13999" s="1357"/>
      <c r="S13999" s="1420"/>
      <c r="T13999" s="1420"/>
      <c r="V13999" s="1357">
        <v>48</v>
      </c>
    </row>
    <row r="14000" spans="1:22" s="841" customFormat="1" ht="15" x14ac:dyDescent="0.25">
      <c r="A14000" s="841" t="s">
        <v>211</v>
      </c>
      <c r="B14000" s="841" t="s">
        <v>3963</v>
      </c>
      <c r="E14000" s="1920" t="s">
        <v>2449</v>
      </c>
      <c r="F14000" s="1920"/>
      <c r="G14000" s="1366" t="s">
        <v>24</v>
      </c>
      <c r="H14000" s="1196">
        <v>3.2000000000000002E-3</v>
      </c>
      <c r="K14000" s="841" t="s">
        <v>5180</v>
      </c>
      <c r="L14000" s="841" t="s">
        <v>3046</v>
      </c>
      <c r="M14000" s="1357"/>
      <c r="P14000" s="841" t="s">
        <v>5186</v>
      </c>
      <c r="Q14000" s="1357"/>
      <c r="S14000" s="1420"/>
      <c r="T14000" s="1420"/>
      <c r="V14000" s="1357">
        <v>55</v>
      </c>
    </row>
    <row r="14001" spans="1:22" s="841" customFormat="1" ht="15" x14ac:dyDescent="0.25">
      <c r="A14001" s="841" t="s">
        <v>211</v>
      </c>
      <c r="B14001" s="841" t="s">
        <v>3963</v>
      </c>
      <c r="E14001" s="1920" t="s">
        <v>2450</v>
      </c>
      <c r="F14001" s="1920"/>
      <c r="G14001" s="1366" t="s">
        <v>24</v>
      </c>
      <c r="H14001" s="1196">
        <v>4.0000000000000002E-4</v>
      </c>
      <c r="K14001" s="841" t="s">
        <v>5180</v>
      </c>
      <c r="L14001" s="841" t="s">
        <v>3046</v>
      </c>
      <c r="M14001" s="1357"/>
      <c r="P14001" s="841" t="s">
        <v>5186</v>
      </c>
      <c r="Q14001" s="1357"/>
      <c r="S14001" s="1420"/>
      <c r="T14001" s="1420"/>
      <c r="V14001" s="1357">
        <v>65</v>
      </c>
    </row>
    <row r="14002" spans="1:22" s="841" customFormat="1" ht="15" x14ac:dyDescent="0.25">
      <c r="A14002" s="841" t="s">
        <v>211</v>
      </c>
      <c r="B14002" s="841" t="s">
        <v>3963</v>
      </c>
      <c r="E14002" s="1920" t="s">
        <v>439</v>
      </c>
      <c r="F14002" s="1920"/>
      <c r="G14002" s="1366" t="s">
        <v>24</v>
      </c>
      <c r="H14002" s="1196">
        <v>2.9999999999999997E-4</v>
      </c>
      <c r="K14002" s="841" t="s">
        <v>5180</v>
      </c>
      <c r="L14002" s="841" t="s">
        <v>3046</v>
      </c>
      <c r="M14002" s="1357"/>
      <c r="P14002" s="841" t="s">
        <v>5187</v>
      </c>
      <c r="Q14002" s="1357"/>
      <c r="S14002" s="1420"/>
      <c r="T14002" s="1420"/>
      <c r="V14002" s="1357">
        <v>57</v>
      </c>
    </row>
    <row r="14003" spans="1:22" s="841" customFormat="1" ht="15" x14ac:dyDescent="0.25">
      <c r="A14003" s="841" t="s">
        <v>211</v>
      </c>
      <c r="B14003" s="841" t="s">
        <v>3963</v>
      </c>
      <c r="E14003" s="1920" t="s">
        <v>32</v>
      </c>
      <c r="F14003" s="1920"/>
      <c r="G14003" s="1366" t="s">
        <v>23</v>
      </c>
      <c r="H14003" s="1196">
        <v>0.25</v>
      </c>
      <c r="K14003" s="841" t="s">
        <v>5180</v>
      </c>
      <c r="L14003" s="841" t="s">
        <v>3046</v>
      </c>
      <c r="M14003" s="1357"/>
      <c r="P14003" s="841" t="s">
        <v>5188</v>
      </c>
      <c r="Q14003" s="1357"/>
      <c r="S14003" s="1420"/>
      <c r="T14003" s="1420"/>
      <c r="V14003" s="1357">
        <v>63</v>
      </c>
    </row>
    <row r="14004" spans="1:22" s="841" customFormat="1" x14ac:dyDescent="0.25">
      <c r="A14004" s="841" t="s">
        <v>211</v>
      </c>
      <c r="B14004" s="841" t="s">
        <v>3963</v>
      </c>
      <c r="E14004" s="1936" t="s">
        <v>2447</v>
      </c>
      <c r="F14004" s="1923"/>
      <c r="G14004" s="1923"/>
      <c r="H14004" s="1923"/>
      <c r="K14004" s="841" t="s">
        <v>5928</v>
      </c>
      <c r="M14004" s="1357"/>
      <c r="Q14004" s="1357"/>
      <c r="S14004" s="1420"/>
      <c r="T14004" s="1420"/>
      <c r="V14004" s="1357">
        <v>60</v>
      </c>
    </row>
    <row r="14005" spans="1:22" s="841" customFormat="1" ht="15" x14ac:dyDescent="0.25">
      <c r="A14005" s="841" t="s">
        <v>211</v>
      </c>
      <c r="B14005" s="841" t="s">
        <v>3963</v>
      </c>
      <c r="E14005" s="2072" t="s">
        <v>3968</v>
      </c>
      <c r="F14005" s="2072"/>
      <c r="G14005" s="2072"/>
      <c r="H14005" s="2072"/>
      <c r="K14005" s="841" t="s">
        <v>5928</v>
      </c>
      <c r="M14005" s="1357"/>
      <c r="Q14005" s="1357"/>
      <c r="S14005" s="1420"/>
      <c r="T14005" s="1420"/>
      <c r="V14005" s="1357">
        <v>366</v>
      </c>
    </row>
    <row r="14006" spans="1:22" s="841" customFormat="1" ht="15" x14ac:dyDescent="0.25">
      <c r="A14006" s="841" t="s">
        <v>211</v>
      </c>
      <c r="B14006" s="841" t="s">
        <v>3963</v>
      </c>
      <c r="E14006" s="1916" t="s">
        <v>3061</v>
      </c>
      <c r="F14006" s="1689"/>
      <c r="G14006" s="1689"/>
      <c r="H14006" s="1689"/>
      <c r="K14006" s="841" t="s">
        <v>3221</v>
      </c>
      <c r="M14006" s="1357"/>
      <c r="Q14006" s="1357"/>
      <c r="S14006" s="1420"/>
      <c r="T14006" s="1420"/>
      <c r="V14006" s="1357">
        <v>11</v>
      </c>
    </row>
    <row r="14007" spans="1:22" s="841" customFormat="1" ht="15" x14ac:dyDescent="0.25">
      <c r="A14007" s="841" t="s">
        <v>211</v>
      </c>
      <c r="B14007" s="841" t="s">
        <v>3963</v>
      </c>
      <c r="E14007" s="2072" t="s">
        <v>3063</v>
      </c>
      <c r="F14007" s="2072"/>
      <c r="G14007" s="2072"/>
      <c r="H14007" s="2072"/>
      <c r="K14007" s="841" t="s">
        <v>5928</v>
      </c>
      <c r="M14007" s="1357"/>
      <c r="Q14007" s="1357"/>
      <c r="S14007" s="1420"/>
      <c r="T14007" s="1420"/>
      <c r="V14007" s="1357">
        <v>280</v>
      </c>
    </row>
    <row r="14008" spans="1:22" s="841" customFormat="1" ht="15" x14ac:dyDescent="0.25">
      <c r="A14008" s="841" t="s">
        <v>211</v>
      </c>
      <c r="B14008" s="841" t="s">
        <v>3963</v>
      </c>
      <c r="E14008" s="2072" t="s">
        <v>3064</v>
      </c>
      <c r="F14008" s="2072"/>
      <c r="G14008" s="2072"/>
      <c r="H14008" s="2072"/>
      <c r="K14008" s="841" t="s">
        <v>5928</v>
      </c>
      <c r="M14008" s="1357"/>
      <c r="Q14008" s="1357"/>
      <c r="S14008" s="1420"/>
      <c r="T14008" s="1420"/>
      <c r="V14008" s="1357">
        <v>411</v>
      </c>
    </row>
    <row r="14009" spans="1:22" s="841" customFormat="1" ht="15" x14ac:dyDescent="0.25">
      <c r="A14009" s="841" t="s">
        <v>211</v>
      </c>
      <c r="B14009" s="841" t="s">
        <v>3963</v>
      </c>
      <c r="E14009" s="2072" t="s">
        <v>3065</v>
      </c>
      <c r="F14009" s="2072"/>
      <c r="G14009" s="2072"/>
      <c r="H14009" s="2072"/>
      <c r="K14009" s="841" t="s">
        <v>5928</v>
      </c>
      <c r="M14009" s="1357"/>
      <c r="Q14009" s="1357"/>
      <c r="S14009" s="1420"/>
      <c r="T14009" s="1420"/>
      <c r="V14009" s="1357">
        <v>387</v>
      </c>
    </row>
    <row r="14010" spans="1:22" s="841" customFormat="1" ht="15" x14ac:dyDescent="0.25">
      <c r="A14010" s="841" t="s">
        <v>211</v>
      </c>
      <c r="B14010" s="841" t="s">
        <v>3963</v>
      </c>
      <c r="E14010" s="1966" t="s">
        <v>3627</v>
      </c>
      <c r="F14010" s="1966"/>
      <c r="G14010" s="1966"/>
      <c r="H14010" s="1966"/>
      <c r="K14010" s="841" t="s">
        <v>5928</v>
      </c>
      <c r="M14010" s="1357"/>
      <c r="Q14010" s="1357"/>
      <c r="S14010" s="1420"/>
      <c r="T14010" s="1420"/>
      <c r="V14010" s="1357">
        <v>610</v>
      </c>
    </row>
    <row r="14011" spans="1:22" s="841" customFormat="1" ht="15" x14ac:dyDescent="0.25">
      <c r="A14011" s="841" t="s">
        <v>211</v>
      </c>
      <c r="B14011" s="841" t="s">
        <v>3963</v>
      </c>
      <c r="E14011" s="1966" t="s">
        <v>5304</v>
      </c>
      <c r="F14011" s="1966"/>
      <c r="G14011" s="1966"/>
      <c r="H14011" s="1966"/>
      <c r="K14011" s="841" t="s">
        <v>5928</v>
      </c>
      <c r="M14011" s="1357"/>
      <c r="Q14011" s="1357"/>
      <c r="S14011" s="1420"/>
      <c r="T14011" s="1420"/>
      <c r="V14011" s="1357">
        <v>617</v>
      </c>
    </row>
    <row r="14012" spans="1:22" s="841" customFormat="1" ht="15" x14ac:dyDescent="0.25">
      <c r="A14012" s="841" t="s">
        <v>211</v>
      </c>
      <c r="B14012" s="841" t="s">
        <v>3963</v>
      </c>
      <c r="E14012" s="2072" t="s">
        <v>3390</v>
      </c>
      <c r="F14012" s="2072"/>
      <c r="G14012" s="2072"/>
      <c r="H14012" s="2072"/>
      <c r="K14012" s="841" t="s">
        <v>5928</v>
      </c>
      <c r="M14012" s="1357"/>
      <c r="Q14012" s="1357"/>
      <c r="S14012" s="1420"/>
      <c r="T14012" s="1420"/>
      <c r="V14012" s="1357">
        <v>274</v>
      </c>
    </row>
    <row r="14013" spans="1:22" s="841" customFormat="1" ht="15" x14ac:dyDescent="0.25">
      <c r="A14013" s="841" t="s">
        <v>211</v>
      </c>
      <c r="B14013" s="841" t="s">
        <v>3963</v>
      </c>
      <c r="E14013" s="1694" t="s">
        <v>3067</v>
      </c>
      <c r="F14013" s="1907"/>
      <c r="G14013" s="1907"/>
      <c r="H14013" s="1907"/>
      <c r="K14013" s="841" t="s">
        <v>3224</v>
      </c>
      <c r="M14013" s="1357"/>
      <c r="Q14013" s="1357"/>
      <c r="S14013" s="1420"/>
      <c r="T14013" s="1420"/>
      <c r="V14013" s="1357">
        <v>46</v>
      </c>
    </row>
    <row r="14014" spans="1:22" s="841" customFormat="1" ht="15" x14ac:dyDescent="0.25">
      <c r="A14014" s="841" t="s">
        <v>211</v>
      </c>
      <c r="B14014" s="841" t="s">
        <v>3963</v>
      </c>
      <c r="E14014" s="1920" t="s">
        <v>11</v>
      </c>
      <c r="F14014" s="1920"/>
      <c r="G14014" s="1366" t="s">
        <v>23</v>
      </c>
      <c r="H14014" s="1193">
        <v>518.85</v>
      </c>
      <c r="K14014" s="841" t="s">
        <v>5928</v>
      </c>
      <c r="L14014" s="841" t="s">
        <v>442</v>
      </c>
      <c r="M14014" s="1357"/>
      <c r="P14014" s="841" t="s">
        <v>5929</v>
      </c>
      <c r="Q14014" s="1357"/>
      <c r="S14014" s="1420"/>
      <c r="T14014" s="1420"/>
      <c r="V14014" s="1357">
        <v>14</v>
      </c>
    </row>
    <row r="14015" spans="1:22" s="841" customFormat="1" ht="15" x14ac:dyDescent="0.25">
      <c r="A14015" s="841" t="s">
        <v>211</v>
      </c>
      <c r="B14015" s="841" t="s">
        <v>3963</v>
      </c>
      <c r="E14015" s="1920" t="s">
        <v>3966</v>
      </c>
      <c r="F14015" s="1920" t="s">
        <v>23</v>
      </c>
      <c r="G14015" s="1366" t="s">
        <v>23</v>
      </c>
      <c r="H14015" s="1195">
        <v>-5.19</v>
      </c>
      <c r="K14015" s="841" t="s">
        <v>5928</v>
      </c>
      <c r="L14015" s="841" t="s">
        <v>442</v>
      </c>
      <c r="M14015" s="1357"/>
      <c r="P14015" s="841" t="s">
        <v>6565</v>
      </c>
      <c r="Q14015" s="1357"/>
      <c r="S14015" s="1420"/>
      <c r="T14015" s="1420">
        <v>44134</v>
      </c>
      <c r="V14015" s="1357">
        <v>91</v>
      </c>
    </row>
    <row r="14016" spans="1:22" s="841" customFormat="1" ht="15" x14ac:dyDescent="0.25">
      <c r="A14016" s="841" t="s">
        <v>211</v>
      </c>
      <c r="B14016" s="841" t="s">
        <v>3963</v>
      </c>
      <c r="E14016" s="1920" t="s">
        <v>84</v>
      </c>
      <c r="F14016" s="1920"/>
      <c r="G14016" s="1366" t="s">
        <v>33</v>
      </c>
      <c r="H14016" s="1194">
        <v>2.7397999999999998</v>
      </c>
      <c r="K14016" s="841" t="s">
        <v>5928</v>
      </c>
      <c r="L14016" s="841" t="s">
        <v>442</v>
      </c>
      <c r="M14016" s="1357"/>
      <c r="P14016" s="841" t="s">
        <v>5930</v>
      </c>
      <c r="Q14016" s="1357"/>
      <c r="S14016" s="1420"/>
      <c r="T14016" s="1420"/>
      <c r="V14016" s="1357">
        <v>28</v>
      </c>
    </row>
    <row r="14017" spans="1:22" s="841" customFormat="1" ht="15" x14ac:dyDescent="0.25">
      <c r="A14017" s="841" t="s">
        <v>211</v>
      </c>
      <c r="B14017" s="841" t="s">
        <v>3963</v>
      </c>
      <c r="E14017" s="1920" t="s">
        <v>5931</v>
      </c>
      <c r="F14017" s="1908"/>
      <c r="G14017" s="1366" t="s">
        <v>33</v>
      </c>
      <c r="H14017" s="393">
        <v>0.1021</v>
      </c>
      <c r="K14017" s="841" t="s">
        <v>5928</v>
      </c>
      <c r="L14017" s="841" t="s">
        <v>443</v>
      </c>
      <c r="M14017" s="1357"/>
      <c r="P14017" s="841" t="s">
        <v>5932</v>
      </c>
      <c r="Q14017" s="1357"/>
      <c r="S14017" s="1420"/>
      <c r="T14017" s="1420">
        <v>43585</v>
      </c>
      <c r="V14017" s="1357">
        <v>144</v>
      </c>
    </row>
    <row r="14018" spans="1:22" s="841" customFormat="1" ht="15" x14ac:dyDescent="0.25">
      <c r="A14018" s="841" t="s">
        <v>211</v>
      </c>
      <c r="B14018" s="841" t="s">
        <v>3963</v>
      </c>
      <c r="E14018" s="1920" t="s">
        <v>3966</v>
      </c>
      <c r="F14018" s="1920" t="s">
        <v>33</v>
      </c>
      <c r="G14018" s="1366" t="s">
        <v>33</v>
      </c>
      <c r="H14018" s="1196">
        <v>-2.7400000000000001E-2</v>
      </c>
      <c r="K14018" s="841" t="s">
        <v>5928</v>
      </c>
      <c r="L14018" s="841" t="s">
        <v>442</v>
      </c>
      <c r="M14018" s="1357"/>
      <c r="P14018" s="841" t="s">
        <v>6566</v>
      </c>
      <c r="Q14018" s="1357"/>
      <c r="S14018" s="1420"/>
      <c r="T14018" s="1420">
        <v>44134</v>
      </c>
      <c r="V14018" s="1357">
        <v>91</v>
      </c>
    </row>
    <row r="14019" spans="1:22" s="841" customFormat="1" ht="15" x14ac:dyDescent="0.25">
      <c r="A14019" s="841" t="s">
        <v>211</v>
      </c>
      <c r="B14019" s="841" t="s">
        <v>3963</v>
      </c>
      <c r="E14019" s="1920" t="s">
        <v>5129</v>
      </c>
      <c r="F14019" s="1908"/>
      <c r="G14019" s="1366" t="s">
        <v>24</v>
      </c>
      <c r="H14019" s="1196">
        <v>3.5999999999999999E-3</v>
      </c>
      <c r="K14019" s="841" t="s">
        <v>5928</v>
      </c>
      <c r="L14019" s="841" t="s">
        <v>443</v>
      </c>
      <c r="M14019" s="1357"/>
      <c r="P14019" s="841" t="s">
        <v>5933</v>
      </c>
      <c r="Q14019" s="1357"/>
      <c r="S14019" s="1420"/>
      <c r="T14019" s="1420">
        <v>43585</v>
      </c>
      <c r="V14019" s="1357">
        <v>139</v>
      </c>
    </row>
    <row r="14020" spans="1:22" s="841" customFormat="1" ht="15" x14ac:dyDescent="0.25">
      <c r="A14020" s="841" t="s">
        <v>211</v>
      </c>
      <c r="B14020" s="841" t="s">
        <v>3963</v>
      </c>
      <c r="E14020" s="1920" t="s">
        <v>5130</v>
      </c>
      <c r="F14020" s="1908"/>
      <c r="G14020" s="1366" t="s">
        <v>33</v>
      </c>
      <c r="H14020" s="1196">
        <v>-1.1586645020601529</v>
      </c>
      <c r="K14020" s="841" t="s">
        <v>5928</v>
      </c>
      <c r="L14020" s="841" t="s">
        <v>443</v>
      </c>
      <c r="M14020" s="1357"/>
      <c r="P14020" s="841" t="s">
        <v>5934</v>
      </c>
      <c r="Q14020" s="1357"/>
      <c r="S14020" s="1420"/>
      <c r="T14020" s="1420">
        <v>43585</v>
      </c>
      <c r="V14020" s="1357">
        <v>96</v>
      </c>
    </row>
    <row r="14021" spans="1:22" s="841" customFormat="1" ht="15" x14ac:dyDescent="0.25">
      <c r="A14021" s="841" t="s">
        <v>211</v>
      </c>
      <c r="B14021" s="841" t="s">
        <v>3963</v>
      </c>
      <c r="E14021" s="1920" t="s">
        <v>5935</v>
      </c>
      <c r="F14021" s="1920"/>
      <c r="G14021" s="1366" t="s">
        <v>33</v>
      </c>
      <c r="H14021" s="1196">
        <v>0.47949999999999998</v>
      </c>
      <c r="K14021" s="841" t="s">
        <v>5928</v>
      </c>
      <c r="L14021" s="841" t="s">
        <v>442</v>
      </c>
      <c r="M14021" s="1357"/>
      <c r="P14021" s="841" t="s">
        <v>6567</v>
      </c>
      <c r="Q14021" s="1357"/>
      <c r="S14021" s="1420"/>
      <c r="T14021" s="1420"/>
      <c r="V14021" s="1357">
        <v>134</v>
      </c>
    </row>
    <row r="14022" spans="1:22" s="841" customFormat="1" ht="15" x14ac:dyDescent="0.25">
      <c r="A14022" s="841" t="s">
        <v>211</v>
      </c>
      <c r="B14022" s="841" t="s">
        <v>3963</v>
      </c>
      <c r="E14022" s="1920" t="s">
        <v>221</v>
      </c>
      <c r="F14022" s="1920"/>
      <c r="G14022" s="1366" t="s">
        <v>33</v>
      </c>
      <c r="H14022" s="1194">
        <v>2.7526999999999999</v>
      </c>
      <c r="K14022" s="841" t="s">
        <v>5928</v>
      </c>
      <c r="L14022" s="841" t="s">
        <v>444</v>
      </c>
      <c r="M14022" s="1357"/>
      <c r="P14022" s="841" t="s">
        <v>5936</v>
      </c>
      <c r="Q14022" s="1357"/>
      <c r="S14022" s="1420"/>
      <c r="T14022" s="1420"/>
      <c r="V14022" s="1357">
        <v>47</v>
      </c>
    </row>
    <row r="14023" spans="1:22" s="841" customFormat="1" ht="15" x14ac:dyDescent="0.25">
      <c r="A14023" s="841" t="s">
        <v>211</v>
      </c>
      <c r="B14023" s="841" t="s">
        <v>3963</v>
      </c>
      <c r="E14023" s="1920" t="s">
        <v>217</v>
      </c>
      <c r="F14023" s="1920"/>
      <c r="G14023" s="1366" t="s">
        <v>33</v>
      </c>
      <c r="H14023" s="1194">
        <v>2.5512000000000001</v>
      </c>
      <c r="K14023" s="841" t="s">
        <v>5928</v>
      </c>
      <c r="L14023" s="841" t="s">
        <v>444</v>
      </c>
      <c r="M14023" s="1357"/>
      <c r="P14023" s="841" t="s">
        <v>5937</v>
      </c>
      <c r="Q14023" s="1357"/>
      <c r="S14023" s="1420"/>
      <c r="T14023" s="1420"/>
      <c r="V14023" s="1357">
        <v>74</v>
      </c>
    </row>
    <row r="14024" spans="1:22" s="841" customFormat="1" ht="15" x14ac:dyDescent="0.25">
      <c r="A14024" s="841" t="s">
        <v>211</v>
      </c>
      <c r="B14024" s="841" t="s">
        <v>3963</v>
      </c>
      <c r="E14024" s="1694" t="s">
        <v>3079</v>
      </c>
      <c r="F14024" s="1690"/>
      <c r="G14024" s="1365"/>
      <c r="H14024" s="1365"/>
      <c r="K14024" s="841" t="s">
        <v>3225</v>
      </c>
      <c r="M14024" s="1357"/>
      <c r="Q14024" s="1357"/>
      <c r="S14024" s="1420"/>
      <c r="T14024" s="1420"/>
      <c r="V14024" s="1357">
        <v>48</v>
      </c>
    </row>
    <row r="14025" spans="1:22" s="841" customFormat="1" ht="15" x14ac:dyDescent="0.25">
      <c r="A14025" s="841" t="s">
        <v>211</v>
      </c>
      <c r="B14025" s="841" t="s">
        <v>3963</v>
      </c>
      <c r="E14025" s="1920" t="s">
        <v>2449</v>
      </c>
      <c r="F14025" s="1920"/>
      <c r="G14025" s="1366" t="s">
        <v>24</v>
      </c>
      <c r="H14025" s="1196">
        <v>3.2000000000000002E-3</v>
      </c>
      <c r="K14025" s="841" t="s">
        <v>5928</v>
      </c>
      <c r="L14025" s="841" t="s">
        <v>3046</v>
      </c>
      <c r="M14025" s="1357"/>
      <c r="P14025" s="841" t="s">
        <v>5938</v>
      </c>
      <c r="Q14025" s="1357"/>
      <c r="S14025" s="1420"/>
      <c r="T14025" s="1420"/>
      <c r="V14025" s="1357">
        <v>55</v>
      </c>
    </row>
    <row r="14026" spans="1:22" s="841" customFormat="1" ht="15" x14ac:dyDescent="0.25">
      <c r="A14026" s="841" t="s">
        <v>211</v>
      </c>
      <c r="B14026" s="841" t="s">
        <v>3963</v>
      </c>
      <c r="E14026" s="1920" t="s">
        <v>2450</v>
      </c>
      <c r="F14026" s="1920"/>
      <c r="G14026" s="1366" t="s">
        <v>24</v>
      </c>
      <c r="H14026" s="1196">
        <v>4.0000000000000002E-4</v>
      </c>
      <c r="K14026" s="841" t="s">
        <v>5928</v>
      </c>
      <c r="L14026" s="841" t="s">
        <v>3046</v>
      </c>
      <c r="M14026" s="1357"/>
      <c r="P14026" s="841" t="s">
        <v>5938</v>
      </c>
      <c r="Q14026" s="1357"/>
      <c r="S14026" s="1420"/>
      <c r="T14026" s="1420"/>
      <c r="V14026" s="1357">
        <v>65</v>
      </c>
    </row>
    <row r="14027" spans="1:22" s="841" customFormat="1" ht="15" x14ac:dyDescent="0.25">
      <c r="A14027" s="841" t="s">
        <v>211</v>
      </c>
      <c r="B14027" s="841" t="s">
        <v>3963</v>
      </c>
      <c r="E14027" s="1920" t="s">
        <v>439</v>
      </c>
      <c r="F14027" s="1920"/>
      <c r="G14027" s="1366" t="s">
        <v>24</v>
      </c>
      <c r="H14027" s="1196">
        <v>2.9999999999999997E-4</v>
      </c>
      <c r="K14027" s="841" t="s">
        <v>5928</v>
      </c>
      <c r="L14027" s="841" t="s">
        <v>3046</v>
      </c>
      <c r="M14027" s="1357"/>
      <c r="P14027" s="841" t="s">
        <v>5939</v>
      </c>
      <c r="Q14027" s="1357"/>
      <c r="S14027" s="1420"/>
      <c r="T14027" s="1420"/>
      <c r="V14027" s="1357">
        <v>57</v>
      </c>
    </row>
    <row r="14028" spans="1:22" s="841" customFormat="1" ht="15" x14ac:dyDescent="0.25">
      <c r="A14028" s="841" t="s">
        <v>211</v>
      </c>
      <c r="B14028" s="841" t="s">
        <v>3963</v>
      </c>
      <c r="E14028" s="1920" t="s">
        <v>32</v>
      </c>
      <c r="F14028" s="1920"/>
      <c r="G14028" s="1366" t="s">
        <v>23</v>
      </c>
      <c r="H14028" s="1196">
        <v>0.25</v>
      </c>
      <c r="K14028" s="841" t="s">
        <v>5928</v>
      </c>
      <c r="L14028" s="841" t="s">
        <v>3046</v>
      </c>
      <c r="M14028" s="1357"/>
      <c r="P14028" s="841" t="s">
        <v>5940</v>
      </c>
      <c r="Q14028" s="1357"/>
      <c r="S14028" s="1420"/>
      <c r="T14028" s="1420"/>
      <c r="V14028" s="1357">
        <v>63</v>
      </c>
    </row>
    <row r="14029" spans="1:22" s="841" customFormat="1" x14ac:dyDescent="0.25">
      <c r="A14029" s="841" t="s">
        <v>211</v>
      </c>
      <c r="B14029" s="841" t="s">
        <v>3963</v>
      </c>
      <c r="E14029" s="1936" t="s">
        <v>617</v>
      </c>
      <c r="F14029" s="1923"/>
      <c r="G14029" s="1923"/>
      <c r="H14029" s="1923"/>
      <c r="K14029" s="841" t="s">
        <v>3457</v>
      </c>
      <c r="M14029" s="1357"/>
      <c r="Q14029" s="1357"/>
      <c r="S14029" s="1420"/>
      <c r="T14029" s="1420"/>
      <c r="V14029" s="1357">
        <v>47</v>
      </c>
    </row>
    <row r="14030" spans="1:22" s="841" customFormat="1" ht="15" x14ac:dyDescent="0.25">
      <c r="A14030" s="841" t="s">
        <v>211</v>
      </c>
      <c r="B14030" s="841" t="s">
        <v>3963</v>
      </c>
      <c r="E14030" s="2072" t="s">
        <v>3969</v>
      </c>
      <c r="F14030" s="2072"/>
      <c r="G14030" s="2072"/>
      <c r="H14030" s="2072"/>
      <c r="K14030" s="841" t="s">
        <v>3457</v>
      </c>
      <c r="M14030" s="1357"/>
      <c r="Q14030" s="1357"/>
      <c r="S14030" s="1420"/>
      <c r="T14030" s="1420"/>
      <c r="V14030" s="1357">
        <v>723</v>
      </c>
    </row>
    <row r="14031" spans="1:22" s="841" customFormat="1" ht="15" x14ac:dyDescent="0.25">
      <c r="A14031" s="841" t="s">
        <v>211</v>
      </c>
      <c r="B14031" s="841" t="s">
        <v>3963</v>
      </c>
      <c r="E14031" s="1916" t="s">
        <v>3061</v>
      </c>
      <c r="F14031" s="1689"/>
      <c r="G14031" s="1689"/>
      <c r="H14031" s="1689"/>
      <c r="K14031" s="841" t="s">
        <v>3107</v>
      </c>
      <c r="M14031" s="1357"/>
      <c r="Q14031" s="1357"/>
      <c r="S14031" s="1420"/>
      <c r="T14031" s="1420"/>
      <c r="V14031" s="1357">
        <v>11</v>
      </c>
    </row>
    <row r="14032" spans="1:22" s="841" customFormat="1" ht="15" x14ac:dyDescent="0.25">
      <c r="A14032" s="841" t="s">
        <v>211</v>
      </c>
      <c r="B14032" s="841" t="s">
        <v>3963</v>
      </c>
      <c r="E14032" s="2072" t="s">
        <v>3063</v>
      </c>
      <c r="F14032" s="2072"/>
      <c r="G14032" s="2072"/>
      <c r="H14032" s="2072"/>
      <c r="K14032" s="841" t="s">
        <v>3457</v>
      </c>
      <c r="M14032" s="1357"/>
      <c r="Q14032" s="1357"/>
      <c r="S14032" s="1420"/>
      <c r="T14032" s="1420"/>
      <c r="V14032" s="1357">
        <v>280</v>
      </c>
    </row>
    <row r="14033" spans="1:22" s="841" customFormat="1" ht="15" x14ac:dyDescent="0.25">
      <c r="A14033" s="841" t="s">
        <v>211</v>
      </c>
      <c r="B14033" s="841" t="s">
        <v>3963</v>
      </c>
      <c r="E14033" s="2072" t="s">
        <v>3064</v>
      </c>
      <c r="F14033" s="2072"/>
      <c r="G14033" s="2072"/>
      <c r="H14033" s="2072"/>
      <c r="K14033" s="841" t="s">
        <v>3457</v>
      </c>
      <c r="M14033" s="1357"/>
      <c r="Q14033" s="1357"/>
      <c r="S14033" s="1420"/>
      <c r="T14033" s="1420"/>
      <c r="V14033" s="1357">
        <v>411</v>
      </c>
    </row>
    <row r="14034" spans="1:22" s="841" customFormat="1" ht="15" x14ac:dyDescent="0.25">
      <c r="A14034" s="841" t="s">
        <v>211</v>
      </c>
      <c r="B14034" s="841" t="s">
        <v>3963</v>
      </c>
      <c r="E14034" s="2072" t="s">
        <v>3065</v>
      </c>
      <c r="F14034" s="2072"/>
      <c r="G14034" s="2072"/>
      <c r="H14034" s="2072"/>
      <c r="K14034" s="841" t="s">
        <v>3457</v>
      </c>
      <c r="M14034" s="1357"/>
      <c r="Q14034" s="1357"/>
      <c r="S14034" s="1420"/>
      <c r="T14034" s="1420"/>
      <c r="V14034" s="1357">
        <v>387</v>
      </c>
    </row>
    <row r="14035" spans="1:22" s="841" customFormat="1" ht="15" x14ac:dyDescent="0.25">
      <c r="A14035" s="841" t="s">
        <v>211</v>
      </c>
      <c r="B14035" s="841" t="s">
        <v>3963</v>
      </c>
      <c r="E14035" s="2072" t="s">
        <v>3390</v>
      </c>
      <c r="F14035" s="2072"/>
      <c r="G14035" s="2072"/>
      <c r="H14035" s="2072"/>
      <c r="K14035" s="841" t="s">
        <v>3457</v>
      </c>
      <c r="M14035" s="1357"/>
      <c r="Q14035" s="1357"/>
      <c r="S14035" s="1420"/>
      <c r="T14035" s="1420"/>
      <c r="V14035" s="1357">
        <v>274</v>
      </c>
    </row>
    <row r="14036" spans="1:22" s="841" customFormat="1" ht="15" x14ac:dyDescent="0.25">
      <c r="A14036" s="841" t="s">
        <v>211</v>
      </c>
      <c r="B14036" s="841" t="s">
        <v>3963</v>
      </c>
      <c r="E14036" s="1694" t="s">
        <v>3067</v>
      </c>
      <c r="F14036" s="1907"/>
      <c r="G14036" s="1907"/>
      <c r="H14036" s="1907"/>
      <c r="K14036" s="841" t="s">
        <v>3108</v>
      </c>
      <c r="M14036" s="1357"/>
      <c r="Q14036" s="1357"/>
      <c r="S14036" s="1420"/>
      <c r="T14036" s="1420"/>
      <c r="V14036" s="1357">
        <v>46</v>
      </c>
    </row>
    <row r="14037" spans="1:22" s="841" customFormat="1" ht="15" x14ac:dyDescent="0.25">
      <c r="A14037" s="841" t="s">
        <v>211</v>
      </c>
      <c r="B14037" s="841" t="s">
        <v>3963</v>
      </c>
      <c r="E14037" s="1920" t="s">
        <v>11</v>
      </c>
      <c r="F14037" s="1920"/>
      <c r="G14037" s="1366" t="s">
        <v>23</v>
      </c>
      <c r="H14037" s="1193">
        <v>10.53</v>
      </c>
      <c r="K14037" s="841" t="s">
        <v>3457</v>
      </c>
      <c r="L14037" s="841" t="s">
        <v>442</v>
      </c>
      <c r="M14037" s="1357"/>
      <c r="P14037" s="841" t="s">
        <v>3458</v>
      </c>
      <c r="Q14037" s="1357"/>
      <c r="S14037" s="1420"/>
      <c r="T14037" s="1420"/>
      <c r="V14037" s="1357">
        <v>14</v>
      </c>
    </row>
    <row r="14038" spans="1:22" s="841" customFormat="1" ht="15" x14ac:dyDescent="0.25">
      <c r="A14038" s="841" t="s">
        <v>211</v>
      </c>
      <c r="B14038" s="841" t="s">
        <v>3963</v>
      </c>
      <c r="E14038" s="1920" t="s">
        <v>3966</v>
      </c>
      <c r="F14038" s="1920"/>
      <c r="G14038" s="1366" t="s">
        <v>23</v>
      </c>
      <c r="H14038" s="1195">
        <v>-0.11</v>
      </c>
      <c r="K14038" s="841" t="s">
        <v>3457</v>
      </c>
      <c r="L14038" s="841" t="s">
        <v>442</v>
      </c>
      <c r="M14038" s="1357"/>
      <c r="P14038" s="841" t="s">
        <v>6568</v>
      </c>
      <c r="Q14038" s="1357"/>
      <c r="S14038" s="1420"/>
      <c r="T14038" s="1420">
        <v>44134</v>
      </c>
      <c r="V14038" s="1357">
        <v>91</v>
      </c>
    </row>
    <row r="14039" spans="1:22" s="841" customFormat="1" ht="15" x14ac:dyDescent="0.25">
      <c r="A14039" s="841" t="s">
        <v>211</v>
      </c>
      <c r="B14039" s="841" t="s">
        <v>3963</v>
      </c>
      <c r="E14039" s="1920" t="s">
        <v>84</v>
      </c>
      <c r="F14039" s="1920"/>
      <c r="G14039" s="1366" t="s">
        <v>24</v>
      </c>
      <c r="H14039" s="1194">
        <v>1.2200000000000001E-2</v>
      </c>
      <c r="K14039" s="841" t="s">
        <v>3457</v>
      </c>
      <c r="L14039" s="841" t="s">
        <v>442</v>
      </c>
      <c r="M14039" s="1357"/>
      <c r="P14039" s="841" t="s">
        <v>3459</v>
      </c>
      <c r="Q14039" s="1357"/>
      <c r="S14039" s="1420"/>
      <c r="T14039" s="1420"/>
      <c r="V14039" s="1357">
        <v>28</v>
      </c>
    </row>
    <row r="14040" spans="1:22" s="841" customFormat="1" ht="15" x14ac:dyDescent="0.25">
      <c r="A14040" s="841" t="s">
        <v>211</v>
      </c>
      <c r="B14040" s="841" t="s">
        <v>3963</v>
      </c>
      <c r="E14040" s="1920" t="s">
        <v>5931</v>
      </c>
      <c r="F14040" s="1908"/>
      <c r="G14040" s="1366" t="s">
        <v>24</v>
      </c>
      <c r="H14040" s="393">
        <v>2.9999999999999997E-4</v>
      </c>
      <c r="K14040" s="841" t="s">
        <v>3457</v>
      </c>
      <c r="L14040" s="841" t="s">
        <v>443</v>
      </c>
      <c r="M14040" s="1357"/>
      <c r="P14040" s="841" t="s">
        <v>5292</v>
      </c>
      <c r="Q14040" s="1357"/>
      <c r="S14040" s="1420"/>
      <c r="T14040" s="1420">
        <v>43585</v>
      </c>
      <c r="V14040" s="1357">
        <v>144</v>
      </c>
    </row>
    <row r="14041" spans="1:22" s="841" customFormat="1" ht="15" x14ac:dyDescent="0.25">
      <c r="A14041" s="841" t="s">
        <v>211</v>
      </c>
      <c r="B14041" s="841" t="s">
        <v>3963</v>
      </c>
      <c r="E14041" s="1920" t="s">
        <v>3966</v>
      </c>
      <c r="F14041" s="1920"/>
      <c r="G14041" s="1366" t="s">
        <v>24</v>
      </c>
      <c r="H14041" s="1196">
        <v>-1E-4</v>
      </c>
      <c r="K14041" s="841" t="s">
        <v>3457</v>
      </c>
      <c r="L14041" s="841" t="s">
        <v>442</v>
      </c>
      <c r="M14041" s="1357"/>
      <c r="P14041" s="841" t="s">
        <v>6569</v>
      </c>
      <c r="Q14041" s="1357"/>
      <c r="S14041" s="1420"/>
      <c r="T14041" s="1420">
        <v>44134</v>
      </c>
      <c r="V14041" s="1357">
        <v>91</v>
      </c>
    </row>
    <row r="14042" spans="1:22" s="841" customFormat="1" ht="15" x14ac:dyDescent="0.25">
      <c r="A14042" s="841" t="s">
        <v>211</v>
      </c>
      <c r="B14042" s="841" t="s">
        <v>3963</v>
      </c>
      <c r="E14042" s="1920" t="s">
        <v>5129</v>
      </c>
      <c r="F14042" s="1908"/>
      <c r="G14042" s="1366" t="s">
        <v>24</v>
      </c>
      <c r="H14042" s="1196">
        <v>3.5999999999999999E-3</v>
      </c>
      <c r="K14042" s="841" t="s">
        <v>3457</v>
      </c>
      <c r="L14042" s="841" t="s">
        <v>443</v>
      </c>
      <c r="M14042" s="1357"/>
      <c r="P14042" s="841" t="s">
        <v>3526</v>
      </c>
      <c r="Q14042" s="1357"/>
      <c r="S14042" s="1420"/>
      <c r="T14042" s="1420">
        <v>43585</v>
      </c>
      <c r="V14042" s="1357">
        <v>139</v>
      </c>
    </row>
    <row r="14043" spans="1:22" s="841" customFormat="1" ht="15" x14ac:dyDescent="0.25">
      <c r="A14043" s="841" t="s">
        <v>211</v>
      </c>
      <c r="B14043" s="841" t="s">
        <v>3963</v>
      </c>
      <c r="E14043" s="1920" t="s">
        <v>5130</v>
      </c>
      <c r="F14043" s="1908"/>
      <c r="G14043" s="1366" t="s">
        <v>24</v>
      </c>
      <c r="H14043" s="1196">
        <v>-2.6442242431236841E-3</v>
      </c>
      <c r="K14043" s="841" t="s">
        <v>3457</v>
      </c>
      <c r="L14043" s="841" t="s">
        <v>443</v>
      </c>
      <c r="M14043" s="1357"/>
      <c r="P14043" s="841" t="s">
        <v>3527</v>
      </c>
      <c r="Q14043" s="1357"/>
      <c r="S14043" s="1420"/>
      <c r="T14043" s="1420">
        <v>43585</v>
      </c>
      <c r="V14043" s="1357">
        <v>96</v>
      </c>
    </row>
    <row r="14044" spans="1:22" s="841" customFormat="1" ht="15" x14ac:dyDescent="0.25">
      <c r="A14044" s="841" t="s">
        <v>211</v>
      </c>
      <c r="B14044" s="841" t="s">
        <v>3963</v>
      </c>
      <c r="E14044" s="1920" t="s">
        <v>5926</v>
      </c>
      <c r="F14044" s="1920"/>
      <c r="G14044" s="1366" t="s">
        <v>24</v>
      </c>
      <c r="H14044" s="1196">
        <v>8.0000000000000004E-4</v>
      </c>
      <c r="K14044" s="841" t="s">
        <v>3457</v>
      </c>
      <c r="L14044" s="841" t="s">
        <v>442</v>
      </c>
      <c r="M14044" s="1357"/>
      <c r="P14044" s="841" t="s">
        <v>6570</v>
      </c>
      <c r="Q14044" s="1357"/>
      <c r="S14044" s="1420"/>
      <c r="T14044" s="1420"/>
      <c r="V14044" s="1357">
        <v>133</v>
      </c>
    </row>
    <row r="14045" spans="1:22" s="841" customFormat="1" ht="15" x14ac:dyDescent="0.25">
      <c r="A14045" s="841" t="s">
        <v>211</v>
      </c>
      <c r="B14045" s="841" t="s">
        <v>3963</v>
      </c>
      <c r="E14045" s="1920" t="s">
        <v>221</v>
      </c>
      <c r="F14045" s="1920"/>
      <c r="G14045" s="1366" t="s">
        <v>24</v>
      </c>
      <c r="H14045" s="1194">
        <v>6.4000000000000003E-3</v>
      </c>
      <c r="K14045" s="841" t="s">
        <v>3457</v>
      </c>
      <c r="L14045" s="841" t="s">
        <v>444</v>
      </c>
      <c r="M14045" s="1357"/>
      <c r="P14045" s="841" t="s">
        <v>3462</v>
      </c>
      <c r="Q14045" s="1357"/>
      <c r="S14045" s="1420"/>
      <c r="T14045" s="1420"/>
      <c r="V14045" s="1357">
        <v>47</v>
      </c>
    </row>
    <row r="14046" spans="1:22" s="841" customFormat="1" ht="15" x14ac:dyDescent="0.25">
      <c r="A14046" s="841" t="s">
        <v>211</v>
      </c>
      <c r="B14046" s="841" t="s">
        <v>3963</v>
      </c>
      <c r="E14046" s="1920" t="s">
        <v>217</v>
      </c>
      <c r="F14046" s="1920"/>
      <c r="G14046" s="1366" t="s">
        <v>24</v>
      </c>
      <c r="H14046" s="1194">
        <v>6.0000000000000001E-3</v>
      </c>
      <c r="K14046" s="841" t="s">
        <v>3457</v>
      </c>
      <c r="L14046" s="841" t="s">
        <v>444</v>
      </c>
      <c r="M14046" s="1357"/>
      <c r="P14046" s="841" t="s">
        <v>3463</v>
      </c>
      <c r="Q14046" s="1357"/>
      <c r="S14046" s="1420"/>
      <c r="T14046" s="1420"/>
      <c r="V14046" s="1357">
        <v>74</v>
      </c>
    </row>
    <row r="14047" spans="1:22" s="841" customFormat="1" ht="15" x14ac:dyDescent="0.25">
      <c r="A14047" s="841" t="s">
        <v>211</v>
      </c>
      <c r="B14047" s="841" t="s">
        <v>3963</v>
      </c>
      <c r="E14047" s="1694" t="s">
        <v>3079</v>
      </c>
      <c r="F14047" s="1690"/>
      <c r="G14047" s="1365"/>
      <c r="H14047" s="1365"/>
      <c r="K14047" s="841" t="s">
        <v>3111</v>
      </c>
      <c r="M14047" s="1357"/>
      <c r="Q14047" s="1357"/>
      <c r="S14047" s="1420"/>
      <c r="T14047" s="1420"/>
      <c r="V14047" s="1357">
        <v>48</v>
      </c>
    </row>
    <row r="14048" spans="1:22" s="841" customFormat="1" ht="15" x14ac:dyDescent="0.25">
      <c r="A14048" s="841" t="s">
        <v>211</v>
      </c>
      <c r="B14048" s="841" t="s">
        <v>3963</v>
      </c>
      <c r="E14048" s="1920" t="s">
        <v>2449</v>
      </c>
      <c r="F14048" s="1920"/>
      <c r="G14048" s="1366" t="s">
        <v>24</v>
      </c>
      <c r="H14048" s="1196">
        <v>3.2000000000000002E-3</v>
      </c>
      <c r="K14048" s="841" t="s">
        <v>3457</v>
      </c>
      <c r="L14048" s="841" t="s">
        <v>3046</v>
      </c>
      <c r="M14048" s="1357"/>
      <c r="P14048" s="841" t="s">
        <v>3464</v>
      </c>
      <c r="Q14048" s="1357"/>
      <c r="S14048" s="1420"/>
      <c r="T14048" s="1420"/>
      <c r="V14048" s="1357">
        <v>55</v>
      </c>
    </row>
    <row r="14049" spans="1:22" s="841" customFormat="1" ht="15" x14ac:dyDescent="0.25">
      <c r="A14049" s="841" t="s">
        <v>211</v>
      </c>
      <c r="B14049" s="841" t="s">
        <v>3963</v>
      </c>
      <c r="E14049" s="1920" t="s">
        <v>2450</v>
      </c>
      <c r="F14049" s="1920"/>
      <c r="G14049" s="1366" t="s">
        <v>24</v>
      </c>
      <c r="H14049" s="1196">
        <v>4.0000000000000002E-4</v>
      </c>
      <c r="K14049" s="841" t="s">
        <v>3457</v>
      </c>
      <c r="L14049" s="841" t="s">
        <v>3046</v>
      </c>
      <c r="M14049" s="1357"/>
      <c r="P14049" s="841" t="s">
        <v>3464</v>
      </c>
      <c r="Q14049" s="1357"/>
      <c r="S14049" s="1420"/>
      <c r="T14049" s="1420"/>
      <c r="V14049" s="1357">
        <v>65</v>
      </c>
    </row>
    <row r="14050" spans="1:22" s="841" customFormat="1" ht="15" x14ac:dyDescent="0.25">
      <c r="A14050" s="841" t="s">
        <v>211</v>
      </c>
      <c r="B14050" s="841" t="s">
        <v>3963</v>
      </c>
      <c r="E14050" s="1920" t="s">
        <v>439</v>
      </c>
      <c r="F14050" s="1920"/>
      <c r="G14050" s="1366" t="s">
        <v>24</v>
      </c>
      <c r="H14050" s="1196">
        <v>2.9999999999999997E-4</v>
      </c>
      <c r="K14050" s="841" t="s">
        <v>3457</v>
      </c>
      <c r="L14050" s="841" t="s">
        <v>3046</v>
      </c>
      <c r="M14050" s="1357"/>
      <c r="P14050" s="841" t="s">
        <v>3465</v>
      </c>
      <c r="Q14050" s="1357"/>
      <c r="S14050" s="1420"/>
      <c r="T14050" s="1420"/>
      <c r="V14050" s="1357">
        <v>57</v>
      </c>
    </row>
    <row r="14051" spans="1:22" s="841" customFormat="1" ht="15" x14ac:dyDescent="0.25">
      <c r="A14051" s="841" t="s">
        <v>211</v>
      </c>
      <c r="B14051" s="841" t="s">
        <v>3963</v>
      </c>
      <c r="E14051" s="1920" t="s">
        <v>32</v>
      </c>
      <c r="F14051" s="1920"/>
      <c r="G14051" s="1366" t="s">
        <v>23</v>
      </c>
      <c r="H14051" s="1196">
        <v>0.25</v>
      </c>
      <c r="K14051" s="841" t="s">
        <v>3457</v>
      </c>
      <c r="L14051" s="841" t="s">
        <v>3046</v>
      </c>
      <c r="M14051" s="1357"/>
      <c r="P14051" s="841" t="s">
        <v>3466</v>
      </c>
      <c r="Q14051" s="1357"/>
      <c r="S14051" s="1420"/>
      <c r="T14051" s="1420"/>
      <c r="V14051" s="1357">
        <v>63</v>
      </c>
    </row>
    <row r="14052" spans="1:22" s="841" customFormat="1" x14ac:dyDescent="0.25">
      <c r="A14052" s="841" t="s">
        <v>211</v>
      </c>
      <c r="B14052" s="841" t="s">
        <v>3963</v>
      </c>
      <c r="E14052" s="1909" t="s">
        <v>615</v>
      </c>
      <c r="F14052" s="1923"/>
      <c r="G14052" s="1923"/>
      <c r="H14052" s="1923"/>
      <c r="K14052" s="841" t="s">
        <v>3112</v>
      </c>
      <c r="M14052" s="1357"/>
      <c r="Q14052" s="1357"/>
      <c r="S14052" s="1420"/>
      <c r="T14052" s="1420"/>
      <c r="V14052" s="1357">
        <v>38</v>
      </c>
    </row>
    <row r="14053" spans="1:22" s="841" customFormat="1" ht="15" x14ac:dyDescent="0.25">
      <c r="A14053" s="841" t="s">
        <v>211</v>
      </c>
      <c r="B14053" s="841" t="s">
        <v>3963</v>
      </c>
      <c r="E14053" s="2072" t="s">
        <v>3930</v>
      </c>
      <c r="F14053" s="2072"/>
      <c r="G14053" s="2072"/>
      <c r="H14053" s="2072"/>
      <c r="K14053" s="841" t="s">
        <v>3112</v>
      </c>
      <c r="M14053" s="1357"/>
      <c r="Q14053" s="1357"/>
      <c r="S14053" s="1420"/>
      <c r="T14053" s="1420"/>
      <c r="V14053" s="1357">
        <v>543</v>
      </c>
    </row>
    <row r="14054" spans="1:22" s="841" customFormat="1" ht="15" x14ac:dyDescent="0.25">
      <c r="A14054" s="841" t="s">
        <v>211</v>
      </c>
      <c r="B14054" s="841" t="s">
        <v>3963</v>
      </c>
      <c r="E14054" s="1916" t="s">
        <v>3061</v>
      </c>
      <c r="F14054" s="1689"/>
      <c r="G14054" s="1689"/>
      <c r="H14054" s="1689"/>
      <c r="K14054" s="841" t="s">
        <v>3114</v>
      </c>
      <c r="M14054" s="1357"/>
      <c r="Q14054" s="1357"/>
      <c r="S14054" s="1420"/>
      <c r="T14054" s="1420"/>
      <c r="V14054" s="1357">
        <v>11</v>
      </c>
    </row>
    <row r="14055" spans="1:22" s="841" customFormat="1" ht="15" x14ac:dyDescent="0.25">
      <c r="A14055" s="841" t="s">
        <v>211</v>
      </c>
      <c r="B14055" s="841" t="s">
        <v>3963</v>
      </c>
      <c r="E14055" s="2072" t="s">
        <v>3063</v>
      </c>
      <c r="F14055" s="2072"/>
      <c r="G14055" s="2072"/>
      <c r="H14055" s="2072"/>
      <c r="K14055" s="841" t="s">
        <v>3112</v>
      </c>
      <c r="M14055" s="1357"/>
      <c r="Q14055" s="1357"/>
      <c r="S14055" s="1420"/>
      <c r="T14055" s="1420"/>
      <c r="V14055" s="1357">
        <v>280</v>
      </c>
    </row>
    <row r="14056" spans="1:22" s="841" customFormat="1" ht="15" x14ac:dyDescent="0.25">
      <c r="A14056" s="841" t="s">
        <v>211</v>
      </c>
      <c r="B14056" s="841" t="s">
        <v>3963</v>
      </c>
      <c r="E14056" s="2072" t="s">
        <v>3064</v>
      </c>
      <c r="F14056" s="2072"/>
      <c r="G14056" s="2072"/>
      <c r="H14056" s="2072"/>
      <c r="K14056" s="841" t="s">
        <v>3112</v>
      </c>
      <c r="M14056" s="1357"/>
      <c r="Q14056" s="1357"/>
      <c r="S14056" s="1420"/>
      <c r="T14056" s="1420"/>
      <c r="V14056" s="1357">
        <v>411</v>
      </c>
    </row>
    <row r="14057" spans="1:22" s="841" customFormat="1" ht="15" x14ac:dyDescent="0.25">
      <c r="A14057" s="841" t="s">
        <v>211</v>
      </c>
      <c r="B14057" s="841" t="s">
        <v>3963</v>
      </c>
      <c r="E14057" s="2072" t="s">
        <v>3065</v>
      </c>
      <c r="F14057" s="2072"/>
      <c r="G14057" s="2072"/>
      <c r="H14057" s="2072"/>
      <c r="K14057" s="841" t="s">
        <v>3112</v>
      </c>
      <c r="M14057" s="1357"/>
      <c r="Q14057" s="1357"/>
      <c r="S14057" s="1420"/>
      <c r="T14057" s="1420"/>
      <c r="V14057" s="1357">
        <v>387</v>
      </c>
    </row>
    <row r="14058" spans="1:22" s="841" customFormat="1" ht="15" x14ac:dyDescent="0.25">
      <c r="A14058" s="841" t="s">
        <v>211</v>
      </c>
      <c r="B14058" s="841" t="s">
        <v>3963</v>
      </c>
      <c r="E14058" s="2072" t="s">
        <v>3390</v>
      </c>
      <c r="F14058" s="2072"/>
      <c r="G14058" s="2072"/>
      <c r="H14058" s="2072"/>
      <c r="K14058" s="841" t="s">
        <v>3112</v>
      </c>
      <c r="M14058" s="1357"/>
      <c r="Q14058" s="1357"/>
      <c r="S14058" s="1420"/>
      <c r="T14058" s="1420"/>
      <c r="V14058" s="1357">
        <v>274</v>
      </c>
    </row>
    <row r="14059" spans="1:22" s="841" customFormat="1" ht="15" x14ac:dyDescent="0.25">
      <c r="A14059" s="841" t="s">
        <v>211</v>
      </c>
      <c r="B14059" s="841" t="s">
        <v>3963</v>
      </c>
      <c r="E14059" s="1694" t="s">
        <v>3067</v>
      </c>
      <c r="F14059" s="1907"/>
      <c r="G14059" s="1907"/>
      <c r="H14059" s="1907"/>
      <c r="K14059" s="841" t="s">
        <v>3115</v>
      </c>
      <c r="M14059" s="1357"/>
      <c r="Q14059" s="1357"/>
      <c r="S14059" s="1420"/>
      <c r="T14059" s="1420"/>
      <c r="V14059" s="1357">
        <v>46</v>
      </c>
    </row>
    <row r="14060" spans="1:22" s="841" customFormat="1" ht="15" x14ac:dyDescent="0.25">
      <c r="A14060" s="841" t="s">
        <v>211</v>
      </c>
      <c r="B14060" s="841" t="s">
        <v>3963</v>
      </c>
      <c r="E14060" s="1920" t="s">
        <v>11</v>
      </c>
      <c r="F14060" s="1690"/>
      <c r="G14060" s="1366" t="s">
        <v>23</v>
      </c>
      <c r="H14060" s="1193">
        <v>3.09</v>
      </c>
      <c r="K14060" s="841" t="s">
        <v>3112</v>
      </c>
      <c r="L14060" s="841" t="s">
        <v>442</v>
      </c>
      <c r="M14060" s="1357"/>
      <c r="P14060" s="841" t="s">
        <v>3116</v>
      </c>
      <c r="Q14060" s="1357"/>
      <c r="S14060" s="1420"/>
      <c r="T14060" s="1420"/>
      <c r="V14060" s="1357">
        <v>14</v>
      </c>
    </row>
    <row r="14061" spans="1:22" s="841" customFormat="1" ht="15" x14ac:dyDescent="0.25">
      <c r="A14061" s="841" t="s">
        <v>211</v>
      </c>
      <c r="B14061" s="841" t="s">
        <v>3963</v>
      </c>
      <c r="E14061" s="1920" t="s">
        <v>3966</v>
      </c>
      <c r="F14061" s="1690"/>
      <c r="G14061" s="1366" t="s">
        <v>23</v>
      </c>
      <c r="H14061" s="1195">
        <v>-0.03</v>
      </c>
      <c r="K14061" s="841" t="s">
        <v>3112</v>
      </c>
      <c r="L14061" s="841" t="s">
        <v>442</v>
      </c>
      <c r="M14061" s="1357"/>
      <c r="P14061" s="841" t="s">
        <v>6571</v>
      </c>
      <c r="Q14061" s="1357"/>
      <c r="S14061" s="1420"/>
      <c r="T14061" s="1420">
        <v>44134</v>
      </c>
      <c r="V14061" s="1357">
        <v>91</v>
      </c>
    </row>
    <row r="14062" spans="1:22" s="841" customFormat="1" ht="15" x14ac:dyDescent="0.25">
      <c r="A14062" s="841" t="s">
        <v>211</v>
      </c>
      <c r="B14062" s="841" t="s">
        <v>3963</v>
      </c>
      <c r="E14062" s="1920" t="s">
        <v>84</v>
      </c>
      <c r="F14062" s="1690"/>
      <c r="G14062" s="1366" t="s">
        <v>33</v>
      </c>
      <c r="H14062" s="1194">
        <v>12.4552</v>
      </c>
      <c r="K14062" s="841" t="s">
        <v>3112</v>
      </c>
      <c r="L14062" s="841" t="s">
        <v>442</v>
      </c>
      <c r="M14062" s="1357"/>
      <c r="P14062" s="841" t="s">
        <v>3117</v>
      </c>
      <c r="Q14062" s="1357"/>
      <c r="S14062" s="1420"/>
      <c r="T14062" s="1420"/>
      <c r="V14062" s="1357">
        <v>28</v>
      </c>
    </row>
    <row r="14063" spans="1:22" s="841" customFormat="1" ht="15" x14ac:dyDescent="0.25">
      <c r="A14063" s="841" t="s">
        <v>211</v>
      </c>
      <c r="B14063" s="841" t="s">
        <v>3963</v>
      </c>
      <c r="E14063" s="1920" t="s">
        <v>5766</v>
      </c>
      <c r="F14063" s="1908"/>
      <c r="G14063" s="1366" t="s">
        <v>33</v>
      </c>
      <c r="H14063" s="393">
        <v>9.1499999999999998E-2</v>
      </c>
      <c r="K14063" s="841" t="s">
        <v>3112</v>
      </c>
      <c r="L14063" s="841" t="s">
        <v>443</v>
      </c>
      <c r="M14063" s="1357"/>
      <c r="P14063" s="841" t="s">
        <v>5313</v>
      </c>
      <c r="Q14063" s="1357"/>
      <c r="S14063" s="1420"/>
      <c r="T14063" s="1420">
        <v>43585</v>
      </c>
      <c r="V14063" s="1357">
        <v>145</v>
      </c>
    </row>
    <row r="14064" spans="1:22" s="841" customFormat="1" ht="15" x14ac:dyDescent="0.25">
      <c r="A14064" s="841" t="s">
        <v>211</v>
      </c>
      <c r="B14064" s="841" t="s">
        <v>3963</v>
      </c>
      <c r="E14064" s="1920" t="s">
        <v>3966</v>
      </c>
      <c r="F14064" s="1690"/>
      <c r="G14064" s="1366" t="s">
        <v>33</v>
      </c>
      <c r="H14064" s="1196">
        <v>-0.1246</v>
      </c>
      <c r="K14064" s="841" t="s">
        <v>3112</v>
      </c>
      <c r="L14064" s="841" t="s">
        <v>442</v>
      </c>
      <c r="M14064" s="1357"/>
      <c r="P14064" s="841" t="s">
        <v>6572</v>
      </c>
      <c r="Q14064" s="1357"/>
      <c r="S14064" s="1420"/>
      <c r="T14064" s="1420">
        <v>44134</v>
      </c>
      <c r="V14064" s="1357">
        <v>91</v>
      </c>
    </row>
    <row r="14065" spans="1:22" s="841" customFormat="1" ht="15" x14ac:dyDescent="0.25">
      <c r="A14065" s="841" t="s">
        <v>211</v>
      </c>
      <c r="B14065" s="841" t="s">
        <v>3963</v>
      </c>
      <c r="E14065" s="1920" t="s">
        <v>5129</v>
      </c>
      <c r="F14065" s="1908"/>
      <c r="G14065" s="1366" t="s">
        <v>24</v>
      </c>
      <c r="H14065" s="1196">
        <v>3.5999999999999999E-3</v>
      </c>
      <c r="K14065" s="841" t="s">
        <v>3112</v>
      </c>
      <c r="L14065" s="841" t="s">
        <v>443</v>
      </c>
      <c r="M14065" s="1357"/>
      <c r="P14065" s="841" t="s">
        <v>3119</v>
      </c>
      <c r="Q14065" s="1357"/>
      <c r="S14065" s="1420"/>
      <c r="T14065" s="1420">
        <v>43585</v>
      </c>
      <c r="V14065" s="1357">
        <v>139</v>
      </c>
    </row>
    <row r="14066" spans="1:22" s="841" customFormat="1" ht="15" x14ac:dyDescent="0.25">
      <c r="A14066" s="841" t="s">
        <v>211</v>
      </c>
      <c r="B14066" s="841" t="s">
        <v>3963</v>
      </c>
      <c r="E14066" s="1920" t="s">
        <v>5130</v>
      </c>
      <c r="F14066" s="1908"/>
      <c r="G14066" s="1366" t="s">
        <v>33</v>
      </c>
      <c r="H14066" s="1196">
        <v>-0.91904614568726684</v>
      </c>
      <c r="K14066" s="841" t="s">
        <v>3112</v>
      </c>
      <c r="L14066" s="841" t="s">
        <v>443</v>
      </c>
      <c r="M14066" s="1357"/>
      <c r="P14066" s="841" t="s">
        <v>3118</v>
      </c>
      <c r="Q14066" s="1357"/>
      <c r="S14066" s="1420"/>
      <c r="T14066" s="1420">
        <v>43585</v>
      </c>
      <c r="V14066" s="1357">
        <v>96</v>
      </c>
    </row>
    <row r="14067" spans="1:22" s="841" customFormat="1" ht="15" x14ac:dyDescent="0.25">
      <c r="A14067" s="841" t="s">
        <v>211</v>
      </c>
      <c r="B14067" s="841" t="s">
        <v>3963</v>
      </c>
      <c r="E14067" s="1920" t="s">
        <v>5926</v>
      </c>
      <c r="F14067" s="1690"/>
      <c r="G14067" s="1366" t="s">
        <v>33</v>
      </c>
      <c r="H14067" s="1196">
        <v>0.21870000000000001</v>
      </c>
      <c r="K14067" s="841" t="s">
        <v>3112</v>
      </c>
      <c r="L14067" s="841" t="s">
        <v>442</v>
      </c>
      <c r="M14067" s="1357"/>
      <c r="P14067" s="841" t="s">
        <v>6573</v>
      </c>
      <c r="Q14067" s="1357"/>
      <c r="S14067" s="1420"/>
      <c r="T14067" s="1420"/>
      <c r="V14067" s="1357">
        <v>133</v>
      </c>
    </row>
    <row r="14068" spans="1:22" s="841" customFormat="1" ht="15" x14ac:dyDescent="0.25">
      <c r="A14068" s="841" t="s">
        <v>211</v>
      </c>
      <c r="B14068" s="841" t="s">
        <v>3963</v>
      </c>
      <c r="E14068" s="1920" t="s">
        <v>221</v>
      </c>
      <c r="F14068" s="1690"/>
      <c r="G14068" s="1366" t="s">
        <v>33</v>
      </c>
      <c r="H14068" s="1194">
        <v>2.0316000000000001</v>
      </c>
      <c r="K14068" s="841" t="s">
        <v>3112</v>
      </c>
      <c r="L14068" s="841" t="s">
        <v>444</v>
      </c>
      <c r="M14068" s="1357"/>
      <c r="P14068" s="841" t="s">
        <v>3120</v>
      </c>
      <c r="Q14068" s="1357"/>
      <c r="S14068" s="1420"/>
      <c r="T14068" s="1420"/>
      <c r="V14068" s="1357">
        <v>47</v>
      </c>
    </row>
    <row r="14069" spans="1:22" s="841" customFormat="1" ht="15" x14ac:dyDescent="0.25">
      <c r="A14069" s="841" t="s">
        <v>211</v>
      </c>
      <c r="B14069" s="841" t="s">
        <v>3963</v>
      </c>
      <c r="E14069" s="1920" t="s">
        <v>217</v>
      </c>
      <c r="F14069" s="1690"/>
      <c r="G14069" s="1366" t="s">
        <v>33</v>
      </c>
      <c r="H14069" s="1194">
        <v>1.883</v>
      </c>
      <c r="K14069" s="841" t="s">
        <v>3112</v>
      </c>
      <c r="L14069" s="841" t="s">
        <v>444</v>
      </c>
      <c r="M14069" s="1357"/>
      <c r="P14069" s="841" t="s">
        <v>3121</v>
      </c>
      <c r="Q14069" s="1357"/>
      <c r="S14069" s="1420"/>
      <c r="T14069" s="1420"/>
      <c r="V14069" s="1357">
        <v>74</v>
      </c>
    </row>
    <row r="14070" spans="1:22" s="841" customFormat="1" ht="15" x14ac:dyDescent="0.25">
      <c r="A14070" s="841" t="s">
        <v>211</v>
      </c>
      <c r="B14070" s="841" t="s">
        <v>3963</v>
      </c>
      <c r="E14070" s="1694" t="s">
        <v>3079</v>
      </c>
      <c r="F14070" s="1690"/>
      <c r="G14070" s="1365"/>
      <c r="H14070" s="1365"/>
      <c r="K14070" s="841" t="s">
        <v>3122</v>
      </c>
      <c r="M14070" s="1357"/>
      <c r="Q14070" s="1357"/>
      <c r="S14070" s="1420"/>
      <c r="T14070" s="1420"/>
      <c r="V14070" s="1357">
        <v>48</v>
      </c>
    </row>
    <row r="14071" spans="1:22" s="841" customFormat="1" ht="15" x14ac:dyDescent="0.25">
      <c r="A14071" s="841" t="s">
        <v>211</v>
      </c>
      <c r="B14071" s="841" t="s">
        <v>3963</v>
      </c>
      <c r="E14071" s="1920" t="s">
        <v>2449</v>
      </c>
      <c r="F14071" s="1690"/>
      <c r="G14071" s="1366" t="s">
        <v>24</v>
      </c>
      <c r="H14071" s="1196">
        <v>3.2000000000000002E-3</v>
      </c>
      <c r="K14071" s="841" t="s">
        <v>3112</v>
      </c>
      <c r="L14071" s="841" t="s">
        <v>3046</v>
      </c>
      <c r="M14071" s="1357"/>
      <c r="P14071" s="841" t="s">
        <v>3123</v>
      </c>
      <c r="Q14071" s="1357"/>
      <c r="S14071" s="1420"/>
      <c r="T14071" s="1420"/>
      <c r="V14071" s="1357">
        <v>55</v>
      </c>
    </row>
    <row r="14072" spans="1:22" s="841" customFormat="1" ht="15" x14ac:dyDescent="0.25">
      <c r="A14072" s="841" t="s">
        <v>211</v>
      </c>
      <c r="B14072" s="841" t="s">
        <v>3963</v>
      </c>
      <c r="E14072" s="1920" t="s">
        <v>2450</v>
      </c>
      <c r="F14072" s="1690"/>
      <c r="G14072" s="1366" t="s">
        <v>24</v>
      </c>
      <c r="H14072" s="1196">
        <v>4.0000000000000002E-4</v>
      </c>
      <c r="K14072" s="841" t="s">
        <v>3112</v>
      </c>
      <c r="L14072" s="841" t="s">
        <v>3046</v>
      </c>
      <c r="M14072" s="1357"/>
      <c r="P14072" s="841" t="s">
        <v>3123</v>
      </c>
      <c r="Q14072" s="1357"/>
      <c r="S14072" s="1420"/>
      <c r="T14072" s="1420"/>
      <c r="V14072" s="1357">
        <v>65</v>
      </c>
    </row>
    <row r="14073" spans="1:22" s="841" customFormat="1" ht="15" x14ac:dyDescent="0.25">
      <c r="A14073" s="841" t="s">
        <v>211</v>
      </c>
      <c r="B14073" s="841" t="s">
        <v>3963</v>
      </c>
      <c r="E14073" s="1920" t="s">
        <v>439</v>
      </c>
      <c r="F14073" s="1690"/>
      <c r="G14073" s="1366" t="s">
        <v>24</v>
      </c>
      <c r="H14073" s="1196">
        <v>2.9999999999999997E-4</v>
      </c>
      <c r="K14073" s="841" t="s">
        <v>3112</v>
      </c>
      <c r="L14073" s="841" t="s">
        <v>3046</v>
      </c>
      <c r="M14073" s="1357"/>
      <c r="P14073" s="841" t="s">
        <v>3124</v>
      </c>
      <c r="Q14073" s="1357"/>
      <c r="S14073" s="1420"/>
      <c r="T14073" s="1420"/>
      <c r="V14073" s="1357">
        <v>57</v>
      </c>
    </row>
    <row r="14074" spans="1:22" s="841" customFormat="1" ht="15" x14ac:dyDescent="0.25">
      <c r="A14074" s="841" t="s">
        <v>211</v>
      </c>
      <c r="B14074" s="841" t="s">
        <v>3963</v>
      </c>
      <c r="E14074" s="1920" t="s">
        <v>32</v>
      </c>
      <c r="F14074" s="1690"/>
      <c r="G14074" s="1366" t="s">
        <v>23</v>
      </c>
      <c r="H14074" s="1196">
        <v>0.25</v>
      </c>
      <c r="K14074" s="841" t="s">
        <v>3112</v>
      </c>
      <c r="L14074" s="841" t="s">
        <v>3046</v>
      </c>
      <c r="M14074" s="1357"/>
      <c r="P14074" s="841" t="s">
        <v>3125</v>
      </c>
      <c r="Q14074" s="1357"/>
      <c r="S14074" s="1420"/>
      <c r="T14074" s="1420"/>
      <c r="V14074" s="1357">
        <v>63</v>
      </c>
    </row>
    <row r="14075" spans="1:22" s="841" customFormat="1" x14ac:dyDescent="0.25">
      <c r="A14075" s="841" t="s">
        <v>211</v>
      </c>
      <c r="B14075" s="841" t="s">
        <v>3963</v>
      </c>
      <c r="E14075" s="1909" t="s">
        <v>618</v>
      </c>
      <c r="F14075" s="1923"/>
      <c r="G14075" s="1923"/>
      <c r="H14075" s="1923"/>
      <c r="K14075" s="841" t="s">
        <v>3126</v>
      </c>
      <c r="M14075" s="1357"/>
      <c r="Q14075" s="1357"/>
      <c r="S14075" s="1420"/>
      <c r="T14075" s="1420"/>
      <c r="V14075" s="1357">
        <v>31</v>
      </c>
    </row>
    <row r="14076" spans="1:22" s="841" customFormat="1" ht="15" x14ac:dyDescent="0.25">
      <c r="A14076" s="841" t="s">
        <v>211</v>
      </c>
      <c r="B14076" s="841" t="s">
        <v>3963</v>
      </c>
      <c r="E14076" s="2072" t="s">
        <v>3127</v>
      </c>
      <c r="F14076" s="2072"/>
      <c r="G14076" s="2072"/>
      <c r="H14076" s="2072"/>
      <c r="K14076" s="841" t="s">
        <v>3126</v>
      </c>
      <c r="M14076" s="1357"/>
      <c r="Q14076" s="1357"/>
      <c r="S14076" s="1420"/>
      <c r="T14076" s="1420"/>
      <c r="V14076" s="1357">
        <v>286</v>
      </c>
    </row>
    <row r="14077" spans="1:22" s="841" customFormat="1" ht="15" x14ac:dyDescent="0.25">
      <c r="A14077" s="841" t="s">
        <v>211</v>
      </c>
      <c r="B14077" s="841" t="s">
        <v>3963</v>
      </c>
      <c r="E14077" s="1916" t="s">
        <v>3061</v>
      </c>
      <c r="F14077" s="1689"/>
      <c r="G14077" s="1689"/>
      <c r="H14077" s="1689"/>
      <c r="K14077" s="841" t="s">
        <v>3128</v>
      </c>
      <c r="M14077" s="1357"/>
      <c r="Q14077" s="1357"/>
      <c r="S14077" s="1420"/>
      <c r="T14077" s="1420"/>
      <c r="V14077" s="1357">
        <v>11</v>
      </c>
    </row>
    <row r="14078" spans="1:22" s="841" customFormat="1" ht="15" x14ac:dyDescent="0.25">
      <c r="A14078" s="841" t="s">
        <v>211</v>
      </c>
      <c r="B14078" s="841" t="s">
        <v>3963</v>
      </c>
      <c r="E14078" s="2072" t="s">
        <v>3063</v>
      </c>
      <c r="F14078" s="2072"/>
      <c r="G14078" s="2072"/>
      <c r="H14078" s="2072"/>
      <c r="K14078" s="841" t="s">
        <v>3126</v>
      </c>
      <c r="M14078" s="1357"/>
      <c r="Q14078" s="1357"/>
      <c r="S14078" s="1420"/>
      <c r="T14078" s="1420"/>
      <c r="V14078" s="1357">
        <v>280</v>
      </c>
    </row>
    <row r="14079" spans="1:22" s="841" customFormat="1" ht="15" x14ac:dyDescent="0.25">
      <c r="A14079" s="841" t="s">
        <v>211</v>
      </c>
      <c r="B14079" s="841" t="s">
        <v>3963</v>
      </c>
      <c r="E14079" s="2072" t="s">
        <v>3064</v>
      </c>
      <c r="F14079" s="2072"/>
      <c r="G14079" s="2072"/>
      <c r="H14079" s="2072"/>
      <c r="K14079" s="841" t="s">
        <v>3126</v>
      </c>
      <c r="M14079" s="1357"/>
      <c r="Q14079" s="1357"/>
      <c r="S14079" s="1420"/>
      <c r="T14079" s="1420"/>
      <c r="V14079" s="1357">
        <v>411</v>
      </c>
    </row>
    <row r="14080" spans="1:22" s="841" customFormat="1" ht="15" x14ac:dyDescent="0.25">
      <c r="A14080" s="841" t="s">
        <v>211</v>
      </c>
      <c r="B14080" s="841" t="s">
        <v>3963</v>
      </c>
      <c r="E14080" s="2072" t="s">
        <v>3129</v>
      </c>
      <c r="F14080" s="2072"/>
      <c r="G14080" s="2072"/>
      <c r="H14080" s="2072"/>
      <c r="K14080" s="841" t="s">
        <v>3126</v>
      </c>
      <c r="M14080" s="1357"/>
      <c r="Q14080" s="1357"/>
      <c r="S14080" s="1420"/>
      <c r="T14080" s="1420"/>
      <c r="V14080" s="1357">
        <v>211</v>
      </c>
    </row>
    <row r="14081" spans="1:22" s="841" customFormat="1" ht="15" x14ac:dyDescent="0.25">
      <c r="A14081" s="841" t="s">
        <v>211</v>
      </c>
      <c r="B14081" s="841" t="s">
        <v>3963</v>
      </c>
      <c r="E14081" s="2072" t="s">
        <v>3390</v>
      </c>
      <c r="F14081" s="2072"/>
      <c r="G14081" s="2072"/>
      <c r="H14081" s="2072"/>
      <c r="K14081" s="841" t="s">
        <v>3126</v>
      </c>
      <c r="M14081" s="1357"/>
      <c r="Q14081" s="1357"/>
      <c r="S14081" s="1420"/>
      <c r="T14081" s="1420"/>
      <c r="V14081" s="1357">
        <v>274</v>
      </c>
    </row>
    <row r="14082" spans="1:22" s="841" customFormat="1" ht="15" x14ac:dyDescent="0.25">
      <c r="A14082" s="841" t="s">
        <v>211</v>
      </c>
      <c r="B14082" s="841" t="s">
        <v>3963</v>
      </c>
      <c r="E14082" s="1694" t="s">
        <v>3632</v>
      </c>
      <c r="F14082" s="1907"/>
      <c r="G14082" s="1907"/>
      <c r="H14082" s="1907"/>
      <c r="K14082" s="841" t="s">
        <v>3130</v>
      </c>
      <c r="M14082" s="1357"/>
      <c r="Q14082" s="1357"/>
      <c r="S14082" s="1420"/>
      <c r="T14082" s="1420"/>
      <c r="V14082" s="1357">
        <v>47</v>
      </c>
    </row>
    <row r="14083" spans="1:22" s="841" customFormat="1" ht="15" x14ac:dyDescent="0.25">
      <c r="A14083" s="841" t="s">
        <v>211</v>
      </c>
      <c r="B14083" s="841" t="s">
        <v>3963</v>
      </c>
      <c r="E14083" s="1920" t="s">
        <v>11</v>
      </c>
      <c r="F14083" s="1690"/>
      <c r="G14083" s="1366" t="s">
        <v>23</v>
      </c>
      <c r="H14083" s="1193">
        <v>5.4</v>
      </c>
      <c r="K14083" s="841" t="s">
        <v>3126</v>
      </c>
      <c r="L14083" s="841" t="s">
        <v>442</v>
      </c>
      <c r="M14083" s="1357"/>
      <c r="P14083" s="841" t="s">
        <v>3131</v>
      </c>
      <c r="Q14083" s="1357"/>
      <c r="S14083" s="1420"/>
      <c r="T14083" s="1420"/>
      <c r="V14083" s="1357">
        <v>14</v>
      </c>
    </row>
    <row r="14084" spans="1:22" s="841" customFormat="1" ht="18.75" x14ac:dyDescent="0.3">
      <c r="A14084" s="841" t="s">
        <v>211</v>
      </c>
      <c r="B14084" s="841" t="s">
        <v>3963</v>
      </c>
      <c r="E14084" s="1374" t="s">
        <v>85</v>
      </c>
      <c r="F14084" s="1204"/>
      <c r="G14084" s="1204"/>
      <c r="H14084" s="1204"/>
      <c r="K14084" s="841" t="s">
        <v>3970</v>
      </c>
      <c r="M14084" s="1357"/>
      <c r="Q14084" s="1357"/>
      <c r="S14084" s="1420"/>
      <c r="T14084" s="1420"/>
      <c r="V14084" s="1357">
        <v>10</v>
      </c>
    </row>
    <row r="14085" spans="1:22" s="841" customFormat="1" ht="15" x14ac:dyDescent="0.25">
      <c r="A14085" s="841" t="s">
        <v>211</v>
      </c>
      <c r="B14085" s="841" t="s">
        <v>3963</v>
      </c>
      <c r="E14085" s="1690" t="s">
        <v>3133</v>
      </c>
      <c r="F14085" s="1690"/>
      <c r="G14085" s="1365" t="s">
        <v>33</v>
      </c>
      <c r="H14085" s="733">
        <v>-0.6</v>
      </c>
      <c r="M14085" s="1357"/>
      <c r="Q14085" s="1357"/>
      <c r="S14085" s="1420"/>
      <c r="T14085" s="1420"/>
      <c r="V14085" s="1357">
        <v>68</v>
      </c>
    </row>
    <row r="14086" spans="1:22" s="841" customFormat="1" ht="15" x14ac:dyDescent="0.25">
      <c r="A14086" s="841" t="s">
        <v>211</v>
      </c>
      <c r="B14086" s="841" t="s">
        <v>3963</v>
      </c>
      <c r="E14086" s="1690" t="s">
        <v>3134</v>
      </c>
      <c r="F14086" s="1690"/>
      <c r="G14086" s="1365" t="s">
        <v>86</v>
      </c>
      <c r="H14086" s="733">
        <v>-1</v>
      </c>
      <c r="M14086" s="1357"/>
      <c r="Q14086" s="1357"/>
      <c r="S14086" s="1420"/>
      <c r="T14086" s="1420"/>
      <c r="V14086" s="1357">
        <v>87</v>
      </c>
    </row>
    <row r="14087" spans="1:22" s="841" customFormat="1" ht="36.75" x14ac:dyDescent="0.3">
      <c r="A14087" s="841" t="s">
        <v>211</v>
      </c>
      <c r="B14087" s="841" t="s">
        <v>3963</v>
      </c>
      <c r="E14087" s="1385" t="s">
        <v>87</v>
      </c>
      <c r="F14087" s="1204"/>
      <c r="G14087" s="1204"/>
      <c r="H14087" s="1204"/>
      <c r="K14087" s="841" t="s">
        <v>3971</v>
      </c>
      <c r="M14087" s="1357"/>
      <c r="Q14087" s="1357"/>
      <c r="S14087" s="1420"/>
      <c r="T14087" s="1420"/>
      <c r="V14087" s="1357">
        <v>24</v>
      </c>
    </row>
    <row r="14088" spans="1:22" s="841" customFormat="1" ht="15" x14ac:dyDescent="0.25">
      <c r="A14088" s="841" t="s">
        <v>211</v>
      </c>
      <c r="B14088" s="841" t="s">
        <v>3963</v>
      </c>
      <c r="E14088" s="1926" t="s">
        <v>3061</v>
      </c>
      <c r="F14088" s="1689"/>
      <c r="G14088" s="1689"/>
      <c r="H14088" s="1689"/>
      <c r="M14088" s="1357"/>
      <c r="Q14088" s="1357"/>
      <c r="S14088" s="1420"/>
      <c r="T14088" s="1420"/>
      <c r="V14088" s="1357">
        <v>11</v>
      </c>
    </row>
    <row r="14089" spans="1:22" s="841" customFormat="1" ht="15" x14ac:dyDescent="0.25">
      <c r="A14089" s="841" t="s">
        <v>211</v>
      </c>
      <c r="B14089" s="841" t="s">
        <v>3963</v>
      </c>
      <c r="E14089" s="2072" t="s">
        <v>3063</v>
      </c>
      <c r="F14089" s="2072"/>
      <c r="G14089" s="2072"/>
      <c r="H14089" s="2072"/>
      <c r="M14089" s="1357"/>
      <c r="Q14089" s="1357"/>
      <c r="S14089" s="1420"/>
      <c r="T14089" s="1420"/>
      <c r="V14089" s="1357">
        <v>280</v>
      </c>
    </row>
    <row r="14090" spans="1:22" s="841" customFormat="1" ht="15" x14ac:dyDescent="0.25">
      <c r="A14090" s="841" t="s">
        <v>211</v>
      </c>
      <c r="B14090" s="841" t="s">
        <v>3963</v>
      </c>
      <c r="E14090" s="2072" t="s">
        <v>3136</v>
      </c>
      <c r="F14090" s="2072"/>
      <c r="G14090" s="2072"/>
      <c r="H14090" s="2072"/>
      <c r="M14090" s="1357"/>
      <c r="Q14090" s="1357"/>
      <c r="S14090" s="1420"/>
      <c r="T14090" s="1420"/>
      <c r="V14090" s="1357">
        <v>353</v>
      </c>
    </row>
    <row r="14091" spans="1:22" s="841" customFormat="1" ht="15" x14ac:dyDescent="0.25">
      <c r="A14091" s="841" t="s">
        <v>211</v>
      </c>
      <c r="B14091" s="841" t="s">
        <v>3963</v>
      </c>
      <c r="E14091" s="2071" t="s">
        <v>3390</v>
      </c>
      <c r="F14091" s="2071"/>
      <c r="G14091" s="2071"/>
      <c r="H14091" s="2071"/>
      <c r="M14091" s="1357"/>
      <c r="Q14091" s="1357"/>
      <c r="S14091" s="1420"/>
      <c r="T14091" s="1420"/>
      <c r="V14091" s="1357">
        <v>274</v>
      </c>
    </row>
    <row r="14092" spans="1:22" s="841" customFormat="1" ht="15" x14ac:dyDescent="0.25">
      <c r="A14092" s="841" t="s">
        <v>211</v>
      </c>
      <c r="B14092" s="841" t="s">
        <v>3963</v>
      </c>
      <c r="E14092" s="1694" t="s">
        <v>3137</v>
      </c>
      <c r="F14092" s="1694"/>
      <c r="G14092" s="1694"/>
      <c r="H14092" s="1694"/>
      <c r="K14092" s="841" t="s">
        <v>3972</v>
      </c>
      <c r="M14092" s="1357"/>
      <c r="Q14092" s="1357"/>
      <c r="S14092" s="1420"/>
      <c r="T14092" s="1420"/>
      <c r="V14092" s="1357">
        <v>23</v>
      </c>
    </row>
    <row r="14093" spans="1:22" s="841" customFormat="1" ht="15" x14ac:dyDescent="0.25">
      <c r="A14093" s="841" t="s">
        <v>211</v>
      </c>
      <c r="B14093" s="841" t="s">
        <v>3963</v>
      </c>
      <c r="E14093" s="1688" t="s">
        <v>3146</v>
      </c>
      <c r="F14093" s="1688"/>
      <c r="G14093" s="1365" t="s">
        <v>23</v>
      </c>
      <c r="H14093" s="733">
        <v>15</v>
      </c>
      <c r="M14093" s="1357"/>
      <c r="Q14093" s="1357"/>
      <c r="S14093" s="1420"/>
      <c r="T14093" s="1420"/>
      <c r="V14093" s="1357">
        <v>19</v>
      </c>
    </row>
    <row r="14094" spans="1:22" s="841" customFormat="1" ht="15" x14ac:dyDescent="0.25">
      <c r="A14094" s="841" t="s">
        <v>211</v>
      </c>
      <c r="B14094" s="841" t="s">
        <v>3963</v>
      </c>
      <c r="E14094" s="1688" t="s">
        <v>123</v>
      </c>
      <c r="F14094" s="1688"/>
      <c r="G14094" s="1365" t="s">
        <v>23</v>
      </c>
      <c r="H14094" s="733">
        <v>15</v>
      </c>
      <c r="M14094" s="1357"/>
      <c r="Q14094" s="1357"/>
      <c r="S14094" s="1420"/>
      <c r="T14094" s="1420"/>
      <c r="V14094" s="1357">
        <v>35</v>
      </c>
    </row>
    <row r="14095" spans="1:22" s="841" customFormat="1" ht="15" x14ac:dyDescent="0.25">
      <c r="A14095" s="841" t="s">
        <v>211</v>
      </c>
      <c r="B14095" s="841" t="s">
        <v>3963</v>
      </c>
      <c r="E14095" s="1688" t="s">
        <v>3151</v>
      </c>
      <c r="F14095" s="1688"/>
      <c r="G14095" s="1365" t="s">
        <v>23</v>
      </c>
      <c r="H14095" s="733">
        <v>15</v>
      </c>
      <c r="M14095" s="1357"/>
      <c r="Q14095" s="1357"/>
      <c r="S14095" s="1420"/>
      <c r="T14095" s="1420"/>
      <c r="V14095" s="1357">
        <v>19</v>
      </c>
    </row>
    <row r="14096" spans="1:22" s="841" customFormat="1" ht="15" x14ac:dyDescent="0.25">
      <c r="A14096" s="841" t="s">
        <v>211</v>
      </c>
      <c r="B14096" s="841" t="s">
        <v>3963</v>
      </c>
      <c r="E14096" s="1688" t="s">
        <v>3961</v>
      </c>
      <c r="F14096" s="1688"/>
      <c r="G14096" s="1365" t="s">
        <v>23</v>
      </c>
      <c r="H14096" s="733">
        <v>30</v>
      </c>
      <c r="M14096" s="1357"/>
      <c r="Q14096" s="1357"/>
      <c r="S14096" s="1420"/>
      <c r="T14096" s="1420"/>
      <c r="V14096" s="1357">
        <v>91</v>
      </c>
    </row>
    <row r="14097" spans="1:22" s="841" customFormat="1" ht="15" x14ac:dyDescent="0.25">
      <c r="A14097" s="841" t="s">
        <v>211</v>
      </c>
      <c r="B14097" s="841" t="s">
        <v>3963</v>
      </c>
      <c r="E14097" s="1688" t="s">
        <v>92</v>
      </c>
      <c r="F14097" s="1688"/>
      <c r="G14097" s="1365" t="s">
        <v>23</v>
      </c>
      <c r="H14097" s="733">
        <v>30</v>
      </c>
      <c r="M14097" s="1357"/>
      <c r="Q14097" s="1357"/>
      <c r="S14097" s="1420"/>
      <c r="T14097" s="1420"/>
      <c r="V14097" s="1357">
        <v>74</v>
      </c>
    </row>
    <row r="14098" spans="1:22" s="841" customFormat="1" ht="15" x14ac:dyDescent="0.25">
      <c r="A14098" s="841" t="s">
        <v>211</v>
      </c>
      <c r="B14098" s="841" t="s">
        <v>3963</v>
      </c>
      <c r="E14098" s="1688" t="s">
        <v>3140</v>
      </c>
      <c r="F14098" s="1688"/>
      <c r="G14098" s="1365" t="s">
        <v>23</v>
      </c>
      <c r="H14098" s="733">
        <v>15</v>
      </c>
      <c r="M14098" s="1357"/>
      <c r="Q14098" s="1357"/>
      <c r="S14098" s="1420"/>
      <c r="T14098" s="1420"/>
      <c r="V14098" s="1357">
        <v>20</v>
      </c>
    </row>
    <row r="14099" spans="1:22" s="841" customFormat="1" ht="15" x14ac:dyDescent="0.25">
      <c r="A14099" s="841" t="s">
        <v>211</v>
      </c>
      <c r="B14099" s="841" t="s">
        <v>3963</v>
      </c>
      <c r="E14099" s="1688" t="s">
        <v>3147</v>
      </c>
      <c r="F14099" s="1688"/>
      <c r="G14099" s="1365" t="s">
        <v>23</v>
      </c>
      <c r="H14099" s="733">
        <v>15</v>
      </c>
      <c r="M14099" s="1357"/>
      <c r="Q14099" s="1357"/>
      <c r="S14099" s="1420"/>
      <c r="T14099" s="1420"/>
      <c r="V14099" s="1357">
        <v>15</v>
      </c>
    </row>
    <row r="14100" spans="1:22" s="841" customFormat="1" ht="15" x14ac:dyDescent="0.25">
      <c r="A14100" s="841" t="s">
        <v>211</v>
      </c>
      <c r="B14100" s="841" t="s">
        <v>3963</v>
      </c>
      <c r="E14100" s="1370" t="s">
        <v>3152</v>
      </c>
      <c r="F14100" s="1088"/>
      <c r="G14100" s="1088"/>
      <c r="H14100" s="1343"/>
      <c r="K14100" s="841" t="s">
        <v>3973</v>
      </c>
      <c r="M14100" s="1357"/>
      <c r="Q14100" s="1357"/>
      <c r="S14100" s="1420"/>
      <c r="T14100" s="1420"/>
      <c r="V14100" s="1357">
        <v>22</v>
      </c>
    </row>
    <row r="14101" spans="1:22" s="841" customFormat="1" ht="15" x14ac:dyDescent="0.25">
      <c r="A14101" s="841" t="s">
        <v>211</v>
      </c>
      <c r="B14101" s="841" t="s">
        <v>3963</v>
      </c>
      <c r="E14101" s="1688" t="s">
        <v>5137</v>
      </c>
      <c r="F14101" s="1688"/>
      <c r="G14101" s="1365" t="s">
        <v>86</v>
      </c>
      <c r="H14101" s="1200">
        <v>1.5</v>
      </c>
      <c r="M14101" s="1357"/>
      <c r="Q14101" s="1357"/>
      <c r="S14101" s="1420"/>
      <c r="T14101" s="1420"/>
      <c r="V14101" s="1357">
        <v>24</v>
      </c>
    </row>
    <row r="14102" spans="1:22" s="841" customFormat="1" ht="15" x14ac:dyDescent="0.25">
      <c r="A14102" s="841" t="s">
        <v>211</v>
      </c>
      <c r="B14102" s="841" t="s">
        <v>3963</v>
      </c>
      <c r="E14102" s="1688" t="s">
        <v>4772</v>
      </c>
      <c r="F14102" s="1688"/>
      <c r="G14102" s="1365" t="s">
        <v>86</v>
      </c>
      <c r="H14102" s="1200">
        <v>19.559999999999999</v>
      </c>
      <c r="M14102" s="1357"/>
      <c r="Q14102" s="1357"/>
      <c r="S14102" s="1420"/>
      <c r="T14102" s="1420"/>
      <c r="V14102" s="1357">
        <v>24</v>
      </c>
    </row>
    <row r="14103" spans="1:22" s="841" customFormat="1" ht="15" x14ac:dyDescent="0.25">
      <c r="A14103" s="841" t="s">
        <v>211</v>
      </c>
      <c r="B14103" s="841" t="s">
        <v>3963</v>
      </c>
      <c r="E14103" s="1688" t="s">
        <v>3288</v>
      </c>
      <c r="F14103" s="1688"/>
      <c r="G14103" s="1365" t="s">
        <v>23</v>
      </c>
      <c r="H14103" s="1200">
        <v>30</v>
      </c>
      <c r="M14103" s="1357"/>
      <c r="Q14103" s="1357"/>
      <c r="S14103" s="1420"/>
      <c r="T14103" s="1420"/>
      <c r="V14103" s="1357">
        <v>47</v>
      </c>
    </row>
    <row r="14104" spans="1:22" s="841" customFormat="1" ht="15" x14ac:dyDescent="0.25">
      <c r="A14104" s="841" t="s">
        <v>211</v>
      </c>
      <c r="B14104" s="841" t="s">
        <v>3963</v>
      </c>
      <c r="E14104" s="1688" t="s">
        <v>4773</v>
      </c>
      <c r="F14104" s="1688"/>
      <c r="G14104" s="1365" t="s">
        <v>23</v>
      </c>
      <c r="H14104" s="1200">
        <v>65</v>
      </c>
      <c r="M14104" s="1357"/>
      <c r="Q14104" s="1357"/>
      <c r="S14104" s="1420"/>
      <c r="T14104" s="1420"/>
      <c r="V14104" s="1357">
        <v>52</v>
      </c>
    </row>
    <row r="14105" spans="1:22" s="841" customFormat="1" ht="15" x14ac:dyDescent="0.25">
      <c r="A14105" s="841" t="s">
        <v>211</v>
      </c>
      <c r="B14105" s="841" t="s">
        <v>3963</v>
      </c>
      <c r="E14105" s="1688" t="s">
        <v>4774</v>
      </c>
      <c r="F14105" s="1688"/>
      <c r="G14105" s="1365" t="s">
        <v>23</v>
      </c>
      <c r="H14105" s="1200">
        <v>185</v>
      </c>
      <c r="M14105" s="1357"/>
      <c r="Q14105" s="1357"/>
      <c r="S14105" s="1420"/>
      <c r="T14105" s="1420"/>
      <c r="V14105" s="1357">
        <v>51</v>
      </c>
    </row>
    <row r="14106" spans="1:22" s="841" customFormat="1" ht="15" x14ac:dyDescent="0.25">
      <c r="A14106" s="841" t="s">
        <v>211</v>
      </c>
      <c r="B14106" s="841" t="s">
        <v>3963</v>
      </c>
      <c r="E14106" s="1688" t="s">
        <v>5941</v>
      </c>
      <c r="F14106" s="1688"/>
      <c r="G14106" s="1365" t="s">
        <v>23</v>
      </c>
      <c r="H14106" s="1200">
        <v>65</v>
      </c>
      <c r="M14106" s="1357"/>
      <c r="Q14106" s="1357"/>
      <c r="S14106" s="1420"/>
      <c r="T14106" s="1420"/>
      <c r="V14106" s="1357">
        <v>58</v>
      </c>
    </row>
    <row r="14107" spans="1:22" s="841" customFormat="1" ht="15" x14ac:dyDescent="0.25">
      <c r="A14107" s="841" t="s">
        <v>211</v>
      </c>
      <c r="B14107" s="841" t="s">
        <v>3963</v>
      </c>
      <c r="E14107" s="1688" t="s">
        <v>5942</v>
      </c>
      <c r="F14107" s="1688"/>
      <c r="G14107" s="1365" t="s">
        <v>23</v>
      </c>
      <c r="H14107" s="1200">
        <v>185</v>
      </c>
      <c r="M14107" s="1357"/>
      <c r="Q14107" s="1357"/>
      <c r="S14107" s="1420"/>
      <c r="T14107" s="1420"/>
      <c r="V14107" s="1357">
        <v>57</v>
      </c>
    </row>
    <row r="14108" spans="1:22" s="841" customFormat="1" ht="15" x14ac:dyDescent="0.25">
      <c r="A14108" s="841" t="s">
        <v>211</v>
      </c>
      <c r="B14108" s="841" t="s">
        <v>3963</v>
      </c>
      <c r="E14108" s="1344" t="s">
        <v>3887</v>
      </c>
      <c r="F14108" s="1088"/>
      <c r="G14108" s="1088"/>
      <c r="H14108" s="1343"/>
      <c r="M14108" s="1357"/>
      <c r="Q14108" s="1357"/>
      <c r="S14108" s="1420"/>
      <c r="T14108" s="1420"/>
      <c r="V14108" s="1357">
        <v>6</v>
      </c>
    </row>
    <row r="14109" spans="1:22" s="841" customFormat="1" ht="15" x14ac:dyDescent="0.25">
      <c r="A14109" s="841" t="s">
        <v>211</v>
      </c>
      <c r="B14109" s="841" t="s">
        <v>3963</v>
      </c>
      <c r="E14109" s="1688" t="s">
        <v>94</v>
      </c>
      <c r="F14109" s="1688"/>
      <c r="G14109" s="1199" t="s">
        <v>23</v>
      </c>
      <c r="H14109" s="1200">
        <v>30</v>
      </c>
      <c r="M14109" s="1357"/>
      <c r="Q14109" s="1357"/>
      <c r="S14109" s="1420"/>
      <c r="T14109" s="1420"/>
      <c r="V14109" s="1357">
        <v>19</v>
      </c>
    </row>
    <row r="14110" spans="1:22" s="841" customFormat="1" ht="15" x14ac:dyDescent="0.25">
      <c r="A14110" s="841" t="s">
        <v>211</v>
      </c>
      <c r="B14110" s="841" t="s">
        <v>3963</v>
      </c>
      <c r="E14110" s="1688" t="s">
        <v>3491</v>
      </c>
      <c r="F14110" s="1688"/>
      <c r="G14110" s="1199" t="s">
        <v>23</v>
      </c>
      <c r="H14110" s="1200">
        <v>22.35</v>
      </c>
      <c r="M14110" s="1357"/>
      <c r="Q14110" s="1357"/>
      <c r="S14110" s="1420"/>
      <c r="T14110" s="1420"/>
      <c r="V14110" s="1357">
        <v>59</v>
      </c>
    </row>
    <row r="14111" spans="1:22" s="841" customFormat="1" ht="15" x14ac:dyDescent="0.25">
      <c r="A14111" s="841" t="s">
        <v>211</v>
      </c>
      <c r="B14111" s="841" t="s">
        <v>3963</v>
      </c>
      <c r="E14111" s="1688" t="s">
        <v>3166</v>
      </c>
      <c r="F14111" s="1688"/>
      <c r="G14111" s="1088"/>
      <c r="H14111" s="1088"/>
      <c r="M14111" s="1357"/>
      <c r="Q14111" s="1357"/>
      <c r="S14111" s="1420"/>
      <c r="T14111" s="1420"/>
      <c r="V14111" s="1357">
        <v>44</v>
      </c>
    </row>
    <row r="14112" spans="1:22" s="841" customFormat="1" ht="18.75" x14ac:dyDescent="0.3">
      <c r="A14112" s="841" t="s">
        <v>211</v>
      </c>
      <c r="B14112" s="841" t="s">
        <v>3963</v>
      </c>
      <c r="E14112" s="1931" t="s">
        <v>77</v>
      </c>
      <c r="F14112" s="1964"/>
      <c r="G14112" s="1964"/>
      <c r="H14112" s="1204"/>
      <c r="K14112" s="841" t="s">
        <v>3974</v>
      </c>
      <c r="M14112" s="1357"/>
      <c r="Q14112" s="1357"/>
      <c r="S14112" s="1420"/>
      <c r="T14112" s="1420"/>
      <c r="V14112" s="1357">
        <v>38</v>
      </c>
    </row>
    <row r="14113" spans="1:22" s="841" customFormat="1" ht="15" x14ac:dyDescent="0.25">
      <c r="A14113" s="841" t="s">
        <v>211</v>
      </c>
      <c r="B14113" s="841" t="s">
        <v>3963</v>
      </c>
      <c r="E14113" s="1926" t="s">
        <v>3061</v>
      </c>
      <c r="F14113" s="1689"/>
      <c r="G14113" s="1689"/>
      <c r="H14113" s="1689"/>
      <c r="K14113" s="841" t="s">
        <v>3128</v>
      </c>
      <c r="M14113" s="1357"/>
      <c r="Q14113" s="1357"/>
      <c r="S14113" s="1420"/>
      <c r="T14113" s="1420"/>
      <c r="V14113" s="1357">
        <v>11</v>
      </c>
    </row>
    <row r="14114" spans="1:22" s="841" customFormat="1" ht="15" x14ac:dyDescent="0.25">
      <c r="A14114" s="841" t="s">
        <v>211</v>
      </c>
      <c r="B14114" s="841" t="s">
        <v>3963</v>
      </c>
      <c r="E14114" s="2072" t="s">
        <v>3063</v>
      </c>
      <c r="F14114" s="2072"/>
      <c r="G14114" s="2072"/>
      <c r="H14114" s="2072"/>
      <c r="M14114" s="1357"/>
      <c r="Q14114" s="1357"/>
      <c r="S14114" s="1420"/>
      <c r="T14114" s="1420"/>
      <c r="V14114" s="1357">
        <v>280</v>
      </c>
    </row>
    <row r="14115" spans="1:22" s="841" customFormat="1" ht="15" x14ac:dyDescent="0.25">
      <c r="A14115" s="841" t="s">
        <v>211</v>
      </c>
      <c r="B14115" s="841" t="s">
        <v>3963</v>
      </c>
      <c r="E14115" s="2072" t="s">
        <v>3064</v>
      </c>
      <c r="F14115" s="2072"/>
      <c r="G14115" s="2072"/>
      <c r="H14115" s="2072"/>
      <c r="M14115" s="1357"/>
      <c r="Q14115" s="1357"/>
      <c r="S14115" s="1420"/>
      <c r="T14115" s="1420"/>
      <c r="V14115" s="1357">
        <v>411</v>
      </c>
    </row>
    <row r="14116" spans="1:22" s="841" customFormat="1" ht="15" x14ac:dyDescent="0.25">
      <c r="A14116" s="841" t="s">
        <v>211</v>
      </c>
      <c r="B14116" s="841" t="s">
        <v>3963</v>
      </c>
      <c r="E14116" s="2072" t="s">
        <v>3129</v>
      </c>
      <c r="F14116" s="2072"/>
      <c r="G14116" s="2072"/>
      <c r="H14116" s="2072"/>
      <c r="M14116" s="1357"/>
      <c r="Q14116" s="1357"/>
      <c r="S14116" s="1420"/>
      <c r="T14116" s="1420"/>
      <c r="V14116" s="1357">
        <v>211</v>
      </c>
    </row>
    <row r="14117" spans="1:22" s="841" customFormat="1" ht="15" x14ac:dyDescent="0.25">
      <c r="A14117" s="841" t="s">
        <v>211</v>
      </c>
      <c r="B14117" s="841" t="s">
        <v>3963</v>
      </c>
      <c r="E14117" s="2072" t="s">
        <v>3390</v>
      </c>
      <c r="F14117" s="2072"/>
      <c r="G14117" s="2072"/>
      <c r="H14117" s="2072"/>
      <c r="M14117" s="1357"/>
      <c r="Q14117" s="1357"/>
      <c r="S14117" s="1420"/>
      <c r="T14117" s="1420"/>
      <c r="V14117" s="1357">
        <v>274</v>
      </c>
    </row>
    <row r="14118" spans="1:22" s="841" customFormat="1" ht="15" x14ac:dyDescent="0.25">
      <c r="A14118" s="841" t="s">
        <v>211</v>
      </c>
      <c r="B14118" s="841" t="s">
        <v>3963</v>
      </c>
      <c r="E14118" s="1920" t="s">
        <v>3291</v>
      </c>
      <c r="F14118" s="1920"/>
      <c r="G14118" s="2179"/>
      <c r="H14118" s="2179"/>
      <c r="M14118" s="1357"/>
      <c r="Q14118" s="1357"/>
      <c r="S14118" s="1420"/>
      <c r="T14118" s="1420"/>
      <c r="V14118" s="1357">
        <v>142</v>
      </c>
    </row>
    <row r="14119" spans="1:22" s="841" customFormat="1" ht="15" x14ac:dyDescent="0.25">
      <c r="A14119" s="841" t="s">
        <v>211</v>
      </c>
      <c r="B14119" s="841" t="s">
        <v>3963</v>
      </c>
      <c r="E14119" s="1904" t="s">
        <v>3176</v>
      </c>
      <c r="F14119" s="1904"/>
      <c r="G14119" s="1199" t="s">
        <v>23</v>
      </c>
      <c r="H14119" s="1200">
        <v>100</v>
      </c>
      <c r="M14119" s="1357"/>
      <c r="Q14119" s="1357"/>
      <c r="S14119" s="1420"/>
      <c r="T14119" s="1420"/>
      <c r="V14119" s="1357">
        <v>106</v>
      </c>
    </row>
    <row r="14120" spans="1:22" s="841" customFormat="1" ht="15" x14ac:dyDescent="0.25">
      <c r="A14120" s="841" t="s">
        <v>211</v>
      </c>
      <c r="B14120" s="841" t="s">
        <v>3963</v>
      </c>
      <c r="E14120" s="1690" t="s">
        <v>3177</v>
      </c>
      <c r="F14120" s="1690"/>
      <c r="G14120" s="1199" t="s">
        <v>23</v>
      </c>
      <c r="H14120" s="1200">
        <v>20</v>
      </c>
      <c r="M14120" s="1357"/>
      <c r="Q14120" s="1357"/>
      <c r="S14120" s="1420"/>
      <c r="T14120" s="1420"/>
      <c r="V14120" s="1357">
        <v>34</v>
      </c>
    </row>
    <row r="14121" spans="1:22" s="841" customFormat="1" ht="15" x14ac:dyDescent="0.25">
      <c r="A14121" s="841" t="s">
        <v>211</v>
      </c>
      <c r="B14121" s="841" t="s">
        <v>3963</v>
      </c>
      <c r="E14121" s="1690" t="s">
        <v>3178</v>
      </c>
      <c r="F14121" s="1690"/>
      <c r="G14121" s="1199" t="s">
        <v>3179</v>
      </c>
      <c r="H14121" s="1200">
        <v>0.5</v>
      </c>
      <c r="M14121" s="1357"/>
      <c r="Q14121" s="1357"/>
      <c r="S14121" s="1420"/>
      <c r="T14121" s="1420"/>
      <c r="V14121" s="1357">
        <v>51</v>
      </c>
    </row>
    <row r="14122" spans="1:22" s="841" customFormat="1" ht="15" x14ac:dyDescent="0.25">
      <c r="A14122" s="841" t="s">
        <v>211</v>
      </c>
      <c r="B14122" s="841" t="s">
        <v>3963</v>
      </c>
      <c r="E14122" s="1690" t="s">
        <v>3180</v>
      </c>
      <c r="F14122" s="1690"/>
      <c r="G14122" s="1199" t="s">
        <v>3179</v>
      </c>
      <c r="H14122" s="1200">
        <v>0.3</v>
      </c>
      <c r="M14122" s="1357"/>
      <c r="Q14122" s="1357"/>
      <c r="S14122" s="1420"/>
      <c r="T14122" s="1420"/>
      <c r="V14122" s="1357">
        <v>75</v>
      </c>
    </row>
    <row r="14123" spans="1:22" s="841" customFormat="1" ht="15" x14ac:dyDescent="0.25">
      <c r="A14123" s="841" t="s">
        <v>211</v>
      </c>
      <c r="B14123" s="841" t="s">
        <v>3963</v>
      </c>
      <c r="E14123" s="1690" t="s">
        <v>3181</v>
      </c>
      <c r="F14123" s="1690"/>
      <c r="G14123" s="1199" t="s">
        <v>3179</v>
      </c>
      <c r="H14123" s="1200">
        <v>-0.3</v>
      </c>
      <c r="M14123" s="1357"/>
      <c r="Q14123" s="1357"/>
      <c r="S14123" s="1420"/>
      <c r="T14123" s="1420"/>
      <c r="V14123" s="1357">
        <v>72</v>
      </c>
    </row>
    <row r="14124" spans="1:22" s="841" customFormat="1" ht="15" x14ac:dyDescent="0.25">
      <c r="A14124" s="841" t="s">
        <v>211</v>
      </c>
      <c r="B14124" s="841" t="s">
        <v>3963</v>
      </c>
      <c r="E14124" s="1691" t="s">
        <v>3292</v>
      </c>
      <c r="F14124" s="1691"/>
      <c r="G14124" s="1088"/>
      <c r="H14124" s="1201"/>
      <c r="M14124" s="1357"/>
      <c r="Q14124" s="1357"/>
      <c r="S14124" s="1420"/>
      <c r="T14124" s="1420"/>
      <c r="V14124" s="1357">
        <v>34</v>
      </c>
    </row>
    <row r="14125" spans="1:22" s="841" customFormat="1" ht="15" x14ac:dyDescent="0.25">
      <c r="A14125" s="841" t="s">
        <v>211</v>
      </c>
      <c r="B14125" s="841" t="s">
        <v>3963</v>
      </c>
      <c r="E14125" s="1691" t="s">
        <v>3183</v>
      </c>
      <c r="F14125" s="1691"/>
      <c r="G14125" s="1199" t="s">
        <v>23</v>
      </c>
      <c r="H14125" s="1200">
        <v>0.25</v>
      </c>
      <c r="M14125" s="1357"/>
      <c r="Q14125" s="1357"/>
      <c r="S14125" s="1420"/>
      <c r="T14125" s="1420"/>
      <c r="V14125" s="1357">
        <v>57</v>
      </c>
    </row>
    <row r="14126" spans="1:22" s="841" customFormat="1" ht="15" x14ac:dyDescent="0.25">
      <c r="A14126" s="841" t="s">
        <v>211</v>
      </c>
      <c r="B14126" s="841" t="s">
        <v>3963</v>
      </c>
      <c r="E14126" s="1690" t="s">
        <v>3184</v>
      </c>
      <c r="F14126" s="1690"/>
      <c r="G14126" s="1199" t="s">
        <v>23</v>
      </c>
      <c r="H14126" s="1200">
        <v>0.5</v>
      </c>
      <c r="M14126" s="1357"/>
      <c r="Q14126" s="1357"/>
      <c r="S14126" s="1420"/>
      <c r="T14126" s="1420"/>
      <c r="V14126" s="1357">
        <v>60</v>
      </c>
    </row>
    <row r="14127" spans="1:22" s="841" customFormat="1" ht="15" x14ac:dyDescent="0.25">
      <c r="A14127" s="841" t="s">
        <v>211</v>
      </c>
      <c r="B14127" s="841" t="s">
        <v>3963</v>
      </c>
      <c r="E14127" s="1690" t="s">
        <v>3661</v>
      </c>
      <c r="F14127" s="1690"/>
      <c r="G14127" s="1088"/>
      <c r="H14127" s="1202"/>
      <c r="M14127" s="1357"/>
      <c r="Q14127" s="1357"/>
      <c r="S14127" s="1420"/>
      <c r="T14127" s="1420"/>
      <c r="V14127" s="1357">
        <v>92</v>
      </c>
    </row>
    <row r="14128" spans="1:22" s="841" customFormat="1" ht="15" x14ac:dyDescent="0.25">
      <c r="A14128" s="841" t="s">
        <v>211</v>
      </c>
      <c r="B14128" s="841" t="s">
        <v>3963</v>
      </c>
      <c r="E14128" s="1690" t="s">
        <v>3662</v>
      </c>
      <c r="F14128" s="1690"/>
      <c r="G14128" s="1088"/>
      <c r="H14128" s="1202"/>
      <c r="M14128" s="1357"/>
      <c r="Q14128" s="1357"/>
      <c r="S14128" s="1420"/>
      <c r="T14128" s="1420"/>
      <c r="V14128" s="1357">
        <v>97</v>
      </c>
    </row>
    <row r="14129" spans="1:22" s="841" customFormat="1" ht="15" x14ac:dyDescent="0.25">
      <c r="A14129" s="841" t="s">
        <v>211</v>
      </c>
      <c r="B14129" s="841" t="s">
        <v>3963</v>
      </c>
      <c r="E14129" s="1691" t="s">
        <v>3293</v>
      </c>
      <c r="F14129" s="1691"/>
      <c r="G14129" s="1088"/>
      <c r="H14129" s="1202"/>
      <c r="M14129" s="1357"/>
      <c r="Q14129" s="1357"/>
      <c r="S14129" s="1420"/>
      <c r="T14129" s="1420"/>
      <c r="V14129" s="1357">
        <v>77</v>
      </c>
    </row>
    <row r="14130" spans="1:22" s="841" customFormat="1" ht="15" x14ac:dyDescent="0.25">
      <c r="A14130" s="841" t="s">
        <v>211</v>
      </c>
      <c r="B14130" s="841" t="s">
        <v>3963</v>
      </c>
      <c r="E14130" s="1691" t="s">
        <v>3188</v>
      </c>
      <c r="F14130" s="1691"/>
      <c r="G14130" s="1088"/>
      <c r="H14130" s="1203" t="s">
        <v>3189</v>
      </c>
      <c r="M14130" s="1357"/>
      <c r="Q14130" s="1357"/>
      <c r="S14130" s="1420"/>
      <c r="T14130" s="1420"/>
      <c r="V14130" s="1357">
        <v>18</v>
      </c>
    </row>
    <row r="14131" spans="1:22" s="841" customFormat="1" ht="15" x14ac:dyDescent="0.25">
      <c r="A14131" s="841" t="s">
        <v>211</v>
      </c>
      <c r="B14131" s="841" t="s">
        <v>3963</v>
      </c>
      <c r="E14131" s="1904" t="s">
        <v>3190</v>
      </c>
      <c r="F14131" s="1904"/>
      <c r="G14131" s="1088" t="s">
        <v>23</v>
      </c>
      <c r="H14131" s="1200">
        <v>2</v>
      </c>
      <c r="M14131" s="1357"/>
      <c r="Q14131" s="1357"/>
      <c r="S14131" s="1420"/>
      <c r="T14131" s="1420"/>
      <c r="V14131" s="1357">
        <v>69</v>
      </c>
    </row>
    <row r="14132" spans="1:22" s="841" customFormat="1" ht="18.75" x14ac:dyDescent="0.3">
      <c r="A14132" s="841" t="s">
        <v>211</v>
      </c>
      <c r="B14132" s="841" t="s">
        <v>3963</v>
      </c>
      <c r="E14132" s="1374" t="s">
        <v>147</v>
      </c>
      <c r="F14132" s="1204"/>
      <c r="G14132" s="1204"/>
      <c r="H14132" s="1204"/>
      <c r="K14132" s="841" t="s">
        <v>3975</v>
      </c>
      <c r="M14132" s="1357"/>
      <c r="Q14132" s="1357"/>
      <c r="S14132" s="1420"/>
      <c r="T14132" s="1420"/>
      <c r="V14132" s="1357">
        <v>12</v>
      </c>
    </row>
    <row r="14133" spans="1:22" s="841" customFormat="1" ht="15" x14ac:dyDescent="0.25">
      <c r="A14133" s="841" t="s">
        <v>211</v>
      </c>
      <c r="B14133" s="841" t="s">
        <v>3963</v>
      </c>
      <c r="E14133" s="1704" t="s">
        <v>3192</v>
      </c>
      <c r="F14133" s="1704"/>
      <c r="G14133" s="1704"/>
      <c r="H14133" s="1704"/>
      <c r="M14133" s="1357"/>
      <c r="Q14133" s="1357"/>
      <c r="S14133" s="1420"/>
      <c r="T14133" s="1420"/>
      <c r="V14133" s="1357">
        <v>203</v>
      </c>
    </row>
    <row r="14134" spans="1:22" s="841" customFormat="1" ht="15" x14ac:dyDescent="0.25">
      <c r="A14134" s="841" t="s">
        <v>211</v>
      </c>
      <c r="B14134" s="841" t="s">
        <v>3963</v>
      </c>
      <c r="E14134" s="1690" t="s">
        <v>3295</v>
      </c>
      <c r="F14134" s="1690"/>
      <c r="G14134" s="1365"/>
      <c r="H14134" s="1194">
        <v>1.0430999999999999</v>
      </c>
      <c r="M14134" s="1357"/>
      <c r="Q14134" s="1357"/>
      <c r="S14134" s="1420"/>
      <c r="T14134" s="1420"/>
      <c r="V14134" s="1357">
        <v>57</v>
      </c>
    </row>
    <row r="14135" spans="1:22" s="841" customFormat="1" ht="15" x14ac:dyDescent="0.25">
      <c r="A14135" s="841" t="s">
        <v>211</v>
      </c>
      <c r="B14135" s="841" t="s">
        <v>3963</v>
      </c>
      <c r="E14135" s="1690" t="s">
        <v>3296</v>
      </c>
      <c r="F14135" s="1690"/>
      <c r="G14135" s="1365"/>
      <c r="H14135" s="1194">
        <v>1.0145</v>
      </c>
      <c r="M14135" s="1357"/>
      <c r="Q14135" s="1357"/>
      <c r="S14135" s="1420"/>
      <c r="T14135" s="1420"/>
      <c r="V14135" s="1357">
        <v>57</v>
      </c>
    </row>
    <row r="14136" spans="1:22" s="841" customFormat="1" ht="15" x14ac:dyDescent="0.25">
      <c r="A14136" s="841" t="s">
        <v>211</v>
      </c>
      <c r="B14136" s="841" t="s">
        <v>3963</v>
      </c>
      <c r="E14136" s="1690" t="s">
        <v>3297</v>
      </c>
      <c r="F14136" s="1690"/>
      <c r="G14136" s="1365"/>
      <c r="H14136" s="1194">
        <v>1.0326</v>
      </c>
      <c r="M14136" s="1357"/>
      <c r="Q14136" s="1357"/>
      <c r="S14136" s="1420"/>
      <c r="T14136" s="1420"/>
      <c r="V14136" s="1357">
        <v>55</v>
      </c>
    </row>
    <row r="14137" spans="1:22" s="841" customFormat="1" ht="15" x14ac:dyDescent="0.25">
      <c r="A14137" s="841" t="s">
        <v>211</v>
      </c>
      <c r="B14137" s="841" t="s">
        <v>3963</v>
      </c>
      <c r="E14137" s="1690" t="s">
        <v>3298</v>
      </c>
      <c r="F14137" s="1690"/>
      <c r="G14137" s="1365"/>
      <c r="H14137" s="1194">
        <v>1.0044</v>
      </c>
      <c r="J14137" s="841" t="s">
        <v>3976</v>
      </c>
      <c r="M14137" s="1357"/>
      <c r="Q14137" s="1357"/>
      <c r="S14137" s="1420"/>
      <c r="T14137" s="1420"/>
      <c r="V14137" s="1357">
        <v>55</v>
      </c>
    </row>
    <row r="14138" spans="1:22" s="841" customFormat="1" ht="23.25" x14ac:dyDescent="0.25">
      <c r="A14138" s="841" t="s">
        <v>192</v>
      </c>
      <c r="C14138" s="841" t="s">
        <v>3050</v>
      </c>
      <c r="E14138" s="1911" t="s">
        <v>192</v>
      </c>
      <c r="F14138" s="1911"/>
      <c r="G14138" s="1911"/>
      <c r="H14138" s="1911"/>
      <c r="I14138" s="841" t="s">
        <v>628</v>
      </c>
      <c r="J14138" s="841" t="s">
        <v>6634</v>
      </c>
      <c r="K14138" s="841" t="s">
        <v>192</v>
      </c>
      <c r="L14138" s="1357"/>
      <c r="M14138" s="841">
        <v>8</v>
      </c>
      <c r="Q14138" s="1357"/>
      <c r="V14138" s="1357">
        <v>21</v>
      </c>
    </row>
    <row r="14139" spans="1:22" s="841" customFormat="1" x14ac:dyDescent="0.25">
      <c r="A14139" s="841" t="s">
        <v>192</v>
      </c>
      <c r="C14139" s="841" t="s">
        <v>3052</v>
      </c>
      <c r="E14139" s="1912" t="s">
        <v>3053</v>
      </c>
      <c r="F14139" s="1912"/>
      <c r="G14139" s="1912"/>
      <c r="H14139" s="1912"/>
      <c r="L14139" s="1357"/>
      <c r="Q14139" s="1357"/>
      <c r="V14139" s="1357">
        <v>27</v>
      </c>
    </row>
    <row r="14140" spans="1:22" s="841" customFormat="1" ht="15.75" x14ac:dyDescent="0.25">
      <c r="A14140" s="841" t="s">
        <v>192</v>
      </c>
      <c r="C14140" s="841" t="s">
        <v>3054</v>
      </c>
      <c r="E14140" s="1913" t="s">
        <v>5107</v>
      </c>
      <c r="F14140" s="1913"/>
      <c r="G14140" s="1913"/>
      <c r="H14140" s="1913"/>
      <c r="L14140" s="1357"/>
      <c r="Q14140" s="1357"/>
      <c r="S14140" s="1420">
        <v>43221</v>
      </c>
      <c r="T14140" s="1420"/>
      <c r="V14140" s="1357">
        <v>45</v>
      </c>
    </row>
    <row r="14141" spans="1:22" s="841" customFormat="1" ht="15" x14ac:dyDescent="0.25">
      <c r="A14141" s="841" t="s">
        <v>192</v>
      </c>
      <c r="C14141" s="841" t="s">
        <v>3055</v>
      </c>
      <c r="E14141" s="1914" t="s">
        <v>3056</v>
      </c>
      <c r="F14141" s="1914"/>
      <c r="G14141" s="1914"/>
      <c r="H14141" s="1914"/>
      <c r="L14141" s="1357"/>
      <c r="Q14141" s="1357"/>
      <c r="S14141" s="1420"/>
      <c r="T14141" s="1420"/>
      <c r="V14141" s="1357">
        <v>52</v>
      </c>
    </row>
    <row r="14142" spans="1:22" s="841" customFormat="1" ht="15" x14ac:dyDescent="0.25">
      <c r="A14142" s="841" t="s">
        <v>192</v>
      </c>
      <c r="E14142" s="1914" t="s">
        <v>3057</v>
      </c>
      <c r="F14142" s="1914"/>
      <c r="G14142" s="1914"/>
      <c r="H14142" s="1914"/>
      <c r="L14142" s="1357"/>
      <c r="Q14142" s="1357"/>
      <c r="S14142" s="1420"/>
      <c r="T14142" s="1420"/>
      <c r="V14142" s="1357">
        <v>53</v>
      </c>
    </row>
    <row r="14143" spans="1:22" s="841" customFormat="1" ht="15" x14ac:dyDescent="0.25">
      <c r="A14143" s="841" t="s">
        <v>192</v>
      </c>
      <c r="E14143" s="1925" t="s">
        <v>6635</v>
      </c>
      <c r="F14143" s="1925"/>
      <c r="G14143" s="1925"/>
      <c r="H14143" s="1925"/>
      <c r="K14143" s="841" t="s">
        <v>6635</v>
      </c>
      <c r="L14143" s="1357"/>
      <c r="Q14143" s="1357"/>
      <c r="S14143" s="1420"/>
      <c r="T14143" s="1420"/>
      <c r="V14143" s="1357">
        <v>12</v>
      </c>
    </row>
    <row r="14144" spans="1:22" s="841" customFormat="1" ht="15" x14ac:dyDescent="0.25">
      <c r="A14144" s="841" t="s">
        <v>192</v>
      </c>
      <c r="E14144" s="1909" t="s">
        <v>438</v>
      </c>
      <c r="F14144" s="1697"/>
      <c r="G14144" s="1697"/>
      <c r="H14144" s="1697"/>
      <c r="K14144" s="841" t="s">
        <v>3197</v>
      </c>
      <c r="L14144" s="1357"/>
      <c r="Q14144" s="1357"/>
      <c r="S14144" s="1420"/>
      <c r="T14144" s="1420"/>
      <c r="V14144" s="1357">
        <v>34</v>
      </c>
    </row>
    <row r="14145" spans="1:22" s="841" customFormat="1" ht="15" x14ac:dyDescent="0.25">
      <c r="A14145" s="841" t="s">
        <v>192</v>
      </c>
      <c r="E14145" s="1689" t="s">
        <v>6636</v>
      </c>
      <c r="F14145" s="1689"/>
      <c r="G14145" s="1689"/>
      <c r="H14145" s="1689"/>
      <c r="K14145" s="841" t="s">
        <v>3197</v>
      </c>
      <c r="L14145" s="1357"/>
      <c r="Q14145" s="1357"/>
      <c r="S14145" s="1420"/>
      <c r="T14145" s="1420"/>
      <c r="V14145" s="1357">
        <v>398</v>
      </c>
    </row>
    <row r="14146" spans="1:22" s="841" customFormat="1" ht="15" x14ac:dyDescent="0.25">
      <c r="A14146" s="841" t="s">
        <v>192</v>
      </c>
      <c r="E14146" s="1916" t="s">
        <v>3061</v>
      </c>
      <c r="F14146" s="1697"/>
      <c r="G14146" s="1697"/>
      <c r="H14146" s="1697"/>
      <c r="K14146" s="841" t="s">
        <v>3062</v>
      </c>
      <c r="L14146" s="1357"/>
      <c r="Q14146" s="1357"/>
      <c r="S14146" s="1420"/>
      <c r="T14146" s="1420"/>
      <c r="V14146" s="1357">
        <v>11</v>
      </c>
    </row>
    <row r="14147" spans="1:22" s="841" customFormat="1" ht="15" x14ac:dyDescent="0.25">
      <c r="A14147" s="841" t="s">
        <v>192</v>
      </c>
      <c r="E14147" s="1689" t="s">
        <v>3063</v>
      </c>
      <c r="F14147" s="1689"/>
      <c r="G14147" s="1689"/>
      <c r="H14147" s="1689"/>
      <c r="K14147" s="841" t="s">
        <v>3197</v>
      </c>
      <c r="L14147" s="1357"/>
      <c r="Q14147" s="1357"/>
      <c r="S14147" s="1420"/>
      <c r="T14147" s="1420"/>
      <c r="V14147" s="1357">
        <v>280</v>
      </c>
    </row>
    <row r="14148" spans="1:22" s="841" customFormat="1" ht="15" x14ac:dyDescent="0.25">
      <c r="A14148" s="841" t="s">
        <v>192</v>
      </c>
      <c r="E14148" s="1689" t="s">
        <v>3064</v>
      </c>
      <c r="F14148" s="1689"/>
      <c r="G14148" s="1689"/>
      <c r="H14148" s="1689"/>
      <c r="K14148" s="841" t="s">
        <v>3197</v>
      </c>
      <c r="L14148" s="1357"/>
      <c r="Q14148" s="1357"/>
      <c r="S14148" s="1420"/>
      <c r="T14148" s="1420"/>
      <c r="V14148" s="1357">
        <v>411</v>
      </c>
    </row>
    <row r="14149" spans="1:22" s="841" customFormat="1" ht="15" x14ac:dyDescent="0.25">
      <c r="A14149" s="841" t="s">
        <v>192</v>
      </c>
      <c r="E14149" s="1689" t="s">
        <v>3065</v>
      </c>
      <c r="F14149" s="1689"/>
      <c r="G14149" s="1689"/>
      <c r="H14149" s="1689"/>
      <c r="K14149" s="841" t="s">
        <v>3197</v>
      </c>
      <c r="L14149" s="1357"/>
      <c r="Q14149" s="1357"/>
      <c r="S14149" s="1420"/>
      <c r="T14149" s="1420"/>
      <c r="V14149" s="1357">
        <v>387</v>
      </c>
    </row>
    <row r="14150" spans="1:22" s="841" customFormat="1" ht="15" x14ac:dyDescent="0.25">
      <c r="A14150" s="841" t="s">
        <v>192</v>
      </c>
      <c r="E14150" s="1689" t="s">
        <v>3200</v>
      </c>
      <c r="F14150" s="1689"/>
      <c r="G14150" s="1689"/>
      <c r="H14150" s="1689"/>
      <c r="K14150" s="841" t="s">
        <v>3197</v>
      </c>
      <c r="L14150" s="1357"/>
      <c r="Q14150" s="1357"/>
      <c r="S14150" s="1420"/>
      <c r="T14150" s="1420"/>
      <c r="V14150" s="1357">
        <v>275</v>
      </c>
    </row>
    <row r="14151" spans="1:22" s="841" customFormat="1" ht="15" x14ac:dyDescent="0.25">
      <c r="A14151" s="841" t="s">
        <v>192</v>
      </c>
      <c r="E14151" s="1694" t="s">
        <v>3067</v>
      </c>
      <c r="F14151" s="1907"/>
      <c r="G14151" s="1907"/>
      <c r="H14151" s="1907"/>
      <c r="K14151" s="841" t="s">
        <v>3068</v>
      </c>
      <c r="L14151" s="1357"/>
      <c r="Q14151" s="1357"/>
      <c r="S14151" s="1420"/>
      <c r="T14151" s="1420"/>
      <c r="V14151" s="1357">
        <v>46</v>
      </c>
    </row>
    <row r="14152" spans="1:22" s="841" customFormat="1" ht="15" x14ac:dyDescent="0.25">
      <c r="A14152" s="841" t="s">
        <v>192</v>
      </c>
      <c r="E14152" s="1690" t="s">
        <v>11</v>
      </c>
      <c r="F14152" s="1690"/>
      <c r="G14152" s="1427" t="s">
        <v>23</v>
      </c>
      <c r="H14152" s="391">
        <v>16.79</v>
      </c>
      <c r="K14152" s="841" t="s">
        <v>3197</v>
      </c>
      <c r="L14152" s="1357" t="s">
        <v>442</v>
      </c>
      <c r="P14152" s="841" t="s">
        <v>3201</v>
      </c>
      <c r="Q14152" s="1357"/>
      <c r="S14152" s="1420"/>
      <c r="T14152" s="1420"/>
      <c r="V14152" s="1357">
        <v>14</v>
      </c>
    </row>
    <row r="14153" spans="1:22" s="841" customFormat="1" ht="15" x14ac:dyDescent="0.25">
      <c r="A14153" s="841" t="s">
        <v>192</v>
      </c>
      <c r="E14153" s="1690" t="s">
        <v>423</v>
      </c>
      <c r="F14153" s="1690"/>
      <c r="G14153" s="1427" t="s">
        <v>23</v>
      </c>
      <c r="H14153" s="391">
        <v>0.56999999999999995</v>
      </c>
      <c r="K14153" s="841" t="s">
        <v>3197</v>
      </c>
      <c r="L14153" s="1357" t="s">
        <v>443</v>
      </c>
      <c r="P14153" s="841" t="s">
        <v>3202</v>
      </c>
      <c r="Q14153" s="1357"/>
      <c r="S14153" s="1420"/>
      <c r="T14153" s="1420">
        <v>43404</v>
      </c>
      <c r="V14153" s="1357">
        <v>78</v>
      </c>
    </row>
    <row r="14154" spans="1:22" s="841" customFormat="1" ht="15" x14ac:dyDescent="0.25">
      <c r="A14154" s="841" t="s">
        <v>192</v>
      </c>
      <c r="E14154" s="1690" t="s">
        <v>84</v>
      </c>
      <c r="F14154" s="1690"/>
      <c r="G14154" s="1427" t="s">
        <v>24</v>
      </c>
      <c r="H14154" s="393">
        <v>1.04E-2</v>
      </c>
      <c r="K14154" s="841" t="s">
        <v>3197</v>
      </c>
      <c r="L14154" s="1357" t="s">
        <v>442</v>
      </c>
      <c r="P14154" s="841" t="s">
        <v>3203</v>
      </c>
      <c r="Q14154" s="1357"/>
      <c r="S14154" s="1420"/>
      <c r="T14154" s="1420"/>
      <c r="V14154" s="1357">
        <v>28</v>
      </c>
    </row>
    <row r="14155" spans="1:22" s="841" customFormat="1" ht="15" x14ac:dyDescent="0.25">
      <c r="A14155" s="841" t="s">
        <v>192</v>
      </c>
      <c r="E14155" s="1690" t="s">
        <v>221</v>
      </c>
      <c r="F14155" s="1690"/>
      <c r="G14155" s="1427" t="s">
        <v>24</v>
      </c>
      <c r="H14155" s="393">
        <v>5.8999999999999999E-3</v>
      </c>
      <c r="K14155" s="841" t="s">
        <v>3197</v>
      </c>
      <c r="L14155" s="1357" t="s">
        <v>444</v>
      </c>
      <c r="P14155" s="841" t="s">
        <v>3208</v>
      </c>
      <c r="Q14155" s="1357"/>
      <c r="S14155" s="1420"/>
      <c r="T14155" s="1420"/>
      <c r="V14155" s="1357">
        <v>47</v>
      </c>
    </row>
    <row r="14156" spans="1:22" s="841" customFormat="1" ht="15" x14ac:dyDescent="0.25">
      <c r="A14156" s="841" t="s">
        <v>192</v>
      </c>
      <c r="E14156" s="1694" t="s">
        <v>3079</v>
      </c>
      <c r="F14156" s="1690"/>
      <c r="G14156" s="1427"/>
      <c r="H14156" s="394"/>
      <c r="K14156" s="841" t="s">
        <v>3080</v>
      </c>
      <c r="L14156" s="1357"/>
      <c r="Q14156" s="1357"/>
      <c r="S14156" s="1420"/>
      <c r="T14156" s="1420"/>
      <c r="V14156" s="1357">
        <v>48</v>
      </c>
    </row>
    <row r="14157" spans="1:22" s="841" customFormat="1" ht="15" x14ac:dyDescent="0.25">
      <c r="A14157" s="841" t="s">
        <v>192</v>
      </c>
      <c r="E14157" s="1690" t="s">
        <v>31</v>
      </c>
      <c r="F14157" s="1690"/>
      <c r="G14157" s="1427" t="s">
        <v>24</v>
      </c>
      <c r="H14157" s="393">
        <v>3.5999999999999999E-3</v>
      </c>
      <c r="K14157" s="841" t="s">
        <v>3197</v>
      </c>
      <c r="L14157" s="1357" t="s">
        <v>3046</v>
      </c>
      <c r="P14157" s="841" t="s">
        <v>3210</v>
      </c>
      <c r="Q14157" s="1357"/>
      <c r="S14157" s="1420"/>
      <c r="T14157" s="1420"/>
      <c r="V14157" s="1357">
        <v>29</v>
      </c>
    </row>
    <row r="14158" spans="1:22" s="841" customFormat="1" ht="15" x14ac:dyDescent="0.25">
      <c r="A14158" s="841" t="s">
        <v>192</v>
      </c>
      <c r="E14158" s="1690" t="s">
        <v>439</v>
      </c>
      <c r="F14158" s="1690"/>
      <c r="G14158" s="1427" t="s">
        <v>24</v>
      </c>
      <c r="H14158" s="393">
        <v>2.0999999999999999E-3</v>
      </c>
      <c r="K14158" s="841" t="s">
        <v>3197</v>
      </c>
      <c r="L14158" s="1357" t="s">
        <v>3046</v>
      </c>
      <c r="P14158" s="841" t="s">
        <v>3212</v>
      </c>
      <c r="Q14158" s="1357"/>
      <c r="S14158" s="1420"/>
      <c r="T14158" s="1420"/>
      <c r="V14158" s="1357">
        <v>57</v>
      </c>
    </row>
    <row r="14159" spans="1:22" s="841" customFormat="1" ht="15" x14ac:dyDescent="0.25">
      <c r="A14159" s="841" t="s">
        <v>192</v>
      </c>
      <c r="E14159" s="1690" t="s">
        <v>6639</v>
      </c>
      <c r="F14159" s="1690"/>
      <c r="G14159" s="1427" t="s">
        <v>24</v>
      </c>
      <c r="H14159" s="393">
        <v>0</v>
      </c>
      <c r="K14159" s="841" t="s">
        <v>3197</v>
      </c>
      <c r="L14159" s="1357" t="s">
        <v>3046</v>
      </c>
      <c r="P14159" s="841" t="s">
        <v>6640</v>
      </c>
      <c r="Q14159" s="1357"/>
      <c r="S14159" s="1420"/>
      <c r="T14159" s="1420"/>
      <c r="V14159" s="1357">
        <v>49</v>
      </c>
    </row>
    <row r="14160" spans="1:22" s="841" customFormat="1" ht="15" x14ac:dyDescent="0.25">
      <c r="A14160" s="841" t="s">
        <v>192</v>
      </c>
      <c r="E14160" s="1690" t="s">
        <v>32</v>
      </c>
      <c r="F14160" s="1690"/>
      <c r="G14160" s="1427" t="s">
        <v>23</v>
      </c>
      <c r="H14160" s="391">
        <v>0.25</v>
      </c>
      <c r="K14160" s="841" t="s">
        <v>3197</v>
      </c>
      <c r="L14160" s="1357" t="s">
        <v>3046</v>
      </c>
      <c r="P14160" s="841" t="s">
        <v>3213</v>
      </c>
      <c r="Q14160" s="1357"/>
      <c r="S14160" s="1420"/>
      <c r="T14160" s="1420"/>
      <c r="V14160" s="1357">
        <v>63</v>
      </c>
    </row>
    <row r="14161" spans="1:22" s="841" customFormat="1" x14ac:dyDescent="0.25">
      <c r="A14161" s="841" t="s">
        <v>192</v>
      </c>
      <c r="E14161" s="1931" t="s">
        <v>1709</v>
      </c>
      <c r="F14161" s="1932"/>
      <c r="G14161" s="1932"/>
      <c r="H14161" s="1932"/>
      <c r="K14161" s="841" t="s">
        <v>3302</v>
      </c>
      <c r="L14161" s="1357"/>
      <c r="Q14161" s="1357"/>
      <c r="S14161" s="1420"/>
      <c r="T14161" s="1420"/>
      <c r="V14161" s="1357">
        <v>46</v>
      </c>
    </row>
    <row r="14162" spans="1:22" s="841" customFormat="1" ht="15" x14ac:dyDescent="0.25">
      <c r="A14162" s="841" t="s">
        <v>192</v>
      </c>
      <c r="E14162" s="1689" t="s">
        <v>3097</v>
      </c>
      <c r="F14162" s="1689"/>
      <c r="G14162" s="1689"/>
      <c r="H14162" s="1689"/>
      <c r="K14162" s="841" t="s">
        <v>3302</v>
      </c>
      <c r="L14162" s="1357"/>
      <c r="Q14162" s="1357"/>
      <c r="S14162" s="1420"/>
      <c r="T14162" s="1420"/>
      <c r="V14162" s="1357">
        <v>158</v>
      </c>
    </row>
    <row r="14163" spans="1:22" s="841" customFormat="1" ht="15" x14ac:dyDescent="0.25">
      <c r="A14163" s="841" t="s">
        <v>192</v>
      </c>
      <c r="E14163" s="1922" t="s">
        <v>3061</v>
      </c>
      <c r="F14163" s="1907"/>
      <c r="G14163" s="1907"/>
      <c r="H14163" s="1907"/>
      <c r="K14163" s="841" t="s">
        <v>3086</v>
      </c>
      <c r="L14163" s="1357"/>
      <c r="Q14163" s="1357"/>
      <c r="S14163" s="1420"/>
      <c r="T14163" s="1420"/>
      <c r="V14163" s="1357">
        <v>11</v>
      </c>
    </row>
    <row r="14164" spans="1:22" s="841" customFormat="1" ht="15" x14ac:dyDescent="0.25">
      <c r="A14164" s="841" t="s">
        <v>192</v>
      </c>
      <c r="E14164" s="1689" t="s">
        <v>3303</v>
      </c>
      <c r="F14164" s="1689"/>
      <c r="G14164" s="1689"/>
      <c r="H14164" s="1689"/>
      <c r="K14164" s="841" t="s">
        <v>3302</v>
      </c>
      <c r="L14164" s="1357"/>
      <c r="Q14164" s="1357"/>
      <c r="S14164" s="1420"/>
      <c r="T14164" s="1420"/>
      <c r="V14164" s="1357">
        <v>156</v>
      </c>
    </row>
    <row r="14165" spans="1:22" s="841" customFormat="1" ht="15" x14ac:dyDescent="0.25">
      <c r="A14165" s="841" t="s">
        <v>192</v>
      </c>
      <c r="E14165" s="1689" t="s">
        <v>3304</v>
      </c>
      <c r="F14165" s="1689"/>
      <c r="G14165" s="1689"/>
      <c r="H14165" s="1689"/>
      <c r="K14165" s="841" t="s">
        <v>3302</v>
      </c>
      <c r="L14165" s="1357"/>
      <c r="Q14165" s="1357"/>
      <c r="S14165" s="1420"/>
      <c r="T14165" s="1420"/>
      <c r="V14165" s="1357">
        <v>270</v>
      </c>
    </row>
    <row r="14166" spans="1:22" s="841" customFormat="1" ht="15" x14ac:dyDescent="0.25">
      <c r="A14166" s="841" t="s">
        <v>192</v>
      </c>
      <c r="E14166" s="1689" t="s">
        <v>6641</v>
      </c>
      <c r="F14166" s="1689"/>
      <c r="G14166" s="1689"/>
      <c r="H14166" s="1689"/>
      <c r="K14166" s="841" t="s">
        <v>3302</v>
      </c>
      <c r="L14166" s="1357"/>
      <c r="Q14166" s="1357"/>
      <c r="S14166" s="1420"/>
      <c r="T14166" s="1420"/>
      <c r="V14166" s="1357">
        <v>933</v>
      </c>
    </row>
    <row r="14167" spans="1:22" s="841" customFormat="1" ht="15" x14ac:dyDescent="0.25">
      <c r="A14167" s="841" t="s">
        <v>192</v>
      </c>
      <c r="E14167" s="1694" t="s">
        <v>3305</v>
      </c>
      <c r="F14167" s="1907"/>
      <c r="G14167" s="1907"/>
      <c r="H14167" s="1907"/>
      <c r="K14167" s="841" t="s">
        <v>6642</v>
      </c>
      <c r="L14167" s="1357"/>
      <c r="Q14167" s="1357"/>
      <c r="S14167" s="1420"/>
      <c r="T14167" s="1420"/>
      <c r="V14167" s="1357">
        <v>25</v>
      </c>
    </row>
    <row r="14168" spans="1:22" s="841" customFormat="1" ht="15" x14ac:dyDescent="0.25">
      <c r="A14168" s="841" t="s">
        <v>192</v>
      </c>
      <c r="E14168" s="1910" t="s">
        <v>3100</v>
      </c>
      <c r="F14168" s="1910"/>
      <c r="G14168" s="1427"/>
      <c r="H14168" s="394"/>
      <c r="K14168" s="841" t="s">
        <v>3302</v>
      </c>
      <c r="L14168" s="1357"/>
      <c r="Q14168" s="1357"/>
      <c r="S14168" s="1420"/>
      <c r="T14168" s="1420"/>
      <c r="V14168" s="1357">
        <v>7</v>
      </c>
    </row>
    <row r="14169" spans="1:22" s="841" customFormat="1" ht="15" x14ac:dyDescent="0.25">
      <c r="A14169" s="841" t="s">
        <v>192</v>
      </c>
      <c r="E14169" s="1704" t="s">
        <v>3617</v>
      </c>
      <c r="F14169" s="1704"/>
      <c r="G14169" s="1704"/>
      <c r="H14169" s="1704"/>
      <c r="K14169" s="841" t="s">
        <v>3302</v>
      </c>
      <c r="L14169" s="1357"/>
      <c r="Q14169" s="1357"/>
      <c r="S14169" s="1420"/>
      <c r="T14169" s="1420"/>
      <c r="V14169" s="1357">
        <v>512</v>
      </c>
    </row>
    <row r="14170" spans="1:22" s="841" customFormat="1" ht="15" x14ac:dyDescent="0.25">
      <c r="A14170" s="841" t="s">
        <v>192</v>
      </c>
      <c r="E14170" s="1704" t="s">
        <v>3101</v>
      </c>
      <c r="F14170" s="1704"/>
      <c r="G14170" s="1427" t="s">
        <v>23</v>
      </c>
      <c r="H14170" s="391">
        <v>-30</v>
      </c>
      <c r="K14170" s="841" t="s">
        <v>3302</v>
      </c>
      <c r="L14170" s="1357" t="s">
        <v>3046</v>
      </c>
      <c r="P14170" s="841" t="s">
        <v>3306</v>
      </c>
      <c r="Q14170" s="1357"/>
      <c r="S14170" s="1420"/>
      <c r="T14170" s="1420"/>
      <c r="V14170" s="1357">
        <v>11</v>
      </c>
    </row>
    <row r="14171" spans="1:22" s="841" customFormat="1" ht="15" x14ac:dyDescent="0.25">
      <c r="A14171" s="841" t="s">
        <v>192</v>
      </c>
      <c r="E14171" s="1910" t="s">
        <v>3102</v>
      </c>
      <c r="F14171" s="1910"/>
      <c r="G14171" s="1427"/>
      <c r="H14171" s="394"/>
      <c r="K14171" s="841" t="s">
        <v>3302</v>
      </c>
      <c r="L14171" s="1357"/>
      <c r="Q14171" s="1357"/>
      <c r="S14171" s="1420"/>
      <c r="T14171" s="1420"/>
      <c r="V14171" s="1357">
        <v>7</v>
      </c>
    </row>
    <row r="14172" spans="1:22" s="841" customFormat="1" ht="15" x14ac:dyDescent="0.25">
      <c r="A14172" s="841" t="s">
        <v>192</v>
      </c>
      <c r="E14172" s="1704" t="s">
        <v>3618</v>
      </c>
      <c r="F14172" s="1704"/>
      <c r="G14172" s="1704"/>
      <c r="H14172" s="1704"/>
      <c r="K14172" s="841" t="s">
        <v>3302</v>
      </c>
      <c r="L14172" s="1357"/>
      <c r="Q14172" s="1357"/>
      <c r="S14172" s="1420"/>
      <c r="T14172" s="1420"/>
      <c r="V14172" s="1357">
        <v>378</v>
      </c>
    </row>
    <row r="14173" spans="1:22" s="841" customFormat="1" ht="15" x14ac:dyDescent="0.25">
      <c r="A14173" s="841" t="s">
        <v>192</v>
      </c>
      <c r="E14173" s="1704" t="s">
        <v>3101</v>
      </c>
      <c r="F14173" s="1704"/>
      <c r="G14173" s="1427" t="s">
        <v>23</v>
      </c>
      <c r="H14173" s="391">
        <v>-34</v>
      </c>
      <c r="K14173" s="841" t="s">
        <v>3302</v>
      </c>
      <c r="L14173" s="1357" t="s">
        <v>3046</v>
      </c>
      <c r="P14173" s="841" t="s">
        <v>3307</v>
      </c>
      <c r="Q14173" s="1357"/>
      <c r="S14173" s="1420"/>
      <c r="T14173" s="1420"/>
      <c r="V14173" s="1357">
        <v>11</v>
      </c>
    </row>
    <row r="14174" spans="1:22" s="841" customFormat="1" ht="15" x14ac:dyDescent="0.25">
      <c r="A14174" s="841" t="s">
        <v>192</v>
      </c>
      <c r="E14174" s="1910" t="s">
        <v>3103</v>
      </c>
      <c r="F14174" s="1910"/>
      <c r="G14174" s="1427"/>
      <c r="H14174" s="394"/>
      <c r="K14174" s="841" t="s">
        <v>3302</v>
      </c>
      <c r="L14174" s="1357"/>
      <c r="Q14174" s="1357"/>
      <c r="S14174" s="1420"/>
      <c r="T14174" s="1420"/>
      <c r="V14174" s="1357">
        <v>7</v>
      </c>
    </row>
    <row r="14175" spans="1:22" s="841" customFormat="1" ht="15" x14ac:dyDescent="0.25">
      <c r="A14175" s="841" t="s">
        <v>192</v>
      </c>
      <c r="E14175" s="1704" t="s">
        <v>3619</v>
      </c>
      <c r="F14175" s="1704"/>
      <c r="G14175" s="1704"/>
      <c r="H14175" s="1704"/>
      <c r="K14175" s="841" t="s">
        <v>3302</v>
      </c>
      <c r="L14175" s="1357"/>
      <c r="Q14175" s="1357"/>
      <c r="S14175" s="1420"/>
      <c r="T14175" s="1420"/>
      <c r="V14175" s="1357">
        <v>387</v>
      </c>
    </row>
    <row r="14176" spans="1:22" s="841" customFormat="1" ht="15" x14ac:dyDescent="0.25">
      <c r="A14176" s="841" t="s">
        <v>192</v>
      </c>
      <c r="E14176" s="1704" t="s">
        <v>3101</v>
      </c>
      <c r="F14176" s="1704"/>
      <c r="G14176" s="1427" t="s">
        <v>23</v>
      </c>
      <c r="H14176" s="391">
        <v>-38</v>
      </c>
      <c r="K14176" s="841" t="s">
        <v>3302</v>
      </c>
      <c r="L14176" s="1357" t="s">
        <v>3046</v>
      </c>
      <c r="P14176" s="841" t="s">
        <v>3308</v>
      </c>
      <c r="Q14176" s="1357"/>
      <c r="S14176" s="1420"/>
      <c r="T14176" s="1420"/>
      <c r="V14176" s="1357">
        <v>11</v>
      </c>
    </row>
    <row r="14177" spans="1:22" s="841" customFormat="1" ht="15" x14ac:dyDescent="0.25">
      <c r="A14177" s="841" t="s">
        <v>192</v>
      </c>
      <c r="E14177" s="1910" t="s">
        <v>3309</v>
      </c>
      <c r="F14177" s="1910"/>
      <c r="G14177" s="1427"/>
      <c r="H14177" s="394"/>
      <c r="K14177" s="841" t="s">
        <v>3302</v>
      </c>
      <c r="L14177" s="1357"/>
      <c r="Q14177" s="1357"/>
      <c r="S14177" s="1420"/>
      <c r="T14177" s="1420"/>
      <c r="V14177" s="1357">
        <v>7</v>
      </c>
    </row>
    <row r="14178" spans="1:22" s="841" customFormat="1" ht="15" x14ac:dyDescent="0.25">
      <c r="A14178" s="841" t="s">
        <v>192</v>
      </c>
      <c r="E14178" s="1704" t="s">
        <v>3620</v>
      </c>
      <c r="F14178" s="1704"/>
      <c r="G14178" s="1704"/>
      <c r="H14178" s="1704"/>
      <c r="K14178" s="841" t="s">
        <v>3302</v>
      </c>
      <c r="L14178" s="1357"/>
      <c r="Q14178" s="1357"/>
      <c r="S14178" s="1420"/>
      <c r="T14178" s="1420"/>
      <c r="V14178" s="1357">
        <v>267</v>
      </c>
    </row>
    <row r="14179" spans="1:22" s="841" customFormat="1" ht="15" x14ac:dyDescent="0.25">
      <c r="A14179" s="841" t="s">
        <v>192</v>
      </c>
      <c r="E14179" s="1704" t="s">
        <v>3101</v>
      </c>
      <c r="F14179" s="1704"/>
      <c r="G14179" s="1427" t="s">
        <v>23</v>
      </c>
      <c r="H14179" s="391">
        <v>-42</v>
      </c>
      <c r="K14179" s="841" t="s">
        <v>3302</v>
      </c>
      <c r="L14179" s="1357" t="s">
        <v>3046</v>
      </c>
      <c r="P14179" s="841" t="s">
        <v>3310</v>
      </c>
      <c r="Q14179" s="1357"/>
      <c r="S14179" s="1420"/>
      <c r="T14179" s="1420"/>
      <c r="V14179" s="1357">
        <v>11</v>
      </c>
    </row>
    <row r="14180" spans="1:22" s="841" customFormat="1" ht="15" x14ac:dyDescent="0.25">
      <c r="A14180" s="841" t="s">
        <v>192</v>
      </c>
      <c r="E14180" s="1910" t="s">
        <v>3311</v>
      </c>
      <c r="F14180" s="1910"/>
      <c r="G14180" s="1427"/>
      <c r="H14180" s="394"/>
      <c r="K14180" s="841" t="s">
        <v>3302</v>
      </c>
      <c r="L14180" s="1357"/>
      <c r="Q14180" s="1357"/>
      <c r="S14180" s="1420"/>
      <c r="T14180" s="1420"/>
      <c r="V14180" s="1357">
        <v>7</v>
      </c>
    </row>
    <row r="14181" spans="1:22" s="841" customFormat="1" ht="15" x14ac:dyDescent="0.25">
      <c r="A14181" s="841" t="s">
        <v>192</v>
      </c>
      <c r="E14181" s="1704" t="s">
        <v>3496</v>
      </c>
      <c r="F14181" s="1704"/>
      <c r="G14181" s="1704"/>
      <c r="H14181" s="1704"/>
      <c r="K14181" s="841" t="s">
        <v>3302</v>
      </c>
      <c r="L14181" s="1357"/>
      <c r="Q14181" s="1357"/>
      <c r="S14181" s="1420"/>
      <c r="T14181" s="1420"/>
      <c r="V14181" s="1357">
        <v>523</v>
      </c>
    </row>
    <row r="14182" spans="1:22" s="841" customFormat="1" ht="15" x14ac:dyDescent="0.25">
      <c r="A14182" s="841" t="s">
        <v>192</v>
      </c>
      <c r="E14182" s="1704" t="s">
        <v>3101</v>
      </c>
      <c r="F14182" s="1704"/>
      <c r="G14182" s="1427" t="s">
        <v>23</v>
      </c>
      <c r="H14182" s="391">
        <v>-45</v>
      </c>
      <c r="K14182" s="841" t="s">
        <v>3302</v>
      </c>
      <c r="L14182" s="1357" t="s">
        <v>3046</v>
      </c>
      <c r="P14182" s="841" t="s">
        <v>3312</v>
      </c>
      <c r="Q14182" s="1357"/>
      <c r="S14182" s="1420"/>
      <c r="T14182" s="1420"/>
      <c r="V14182" s="1357">
        <v>11</v>
      </c>
    </row>
    <row r="14183" spans="1:22" s="841" customFormat="1" ht="15" x14ac:dyDescent="0.25">
      <c r="A14183" s="841" t="s">
        <v>192</v>
      </c>
      <c r="E14183" s="1910" t="s">
        <v>3313</v>
      </c>
      <c r="F14183" s="1910"/>
      <c r="G14183" s="1427"/>
      <c r="H14183" s="394"/>
      <c r="K14183" s="841" t="s">
        <v>3302</v>
      </c>
      <c r="L14183" s="1357"/>
      <c r="Q14183" s="1357"/>
      <c r="S14183" s="1420"/>
      <c r="T14183" s="1420"/>
      <c r="V14183" s="1357">
        <v>7</v>
      </c>
    </row>
    <row r="14184" spans="1:22" s="841" customFormat="1" ht="15" x14ac:dyDescent="0.25">
      <c r="A14184" s="841" t="s">
        <v>192</v>
      </c>
      <c r="E14184" s="1704" t="s">
        <v>3314</v>
      </c>
      <c r="F14184" s="1704"/>
      <c r="G14184" s="1704"/>
      <c r="H14184" s="1704"/>
      <c r="K14184" s="841" t="s">
        <v>3302</v>
      </c>
      <c r="L14184" s="1357"/>
      <c r="Q14184" s="1357"/>
      <c r="S14184" s="1420"/>
      <c r="T14184" s="1420"/>
      <c r="V14184" s="1357">
        <v>368</v>
      </c>
    </row>
    <row r="14185" spans="1:22" s="841" customFormat="1" ht="15" x14ac:dyDescent="0.25">
      <c r="A14185" s="841" t="s">
        <v>192</v>
      </c>
      <c r="E14185" s="2180" t="s">
        <v>3365</v>
      </c>
      <c r="F14185" s="2180"/>
      <c r="G14185" s="2180"/>
      <c r="H14185" s="2180"/>
      <c r="K14185" s="841" t="s">
        <v>3302</v>
      </c>
      <c r="L14185" s="1357"/>
      <c r="Q14185" s="1357"/>
      <c r="S14185" s="1420"/>
      <c r="T14185" s="1420"/>
      <c r="V14185" s="1357">
        <v>374</v>
      </c>
    </row>
    <row r="14186" spans="1:22" s="841" customFormat="1" ht="15" x14ac:dyDescent="0.25">
      <c r="A14186" s="841" t="s">
        <v>192</v>
      </c>
      <c r="E14186" s="1704" t="s">
        <v>3101</v>
      </c>
      <c r="F14186" s="1704"/>
      <c r="G14186" s="1427" t="s">
        <v>23</v>
      </c>
      <c r="H14186" s="391">
        <v>-50</v>
      </c>
      <c r="K14186" s="841" t="s">
        <v>3302</v>
      </c>
      <c r="L14186" s="1357" t="s">
        <v>3046</v>
      </c>
      <c r="P14186" s="841" t="s">
        <v>3315</v>
      </c>
      <c r="Q14186" s="1357"/>
      <c r="S14186" s="1420"/>
      <c r="T14186" s="1420"/>
      <c r="V14186" s="1357">
        <v>11</v>
      </c>
    </row>
    <row r="14187" spans="1:22" s="841" customFormat="1" ht="15" x14ac:dyDescent="0.25">
      <c r="A14187" s="841" t="s">
        <v>192</v>
      </c>
      <c r="E14187" s="1910" t="s">
        <v>3104</v>
      </c>
      <c r="F14187" s="1910"/>
      <c r="G14187" s="1427"/>
      <c r="H14187" s="394"/>
      <c r="K14187" s="841" t="s">
        <v>3302</v>
      </c>
      <c r="L14187" s="1357"/>
      <c r="Q14187" s="1357"/>
      <c r="S14187" s="1420"/>
      <c r="T14187" s="1420"/>
      <c r="V14187" s="1357">
        <v>7</v>
      </c>
    </row>
    <row r="14188" spans="1:22" s="841" customFormat="1" ht="15" x14ac:dyDescent="0.25">
      <c r="A14188" s="841" t="s">
        <v>192</v>
      </c>
      <c r="E14188" s="1704" t="s">
        <v>3621</v>
      </c>
      <c r="F14188" s="1704"/>
      <c r="G14188" s="1704"/>
      <c r="H14188" s="1704"/>
      <c r="K14188" s="841" t="s">
        <v>3302</v>
      </c>
      <c r="L14188" s="1357"/>
      <c r="Q14188" s="1357"/>
      <c r="S14188" s="1420"/>
      <c r="T14188" s="1420"/>
      <c r="V14188" s="1357">
        <v>523</v>
      </c>
    </row>
    <row r="14189" spans="1:22" s="841" customFormat="1" ht="15" x14ac:dyDescent="0.25">
      <c r="A14189" s="841" t="s">
        <v>192</v>
      </c>
      <c r="E14189" s="1704" t="s">
        <v>3101</v>
      </c>
      <c r="F14189" s="1704"/>
      <c r="G14189" s="1427" t="s">
        <v>23</v>
      </c>
      <c r="H14189" s="391">
        <v>-55</v>
      </c>
      <c r="K14189" s="841" t="s">
        <v>3302</v>
      </c>
      <c r="L14189" s="1357" t="s">
        <v>3046</v>
      </c>
      <c r="P14189" s="841" t="s">
        <v>3316</v>
      </c>
      <c r="Q14189" s="1357"/>
      <c r="S14189" s="1420"/>
      <c r="T14189" s="1420"/>
      <c r="V14189" s="1357">
        <v>11</v>
      </c>
    </row>
    <row r="14190" spans="1:22" s="841" customFormat="1" ht="15" x14ac:dyDescent="0.25">
      <c r="A14190" s="841" t="s">
        <v>192</v>
      </c>
      <c r="E14190" s="1910" t="s">
        <v>3105</v>
      </c>
      <c r="F14190" s="1910"/>
      <c r="G14190" s="1427"/>
      <c r="H14190" s="394"/>
      <c r="K14190" s="841" t="s">
        <v>3302</v>
      </c>
      <c r="L14190" s="1357"/>
      <c r="Q14190" s="1357"/>
      <c r="S14190" s="1420"/>
      <c r="T14190" s="1420"/>
      <c r="V14190" s="1357">
        <v>7</v>
      </c>
    </row>
    <row r="14191" spans="1:22" s="841" customFormat="1" ht="15" x14ac:dyDescent="0.25">
      <c r="A14191" s="841" t="s">
        <v>192</v>
      </c>
      <c r="E14191" s="1704" t="s">
        <v>3622</v>
      </c>
      <c r="F14191" s="1704"/>
      <c r="G14191" s="1704"/>
      <c r="H14191" s="1704"/>
      <c r="K14191" s="841" t="s">
        <v>3302</v>
      </c>
      <c r="L14191" s="1357"/>
      <c r="Q14191" s="1357"/>
      <c r="S14191" s="1420"/>
      <c r="T14191" s="1420"/>
      <c r="V14191" s="1357">
        <v>524</v>
      </c>
    </row>
    <row r="14192" spans="1:22" s="841" customFormat="1" ht="15" x14ac:dyDescent="0.25">
      <c r="A14192" s="841" t="s">
        <v>192</v>
      </c>
      <c r="E14192" s="1704" t="s">
        <v>3101</v>
      </c>
      <c r="F14192" s="1704"/>
      <c r="G14192" s="1427" t="s">
        <v>23</v>
      </c>
      <c r="H14192" s="391">
        <v>-60</v>
      </c>
      <c r="K14192" s="841" t="s">
        <v>3302</v>
      </c>
      <c r="L14192" s="1357" t="s">
        <v>3046</v>
      </c>
      <c r="P14192" s="841" t="s">
        <v>3317</v>
      </c>
      <c r="Q14192" s="1357"/>
      <c r="S14192" s="1420"/>
      <c r="T14192" s="1420"/>
      <c r="V14192" s="1357">
        <v>11</v>
      </c>
    </row>
    <row r="14193" spans="1:22" s="841" customFormat="1" ht="15" x14ac:dyDescent="0.25">
      <c r="A14193" s="841" t="s">
        <v>192</v>
      </c>
      <c r="E14193" s="1910" t="s">
        <v>3318</v>
      </c>
      <c r="F14193" s="1910"/>
      <c r="G14193" s="1427"/>
      <c r="H14193" s="394"/>
      <c r="K14193" s="841" t="s">
        <v>3302</v>
      </c>
      <c r="L14193" s="1357"/>
      <c r="Q14193" s="1357"/>
      <c r="S14193" s="1420"/>
      <c r="T14193" s="1420"/>
      <c r="V14193" s="1357">
        <v>7</v>
      </c>
    </row>
    <row r="14194" spans="1:22" s="841" customFormat="1" ht="15" x14ac:dyDescent="0.25">
      <c r="A14194" s="841" t="s">
        <v>192</v>
      </c>
      <c r="E14194" s="1704" t="s">
        <v>3623</v>
      </c>
      <c r="F14194" s="1704"/>
      <c r="G14194" s="1704"/>
      <c r="H14194" s="1704"/>
      <c r="K14194" s="841" t="s">
        <v>3302</v>
      </c>
      <c r="L14194" s="1357"/>
      <c r="Q14194" s="1357"/>
      <c r="S14194" s="1420"/>
      <c r="T14194" s="1420"/>
      <c r="V14194" s="1357">
        <v>548</v>
      </c>
    </row>
    <row r="14195" spans="1:22" s="841" customFormat="1" ht="15" x14ac:dyDescent="0.25">
      <c r="A14195" s="841" t="s">
        <v>192</v>
      </c>
      <c r="E14195" s="1704" t="s">
        <v>3101</v>
      </c>
      <c r="F14195" s="1704"/>
      <c r="G14195" s="1427" t="s">
        <v>23</v>
      </c>
      <c r="H14195" s="391">
        <v>-75</v>
      </c>
      <c r="K14195" s="841" t="s">
        <v>3302</v>
      </c>
      <c r="L14195" s="1357" t="s">
        <v>3046</v>
      </c>
      <c r="P14195" s="841" t="s">
        <v>3319</v>
      </c>
      <c r="Q14195" s="1357"/>
      <c r="S14195" s="1420"/>
      <c r="T14195" s="1420"/>
      <c r="V14195" s="1357">
        <v>11</v>
      </c>
    </row>
    <row r="14196" spans="1:22" s="841" customFormat="1" x14ac:dyDescent="0.25">
      <c r="A14196" s="841" t="s">
        <v>192</v>
      </c>
      <c r="E14196" s="1909" t="s">
        <v>3214</v>
      </c>
      <c r="F14196" s="1915"/>
      <c r="G14196" s="1915"/>
      <c r="H14196" s="1915"/>
      <c r="K14196" s="841" t="s">
        <v>5426</v>
      </c>
      <c r="L14196" s="1357"/>
      <c r="Q14196" s="1357"/>
      <c r="S14196" s="1420"/>
      <c r="T14196" s="1420"/>
      <c r="V14196" s="1357">
        <v>54</v>
      </c>
    </row>
    <row r="14197" spans="1:22" s="841" customFormat="1" ht="15" x14ac:dyDescent="0.25">
      <c r="A14197" s="841" t="s">
        <v>192</v>
      </c>
      <c r="E14197" s="1689" t="s">
        <v>6643</v>
      </c>
      <c r="F14197" s="1689"/>
      <c r="G14197" s="1689"/>
      <c r="H14197" s="1689"/>
      <c r="K14197" s="841" t="s">
        <v>5426</v>
      </c>
      <c r="L14197" s="1357"/>
      <c r="Q14197" s="1357"/>
      <c r="S14197" s="1420"/>
      <c r="T14197" s="1420"/>
      <c r="V14197" s="1357">
        <v>268</v>
      </c>
    </row>
    <row r="14198" spans="1:22" s="841" customFormat="1" ht="15" x14ac:dyDescent="0.25">
      <c r="A14198" s="841" t="s">
        <v>192</v>
      </c>
      <c r="E14198" s="1916" t="s">
        <v>3061</v>
      </c>
      <c r="F14198" s="1697"/>
      <c r="G14198" s="1697"/>
      <c r="H14198" s="1697"/>
      <c r="K14198" s="841" t="s">
        <v>3098</v>
      </c>
      <c r="L14198" s="1357"/>
      <c r="Q14198" s="1357"/>
      <c r="S14198" s="1420"/>
      <c r="T14198" s="1420"/>
      <c r="V14198" s="1357">
        <v>11</v>
      </c>
    </row>
    <row r="14199" spans="1:22" s="841" customFormat="1" ht="15" x14ac:dyDescent="0.25">
      <c r="A14199" s="841" t="s">
        <v>192</v>
      </c>
      <c r="E14199" s="1689" t="s">
        <v>3063</v>
      </c>
      <c r="F14199" s="1689"/>
      <c r="G14199" s="1689"/>
      <c r="H14199" s="1689"/>
      <c r="K14199" s="841" t="s">
        <v>5426</v>
      </c>
      <c r="L14199" s="1357"/>
      <c r="Q14199" s="1357"/>
      <c r="S14199" s="1420"/>
      <c r="T14199" s="1420"/>
      <c r="V14199" s="1357">
        <v>280</v>
      </c>
    </row>
    <row r="14200" spans="1:22" s="841" customFormat="1" ht="15" x14ac:dyDescent="0.25">
      <c r="A14200" s="841" t="s">
        <v>192</v>
      </c>
      <c r="E14200" s="1689" t="s">
        <v>3064</v>
      </c>
      <c r="F14200" s="1689"/>
      <c r="G14200" s="1689"/>
      <c r="H14200" s="1689"/>
      <c r="K14200" s="841" t="s">
        <v>5426</v>
      </c>
      <c r="L14200" s="1357"/>
      <c r="Q14200" s="1357"/>
      <c r="S14200" s="1420"/>
      <c r="T14200" s="1420"/>
      <c r="V14200" s="1357">
        <v>411</v>
      </c>
    </row>
    <row r="14201" spans="1:22" s="841" customFormat="1" ht="15" x14ac:dyDescent="0.25">
      <c r="A14201" s="841" t="s">
        <v>192</v>
      </c>
      <c r="E14201" s="1689" t="s">
        <v>3065</v>
      </c>
      <c r="F14201" s="1689"/>
      <c r="G14201" s="1689"/>
      <c r="H14201" s="1689"/>
      <c r="K14201" s="841" t="s">
        <v>5426</v>
      </c>
      <c r="L14201" s="1357"/>
      <c r="Q14201" s="1357"/>
      <c r="S14201" s="1420"/>
      <c r="T14201" s="1420"/>
      <c r="V14201" s="1357">
        <v>387</v>
      </c>
    </row>
    <row r="14202" spans="1:22" s="841" customFormat="1" ht="15" x14ac:dyDescent="0.25">
      <c r="A14202" s="841" t="s">
        <v>192</v>
      </c>
      <c r="E14202" s="1689" t="s">
        <v>3200</v>
      </c>
      <c r="F14202" s="1689"/>
      <c r="G14202" s="1689"/>
      <c r="H14202" s="1689"/>
      <c r="K14202" s="841" t="s">
        <v>5426</v>
      </c>
      <c r="L14202" s="1357"/>
      <c r="Q14202" s="1357"/>
      <c r="S14202" s="1420"/>
      <c r="T14202" s="1420"/>
      <c r="V14202" s="1357">
        <v>275</v>
      </c>
    </row>
    <row r="14203" spans="1:22" s="841" customFormat="1" ht="15" x14ac:dyDescent="0.25">
      <c r="A14203" s="841" t="s">
        <v>192</v>
      </c>
      <c r="E14203" s="1694" t="s">
        <v>3067</v>
      </c>
      <c r="F14203" s="1907"/>
      <c r="G14203" s="1907"/>
      <c r="H14203" s="1907"/>
      <c r="K14203" s="841" t="s">
        <v>3099</v>
      </c>
      <c r="L14203" s="1357"/>
      <c r="Q14203" s="1357"/>
      <c r="S14203" s="1420"/>
      <c r="T14203" s="1420"/>
      <c r="V14203" s="1357">
        <v>46</v>
      </c>
    </row>
    <row r="14204" spans="1:22" s="841" customFormat="1" ht="15" x14ac:dyDescent="0.25">
      <c r="A14204" s="841" t="s">
        <v>192</v>
      </c>
      <c r="E14204" s="1690" t="s">
        <v>11</v>
      </c>
      <c r="F14204" s="1690"/>
      <c r="G14204" s="1427" t="s">
        <v>23</v>
      </c>
      <c r="H14204" s="391">
        <v>17.11</v>
      </c>
      <c r="K14204" s="841" t="s">
        <v>5426</v>
      </c>
      <c r="L14204" s="1357" t="s">
        <v>442</v>
      </c>
      <c r="P14204" s="841" t="s">
        <v>5427</v>
      </c>
      <c r="Q14204" s="1357"/>
      <c r="S14204" s="1420"/>
      <c r="T14204" s="1420"/>
      <c r="V14204" s="1357">
        <v>14</v>
      </c>
    </row>
    <row r="14205" spans="1:22" s="841" customFormat="1" ht="15" x14ac:dyDescent="0.25">
      <c r="A14205" s="841" t="s">
        <v>192</v>
      </c>
      <c r="E14205" s="1690" t="s">
        <v>423</v>
      </c>
      <c r="F14205" s="1690"/>
      <c r="G14205" s="1427" t="s">
        <v>23</v>
      </c>
      <c r="H14205" s="391">
        <v>0.56999999999999995</v>
      </c>
      <c r="K14205" s="841" t="s">
        <v>5426</v>
      </c>
      <c r="L14205" s="1357" t="s">
        <v>443</v>
      </c>
      <c r="P14205" s="841" t="s">
        <v>5428</v>
      </c>
      <c r="Q14205" s="1357"/>
      <c r="S14205" s="1420"/>
      <c r="T14205" s="1420">
        <v>43404</v>
      </c>
      <c r="V14205" s="1357">
        <v>78</v>
      </c>
    </row>
    <row r="14206" spans="1:22" s="841" customFormat="1" ht="15" x14ac:dyDescent="0.25">
      <c r="A14206" s="841" t="s">
        <v>192</v>
      </c>
      <c r="E14206" s="1690" t="s">
        <v>84</v>
      </c>
      <c r="F14206" s="1690"/>
      <c r="G14206" s="1427" t="s">
        <v>24</v>
      </c>
      <c r="H14206" s="393">
        <v>2.0500000000000001E-2</v>
      </c>
      <c r="K14206" s="841" t="s">
        <v>5426</v>
      </c>
      <c r="L14206" s="1357" t="s">
        <v>442</v>
      </c>
      <c r="P14206" s="841" t="s">
        <v>5429</v>
      </c>
      <c r="Q14206" s="1357"/>
      <c r="S14206" s="1420"/>
      <c r="T14206" s="1420"/>
      <c r="V14206" s="1357">
        <v>28</v>
      </c>
    </row>
    <row r="14207" spans="1:22" s="841" customFormat="1" ht="15" x14ac:dyDescent="0.25">
      <c r="A14207" s="841" t="s">
        <v>192</v>
      </c>
      <c r="E14207" s="1690" t="s">
        <v>221</v>
      </c>
      <c r="F14207" s="1690"/>
      <c r="G14207" s="1427" t="s">
        <v>24</v>
      </c>
      <c r="H14207" s="393">
        <v>5.4999999999999997E-3</v>
      </c>
      <c r="K14207" s="841" t="s">
        <v>5426</v>
      </c>
      <c r="L14207" s="1357" t="s">
        <v>444</v>
      </c>
      <c r="P14207" s="841" t="s">
        <v>5434</v>
      </c>
      <c r="Q14207" s="1357"/>
      <c r="S14207" s="1420"/>
      <c r="T14207" s="1420"/>
      <c r="V14207" s="1357">
        <v>47</v>
      </c>
    </row>
    <row r="14208" spans="1:22" s="841" customFormat="1" ht="15" x14ac:dyDescent="0.25">
      <c r="A14208" s="841" t="s">
        <v>192</v>
      </c>
      <c r="E14208" s="1694" t="s">
        <v>3079</v>
      </c>
      <c r="F14208" s="1690"/>
      <c r="G14208" s="1427"/>
      <c r="H14208" s="394"/>
      <c r="K14208" s="841" t="s">
        <v>3218</v>
      </c>
      <c r="L14208" s="1357"/>
      <c r="Q14208" s="1357"/>
      <c r="S14208" s="1420"/>
      <c r="T14208" s="1420"/>
      <c r="V14208" s="1357">
        <v>48</v>
      </c>
    </row>
    <row r="14209" spans="1:22" s="841" customFormat="1" ht="15" x14ac:dyDescent="0.25">
      <c r="A14209" s="841" t="s">
        <v>192</v>
      </c>
      <c r="E14209" s="1690" t="s">
        <v>31</v>
      </c>
      <c r="F14209" s="1690"/>
      <c r="G14209" s="1427" t="s">
        <v>24</v>
      </c>
      <c r="H14209" s="393">
        <v>3.5999999999999999E-3</v>
      </c>
      <c r="K14209" s="841" t="s">
        <v>5426</v>
      </c>
      <c r="L14209" s="1357" t="s">
        <v>3046</v>
      </c>
      <c r="P14209" s="841" t="s">
        <v>5436</v>
      </c>
      <c r="Q14209" s="1357"/>
      <c r="S14209" s="1420"/>
      <c r="T14209" s="1420"/>
      <c r="V14209" s="1357">
        <v>29</v>
      </c>
    </row>
    <row r="14210" spans="1:22" s="841" customFormat="1" ht="15" x14ac:dyDescent="0.25">
      <c r="A14210" s="841" t="s">
        <v>192</v>
      </c>
      <c r="E14210" s="1690" t="s">
        <v>439</v>
      </c>
      <c r="F14210" s="1690"/>
      <c r="G14210" s="1427" t="s">
        <v>24</v>
      </c>
      <c r="H14210" s="393">
        <v>2.0999999999999999E-3</v>
      </c>
      <c r="K14210" s="841" t="s">
        <v>5426</v>
      </c>
      <c r="L14210" s="1357" t="s">
        <v>3046</v>
      </c>
      <c r="P14210" s="841" t="s">
        <v>5437</v>
      </c>
      <c r="Q14210" s="1357"/>
      <c r="S14210" s="1420"/>
      <c r="T14210" s="1420"/>
      <c r="V14210" s="1357">
        <v>57</v>
      </c>
    </row>
    <row r="14211" spans="1:22" s="841" customFormat="1" ht="15" x14ac:dyDescent="0.25">
      <c r="A14211" s="841" t="s">
        <v>192</v>
      </c>
      <c r="E14211" s="1690" t="s">
        <v>6639</v>
      </c>
      <c r="F14211" s="1690"/>
      <c r="G14211" s="1427" t="s">
        <v>24</v>
      </c>
      <c r="H14211" s="393">
        <v>0</v>
      </c>
      <c r="K14211" s="841" t="s">
        <v>5426</v>
      </c>
      <c r="L14211" s="1357" t="s">
        <v>3046</v>
      </c>
      <c r="P14211" s="841" t="s">
        <v>6644</v>
      </c>
      <c r="Q14211" s="1357"/>
      <c r="S14211" s="1420"/>
      <c r="T14211" s="1420"/>
      <c r="V14211" s="1357">
        <v>49</v>
      </c>
    </row>
    <row r="14212" spans="1:22" s="841" customFormat="1" ht="15" x14ac:dyDescent="0.25">
      <c r="A14212" s="841" t="s">
        <v>192</v>
      </c>
      <c r="E14212" s="1690" t="s">
        <v>32</v>
      </c>
      <c r="F14212" s="1690"/>
      <c r="G14212" s="1427" t="s">
        <v>23</v>
      </c>
      <c r="H14212" s="391">
        <v>0.25</v>
      </c>
      <c r="K14212" s="841" t="s">
        <v>5426</v>
      </c>
      <c r="L14212" s="1357" t="s">
        <v>3046</v>
      </c>
      <c r="P14212" s="841" t="s">
        <v>5438</v>
      </c>
      <c r="Q14212" s="1357"/>
      <c r="S14212" s="1420"/>
      <c r="T14212" s="1420"/>
      <c r="V14212" s="1357">
        <v>63</v>
      </c>
    </row>
    <row r="14213" spans="1:22" s="841" customFormat="1" x14ac:dyDescent="0.25">
      <c r="A14213" s="841" t="s">
        <v>192</v>
      </c>
      <c r="E14213" s="1909" t="s">
        <v>616</v>
      </c>
      <c r="F14213" s="1915"/>
      <c r="G14213" s="1915"/>
      <c r="H14213" s="1915"/>
      <c r="K14213" s="841" t="s">
        <v>6229</v>
      </c>
      <c r="L14213" s="1357"/>
      <c r="Q14213" s="1357"/>
      <c r="S14213" s="1420"/>
      <c r="T14213" s="1420"/>
      <c r="V14213" s="1357">
        <v>53</v>
      </c>
    </row>
    <row r="14214" spans="1:22" s="841" customFormat="1" ht="15" x14ac:dyDescent="0.25">
      <c r="A14214" s="841" t="s">
        <v>192</v>
      </c>
      <c r="E14214" s="1689" t="s">
        <v>6645</v>
      </c>
      <c r="F14214" s="1689"/>
      <c r="G14214" s="1689"/>
      <c r="H14214" s="1689"/>
      <c r="K14214" s="841" t="s">
        <v>6229</v>
      </c>
      <c r="L14214" s="1357"/>
      <c r="Q14214" s="1357"/>
      <c r="S14214" s="1420"/>
      <c r="T14214" s="1420"/>
      <c r="V14214" s="1357">
        <v>331</v>
      </c>
    </row>
    <row r="14215" spans="1:22" s="841" customFormat="1" ht="15" x14ac:dyDescent="0.25">
      <c r="A14215" s="841" t="s">
        <v>192</v>
      </c>
      <c r="E14215" s="1916" t="s">
        <v>3061</v>
      </c>
      <c r="F14215" s="1697"/>
      <c r="G14215" s="1697"/>
      <c r="H14215" s="1697"/>
      <c r="K14215" s="841" t="s">
        <v>3221</v>
      </c>
      <c r="L14215" s="1357"/>
      <c r="Q14215" s="1357"/>
      <c r="S14215" s="1420"/>
      <c r="T14215" s="1420"/>
      <c r="V14215" s="1357">
        <v>11</v>
      </c>
    </row>
    <row r="14216" spans="1:22" s="841" customFormat="1" ht="15" x14ac:dyDescent="0.25">
      <c r="A14216" s="841" t="s">
        <v>192</v>
      </c>
      <c r="E14216" s="1689" t="s">
        <v>3063</v>
      </c>
      <c r="F14216" s="1689"/>
      <c r="G14216" s="1689"/>
      <c r="H14216" s="1689"/>
      <c r="K14216" s="841" t="s">
        <v>6229</v>
      </c>
      <c r="L14216" s="1357"/>
      <c r="Q14216" s="1357"/>
      <c r="S14216" s="1420"/>
      <c r="T14216" s="1420"/>
      <c r="V14216" s="1357">
        <v>280</v>
      </c>
    </row>
    <row r="14217" spans="1:22" s="841" customFormat="1" ht="15" x14ac:dyDescent="0.25">
      <c r="A14217" s="841" t="s">
        <v>192</v>
      </c>
      <c r="E14217" s="1689" t="s">
        <v>3064</v>
      </c>
      <c r="F14217" s="1689"/>
      <c r="G14217" s="1689"/>
      <c r="H14217" s="1689"/>
      <c r="K14217" s="841" t="s">
        <v>6229</v>
      </c>
      <c r="L14217" s="1357"/>
      <c r="Q14217" s="1357"/>
      <c r="S14217" s="1420"/>
      <c r="T14217" s="1420"/>
      <c r="V14217" s="1357">
        <v>411</v>
      </c>
    </row>
    <row r="14218" spans="1:22" s="841" customFormat="1" ht="15" x14ac:dyDescent="0.25">
      <c r="A14218" s="841" t="s">
        <v>192</v>
      </c>
      <c r="E14218" s="1689" t="s">
        <v>3065</v>
      </c>
      <c r="F14218" s="1689"/>
      <c r="G14218" s="1689"/>
      <c r="H14218" s="1689"/>
      <c r="K14218" s="841" t="s">
        <v>6229</v>
      </c>
      <c r="L14218" s="1357"/>
      <c r="Q14218" s="1357"/>
      <c r="S14218" s="1420"/>
      <c r="T14218" s="1420"/>
      <c r="V14218" s="1357">
        <v>387</v>
      </c>
    </row>
    <row r="14219" spans="1:22" s="841" customFormat="1" ht="15" x14ac:dyDescent="0.25">
      <c r="A14219" s="841" t="s">
        <v>192</v>
      </c>
      <c r="E14219" s="1689" t="s">
        <v>3200</v>
      </c>
      <c r="F14219" s="1689"/>
      <c r="G14219" s="1689"/>
      <c r="H14219" s="1689"/>
      <c r="K14219" s="841" t="s">
        <v>6229</v>
      </c>
      <c r="L14219" s="1357"/>
      <c r="Q14219" s="1357"/>
      <c r="S14219" s="1420"/>
      <c r="T14219" s="1420"/>
      <c r="V14219" s="1357">
        <v>275</v>
      </c>
    </row>
    <row r="14220" spans="1:22" s="841" customFormat="1" ht="15" x14ac:dyDescent="0.25">
      <c r="A14220" s="841" t="s">
        <v>192</v>
      </c>
      <c r="E14220" s="1694" t="s">
        <v>3067</v>
      </c>
      <c r="F14220" s="1907"/>
      <c r="G14220" s="1907"/>
      <c r="H14220" s="1907"/>
      <c r="K14220" s="841" t="s">
        <v>3224</v>
      </c>
      <c r="L14220" s="1357"/>
      <c r="Q14220" s="1357"/>
      <c r="S14220" s="1420"/>
      <c r="T14220" s="1420"/>
      <c r="V14220" s="1357">
        <v>46</v>
      </c>
    </row>
    <row r="14221" spans="1:22" s="841" customFormat="1" ht="15" x14ac:dyDescent="0.25">
      <c r="A14221" s="841" t="s">
        <v>192</v>
      </c>
      <c r="E14221" s="1690" t="s">
        <v>11</v>
      </c>
      <c r="F14221" s="1690"/>
      <c r="G14221" s="1427" t="s">
        <v>23</v>
      </c>
      <c r="H14221" s="391">
        <v>114.46</v>
      </c>
      <c r="K14221" s="841" t="s">
        <v>6229</v>
      </c>
      <c r="L14221" s="1357" t="s">
        <v>442</v>
      </c>
      <c r="P14221" s="841" t="s">
        <v>6230</v>
      </c>
      <c r="Q14221" s="1357"/>
      <c r="S14221" s="1420"/>
      <c r="T14221" s="1420"/>
      <c r="V14221" s="1357">
        <v>14</v>
      </c>
    </row>
    <row r="14222" spans="1:22" s="841" customFormat="1" ht="15" x14ac:dyDescent="0.25">
      <c r="A14222" s="841" t="s">
        <v>192</v>
      </c>
      <c r="E14222" s="1690" t="s">
        <v>84</v>
      </c>
      <c r="F14222" s="1690"/>
      <c r="G14222" s="1427" t="s">
        <v>33</v>
      </c>
      <c r="H14222" s="393">
        <v>5.4371999999999998</v>
      </c>
      <c r="K14222" s="841" t="s">
        <v>6229</v>
      </c>
      <c r="L14222" s="1357" t="s">
        <v>442</v>
      </c>
      <c r="P14222" s="841" t="s">
        <v>6231</v>
      </c>
      <c r="Q14222" s="1357"/>
      <c r="S14222" s="1420"/>
      <c r="T14222" s="1420"/>
      <c r="V14222" s="1357">
        <v>28</v>
      </c>
    </row>
    <row r="14223" spans="1:22" s="841" customFormat="1" ht="15" x14ac:dyDescent="0.25">
      <c r="A14223" s="841" t="s">
        <v>192</v>
      </c>
      <c r="E14223" s="1690" t="s">
        <v>6638</v>
      </c>
      <c r="F14223" s="1908"/>
      <c r="G14223" s="1427" t="s">
        <v>33</v>
      </c>
      <c r="H14223" s="393">
        <v>6.8000000000000005E-2</v>
      </c>
      <c r="K14223" s="841" t="s">
        <v>6229</v>
      </c>
      <c r="L14223" s="1357" t="s">
        <v>442</v>
      </c>
      <c r="P14223" s="841" t="s">
        <v>6646</v>
      </c>
      <c r="Q14223" s="1357"/>
      <c r="S14223" s="1420"/>
      <c r="T14223" s="1420">
        <v>43220</v>
      </c>
      <c r="V14223" s="1357">
        <v>135</v>
      </c>
    </row>
    <row r="14224" spans="1:22" s="841" customFormat="1" ht="15" x14ac:dyDescent="0.25">
      <c r="A14224" s="841" t="s">
        <v>192</v>
      </c>
      <c r="E14224" s="1690" t="s">
        <v>6637</v>
      </c>
      <c r="F14224" s="1908"/>
      <c r="G14224" s="1427" t="s">
        <v>33</v>
      </c>
      <c r="H14224" s="393">
        <v>1.01E-2</v>
      </c>
      <c r="K14224" s="841" t="s">
        <v>6229</v>
      </c>
      <c r="L14224" s="1357" t="s">
        <v>442</v>
      </c>
      <c r="P14224" s="841" t="s">
        <v>6647</v>
      </c>
      <c r="Q14224" s="1357"/>
      <c r="S14224" s="1420"/>
      <c r="T14224" s="1420">
        <v>43220</v>
      </c>
      <c r="V14224" s="1357">
        <v>80</v>
      </c>
    </row>
    <row r="14225" spans="1:22" s="841" customFormat="1" ht="15" x14ac:dyDescent="0.25">
      <c r="A14225" s="841" t="s">
        <v>192</v>
      </c>
      <c r="E14225" s="1690" t="s">
        <v>221</v>
      </c>
      <c r="F14225" s="1690"/>
      <c r="G14225" s="1427" t="s">
        <v>33</v>
      </c>
      <c r="H14225" s="393">
        <v>2.2454999999999998</v>
      </c>
      <c r="K14225" s="841" t="s">
        <v>6229</v>
      </c>
      <c r="L14225" s="1357" t="s">
        <v>444</v>
      </c>
      <c r="P14225" s="841" t="s">
        <v>6235</v>
      </c>
      <c r="Q14225" s="1357"/>
      <c r="S14225" s="1420"/>
      <c r="T14225" s="1420"/>
      <c r="V14225" s="1357">
        <v>47</v>
      </c>
    </row>
    <row r="14226" spans="1:22" s="841" customFormat="1" ht="15" x14ac:dyDescent="0.25">
      <c r="A14226" s="841" t="s">
        <v>192</v>
      </c>
      <c r="E14226" s="1690" t="s">
        <v>223</v>
      </c>
      <c r="F14226" s="1690"/>
      <c r="G14226" s="1427" t="s">
        <v>33</v>
      </c>
      <c r="H14226" s="393">
        <v>2.8239999999999998</v>
      </c>
      <c r="K14226" s="841" t="s">
        <v>6229</v>
      </c>
      <c r="L14226" s="1357" t="s">
        <v>444</v>
      </c>
      <c r="P14226" s="841" t="s">
        <v>6237</v>
      </c>
      <c r="Q14226" s="1357"/>
      <c r="S14226" s="1420"/>
      <c r="T14226" s="1420"/>
      <c r="V14226" s="1357">
        <v>66</v>
      </c>
    </row>
    <row r="14227" spans="1:22" s="841" customFormat="1" ht="15" x14ac:dyDescent="0.25">
      <c r="A14227" s="841" t="s">
        <v>192</v>
      </c>
      <c r="E14227" s="1694" t="s">
        <v>3079</v>
      </c>
      <c r="F14227" s="1690"/>
      <c r="G14227" s="1427"/>
      <c r="H14227" s="394"/>
      <c r="K14227" s="841" t="s">
        <v>3225</v>
      </c>
      <c r="L14227" s="1357"/>
      <c r="Q14227" s="1357"/>
      <c r="S14227" s="1420"/>
      <c r="T14227" s="1420"/>
      <c r="V14227" s="1357">
        <v>48</v>
      </c>
    </row>
    <row r="14228" spans="1:22" s="841" customFormat="1" ht="15" x14ac:dyDescent="0.25">
      <c r="A14228" s="841" t="s">
        <v>192</v>
      </c>
      <c r="E14228" s="1690" t="s">
        <v>31</v>
      </c>
      <c r="F14228" s="1690"/>
      <c r="G14228" s="1427" t="s">
        <v>24</v>
      </c>
      <c r="H14228" s="393">
        <v>3.5999999999999999E-3</v>
      </c>
      <c r="K14228" s="841" t="s">
        <v>6229</v>
      </c>
      <c r="L14228" s="1357" t="s">
        <v>3046</v>
      </c>
      <c r="P14228" s="841" t="s">
        <v>6239</v>
      </c>
      <c r="Q14228" s="1357"/>
      <c r="S14228" s="1420"/>
      <c r="T14228" s="1420"/>
      <c r="V14228" s="1357">
        <v>29</v>
      </c>
    </row>
    <row r="14229" spans="1:22" s="841" customFormat="1" ht="15" x14ac:dyDescent="0.25">
      <c r="A14229" s="841" t="s">
        <v>192</v>
      </c>
      <c r="E14229" s="1690" t="s">
        <v>439</v>
      </c>
      <c r="F14229" s="1690"/>
      <c r="G14229" s="1427" t="s">
        <v>24</v>
      </c>
      <c r="H14229" s="393">
        <v>2.0999999999999999E-3</v>
      </c>
      <c r="K14229" s="841" t="s">
        <v>6229</v>
      </c>
      <c r="L14229" s="1357" t="s">
        <v>3046</v>
      </c>
      <c r="P14229" s="841" t="s">
        <v>6240</v>
      </c>
      <c r="Q14229" s="1357"/>
      <c r="S14229" s="1420"/>
      <c r="T14229" s="1420"/>
      <c r="V14229" s="1357">
        <v>57</v>
      </c>
    </row>
    <row r="14230" spans="1:22" s="841" customFormat="1" ht="15" x14ac:dyDescent="0.25">
      <c r="A14230" s="841" t="s">
        <v>192</v>
      </c>
      <c r="E14230" s="1690" t="s">
        <v>6639</v>
      </c>
      <c r="F14230" s="1690"/>
      <c r="G14230" s="1427" t="s">
        <v>24</v>
      </c>
      <c r="H14230" s="393">
        <v>0</v>
      </c>
      <c r="K14230" s="841" t="s">
        <v>6229</v>
      </c>
      <c r="L14230" s="1357" t="s">
        <v>3046</v>
      </c>
      <c r="P14230" s="841" t="s">
        <v>6648</v>
      </c>
      <c r="Q14230" s="1357"/>
      <c r="S14230" s="1420"/>
      <c r="T14230" s="1420"/>
      <c r="V14230" s="1357">
        <v>49</v>
      </c>
    </row>
    <row r="14231" spans="1:22" s="841" customFormat="1" ht="15" x14ac:dyDescent="0.25">
      <c r="A14231" s="841" t="s">
        <v>192</v>
      </c>
      <c r="E14231" s="1690" t="s">
        <v>32</v>
      </c>
      <c r="F14231" s="1690"/>
      <c r="G14231" s="1427" t="s">
        <v>23</v>
      </c>
      <c r="H14231" s="391">
        <v>0.25</v>
      </c>
      <c r="K14231" s="841" t="s">
        <v>6229</v>
      </c>
      <c r="L14231" s="1357" t="s">
        <v>3046</v>
      </c>
      <c r="P14231" s="841" t="s">
        <v>6241</v>
      </c>
      <c r="Q14231" s="1357"/>
      <c r="S14231" s="1420"/>
      <c r="T14231" s="1420"/>
      <c r="V14231" s="1357">
        <v>63</v>
      </c>
    </row>
    <row r="14232" spans="1:22" s="841" customFormat="1" x14ac:dyDescent="0.25">
      <c r="A14232" s="841" t="s">
        <v>192</v>
      </c>
      <c r="E14232" s="1909" t="s">
        <v>617</v>
      </c>
      <c r="F14232" s="1915"/>
      <c r="G14232" s="1915"/>
      <c r="H14232" s="1915"/>
      <c r="K14232" s="841" t="s">
        <v>3457</v>
      </c>
      <c r="L14232" s="1357"/>
      <c r="Q14232" s="1357"/>
      <c r="S14232" s="1420"/>
      <c r="T14232" s="1420"/>
      <c r="V14232" s="1357">
        <v>47</v>
      </c>
    </row>
    <row r="14233" spans="1:22" s="841" customFormat="1" ht="15" x14ac:dyDescent="0.25">
      <c r="A14233" s="841" t="s">
        <v>192</v>
      </c>
      <c r="E14233" s="1689" t="s">
        <v>6649</v>
      </c>
      <c r="F14233" s="1689"/>
      <c r="G14233" s="1689"/>
      <c r="H14233" s="1689"/>
      <c r="K14233" s="841" t="s">
        <v>3457</v>
      </c>
      <c r="L14233" s="1357"/>
      <c r="Q14233" s="1357"/>
      <c r="S14233" s="1420"/>
      <c r="T14233" s="1420"/>
      <c r="V14233" s="1357">
        <v>558</v>
      </c>
    </row>
    <row r="14234" spans="1:22" s="841" customFormat="1" ht="15" x14ac:dyDescent="0.25">
      <c r="A14234" s="841" t="s">
        <v>192</v>
      </c>
      <c r="E14234" s="1916" t="s">
        <v>3061</v>
      </c>
      <c r="F14234" s="1697"/>
      <c r="G14234" s="1697"/>
      <c r="H14234" s="1697"/>
      <c r="K14234" s="841" t="s">
        <v>3107</v>
      </c>
      <c r="L14234" s="1357"/>
      <c r="Q14234" s="1357"/>
      <c r="S14234" s="1420"/>
      <c r="T14234" s="1420"/>
      <c r="V14234" s="1357">
        <v>11</v>
      </c>
    </row>
    <row r="14235" spans="1:22" s="841" customFormat="1" ht="15" x14ac:dyDescent="0.25">
      <c r="A14235" s="841" t="s">
        <v>192</v>
      </c>
      <c r="E14235" s="1689" t="s">
        <v>3063</v>
      </c>
      <c r="F14235" s="1689"/>
      <c r="G14235" s="1689"/>
      <c r="H14235" s="1689"/>
      <c r="K14235" s="841" t="s">
        <v>3457</v>
      </c>
      <c r="L14235" s="1357"/>
      <c r="Q14235" s="1357"/>
      <c r="S14235" s="1420"/>
      <c r="T14235" s="1420"/>
      <c r="V14235" s="1357">
        <v>280</v>
      </c>
    </row>
    <row r="14236" spans="1:22" s="841" customFormat="1" ht="15" x14ac:dyDescent="0.25">
      <c r="A14236" s="841" t="s">
        <v>192</v>
      </c>
      <c r="E14236" s="1689" t="s">
        <v>3064</v>
      </c>
      <c r="F14236" s="1689"/>
      <c r="G14236" s="1689"/>
      <c r="H14236" s="1689"/>
      <c r="K14236" s="841" t="s">
        <v>3457</v>
      </c>
      <c r="L14236" s="1357"/>
      <c r="Q14236" s="1357"/>
      <c r="S14236" s="1420"/>
      <c r="T14236" s="1420"/>
      <c r="V14236" s="1357">
        <v>411</v>
      </c>
    </row>
    <row r="14237" spans="1:22" s="841" customFormat="1" ht="15" x14ac:dyDescent="0.25">
      <c r="A14237" s="841" t="s">
        <v>192</v>
      </c>
      <c r="E14237" s="1689" t="s">
        <v>3065</v>
      </c>
      <c r="F14237" s="1689"/>
      <c r="G14237" s="1689"/>
      <c r="H14237" s="1689"/>
      <c r="K14237" s="841" t="s">
        <v>3457</v>
      </c>
      <c r="L14237" s="1357"/>
      <c r="Q14237" s="1357"/>
      <c r="S14237" s="1420"/>
      <c r="T14237" s="1420"/>
      <c r="V14237" s="1357">
        <v>387</v>
      </c>
    </row>
    <row r="14238" spans="1:22" s="841" customFormat="1" ht="15" x14ac:dyDescent="0.25">
      <c r="A14238" s="841" t="s">
        <v>192</v>
      </c>
      <c r="E14238" s="1689" t="s">
        <v>3200</v>
      </c>
      <c r="F14238" s="1689"/>
      <c r="G14238" s="1689"/>
      <c r="H14238" s="1689"/>
      <c r="K14238" s="841" t="s">
        <v>3457</v>
      </c>
      <c r="L14238" s="1357"/>
      <c r="Q14238" s="1357"/>
      <c r="S14238" s="1420"/>
      <c r="T14238" s="1420"/>
      <c r="V14238" s="1357">
        <v>275</v>
      </c>
    </row>
    <row r="14239" spans="1:22" s="841" customFormat="1" ht="15" x14ac:dyDescent="0.25">
      <c r="A14239" s="841" t="s">
        <v>192</v>
      </c>
      <c r="E14239" s="1694" t="s">
        <v>3067</v>
      </c>
      <c r="F14239" s="1907"/>
      <c r="G14239" s="1907"/>
      <c r="H14239" s="1907"/>
      <c r="K14239" s="841" t="s">
        <v>3108</v>
      </c>
      <c r="L14239" s="1357"/>
      <c r="Q14239" s="1357"/>
      <c r="S14239" s="1420"/>
      <c r="T14239" s="1420"/>
      <c r="V14239" s="1357">
        <v>46</v>
      </c>
    </row>
    <row r="14240" spans="1:22" s="841" customFormat="1" ht="15" x14ac:dyDescent="0.25">
      <c r="A14240" s="841" t="s">
        <v>192</v>
      </c>
      <c r="E14240" s="1690" t="s">
        <v>11</v>
      </c>
      <c r="F14240" s="1690"/>
      <c r="G14240" s="1427" t="s">
        <v>23</v>
      </c>
      <c r="H14240" s="391">
        <v>12.69</v>
      </c>
      <c r="K14240" s="841" t="s">
        <v>3457</v>
      </c>
      <c r="L14240" s="1357" t="s">
        <v>442</v>
      </c>
      <c r="P14240" s="841" t="s">
        <v>3458</v>
      </c>
      <c r="Q14240" s="1357"/>
      <c r="S14240" s="1420"/>
      <c r="T14240" s="1420"/>
      <c r="V14240" s="1357">
        <v>14</v>
      </c>
    </row>
    <row r="14241" spans="1:22" s="841" customFormat="1" ht="15" x14ac:dyDescent="0.25">
      <c r="A14241" s="841" t="s">
        <v>192</v>
      </c>
      <c r="E14241" s="1690" t="s">
        <v>84</v>
      </c>
      <c r="F14241" s="1690"/>
      <c r="G14241" s="1427" t="s">
        <v>24</v>
      </c>
      <c r="H14241" s="393">
        <v>3.1E-2</v>
      </c>
      <c r="K14241" s="841" t="s">
        <v>3457</v>
      </c>
      <c r="L14241" s="1357" t="s">
        <v>442</v>
      </c>
      <c r="P14241" s="841" t="s">
        <v>3459</v>
      </c>
      <c r="Q14241" s="1357"/>
      <c r="S14241" s="1420"/>
      <c r="T14241" s="1420"/>
      <c r="V14241" s="1357">
        <v>28</v>
      </c>
    </row>
    <row r="14242" spans="1:22" s="841" customFormat="1" ht="15" x14ac:dyDescent="0.25">
      <c r="A14242" s="841" t="s">
        <v>192</v>
      </c>
      <c r="E14242" s="1690" t="s">
        <v>221</v>
      </c>
      <c r="F14242" s="1690"/>
      <c r="G14242" s="1427" t="s">
        <v>24</v>
      </c>
      <c r="H14242" s="393">
        <v>5.4999999999999997E-3</v>
      </c>
      <c r="K14242" s="841" t="s">
        <v>3457</v>
      </c>
      <c r="L14242" s="1357" t="s">
        <v>444</v>
      </c>
      <c r="P14242" s="841" t="s">
        <v>3462</v>
      </c>
      <c r="Q14242" s="1357"/>
      <c r="S14242" s="1420"/>
      <c r="T14242" s="1420"/>
      <c r="V14242" s="1357">
        <v>47</v>
      </c>
    </row>
    <row r="14243" spans="1:22" s="841" customFormat="1" ht="15" x14ac:dyDescent="0.25">
      <c r="A14243" s="841" t="s">
        <v>192</v>
      </c>
      <c r="E14243" s="1694" t="s">
        <v>3079</v>
      </c>
      <c r="F14243" s="1690"/>
      <c r="G14243" s="1427"/>
      <c r="H14243" s="394"/>
      <c r="K14243" s="841" t="s">
        <v>3111</v>
      </c>
      <c r="L14243" s="1357"/>
      <c r="Q14243" s="1357"/>
      <c r="S14243" s="1420"/>
      <c r="T14243" s="1420"/>
      <c r="V14243" s="1357">
        <v>48</v>
      </c>
    </row>
    <row r="14244" spans="1:22" s="841" customFormat="1" ht="15" x14ac:dyDescent="0.25">
      <c r="A14244" s="841" t="s">
        <v>192</v>
      </c>
      <c r="E14244" s="1690" t="s">
        <v>31</v>
      </c>
      <c r="F14244" s="1690"/>
      <c r="G14244" s="1427" t="s">
        <v>24</v>
      </c>
      <c r="H14244" s="393">
        <v>3.5999999999999999E-3</v>
      </c>
      <c r="K14244" s="841" t="s">
        <v>3457</v>
      </c>
      <c r="L14244" s="1357" t="s">
        <v>3046</v>
      </c>
      <c r="P14244" s="841" t="s">
        <v>3464</v>
      </c>
      <c r="Q14244" s="1357"/>
      <c r="S14244" s="1420"/>
      <c r="T14244" s="1420"/>
      <c r="V14244" s="1357">
        <v>29</v>
      </c>
    </row>
    <row r="14245" spans="1:22" s="841" customFormat="1" ht="15" x14ac:dyDescent="0.25">
      <c r="A14245" s="841" t="s">
        <v>192</v>
      </c>
      <c r="E14245" s="1690" t="s">
        <v>439</v>
      </c>
      <c r="F14245" s="1690"/>
      <c r="G14245" s="1427" t="s">
        <v>24</v>
      </c>
      <c r="H14245" s="393">
        <v>2.0999999999999999E-3</v>
      </c>
      <c r="K14245" s="841" t="s">
        <v>3457</v>
      </c>
      <c r="L14245" s="1357" t="s">
        <v>3046</v>
      </c>
      <c r="P14245" s="841" t="s">
        <v>3465</v>
      </c>
      <c r="Q14245" s="1357"/>
      <c r="S14245" s="1420"/>
      <c r="T14245" s="1420"/>
      <c r="V14245" s="1357">
        <v>57</v>
      </c>
    </row>
    <row r="14246" spans="1:22" s="841" customFormat="1" ht="15" x14ac:dyDescent="0.25">
      <c r="A14246" s="841" t="s">
        <v>192</v>
      </c>
      <c r="E14246" s="1690" t="s">
        <v>6639</v>
      </c>
      <c r="F14246" s="1690"/>
      <c r="G14246" s="1427" t="s">
        <v>24</v>
      </c>
      <c r="H14246" s="393">
        <v>0</v>
      </c>
      <c r="K14246" s="841" t="s">
        <v>3457</v>
      </c>
      <c r="L14246" s="1357" t="s">
        <v>3046</v>
      </c>
      <c r="P14246" s="841" t="s">
        <v>6650</v>
      </c>
      <c r="Q14246" s="1357"/>
      <c r="S14246" s="1420"/>
      <c r="T14246" s="1420"/>
      <c r="V14246" s="1357">
        <v>49</v>
      </c>
    </row>
    <row r="14247" spans="1:22" s="841" customFormat="1" ht="15" x14ac:dyDescent="0.25">
      <c r="A14247" s="841" t="s">
        <v>192</v>
      </c>
      <c r="E14247" s="1690" t="s">
        <v>32</v>
      </c>
      <c r="F14247" s="1690"/>
      <c r="G14247" s="1427" t="s">
        <v>23</v>
      </c>
      <c r="H14247" s="391">
        <v>0.25</v>
      </c>
      <c r="K14247" s="841" t="s">
        <v>3457</v>
      </c>
      <c r="L14247" s="1357" t="s">
        <v>3046</v>
      </c>
      <c r="P14247" s="841" t="s">
        <v>3466</v>
      </c>
      <c r="Q14247" s="1357"/>
      <c r="S14247" s="1420"/>
      <c r="T14247" s="1420"/>
      <c r="V14247" s="1357">
        <v>63</v>
      </c>
    </row>
    <row r="14248" spans="1:22" s="841" customFormat="1" x14ac:dyDescent="0.25">
      <c r="A14248" s="841" t="s">
        <v>192</v>
      </c>
      <c r="E14248" s="1909" t="s">
        <v>629</v>
      </c>
      <c r="F14248" s="1915"/>
      <c r="G14248" s="1915"/>
      <c r="H14248" s="1915"/>
      <c r="K14248" s="841" t="s">
        <v>3467</v>
      </c>
      <c r="L14248" s="1357"/>
      <c r="Q14248" s="1357"/>
      <c r="S14248" s="1420"/>
      <c r="T14248" s="1420"/>
      <c r="V14248" s="1357">
        <v>40</v>
      </c>
    </row>
    <row r="14249" spans="1:22" s="841" customFormat="1" ht="15" x14ac:dyDescent="0.25">
      <c r="A14249" s="841" t="s">
        <v>192</v>
      </c>
      <c r="E14249" s="1689" t="s">
        <v>6651</v>
      </c>
      <c r="F14249" s="1689"/>
      <c r="G14249" s="1689"/>
      <c r="H14249" s="1689"/>
      <c r="K14249" s="841" t="s">
        <v>3467</v>
      </c>
      <c r="L14249" s="1357"/>
      <c r="Q14249" s="1357"/>
      <c r="S14249" s="1420"/>
      <c r="T14249" s="1420"/>
      <c r="V14249" s="1357">
        <v>325</v>
      </c>
    </row>
    <row r="14250" spans="1:22" s="841" customFormat="1" ht="15" x14ac:dyDescent="0.25">
      <c r="A14250" s="841" t="s">
        <v>192</v>
      </c>
      <c r="E14250" s="1916" t="s">
        <v>3061</v>
      </c>
      <c r="F14250" s="1697"/>
      <c r="G14250" s="1697"/>
      <c r="H14250" s="1697"/>
      <c r="K14250" s="841" t="s">
        <v>3114</v>
      </c>
      <c r="L14250" s="1357"/>
      <c r="Q14250" s="1357"/>
      <c r="S14250" s="1420"/>
      <c r="T14250" s="1420"/>
      <c r="V14250" s="1357">
        <v>11</v>
      </c>
    </row>
    <row r="14251" spans="1:22" s="841" customFormat="1" ht="15" x14ac:dyDescent="0.25">
      <c r="A14251" s="841" t="s">
        <v>192</v>
      </c>
      <c r="E14251" s="1689" t="s">
        <v>3063</v>
      </c>
      <c r="F14251" s="1689"/>
      <c r="G14251" s="1689"/>
      <c r="H14251" s="1689"/>
      <c r="K14251" s="841" t="s">
        <v>3467</v>
      </c>
      <c r="L14251" s="1357"/>
      <c r="Q14251" s="1357"/>
      <c r="S14251" s="1420"/>
      <c r="T14251" s="1420"/>
      <c r="V14251" s="1357">
        <v>280</v>
      </c>
    </row>
    <row r="14252" spans="1:22" s="841" customFormat="1" ht="15" x14ac:dyDescent="0.25">
      <c r="A14252" s="841" t="s">
        <v>192</v>
      </c>
      <c r="E14252" s="1689" t="s">
        <v>3064</v>
      </c>
      <c r="F14252" s="1689"/>
      <c r="G14252" s="1689"/>
      <c r="H14252" s="1689"/>
      <c r="K14252" s="841" t="s">
        <v>3467</v>
      </c>
      <c r="L14252" s="1357"/>
      <c r="Q14252" s="1357"/>
      <c r="S14252" s="1420"/>
      <c r="T14252" s="1420"/>
      <c r="V14252" s="1357">
        <v>411</v>
      </c>
    </row>
    <row r="14253" spans="1:22" s="841" customFormat="1" ht="15" x14ac:dyDescent="0.25">
      <c r="A14253" s="841" t="s">
        <v>192</v>
      </c>
      <c r="E14253" s="1689" t="s">
        <v>3065</v>
      </c>
      <c r="F14253" s="1689"/>
      <c r="G14253" s="1689"/>
      <c r="H14253" s="1689"/>
      <c r="K14253" s="841" t="s">
        <v>3467</v>
      </c>
      <c r="L14253" s="1357"/>
      <c r="Q14253" s="1357"/>
      <c r="S14253" s="1420"/>
      <c r="T14253" s="1420"/>
      <c r="V14253" s="1357">
        <v>387</v>
      </c>
    </row>
    <row r="14254" spans="1:22" s="841" customFormat="1" ht="15" x14ac:dyDescent="0.25">
      <c r="A14254" s="841" t="s">
        <v>192</v>
      </c>
      <c r="E14254" s="1689" t="s">
        <v>3200</v>
      </c>
      <c r="F14254" s="1689"/>
      <c r="G14254" s="1689"/>
      <c r="H14254" s="1689"/>
      <c r="K14254" s="841" t="s">
        <v>3467</v>
      </c>
      <c r="L14254" s="1357"/>
      <c r="Q14254" s="1357"/>
      <c r="S14254" s="1420"/>
      <c r="T14254" s="1420"/>
      <c r="V14254" s="1357">
        <v>275</v>
      </c>
    </row>
    <row r="14255" spans="1:22" s="841" customFormat="1" ht="15" x14ac:dyDescent="0.25">
      <c r="A14255" s="841" t="s">
        <v>192</v>
      </c>
      <c r="E14255" s="1694" t="s">
        <v>3067</v>
      </c>
      <c r="F14255" s="1907"/>
      <c r="G14255" s="1907"/>
      <c r="H14255" s="1907"/>
      <c r="K14255" s="841" t="s">
        <v>3115</v>
      </c>
      <c r="L14255" s="1357"/>
      <c r="Q14255" s="1357"/>
      <c r="S14255" s="1420"/>
      <c r="T14255" s="1420"/>
      <c r="V14255" s="1357">
        <v>46</v>
      </c>
    </row>
    <row r="14256" spans="1:22" s="841" customFormat="1" ht="15" x14ac:dyDescent="0.25">
      <c r="A14256" s="841" t="s">
        <v>192</v>
      </c>
      <c r="E14256" s="1690" t="s">
        <v>12</v>
      </c>
      <c r="F14256" s="1690"/>
      <c r="G14256" s="1427" t="s">
        <v>23</v>
      </c>
      <c r="H14256" s="391">
        <v>2.93</v>
      </c>
      <c r="K14256" s="841" t="s">
        <v>3467</v>
      </c>
      <c r="L14256" s="1357" t="s">
        <v>442</v>
      </c>
      <c r="P14256" s="841" t="s">
        <v>3468</v>
      </c>
      <c r="Q14256" s="1357"/>
      <c r="S14256" s="1420"/>
      <c r="T14256" s="1420"/>
      <c r="V14256" s="1357">
        <v>31</v>
      </c>
    </row>
    <row r="14257" spans="1:22" s="841" customFormat="1" ht="15" x14ac:dyDescent="0.25">
      <c r="A14257" s="841" t="s">
        <v>192</v>
      </c>
      <c r="E14257" s="1690" t="s">
        <v>84</v>
      </c>
      <c r="F14257" s="1690"/>
      <c r="G14257" s="1427" t="s">
        <v>33</v>
      </c>
      <c r="H14257" s="393">
        <v>27.3551</v>
      </c>
      <c r="K14257" s="841" t="s">
        <v>3467</v>
      </c>
      <c r="L14257" s="1357" t="s">
        <v>442</v>
      </c>
      <c r="P14257" s="841" t="s">
        <v>3469</v>
      </c>
      <c r="Q14257" s="1357"/>
      <c r="S14257" s="1420"/>
      <c r="T14257" s="1420"/>
      <c r="V14257" s="1357">
        <v>28</v>
      </c>
    </row>
    <row r="14258" spans="1:22" s="841" customFormat="1" ht="15" x14ac:dyDescent="0.25">
      <c r="A14258" s="841" t="s">
        <v>192</v>
      </c>
      <c r="E14258" s="1690" t="s">
        <v>221</v>
      </c>
      <c r="F14258" s="1690"/>
      <c r="G14258" s="1427" t="s">
        <v>33</v>
      </c>
      <c r="H14258" s="393">
        <v>1.7020999999999999</v>
      </c>
      <c r="K14258" s="841" t="s">
        <v>3467</v>
      </c>
      <c r="L14258" s="1357" t="s">
        <v>444</v>
      </c>
      <c r="P14258" s="841" t="s">
        <v>3472</v>
      </c>
      <c r="Q14258" s="1357"/>
      <c r="S14258" s="1420"/>
      <c r="T14258" s="1420"/>
      <c r="V14258" s="1357">
        <v>47</v>
      </c>
    </row>
    <row r="14259" spans="1:22" s="841" customFormat="1" ht="15" x14ac:dyDescent="0.25">
      <c r="A14259" s="841" t="s">
        <v>192</v>
      </c>
      <c r="E14259" s="1694" t="s">
        <v>3079</v>
      </c>
      <c r="F14259" s="1690"/>
      <c r="G14259" s="1427"/>
      <c r="H14259" s="394"/>
      <c r="K14259" s="841" t="s">
        <v>3122</v>
      </c>
      <c r="L14259" s="1357"/>
      <c r="Q14259" s="1357"/>
      <c r="S14259" s="1420"/>
      <c r="T14259" s="1420"/>
      <c r="V14259" s="1357">
        <v>48</v>
      </c>
    </row>
    <row r="14260" spans="1:22" s="841" customFormat="1" ht="15" x14ac:dyDescent="0.25">
      <c r="A14260" s="841" t="s">
        <v>192</v>
      </c>
      <c r="E14260" s="1690" t="s">
        <v>31</v>
      </c>
      <c r="F14260" s="1690"/>
      <c r="G14260" s="1427" t="s">
        <v>24</v>
      </c>
      <c r="H14260" s="393">
        <v>3.5999999999999999E-3</v>
      </c>
      <c r="K14260" s="841" t="s">
        <v>3467</v>
      </c>
      <c r="L14260" s="1357" t="s">
        <v>3046</v>
      </c>
      <c r="P14260" s="841" t="s">
        <v>3474</v>
      </c>
      <c r="Q14260" s="1357"/>
      <c r="S14260" s="1420"/>
      <c r="T14260" s="1420"/>
      <c r="V14260" s="1357">
        <v>29</v>
      </c>
    </row>
    <row r="14261" spans="1:22" s="841" customFormat="1" ht="15" x14ac:dyDescent="0.25">
      <c r="A14261" s="841" t="s">
        <v>192</v>
      </c>
      <c r="E14261" s="1690" t="s">
        <v>439</v>
      </c>
      <c r="F14261" s="1690"/>
      <c r="G14261" s="1427" t="s">
        <v>24</v>
      </c>
      <c r="H14261" s="393">
        <v>2.0999999999999999E-3</v>
      </c>
      <c r="K14261" s="841" t="s">
        <v>3467</v>
      </c>
      <c r="L14261" s="1357" t="s">
        <v>3046</v>
      </c>
      <c r="P14261" s="841" t="s">
        <v>3475</v>
      </c>
      <c r="Q14261" s="1357"/>
      <c r="S14261" s="1420"/>
      <c r="T14261" s="1420"/>
      <c r="V14261" s="1357">
        <v>57</v>
      </c>
    </row>
    <row r="14262" spans="1:22" s="841" customFormat="1" ht="15" x14ac:dyDescent="0.25">
      <c r="A14262" s="841" t="s">
        <v>192</v>
      </c>
      <c r="E14262" s="1690" t="s">
        <v>6639</v>
      </c>
      <c r="F14262" s="1690"/>
      <c r="G14262" s="1427" t="s">
        <v>24</v>
      </c>
      <c r="H14262" s="393">
        <v>0</v>
      </c>
      <c r="K14262" s="841" t="s">
        <v>3467</v>
      </c>
      <c r="L14262" s="1357" t="s">
        <v>3046</v>
      </c>
      <c r="P14262" s="841" t="s">
        <v>6652</v>
      </c>
      <c r="Q14262" s="1357"/>
      <c r="S14262" s="1420"/>
      <c r="T14262" s="1420"/>
      <c r="V14262" s="1357">
        <v>49</v>
      </c>
    </row>
    <row r="14263" spans="1:22" s="841" customFormat="1" ht="15" x14ac:dyDescent="0.25">
      <c r="A14263" s="841" t="s">
        <v>192</v>
      </c>
      <c r="E14263" s="1690" t="s">
        <v>32</v>
      </c>
      <c r="F14263" s="1690"/>
      <c r="G14263" s="1427" t="s">
        <v>23</v>
      </c>
      <c r="H14263" s="391">
        <v>0.25</v>
      </c>
      <c r="K14263" s="841" t="s">
        <v>3467</v>
      </c>
      <c r="L14263" s="1357" t="s">
        <v>3046</v>
      </c>
      <c r="P14263" s="841" t="s">
        <v>3476</v>
      </c>
      <c r="Q14263" s="1357"/>
      <c r="S14263" s="1420"/>
      <c r="T14263" s="1420"/>
      <c r="V14263" s="1357">
        <v>63</v>
      </c>
    </row>
    <row r="14264" spans="1:22" s="841" customFormat="1" x14ac:dyDescent="0.25">
      <c r="A14264" s="841" t="s">
        <v>192</v>
      </c>
      <c r="E14264" s="1909" t="s">
        <v>615</v>
      </c>
      <c r="F14264" s="1915"/>
      <c r="G14264" s="1915"/>
      <c r="H14264" s="1915"/>
      <c r="K14264" s="841" t="s">
        <v>3477</v>
      </c>
      <c r="L14264" s="1357"/>
      <c r="Q14264" s="1357"/>
      <c r="S14264" s="1420"/>
      <c r="T14264" s="1420"/>
      <c r="V14264" s="1357">
        <v>38</v>
      </c>
    </row>
    <row r="14265" spans="1:22" s="841" customFormat="1" ht="15" x14ac:dyDescent="0.25">
      <c r="A14265" s="841" t="s">
        <v>192</v>
      </c>
      <c r="E14265" s="1689" t="s">
        <v>6653</v>
      </c>
      <c r="F14265" s="1689"/>
      <c r="G14265" s="1689"/>
      <c r="H14265" s="1689"/>
      <c r="K14265" s="841" t="s">
        <v>3477</v>
      </c>
      <c r="L14265" s="1357"/>
      <c r="Q14265" s="1357"/>
      <c r="S14265" s="1420"/>
      <c r="T14265" s="1420"/>
      <c r="V14265" s="1357">
        <v>489</v>
      </c>
    </row>
    <row r="14266" spans="1:22" s="841" customFormat="1" ht="15" x14ac:dyDescent="0.25">
      <c r="A14266" s="841" t="s">
        <v>192</v>
      </c>
      <c r="E14266" s="1916" t="s">
        <v>3061</v>
      </c>
      <c r="F14266" s="1697"/>
      <c r="G14266" s="1697"/>
      <c r="H14266" s="1697"/>
      <c r="K14266" s="841" t="s">
        <v>3128</v>
      </c>
      <c r="L14266" s="1357"/>
      <c r="Q14266" s="1357"/>
      <c r="S14266" s="1420"/>
      <c r="T14266" s="1420"/>
      <c r="V14266" s="1357">
        <v>11</v>
      </c>
    </row>
    <row r="14267" spans="1:22" s="841" customFormat="1" ht="15" x14ac:dyDescent="0.25">
      <c r="A14267" s="841" t="s">
        <v>192</v>
      </c>
      <c r="E14267" s="1689" t="s">
        <v>3063</v>
      </c>
      <c r="F14267" s="1689"/>
      <c r="G14267" s="1689"/>
      <c r="H14267" s="1689"/>
      <c r="K14267" s="841" t="s">
        <v>3477</v>
      </c>
      <c r="L14267" s="1357"/>
      <c r="Q14267" s="1357"/>
      <c r="S14267" s="1420"/>
      <c r="T14267" s="1420"/>
      <c r="V14267" s="1357">
        <v>280</v>
      </c>
    </row>
    <row r="14268" spans="1:22" s="841" customFormat="1" ht="15" x14ac:dyDescent="0.25">
      <c r="A14268" s="841" t="s">
        <v>192</v>
      </c>
      <c r="E14268" s="1689" t="s">
        <v>3064</v>
      </c>
      <c r="F14268" s="1689"/>
      <c r="G14268" s="1689"/>
      <c r="H14268" s="1689"/>
      <c r="K14268" s="841" t="s">
        <v>3477</v>
      </c>
      <c r="L14268" s="1357"/>
      <c r="Q14268" s="1357"/>
      <c r="S14268" s="1420"/>
      <c r="T14268" s="1420"/>
      <c r="V14268" s="1357">
        <v>411</v>
      </c>
    </row>
    <row r="14269" spans="1:22" s="841" customFormat="1" ht="15" x14ac:dyDescent="0.25">
      <c r="A14269" s="841" t="s">
        <v>192</v>
      </c>
      <c r="E14269" s="1689" t="s">
        <v>3065</v>
      </c>
      <c r="F14269" s="1689"/>
      <c r="G14269" s="1689"/>
      <c r="H14269" s="1689"/>
      <c r="K14269" s="841" t="s">
        <v>3477</v>
      </c>
      <c r="L14269" s="1357"/>
      <c r="Q14269" s="1357"/>
      <c r="S14269" s="1420"/>
      <c r="T14269" s="1420"/>
      <c r="V14269" s="1357">
        <v>387</v>
      </c>
    </row>
    <row r="14270" spans="1:22" s="841" customFormat="1" ht="15" x14ac:dyDescent="0.25">
      <c r="A14270" s="841" t="s">
        <v>192</v>
      </c>
      <c r="E14270" s="1689" t="s">
        <v>3200</v>
      </c>
      <c r="F14270" s="1689"/>
      <c r="G14270" s="1689"/>
      <c r="H14270" s="1689"/>
      <c r="K14270" s="841" t="s">
        <v>3477</v>
      </c>
      <c r="L14270" s="1357"/>
      <c r="Q14270" s="1357"/>
      <c r="S14270" s="1420"/>
      <c r="T14270" s="1420"/>
      <c r="V14270" s="1357">
        <v>275</v>
      </c>
    </row>
    <row r="14271" spans="1:22" s="841" customFormat="1" ht="15" x14ac:dyDescent="0.25">
      <c r="A14271" s="841" t="s">
        <v>192</v>
      </c>
      <c r="E14271" s="1694" t="s">
        <v>3067</v>
      </c>
      <c r="F14271" s="1907"/>
      <c r="G14271" s="1907"/>
      <c r="H14271" s="1907"/>
      <c r="K14271" s="841" t="s">
        <v>3130</v>
      </c>
      <c r="L14271" s="1357"/>
      <c r="Q14271" s="1357"/>
      <c r="S14271" s="1420"/>
      <c r="T14271" s="1420"/>
      <c r="V14271" s="1357">
        <v>46</v>
      </c>
    </row>
    <row r="14272" spans="1:22" s="841" customFormat="1" ht="15" x14ac:dyDescent="0.25">
      <c r="A14272" s="841" t="s">
        <v>192</v>
      </c>
      <c r="E14272" s="1690" t="s">
        <v>12</v>
      </c>
      <c r="F14272" s="1690"/>
      <c r="G14272" s="1427" t="s">
        <v>23</v>
      </c>
      <c r="H14272" s="391">
        <v>2.94</v>
      </c>
      <c r="K14272" s="841" t="s">
        <v>3477</v>
      </c>
      <c r="L14272" s="1357" t="s">
        <v>442</v>
      </c>
      <c r="P14272" s="841" t="s">
        <v>3478</v>
      </c>
      <c r="Q14272" s="1357"/>
      <c r="S14272" s="1420"/>
      <c r="T14272" s="1420"/>
      <c r="V14272" s="1357">
        <v>31</v>
      </c>
    </row>
    <row r="14273" spans="1:22" s="841" customFormat="1" ht="15" x14ac:dyDescent="0.25">
      <c r="A14273" s="841" t="s">
        <v>192</v>
      </c>
      <c r="E14273" s="1690" t="s">
        <v>84</v>
      </c>
      <c r="F14273" s="1690"/>
      <c r="G14273" s="1427" t="s">
        <v>33</v>
      </c>
      <c r="H14273" s="393">
        <v>19.1736</v>
      </c>
      <c r="K14273" s="841" t="s">
        <v>3477</v>
      </c>
      <c r="L14273" s="1357" t="s">
        <v>442</v>
      </c>
      <c r="P14273" s="841" t="s">
        <v>3479</v>
      </c>
      <c r="Q14273" s="1357"/>
      <c r="S14273" s="1420"/>
      <c r="T14273" s="1420"/>
      <c r="V14273" s="1357">
        <v>28</v>
      </c>
    </row>
    <row r="14274" spans="1:22" s="841" customFormat="1" ht="15" x14ac:dyDescent="0.25">
      <c r="A14274" s="841" t="s">
        <v>192</v>
      </c>
      <c r="E14274" s="1690" t="s">
        <v>221</v>
      </c>
      <c r="F14274" s="1690"/>
      <c r="G14274" s="1427" t="s">
        <v>33</v>
      </c>
      <c r="H14274" s="393">
        <v>1.6935</v>
      </c>
      <c r="K14274" s="841" t="s">
        <v>3477</v>
      </c>
      <c r="L14274" s="1357" t="s">
        <v>444</v>
      </c>
      <c r="P14274" s="841" t="s">
        <v>3482</v>
      </c>
      <c r="Q14274" s="1357"/>
      <c r="S14274" s="1420"/>
      <c r="T14274" s="1420"/>
      <c r="V14274" s="1357">
        <v>47</v>
      </c>
    </row>
    <row r="14275" spans="1:22" s="841" customFormat="1" ht="15" x14ac:dyDescent="0.25">
      <c r="A14275" s="841" t="s">
        <v>192</v>
      </c>
      <c r="E14275" s="1694" t="s">
        <v>3079</v>
      </c>
      <c r="F14275" s="1690"/>
      <c r="G14275" s="1427"/>
      <c r="H14275" s="394"/>
      <c r="K14275" s="841" t="s">
        <v>3260</v>
      </c>
      <c r="L14275" s="1357"/>
      <c r="Q14275" s="1357"/>
      <c r="S14275" s="1420"/>
      <c r="T14275" s="1420"/>
      <c r="V14275" s="1357">
        <v>48</v>
      </c>
    </row>
    <row r="14276" spans="1:22" s="841" customFormat="1" ht="15" x14ac:dyDescent="0.25">
      <c r="A14276" s="841" t="s">
        <v>192</v>
      </c>
      <c r="E14276" s="1690" t="s">
        <v>31</v>
      </c>
      <c r="F14276" s="1690"/>
      <c r="G14276" s="1427" t="s">
        <v>24</v>
      </c>
      <c r="H14276" s="393">
        <v>3.5999999999999999E-3</v>
      </c>
      <c r="K14276" s="841" t="s">
        <v>3477</v>
      </c>
      <c r="L14276" s="1357" t="s">
        <v>3046</v>
      </c>
      <c r="P14276" s="841" t="s">
        <v>3484</v>
      </c>
      <c r="Q14276" s="1357"/>
      <c r="S14276" s="1420"/>
      <c r="T14276" s="1420"/>
      <c r="V14276" s="1357">
        <v>29</v>
      </c>
    </row>
    <row r="14277" spans="1:22" s="841" customFormat="1" ht="15" x14ac:dyDescent="0.25">
      <c r="A14277" s="841" t="s">
        <v>192</v>
      </c>
      <c r="E14277" s="1690" t="s">
        <v>439</v>
      </c>
      <c r="F14277" s="1690"/>
      <c r="G14277" s="1427" t="s">
        <v>24</v>
      </c>
      <c r="H14277" s="393">
        <v>2.0999999999999999E-3</v>
      </c>
      <c r="K14277" s="841" t="s">
        <v>3477</v>
      </c>
      <c r="L14277" s="1357" t="s">
        <v>3046</v>
      </c>
      <c r="P14277" s="841" t="s">
        <v>3485</v>
      </c>
      <c r="Q14277" s="1357"/>
      <c r="S14277" s="1420"/>
      <c r="T14277" s="1420"/>
      <c r="V14277" s="1357">
        <v>57</v>
      </c>
    </row>
    <row r="14278" spans="1:22" s="841" customFormat="1" ht="15" x14ac:dyDescent="0.25">
      <c r="A14278" s="841" t="s">
        <v>192</v>
      </c>
      <c r="E14278" s="1690" t="s">
        <v>6639</v>
      </c>
      <c r="F14278" s="1690"/>
      <c r="G14278" s="1427" t="s">
        <v>24</v>
      </c>
      <c r="H14278" s="393">
        <v>0</v>
      </c>
      <c r="K14278" s="841" t="s">
        <v>3477</v>
      </c>
      <c r="L14278" s="1357" t="s">
        <v>3046</v>
      </c>
      <c r="P14278" s="841" t="s">
        <v>6654</v>
      </c>
      <c r="Q14278" s="1357"/>
      <c r="S14278" s="1420"/>
      <c r="T14278" s="1420"/>
      <c r="V14278" s="1357">
        <v>49</v>
      </c>
    </row>
    <row r="14279" spans="1:22" s="841" customFormat="1" ht="15" x14ac:dyDescent="0.25">
      <c r="A14279" s="841" t="s">
        <v>192</v>
      </c>
      <c r="E14279" s="1690" t="s">
        <v>32</v>
      </c>
      <c r="F14279" s="1690"/>
      <c r="G14279" s="1427" t="s">
        <v>23</v>
      </c>
      <c r="H14279" s="391">
        <v>0.25</v>
      </c>
      <c r="K14279" s="841" t="s">
        <v>3477</v>
      </c>
      <c r="L14279" s="1357" t="s">
        <v>3046</v>
      </c>
      <c r="P14279" s="841" t="s">
        <v>3486</v>
      </c>
      <c r="Q14279" s="1357"/>
      <c r="S14279" s="1420"/>
      <c r="T14279" s="1420"/>
      <c r="V14279" s="1357">
        <v>63</v>
      </c>
    </row>
    <row r="14280" spans="1:22" s="841" customFormat="1" x14ac:dyDescent="0.25">
      <c r="A14280" s="841" t="s">
        <v>192</v>
      </c>
      <c r="E14280" s="1909" t="s">
        <v>618</v>
      </c>
      <c r="F14280" s="1915"/>
      <c r="G14280" s="1915"/>
      <c r="H14280" s="1915"/>
      <c r="K14280" s="841" t="s">
        <v>3487</v>
      </c>
      <c r="L14280" s="1357"/>
      <c r="Q14280" s="1357"/>
      <c r="S14280" s="1420"/>
      <c r="T14280" s="1420"/>
      <c r="V14280" s="1357">
        <v>31</v>
      </c>
    </row>
    <row r="14281" spans="1:22" s="841" customFormat="1" ht="15" x14ac:dyDescent="0.25">
      <c r="A14281" s="841" t="s">
        <v>192</v>
      </c>
      <c r="E14281" s="1689" t="s">
        <v>3612</v>
      </c>
      <c r="F14281" s="1689"/>
      <c r="G14281" s="1689"/>
      <c r="H14281" s="1689"/>
      <c r="K14281" s="841" t="s">
        <v>3487</v>
      </c>
      <c r="L14281" s="1357"/>
      <c r="Q14281" s="1357"/>
      <c r="S14281" s="1420"/>
      <c r="T14281" s="1420"/>
      <c r="V14281" s="1357">
        <v>286</v>
      </c>
    </row>
    <row r="14282" spans="1:22" s="841" customFormat="1" ht="15" x14ac:dyDescent="0.25">
      <c r="A14282" s="841" t="s">
        <v>192</v>
      </c>
      <c r="E14282" s="1916" t="s">
        <v>3061</v>
      </c>
      <c r="F14282" s="1697"/>
      <c r="G14282" s="1697"/>
      <c r="H14282" s="1697"/>
      <c r="K14282" s="841" t="s">
        <v>3266</v>
      </c>
      <c r="L14282" s="1357"/>
      <c r="Q14282" s="1357"/>
      <c r="S14282" s="1420"/>
      <c r="T14282" s="1420"/>
      <c r="V14282" s="1357">
        <v>11</v>
      </c>
    </row>
    <row r="14283" spans="1:22" s="841" customFormat="1" ht="15" x14ac:dyDescent="0.25">
      <c r="A14283" s="841" t="s">
        <v>192</v>
      </c>
      <c r="E14283" s="1689" t="s">
        <v>3063</v>
      </c>
      <c r="F14283" s="1689"/>
      <c r="G14283" s="1689"/>
      <c r="H14283" s="1689"/>
      <c r="K14283" s="841" t="s">
        <v>3487</v>
      </c>
      <c r="L14283" s="1357"/>
      <c r="Q14283" s="1357"/>
      <c r="S14283" s="1420"/>
      <c r="T14283" s="1420"/>
      <c r="V14283" s="1357">
        <v>280</v>
      </c>
    </row>
    <row r="14284" spans="1:22" s="841" customFormat="1" ht="15" x14ac:dyDescent="0.25">
      <c r="A14284" s="841" t="s">
        <v>192</v>
      </c>
      <c r="E14284" s="1689" t="s">
        <v>3064</v>
      </c>
      <c r="F14284" s="1689"/>
      <c r="G14284" s="1689"/>
      <c r="H14284" s="1689"/>
      <c r="K14284" s="841" t="s">
        <v>3487</v>
      </c>
      <c r="L14284" s="1357"/>
      <c r="Q14284" s="1357"/>
      <c r="S14284" s="1420"/>
      <c r="T14284" s="1420"/>
      <c r="V14284" s="1357">
        <v>411</v>
      </c>
    </row>
    <row r="14285" spans="1:22" s="841" customFormat="1" ht="15" x14ac:dyDescent="0.25">
      <c r="A14285" s="841" t="s">
        <v>192</v>
      </c>
      <c r="E14285" s="1689" t="s">
        <v>3129</v>
      </c>
      <c r="F14285" s="1689"/>
      <c r="G14285" s="1689"/>
      <c r="H14285" s="1689"/>
      <c r="K14285" s="841" t="s">
        <v>3487</v>
      </c>
      <c r="L14285" s="1357"/>
      <c r="Q14285" s="1357"/>
      <c r="S14285" s="1420"/>
      <c r="T14285" s="1420"/>
      <c r="V14285" s="1357">
        <v>211</v>
      </c>
    </row>
    <row r="14286" spans="1:22" s="841" customFormat="1" ht="15" x14ac:dyDescent="0.25">
      <c r="A14286" s="841" t="s">
        <v>192</v>
      </c>
      <c r="E14286" s="1689" t="s">
        <v>3200</v>
      </c>
      <c r="F14286" s="1689"/>
      <c r="G14286" s="1689"/>
      <c r="H14286" s="1689"/>
      <c r="K14286" s="841" t="s">
        <v>3487</v>
      </c>
      <c r="L14286" s="1357"/>
      <c r="Q14286" s="1357"/>
      <c r="S14286" s="1420"/>
      <c r="T14286" s="1420"/>
      <c r="V14286" s="1357">
        <v>275</v>
      </c>
    </row>
    <row r="14287" spans="1:22" s="841" customFormat="1" ht="15" x14ac:dyDescent="0.25">
      <c r="A14287" s="841" t="s">
        <v>192</v>
      </c>
      <c r="E14287" s="1694" t="s">
        <v>3067</v>
      </c>
      <c r="F14287" s="1907"/>
      <c r="G14287" s="1907"/>
      <c r="H14287" s="1907"/>
      <c r="K14287" s="841" t="s">
        <v>3267</v>
      </c>
      <c r="L14287" s="1357"/>
      <c r="Q14287" s="1357"/>
      <c r="S14287" s="1420"/>
      <c r="T14287" s="1420"/>
      <c r="V14287" s="1357">
        <v>46</v>
      </c>
    </row>
    <row r="14288" spans="1:22" s="841" customFormat="1" ht="15" x14ac:dyDescent="0.25">
      <c r="A14288" s="841" t="s">
        <v>192</v>
      </c>
      <c r="E14288" s="1690" t="s">
        <v>11</v>
      </c>
      <c r="F14288" s="1690"/>
      <c r="G14288" s="1427" t="s">
        <v>23</v>
      </c>
      <c r="H14288" s="391">
        <v>5.4</v>
      </c>
      <c r="K14288" s="841" t="s">
        <v>3487</v>
      </c>
      <c r="L14288" s="1357" t="s">
        <v>442</v>
      </c>
      <c r="P14288" s="841" t="s">
        <v>3488</v>
      </c>
      <c r="Q14288" s="1357"/>
      <c r="S14288" s="1420"/>
      <c r="T14288" s="1420"/>
      <c r="V14288" s="1357">
        <v>14</v>
      </c>
    </row>
    <row r="14289" spans="1:22" s="841" customFormat="1" ht="18.75" x14ac:dyDescent="0.3">
      <c r="A14289" s="841" t="s">
        <v>192</v>
      </c>
      <c r="E14289" s="1425" t="s">
        <v>85</v>
      </c>
      <c r="F14289" s="657"/>
      <c r="G14289" s="657"/>
      <c r="H14289" s="658"/>
      <c r="K14289" s="841" t="s">
        <v>6655</v>
      </c>
      <c r="L14289" s="1357"/>
      <c r="Q14289" s="1357"/>
      <c r="S14289" s="1420"/>
      <c r="T14289" s="1420"/>
      <c r="V14289" s="1357">
        <v>10</v>
      </c>
    </row>
    <row r="14290" spans="1:22" s="841" customFormat="1" ht="15" x14ac:dyDescent="0.25">
      <c r="A14290" s="841" t="s">
        <v>192</v>
      </c>
      <c r="E14290" s="1690" t="s">
        <v>3133</v>
      </c>
      <c r="F14290" s="1690"/>
      <c r="G14290" s="1427" t="s">
        <v>33</v>
      </c>
      <c r="H14290" s="393">
        <v>-0.6</v>
      </c>
      <c r="L14290" s="1357"/>
      <c r="Q14290" s="1357"/>
      <c r="S14290" s="1420"/>
      <c r="T14290" s="1420"/>
      <c r="V14290" s="1357">
        <v>68</v>
      </c>
    </row>
    <row r="14291" spans="1:22" s="841" customFormat="1" ht="15" x14ac:dyDescent="0.25">
      <c r="A14291" s="841" t="s">
        <v>192</v>
      </c>
      <c r="E14291" s="1690" t="s">
        <v>5273</v>
      </c>
      <c r="F14291" s="1690"/>
      <c r="G14291" s="1427" t="s">
        <v>86</v>
      </c>
      <c r="H14291" s="391">
        <v>-1</v>
      </c>
      <c r="L14291" s="1357"/>
      <c r="Q14291" s="1357"/>
      <c r="S14291" s="1420"/>
      <c r="T14291" s="1420"/>
      <c r="V14291" s="1357">
        <v>89</v>
      </c>
    </row>
    <row r="14292" spans="1:22" s="841" customFormat="1" ht="36.75" x14ac:dyDescent="0.3">
      <c r="A14292" s="841" t="s">
        <v>192</v>
      </c>
      <c r="E14292" s="1425" t="s">
        <v>87</v>
      </c>
      <c r="F14292" s="657"/>
      <c r="G14292" s="657"/>
      <c r="H14292" s="658"/>
      <c r="K14292" s="841" t="s">
        <v>6656</v>
      </c>
      <c r="L14292" s="1357"/>
      <c r="Q14292" s="1357"/>
      <c r="S14292" s="1420"/>
      <c r="T14292" s="1420"/>
      <c r="V14292" s="1357">
        <v>24</v>
      </c>
    </row>
    <row r="14293" spans="1:22" s="841" customFormat="1" ht="15" x14ac:dyDescent="0.25">
      <c r="A14293" s="841" t="s">
        <v>192</v>
      </c>
      <c r="E14293" s="1689" t="s">
        <v>3063</v>
      </c>
      <c r="F14293" s="1689"/>
      <c r="G14293" s="1689"/>
      <c r="H14293" s="1689"/>
      <c r="L14293" s="1357"/>
      <c r="Q14293" s="1357"/>
      <c r="S14293" s="1420"/>
      <c r="T14293" s="1420"/>
      <c r="V14293" s="1357">
        <v>280</v>
      </c>
    </row>
    <row r="14294" spans="1:22" s="841" customFormat="1" ht="15" x14ac:dyDescent="0.25">
      <c r="A14294" s="841" t="s">
        <v>192</v>
      </c>
      <c r="E14294" s="1689" t="s">
        <v>3136</v>
      </c>
      <c r="F14294" s="1689"/>
      <c r="G14294" s="1689"/>
      <c r="H14294" s="1689"/>
      <c r="L14294" s="1357"/>
      <c r="Q14294" s="1357"/>
      <c r="S14294" s="1420"/>
      <c r="T14294" s="1420"/>
      <c r="V14294" s="1357">
        <v>353</v>
      </c>
    </row>
    <row r="14295" spans="1:22" s="841" customFormat="1" ht="15" x14ac:dyDescent="0.25">
      <c r="A14295" s="841" t="s">
        <v>192</v>
      </c>
      <c r="E14295" s="1689" t="s">
        <v>3200</v>
      </c>
      <c r="F14295" s="1689"/>
      <c r="G14295" s="1689"/>
      <c r="H14295" s="1689"/>
      <c r="L14295" s="1357"/>
      <c r="Q14295" s="1357"/>
      <c r="S14295" s="1420"/>
      <c r="T14295" s="1420"/>
      <c r="V14295" s="1357">
        <v>275</v>
      </c>
    </row>
    <row r="14296" spans="1:22" s="841" customFormat="1" ht="15" x14ac:dyDescent="0.25">
      <c r="A14296" s="841" t="s">
        <v>192</v>
      </c>
      <c r="E14296" s="1424" t="s">
        <v>3137</v>
      </c>
      <c r="F14296" s="3"/>
      <c r="G14296" s="3"/>
      <c r="H14296" s="398"/>
      <c r="K14296" s="841" t="s">
        <v>6657</v>
      </c>
      <c r="L14296" s="1357"/>
      <c r="Q14296" s="1357"/>
      <c r="S14296" s="1420"/>
      <c r="T14296" s="1420"/>
      <c r="V14296" s="1357">
        <v>23</v>
      </c>
    </row>
    <row r="14297" spans="1:22" s="841" customFormat="1" ht="15" x14ac:dyDescent="0.25">
      <c r="A14297" s="841" t="s">
        <v>192</v>
      </c>
      <c r="E14297" s="1688" t="s">
        <v>88</v>
      </c>
      <c r="F14297" s="1688"/>
      <c r="G14297" s="1427" t="s">
        <v>23</v>
      </c>
      <c r="H14297" s="391">
        <v>30</v>
      </c>
      <c r="L14297" s="1357"/>
      <c r="Q14297" s="1357"/>
      <c r="S14297" s="1420"/>
      <c r="T14297" s="1420"/>
      <c r="V14297" s="1357">
        <v>89</v>
      </c>
    </row>
    <row r="14298" spans="1:22" s="841" customFormat="1" ht="15" x14ac:dyDescent="0.25">
      <c r="A14298" s="841" t="s">
        <v>192</v>
      </c>
      <c r="E14298" s="1688" t="s">
        <v>123</v>
      </c>
      <c r="F14298" s="1688"/>
      <c r="G14298" s="1427" t="s">
        <v>23</v>
      </c>
      <c r="H14298" s="391">
        <v>15</v>
      </c>
      <c r="L14298" s="1357"/>
      <c r="Q14298" s="1357"/>
      <c r="S14298" s="1420"/>
      <c r="T14298" s="1420"/>
      <c r="V14298" s="1357">
        <v>35</v>
      </c>
    </row>
    <row r="14299" spans="1:22" s="841" customFormat="1" ht="15" x14ac:dyDescent="0.25">
      <c r="A14299" s="841" t="s">
        <v>192</v>
      </c>
      <c r="E14299" s="1688" t="s">
        <v>3151</v>
      </c>
      <c r="F14299" s="1688"/>
      <c r="G14299" s="1427" t="s">
        <v>23</v>
      </c>
      <c r="H14299" s="391">
        <v>15</v>
      </c>
      <c r="L14299" s="1357"/>
      <c r="Q14299" s="1357"/>
      <c r="S14299" s="1420"/>
      <c r="T14299" s="1420"/>
      <c r="V14299" s="1357">
        <v>19</v>
      </c>
    </row>
    <row r="14300" spans="1:22" s="841" customFormat="1" ht="15" x14ac:dyDescent="0.25">
      <c r="A14300" s="841" t="s">
        <v>192</v>
      </c>
      <c r="E14300" s="1688" t="s">
        <v>92</v>
      </c>
      <c r="F14300" s="1688"/>
      <c r="G14300" s="1427" t="s">
        <v>23</v>
      </c>
      <c r="H14300" s="391">
        <v>30</v>
      </c>
      <c r="L14300" s="1357"/>
      <c r="Q14300" s="1357"/>
      <c r="S14300" s="1420"/>
      <c r="T14300" s="1420"/>
      <c r="V14300" s="1357">
        <v>74</v>
      </c>
    </row>
    <row r="14301" spans="1:22" s="841" customFormat="1" ht="15" x14ac:dyDescent="0.25">
      <c r="A14301" s="841" t="s">
        <v>192</v>
      </c>
      <c r="E14301" s="1424" t="s">
        <v>3152</v>
      </c>
      <c r="F14301" s="3"/>
      <c r="G14301" s="3"/>
      <c r="H14301" s="398"/>
      <c r="K14301" s="841" t="s">
        <v>6658</v>
      </c>
      <c r="L14301" s="1357"/>
      <c r="Q14301" s="1357"/>
      <c r="S14301" s="1420"/>
      <c r="T14301" s="1420"/>
      <c r="V14301" s="1357">
        <v>22</v>
      </c>
    </row>
    <row r="14302" spans="1:22" s="841" customFormat="1" ht="15" x14ac:dyDescent="0.25">
      <c r="A14302" s="841" t="s">
        <v>192</v>
      </c>
      <c r="E14302" s="1688" t="s">
        <v>5137</v>
      </c>
      <c r="F14302" s="1688"/>
      <c r="G14302" s="1427" t="s">
        <v>86</v>
      </c>
      <c r="H14302" s="391">
        <v>1.5</v>
      </c>
      <c r="L14302" s="1357"/>
      <c r="Q14302" s="1357"/>
      <c r="S14302" s="1420"/>
      <c r="T14302" s="1420"/>
      <c r="V14302" s="1357">
        <v>24</v>
      </c>
    </row>
    <row r="14303" spans="1:22" s="841" customFormat="1" ht="15" x14ac:dyDescent="0.25">
      <c r="A14303" s="841" t="s">
        <v>192</v>
      </c>
      <c r="E14303" s="1688" t="s">
        <v>4772</v>
      </c>
      <c r="F14303" s="1688"/>
      <c r="G14303" s="1427" t="s">
        <v>86</v>
      </c>
      <c r="H14303" s="391">
        <v>19.559999999999999</v>
      </c>
      <c r="L14303" s="1357"/>
      <c r="Q14303" s="1357"/>
      <c r="S14303" s="1420"/>
      <c r="T14303" s="1420"/>
      <c r="V14303" s="1357">
        <v>24</v>
      </c>
    </row>
    <row r="14304" spans="1:22" s="841" customFormat="1" ht="15" x14ac:dyDescent="0.25">
      <c r="A14304" s="841" t="s">
        <v>192</v>
      </c>
      <c r="E14304" s="1688" t="s">
        <v>3288</v>
      </c>
      <c r="F14304" s="1688"/>
      <c r="G14304" s="1427" t="s">
        <v>23</v>
      </c>
      <c r="H14304" s="391">
        <v>30</v>
      </c>
      <c r="L14304" s="1357"/>
      <c r="Q14304" s="1357"/>
      <c r="S14304" s="1420"/>
      <c r="T14304" s="1420"/>
      <c r="V14304" s="1357">
        <v>47</v>
      </c>
    </row>
    <row r="14305" spans="1:22" s="841" customFormat="1" ht="15" x14ac:dyDescent="0.25">
      <c r="A14305" s="841" t="s">
        <v>192</v>
      </c>
      <c r="E14305" s="1688" t="s">
        <v>3157</v>
      </c>
      <c r="F14305" s="1688"/>
      <c r="G14305" s="1427" t="s">
        <v>23</v>
      </c>
      <c r="H14305" s="391">
        <v>165</v>
      </c>
      <c r="L14305" s="1357"/>
      <c r="Q14305" s="1357"/>
      <c r="S14305" s="1420"/>
      <c r="T14305" s="1420"/>
      <c r="V14305" s="1357">
        <v>69</v>
      </c>
    </row>
    <row r="14306" spans="1:22" s="841" customFormat="1" ht="15" x14ac:dyDescent="0.25">
      <c r="A14306" s="841" t="s">
        <v>192</v>
      </c>
      <c r="E14306" s="1688" t="s">
        <v>5623</v>
      </c>
      <c r="F14306" s="1688"/>
      <c r="G14306" s="1427" t="s">
        <v>23</v>
      </c>
      <c r="H14306" s="391">
        <v>65</v>
      </c>
      <c r="L14306" s="1357"/>
      <c r="Q14306" s="1357"/>
      <c r="S14306" s="1420"/>
      <c r="T14306" s="1420"/>
      <c r="V14306" s="1357">
        <v>61</v>
      </c>
    </row>
    <row r="14307" spans="1:22" s="841" customFormat="1" ht="15" x14ac:dyDescent="0.25">
      <c r="A14307" s="841" t="s">
        <v>192</v>
      </c>
      <c r="E14307" s="1688" t="s">
        <v>6659</v>
      </c>
      <c r="F14307" s="1688"/>
      <c r="G14307" s="1427" t="s">
        <v>23</v>
      </c>
      <c r="H14307" s="391">
        <v>185</v>
      </c>
      <c r="L14307" s="1357"/>
      <c r="Q14307" s="1357"/>
      <c r="S14307" s="1420"/>
      <c r="T14307" s="1420"/>
      <c r="V14307" s="1357">
        <v>52</v>
      </c>
    </row>
    <row r="14308" spans="1:22" s="841" customFormat="1" ht="15" x14ac:dyDescent="0.25">
      <c r="A14308" s="841" t="s">
        <v>192</v>
      </c>
      <c r="E14308" s="1688" t="s">
        <v>6660</v>
      </c>
      <c r="F14308" s="1688"/>
      <c r="G14308" s="1427" t="s">
        <v>23</v>
      </c>
      <c r="H14308" s="391">
        <v>185</v>
      </c>
      <c r="L14308" s="1357"/>
      <c r="Q14308" s="1357"/>
      <c r="S14308" s="1420"/>
      <c r="T14308" s="1420"/>
      <c r="V14308" s="1357">
        <v>60</v>
      </c>
    </row>
    <row r="14309" spans="1:22" s="841" customFormat="1" ht="15" x14ac:dyDescent="0.25">
      <c r="A14309" s="841" t="s">
        <v>192</v>
      </c>
      <c r="E14309" s="1688" t="s">
        <v>6661</v>
      </c>
      <c r="F14309" s="1688"/>
      <c r="G14309" s="1427" t="s">
        <v>23</v>
      </c>
      <c r="H14309" s="391">
        <v>415</v>
      </c>
      <c r="L14309" s="1357"/>
      <c r="Q14309" s="1357"/>
      <c r="S14309" s="1420"/>
      <c r="T14309" s="1420"/>
      <c r="V14309" s="1357">
        <v>51</v>
      </c>
    </row>
    <row r="14310" spans="1:22" s="841" customFormat="1" ht="15" x14ac:dyDescent="0.25">
      <c r="A14310" s="841" t="s">
        <v>192</v>
      </c>
      <c r="E14310" s="1688" t="s">
        <v>4777</v>
      </c>
      <c r="F14310" s="1688"/>
      <c r="G14310" s="1427" t="s">
        <v>23</v>
      </c>
      <c r="H14310" s="391">
        <v>65</v>
      </c>
      <c r="L14310" s="1357"/>
      <c r="Q14310" s="1357"/>
      <c r="S14310" s="1420"/>
      <c r="T14310" s="1420"/>
      <c r="V14310" s="1357">
        <v>57</v>
      </c>
    </row>
    <row r="14311" spans="1:22" s="841" customFormat="1" ht="15" x14ac:dyDescent="0.25">
      <c r="A14311" s="841" t="s">
        <v>192</v>
      </c>
      <c r="E14311" s="1688" t="s">
        <v>4778</v>
      </c>
      <c r="F14311" s="1688"/>
      <c r="G14311" s="1427" t="s">
        <v>23</v>
      </c>
      <c r="H14311" s="391">
        <v>185</v>
      </c>
      <c r="L14311" s="1357"/>
      <c r="Q14311" s="1357"/>
      <c r="S14311" s="1420"/>
      <c r="T14311" s="1420"/>
      <c r="V14311" s="1357">
        <v>56</v>
      </c>
    </row>
    <row r="14312" spans="1:22" s="841" customFormat="1" ht="15" x14ac:dyDescent="0.25">
      <c r="A14312" s="841" t="s">
        <v>192</v>
      </c>
      <c r="E14312" s="1424" t="s">
        <v>3164</v>
      </c>
      <c r="F14312" s="3"/>
      <c r="G14312" s="3"/>
      <c r="H14312" s="398"/>
      <c r="L14312" s="1357"/>
      <c r="Q14312" s="1357"/>
      <c r="S14312" s="1420"/>
      <c r="T14312" s="1420"/>
      <c r="V14312" s="1357">
        <v>5</v>
      </c>
    </row>
    <row r="14313" spans="1:22" s="841" customFormat="1" ht="15" x14ac:dyDescent="0.25">
      <c r="A14313" s="841" t="s">
        <v>192</v>
      </c>
      <c r="E14313" s="1688" t="s">
        <v>94</v>
      </c>
      <c r="F14313" s="1688"/>
      <c r="G14313" s="1427" t="s">
        <v>23</v>
      </c>
      <c r="H14313" s="391">
        <v>30</v>
      </c>
      <c r="L14313" s="1357"/>
      <c r="Q14313" s="1357"/>
      <c r="S14313" s="1420"/>
      <c r="T14313" s="1420"/>
      <c r="V14313" s="1357">
        <v>19</v>
      </c>
    </row>
    <row r="14314" spans="1:22" s="841" customFormat="1" ht="15" x14ac:dyDescent="0.25">
      <c r="A14314" s="841" t="s">
        <v>192</v>
      </c>
      <c r="E14314" s="1688" t="s">
        <v>4779</v>
      </c>
      <c r="F14314" s="1688"/>
      <c r="G14314" s="1427"/>
      <c r="H14314" s="393" t="s">
        <v>6662</v>
      </c>
      <c r="L14314" s="1357"/>
      <c r="Q14314" s="1357"/>
      <c r="S14314" s="1420"/>
      <c r="T14314" s="1420"/>
      <c r="V14314" s="1357">
        <v>39</v>
      </c>
    </row>
    <row r="14315" spans="1:22" s="841" customFormat="1" ht="15" x14ac:dyDescent="0.25">
      <c r="A14315" s="841" t="s">
        <v>192</v>
      </c>
      <c r="E14315" s="1688" t="s">
        <v>3168</v>
      </c>
      <c r="F14315" s="1688"/>
      <c r="G14315" s="1427"/>
      <c r="H14315" s="393" t="s">
        <v>6662</v>
      </c>
      <c r="L14315" s="1357"/>
      <c r="Q14315" s="1357"/>
      <c r="S14315" s="1420"/>
      <c r="T14315" s="1420"/>
      <c r="V14315" s="1357">
        <v>34</v>
      </c>
    </row>
    <row r="14316" spans="1:22" s="841" customFormat="1" ht="15" x14ac:dyDescent="0.25">
      <c r="A14316" s="841" t="s">
        <v>192</v>
      </c>
      <c r="E14316" s="1688" t="s">
        <v>3434</v>
      </c>
      <c r="F14316" s="1688"/>
      <c r="G14316" s="1427"/>
      <c r="H14316" s="393" t="s">
        <v>6662</v>
      </c>
      <c r="L14316" s="1357"/>
      <c r="Q14316" s="1357"/>
      <c r="S14316" s="1420"/>
      <c r="T14316" s="1420"/>
      <c r="V14316" s="1357">
        <v>64</v>
      </c>
    </row>
    <row r="14317" spans="1:22" s="841" customFormat="1" ht="15" x14ac:dyDescent="0.25">
      <c r="A14317" s="841" t="s">
        <v>192</v>
      </c>
      <c r="E14317" s="1688" t="s">
        <v>3489</v>
      </c>
      <c r="F14317" s="1688"/>
      <c r="G14317" s="1427"/>
      <c r="H14317" s="393" t="s">
        <v>6662</v>
      </c>
      <c r="L14317" s="1357"/>
      <c r="Q14317" s="1357"/>
      <c r="S14317" s="1420"/>
      <c r="T14317" s="1420"/>
      <c r="V14317" s="1357">
        <v>67</v>
      </c>
    </row>
    <row r="14318" spans="1:22" s="841" customFormat="1" ht="15" x14ac:dyDescent="0.25">
      <c r="A14318" s="841" t="s">
        <v>192</v>
      </c>
      <c r="E14318" s="1688" t="s">
        <v>3490</v>
      </c>
      <c r="F14318" s="1688"/>
      <c r="G14318" s="1427"/>
      <c r="H14318" s="393" t="s">
        <v>6662</v>
      </c>
      <c r="L14318" s="1357"/>
      <c r="Q14318" s="1357"/>
      <c r="S14318" s="1420"/>
      <c r="T14318" s="1420"/>
      <c r="V14318" s="1357">
        <v>66</v>
      </c>
    </row>
    <row r="14319" spans="1:22" s="841" customFormat="1" ht="15" x14ac:dyDescent="0.25">
      <c r="A14319" s="841" t="s">
        <v>192</v>
      </c>
      <c r="E14319" s="1688" t="s">
        <v>3491</v>
      </c>
      <c r="F14319" s="1688"/>
      <c r="G14319" s="1427" t="s">
        <v>23</v>
      </c>
      <c r="H14319" s="391">
        <v>22.35</v>
      </c>
      <c r="L14319" s="1357"/>
      <c r="Q14319" s="1357"/>
      <c r="S14319" s="1420"/>
      <c r="T14319" s="1420"/>
      <c r="V14319" s="1357">
        <v>59</v>
      </c>
    </row>
    <row r="14320" spans="1:22" s="841" customFormat="1" ht="15" x14ac:dyDescent="0.25">
      <c r="A14320" s="841" t="s">
        <v>192</v>
      </c>
      <c r="E14320" s="1688" t="s">
        <v>3588</v>
      </c>
      <c r="F14320" s="1688"/>
      <c r="G14320" s="1427"/>
      <c r="H14320" s="391"/>
      <c r="L14320" s="1357"/>
      <c r="Q14320" s="1357"/>
      <c r="S14320" s="1420"/>
      <c r="T14320" s="1420"/>
      <c r="V14320" s="1357">
        <v>45</v>
      </c>
    </row>
    <row r="14321" spans="1:22" s="841" customFormat="1" ht="15" x14ac:dyDescent="0.25">
      <c r="A14321" s="841" t="s">
        <v>192</v>
      </c>
      <c r="E14321" s="1688" t="s">
        <v>6663</v>
      </c>
      <c r="F14321" s="1688"/>
      <c r="G14321" s="1427"/>
      <c r="H14321" s="393" t="s">
        <v>6662</v>
      </c>
      <c r="L14321" s="1357"/>
      <c r="Q14321" s="1357"/>
      <c r="S14321" s="1420"/>
      <c r="T14321" s="1420"/>
      <c r="V14321" s="1357">
        <v>48</v>
      </c>
    </row>
    <row r="14322" spans="1:22" s="841" customFormat="1" ht="15" x14ac:dyDescent="0.25">
      <c r="A14322" s="841" t="s">
        <v>192</v>
      </c>
      <c r="E14322" s="1688" t="s">
        <v>6664</v>
      </c>
      <c r="F14322" s="1688"/>
      <c r="G14322" s="1427"/>
      <c r="H14322" s="393" t="s">
        <v>6662</v>
      </c>
      <c r="L14322" s="1357"/>
      <c r="Q14322" s="1357"/>
      <c r="S14322" s="1420"/>
      <c r="T14322" s="1420"/>
      <c r="V14322" s="1357">
        <v>39</v>
      </c>
    </row>
    <row r="14323" spans="1:22" s="841" customFormat="1" ht="15" x14ac:dyDescent="0.25">
      <c r="A14323" s="841" t="s">
        <v>192</v>
      </c>
      <c r="E14323" s="1688" t="s">
        <v>6665</v>
      </c>
      <c r="F14323" s="1688"/>
      <c r="G14323" s="1427"/>
      <c r="H14323" s="393" t="s">
        <v>6662</v>
      </c>
      <c r="L14323" s="1357"/>
      <c r="Q14323" s="1357"/>
      <c r="S14323" s="1420"/>
      <c r="T14323" s="1420"/>
      <c r="V14323" s="1357">
        <v>36</v>
      </c>
    </row>
    <row r="14324" spans="1:22" s="841" customFormat="1" ht="36.75" x14ac:dyDescent="0.3">
      <c r="A14324" s="841" t="s">
        <v>192</v>
      </c>
      <c r="E14324" s="1425" t="s">
        <v>77</v>
      </c>
      <c r="F14324" s="657"/>
      <c r="G14324" s="657"/>
      <c r="H14324" s="658"/>
      <c r="K14324" s="841" t="s">
        <v>6666</v>
      </c>
      <c r="L14324" s="1357"/>
      <c r="Q14324" s="1357"/>
      <c r="S14324" s="1420"/>
      <c r="T14324" s="1420"/>
      <c r="V14324" s="1357">
        <v>38</v>
      </c>
    </row>
    <row r="14325" spans="1:22" s="841" customFormat="1" ht="15" x14ac:dyDescent="0.25">
      <c r="A14325" s="841" t="s">
        <v>192</v>
      </c>
      <c r="E14325" s="1689" t="s">
        <v>3063</v>
      </c>
      <c r="F14325" s="1689"/>
      <c r="G14325" s="1689"/>
      <c r="H14325" s="1689"/>
      <c r="L14325" s="1357"/>
      <c r="Q14325" s="1357"/>
      <c r="S14325" s="1420"/>
      <c r="T14325" s="1420"/>
      <c r="V14325" s="1357">
        <v>280</v>
      </c>
    </row>
    <row r="14326" spans="1:22" s="841" customFormat="1" ht="15" x14ac:dyDescent="0.25">
      <c r="A14326" s="841" t="s">
        <v>192</v>
      </c>
      <c r="E14326" s="1689" t="s">
        <v>3064</v>
      </c>
      <c r="F14326" s="1689"/>
      <c r="G14326" s="1689"/>
      <c r="H14326" s="1689"/>
      <c r="L14326" s="1357"/>
      <c r="Q14326" s="1357"/>
      <c r="S14326" s="1420"/>
      <c r="T14326" s="1420"/>
      <c r="V14326" s="1357">
        <v>411</v>
      </c>
    </row>
    <row r="14327" spans="1:22" s="841" customFormat="1" ht="15" x14ac:dyDescent="0.25">
      <c r="A14327" s="841" t="s">
        <v>192</v>
      </c>
      <c r="E14327" s="1689" t="s">
        <v>3129</v>
      </c>
      <c r="F14327" s="1689"/>
      <c r="G14327" s="1689"/>
      <c r="H14327" s="1689"/>
      <c r="L14327" s="1357"/>
      <c r="Q14327" s="1357"/>
      <c r="S14327" s="1420"/>
      <c r="T14327" s="1420"/>
      <c r="V14327" s="1357">
        <v>211</v>
      </c>
    </row>
    <row r="14328" spans="1:22" s="841" customFormat="1" ht="15" x14ac:dyDescent="0.25">
      <c r="A14328" s="841" t="s">
        <v>192</v>
      </c>
      <c r="E14328" s="1689" t="s">
        <v>3200</v>
      </c>
      <c r="F14328" s="1689"/>
      <c r="G14328" s="1689"/>
      <c r="H14328" s="1689"/>
      <c r="L14328" s="1357"/>
      <c r="Q14328" s="1357"/>
      <c r="S14328" s="1420"/>
      <c r="T14328" s="1420"/>
      <c r="V14328" s="1357">
        <v>275</v>
      </c>
    </row>
    <row r="14329" spans="1:22" s="841" customFormat="1" ht="15" x14ac:dyDescent="0.25">
      <c r="A14329" s="841" t="s">
        <v>192</v>
      </c>
      <c r="E14329" s="1689" t="s">
        <v>3291</v>
      </c>
      <c r="F14329" s="1689"/>
      <c r="G14329" s="1689"/>
      <c r="H14329" s="1689"/>
      <c r="L14329" s="1357"/>
      <c r="Q14329" s="1357"/>
      <c r="S14329" s="1420"/>
      <c r="T14329" s="1420"/>
      <c r="V14329" s="1357">
        <v>142</v>
      </c>
    </row>
    <row r="14330" spans="1:22" s="841" customFormat="1" ht="15" x14ac:dyDescent="0.25">
      <c r="A14330" s="841" t="s">
        <v>192</v>
      </c>
      <c r="E14330" s="1690" t="s">
        <v>3176</v>
      </c>
      <c r="F14330" s="1690"/>
      <c r="G14330" s="397" t="s">
        <v>23</v>
      </c>
      <c r="H14330" s="391">
        <v>100</v>
      </c>
      <c r="L14330" s="1357"/>
      <c r="Q14330" s="1357"/>
      <c r="S14330" s="1420"/>
      <c r="T14330" s="1420"/>
      <c r="V14330" s="1357">
        <v>106</v>
      </c>
    </row>
    <row r="14331" spans="1:22" s="841" customFormat="1" ht="15" x14ac:dyDescent="0.25">
      <c r="A14331" s="841" t="s">
        <v>192</v>
      </c>
      <c r="E14331" s="1690" t="s">
        <v>3177</v>
      </c>
      <c r="F14331" s="1690"/>
      <c r="G14331" s="397" t="s">
        <v>23</v>
      </c>
      <c r="H14331" s="391">
        <v>20</v>
      </c>
      <c r="L14331" s="1357"/>
      <c r="Q14331" s="1357"/>
      <c r="S14331" s="1420"/>
      <c r="T14331" s="1420"/>
      <c r="V14331" s="1357">
        <v>34</v>
      </c>
    </row>
    <row r="14332" spans="1:22" s="841" customFormat="1" ht="15" x14ac:dyDescent="0.25">
      <c r="A14332" s="841" t="s">
        <v>192</v>
      </c>
      <c r="E14332" s="1690" t="s">
        <v>3178</v>
      </c>
      <c r="F14332" s="1690"/>
      <c r="G14332" s="397" t="s">
        <v>3179</v>
      </c>
      <c r="H14332" s="391">
        <v>0.5</v>
      </c>
      <c r="L14332" s="1357"/>
      <c r="Q14332" s="1357"/>
      <c r="S14332" s="1420"/>
      <c r="T14332" s="1420"/>
      <c r="V14332" s="1357">
        <v>51</v>
      </c>
    </row>
    <row r="14333" spans="1:22" s="841" customFormat="1" ht="15" x14ac:dyDescent="0.25">
      <c r="A14333" s="841" t="s">
        <v>192</v>
      </c>
      <c r="E14333" s="1690" t="s">
        <v>3180</v>
      </c>
      <c r="F14333" s="1690"/>
      <c r="G14333" s="397" t="s">
        <v>3179</v>
      </c>
      <c r="H14333" s="391">
        <v>0.3</v>
      </c>
      <c r="L14333" s="1357"/>
      <c r="Q14333" s="1357"/>
      <c r="S14333" s="1420"/>
      <c r="T14333" s="1420"/>
      <c r="V14333" s="1357">
        <v>75</v>
      </c>
    </row>
    <row r="14334" spans="1:22" s="841" customFormat="1" ht="15" x14ac:dyDescent="0.25">
      <c r="A14334" s="841" t="s">
        <v>192</v>
      </c>
      <c r="E14334" s="1690" t="s">
        <v>3181</v>
      </c>
      <c r="F14334" s="1690"/>
      <c r="G14334" s="397" t="s">
        <v>3179</v>
      </c>
      <c r="H14334" s="391">
        <v>-0.3</v>
      </c>
      <c r="L14334" s="1357"/>
      <c r="Q14334" s="1357"/>
      <c r="S14334" s="1420"/>
      <c r="T14334" s="1420"/>
      <c r="V14334" s="1357">
        <v>72</v>
      </c>
    </row>
    <row r="14335" spans="1:22" s="841" customFormat="1" ht="15" x14ac:dyDescent="0.25">
      <c r="A14335" s="841" t="s">
        <v>192</v>
      </c>
      <c r="E14335" s="1690" t="s">
        <v>3292</v>
      </c>
      <c r="F14335" s="1690"/>
      <c r="G14335" s="397"/>
      <c r="H14335" s="392"/>
      <c r="L14335" s="1357"/>
      <c r="Q14335" s="1357"/>
      <c r="S14335" s="1420"/>
      <c r="T14335" s="1420"/>
      <c r="V14335" s="1357">
        <v>34</v>
      </c>
    </row>
    <row r="14336" spans="1:22" s="841" customFormat="1" ht="15" x14ac:dyDescent="0.25">
      <c r="A14336" s="841" t="s">
        <v>192</v>
      </c>
      <c r="E14336" s="1691" t="s">
        <v>3183</v>
      </c>
      <c r="F14336" s="1691"/>
      <c r="G14336" s="397" t="s">
        <v>23</v>
      </c>
      <c r="H14336" s="391">
        <v>0.25</v>
      </c>
      <c r="L14336" s="1357"/>
      <c r="Q14336" s="1357"/>
      <c r="S14336" s="1420"/>
      <c r="T14336" s="1420"/>
      <c r="V14336" s="1357">
        <v>57</v>
      </c>
    </row>
    <row r="14337" spans="1:22" s="841" customFormat="1" ht="15" x14ac:dyDescent="0.25">
      <c r="A14337" s="841" t="s">
        <v>192</v>
      </c>
      <c r="E14337" s="1691" t="s">
        <v>3184</v>
      </c>
      <c r="F14337" s="1691"/>
      <c r="G14337" s="397" t="s">
        <v>23</v>
      </c>
      <c r="H14337" s="391">
        <v>0.5</v>
      </c>
      <c r="L14337" s="1357"/>
      <c r="Q14337" s="1357"/>
      <c r="S14337" s="1420"/>
      <c r="T14337" s="1420"/>
      <c r="V14337" s="1357">
        <v>60</v>
      </c>
    </row>
    <row r="14338" spans="1:22" s="841" customFormat="1" ht="15" x14ac:dyDescent="0.25">
      <c r="A14338" s="841" t="s">
        <v>192</v>
      </c>
      <c r="E14338" s="1690" t="s">
        <v>3185</v>
      </c>
      <c r="F14338" s="1690"/>
      <c r="G14338" s="397"/>
      <c r="H14338" s="392"/>
      <c r="L14338" s="1357"/>
      <c r="Q14338" s="1357"/>
      <c r="S14338" s="1420"/>
      <c r="T14338" s="1420"/>
      <c r="V14338" s="1357">
        <v>91</v>
      </c>
    </row>
    <row r="14339" spans="1:22" s="841" customFormat="1" ht="15" x14ac:dyDescent="0.25">
      <c r="A14339" s="841" t="s">
        <v>192</v>
      </c>
      <c r="E14339" s="1690" t="s">
        <v>3186</v>
      </c>
      <c r="F14339" s="1690"/>
      <c r="G14339" s="397"/>
      <c r="H14339" s="392"/>
      <c r="L14339" s="1357"/>
      <c r="Q14339" s="1357"/>
      <c r="S14339" s="1420"/>
      <c r="T14339" s="1420"/>
      <c r="V14339" s="1357">
        <v>96</v>
      </c>
    </row>
    <row r="14340" spans="1:22" s="841" customFormat="1" ht="15" x14ac:dyDescent="0.25">
      <c r="A14340" s="841" t="s">
        <v>192</v>
      </c>
      <c r="E14340" s="1690" t="s">
        <v>3293</v>
      </c>
      <c r="F14340" s="1690"/>
      <c r="G14340" s="397"/>
      <c r="H14340" s="392"/>
      <c r="L14340" s="1357"/>
      <c r="Q14340" s="1357"/>
      <c r="S14340" s="1420"/>
      <c r="T14340" s="1420"/>
      <c r="V14340" s="1357">
        <v>77</v>
      </c>
    </row>
    <row r="14341" spans="1:22" s="841" customFormat="1" ht="15" x14ac:dyDescent="0.25">
      <c r="A14341" s="841" t="s">
        <v>192</v>
      </c>
      <c r="E14341" s="1691" t="s">
        <v>3188</v>
      </c>
      <c r="F14341" s="1691"/>
      <c r="G14341" s="397" t="s">
        <v>23</v>
      </c>
      <c r="H14341" s="392" t="s">
        <v>3189</v>
      </c>
      <c r="L14341" s="1357"/>
      <c r="Q14341" s="1357"/>
      <c r="S14341" s="1420"/>
      <c r="T14341" s="1420"/>
      <c r="V14341" s="1357">
        <v>18</v>
      </c>
    </row>
    <row r="14342" spans="1:22" s="841" customFormat="1" ht="15" x14ac:dyDescent="0.25">
      <c r="A14342" s="841" t="s">
        <v>192</v>
      </c>
      <c r="E14342" s="1691" t="s">
        <v>3190</v>
      </c>
      <c r="F14342" s="1691"/>
      <c r="G14342" s="397" t="s">
        <v>23</v>
      </c>
      <c r="H14342" s="391">
        <v>2</v>
      </c>
      <c r="L14342" s="1357"/>
      <c r="Q14342" s="1357"/>
      <c r="S14342" s="1420"/>
      <c r="T14342" s="1420"/>
      <c r="V14342" s="1357">
        <v>69</v>
      </c>
    </row>
    <row r="14343" spans="1:22" s="841" customFormat="1" ht="18.75" x14ac:dyDescent="0.3">
      <c r="A14343" s="841" t="s">
        <v>192</v>
      </c>
      <c r="E14343" s="1425" t="s">
        <v>147</v>
      </c>
      <c r="F14343" s="657"/>
      <c r="G14343" s="657"/>
      <c r="H14343" s="658"/>
      <c r="K14343" s="841" t="s">
        <v>6667</v>
      </c>
      <c r="L14343" s="1357"/>
      <c r="Q14343" s="1357"/>
      <c r="S14343" s="1420"/>
      <c r="T14343" s="1420"/>
      <c r="V14343" s="1357">
        <v>12</v>
      </c>
    </row>
    <row r="14344" spans="1:22" s="841" customFormat="1" ht="15" x14ac:dyDescent="0.25">
      <c r="A14344" s="841" t="s">
        <v>192</v>
      </c>
      <c r="E14344" s="1704" t="s">
        <v>3192</v>
      </c>
      <c r="F14344" s="1704"/>
      <c r="G14344" s="1704"/>
      <c r="H14344" s="1704"/>
      <c r="L14344" s="1357"/>
      <c r="Q14344" s="1357"/>
      <c r="S14344" s="1420"/>
      <c r="T14344" s="1420"/>
      <c r="V14344" s="1357">
        <v>203</v>
      </c>
    </row>
    <row r="14345" spans="1:22" s="841" customFormat="1" ht="15" x14ac:dyDescent="0.25">
      <c r="A14345" s="841" t="s">
        <v>192</v>
      </c>
      <c r="E14345" s="1690" t="s">
        <v>3295</v>
      </c>
      <c r="F14345" s="1690"/>
      <c r="G14345" s="1427"/>
      <c r="H14345" s="393">
        <v>1.0488999999999999</v>
      </c>
      <c r="L14345" s="1357"/>
      <c r="Q14345" s="1357"/>
      <c r="S14345" s="1420"/>
      <c r="T14345" s="1420"/>
      <c r="V14345" s="1357">
        <v>57</v>
      </c>
    </row>
    <row r="14346" spans="1:22" s="841" customFormat="1" ht="15" x14ac:dyDescent="0.25">
      <c r="A14346" s="841" t="s">
        <v>192</v>
      </c>
      <c r="E14346" s="1690" t="s">
        <v>3297</v>
      </c>
      <c r="F14346" s="1690"/>
      <c r="G14346" s="1427"/>
      <c r="H14346" s="393">
        <v>1.0385</v>
      </c>
      <c r="J14346" s="841" t="s">
        <v>6668</v>
      </c>
      <c r="L14346" s="1357"/>
      <c r="Q14346" s="1357"/>
      <c r="S14346" s="1420"/>
      <c r="T14346" s="1420"/>
      <c r="V14346" s="1357">
        <v>55</v>
      </c>
    </row>
    <row r="14347" spans="1:22" ht="15" customHeight="1" x14ac:dyDescent="0.25">
      <c r="A14347" s="744" t="s">
        <v>200</v>
      </c>
      <c r="E14347" s="2181" t="s">
        <v>200</v>
      </c>
      <c r="F14347" s="2182"/>
      <c r="G14347" s="2182"/>
      <c r="H14347" s="2182"/>
      <c r="I14347" s="744" t="s">
        <v>628</v>
      </c>
      <c r="J14347" s="744" t="s">
        <v>6669</v>
      </c>
      <c r="K14347" s="744" t="s">
        <v>200</v>
      </c>
      <c r="M14347" s="744">
        <v>7</v>
      </c>
      <c r="N14347" s="744" t="s">
        <v>628</v>
      </c>
      <c r="S14347" s="744"/>
      <c r="T14347" s="1428"/>
      <c r="V14347" s="744">
        <v>37</v>
      </c>
    </row>
    <row r="14348" spans="1:22" ht="15" customHeight="1" x14ac:dyDescent="0.25">
      <c r="A14348" s="744" t="s">
        <v>200</v>
      </c>
      <c r="E14348" s="2183" t="s">
        <v>3053</v>
      </c>
      <c r="F14348" s="2182"/>
      <c r="G14348" s="2182"/>
      <c r="H14348" s="2182"/>
      <c r="S14348" s="744"/>
      <c r="T14348" s="744"/>
      <c r="V14348" s="744">
        <v>27</v>
      </c>
    </row>
    <row r="14349" spans="1:22" ht="15" customHeight="1" x14ac:dyDescent="0.25">
      <c r="A14349" s="744" t="s">
        <v>200</v>
      </c>
      <c r="E14349" s="2184" t="s">
        <v>5107</v>
      </c>
      <c r="F14349" s="2182"/>
      <c r="G14349" s="2182"/>
      <c r="H14349" s="2182"/>
      <c r="S14349" s="1428">
        <v>43221</v>
      </c>
      <c r="T14349" s="744"/>
      <c r="V14349" s="744">
        <v>45</v>
      </c>
    </row>
    <row r="14350" spans="1:22" ht="15" customHeight="1" x14ac:dyDescent="0.25">
      <c r="A14350" s="744" t="s">
        <v>200</v>
      </c>
      <c r="E14350" s="2185" t="s">
        <v>3056</v>
      </c>
      <c r="F14350" s="2182"/>
      <c r="G14350" s="2182"/>
      <c r="H14350" s="2182"/>
      <c r="S14350" s="744"/>
      <c r="T14350" s="744"/>
      <c r="V14350" s="744">
        <v>52</v>
      </c>
    </row>
    <row r="14351" spans="1:22" ht="15" customHeight="1" x14ac:dyDescent="0.25">
      <c r="A14351" s="744" t="s">
        <v>200</v>
      </c>
      <c r="E14351" s="2185" t="s">
        <v>3057</v>
      </c>
      <c r="F14351" s="2182"/>
      <c r="G14351" s="2182"/>
      <c r="H14351" s="2182"/>
      <c r="S14351" s="744"/>
      <c r="T14351" s="744"/>
      <c r="V14351" s="744">
        <v>53</v>
      </c>
    </row>
    <row r="14352" spans="1:22" ht="15" x14ac:dyDescent="0.25">
      <c r="A14352" s="744" t="s">
        <v>200</v>
      </c>
      <c r="E14352" s="2186" t="s">
        <v>6670</v>
      </c>
      <c r="F14352" s="2187"/>
      <c r="G14352" s="2187"/>
      <c r="H14352" s="2187"/>
      <c r="K14352" s="744" t="s">
        <v>6670</v>
      </c>
      <c r="S14352" s="744"/>
      <c r="T14352" s="744"/>
      <c r="V14352" s="744">
        <v>12</v>
      </c>
    </row>
    <row r="14353" spans="1:22" x14ac:dyDescent="0.25">
      <c r="A14353" s="744" t="s">
        <v>200</v>
      </c>
      <c r="E14353" s="1429" t="s">
        <v>438</v>
      </c>
      <c r="F14353" s="841"/>
      <c r="G14353" s="841"/>
      <c r="H14353" s="841"/>
      <c r="K14353" s="744" t="s">
        <v>3197</v>
      </c>
      <c r="S14353" s="744"/>
      <c r="T14353" s="744"/>
      <c r="V14353" s="744">
        <v>34</v>
      </c>
    </row>
    <row r="14354" spans="1:22" ht="15" customHeight="1" x14ac:dyDescent="0.25">
      <c r="A14354" s="744" t="s">
        <v>200</v>
      </c>
      <c r="E14354" s="2073" t="s">
        <v>6671</v>
      </c>
      <c r="F14354" s="1784"/>
      <c r="G14354" s="1784"/>
      <c r="H14354" s="1784"/>
      <c r="K14354" s="744" t="s">
        <v>3197</v>
      </c>
      <c r="S14354" s="744"/>
      <c r="T14354" s="744"/>
      <c r="V14354" s="744">
        <v>395</v>
      </c>
    </row>
    <row r="14355" spans="1:22" ht="15" x14ac:dyDescent="0.25">
      <c r="A14355" s="744" t="s">
        <v>200</v>
      </c>
      <c r="E14355" s="919" t="s">
        <v>3061</v>
      </c>
      <c r="F14355" s="841"/>
      <c r="G14355" s="841"/>
      <c r="H14355" s="841"/>
      <c r="K14355" s="744" t="s">
        <v>3062</v>
      </c>
      <c r="S14355" s="744"/>
      <c r="T14355" s="1428"/>
      <c r="V14355" s="744">
        <v>11</v>
      </c>
    </row>
    <row r="14356" spans="1:22" ht="15" customHeight="1" x14ac:dyDescent="0.25">
      <c r="A14356" s="744" t="s">
        <v>200</v>
      </c>
      <c r="E14356" s="2083" t="s">
        <v>6672</v>
      </c>
      <c r="F14356" s="2188"/>
      <c r="G14356" s="2188"/>
      <c r="H14356" s="2188"/>
      <c r="K14356" s="744" t="s">
        <v>3197</v>
      </c>
      <c r="S14356" s="744"/>
      <c r="T14356" s="1428"/>
      <c r="V14356" s="744">
        <v>250</v>
      </c>
    </row>
    <row r="14357" spans="1:22" ht="15" customHeight="1" x14ac:dyDescent="0.25">
      <c r="A14357" s="744" t="s">
        <v>200</v>
      </c>
      <c r="E14357" s="2083" t="s">
        <v>4723</v>
      </c>
      <c r="F14357" s="2188"/>
      <c r="G14357" s="2188"/>
      <c r="H14357" s="2188"/>
      <c r="K14357" s="744" t="s">
        <v>3197</v>
      </c>
      <c r="S14357" s="744"/>
      <c r="T14357" s="744"/>
      <c r="V14357" s="744">
        <v>381</v>
      </c>
    </row>
    <row r="14358" spans="1:22" ht="15" customHeight="1" x14ac:dyDescent="0.25">
      <c r="A14358" s="744" t="s">
        <v>200</v>
      </c>
      <c r="E14358" s="2083" t="s">
        <v>6673</v>
      </c>
      <c r="F14358" s="2188"/>
      <c r="G14358" s="2188"/>
      <c r="H14358" s="2188"/>
      <c r="K14358" s="744" t="s">
        <v>3197</v>
      </c>
      <c r="S14358" s="744"/>
      <c r="T14358" s="744"/>
      <c r="V14358" s="744">
        <v>387</v>
      </c>
    </row>
    <row r="14359" spans="1:22" ht="15" customHeight="1" x14ac:dyDescent="0.25">
      <c r="A14359" s="744" t="s">
        <v>200</v>
      </c>
      <c r="E14359" s="2083" t="s">
        <v>6674</v>
      </c>
      <c r="F14359" s="2188"/>
      <c r="G14359" s="2188"/>
      <c r="H14359" s="2188"/>
      <c r="K14359" s="744" t="s">
        <v>3197</v>
      </c>
      <c r="S14359" s="744"/>
      <c r="T14359" s="744"/>
      <c r="V14359" s="744">
        <v>293</v>
      </c>
    </row>
    <row r="14360" spans="1:22" ht="15" x14ac:dyDescent="0.25">
      <c r="A14360" s="744" t="s">
        <v>200</v>
      </c>
      <c r="E14360" s="919" t="s">
        <v>3067</v>
      </c>
      <c r="F14360" s="841"/>
      <c r="G14360" s="841"/>
      <c r="H14360" s="841"/>
      <c r="K14360" s="744" t="s">
        <v>3068</v>
      </c>
      <c r="S14360" s="744"/>
      <c r="T14360" s="744"/>
      <c r="V14360" s="744">
        <v>46</v>
      </c>
    </row>
    <row r="14361" spans="1:22" ht="15" x14ac:dyDescent="0.2">
      <c r="A14361" s="744" t="s">
        <v>200</v>
      </c>
      <c r="E14361" s="2189" t="s">
        <v>11</v>
      </c>
      <c r="F14361" s="2189"/>
      <c r="G14361" s="433" t="s">
        <v>23</v>
      </c>
      <c r="H14361" s="599">
        <v>24.04</v>
      </c>
      <c r="K14361" s="744" t="s">
        <v>3197</v>
      </c>
      <c r="L14361" s="744" t="s">
        <v>442</v>
      </c>
      <c r="P14361" s="744" t="s">
        <v>3201</v>
      </c>
      <c r="S14361" s="744"/>
      <c r="T14361" s="744"/>
      <c r="V14361" s="744">
        <v>14</v>
      </c>
    </row>
    <row r="14362" spans="1:22" ht="15" x14ac:dyDescent="0.2">
      <c r="A14362" s="744" t="s">
        <v>200</v>
      </c>
      <c r="E14362" s="2190" t="s">
        <v>423</v>
      </c>
      <c r="F14362" s="2190"/>
      <c r="G14362" s="433" t="s">
        <v>23</v>
      </c>
      <c r="H14362" s="599">
        <v>0.56999999999999995</v>
      </c>
      <c r="K14362" s="744" t="s">
        <v>3197</v>
      </c>
      <c r="L14362" s="744" t="s">
        <v>443</v>
      </c>
      <c r="P14362" s="744" t="s">
        <v>3202</v>
      </c>
      <c r="S14362" s="744"/>
      <c r="T14362" s="1428">
        <v>43404</v>
      </c>
      <c r="V14362" s="744">
        <v>78</v>
      </c>
    </row>
    <row r="14363" spans="1:22" ht="15" x14ac:dyDescent="0.2">
      <c r="A14363" s="744" t="s">
        <v>200</v>
      </c>
      <c r="E14363" s="2190" t="s">
        <v>84</v>
      </c>
      <c r="F14363" s="2190"/>
      <c r="G14363" s="433" t="s">
        <v>24</v>
      </c>
      <c r="H14363" s="1430">
        <v>1.4E-2</v>
      </c>
      <c r="K14363" s="744" t="s">
        <v>3197</v>
      </c>
      <c r="L14363" s="744" t="s">
        <v>442</v>
      </c>
      <c r="P14363" s="744" t="s">
        <v>3203</v>
      </c>
      <c r="S14363" s="744"/>
      <c r="T14363" s="744"/>
      <c r="V14363" s="744">
        <v>28</v>
      </c>
    </row>
    <row r="14364" spans="1:22" ht="15" x14ac:dyDescent="0.2">
      <c r="A14364" s="744" t="s">
        <v>200</v>
      </c>
      <c r="E14364" s="2190" t="s">
        <v>18</v>
      </c>
      <c r="F14364" s="2190"/>
      <c r="G14364" s="433" t="s">
        <v>24</v>
      </c>
      <c r="H14364" s="1430">
        <v>5.9999999999999995E-4</v>
      </c>
      <c r="I14364" s="744" t="str">
        <f>IF(LEN(H14364)&gt;6, "fix", "")</f>
        <v/>
      </c>
      <c r="K14364" s="744" t="s">
        <v>3197</v>
      </c>
      <c r="L14364" s="744" t="s">
        <v>443</v>
      </c>
      <c r="P14364" s="744" t="s">
        <v>3204</v>
      </c>
      <c r="S14364" s="744"/>
      <c r="T14364" s="744"/>
      <c r="V14364" s="744">
        <v>24</v>
      </c>
    </row>
    <row r="14365" spans="1:22" ht="15" x14ac:dyDescent="0.2">
      <c r="A14365" s="744" t="s">
        <v>200</v>
      </c>
      <c r="E14365" s="2190" t="s">
        <v>221</v>
      </c>
      <c r="F14365" s="2190"/>
      <c r="G14365" s="433" t="s">
        <v>24</v>
      </c>
      <c r="H14365" s="1430">
        <v>6.8245675762331611E-3</v>
      </c>
      <c r="K14365" s="744" t="s">
        <v>3197</v>
      </c>
      <c r="L14365" s="744" t="s">
        <v>444</v>
      </c>
      <c r="P14365" s="744" t="s">
        <v>3208</v>
      </c>
      <c r="S14365" s="744"/>
      <c r="T14365" s="744"/>
      <c r="V14365" s="744">
        <v>47</v>
      </c>
    </row>
    <row r="14366" spans="1:22" ht="15" x14ac:dyDescent="0.2">
      <c r="A14366" s="744" t="s">
        <v>200</v>
      </c>
      <c r="E14366" s="2190" t="s">
        <v>217</v>
      </c>
      <c r="F14366" s="2190"/>
      <c r="G14366" s="433" t="s">
        <v>24</v>
      </c>
      <c r="H14366" s="1430">
        <v>1.5866917241528463E-3</v>
      </c>
      <c r="K14366" s="744" t="s">
        <v>3197</v>
      </c>
      <c r="L14366" s="744" t="s">
        <v>444</v>
      </c>
      <c r="P14366" s="744" t="s">
        <v>3209</v>
      </c>
      <c r="S14366" s="744"/>
      <c r="T14366" s="744"/>
      <c r="V14366" s="744">
        <v>74</v>
      </c>
    </row>
    <row r="14367" spans="1:22" ht="15" x14ac:dyDescent="0.25">
      <c r="A14367" s="744" t="s">
        <v>200</v>
      </c>
      <c r="E14367" s="919" t="s">
        <v>3079</v>
      </c>
      <c r="F14367" s="841"/>
      <c r="G14367" s="841"/>
      <c r="H14367" s="841"/>
      <c r="K14367" s="744" t="s">
        <v>3080</v>
      </c>
      <c r="S14367" s="744"/>
      <c r="T14367" s="744"/>
      <c r="V14367" s="744">
        <v>48</v>
      </c>
    </row>
    <row r="14368" spans="1:22" ht="15" x14ac:dyDescent="0.25">
      <c r="A14368" s="744" t="s">
        <v>200</v>
      </c>
      <c r="E14368" s="2190" t="s">
        <v>31</v>
      </c>
      <c r="F14368" s="1852"/>
      <c r="G14368" s="433" t="s">
        <v>24</v>
      </c>
      <c r="H14368" s="1430">
        <v>4.4000000000000003E-3</v>
      </c>
      <c r="K14368" s="744" t="s">
        <v>3197</v>
      </c>
      <c r="L14368" s="744" t="s">
        <v>3046</v>
      </c>
      <c r="P14368" s="744" t="s">
        <v>3210</v>
      </c>
      <c r="S14368" s="744"/>
      <c r="T14368" s="744"/>
      <c r="V14368" s="744">
        <v>29</v>
      </c>
    </row>
    <row r="14369" spans="1:22" ht="15" x14ac:dyDescent="0.25">
      <c r="A14369" s="744" t="s">
        <v>200</v>
      </c>
      <c r="E14369" s="2190" t="s">
        <v>439</v>
      </c>
      <c r="F14369" s="1852"/>
      <c r="G14369" s="433" t="s">
        <v>24</v>
      </c>
      <c r="H14369" s="1430">
        <v>1.2999999999999999E-3</v>
      </c>
      <c r="K14369" s="744" t="s">
        <v>3197</v>
      </c>
      <c r="L14369" s="744" t="s">
        <v>3046</v>
      </c>
      <c r="P14369" s="744" t="s">
        <v>3212</v>
      </c>
      <c r="S14369" s="744"/>
      <c r="T14369" s="744"/>
      <c r="V14369" s="744">
        <v>57</v>
      </c>
    </row>
    <row r="14370" spans="1:22" ht="15" x14ac:dyDescent="0.25">
      <c r="A14370" s="744" t="s">
        <v>200</v>
      </c>
      <c r="E14370" s="2190" t="s">
        <v>32</v>
      </c>
      <c r="F14370" s="1852"/>
      <c r="G14370" s="433" t="s">
        <v>23</v>
      </c>
      <c r="H14370" s="599">
        <v>0.25</v>
      </c>
      <c r="K14370" s="744" t="s">
        <v>3197</v>
      </c>
      <c r="L14370" s="744" t="s">
        <v>3046</v>
      </c>
      <c r="P14370" s="744" t="s">
        <v>3213</v>
      </c>
      <c r="S14370" s="744"/>
      <c r="T14370" s="744"/>
      <c r="V14370" s="744">
        <v>63</v>
      </c>
    </row>
    <row r="14371" spans="1:22" x14ac:dyDescent="0.25">
      <c r="A14371" s="744" t="s">
        <v>200</v>
      </c>
      <c r="E14371" s="1429" t="s">
        <v>3214</v>
      </c>
      <c r="F14371" s="841"/>
      <c r="G14371" s="841"/>
      <c r="H14371" s="841"/>
      <c r="K14371" s="744" t="s">
        <v>6675</v>
      </c>
      <c r="S14371" s="744"/>
      <c r="T14371" s="744"/>
      <c r="V14371" s="744">
        <v>54</v>
      </c>
    </row>
    <row r="14372" spans="1:22" ht="15" customHeight="1" x14ac:dyDescent="0.25">
      <c r="A14372" s="744" t="s">
        <v>200</v>
      </c>
      <c r="E14372" s="2073" t="s">
        <v>6676</v>
      </c>
      <c r="F14372" s="1784"/>
      <c r="G14372" s="1784"/>
      <c r="H14372" s="1784"/>
      <c r="K14372" s="744" t="s">
        <v>6675</v>
      </c>
      <c r="S14372" s="744"/>
      <c r="T14372" s="744"/>
      <c r="V14372" s="744">
        <v>274</v>
      </c>
    </row>
    <row r="14373" spans="1:22" ht="15" x14ac:dyDescent="0.25">
      <c r="A14373" s="744" t="s">
        <v>200</v>
      </c>
      <c r="E14373" s="919" t="s">
        <v>3061</v>
      </c>
      <c r="F14373" s="841"/>
      <c r="G14373" s="841"/>
      <c r="H14373" s="841"/>
      <c r="K14373" s="744" t="s">
        <v>3086</v>
      </c>
      <c r="S14373" s="744"/>
      <c r="T14373" s="744"/>
      <c r="V14373" s="744">
        <v>11</v>
      </c>
    </row>
    <row r="14374" spans="1:22" ht="15" customHeight="1" x14ac:dyDescent="0.25">
      <c r="A14374" s="744" t="s">
        <v>200</v>
      </c>
      <c r="E14374" s="2083" t="s">
        <v>6672</v>
      </c>
      <c r="F14374" s="2188"/>
      <c r="G14374" s="2188"/>
      <c r="H14374" s="2188"/>
      <c r="K14374" s="744" t="s">
        <v>6675</v>
      </c>
      <c r="S14374" s="744"/>
      <c r="T14374" s="744"/>
      <c r="V14374" s="744">
        <v>250</v>
      </c>
    </row>
    <row r="14375" spans="1:22" ht="15" customHeight="1" x14ac:dyDescent="0.25">
      <c r="A14375" s="744" t="s">
        <v>200</v>
      </c>
      <c r="E14375" s="2083" t="s">
        <v>4723</v>
      </c>
      <c r="F14375" s="2188"/>
      <c r="G14375" s="2188"/>
      <c r="H14375" s="2188"/>
      <c r="K14375" s="744" t="s">
        <v>6675</v>
      </c>
      <c r="S14375" s="744"/>
      <c r="T14375" s="744"/>
      <c r="V14375" s="744">
        <v>381</v>
      </c>
    </row>
    <row r="14376" spans="1:22" ht="15" customHeight="1" x14ac:dyDescent="0.25">
      <c r="A14376" s="744" t="s">
        <v>200</v>
      </c>
      <c r="E14376" s="2083" t="s">
        <v>6673</v>
      </c>
      <c r="F14376" s="2188"/>
      <c r="G14376" s="2188"/>
      <c r="H14376" s="2188"/>
      <c r="K14376" s="744" t="s">
        <v>6675</v>
      </c>
      <c r="S14376" s="744"/>
      <c r="T14376" s="744"/>
      <c r="V14376" s="744">
        <v>387</v>
      </c>
    </row>
    <row r="14377" spans="1:22" ht="15" customHeight="1" x14ac:dyDescent="0.25">
      <c r="A14377" s="744" t="s">
        <v>200</v>
      </c>
      <c r="E14377" s="2083" t="s">
        <v>6674</v>
      </c>
      <c r="F14377" s="2188"/>
      <c r="G14377" s="2188"/>
      <c r="H14377" s="2188"/>
      <c r="K14377" s="744" t="s">
        <v>6675</v>
      </c>
      <c r="S14377" s="744"/>
      <c r="T14377" s="744"/>
      <c r="V14377" s="744">
        <v>293</v>
      </c>
    </row>
    <row r="14378" spans="1:22" ht="15" x14ac:dyDescent="0.25">
      <c r="A14378" s="744" t="s">
        <v>200</v>
      </c>
      <c r="E14378" s="919" t="s">
        <v>3067</v>
      </c>
      <c r="F14378" s="841"/>
      <c r="G14378" s="841"/>
      <c r="H14378" s="841"/>
      <c r="K14378" s="744" t="s">
        <v>3087</v>
      </c>
      <c r="S14378" s="744"/>
      <c r="T14378" s="744"/>
      <c r="V14378" s="744">
        <v>46</v>
      </c>
    </row>
    <row r="14379" spans="1:22" ht="15" x14ac:dyDescent="0.2">
      <c r="A14379" s="744" t="s">
        <v>200</v>
      </c>
      <c r="E14379" s="2189" t="s">
        <v>11</v>
      </c>
      <c r="F14379" s="2189"/>
      <c r="G14379" s="433" t="s">
        <v>23</v>
      </c>
      <c r="H14379" s="599">
        <v>35.18</v>
      </c>
      <c r="K14379" s="744" t="s">
        <v>6675</v>
      </c>
      <c r="L14379" s="744" t="s">
        <v>442</v>
      </c>
      <c r="P14379" s="744" t="s">
        <v>6677</v>
      </c>
      <c r="S14379" s="744"/>
      <c r="T14379" s="744"/>
      <c r="V14379" s="744">
        <v>14</v>
      </c>
    </row>
    <row r="14380" spans="1:22" ht="15" x14ac:dyDescent="0.2">
      <c r="A14380" s="744" t="s">
        <v>200</v>
      </c>
      <c r="E14380" s="2190" t="s">
        <v>423</v>
      </c>
      <c r="F14380" s="2190"/>
      <c r="G14380" s="433" t="s">
        <v>23</v>
      </c>
      <c r="H14380" s="599">
        <v>0.56999999999999995</v>
      </c>
      <c r="K14380" s="744" t="s">
        <v>6675</v>
      </c>
      <c r="L14380" s="744" t="s">
        <v>443</v>
      </c>
      <c r="P14380" s="744" t="s">
        <v>6678</v>
      </c>
      <c r="S14380" s="744"/>
      <c r="T14380" s="1428">
        <v>43404</v>
      </c>
      <c r="V14380" s="744">
        <v>78</v>
      </c>
    </row>
    <row r="14381" spans="1:22" ht="15" x14ac:dyDescent="0.2">
      <c r="A14381" s="744" t="s">
        <v>200</v>
      </c>
      <c r="E14381" s="2190" t="s">
        <v>84</v>
      </c>
      <c r="F14381" s="2190"/>
      <c r="G14381" s="433" t="s">
        <v>24</v>
      </c>
      <c r="H14381" s="1430">
        <v>1.7899999999999999E-2</v>
      </c>
      <c r="K14381" s="744" t="s">
        <v>6675</v>
      </c>
      <c r="L14381" s="744" t="s">
        <v>442</v>
      </c>
      <c r="P14381" s="744" t="s">
        <v>6679</v>
      </c>
      <c r="S14381" s="744"/>
      <c r="T14381" s="744"/>
      <c r="V14381" s="744">
        <v>28</v>
      </c>
    </row>
    <row r="14382" spans="1:22" ht="15" x14ac:dyDescent="0.2">
      <c r="A14382" s="744" t="s">
        <v>200</v>
      </c>
      <c r="E14382" s="2190" t="s">
        <v>18</v>
      </c>
      <c r="F14382" s="2190"/>
      <c r="G14382" s="433" t="s">
        <v>24</v>
      </c>
      <c r="H14382" s="1430">
        <v>5.9999999999999995E-4</v>
      </c>
      <c r="I14382" s="744" t="str">
        <f>IF(LEN(H14382)&gt;6, "fix", "")</f>
        <v/>
      </c>
      <c r="K14382" s="744" t="s">
        <v>6675</v>
      </c>
      <c r="L14382" s="744" t="s">
        <v>443</v>
      </c>
      <c r="P14382" s="744" t="s">
        <v>6680</v>
      </c>
      <c r="S14382" s="744"/>
      <c r="T14382" s="744"/>
      <c r="V14382" s="744">
        <v>24</v>
      </c>
    </row>
    <row r="14383" spans="1:22" ht="15" x14ac:dyDescent="0.2">
      <c r="A14383" s="744" t="s">
        <v>200</v>
      </c>
      <c r="E14383" s="2190" t="s">
        <v>221</v>
      </c>
      <c r="F14383" s="2190"/>
      <c r="G14383" s="433" t="s">
        <v>24</v>
      </c>
      <c r="H14383" s="1430">
        <v>6.033313364495984E-3</v>
      </c>
      <c r="K14383" s="744" t="s">
        <v>6675</v>
      </c>
      <c r="L14383" s="744" t="s">
        <v>444</v>
      </c>
      <c r="P14383" s="744" t="s">
        <v>6681</v>
      </c>
      <c r="S14383" s="744"/>
      <c r="T14383" s="744"/>
      <c r="V14383" s="744">
        <v>47</v>
      </c>
    </row>
    <row r="14384" spans="1:22" ht="15" x14ac:dyDescent="0.2">
      <c r="A14384" s="744" t="s">
        <v>200</v>
      </c>
      <c r="E14384" s="2190" t="s">
        <v>217</v>
      </c>
      <c r="F14384" s="2190"/>
      <c r="G14384" s="433" t="s">
        <v>24</v>
      </c>
      <c r="H14384" s="1430">
        <v>1.5866917241528461E-3</v>
      </c>
      <c r="K14384" s="744" t="s">
        <v>6675</v>
      </c>
      <c r="L14384" s="744" t="s">
        <v>444</v>
      </c>
      <c r="P14384" s="744" t="s">
        <v>6682</v>
      </c>
      <c r="S14384" s="744"/>
      <c r="T14384" s="744"/>
      <c r="V14384" s="744">
        <v>74</v>
      </c>
    </row>
    <row r="14385" spans="1:22" ht="15" x14ac:dyDescent="0.25">
      <c r="A14385" s="744" t="s">
        <v>200</v>
      </c>
      <c r="E14385" s="919" t="s">
        <v>3079</v>
      </c>
      <c r="F14385" s="841"/>
      <c r="G14385" s="841"/>
      <c r="H14385" s="841"/>
      <c r="K14385" s="744" t="s">
        <v>3093</v>
      </c>
      <c r="S14385" s="744"/>
      <c r="T14385" s="744"/>
      <c r="V14385" s="744">
        <v>48</v>
      </c>
    </row>
    <row r="14386" spans="1:22" ht="15" x14ac:dyDescent="0.25">
      <c r="A14386" s="744" t="s">
        <v>200</v>
      </c>
      <c r="E14386" s="2190" t="s">
        <v>31</v>
      </c>
      <c r="F14386" s="1852"/>
      <c r="G14386" s="433" t="s">
        <v>24</v>
      </c>
      <c r="H14386" s="1430">
        <v>4.4000000000000003E-3</v>
      </c>
      <c r="K14386" s="744" t="s">
        <v>6675</v>
      </c>
      <c r="L14386" s="744" t="s">
        <v>3046</v>
      </c>
      <c r="P14386" s="744" t="s">
        <v>6683</v>
      </c>
      <c r="S14386" s="744"/>
      <c r="T14386" s="744"/>
      <c r="V14386" s="744">
        <v>29</v>
      </c>
    </row>
    <row r="14387" spans="1:22" ht="15" x14ac:dyDescent="0.25">
      <c r="A14387" s="744" t="s">
        <v>200</v>
      </c>
      <c r="E14387" s="2190" t="s">
        <v>439</v>
      </c>
      <c r="F14387" s="1852"/>
      <c r="G14387" s="433" t="s">
        <v>24</v>
      </c>
      <c r="H14387" s="1430">
        <v>1.2999999999999999E-3</v>
      </c>
      <c r="K14387" s="744" t="s">
        <v>6675</v>
      </c>
      <c r="L14387" s="744" t="s">
        <v>3046</v>
      </c>
      <c r="P14387" s="744" t="s">
        <v>6684</v>
      </c>
      <c r="S14387" s="744"/>
      <c r="T14387" s="744"/>
      <c r="V14387" s="744">
        <v>57</v>
      </c>
    </row>
    <row r="14388" spans="1:22" ht="15" x14ac:dyDescent="0.25">
      <c r="A14388" s="744" t="s">
        <v>200</v>
      </c>
      <c r="E14388" s="2190" t="s">
        <v>32</v>
      </c>
      <c r="F14388" s="1852"/>
      <c r="G14388" s="433" t="s">
        <v>23</v>
      </c>
      <c r="H14388" s="599">
        <v>0.25</v>
      </c>
      <c r="K14388" s="744" t="s">
        <v>6675</v>
      </c>
      <c r="L14388" s="744" t="s">
        <v>3046</v>
      </c>
      <c r="P14388" s="744" t="s">
        <v>6685</v>
      </c>
      <c r="S14388" s="744"/>
      <c r="T14388" s="744"/>
      <c r="V14388" s="744">
        <v>63</v>
      </c>
    </row>
    <row r="14389" spans="1:22" x14ac:dyDescent="0.25">
      <c r="A14389" s="744" t="s">
        <v>200</v>
      </c>
      <c r="E14389" s="1429" t="s">
        <v>616</v>
      </c>
      <c r="F14389" s="841"/>
      <c r="G14389" s="841"/>
      <c r="H14389" s="841"/>
      <c r="K14389" s="744" t="s">
        <v>6686</v>
      </c>
      <c r="S14389" s="744"/>
      <c r="T14389" s="744"/>
      <c r="V14389" s="744">
        <v>53</v>
      </c>
    </row>
    <row r="14390" spans="1:22" ht="15" customHeight="1" x14ac:dyDescent="0.25">
      <c r="A14390" s="744" t="s">
        <v>200</v>
      </c>
      <c r="E14390" s="2073" t="s">
        <v>6687</v>
      </c>
      <c r="F14390" s="1784"/>
      <c r="G14390" s="1784"/>
      <c r="H14390" s="1784"/>
      <c r="K14390" s="744" t="s">
        <v>6686</v>
      </c>
      <c r="S14390" s="744"/>
      <c r="T14390" s="744"/>
      <c r="V14390" s="744">
        <v>279</v>
      </c>
    </row>
    <row r="14391" spans="1:22" ht="15" x14ac:dyDescent="0.25">
      <c r="A14391" s="744" t="s">
        <v>200</v>
      </c>
      <c r="E14391" s="919" t="s">
        <v>3061</v>
      </c>
      <c r="F14391" s="841"/>
      <c r="G14391" s="841"/>
      <c r="H14391" s="841"/>
      <c r="K14391" s="744" t="s">
        <v>3098</v>
      </c>
      <c r="S14391" s="744"/>
      <c r="T14391" s="1428"/>
      <c r="V14391" s="744">
        <v>11</v>
      </c>
    </row>
    <row r="14392" spans="1:22" ht="15" customHeight="1" x14ac:dyDescent="0.25">
      <c r="A14392" s="744" t="s">
        <v>200</v>
      </c>
      <c r="E14392" s="2083" t="s">
        <v>6672</v>
      </c>
      <c r="F14392" s="2188"/>
      <c r="G14392" s="2188"/>
      <c r="H14392" s="2188"/>
      <c r="K14392" s="744" t="s">
        <v>6686</v>
      </c>
      <c r="S14392" s="744"/>
      <c r="T14392" s="1428"/>
      <c r="V14392" s="744">
        <v>250</v>
      </c>
    </row>
    <row r="14393" spans="1:22" ht="15" customHeight="1" x14ac:dyDescent="0.25">
      <c r="A14393" s="744" t="s">
        <v>200</v>
      </c>
      <c r="E14393" s="2083" t="s">
        <v>4723</v>
      </c>
      <c r="F14393" s="2188"/>
      <c r="G14393" s="2188"/>
      <c r="H14393" s="2188"/>
      <c r="K14393" s="744" t="s">
        <v>6686</v>
      </c>
      <c r="S14393" s="744"/>
      <c r="T14393" s="744"/>
      <c r="V14393" s="744">
        <v>381</v>
      </c>
    </row>
    <row r="14394" spans="1:22" ht="15" customHeight="1" x14ac:dyDescent="0.25">
      <c r="A14394" s="744" t="s">
        <v>200</v>
      </c>
      <c r="E14394" s="2083" t="s">
        <v>6673</v>
      </c>
      <c r="F14394" s="2188"/>
      <c r="G14394" s="2188"/>
      <c r="H14394" s="2188"/>
      <c r="K14394" s="744" t="s">
        <v>6686</v>
      </c>
      <c r="S14394" s="744"/>
      <c r="T14394" s="744"/>
      <c r="V14394" s="744">
        <v>387</v>
      </c>
    </row>
    <row r="14395" spans="1:22" ht="15" customHeight="1" x14ac:dyDescent="0.25">
      <c r="A14395" s="744" t="s">
        <v>200</v>
      </c>
      <c r="E14395" s="2083" t="s">
        <v>6674</v>
      </c>
      <c r="F14395" s="2188"/>
      <c r="G14395" s="2188"/>
      <c r="H14395" s="2188"/>
      <c r="K14395" s="744" t="s">
        <v>6686</v>
      </c>
      <c r="S14395" s="744"/>
      <c r="T14395" s="744"/>
      <c r="V14395" s="744">
        <v>293</v>
      </c>
    </row>
    <row r="14396" spans="1:22" ht="15" x14ac:dyDescent="0.25">
      <c r="A14396" s="744" t="s">
        <v>200</v>
      </c>
      <c r="E14396" s="919" t="s">
        <v>3067</v>
      </c>
      <c r="F14396" s="841"/>
      <c r="G14396" s="841"/>
      <c r="H14396" s="841"/>
      <c r="K14396" s="744" t="s">
        <v>3099</v>
      </c>
      <c r="S14396" s="744"/>
      <c r="T14396" s="744"/>
      <c r="V14396" s="744">
        <v>46</v>
      </c>
    </row>
    <row r="14397" spans="1:22" ht="15" x14ac:dyDescent="0.2">
      <c r="A14397" s="744" t="s">
        <v>200</v>
      </c>
      <c r="E14397" s="2189" t="s">
        <v>11</v>
      </c>
      <c r="F14397" s="2189"/>
      <c r="G14397" s="433" t="s">
        <v>23</v>
      </c>
      <c r="H14397" s="599">
        <v>193.66</v>
      </c>
      <c r="K14397" s="744" t="s">
        <v>6686</v>
      </c>
      <c r="L14397" s="744" t="s">
        <v>442</v>
      </c>
      <c r="P14397" s="744" t="s">
        <v>6688</v>
      </c>
      <c r="S14397" s="744"/>
      <c r="T14397" s="744"/>
      <c r="V14397" s="744">
        <v>14</v>
      </c>
    </row>
    <row r="14398" spans="1:22" ht="15" x14ac:dyDescent="0.2">
      <c r="A14398" s="744" t="s">
        <v>200</v>
      </c>
      <c r="E14398" s="2190" t="s">
        <v>84</v>
      </c>
      <c r="F14398" s="2190"/>
      <c r="G14398" s="433" t="s">
        <v>33</v>
      </c>
      <c r="H14398" s="1430">
        <v>3.6185</v>
      </c>
      <c r="K14398" s="744" t="s">
        <v>6686</v>
      </c>
      <c r="L14398" s="744" t="s">
        <v>442</v>
      </c>
      <c r="P14398" s="744" t="s">
        <v>6689</v>
      </c>
      <c r="S14398" s="744"/>
      <c r="T14398" s="1428"/>
      <c r="V14398" s="744">
        <v>28</v>
      </c>
    </row>
    <row r="14399" spans="1:22" ht="15" x14ac:dyDescent="0.2">
      <c r="A14399" s="744" t="s">
        <v>200</v>
      </c>
      <c r="E14399" s="2190" t="s">
        <v>18</v>
      </c>
      <c r="F14399" s="2190"/>
      <c r="G14399" s="433" t="s">
        <v>33</v>
      </c>
      <c r="H14399" s="1430">
        <v>0.22559999999999999</v>
      </c>
      <c r="I14399" s="744" t="str">
        <f>IF(LEN(H14399)&gt;6, "fix", "")</f>
        <v/>
      </c>
      <c r="K14399" s="744" t="s">
        <v>6686</v>
      </c>
      <c r="L14399" s="744" t="s">
        <v>443</v>
      </c>
      <c r="P14399" s="744" t="s">
        <v>6690</v>
      </c>
      <c r="S14399" s="744"/>
      <c r="T14399" s="1428"/>
      <c r="V14399" s="744">
        <v>24</v>
      </c>
    </row>
    <row r="14400" spans="1:22" ht="15" x14ac:dyDescent="0.2">
      <c r="A14400" s="744" t="s">
        <v>200</v>
      </c>
      <c r="E14400" s="2190" t="s">
        <v>221</v>
      </c>
      <c r="F14400" s="2190"/>
      <c r="G14400" s="433" t="s">
        <v>33</v>
      </c>
      <c r="H14400" s="1430">
        <v>2.5061988089010447</v>
      </c>
      <c r="K14400" s="744" t="s">
        <v>6686</v>
      </c>
      <c r="L14400" s="744" t="s">
        <v>444</v>
      </c>
      <c r="P14400" s="744" t="s">
        <v>6691</v>
      </c>
      <c r="S14400" s="744"/>
      <c r="T14400" s="744"/>
      <c r="V14400" s="744">
        <v>47</v>
      </c>
    </row>
    <row r="14401" spans="1:22" ht="15" x14ac:dyDescent="0.2">
      <c r="A14401" s="744" t="s">
        <v>200</v>
      </c>
      <c r="E14401" s="2190" t="s">
        <v>217</v>
      </c>
      <c r="F14401" s="2190"/>
      <c r="G14401" s="433" t="s">
        <v>33</v>
      </c>
      <c r="H14401" s="1430">
        <v>0.57626660056576173</v>
      </c>
      <c r="K14401" s="744" t="s">
        <v>6686</v>
      </c>
      <c r="L14401" s="744" t="s">
        <v>444</v>
      </c>
      <c r="P14401" s="744" t="s">
        <v>6692</v>
      </c>
      <c r="S14401" s="744"/>
      <c r="T14401" s="744"/>
      <c r="V14401" s="744">
        <v>74</v>
      </c>
    </row>
    <row r="14402" spans="1:22" ht="15" x14ac:dyDescent="0.25">
      <c r="A14402" s="744" t="s">
        <v>200</v>
      </c>
      <c r="E14402" s="919" t="s">
        <v>3079</v>
      </c>
      <c r="F14402" s="841"/>
      <c r="G14402" s="841"/>
      <c r="H14402" s="841"/>
      <c r="K14402" s="744" t="s">
        <v>3218</v>
      </c>
      <c r="S14402" s="744"/>
      <c r="T14402" s="744"/>
      <c r="V14402" s="744">
        <v>48</v>
      </c>
    </row>
    <row r="14403" spans="1:22" ht="15" x14ac:dyDescent="0.25">
      <c r="A14403" s="744" t="s">
        <v>200</v>
      </c>
      <c r="E14403" s="2190" t="s">
        <v>31</v>
      </c>
      <c r="F14403" s="1852"/>
      <c r="G14403" s="433" t="s">
        <v>24</v>
      </c>
      <c r="H14403" s="1430">
        <v>4.4000000000000003E-3</v>
      </c>
      <c r="K14403" s="744" t="s">
        <v>6686</v>
      </c>
      <c r="L14403" s="744" t="s">
        <v>3046</v>
      </c>
      <c r="P14403" s="744" t="s">
        <v>6693</v>
      </c>
      <c r="S14403" s="744"/>
      <c r="T14403" s="744"/>
      <c r="V14403" s="744">
        <v>29</v>
      </c>
    </row>
    <row r="14404" spans="1:22" ht="15" x14ac:dyDescent="0.25">
      <c r="A14404" s="744" t="s">
        <v>200</v>
      </c>
      <c r="E14404" s="2190" t="s">
        <v>439</v>
      </c>
      <c r="F14404" s="1852"/>
      <c r="G14404" s="433" t="s">
        <v>24</v>
      </c>
      <c r="H14404" s="1430">
        <v>1.2999999999999999E-3</v>
      </c>
      <c r="K14404" s="744" t="s">
        <v>6686</v>
      </c>
      <c r="L14404" s="744" t="s">
        <v>3046</v>
      </c>
      <c r="P14404" s="744" t="s">
        <v>6694</v>
      </c>
      <c r="S14404" s="744"/>
      <c r="T14404" s="744"/>
      <c r="V14404" s="744">
        <v>57</v>
      </c>
    </row>
    <row r="14405" spans="1:22" ht="15" x14ac:dyDescent="0.25">
      <c r="A14405" s="744" t="s">
        <v>200</v>
      </c>
      <c r="E14405" s="2190" t="s">
        <v>32</v>
      </c>
      <c r="F14405" s="1852"/>
      <c r="G14405" s="433" t="s">
        <v>23</v>
      </c>
      <c r="H14405" s="599">
        <v>0.25</v>
      </c>
      <c r="K14405" s="744" t="s">
        <v>6686</v>
      </c>
      <c r="L14405" s="744" t="s">
        <v>3046</v>
      </c>
      <c r="P14405" s="744" t="s">
        <v>6695</v>
      </c>
      <c r="S14405" s="744"/>
      <c r="T14405" s="744"/>
      <c r="V14405" s="744">
        <v>63</v>
      </c>
    </row>
    <row r="14406" spans="1:22" x14ac:dyDescent="0.25">
      <c r="A14406" s="744" t="s">
        <v>200</v>
      </c>
      <c r="E14406" s="1429" t="s">
        <v>617</v>
      </c>
      <c r="F14406" s="841"/>
      <c r="G14406" s="841"/>
      <c r="H14406" s="841"/>
      <c r="K14406" s="744" t="s">
        <v>3406</v>
      </c>
      <c r="S14406" s="744"/>
      <c r="T14406" s="744"/>
      <c r="V14406" s="744">
        <v>47</v>
      </c>
    </row>
    <row r="14407" spans="1:22" ht="15" customHeight="1" x14ac:dyDescent="0.25">
      <c r="A14407" s="744" t="s">
        <v>200</v>
      </c>
      <c r="E14407" s="2073" t="s">
        <v>6696</v>
      </c>
      <c r="F14407" s="1784"/>
      <c r="G14407" s="1784"/>
      <c r="H14407" s="1784"/>
      <c r="K14407" s="744" t="s">
        <v>3406</v>
      </c>
      <c r="S14407" s="744"/>
      <c r="T14407" s="1428"/>
      <c r="V14407" s="744">
        <v>556</v>
      </c>
    </row>
    <row r="14408" spans="1:22" ht="15" x14ac:dyDescent="0.25">
      <c r="A14408" s="744" t="s">
        <v>200</v>
      </c>
      <c r="E14408" s="919" t="s">
        <v>3061</v>
      </c>
      <c r="F14408" s="841"/>
      <c r="G14408" s="841"/>
      <c r="H14408" s="841"/>
      <c r="K14408" s="744" t="s">
        <v>3221</v>
      </c>
      <c r="S14408" s="744"/>
      <c r="T14408" s="1428"/>
      <c r="V14408" s="744">
        <v>11</v>
      </c>
    </row>
    <row r="14409" spans="1:22" ht="15" customHeight="1" x14ac:dyDescent="0.25">
      <c r="A14409" s="744" t="s">
        <v>200</v>
      </c>
      <c r="E14409" s="2083" t="s">
        <v>6672</v>
      </c>
      <c r="F14409" s="2188"/>
      <c r="G14409" s="2188"/>
      <c r="H14409" s="2188"/>
      <c r="K14409" s="744" t="s">
        <v>3406</v>
      </c>
      <c r="S14409" s="744"/>
      <c r="T14409" s="744"/>
      <c r="V14409" s="744">
        <v>250</v>
      </c>
    </row>
    <row r="14410" spans="1:22" ht="15" customHeight="1" x14ac:dyDescent="0.25">
      <c r="A14410" s="744" t="s">
        <v>200</v>
      </c>
      <c r="E14410" s="2083" t="s">
        <v>4723</v>
      </c>
      <c r="F14410" s="2188"/>
      <c r="G14410" s="2188"/>
      <c r="H14410" s="2188"/>
      <c r="K14410" s="744" t="s">
        <v>3406</v>
      </c>
      <c r="S14410" s="744"/>
      <c r="T14410" s="744"/>
      <c r="V14410" s="744">
        <v>381</v>
      </c>
    </row>
    <row r="14411" spans="1:22" ht="15" customHeight="1" x14ac:dyDescent="0.25">
      <c r="A14411" s="744" t="s">
        <v>200</v>
      </c>
      <c r="E14411" s="2083" t="s">
        <v>6673</v>
      </c>
      <c r="F14411" s="2188"/>
      <c r="G14411" s="2188"/>
      <c r="H14411" s="2188"/>
      <c r="K14411" s="744" t="s">
        <v>3406</v>
      </c>
      <c r="S14411" s="744"/>
      <c r="T14411" s="744"/>
      <c r="V14411" s="744">
        <v>387</v>
      </c>
    </row>
    <row r="14412" spans="1:22" ht="15" customHeight="1" x14ac:dyDescent="0.25">
      <c r="A14412" s="744" t="s">
        <v>200</v>
      </c>
      <c r="E14412" s="2083" t="s">
        <v>6674</v>
      </c>
      <c r="F14412" s="2188"/>
      <c r="G14412" s="2188"/>
      <c r="H14412" s="2188"/>
      <c r="K14412" s="744" t="s">
        <v>3406</v>
      </c>
      <c r="S14412" s="744"/>
      <c r="T14412" s="744"/>
      <c r="V14412" s="744">
        <v>293</v>
      </c>
    </row>
    <row r="14413" spans="1:22" ht="15" x14ac:dyDescent="0.25">
      <c r="A14413" s="744" t="s">
        <v>200</v>
      </c>
      <c r="E14413" s="919" t="s">
        <v>3067</v>
      </c>
      <c r="F14413" s="841"/>
      <c r="G14413" s="841"/>
      <c r="H14413" s="841"/>
      <c r="K14413" s="744" t="s">
        <v>3224</v>
      </c>
      <c r="S14413" s="744"/>
      <c r="T14413" s="744"/>
      <c r="V14413" s="744">
        <v>46</v>
      </c>
    </row>
    <row r="14414" spans="1:22" ht="15" x14ac:dyDescent="0.2">
      <c r="A14414" s="744" t="s">
        <v>200</v>
      </c>
      <c r="E14414" s="2189" t="s">
        <v>11</v>
      </c>
      <c r="F14414" s="2189"/>
      <c r="G14414" s="433" t="s">
        <v>23</v>
      </c>
      <c r="H14414" s="599">
        <v>24.99</v>
      </c>
      <c r="K14414" s="744" t="s">
        <v>3406</v>
      </c>
      <c r="L14414" s="744" t="s">
        <v>442</v>
      </c>
      <c r="P14414" s="744" t="s">
        <v>3408</v>
      </c>
      <c r="S14414" s="744"/>
      <c r="T14414" s="1428"/>
      <c r="V14414" s="744">
        <v>14</v>
      </c>
    </row>
    <row r="14415" spans="1:22" ht="15" x14ac:dyDescent="0.2">
      <c r="A14415" s="744" t="s">
        <v>200</v>
      </c>
      <c r="E14415" s="2190" t="s">
        <v>84</v>
      </c>
      <c r="F14415" s="2190"/>
      <c r="G14415" s="433" t="s">
        <v>24</v>
      </c>
      <c r="H14415" s="1430">
        <v>3.3599999999999998E-2</v>
      </c>
      <c r="K14415" s="744" t="s">
        <v>3406</v>
      </c>
      <c r="L14415" s="744" t="s">
        <v>442</v>
      </c>
      <c r="P14415" s="744" t="s">
        <v>3409</v>
      </c>
      <c r="S14415" s="744"/>
      <c r="T14415" s="744"/>
      <c r="V14415" s="744">
        <v>28</v>
      </c>
    </row>
    <row r="14416" spans="1:22" ht="15" x14ac:dyDescent="0.2">
      <c r="A14416" s="744" t="s">
        <v>200</v>
      </c>
      <c r="E14416" s="2190" t="s">
        <v>18</v>
      </c>
      <c r="F14416" s="2190"/>
      <c r="G14416" s="433" t="s">
        <v>24</v>
      </c>
      <c r="H14416" s="1430">
        <v>5.9999999999999995E-4</v>
      </c>
      <c r="I14416" s="744" t="str">
        <f>IF(LEN(H14416)&gt;6, "fix", "")</f>
        <v/>
      </c>
      <c r="K14416" s="744" t="s">
        <v>3406</v>
      </c>
      <c r="L14416" s="744" t="s">
        <v>443</v>
      </c>
      <c r="P14416" s="744" t="s">
        <v>3549</v>
      </c>
      <c r="S14416" s="744"/>
      <c r="T14416" s="744"/>
      <c r="V14416" s="744">
        <v>24</v>
      </c>
    </row>
    <row r="14417" spans="1:22" ht="15" x14ac:dyDescent="0.2">
      <c r="A14417" s="744" t="s">
        <v>200</v>
      </c>
      <c r="E14417" s="2190" t="s">
        <v>221</v>
      </c>
      <c r="F14417" s="2190"/>
      <c r="G14417" s="433" t="s">
        <v>24</v>
      </c>
      <c r="H14417" s="1430">
        <v>6.0333133644959848E-3</v>
      </c>
      <c r="K14417" s="744" t="s">
        <v>3406</v>
      </c>
      <c r="L14417" s="744" t="s">
        <v>444</v>
      </c>
      <c r="P14417" s="744" t="s">
        <v>3412</v>
      </c>
      <c r="S14417" s="744"/>
      <c r="T14417" s="1428"/>
      <c r="V14417" s="744">
        <v>47</v>
      </c>
    </row>
    <row r="14418" spans="1:22" ht="15" x14ac:dyDescent="0.2">
      <c r="A14418" s="744" t="s">
        <v>200</v>
      </c>
      <c r="E14418" s="2190" t="s">
        <v>217</v>
      </c>
      <c r="F14418" s="2190"/>
      <c r="G14418" s="433" t="s">
        <v>24</v>
      </c>
      <c r="H14418" s="1430">
        <v>1.5866917241528465E-3</v>
      </c>
      <c r="K14418" s="744" t="s">
        <v>3406</v>
      </c>
      <c r="L14418" s="744" t="s">
        <v>444</v>
      </c>
      <c r="P14418" s="744" t="s">
        <v>3413</v>
      </c>
      <c r="S14418" s="744"/>
      <c r="T14418" s="744"/>
      <c r="V14418" s="744">
        <v>74</v>
      </c>
    </row>
    <row r="14419" spans="1:22" ht="15" x14ac:dyDescent="0.25">
      <c r="A14419" s="744" t="s">
        <v>200</v>
      </c>
      <c r="E14419" s="919" t="s">
        <v>3079</v>
      </c>
      <c r="F14419" s="841"/>
      <c r="G14419" s="841"/>
      <c r="H14419" s="841"/>
      <c r="K14419" s="744" t="s">
        <v>3225</v>
      </c>
      <c r="S14419" s="744"/>
      <c r="T14419" s="744"/>
      <c r="V14419" s="744">
        <v>48</v>
      </c>
    </row>
    <row r="14420" spans="1:22" ht="15" x14ac:dyDescent="0.25">
      <c r="A14420" s="744" t="s">
        <v>200</v>
      </c>
      <c r="E14420" s="2190" t="s">
        <v>31</v>
      </c>
      <c r="F14420" s="1852"/>
      <c r="G14420" s="433" t="s">
        <v>24</v>
      </c>
      <c r="H14420" s="1430">
        <v>4.4000000000000003E-3</v>
      </c>
      <c r="K14420" s="744" t="s">
        <v>3406</v>
      </c>
      <c r="L14420" s="744" t="s">
        <v>3046</v>
      </c>
      <c r="P14420" s="744" t="s">
        <v>3414</v>
      </c>
      <c r="S14420" s="744"/>
      <c r="T14420" s="744"/>
      <c r="V14420" s="744">
        <v>29</v>
      </c>
    </row>
    <row r="14421" spans="1:22" ht="15" x14ac:dyDescent="0.25">
      <c r="A14421" s="744" t="s">
        <v>200</v>
      </c>
      <c r="E14421" s="2190" t="s">
        <v>439</v>
      </c>
      <c r="F14421" s="1852"/>
      <c r="G14421" s="433" t="s">
        <v>24</v>
      </c>
      <c r="H14421" s="1430">
        <v>1.2999999999999999E-3</v>
      </c>
      <c r="K14421" s="744" t="s">
        <v>3406</v>
      </c>
      <c r="L14421" s="744" t="s">
        <v>3046</v>
      </c>
      <c r="P14421" s="744" t="s">
        <v>3415</v>
      </c>
      <c r="S14421" s="744"/>
      <c r="T14421" s="744"/>
      <c r="V14421" s="744">
        <v>57</v>
      </c>
    </row>
    <row r="14422" spans="1:22" ht="15" x14ac:dyDescent="0.25">
      <c r="A14422" s="744" t="s">
        <v>200</v>
      </c>
      <c r="E14422" s="2190" t="s">
        <v>32</v>
      </c>
      <c r="F14422" s="1852"/>
      <c r="G14422" s="433" t="s">
        <v>23</v>
      </c>
      <c r="H14422" s="599">
        <v>0.25</v>
      </c>
      <c r="K14422" s="744" t="s">
        <v>3406</v>
      </c>
      <c r="L14422" s="744" t="s">
        <v>3046</v>
      </c>
      <c r="P14422" s="744" t="s">
        <v>3416</v>
      </c>
      <c r="S14422" s="744"/>
      <c r="T14422" s="744"/>
      <c r="V14422" s="744">
        <v>63</v>
      </c>
    </row>
    <row r="14423" spans="1:22" x14ac:dyDescent="0.25">
      <c r="A14423" s="744" t="s">
        <v>200</v>
      </c>
      <c r="E14423" s="1429" t="s">
        <v>629</v>
      </c>
      <c r="F14423" s="841"/>
      <c r="G14423" s="841"/>
      <c r="H14423" s="841"/>
      <c r="K14423" s="744" t="s">
        <v>3571</v>
      </c>
      <c r="S14423" s="744"/>
      <c r="T14423" s="744"/>
      <c r="V14423" s="744">
        <v>40</v>
      </c>
    </row>
    <row r="14424" spans="1:22" ht="15" customHeight="1" x14ac:dyDescent="0.25">
      <c r="A14424" s="744" t="s">
        <v>200</v>
      </c>
      <c r="E14424" s="2073" t="s">
        <v>4724</v>
      </c>
      <c r="F14424" s="1784"/>
      <c r="G14424" s="1784"/>
      <c r="H14424" s="1784"/>
      <c r="K14424" s="744" t="s">
        <v>3571</v>
      </c>
      <c r="S14424" s="744"/>
      <c r="T14424" s="1428"/>
      <c r="V14424" s="744">
        <v>188</v>
      </c>
    </row>
    <row r="14425" spans="1:22" ht="15" x14ac:dyDescent="0.25">
      <c r="A14425" s="744" t="s">
        <v>200</v>
      </c>
      <c r="E14425" s="919" t="s">
        <v>3061</v>
      </c>
      <c r="F14425" s="841"/>
      <c r="G14425" s="841"/>
      <c r="H14425" s="841"/>
      <c r="K14425" s="744" t="s">
        <v>3107</v>
      </c>
      <c r="S14425" s="744"/>
      <c r="T14425" s="1428"/>
      <c r="V14425" s="744">
        <v>11</v>
      </c>
    </row>
    <row r="14426" spans="1:22" ht="15" customHeight="1" x14ac:dyDescent="0.25">
      <c r="A14426" s="744" t="s">
        <v>200</v>
      </c>
      <c r="E14426" s="2083" t="s">
        <v>6672</v>
      </c>
      <c r="F14426" s="2188"/>
      <c r="G14426" s="2188"/>
      <c r="H14426" s="2188"/>
      <c r="K14426" s="744" t="s">
        <v>3571</v>
      </c>
      <c r="S14426" s="744"/>
      <c r="T14426" s="744"/>
      <c r="V14426" s="744">
        <v>250</v>
      </c>
    </row>
    <row r="14427" spans="1:22" ht="15" customHeight="1" x14ac:dyDescent="0.25">
      <c r="A14427" s="744" t="s">
        <v>200</v>
      </c>
      <c r="E14427" s="2083" t="s">
        <v>4723</v>
      </c>
      <c r="F14427" s="2188"/>
      <c r="G14427" s="2188"/>
      <c r="H14427" s="2188"/>
      <c r="K14427" s="744" t="s">
        <v>3571</v>
      </c>
      <c r="S14427" s="744"/>
      <c r="T14427" s="744"/>
      <c r="V14427" s="744">
        <v>381</v>
      </c>
    </row>
    <row r="14428" spans="1:22" ht="15" customHeight="1" x14ac:dyDescent="0.25">
      <c r="A14428" s="744" t="s">
        <v>200</v>
      </c>
      <c r="E14428" s="2083" t="s">
        <v>6673</v>
      </c>
      <c r="F14428" s="2188"/>
      <c r="G14428" s="2188"/>
      <c r="H14428" s="2188"/>
      <c r="K14428" s="744" t="s">
        <v>3571</v>
      </c>
      <c r="S14428" s="744"/>
      <c r="T14428" s="744"/>
      <c r="V14428" s="744">
        <v>387</v>
      </c>
    </row>
    <row r="14429" spans="1:22" ht="15" customHeight="1" x14ac:dyDescent="0.25">
      <c r="A14429" s="744" t="s">
        <v>200</v>
      </c>
      <c r="E14429" s="2083" t="s">
        <v>6674</v>
      </c>
      <c r="F14429" s="2188"/>
      <c r="G14429" s="2188"/>
      <c r="H14429" s="2188"/>
      <c r="K14429" s="744" t="s">
        <v>3571</v>
      </c>
      <c r="S14429" s="744"/>
      <c r="T14429" s="744"/>
      <c r="V14429" s="744">
        <v>293</v>
      </c>
    </row>
    <row r="14430" spans="1:22" ht="15" x14ac:dyDescent="0.25">
      <c r="A14430" s="744" t="s">
        <v>200</v>
      </c>
      <c r="E14430" s="919" t="s">
        <v>3067</v>
      </c>
      <c r="F14430" s="841"/>
      <c r="G14430" s="841"/>
      <c r="H14430" s="841"/>
      <c r="K14430" s="744" t="s">
        <v>3108</v>
      </c>
      <c r="S14430" s="744"/>
      <c r="T14430" s="744"/>
      <c r="V14430" s="744">
        <v>46</v>
      </c>
    </row>
    <row r="14431" spans="1:22" ht="15" x14ac:dyDescent="0.2">
      <c r="A14431" s="744" t="s">
        <v>200</v>
      </c>
      <c r="E14431" s="2189" t="s">
        <v>11</v>
      </c>
      <c r="F14431" s="2189"/>
      <c r="G14431" s="433" t="s">
        <v>23</v>
      </c>
      <c r="H14431" s="599">
        <v>8.65</v>
      </c>
      <c r="K14431" s="744" t="s">
        <v>3571</v>
      </c>
      <c r="L14431" s="744" t="s">
        <v>442</v>
      </c>
      <c r="P14431" s="744" t="s">
        <v>3573</v>
      </c>
      <c r="S14431" s="744"/>
      <c r="T14431" s="744"/>
      <c r="V14431" s="744">
        <v>14</v>
      </c>
    </row>
    <row r="14432" spans="1:22" ht="15" x14ac:dyDescent="0.2">
      <c r="A14432" s="744" t="s">
        <v>200</v>
      </c>
      <c r="E14432" s="2190" t="s">
        <v>84</v>
      </c>
      <c r="F14432" s="2190"/>
      <c r="G14432" s="433" t="s">
        <v>33</v>
      </c>
      <c r="H14432" s="1430">
        <v>15.043699999999999</v>
      </c>
      <c r="K14432" s="744" t="s">
        <v>3571</v>
      </c>
      <c r="L14432" s="744" t="s">
        <v>442</v>
      </c>
      <c r="P14432" s="744" t="s">
        <v>3574</v>
      </c>
      <c r="S14432" s="744"/>
      <c r="T14432" s="744"/>
      <c r="V14432" s="744">
        <v>28</v>
      </c>
    </row>
    <row r="14433" spans="1:22" ht="15" x14ac:dyDescent="0.2">
      <c r="A14433" s="744" t="s">
        <v>200</v>
      </c>
      <c r="E14433" s="2190" t="s">
        <v>18</v>
      </c>
      <c r="F14433" s="2190"/>
      <c r="G14433" s="433" t="s">
        <v>33</v>
      </c>
      <c r="H14433" s="1430">
        <v>0.2261</v>
      </c>
      <c r="I14433" s="744" t="str">
        <f>IF(LEN(H14433)&gt;6, "fix", "")</f>
        <v/>
      </c>
      <c r="K14433" s="744" t="s">
        <v>3571</v>
      </c>
      <c r="L14433" s="744" t="s">
        <v>443</v>
      </c>
      <c r="P14433" s="744" t="s">
        <v>3575</v>
      </c>
      <c r="S14433" s="744"/>
      <c r="T14433" s="744"/>
      <c r="V14433" s="744">
        <v>24</v>
      </c>
    </row>
    <row r="14434" spans="1:22" ht="15" x14ac:dyDescent="0.2">
      <c r="A14434" s="744" t="s">
        <v>200</v>
      </c>
      <c r="E14434" s="2190" t="s">
        <v>221</v>
      </c>
      <c r="F14434" s="2190"/>
      <c r="G14434" s="433" t="s">
        <v>33</v>
      </c>
      <c r="H14434" s="1430">
        <v>1.8998013623809649</v>
      </c>
      <c r="K14434" s="744" t="s">
        <v>3571</v>
      </c>
      <c r="L14434" s="744" t="s">
        <v>444</v>
      </c>
      <c r="P14434" s="744" t="s">
        <v>3576</v>
      </c>
      <c r="S14434" s="744"/>
      <c r="T14434" s="744"/>
      <c r="V14434" s="744">
        <v>47</v>
      </c>
    </row>
    <row r="14435" spans="1:22" ht="15" x14ac:dyDescent="0.2">
      <c r="A14435" s="744" t="s">
        <v>200</v>
      </c>
      <c r="E14435" s="2190" t="s">
        <v>217</v>
      </c>
      <c r="F14435" s="2190"/>
      <c r="G14435" s="433" t="s">
        <v>33</v>
      </c>
      <c r="H14435" s="1430">
        <v>0.45488468366806911</v>
      </c>
      <c r="K14435" s="744" t="s">
        <v>3571</v>
      </c>
      <c r="L14435" s="744" t="s">
        <v>444</v>
      </c>
      <c r="P14435" s="744" t="s">
        <v>3577</v>
      </c>
      <c r="S14435" s="744"/>
      <c r="T14435" s="744"/>
      <c r="V14435" s="744">
        <v>74</v>
      </c>
    </row>
    <row r="14436" spans="1:22" ht="15" x14ac:dyDescent="0.25">
      <c r="A14436" s="744" t="s">
        <v>200</v>
      </c>
      <c r="E14436" s="919" t="s">
        <v>3079</v>
      </c>
      <c r="F14436" s="841"/>
      <c r="G14436" s="841"/>
      <c r="H14436" s="841"/>
      <c r="K14436" s="744" t="s">
        <v>3111</v>
      </c>
      <c r="S14436" s="744"/>
      <c r="T14436" s="1428"/>
      <c r="V14436" s="744">
        <v>48</v>
      </c>
    </row>
    <row r="14437" spans="1:22" ht="15" x14ac:dyDescent="0.25">
      <c r="A14437" s="744" t="s">
        <v>200</v>
      </c>
      <c r="E14437" s="2190" t="s">
        <v>31</v>
      </c>
      <c r="F14437" s="1852"/>
      <c r="G14437" s="433" t="s">
        <v>24</v>
      </c>
      <c r="H14437" s="1430">
        <v>4.4000000000000003E-3</v>
      </c>
      <c r="K14437" s="744" t="s">
        <v>3571</v>
      </c>
      <c r="L14437" s="744" t="s">
        <v>3046</v>
      </c>
      <c r="P14437" s="744" t="s">
        <v>3578</v>
      </c>
      <c r="S14437" s="1428"/>
      <c r="T14437" s="1428"/>
      <c r="V14437" s="744">
        <v>29</v>
      </c>
    </row>
    <row r="14438" spans="1:22" ht="15" x14ac:dyDescent="0.25">
      <c r="A14438" s="744" t="s">
        <v>200</v>
      </c>
      <c r="E14438" s="2190" t="s">
        <v>439</v>
      </c>
      <c r="F14438" s="1852"/>
      <c r="G14438" s="433" t="s">
        <v>24</v>
      </c>
      <c r="H14438" s="1430">
        <v>1.2999999999999999E-3</v>
      </c>
      <c r="K14438" s="744" t="s">
        <v>3571</v>
      </c>
      <c r="L14438" s="744" t="s">
        <v>3046</v>
      </c>
      <c r="P14438" s="744" t="s">
        <v>3579</v>
      </c>
      <c r="S14438" s="744"/>
      <c r="T14438" s="1428"/>
      <c r="V14438" s="744">
        <v>57</v>
      </c>
    </row>
    <row r="14439" spans="1:22" ht="15" x14ac:dyDescent="0.25">
      <c r="A14439" s="744" t="s">
        <v>200</v>
      </c>
      <c r="E14439" s="2190" t="s">
        <v>32</v>
      </c>
      <c r="F14439" s="1852"/>
      <c r="G14439" s="433" t="s">
        <v>23</v>
      </c>
      <c r="H14439" s="599">
        <v>0.25</v>
      </c>
      <c r="K14439" s="744" t="s">
        <v>3571</v>
      </c>
      <c r="L14439" s="744" t="s">
        <v>3046</v>
      </c>
      <c r="P14439" s="744" t="s">
        <v>3580</v>
      </c>
      <c r="S14439" s="744"/>
      <c r="T14439" s="744"/>
      <c r="V14439" s="744">
        <v>63</v>
      </c>
    </row>
    <row r="14440" spans="1:22" x14ac:dyDescent="0.25">
      <c r="A14440" s="744" t="s">
        <v>200</v>
      </c>
      <c r="E14440" s="1429" t="s">
        <v>615</v>
      </c>
      <c r="F14440" s="841"/>
      <c r="G14440" s="841"/>
      <c r="H14440" s="841"/>
      <c r="K14440" s="744" t="s">
        <v>3112</v>
      </c>
      <c r="S14440" s="744"/>
      <c r="T14440" s="744"/>
      <c r="V14440" s="744">
        <v>38</v>
      </c>
    </row>
    <row r="14441" spans="1:22" ht="15" customHeight="1" x14ac:dyDescent="0.25">
      <c r="A14441" s="744" t="s">
        <v>200</v>
      </c>
      <c r="E14441" s="2073" t="s">
        <v>6697</v>
      </c>
      <c r="F14441" s="1784"/>
      <c r="G14441" s="1784"/>
      <c r="H14441" s="1784"/>
      <c r="K14441" s="744" t="s">
        <v>3112</v>
      </c>
      <c r="S14441" s="744"/>
      <c r="T14441" s="744"/>
      <c r="V14441" s="744">
        <v>469</v>
      </c>
    </row>
    <row r="14442" spans="1:22" ht="15" x14ac:dyDescent="0.25">
      <c r="A14442" s="744" t="s">
        <v>200</v>
      </c>
      <c r="E14442" s="919" t="s">
        <v>3061</v>
      </c>
      <c r="F14442" s="841"/>
      <c r="G14442" s="841"/>
      <c r="H14442" s="841"/>
      <c r="K14442" s="744" t="s">
        <v>3114</v>
      </c>
      <c r="S14442" s="744"/>
      <c r="T14442" s="744"/>
      <c r="V14442" s="744">
        <v>11</v>
      </c>
    </row>
    <row r="14443" spans="1:22" ht="15" customHeight="1" x14ac:dyDescent="0.25">
      <c r="A14443" s="744" t="s">
        <v>200</v>
      </c>
      <c r="E14443" s="2083" t="s">
        <v>6672</v>
      </c>
      <c r="F14443" s="2188"/>
      <c r="G14443" s="2188"/>
      <c r="H14443" s="2188"/>
      <c r="K14443" s="744" t="s">
        <v>3112</v>
      </c>
      <c r="S14443" s="744"/>
      <c r="T14443" s="744"/>
      <c r="V14443" s="744">
        <v>250</v>
      </c>
    </row>
    <row r="14444" spans="1:22" ht="15" customHeight="1" x14ac:dyDescent="0.25">
      <c r="A14444" s="744" t="s">
        <v>200</v>
      </c>
      <c r="E14444" s="2083" t="s">
        <v>4723</v>
      </c>
      <c r="F14444" s="2188"/>
      <c r="G14444" s="2188"/>
      <c r="H14444" s="2188"/>
      <c r="K14444" s="744" t="s">
        <v>3112</v>
      </c>
      <c r="S14444" s="744"/>
      <c r="T14444" s="1428"/>
      <c r="V14444" s="744">
        <v>381</v>
      </c>
    </row>
    <row r="14445" spans="1:22" ht="15" customHeight="1" x14ac:dyDescent="0.25">
      <c r="A14445" s="744" t="s">
        <v>200</v>
      </c>
      <c r="E14445" s="2083" t="s">
        <v>6673</v>
      </c>
      <c r="F14445" s="2188"/>
      <c r="G14445" s="2188"/>
      <c r="H14445" s="2188"/>
      <c r="K14445" s="744" t="s">
        <v>3112</v>
      </c>
      <c r="S14445" s="744"/>
      <c r="T14445" s="1428"/>
      <c r="V14445" s="744">
        <v>387</v>
      </c>
    </row>
    <row r="14446" spans="1:22" ht="15" customHeight="1" x14ac:dyDescent="0.25">
      <c r="A14446" s="744" t="s">
        <v>200</v>
      </c>
      <c r="E14446" s="2083" t="s">
        <v>6674</v>
      </c>
      <c r="F14446" s="2188"/>
      <c r="G14446" s="2188"/>
      <c r="H14446" s="2188"/>
      <c r="K14446" s="744" t="s">
        <v>3112</v>
      </c>
      <c r="S14446" s="744"/>
      <c r="T14446" s="1428"/>
      <c r="V14446" s="744">
        <v>293</v>
      </c>
    </row>
    <row r="14447" spans="1:22" ht="15" x14ac:dyDescent="0.25">
      <c r="A14447" s="744" t="s">
        <v>200</v>
      </c>
      <c r="E14447" s="919" t="s">
        <v>3067</v>
      </c>
      <c r="F14447" s="841"/>
      <c r="G14447" s="841"/>
      <c r="H14447" s="841"/>
      <c r="K14447" s="744" t="s">
        <v>3115</v>
      </c>
      <c r="S14447" s="744"/>
      <c r="T14447" s="744"/>
      <c r="V14447" s="744">
        <v>46</v>
      </c>
    </row>
    <row r="14448" spans="1:22" ht="15" x14ac:dyDescent="0.2">
      <c r="A14448" s="744" t="s">
        <v>200</v>
      </c>
      <c r="E14448" s="2189" t="s">
        <v>11</v>
      </c>
      <c r="F14448" s="2189"/>
      <c r="G14448" s="433" t="s">
        <v>23</v>
      </c>
      <c r="H14448" s="599">
        <v>4.43</v>
      </c>
      <c r="K14448" s="744" t="s">
        <v>3112</v>
      </c>
      <c r="L14448" s="744" t="s">
        <v>442</v>
      </c>
      <c r="P14448" s="744" t="s">
        <v>3116</v>
      </c>
      <c r="S14448" s="744"/>
      <c r="T14448" s="1428"/>
      <c r="V14448" s="744">
        <v>14</v>
      </c>
    </row>
    <row r="14449" spans="1:22" ht="15" x14ac:dyDescent="0.2">
      <c r="A14449" s="744" t="s">
        <v>200</v>
      </c>
      <c r="E14449" s="2190" t="s">
        <v>84</v>
      </c>
      <c r="F14449" s="2190"/>
      <c r="G14449" s="433" t="s">
        <v>33</v>
      </c>
      <c r="H14449" s="1430">
        <v>20.6218</v>
      </c>
      <c r="K14449" s="744" t="s">
        <v>3112</v>
      </c>
      <c r="L14449" s="744" t="s">
        <v>442</v>
      </c>
      <c r="P14449" s="744" t="s">
        <v>3117</v>
      </c>
      <c r="S14449" s="744"/>
      <c r="T14449" s="744"/>
      <c r="V14449" s="744">
        <v>28</v>
      </c>
    </row>
    <row r="14450" spans="1:22" ht="15" x14ac:dyDescent="0.2">
      <c r="A14450" s="744" t="s">
        <v>200</v>
      </c>
      <c r="E14450" s="2190" t="s">
        <v>18</v>
      </c>
      <c r="F14450" s="2190"/>
      <c r="G14450" s="433" t="s">
        <v>33</v>
      </c>
      <c r="H14450" s="1430">
        <v>0.21729999999999999</v>
      </c>
      <c r="I14450" s="744" t="str">
        <f>IF(LEN(H14450)&gt;6, "fix", "")</f>
        <v/>
      </c>
      <c r="K14450" s="744" t="s">
        <v>3112</v>
      </c>
      <c r="L14450" s="744" t="s">
        <v>443</v>
      </c>
      <c r="P14450" s="744" t="s">
        <v>3497</v>
      </c>
      <c r="S14450" s="744"/>
      <c r="T14450" s="744"/>
      <c r="V14450" s="744">
        <v>24</v>
      </c>
    </row>
    <row r="14451" spans="1:22" ht="15" x14ac:dyDescent="0.2">
      <c r="A14451" s="744" t="s">
        <v>200</v>
      </c>
      <c r="E14451" s="2190" t="s">
        <v>221</v>
      </c>
      <c r="F14451" s="2190"/>
      <c r="G14451" s="433" t="s">
        <v>33</v>
      </c>
      <c r="H14451" s="1430">
        <v>1.8902074050636513</v>
      </c>
      <c r="K14451" s="744" t="s">
        <v>3112</v>
      </c>
      <c r="L14451" s="744" t="s">
        <v>444</v>
      </c>
      <c r="P14451" s="744" t="s">
        <v>3120</v>
      </c>
      <c r="S14451" s="744"/>
      <c r="T14451" s="744"/>
      <c r="V14451" s="744">
        <v>47</v>
      </c>
    </row>
    <row r="14452" spans="1:22" ht="15" x14ac:dyDescent="0.2">
      <c r="A14452" s="744" t="s">
        <v>200</v>
      </c>
      <c r="E14452" s="2190" t="s">
        <v>217</v>
      </c>
      <c r="F14452" s="2190"/>
      <c r="G14452" s="433" t="s">
        <v>33</v>
      </c>
      <c r="H14452" s="1430">
        <v>0.4455628697886711</v>
      </c>
      <c r="I14452" s="1431"/>
      <c r="J14452" s="1431"/>
      <c r="K14452" s="1431" t="s">
        <v>3112</v>
      </c>
      <c r="L14452" s="744" t="s">
        <v>444</v>
      </c>
      <c r="N14452" s="1431"/>
      <c r="O14452" s="1431"/>
      <c r="P14452" s="1431" t="s">
        <v>3121</v>
      </c>
      <c r="Q14452" s="1431"/>
      <c r="R14452" s="1431"/>
      <c r="S14452" s="1431"/>
      <c r="T14452" s="1431"/>
      <c r="U14452" s="1431"/>
      <c r="V14452" s="1431">
        <v>74</v>
      </c>
    </row>
    <row r="14453" spans="1:22" ht="15" x14ac:dyDescent="0.25">
      <c r="A14453" s="744" t="s">
        <v>200</v>
      </c>
      <c r="E14453" s="919" t="s">
        <v>3079</v>
      </c>
      <c r="F14453" s="841"/>
      <c r="G14453" s="841"/>
      <c r="H14453" s="841"/>
      <c r="I14453" s="1431"/>
      <c r="J14453" s="1431"/>
      <c r="K14453" s="1431" t="s">
        <v>3122</v>
      </c>
      <c r="L14453" s="1431"/>
      <c r="M14453" s="1431"/>
      <c r="N14453" s="1431"/>
      <c r="O14453" s="1431"/>
      <c r="P14453" s="1431"/>
      <c r="Q14453" s="1431"/>
      <c r="R14453" s="1431"/>
      <c r="S14453" s="1431"/>
      <c r="T14453" s="1432"/>
      <c r="U14453" s="1431"/>
      <c r="V14453" s="1431">
        <v>48</v>
      </c>
    </row>
    <row r="14454" spans="1:22" ht="15" x14ac:dyDescent="0.25">
      <c r="A14454" s="744" t="s">
        <v>200</v>
      </c>
      <c r="E14454" s="2190" t="s">
        <v>31</v>
      </c>
      <c r="F14454" s="1852"/>
      <c r="G14454" s="433" t="s">
        <v>24</v>
      </c>
      <c r="H14454" s="1430">
        <v>4.4000000000000003E-3</v>
      </c>
      <c r="I14454" s="1431"/>
      <c r="J14454" s="1431"/>
      <c r="K14454" s="1431" t="s">
        <v>3112</v>
      </c>
      <c r="L14454" s="1431" t="s">
        <v>3046</v>
      </c>
      <c r="M14454" s="1431"/>
      <c r="N14454" s="1431"/>
      <c r="O14454" s="1431"/>
      <c r="P14454" s="1431" t="s">
        <v>3123</v>
      </c>
      <c r="Q14454" s="1431"/>
      <c r="R14454" s="1431"/>
      <c r="S14454" s="1431"/>
      <c r="T14454" s="1431"/>
      <c r="U14454" s="1431"/>
      <c r="V14454" s="1431">
        <v>29</v>
      </c>
    </row>
    <row r="14455" spans="1:22" ht="15" x14ac:dyDescent="0.25">
      <c r="A14455" s="744" t="s">
        <v>200</v>
      </c>
      <c r="E14455" s="2190" t="s">
        <v>439</v>
      </c>
      <c r="F14455" s="1852"/>
      <c r="G14455" s="433" t="s">
        <v>24</v>
      </c>
      <c r="H14455" s="1430">
        <v>1.2999999999999999E-3</v>
      </c>
      <c r="I14455" s="1431"/>
      <c r="J14455" s="1431"/>
      <c r="K14455" s="1431" t="s">
        <v>3112</v>
      </c>
      <c r="L14455" s="744" t="s">
        <v>3046</v>
      </c>
      <c r="M14455" s="1431"/>
      <c r="N14455" s="1431"/>
      <c r="O14455" s="1431"/>
      <c r="P14455" s="1431" t="s">
        <v>3124</v>
      </c>
      <c r="Q14455" s="1431"/>
      <c r="R14455" s="1431"/>
      <c r="S14455" s="1431"/>
      <c r="T14455" s="1432"/>
      <c r="U14455" s="1431"/>
      <c r="V14455" s="1431">
        <v>57</v>
      </c>
    </row>
    <row r="14456" spans="1:22" ht="15" x14ac:dyDescent="0.25">
      <c r="A14456" s="744" t="s">
        <v>200</v>
      </c>
      <c r="E14456" s="2190" t="s">
        <v>32</v>
      </c>
      <c r="F14456" s="1852"/>
      <c r="G14456" s="433" t="s">
        <v>23</v>
      </c>
      <c r="H14456" s="599">
        <v>0.25</v>
      </c>
      <c r="I14456" s="1431"/>
      <c r="J14456" s="1431"/>
      <c r="K14456" s="1431" t="s">
        <v>3112</v>
      </c>
      <c r="L14456" s="744" t="s">
        <v>3046</v>
      </c>
      <c r="M14456" s="1431"/>
      <c r="N14456" s="1431"/>
      <c r="O14456" s="1431"/>
      <c r="P14456" s="1431" t="s">
        <v>3125</v>
      </c>
      <c r="Q14456" s="1431"/>
      <c r="R14456" s="1431"/>
      <c r="S14456" s="1431"/>
      <c r="T14456" s="1432"/>
      <c r="U14456" s="1431"/>
      <c r="V14456" s="1431">
        <v>63</v>
      </c>
    </row>
    <row r="14457" spans="1:22" x14ac:dyDescent="0.25">
      <c r="A14457" s="744" t="s">
        <v>200</v>
      </c>
      <c r="E14457" s="1429" t="s">
        <v>618</v>
      </c>
      <c r="F14457" s="841"/>
      <c r="G14457" s="841"/>
      <c r="H14457" s="841"/>
      <c r="I14457" s="1431"/>
      <c r="J14457" s="1431"/>
      <c r="K14457" s="1431" t="s">
        <v>3126</v>
      </c>
      <c r="L14457" s="1431"/>
      <c r="M14457" s="1431"/>
      <c r="N14457" s="1431"/>
      <c r="O14457" s="1431"/>
      <c r="P14457" s="1431"/>
      <c r="Q14457" s="1431"/>
      <c r="R14457" s="1431"/>
      <c r="S14457" s="1431"/>
      <c r="T14457" s="1431"/>
      <c r="U14457" s="1431"/>
      <c r="V14457" s="1431">
        <v>31</v>
      </c>
    </row>
    <row r="14458" spans="1:22" ht="15" customHeight="1" x14ac:dyDescent="0.25">
      <c r="A14458" s="744" t="s">
        <v>200</v>
      </c>
      <c r="E14458" s="2073" t="s">
        <v>6698</v>
      </c>
      <c r="F14458" s="1784"/>
      <c r="G14458" s="1784"/>
      <c r="H14458" s="1784"/>
      <c r="I14458" s="1431"/>
      <c r="J14458" s="1431"/>
      <c r="K14458" s="1431" t="s">
        <v>3126</v>
      </c>
      <c r="L14458" s="1431"/>
      <c r="M14458" s="1431"/>
      <c r="N14458" s="1431"/>
      <c r="O14458" s="1431"/>
      <c r="P14458" s="1431"/>
      <c r="Q14458" s="1431"/>
      <c r="R14458" s="1431"/>
      <c r="S14458" s="1431"/>
      <c r="T14458" s="1431"/>
      <c r="U14458" s="1431"/>
      <c r="V14458" s="1431">
        <v>270</v>
      </c>
    </row>
    <row r="14459" spans="1:22" ht="15" x14ac:dyDescent="0.25">
      <c r="A14459" s="744" t="s">
        <v>200</v>
      </c>
      <c r="E14459" s="919" t="s">
        <v>3061</v>
      </c>
      <c r="F14459" s="841"/>
      <c r="G14459" s="841"/>
      <c r="H14459" s="841"/>
      <c r="I14459" s="1431"/>
      <c r="J14459" s="1431"/>
      <c r="K14459" s="1431" t="s">
        <v>3128</v>
      </c>
      <c r="L14459" s="1431"/>
      <c r="M14459" s="1431"/>
      <c r="N14459" s="1431"/>
      <c r="O14459" s="1431"/>
      <c r="P14459" s="1431"/>
      <c r="Q14459" s="1431"/>
      <c r="R14459" s="1431"/>
      <c r="S14459" s="1431"/>
      <c r="T14459" s="1431"/>
      <c r="U14459" s="1431"/>
      <c r="V14459" s="1431">
        <v>11</v>
      </c>
    </row>
    <row r="14460" spans="1:22" ht="15" customHeight="1" x14ac:dyDescent="0.25">
      <c r="A14460" s="744" t="s">
        <v>200</v>
      </c>
      <c r="E14460" s="2083" t="s">
        <v>6672</v>
      </c>
      <c r="F14460" s="2188"/>
      <c r="G14460" s="2188"/>
      <c r="H14460" s="2188"/>
      <c r="K14460" s="744" t="s">
        <v>3126</v>
      </c>
      <c r="S14460" s="744"/>
      <c r="T14460" s="744"/>
      <c r="V14460" s="744">
        <v>250</v>
      </c>
    </row>
    <row r="14461" spans="1:22" ht="15" customHeight="1" x14ac:dyDescent="0.25">
      <c r="A14461" s="744" t="s">
        <v>200</v>
      </c>
      <c r="E14461" s="2083" t="s">
        <v>6699</v>
      </c>
      <c r="F14461" s="2188"/>
      <c r="G14461" s="2188"/>
      <c r="H14461" s="2188"/>
      <c r="K14461" s="744" t="s">
        <v>3126</v>
      </c>
      <c r="S14461" s="744"/>
      <c r="T14461" s="744"/>
      <c r="V14461" s="744">
        <v>381</v>
      </c>
    </row>
    <row r="14462" spans="1:22" ht="15" customHeight="1" x14ac:dyDescent="0.25">
      <c r="A14462" s="744" t="s">
        <v>200</v>
      </c>
      <c r="E14462" s="2083" t="s">
        <v>3129</v>
      </c>
      <c r="F14462" s="2188"/>
      <c r="G14462" s="2188"/>
      <c r="H14462" s="2188"/>
      <c r="K14462" s="744" t="s">
        <v>3126</v>
      </c>
      <c r="S14462" s="744"/>
      <c r="T14462" s="744"/>
      <c r="V14462" s="744">
        <v>211</v>
      </c>
    </row>
    <row r="14463" spans="1:22" ht="15" customHeight="1" x14ac:dyDescent="0.25">
      <c r="A14463" s="744" t="s">
        <v>200</v>
      </c>
      <c r="E14463" s="2083" t="s">
        <v>6674</v>
      </c>
      <c r="F14463" s="2188"/>
      <c r="G14463" s="2188"/>
      <c r="H14463" s="2188"/>
      <c r="K14463" s="744" t="s">
        <v>3126</v>
      </c>
      <c r="S14463" s="744"/>
      <c r="T14463" s="744"/>
      <c r="V14463" s="744">
        <v>293</v>
      </c>
    </row>
    <row r="14464" spans="1:22" ht="15" x14ac:dyDescent="0.25">
      <c r="A14464" s="744" t="s">
        <v>200</v>
      </c>
      <c r="E14464" s="919" t="s">
        <v>3067</v>
      </c>
      <c r="F14464" s="841"/>
      <c r="G14464" s="841"/>
      <c r="H14464" s="841"/>
      <c r="K14464" s="744" t="s">
        <v>3130</v>
      </c>
      <c r="S14464" s="744"/>
      <c r="T14464" s="744"/>
      <c r="V14464" s="744">
        <v>46</v>
      </c>
    </row>
    <row r="14465" spans="1:22" ht="15" x14ac:dyDescent="0.2">
      <c r="A14465" s="744" t="s">
        <v>200</v>
      </c>
      <c r="E14465" s="2189" t="s">
        <v>11</v>
      </c>
      <c r="F14465" s="2189"/>
      <c r="G14465" s="433" t="s">
        <v>23</v>
      </c>
      <c r="H14465" s="599">
        <v>5.4</v>
      </c>
      <c r="K14465" s="744" t="s">
        <v>3126</v>
      </c>
      <c r="L14465" s="744" t="s">
        <v>442</v>
      </c>
      <c r="P14465" s="744" t="s">
        <v>3131</v>
      </c>
      <c r="S14465" s="744"/>
      <c r="T14465" s="744"/>
      <c r="V14465" s="744">
        <v>14</v>
      </c>
    </row>
    <row r="14466" spans="1:22" x14ac:dyDescent="0.25">
      <c r="A14466" s="744" t="s">
        <v>200</v>
      </c>
      <c r="E14466" s="1429" t="s">
        <v>85</v>
      </c>
      <c r="F14466" s="841"/>
      <c r="G14466" s="841"/>
      <c r="H14466" s="841"/>
      <c r="K14466" s="744" t="s">
        <v>6700</v>
      </c>
      <c r="S14466" s="744"/>
      <c r="T14466" s="744"/>
      <c r="V14466" s="744">
        <v>10</v>
      </c>
    </row>
    <row r="14467" spans="1:22" ht="15" x14ac:dyDescent="0.2">
      <c r="A14467" s="744" t="s">
        <v>200</v>
      </c>
      <c r="E14467" s="433" t="s">
        <v>3133</v>
      </c>
      <c r="F14467" s="433"/>
      <c r="G14467" s="433" t="s">
        <v>33</v>
      </c>
      <c r="H14467" s="599">
        <v>-0.6</v>
      </c>
      <c r="I14467" s="1431" t="str">
        <f>IF(LEN(H14467)&gt;4, "fix", "")</f>
        <v/>
      </c>
      <c r="S14467" s="744"/>
      <c r="T14467" s="744"/>
      <c r="V14467" s="744">
        <v>68</v>
      </c>
    </row>
    <row r="14468" spans="1:22" ht="15" x14ac:dyDescent="0.2">
      <c r="A14468" s="744" t="s">
        <v>200</v>
      </c>
      <c r="E14468" s="433" t="s">
        <v>3134</v>
      </c>
      <c r="F14468" s="433"/>
      <c r="G14468" s="433" t="s">
        <v>86</v>
      </c>
      <c r="H14468" s="599">
        <v>-1</v>
      </c>
      <c r="S14468" s="744"/>
      <c r="T14468" s="744"/>
      <c r="V14468" s="744">
        <v>89</v>
      </c>
    </row>
    <row r="14469" spans="1:22" x14ac:dyDescent="0.25">
      <c r="A14469" s="744" t="s">
        <v>200</v>
      </c>
      <c r="E14469" s="1429" t="s">
        <v>87</v>
      </c>
      <c r="F14469" s="841"/>
      <c r="G14469" s="841"/>
      <c r="H14469" s="841"/>
      <c r="K14469" s="744" t="s">
        <v>6701</v>
      </c>
      <c r="S14469" s="744"/>
      <c r="T14469" s="744"/>
      <c r="V14469" s="744">
        <v>24</v>
      </c>
    </row>
    <row r="14470" spans="1:22" ht="15" customHeight="1" x14ac:dyDescent="0.25">
      <c r="A14470" s="744" t="s">
        <v>200</v>
      </c>
      <c r="E14470" s="2083" t="s">
        <v>6672</v>
      </c>
      <c r="F14470" s="2188"/>
      <c r="G14470" s="2188"/>
      <c r="H14470" s="2188"/>
      <c r="S14470" s="744"/>
      <c r="T14470" s="744"/>
      <c r="V14470" s="744">
        <v>250</v>
      </c>
    </row>
    <row r="14471" spans="1:22" ht="15" customHeight="1" x14ac:dyDescent="0.25">
      <c r="A14471" s="744" t="s">
        <v>200</v>
      </c>
      <c r="E14471" s="2083" t="s">
        <v>6702</v>
      </c>
      <c r="F14471" s="2188"/>
      <c r="G14471" s="2188"/>
      <c r="H14471" s="2188"/>
      <c r="S14471" s="744"/>
      <c r="T14471" s="744"/>
      <c r="V14471" s="744">
        <v>325</v>
      </c>
    </row>
    <row r="14472" spans="1:22" ht="15" customHeight="1" x14ac:dyDescent="0.25">
      <c r="A14472" s="744" t="s">
        <v>200</v>
      </c>
      <c r="E14472" s="2083" t="s">
        <v>6703</v>
      </c>
      <c r="F14472" s="2188"/>
      <c r="G14472" s="2188"/>
      <c r="H14472" s="2188"/>
      <c r="S14472" s="744"/>
      <c r="T14472" s="744"/>
      <c r="V14472" s="744">
        <v>294</v>
      </c>
    </row>
    <row r="14473" spans="1:22" ht="15" x14ac:dyDescent="0.25">
      <c r="A14473" s="744" t="s">
        <v>200</v>
      </c>
      <c r="E14473" s="919" t="s">
        <v>3137</v>
      </c>
      <c r="F14473" s="841"/>
      <c r="G14473" s="841"/>
      <c r="H14473" s="841"/>
      <c r="K14473" s="744" t="s">
        <v>6704</v>
      </c>
      <c r="S14473" s="744"/>
      <c r="T14473" s="744"/>
      <c r="V14473" s="744">
        <v>23</v>
      </c>
    </row>
    <row r="14474" spans="1:22" ht="15" x14ac:dyDescent="0.2">
      <c r="A14474" s="744" t="s">
        <v>200</v>
      </c>
      <c r="E14474" s="2191" t="s">
        <v>3355</v>
      </c>
      <c r="F14474" s="2191"/>
      <c r="G14474" s="433" t="s">
        <v>23</v>
      </c>
      <c r="H14474" s="599">
        <v>15</v>
      </c>
      <c r="S14474" s="744"/>
      <c r="T14474" s="744"/>
      <c r="V14474" s="744">
        <v>19</v>
      </c>
    </row>
    <row r="14475" spans="1:22" ht="15" x14ac:dyDescent="0.2">
      <c r="A14475" s="744" t="s">
        <v>200</v>
      </c>
      <c r="E14475" s="2191" t="s">
        <v>3148</v>
      </c>
      <c r="F14475" s="2191"/>
      <c r="G14475" s="433" t="s">
        <v>23</v>
      </c>
      <c r="H14475" s="599">
        <v>15</v>
      </c>
      <c r="S14475" s="744"/>
      <c r="T14475" s="744"/>
      <c r="V14475" s="744">
        <v>56</v>
      </c>
    </row>
    <row r="14476" spans="1:22" ht="15" x14ac:dyDescent="0.2">
      <c r="A14476" s="744" t="s">
        <v>200</v>
      </c>
      <c r="E14476" s="2191" t="s">
        <v>3149</v>
      </c>
      <c r="F14476" s="2191"/>
      <c r="G14476" s="433" t="s">
        <v>23</v>
      </c>
      <c r="H14476" s="599">
        <v>15</v>
      </c>
      <c r="S14476" s="744"/>
      <c r="T14476" s="744"/>
      <c r="V14476" s="744">
        <v>42</v>
      </c>
    </row>
    <row r="14477" spans="1:22" ht="15" x14ac:dyDescent="0.2">
      <c r="A14477" s="744" t="s">
        <v>200</v>
      </c>
      <c r="E14477" s="2191" t="s">
        <v>88</v>
      </c>
      <c r="F14477" s="2191"/>
      <c r="G14477" s="433" t="s">
        <v>23</v>
      </c>
      <c r="H14477" s="599">
        <v>30</v>
      </c>
      <c r="S14477" s="744"/>
      <c r="T14477" s="744"/>
      <c r="V14477" s="744">
        <v>89</v>
      </c>
    </row>
    <row r="14478" spans="1:22" ht="15" x14ac:dyDescent="0.2">
      <c r="A14478" s="744" t="s">
        <v>200</v>
      </c>
      <c r="E14478" s="2191" t="s">
        <v>94</v>
      </c>
      <c r="F14478" s="2191"/>
      <c r="G14478" s="433" t="s">
        <v>23</v>
      </c>
      <c r="H14478" s="599">
        <v>30</v>
      </c>
      <c r="S14478" s="744"/>
      <c r="T14478" s="744"/>
      <c r="V14478" s="744">
        <v>19</v>
      </c>
    </row>
    <row r="14479" spans="1:22" ht="15" x14ac:dyDescent="0.2">
      <c r="A14479" s="744" t="s">
        <v>200</v>
      </c>
      <c r="E14479" s="2191" t="s">
        <v>92</v>
      </c>
      <c r="F14479" s="2191"/>
      <c r="G14479" s="433" t="s">
        <v>23</v>
      </c>
      <c r="H14479" s="599">
        <v>30</v>
      </c>
      <c r="S14479" s="744"/>
      <c r="T14479" s="744"/>
      <c r="V14479" s="744">
        <v>74</v>
      </c>
    </row>
    <row r="14480" spans="1:22" ht="15" x14ac:dyDescent="0.25">
      <c r="A14480" s="744" t="s">
        <v>200</v>
      </c>
      <c r="E14480" s="919" t="s">
        <v>3152</v>
      </c>
      <c r="F14480" s="841"/>
      <c r="G14480" s="841"/>
      <c r="H14480" s="841"/>
      <c r="K14480" s="744" t="s">
        <v>6705</v>
      </c>
      <c r="S14480" s="744"/>
      <c r="T14480" s="744"/>
      <c r="V14480" s="744">
        <v>22</v>
      </c>
    </row>
    <row r="14481" spans="1:22" ht="15" x14ac:dyDescent="0.2">
      <c r="A14481" s="744" t="s">
        <v>200</v>
      </c>
      <c r="E14481" s="2191" t="s">
        <v>3154</v>
      </c>
      <c r="F14481" s="2191"/>
      <c r="G14481" s="433" t="s">
        <v>86</v>
      </c>
      <c r="H14481" s="599">
        <v>1.5</v>
      </c>
      <c r="S14481" s="744"/>
      <c r="T14481" s="744"/>
      <c r="V14481" s="744">
        <v>24</v>
      </c>
    </row>
    <row r="14482" spans="1:22" ht="15" x14ac:dyDescent="0.2">
      <c r="A14482" s="744" t="s">
        <v>200</v>
      </c>
      <c r="E14482" s="2191" t="s">
        <v>3155</v>
      </c>
      <c r="F14482" s="2191"/>
      <c r="G14482" s="433" t="s">
        <v>86</v>
      </c>
      <c r="H14482" s="599">
        <v>19.559999999999999</v>
      </c>
      <c r="S14482" s="744"/>
      <c r="T14482" s="744"/>
      <c r="V14482" s="744">
        <v>24</v>
      </c>
    </row>
    <row r="14483" spans="1:22" ht="15" x14ac:dyDescent="0.2">
      <c r="A14483" s="744" t="s">
        <v>200</v>
      </c>
      <c r="E14483" s="2191" t="s">
        <v>3288</v>
      </c>
      <c r="F14483" s="2191"/>
      <c r="G14483" s="433" t="s">
        <v>23</v>
      </c>
      <c r="H14483" s="599">
        <v>30</v>
      </c>
      <c r="S14483" s="744"/>
      <c r="T14483" s="744"/>
      <c r="V14483" s="744">
        <v>47</v>
      </c>
    </row>
    <row r="14484" spans="1:22" ht="15" x14ac:dyDescent="0.2">
      <c r="A14484" s="744" t="s">
        <v>200</v>
      </c>
      <c r="E14484" s="2191" t="s">
        <v>3158</v>
      </c>
      <c r="F14484" s="2191"/>
      <c r="G14484" s="433" t="s">
        <v>23</v>
      </c>
      <c r="H14484" s="599">
        <v>65</v>
      </c>
      <c r="S14484" s="744"/>
      <c r="T14484" s="744"/>
      <c r="V14484" s="744">
        <v>52</v>
      </c>
    </row>
    <row r="14485" spans="1:22" ht="15" x14ac:dyDescent="0.2">
      <c r="A14485" s="744" t="s">
        <v>200</v>
      </c>
      <c r="E14485" s="2191" t="s">
        <v>3162</v>
      </c>
      <c r="F14485" s="2191"/>
      <c r="G14485" s="433" t="s">
        <v>23</v>
      </c>
      <c r="H14485" s="599">
        <v>65</v>
      </c>
      <c r="S14485" s="744"/>
      <c r="T14485" s="744"/>
      <c r="V14485" s="744">
        <v>57</v>
      </c>
    </row>
    <row r="14486" spans="1:22" ht="15" x14ac:dyDescent="0.2">
      <c r="A14486" s="744" t="s">
        <v>200</v>
      </c>
      <c r="E14486" s="919" t="s">
        <v>3164</v>
      </c>
      <c r="F14486" s="1433"/>
      <c r="G14486" s="433"/>
      <c r="H14486" s="599"/>
      <c r="S14486" s="744"/>
      <c r="T14486" s="744"/>
      <c r="V14486" s="744">
        <v>5</v>
      </c>
    </row>
    <row r="14487" spans="1:22" ht="15" x14ac:dyDescent="0.2">
      <c r="A14487" s="744" t="s">
        <v>200</v>
      </c>
      <c r="E14487" s="2191" t="s">
        <v>3491</v>
      </c>
      <c r="F14487" s="2191"/>
      <c r="G14487" s="433" t="s">
        <v>23</v>
      </c>
      <c r="H14487" s="599">
        <v>22.35</v>
      </c>
      <c r="S14487" s="744"/>
      <c r="T14487" s="744"/>
      <c r="V14487" s="744">
        <v>59</v>
      </c>
    </row>
    <row r="14488" spans="1:22" x14ac:dyDescent="0.25">
      <c r="A14488" s="744" t="s">
        <v>200</v>
      </c>
      <c r="E14488" s="1429" t="s">
        <v>77</v>
      </c>
      <c r="F14488" s="841"/>
      <c r="G14488" s="841"/>
      <c r="H14488" s="841"/>
      <c r="K14488" s="744" t="s">
        <v>6706</v>
      </c>
      <c r="S14488" s="744"/>
      <c r="T14488" s="744"/>
      <c r="V14488" s="744">
        <v>38</v>
      </c>
    </row>
    <row r="14489" spans="1:22" ht="15.75" customHeight="1" x14ac:dyDescent="0.25">
      <c r="A14489" s="744" t="s">
        <v>200</v>
      </c>
      <c r="E14489" s="2192" t="s">
        <v>6707</v>
      </c>
      <c r="F14489" s="1852"/>
      <c r="G14489" s="1852"/>
      <c r="H14489" s="1852"/>
      <c r="S14489" s="744"/>
      <c r="T14489" s="744"/>
      <c r="V14489" s="744">
        <v>251</v>
      </c>
    </row>
    <row r="14490" spans="1:22" ht="15.75" customHeight="1" x14ac:dyDescent="0.25">
      <c r="A14490" s="744" t="s">
        <v>200</v>
      </c>
      <c r="E14490" s="2192" t="s">
        <v>6708</v>
      </c>
      <c r="F14490" s="1852"/>
      <c r="G14490" s="1852"/>
      <c r="H14490" s="1852"/>
      <c r="S14490" s="744"/>
      <c r="T14490" s="744"/>
      <c r="V14490" s="744">
        <v>384</v>
      </c>
    </row>
    <row r="14491" spans="1:22" ht="15.75" customHeight="1" x14ac:dyDescent="0.25">
      <c r="A14491" s="744" t="s">
        <v>200</v>
      </c>
      <c r="E14491" s="2192" t="s">
        <v>3129</v>
      </c>
      <c r="F14491" s="1852"/>
      <c r="G14491" s="1852"/>
      <c r="H14491" s="1852"/>
      <c r="S14491" s="744"/>
      <c r="T14491" s="744"/>
      <c r="V14491" s="744">
        <v>211</v>
      </c>
    </row>
    <row r="14492" spans="1:22" ht="15.75" customHeight="1" x14ac:dyDescent="0.25">
      <c r="A14492" s="744" t="s">
        <v>200</v>
      </c>
      <c r="E14492" s="2192" t="s">
        <v>6709</v>
      </c>
      <c r="F14492" s="1852"/>
      <c r="G14492" s="1852"/>
      <c r="H14492" s="1852"/>
      <c r="S14492" s="744"/>
      <c r="T14492" s="744"/>
      <c r="V14492" s="744">
        <v>296</v>
      </c>
    </row>
    <row r="14493" spans="1:22" ht="15.75" customHeight="1" x14ac:dyDescent="0.25">
      <c r="A14493" s="744" t="s">
        <v>200</v>
      </c>
      <c r="E14493" s="2192" t="s">
        <v>3291</v>
      </c>
      <c r="F14493" s="1852"/>
      <c r="G14493" s="1852"/>
      <c r="H14493" s="1852"/>
      <c r="S14493" s="744"/>
      <c r="T14493" s="744"/>
      <c r="V14493" s="744">
        <v>142</v>
      </c>
    </row>
    <row r="14494" spans="1:22" ht="15" x14ac:dyDescent="0.2">
      <c r="A14494" s="744" t="s">
        <v>200</v>
      </c>
      <c r="E14494" s="433" t="s">
        <v>3176</v>
      </c>
      <c r="F14494" s="433"/>
      <c r="G14494" s="433" t="s">
        <v>23</v>
      </c>
      <c r="H14494" s="916">
        <v>100</v>
      </c>
      <c r="S14494" s="744"/>
      <c r="T14494" s="744"/>
      <c r="V14494" s="744">
        <v>106</v>
      </c>
    </row>
    <row r="14495" spans="1:22" ht="15" x14ac:dyDescent="0.2">
      <c r="A14495" s="744" t="s">
        <v>200</v>
      </c>
      <c r="E14495" s="433" t="s">
        <v>3177</v>
      </c>
      <c r="F14495" s="433"/>
      <c r="G14495" s="433" t="s">
        <v>23</v>
      </c>
      <c r="H14495" s="916">
        <v>20</v>
      </c>
      <c r="S14495" s="744"/>
      <c r="T14495" s="744"/>
      <c r="V14495" s="744">
        <v>34</v>
      </c>
    </row>
    <row r="14496" spans="1:22" ht="15" x14ac:dyDescent="0.2">
      <c r="A14496" s="744" t="s">
        <v>200</v>
      </c>
      <c r="E14496" s="2190" t="s">
        <v>3178</v>
      </c>
      <c r="F14496" s="2190"/>
      <c r="G14496" s="433" t="s">
        <v>3179</v>
      </c>
      <c r="H14496" s="916">
        <v>0.5</v>
      </c>
      <c r="S14496" s="744"/>
      <c r="T14496" s="744"/>
      <c r="V14496" s="744">
        <v>51</v>
      </c>
    </row>
    <row r="14497" spans="1:22" ht="15" x14ac:dyDescent="0.2">
      <c r="A14497" s="744" t="s">
        <v>200</v>
      </c>
      <c r="E14497" s="2190" t="s">
        <v>3180</v>
      </c>
      <c r="F14497" s="2190"/>
      <c r="G14497" s="433" t="s">
        <v>3179</v>
      </c>
      <c r="H14497" s="916">
        <v>0.3</v>
      </c>
      <c r="S14497" s="744"/>
      <c r="T14497" s="744"/>
      <c r="V14497" s="744">
        <v>75</v>
      </c>
    </row>
    <row r="14498" spans="1:22" ht="15" x14ac:dyDescent="0.2">
      <c r="A14498" s="744" t="s">
        <v>200</v>
      </c>
      <c r="E14498" s="2190" t="s">
        <v>3181</v>
      </c>
      <c r="F14498" s="2190"/>
      <c r="G14498" s="433" t="s">
        <v>3179</v>
      </c>
      <c r="H14498" s="916">
        <v>-0.3</v>
      </c>
      <c r="S14498" s="744"/>
      <c r="T14498" s="744"/>
      <c r="V14498" s="744">
        <v>72</v>
      </c>
    </row>
    <row r="14499" spans="1:22" ht="15" x14ac:dyDescent="0.2">
      <c r="A14499" s="744" t="s">
        <v>200</v>
      </c>
      <c r="E14499" s="2190" t="s">
        <v>3182</v>
      </c>
      <c r="F14499" s="2190"/>
      <c r="G14499" s="433"/>
      <c r="H14499" s="1434"/>
      <c r="S14499" s="744"/>
      <c r="T14499" s="744"/>
      <c r="V14499" s="744">
        <v>35</v>
      </c>
    </row>
    <row r="14500" spans="1:22" ht="15" x14ac:dyDescent="0.2">
      <c r="A14500" s="744" t="s">
        <v>200</v>
      </c>
      <c r="E14500" s="2193" t="s">
        <v>3183</v>
      </c>
      <c r="F14500" s="2190"/>
      <c r="G14500" s="433" t="s">
        <v>23</v>
      </c>
      <c r="H14500" s="916">
        <v>0.25</v>
      </c>
      <c r="S14500" s="744"/>
      <c r="T14500" s="744"/>
      <c r="V14500" s="744">
        <v>57</v>
      </c>
    </row>
    <row r="14501" spans="1:22" ht="15" x14ac:dyDescent="0.2">
      <c r="A14501" s="744" t="s">
        <v>200</v>
      </c>
      <c r="E14501" s="2193" t="s">
        <v>3184</v>
      </c>
      <c r="F14501" s="2190"/>
      <c r="G14501" s="433" t="s">
        <v>23</v>
      </c>
      <c r="H14501" s="916">
        <v>0.5</v>
      </c>
      <c r="S14501" s="744"/>
      <c r="T14501" s="744"/>
      <c r="V14501" s="744">
        <v>60</v>
      </c>
    </row>
    <row r="14502" spans="1:22" ht="15" x14ac:dyDescent="0.2">
      <c r="A14502" s="744" t="s">
        <v>200</v>
      </c>
      <c r="E14502" s="2190" t="s">
        <v>3185</v>
      </c>
      <c r="F14502" s="2190"/>
      <c r="G14502" s="433"/>
      <c r="H14502" s="1434"/>
      <c r="S14502" s="744"/>
      <c r="T14502" s="744"/>
      <c r="V14502" s="744">
        <v>91</v>
      </c>
    </row>
    <row r="14503" spans="1:22" ht="15" x14ac:dyDescent="0.2">
      <c r="A14503" s="744" t="s">
        <v>200</v>
      </c>
      <c r="E14503" s="2190" t="s">
        <v>3186</v>
      </c>
      <c r="F14503" s="2190"/>
      <c r="G14503" s="433"/>
      <c r="H14503" s="1434"/>
      <c r="S14503" s="744"/>
      <c r="T14503" s="744"/>
      <c r="V14503" s="744">
        <v>96</v>
      </c>
    </row>
    <row r="14504" spans="1:22" ht="15" x14ac:dyDescent="0.2">
      <c r="A14504" s="744" t="s">
        <v>200</v>
      </c>
      <c r="E14504" s="2190" t="s">
        <v>3187</v>
      </c>
      <c r="F14504" s="2190"/>
      <c r="G14504" s="433"/>
      <c r="H14504" s="1434"/>
      <c r="S14504" s="744"/>
      <c r="T14504" s="744"/>
      <c r="V14504" s="744">
        <v>78</v>
      </c>
    </row>
    <row r="14505" spans="1:22" ht="15" x14ac:dyDescent="0.2">
      <c r="A14505" s="744" t="s">
        <v>200</v>
      </c>
      <c r="E14505" s="2193" t="s">
        <v>3188</v>
      </c>
      <c r="F14505" s="2190"/>
      <c r="G14505" s="433" t="s">
        <v>23</v>
      </c>
      <c r="H14505" s="1434" t="s">
        <v>3189</v>
      </c>
      <c r="S14505" s="744"/>
      <c r="T14505" s="744"/>
      <c r="V14505" s="744">
        <v>18</v>
      </c>
    </row>
    <row r="14506" spans="1:22" ht="15" x14ac:dyDescent="0.2">
      <c r="A14506" s="744" t="s">
        <v>200</v>
      </c>
      <c r="E14506" s="2193" t="s">
        <v>3190</v>
      </c>
      <c r="F14506" s="2190"/>
      <c r="G14506" s="433" t="s">
        <v>23</v>
      </c>
      <c r="H14506" s="916">
        <v>2</v>
      </c>
      <c r="S14506" s="744"/>
      <c r="T14506" s="744"/>
      <c r="V14506" s="744">
        <v>69</v>
      </c>
    </row>
    <row r="14507" spans="1:22" x14ac:dyDescent="0.25">
      <c r="A14507" s="744" t="s">
        <v>200</v>
      </c>
      <c r="E14507" s="1429" t="s">
        <v>147</v>
      </c>
      <c r="F14507" s="841"/>
      <c r="G14507" s="841"/>
      <c r="H14507" s="841"/>
      <c r="K14507" s="744" t="s">
        <v>6710</v>
      </c>
      <c r="S14507" s="744"/>
      <c r="T14507" s="744"/>
      <c r="V14507" s="744">
        <v>12</v>
      </c>
    </row>
    <row r="14508" spans="1:22" ht="15" customHeight="1" x14ac:dyDescent="0.25">
      <c r="A14508" s="744" t="s">
        <v>200</v>
      </c>
      <c r="E14508" s="2083" t="s">
        <v>3192</v>
      </c>
      <c r="F14508" s="2188"/>
      <c r="G14508" s="2188"/>
      <c r="H14508" s="2188"/>
      <c r="S14508" s="744"/>
      <c r="T14508" s="744"/>
      <c r="V14508" s="744">
        <v>203</v>
      </c>
    </row>
    <row r="14509" spans="1:22" ht="15" x14ac:dyDescent="0.2">
      <c r="A14509" s="744" t="s">
        <v>200</v>
      </c>
      <c r="E14509" s="2190" t="s">
        <v>3295</v>
      </c>
      <c r="F14509" s="2190"/>
      <c r="G14509" s="433"/>
      <c r="H14509" s="917">
        <v>1.0653999999999999</v>
      </c>
      <c r="S14509" s="744"/>
      <c r="T14509" s="744"/>
      <c r="V14509" s="744">
        <v>57</v>
      </c>
    </row>
    <row r="14510" spans="1:22" ht="15" x14ac:dyDescent="0.2">
      <c r="A14510" s="744" t="s">
        <v>200</v>
      </c>
      <c r="E14510" s="2190" t="s">
        <v>3297</v>
      </c>
      <c r="F14510" s="2190"/>
      <c r="G14510" s="433"/>
      <c r="H14510" s="917">
        <v>1.0506</v>
      </c>
      <c r="J14510" s="744" t="s">
        <v>6711</v>
      </c>
      <c r="S14510" s="744"/>
      <c r="T14510" s="744"/>
      <c r="V14510" s="744">
        <v>55</v>
      </c>
    </row>
    <row r="14511" spans="1:22" ht="23.25" customHeight="1" x14ac:dyDescent="0.25">
      <c r="A14511" s="744" t="s">
        <v>239</v>
      </c>
      <c r="C14511" s="744" t="s">
        <v>3050</v>
      </c>
      <c r="E14511" s="1911" t="s">
        <v>239</v>
      </c>
      <c r="F14511" s="1911"/>
      <c r="G14511" s="1911"/>
      <c r="H14511" s="1911"/>
      <c r="I14511" s="744" t="s">
        <v>628</v>
      </c>
      <c r="J14511" s="744" t="s">
        <v>6712</v>
      </c>
      <c r="K14511" s="744" t="s">
        <v>239</v>
      </c>
      <c r="M14511" s="744">
        <v>10</v>
      </c>
      <c r="S14511" s="744"/>
      <c r="T14511" s="744"/>
      <c r="V14511" s="744">
        <v>34</v>
      </c>
    </row>
    <row r="14512" spans="1:22" ht="18" customHeight="1" x14ac:dyDescent="0.25">
      <c r="A14512" s="744" t="s">
        <v>239</v>
      </c>
      <c r="C14512" s="744" t="s">
        <v>3052</v>
      </c>
      <c r="E14512" s="1912" t="s">
        <v>3053</v>
      </c>
      <c r="F14512" s="1912"/>
      <c r="G14512" s="1912"/>
      <c r="H14512" s="1912"/>
      <c r="S14512" s="744"/>
      <c r="T14512" s="744"/>
      <c r="V14512" s="744">
        <v>27</v>
      </c>
    </row>
    <row r="14513" spans="1:29" ht="15.75" customHeight="1" x14ac:dyDescent="0.25">
      <c r="A14513" s="744" t="s">
        <v>239</v>
      </c>
      <c r="C14513" s="744" t="s">
        <v>3054</v>
      </c>
      <c r="E14513" s="1913" t="s">
        <v>5107</v>
      </c>
      <c r="F14513" s="1913"/>
      <c r="G14513" s="1913"/>
      <c r="H14513" s="1913"/>
      <c r="S14513" s="1428">
        <v>43221</v>
      </c>
      <c r="T14513" s="744"/>
      <c r="V14513" s="744">
        <v>45</v>
      </c>
    </row>
    <row r="14514" spans="1:29" ht="15" customHeight="1" x14ac:dyDescent="0.25">
      <c r="A14514" s="744" t="s">
        <v>239</v>
      </c>
      <c r="C14514" s="744" t="s">
        <v>3055</v>
      </c>
      <c r="E14514" s="1914" t="s">
        <v>3056</v>
      </c>
      <c r="F14514" s="1914"/>
      <c r="G14514" s="1914"/>
      <c r="H14514" s="1914"/>
      <c r="S14514" s="744"/>
      <c r="T14514" s="744"/>
      <c r="V14514" s="744">
        <v>52</v>
      </c>
    </row>
    <row r="14515" spans="1:29" ht="15" customHeight="1" x14ac:dyDescent="0.25">
      <c r="A14515" s="744" t="s">
        <v>239</v>
      </c>
      <c r="E14515" s="1914" t="s">
        <v>3057</v>
      </c>
      <c r="F14515" s="1914"/>
      <c r="G14515" s="1914"/>
      <c r="H14515" s="1914"/>
      <c r="S14515" s="744"/>
      <c r="T14515" s="744"/>
      <c r="V14515" s="744">
        <v>53</v>
      </c>
    </row>
    <row r="14516" spans="1:29" ht="15" x14ac:dyDescent="0.25">
      <c r="A14516" s="744" t="s">
        <v>239</v>
      </c>
      <c r="E14516" s="1925" t="s">
        <v>6713</v>
      </c>
      <c r="F14516" s="1925"/>
      <c r="G14516" s="1925"/>
      <c r="H14516" s="1925"/>
      <c r="K14516" s="744" t="s">
        <v>6713</v>
      </c>
      <c r="S14516" s="744"/>
      <c r="T14516" s="744"/>
      <c r="V14516" s="744">
        <v>12</v>
      </c>
    </row>
    <row r="14517" spans="1:29" ht="15" customHeight="1" x14ac:dyDescent="0.25">
      <c r="A14517" s="744" t="s">
        <v>239</v>
      </c>
      <c r="E14517" s="1909" t="s">
        <v>438</v>
      </c>
      <c r="F14517" s="1697"/>
      <c r="G14517" s="1697"/>
      <c r="H14517" s="1697"/>
      <c r="K14517" s="744" t="s">
        <v>3197</v>
      </c>
      <c r="S14517" s="744"/>
      <c r="T14517" s="744"/>
      <c r="V14517" s="744">
        <v>34</v>
      </c>
      <c r="AC14517" s="744">
        <f>FIND(E14517, K14517)</f>
        <v>3</v>
      </c>
    </row>
    <row r="14518" spans="1:29" ht="15" customHeight="1" x14ac:dyDescent="0.25">
      <c r="A14518" s="744" t="s">
        <v>239</v>
      </c>
      <c r="E14518" s="1689" t="s">
        <v>6714</v>
      </c>
      <c r="F14518" s="1689"/>
      <c r="G14518" s="1689"/>
      <c r="H14518" s="1689"/>
      <c r="K14518" s="744" t="s">
        <v>3197</v>
      </c>
      <c r="S14518" s="744"/>
      <c r="T14518" s="744"/>
      <c r="V14518" s="744">
        <v>267</v>
      </c>
    </row>
    <row r="14519" spans="1:29" ht="15" customHeight="1" x14ac:dyDescent="0.25">
      <c r="A14519" s="744" t="s">
        <v>239</v>
      </c>
      <c r="E14519" s="1916" t="s">
        <v>3061</v>
      </c>
      <c r="F14519" s="1697"/>
      <c r="G14519" s="1697"/>
      <c r="H14519" s="1697"/>
      <c r="K14519" s="744" t="s">
        <v>3062</v>
      </c>
      <c r="S14519" s="744"/>
      <c r="T14519" s="744"/>
      <c r="V14519" s="744">
        <v>11</v>
      </c>
    </row>
    <row r="14520" spans="1:29" ht="15" customHeight="1" x14ac:dyDescent="0.25">
      <c r="A14520" s="744" t="s">
        <v>239</v>
      </c>
      <c r="E14520" s="1689" t="s">
        <v>3063</v>
      </c>
      <c r="F14520" s="1689"/>
      <c r="G14520" s="1689"/>
      <c r="H14520" s="1689"/>
      <c r="K14520" s="744" t="s">
        <v>3197</v>
      </c>
      <c r="S14520" s="744"/>
      <c r="T14520" s="744"/>
      <c r="V14520" s="744">
        <v>280</v>
      </c>
    </row>
    <row r="14521" spans="1:29" ht="15" customHeight="1" x14ac:dyDescent="0.25">
      <c r="A14521" s="744" t="s">
        <v>239</v>
      </c>
      <c r="E14521" s="1689" t="s">
        <v>3064</v>
      </c>
      <c r="F14521" s="1689"/>
      <c r="G14521" s="1689"/>
      <c r="H14521" s="1689"/>
      <c r="K14521" s="744" t="s">
        <v>3197</v>
      </c>
      <c r="S14521" s="744"/>
      <c r="T14521" s="744"/>
      <c r="V14521" s="744">
        <v>411</v>
      </c>
    </row>
    <row r="14522" spans="1:29" ht="15" customHeight="1" x14ac:dyDescent="0.25">
      <c r="A14522" s="744" t="s">
        <v>239</v>
      </c>
      <c r="E14522" s="1689" t="s">
        <v>6715</v>
      </c>
      <c r="F14522" s="1689"/>
      <c r="G14522" s="1689"/>
      <c r="H14522" s="1689"/>
      <c r="K14522" s="744" t="s">
        <v>3197</v>
      </c>
      <c r="S14522" s="744"/>
      <c r="T14522" s="744"/>
      <c r="V14522" s="744">
        <v>388</v>
      </c>
    </row>
    <row r="14523" spans="1:29" ht="18" customHeight="1" x14ac:dyDescent="0.25">
      <c r="A14523" s="744" t="s">
        <v>239</v>
      </c>
      <c r="E14523" s="1689" t="s">
        <v>3200</v>
      </c>
      <c r="F14523" s="1689"/>
      <c r="G14523" s="1689"/>
      <c r="H14523" s="1689"/>
      <c r="K14523" s="744" t="s">
        <v>3197</v>
      </c>
      <c r="S14523" s="744"/>
      <c r="T14523" s="744"/>
      <c r="V14523" s="744">
        <v>275</v>
      </c>
    </row>
    <row r="14524" spans="1:29" ht="15" customHeight="1" x14ac:dyDescent="0.2">
      <c r="A14524" s="744" t="s">
        <v>239</v>
      </c>
      <c r="E14524" s="1694" t="s">
        <v>3067</v>
      </c>
      <c r="F14524" s="1907"/>
      <c r="G14524" s="1907"/>
      <c r="H14524" s="1907"/>
      <c r="K14524" s="744" t="s">
        <v>3068</v>
      </c>
      <c r="S14524" s="744"/>
      <c r="T14524" s="744"/>
      <c r="V14524" s="744">
        <v>46</v>
      </c>
    </row>
    <row r="14525" spans="1:29" ht="15" x14ac:dyDescent="0.2">
      <c r="A14525" s="744" t="s">
        <v>239</v>
      </c>
      <c r="E14525" s="1690" t="s">
        <v>11</v>
      </c>
      <c r="F14525" s="1690"/>
      <c r="G14525" s="1427" t="s">
        <v>23</v>
      </c>
      <c r="H14525" s="391">
        <v>23.215600000000002</v>
      </c>
      <c r="K14525" s="744" t="s">
        <v>3197</v>
      </c>
      <c r="L14525" s="744" t="s">
        <v>442</v>
      </c>
      <c r="P14525" s="744" t="s">
        <v>3201</v>
      </c>
      <c r="S14525" s="744"/>
      <c r="T14525" s="744"/>
      <c r="V14525" s="744">
        <v>14</v>
      </c>
    </row>
    <row r="14526" spans="1:29" ht="15" customHeight="1" x14ac:dyDescent="0.2">
      <c r="A14526" s="744" t="s">
        <v>239</v>
      </c>
      <c r="E14526" s="1690" t="s">
        <v>423</v>
      </c>
      <c r="F14526" s="1690"/>
      <c r="G14526" s="1427" t="s">
        <v>23</v>
      </c>
      <c r="H14526" s="391">
        <v>0.56999999999999995</v>
      </c>
      <c r="K14526" s="744" t="s">
        <v>3197</v>
      </c>
      <c r="L14526" s="744" t="s">
        <v>443</v>
      </c>
      <c r="P14526" s="744" t="s">
        <v>3202</v>
      </c>
      <c r="S14526" s="744"/>
      <c r="T14526" s="1428">
        <v>43404</v>
      </c>
      <c r="V14526" s="744">
        <v>78</v>
      </c>
    </row>
    <row r="14527" spans="1:29" ht="15" customHeight="1" x14ac:dyDescent="0.2">
      <c r="A14527" s="744" t="s">
        <v>239</v>
      </c>
      <c r="E14527" s="1690" t="s">
        <v>84</v>
      </c>
      <c r="F14527" s="1690"/>
      <c r="G14527" s="1427" t="s">
        <v>24</v>
      </c>
      <c r="H14527" s="393">
        <v>9.4487999999999985E-3</v>
      </c>
      <c r="K14527" s="744" t="s">
        <v>3197</v>
      </c>
      <c r="L14527" s="744" t="s">
        <v>442</v>
      </c>
      <c r="P14527" s="744" t="s">
        <v>3203</v>
      </c>
      <c r="S14527" s="744"/>
      <c r="T14527" s="744"/>
      <c r="V14527" s="744">
        <v>28</v>
      </c>
    </row>
    <row r="14528" spans="1:29" ht="15" customHeight="1" x14ac:dyDescent="0.2">
      <c r="A14528" s="744" t="s">
        <v>239</v>
      </c>
      <c r="E14528" s="1690" t="s">
        <v>18</v>
      </c>
      <c r="F14528" s="1690"/>
      <c r="G14528" s="1427" t="s">
        <v>24</v>
      </c>
      <c r="H14528" s="393">
        <v>2.0999999999999999E-3</v>
      </c>
      <c r="I14528" s="744" t="str">
        <f>IF(LEN(H14528)&gt;6, "fix", "")</f>
        <v/>
      </c>
      <c r="K14528" s="744" t="s">
        <v>3197</v>
      </c>
      <c r="L14528" s="744" t="s">
        <v>443</v>
      </c>
      <c r="P14528" s="744" t="s">
        <v>3204</v>
      </c>
      <c r="S14528" s="744"/>
      <c r="T14528" s="744"/>
      <c r="V14528" s="744">
        <v>24</v>
      </c>
    </row>
    <row r="14529" spans="1:32" ht="15" customHeight="1" x14ac:dyDescent="0.2">
      <c r="A14529" s="744" t="s">
        <v>239</v>
      </c>
      <c r="E14529" s="1690" t="s">
        <v>221</v>
      </c>
      <c r="F14529" s="1690"/>
      <c r="G14529" s="1427" t="s">
        <v>24</v>
      </c>
      <c r="H14529" s="393">
        <v>6.3E-3</v>
      </c>
      <c r="K14529" s="744" t="s">
        <v>3197</v>
      </c>
      <c r="L14529" s="744" t="s">
        <v>444</v>
      </c>
      <c r="P14529" s="744" t="s">
        <v>3208</v>
      </c>
      <c r="S14529" s="744"/>
      <c r="T14529" s="744"/>
      <c r="V14529" s="744">
        <v>47</v>
      </c>
    </row>
    <row r="14530" spans="1:32" ht="15" customHeight="1" x14ac:dyDescent="0.2">
      <c r="A14530" s="744" t="s">
        <v>239</v>
      </c>
      <c r="E14530" s="1690" t="s">
        <v>217</v>
      </c>
      <c r="F14530" s="1690"/>
      <c r="G14530" s="1427" t="s">
        <v>24</v>
      </c>
      <c r="H14530" s="393">
        <v>5.5999999999999999E-3</v>
      </c>
      <c r="K14530" s="744" t="s">
        <v>3197</v>
      </c>
      <c r="L14530" s="744" t="s">
        <v>444</v>
      </c>
      <c r="P14530" s="744" t="s">
        <v>3209</v>
      </c>
      <c r="S14530" s="744"/>
      <c r="T14530" s="744"/>
      <c r="V14530" s="744">
        <v>74</v>
      </c>
    </row>
    <row r="14531" spans="1:32" ht="15" customHeight="1" x14ac:dyDescent="0.2">
      <c r="A14531" s="744" t="s">
        <v>239</v>
      </c>
      <c r="E14531" s="1694" t="s">
        <v>3079</v>
      </c>
      <c r="F14531" s="1690"/>
      <c r="G14531" s="1427"/>
      <c r="H14531" s="394"/>
      <c r="K14531" s="744" t="s">
        <v>3080</v>
      </c>
      <c r="S14531" s="744"/>
      <c r="T14531" s="744"/>
      <c r="V14531" s="744">
        <v>48</v>
      </c>
    </row>
    <row r="14532" spans="1:32" ht="15" customHeight="1" x14ac:dyDescent="0.2">
      <c r="A14532" s="744" t="s">
        <v>239</v>
      </c>
      <c r="E14532" s="1920" t="s">
        <v>6716</v>
      </c>
      <c r="F14532" s="1690"/>
      <c r="G14532" s="1427" t="s">
        <v>24</v>
      </c>
      <c r="H14532" s="393">
        <v>3.2000000000000002E-3</v>
      </c>
      <c r="K14532" s="744" t="s">
        <v>3197</v>
      </c>
      <c r="L14532" s="744" t="s">
        <v>3046</v>
      </c>
      <c r="P14532" s="744" t="s">
        <v>3210</v>
      </c>
      <c r="S14532" s="744"/>
      <c r="T14532" s="744"/>
      <c r="V14532" s="744">
        <v>55</v>
      </c>
    </row>
    <row r="14533" spans="1:32" ht="15" customHeight="1" x14ac:dyDescent="0.2">
      <c r="A14533" s="744" t="s">
        <v>239</v>
      </c>
      <c r="E14533" s="1690" t="s">
        <v>3211</v>
      </c>
      <c r="F14533" s="1690"/>
      <c r="G14533" s="1427" t="s">
        <v>24</v>
      </c>
      <c r="H14533" s="393">
        <v>4.0000000000000002E-4</v>
      </c>
      <c r="K14533" s="744" t="s">
        <v>3197</v>
      </c>
      <c r="L14533" s="744" t="s">
        <v>3046</v>
      </c>
      <c r="P14533" s="744" t="s">
        <v>3210</v>
      </c>
      <c r="S14533" s="744"/>
      <c r="T14533" s="744"/>
      <c r="V14533" s="744">
        <v>65</v>
      </c>
    </row>
    <row r="14534" spans="1:32" ht="15" customHeight="1" x14ac:dyDescent="0.2">
      <c r="A14534" s="744" t="s">
        <v>239</v>
      </c>
      <c r="E14534" s="1690" t="s">
        <v>439</v>
      </c>
      <c r="F14534" s="1690"/>
      <c r="G14534" s="1427" t="s">
        <v>24</v>
      </c>
      <c r="H14534" s="393">
        <v>2.0999999999999999E-3</v>
      </c>
      <c r="K14534" s="744" t="s">
        <v>3197</v>
      </c>
      <c r="L14534" s="744" t="s">
        <v>3046</v>
      </c>
      <c r="P14534" s="744" t="s">
        <v>3212</v>
      </c>
      <c r="S14534" s="744"/>
      <c r="T14534" s="744"/>
      <c r="V14534" s="744">
        <v>57</v>
      </c>
    </row>
    <row r="14535" spans="1:32" ht="15" customHeight="1" x14ac:dyDescent="0.2">
      <c r="A14535" s="744" t="s">
        <v>239</v>
      </c>
      <c r="E14535" s="1690" t="s">
        <v>32</v>
      </c>
      <c r="F14535" s="1690"/>
      <c r="G14535" s="1427" t="s">
        <v>23</v>
      </c>
      <c r="H14535" s="391">
        <v>0.25</v>
      </c>
      <c r="K14535" s="744" t="s">
        <v>3197</v>
      </c>
      <c r="L14535" s="744" t="s">
        <v>3046</v>
      </c>
      <c r="P14535" s="744" t="s">
        <v>3213</v>
      </c>
      <c r="S14535" s="744"/>
      <c r="T14535" s="744"/>
      <c r="V14535" s="744">
        <v>63</v>
      </c>
    </row>
    <row r="14536" spans="1:32" ht="15" customHeight="1" x14ac:dyDescent="0.25">
      <c r="A14536" s="744" t="s">
        <v>239</v>
      </c>
      <c r="E14536" s="1909" t="s">
        <v>3214</v>
      </c>
      <c r="F14536" s="1915"/>
      <c r="G14536" s="1915"/>
      <c r="H14536" s="1915"/>
      <c r="K14536" s="744" t="s">
        <v>6675</v>
      </c>
      <c r="S14536" s="744"/>
      <c r="T14536" s="744"/>
      <c r="V14536" s="744">
        <v>54</v>
      </c>
      <c r="AC14536" s="744" t="e">
        <f>FIND(E14536, K14536)</f>
        <v>#VALUE!</v>
      </c>
      <c r="AD14536" s="744" t="str">
        <f>E14536</f>
        <v>GENERAL SERVICE LESS THAN 50 KW SERVICE CLASSIFICATION</v>
      </c>
      <c r="AE14536" s="744" t="str">
        <f>K14536</f>
        <v>2_GENERAL SERVICE LESS THAN 50 kW SERVICE CLASSIFICATION</v>
      </c>
      <c r="AF14536" s="744" t="str">
        <f>A14536</f>
        <v>Erie Thames Powerlines Corporation</v>
      </c>
    </row>
    <row r="14537" spans="1:32" ht="15" customHeight="1" x14ac:dyDescent="0.25">
      <c r="A14537" s="744" t="s">
        <v>239</v>
      </c>
      <c r="E14537" s="1689" t="s">
        <v>6717</v>
      </c>
      <c r="F14537" s="1689"/>
      <c r="G14537" s="1689"/>
      <c r="H14537" s="1689"/>
      <c r="K14537" s="744" t="s">
        <v>6675</v>
      </c>
      <c r="S14537" s="744"/>
      <c r="T14537" s="744"/>
      <c r="V14537" s="744">
        <v>563</v>
      </c>
    </row>
    <row r="14538" spans="1:32" ht="15" customHeight="1" x14ac:dyDescent="0.25">
      <c r="A14538" s="744" t="s">
        <v>239</v>
      </c>
      <c r="E14538" s="1916" t="s">
        <v>3061</v>
      </c>
      <c r="F14538" s="1697"/>
      <c r="G14538" s="1697"/>
      <c r="H14538" s="1697"/>
      <c r="K14538" s="744" t="s">
        <v>3086</v>
      </c>
      <c r="S14538" s="744"/>
      <c r="T14538" s="744"/>
      <c r="V14538" s="744">
        <v>11</v>
      </c>
    </row>
    <row r="14539" spans="1:32" ht="15" customHeight="1" x14ac:dyDescent="0.25">
      <c r="A14539" s="744" t="s">
        <v>239</v>
      </c>
      <c r="E14539" s="1689" t="s">
        <v>3063</v>
      </c>
      <c r="F14539" s="1689"/>
      <c r="G14539" s="1689"/>
      <c r="H14539" s="1689"/>
      <c r="K14539" s="744" t="s">
        <v>6675</v>
      </c>
      <c r="S14539" s="744"/>
      <c r="T14539" s="744"/>
      <c r="V14539" s="744">
        <v>280</v>
      </c>
    </row>
    <row r="14540" spans="1:32" ht="15" customHeight="1" x14ac:dyDescent="0.25">
      <c r="A14540" s="744" t="s">
        <v>239</v>
      </c>
      <c r="E14540" s="1689" t="s">
        <v>3064</v>
      </c>
      <c r="F14540" s="1689"/>
      <c r="G14540" s="1689"/>
      <c r="H14540" s="1689"/>
      <c r="K14540" s="744" t="s">
        <v>6675</v>
      </c>
      <c r="S14540" s="744"/>
      <c r="T14540" s="744"/>
      <c r="V14540" s="744">
        <v>411</v>
      </c>
    </row>
    <row r="14541" spans="1:32" ht="15" customHeight="1" x14ac:dyDescent="0.25">
      <c r="A14541" s="744" t="s">
        <v>239</v>
      </c>
      <c r="E14541" s="1689" t="s">
        <v>6715</v>
      </c>
      <c r="F14541" s="1689"/>
      <c r="G14541" s="1689"/>
      <c r="H14541" s="1689"/>
      <c r="K14541" s="744" t="s">
        <v>6675</v>
      </c>
      <c r="S14541" s="744"/>
      <c r="T14541" s="744"/>
      <c r="V14541" s="744">
        <v>388</v>
      </c>
    </row>
    <row r="14542" spans="1:32" ht="18" customHeight="1" x14ac:dyDescent="0.25">
      <c r="A14542" s="744" t="s">
        <v>239</v>
      </c>
      <c r="E14542" s="1689" t="s">
        <v>3200</v>
      </c>
      <c r="F14542" s="1689"/>
      <c r="G14542" s="1689"/>
      <c r="H14542" s="1689"/>
      <c r="K14542" s="744" t="s">
        <v>6675</v>
      </c>
      <c r="S14542" s="744"/>
      <c r="T14542" s="744"/>
      <c r="V14542" s="744">
        <v>275</v>
      </c>
    </row>
    <row r="14543" spans="1:32" ht="15" customHeight="1" x14ac:dyDescent="0.2">
      <c r="A14543" s="744" t="s">
        <v>239</v>
      </c>
      <c r="E14543" s="1694" t="s">
        <v>3067</v>
      </c>
      <c r="F14543" s="1907"/>
      <c r="G14543" s="1907"/>
      <c r="H14543" s="1907"/>
      <c r="K14543" s="744" t="s">
        <v>3087</v>
      </c>
      <c r="S14543" s="744"/>
      <c r="T14543" s="744"/>
      <c r="V14543" s="744">
        <v>46</v>
      </c>
    </row>
    <row r="14544" spans="1:32" ht="15" x14ac:dyDescent="0.2">
      <c r="A14544" s="744" t="s">
        <v>239</v>
      </c>
      <c r="E14544" s="1690" t="s">
        <v>11</v>
      </c>
      <c r="F14544" s="1690"/>
      <c r="G14544" s="1427" t="s">
        <v>23</v>
      </c>
      <c r="H14544" s="391">
        <v>22.291040000000002</v>
      </c>
      <c r="K14544" s="744" t="s">
        <v>6675</v>
      </c>
      <c r="L14544" s="744" t="s">
        <v>442</v>
      </c>
      <c r="P14544" s="744" t="s">
        <v>6677</v>
      </c>
      <c r="S14544" s="744"/>
      <c r="T14544" s="744"/>
      <c r="V14544" s="744">
        <v>14</v>
      </c>
    </row>
    <row r="14545" spans="1:32" ht="15" customHeight="1" x14ac:dyDescent="0.2">
      <c r="A14545" s="744" t="s">
        <v>239</v>
      </c>
      <c r="E14545" s="1690" t="s">
        <v>423</v>
      </c>
      <c r="F14545" s="1690"/>
      <c r="G14545" s="1427" t="s">
        <v>23</v>
      </c>
      <c r="H14545" s="391">
        <v>0.56999999999999995</v>
      </c>
      <c r="K14545" s="744" t="s">
        <v>6675</v>
      </c>
      <c r="L14545" s="744" t="s">
        <v>443</v>
      </c>
      <c r="P14545" s="744" t="s">
        <v>6678</v>
      </c>
      <c r="S14545" s="744"/>
      <c r="T14545" s="1428">
        <v>43404</v>
      </c>
      <c r="V14545" s="744">
        <v>78</v>
      </c>
    </row>
    <row r="14546" spans="1:32" ht="15" customHeight="1" x14ac:dyDescent="0.2">
      <c r="A14546" s="744" t="s">
        <v>239</v>
      </c>
      <c r="E14546" s="1690" t="s">
        <v>84</v>
      </c>
      <c r="F14546" s="1690"/>
      <c r="G14546" s="1427" t="s">
        <v>24</v>
      </c>
      <c r="H14546" s="393">
        <v>1.45288E-2</v>
      </c>
      <c r="K14546" s="744" t="s">
        <v>6675</v>
      </c>
      <c r="L14546" s="744" t="s">
        <v>442</v>
      </c>
      <c r="P14546" s="744" t="s">
        <v>6679</v>
      </c>
      <c r="S14546" s="744"/>
      <c r="T14546" s="744"/>
      <c r="V14546" s="744">
        <v>28</v>
      </c>
    </row>
    <row r="14547" spans="1:32" ht="15" customHeight="1" x14ac:dyDescent="0.2">
      <c r="A14547" s="744" t="s">
        <v>239</v>
      </c>
      <c r="E14547" s="1690" t="s">
        <v>18</v>
      </c>
      <c r="F14547" s="1690"/>
      <c r="G14547" s="1427" t="s">
        <v>24</v>
      </c>
      <c r="H14547" s="393">
        <v>2E-3</v>
      </c>
      <c r="I14547" s="744" t="str">
        <f>IF(LEN(H14547)&gt;6, "fix", "")</f>
        <v/>
      </c>
      <c r="K14547" s="744" t="s">
        <v>6675</v>
      </c>
      <c r="L14547" s="744" t="s">
        <v>443</v>
      </c>
      <c r="P14547" s="744" t="s">
        <v>6680</v>
      </c>
      <c r="S14547" s="744"/>
      <c r="T14547" s="744"/>
      <c r="V14547" s="744">
        <v>24</v>
      </c>
    </row>
    <row r="14548" spans="1:32" ht="15" customHeight="1" x14ac:dyDescent="0.2">
      <c r="A14548" s="744" t="s">
        <v>239</v>
      </c>
      <c r="E14548" s="1690" t="s">
        <v>221</v>
      </c>
      <c r="F14548" s="1690"/>
      <c r="G14548" s="1427" t="s">
        <v>24</v>
      </c>
      <c r="H14548" s="393">
        <v>5.8999999999999999E-3</v>
      </c>
      <c r="K14548" s="744" t="s">
        <v>6675</v>
      </c>
      <c r="L14548" s="744" t="s">
        <v>444</v>
      </c>
      <c r="P14548" s="744" t="s">
        <v>6681</v>
      </c>
      <c r="S14548" s="744"/>
      <c r="T14548" s="744"/>
      <c r="V14548" s="744">
        <v>47</v>
      </c>
    </row>
    <row r="14549" spans="1:32" ht="15" customHeight="1" x14ac:dyDescent="0.2">
      <c r="A14549" s="744" t="s">
        <v>239</v>
      </c>
      <c r="E14549" s="1690" t="s">
        <v>217</v>
      </c>
      <c r="F14549" s="1690"/>
      <c r="G14549" s="1427" t="s">
        <v>24</v>
      </c>
      <c r="H14549" s="393">
        <v>5.1999999999999998E-3</v>
      </c>
      <c r="K14549" s="744" t="s">
        <v>6675</v>
      </c>
      <c r="L14549" s="744" t="s">
        <v>444</v>
      </c>
      <c r="P14549" s="744" t="s">
        <v>6682</v>
      </c>
      <c r="S14549" s="744"/>
      <c r="T14549" s="744"/>
      <c r="V14549" s="744">
        <v>74</v>
      </c>
    </row>
    <row r="14550" spans="1:32" ht="15" customHeight="1" x14ac:dyDescent="0.2">
      <c r="A14550" s="744" t="s">
        <v>239</v>
      </c>
      <c r="E14550" s="1694" t="s">
        <v>3079</v>
      </c>
      <c r="F14550" s="1690"/>
      <c r="G14550" s="1427"/>
      <c r="H14550" s="394"/>
      <c r="K14550" s="744" t="s">
        <v>3093</v>
      </c>
      <c r="S14550" s="744"/>
      <c r="T14550" s="744"/>
      <c r="V14550" s="744">
        <v>48</v>
      </c>
    </row>
    <row r="14551" spans="1:32" ht="15" customHeight="1" x14ac:dyDescent="0.2">
      <c r="A14551" s="744" t="s">
        <v>239</v>
      </c>
      <c r="E14551" s="1690" t="s">
        <v>6718</v>
      </c>
      <c r="F14551" s="1690"/>
      <c r="G14551" s="1427" t="s">
        <v>24</v>
      </c>
      <c r="H14551" s="393">
        <v>3.2000000000000002E-3</v>
      </c>
      <c r="K14551" s="744" t="s">
        <v>6675</v>
      </c>
      <c r="L14551" s="744" t="s">
        <v>3046</v>
      </c>
      <c r="P14551" s="744" t="s">
        <v>6683</v>
      </c>
      <c r="S14551" s="744"/>
      <c r="T14551" s="744"/>
      <c r="V14551" s="744">
        <v>55</v>
      </c>
    </row>
    <row r="14552" spans="1:32" ht="15" customHeight="1" x14ac:dyDescent="0.2">
      <c r="A14552" s="744" t="s">
        <v>239</v>
      </c>
      <c r="E14552" s="1690" t="s">
        <v>3211</v>
      </c>
      <c r="F14552" s="1690"/>
      <c r="G14552" s="1427" t="s">
        <v>24</v>
      </c>
      <c r="H14552" s="393">
        <v>4.0000000000000002E-4</v>
      </c>
      <c r="K14552" s="744" t="s">
        <v>6675</v>
      </c>
      <c r="L14552" s="744" t="s">
        <v>3046</v>
      </c>
      <c r="P14552" s="744" t="s">
        <v>6683</v>
      </c>
      <c r="S14552" s="744"/>
      <c r="T14552" s="744"/>
      <c r="V14552" s="744">
        <v>65</v>
      </c>
    </row>
    <row r="14553" spans="1:32" ht="15" customHeight="1" x14ac:dyDescent="0.2">
      <c r="A14553" s="744" t="s">
        <v>239</v>
      </c>
      <c r="E14553" s="1690" t="s">
        <v>439</v>
      </c>
      <c r="F14553" s="1690"/>
      <c r="G14553" s="1427" t="s">
        <v>24</v>
      </c>
      <c r="H14553" s="393">
        <v>2.0999999999999999E-3</v>
      </c>
      <c r="K14553" s="744" t="s">
        <v>6675</v>
      </c>
      <c r="L14553" s="744" t="s">
        <v>3046</v>
      </c>
      <c r="P14553" s="744" t="s">
        <v>6684</v>
      </c>
      <c r="S14553" s="744"/>
      <c r="T14553" s="744"/>
      <c r="V14553" s="744">
        <v>57</v>
      </c>
    </row>
    <row r="14554" spans="1:32" ht="15" customHeight="1" x14ac:dyDescent="0.2">
      <c r="A14554" s="744" t="s">
        <v>239</v>
      </c>
      <c r="E14554" s="1690" t="s">
        <v>32</v>
      </c>
      <c r="F14554" s="1690"/>
      <c r="G14554" s="1427" t="s">
        <v>23</v>
      </c>
      <c r="H14554" s="391">
        <v>0.25</v>
      </c>
      <c r="K14554" s="744" t="s">
        <v>6675</v>
      </c>
      <c r="L14554" s="744" t="s">
        <v>3046</v>
      </c>
      <c r="P14554" s="744" t="s">
        <v>6685</v>
      </c>
      <c r="S14554" s="744"/>
      <c r="T14554" s="744"/>
      <c r="V14554" s="744">
        <v>63</v>
      </c>
    </row>
    <row r="14555" spans="1:32" ht="15" customHeight="1" x14ac:dyDescent="0.25">
      <c r="A14555" s="744" t="s">
        <v>239</v>
      </c>
      <c r="E14555" s="1909" t="s">
        <v>3216</v>
      </c>
      <c r="F14555" s="1915"/>
      <c r="G14555" s="1915"/>
      <c r="H14555" s="1915"/>
      <c r="K14555" s="744" t="s">
        <v>6719</v>
      </c>
      <c r="S14555" s="744"/>
      <c r="T14555" s="744"/>
      <c r="V14555" s="744">
        <v>51</v>
      </c>
      <c r="AC14555" s="744" t="e">
        <f>FIND(E14555, K14555)</f>
        <v>#VALUE!</v>
      </c>
      <c r="AD14555" s="744" t="str">
        <f>E14555</f>
        <v>GENERAL SERVICE 50 TO 999 KW SERVICE CLASSIFICATION</v>
      </c>
      <c r="AE14555" s="744" t="str">
        <f>K14555</f>
        <v>3_GENERAL SERVICE 50 TO 999 kW SERVICE CLASSIFICATION</v>
      </c>
      <c r="AF14555" s="744" t="str">
        <f>A14555</f>
        <v>Erie Thames Powerlines Corporation</v>
      </c>
    </row>
    <row r="14556" spans="1:32" ht="15" customHeight="1" x14ac:dyDescent="0.25">
      <c r="A14556" s="744" t="s">
        <v>239</v>
      </c>
      <c r="E14556" s="1689" t="s">
        <v>6720</v>
      </c>
      <c r="F14556" s="1689"/>
      <c r="G14556" s="1689"/>
      <c r="H14556" s="1689"/>
      <c r="K14556" s="744" t="s">
        <v>6719</v>
      </c>
      <c r="S14556" s="744"/>
      <c r="T14556" s="744"/>
      <c r="V14556" s="744">
        <v>412</v>
      </c>
    </row>
    <row r="14557" spans="1:32" ht="15" customHeight="1" x14ac:dyDescent="0.25">
      <c r="A14557" s="744" t="s">
        <v>239</v>
      </c>
      <c r="E14557" s="1916" t="s">
        <v>3061</v>
      </c>
      <c r="F14557" s="1697"/>
      <c r="G14557" s="1697"/>
      <c r="H14557" s="1697"/>
      <c r="K14557" s="744" t="s">
        <v>3098</v>
      </c>
      <c r="S14557" s="744"/>
      <c r="T14557" s="744"/>
      <c r="V14557" s="744">
        <v>11</v>
      </c>
    </row>
    <row r="14558" spans="1:32" ht="15" customHeight="1" x14ac:dyDescent="0.25">
      <c r="A14558" s="744" t="s">
        <v>239</v>
      </c>
      <c r="E14558" s="1689" t="s">
        <v>3063</v>
      </c>
      <c r="F14558" s="1689"/>
      <c r="G14558" s="1689"/>
      <c r="H14558" s="1689"/>
      <c r="K14558" s="744" t="s">
        <v>6719</v>
      </c>
      <c r="S14558" s="744"/>
      <c r="T14558" s="744"/>
      <c r="V14558" s="744">
        <v>280</v>
      </c>
    </row>
    <row r="14559" spans="1:32" ht="15" customHeight="1" x14ac:dyDescent="0.25">
      <c r="A14559" s="744" t="s">
        <v>239</v>
      </c>
      <c r="E14559" s="1689" t="s">
        <v>3064</v>
      </c>
      <c r="F14559" s="1689"/>
      <c r="G14559" s="1689"/>
      <c r="H14559" s="1689"/>
      <c r="K14559" s="744" t="s">
        <v>6719</v>
      </c>
      <c r="S14559" s="744"/>
      <c r="T14559" s="744"/>
      <c r="V14559" s="744">
        <v>411</v>
      </c>
    </row>
    <row r="14560" spans="1:32" ht="15" customHeight="1" x14ac:dyDescent="0.25">
      <c r="A14560" s="744" t="s">
        <v>239</v>
      </c>
      <c r="E14560" s="1689" t="s">
        <v>6715</v>
      </c>
      <c r="F14560" s="1689"/>
      <c r="G14560" s="1689"/>
      <c r="H14560" s="1689"/>
      <c r="K14560" s="744" t="s">
        <v>6719</v>
      </c>
      <c r="S14560" s="744"/>
      <c r="T14560" s="744"/>
      <c r="V14560" s="744">
        <v>388</v>
      </c>
    </row>
    <row r="14561" spans="1:32" ht="18" customHeight="1" x14ac:dyDescent="0.25">
      <c r="A14561" s="744" t="s">
        <v>239</v>
      </c>
      <c r="E14561" s="1689" t="s">
        <v>3200</v>
      </c>
      <c r="F14561" s="1689"/>
      <c r="G14561" s="1689"/>
      <c r="H14561" s="1689"/>
      <c r="K14561" s="744" t="s">
        <v>6719</v>
      </c>
      <c r="S14561" s="744"/>
      <c r="T14561" s="744"/>
      <c r="V14561" s="744">
        <v>275</v>
      </c>
    </row>
    <row r="14562" spans="1:32" ht="15" customHeight="1" x14ac:dyDescent="0.2">
      <c r="A14562" s="744" t="s">
        <v>239</v>
      </c>
      <c r="E14562" s="1694" t="s">
        <v>3067</v>
      </c>
      <c r="F14562" s="1907"/>
      <c r="G14562" s="1907"/>
      <c r="H14562" s="1907"/>
      <c r="K14562" s="744" t="s">
        <v>3099</v>
      </c>
      <c r="S14562" s="744"/>
      <c r="T14562" s="744"/>
      <c r="V14562" s="744">
        <v>46</v>
      </c>
    </row>
    <row r="14563" spans="1:32" ht="15" x14ac:dyDescent="0.2">
      <c r="A14563" s="744" t="s">
        <v>239</v>
      </c>
      <c r="E14563" s="1690" t="s">
        <v>11</v>
      </c>
      <c r="F14563" s="1690"/>
      <c r="G14563" s="1427" t="s">
        <v>23</v>
      </c>
      <c r="H14563" s="391">
        <v>127.9144</v>
      </c>
      <c r="K14563" s="744" t="s">
        <v>6719</v>
      </c>
      <c r="L14563" s="744" t="s">
        <v>442</v>
      </c>
      <c r="P14563" s="744" t="s">
        <v>6721</v>
      </c>
      <c r="S14563" s="744"/>
      <c r="T14563" s="744"/>
      <c r="V14563" s="744">
        <v>14</v>
      </c>
    </row>
    <row r="14564" spans="1:32" ht="15" customHeight="1" x14ac:dyDescent="0.2">
      <c r="A14564" s="744" t="s">
        <v>239</v>
      </c>
      <c r="E14564" s="1690" t="s">
        <v>84</v>
      </c>
      <c r="F14564" s="1690"/>
      <c r="G14564" s="1427" t="s">
        <v>33</v>
      </c>
      <c r="H14564" s="393">
        <v>3.1023560000000003</v>
      </c>
      <c r="K14564" s="744" t="s">
        <v>6719</v>
      </c>
      <c r="L14564" s="744" t="s">
        <v>442</v>
      </c>
      <c r="P14564" s="744" t="s">
        <v>6722</v>
      </c>
      <c r="S14564" s="744"/>
      <c r="T14564" s="744"/>
      <c r="V14564" s="744">
        <v>28</v>
      </c>
    </row>
    <row r="14565" spans="1:32" ht="15" customHeight="1" x14ac:dyDescent="0.2">
      <c r="A14565" s="744" t="s">
        <v>239</v>
      </c>
      <c r="E14565" s="1690" t="s">
        <v>18</v>
      </c>
      <c r="F14565" s="1690"/>
      <c r="G14565" s="1427" t="s">
        <v>33</v>
      </c>
      <c r="H14565" s="393">
        <v>0.70989999999999998</v>
      </c>
      <c r="I14565" s="744" t="str">
        <f>IF(LEN(H14565)&gt;6, "fix", "")</f>
        <v/>
      </c>
      <c r="K14565" s="744" t="s">
        <v>6719</v>
      </c>
      <c r="L14565" s="744" t="s">
        <v>443</v>
      </c>
      <c r="P14565" s="744" t="s">
        <v>6723</v>
      </c>
      <c r="S14565" s="744"/>
      <c r="T14565" s="744"/>
      <c r="V14565" s="744">
        <v>24</v>
      </c>
    </row>
    <row r="14566" spans="1:32" ht="15" customHeight="1" x14ac:dyDescent="0.2">
      <c r="A14566" s="744" t="s">
        <v>239</v>
      </c>
      <c r="E14566" s="1690" t="s">
        <v>221</v>
      </c>
      <c r="F14566" s="1690"/>
      <c r="G14566" s="1427" t="s">
        <v>33</v>
      </c>
      <c r="H14566" s="393">
        <v>2.6482000000000001</v>
      </c>
      <c r="K14566" s="744" t="s">
        <v>6719</v>
      </c>
      <c r="L14566" s="744" t="s">
        <v>444</v>
      </c>
      <c r="P14566" s="744" t="s">
        <v>6724</v>
      </c>
      <c r="S14566" s="744"/>
      <c r="T14566" s="744"/>
      <c r="V14566" s="744">
        <v>47</v>
      </c>
    </row>
    <row r="14567" spans="1:32" ht="15" customHeight="1" x14ac:dyDescent="0.2">
      <c r="A14567" s="744" t="s">
        <v>239</v>
      </c>
      <c r="E14567" s="1690" t="s">
        <v>217</v>
      </c>
      <c r="F14567" s="1690"/>
      <c r="G14567" s="1427" t="s">
        <v>33</v>
      </c>
      <c r="H14567" s="393">
        <v>1.8703000000000001</v>
      </c>
      <c r="K14567" s="744" t="s">
        <v>6719</v>
      </c>
      <c r="L14567" s="744" t="s">
        <v>444</v>
      </c>
      <c r="P14567" s="744" t="s">
        <v>6725</v>
      </c>
      <c r="S14567" s="744"/>
      <c r="T14567" s="744"/>
      <c r="V14567" s="744">
        <v>74</v>
      </c>
    </row>
    <row r="14568" spans="1:32" ht="15" customHeight="1" x14ac:dyDescent="0.2">
      <c r="A14568" s="744" t="s">
        <v>239</v>
      </c>
      <c r="E14568" s="1694" t="s">
        <v>3079</v>
      </c>
      <c r="F14568" s="1690"/>
      <c r="G14568" s="1427"/>
      <c r="H14568" s="394"/>
      <c r="K14568" s="744" t="s">
        <v>3218</v>
      </c>
      <c r="S14568" s="744"/>
      <c r="T14568" s="744"/>
      <c r="V14568" s="744">
        <v>48</v>
      </c>
    </row>
    <row r="14569" spans="1:32" ht="15" customHeight="1" x14ac:dyDescent="0.2">
      <c r="A14569" s="744" t="s">
        <v>239</v>
      </c>
      <c r="E14569" s="1690" t="s">
        <v>6718</v>
      </c>
      <c r="F14569" s="1690"/>
      <c r="G14569" s="1427" t="s">
        <v>24</v>
      </c>
      <c r="H14569" s="393">
        <v>3.2000000000000002E-3</v>
      </c>
      <c r="K14569" s="744" t="s">
        <v>6719</v>
      </c>
      <c r="L14569" s="744" t="s">
        <v>3046</v>
      </c>
      <c r="P14569" s="744" t="s">
        <v>6726</v>
      </c>
      <c r="S14569" s="744"/>
      <c r="T14569" s="744"/>
      <c r="V14569" s="744">
        <v>55</v>
      </c>
    </row>
    <row r="14570" spans="1:32" ht="15" customHeight="1" x14ac:dyDescent="0.2">
      <c r="A14570" s="744" t="s">
        <v>239</v>
      </c>
      <c r="E14570" s="1690" t="s">
        <v>3211</v>
      </c>
      <c r="F14570" s="1690"/>
      <c r="G14570" s="1427" t="s">
        <v>24</v>
      </c>
      <c r="H14570" s="393">
        <v>4.0000000000000002E-4</v>
      </c>
      <c r="K14570" s="744" t="s">
        <v>6719</v>
      </c>
      <c r="L14570" s="744" t="s">
        <v>3046</v>
      </c>
      <c r="P14570" s="744" t="s">
        <v>6726</v>
      </c>
      <c r="S14570" s="744"/>
      <c r="T14570" s="744"/>
      <c r="V14570" s="744">
        <v>65</v>
      </c>
    </row>
    <row r="14571" spans="1:32" ht="15" customHeight="1" x14ac:dyDescent="0.2">
      <c r="A14571" s="744" t="s">
        <v>239</v>
      </c>
      <c r="E14571" s="1690" t="s">
        <v>439</v>
      </c>
      <c r="F14571" s="1690"/>
      <c r="G14571" s="1427" t="s">
        <v>24</v>
      </c>
      <c r="H14571" s="393">
        <v>2.0999999999999999E-3</v>
      </c>
      <c r="K14571" s="744" t="s">
        <v>6719</v>
      </c>
      <c r="L14571" s="744" t="s">
        <v>3046</v>
      </c>
      <c r="P14571" s="744" t="s">
        <v>6727</v>
      </c>
      <c r="S14571" s="744"/>
      <c r="T14571" s="744"/>
      <c r="V14571" s="744">
        <v>57</v>
      </c>
    </row>
    <row r="14572" spans="1:32" ht="15" customHeight="1" x14ac:dyDescent="0.2">
      <c r="A14572" s="744" t="s">
        <v>239</v>
      </c>
      <c r="E14572" s="1690" t="s">
        <v>32</v>
      </c>
      <c r="F14572" s="1690"/>
      <c r="G14572" s="1427" t="s">
        <v>23</v>
      </c>
      <c r="H14572" s="391">
        <v>0.25</v>
      </c>
      <c r="K14572" s="744" t="s">
        <v>6719</v>
      </c>
      <c r="L14572" s="744" t="s">
        <v>3046</v>
      </c>
      <c r="P14572" s="744" t="s">
        <v>6728</v>
      </c>
      <c r="S14572" s="744"/>
      <c r="T14572" s="744"/>
      <c r="V14572" s="744">
        <v>63</v>
      </c>
    </row>
    <row r="14573" spans="1:32" ht="18" customHeight="1" x14ac:dyDescent="0.25">
      <c r="A14573" s="744" t="s">
        <v>239</v>
      </c>
      <c r="E14573" s="1909" t="s">
        <v>3219</v>
      </c>
      <c r="F14573" s="1915"/>
      <c r="G14573" s="1915"/>
      <c r="H14573" s="1915"/>
      <c r="K14573" s="744" t="s">
        <v>6729</v>
      </c>
      <c r="S14573" s="744"/>
      <c r="T14573" s="744"/>
      <c r="V14573" s="744">
        <v>56</v>
      </c>
      <c r="AC14573" s="744" t="e">
        <f>FIND(E14573, K14573)</f>
        <v>#VALUE!</v>
      </c>
      <c r="AD14573" s="744" t="str">
        <f>E14573</f>
        <v>GENERAL SERVICE 1,000 TO 4,999 KW SERVICE CLASSIFICATION</v>
      </c>
      <c r="AE14573" s="744" t="str">
        <f>K14573</f>
        <v>4_GENERAL SERVICE 1,000 TO 4,999 kW SERVICE CLASSIFICATION</v>
      </c>
      <c r="AF14573" s="744" t="str">
        <f>A14573</f>
        <v>Erie Thames Powerlines Corporation</v>
      </c>
    </row>
    <row r="14574" spans="1:32" ht="15" customHeight="1" x14ac:dyDescent="0.25">
      <c r="A14574" s="744" t="s">
        <v>239</v>
      </c>
      <c r="E14574" s="1689" t="s">
        <v>6730</v>
      </c>
      <c r="F14574" s="1689"/>
      <c r="G14574" s="1689"/>
      <c r="H14574" s="1689"/>
      <c r="K14574" s="744" t="s">
        <v>6729</v>
      </c>
      <c r="S14574" s="744"/>
      <c r="T14574" s="744"/>
      <c r="V14574" s="744">
        <v>424</v>
      </c>
    </row>
    <row r="14575" spans="1:32" ht="15" customHeight="1" x14ac:dyDescent="0.25">
      <c r="A14575" s="744" t="s">
        <v>239</v>
      </c>
      <c r="E14575" s="1916" t="s">
        <v>3061</v>
      </c>
      <c r="F14575" s="1697"/>
      <c r="G14575" s="1697"/>
      <c r="H14575" s="1697"/>
      <c r="K14575" s="744" t="s">
        <v>3221</v>
      </c>
      <c r="S14575" s="744"/>
      <c r="T14575" s="744"/>
      <c r="V14575" s="744">
        <v>11</v>
      </c>
    </row>
    <row r="14576" spans="1:32" ht="15" customHeight="1" x14ac:dyDescent="0.25">
      <c r="A14576" s="744" t="s">
        <v>239</v>
      </c>
      <c r="E14576" s="1689" t="s">
        <v>3063</v>
      </c>
      <c r="F14576" s="1689"/>
      <c r="G14576" s="1689"/>
      <c r="H14576" s="1689"/>
      <c r="K14576" s="744" t="s">
        <v>6729</v>
      </c>
      <c r="S14576" s="744"/>
      <c r="T14576" s="744"/>
      <c r="V14576" s="744">
        <v>280</v>
      </c>
    </row>
    <row r="14577" spans="1:29" ht="15" customHeight="1" x14ac:dyDescent="0.25">
      <c r="A14577" s="744" t="s">
        <v>239</v>
      </c>
      <c r="E14577" s="1689" t="s">
        <v>3064</v>
      </c>
      <c r="F14577" s="1689"/>
      <c r="G14577" s="1689"/>
      <c r="H14577" s="1689"/>
      <c r="K14577" s="744" t="s">
        <v>6729</v>
      </c>
      <c r="S14577" s="744"/>
      <c r="T14577" s="744"/>
      <c r="V14577" s="744">
        <v>411</v>
      </c>
    </row>
    <row r="14578" spans="1:29" ht="15" customHeight="1" x14ac:dyDescent="0.25">
      <c r="A14578" s="744" t="s">
        <v>239</v>
      </c>
      <c r="E14578" s="1689" t="s">
        <v>6715</v>
      </c>
      <c r="F14578" s="1689"/>
      <c r="G14578" s="1689"/>
      <c r="H14578" s="1689"/>
      <c r="K14578" s="744" t="s">
        <v>6729</v>
      </c>
      <c r="S14578" s="744"/>
      <c r="T14578" s="744"/>
      <c r="V14578" s="744">
        <v>388</v>
      </c>
    </row>
    <row r="14579" spans="1:29" ht="15" customHeight="1" x14ac:dyDescent="0.25">
      <c r="A14579" s="744" t="s">
        <v>239</v>
      </c>
      <c r="E14579" s="1689" t="s">
        <v>3223</v>
      </c>
      <c r="F14579" s="1689"/>
      <c r="G14579" s="1689"/>
      <c r="H14579" s="1689"/>
      <c r="K14579" s="744" t="s">
        <v>6729</v>
      </c>
      <c r="S14579" s="744"/>
      <c r="T14579" s="744"/>
      <c r="V14579" s="744">
        <v>626</v>
      </c>
    </row>
    <row r="14580" spans="1:29" ht="18" customHeight="1" x14ac:dyDescent="0.25">
      <c r="A14580" s="744" t="s">
        <v>239</v>
      </c>
      <c r="E14580" s="1689" t="s">
        <v>3200</v>
      </c>
      <c r="F14580" s="1689"/>
      <c r="G14580" s="1689"/>
      <c r="H14580" s="1689"/>
      <c r="K14580" s="744" t="s">
        <v>6729</v>
      </c>
      <c r="S14580" s="744"/>
      <c r="T14580" s="744"/>
      <c r="V14580" s="744">
        <v>275</v>
      </c>
    </row>
    <row r="14581" spans="1:29" ht="15" customHeight="1" x14ac:dyDescent="0.2">
      <c r="A14581" s="744" t="s">
        <v>239</v>
      </c>
      <c r="E14581" s="1694" t="s">
        <v>3067</v>
      </c>
      <c r="F14581" s="1907"/>
      <c r="G14581" s="1907"/>
      <c r="H14581" s="1907"/>
      <c r="K14581" s="744" t="s">
        <v>3224</v>
      </c>
      <c r="S14581" s="744"/>
      <c r="T14581" s="744"/>
      <c r="V14581" s="744">
        <v>46</v>
      </c>
    </row>
    <row r="14582" spans="1:29" ht="15" x14ac:dyDescent="0.2">
      <c r="A14582" s="744" t="s">
        <v>239</v>
      </c>
      <c r="E14582" s="1690" t="s">
        <v>11</v>
      </c>
      <c r="F14582" s="1690"/>
      <c r="G14582" s="1427" t="s">
        <v>23</v>
      </c>
      <c r="H14582" s="391">
        <v>2537.2263200000002</v>
      </c>
      <c r="K14582" s="744" t="s">
        <v>6729</v>
      </c>
      <c r="L14582" s="744" t="s">
        <v>442</v>
      </c>
      <c r="P14582" s="744" t="s">
        <v>6731</v>
      </c>
      <c r="S14582" s="744"/>
      <c r="T14582" s="744"/>
      <c r="V14582" s="744">
        <v>14</v>
      </c>
    </row>
    <row r="14583" spans="1:29" ht="15" customHeight="1" x14ac:dyDescent="0.2">
      <c r="A14583" s="744" t="s">
        <v>239</v>
      </c>
      <c r="E14583" s="1690" t="s">
        <v>84</v>
      </c>
      <c r="F14583" s="1690"/>
      <c r="G14583" s="1427" t="s">
        <v>33</v>
      </c>
      <c r="H14583" s="393">
        <v>4.2160951999999998</v>
      </c>
      <c r="K14583" s="744" t="s">
        <v>6729</v>
      </c>
      <c r="L14583" s="744" t="s">
        <v>442</v>
      </c>
      <c r="P14583" s="744" t="s">
        <v>6732</v>
      </c>
      <c r="S14583" s="744"/>
      <c r="T14583" s="744"/>
      <c r="V14583" s="744">
        <v>28</v>
      </c>
    </row>
    <row r="14584" spans="1:29" ht="15" customHeight="1" x14ac:dyDescent="0.2">
      <c r="A14584" s="744" t="s">
        <v>239</v>
      </c>
      <c r="E14584" s="1690" t="s">
        <v>18</v>
      </c>
      <c r="F14584" s="1690"/>
      <c r="G14584" s="1427" t="s">
        <v>33</v>
      </c>
      <c r="H14584" s="393">
        <v>0.76349999999999996</v>
      </c>
      <c r="I14584" s="744" t="str">
        <f>IF(LEN(H14584)&gt;6, "fix", "")</f>
        <v/>
      </c>
      <c r="K14584" s="744" t="s">
        <v>6729</v>
      </c>
      <c r="L14584" s="744" t="s">
        <v>443</v>
      </c>
      <c r="P14584" s="744" t="s">
        <v>6733</v>
      </c>
      <c r="S14584" s="744"/>
      <c r="T14584" s="744"/>
      <c r="V14584" s="744">
        <v>24</v>
      </c>
    </row>
    <row r="14585" spans="1:29" ht="15" customHeight="1" x14ac:dyDescent="0.2">
      <c r="A14585" s="744" t="s">
        <v>239</v>
      </c>
      <c r="E14585" s="1690" t="s">
        <v>221</v>
      </c>
      <c r="F14585" s="1690"/>
      <c r="G14585" s="1427" t="s">
        <v>33</v>
      </c>
      <c r="H14585" s="393">
        <v>2.8748</v>
      </c>
      <c r="K14585" s="744" t="s">
        <v>6729</v>
      </c>
      <c r="L14585" s="744" t="s">
        <v>444</v>
      </c>
      <c r="P14585" s="744" t="s">
        <v>6734</v>
      </c>
      <c r="S14585" s="744"/>
      <c r="T14585" s="744"/>
      <c r="V14585" s="744">
        <v>47</v>
      </c>
    </row>
    <row r="14586" spans="1:29" ht="15" customHeight="1" x14ac:dyDescent="0.2">
      <c r="A14586" s="744" t="s">
        <v>239</v>
      </c>
      <c r="E14586" s="1690" t="s">
        <v>217</v>
      </c>
      <c r="F14586" s="1690"/>
      <c r="G14586" s="1427" t="s">
        <v>33</v>
      </c>
      <c r="H14586" s="393">
        <v>2.0036</v>
      </c>
      <c r="K14586" s="744" t="s">
        <v>6729</v>
      </c>
      <c r="L14586" s="744" t="s">
        <v>444</v>
      </c>
      <c r="P14586" s="744" t="s">
        <v>6735</v>
      </c>
      <c r="S14586" s="744"/>
      <c r="T14586" s="744"/>
      <c r="V14586" s="744">
        <v>74</v>
      </c>
    </row>
    <row r="14587" spans="1:29" ht="15" customHeight="1" x14ac:dyDescent="0.2">
      <c r="A14587" s="744" t="s">
        <v>239</v>
      </c>
      <c r="E14587" s="1694" t="s">
        <v>3079</v>
      </c>
      <c r="F14587" s="1690"/>
      <c r="G14587" s="1427"/>
      <c r="H14587" s="394"/>
      <c r="K14587" s="744" t="s">
        <v>3225</v>
      </c>
      <c r="S14587" s="744"/>
      <c r="T14587" s="744"/>
      <c r="V14587" s="744">
        <v>48</v>
      </c>
    </row>
    <row r="14588" spans="1:29" ht="15" customHeight="1" x14ac:dyDescent="0.2">
      <c r="A14588" s="744" t="s">
        <v>239</v>
      </c>
      <c r="E14588" s="1690" t="s">
        <v>6718</v>
      </c>
      <c r="F14588" s="1690"/>
      <c r="G14588" s="1427" t="s">
        <v>24</v>
      </c>
      <c r="H14588" s="393">
        <v>3.2000000000000002E-3</v>
      </c>
      <c r="K14588" s="744" t="s">
        <v>6729</v>
      </c>
      <c r="L14588" s="744" t="s">
        <v>3046</v>
      </c>
      <c r="P14588" s="744" t="s">
        <v>6736</v>
      </c>
      <c r="S14588" s="744"/>
      <c r="T14588" s="744"/>
      <c r="V14588" s="744">
        <v>55</v>
      </c>
    </row>
    <row r="14589" spans="1:29" ht="15" customHeight="1" x14ac:dyDescent="0.2">
      <c r="A14589" s="744" t="s">
        <v>239</v>
      </c>
      <c r="E14589" s="1690" t="s">
        <v>3211</v>
      </c>
      <c r="F14589" s="1690"/>
      <c r="G14589" s="1427" t="s">
        <v>24</v>
      </c>
      <c r="H14589" s="393">
        <v>4.0000000000000002E-4</v>
      </c>
      <c r="K14589" s="744" t="s">
        <v>6729</v>
      </c>
      <c r="L14589" s="744" t="s">
        <v>3046</v>
      </c>
      <c r="P14589" s="744" t="s">
        <v>6736</v>
      </c>
      <c r="S14589" s="744"/>
      <c r="T14589" s="744"/>
      <c r="V14589" s="744">
        <v>65</v>
      </c>
    </row>
    <row r="14590" spans="1:29" ht="15" customHeight="1" x14ac:dyDescent="0.2">
      <c r="A14590" s="744" t="s">
        <v>239</v>
      </c>
      <c r="E14590" s="1690" t="s">
        <v>439</v>
      </c>
      <c r="F14590" s="1690"/>
      <c r="G14590" s="1427" t="s">
        <v>24</v>
      </c>
      <c r="H14590" s="393">
        <v>2.0999999999999999E-3</v>
      </c>
      <c r="K14590" s="744" t="s">
        <v>6729</v>
      </c>
      <c r="L14590" s="744" t="s">
        <v>3046</v>
      </c>
      <c r="P14590" s="744" t="s">
        <v>6737</v>
      </c>
      <c r="S14590" s="744"/>
      <c r="T14590" s="744"/>
      <c r="V14590" s="744">
        <v>57</v>
      </c>
    </row>
    <row r="14591" spans="1:29" ht="18" customHeight="1" x14ac:dyDescent="0.2">
      <c r="A14591" s="744" t="s">
        <v>239</v>
      </c>
      <c r="E14591" s="1690" t="s">
        <v>32</v>
      </c>
      <c r="F14591" s="1690"/>
      <c r="G14591" s="1427" t="s">
        <v>23</v>
      </c>
      <c r="H14591" s="391">
        <v>0.25</v>
      </c>
      <c r="K14591" s="744" t="s">
        <v>6729</v>
      </c>
      <c r="L14591" s="744" t="s">
        <v>3046</v>
      </c>
      <c r="P14591" s="744" t="s">
        <v>6738</v>
      </c>
      <c r="S14591" s="744"/>
      <c r="T14591" s="744"/>
      <c r="V14591" s="744">
        <v>63</v>
      </c>
    </row>
    <row r="14592" spans="1:29" ht="18" customHeight="1" x14ac:dyDescent="0.25">
      <c r="A14592" s="744" t="s">
        <v>239</v>
      </c>
      <c r="E14592" s="1909" t="s">
        <v>621</v>
      </c>
      <c r="F14592" s="1915"/>
      <c r="G14592" s="1915"/>
      <c r="H14592" s="1915"/>
      <c r="K14592" s="744" t="s">
        <v>3226</v>
      </c>
      <c r="S14592" s="744"/>
      <c r="T14592" s="744"/>
      <c r="V14592" s="744">
        <v>32</v>
      </c>
      <c r="AC14592" s="744">
        <f>FIND(E14592, K14592)</f>
        <v>3</v>
      </c>
    </row>
    <row r="14593" spans="1:22" ht="15" customHeight="1" x14ac:dyDescent="0.25">
      <c r="A14593" s="744" t="s">
        <v>239</v>
      </c>
      <c r="E14593" s="1689" t="s">
        <v>6739</v>
      </c>
      <c r="F14593" s="1689"/>
      <c r="G14593" s="1689"/>
      <c r="H14593" s="1689"/>
      <c r="K14593" s="744" t="s">
        <v>3226</v>
      </c>
      <c r="S14593" s="744"/>
      <c r="T14593" s="744"/>
      <c r="V14593" s="744">
        <v>448</v>
      </c>
    </row>
    <row r="14594" spans="1:22" ht="15" customHeight="1" x14ac:dyDescent="0.25">
      <c r="A14594" s="744" t="s">
        <v>239</v>
      </c>
      <c r="E14594" s="1916" t="s">
        <v>3061</v>
      </c>
      <c r="F14594" s="1697"/>
      <c r="G14594" s="1697"/>
      <c r="H14594" s="1697"/>
      <c r="K14594" s="744" t="s">
        <v>3107</v>
      </c>
      <c r="S14594" s="744"/>
      <c r="T14594" s="744"/>
      <c r="V14594" s="744">
        <v>11</v>
      </c>
    </row>
    <row r="14595" spans="1:22" ht="15" customHeight="1" x14ac:dyDescent="0.25">
      <c r="A14595" s="744" t="s">
        <v>239</v>
      </c>
      <c r="E14595" s="1689" t="s">
        <v>3063</v>
      </c>
      <c r="F14595" s="1689"/>
      <c r="G14595" s="1689"/>
      <c r="H14595" s="1689"/>
      <c r="K14595" s="744" t="s">
        <v>3226</v>
      </c>
      <c r="S14595" s="744"/>
      <c r="T14595" s="744"/>
      <c r="V14595" s="744">
        <v>280</v>
      </c>
    </row>
    <row r="14596" spans="1:22" ht="15" customHeight="1" x14ac:dyDescent="0.25">
      <c r="A14596" s="744" t="s">
        <v>239</v>
      </c>
      <c r="E14596" s="1689" t="s">
        <v>3064</v>
      </c>
      <c r="F14596" s="1689"/>
      <c r="G14596" s="1689"/>
      <c r="H14596" s="1689"/>
      <c r="K14596" s="744" t="s">
        <v>3226</v>
      </c>
      <c r="S14596" s="744"/>
      <c r="T14596" s="744"/>
      <c r="V14596" s="744">
        <v>411</v>
      </c>
    </row>
    <row r="14597" spans="1:22" ht="15" customHeight="1" x14ac:dyDescent="0.25">
      <c r="A14597" s="744" t="s">
        <v>239</v>
      </c>
      <c r="E14597" s="1689" t="s">
        <v>6715</v>
      </c>
      <c r="F14597" s="1689"/>
      <c r="G14597" s="1689"/>
      <c r="H14597" s="1689"/>
      <c r="K14597" s="744" t="s">
        <v>3226</v>
      </c>
      <c r="S14597" s="744"/>
      <c r="T14597" s="744"/>
      <c r="V14597" s="744">
        <v>388</v>
      </c>
    </row>
    <row r="14598" spans="1:22" ht="15" customHeight="1" x14ac:dyDescent="0.25">
      <c r="A14598" s="744" t="s">
        <v>239</v>
      </c>
      <c r="E14598" s="1689" t="s">
        <v>3223</v>
      </c>
      <c r="F14598" s="1689"/>
      <c r="G14598" s="1689"/>
      <c r="H14598" s="1689"/>
      <c r="K14598" s="744" t="s">
        <v>3226</v>
      </c>
      <c r="S14598" s="744"/>
      <c r="T14598" s="744"/>
      <c r="V14598" s="744">
        <v>626</v>
      </c>
    </row>
    <row r="14599" spans="1:22" ht="15" customHeight="1" x14ac:dyDescent="0.25">
      <c r="A14599" s="744" t="s">
        <v>239</v>
      </c>
      <c r="E14599" s="1689" t="s">
        <v>3200</v>
      </c>
      <c r="F14599" s="1689"/>
      <c r="G14599" s="1689"/>
      <c r="H14599" s="1689"/>
      <c r="K14599" s="744" t="s">
        <v>3226</v>
      </c>
      <c r="S14599" s="744"/>
      <c r="T14599" s="744"/>
      <c r="V14599" s="744">
        <v>275</v>
      </c>
    </row>
    <row r="14600" spans="1:22" ht="15" customHeight="1" x14ac:dyDescent="0.2">
      <c r="A14600" s="744" t="s">
        <v>239</v>
      </c>
      <c r="E14600" s="1694" t="s">
        <v>3067</v>
      </c>
      <c r="F14600" s="1907"/>
      <c r="G14600" s="1907"/>
      <c r="H14600" s="1907"/>
      <c r="K14600" s="744" t="s">
        <v>3108</v>
      </c>
      <c r="S14600" s="744"/>
      <c r="T14600" s="744"/>
      <c r="V14600" s="744">
        <v>46</v>
      </c>
    </row>
    <row r="14601" spans="1:22" ht="15" x14ac:dyDescent="0.2">
      <c r="A14601" s="744" t="s">
        <v>239</v>
      </c>
      <c r="E14601" s="1690" t="s">
        <v>11</v>
      </c>
      <c r="F14601" s="1690"/>
      <c r="G14601" s="1427" t="s">
        <v>23</v>
      </c>
      <c r="H14601" s="391">
        <v>10362.66152</v>
      </c>
      <c r="K14601" s="744" t="s">
        <v>3226</v>
      </c>
      <c r="L14601" s="744" t="s">
        <v>442</v>
      </c>
      <c r="P14601" s="744" t="s">
        <v>3228</v>
      </c>
      <c r="S14601" s="744"/>
      <c r="T14601" s="744"/>
      <c r="V14601" s="744">
        <v>14</v>
      </c>
    </row>
    <row r="14602" spans="1:22" ht="15" x14ac:dyDescent="0.2">
      <c r="A14602" s="744" t="s">
        <v>239</v>
      </c>
      <c r="E14602" s="1690" t="s">
        <v>84</v>
      </c>
      <c r="F14602" s="1690"/>
      <c r="G14602" s="1427" t="s">
        <v>33</v>
      </c>
      <c r="H14602" s="393">
        <v>1.9045936000000001</v>
      </c>
      <c r="K14602" s="744" t="s">
        <v>3226</v>
      </c>
      <c r="L14602" s="744" t="s">
        <v>442</v>
      </c>
      <c r="P14602" s="744" t="s">
        <v>3229</v>
      </c>
      <c r="S14602" s="744"/>
      <c r="T14602" s="744"/>
      <c r="V14602" s="744">
        <v>28</v>
      </c>
    </row>
    <row r="14603" spans="1:22" ht="15" x14ac:dyDescent="0.2">
      <c r="A14603" s="744" t="s">
        <v>239</v>
      </c>
      <c r="E14603" s="1690" t="s">
        <v>18</v>
      </c>
      <c r="F14603" s="1690"/>
      <c r="G14603" s="1427" t="s">
        <v>33</v>
      </c>
      <c r="H14603" s="393">
        <v>7.3300000000000004E-2</v>
      </c>
      <c r="I14603" s="744" t="str">
        <f>IF(LEN(H14603)&gt;6, "fix", "")</f>
        <v/>
      </c>
      <c r="K14603" s="744" t="s">
        <v>3226</v>
      </c>
      <c r="L14603" s="744" t="s">
        <v>443</v>
      </c>
      <c r="P14603" s="744" t="s">
        <v>3230</v>
      </c>
      <c r="S14603" s="744"/>
      <c r="T14603" s="744"/>
      <c r="V14603" s="744">
        <v>24</v>
      </c>
    </row>
    <row r="14604" spans="1:22" ht="15" x14ac:dyDescent="0.2">
      <c r="A14604" s="744" t="s">
        <v>239</v>
      </c>
      <c r="E14604" s="1690" t="s">
        <v>221</v>
      </c>
      <c r="F14604" s="1690"/>
      <c r="G14604" s="1427" t="s">
        <v>33</v>
      </c>
      <c r="H14604" s="393">
        <v>3.1869000000000001</v>
      </c>
      <c r="K14604" s="744" t="s">
        <v>3226</v>
      </c>
      <c r="L14604" s="744" t="s">
        <v>444</v>
      </c>
      <c r="P14604" s="744" t="s">
        <v>3600</v>
      </c>
      <c r="S14604" s="744"/>
      <c r="T14604" s="744"/>
      <c r="V14604" s="744">
        <v>47</v>
      </c>
    </row>
    <row r="14605" spans="1:22" ht="15" customHeight="1" x14ac:dyDescent="0.2">
      <c r="A14605" s="744" t="s">
        <v>239</v>
      </c>
      <c r="E14605" s="1690" t="s">
        <v>217</v>
      </c>
      <c r="F14605" s="1690"/>
      <c r="G14605" s="1427" t="s">
        <v>33</v>
      </c>
      <c r="H14605" s="393">
        <v>2.2726999999999999</v>
      </c>
      <c r="K14605" s="744" t="s">
        <v>3226</v>
      </c>
      <c r="L14605" s="744" t="s">
        <v>444</v>
      </c>
      <c r="P14605" s="744" t="s">
        <v>3601</v>
      </c>
      <c r="S14605" s="744"/>
      <c r="T14605" s="744"/>
      <c r="V14605" s="744">
        <v>74</v>
      </c>
    </row>
    <row r="14606" spans="1:22" ht="15" customHeight="1" x14ac:dyDescent="0.2">
      <c r="A14606" s="744" t="s">
        <v>239</v>
      </c>
      <c r="E14606" s="1694" t="s">
        <v>3079</v>
      </c>
      <c r="F14606" s="1690"/>
      <c r="G14606" s="1427"/>
      <c r="H14606" s="394"/>
      <c r="K14606" s="744" t="s">
        <v>3111</v>
      </c>
      <c r="S14606" s="744"/>
      <c r="T14606" s="744"/>
      <c r="V14606" s="744">
        <v>48</v>
      </c>
    </row>
    <row r="14607" spans="1:22" ht="15" customHeight="1" x14ac:dyDescent="0.2">
      <c r="A14607" s="744" t="s">
        <v>239</v>
      </c>
      <c r="E14607" s="1690" t="s">
        <v>6718</v>
      </c>
      <c r="F14607" s="1690"/>
      <c r="G14607" s="1427" t="s">
        <v>24</v>
      </c>
      <c r="H14607" s="393">
        <v>3.2000000000000002E-3</v>
      </c>
      <c r="K14607" s="744" t="s">
        <v>3226</v>
      </c>
      <c r="L14607" s="744" t="s">
        <v>3046</v>
      </c>
      <c r="P14607" s="744" t="s">
        <v>3235</v>
      </c>
      <c r="S14607" s="744"/>
      <c r="T14607" s="744"/>
      <c r="V14607" s="744">
        <v>55</v>
      </c>
    </row>
    <row r="14608" spans="1:22" ht="15" customHeight="1" x14ac:dyDescent="0.2">
      <c r="A14608" s="744" t="s">
        <v>239</v>
      </c>
      <c r="E14608" s="1690" t="s">
        <v>3211</v>
      </c>
      <c r="F14608" s="1690"/>
      <c r="G14608" s="1427" t="s">
        <v>24</v>
      </c>
      <c r="H14608" s="393">
        <v>4.0000000000000002E-4</v>
      </c>
      <c r="K14608" s="744" t="s">
        <v>3226</v>
      </c>
      <c r="L14608" s="744" t="s">
        <v>3046</v>
      </c>
      <c r="P14608" s="744" t="s">
        <v>3235</v>
      </c>
      <c r="S14608" s="744"/>
      <c r="T14608" s="744"/>
      <c r="V14608" s="744">
        <v>65</v>
      </c>
    </row>
    <row r="14609" spans="1:29" ht="15" customHeight="1" x14ac:dyDescent="0.2">
      <c r="A14609" s="744" t="s">
        <v>239</v>
      </c>
      <c r="E14609" s="1690" t="s">
        <v>439</v>
      </c>
      <c r="F14609" s="1690"/>
      <c r="G14609" s="1427" t="s">
        <v>24</v>
      </c>
      <c r="H14609" s="393">
        <v>2.0999999999999999E-3</v>
      </c>
      <c r="K14609" s="744" t="s">
        <v>3226</v>
      </c>
      <c r="L14609" s="744" t="s">
        <v>3046</v>
      </c>
      <c r="P14609" s="744" t="s">
        <v>3236</v>
      </c>
      <c r="S14609" s="744"/>
      <c r="T14609" s="744"/>
      <c r="V14609" s="744">
        <v>57</v>
      </c>
    </row>
    <row r="14610" spans="1:29" ht="15" customHeight="1" x14ac:dyDescent="0.2">
      <c r="A14610" s="744" t="s">
        <v>239</v>
      </c>
      <c r="E14610" s="1690" t="s">
        <v>32</v>
      </c>
      <c r="F14610" s="1690"/>
      <c r="G14610" s="1427" t="s">
        <v>23</v>
      </c>
      <c r="H14610" s="391">
        <v>0.25</v>
      </c>
      <c r="K14610" s="744" t="s">
        <v>3226</v>
      </c>
      <c r="L14610" s="744" t="s">
        <v>3046</v>
      </c>
      <c r="P14610" s="744" t="s">
        <v>3237</v>
      </c>
      <c r="S14610" s="744"/>
      <c r="T14610" s="744"/>
      <c r="V14610" s="744">
        <v>63</v>
      </c>
    </row>
    <row r="14611" spans="1:29" ht="18" customHeight="1" x14ac:dyDescent="0.25">
      <c r="A14611" s="744" t="s">
        <v>239</v>
      </c>
      <c r="E14611" s="1909" t="s">
        <v>617</v>
      </c>
      <c r="F14611" s="1915"/>
      <c r="G14611" s="1915"/>
      <c r="H14611" s="1915"/>
      <c r="K14611" s="744" t="s">
        <v>3238</v>
      </c>
      <c r="S14611" s="744"/>
      <c r="T14611" s="744"/>
      <c r="V14611" s="744">
        <v>47</v>
      </c>
      <c r="AC14611" s="744">
        <f>FIND(E14611, K14611)</f>
        <v>3</v>
      </c>
    </row>
    <row r="14612" spans="1:29" ht="15" customHeight="1" x14ac:dyDescent="0.25">
      <c r="A14612" s="744" t="s">
        <v>239</v>
      </c>
      <c r="E14612" s="1689" t="s">
        <v>6740</v>
      </c>
      <c r="F14612" s="1689"/>
      <c r="G14612" s="1689"/>
      <c r="H14612" s="1689"/>
      <c r="K14612" s="744" t="s">
        <v>3238</v>
      </c>
      <c r="S14612" s="744"/>
      <c r="T14612" s="744"/>
      <c r="V14612" s="744">
        <v>710</v>
      </c>
    </row>
    <row r="14613" spans="1:29" ht="15" x14ac:dyDescent="0.25">
      <c r="A14613" s="744" t="s">
        <v>239</v>
      </c>
      <c r="E14613" s="1916" t="s">
        <v>3061</v>
      </c>
      <c r="F14613" s="1697"/>
      <c r="G14613" s="1697"/>
      <c r="H14613" s="1697"/>
      <c r="K14613" s="744" t="s">
        <v>3114</v>
      </c>
      <c r="S14613" s="744"/>
      <c r="T14613" s="744"/>
      <c r="V14613" s="744">
        <v>11</v>
      </c>
    </row>
    <row r="14614" spans="1:29" ht="15" customHeight="1" x14ac:dyDescent="0.25">
      <c r="A14614" s="744" t="s">
        <v>239</v>
      </c>
      <c r="E14614" s="1689" t="s">
        <v>3063</v>
      </c>
      <c r="F14614" s="1689"/>
      <c r="G14614" s="1689"/>
      <c r="H14614" s="1689"/>
      <c r="K14614" s="744" t="s">
        <v>3238</v>
      </c>
      <c r="S14614" s="744"/>
      <c r="T14614" s="744"/>
      <c r="V14614" s="744">
        <v>280</v>
      </c>
    </row>
    <row r="14615" spans="1:29" ht="15" customHeight="1" x14ac:dyDescent="0.25">
      <c r="A14615" s="744" t="s">
        <v>239</v>
      </c>
      <c r="E14615" s="1689" t="s">
        <v>3064</v>
      </c>
      <c r="F14615" s="1689"/>
      <c r="G14615" s="1689"/>
      <c r="H14615" s="1689"/>
      <c r="K14615" s="744" t="s">
        <v>3238</v>
      </c>
      <c r="S14615" s="744"/>
      <c r="T14615" s="744"/>
      <c r="V14615" s="744">
        <v>411</v>
      </c>
    </row>
    <row r="14616" spans="1:29" ht="15" customHeight="1" x14ac:dyDescent="0.25">
      <c r="A14616" s="744" t="s">
        <v>239</v>
      </c>
      <c r="E14616" s="1689" t="s">
        <v>6741</v>
      </c>
      <c r="F14616" s="1689"/>
      <c r="G14616" s="1689"/>
      <c r="H14616" s="1689"/>
      <c r="K14616" s="744" t="s">
        <v>3238</v>
      </c>
      <c r="S14616" s="744"/>
      <c r="T14616" s="744"/>
      <c r="V14616" s="744">
        <v>387</v>
      </c>
    </row>
    <row r="14617" spans="1:29" ht="15" customHeight="1" x14ac:dyDescent="0.25">
      <c r="A14617" s="744" t="s">
        <v>239</v>
      </c>
      <c r="E14617" s="1689" t="s">
        <v>3200</v>
      </c>
      <c r="F14617" s="1689"/>
      <c r="G14617" s="1689"/>
      <c r="H14617" s="1689"/>
      <c r="K14617" s="744" t="s">
        <v>3238</v>
      </c>
      <c r="S14617" s="744"/>
      <c r="T14617" s="744"/>
      <c r="V14617" s="744">
        <v>275</v>
      </c>
    </row>
    <row r="14618" spans="1:29" ht="15" customHeight="1" x14ac:dyDescent="0.2">
      <c r="A14618" s="744" t="s">
        <v>239</v>
      </c>
      <c r="E14618" s="1694" t="s">
        <v>3067</v>
      </c>
      <c r="F14618" s="1907"/>
      <c r="G14618" s="1907"/>
      <c r="H14618" s="1907"/>
      <c r="K14618" s="744" t="s">
        <v>3115</v>
      </c>
      <c r="S14618" s="744"/>
      <c r="T14618" s="744"/>
      <c r="V14618" s="744">
        <v>46</v>
      </c>
    </row>
    <row r="14619" spans="1:29" ht="15" customHeight="1" x14ac:dyDescent="0.2">
      <c r="A14619" s="744" t="s">
        <v>239</v>
      </c>
      <c r="E14619" s="1690" t="s">
        <v>11</v>
      </c>
      <c r="F14619" s="1690"/>
      <c r="G14619" s="1427" t="s">
        <v>23</v>
      </c>
      <c r="H14619" s="391">
        <v>3.2004000000000001</v>
      </c>
      <c r="K14619" s="744" t="s">
        <v>3238</v>
      </c>
      <c r="L14619" s="744" t="s">
        <v>442</v>
      </c>
      <c r="P14619" s="744" t="s">
        <v>3240</v>
      </c>
      <c r="S14619" s="744"/>
      <c r="T14619" s="744"/>
      <c r="V14619" s="744">
        <v>14</v>
      </c>
    </row>
    <row r="14620" spans="1:29" ht="15" customHeight="1" x14ac:dyDescent="0.2">
      <c r="A14620" s="744" t="s">
        <v>239</v>
      </c>
      <c r="E14620" s="1690" t="s">
        <v>84</v>
      </c>
      <c r="F14620" s="1690"/>
      <c r="G14620" s="1427" t="s">
        <v>24</v>
      </c>
      <c r="H14620" s="393">
        <v>0.11419840000000001</v>
      </c>
      <c r="K14620" s="744" t="s">
        <v>3238</v>
      </c>
      <c r="L14620" s="744" t="s">
        <v>442</v>
      </c>
      <c r="P14620" s="744" t="s">
        <v>3241</v>
      </c>
      <c r="S14620" s="744"/>
      <c r="T14620" s="744"/>
      <c r="V14620" s="744">
        <v>28</v>
      </c>
    </row>
    <row r="14621" spans="1:29" ht="15" customHeight="1" x14ac:dyDescent="0.2">
      <c r="A14621" s="744" t="s">
        <v>239</v>
      </c>
      <c r="E14621" s="1690" t="s">
        <v>18</v>
      </c>
      <c r="F14621" s="1690"/>
      <c r="G14621" s="1427" t="s">
        <v>24</v>
      </c>
      <c r="H14621" s="393">
        <v>2E-3</v>
      </c>
      <c r="I14621" s="744" t="str">
        <f>IF(LEN(H14621)&gt;6, "fix", "")</f>
        <v/>
      </c>
      <c r="K14621" s="744" t="s">
        <v>3238</v>
      </c>
      <c r="L14621" s="744" t="s">
        <v>443</v>
      </c>
      <c r="P14621" s="744" t="s">
        <v>3242</v>
      </c>
      <c r="S14621" s="744"/>
      <c r="T14621" s="744"/>
      <c r="V14621" s="744">
        <v>24</v>
      </c>
    </row>
    <row r="14622" spans="1:29" ht="15" customHeight="1" x14ac:dyDescent="0.2">
      <c r="A14622" s="744" t="s">
        <v>239</v>
      </c>
      <c r="E14622" s="1690" t="s">
        <v>221</v>
      </c>
      <c r="F14622" s="1690"/>
      <c r="G14622" s="1427" t="s">
        <v>24</v>
      </c>
      <c r="H14622" s="393">
        <v>5.8999999999999999E-3</v>
      </c>
      <c r="K14622" s="744" t="s">
        <v>3238</v>
      </c>
      <c r="L14622" s="744" t="s">
        <v>444</v>
      </c>
      <c r="P14622" s="744" t="s">
        <v>3245</v>
      </c>
      <c r="S14622" s="744"/>
      <c r="T14622" s="744"/>
      <c r="V14622" s="744">
        <v>47</v>
      </c>
    </row>
    <row r="14623" spans="1:29" ht="15" customHeight="1" x14ac:dyDescent="0.2">
      <c r="A14623" s="744" t="s">
        <v>239</v>
      </c>
      <c r="E14623" s="1690" t="s">
        <v>217</v>
      </c>
      <c r="F14623" s="1690"/>
      <c r="G14623" s="1427" t="s">
        <v>24</v>
      </c>
      <c r="H14623" s="393">
        <v>5.1999999999999998E-3</v>
      </c>
      <c r="K14623" s="744" t="s">
        <v>3238</v>
      </c>
      <c r="L14623" s="744" t="s">
        <v>444</v>
      </c>
      <c r="P14623" s="744" t="s">
        <v>3246</v>
      </c>
      <c r="S14623" s="744"/>
      <c r="T14623" s="744"/>
      <c r="V14623" s="744">
        <v>74</v>
      </c>
    </row>
    <row r="14624" spans="1:29" ht="15" customHeight="1" x14ac:dyDescent="0.2">
      <c r="A14624" s="744" t="s">
        <v>239</v>
      </c>
      <c r="E14624" s="1694" t="s">
        <v>3079</v>
      </c>
      <c r="F14624" s="1690"/>
      <c r="G14624" s="1427"/>
      <c r="H14624" s="394"/>
      <c r="K14624" s="744" t="s">
        <v>3122</v>
      </c>
      <c r="S14624" s="744"/>
      <c r="T14624" s="744"/>
      <c r="V14624" s="744">
        <v>48</v>
      </c>
    </row>
    <row r="14625" spans="1:29" ht="15" customHeight="1" x14ac:dyDescent="0.2">
      <c r="A14625" s="744" t="s">
        <v>239</v>
      </c>
      <c r="E14625" s="1690" t="s">
        <v>6718</v>
      </c>
      <c r="F14625" s="1690"/>
      <c r="G14625" s="1427" t="s">
        <v>24</v>
      </c>
      <c r="H14625" s="393">
        <v>3.2000000000000002E-3</v>
      </c>
      <c r="K14625" s="744" t="s">
        <v>3238</v>
      </c>
      <c r="L14625" s="744" t="s">
        <v>3046</v>
      </c>
      <c r="P14625" s="744" t="s">
        <v>3247</v>
      </c>
      <c r="S14625" s="744"/>
      <c r="T14625" s="744"/>
      <c r="V14625" s="744">
        <v>55</v>
      </c>
    </row>
    <row r="14626" spans="1:29" ht="15" customHeight="1" x14ac:dyDescent="0.2">
      <c r="A14626" s="744" t="s">
        <v>239</v>
      </c>
      <c r="E14626" s="1690" t="s">
        <v>3211</v>
      </c>
      <c r="F14626" s="1690"/>
      <c r="G14626" s="1427" t="s">
        <v>24</v>
      </c>
      <c r="H14626" s="393">
        <v>4.0000000000000002E-4</v>
      </c>
      <c r="K14626" s="744" t="s">
        <v>3238</v>
      </c>
      <c r="L14626" s="744" t="s">
        <v>3046</v>
      </c>
      <c r="P14626" s="744" t="s">
        <v>3247</v>
      </c>
      <c r="S14626" s="744"/>
      <c r="T14626" s="744"/>
      <c r="V14626" s="744">
        <v>65</v>
      </c>
    </row>
    <row r="14627" spans="1:29" ht="15" customHeight="1" x14ac:dyDescent="0.2">
      <c r="A14627" s="744" t="s">
        <v>239</v>
      </c>
      <c r="E14627" s="1690" t="s">
        <v>439</v>
      </c>
      <c r="F14627" s="1690"/>
      <c r="G14627" s="1427" t="s">
        <v>24</v>
      </c>
      <c r="H14627" s="393">
        <v>2.0999999999999999E-3</v>
      </c>
      <c r="K14627" s="744" t="s">
        <v>3238</v>
      </c>
      <c r="L14627" s="744" t="s">
        <v>3046</v>
      </c>
      <c r="P14627" s="744" t="s">
        <v>3248</v>
      </c>
      <c r="S14627" s="744"/>
      <c r="T14627" s="744"/>
      <c r="V14627" s="744">
        <v>57</v>
      </c>
    </row>
    <row r="14628" spans="1:29" ht="15" customHeight="1" x14ac:dyDescent="0.2">
      <c r="A14628" s="744" t="s">
        <v>239</v>
      </c>
      <c r="E14628" s="1690" t="s">
        <v>32</v>
      </c>
      <c r="F14628" s="1690"/>
      <c r="G14628" s="1427" t="s">
        <v>23</v>
      </c>
      <c r="H14628" s="391">
        <v>0.25</v>
      </c>
      <c r="K14628" s="744" t="s">
        <v>3238</v>
      </c>
      <c r="L14628" s="744" t="s">
        <v>3046</v>
      </c>
      <c r="P14628" s="744" t="s">
        <v>3249</v>
      </c>
      <c r="S14628" s="744"/>
      <c r="T14628" s="744"/>
      <c r="V14628" s="744">
        <v>63</v>
      </c>
    </row>
    <row r="14629" spans="1:29" ht="15" customHeight="1" x14ac:dyDescent="0.25">
      <c r="A14629" s="744" t="s">
        <v>239</v>
      </c>
      <c r="E14629" s="1909" t="s">
        <v>629</v>
      </c>
      <c r="F14629" s="1915"/>
      <c r="G14629" s="1915"/>
      <c r="H14629" s="1915"/>
      <c r="K14629" s="744" t="s">
        <v>3250</v>
      </c>
      <c r="S14629" s="744"/>
      <c r="T14629" s="744"/>
      <c r="V14629" s="744">
        <v>40</v>
      </c>
      <c r="AC14629" s="744">
        <f>FIND(E14629, K14629)</f>
        <v>3</v>
      </c>
    </row>
    <row r="14630" spans="1:29" ht="15" customHeight="1" x14ac:dyDescent="0.25">
      <c r="A14630" s="744" t="s">
        <v>239</v>
      </c>
      <c r="E14630" s="1689" t="s">
        <v>6742</v>
      </c>
      <c r="F14630" s="1689"/>
      <c r="G14630" s="1689"/>
      <c r="H14630" s="1689"/>
      <c r="K14630" s="744" t="s">
        <v>3250</v>
      </c>
      <c r="S14630" s="744"/>
      <c r="T14630" s="744"/>
      <c r="V14630" s="744">
        <v>256</v>
      </c>
    </row>
    <row r="14631" spans="1:29" ht="15" x14ac:dyDescent="0.25">
      <c r="A14631" s="744" t="s">
        <v>239</v>
      </c>
      <c r="E14631" s="1916" t="s">
        <v>3061</v>
      </c>
      <c r="F14631" s="1697"/>
      <c r="G14631" s="1697"/>
      <c r="H14631" s="1697"/>
      <c r="K14631" s="744" t="s">
        <v>3128</v>
      </c>
      <c r="S14631" s="744"/>
      <c r="T14631" s="744"/>
      <c r="V14631" s="744">
        <v>11</v>
      </c>
    </row>
    <row r="14632" spans="1:29" ht="18" customHeight="1" x14ac:dyDescent="0.25">
      <c r="A14632" s="744" t="s">
        <v>239</v>
      </c>
      <c r="E14632" s="1689" t="s">
        <v>3063</v>
      </c>
      <c r="F14632" s="1689"/>
      <c r="G14632" s="1689"/>
      <c r="H14632" s="1689"/>
      <c r="K14632" s="744" t="s">
        <v>3250</v>
      </c>
      <c r="S14632" s="744"/>
      <c r="T14632" s="744"/>
      <c r="V14632" s="744">
        <v>280</v>
      </c>
    </row>
    <row r="14633" spans="1:29" ht="15" customHeight="1" x14ac:dyDescent="0.25">
      <c r="A14633" s="744" t="s">
        <v>239</v>
      </c>
      <c r="E14633" s="1689" t="s">
        <v>3064</v>
      </c>
      <c r="F14633" s="1689"/>
      <c r="G14633" s="1689"/>
      <c r="H14633" s="1689"/>
      <c r="K14633" s="744" t="s">
        <v>3250</v>
      </c>
      <c r="S14633" s="744"/>
      <c r="T14633" s="744"/>
      <c r="V14633" s="744">
        <v>411</v>
      </c>
    </row>
    <row r="14634" spans="1:29" ht="15" customHeight="1" x14ac:dyDescent="0.25">
      <c r="A14634" s="744" t="s">
        <v>239</v>
      </c>
      <c r="E14634" s="1689" t="s">
        <v>6715</v>
      </c>
      <c r="F14634" s="1689"/>
      <c r="G14634" s="1689"/>
      <c r="H14634" s="1689"/>
      <c r="K14634" s="744" t="s">
        <v>3250</v>
      </c>
      <c r="S14634" s="744"/>
      <c r="T14634" s="744"/>
      <c r="V14634" s="744">
        <v>388</v>
      </c>
    </row>
    <row r="14635" spans="1:29" ht="15" customHeight="1" x14ac:dyDescent="0.25">
      <c r="A14635" s="744" t="s">
        <v>239</v>
      </c>
      <c r="E14635" s="1689" t="s">
        <v>3200</v>
      </c>
      <c r="F14635" s="1689"/>
      <c r="G14635" s="1689"/>
      <c r="H14635" s="1689"/>
      <c r="K14635" s="744" t="s">
        <v>3250</v>
      </c>
      <c r="S14635" s="744"/>
      <c r="T14635" s="744"/>
      <c r="V14635" s="744">
        <v>275</v>
      </c>
    </row>
    <row r="14636" spans="1:29" ht="15" customHeight="1" x14ac:dyDescent="0.2">
      <c r="A14636" s="744" t="s">
        <v>239</v>
      </c>
      <c r="E14636" s="1694" t="s">
        <v>3067</v>
      </c>
      <c r="F14636" s="1907"/>
      <c r="G14636" s="1907"/>
      <c r="H14636" s="1907"/>
      <c r="K14636" s="744" t="s">
        <v>3130</v>
      </c>
      <c r="S14636" s="744"/>
      <c r="T14636" s="744"/>
      <c r="V14636" s="744">
        <v>46</v>
      </c>
    </row>
    <row r="14637" spans="1:29" ht="15" customHeight="1" x14ac:dyDescent="0.2">
      <c r="A14637" s="744" t="s">
        <v>239</v>
      </c>
      <c r="E14637" s="1690" t="s">
        <v>12</v>
      </c>
      <c r="F14637" s="1690"/>
      <c r="G14637" s="1427" t="s">
        <v>23</v>
      </c>
      <c r="H14637" s="391">
        <v>5.5880000000000001</v>
      </c>
      <c r="K14637" s="744" t="s">
        <v>3250</v>
      </c>
      <c r="L14637" s="744" t="s">
        <v>442</v>
      </c>
      <c r="P14637" s="744" t="s">
        <v>3252</v>
      </c>
      <c r="S14637" s="744"/>
      <c r="T14637" s="744"/>
      <c r="V14637" s="744">
        <v>31</v>
      </c>
    </row>
    <row r="14638" spans="1:29" ht="15" customHeight="1" x14ac:dyDescent="0.2">
      <c r="A14638" s="744" t="s">
        <v>239</v>
      </c>
      <c r="E14638" s="1690" t="s">
        <v>84</v>
      </c>
      <c r="F14638" s="1690"/>
      <c r="G14638" s="1427" t="s">
        <v>33</v>
      </c>
      <c r="H14638" s="393">
        <v>15.6727144</v>
      </c>
      <c r="K14638" s="744" t="s">
        <v>3250</v>
      </c>
      <c r="L14638" s="744" t="s">
        <v>442</v>
      </c>
      <c r="P14638" s="744" t="s">
        <v>3253</v>
      </c>
      <c r="S14638" s="744"/>
      <c r="T14638" s="744"/>
      <c r="V14638" s="744">
        <v>28</v>
      </c>
    </row>
    <row r="14639" spans="1:29" ht="15" x14ac:dyDescent="0.2">
      <c r="A14639" s="744" t="s">
        <v>239</v>
      </c>
      <c r="E14639" s="1690" t="s">
        <v>18</v>
      </c>
      <c r="F14639" s="1690"/>
      <c r="G14639" s="1427" t="s">
        <v>33</v>
      </c>
      <c r="H14639" s="393">
        <v>0.54820000000000002</v>
      </c>
      <c r="I14639" s="744" t="str">
        <f>IF(LEN(H14639)&gt;6, "fix", "")</f>
        <v/>
      </c>
      <c r="K14639" s="744" t="s">
        <v>3250</v>
      </c>
      <c r="L14639" s="744" t="s">
        <v>443</v>
      </c>
      <c r="P14639" s="744" t="s">
        <v>3254</v>
      </c>
      <c r="S14639" s="744"/>
      <c r="T14639" s="744"/>
      <c r="V14639" s="744">
        <v>24</v>
      </c>
    </row>
    <row r="14640" spans="1:29" ht="15" customHeight="1" x14ac:dyDescent="0.2">
      <c r="A14640" s="744" t="s">
        <v>239</v>
      </c>
      <c r="E14640" s="1690" t="s">
        <v>221</v>
      </c>
      <c r="F14640" s="1690"/>
      <c r="G14640" s="1427" t="s">
        <v>33</v>
      </c>
      <c r="H14640" s="393">
        <v>2.0440999999999998</v>
      </c>
      <c r="K14640" s="744" t="s">
        <v>3250</v>
      </c>
      <c r="L14640" s="744" t="s">
        <v>444</v>
      </c>
      <c r="P14640" s="744" t="s">
        <v>3258</v>
      </c>
      <c r="S14640" s="744"/>
      <c r="T14640" s="744"/>
      <c r="V14640" s="744">
        <v>47</v>
      </c>
    </row>
    <row r="14641" spans="1:29" ht="15" customHeight="1" x14ac:dyDescent="0.2">
      <c r="A14641" s="744" t="s">
        <v>239</v>
      </c>
      <c r="E14641" s="1690" t="s">
        <v>217</v>
      </c>
      <c r="F14641" s="1690"/>
      <c r="G14641" s="1427" t="s">
        <v>33</v>
      </c>
      <c r="H14641" s="393">
        <v>1.4388000000000001</v>
      </c>
      <c r="K14641" s="744" t="s">
        <v>3250</v>
      </c>
      <c r="L14641" s="744" t="s">
        <v>444</v>
      </c>
      <c r="P14641" s="744" t="s">
        <v>3259</v>
      </c>
      <c r="S14641" s="744"/>
      <c r="T14641" s="744"/>
      <c r="V14641" s="744">
        <v>74</v>
      </c>
    </row>
    <row r="14642" spans="1:29" ht="15" customHeight="1" x14ac:dyDescent="0.2">
      <c r="A14642" s="744" t="s">
        <v>239</v>
      </c>
      <c r="E14642" s="1694" t="s">
        <v>3079</v>
      </c>
      <c r="F14642" s="1690"/>
      <c r="G14642" s="1427"/>
      <c r="H14642" s="394"/>
      <c r="K14642" s="744" t="s">
        <v>3260</v>
      </c>
      <c r="S14642" s="744"/>
      <c r="T14642" s="744"/>
      <c r="V14642" s="744">
        <v>48</v>
      </c>
    </row>
    <row r="14643" spans="1:29" ht="15" customHeight="1" x14ac:dyDescent="0.2">
      <c r="A14643" s="744" t="s">
        <v>239</v>
      </c>
      <c r="E14643" s="1690" t="s">
        <v>6718</v>
      </c>
      <c r="F14643" s="1690"/>
      <c r="G14643" s="1427" t="s">
        <v>24</v>
      </c>
      <c r="H14643" s="393">
        <v>3.2000000000000002E-3</v>
      </c>
      <c r="K14643" s="744" t="s">
        <v>3250</v>
      </c>
      <c r="L14643" s="744" t="s">
        <v>3046</v>
      </c>
      <c r="P14643" s="744" t="s">
        <v>3261</v>
      </c>
      <c r="S14643" s="744"/>
      <c r="T14643" s="744"/>
      <c r="V14643" s="744">
        <v>55</v>
      </c>
    </row>
    <row r="14644" spans="1:29" ht="15" customHeight="1" x14ac:dyDescent="0.2">
      <c r="A14644" s="744" t="s">
        <v>239</v>
      </c>
      <c r="E14644" s="1690" t="s">
        <v>3211</v>
      </c>
      <c r="F14644" s="1690"/>
      <c r="G14644" s="1427" t="s">
        <v>24</v>
      </c>
      <c r="H14644" s="393">
        <v>4.0000000000000002E-4</v>
      </c>
      <c r="K14644" s="744" t="s">
        <v>3250</v>
      </c>
      <c r="L14644" s="744" t="s">
        <v>3046</v>
      </c>
      <c r="P14644" s="744" t="s">
        <v>3261</v>
      </c>
      <c r="S14644" s="744"/>
      <c r="T14644" s="744"/>
      <c r="V14644" s="744">
        <v>65</v>
      </c>
    </row>
    <row r="14645" spans="1:29" ht="15" customHeight="1" x14ac:dyDescent="0.2">
      <c r="A14645" s="744" t="s">
        <v>239</v>
      </c>
      <c r="E14645" s="1690" t="s">
        <v>439</v>
      </c>
      <c r="F14645" s="1690"/>
      <c r="G14645" s="1427" t="s">
        <v>24</v>
      </c>
      <c r="H14645" s="393">
        <v>2.0999999999999999E-3</v>
      </c>
      <c r="K14645" s="744" t="s">
        <v>3250</v>
      </c>
      <c r="L14645" s="744" t="s">
        <v>3046</v>
      </c>
      <c r="P14645" s="744" t="s">
        <v>3262</v>
      </c>
      <c r="S14645" s="744"/>
      <c r="T14645" s="744"/>
      <c r="V14645" s="744">
        <v>57</v>
      </c>
    </row>
    <row r="14646" spans="1:29" ht="15" customHeight="1" x14ac:dyDescent="0.2">
      <c r="A14646" s="744" t="s">
        <v>239</v>
      </c>
      <c r="E14646" s="1690" t="s">
        <v>32</v>
      </c>
      <c r="F14646" s="1690"/>
      <c r="G14646" s="1427" t="s">
        <v>23</v>
      </c>
      <c r="H14646" s="391">
        <v>0.25</v>
      </c>
      <c r="K14646" s="744" t="s">
        <v>3250</v>
      </c>
      <c r="L14646" s="744" t="s">
        <v>3046</v>
      </c>
      <c r="P14646" s="744" t="s">
        <v>3263</v>
      </c>
      <c r="S14646" s="744"/>
      <c r="T14646" s="744"/>
      <c r="V14646" s="744">
        <v>63</v>
      </c>
    </row>
    <row r="14647" spans="1:29" ht="15" customHeight="1" x14ac:dyDescent="0.25">
      <c r="A14647" s="744" t="s">
        <v>239</v>
      </c>
      <c r="E14647" s="1909" t="s">
        <v>615</v>
      </c>
      <c r="F14647" s="1915"/>
      <c r="G14647" s="1915"/>
      <c r="H14647" s="1915"/>
      <c r="K14647" s="744" t="s">
        <v>3264</v>
      </c>
      <c r="S14647" s="744"/>
      <c r="T14647" s="744"/>
      <c r="V14647" s="744">
        <v>38</v>
      </c>
      <c r="AC14647" s="744">
        <f>FIND(E14647, K14647)</f>
        <v>3</v>
      </c>
    </row>
    <row r="14648" spans="1:29" ht="15" customHeight="1" x14ac:dyDescent="0.25">
      <c r="A14648" s="744" t="s">
        <v>239</v>
      </c>
      <c r="E14648" s="1689" t="s">
        <v>6743</v>
      </c>
      <c r="F14648" s="1689"/>
      <c r="G14648" s="1689"/>
      <c r="H14648" s="1689"/>
      <c r="K14648" s="744" t="s">
        <v>3264</v>
      </c>
      <c r="S14648" s="744"/>
      <c r="T14648" s="744"/>
      <c r="V14648" s="744">
        <v>545</v>
      </c>
    </row>
    <row r="14649" spans="1:29" ht="15" customHeight="1" x14ac:dyDescent="0.25">
      <c r="A14649" s="744" t="s">
        <v>239</v>
      </c>
      <c r="E14649" s="1916" t="s">
        <v>3061</v>
      </c>
      <c r="F14649" s="1697"/>
      <c r="G14649" s="1697"/>
      <c r="H14649" s="1697"/>
      <c r="K14649" s="744" t="s">
        <v>3266</v>
      </c>
      <c r="S14649" s="744"/>
      <c r="T14649" s="744"/>
      <c r="V14649" s="744">
        <v>11</v>
      </c>
    </row>
    <row r="14650" spans="1:29" ht="15" customHeight="1" x14ac:dyDescent="0.25">
      <c r="A14650" s="744" t="s">
        <v>239</v>
      </c>
      <c r="E14650" s="1689" t="s">
        <v>3063</v>
      </c>
      <c r="F14650" s="1689"/>
      <c r="G14650" s="1689"/>
      <c r="H14650" s="1689"/>
      <c r="K14650" s="744" t="s">
        <v>3264</v>
      </c>
      <c r="S14650" s="744"/>
      <c r="T14650" s="744"/>
      <c r="V14650" s="744">
        <v>280</v>
      </c>
    </row>
    <row r="14651" spans="1:29" ht="15" customHeight="1" x14ac:dyDescent="0.25">
      <c r="A14651" s="744" t="s">
        <v>239</v>
      </c>
      <c r="E14651" s="1689" t="s">
        <v>3064</v>
      </c>
      <c r="F14651" s="1689"/>
      <c r="G14651" s="1689"/>
      <c r="H14651" s="1689"/>
      <c r="K14651" s="744" t="s">
        <v>3264</v>
      </c>
      <c r="S14651" s="744"/>
      <c r="T14651" s="744"/>
      <c r="V14651" s="744">
        <v>411</v>
      </c>
    </row>
    <row r="14652" spans="1:29" ht="15" customHeight="1" x14ac:dyDescent="0.25">
      <c r="A14652" s="744" t="s">
        <v>239</v>
      </c>
      <c r="E14652" s="1689" t="s">
        <v>6715</v>
      </c>
      <c r="F14652" s="1689"/>
      <c r="G14652" s="1689"/>
      <c r="H14652" s="1689"/>
      <c r="K14652" s="744" t="s">
        <v>3264</v>
      </c>
      <c r="S14652" s="744"/>
      <c r="T14652" s="744"/>
      <c r="V14652" s="744">
        <v>388</v>
      </c>
    </row>
    <row r="14653" spans="1:29" ht="15" customHeight="1" x14ac:dyDescent="0.25">
      <c r="A14653" s="744" t="s">
        <v>239</v>
      </c>
      <c r="E14653" s="1689" t="s">
        <v>3200</v>
      </c>
      <c r="F14653" s="1689"/>
      <c r="G14653" s="1689"/>
      <c r="H14653" s="1689"/>
      <c r="K14653" s="744" t="s">
        <v>3264</v>
      </c>
      <c r="S14653" s="744"/>
      <c r="T14653" s="744"/>
      <c r="V14653" s="744">
        <v>275</v>
      </c>
    </row>
    <row r="14654" spans="1:29" ht="15" customHeight="1" x14ac:dyDescent="0.2">
      <c r="A14654" s="744" t="s">
        <v>239</v>
      </c>
      <c r="E14654" s="1694" t="s">
        <v>3067</v>
      </c>
      <c r="F14654" s="1907"/>
      <c r="G14654" s="1907"/>
      <c r="H14654" s="1907"/>
      <c r="K14654" s="744" t="s">
        <v>3267</v>
      </c>
      <c r="S14654" s="744"/>
      <c r="T14654" s="744"/>
      <c r="V14654" s="744">
        <v>46</v>
      </c>
    </row>
    <row r="14655" spans="1:29" ht="15" customHeight="1" x14ac:dyDescent="0.2">
      <c r="A14655" s="744" t="s">
        <v>239</v>
      </c>
      <c r="E14655" s="1690" t="s">
        <v>12</v>
      </c>
      <c r="F14655" s="1690"/>
      <c r="G14655" s="1427" t="s">
        <v>23</v>
      </c>
      <c r="H14655" s="391">
        <v>4.0436800000000002</v>
      </c>
      <c r="K14655" s="744" t="s">
        <v>3264</v>
      </c>
      <c r="L14655" s="744" t="s">
        <v>442</v>
      </c>
      <c r="P14655" s="744" t="s">
        <v>3268</v>
      </c>
      <c r="S14655" s="744"/>
      <c r="T14655" s="744"/>
      <c r="V14655" s="744">
        <v>31</v>
      </c>
    </row>
    <row r="14656" spans="1:29" ht="15" customHeight="1" x14ac:dyDescent="0.2">
      <c r="A14656" s="744" t="s">
        <v>239</v>
      </c>
      <c r="E14656" s="1690" t="s">
        <v>84</v>
      </c>
      <c r="F14656" s="1690"/>
      <c r="G14656" s="1427" t="s">
        <v>33</v>
      </c>
      <c r="H14656" s="393">
        <v>23.504753600000001</v>
      </c>
      <c r="K14656" s="744" t="s">
        <v>3264</v>
      </c>
      <c r="L14656" s="744" t="s">
        <v>442</v>
      </c>
      <c r="P14656" s="744" t="s">
        <v>3269</v>
      </c>
      <c r="S14656" s="744"/>
      <c r="T14656" s="744"/>
      <c r="V14656" s="744">
        <v>28</v>
      </c>
    </row>
    <row r="14657" spans="1:29" ht="23.25" customHeight="1" x14ac:dyDescent="0.2">
      <c r="A14657" s="744" t="s">
        <v>239</v>
      </c>
      <c r="E14657" s="1690" t="s">
        <v>18</v>
      </c>
      <c r="F14657" s="1690"/>
      <c r="G14657" s="1427" t="s">
        <v>33</v>
      </c>
      <c r="H14657" s="393">
        <v>0.54820000000000002</v>
      </c>
      <c r="I14657" s="744" t="str">
        <f>IF(LEN(H14657)&gt;6, "fix", "")</f>
        <v/>
      </c>
      <c r="K14657" s="744" t="s">
        <v>3264</v>
      </c>
      <c r="L14657" s="744" t="s">
        <v>443</v>
      </c>
      <c r="P14657" s="744" t="s">
        <v>3270</v>
      </c>
      <c r="S14657" s="744"/>
      <c r="T14657" s="744"/>
      <c r="V14657" s="744">
        <v>24</v>
      </c>
    </row>
    <row r="14658" spans="1:29" ht="15.75" customHeight="1" x14ac:dyDescent="0.2">
      <c r="A14658" s="744" t="s">
        <v>239</v>
      </c>
      <c r="E14658" s="1690" t="s">
        <v>221</v>
      </c>
      <c r="F14658" s="1690"/>
      <c r="G14658" s="1427" t="s">
        <v>33</v>
      </c>
      <c r="H14658" s="393">
        <v>2.0440999999999998</v>
      </c>
      <c r="K14658" s="744" t="s">
        <v>3264</v>
      </c>
      <c r="L14658" s="744" t="s">
        <v>444</v>
      </c>
      <c r="P14658" s="744" t="s">
        <v>3274</v>
      </c>
      <c r="S14658" s="744"/>
      <c r="T14658" s="744"/>
      <c r="V14658" s="744">
        <v>47</v>
      </c>
    </row>
    <row r="14659" spans="1:29" ht="15" customHeight="1" x14ac:dyDescent="0.2">
      <c r="A14659" s="744" t="s">
        <v>239</v>
      </c>
      <c r="E14659" s="1690" t="s">
        <v>217</v>
      </c>
      <c r="F14659" s="1690"/>
      <c r="G14659" s="1427" t="s">
        <v>33</v>
      </c>
      <c r="H14659" s="393">
        <v>2.3780000000000001</v>
      </c>
      <c r="K14659" s="744" t="s">
        <v>3264</v>
      </c>
      <c r="L14659" s="744" t="s">
        <v>444</v>
      </c>
      <c r="P14659" s="744" t="s">
        <v>3275</v>
      </c>
      <c r="S14659" s="744"/>
      <c r="T14659" s="744"/>
      <c r="V14659" s="744">
        <v>74</v>
      </c>
    </row>
    <row r="14660" spans="1:29" ht="15" customHeight="1" x14ac:dyDescent="0.2">
      <c r="A14660" s="744" t="s">
        <v>239</v>
      </c>
      <c r="E14660" s="1694" t="s">
        <v>3079</v>
      </c>
      <c r="F14660" s="1690"/>
      <c r="G14660" s="1427"/>
      <c r="H14660" s="394"/>
      <c r="K14660" s="744" t="s">
        <v>3276</v>
      </c>
      <c r="S14660" s="744"/>
      <c r="T14660" s="744"/>
      <c r="V14660" s="744">
        <v>48</v>
      </c>
    </row>
    <row r="14661" spans="1:29" ht="15" customHeight="1" x14ac:dyDescent="0.2">
      <c r="A14661" s="744" t="s">
        <v>239</v>
      </c>
      <c r="E14661" s="1690" t="s">
        <v>6718</v>
      </c>
      <c r="F14661" s="1690"/>
      <c r="G14661" s="1427" t="s">
        <v>24</v>
      </c>
      <c r="H14661" s="393">
        <v>3.2000000000000002E-3</v>
      </c>
      <c r="K14661" s="744" t="s">
        <v>3264</v>
      </c>
      <c r="L14661" s="744" t="s">
        <v>3046</v>
      </c>
      <c r="P14661" s="744" t="s">
        <v>3277</v>
      </c>
      <c r="S14661" s="744"/>
      <c r="T14661" s="744"/>
      <c r="V14661" s="744">
        <v>55</v>
      </c>
    </row>
    <row r="14662" spans="1:29" ht="15" customHeight="1" x14ac:dyDescent="0.2">
      <c r="A14662" s="744" t="s">
        <v>239</v>
      </c>
      <c r="E14662" s="1690" t="s">
        <v>3211</v>
      </c>
      <c r="F14662" s="1690"/>
      <c r="G14662" s="1427" t="s">
        <v>24</v>
      </c>
      <c r="H14662" s="393">
        <v>4.0000000000000002E-4</v>
      </c>
      <c r="K14662" s="744" t="s">
        <v>3264</v>
      </c>
      <c r="L14662" s="744" t="s">
        <v>3046</v>
      </c>
      <c r="P14662" s="744" t="s">
        <v>3277</v>
      </c>
      <c r="S14662" s="744"/>
      <c r="T14662" s="744"/>
      <c r="V14662" s="744">
        <v>65</v>
      </c>
    </row>
    <row r="14663" spans="1:29" ht="15" customHeight="1" x14ac:dyDescent="0.2">
      <c r="A14663" s="744" t="s">
        <v>239</v>
      </c>
      <c r="E14663" s="1690" t="s">
        <v>439</v>
      </c>
      <c r="F14663" s="1690"/>
      <c r="G14663" s="1427" t="s">
        <v>24</v>
      </c>
      <c r="H14663" s="393">
        <v>2.0999999999999999E-3</v>
      </c>
      <c r="K14663" s="744" t="s">
        <v>3264</v>
      </c>
      <c r="L14663" s="744" t="s">
        <v>3046</v>
      </c>
      <c r="P14663" s="744" t="s">
        <v>3278</v>
      </c>
      <c r="S14663" s="744"/>
      <c r="T14663" s="744"/>
      <c r="V14663" s="744">
        <v>57</v>
      </c>
    </row>
    <row r="14664" spans="1:29" ht="15" customHeight="1" x14ac:dyDescent="0.2">
      <c r="A14664" s="744" t="s">
        <v>239</v>
      </c>
      <c r="E14664" s="1690" t="s">
        <v>32</v>
      </c>
      <c r="F14664" s="1690"/>
      <c r="G14664" s="1427" t="s">
        <v>23</v>
      </c>
      <c r="H14664" s="391">
        <v>0.25</v>
      </c>
      <c r="K14664" s="744" t="s">
        <v>3264</v>
      </c>
      <c r="L14664" s="744" t="s">
        <v>3046</v>
      </c>
      <c r="P14664" s="744" t="s">
        <v>3279</v>
      </c>
      <c r="S14664" s="744"/>
      <c r="T14664" s="744"/>
      <c r="V14664" s="744">
        <v>63</v>
      </c>
    </row>
    <row r="14665" spans="1:29" ht="15" customHeight="1" x14ac:dyDescent="0.25">
      <c r="A14665" s="744" t="s">
        <v>239</v>
      </c>
      <c r="E14665" s="1909" t="s">
        <v>622</v>
      </c>
      <c r="F14665" s="1915"/>
      <c r="G14665" s="1915"/>
      <c r="H14665" s="1915"/>
      <c r="K14665" s="744" t="s">
        <v>3665</v>
      </c>
      <c r="S14665" s="744"/>
      <c r="T14665" s="744"/>
      <c r="V14665" s="744">
        <v>43</v>
      </c>
      <c r="AC14665" s="744">
        <f>FIND(E14665, K14665)</f>
        <v>3</v>
      </c>
    </row>
    <row r="14666" spans="1:29" ht="15" customHeight="1" x14ac:dyDescent="0.25">
      <c r="A14666" s="744" t="s">
        <v>239</v>
      </c>
      <c r="E14666" s="1689" t="s">
        <v>6744</v>
      </c>
      <c r="F14666" s="1689"/>
      <c r="G14666" s="1689"/>
      <c r="H14666" s="1689"/>
      <c r="K14666" s="744" t="s">
        <v>3665</v>
      </c>
      <c r="S14666" s="744"/>
      <c r="T14666" s="744"/>
      <c r="V14666" s="744">
        <v>249</v>
      </c>
    </row>
    <row r="14667" spans="1:29" ht="15" customHeight="1" x14ac:dyDescent="0.25">
      <c r="A14667" s="744" t="s">
        <v>239</v>
      </c>
      <c r="E14667" s="1916" t="s">
        <v>3061</v>
      </c>
      <c r="F14667" s="1697"/>
      <c r="G14667" s="1697"/>
      <c r="H14667" s="1697"/>
      <c r="K14667" s="744" t="s">
        <v>3281</v>
      </c>
      <c r="S14667" s="744"/>
      <c r="T14667" s="744"/>
      <c r="V14667" s="744">
        <v>11</v>
      </c>
    </row>
    <row r="14668" spans="1:29" ht="15" customHeight="1" x14ac:dyDescent="0.25">
      <c r="A14668" s="744" t="s">
        <v>239</v>
      </c>
      <c r="E14668" s="1689" t="s">
        <v>3063</v>
      </c>
      <c r="F14668" s="1689"/>
      <c r="G14668" s="1689"/>
      <c r="H14668" s="1689"/>
      <c r="K14668" s="744" t="s">
        <v>3665</v>
      </c>
      <c r="S14668" s="744"/>
      <c r="T14668" s="744"/>
      <c r="V14668" s="744">
        <v>280</v>
      </c>
    </row>
    <row r="14669" spans="1:29" ht="15" customHeight="1" x14ac:dyDescent="0.25">
      <c r="A14669" s="744" t="s">
        <v>239</v>
      </c>
      <c r="E14669" s="1689" t="s">
        <v>3064</v>
      </c>
      <c r="F14669" s="1689"/>
      <c r="G14669" s="1689"/>
      <c r="H14669" s="1689"/>
      <c r="K14669" s="744" t="s">
        <v>3665</v>
      </c>
      <c r="S14669" s="744"/>
      <c r="T14669" s="744"/>
      <c r="V14669" s="744">
        <v>411</v>
      </c>
    </row>
    <row r="14670" spans="1:29" ht="15" customHeight="1" x14ac:dyDescent="0.25">
      <c r="A14670" s="744" t="s">
        <v>239</v>
      </c>
      <c r="E14670" s="1689" t="s">
        <v>6715</v>
      </c>
      <c r="F14670" s="1689"/>
      <c r="G14670" s="1689"/>
      <c r="H14670" s="1689"/>
      <c r="K14670" s="744" t="s">
        <v>3665</v>
      </c>
      <c r="S14670" s="744"/>
      <c r="T14670" s="744"/>
      <c r="V14670" s="744">
        <v>388</v>
      </c>
    </row>
    <row r="14671" spans="1:29" ht="15" customHeight="1" x14ac:dyDescent="0.25">
      <c r="A14671" s="744" t="s">
        <v>239</v>
      </c>
      <c r="E14671" s="1689" t="s">
        <v>3200</v>
      </c>
      <c r="F14671" s="1689"/>
      <c r="G14671" s="1689"/>
      <c r="H14671" s="1689"/>
      <c r="K14671" s="744" t="s">
        <v>3665</v>
      </c>
      <c r="S14671" s="744"/>
      <c r="T14671" s="744"/>
      <c r="V14671" s="744">
        <v>275</v>
      </c>
    </row>
    <row r="14672" spans="1:29" ht="15" customHeight="1" x14ac:dyDescent="0.2">
      <c r="A14672" s="744" t="s">
        <v>239</v>
      </c>
      <c r="E14672" s="1694" t="s">
        <v>3067</v>
      </c>
      <c r="F14672" s="1907"/>
      <c r="G14672" s="1907"/>
      <c r="H14672" s="1907"/>
      <c r="K14672" s="744" t="s">
        <v>3282</v>
      </c>
      <c r="S14672" s="744"/>
      <c r="T14672" s="744"/>
      <c r="V14672" s="744">
        <v>46</v>
      </c>
    </row>
    <row r="14673" spans="1:29" ht="15" customHeight="1" x14ac:dyDescent="0.2">
      <c r="A14673" s="744" t="s">
        <v>239</v>
      </c>
      <c r="E14673" s="1690" t="s">
        <v>11</v>
      </c>
      <c r="F14673" s="1690"/>
      <c r="G14673" s="1427" t="s">
        <v>23</v>
      </c>
      <c r="H14673" s="391">
        <v>2361.4989599999999</v>
      </c>
      <c r="K14673" s="744" t="s">
        <v>3665</v>
      </c>
      <c r="L14673" s="744" t="s">
        <v>442</v>
      </c>
      <c r="P14673" s="744" t="s">
        <v>3666</v>
      </c>
      <c r="S14673" s="744"/>
      <c r="T14673" s="744"/>
      <c r="V14673" s="744">
        <v>14</v>
      </c>
    </row>
    <row r="14674" spans="1:29" ht="15" x14ac:dyDescent="0.2">
      <c r="A14674" s="744" t="s">
        <v>239</v>
      </c>
      <c r="E14674" s="1690" t="s">
        <v>84</v>
      </c>
      <c r="F14674" s="1690"/>
      <c r="G14674" s="1427" t="s">
        <v>33</v>
      </c>
      <c r="H14674" s="393">
        <v>4.0622727999999997</v>
      </c>
      <c r="K14674" s="744" t="s">
        <v>3665</v>
      </c>
      <c r="L14674" s="744" t="s">
        <v>442</v>
      </c>
      <c r="P14674" s="744" t="s">
        <v>6745</v>
      </c>
      <c r="S14674" s="744"/>
      <c r="T14674" s="744"/>
      <c r="V14674" s="744">
        <v>28</v>
      </c>
    </row>
    <row r="14675" spans="1:29" ht="15.75" customHeight="1" x14ac:dyDescent="0.2">
      <c r="A14675" s="744" t="s">
        <v>239</v>
      </c>
      <c r="E14675" s="1690" t="s">
        <v>221</v>
      </c>
      <c r="F14675" s="1690"/>
      <c r="G14675" s="1427" t="s">
        <v>33</v>
      </c>
      <c r="H14675" s="393">
        <v>3.8460000000000001</v>
      </c>
      <c r="K14675" s="744" t="s">
        <v>3665</v>
      </c>
      <c r="L14675" s="744" t="s">
        <v>444</v>
      </c>
      <c r="P14675" s="744" t="s">
        <v>3667</v>
      </c>
      <c r="S14675" s="744"/>
      <c r="T14675" s="744"/>
      <c r="V14675" s="744">
        <v>47</v>
      </c>
    </row>
    <row r="14676" spans="1:29" ht="15.75" customHeight="1" x14ac:dyDescent="0.2">
      <c r="A14676" s="744" t="s">
        <v>239</v>
      </c>
      <c r="E14676" s="1690" t="s">
        <v>217</v>
      </c>
      <c r="F14676" s="1690"/>
      <c r="G14676" s="1427" t="s">
        <v>33</v>
      </c>
      <c r="H14676" s="393">
        <v>2.6423000000000001</v>
      </c>
      <c r="K14676" s="744" t="s">
        <v>3665</v>
      </c>
      <c r="L14676" s="744" t="s">
        <v>444</v>
      </c>
      <c r="P14676" s="744" t="s">
        <v>3668</v>
      </c>
      <c r="S14676" s="744"/>
      <c r="T14676" s="744"/>
      <c r="V14676" s="744">
        <v>74</v>
      </c>
    </row>
    <row r="14677" spans="1:29" ht="15" customHeight="1" x14ac:dyDescent="0.2">
      <c r="A14677" s="744" t="s">
        <v>239</v>
      </c>
      <c r="E14677" s="1694" t="s">
        <v>3079</v>
      </c>
      <c r="F14677" s="1690"/>
      <c r="G14677" s="1427"/>
      <c r="H14677" s="394"/>
      <c r="K14677" s="744" t="s">
        <v>3383</v>
      </c>
      <c r="S14677" s="744"/>
      <c r="T14677" s="744"/>
      <c r="V14677" s="744">
        <v>48</v>
      </c>
    </row>
    <row r="14678" spans="1:29" ht="15" customHeight="1" x14ac:dyDescent="0.2">
      <c r="A14678" s="744" t="s">
        <v>239</v>
      </c>
      <c r="E14678" s="1690" t="s">
        <v>6718</v>
      </c>
      <c r="F14678" s="1690"/>
      <c r="G14678" s="1427" t="s">
        <v>24</v>
      </c>
      <c r="H14678" s="393">
        <v>3.2000000000000002E-3</v>
      </c>
      <c r="K14678" s="744" t="s">
        <v>3665</v>
      </c>
      <c r="L14678" s="744" t="s">
        <v>3046</v>
      </c>
      <c r="P14678" s="744" t="s">
        <v>3669</v>
      </c>
      <c r="S14678" s="744"/>
      <c r="T14678" s="744"/>
      <c r="V14678" s="744">
        <v>55</v>
      </c>
    </row>
    <row r="14679" spans="1:29" ht="15" customHeight="1" x14ac:dyDescent="0.2">
      <c r="A14679" s="744" t="s">
        <v>239</v>
      </c>
      <c r="E14679" s="1690" t="s">
        <v>3211</v>
      </c>
      <c r="F14679" s="1690"/>
      <c r="G14679" s="1427" t="s">
        <v>24</v>
      </c>
      <c r="H14679" s="393">
        <v>4.0000000000000002E-4</v>
      </c>
      <c r="K14679" s="744" t="s">
        <v>3665</v>
      </c>
      <c r="L14679" s="744" t="s">
        <v>3046</v>
      </c>
      <c r="P14679" s="744" t="s">
        <v>3669</v>
      </c>
      <c r="S14679" s="744"/>
      <c r="T14679" s="744"/>
      <c r="V14679" s="744">
        <v>65</v>
      </c>
    </row>
    <row r="14680" spans="1:29" ht="15" customHeight="1" x14ac:dyDescent="0.2">
      <c r="A14680" s="744" t="s">
        <v>239</v>
      </c>
      <c r="E14680" s="1690" t="s">
        <v>439</v>
      </c>
      <c r="F14680" s="1690"/>
      <c r="G14680" s="1427" t="s">
        <v>24</v>
      </c>
      <c r="H14680" s="393">
        <v>2.0999999999999999E-3</v>
      </c>
      <c r="K14680" s="744" t="s">
        <v>3665</v>
      </c>
      <c r="L14680" s="744" t="s">
        <v>3046</v>
      </c>
      <c r="P14680" s="744" t="s">
        <v>3670</v>
      </c>
      <c r="S14680" s="744"/>
      <c r="T14680" s="744"/>
      <c r="V14680" s="744">
        <v>57</v>
      </c>
    </row>
    <row r="14681" spans="1:29" ht="15" customHeight="1" x14ac:dyDescent="0.2">
      <c r="A14681" s="744" t="s">
        <v>239</v>
      </c>
      <c r="E14681" s="1690" t="s">
        <v>32</v>
      </c>
      <c r="F14681" s="1690"/>
      <c r="G14681" s="1427" t="s">
        <v>23</v>
      </c>
      <c r="H14681" s="391">
        <v>0.25</v>
      </c>
      <c r="K14681" s="744" t="s">
        <v>3665</v>
      </c>
      <c r="L14681" s="744" t="s">
        <v>3046</v>
      </c>
      <c r="P14681" s="744" t="s">
        <v>3671</v>
      </c>
      <c r="S14681" s="744"/>
      <c r="T14681" s="744"/>
      <c r="V14681" s="744">
        <v>63</v>
      </c>
    </row>
    <row r="14682" spans="1:29" ht="15" customHeight="1" x14ac:dyDescent="0.25">
      <c r="A14682" s="744" t="s">
        <v>239</v>
      </c>
      <c r="E14682" s="1909" t="s">
        <v>618</v>
      </c>
      <c r="F14682" s="1915"/>
      <c r="G14682" s="1915"/>
      <c r="H14682" s="1915"/>
      <c r="K14682" s="744" t="s">
        <v>3656</v>
      </c>
      <c r="S14682" s="744"/>
      <c r="T14682" s="744"/>
      <c r="V14682" s="744">
        <v>31</v>
      </c>
      <c r="AC14682" s="744">
        <f>FIND(E14682, K14682)</f>
        <v>4</v>
      </c>
    </row>
    <row r="14683" spans="1:29" ht="15" customHeight="1" x14ac:dyDescent="0.25">
      <c r="A14683" s="744" t="s">
        <v>239</v>
      </c>
      <c r="E14683" s="1689" t="s">
        <v>3429</v>
      </c>
      <c r="F14683" s="1689"/>
      <c r="G14683" s="1689"/>
      <c r="H14683" s="1689"/>
      <c r="K14683" s="744" t="s">
        <v>3656</v>
      </c>
      <c r="S14683" s="744"/>
      <c r="T14683" s="744"/>
      <c r="V14683" s="744">
        <v>285</v>
      </c>
    </row>
    <row r="14684" spans="1:29" ht="15" customHeight="1" x14ac:dyDescent="0.25">
      <c r="A14684" s="744" t="s">
        <v>239</v>
      </c>
      <c r="E14684" s="1916" t="s">
        <v>3061</v>
      </c>
      <c r="F14684" s="1697"/>
      <c r="G14684" s="1697"/>
      <c r="H14684" s="1697"/>
      <c r="K14684" s="744" t="s">
        <v>3345</v>
      </c>
      <c r="S14684" s="744"/>
      <c r="T14684" s="744"/>
      <c r="V14684" s="744">
        <v>11</v>
      </c>
    </row>
    <row r="14685" spans="1:29" ht="15" customHeight="1" x14ac:dyDescent="0.25">
      <c r="A14685" s="744" t="s">
        <v>239</v>
      </c>
      <c r="E14685" s="1689" t="s">
        <v>3063</v>
      </c>
      <c r="F14685" s="1689"/>
      <c r="G14685" s="1689"/>
      <c r="H14685" s="1689"/>
      <c r="K14685" s="744" t="s">
        <v>3656</v>
      </c>
      <c r="S14685" s="744"/>
      <c r="T14685" s="744"/>
      <c r="V14685" s="744">
        <v>280</v>
      </c>
    </row>
    <row r="14686" spans="1:29" ht="15" customHeight="1" x14ac:dyDescent="0.25">
      <c r="A14686" s="744" t="s">
        <v>239</v>
      </c>
      <c r="E14686" s="1689" t="s">
        <v>3064</v>
      </c>
      <c r="F14686" s="1689"/>
      <c r="G14686" s="1689"/>
      <c r="H14686" s="1689"/>
      <c r="K14686" s="744" t="s">
        <v>3656</v>
      </c>
      <c r="S14686" s="744"/>
      <c r="T14686" s="744"/>
      <c r="V14686" s="744">
        <v>411</v>
      </c>
    </row>
    <row r="14687" spans="1:29" ht="18" customHeight="1" x14ac:dyDescent="0.25">
      <c r="A14687" s="744" t="s">
        <v>239</v>
      </c>
      <c r="E14687" s="1689" t="s">
        <v>3129</v>
      </c>
      <c r="F14687" s="1689"/>
      <c r="G14687" s="1689"/>
      <c r="H14687" s="1689"/>
      <c r="K14687" s="744" t="s">
        <v>3656</v>
      </c>
      <c r="S14687" s="744"/>
      <c r="T14687" s="744"/>
      <c r="V14687" s="744">
        <v>211</v>
      </c>
    </row>
    <row r="14688" spans="1:29" ht="15" customHeight="1" x14ac:dyDescent="0.25">
      <c r="A14688" s="744" t="s">
        <v>239</v>
      </c>
      <c r="E14688" s="1689" t="s">
        <v>3200</v>
      </c>
      <c r="F14688" s="1689"/>
      <c r="G14688" s="1689"/>
      <c r="H14688" s="1689"/>
      <c r="K14688" s="744" t="s">
        <v>3656</v>
      </c>
      <c r="S14688" s="744"/>
      <c r="T14688" s="744"/>
      <c r="V14688" s="744">
        <v>275</v>
      </c>
    </row>
    <row r="14689" spans="1:22" ht="15" customHeight="1" x14ac:dyDescent="0.2">
      <c r="A14689" s="744" t="s">
        <v>239</v>
      </c>
      <c r="E14689" s="1694" t="s">
        <v>3067</v>
      </c>
      <c r="F14689" s="1907"/>
      <c r="G14689" s="1907"/>
      <c r="H14689" s="1907"/>
      <c r="K14689" s="744" t="s">
        <v>3346</v>
      </c>
      <c r="S14689" s="744"/>
      <c r="T14689" s="744"/>
      <c r="V14689" s="744">
        <v>46</v>
      </c>
    </row>
    <row r="14690" spans="1:22" ht="15" customHeight="1" x14ac:dyDescent="0.2">
      <c r="A14690" s="744" t="s">
        <v>239</v>
      </c>
      <c r="E14690" s="1690" t="s">
        <v>11</v>
      </c>
      <c r="F14690" s="1690"/>
      <c r="G14690" s="1427" t="s">
        <v>23</v>
      </c>
      <c r="H14690" s="391">
        <v>5.4</v>
      </c>
      <c r="K14690" s="744" t="s">
        <v>3656</v>
      </c>
      <c r="L14690" s="744" t="s">
        <v>442</v>
      </c>
      <c r="P14690" s="744" t="s">
        <v>3657</v>
      </c>
      <c r="S14690" s="744"/>
      <c r="T14690" s="744"/>
      <c r="V14690" s="744">
        <v>14</v>
      </c>
    </row>
    <row r="14691" spans="1:22" ht="15" customHeight="1" x14ac:dyDescent="0.25">
      <c r="A14691" s="744" t="s">
        <v>239</v>
      </c>
      <c r="E14691" s="1425" t="s">
        <v>85</v>
      </c>
      <c r="F14691" s="661"/>
      <c r="G14691" s="661"/>
      <c r="H14691" s="662"/>
      <c r="K14691" s="744" t="s">
        <v>6746</v>
      </c>
      <c r="S14691" s="744"/>
      <c r="T14691" s="744"/>
      <c r="V14691" s="744">
        <v>10</v>
      </c>
    </row>
    <row r="14692" spans="1:22" ht="15" customHeight="1" x14ac:dyDescent="0.2">
      <c r="A14692" s="744" t="s">
        <v>239</v>
      </c>
      <c r="E14692" s="1690" t="s">
        <v>3133</v>
      </c>
      <c r="F14692" s="1690"/>
      <c r="G14692" s="1427" t="s">
        <v>33</v>
      </c>
      <c r="H14692" s="391">
        <v>-0.6</v>
      </c>
      <c r="I14692" s="1431" t="str">
        <f>IF(LEN(H14692)&gt;4, "fix", "")</f>
        <v/>
      </c>
      <c r="S14692" s="744"/>
      <c r="T14692" s="744"/>
      <c r="V14692" s="744">
        <v>68</v>
      </c>
    </row>
    <row r="14693" spans="1:22" ht="15" customHeight="1" x14ac:dyDescent="0.2">
      <c r="A14693" s="744" t="s">
        <v>239</v>
      </c>
      <c r="E14693" s="1690" t="s">
        <v>3134</v>
      </c>
      <c r="F14693" s="1690"/>
      <c r="G14693" s="1427" t="s">
        <v>86</v>
      </c>
      <c r="H14693" s="391">
        <v>-1</v>
      </c>
      <c r="L14693" s="744" t="s">
        <v>3046</v>
      </c>
      <c r="S14693" s="744"/>
      <c r="T14693" s="744"/>
      <c r="V14693" s="744">
        <v>89</v>
      </c>
    </row>
    <row r="14694" spans="1:22" ht="15" customHeight="1" x14ac:dyDescent="0.25">
      <c r="A14694" s="744" t="s">
        <v>239</v>
      </c>
      <c r="E14694" s="1425" t="s">
        <v>87</v>
      </c>
      <c r="F14694" s="661"/>
      <c r="G14694" s="661"/>
      <c r="H14694" s="662"/>
      <c r="K14694" s="744" t="s">
        <v>6747</v>
      </c>
      <c r="S14694" s="744"/>
      <c r="T14694" s="744"/>
      <c r="V14694" s="744">
        <v>24</v>
      </c>
    </row>
    <row r="14695" spans="1:22" ht="15" customHeight="1" x14ac:dyDescent="0.25">
      <c r="A14695" s="744" t="s">
        <v>239</v>
      </c>
      <c r="E14695" s="1689" t="s">
        <v>3063</v>
      </c>
      <c r="F14695" s="1689"/>
      <c r="G14695" s="1689"/>
      <c r="H14695" s="1689"/>
      <c r="S14695" s="744"/>
      <c r="T14695" s="744"/>
      <c r="V14695" s="744">
        <v>280</v>
      </c>
    </row>
    <row r="14696" spans="1:22" ht="15" customHeight="1" x14ac:dyDescent="0.25">
      <c r="A14696" s="744" t="s">
        <v>239</v>
      </c>
      <c r="E14696" s="1689" t="s">
        <v>3136</v>
      </c>
      <c r="F14696" s="1689"/>
      <c r="G14696" s="1689"/>
      <c r="H14696" s="1689"/>
      <c r="S14696" s="744"/>
      <c r="T14696" s="744"/>
      <c r="V14696" s="744">
        <v>353</v>
      </c>
    </row>
    <row r="14697" spans="1:22" ht="15" customHeight="1" x14ac:dyDescent="0.25">
      <c r="A14697" s="744" t="s">
        <v>239</v>
      </c>
      <c r="E14697" s="1689" t="s">
        <v>3200</v>
      </c>
      <c r="F14697" s="1689"/>
      <c r="G14697" s="1689"/>
      <c r="H14697" s="1689"/>
      <c r="S14697" s="744"/>
      <c r="T14697" s="744"/>
      <c r="V14697" s="744">
        <v>275</v>
      </c>
    </row>
    <row r="14698" spans="1:22" ht="15" customHeight="1" x14ac:dyDescent="0.2">
      <c r="A14698" s="744" t="s">
        <v>239</v>
      </c>
      <c r="E14698" s="1424" t="s">
        <v>3137</v>
      </c>
      <c r="F14698" s="500"/>
      <c r="G14698" s="500"/>
      <c r="H14698" s="501"/>
      <c r="K14698" s="744" t="s">
        <v>6748</v>
      </c>
      <c r="S14698" s="744"/>
      <c r="T14698" s="744"/>
      <c r="V14698" s="744">
        <v>23</v>
      </c>
    </row>
    <row r="14699" spans="1:22" ht="15" x14ac:dyDescent="0.2">
      <c r="A14699" s="744" t="s">
        <v>239</v>
      </c>
      <c r="E14699" s="1688" t="s">
        <v>3355</v>
      </c>
      <c r="F14699" s="1688"/>
      <c r="G14699" s="1427" t="s">
        <v>23</v>
      </c>
      <c r="H14699" s="391">
        <v>15</v>
      </c>
      <c r="S14699" s="744"/>
      <c r="T14699" s="744"/>
      <c r="V14699" s="744">
        <v>19</v>
      </c>
    </row>
    <row r="14700" spans="1:22" ht="15" x14ac:dyDescent="0.2">
      <c r="A14700" s="744" t="s">
        <v>239</v>
      </c>
      <c r="E14700" s="1688" t="s">
        <v>3144</v>
      </c>
      <c r="F14700" s="1688"/>
      <c r="G14700" s="1427" t="s">
        <v>23</v>
      </c>
      <c r="H14700" s="391">
        <v>15</v>
      </c>
      <c r="S14700" s="744"/>
      <c r="T14700" s="744"/>
      <c r="V14700" s="744">
        <v>15</v>
      </c>
    </row>
    <row r="14701" spans="1:22" ht="15.75" customHeight="1" x14ac:dyDescent="0.2">
      <c r="A14701" s="744" t="s">
        <v>239</v>
      </c>
      <c r="E14701" s="1688" t="s">
        <v>3148</v>
      </c>
      <c r="F14701" s="1688"/>
      <c r="G14701" s="1427" t="s">
        <v>23</v>
      </c>
      <c r="H14701" s="391">
        <v>15</v>
      </c>
      <c r="S14701" s="744"/>
      <c r="T14701" s="744"/>
      <c r="V14701" s="744">
        <v>56</v>
      </c>
    </row>
    <row r="14702" spans="1:22" ht="15.75" customHeight="1" x14ac:dyDescent="0.2">
      <c r="A14702" s="744" t="s">
        <v>239</v>
      </c>
      <c r="E14702" s="1688" t="s">
        <v>3149</v>
      </c>
      <c r="F14702" s="1688"/>
      <c r="G14702" s="1427" t="s">
        <v>23</v>
      </c>
      <c r="H14702" s="391">
        <v>15</v>
      </c>
      <c r="S14702" s="744"/>
      <c r="T14702" s="744"/>
      <c r="V14702" s="744">
        <v>35</v>
      </c>
    </row>
    <row r="14703" spans="1:22" ht="15" customHeight="1" x14ac:dyDescent="0.2">
      <c r="A14703" s="744" t="s">
        <v>239</v>
      </c>
      <c r="E14703" s="1688" t="s">
        <v>88</v>
      </c>
      <c r="F14703" s="1688"/>
      <c r="G14703" s="1427" t="s">
        <v>23</v>
      </c>
      <c r="H14703" s="391">
        <v>30</v>
      </c>
      <c r="S14703" s="744"/>
      <c r="T14703" s="744"/>
      <c r="V14703" s="744">
        <v>89</v>
      </c>
    </row>
    <row r="14704" spans="1:22" ht="15" customHeight="1" x14ac:dyDescent="0.2">
      <c r="A14704" s="744" t="s">
        <v>239</v>
      </c>
      <c r="E14704" s="1688" t="s">
        <v>94</v>
      </c>
      <c r="F14704" s="1688"/>
      <c r="G14704" s="1427" t="s">
        <v>23</v>
      </c>
      <c r="H14704" s="391">
        <v>30</v>
      </c>
      <c r="S14704" s="744"/>
      <c r="T14704" s="744"/>
      <c r="V14704" s="744">
        <v>19</v>
      </c>
    </row>
    <row r="14705" spans="1:22" ht="15" customHeight="1" x14ac:dyDescent="0.2">
      <c r="A14705" s="744" t="s">
        <v>239</v>
      </c>
      <c r="E14705" s="1688" t="s">
        <v>92</v>
      </c>
      <c r="F14705" s="1688"/>
      <c r="G14705" s="1427" t="s">
        <v>23</v>
      </c>
      <c r="H14705" s="391">
        <v>30</v>
      </c>
      <c r="S14705" s="744"/>
      <c r="T14705" s="744"/>
      <c r="V14705" s="744">
        <v>74</v>
      </c>
    </row>
    <row r="14706" spans="1:22" ht="15" x14ac:dyDescent="0.2">
      <c r="A14706" s="744" t="s">
        <v>239</v>
      </c>
      <c r="E14706" s="1424" t="s">
        <v>3152</v>
      </c>
      <c r="F14706" s="500"/>
      <c r="G14706" s="500"/>
      <c r="H14706" s="501"/>
      <c r="K14706" s="744" t="s">
        <v>6749</v>
      </c>
      <c r="S14706" s="744"/>
      <c r="T14706" s="744"/>
      <c r="V14706" s="744">
        <v>22</v>
      </c>
    </row>
    <row r="14707" spans="1:22" ht="15" customHeight="1" x14ac:dyDescent="0.2">
      <c r="A14707" s="744" t="s">
        <v>239</v>
      </c>
      <c r="E14707" s="1688" t="s">
        <v>3154</v>
      </c>
      <c r="F14707" s="1688"/>
      <c r="G14707" s="1427" t="s">
        <v>86</v>
      </c>
      <c r="H14707" s="391">
        <v>1.5</v>
      </c>
      <c r="S14707" s="744"/>
      <c r="T14707" s="744"/>
      <c r="V14707" s="744">
        <v>24</v>
      </c>
    </row>
    <row r="14708" spans="1:22" ht="15" customHeight="1" x14ac:dyDescent="0.2">
      <c r="A14708" s="744" t="s">
        <v>239</v>
      </c>
      <c r="E14708" s="1688" t="s">
        <v>3155</v>
      </c>
      <c r="F14708" s="1688"/>
      <c r="G14708" s="1427" t="s">
        <v>86</v>
      </c>
      <c r="H14708" s="391">
        <v>19.559999999999999</v>
      </c>
      <c r="S14708" s="744"/>
      <c r="T14708" s="744"/>
      <c r="V14708" s="744">
        <v>24</v>
      </c>
    </row>
    <row r="14709" spans="1:22" ht="15" customHeight="1" x14ac:dyDescent="0.2">
      <c r="A14709" s="744" t="s">
        <v>239</v>
      </c>
      <c r="E14709" s="1688" t="s">
        <v>3156</v>
      </c>
      <c r="F14709" s="1688"/>
      <c r="G14709" s="1427" t="s">
        <v>23</v>
      </c>
      <c r="H14709" s="391">
        <v>30</v>
      </c>
      <c r="S14709" s="744"/>
      <c r="T14709" s="744"/>
      <c r="V14709" s="744">
        <v>79</v>
      </c>
    </row>
    <row r="14710" spans="1:22" ht="15" customHeight="1" x14ac:dyDescent="0.2">
      <c r="A14710" s="744" t="s">
        <v>239</v>
      </c>
      <c r="E14710" s="1688" t="s">
        <v>3157</v>
      </c>
      <c r="F14710" s="1688"/>
      <c r="G14710" s="1427" t="s">
        <v>23</v>
      </c>
      <c r="H14710" s="391">
        <v>165</v>
      </c>
      <c r="S14710" s="744"/>
      <c r="T14710" s="744"/>
      <c r="V14710" s="744">
        <v>69</v>
      </c>
    </row>
    <row r="14711" spans="1:22" ht="15" customHeight="1" x14ac:dyDescent="0.2">
      <c r="A14711" s="744" t="s">
        <v>239</v>
      </c>
      <c r="E14711" s="1688" t="s">
        <v>3158</v>
      </c>
      <c r="F14711" s="1688"/>
      <c r="G14711" s="1427" t="s">
        <v>23</v>
      </c>
      <c r="H14711" s="391">
        <v>65</v>
      </c>
      <c r="S14711" s="744"/>
      <c r="T14711" s="744"/>
      <c r="V14711" s="744">
        <v>52</v>
      </c>
    </row>
    <row r="14712" spans="1:22" ht="15" customHeight="1" x14ac:dyDescent="0.2">
      <c r="A14712" s="744" t="s">
        <v>239</v>
      </c>
      <c r="E14712" s="1688" t="s">
        <v>3159</v>
      </c>
      <c r="F14712" s="1688"/>
      <c r="G14712" s="1427" t="s">
        <v>23</v>
      </c>
      <c r="H14712" s="391">
        <v>185</v>
      </c>
      <c r="S14712" s="744"/>
      <c r="T14712" s="744"/>
      <c r="V14712" s="744">
        <v>51</v>
      </c>
    </row>
    <row r="14713" spans="1:22" ht="18" customHeight="1" x14ac:dyDescent="0.2">
      <c r="A14713" s="744" t="s">
        <v>239</v>
      </c>
      <c r="E14713" s="1688" t="s">
        <v>3160</v>
      </c>
      <c r="F14713" s="1688"/>
      <c r="G14713" s="1427" t="s">
        <v>23</v>
      </c>
      <c r="H14713" s="391">
        <v>185</v>
      </c>
      <c r="S14713" s="744"/>
      <c r="T14713" s="744"/>
      <c r="V14713" s="744">
        <v>51</v>
      </c>
    </row>
    <row r="14714" spans="1:22" ht="15" customHeight="1" x14ac:dyDescent="0.2">
      <c r="A14714" s="744" t="s">
        <v>239</v>
      </c>
      <c r="E14714" s="1424" t="s">
        <v>3164</v>
      </c>
      <c r="F14714" s="500"/>
      <c r="G14714" s="500"/>
      <c r="H14714" s="501"/>
      <c r="S14714" s="744"/>
      <c r="T14714" s="744"/>
      <c r="V14714" s="744">
        <v>5</v>
      </c>
    </row>
    <row r="14715" spans="1:22" ht="15" customHeight="1" x14ac:dyDescent="0.2">
      <c r="A14715" s="744" t="s">
        <v>239</v>
      </c>
      <c r="E14715" s="1688" t="s">
        <v>3434</v>
      </c>
      <c r="F14715" s="1688"/>
      <c r="G14715" s="1427" t="s">
        <v>23</v>
      </c>
      <c r="H14715" s="391">
        <v>500</v>
      </c>
      <c r="S14715" s="744"/>
      <c r="T14715" s="744"/>
      <c r="V14715" s="744">
        <v>64</v>
      </c>
    </row>
    <row r="14716" spans="1:22" ht="15" customHeight="1" x14ac:dyDescent="0.2">
      <c r="A14716" s="744" t="s">
        <v>239</v>
      </c>
      <c r="E14716" s="1688" t="s">
        <v>3489</v>
      </c>
      <c r="F14716" s="1688"/>
      <c r="G14716" s="1427" t="s">
        <v>23</v>
      </c>
      <c r="H14716" s="391">
        <v>300</v>
      </c>
      <c r="S14716" s="744"/>
      <c r="T14716" s="744"/>
      <c r="V14716" s="744">
        <v>67</v>
      </c>
    </row>
    <row r="14717" spans="1:22" ht="15" customHeight="1" x14ac:dyDescent="0.2">
      <c r="A14717" s="744" t="s">
        <v>239</v>
      </c>
      <c r="E14717" s="1688" t="s">
        <v>3491</v>
      </c>
      <c r="F14717" s="1688"/>
      <c r="G14717" s="1427" t="s">
        <v>23</v>
      </c>
      <c r="H14717" s="391">
        <v>22.35</v>
      </c>
      <c r="S14717" s="744"/>
      <c r="T14717" s="744"/>
      <c r="V14717" s="744">
        <v>59</v>
      </c>
    </row>
    <row r="14718" spans="1:22" ht="15" customHeight="1" x14ac:dyDescent="0.2">
      <c r="A14718" s="744" t="s">
        <v>239</v>
      </c>
      <c r="E14718" s="1688" t="s">
        <v>3166</v>
      </c>
      <c r="F14718" s="1688"/>
      <c r="G14718" s="1427"/>
      <c r="H14718" s="394"/>
      <c r="S14718" s="744"/>
      <c r="T14718" s="744"/>
      <c r="V14718" s="744">
        <v>44</v>
      </c>
    </row>
    <row r="14719" spans="1:22" ht="15" customHeight="1" x14ac:dyDescent="0.25">
      <c r="A14719" s="744" t="s">
        <v>239</v>
      </c>
      <c r="E14719" s="1425" t="s">
        <v>77</v>
      </c>
      <c r="F14719" s="661"/>
      <c r="G14719" s="661"/>
      <c r="H14719" s="662"/>
      <c r="K14719" s="744" t="s">
        <v>6750</v>
      </c>
      <c r="S14719" s="744"/>
      <c r="T14719" s="744"/>
      <c r="V14719" s="744">
        <v>38</v>
      </c>
    </row>
    <row r="14720" spans="1:22" ht="15" customHeight="1" x14ac:dyDescent="0.25">
      <c r="A14720" s="744" t="s">
        <v>239</v>
      </c>
      <c r="E14720" s="1689" t="s">
        <v>3063</v>
      </c>
      <c r="F14720" s="1689"/>
      <c r="G14720" s="1689"/>
      <c r="H14720" s="1689"/>
      <c r="S14720" s="744"/>
      <c r="T14720" s="744"/>
      <c r="V14720" s="744">
        <v>280</v>
      </c>
    </row>
    <row r="14721" spans="1:22" ht="15" customHeight="1" x14ac:dyDescent="0.25">
      <c r="A14721" s="744" t="s">
        <v>239</v>
      </c>
      <c r="E14721" s="1689" t="s">
        <v>3064</v>
      </c>
      <c r="F14721" s="1689"/>
      <c r="G14721" s="1689"/>
      <c r="H14721" s="1689"/>
      <c r="S14721" s="744"/>
      <c r="T14721" s="744"/>
      <c r="V14721" s="744">
        <v>411</v>
      </c>
    </row>
    <row r="14722" spans="1:22" ht="15" customHeight="1" x14ac:dyDescent="0.25">
      <c r="A14722" s="744" t="s">
        <v>239</v>
      </c>
      <c r="E14722" s="1689" t="s">
        <v>3129</v>
      </c>
      <c r="F14722" s="1689"/>
      <c r="G14722" s="1689"/>
      <c r="H14722" s="1689"/>
      <c r="S14722" s="744"/>
      <c r="T14722" s="744"/>
      <c r="V14722" s="744">
        <v>211</v>
      </c>
    </row>
    <row r="14723" spans="1:22" ht="15" customHeight="1" x14ac:dyDescent="0.25">
      <c r="A14723" s="744" t="s">
        <v>239</v>
      </c>
      <c r="E14723" s="1689" t="s">
        <v>3200</v>
      </c>
      <c r="F14723" s="1689"/>
      <c r="G14723" s="1689"/>
      <c r="H14723" s="1689"/>
      <c r="S14723" s="744"/>
      <c r="T14723" s="744"/>
      <c r="V14723" s="744">
        <v>275</v>
      </c>
    </row>
    <row r="14724" spans="1:22" ht="15" customHeight="1" x14ac:dyDescent="0.25">
      <c r="A14724" s="744" t="s">
        <v>239</v>
      </c>
      <c r="E14724" s="1689" t="s">
        <v>3291</v>
      </c>
      <c r="F14724" s="1689"/>
      <c r="G14724" s="1689"/>
      <c r="H14724" s="1689"/>
      <c r="S14724" s="744"/>
      <c r="T14724" s="744"/>
      <c r="V14724" s="744">
        <v>142</v>
      </c>
    </row>
    <row r="14725" spans="1:22" ht="15" customHeight="1" x14ac:dyDescent="0.2">
      <c r="A14725" s="744" t="s">
        <v>239</v>
      </c>
      <c r="E14725" s="1690" t="s">
        <v>3176</v>
      </c>
      <c r="F14725" s="1690"/>
      <c r="G14725" s="502" t="s">
        <v>23</v>
      </c>
      <c r="H14725" s="395">
        <v>100</v>
      </c>
      <c r="S14725" s="744"/>
      <c r="T14725" s="744"/>
      <c r="V14725" s="744">
        <v>106</v>
      </c>
    </row>
    <row r="14726" spans="1:22" ht="15" x14ac:dyDescent="0.2">
      <c r="A14726" s="744" t="s">
        <v>239</v>
      </c>
      <c r="E14726" s="1690" t="s">
        <v>3177</v>
      </c>
      <c r="F14726" s="1690"/>
      <c r="G14726" s="502" t="s">
        <v>23</v>
      </c>
      <c r="H14726" s="395">
        <v>20</v>
      </c>
      <c r="S14726" s="744"/>
      <c r="T14726" s="744"/>
      <c r="V14726" s="744">
        <v>34</v>
      </c>
    </row>
    <row r="14727" spans="1:22" ht="15.75" customHeight="1" x14ac:dyDescent="0.2">
      <c r="A14727" s="744" t="s">
        <v>239</v>
      </c>
      <c r="E14727" s="1690" t="s">
        <v>3178</v>
      </c>
      <c r="F14727" s="1690"/>
      <c r="G14727" s="502" t="s">
        <v>3179</v>
      </c>
      <c r="H14727" s="395">
        <v>0.5</v>
      </c>
      <c r="S14727" s="744"/>
      <c r="T14727" s="744"/>
      <c r="V14727" s="744">
        <v>51</v>
      </c>
    </row>
    <row r="14728" spans="1:22" ht="15.75" customHeight="1" x14ac:dyDescent="0.2">
      <c r="A14728" s="744" t="s">
        <v>239</v>
      </c>
      <c r="E14728" s="1690" t="s">
        <v>3180</v>
      </c>
      <c r="F14728" s="1690"/>
      <c r="G14728" s="502" t="s">
        <v>3179</v>
      </c>
      <c r="H14728" s="395">
        <v>0.3</v>
      </c>
      <c r="S14728" s="744"/>
      <c r="T14728" s="744"/>
      <c r="V14728" s="744">
        <v>75</v>
      </c>
    </row>
    <row r="14729" spans="1:22" ht="15" customHeight="1" x14ac:dyDescent="0.2">
      <c r="A14729" s="744" t="s">
        <v>239</v>
      </c>
      <c r="E14729" s="1690" t="s">
        <v>3181</v>
      </c>
      <c r="F14729" s="1690"/>
      <c r="G14729" s="502" t="s">
        <v>3179</v>
      </c>
      <c r="H14729" s="395">
        <v>-0.3</v>
      </c>
      <c r="S14729" s="744"/>
      <c r="T14729" s="744"/>
      <c r="V14729" s="744">
        <v>72</v>
      </c>
    </row>
    <row r="14730" spans="1:22" ht="15" customHeight="1" x14ac:dyDescent="0.2">
      <c r="A14730" s="744" t="s">
        <v>239</v>
      </c>
      <c r="E14730" s="1690" t="s">
        <v>3292</v>
      </c>
      <c r="F14730" s="1690"/>
      <c r="G14730" s="502"/>
      <c r="H14730" s="503"/>
      <c r="S14730" s="744"/>
      <c r="T14730" s="744"/>
      <c r="V14730" s="744">
        <v>34</v>
      </c>
    </row>
    <row r="14731" spans="1:22" ht="15" customHeight="1" x14ac:dyDescent="0.2">
      <c r="A14731" s="744" t="s">
        <v>239</v>
      </c>
      <c r="E14731" s="1691" t="s">
        <v>3183</v>
      </c>
      <c r="F14731" s="1691"/>
      <c r="G14731" s="502" t="s">
        <v>23</v>
      </c>
      <c r="H14731" s="395">
        <v>0.25</v>
      </c>
      <c r="S14731" s="744"/>
      <c r="T14731" s="744"/>
      <c r="V14731" s="744">
        <v>57</v>
      </c>
    </row>
    <row r="14732" spans="1:22" ht="15" customHeight="1" x14ac:dyDescent="0.2">
      <c r="A14732" s="744" t="s">
        <v>239</v>
      </c>
      <c r="E14732" s="1691" t="s">
        <v>3184</v>
      </c>
      <c r="F14732" s="1691"/>
      <c r="G14732" s="502" t="s">
        <v>23</v>
      </c>
      <c r="H14732" s="395">
        <v>0.5</v>
      </c>
      <c r="S14732" s="744"/>
      <c r="T14732" s="744"/>
      <c r="V14732" s="744">
        <v>60</v>
      </c>
    </row>
    <row r="14733" spans="1:22" ht="15" customHeight="1" x14ac:dyDescent="0.2">
      <c r="A14733" s="744" t="s">
        <v>239</v>
      </c>
      <c r="E14733" s="1690" t="s">
        <v>3185</v>
      </c>
      <c r="F14733" s="1690"/>
      <c r="G14733" s="502"/>
      <c r="H14733" s="503"/>
      <c r="S14733" s="744"/>
      <c r="T14733" s="744"/>
      <c r="V14733" s="744">
        <v>91</v>
      </c>
    </row>
    <row r="14734" spans="1:22" ht="15" customHeight="1" x14ac:dyDescent="0.2">
      <c r="A14734" s="744" t="s">
        <v>239</v>
      </c>
      <c r="E14734" s="1690" t="s">
        <v>3186</v>
      </c>
      <c r="F14734" s="1690"/>
      <c r="G14734" s="502"/>
      <c r="H14734" s="503"/>
      <c r="S14734" s="744"/>
      <c r="T14734" s="744"/>
      <c r="V14734" s="744">
        <v>96</v>
      </c>
    </row>
    <row r="14735" spans="1:22" ht="15" customHeight="1" x14ac:dyDescent="0.2">
      <c r="A14735" s="744" t="s">
        <v>239</v>
      </c>
      <c r="E14735" s="1690" t="s">
        <v>3293</v>
      </c>
      <c r="F14735" s="1690"/>
      <c r="G14735" s="502"/>
      <c r="H14735" s="503"/>
      <c r="S14735" s="744"/>
      <c r="T14735" s="744"/>
      <c r="V14735" s="744">
        <v>77</v>
      </c>
    </row>
    <row r="14736" spans="1:22" ht="15" customHeight="1" x14ac:dyDescent="0.2">
      <c r="A14736" s="744" t="s">
        <v>239</v>
      </c>
      <c r="E14736" s="1691" t="s">
        <v>3188</v>
      </c>
      <c r="F14736" s="1691"/>
      <c r="G14736" s="502" t="s">
        <v>23</v>
      </c>
      <c r="H14736" s="503" t="s">
        <v>3189</v>
      </c>
      <c r="S14736" s="744"/>
      <c r="T14736" s="744"/>
      <c r="V14736" s="744">
        <v>18</v>
      </c>
    </row>
    <row r="14737" spans="1:22" ht="15" customHeight="1" x14ac:dyDescent="0.2">
      <c r="A14737" s="744" t="s">
        <v>239</v>
      </c>
      <c r="E14737" s="1691" t="s">
        <v>3190</v>
      </c>
      <c r="F14737" s="1691"/>
      <c r="G14737" s="502" t="s">
        <v>23</v>
      </c>
      <c r="H14737" s="395">
        <v>2</v>
      </c>
      <c r="S14737" s="744"/>
      <c r="T14737" s="744"/>
      <c r="V14737" s="744">
        <v>69</v>
      </c>
    </row>
    <row r="14738" spans="1:22" ht="15" customHeight="1" x14ac:dyDescent="0.25">
      <c r="A14738" s="744" t="s">
        <v>239</v>
      </c>
      <c r="E14738" s="1425" t="s">
        <v>147</v>
      </c>
      <c r="F14738" s="661"/>
      <c r="G14738" s="661"/>
      <c r="H14738" s="662"/>
      <c r="K14738" s="744" t="s">
        <v>6751</v>
      </c>
      <c r="S14738" s="744"/>
      <c r="T14738" s="744"/>
      <c r="V14738" s="744">
        <v>12</v>
      </c>
    </row>
    <row r="14739" spans="1:22" ht="18" customHeight="1" x14ac:dyDescent="0.25">
      <c r="A14739" s="744" t="s">
        <v>239</v>
      </c>
      <c r="E14739" s="1704" t="s">
        <v>3192</v>
      </c>
      <c r="F14739" s="1704"/>
      <c r="G14739" s="1704"/>
      <c r="H14739" s="1704"/>
      <c r="S14739" s="744"/>
      <c r="T14739" s="744"/>
      <c r="V14739" s="744">
        <v>203</v>
      </c>
    </row>
    <row r="14740" spans="1:22" ht="15" customHeight="1" x14ac:dyDescent="0.2">
      <c r="A14740" s="744" t="s">
        <v>239</v>
      </c>
      <c r="E14740" s="1690" t="s">
        <v>3295</v>
      </c>
      <c r="F14740" s="1690"/>
      <c r="G14740" s="1427"/>
      <c r="H14740" s="393">
        <v>1.0450999999999999</v>
      </c>
      <c r="S14740" s="744"/>
      <c r="T14740" s="744"/>
      <c r="V14740" s="744">
        <v>57</v>
      </c>
    </row>
    <row r="14741" spans="1:22" ht="15" customHeight="1" x14ac:dyDescent="0.2">
      <c r="A14741" s="744" t="s">
        <v>239</v>
      </c>
      <c r="E14741" s="1690" t="s">
        <v>3296</v>
      </c>
      <c r="F14741" s="1690"/>
      <c r="G14741" s="1427"/>
      <c r="H14741" s="393">
        <v>1.0161</v>
      </c>
      <c r="S14741" s="744"/>
      <c r="T14741" s="744"/>
      <c r="V14741" s="744">
        <v>57</v>
      </c>
    </row>
    <row r="14742" spans="1:22" ht="15" customHeight="1" x14ac:dyDescent="0.2">
      <c r="A14742" s="744" t="s">
        <v>239</v>
      </c>
      <c r="E14742" s="1690" t="s">
        <v>3297</v>
      </c>
      <c r="F14742" s="1690"/>
      <c r="G14742" s="1427"/>
      <c r="H14742" s="393">
        <v>1.0347</v>
      </c>
      <c r="S14742" s="744"/>
      <c r="T14742" s="744"/>
      <c r="V14742" s="744">
        <v>55</v>
      </c>
    </row>
    <row r="14743" spans="1:22" ht="15" customHeight="1" x14ac:dyDescent="0.2">
      <c r="A14743" s="744" t="s">
        <v>239</v>
      </c>
      <c r="E14743" s="1690" t="s">
        <v>3298</v>
      </c>
      <c r="F14743" s="1690"/>
      <c r="G14743" s="1427"/>
      <c r="H14743" s="393">
        <v>1.006</v>
      </c>
      <c r="J14743" s="744" t="s">
        <v>6752</v>
      </c>
      <c r="S14743" s="744"/>
      <c r="T14743" s="744"/>
      <c r="V14743" s="744">
        <v>55</v>
      </c>
    </row>
    <row r="14744" spans="1:22" ht="15" customHeight="1" x14ac:dyDescent="0.25">
      <c r="A14744" s="744" t="s">
        <v>201</v>
      </c>
      <c r="E14744" s="2181" t="s">
        <v>201</v>
      </c>
      <c r="F14744" s="2182"/>
      <c r="G14744" s="2182"/>
      <c r="H14744" s="2182"/>
      <c r="I14744" s="744" t="s">
        <v>628</v>
      </c>
      <c r="J14744" s="744" t="s">
        <v>6753</v>
      </c>
      <c r="K14744" s="744" t="s">
        <v>201</v>
      </c>
      <c r="M14744" s="744">
        <v>8</v>
      </c>
      <c r="N14744" s="744" t="s">
        <v>628</v>
      </c>
      <c r="S14744" s="744"/>
      <c r="T14744" s="1428"/>
      <c r="V14744" s="744">
        <v>48</v>
      </c>
    </row>
    <row r="14745" spans="1:22" ht="15" customHeight="1" x14ac:dyDescent="0.25">
      <c r="A14745" s="744" t="s">
        <v>201</v>
      </c>
      <c r="E14745" s="2183" t="s">
        <v>3053</v>
      </c>
      <c r="F14745" s="2182"/>
      <c r="G14745" s="2182"/>
      <c r="H14745" s="2182"/>
      <c r="S14745" s="744"/>
      <c r="T14745" s="744"/>
      <c r="V14745" s="744">
        <v>27</v>
      </c>
    </row>
    <row r="14746" spans="1:22" ht="15" customHeight="1" x14ac:dyDescent="0.25">
      <c r="A14746" s="744" t="s">
        <v>201</v>
      </c>
      <c r="E14746" s="2184" t="s">
        <v>5107</v>
      </c>
      <c r="F14746" s="2182"/>
      <c r="G14746" s="2182"/>
      <c r="H14746" s="2182"/>
      <c r="S14746" s="1428">
        <v>43221</v>
      </c>
      <c r="T14746" s="744"/>
      <c r="V14746" s="744">
        <v>45</v>
      </c>
    </row>
    <row r="14747" spans="1:22" ht="15" customHeight="1" x14ac:dyDescent="0.25">
      <c r="A14747" s="744" t="s">
        <v>201</v>
      </c>
      <c r="E14747" s="2185" t="s">
        <v>3056</v>
      </c>
      <c r="F14747" s="2182"/>
      <c r="G14747" s="2182"/>
      <c r="H14747" s="2182"/>
      <c r="S14747" s="744"/>
      <c r="T14747" s="744"/>
      <c r="V14747" s="744">
        <v>52</v>
      </c>
    </row>
    <row r="14748" spans="1:22" ht="15" customHeight="1" x14ac:dyDescent="0.25">
      <c r="A14748" s="744" t="s">
        <v>201</v>
      </c>
      <c r="E14748" s="2185" t="s">
        <v>3057</v>
      </c>
      <c r="F14748" s="2182"/>
      <c r="G14748" s="2182"/>
      <c r="H14748" s="2182"/>
      <c r="S14748" s="744"/>
      <c r="T14748" s="744"/>
      <c r="V14748" s="744">
        <v>53</v>
      </c>
    </row>
    <row r="14749" spans="1:22" ht="15" x14ac:dyDescent="0.25">
      <c r="A14749" s="744" t="s">
        <v>201</v>
      </c>
      <c r="E14749" s="2186" t="s">
        <v>6754</v>
      </c>
      <c r="F14749" s="2187"/>
      <c r="G14749" s="2187"/>
      <c r="H14749" s="2187"/>
      <c r="K14749" s="744" t="s">
        <v>6754</v>
      </c>
      <c r="S14749" s="744"/>
      <c r="T14749" s="744"/>
      <c r="V14749" s="744">
        <v>12</v>
      </c>
    </row>
    <row r="14750" spans="1:22" x14ac:dyDescent="0.25">
      <c r="A14750" s="744" t="s">
        <v>201</v>
      </c>
      <c r="E14750" s="1429" t="s">
        <v>438</v>
      </c>
      <c r="F14750" s="841"/>
      <c r="G14750" s="841"/>
      <c r="H14750" s="841"/>
      <c r="K14750" s="744" t="s">
        <v>3197</v>
      </c>
      <c r="S14750" s="744"/>
      <c r="T14750" s="1428"/>
      <c r="V14750" s="744">
        <v>34</v>
      </c>
    </row>
    <row r="14751" spans="1:22" ht="15" customHeight="1" x14ac:dyDescent="0.25">
      <c r="A14751" s="744" t="s">
        <v>201</v>
      </c>
      <c r="E14751" s="2073" t="s">
        <v>6755</v>
      </c>
      <c r="F14751" s="1784"/>
      <c r="G14751" s="1784"/>
      <c r="H14751" s="1784"/>
      <c r="K14751" s="744" t="s">
        <v>3197</v>
      </c>
      <c r="S14751" s="744"/>
      <c r="T14751" s="744"/>
      <c r="V14751" s="744">
        <v>396</v>
      </c>
    </row>
    <row r="14752" spans="1:22" ht="15" x14ac:dyDescent="0.25">
      <c r="A14752" s="744" t="s">
        <v>201</v>
      </c>
      <c r="E14752" s="919" t="s">
        <v>3061</v>
      </c>
      <c r="F14752" s="841"/>
      <c r="G14752" s="841"/>
      <c r="H14752" s="841"/>
      <c r="K14752" s="744" t="s">
        <v>3062</v>
      </c>
      <c r="S14752" s="744"/>
      <c r="T14752" s="744"/>
      <c r="V14752" s="744">
        <v>11</v>
      </c>
    </row>
    <row r="14753" spans="1:22" ht="15" customHeight="1" x14ac:dyDescent="0.25">
      <c r="A14753" s="744" t="s">
        <v>201</v>
      </c>
      <c r="E14753" s="2083" t="s">
        <v>6756</v>
      </c>
      <c r="F14753" s="2188"/>
      <c r="G14753" s="2188"/>
      <c r="H14753" s="2188"/>
      <c r="K14753" s="744" t="s">
        <v>3197</v>
      </c>
      <c r="S14753" s="744"/>
      <c r="T14753" s="744"/>
      <c r="V14753" s="744">
        <v>250</v>
      </c>
    </row>
    <row r="14754" spans="1:22" ht="15" customHeight="1" x14ac:dyDescent="0.25">
      <c r="A14754" s="744" t="s">
        <v>201</v>
      </c>
      <c r="E14754" s="2083" t="s">
        <v>6757</v>
      </c>
      <c r="F14754" s="2188"/>
      <c r="G14754" s="2188"/>
      <c r="H14754" s="2188"/>
      <c r="K14754" s="744" t="s">
        <v>3197</v>
      </c>
      <c r="S14754" s="744"/>
      <c r="T14754" s="744"/>
      <c r="V14754" s="744">
        <v>381</v>
      </c>
    </row>
    <row r="14755" spans="1:22" ht="15" customHeight="1" x14ac:dyDescent="0.25">
      <c r="A14755" s="744" t="s">
        <v>201</v>
      </c>
      <c r="E14755" s="2083" t="s">
        <v>3065</v>
      </c>
      <c r="F14755" s="2188"/>
      <c r="G14755" s="2188"/>
      <c r="H14755" s="2188"/>
      <c r="K14755" s="744" t="s">
        <v>3197</v>
      </c>
      <c r="S14755" s="744"/>
      <c r="T14755" s="744"/>
      <c r="V14755" s="744">
        <v>387</v>
      </c>
    </row>
    <row r="14756" spans="1:22" ht="15" customHeight="1" x14ac:dyDescent="0.25">
      <c r="A14756" s="744" t="s">
        <v>201</v>
      </c>
      <c r="E14756" s="2083" t="s">
        <v>6674</v>
      </c>
      <c r="F14756" s="2188"/>
      <c r="G14756" s="2188"/>
      <c r="H14756" s="2188"/>
      <c r="K14756" s="744" t="s">
        <v>3197</v>
      </c>
      <c r="S14756" s="744"/>
      <c r="T14756" s="744"/>
      <c r="V14756" s="744">
        <v>293</v>
      </c>
    </row>
    <row r="14757" spans="1:22" ht="15" x14ac:dyDescent="0.25">
      <c r="A14757" s="744" t="s">
        <v>201</v>
      </c>
      <c r="E14757" s="919" t="s">
        <v>3067</v>
      </c>
      <c r="F14757" s="841"/>
      <c r="G14757" s="841"/>
      <c r="H14757" s="841"/>
      <c r="K14757" s="744" t="s">
        <v>3068</v>
      </c>
      <c r="S14757" s="744"/>
      <c r="T14757" s="1428"/>
      <c r="V14757" s="744">
        <v>46</v>
      </c>
    </row>
    <row r="14758" spans="1:22" ht="15" x14ac:dyDescent="0.2">
      <c r="A14758" s="744" t="s">
        <v>201</v>
      </c>
      <c r="E14758" s="2189" t="s">
        <v>11</v>
      </c>
      <c r="F14758" s="2189"/>
      <c r="G14758" s="433" t="s">
        <v>23</v>
      </c>
      <c r="H14758" s="599">
        <v>14.07</v>
      </c>
      <c r="K14758" s="744" t="s">
        <v>3197</v>
      </c>
      <c r="L14758" s="744" t="s">
        <v>442</v>
      </c>
      <c r="P14758" s="744" t="s">
        <v>3201</v>
      </c>
      <c r="S14758" s="744"/>
      <c r="T14758" s="744"/>
      <c r="V14758" s="744">
        <v>14</v>
      </c>
    </row>
    <row r="14759" spans="1:22" ht="15" customHeight="1" x14ac:dyDescent="0.2">
      <c r="A14759" s="744" t="s">
        <v>201</v>
      </c>
      <c r="E14759" s="2189" t="s">
        <v>6758</v>
      </c>
      <c r="F14759" s="2189"/>
      <c r="G14759" s="433" t="s">
        <v>23</v>
      </c>
      <c r="H14759" s="599">
        <v>1.39</v>
      </c>
      <c r="K14759" s="744" t="s">
        <v>3197</v>
      </c>
      <c r="L14759" s="744" t="s">
        <v>443</v>
      </c>
      <c r="P14759" s="744" t="s">
        <v>6759</v>
      </c>
      <c r="S14759" s="744"/>
      <c r="T14759" s="744"/>
      <c r="V14759" s="744">
        <v>135</v>
      </c>
    </row>
    <row r="14760" spans="1:22" ht="15" x14ac:dyDescent="0.2">
      <c r="A14760" s="744" t="s">
        <v>201</v>
      </c>
      <c r="E14760" s="2190" t="s">
        <v>423</v>
      </c>
      <c r="F14760" s="2190"/>
      <c r="G14760" s="433" t="s">
        <v>23</v>
      </c>
      <c r="H14760" s="599">
        <v>0.56999999999999995</v>
      </c>
      <c r="K14760" s="744" t="s">
        <v>3197</v>
      </c>
      <c r="L14760" s="744" t="s">
        <v>443</v>
      </c>
      <c r="P14760" s="744" t="s">
        <v>3202</v>
      </c>
      <c r="S14760" s="744"/>
      <c r="T14760" s="1428">
        <v>43404</v>
      </c>
      <c r="V14760" s="744">
        <v>78</v>
      </c>
    </row>
    <row r="14761" spans="1:22" ht="15" x14ac:dyDescent="0.2">
      <c r="A14761" s="744" t="s">
        <v>201</v>
      </c>
      <c r="E14761" s="2190" t="s">
        <v>84</v>
      </c>
      <c r="F14761" s="2190"/>
      <c r="G14761" s="433" t="s">
        <v>24</v>
      </c>
      <c r="H14761" s="1430">
        <v>1.7000000000000001E-2</v>
      </c>
      <c r="K14761" s="744" t="s">
        <v>3197</v>
      </c>
      <c r="L14761" s="744" t="s">
        <v>442</v>
      </c>
      <c r="P14761" s="744" t="s">
        <v>3203</v>
      </c>
      <c r="S14761" s="744"/>
      <c r="T14761" s="744"/>
      <c r="V14761" s="744">
        <v>28</v>
      </c>
    </row>
    <row r="14762" spans="1:22" ht="15" x14ac:dyDescent="0.2">
      <c r="A14762" s="744" t="s">
        <v>201</v>
      </c>
      <c r="E14762" s="2190" t="s">
        <v>18</v>
      </c>
      <c r="F14762" s="2190"/>
      <c r="G14762" s="433" t="s">
        <v>24</v>
      </c>
      <c r="H14762" s="1430">
        <v>3.7000000000000002E-3</v>
      </c>
      <c r="I14762" s="744" t="str">
        <f>IF(LEN(H14762)&gt;6, "fix", "")</f>
        <v/>
      </c>
      <c r="K14762" s="744" t="s">
        <v>3197</v>
      </c>
      <c r="L14762" s="744" t="s">
        <v>443</v>
      </c>
      <c r="P14762" s="744" t="s">
        <v>3204</v>
      </c>
      <c r="S14762" s="744"/>
      <c r="T14762" s="1428"/>
      <c r="V14762" s="744">
        <v>24</v>
      </c>
    </row>
    <row r="14763" spans="1:22" ht="15" customHeight="1" x14ac:dyDescent="0.2">
      <c r="A14763" s="744" t="s">
        <v>201</v>
      </c>
      <c r="E14763" s="2189" t="s">
        <v>6758</v>
      </c>
      <c r="F14763" s="2189"/>
      <c r="G14763" s="433" t="s">
        <v>24</v>
      </c>
      <c r="H14763" s="1430">
        <v>1.6999999999999999E-3</v>
      </c>
      <c r="K14763" s="744" t="s">
        <v>3197</v>
      </c>
      <c r="L14763" s="744" t="s">
        <v>443</v>
      </c>
      <c r="P14763" s="744" t="s">
        <v>6760</v>
      </c>
      <c r="S14763" s="744"/>
      <c r="T14763" s="744"/>
      <c r="V14763" s="744">
        <v>135</v>
      </c>
    </row>
    <row r="14764" spans="1:22" ht="15" x14ac:dyDescent="0.2">
      <c r="A14764" s="744" t="s">
        <v>201</v>
      </c>
      <c r="E14764" s="2190" t="s">
        <v>221</v>
      </c>
      <c r="F14764" s="2190"/>
      <c r="G14764" s="433" t="s">
        <v>24</v>
      </c>
      <c r="H14764" s="1430">
        <v>6.3310971923853689E-3</v>
      </c>
      <c r="K14764" s="744" t="s">
        <v>3197</v>
      </c>
      <c r="L14764" s="744" t="s">
        <v>444</v>
      </c>
      <c r="P14764" s="744" t="s">
        <v>3208</v>
      </c>
      <c r="S14764" s="744"/>
      <c r="T14764" s="744"/>
      <c r="V14764" s="744">
        <v>47</v>
      </c>
    </row>
    <row r="14765" spans="1:22" ht="15" x14ac:dyDescent="0.2">
      <c r="A14765" s="744" t="s">
        <v>201</v>
      </c>
      <c r="E14765" s="2190" t="s">
        <v>217</v>
      </c>
      <c r="F14765" s="2190"/>
      <c r="G14765" s="433" t="s">
        <v>24</v>
      </c>
      <c r="H14765" s="1430">
        <v>4.0052883036030863E-3</v>
      </c>
      <c r="K14765" s="744" t="s">
        <v>3197</v>
      </c>
      <c r="L14765" s="744" t="s">
        <v>444</v>
      </c>
      <c r="P14765" s="744" t="s">
        <v>3209</v>
      </c>
      <c r="S14765" s="744"/>
      <c r="T14765" s="744"/>
      <c r="V14765" s="744">
        <v>74</v>
      </c>
    </row>
    <row r="14766" spans="1:22" ht="15" x14ac:dyDescent="0.25">
      <c r="A14766" s="744" t="s">
        <v>201</v>
      </c>
      <c r="E14766" s="919" t="s">
        <v>3079</v>
      </c>
      <c r="F14766" s="841"/>
      <c r="G14766" s="841"/>
      <c r="H14766" s="841"/>
      <c r="K14766" s="744" t="s">
        <v>3080</v>
      </c>
      <c r="S14766" s="744"/>
      <c r="T14766" s="744"/>
      <c r="V14766" s="744">
        <v>48</v>
      </c>
    </row>
    <row r="14767" spans="1:22" ht="15" x14ac:dyDescent="0.25">
      <c r="A14767" s="744" t="s">
        <v>201</v>
      </c>
      <c r="E14767" s="2190" t="s">
        <v>31</v>
      </c>
      <c r="F14767" s="1852"/>
      <c r="G14767" s="433" t="s">
        <v>24</v>
      </c>
      <c r="H14767" s="1430">
        <v>4.4000000000000003E-3</v>
      </c>
      <c r="K14767" s="744" t="s">
        <v>3197</v>
      </c>
      <c r="L14767" s="744" t="s">
        <v>3046</v>
      </c>
      <c r="P14767" s="744" t="s">
        <v>3210</v>
      </c>
      <c r="S14767" s="744"/>
      <c r="T14767" s="1428"/>
      <c r="V14767" s="744">
        <v>29</v>
      </c>
    </row>
    <row r="14768" spans="1:22" ht="15" x14ac:dyDescent="0.25">
      <c r="A14768" s="744" t="s">
        <v>201</v>
      </c>
      <c r="E14768" s="2190" t="s">
        <v>439</v>
      </c>
      <c r="F14768" s="1852"/>
      <c r="G14768" s="433" t="s">
        <v>24</v>
      </c>
      <c r="H14768" s="1430">
        <v>1.2999999999999999E-3</v>
      </c>
      <c r="K14768" s="744" t="s">
        <v>3197</v>
      </c>
      <c r="L14768" s="744" t="s">
        <v>3046</v>
      </c>
      <c r="P14768" s="744" t="s">
        <v>3212</v>
      </c>
      <c r="S14768" s="744"/>
      <c r="T14768" s="744"/>
      <c r="V14768" s="744">
        <v>57</v>
      </c>
    </row>
    <row r="14769" spans="1:22" ht="15" x14ac:dyDescent="0.25">
      <c r="A14769" s="744" t="s">
        <v>201</v>
      </c>
      <c r="E14769" s="2190" t="s">
        <v>32</v>
      </c>
      <c r="F14769" s="1852"/>
      <c r="G14769" s="433" t="s">
        <v>23</v>
      </c>
      <c r="H14769" s="599">
        <v>0.25</v>
      </c>
      <c r="K14769" s="744" t="s">
        <v>3197</v>
      </c>
      <c r="L14769" s="744" t="s">
        <v>3046</v>
      </c>
      <c r="P14769" s="744" t="s">
        <v>3213</v>
      </c>
      <c r="S14769" s="744"/>
      <c r="T14769" s="744"/>
      <c r="V14769" s="744">
        <v>63</v>
      </c>
    </row>
    <row r="14770" spans="1:22" ht="15" customHeight="1" x14ac:dyDescent="0.25">
      <c r="A14770" s="744" t="s">
        <v>201</v>
      </c>
      <c r="E14770" s="1909" t="s">
        <v>1709</v>
      </c>
      <c r="F14770" s="1697"/>
      <c r="G14770" s="1697"/>
      <c r="H14770" s="1697"/>
      <c r="K14770" s="744" t="s">
        <v>3302</v>
      </c>
      <c r="S14770" s="744"/>
      <c r="T14770" s="744"/>
      <c r="V14770" s="744">
        <v>46</v>
      </c>
    </row>
    <row r="14771" spans="1:22" ht="15" customHeight="1" x14ac:dyDescent="0.25">
      <c r="A14771" s="744" t="s">
        <v>201</v>
      </c>
      <c r="E14771" s="1689" t="s">
        <v>3097</v>
      </c>
      <c r="F14771" s="1689"/>
      <c r="G14771" s="1689"/>
      <c r="H14771" s="1689"/>
      <c r="K14771" s="744" t="s">
        <v>3302</v>
      </c>
      <c r="S14771" s="744"/>
      <c r="T14771" s="744"/>
      <c r="V14771" s="744">
        <v>158</v>
      </c>
    </row>
    <row r="14772" spans="1:22" ht="15" x14ac:dyDescent="0.25">
      <c r="A14772" s="744" t="s">
        <v>201</v>
      </c>
      <c r="E14772" s="1916" t="s">
        <v>3061</v>
      </c>
      <c r="F14772" s="1697"/>
      <c r="G14772" s="1697"/>
      <c r="H14772" s="1697"/>
      <c r="K14772" s="744" t="s">
        <v>3086</v>
      </c>
      <c r="S14772" s="744"/>
      <c r="T14772" s="744"/>
      <c r="V14772" s="744">
        <v>11</v>
      </c>
    </row>
    <row r="14773" spans="1:22" ht="15" customHeight="1" x14ac:dyDescent="0.25">
      <c r="A14773" s="744" t="s">
        <v>201</v>
      </c>
      <c r="E14773" s="1689" t="s">
        <v>3303</v>
      </c>
      <c r="F14773" s="1689"/>
      <c r="G14773" s="1689"/>
      <c r="H14773" s="1689"/>
      <c r="K14773" s="744" t="s">
        <v>3302</v>
      </c>
      <c r="S14773" s="744"/>
      <c r="T14773" s="744"/>
      <c r="V14773" s="744">
        <v>156</v>
      </c>
    </row>
    <row r="14774" spans="1:22" ht="15" customHeight="1" x14ac:dyDescent="0.25">
      <c r="A14774" s="744" t="s">
        <v>201</v>
      </c>
      <c r="E14774" s="1689" t="s">
        <v>3304</v>
      </c>
      <c r="F14774" s="1689"/>
      <c r="G14774" s="1689"/>
      <c r="H14774" s="1689"/>
      <c r="K14774" s="744" t="s">
        <v>3302</v>
      </c>
      <c r="S14774" s="744"/>
      <c r="T14774" s="744"/>
      <c r="V14774" s="744">
        <v>270</v>
      </c>
    </row>
    <row r="14775" spans="1:22" ht="15" customHeight="1" x14ac:dyDescent="0.25">
      <c r="A14775" s="744" t="s">
        <v>201</v>
      </c>
      <c r="E14775" s="1689" t="s">
        <v>6641</v>
      </c>
      <c r="F14775" s="1689"/>
      <c r="G14775" s="1689"/>
      <c r="H14775" s="1689"/>
      <c r="K14775" s="744" t="s">
        <v>3302</v>
      </c>
      <c r="S14775" s="744"/>
      <c r="T14775" s="744"/>
      <c r="V14775" s="744">
        <v>933</v>
      </c>
    </row>
    <row r="14776" spans="1:22" ht="15" x14ac:dyDescent="0.2">
      <c r="A14776" s="744" t="s">
        <v>201</v>
      </c>
      <c r="E14776" s="1694" t="s">
        <v>3305</v>
      </c>
      <c r="F14776" s="1907"/>
      <c r="G14776" s="1907"/>
      <c r="H14776" s="1907"/>
      <c r="K14776" s="744" t="s">
        <v>6642</v>
      </c>
      <c r="S14776" s="744"/>
      <c r="T14776" s="744"/>
      <c r="V14776" s="744">
        <v>25</v>
      </c>
    </row>
    <row r="14777" spans="1:22" ht="15" x14ac:dyDescent="0.25">
      <c r="A14777" s="744" t="s">
        <v>201</v>
      </c>
      <c r="E14777" s="1906" t="s">
        <v>3100</v>
      </c>
      <c r="F14777" s="1906"/>
      <c r="G14777" s="3"/>
      <c r="H14777" s="3"/>
      <c r="K14777" s="744" t="s">
        <v>3302</v>
      </c>
      <c r="S14777" s="744"/>
      <c r="T14777" s="744"/>
      <c r="V14777" s="744">
        <v>7</v>
      </c>
    </row>
    <row r="14778" spans="1:22" ht="15" customHeight="1" x14ac:dyDescent="0.25">
      <c r="A14778" s="744" t="s">
        <v>201</v>
      </c>
      <c r="E14778" s="1704" t="s">
        <v>3617</v>
      </c>
      <c r="F14778" s="1704"/>
      <c r="G14778" s="1704"/>
      <c r="H14778" s="1704"/>
      <c r="K14778" s="744" t="s">
        <v>3302</v>
      </c>
      <c r="S14778" s="744"/>
      <c r="T14778" s="744"/>
      <c r="V14778" s="744">
        <v>512</v>
      </c>
    </row>
    <row r="14779" spans="1:22" ht="15" x14ac:dyDescent="0.25">
      <c r="A14779" s="744" t="s">
        <v>201</v>
      </c>
      <c r="E14779" s="1423" t="s">
        <v>3101</v>
      </c>
      <c r="F14779" s="1423"/>
      <c r="G14779" s="1426" t="s">
        <v>23</v>
      </c>
      <c r="H14779" s="395">
        <v>-30</v>
      </c>
      <c r="K14779" s="744" t="s">
        <v>3302</v>
      </c>
      <c r="P14779" s="744" t="s">
        <v>3306</v>
      </c>
      <c r="S14779" s="744"/>
      <c r="T14779" s="744"/>
      <c r="V14779" s="744">
        <v>11</v>
      </c>
    </row>
    <row r="14780" spans="1:22" ht="15" x14ac:dyDescent="0.25">
      <c r="A14780" s="744" t="s">
        <v>201</v>
      </c>
      <c r="E14780" s="1906" t="s">
        <v>3102</v>
      </c>
      <c r="F14780" s="1906"/>
      <c r="G14780" s="3"/>
      <c r="H14780" s="3"/>
      <c r="K14780" s="744" t="s">
        <v>3302</v>
      </c>
      <c r="S14780" s="744"/>
      <c r="T14780" s="744"/>
      <c r="V14780" s="744">
        <v>7</v>
      </c>
    </row>
    <row r="14781" spans="1:22" ht="15" customHeight="1" x14ac:dyDescent="0.25">
      <c r="A14781" s="744" t="s">
        <v>201</v>
      </c>
      <c r="E14781" s="1704" t="s">
        <v>3618</v>
      </c>
      <c r="F14781" s="1704"/>
      <c r="G14781" s="1704"/>
      <c r="H14781" s="1704"/>
      <c r="K14781" s="744" t="s">
        <v>3302</v>
      </c>
      <c r="S14781" s="744"/>
      <c r="T14781" s="744"/>
      <c r="V14781" s="744">
        <v>378</v>
      </c>
    </row>
    <row r="14782" spans="1:22" ht="15" x14ac:dyDescent="0.25">
      <c r="A14782" s="744" t="s">
        <v>201</v>
      </c>
      <c r="E14782" s="1704" t="s">
        <v>3101</v>
      </c>
      <c r="F14782" s="1959"/>
      <c r="G14782" s="1426" t="s">
        <v>23</v>
      </c>
      <c r="H14782" s="395">
        <v>-34</v>
      </c>
      <c r="K14782" s="744" t="s">
        <v>3302</v>
      </c>
      <c r="P14782" s="744" t="s">
        <v>3307</v>
      </c>
      <c r="S14782" s="1428"/>
      <c r="T14782" s="1428"/>
      <c r="V14782" s="744">
        <v>11</v>
      </c>
    </row>
    <row r="14783" spans="1:22" ht="15" x14ac:dyDescent="0.25">
      <c r="A14783" s="744" t="s">
        <v>201</v>
      </c>
      <c r="E14783" s="1906" t="s">
        <v>3103</v>
      </c>
      <c r="F14783" s="1906"/>
      <c r="G14783" s="3"/>
      <c r="H14783" s="3"/>
      <c r="K14783" s="744" t="s">
        <v>3302</v>
      </c>
      <c r="S14783" s="744"/>
      <c r="T14783" s="744"/>
      <c r="V14783" s="744">
        <v>7</v>
      </c>
    </row>
    <row r="14784" spans="1:22" ht="15" customHeight="1" x14ac:dyDescent="0.25">
      <c r="A14784" s="744" t="s">
        <v>201</v>
      </c>
      <c r="E14784" s="1704" t="s">
        <v>3619</v>
      </c>
      <c r="F14784" s="1704"/>
      <c r="G14784" s="1704"/>
      <c r="H14784" s="1704"/>
      <c r="K14784" s="744" t="s">
        <v>3302</v>
      </c>
      <c r="S14784" s="744"/>
      <c r="T14784" s="744"/>
      <c r="V14784" s="744">
        <v>387</v>
      </c>
    </row>
    <row r="14785" spans="1:22" ht="15" x14ac:dyDescent="0.25">
      <c r="A14785" s="744" t="s">
        <v>201</v>
      </c>
      <c r="E14785" s="1423" t="s">
        <v>3101</v>
      </c>
      <c r="F14785" s="1423"/>
      <c r="G14785" s="1426" t="s">
        <v>23</v>
      </c>
      <c r="H14785" s="395">
        <v>-38</v>
      </c>
      <c r="K14785" s="744" t="s">
        <v>3302</v>
      </c>
      <c r="P14785" s="744" t="s">
        <v>3308</v>
      </c>
      <c r="S14785" s="744"/>
      <c r="T14785" s="1428"/>
      <c r="V14785" s="744">
        <v>11</v>
      </c>
    </row>
    <row r="14786" spans="1:22" ht="15" x14ac:dyDescent="0.25">
      <c r="A14786" s="744" t="s">
        <v>201</v>
      </c>
      <c r="E14786" s="1906" t="s">
        <v>3309</v>
      </c>
      <c r="F14786" s="1906"/>
      <c r="G14786" s="3"/>
      <c r="H14786" s="3"/>
      <c r="K14786" s="744" t="s">
        <v>3302</v>
      </c>
      <c r="S14786" s="744"/>
      <c r="T14786" s="1428"/>
      <c r="V14786" s="744">
        <v>7</v>
      </c>
    </row>
    <row r="14787" spans="1:22" ht="15" customHeight="1" x14ac:dyDescent="0.25">
      <c r="A14787" s="744" t="s">
        <v>201</v>
      </c>
      <c r="E14787" s="1704" t="s">
        <v>3620</v>
      </c>
      <c r="F14787" s="1704"/>
      <c r="G14787" s="1704"/>
      <c r="H14787" s="1704"/>
      <c r="K14787" s="744" t="s">
        <v>3302</v>
      </c>
      <c r="S14787" s="744"/>
      <c r="T14787" s="744"/>
      <c r="V14787" s="744">
        <v>267</v>
      </c>
    </row>
    <row r="14788" spans="1:22" ht="15" x14ac:dyDescent="0.2">
      <c r="A14788" s="744" t="s">
        <v>201</v>
      </c>
      <c r="E14788" s="1690" t="s">
        <v>3101</v>
      </c>
      <c r="F14788" s="1690"/>
      <c r="G14788" s="1427" t="s">
        <v>23</v>
      </c>
      <c r="H14788" s="391">
        <v>-42</v>
      </c>
      <c r="I14788" s="1431"/>
      <c r="J14788" s="1431"/>
      <c r="K14788" s="1431" t="s">
        <v>3302</v>
      </c>
      <c r="L14788" s="1431"/>
      <c r="M14788" s="1431"/>
      <c r="N14788" s="1431"/>
      <c r="O14788" s="1431"/>
      <c r="P14788" s="1431" t="s">
        <v>3310</v>
      </c>
      <c r="Q14788" s="1431"/>
      <c r="R14788" s="1431"/>
      <c r="S14788" s="1431"/>
      <c r="T14788" s="1431"/>
      <c r="U14788" s="1431"/>
      <c r="V14788" s="1431">
        <v>11</v>
      </c>
    </row>
    <row r="14789" spans="1:22" ht="15" x14ac:dyDescent="0.25">
      <c r="A14789" s="744" t="s">
        <v>201</v>
      </c>
      <c r="E14789" s="1906" t="s">
        <v>3311</v>
      </c>
      <c r="F14789" s="1906"/>
      <c r="G14789" s="3"/>
      <c r="H14789" s="3"/>
      <c r="I14789" s="1431"/>
      <c r="J14789" s="1431"/>
      <c r="K14789" s="1431" t="s">
        <v>3302</v>
      </c>
      <c r="L14789" s="1431"/>
      <c r="M14789" s="1431"/>
      <c r="N14789" s="1431"/>
      <c r="O14789" s="1431"/>
      <c r="P14789" s="1431"/>
      <c r="Q14789" s="1431"/>
      <c r="R14789" s="1431"/>
      <c r="S14789" s="1431"/>
      <c r="T14789" s="1431"/>
      <c r="U14789" s="1431"/>
      <c r="V14789" s="1431">
        <v>7</v>
      </c>
    </row>
    <row r="14790" spans="1:22" ht="15" customHeight="1" x14ac:dyDescent="0.25">
      <c r="A14790" s="744" t="s">
        <v>201</v>
      </c>
      <c r="E14790" s="1704" t="s">
        <v>3496</v>
      </c>
      <c r="F14790" s="1704"/>
      <c r="G14790" s="1704"/>
      <c r="H14790" s="1704"/>
      <c r="I14790" s="1431"/>
      <c r="J14790" s="1431"/>
      <c r="K14790" s="1431" t="s">
        <v>3302</v>
      </c>
      <c r="L14790" s="1431"/>
      <c r="M14790" s="1431"/>
      <c r="N14790" s="1431"/>
      <c r="O14790" s="1431"/>
      <c r="P14790" s="1431"/>
      <c r="Q14790" s="1431"/>
      <c r="R14790" s="1431"/>
      <c r="S14790" s="1431"/>
      <c r="T14790" s="1432"/>
      <c r="U14790" s="1431"/>
      <c r="V14790" s="1431">
        <v>523</v>
      </c>
    </row>
    <row r="14791" spans="1:22" ht="15" x14ac:dyDescent="0.25">
      <c r="A14791" s="744" t="s">
        <v>201</v>
      </c>
      <c r="E14791" s="1423" t="s">
        <v>3101</v>
      </c>
      <c r="F14791" s="1423"/>
      <c r="G14791" s="1426" t="s">
        <v>23</v>
      </c>
      <c r="H14791" s="395">
        <v>-45</v>
      </c>
      <c r="I14791" s="1431"/>
      <c r="J14791" s="1431"/>
      <c r="K14791" s="1431" t="s">
        <v>3302</v>
      </c>
      <c r="L14791" s="1431"/>
      <c r="M14791" s="1431"/>
      <c r="N14791" s="1431"/>
      <c r="O14791" s="1431"/>
      <c r="P14791" s="1431" t="s">
        <v>3312</v>
      </c>
      <c r="Q14791" s="1431"/>
      <c r="R14791" s="1431"/>
      <c r="S14791" s="1431"/>
      <c r="T14791" s="1431"/>
      <c r="U14791" s="1431"/>
      <c r="V14791" s="1431">
        <v>11</v>
      </c>
    </row>
    <row r="14792" spans="1:22" ht="15" x14ac:dyDescent="0.25">
      <c r="A14792" s="744" t="s">
        <v>201</v>
      </c>
      <c r="E14792" s="1906" t="s">
        <v>3313</v>
      </c>
      <c r="F14792" s="1906"/>
      <c r="G14792" s="3"/>
      <c r="H14792" s="3"/>
      <c r="K14792" s="744" t="s">
        <v>3302</v>
      </c>
      <c r="S14792" s="744"/>
      <c r="T14792" s="744"/>
      <c r="V14792" s="744">
        <v>7</v>
      </c>
    </row>
    <row r="14793" spans="1:22" ht="15" customHeight="1" x14ac:dyDescent="0.25">
      <c r="A14793" s="744" t="s">
        <v>201</v>
      </c>
      <c r="E14793" s="1704" t="s">
        <v>3314</v>
      </c>
      <c r="F14793" s="1704"/>
      <c r="G14793" s="1704"/>
      <c r="H14793" s="1704"/>
      <c r="K14793" s="744" t="s">
        <v>3302</v>
      </c>
      <c r="S14793" s="744"/>
      <c r="T14793" s="744"/>
      <c r="V14793" s="744">
        <v>368</v>
      </c>
    </row>
    <row r="14794" spans="1:22" ht="15" customHeight="1" x14ac:dyDescent="0.25">
      <c r="A14794" s="744" t="s">
        <v>201</v>
      </c>
      <c r="E14794" s="2180" t="s">
        <v>3365</v>
      </c>
      <c r="F14794" s="2180"/>
      <c r="G14794" s="2180"/>
      <c r="H14794" s="2180"/>
      <c r="K14794" s="744" t="s">
        <v>3302</v>
      </c>
      <c r="S14794" s="744"/>
      <c r="T14794" s="744"/>
      <c r="V14794" s="744">
        <v>374</v>
      </c>
    </row>
    <row r="14795" spans="1:22" ht="15" x14ac:dyDescent="0.25">
      <c r="A14795" s="744" t="s">
        <v>201</v>
      </c>
      <c r="E14795" s="1422" t="s">
        <v>3101</v>
      </c>
      <c r="F14795" s="396"/>
      <c r="G14795" s="1427" t="s">
        <v>23</v>
      </c>
      <c r="H14795" s="391">
        <v>-50</v>
      </c>
      <c r="K14795" s="744" t="s">
        <v>3302</v>
      </c>
      <c r="P14795" s="744" t="s">
        <v>3315</v>
      </c>
      <c r="S14795" s="744"/>
      <c r="T14795" s="744"/>
      <c r="V14795" s="744">
        <v>11</v>
      </c>
    </row>
    <row r="14796" spans="1:22" ht="15" x14ac:dyDescent="0.25">
      <c r="A14796" s="744" t="s">
        <v>201</v>
      </c>
      <c r="E14796" s="1906" t="s">
        <v>3104</v>
      </c>
      <c r="F14796" s="1906"/>
      <c r="G14796" s="3"/>
      <c r="H14796" s="3"/>
      <c r="K14796" s="744" t="s">
        <v>3302</v>
      </c>
      <c r="S14796" s="744"/>
      <c r="T14796" s="744"/>
      <c r="V14796" s="744">
        <v>7</v>
      </c>
    </row>
    <row r="14797" spans="1:22" ht="15" customHeight="1" x14ac:dyDescent="0.25">
      <c r="A14797" s="744" t="s">
        <v>201</v>
      </c>
      <c r="E14797" s="1704" t="s">
        <v>3621</v>
      </c>
      <c r="F14797" s="1704"/>
      <c r="G14797" s="1704"/>
      <c r="H14797" s="1704"/>
      <c r="K14797" s="744" t="s">
        <v>3302</v>
      </c>
      <c r="S14797" s="744"/>
      <c r="T14797" s="744"/>
      <c r="V14797" s="744">
        <v>523</v>
      </c>
    </row>
    <row r="14798" spans="1:22" ht="15" x14ac:dyDescent="0.25">
      <c r="A14798" s="744" t="s">
        <v>201</v>
      </c>
      <c r="E14798" s="1423" t="s">
        <v>3101</v>
      </c>
      <c r="F14798" s="1423"/>
      <c r="G14798" s="1426" t="s">
        <v>23</v>
      </c>
      <c r="H14798" s="395">
        <v>-55</v>
      </c>
      <c r="K14798" s="744" t="s">
        <v>3302</v>
      </c>
      <c r="P14798" s="744" t="s">
        <v>3316</v>
      </c>
      <c r="S14798" s="744"/>
      <c r="T14798" s="744"/>
      <c r="V14798" s="744">
        <v>11</v>
      </c>
    </row>
    <row r="14799" spans="1:22" ht="15" x14ac:dyDescent="0.25">
      <c r="A14799" s="744" t="s">
        <v>201</v>
      </c>
      <c r="E14799" s="1906" t="s">
        <v>3105</v>
      </c>
      <c r="F14799" s="1906"/>
      <c r="G14799" s="3"/>
      <c r="H14799" s="3"/>
      <c r="K14799" s="744" t="s">
        <v>3302</v>
      </c>
      <c r="S14799" s="744"/>
      <c r="T14799" s="744"/>
      <c r="V14799" s="744">
        <v>7</v>
      </c>
    </row>
    <row r="14800" spans="1:22" ht="15" customHeight="1" x14ac:dyDescent="0.25">
      <c r="A14800" s="744" t="s">
        <v>201</v>
      </c>
      <c r="E14800" s="1704" t="s">
        <v>3622</v>
      </c>
      <c r="F14800" s="1704"/>
      <c r="G14800" s="1704"/>
      <c r="H14800" s="1704"/>
      <c r="K14800" s="744" t="s">
        <v>3302</v>
      </c>
      <c r="S14800" s="744"/>
      <c r="T14800" s="744"/>
      <c r="V14800" s="744">
        <v>524</v>
      </c>
    </row>
    <row r="14801" spans="1:22" ht="15" x14ac:dyDescent="0.25">
      <c r="A14801" s="744" t="s">
        <v>201</v>
      </c>
      <c r="E14801" s="1423" t="s">
        <v>3101</v>
      </c>
      <c r="F14801" s="1423"/>
      <c r="G14801" s="1426" t="s">
        <v>23</v>
      </c>
      <c r="H14801" s="395">
        <v>-60</v>
      </c>
      <c r="K14801" s="744" t="s">
        <v>3302</v>
      </c>
      <c r="P14801" s="744" t="s">
        <v>3317</v>
      </c>
      <c r="S14801" s="744"/>
      <c r="T14801" s="744"/>
      <c r="V14801" s="744">
        <v>11</v>
      </c>
    </row>
    <row r="14802" spans="1:22" ht="15" x14ac:dyDescent="0.25">
      <c r="A14802" s="744" t="s">
        <v>201</v>
      </c>
      <c r="E14802" s="1906" t="s">
        <v>3318</v>
      </c>
      <c r="F14802" s="1906"/>
      <c r="G14802" s="3"/>
      <c r="H14802" s="3"/>
      <c r="K14802" s="744" t="s">
        <v>3302</v>
      </c>
      <c r="S14802" s="744"/>
      <c r="T14802" s="744"/>
      <c r="V14802" s="744">
        <v>7</v>
      </c>
    </row>
    <row r="14803" spans="1:22" ht="15" customHeight="1" x14ac:dyDescent="0.25">
      <c r="A14803" s="744" t="s">
        <v>201</v>
      </c>
      <c r="E14803" s="1704" t="s">
        <v>3623</v>
      </c>
      <c r="F14803" s="1704"/>
      <c r="G14803" s="1704"/>
      <c r="H14803" s="1704"/>
      <c r="K14803" s="744" t="s">
        <v>3302</v>
      </c>
      <c r="S14803" s="744"/>
      <c r="T14803" s="744"/>
      <c r="V14803" s="744">
        <v>548</v>
      </c>
    </row>
    <row r="14804" spans="1:22" ht="15" x14ac:dyDescent="0.25">
      <c r="A14804" s="744" t="s">
        <v>201</v>
      </c>
      <c r="E14804" s="1423" t="s">
        <v>3101</v>
      </c>
      <c r="F14804" s="1423"/>
      <c r="G14804" s="1426" t="s">
        <v>23</v>
      </c>
      <c r="H14804" s="395">
        <v>-75</v>
      </c>
      <c r="K14804" s="744" t="s">
        <v>3302</v>
      </c>
      <c r="P14804" s="744" t="s">
        <v>3319</v>
      </c>
      <c r="S14804" s="744"/>
      <c r="T14804" s="744"/>
      <c r="V14804" s="744">
        <v>11</v>
      </c>
    </row>
    <row r="14805" spans="1:22" x14ac:dyDescent="0.25">
      <c r="A14805" s="744" t="s">
        <v>201</v>
      </c>
      <c r="E14805" s="1429" t="s">
        <v>3214</v>
      </c>
      <c r="F14805" s="841"/>
      <c r="G14805" s="841"/>
      <c r="H14805" s="841"/>
      <c r="K14805" s="744" t="s">
        <v>6761</v>
      </c>
      <c r="S14805" s="744"/>
      <c r="T14805" s="744"/>
      <c r="V14805" s="744">
        <v>54</v>
      </c>
    </row>
    <row r="14806" spans="1:22" ht="15" customHeight="1" x14ac:dyDescent="0.25">
      <c r="A14806" s="744" t="s">
        <v>201</v>
      </c>
      <c r="E14806" s="2073" t="s">
        <v>6762</v>
      </c>
      <c r="F14806" s="1784"/>
      <c r="G14806" s="1784"/>
      <c r="H14806" s="1784"/>
      <c r="K14806" s="744" t="s">
        <v>6761</v>
      </c>
      <c r="S14806" s="744"/>
      <c r="T14806" s="744"/>
      <c r="V14806" s="744">
        <v>265</v>
      </c>
    </row>
    <row r="14807" spans="1:22" ht="15" x14ac:dyDescent="0.25">
      <c r="A14807" s="744" t="s">
        <v>201</v>
      </c>
      <c r="E14807" s="919" t="s">
        <v>3061</v>
      </c>
      <c r="F14807" s="841"/>
      <c r="G14807" s="841"/>
      <c r="H14807" s="841"/>
      <c r="K14807" s="744" t="s">
        <v>3098</v>
      </c>
      <c r="S14807" s="744"/>
      <c r="T14807" s="744"/>
      <c r="V14807" s="744">
        <v>11</v>
      </c>
    </row>
    <row r="14808" spans="1:22" ht="15" customHeight="1" x14ac:dyDescent="0.25">
      <c r="A14808" s="744" t="s">
        <v>201</v>
      </c>
      <c r="E14808" s="2083" t="s">
        <v>6756</v>
      </c>
      <c r="F14808" s="2188"/>
      <c r="G14808" s="2188"/>
      <c r="H14808" s="2188"/>
      <c r="K14808" s="744" t="s">
        <v>6761</v>
      </c>
      <c r="S14808" s="744"/>
      <c r="T14808" s="744"/>
      <c r="V14808" s="744">
        <v>250</v>
      </c>
    </row>
    <row r="14809" spans="1:22" ht="15" customHeight="1" x14ac:dyDescent="0.25">
      <c r="A14809" s="744" t="s">
        <v>201</v>
      </c>
      <c r="E14809" s="2083" t="s">
        <v>6757</v>
      </c>
      <c r="F14809" s="2188"/>
      <c r="G14809" s="2188"/>
      <c r="H14809" s="2188"/>
      <c r="K14809" s="744" t="s">
        <v>6761</v>
      </c>
      <c r="S14809" s="744"/>
      <c r="T14809" s="744"/>
      <c r="V14809" s="744">
        <v>381</v>
      </c>
    </row>
    <row r="14810" spans="1:22" ht="15" customHeight="1" x14ac:dyDescent="0.25">
      <c r="A14810" s="744" t="s">
        <v>201</v>
      </c>
      <c r="E14810" s="2083" t="s">
        <v>3065</v>
      </c>
      <c r="F14810" s="2188"/>
      <c r="G14810" s="2188"/>
      <c r="H14810" s="2188"/>
      <c r="K14810" s="744" t="s">
        <v>6761</v>
      </c>
      <c r="S14810" s="744"/>
      <c r="T14810" s="744"/>
      <c r="V14810" s="744">
        <v>387</v>
      </c>
    </row>
    <row r="14811" spans="1:22" ht="15" customHeight="1" x14ac:dyDescent="0.25">
      <c r="A14811" s="744" t="s">
        <v>201</v>
      </c>
      <c r="E14811" s="2083" t="s">
        <v>6674</v>
      </c>
      <c r="F14811" s="2188"/>
      <c r="G14811" s="2188"/>
      <c r="H14811" s="2188"/>
      <c r="K14811" s="744" t="s">
        <v>6761</v>
      </c>
      <c r="S14811" s="744"/>
      <c r="T14811" s="744"/>
      <c r="V14811" s="744">
        <v>293</v>
      </c>
    </row>
    <row r="14812" spans="1:22" ht="15" x14ac:dyDescent="0.25">
      <c r="A14812" s="744" t="s">
        <v>201</v>
      </c>
      <c r="E14812" s="919" t="s">
        <v>3067</v>
      </c>
      <c r="F14812" s="841"/>
      <c r="G14812" s="841"/>
      <c r="H14812" s="841"/>
      <c r="K14812" s="744" t="s">
        <v>3099</v>
      </c>
      <c r="S14812" s="744"/>
      <c r="T14812" s="744"/>
      <c r="V14812" s="744">
        <v>46</v>
      </c>
    </row>
    <row r="14813" spans="1:22" ht="15" x14ac:dyDescent="0.2">
      <c r="A14813" s="744" t="s">
        <v>201</v>
      </c>
      <c r="E14813" s="2189" t="s">
        <v>11</v>
      </c>
      <c r="F14813" s="2189"/>
      <c r="G14813" s="433" t="s">
        <v>23</v>
      </c>
      <c r="H14813" s="599">
        <v>25.22</v>
      </c>
      <c r="K14813" s="744" t="s">
        <v>6761</v>
      </c>
      <c r="L14813" s="744" t="s">
        <v>442</v>
      </c>
      <c r="P14813" s="744" t="s">
        <v>6763</v>
      </c>
      <c r="S14813" s="744"/>
      <c r="T14813" s="744"/>
      <c r="V14813" s="744">
        <v>14</v>
      </c>
    </row>
    <row r="14814" spans="1:22" ht="15" customHeight="1" x14ac:dyDescent="0.2">
      <c r="A14814" s="744" t="s">
        <v>201</v>
      </c>
      <c r="E14814" s="2189" t="s">
        <v>6758</v>
      </c>
      <c r="F14814" s="2189"/>
      <c r="G14814" s="433" t="s">
        <v>23</v>
      </c>
      <c r="H14814" s="599">
        <v>2.48</v>
      </c>
      <c r="K14814" s="744" t="s">
        <v>6761</v>
      </c>
      <c r="L14814" s="744" t="s">
        <v>443</v>
      </c>
      <c r="P14814" s="744" t="s">
        <v>6764</v>
      </c>
      <c r="S14814" s="744"/>
      <c r="T14814" s="744"/>
      <c r="V14814" s="744">
        <v>135</v>
      </c>
    </row>
    <row r="14815" spans="1:22" ht="15" x14ac:dyDescent="0.2">
      <c r="A14815" s="744" t="s">
        <v>201</v>
      </c>
      <c r="E14815" s="2190" t="s">
        <v>423</v>
      </c>
      <c r="F14815" s="2190"/>
      <c r="G14815" s="433" t="s">
        <v>23</v>
      </c>
      <c r="H14815" s="599">
        <v>0.56999999999999995</v>
      </c>
      <c r="K14815" s="744" t="s">
        <v>6761</v>
      </c>
      <c r="L14815" s="744" t="s">
        <v>443</v>
      </c>
      <c r="P14815" s="744" t="s">
        <v>6765</v>
      </c>
      <c r="S14815" s="744"/>
      <c r="T14815" s="1428">
        <v>43404</v>
      </c>
      <c r="V14815" s="744">
        <v>78</v>
      </c>
    </row>
    <row r="14816" spans="1:22" ht="15" x14ac:dyDescent="0.2">
      <c r="A14816" s="744" t="s">
        <v>201</v>
      </c>
      <c r="E14816" s="2190" t="s">
        <v>84</v>
      </c>
      <c r="F14816" s="2190"/>
      <c r="G14816" s="433" t="s">
        <v>24</v>
      </c>
      <c r="H14816" s="1430">
        <v>2.07E-2</v>
      </c>
      <c r="K14816" s="744" t="s">
        <v>6761</v>
      </c>
      <c r="L14816" s="744" t="s">
        <v>442</v>
      </c>
      <c r="P14816" s="744" t="s">
        <v>6766</v>
      </c>
      <c r="S14816" s="744"/>
      <c r="T14816" s="744"/>
      <c r="V14816" s="744">
        <v>28</v>
      </c>
    </row>
    <row r="14817" spans="1:22" ht="15" x14ac:dyDescent="0.2">
      <c r="A14817" s="744" t="s">
        <v>201</v>
      </c>
      <c r="E14817" s="2190" t="s">
        <v>18</v>
      </c>
      <c r="F14817" s="2190"/>
      <c r="G14817" s="433" t="s">
        <v>24</v>
      </c>
      <c r="H14817" s="1430">
        <v>3.5000000000000001E-3</v>
      </c>
      <c r="I14817" s="744" t="str">
        <f>IF(LEN(H14817)&gt;6, "fix", "")</f>
        <v/>
      </c>
      <c r="K14817" s="744" t="s">
        <v>6761</v>
      </c>
      <c r="L14817" s="744" t="s">
        <v>443</v>
      </c>
      <c r="P14817" s="744" t="s">
        <v>6767</v>
      </c>
      <c r="S14817" s="744"/>
      <c r="T14817" s="744"/>
      <c r="V14817" s="744">
        <v>24</v>
      </c>
    </row>
    <row r="14818" spans="1:22" ht="15" customHeight="1" x14ac:dyDescent="0.2">
      <c r="A14818" s="744" t="s">
        <v>201</v>
      </c>
      <c r="E14818" s="2189" t="s">
        <v>6758</v>
      </c>
      <c r="F14818" s="2189"/>
      <c r="G14818" s="433" t="s">
        <v>24</v>
      </c>
      <c r="H14818" s="1430">
        <v>2E-3</v>
      </c>
      <c r="K14818" s="744" t="s">
        <v>6761</v>
      </c>
      <c r="L14818" s="744" t="s">
        <v>443</v>
      </c>
      <c r="P14818" s="744" t="s">
        <v>6768</v>
      </c>
      <c r="S14818" s="744"/>
      <c r="T14818" s="744"/>
      <c r="V14818" s="744">
        <v>135</v>
      </c>
    </row>
    <row r="14819" spans="1:22" ht="15" x14ac:dyDescent="0.2">
      <c r="A14819" s="744" t="s">
        <v>201</v>
      </c>
      <c r="E14819" s="2190" t="s">
        <v>221</v>
      </c>
      <c r="F14819" s="2190"/>
      <c r="G14819" s="433" t="s">
        <v>24</v>
      </c>
      <c r="H14819" s="1430">
        <v>5.9414912113155008E-3</v>
      </c>
      <c r="K14819" s="744" t="s">
        <v>6761</v>
      </c>
      <c r="L14819" s="744" t="s">
        <v>444</v>
      </c>
      <c r="P14819" s="744" t="s">
        <v>6769</v>
      </c>
      <c r="S14819" s="744"/>
      <c r="T14819" s="744"/>
      <c r="V14819" s="744">
        <v>47</v>
      </c>
    </row>
    <row r="14820" spans="1:22" ht="15" x14ac:dyDescent="0.2">
      <c r="A14820" s="744" t="s">
        <v>201</v>
      </c>
      <c r="E14820" s="2190" t="s">
        <v>217</v>
      </c>
      <c r="F14820" s="2190"/>
      <c r="G14820" s="433" t="s">
        <v>24</v>
      </c>
      <c r="H14820" s="1430">
        <v>3.6145284691052239E-3</v>
      </c>
      <c r="K14820" s="744" t="s">
        <v>6761</v>
      </c>
      <c r="L14820" s="744" t="s">
        <v>444</v>
      </c>
      <c r="P14820" s="744" t="s">
        <v>6770</v>
      </c>
      <c r="S14820" s="744"/>
      <c r="T14820" s="744"/>
      <c r="V14820" s="744">
        <v>74</v>
      </c>
    </row>
    <row r="14821" spans="1:22" ht="15" x14ac:dyDescent="0.25">
      <c r="A14821" s="744" t="s">
        <v>201</v>
      </c>
      <c r="E14821" s="919" t="s">
        <v>3079</v>
      </c>
      <c r="F14821" s="841"/>
      <c r="G14821" s="841"/>
      <c r="H14821" s="841"/>
      <c r="K14821" s="744" t="s">
        <v>3218</v>
      </c>
      <c r="S14821" s="744"/>
      <c r="T14821" s="744"/>
      <c r="V14821" s="744">
        <v>48</v>
      </c>
    </row>
    <row r="14822" spans="1:22" ht="15" x14ac:dyDescent="0.25">
      <c r="A14822" s="744" t="s">
        <v>201</v>
      </c>
      <c r="E14822" s="2190" t="s">
        <v>31</v>
      </c>
      <c r="F14822" s="1852"/>
      <c r="G14822" s="433" t="s">
        <v>24</v>
      </c>
      <c r="H14822" s="1430">
        <v>4.4000000000000003E-3</v>
      </c>
      <c r="K14822" s="744" t="s">
        <v>6761</v>
      </c>
      <c r="L14822" s="744" t="s">
        <v>3046</v>
      </c>
      <c r="P14822" s="744" t="s">
        <v>6771</v>
      </c>
      <c r="S14822" s="744"/>
      <c r="T14822" s="744"/>
      <c r="V14822" s="744">
        <v>29</v>
      </c>
    </row>
    <row r="14823" spans="1:22" ht="15" x14ac:dyDescent="0.25">
      <c r="A14823" s="744" t="s">
        <v>201</v>
      </c>
      <c r="E14823" s="2190" t="s">
        <v>439</v>
      </c>
      <c r="F14823" s="1852"/>
      <c r="G14823" s="433" t="s">
        <v>24</v>
      </c>
      <c r="H14823" s="1430">
        <v>1.2999999999999999E-3</v>
      </c>
      <c r="K14823" s="744" t="s">
        <v>6761</v>
      </c>
      <c r="L14823" s="744" t="s">
        <v>3046</v>
      </c>
      <c r="P14823" s="744" t="s">
        <v>6772</v>
      </c>
      <c r="S14823" s="744"/>
      <c r="T14823" s="744"/>
      <c r="V14823" s="744">
        <v>57</v>
      </c>
    </row>
    <row r="14824" spans="1:22" ht="15" x14ac:dyDescent="0.25">
      <c r="A14824" s="744" t="s">
        <v>201</v>
      </c>
      <c r="E14824" s="2190" t="s">
        <v>32</v>
      </c>
      <c r="F14824" s="1852"/>
      <c r="G14824" s="433" t="s">
        <v>23</v>
      </c>
      <c r="H14824" s="599">
        <v>0.25</v>
      </c>
      <c r="K14824" s="744" t="s">
        <v>6761</v>
      </c>
      <c r="L14824" s="744" t="s">
        <v>3046</v>
      </c>
      <c r="P14824" s="744" t="s">
        <v>6773</v>
      </c>
      <c r="S14824" s="744"/>
      <c r="T14824" s="744"/>
      <c r="V14824" s="744">
        <v>63</v>
      </c>
    </row>
    <row r="14825" spans="1:22" x14ac:dyDescent="0.25">
      <c r="A14825" s="744" t="s">
        <v>201</v>
      </c>
      <c r="E14825" s="1429" t="s">
        <v>616</v>
      </c>
      <c r="F14825" s="841"/>
      <c r="G14825" s="841"/>
      <c r="H14825" s="841"/>
      <c r="K14825" s="744" t="s">
        <v>6774</v>
      </c>
      <c r="S14825" s="744"/>
      <c r="T14825" s="744"/>
      <c r="V14825" s="744">
        <v>53</v>
      </c>
    </row>
    <row r="14826" spans="1:22" ht="15" customHeight="1" x14ac:dyDescent="0.25">
      <c r="A14826" s="744" t="s">
        <v>201</v>
      </c>
      <c r="E14826" s="2073" t="s">
        <v>6775</v>
      </c>
      <c r="F14826" s="1784"/>
      <c r="G14826" s="1784"/>
      <c r="H14826" s="1784"/>
      <c r="K14826" s="744" t="s">
        <v>6774</v>
      </c>
      <c r="S14826" s="744"/>
      <c r="T14826" s="744"/>
      <c r="V14826" s="744">
        <v>247</v>
      </c>
    </row>
    <row r="14827" spans="1:22" ht="15" x14ac:dyDescent="0.25">
      <c r="A14827" s="744" t="s">
        <v>201</v>
      </c>
      <c r="E14827" s="919" t="s">
        <v>3061</v>
      </c>
      <c r="F14827" s="841"/>
      <c r="G14827" s="841"/>
      <c r="H14827" s="841"/>
      <c r="K14827" s="744" t="s">
        <v>3221</v>
      </c>
      <c r="S14827" s="744"/>
      <c r="T14827" s="744"/>
      <c r="V14827" s="744">
        <v>11</v>
      </c>
    </row>
    <row r="14828" spans="1:22" ht="15" customHeight="1" x14ac:dyDescent="0.25">
      <c r="A14828" s="744" t="s">
        <v>201</v>
      </c>
      <c r="E14828" s="2083" t="s">
        <v>6756</v>
      </c>
      <c r="F14828" s="2188"/>
      <c r="G14828" s="2188"/>
      <c r="H14828" s="2188"/>
      <c r="K14828" s="744" t="s">
        <v>6774</v>
      </c>
      <c r="S14828" s="744"/>
      <c r="T14828" s="744"/>
      <c r="V14828" s="744">
        <v>250</v>
      </c>
    </row>
    <row r="14829" spans="1:22" ht="15" customHeight="1" x14ac:dyDescent="0.25">
      <c r="A14829" s="744" t="s">
        <v>201</v>
      </c>
      <c r="E14829" s="2083" t="s">
        <v>6757</v>
      </c>
      <c r="F14829" s="2188"/>
      <c r="G14829" s="2188"/>
      <c r="H14829" s="2188"/>
      <c r="K14829" s="744" t="s">
        <v>6774</v>
      </c>
      <c r="S14829" s="744"/>
      <c r="T14829" s="744"/>
      <c r="V14829" s="744">
        <v>381</v>
      </c>
    </row>
    <row r="14830" spans="1:22" ht="15" customHeight="1" x14ac:dyDescent="0.25">
      <c r="A14830" s="744" t="s">
        <v>201</v>
      </c>
      <c r="E14830" s="2083" t="s">
        <v>3065</v>
      </c>
      <c r="F14830" s="2188"/>
      <c r="G14830" s="2188"/>
      <c r="H14830" s="2188"/>
      <c r="K14830" s="744" t="s">
        <v>6774</v>
      </c>
      <c r="S14830" s="744"/>
      <c r="T14830" s="744"/>
      <c r="V14830" s="744">
        <v>387</v>
      </c>
    </row>
    <row r="14831" spans="1:22" ht="15" customHeight="1" x14ac:dyDescent="0.25">
      <c r="A14831" s="744" t="s">
        <v>201</v>
      </c>
      <c r="E14831" s="2083" t="s">
        <v>6674</v>
      </c>
      <c r="F14831" s="2188"/>
      <c r="G14831" s="2188"/>
      <c r="H14831" s="2188"/>
      <c r="K14831" s="744" t="s">
        <v>6774</v>
      </c>
      <c r="S14831" s="744"/>
      <c r="T14831" s="744"/>
      <c r="V14831" s="744">
        <v>293</v>
      </c>
    </row>
    <row r="14832" spans="1:22" ht="15" x14ac:dyDescent="0.25">
      <c r="A14832" s="744" t="s">
        <v>201</v>
      </c>
      <c r="E14832" s="919" t="s">
        <v>3067</v>
      </c>
      <c r="F14832" s="841"/>
      <c r="G14832" s="841"/>
      <c r="H14832" s="841"/>
      <c r="K14832" s="744" t="s">
        <v>3224</v>
      </c>
      <c r="S14832" s="744"/>
      <c r="T14832" s="744"/>
      <c r="V14832" s="744">
        <v>46</v>
      </c>
    </row>
    <row r="14833" spans="1:22" ht="15" x14ac:dyDescent="0.2">
      <c r="A14833" s="744" t="s">
        <v>201</v>
      </c>
      <c r="E14833" s="2189" t="s">
        <v>11</v>
      </c>
      <c r="F14833" s="2189"/>
      <c r="G14833" s="433" t="s">
        <v>23</v>
      </c>
      <c r="H14833" s="599">
        <v>196.43</v>
      </c>
      <c r="K14833" s="744" t="s">
        <v>6774</v>
      </c>
      <c r="L14833" s="744" t="s">
        <v>442</v>
      </c>
      <c r="P14833" s="744" t="s">
        <v>6776</v>
      </c>
      <c r="S14833" s="744"/>
      <c r="T14833" s="744"/>
      <c r="V14833" s="744">
        <v>14</v>
      </c>
    </row>
    <row r="14834" spans="1:22" ht="15" customHeight="1" x14ac:dyDescent="0.2">
      <c r="A14834" s="744" t="s">
        <v>201</v>
      </c>
      <c r="E14834" s="2189" t="s">
        <v>6758</v>
      </c>
      <c r="F14834" s="2189"/>
      <c r="G14834" s="433" t="s">
        <v>23</v>
      </c>
      <c r="H14834" s="599">
        <v>19.34</v>
      </c>
      <c r="K14834" s="744" t="s">
        <v>6774</v>
      </c>
      <c r="L14834" s="744" t="s">
        <v>443</v>
      </c>
      <c r="P14834" s="744" t="s">
        <v>6777</v>
      </c>
      <c r="S14834" s="744"/>
      <c r="T14834" s="744"/>
      <c r="V14834" s="744">
        <v>135</v>
      </c>
    </row>
    <row r="14835" spans="1:22" ht="15" x14ac:dyDescent="0.2">
      <c r="A14835" s="744" t="s">
        <v>201</v>
      </c>
      <c r="E14835" s="2190" t="s">
        <v>84</v>
      </c>
      <c r="F14835" s="2190"/>
      <c r="G14835" s="433" t="s">
        <v>33</v>
      </c>
      <c r="H14835" s="1430">
        <v>3.7949000000000002</v>
      </c>
      <c r="K14835" s="744" t="s">
        <v>6774</v>
      </c>
      <c r="L14835" s="744" t="s">
        <v>442</v>
      </c>
      <c r="P14835" s="744" t="s">
        <v>6778</v>
      </c>
      <c r="S14835" s="744"/>
      <c r="T14835" s="744"/>
      <c r="V14835" s="744">
        <v>28</v>
      </c>
    </row>
    <row r="14836" spans="1:22" ht="15" x14ac:dyDescent="0.2">
      <c r="A14836" s="744" t="s">
        <v>201</v>
      </c>
      <c r="E14836" s="2190" t="s">
        <v>18</v>
      </c>
      <c r="F14836" s="2190"/>
      <c r="G14836" s="433" t="s">
        <v>33</v>
      </c>
      <c r="H14836" s="1430">
        <v>1.484</v>
      </c>
      <c r="I14836" s="744" t="str">
        <f>IF(LEN(H14836)&gt;6, "fix", "")</f>
        <v/>
      </c>
      <c r="K14836" s="744" t="s">
        <v>6774</v>
      </c>
      <c r="L14836" s="744" t="s">
        <v>443</v>
      </c>
      <c r="P14836" s="744" t="s">
        <v>6779</v>
      </c>
      <c r="S14836" s="744"/>
      <c r="T14836" s="744"/>
      <c r="V14836" s="744">
        <v>24</v>
      </c>
    </row>
    <row r="14837" spans="1:22" ht="15" customHeight="1" x14ac:dyDescent="0.2">
      <c r="A14837" s="744" t="s">
        <v>201</v>
      </c>
      <c r="E14837" s="2189" t="s">
        <v>6758</v>
      </c>
      <c r="F14837" s="2189"/>
      <c r="G14837" s="433" t="s">
        <v>33</v>
      </c>
      <c r="H14837" s="1430">
        <v>0.37359999999999999</v>
      </c>
      <c r="K14837" s="744" t="s">
        <v>6774</v>
      </c>
      <c r="L14837" s="744" t="s">
        <v>443</v>
      </c>
      <c r="P14837" s="744" t="s">
        <v>6780</v>
      </c>
      <c r="S14837" s="744"/>
      <c r="T14837" s="744"/>
      <c r="V14837" s="744">
        <v>135</v>
      </c>
    </row>
    <row r="14838" spans="1:22" ht="15" x14ac:dyDescent="0.2">
      <c r="A14838" s="744" t="s">
        <v>201</v>
      </c>
      <c r="E14838" s="2190" t="s">
        <v>221</v>
      </c>
      <c r="F14838" s="2190"/>
      <c r="G14838" s="433" t="s">
        <v>33</v>
      </c>
      <c r="H14838" s="1430">
        <v>2.3681225544379303</v>
      </c>
      <c r="K14838" s="744" t="s">
        <v>6774</v>
      </c>
      <c r="L14838" s="744" t="s">
        <v>444</v>
      </c>
      <c r="P14838" s="744" t="s">
        <v>6781</v>
      </c>
      <c r="S14838" s="744"/>
      <c r="T14838" s="744"/>
      <c r="V14838" s="744">
        <v>47</v>
      </c>
    </row>
    <row r="14839" spans="1:22" ht="15" x14ac:dyDescent="0.2">
      <c r="A14839" s="744" t="s">
        <v>201</v>
      </c>
      <c r="E14839" s="2190" t="s">
        <v>217</v>
      </c>
      <c r="F14839" s="2190"/>
      <c r="G14839" s="433" t="s">
        <v>33</v>
      </c>
      <c r="H14839" s="1430">
        <v>1.3939380196124982</v>
      </c>
      <c r="K14839" s="744" t="s">
        <v>6774</v>
      </c>
      <c r="L14839" s="744" t="s">
        <v>444</v>
      </c>
      <c r="P14839" s="744" t="s">
        <v>6782</v>
      </c>
      <c r="S14839" s="744"/>
      <c r="T14839" s="744"/>
      <c r="V14839" s="744">
        <v>74</v>
      </c>
    </row>
    <row r="14840" spans="1:22" ht="15" x14ac:dyDescent="0.2">
      <c r="A14840" s="744" t="s">
        <v>201</v>
      </c>
      <c r="E14840" s="2190" t="s">
        <v>223</v>
      </c>
      <c r="F14840" s="2190"/>
      <c r="G14840" s="433" t="s">
        <v>33</v>
      </c>
      <c r="H14840" s="1430">
        <v>2.6620802671551465</v>
      </c>
      <c r="K14840" s="744" t="s">
        <v>6774</v>
      </c>
      <c r="L14840" s="744" t="s">
        <v>444</v>
      </c>
      <c r="P14840" s="744" t="s">
        <v>6783</v>
      </c>
      <c r="S14840" s="744"/>
      <c r="T14840" s="744"/>
      <c r="V14840" s="744">
        <v>66</v>
      </c>
    </row>
    <row r="14841" spans="1:22" ht="15" x14ac:dyDescent="0.2">
      <c r="A14841" s="744" t="s">
        <v>201</v>
      </c>
      <c r="E14841" s="2190" t="s">
        <v>219</v>
      </c>
      <c r="F14841" s="2190"/>
      <c r="G14841" s="433" t="s">
        <v>33</v>
      </c>
      <c r="H14841" s="1430">
        <v>1.930939722171185</v>
      </c>
      <c r="K14841" s="744" t="s">
        <v>6774</v>
      </c>
      <c r="L14841" s="744" t="s">
        <v>444</v>
      </c>
      <c r="P14841" s="744" t="s">
        <v>6784</v>
      </c>
      <c r="S14841" s="744"/>
      <c r="T14841" s="744"/>
      <c r="V14841" s="744">
        <v>93</v>
      </c>
    </row>
    <row r="14842" spans="1:22" ht="15" x14ac:dyDescent="0.25">
      <c r="A14842" s="744" t="s">
        <v>201</v>
      </c>
      <c r="E14842" s="919" t="s">
        <v>3079</v>
      </c>
      <c r="F14842" s="841"/>
      <c r="G14842" s="841"/>
      <c r="H14842" s="841"/>
      <c r="K14842" s="744" t="s">
        <v>3225</v>
      </c>
      <c r="S14842" s="744"/>
      <c r="T14842" s="744"/>
      <c r="V14842" s="744">
        <v>48</v>
      </c>
    </row>
    <row r="14843" spans="1:22" ht="15" x14ac:dyDescent="0.25">
      <c r="A14843" s="744" t="s">
        <v>201</v>
      </c>
      <c r="E14843" s="2190" t="s">
        <v>31</v>
      </c>
      <c r="F14843" s="1852"/>
      <c r="G14843" s="433" t="s">
        <v>24</v>
      </c>
      <c r="H14843" s="1430">
        <v>4.4000000000000003E-3</v>
      </c>
      <c r="K14843" s="744" t="s">
        <v>6774</v>
      </c>
      <c r="L14843" s="744" t="s">
        <v>3046</v>
      </c>
      <c r="P14843" s="744" t="s">
        <v>6785</v>
      </c>
      <c r="S14843" s="744"/>
      <c r="T14843" s="744"/>
      <c r="V14843" s="744">
        <v>29</v>
      </c>
    </row>
    <row r="14844" spans="1:22" ht="15" x14ac:dyDescent="0.25">
      <c r="A14844" s="744" t="s">
        <v>201</v>
      </c>
      <c r="E14844" s="2190" t="s">
        <v>439</v>
      </c>
      <c r="F14844" s="1852"/>
      <c r="G14844" s="433" t="s">
        <v>24</v>
      </c>
      <c r="H14844" s="1430">
        <v>1.2999999999999999E-3</v>
      </c>
      <c r="K14844" s="744" t="s">
        <v>6774</v>
      </c>
      <c r="L14844" s="744" t="s">
        <v>3046</v>
      </c>
      <c r="P14844" s="744" t="s">
        <v>6786</v>
      </c>
      <c r="S14844" s="744"/>
      <c r="T14844" s="744"/>
      <c r="V14844" s="744">
        <v>57</v>
      </c>
    </row>
    <row r="14845" spans="1:22" ht="15" x14ac:dyDescent="0.25">
      <c r="A14845" s="744" t="s">
        <v>201</v>
      </c>
      <c r="E14845" s="2190" t="s">
        <v>32</v>
      </c>
      <c r="F14845" s="1852"/>
      <c r="G14845" s="433" t="s">
        <v>23</v>
      </c>
      <c r="H14845" s="599">
        <v>0.25</v>
      </c>
      <c r="K14845" s="744" t="s">
        <v>6774</v>
      </c>
      <c r="L14845" s="744" t="s">
        <v>3046</v>
      </c>
      <c r="P14845" s="744" t="s">
        <v>6787</v>
      </c>
      <c r="S14845" s="744"/>
      <c r="T14845" s="744"/>
      <c r="V14845" s="744">
        <v>63</v>
      </c>
    </row>
    <row r="14846" spans="1:22" x14ac:dyDescent="0.25">
      <c r="A14846" s="744" t="s">
        <v>201</v>
      </c>
      <c r="E14846" s="1429" t="s">
        <v>617</v>
      </c>
      <c r="F14846" s="841"/>
      <c r="G14846" s="841"/>
      <c r="H14846" s="841"/>
      <c r="K14846" s="744" t="s">
        <v>3457</v>
      </c>
      <c r="S14846" s="744"/>
      <c r="T14846" s="744"/>
      <c r="V14846" s="744">
        <v>47</v>
      </c>
    </row>
    <row r="14847" spans="1:22" ht="15" customHeight="1" x14ac:dyDescent="0.25">
      <c r="A14847" s="744" t="s">
        <v>201</v>
      </c>
      <c r="E14847" s="2073" t="s">
        <v>6788</v>
      </c>
      <c r="F14847" s="1784"/>
      <c r="G14847" s="1784"/>
      <c r="H14847" s="1784"/>
      <c r="K14847" s="744" t="s">
        <v>3457</v>
      </c>
      <c r="S14847" s="744"/>
      <c r="T14847" s="744"/>
      <c r="V14847" s="744">
        <v>556</v>
      </c>
    </row>
    <row r="14848" spans="1:22" ht="15" x14ac:dyDescent="0.25">
      <c r="A14848" s="744" t="s">
        <v>201</v>
      </c>
      <c r="E14848" s="919" t="s">
        <v>3061</v>
      </c>
      <c r="F14848" s="841"/>
      <c r="G14848" s="841"/>
      <c r="H14848" s="841"/>
      <c r="K14848" s="744" t="s">
        <v>3107</v>
      </c>
      <c r="S14848" s="744"/>
      <c r="T14848" s="744"/>
      <c r="V14848" s="744">
        <v>11</v>
      </c>
    </row>
    <row r="14849" spans="1:22" ht="15" customHeight="1" x14ac:dyDescent="0.25">
      <c r="A14849" s="744" t="s">
        <v>201</v>
      </c>
      <c r="E14849" s="2083" t="s">
        <v>6756</v>
      </c>
      <c r="F14849" s="2188"/>
      <c r="G14849" s="2188"/>
      <c r="H14849" s="2188"/>
      <c r="K14849" s="744" t="s">
        <v>3457</v>
      </c>
      <c r="S14849" s="744"/>
      <c r="T14849" s="744"/>
      <c r="V14849" s="744">
        <v>250</v>
      </c>
    </row>
    <row r="14850" spans="1:22" ht="15" customHeight="1" x14ac:dyDescent="0.25">
      <c r="A14850" s="744" t="s">
        <v>201</v>
      </c>
      <c r="E14850" s="2083" t="s">
        <v>6757</v>
      </c>
      <c r="F14850" s="2188"/>
      <c r="G14850" s="2188"/>
      <c r="H14850" s="2188"/>
      <c r="K14850" s="744" t="s">
        <v>3457</v>
      </c>
      <c r="S14850" s="744"/>
      <c r="T14850" s="744"/>
      <c r="V14850" s="744">
        <v>381</v>
      </c>
    </row>
    <row r="14851" spans="1:22" ht="15" customHeight="1" x14ac:dyDescent="0.25">
      <c r="A14851" s="744" t="s">
        <v>201</v>
      </c>
      <c r="E14851" s="2083" t="s">
        <v>3065</v>
      </c>
      <c r="F14851" s="2188"/>
      <c r="G14851" s="2188"/>
      <c r="H14851" s="2188"/>
      <c r="K14851" s="744" t="s">
        <v>3457</v>
      </c>
      <c r="S14851" s="744"/>
      <c r="T14851" s="744"/>
      <c r="V14851" s="744">
        <v>387</v>
      </c>
    </row>
    <row r="14852" spans="1:22" ht="15" customHeight="1" x14ac:dyDescent="0.25">
      <c r="A14852" s="744" t="s">
        <v>201</v>
      </c>
      <c r="E14852" s="2083" t="s">
        <v>6674</v>
      </c>
      <c r="F14852" s="2188"/>
      <c r="G14852" s="2188"/>
      <c r="H14852" s="2188"/>
      <c r="K14852" s="744" t="s">
        <v>3457</v>
      </c>
      <c r="S14852" s="744"/>
      <c r="T14852" s="744"/>
      <c r="V14852" s="744">
        <v>293</v>
      </c>
    </row>
    <row r="14853" spans="1:22" ht="15" x14ac:dyDescent="0.25">
      <c r="A14853" s="744" t="s">
        <v>201</v>
      </c>
      <c r="E14853" s="919" t="s">
        <v>3067</v>
      </c>
      <c r="F14853" s="841"/>
      <c r="G14853" s="841"/>
      <c r="H14853" s="841"/>
      <c r="K14853" s="744" t="s">
        <v>3108</v>
      </c>
      <c r="S14853" s="744"/>
      <c r="T14853" s="744"/>
      <c r="V14853" s="744">
        <v>46</v>
      </c>
    </row>
    <row r="14854" spans="1:22" ht="15" x14ac:dyDescent="0.2">
      <c r="A14854" s="744" t="s">
        <v>201</v>
      </c>
      <c r="E14854" s="2189" t="s">
        <v>12</v>
      </c>
      <c r="F14854" s="2189"/>
      <c r="G14854" s="433" t="s">
        <v>23</v>
      </c>
      <c r="H14854" s="599">
        <v>12.26</v>
      </c>
      <c r="K14854" s="744" t="s">
        <v>3457</v>
      </c>
      <c r="L14854" s="744" t="s">
        <v>442</v>
      </c>
      <c r="P14854" s="744" t="s">
        <v>3458</v>
      </c>
      <c r="S14854" s="744"/>
      <c r="T14854" s="744"/>
      <c r="V14854" s="744">
        <v>31</v>
      </c>
    </row>
    <row r="14855" spans="1:22" ht="15" customHeight="1" x14ac:dyDescent="0.2">
      <c r="A14855" s="744" t="s">
        <v>201</v>
      </c>
      <c r="E14855" s="2189" t="s">
        <v>6758</v>
      </c>
      <c r="F14855" s="2189"/>
      <c r="G14855" s="433" t="s">
        <v>23</v>
      </c>
      <c r="H14855" s="599">
        <v>1.21</v>
      </c>
      <c r="K14855" s="744" t="s">
        <v>3457</v>
      </c>
      <c r="L14855" s="744" t="s">
        <v>443</v>
      </c>
      <c r="P14855" s="744" t="s">
        <v>6789</v>
      </c>
      <c r="S14855" s="744"/>
      <c r="T14855" s="744"/>
      <c r="V14855" s="744">
        <v>135</v>
      </c>
    </row>
    <row r="14856" spans="1:22" ht="15" x14ac:dyDescent="0.2">
      <c r="A14856" s="744" t="s">
        <v>201</v>
      </c>
      <c r="E14856" s="2190" t="s">
        <v>84</v>
      </c>
      <c r="F14856" s="2190"/>
      <c r="G14856" s="433" t="s">
        <v>24</v>
      </c>
      <c r="H14856" s="1430">
        <v>1.5699999999999999E-2</v>
      </c>
      <c r="K14856" s="744" t="s">
        <v>3457</v>
      </c>
      <c r="L14856" s="744" t="s">
        <v>442</v>
      </c>
      <c r="P14856" s="744" t="s">
        <v>3459</v>
      </c>
      <c r="S14856" s="744"/>
      <c r="T14856" s="744"/>
      <c r="V14856" s="744">
        <v>28</v>
      </c>
    </row>
    <row r="14857" spans="1:22" ht="15" x14ac:dyDescent="0.2">
      <c r="A14857" s="744" t="s">
        <v>201</v>
      </c>
      <c r="E14857" s="2190" t="s">
        <v>18</v>
      </c>
      <c r="F14857" s="2190"/>
      <c r="G14857" s="433" t="s">
        <v>24</v>
      </c>
      <c r="H14857" s="1430">
        <v>3.5000000000000001E-3</v>
      </c>
      <c r="I14857" s="744" t="str">
        <f>IF(LEN(H14857)&gt;6, "fix", "")</f>
        <v/>
      </c>
      <c r="K14857" s="744" t="s">
        <v>3457</v>
      </c>
      <c r="L14857" s="744" t="s">
        <v>443</v>
      </c>
      <c r="P14857" s="744" t="s">
        <v>3460</v>
      </c>
      <c r="S14857" s="744"/>
      <c r="T14857" s="744"/>
      <c r="V14857" s="744">
        <v>24</v>
      </c>
    </row>
    <row r="14858" spans="1:22" ht="15" customHeight="1" x14ac:dyDescent="0.2">
      <c r="A14858" s="744" t="s">
        <v>201</v>
      </c>
      <c r="E14858" s="2189" t="s">
        <v>6758</v>
      </c>
      <c r="F14858" s="2189"/>
      <c r="G14858" s="433" t="s">
        <v>24</v>
      </c>
      <c r="H14858" s="1430">
        <v>1.6000000000000001E-3</v>
      </c>
      <c r="K14858" s="744" t="s">
        <v>3457</v>
      </c>
      <c r="L14858" s="744" t="s">
        <v>443</v>
      </c>
      <c r="P14858" s="744" t="s">
        <v>6790</v>
      </c>
      <c r="S14858" s="744"/>
      <c r="T14858" s="744"/>
      <c r="V14858" s="744">
        <v>135</v>
      </c>
    </row>
    <row r="14859" spans="1:22" ht="15" x14ac:dyDescent="0.2">
      <c r="A14859" s="744" t="s">
        <v>201</v>
      </c>
      <c r="E14859" s="2190" t="s">
        <v>221</v>
      </c>
      <c r="F14859" s="2190"/>
      <c r="G14859" s="433" t="s">
        <v>24</v>
      </c>
      <c r="H14859" s="1430">
        <v>5.9414912113155008E-3</v>
      </c>
      <c r="K14859" s="744" t="s">
        <v>3457</v>
      </c>
      <c r="L14859" s="744" t="s">
        <v>444</v>
      </c>
      <c r="P14859" s="744" t="s">
        <v>3462</v>
      </c>
      <c r="S14859" s="744"/>
      <c r="T14859" s="744"/>
      <c r="V14859" s="744">
        <v>47</v>
      </c>
    </row>
    <row r="14860" spans="1:22" ht="15" x14ac:dyDescent="0.2">
      <c r="A14860" s="744" t="s">
        <v>201</v>
      </c>
      <c r="E14860" s="2190" t="s">
        <v>217</v>
      </c>
      <c r="F14860" s="2190"/>
      <c r="G14860" s="433" t="s">
        <v>24</v>
      </c>
      <c r="H14860" s="1430">
        <v>3.6145284691052235E-3</v>
      </c>
      <c r="K14860" s="744" t="s">
        <v>3457</v>
      </c>
      <c r="L14860" s="744" t="s">
        <v>444</v>
      </c>
      <c r="P14860" s="744" t="s">
        <v>3463</v>
      </c>
      <c r="S14860" s="744"/>
      <c r="T14860" s="744"/>
      <c r="V14860" s="744">
        <v>74</v>
      </c>
    </row>
    <row r="14861" spans="1:22" ht="15" x14ac:dyDescent="0.25">
      <c r="A14861" s="744" t="s">
        <v>201</v>
      </c>
      <c r="E14861" s="919" t="s">
        <v>3079</v>
      </c>
      <c r="F14861" s="841"/>
      <c r="G14861" s="841"/>
      <c r="H14861" s="841"/>
      <c r="K14861" s="744" t="s">
        <v>3111</v>
      </c>
      <c r="S14861" s="744"/>
      <c r="T14861" s="744"/>
      <c r="V14861" s="744">
        <v>48</v>
      </c>
    </row>
    <row r="14862" spans="1:22" ht="15" x14ac:dyDescent="0.25">
      <c r="A14862" s="744" t="s">
        <v>201</v>
      </c>
      <c r="E14862" s="2190" t="s">
        <v>31</v>
      </c>
      <c r="F14862" s="1852"/>
      <c r="G14862" s="433" t="s">
        <v>24</v>
      </c>
      <c r="H14862" s="1430">
        <v>4.4000000000000003E-3</v>
      </c>
      <c r="K14862" s="744" t="s">
        <v>3457</v>
      </c>
      <c r="L14862" s="744" t="s">
        <v>3046</v>
      </c>
      <c r="P14862" s="744" t="s">
        <v>3464</v>
      </c>
      <c r="S14862" s="744"/>
      <c r="T14862" s="744"/>
      <c r="V14862" s="744">
        <v>29</v>
      </c>
    </row>
    <row r="14863" spans="1:22" ht="15" x14ac:dyDescent="0.25">
      <c r="A14863" s="744" t="s">
        <v>201</v>
      </c>
      <c r="E14863" s="2190" t="s">
        <v>439</v>
      </c>
      <c r="F14863" s="1852"/>
      <c r="G14863" s="433" t="s">
        <v>24</v>
      </c>
      <c r="H14863" s="1430">
        <v>1.2999999999999999E-3</v>
      </c>
      <c r="K14863" s="744" t="s">
        <v>3457</v>
      </c>
      <c r="L14863" s="744" t="s">
        <v>3046</v>
      </c>
      <c r="P14863" s="744" t="s">
        <v>3465</v>
      </c>
      <c r="S14863" s="744"/>
      <c r="T14863" s="744"/>
      <c r="V14863" s="744">
        <v>57</v>
      </c>
    </row>
    <row r="14864" spans="1:22" ht="15" x14ac:dyDescent="0.25">
      <c r="A14864" s="744" t="s">
        <v>201</v>
      </c>
      <c r="E14864" s="2190" t="s">
        <v>32</v>
      </c>
      <c r="F14864" s="1852"/>
      <c r="G14864" s="433" t="s">
        <v>23</v>
      </c>
      <c r="H14864" s="599">
        <v>0.25</v>
      </c>
      <c r="K14864" s="744" t="s">
        <v>3457</v>
      </c>
      <c r="L14864" s="744" t="s">
        <v>3046</v>
      </c>
      <c r="P14864" s="744" t="s">
        <v>3466</v>
      </c>
      <c r="S14864" s="744"/>
      <c r="T14864" s="744"/>
      <c r="V14864" s="744">
        <v>63</v>
      </c>
    </row>
    <row r="14865" spans="1:22" x14ac:dyDescent="0.25">
      <c r="A14865" s="744" t="s">
        <v>201</v>
      </c>
      <c r="E14865" s="1429" t="s">
        <v>629</v>
      </c>
      <c r="F14865" s="841"/>
      <c r="G14865" s="841"/>
      <c r="H14865" s="841"/>
      <c r="K14865" s="744" t="s">
        <v>3467</v>
      </c>
      <c r="S14865" s="744"/>
      <c r="T14865" s="744"/>
      <c r="V14865" s="744">
        <v>40</v>
      </c>
    </row>
    <row r="14866" spans="1:22" ht="15" customHeight="1" x14ac:dyDescent="0.25">
      <c r="A14866" s="744" t="s">
        <v>201</v>
      </c>
      <c r="E14866" s="2073" t="s">
        <v>6791</v>
      </c>
      <c r="F14866" s="1784"/>
      <c r="G14866" s="1784"/>
      <c r="H14866" s="1784"/>
      <c r="K14866" s="744" t="s">
        <v>3467</v>
      </c>
      <c r="S14866" s="744"/>
      <c r="T14866" s="744"/>
      <c r="V14866" s="744">
        <v>325</v>
      </c>
    </row>
    <row r="14867" spans="1:22" ht="15" x14ac:dyDescent="0.25">
      <c r="A14867" s="744" t="s">
        <v>201</v>
      </c>
      <c r="E14867" s="919" t="s">
        <v>3061</v>
      </c>
      <c r="F14867" s="841"/>
      <c r="G14867" s="841"/>
      <c r="H14867" s="841"/>
      <c r="K14867" s="744" t="s">
        <v>3114</v>
      </c>
      <c r="S14867" s="744"/>
      <c r="T14867" s="744"/>
      <c r="V14867" s="744">
        <v>11</v>
      </c>
    </row>
    <row r="14868" spans="1:22" ht="15" customHeight="1" x14ac:dyDescent="0.25">
      <c r="A14868" s="744" t="s">
        <v>201</v>
      </c>
      <c r="E14868" s="2083" t="s">
        <v>6756</v>
      </c>
      <c r="F14868" s="2188"/>
      <c r="G14868" s="2188"/>
      <c r="H14868" s="2188"/>
      <c r="K14868" s="744" t="s">
        <v>3467</v>
      </c>
      <c r="S14868" s="744"/>
      <c r="T14868" s="744"/>
      <c r="V14868" s="744">
        <v>250</v>
      </c>
    </row>
    <row r="14869" spans="1:22" ht="15" customHeight="1" x14ac:dyDescent="0.25">
      <c r="A14869" s="744" t="s">
        <v>201</v>
      </c>
      <c r="E14869" s="2083" t="s">
        <v>6757</v>
      </c>
      <c r="F14869" s="2188"/>
      <c r="G14869" s="2188"/>
      <c r="H14869" s="2188"/>
      <c r="K14869" s="744" t="s">
        <v>3467</v>
      </c>
      <c r="S14869" s="744"/>
      <c r="T14869" s="744"/>
      <c r="V14869" s="744">
        <v>381</v>
      </c>
    </row>
    <row r="14870" spans="1:22" ht="15" customHeight="1" x14ac:dyDescent="0.25">
      <c r="A14870" s="744" t="s">
        <v>201</v>
      </c>
      <c r="E14870" s="2083" t="s">
        <v>3065</v>
      </c>
      <c r="F14870" s="2188"/>
      <c r="G14870" s="2188"/>
      <c r="H14870" s="2188"/>
      <c r="K14870" s="744" t="s">
        <v>3467</v>
      </c>
      <c r="S14870" s="744"/>
      <c r="T14870" s="744"/>
      <c r="V14870" s="744">
        <v>387</v>
      </c>
    </row>
    <row r="14871" spans="1:22" ht="15" customHeight="1" x14ac:dyDescent="0.25">
      <c r="A14871" s="744" t="s">
        <v>201</v>
      </c>
      <c r="E14871" s="2083" t="s">
        <v>6674</v>
      </c>
      <c r="F14871" s="2188"/>
      <c r="G14871" s="2188"/>
      <c r="H14871" s="2188"/>
      <c r="K14871" s="744" t="s">
        <v>3467</v>
      </c>
      <c r="S14871" s="744"/>
      <c r="T14871" s="744"/>
      <c r="V14871" s="744">
        <v>293</v>
      </c>
    </row>
    <row r="14872" spans="1:22" ht="15" x14ac:dyDescent="0.25">
      <c r="A14872" s="744" t="s">
        <v>201</v>
      </c>
      <c r="E14872" s="919" t="s">
        <v>3067</v>
      </c>
      <c r="F14872" s="841"/>
      <c r="G14872" s="841"/>
      <c r="H14872" s="841"/>
      <c r="K14872" s="744" t="s">
        <v>3115</v>
      </c>
      <c r="S14872" s="744"/>
      <c r="T14872" s="744"/>
      <c r="V14872" s="744">
        <v>46</v>
      </c>
    </row>
    <row r="14873" spans="1:22" ht="15" x14ac:dyDescent="0.2">
      <c r="A14873" s="744" t="s">
        <v>201</v>
      </c>
      <c r="E14873" s="2189" t="s">
        <v>12</v>
      </c>
      <c r="F14873" s="2189"/>
      <c r="G14873" s="433" t="s">
        <v>23</v>
      </c>
      <c r="H14873" s="599">
        <v>2.14</v>
      </c>
      <c r="K14873" s="744" t="s">
        <v>3467</v>
      </c>
      <c r="L14873" s="744" t="s">
        <v>442</v>
      </c>
      <c r="P14873" s="744" t="s">
        <v>3468</v>
      </c>
      <c r="S14873" s="744"/>
      <c r="T14873" s="744"/>
      <c r="V14873" s="744">
        <v>31</v>
      </c>
    </row>
    <row r="14874" spans="1:22" ht="15" customHeight="1" x14ac:dyDescent="0.2">
      <c r="A14874" s="744" t="s">
        <v>201</v>
      </c>
      <c r="E14874" s="2189" t="s">
        <v>6758</v>
      </c>
      <c r="F14874" s="2189"/>
      <c r="G14874" s="433" t="s">
        <v>23</v>
      </c>
      <c r="H14874" s="599">
        <v>0.21</v>
      </c>
      <c r="K14874" s="744" t="s">
        <v>3467</v>
      </c>
      <c r="L14874" s="744" t="s">
        <v>443</v>
      </c>
      <c r="P14874" s="744" t="s">
        <v>6792</v>
      </c>
      <c r="S14874" s="744"/>
      <c r="T14874" s="744"/>
      <c r="V14874" s="744">
        <v>135</v>
      </c>
    </row>
    <row r="14875" spans="1:22" ht="15" x14ac:dyDescent="0.2">
      <c r="A14875" s="744" t="s">
        <v>201</v>
      </c>
      <c r="E14875" s="2190" t="s">
        <v>84</v>
      </c>
      <c r="F14875" s="2190"/>
      <c r="G14875" s="433" t="s">
        <v>33</v>
      </c>
      <c r="H14875" s="1430">
        <v>17.257100000000001</v>
      </c>
      <c r="K14875" s="744" t="s">
        <v>3467</v>
      </c>
      <c r="L14875" s="744" t="s">
        <v>442</v>
      </c>
      <c r="P14875" s="744" t="s">
        <v>3469</v>
      </c>
      <c r="S14875" s="744"/>
      <c r="T14875" s="744"/>
      <c r="V14875" s="744">
        <v>28</v>
      </c>
    </row>
    <row r="14876" spans="1:22" ht="15" x14ac:dyDescent="0.2">
      <c r="A14876" s="744" t="s">
        <v>201</v>
      </c>
      <c r="E14876" s="2190" t="s">
        <v>18</v>
      </c>
      <c r="F14876" s="2190"/>
      <c r="G14876" s="433" t="s">
        <v>33</v>
      </c>
      <c r="H14876" s="1430">
        <v>1.0684</v>
      </c>
      <c r="I14876" s="744" t="str">
        <f>IF(LEN(H14876)&gt;6, "fix", "")</f>
        <v/>
      </c>
      <c r="K14876" s="744" t="s">
        <v>3467</v>
      </c>
      <c r="L14876" s="744" t="s">
        <v>443</v>
      </c>
      <c r="P14876" s="744" t="s">
        <v>3470</v>
      </c>
      <c r="S14876" s="744"/>
      <c r="T14876" s="744"/>
      <c r="V14876" s="744">
        <v>24</v>
      </c>
    </row>
    <row r="14877" spans="1:22" ht="15" customHeight="1" x14ac:dyDescent="0.2">
      <c r="A14877" s="744" t="s">
        <v>201</v>
      </c>
      <c r="E14877" s="2189" t="s">
        <v>6758</v>
      </c>
      <c r="F14877" s="2189"/>
      <c r="G14877" s="433" t="s">
        <v>33</v>
      </c>
      <c r="H14877" s="1430">
        <v>1.6991000000000001</v>
      </c>
      <c r="K14877" s="744" t="s">
        <v>3467</v>
      </c>
      <c r="L14877" s="744" t="s">
        <v>443</v>
      </c>
      <c r="P14877" s="744" t="s">
        <v>6793</v>
      </c>
      <c r="S14877" s="744"/>
      <c r="T14877" s="744"/>
      <c r="V14877" s="744">
        <v>135</v>
      </c>
    </row>
    <row r="14878" spans="1:22" ht="15" x14ac:dyDescent="0.2">
      <c r="A14878" s="744" t="s">
        <v>201</v>
      </c>
      <c r="E14878" s="2190" t="s">
        <v>221</v>
      </c>
      <c r="F14878" s="2190"/>
      <c r="G14878" s="433" t="s">
        <v>33</v>
      </c>
      <c r="H14878" s="1430">
        <v>1.7951095577794207</v>
      </c>
      <c r="K14878" s="744" t="s">
        <v>3467</v>
      </c>
      <c r="L14878" s="744" t="s">
        <v>444</v>
      </c>
      <c r="P14878" s="744" t="s">
        <v>3472</v>
      </c>
      <c r="S14878" s="744"/>
      <c r="T14878" s="744"/>
      <c r="V14878" s="744">
        <v>47</v>
      </c>
    </row>
    <row r="14879" spans="1:22" ht="15" x14ac:dyDescent="0.2">
      <c r="A14879" s="744" t="s">
        <v>201</v>
      </c>
      <c r="E14879" s="2190" t="s">
        <v>217</v>
      </c>
      <c r="F14879" s="2190"/>
      <c r="G14879" s="433" t="s">
        <v>33</v>
      </c>
      <c r="H14879" s="1430">
        <v>1.0999889341114812</v>
      </c>
      <c r="K14879" s="744" t="s">
        <v>3467</v>
      </c>
      <c r="L14879" s="744" t="s">
        <v>444</v>
      </c>
      <c r="P14879" s="744" t="s">
        <v>3473</v>
      </c>
      <c r="S14879" s="744"/>
      <c r="T14879" s="744"/>
      <c r="V14879" s="744">
        <v>74</v>
      </c>
    </row>
    <row r="14880" spans="1:22" ht="15" x14ac:dyDescent="0.25">
      <c r="A14880" s="744" t="s">
        <v>201</v>
      </c>
      <c r="E14880" s="919" t="s">
        <v>3079</v>
      </c>
      <c r="F14880" s="841"/>
      <c r="G14880" s="841"/>
      <c r="H14880" s="841"/>
      <c r="K14880" s="744" t="s">
        <v>3122</v>
      </c>
      <c r="S14880" s="744"/>
      <c r="T14880" s="744"/>
      <c r="V14880" s="744">
        <v>48</v>
      </c>
    </row>
    <row r="14881" spans="1:22" ht="15" x14ac:dyDescent="0.25">
      <c r="A14881" s="744" t="s">
        <v>201</v>
      </c>
      <c r="E14881" s="2190" t="s">
        <v>31</v>
      </c>
      <c r="F14881" s="1852"/>
      <c r="G14881" s="433" t="s">
        <v>24</v>
      </c>
      <c r="H14881" s="1430">
        <v>4.4000000000000003E-3</v>
      </c>
      <c r="K14881" s="744" t="s">
        <v>3467</v>
      </c>
      <c r="L14881" s="744" t="s">
        <v>3046</v>
      </c>
      <c r="P14881" s="744" t="s">
        <v>3474</v>
      </c>
      <c r="S14881" s="744"/>
      <c r="T14881" s="744"/>
      <c r="V14881" s="744">
        <v>29</v>
      </c>
    </row>
    <row r="14882" spans="1:22" ht="15" x14ac:dyDescent="0.25">
      <c r="A14882" s="744" t="s">
        <v>201</v>
      </c>
      <c r="E14882" s="2190" t="s">
        <v>439</v>
      </c>
      <c r="F14882" s="1852"/>
      <c r="G14882" s="433" t="s">
        <v>24</v>
      </c>
      <c r="H14882" s="1430">
        <v>1.2999999999999999E-3</v>
      </c>
      <c r="K14882" s="744" t="s">
        <v>3467</v>
      </c>
      <c r="L14882" s="744" t="s">
        <v>3046</v>
      </c>
      <c r="P14882" s="744" t="s">
        <v>3475</v>
      </c>
      <c r="S14882" s="744"/>
      <c r="T14882" s="744"/>
      <c r="V14882" s="744">
        <v>57</v>
      </c>
    </row>
    <row r="14883" spans="1:22" ht="15" x14ac:dyDescent="0.25">
      <c r="A14883" s="744" t="s">
        <v>201</v>
      </c>
      <c r="E14883" s="2190" t="s">
        <v>32</v>
      </c>
      <c r="F14883" s="1852"/>
      <c r="G14883" s="433" t="s">
        <v>23</v>
      </c>
      <c r="H14883" s="599">
        <v>0.25</v>
      </c>
      <c r="K14883" s="744" t="s">
        <v>3467</v>
      </c>
      <c r="L14883" s="744" t="s">
        <v>3046</v>
      </c>
      <c r="P14883" s="744" t="s">
        <v>3476</v>
      </c>
      <c r="S14883" s="744"/>
      <c r="T14883" s="744"/>
      <c r="V14883" s="744">
        <v>63</v>
      </c>
    </row>
    <row r="14884" spans="1:22" x14ac:dyDescent="0.25">
      <c r="A14884" s="744" t="s">
        <v>201</v>
      </c>
      <c r="E14884" s="1429" t="s">
        <v>615</v>
      </c>
      <c r="F14884" s="841"/>
      <c r="G14884" s="841"/>
      <c r="H14884" s="841"/>
      <c r="K14884" s="744" t="s">
        <v>3477</v>
      </c>
      <c r="S14884" s="744"/>
      <c r="T14884" s="744"/>
      <c r="V14884" s="744">
        <v>38</v>
      </c>
    </row>
    <row r="14885" spans="1:22" ht="15" customHeight="1" x14ac:dyDescent="0.25">
      <c r="A14885" s="744" t="s">
        <v>201</v>
      </c>
      <c r="E14885" s="2073" t="s">
        <v>6794</v>
      </c>
      <c r="F14885" s="1784"/>
      <c r="G14885" s="1784"/>
      <c r="H14885" s="1784"/>
      <c r="K14885" s="744" t="s">
        <v>3477</v>
      </c>
      <c r="S14885" s="744"/>
      <c r="T14885" s="744"/>
      <c r="V14885" s="744">
        <v>470</v>
      </c>
    </row>
    <row r="14886" spans="1:22" ht="15" x14ac:dyDescent="0.25">
      <c r="A14886" s="744" t="s">
        <v>201</v>
      </c>
      <c r="E14886" s="919" t="s">
        <v>3061</v>
      </c>
      <c r="F14886" s="841"/>
      <c r="G14886" s="841"/>
      <c r="H14886" s="841"/>
      <c r="K14886" s="744" t="s">
        <v>3128</v>
      </c>
      <c r="S14886" s="744"/>
      <c r="T14886" s="744"/>
      <c r="V14886" s="744">
        <v>11</v>
      </c>
    </row>
    <row r="14887" spans="1:22" ht="15" customHeight="1" x14ac:dyDescent="0.25">
      <c r="A14887" s="744" t="s">
        <v>201</v>
      </c>
      <c r="E14887" s="2083" t="s">
        <v>6756</v>
      </c>
      <c r="F14887" s="2188"/>
      <c r="G14887" s="2188"/>
      <c r="H14887" s="2188"/>
      <c r="K14887" s="744" t="s">
        <v>3477</v>
      </c>
      <c r="S14887" s="744"/>
      <c r="T14887" s="744"/>
      <c r="V14887" s="744">
        <v>250</v>
      </c>
    </row>
    <row r="14888" spans="1:22" ht="15" customHeight="1" x14ac:dyDescent="0.25">
      <c r="A14888" s="744" t="s">
        <v>201</v>
      </c>
      <c r="E14888" s="2083" t="s">
        <v>6757</v>
      </c>
      <c r="F14888" s="2188"/>
      <c r="G14888" s="2188"/>
      <c r="H14888" s="2188"/>
      <c r="K14888" s="744" t="s">
        <v>3477</v>
      </c>
      <c r="S14888" s="744"/>
      <c r="T14888" s="744"/>
      <c r="V14888" s="744">
        <v>381</v>
      </c>
    </row>
    <row r="14889" spans="1:22" ht="15" customHeight="1" x14ac:dyDescent="0.25">
      <c r="A14889" s="744" t="s">
        <v>201</v>
      </c>
      <c r="E14889" s="2083" t="s">
        <v>3065</v>
      </c>
      <c r="F14889" s="2188"/>
      <c r="G14889" s="2188"/>
      <c r="H14889" s="2188"/>
      <c r="K14889" s="744" t="s">
        <v>3477</v>
      </c>
      <c r="S14889" s="744"/>
      <c r="T14889" s="744"/>
      <c r="V14889" s="744">
        <v>387</v>
      </c>
    </row>
    <row r="14890" spans="1:22" ht="15" customHeight="1" x14ac:dyDescent="0.25">
      <c r="A14890" s="744" t="s">
        <v>201</v>
      </c>
      <c r="E14890" s="2083" t="s">
        <v>6674</v>
      </c>
      <c r="F14890" s="2188"/>
      <c r="G14890" s="2188"/>
      <c r="H14890" s="2188"/>
      <c r="K14890" s="744" t="s">
        <v>3477</v>
      </c>
      <c r="S14890" s="744"/>
      <c r="T14890" s="744"/>
      <c r="V14890" s="744">
        <v>293</v>
      </c>
    </row>
    <row r="14891" spans="1:22" ht="15" x14ac:dyDescent="0.25">
      <c r="A14891" s="744" t="s">
        <v>201</v>
      </c>
      <c r="E14891" s="919" t="s">
        <v>3067</v>
      </c>
      <c r="F14891" s="841"/>
      <c r="G14891" s="841"/>
      <c r="H14891" s="841"/>
      <c r="K14891" s="744" t="s">
        <v>3130</v>
      </c>
      <c r="S14891" s="744"/>
      <c r="T14891" s="744"/>
      <c r="V14891" s="744">
        <v>46</v>
      </c>
    </row>
    <row r="14892" spans="1:22" ht="15" x14ac:dyDescent="0.2">
      <c r="A14892" s="744" t="s">
        <v>201</v>
      </c>
      <c r="E14892" s="2189" t="s">
        <v>12</v>
      </c>
      <c r="F14892" s="2189"/>
      <c r="G14892" s="433" t="s">
        <v>23</v>
      </c>
      <c r="H14892" s="599">
        <v>1.99</v>
      </c>
      <c r="K14892" s="744" t="s">
        <v>3477</v>
      </c>
      <c r="L14892" s="744" t="s">
        <v>442</v>
      </c>
      <c r="P14892" s="744" t="s">
        <v>3478</v>
      </c>
      <c r="S14892" s="744"/>
      <c r="T14892" s="744"/>
      <c r="V14892" s="744">
        <v>31</v>
      </c>
    </row>
    <row r="14893" spans="1:22" ht="15" customHeight="1" x14ac:dyDescent="0.2">
      <c r="A14893" s="744" t="s">
        <v>201</v>
      </c>
      <c r="E14893" s="2189" t="s">
        <v>6758</v>
      </c>
      <c r="F14893" s="2189"/>
      <c r="G14893" s="433" t="s">
        <v>23</v>
      </c>
      <c r="H14893" s="599">
        <v>0.2</v>
      </c>
      <c r="K14893" s="744" t="s">
        <v>3477</v>
      </c>
      <c r="L14893" s="744" t="s">
        <v>443</v>
      </c>
      <c r="P14893" s="744" t="s">
        <v>6795</v>
      </c>
      <c r="S14893" s="744"/>
      <c r="T14893" s="744"/>
      <c r="V14893" s="744">
        <v>135</v>
      </c>
    </row>
    <row r="14894" spans="1:22" ht="15" x14ac:dyDescent="0.2">
      <c r="A14894" s="744" t="s">
        <v>201</v>
      </c>
      <c r="E14894" s="2190" t="s">
        <v>84</v>
      </c>
      <c r="F14894" s="2190"/>
      <c r="G14894" s="433" t="s">
        <v>33</v>
      </c>
      <c r="H14894" s="1430">
        <v>25.080100000000002</v>
      </c>
      <c r="K14894" s="744" t="s">
        <v>3477</v>
      </c>
      <c r="L14894" s="744" t="s">
        <v>442</v>
      </c>
      <c r="P14894" s="744" t="s">
        <v>3479</v>
      </c>
      <c r="S14894" s="744"/>
      <c r="T14894" s="744"/>
      <c r="V14894" s="744">
        <v>28</v>
      </c>
    </row>
    <row r="14895" spans="1:22" ht="15" x14ac:dyDescent="0.2">
      <c r="A14895" s="744" t="s">
        <v>201</v>
      </c>
      <c r="E14895" s="2190" t="s">
        <v>18</v>
      </c>
      <c r="F14895" s="2190"/>
      <c r="G14895" s="433" t="s">
        <v>33</v>
      </c>
      <c r="H14895" s="1430">
        <v>1.0466</v>
      </c>
      <c r="I14895" s="744" t="str">
        <f>IF(LEN(H14895)&gt;6, "fix", "")</f>
        <v/>
      </c>
      <c r="K14895" s="744" t="s">
        <v>3477</v>
      </c>
      <c r="L14895" s="744" t="s">
        <v>443</v>
      </c>
      <c r="P14895" s="744" t="s">
        <v>3480</v>
      </c>
      <c r="S14895" s="744"/>
      <c r="T14895" s="744"/>
      <c r="V14895" s="744">
        <v>24</v>
      </c>
    </row>
    <row r="14896" spans="1:22" ht="15" customHeight="1" x14ac:dyDescent="0.2">
      <c r="A14896" s="744" t="s">
        <v>201</v>
      </c>
      <c r="E14896" s="2189" t="s">
        <v>6758</v>
      </c>
      <c r="F14896" s="2189"/>
      <c r="G14896" s="433" t="s">
        <v>33</v>
      </c>
      <c r="H14896" s="1430">
        <v>2.4693000000000001</v>
      </c>
      <c r="K14896" s="744" t="s">
        <v>3477</v>
      </c>
      <c r="L14896" s="744" t="s">
        <v>443</v>
      </c>
      <c r="P14896" s="744" t="s">
        <v>6796</v>
      </c>
      <c r="S14896" s="744"/>
      <c r="T14896" s="744"/>
      <c r="V14896" s="744">
        <v>135</v>
      </c>
    </row>
    <row r="14897" spans="1:22" ht="15" x14ac:dyDescent="0.2">
      <c r="A14897" s="744" t="s">
        <v>201</v>
      </c>
      <c r="E14897" s="2190" t="s">
        <v>221</v>
      </c>
      <c r="F14897" s="2190"/>
      <c r="G14897" s="433" t="s">
        <v>33</v>
      </c>
      <c r="H14897" s="1430">
        <v>1.7860512187195465</v>
      </c>
      <c r="K14897" s="744" t="s">
        <v>3477</v>
      </c>
      <c r="L14897" s="744" t="s">
        <v>444</v>
      </c>
      <c r="P14897" s="744" t="s">
        <v>3482</v>
      </c>
      <c r="S14897" s="744"/>
      <c r="T14897" s="744"/>
      <c r="V14897" s="744">
        <v>47</v>
      </c>
    </row>
    <row r="14898" spans="1:22" ht="15" x14ac:dyDescent="0.2">
      <c r="A14898" s="744" t="s">
        <v>201</v>
      </c>
      <c r="E14898" s="2190" t="s">
        <v>217</v>
      </c>
      <c r="F14898" s="2190"/>
      <c r="G14898" s="433" t="s">
        <v>33</v>
      </c>
      <c r="H14898" s="1430">
        <v>1.0775202436278546</v>
      </c>
      <c r="K14898" s="744" t="s">
        <v>3477</v>
      </c>
      <c r="L14898" s="744" t="s">
        <v>444</v>
      </c>
      <c r="P14898" s="744" t="s">
        <v>3483</v>
      </c>
      <c r="S14898" s="744"/>
      <c r="T14898" s="744"/>
      <c r="V14898" s="744">
        <v>74</v>
      </c>
    </row>
    <row r="14899" spans="1:22" ht="15" x14ac:dyDescent="0.25">
      <c r="A14899" s="744" t="s">
        <v>201</v>
      </c>
      <c r="E14899" s="919" t="s">
        <v>3079</v>
      </c>
      <c r="F14899" s="841"/>
      <c r="G14899" s="841"/>
      <c r="H14899" s="841"/>
      <c r="K14899" s="744" t="s">
        <v>3260</v>
      </c>
      <c r="S14899" s="744"/>
      <c r="T14899" s="744"/>
      <c r="V14899" s="744">
        <v>48</v>
      </c>
    </row>
    <row r="14900" spans="1:22" ht="15" x14ac:dyDescent="0.25">
      <c r="A14900" s="744" t="s">
        <v>201</v>
      </c>
      <c r="E14900" s="2190" t="s">
        <v>31</v>
      </c>
      <c r="F14900" s="1852"/>
      <c r="G14900" s="433" t="s">
        <v>24</v>
      </c>
      <c r="H14900" s="1430">
        <v>4.4000000000000003E-3</v>
      </c>
      <c r="K14900" s="744" t="s">
        <v>3477</v>
      </c>
      <c r="L14900" s="744" t="s">
        <v>3046</v>
      </c>
      <c r="P14900" s="744" t="s">
        <v>3484</v>
      </c>
      <c r="S14900" s="744"/>
      <c r="T14900" s="744"/>
      <c r="V14900" s="744">
        <v>29</v>
      </c>
    </row>
    <row r="14901" spans="1:22" ht="15" x14ac:dyDescent="0.25">
      <c r="A14901" s="744" t="s">
        <v>201</v>
      </c>
      <c r="E14901" s="2190" t="s">
        <v>439</v>
      </c>
      <c r="F14901" s="1852"/>
      <c r="G14901" s="433" t="s">
        <v>24</v>
      </c>
      <c r="H14901" s="1430">
        <v>1.2999999999999999E-3</v>
      </c>
      <c r="K14901" s="744" t="s">
        <v>3477</v>
      </c>
      <c r="L14901" s="744" t="s">
        <v>3046</v>
      </c>
      <c r="P14901" s="744" t="s">
        <v>3485</v>
      </c>
      <c r="S14901" s="744"/>
      <c r="T14901" s="744"/>
      <c r="V14901" s="744">
        <v>57</v>
      </c>
    </row>
    <row r="14902" spans="1:22" ht="15" x14ac:dyDescent="0.25">
      <c r="A14902" s="744" t="s">
        <v>201</v>
      </c>
      <c r="E14902" s="2190" t="s">
        <v>32</v>
      </c>
      <c r="F14902" s="1852"/>
      <c r="G14902" s="433" t="s">
        <v>23</v>
      </c>
      <c r="H14902" s="599">
        <v>0.25</v>
      </c>
      <c r="K14902" s="744" t="s">
        <v>3477</v>
      </c>
      <c r="L14902" s="744" t="s">
        <v>3046</v>
      </c>
      <c r="P14902" s="744" t="s">
        <v>3486</v>
      </c>
      <c r="S14902" s="744"/>
      <c r="T14902" s="744"/>
      <c r="V14902" s="744">
        <v>63</v>
      </c>
    </row>
    <row r="14903" spans="1:22" x14ac:dyDescent="0.25">
      <c r="A14903" s="744" t="s">
        <v>201</v>
      </c>
      <c r="E14903" s="1429" t="s">
        <v>618</v>
      </c>
      <c r="F14903" s="841"/>
      <c r="G14903" s="841"/>
      <c r="H14903" s="841"/>
      <c r="K14903" s="744" t="s">
        <v>3487</v>
      </c>
      <c r="S14903" s="744"/>
      <c r="T14903" s="744"/>
      <c r="V14903" s="744">
        <v>31</v>
      </c>
    </row>
    <row r="14904" spans="1:22" ht="15" customHeight="1" x14ac:dyDescent="0.25">
      <c r="A14904" s="744" t="s">
        <v>201</v>
      </c>
      <c r="E14904" s="2073" t="s">
        <v>6698</v>
      </c>
      <c r="F14904" s="1784"/>
      <c r="G14904" s="1784"/>
      <c r="H14904" s="1784"/>
      <c r="K14904" s="744" t="s">
        <v>3487</v>
      </c>
      <c r="S14904" s="744"/>
      <c r="T14904" s="744"/>
      <c r="V14904" s="744">
        <v>270</v>
      </c>
    </row>
    <row r="14905" spans="1:22" ht="15" x14ac:dyDescent="0.25">
      <c r="A14905" s="744" t="s">
        <v>201</v>
      </c>
      <c r="E14905" s="919" t="s">
        <v>3061</v>
      </c>
      <c r="F14905" s="841"/>
      <c r="G14905" s="841"/>
      <c r="H14905" s="841"/>
      <c r="K14905" s="744" t="s">
        <v>3266</v>
      </c>
      <c r="S14905" s="744"/>
      <c r="T14905" s="744"/>
      <c r="V14905" s="744">
        <v>11</v>
      </c>
    </row>
    <row r="14906" spans="1:22" ht="15" customHeight="1" x14ac:dyDescent="0.25">
      <c r="A14906" s="744" t="s">
        <v>201</v>
      </c>
      <c r="E14906" s="2083" t="s">
        <v>6756</v>
      </c>
      <c r="F14906" s="2188"/>
      <c r="G14906" s="2188"/>
      <c r="H14906" s="2188"/>
      <c r="K14906" s="744" t="s">
        <v>3487</v>
      </c>
      <c r="S14906" s="744"/>
      <c r="T14906" s="744"/>
      <c r="V14906" s="744">
        <v>250</v>
      </c>
    </row>
    <row r="14907" spans="1:22" ht="15" customHeight="1" x14ac:dyDescent="0.25">
      <c r="A14907" s="744" t="s">
        <v>201</v>
      </c>
      <c r="E14907" s="2083" t="s">
        <v>6757</v>
      </c>
      <c r="F14907" s="2188"/>
      <c r="G14907" s="2188"/>
      <c r="H14907" s="2188"/>
      <c r="K14907" s="744" t="s">
        <v>3487</v>
      </c>
      <c r="S14907" s="744"/>
      <c r="T14907" s="744"/>
      <c r="V14907" s="744">
        <v>381</v>
      </c>
    </row>
    <row r="14908" spans="1:22" ht="15" customHeight="1" x14ac:dyDescent="0.25">
      <c r="A14908" s="744" t="s">
        <v>201</v>
      </c>
      <c r="E14908" s="2083" t="s">
        <v>3996</v>
      </c>
      <c r="F14908" s="2188"/>
      <c r="G14908" s="2188"/>
      <c r="H14908" s="2188"/>
      <c r="K14908" s="744" t="s">
        <v>3487</v>
      </c>
      <c r="S14908" s="744"/>
      <c r="T14908" s="744"/>
      <c r="V14908" s="744">
        <v>212</v>
      </c>
    </row>
    <row r="14909" spans="1:22" ht="15" customHeight="1" x14ac:dyDescent="0.25">
      <c r="A14909" s="744" t="s">
        <v>201</v>
      </c>
      <c r="E14909" s="2083" t="s">
        <v>6674</v>
      </c>
      <c r="F14909" s="2188"/>
      <c r="G14909" s="2188"/>
      <c r="H14909" s="2188"/>
      <c r="K14909" s="744" t="s">
        <v>3487</v>
      </c>
      <c r="S14909" s="744"/>
      <c r="T14909" s="744"/>
      <c r="V14909" s="744">
        <v>293</v>
      </c>
    </row>
    <row r="14910" spans="1:22" ht="15" x14ac:dyDescent="0.25">
      <c r="A14910" s="744" t="s">
        <v>201</v>
      </c>
      <c r="E14910" s="919" t="s">
        <v>3067</v>
      </c>
      <c r="F14910" s="841"/>
      <c r="G14910" s="841"/>
      <c r="H14910" s="841"/>
      <c r="K14910" s="744" t="s">
        <v>3267</v>
      </c>
      <c r="S14910" s="744"/>
      <c r="T14910" s="744"/>
      <c r="V14910" s="744">
        <v>46</v>
      </c>
    </row>
    <row r="14911" spans="1:22" ht="15" x14ac:dyDescent="0.2">
      <c r="A14911" s="744" t="s">
        <v>201</v>
      </c>
      <c r="E14911" s="2189" t="s">
        <v>11</v>
      </c>
      <c r="F14911" s="2189"/>
      <c r="G14911" s="433" t="s">
        <v>23</v>
      </c>
      <c r="H14911" s="599">
        <v>5.4</v>
      </c>
      <c r="K14911" s="744" t="s">
        <v>3487</v>
      </c>
      <c r="L14911" s="744" t="s">
        <v>442</v>
      </c>
      <c r="P14911" s="744" t="s">
        <v>3488</v>
      </c>
      <c r="S14911" s="744"/>
      <c r="T14911" s="744"/>
      <c r="V14911" s="744">
        <v>14</v>
      </c>
    </row>
    <row r="14912" spans="1:22" x14ac:dyDescent="0.25">
      <c r="A14912" s="744" t="s">
        <v>201</v>
      </c>
      <c r="E14912" s="1429" t="s">
        <v>85</v>
      </c>
      <c r="F14912" s="841"/>
      <c r="G14912" s="841"/>
      <c r="H14912" s="841"/>
      <c r="K14912" s="744" t="s">
        <v>6797</v>
      </c>
      <c r="S14912" s="744"/>
      <c r="T14912" s="744"/>
      <c r="V14912" s="744">
        <v>10</v>
      </c>
    </row>
    <row r="14913" spans="1:22" ht="15" x14ac:dyDescent="0.2">
      <c r="A14913" s="744" t="s">
        <v>201</v>
      </c>
      <c r="E14913" s="433" t="s">
        <v>3133</v>
      </c>
      <c r="F14913" s="433"/>
      <c r="G14913" s="433" t="s">
        <v>33</v>
      </c>
      <c r="H14913" s="599">
        <v>-0.6</v>
      </c>
      <c r="I14913" s="1431" t="str">
        <f>IF(LEN(H14913)&gt;4, "fix", "")</f>
        <v/>
      </c>
      <c r="S14913" s="744"/>
      <c r="T14913" s="744"/>
      <c r="V14913" s="744">
        <v>68</v>
      </c>
    </row>
    <row r="14914" spans="1:22" ht="15" customHeight="1" x14ac:dyDescent="0.2">
      <c r="A14914" s="744" t="s">
        <v>201</v>
      </c>
      <c r="E14914" s="1690" t="s">
        <v>3134</v>
      </c>
      <c r="F14914" s="1690"/>
      <c r="G14914" s="433" t="s">
        <v>86</v>
      </c>
      <c r="H14914" s="599">
        <v>-1</v>
      </c>
      <c r="S14914" s="744"/>
      <c r="T14914" s="744"/>
      <c r="V14914" s="744">
        <v>89</v>
      </c>
    </row>
    <row r="14915" spans="1:22" x14ac:dyDescent="0.25">
      <c r="A14915" s="744" t="s">
        <v>201</v>
      </c>
      <c r="E14915" s="1429" t="s">
        <v>87</v>
      </c>
      <c r="F14915" s="841"/>
      <c r="G14915" s="841"/>
      <c r="H14915" s="841"/>
      <c r="K14915" s="744" t="s">
        <v>6798</v>
      </c>
      <c r="S14915" s="744"/>
      <c r="T14915" s="744"/>
      <c r="V14915" s="744">
        <v>24</v>
      </c>
    </row>
    <row r="14916" spans="1:22" ht="15" customHeight="1" x14ac:dyDescent="0.25">
      <c r="A14916" s="744" t="s">
        <v>201</v>
      </c>
      <c r="E14916" s="2083" t="s">
        <v>6672</v>
      </c>
      <c r="F14916" s="2188"/>
      <c r="G14916" s="2188"/>
      <c r="H14916" s="2188"/>
      <c r="S14916" s="744"/>
      <c r="T14916" s="744"/>
      <c r="V14916" s="744">
        <v>250</v>
      </c>
    </row>
    <row r="14917" spans="1:22" ht="15" customHeight="1" x14ac:dyDescent="0.25">
      <c r="A14917" s="744" t="s">
        <v>201</v>
      </c>
      <c r="E14917" s="2083" t="s">
        <v>6702</v>
      </c>
      <c r="F14917" s="2188"/>
      <c r="G14917" s="2188"/>
      <c r="H14917" s="2188"/>
      <c r="S14917" s="744"/>
      <c r="T14917" s="744"/>
      <c r="V14917" s="744">
        <v>325</v>
      </c>
    </row>
    <row r="14918" spans="1:22" ht="15" customHeight="1" x14ac:dyDescent="0.25">
      <c r="A14918" s="744" t="s">
        <v>201</v>
      </c>
      <c r="E14918" s="2083" t="s">
        <v>6703</v>
      </c>
      <c r="F14918" s="2188"/>
      <c r="G14918" s="2188"/>
      <c r="H14918" s="2188"/>
      <c r="S14918" s="744"/>
      <c r="T14918" s="744"/>
      <c r="V14918" s="744">
        <v>294</v>
      </c>
    </row>
    <row r="14919" spans="1:22" ht="15" x14ac:dyDescent="0.25">
      <c r="A14919" s="744" t="s">
        <v>201</v>
      </c>
      <c r="E14919" s="919" t="s">
        <v>3137</v>
      </c>
      <c r="F14919" s="841"/>
      <c r="G14919" s="841"/>
      <c r="H14919" s="841"/>
      <c r="K14919" s="744" t="s">
        <v>6799</v>
      </c>
      <c r="S14919" s="744"/>
      <c r="T14919" s="744"/>
      <c r="V14919" s="744">
        <v>23</v>
      </c>
    </row>
    <row r="14920" spans="1:22" ht="15" x14ac:dyDescent="0.2">
      <c r="A14920" s="744" t="s">
        <v>201</v>
      </c>
      <c r="E14920" s="2191" t="s">
        <v>3355</v>
      </c>
      <c r="F14920" s="2191"/>
      <c r="G14920" s="433" t="s">
        <v>23</v>
      </c>
      <c r="H14920" s="599">
        <v>15</v>
      </c>
      <c r="S14920" s="744"/>
      <c r="T14920" s="744"/>
      <c r="V14920" s="744">
        <v>19</v>
      </c>
    </row>
    <row r="14921" spans="1:22" ht="15" x14ac:dyDescent="0.2">
      <c r="A14921" s="744" t="s">
        <v>201</v>
      </c>
      <c r="E14921" s="2191" t="s">
        <v>3147</v>
      </c>
      <c r="F14921" s="2191"/>
      <c r="G14921" s="433" t="s">
        <v>23</v>
      </c>
      <c r="H14921" s="599">
        <v>15</v>
      </c>
      <c r="S14921" s="744"/>
      <c r="T14921" s="744"/>
      <c r="V14921" s="744">
        <v>15</v>
      </c>
    </row>
    <row r="14922" spans="1:22" ht="15" x14ac:dyDescent="0.2">
      <c r="A14922" s="744" t="s">
        <v>201</v>
      </c>
      <c r="E14922" s="2191" t="s">
        <v>3149</v>
      </c>
      <c r="F14922" s="2191"/>
      <c r="G14922" s="433" t="s">
        <v>23</v>
      </c>
      <c r="H14922" s="599">
        <v>15</v>
      </c>
      <c r="S14922" s="744"/>
      <c r="T14922" s="744"/>
      <c r="V14922" s="744">
        <v>35</v>
      </c>
    </row>
    <row r="14923" spans="1:22" ht="15" x14ac:dyDescent="0.2">
      <c r="A14923" s="744" t="s">
        <v>201</v>
      </c>
      <c r="E14923" s="2191" t="s">
        <v>88</v>
      </c>
      <c r="F14923" s="2191"/>
      <c r="G14923" s="433" t="s">
        <v>23</v>
      </c>
      <c r="H14923" s="599">
        <v>30</v>
      </c>
      <c r="S14923" s="744"/>
      <c r="T14923" s="744"/>
      <c r="V14923" s="744">
        <v>89</v>
      </c>
    </row>
    <row r="14924" spans="1:22" ht="15" x14ac:dyDescent="0.2">
      <c r="A14924" s="744" t="s">
        <v>201</v>
      </c>
      <c r="E14924" s="2191" t="s">
        <v>94</v>
      </c>
      <c r="F14924" s="2191"/>
      <c r="G14924" s="433" t="s">
        <v>23</v>
      </c>
      <c r="H14924" s="599">
        <v>30</v>
      </c>
      <c r="S14924" s="744"/>
      <c r="T14924" s="744"/>
      <c r="V14924" s="744">
        <v>19</v>
      </c>
    </row>
    <row r="14925" spans="1:22" ht="15" x14ac:dyDescent="0.2">
      <c r="A14925" s="744" t="s">
        <v>201</v>
      </c>
      <c r="E14925" s="2191" t="s">
        <v>92</v>
      </c>
      <c r="F14925" s="2191"/>
      <c r="G14925" s="433" t="s">
        <v>23</v>
      </c>
      <c r="H14925" s="599">
        <v>30</v>
      </c>
      <c r="S14925" s="744"/>
      <c r="T14925" s="744"/>
      <c r="V14925" s="744">
        <v>74</v>
      </c>
    </row>
    <row r="14926" spans="1:22" ht="15" x14ac:dyDescent="0.25">
      <c r="A14926" s="744" t="s">
        <v>201</v>
      </c>
      <c r="E14926" s="919" t="s">
        <v>3152</v>
      </c>
      <c r="F14926" s="841"/>
      <c r="G14926" s="841"/>
      <c r="H14926" s="841"/>
      <c r="K14926" s="744" t="s">
        <v>6800</v>
      </c>
      <c r="S14926" s="744"/>
      <c r="T14926" s="744"/>
      <c r="V14926" s="744">
        <v>22</v>
      </c>
    </row>
    <row r="14927" spans="1:22" ht="15" x14ac:dyDescent="0.2">
      <c r="A14927" s="744" t="s">
        <v>201</v>
      </c>
      <c r="E14927" s="2191" t="s">
        <v>3154</v>
      </c>
      <c r="F14927" s="2191"/>
      <c r="G14927" s="433" t="s">
        <v>86</v>
      </c>
      <c r="H14927" s="599">
        <v>1.5</v>
      </c>
      <c r="S14927" s="744"/>
      <c r="T14927" s="744"/>
      <c r="V14927" s="744">
        <v>24</v>
      </c>
    </row>
    <row r="14928" spans="1:22" ht="15" x14ac:dyDescent="0.2">
      <c r="A14928" s="744" t="s">
        <v>201</v>
      </c>
      <c r="E14928" s="2191" t="s">
        <v>3155</v>
      </c>
      <c r="F14928" s="2191"/>
      <c r="G14928" s="433" t="s">
        <v>86</v>
      </c>
      <c r="H14928" s="599">
        <v>19.559999999999999</v>
      </c>
      <c r="S14928" s="744"/>
      <c r="T14928" s="744"/>
      <c r="V14928" s="744">
        <v>24</v>
      </c>
    </row>
    <row r="14929" spans="1:22" ht="15" x14ac:dyDescent="0.2">
      <c r="A14929" s="744" t="s">
        <v>201</v>
      </c>
      <c r="E14929" s="2191" t="s">
        <v>6801</v>
      </c>
      <c r="F14929" s="2191"/>
      <c r="G14929" s="433" t="s">
        <v>23</v>
      </c>
      <c r="H14929" s="599">
        <v>30</v>
      </c>
      <c r="S14929" s="744"/>
      <c r="T14929" s="744"/>
      <c r="V14929" s="744">
        <v>47</v>
      </c>
    </row>
    <row r="14930" spans="1:22" ht="15" x14ac:dyDescent="0.2">
      <c r="A14930" s="744" t="s">
        <v>201</v>
      </c>
      <c r="E14930" s="2191" t="s">
        <v>3158</v>
      </c>
      <c r="F14930" s="2191"/>
      <c r="G14930" s="433" t="s">
        <v>23</v>
      </c>
      <c r="H14930" s="599">
        <v>65</v>
      </c>
      <c r="S14930" s="744"/>
      <c r="T14930" s="744"/>
      <c r="V14930" s="744">
        <v>52</v>
      </c>
    </row>
    <row r="14931" spans="1:22" ht="15" x14ac:dyDescent="0.2">
      <c r="A14931" s="744" t="s">
        <v>201</v>
      </c>
      <c r="E14931" s="2191" t="s">
        <v>3160</v>
      </c>
      <c r="F14931" s="2191"/>
      <c r="G14931" s="433" t="s">
        <v>23</v>
      </c>
      <c r="H14931" s="599">
        <v>185</v>
      </c>
      <c r="S14931" s="744"/>
      <c r="T14931" s="744"/>
      <c r="V14931" s="744">
        <v>51</v>
      </c>
    </row>
    <row r="14932" spans="1:22" ht="15" x14ac:dyDescent="0.25">
      <c r="A14932" s="744" t="s">
        <v>201</v>
      </c>
      <c r="E14932" s="919" t="s">
        <v>3887</v>
      </c>
      <c r="F14932" s="841"/>
      <c r="G14932" s="841"/>
      <c r="H14932" s="841"/>
      <c r="S14932" s="744"/>
      <c r="T14932" s="744"/>
      <c r="V14932" s="744">
        <v>6</v>
      </c>
    </row>
    <row r="14933" spans="1:22" ht="15" x14ac:dyDescent="0.2">
      <c r="A14933" s="744" t="s">
        <v>201</v>
      </c>
      <c r="E14933" s="2191" t="s">
        <v>3434</v>
      </c>
      <c r="F14933" s="2191"/>
      <c r="G14933" s="433" t="s">
        <v>23</v>
      </c>
      <c r="H14933" s="599">
        <v>500</v>
      </c>
      <c r="S14933" s="744"/>
      <c r="T14933" s="744"/>
      <c r="V14933" s="744">
        <v>64</v>
      </c>
    </row>
    <row r="14934" spans="1:22" ht="15" x14ac:dyDescent="0.2">
      <c r="A14934" s="744" t="s">
        <v>201</v>
      </c>
      <c r="E14934" s="2191" t="s">
        <v>3489</v>
      </c>
      <c r="F14934" s="2191"/>
      <c r="G14934" s="433" t="s">
        <v>23</v>
      </c>
      <c r="H14934" s="599">
        <v>300</v>
      </c>
      <c r="S14934" s="744"/>
      <c r="T14934" s="744"/>
      <c r="V14934" s="744">
        <v>67</v>
      </c>
    </row>
    <row r="14935" spans="1:22" ht="15" x14ac:dyDescent="0.2">
      <c r="A14935" s="744" t="s">
        <v>201</v>
      </c>
      <c r="E14935" s="2191" t="s">
        <v>3491</v>
      </c>
      <c r="F14935" s="2191"/>
      <c r="G14935" s="433" t="s">
        <v>23</v>
      </c>
      <c r="H14935" s="599">
        <v>22.35</v>
      </c>
      <c r="S14935" s="744"/>
      <c r="T14935" s="744"/>
      <c r="V14935" s="744">
        <v>59</v>
      </c>
    </row>
    <row r="14936" spans="1:22" x14ac:dyDescent="0.25">
      <c r="A14936" s="744" t="s">
        <v>201</v>
      </c>
      <c r="E14936" s="1429" t="s">
        <v>77</v>
      </c>
      <c r="F14936" s="841"/>
      <c r="G14936" s="841"/>
      <c r="H14936" s="841"/>
      <c r="K14936" s="744" t="s">
        <v>6802</v>
      </c>
      <c r="S14936" s="744"/>
      <c r="T14936" s="744"/>
      <c r="V14936" s="744">
        <v>38</v>
      </c>
    </row>
    <row r="14937" spans="1:22" ht="15.75" customHeight="1" x14ac:dyDescent="0.25">
      <c r="A14937" s="744" t="s">
        <v>201</v>
      </c>
      <c r="E14937" s="2192" t="s">
        <v>6707</v>
      </c>
      <c r="F14937" s="1852"/>
      <c r="G14937" s="1852"/>
      <c r="H14937" s="1852"/>
      <c r="S14937" s="744"/>
      <c r="T14937" s="744"/>
      <c r="V14937" s="744">
        <v>251</v>
      </c>
    </row>
    <row r="14938" spans="1:22" ht="15.75" customHeight="1" x14ac:dyDescent="0.25">
      <c r="A14938" s="744" t="s">
        <v>201</v>
      </c>
      <c r="E14938" s="2192" t="s">
        <v>6708</v>
      </c>
      <c r="F14938" s="1852"/>
      <c r="G14938" s="1852"/>
      <c r="H14938" s="1852"/>
      <c r="S14938" s="744"/>
      <c r="T14938" s="744"/>
      <c r="V14938" s="744">
        <v>384</v>
      </c>
    </row>
    <row r="14939" spans="1:22" ht="15.75" customHeight="1" x14ac:dyDescent="0.25">
      <c r="A14939" s="744" t="s">
        <v>201</v>
      </c>
      <c r="E14939" s="2192" t="s">
        <v>3129</v>
      </c>
      <c r="F14939" s="1852"/>
      <c r="G14939" s="1852"/>
      <c r="H14939" s="1852"/>
      <c r="S14939" s="744"/>
      <c r="T14939" s="744"/>
      <c r="V14939" s="744">
        <v>211</v>
      </c>
    </row>
    <row r="14940" spans="1:22" ht="15.75" customHeight="1" x14ac:dyDescent="0.25">
      <c r="A14940" s="744" t="s">
        <v>201</v>
      </c>
      <c r="E14940" s="2192" t="s">
        <v>6709</v>
      </c>
      <c r="F14940" s="1852"/>
      <c r="G14940" s="1852"/>
      <c r="H14940" s="1852"/>
      <c r="S14940" s="744"/>
      <c r="T14940" s="744"/>
      <c r="V14940" s="744">
        <v>296</v>
      </c>
    </row>
    <row r="14941" spans="1:22" ht="15.75" customHeight="1" x14ac:dyDescent="0.25">
      <c r="A14941" s="744" t="s">
        <v>201</v>
      </c>
      <c r="E14941" s="2192" t="s">
        <v>3291</v>
      </c>
      <c r="F14941" s="1852"/>
      <c r="G14941" s="1852"/>
      <c r="H14941" s="1852"/>
      <c r="S14941" s="744"/>
      <c r="T14941" s="744"/>
      <c r="V14941" s="744">
        <v>142</v>
      </c>
    </row>
    <row r="14942" spans="1:22" ht="15" x14ac:dyDescent="0.2">
      <c r="A14942" s="744" t="s">
        <v>201</v>
      </c>
      <c r="E14942" s="433" t="s">
        <v>3176</v>
      </c>
      <c r="F14942" s="433"/>
      <c r="G14942" s="433" t="s">
        <v>23</v>
      </c>
      <c r="H14942" s="916">
        <v>100</v>
      </c>
      <c r="S14942" s="744"/>
      <c r="T14942" s="744"/>
      <c r="V14942" s="744">
        <v>106</v>
      </c>
    </row>
    <row r="14943" spans="1:22" ht="15" x14ac:dyDescent="0.2">
      <c r="A14943" s="744" t="s">
        <v>201</v>
      </c>
      <c r="E14943" s="433" t="s">
        <v>3177</v>
      </c>
      <c r="F14943" s="433"/>
      <c r="G14943" s="433" t="s">
        <v>23</v>
      </c>
      <c r="H14943" s="916">
        <v>20</v>
      </c>
      <c r="S14943" s="744"/>
      <c r="T14943" s="744"/>
      <c r="V14943" s="744">
        <v>34</v>
      </c>
    </row>
    <row r="14944" spans="1:22" ht="15" x14ac:dyDescent="0.2">
      <c r="A14944" s="744" t="s">
        <v>201</v>
      </c>
      <c r="E14944" s="2190" t="s">
        <v>3178</v>
      </c>
      <c r="F14944" s="2190"/>
      <c r="G14944" s="433" t="s">
        <v>3179</v>
      </c>
      <c r="H14944" s="916">
        <v>0.5</v>
      </c>
      <c r="S14944" s="744"/>
      <c r="T14944" s="744"/>
      <c r="V14944" s="744">
        <v>51</v>
      </c>
    </row>
    <row r="14945" spans="1:22" ht="15" x14ac:dyDescent="0.2">
      <c r="A14945" s="744" t="s">
        <v>201</v>
      </c>
      <c r="E14945" s="2190" t="s">
        <v>3180</v>
      </c>
      <c r="F14945" s="2190"/>
      <c r="G14945" s="433" t="s">
        <v>3179</v>
      </c>
      <c r="H14945" s="916">
        <v>0.3</v>
      </c>
      <c r="S14945" s="744"/>
      <c r="T14945" s="744"/>
      <c r="V14945" s="744">
        <v>75</v>
      </c>
    </row>
    <row r="14946" spans="1:22" ht="15" x14ac:dyDescent="0.2">
      <c r="A14946" s="744" t="s">
        <v>201</v>
      </c>
      <c r="E14946" s="2190" t="s">
        <v>3181</v>
      </c>
      <c r="F14946" s="2190"/>
      <c r="G14946" s="433" t="s">
        <v>3179</v>
      </c>
      <c r="H14946" s="916">
        <v>-0.3</v>
      </c>
      <c r="S14946" s="744"/>
      <c r="T14946" s="744"/>
      <c r="V14946" s="744">
        <v>72</v>
      </c>
    </row>
    <row r="14947" spans="1:22" ht="15" x14ac:dyDescent="0.2">
      <c r="A14947" s="744" t="s">
        <v>201</v>
      </c>
      <c r="E14947" s="2190" t="s">
        <v>3182</v>
      </c>
      <c r="F14947" s="2190"/>
      <c r="G14947" s="433"/>
      <c r="H14947" s="1434"/>
      <c r="S14947" s="744"/>
      <c r="T14947" s="744"/>
      <c r="V14947" s="744">
        <v>35</v>
      </c>
    </row>
    <row r="14948" spans="1:22" ht="15" x14ac:dyDescent="0.2">
      <c r="A14948" s="744" t="s">
        <v>201</v>
      </c>
      <c r="E14948" s="2193" t="s">
        <v>3183</v>
      </c>
      <c r="F14948" s="2190"/>
      <c r="G14948" s="433" t="s">
        <v>23</v>
      </c>
      <c r="H14948" s="916">
        <v>0.25</v>
      </c>
      <c r="S14948" s="744"/>
      <c r="T14948" s="744"/>
      <c r="V14948" s="744">
        <v>57</v>
      </c>
    </row>
    <row r="14949" spans="1:22" ht="15" x14ac:dyDescent="0.2">
      <c r="A14949" s="744" t="s">
        <v>201</v>
      </c>
      <c r="E14949" s="2193" t="s">
        <v>3184</v>
      </c>
      <c r="F14949" s="2190"/>
      <c r="G14949" s="433" t="s">
        <v>23</v>
      </c>
      <c r="H14949" s="916">
        <v>0.5</v>
      </c>
      <c r="S14949" s="744"/>
      <c r="T14949" s="744"/>
      <c r="V14949" s="744">
        <v>60</v>
      </c>
    </row>
    <row r="14950" spans="1:22" ht="15" x14ac:dyDescent="0.2">
      <c r="A14950" s="744" t="s">
        <v>201</v>
      </c>
      <c r="E14950" s="2190" t="s">
        <v>3185</v>
      </c>
      <c r="F14950" s="2190"/>
      <c r="G14950" s="433"/>
      <c r="H14950" s="1434"/>
      <c r="S14950" s="744"/>
      <c r="T14950" s="744"/>
      <c r="V14950" s="744">
        <v>91</v>
      </c>
    </row>
    <row r="14951" spans="1:22" ht="15" x14ac:dyDescent="0.2">
      <c r="A14951" s="744" t="s">
        <v>201</v>
      </c>
      <c r="E14951" s="2190" t="s">
        <v>3186</v>
      </c>
      <c r="F14951" s="2190"/>
      <c r="G14951" s="433"/>
      <c r="H14951" s="1434"/>
      <c r="S14951" s="744"/>
      <c r="T14951" s="744"/>
      <c r="V14951" s="744">
        <v>96</v>
      </c>
    </row>
    <row r="14952" spans="1:22" ht="15" x14ac:dyDescent="0.2">
      <c r="A14952" s="744" t="s">
        <v>201</v>
      </c>
      <c r="E14952" s="2190" t="s">
        <v>3187</v>
      </c>
      <c r="F14952" s="2190"/>
      <c r="G14952" s="433"/>
      <c r="H14952" s="1434"/>
      <c r="S14952" s="744"/>
      <c r="T14952" s="744"/>
      <c r="V14952" s="744">
        <v>78</v>
      </c>
    </row>
    <row r="14953" spans="1:22" ht="15" x14ac:dyDescent="0.2">
      <c r="A14953" s="744" t="s">
        <v>201</v>
      </c>
      <c r="E14953" s="2193" t="s">
        <v>3188</v>
      </c>
      <c r="F14953" s="2190"/>
      <c r="G14953" s="433" t="s">
        <v>23</v>
      </c>
      <c r="H14953" s="1434" t="s">
        <v>3189</v>
      </c>
      <c r="S14953" s="744"/>
      <c r="T14953" s="744"/>
      <c r="V14953" s="744">
        <v>18</v>
      </c>
    </row>
    <row r="14954" spans="1:22" ht="15" x14ac:dyDescent="0.2">
      <c r="A14954" s="744" t="s">
        <v>201</v>
      </c>
      <c r="E14954" s="2193" t="s">
        <v>3190</v>
      </c>
      <c r="F14954" s="2190"/>
      <c r="G14954" s="433" t="s">
        <v>23</v>
      </c>
      <c r="H14954" s="916">
        <v>2</v>
      </c>
      <c r="S14954" s="744"/>
      <c r="T14954" s="744"/>
      <c r="V14954" s="744">
        <v>69</v>
      </c>
    </row>
    <row r="14955" spans="1:22" x14ac:dyDescent="0.25">
      <c r="A14955" s="744" t="s">
        <v>201</v>
      </c>
      <c r="E14955" s="1429" t="s">
        <v>147</v>
      </c>
      <c r="F14955" s="841"/>
      <c r="G14955" s="841"/>
      <c r="H14955" s="841"/>
      <c r="K14955" s="744" t="s">
        <v>6803</v>
      </c>
      <c r="S14955" s="744"/>
      <c r="T14955" s="744"/>
      <c r="V14955" s="744">
        <v>12</v>
      </c>
    </row>
    <row r="14956" spans="1:22" ht="15" customHeight="1" x14ac:dyDescent="0.25">
      <c r="A14956" s="744" t="s">
        <v>201</v>
      </c>
      <c r="E14956" s="2083" t="s">
        <v>3192</v>
      </c>
      <c r="F14956" s="2188"/>
      <c r="G14956" s="2188"/>
      <c r="H14956" s="2188"/>
      <c r="S14956" s="744"/>
      <c r="T14956" s="744"/>
      <c r="V14956" s="744">
        <v>203</v>
      </c>
    </row>
    <row r="14957" spans="1:22" ht="15" x14ac:dyDescent="0.2">
      <c r="A14957" s="744" t="s">
        <v>201</v>
      </c>
      <c r="E14957" s="2190" t="s">
        <v>3295</v>
      </c>
      <c r="F14957" s="2190"/>
      <c r="G14957" s="433"/>
      <c r="H14957" s="917">
        <v>1.0687</v>
      </c>
      <c r="S14957" s="744"/>
      <c r="T14957" s="744"/>
      <c r="V14957" s="744">
        <v>57</v>
      </c>
    </row>
    <row r="14958" spans="1:22" ht="15" x14ac:dyDescent="0.2">
      <c r="A14958" s="744" t="s">
        <v>201</v>
      </c>
      <c r="E14958" s="2190" t="s">
        <v>3297</v>
      </c>
      <c r="F14958" s="2190"/>
      <c r="G14958" s="433"/>
      <c r="H14958" s="917">
        <v>1.0587</v>
      </c>
      <c r="J14958" s="744" t="s">
        <v>6804</v>
      </c>
      <c r="S14958" s="744"/>
      <c r="T14958" s="744"/>
      <c r="V14958" s="744">
        <v>55</v>
      </c>
    </row>
    <row r="14959" spans="1:22" ht="23.25" customHeight="1" x14ac:dyDescent="0.25">
      <c r="A14959" s="744" t="s">
        <v>179</v>
      </c>
      <c r="C14959" s="744" t="s">
        <v>3050</v>
      </c>
      <c r="E14959" s="1911" t="s">
        <v>179</v>
      </c>
      <c r="F14959" s="1699"/>
      <c r="G14959" s="1699"/>
      <c r="H14959" s="1699"/>
      <c r="I14959" s="744" t="s">
        <v>628</v>
      </c>
      <c r="J14959" s="744" t="s">
        <v>6805</v>
      </c>
      <c r="K14959" s="744" t="s">
        <v>179</v>
      </c>
      <c r="M14959" s="744">
        <v>8</v>
      </c>
      <c r="S14959" s="744"/>
      <c r="T14959" s="744"/>
      <c r="V14959" s="744">
        <v>28</v>
      </c>
    </row>
    <row r="14960" spans="1:22" ht="18" customHeight="1" x14ac:dyDescent="0.25">
      <c r="A14960" s="744" t="s">
        <v>179</v>
      </c>
      <c r="C14960" s="744" t="s">
        <v>3052</v>
      </c>
      <c r="E14960" s="1912" t="s">
        <v>3053</v>
      </c>
      <c r="F14960" s="1700"/>
      <c r="G14960" s="1700"/>
      <c r="H14960" s="1700"/>
      <c r="S14960" s="744"/>
      <c r="T14960" s="744"/>
      <c r="V14960" s="744">
        <v>27</v>
      </c>
    </row>
    <row r="14961" spans="1:29" ht="15.75" customHeight="1" x14ac:dyDescent="0.25">
      <c r="A14961" s="744" t="s">
        <v>179</v>
      </c>
      <c r="C14961" s="744" t="s">
        <v>3054</v>
      </c>
      <c r="E14961" s="1913" t="s">
        <v>5107</v>
      </c>
      <c r="F14961" s="1701"/>
      <c r="G14961" s="1701"/>
      <c r="H14961" s="1701"/>
      <c r="S14961" s="1428">
        <v>43221</v>
      </c>
      <c r="T14961" s="744"/>
      <c r="V14961" s="744">
        <v>45</v>
      </c>
    </row>
    <row r="14962" spans="1:29" ht="15" customHeight="1" x14ac:dyDescent="0.25">
      <c r="A14962" s="744" t="s">
        <v>179</v>
      </c>
      <c r="C14962" s="744" t="s">
        <v>3055</v>
      </c>
      <c r="E14962" s="1914" t="s">
        <v>3056</v>
      </c>
      <c r="F14962" s="1702"/>
      <c r="G14962" s="1702"/>
      <c r="H14962" s="1702"/>
      <c r="S14962" s="744"/>
      <c r="T14962" s="744"/>
      <c r="V14962" s="744">
        <v>52</v>
      </c>
    </row>
    <row r="14963" spans="1:29" ht="15" customHeight="1" x14ac:dyDescent="0.25">
      <c r="A14963" s="744" t="s">
        <v>179</v>
      </c>
      <c r="E14963" s="1914" t="s">
        <v>3057</v>
      </c>
      <c r="F14963" s="1702"/>
      <c r="G14963" s="1702"/>
      <c r="H14963" s="1702"/>
      <c r="S14963" s="744"/>
      <c r="T14963" s="744"/>
      <c r="V14963" s="744">
        <v>53</v>
      </c>
    </row>
    <row r="14964" spans="1:29" ht="15" x14ac:dyDescent="0.25">
      <c r="A14964" s="744" t="s">
        <v>179</v>
      </c>
      <c r="E14964" s="1925" t="s">
        <v>6806</v>
      </c>
      <c r="F14964" s="1703"/>
      <c r="G14964" s="1703"/>
      <c r="H14964" s="1703"/>
      <c r="K14964" s="744" t="s">
        <v>6806</v>
      </c>
      <c r="S14964" s="744"/>
      <c r="T14964" s="744"/>
      <c r="V14964" s="744">
        <v>12</v>
      </c>
    </row>
    <row r="14965" spans="1:29" ht="15" customHeight="1" x14ac:dyDescent="0.25">
      <c r="A14965" s="744" t="s">
        <v>179</v>
      </c>
      <c r="E14965" s="1909" t="s">
        <v>438</v>
      </c>
      <c r="F14965" s="1697"/>
      <c r="G14965" s="1697"/>
      <c r="H14965" s="1697"/>
      <c r="K14965" s="744" t="s">
        <v>3197</v>
      </c>
      <c r="S14965" s="744"/>
      <c r="T14965" s="744"/>
      <c r="V14965" s="744">
        <v>34</v>
      </c>
      <c r="AC14965" s="744">
        <f>FIND(E14965, K14965)</f>
        <v>3</v>
      </c>
    </row>
    <row r="14966" spans="1:29" ht="15" customHeight="1" x14ac:dyDescent="0.25">
      <c r="A14966" s="744" t="s">
        <v>179</v>
      </c>
      <c r="E14966" s="1689" t="s">
        <v>3543</v>
      </c>
      <c r="F14966" s="1697"/>
      <c r="G14966" s="1697"/>
      <c r="H14966" s="1697"/>
      <c r="K14966" s="744" t="s">
        <v>3197</v>
      </c>
      <c r="S14966" s="744"/>
      <c r="T14966" s="744"/>
      <c r="V14966" s="744">
        <v>618</v>
      </c>
    </row>
    <row r="14967" spans="1:29" ht="15" x14ac:dyDescent="0.25">
      <c r="A14967" s="744" t="s">
        <v>179</v>
      </c>
      <c r="E14967" s="1916" t="s">
        <v>3061</v>
      </c>
      <c r="F14967" s="1697"/>
      <c r="G14967" s="1697"/>
      <c r="H14967" s="1697"/>
      <c r="K14967" s="744" t="s">
        <v>3062</v>
      </c>
      <c r="S14967" s="744"/>
      <c r="T14967" s="744"/>
      <c r="V14967" s="744">
        <v>11</v>
      </c>
    </row>
    <row r="14968" spans="1:29" ht="15" customHeight="1" x14ac:dyDescent="0.25">
      <c r="A14968" s="744" t="s">
        <v>179</v>
      </c>
      <c r="E14968" s="1689" t="s">
        <v>3063</v>
      </c>
      <c r="F14968" s="1697"/>
      <c r="G14968" s="1697"/>
      <c r="H14968" s="1697"/>
      <c r="K14968" s="744" t="s">
        <v>3197</v>
      </c>
      <c r="S14968" s="744"/>
      <c r="T14968" s="744"/>
      <c r="V14968" s="744">
        <v>280</v>
      </c>
    </row>
    <row r="14969" spans="1:29" ht="15" customHeight="1" x14ac:dyDescent="0.25">
      <c r="A14969" s="744" t="s">
        <v>179</v>
      </c>
      <c r="E14969" s="1689" t="s">
        <v>3064</v>
      </c>
      <c r="F14969" s="1697"/>
      <c r="G14969" s="1697"/>
      <c r="H14969" s="1697"/>
      <c r="K14969" s="744" t="s">
        <v>3197</v>
      </c>
      <c r="S14969" s="744"/>
      <c r="T14969" s="744"/>
      <c r="V14969" s="744">
        <v>411</v>
      </c>
    </row>
    <row r="14970" spans="1:29" ht="15" customHeight="1" x14ac:dyDescent="0.25">
      <c r="A14970" s="744" t="s">
        <v>179</v>
      </c>
      <c r="E14970" s="1689" t="s">
        <v>3199</v>
      </c>
      <c r="F14970" s="1697"/>
      <c r="G14970" s="1697"/>
      <c r="H14970" s="1697"/>
      <c r="K14970" s="744" t="s">
        <v>3197</v>
      </c>
      <c r="S14970" s="744"/>
      <c r="T14970" s="744"/>
      <c r="V14970" s="744">
        <v>386</v>
      </c>
    </row>
    <row r="14971" spans="1:29" ht="15" customHeight="1" x14ac:dyDescent="0.25">
      <c r="A14971" s="744" t="s">
        <v>179</v>
      </c>
      <c r="E14971" s="1689" t="s">
        <v>3390</v>
      </c>
      <c r="F14971" s="1697"/>
      <c r="G14971" s="1697"/>
      <c r="H14971" s="1697"/>
      <c r="K14971" s="744" t="s">
        <v>3197</v>
      </c>
      <c r="S14971" s="744"/>
      <c r="T14971" s="744"/>
      <c r="V14971" s="744">
        <v>274</v>
      </c>
    </row>
    <row r="14972" spans="1:29" ht="15" customHeight="1" x14ac:dyDescent="0.2">
      <c r="A14972" s="744" t="s">
        <v>179</v>
      </c>
      <c r="E14972" s="1694" t="s">
        <v>3067</v>
      </c>
      <c r="F14972" s="1907"/>
      <c r="G14972" s="1907"/>
      <c r="H14972" s="1907"/>
      <c r="K14972" s="744" t="s">
        <v>3068</v>
      </c>
      <c r="S14972" s="744"/>
      <c r="T14972" s="744"/>
      <c r="V14972" s="744">
        <v>46</v>
      </c>
    </row>
    <row r="14973" spans="1:29" ht="15" x14ac:dyDescent="0.2">
      <c r="A14973" s="744" t="s">
        <v>179</v>
      </c>
      <c r="E14973" s="1690" t="s">
        <v>11</v>
      </c>
      <c r="F14973" s="1690"/>
      <c r="G14973" s="1427" t="s">
        <v>23</v>
      </c>
      <c r="H14973" s="391">
        <v>20.309300000000004</v>
      </c>
      <c r="K14973" s="744" t="s">
        <v>3197</v>
      </c>
      <c r="L14973" s="744" t="s">
        <v>442</v>
      </c>
      <c r="P14973" s="744" t="s">
        <v>3201</v>
      </c>
      <c r="S14973" s="744"/>
      <c r="T14973" s="744"/>
      <c r="V14973" s="744">
        <v>14</v>
      </c>
    </row>
    <row r="14974" spans="1:29" ht="15" customHeight="1" x14ac:dyDescent="0.2">
      <c r="A14974" s="744" t="s">
        <v>179</v>
      </c>
      <c r="E14974" s="1690" t="s">
        <v>423</v>
      </c>
      <c r="F14974" s="1690"/>
      <c r="G14974" s="1427" t="s">
        <v>23</v>
      </c>
      <c r="H14974" s="391">
        <v>0.56999999999999995</v>
      </c>
      <c r="K14974" s="744" t="s">
        <v>3197</v>
      </c>
      <c r="L14974" s="744" t="s">
        <v>443</v>
      </c>
      <c r="P14974" s="744" t="s">
        <v>3202</v>
      </c>
      <c r="S14974" s="744"/>
      <c r="T14974" s="1428">
        <v>43404</v>
      </c>
      <c r="V14974" s="744">
        <v>78</v>
      </c>
    </row>
    <row r="14975" spans="1:29" ht="15" x14ac:dyDescent="0.2">
      <c r="A14975" s="744" t="s">
        <v>179</v>
      </c>
      <c r="E14975" s="1690" t="s">
        <v>84</v>
      </c>
      <c r="F14975" s="1690"/>
      <c r="G14975" s="1427" t="s">
        <v>24</v>
      </c>
      <c r="H14975" s="393">
        <v>7.8347500000000014E-3</v>
      </c>
      <c r="K14975" s="744" t="s">
        <v>3197</v>
      </c>
      <c r="L14975" s="744" t="s">
        <v>442</v>
      </c>
      <c r="P14975" s="744" t="s">
        <v>3203</v>
      </c>
      <c r="S14975" s="744"/>
      <c r="T14975" s="744"/>
      <c r="V14975" s="744">
        <v>28</v>
      </c>
    </row>
    <row r="14976" spans="1:29" ht="15" x14ac:dyDescent="0.2">
      <c r="A14976" s="744" t="s">
        <v>179</v>
      </c>
      <c r="E14976" s="1690" t="s">
        <v>18</v>
      </c>
      <c r="F14976" s="1690"/>
      <c r="G14976" s="1427" t="s">
        <v>24</v>
      </c>
      <c r="H14976" s="393">
        <v>1E-3</v>
      </c>
      <c r="I14976" s="744" t="str">
        <f>IF(LEN(H14976)&gt;6, "fix", "")</f>
        <v/>
      </c>
      <c r="K14976" s="744" t="s">
        <v>3197</v>
      </c>
      <c r="L14976" s="744" t="s">
        <v>443</v>
      </c>
      <c r="P14976" s="744" t="s">
        <v>3204</v>
      </c>
      <c r="S14976" s="744"/>
      <c r="T14976" s="744"/>
      <c r="V14976" s="744">
        <v>24</v>
      </c>
    </row>
    <row r="14977" spans="1:32" ht="15" x14ac:dyDescent="0.2">
      <c r="A14977" s="744" t="s">
        <v>179</v>
      </c>
      <c r="E14977" s="1690" t="s">
        <v>221</v>
      </c>
      <c r="F14977" s="1690"/>
      <c r="G14977" s="1427" t="s">
        <v>24</v>
      </c>
      <c r="H14977" s="393">
        <v>4.7999999999999996E-3</v>
      </c>
      <c r="K14977" s="744" t="s">
        <v>3197</v>
      </c>
      <c r="L14977" s="744" t="s">
        <v>444</v>
      </c>
      <c r="P14977" s="744" t="s">
        <v>3208</v>
      </c>
      <c r="S14977" s="744"/>
      <c r="T14977" s="744"/>
      <c r="V14977" s="744">
        <v>47</v>
      </c>
    </row>
    <row r="14978" spans="1:32" ht="15" customHeight="1" x14ac:dyDescent="0.2">
      <c r="A14978" s="744" t="s">
        <v>179</v>
      </c>
      <c r="E14978" s="1690" t="s">
        <v>217</v>
      </c>
      <c r="F14978" s="1690"/>
      <c r="G14978" s="1427" t="s">
        <v>24</v>
      </c>
      <c r="H14978" s="393">
        <v>3.2000000000000002E-3</v>
      </c>
      <c r="K14978" s="744" t="s">
        <v>3197</v>
      </c>
      <c r="L14978" s="744" t="s">
        <v>444</v>
      </c>
      <c r="P14978" s="744" t="s">
        <v>3209</v>
      </c>
      <c r="S14978" s="744"/>
      <c r="T14978" s="744"/>
      <c r="V14978" s="744">
        <v>74</v>
      </c>
    </row>
    <row r="14979" spans="1:32" ht="15" customHeight="1" x14ac:dyDescent="0.2">
      <c r="A14979" s="744" t="s">
        <v>179</v>
      </c>
      <c r="E14979" s="1694" t="s">
        <v>3079</v>
      </c>
      <c r="F14979" s="1690"/>
      <c r="G14979" s="1427"/>
      <c r="H14979" s="394"/>
      <c r="K14979" s="744" t="s">
        <v>3080</v>
      </c>
      <c r="S14979" s="744"/>
      <c r="T14979" s="744"/>
      <c r="V14979" s="744">
        <v>48</v>
      </c>
    </row>
    <row r="14980" spans="1:32" ht="15" customHeight="1" x14ac:dyDescent="0.2">
      <c r="A14980" s="744" t="s">
        <v>179</v>
      </c>
      <c r="E14980" s="1690" t="s">
        <v>6718</v>
      </c>
      <c r="F14980" s="1690"/>
      <c r="G14980" s="1427" t="s">
        <v>24</v>
      </c>
      <c r="H14980" s="393">
        <v>3.2000000000000002E-3</v>
      </c>
      <c r="K14980" s="744" t="s">
        <v>3197</v>
      </c>
      <c r="L14980" s="744" t="s">
        <v>3046</v>
      </c>
      <c r="P14980" s="744" t="s">
        <v>3210</v>
      </c>
      <c r="S14980" s="744"/>
      <c r="T14980" s="744"/>
      <c r="V14980" s="744">
        <v>55</v>
      </c>
    </row>
    <row r="14981" spans="1:32" ht="15" customHeight="1" x14ac:dyDescent="0.2">
      <c r="A14981" s="744" t="s">
        <v>179</v>
      </c>
      <c r="E14981" s="1690" t="s">
        <v>3211</v>
      </c>
      <c r="F14981" s="1690"/>
      <c r="G14981" s="1427" t="s">
        <v>24</v>
      </c>
      <c r="H14981" s="393">
        <v>4.0000000000000002E-4</v>
      </c>
      <c r="K14981" s="744" t="s">
        <v>3197</v>
      </c>
      <c r="L14981" s="744" t="s">
        <v>3046</v>
      </c>
      <c r="P14981" s="744" t="s">
        <v>3210</v>
      </c>
      <c r="S14981" s="744"/>
      <c r="T14981" s="744"/>
      <c r="V14981" s="744">
        <v>64</v>
      </c>
    </row>
    <row r="14982" spans="1:32" ht="15" customHeight="1" x14ac:dyDescent="0.2">
      <c r="A14982" s="744" t="s">
        <v>179</v>
      </c>
      <c r="E14982" s="1690" t="s">
        <v>439</v>
      </c>
      <c r="F14982" s="1690"/>
      <c r="G14982" s="1427" t="s">
        <v>24</v>
      </c>
      <c r="H14982" s="393">
        <v>2.0999999999999999E-3</v>
      </c>
      <c r="K14982" s="744" t="s">
        <v>3197</v>
      </c>
      <c r="L14982" s="744" t="s">
        <v>3046</v>
      </c>
      <c r="P14982" s="744" t="s">
        <v>3212</v>
      </c>
      <c r="S14982" s="744"/>
      <c r="T14982" s="744"/>
      <c r="V14982" s="744">
        <v>57</v>
      </c>
    </row>
    <row r="14983" spans="1:32" ht="15" customHeight="1" x14ac:dyDescent="0.2">
      <c r="A14983" s="744" t="s">
        <v>179</v>
      </c>
      <c r="E14983" s="1690" t="s">
        <v>32</v>
      </c>
      <c r="F14983" s="1690"/>
      <c r="G14983" s="1427" t="s">
        <v>23</v>
      </c>
      <c r="H14983" s="391">
        <v>0.25</v>
      </c>
      <c r="K14983" s="744" t="s">
        <v>3197</v>
      </c>
      <c r="L14983" s="744" t="s">
        <v>3046</v>
      </c>
      <c r="P14983" s="744" t="s">
        <v>3213</v>
      </c>
      <c r="S14983" s="744"/>
      <c r="T14983" s="744"/>
      <c r="V14983" s="744">
        <v>63</v>
      </c>
    </row>
    <row r="14984" spans="1:32" ht="18" customHeight="1" x14ac:dyDescent="0.25">
      <c r="A14984" s="744" t="s">
        <v>179</v>
      </c>
      <c r="E14984" s="1909" t="s">
        <v>3214</v>
      </c>
      <c r="F14984" s="1915"/>
      <c r="G14984" s="1915"/>
      <c r="H14984" s="1915"/>
      <c r="K14984" s="744" t="s">
        <v>6675</v>
      </c>
      <c r="S14984" s="744"/>
      <c r="T14984" s="744"/>
      <c r="V14984" s="744">
        <v>54</v>
      </c>
      <c r="AC14984" s="744" t="e">
        <f>FIND(E14984, K14984)</f>
        <v>#VALUE!</v>
      </c>
      <c r="AD14984" s="744" t="str">
        <f>E14984</f>
        <v>GENERAL SERVICE LESS THAN 50 KW SERVICE CLASSIFICATION</v>
      </c>
      <c r="AE14984" s="744" t="str">
        <f>K14984</f>
        <v>2_GENERAL SERVICE LESS THAN 50 kW SERVICE CLASSIFICATION</v>
      </c>
      <c r="AF14984" s="744" t="str">
        <f>A14984</f>
        <v>Essex Powerlines Corporation</v>
      </c>
    </row>
    <row r="14985" spans="1:32" ht="15" customHeight="1" x14ac:dyDescent="0.25">
      <c r="A14985" s="744" t="s">
        <v>179</v>
      </c>
      <c r="E14985" s="1689" t="s">
        <v>4250</v>
      </c>
      <c r="F14985" s="1697"/>
      <c r="G14985" s="1697"/>
      <c r="H14985" s="1697"/>
      <c r="K14985" s="744" t="s">
        <v>6675</v>
      </c>
      <c r="S14985" s="744"/>
      <c r="T14985" s="744"/>
      <c r="V14985" s="744">
        <v>334</v>
      </c>
    </row>
    <row r="14986" spans="1:32" ht="15" x14ac:dyDescent="0.25">
      <c r="A14986" s="744" t="s">
        <v>179</v>
      </c>
      <c r="E14986" s="1916" t="s">
        <v>3061</v>
      </c>
      <c r="F14986" s="1697"/>
      <c r="G14986" s="1697"/>
      <c r="H14986" s="1697"/>
      <c r="K14986" s="744" t="s">
        <v>3086</v>
      </c>
      <c r="S14986" s="744"/>
      <c r="T14986" s="744"/>
      <c r="V14986" s="744">
        <v>11</v>
      </c>
    </row>
    <row r="14987" spans="1:32" ht="15" customHeight="1" x14ac:dyDescent="0.25">
      <c r="A14987" s="744" t="s">
        <v>179</v>
      </c>
      <c r="E14987" s="1689" t="s">
        <v>3063</v>
      </c>
      <c r="F14987" s="1697"/>
      <c r="G14987" s="1697"/>
      <c r="H14987" s="1697"/>
      <c r="K14987" s="744" t="s">
        <v>6675</v>
      </c>
      <c r="S14987" s="744"/>
      <c r="T14987" s="744"/>
      <c r="V14987" s="744">
        <v>280</v>
      </c>
    </row>
    <row r="14988" spans="1:32" ht="15" customHeight="1" x14ac:dyDescent="0.25">
      <c r="A14988" s="744" t="s">
        <v>179</v>
      </c>
      <c r="E14988" s="1689" t="s">
        <v>3064</v>
      </c>
      <c r="F14988" s="1697"/>
      <c r="G14988" s="1697"/>
      <c r="H14988" s="1697"/>
      <c r="K14988" s="744" t="s">
        <v>6675</v>
      </c>
      <c r="S14988" s="744"/>
      <c r="T14988" s="744"/>
      <c r="V14988" s="744">
        <v>411</v>
      </c>
    </row>
    <row r="14989" spans="1:32" ht="15" customHeight="1" x14ac:dyDescent="0.25">
      <c r="A14989" s="744" t="s">
        <v>179</v>
      </c>
      <c r="E14989" s="1689" t="s">
        <v>3199</v>
      </c>
      <c r="F14989" s="1697"/>
      <c r="G14989" s="1697"/>
      <c r="H14989" s="1697"/>
      <c r="K14989" s="744" t="s">
        <v>6675</v>
      </c>
      <c r="S14989" s="744"/>
      <c r="T14989" s="744"/>
      <c r="V14989" s="744">
        <v>386</v>
      </c>
    </row>
    <row r="14990" spans="1:32" ht="15" customHeight="1" x14ac:dyDescent="0.25">
      <c r="A14990" s="744" t="s">
        <v>179</v>
      </c>
      <c r="E14990" s="1689" t="s">
        <v>3390</v>
      </c>
      <c r="F14990" s="1697"/>
      <c r="G14990" s="1697"/>
      <c r="H14990" s="1697"/>
      <c r="K14990" s="744" t="s">
        <v>6675</v>
      </c>
      <c r="S14990" s="744"/>
      <c r="T14990" s="744"/>
      <c r="V14990" s="744">
        <v>274</v>
      </c>
    </row>
    <row r="14991" spans="1:32" ht="15" customHeight="1" x14ac:dyDescent="0.2">
      <c r="A14991" s="744" t="s">
        <v>179</v>
      </c>
      <c r="E14991" s="1694" t="s">
        <v>3067</v>
      </c>
      <c r="F14991" s="1907"/>
      <c r="G14991" s="1907"/>
      <c r="H14991" s="1907"/>
      <c r="K14991" s="744" t="s">
        <v>3087</v>
      </c>
      <c r="S14991" s="744"/>
      <c r="T14991" s="744"/>
      <c r="V14991" s="744">
        <v>46</v>
      </c>
    </row>
    <row r="14992" spans="1:32" ht="15" x14ac:dyDescent="0.2">
      <c r="A14992" s="744" t="s">
        <v>179</v>
      </c>
      <c r="E14992" s="1690" t="s">
        <v>11</v>
      </c>
      <c r="F14992" s="1690"/>
      <c r="G14992" s="1427" t="s">
        <v>23</v>
      </c>
      <c r="H14992" s="391">
        <v>35.134275000000002</v>
      </c>
      <c r="K14992" s="744" t="s">
        <v>6675</v>
      </c>
      <c r="L14992" s="744" t="s">
        <v>442</v>
      </c>
      <c r="P14992" s="744" t="s">
        <v>6677</v>
      </c>
      <c r="S14992" s="744"/>
      <c r="T14992" s="744"/>
      <c r="V14992" s="744">
        <v>14</v>
      </c>
    </row>
    <row r="14993" spans="1:29" ht="15" customHeight="1" x14ac:dyDescent="0.2">
      <c r="A14993" s="744" t="s">
        <v>179</v>
      </c>
      <c r="E14993" s="1690" t="s">
        <v>423</v>
      </c>
      <c r="F14993" s="1690"/>
      <c r="G14993" s="1427" t="s">
        <v>23</v>
      </c>
      <c r="H14993" s="391">
        <v>0.56999999999999995</v>
      </c>
      <c r="K14993" s="744" t="s">
        <v>6675</v>
      </c>
      <c r="L14993" s="744" t="s">
        <v>443</v>
      </c>
      <c r="P14993" s="744" t="s">
        <v>6678</v>
      </c>
      <c r="S14993" s="744"/>
      <c r="T14993" s="1428">
        <v>43404</v>
      </c>
      <c r="V14993" s="744">
        <v>78</v>
      </c>
    </row>
    <row r="14994" spans="1:29" ht="15" x14ac:dyDescent="0.2">
      <c r="A14994" s="744" t="s">
        <v>179</v>
      </c>
      <c r="E14994" s="1690" t="s">
        <v>84</v>
      </c>
      <c r="F14994" s="1690"/>
      <c r="G14994" s="1427" t="s">
        <v>24</v>
      </c>
      <c r="H14994" s="393">
        <v>1.20065E-2</v>
      </c>
      <c r="K14994" s="744" t="s">
        <v>6675</v>
      </c>
      <c r="L14994" s="744" t="s">
        <v>442</v>
      </c>
      <c r="P14994" s="744" t="s">
        <v>6679</v>
      </c>
      <c r="S14994" s="744"/>
      <c r="T14994" s="744"/>
      <c r="V14994" s="744">
        <v>28</v>
      </c>
    </row>
    <row r="14995" spans="1:29" ht="15" x14ac:dyDescent="0.2">
      <c r="A14995" s="744" t="s">
        <v>179</v>
      </c>
      <c r="E14995" s="1690" t="s">
        <v>18</v>
      </c>
      <c r="F14995" s="1690"/>
      <c r="G14995" s="1427" t="s">
        <v>24</v>
      </c>
      <c r="H14995" s="393">
        <v>1E-3</v>
      </c>
      <c r="I14995" s="744" t="str">
        <f>IF(LEN(H14995)&gt;6, "fix", "")</f>
        <v/>
      </c>
      <c r="K14995" s="744" t="s">
        <v>6675</v>
      </c>
      <c r="L14995" s="744" t="s">
        <v>443</v>
      </c>
      <c r="P14995" s="744" t="s">
        <v>6680</v>
      </c>
      <c r="S14995" s="744"/>
      <c r="T14995" s="744"/>
      <c r="V14995" s="744">
        <v>24</v>
      </c>
    </row>
    <row r="14996" spans="1:29" ht="15" x14ac:dyDescent="0.2">
      <c r="A14996" s="744" t="s">
        <v>179</v>
      </c>
      <c r="E14996" s="1690" t="s">
        <v>221</v>
      </c>
      <c r="F14996" s="1690"/>
      <c r="G14996" s="1427" t="s">
        <v>24</v>
      </c>
      <c r="H14996" s="393">
        <v>4.1000000000000003E-3</v>
      </c>
      <c r="K14996" s="744" t="s">
        <v>6675</v>
      </c>
      <c r="L14996" s="744" t="s">
        <v>444</v>
      </c>
      <c r="P14996" s="744" t="s">
        <v>6681</v>
      </c>
      <c r="S14996" s="744"/>
      <c r="T14996" s="744"/>
      <c r="V14996" s="744">
        <v>47</v>
      </c>
    </row>
    <row r="14997" spans="1:29" ht="15" customHeight="1" x14ac:dyDescent="0.2">
      <c r="A14997" s="744" t="s">
        <v>179</v>
      </c>
      <c r="E14997" s="1690" t="s">
        <v>217</v>
      </c>
      <c r="F14997" s="1690"/>
      <c r="G14997" s="1427" t="s">
        <v>24</v>
      </c>
      <c r="H14997" s="393">
        <v>3.0000000000000001E-3</v>
      </c>
      <c r="K14997" s="744" t="s">
        <v>6675</v>
      </c>
      <c r="L14997" s="744" t="s">
        <v>444</v>
      </c>
      <c r="P14997" s="744" t="s">
        <v>6682</v>
      </c>
      <c r="S14997" s="744"/>
      <c r="T14997" s="744"/>
      <c r="V14997" s="744">
        <v>74</v>
      </c>
    </row>
    <row r="14998" spans="1:29" ht="15" customHeight="1" x14ac:dyDescent="0.2">
      <c r="A14998" s="744" t="s">
        <v>179</v>
      </c>
      <c r="E14998" s="1694" t="s">
        <v>3079</v>
      </c>
      <c r="F14998" s="1690"/>
      <c r="G14998" s="1427"/>
      <c r="H14998" s="393"/>
      <c r="K14998" s="744" t="s">
        <v>3093</v>
      </c>
      <c r="S14998" s="744"/>
      <c r="T14998" s="744"/>
      <c r="V14998" s="744">
        <v>48</v>
      </c>
    </row>
    <row r="14999" spans="1:29" ht="15" customHeight="1" x14ac:dyDescent="0.2">
      <c r="A14999" s="744" t="s">
        <v>179</v>
      </c>
      <c r="E14999" s="1690" t="s">
        <v>6718</v>
      </c>
      <c r="F14999" s="1690"/>
      <c r="G14999" s="1427" t="s">
        <v>24</v>
      </c>
      <c r="H14999" s="393">
        <v>3.2000000000000002E-3</v>
      </c>
      <c r="K14999" s="744" t="s">
        <v>6675</v>
      </c>
      <c r="L14999" s="744" t="s">
        <v>3046</v>
      </c>
      <c r="P14999" s="744" t="s">
        <v>6683</v>
      </c>
      <c r="S14999" s="744"/>
      <c r="T14999" s="744"/>
      <c r="V14999" s="744">
        <v>55</v>
      </c>
    </row>
    <row r="15000" spans="1:29" ht="15" customHeight="1" x14ac:dyDescent="0.2">
      <c r="A15000" s="744" t="s">
        <v>179</v>
      </c>
      <c r="E15000" s="1690" t="s">
        <v>3211</v>
      </c>
      <c r="F15000" s="1690"/>
      <c r="G15000" s="1427" t="s">
        <v>24</v>
      </c>
      <c r="H15000" s="393">
        <v>4.0000000000000002E-4</v>
      </c>
      <c r="K15000" s="744" t="s">
        <v>6675</v>
      </c>
      <c r="L15000" s="744" t="s">
        <v>3046</v>
      </c>
      <c r="P15000" s="744" t="s">
        <v>6683</v>
      </c>
      <c r="S15000" s="744"/>
      <c r="T15000" s="744"/>
      <c r="V15000" s="744">
        <v>64</v>
      </c>
    </row>
    <row r="15001" spans="1:29" ht="15" customHeight="1" x14ac:dyDescent="0.2">
      <c r="A15001" s="744" t="s">
        <v>179</v>
      </c>
      <c r="E15001" s="1690" t="s">
        <v>439</v>
      </c>
      <c r="F15001" s="1690"/>
      <c r="G15001" s="1427" t="s">
        <v>24</v>
      </c>
      <c r="H15001" s="393">
        <v>2.0999999999999999E-3</v>
      </c>
      <c r="K15001" s="744" t="s">
        <v>6675</v>
      </c>
      <c r="L15001" s="744" t="s">
        <v>3046</v>
      </c>
      <c r="P15001" s="744" t="s">
        <v>6684</v>
      </c>
      <c r="S15001" s="744"/>
      <c r="T15001" s="744"/>
      <c r="V15001" s="744">
        <v>57</v>
      </c>
    </row>
    <row r="15002" spans="1:29" ht="15" customHeight="1" x14ac:dyDescent="0.2">
      <c r="A15002" s="744" t="s">
        <v>179</v>
      </c>
      <c r="E15002" s="1690" t="s">
        <v>32</v>
      </c>
      <c r="F15002" s="1690"/>
      <c r="G15002" s="1427" t="s">
        <v>23</v>
      </c>
      <c r="H15002" s="391">
        <v>0.25</v>
      </c>
      <c r="K15002" s="744" t="s">
        <v>6675</v>
      </c>
      <c r="L15002" s="744" t="s">
        <v>3046</v>
      </c>
      <c r="P15002" s="744" t="s">
        <v>6685</v>
      </c>
      <c r="S15002" s="744"/>
      <c r="T15002" s="744"/>
      <c r="V15002" s="744">
        <v>63</v>
      </c>
    </row>
    <row r="15003" spans="1:29" ht="18" customHeight="1" x14ac:dyDescent="0.25">
      <c r="A15003" s="744" t="s">
        <v>179</v>
      </c>
      <c r="E15003" s="1909" t="s">
        <v>637</v>
      </c>
      <c r="F15003" s="1915"/>
      <c r="G15003" s="1915"/>
      <c r="H15003" s="1915"/>
      <c r="K15003" s="744" t="s">
        <v>3439</v>
      </c>
      <c r="S15003" s="744"/>
      <c r="T15003" s="744"/>
      <c r="V15003" s="744">
        <v>53</v>
      </c>
      <c r="AC15003" s="744">
        <f>FIND(E15003, K15003)</f>
        <v>3</v>
      </c>
    </row>
    <row r="15004" spans="1:29" ht="15" customHeight="1" x14ac:dyDescent="0.25">
      <c r="A15004" s="744" t="s">
        <v>179</v>
      </c>
      <c r="E15004" s="1689" t="s">
        <v>4324</v>
      </c>
      <c r="F15004" s="1697"/>
      <c r="G15004" s="1697"/>
      <c r="H15004" s="1697"/>
      <c r="K15004" s="744" t="s">
        <v>3439</v>
      </c>
      <c r="S15004" s="744"/>
      <c r="T15004" s="744"/>
      <c r="V15004" s="744">
        <v>356</v>
      </c>
    </row>
    <row r="15005" spans="1:29" ht="15" x14ac:dyDescent="0.25">
      <c r="A15005" s="744" t="s">
        <v>179</v>
      </c>
      <c r="E15005" s="1916" t="s">
        <v>3061</v>
      </c>
      <c r="F15005" s="1697"/>
      <c r="G15005" s="1697"/>
      <c r="H15005" s="1697"/>
      <c r="K15005" s="744" t="s">
        <v>3098</v>
      </c>
      <c r="S15005" s="744"/>
      <c r="T15005" s="744"/>
      <c r="V15005" s="744">
        <v>11</v>
      </c>
    </row>
    <row r="15006" spans="1:29" ht="15" customHeight="1" x14ac:dyDescent="0.25">
      <c r="A15006" s="744" t="s">
        <v>179</v>
      </c>
      <c r="E15006" s="1689" t="s">
        <v>3063</v>
      </c>
      <c r="F15006" s="1697"/>
      <c r="G15006" s="1697"/>
      <c r="H15006" s="1697"/>
      <c r="K15006" s="744" t="s">
        <v>3439</v>
      </c>
      <c r="S15006" s="744"/>
      <c r="T15006" s="744"/>
      <c r="V15006" s="744">
        <v>280</v>
      </c>
    </row>
    <row r="15007" spans="1:29" ht="15" customHeight="1" x14ac:dyDescent="0.25">
      <c r="A15007" s="744" t="s">
        <v>179</v>
      </c>
      <c r="E15007" s="1689" t="s">
        <v>3064</v>
      </c>
      <c r="F15007" s="1697"/>
      <c r="G15007" s="1697"/>
      <c r="H15007" s="1697"/>
      <c r="K15007" s="744" t="s">
        <v>3439</v>
      </c>
      <c r="S15007" s="744"/>
      <c r="T15007" s="744"/>
      <c r="V15007" s="744">
        <v>411</v>
      </c>
    </row>
    <row r="15008" spans="1:29" ht="15" customHeight="1" x14ac:dyDescent="0.25">
      <c r="A15008" s="744" t="s">
        <v>179</v>
      </c>
      <c r="E15008" s="1689" t="s">
        <v>3199</v>
      </c>
      <c r="F15008" s="1697"/>
      <c r="G15008" s="1697"/>
      <c r="H15008" s="1697"/>
      <c r="K15008" s="744" t="s">
        <v>3439</v>
      </c>
      <c r="S15008" s="744"/>
      <c r="T15008" s="744"/>
      <c r="V15008" s="744">
        <v>386</v>
      </c>
    </row>
    <row r="15009" spans="1:29" ht="15" customHeight="1" x14ac:dyDescent="0.25">
      <c r="A15009" s="744" t="s">
        <v>179</v>
      </c>
      <c r="E15009" s="1689" t="s">
        <v>3223</v>
      </c>
      <c r="F15009" s="1689"/>
      <c r="G15009" s="1689"/>
      <c r="H15009" s="1689"/>
      <c r="K15009" s="744" t="s">
        <v>3439</v>
      </c>
      <c r="S15009" s="744"/>
      <c r="T15009" s="744"/>
      <c r="V15009" s="744">
        <v>626</v>
      </c>
    </row>
    <row r="15010" spans="1:29" ht="15" customHeight="1" x14ac:dyDescent="0.25">
      <c r="A15010" s="744" t="s">
        <v>179</v>
      </c>
      <c r="E15010" s="1689" t="s">
        <v>3390</v>
      </c>
      <c r="F15010" s="1697"/>
      <c r="G15010" s="1697"/>
      <c r="H15010" s="1697"/>
      <c r="K15010" s="744" t="s">
        <v>3439</v>
      </c>
      <c r="S15010" s="744"/>
      <c r="T15010" s="744"/>
      <c r="V15010" s="744">
        <v>274</v>
      </c>
    </row>
    <row r="15011" spans="1:29" ht="15" customHeight="1" x14ac:dyDescent="0.2">
      <c r="A15011" s="744" t="s">
        <v>179</v>
      </c>
      <c r="E15011" s="1694" t="s">
        <v>3067</v>
      </c>
      <c r="F15011" s="1907"/>
      <c r="G15011" s="1907"/>
      <c r="H15011" s="1907"/>
      <c r="K15011" s="744" t="s">
        <v>3099</v>
      </c>
      <c r="S15011" s="744"/>
      <c r="T15011" s="744"/>
      <c r="V15011" s="744">
        <v>46</v>
      </c>
    </row>
    <row r="15012" spans="1:29" ht="15" x14ac:dyDescent="0.2">
      <c r="A15012" s="744" t="s">
        <v>179</v>
      </c>
      <c r="E15012" s="1690" t="s">
        <v>11</v>
      </c>
      <c r="F15012" s="1690"/>
      <c r="G15012" s="1427" t="s">
        <v>23</v>
      </c>
      <c r="H15012" s="391">
        <v>232.69207500000002</v>
      </c>
      <c r="K15012" s="744" t="s">
        <v>3439</v>
      </c>
      <c r="L15012" s="744" t="s">
        <v>442</v>
      </c>
      <c r="P15012" s="744" t="s">
        <v>3440</v>
      </c>
      <c r="S15012" s="744"/>
      <c r="T15012" s="744"/>
      <c r="V15012" s="744">
        <v>14</v>
      </c>
    </row>
    <row r="15013" spans="1:29" ht="15" x14ac:dyDescent="0.2">
      <c r="A15013" s="744" t="s">
        <v>179</v>
      </c>
      <c r="E15013" s="1690" t="s">
        <v>84</v>
      </c>
      <c r="F15013" s="1690"/>
      <c r="G15013" s="1427" t="s">
        <v>33</v>
      </c>
      <c r="H15013" s="393">
        <v>2.2101117500000003</v>
      </c>
      <c r="K15013" s="744" t="s">
        <v>3439</v>
      </c>
      <c r="L15013" s="744" t="s">
        <v>442</v>
      </c>
      <c r="P15013" s="744" t="s">
        <v>3441</v>
      </c>
      <c r="S15013" s="744"/>
      <c r="T15013" s="744"/>
      <c r="V15013" s="744">
        <v>28</v>
      </c>
    </row>
    <row r="15014" spans="1:29" ht="15" x14ac:dyDescent="0.2">
      <c r="A15014" s="744" t="s">
        <v>179</v>
      </c>
      <c r="E15014" s="1690" t="s">
        <v>18</v>
      </c>
      <c r="F15014" s="1690"/>
      <c r="G15014" s="1427" t="s">
        <v>33</v>
      </c>
      <c r="H15014" s="393">
        <v>0.35060000000000002</v>
      </c>
      <c r="I15014" s="744" t="str">
        <f>IF(LEN(H15014)&gt;6, "fix", "")</f>
        <v/>
      </c>
      <c r="K15014" s="744" t="s">
        <v>3439</v>
      </c>
      <c r="L15014" s="744" t="s">
        <v>443</v>
      </c>
      <c r="P15014" s="744" t="s">
        <v>3442</v>
      </c>
      <c r="S15014" s="744"/>
      <c r="T15014" s="744"/>
      <c r="V15014" s="744">
        <v>24</v>
      </c>
    </row>
    <row r="15015" spans="1:29" ht="15" x14ac:dyDescent="0.2">
      <c r="A15015" s="744" t="s">
        <v>179</v>
      </c>
      <c r="E15015" s="1690" t="s">
        <v>221</v>
      </c>
      <c r="F15015" s="1690"/>
      <c r="G15015" s="1427" t="s">
        <v>33</v>
      </c>
      <c r="H15015" s="393">
        <v>1.6986000000000001</v>
      </c>
      <c r="K15015" s="744" t="s">
        <v>3439</v>
      </c>
      <c r="L15015" s="744" t="s">
        <v>444</v>
      </c>
      <c r="P15015" s="744" t="s">
        <v>3443</v>
      </c>
      <c r="S15015" s="744"/>
      <c r="T15015" s="744"/>
      <c r="V15015" s="744">
        <v>47</v>
      </c>
    </row>
    <row r="15016" spans="1:29" ht="15" customHeight="1" x14ac:dyDescent="0.2">
      <c r="A15016" s="744" t="s">
        <v>179</v>
      </c>
      <c r="E15016" s="1690" t="s">
        <v>217</v>
      </c>
      <c r="F15016" s="1690"/>
      <c r="G15016" s="1427" t="s">
        <v>33</v>
      </c>
      <c r="H15016" s="393">
        <v>1.2157</v>
      </c>
      <c r="K15016" s="744" t="s">
        <v>3439</v>
      </c>
      <c r="L15016" s="744" t="s">
        <v>444</v>
      </c>
      <c r="P15016" s="744" t="s">
        <v>3444</v>
      </c>
      <c r="S15016" s="744"/>
      <c r="T15016" s="744"/>
      <c r="V15016" s="744">
        <v>74</v>
      </c>
    </row>
    <row r="15017" spans="1:29" ht="15" customHeight="1" x14ac:dyDescent="0.2">
      <c r="A15017" s="744" t="s">
        <v>179</v>
      </c>
      <c r="E15017" s="1690" t="s">
        <v>223</v>
      </c>
      <c r="F15017" s="1690"/>
      <c r="G15017" s="1427" t="s">
        <v>33</v>
      </c>
      <c r="H15017" s="393">
        <v>2.0924</v>
      </c>
      <c r="K15017" s="744" t="s">
        <v>3439</v>
      </c>
      <c r="L15017" s="744" t="s">
        <v>444</v>
      </c>
      <c r="P15017" s="744" t="s">
        <v>6807</v>
      </c>
      <c r="S15017" s="744"/>
      <c r="T15017" s="744"/>
      <c r="V15017" s="744">
        <v>66</v>
      </c>
    </row>
    <row r="15018" spans="1:29" ht="15" customHeight="1" x14ac:dyDescent="0.2">
      <c r="A15018" s="744" t="s">
        <v>179</v>
      </c>
      <c r="E15018" s="1690" t="s">
        <v>219</v>
      </c>
      <c r="F15018" s="1690"/>
      <c r="G15018" s="1427" t="s">
        <v>33</v>
      </c>
      <c r="H15018" s="393">
        <v>1.3480000000000001</v>
      </c>
      <c r="K15018" s="744" t="s">
        <v>3439</v>
      </c>
      <c r="L15018" s="744" t="s">
        <v>444</v>
      </c>
      <c r="P15018" s="744" t="s">
        <v>6808</v>
      </c>
      <c r="S15018" s="744"/>
      <c r="T15018" s="744"/>
      <c r="V15018" s="744">
        <v>93</v>
      </c>
    </row>
    <row r="15019" spans="1:29" ht="15" customHeight="1" x14ac:dyDescent="0.2">
      <c r="A15019" s="744" t="s">
        <v>179</v>
      </c>
      <c r="E15019" s="1694" t="s">
        <v>3079</v>
      </c>
      <c r="F15019" s="1690"/>
      <c r="G15019" s="1427"/>
      <c r="H15019" s="394"/>
      <c r="K15019" s="744" t="s">
        <v>3218</v>
      </c>
      <c r="S15019" s="744"/>
      <c r="T15019" s="744"/>
      <c r="V15019" s="744">
        <v>48</v>
      </c>
    </row>
    <row r="15020" spans="1:29" ht="15" customHeight="1" x14ac:dyDescent="0.2">
      <c r="A15020" s="744" t="s">
        <v>179</v>
      </c>
      <c r="E15020" s="1690" t="s">
        <v>6718</v>
      </c>
      <c r="F15020" s="1690"/>
      <c r="G15020" s="1427" t="s">
        <v>24</v>
      </c>
      <c r="H15020" s="393">
        <v>3.2000000000000002E-3</v>
      </c>
      <c r="K15020" s="744" t="s">
        <v>3439</v>
      </c>
      <c r="L15020" s="744" t="s">
        <v>3046</v>
      </c>
      <c r="P15020" s="744" t="s">
        <v>3445</v>
      </c>
      <c r="S15020" s="744"/>
      <c r="T15020" s="744"/>
      <c r="V15020" s="744">
        <v>55</v>
      </c>
    </row>
    <row r="15021" spans="1:29" ht="15" customHeight="1" x14ac:dyDescent="0.2">
      <c r="A15021" s="744" t="s">
        <v>179</v>
      </c>
      <c r="E15021" s="1690" t="s">
        <v>3211</v>
      </c>
      <c r="F15021" s="1690"/>
      <c r="G15021" s="1427" t="s">
        <v>24</v>
      </c>
      <c r="H15021" s="393">
        <v>4.0000000000000002E-4</v>
      </c>
      <c r="K15021" s="744" t="s">
        <v>3439</v>
      </c>
      <c r="L15021" s="744" t="s">
        <v>3046</v>
      </c>
      <c r="P15021" s="744" t="s">
        <v>3445</v>
      </c>
      <c r="S15021" s="744"/>
      <c r="T15021" s="744"/>
      <c r="V15021" s="744">
        <v>64</v>
      </c>
    </row>
    <row r="15022" spans="1:29" ht="15" customHeight="1" x14ac:dyDescent="0.2">
      <c r="A15022" s="744" t="s">
        <v>179</v>
      </c>
      <c r="E15022" s="1690" t="s">
        <v>439</v>
      </c>
      <c r="F15022" s="1690"/>
      <c r="G15022" s="1427" t="s">
        <v>24</v>
      </c>
      <c r="H15022" s="393">
        <v>2.0999999999999999E-3</v>
      </c>
      <c r="K15022" s="744" t="s">
        <v>3439</v>
      </c>
      <c r="L15022" s="744" t="s">
        <v>3046</v>
      </c>
      <c r="P15022" s="744" t="s">
        <v>3446</v>
      </c>
      <c r="S15022" s="744"/>
      <c r="T15022" s="744"/>
      <c r="V15022" s="744">
        <v>57</v>
      </c>
    </row>
    <row r="15023" spans="1:29" ht="15" customHeight="1" x14ac:dyDescent="0.2">
      <c r="A15023" s="744" t="s">
        <v>179</v>
      </c>
      <c r="E15023" s="1690" t="s">
        <v>32</v>
      </c>
      <c r="F15023" s="1690"/>
      <c r="G15023" s="1427" t="s">
        <v>23</v>
      </c>
      <c r="H15023" s="391">
        <v>0.25</v>
      </c>
      <c r="K15023" s="744" t="s">
        <v>3439</v>
      </c>
      <c r="L15023" s="744" t="s">
        <v>3046</v>
      </c>
      <c r="P15023" s="744" t="s">
        <v>3447</v>
      </c>
      <c r="S15023" s="744"/>
      <c r="T15023" s="744"/>
      <c r="V15023" s="744">
        <v>63</v>
      </c>
    </row>
    <row r="15024" spans="1:29" ht="18" customHeight="1" x14ac:dyDescent="0.25">
      <c r="A15024" s="744" t="s">
        <v>179</v>
      </c>
      <c r="E15024" s="1909" t="s">
        <v>638</v>
      </c>
      <c r="F15024" s="1915"/>
      <c r="G15024" s="1915"/>
      <c r="H15024" s="1915"/>
      <c r="K15024" s="744" t="s">
        <v>3448</v>
      </c>
      <c r="S15024" s="744"/>
      <c r="T15024" s="744"/>
      <c r="V15024" s="744">
        <v>56</v>
      </c>
      <c r="AC15024" s="744">
        <f>FIND(E15024, K15024)</f>
        <v>3</v>
      </c>
    </row>
    <row r="15025" spans="1:22" ht="15" customHeight="1" x14ac:dyDescent="0.25">
      <c r="A15025" s="744" t="s">
        <v>179</v>
      </c>
      <c r="E15025" s="1689" t="s">
        <v>6809</v>
      </c>
      <c r="F15025" s="1697"/>
      <c r="G15025" s="1697"/>
      <c r="H15025" s="1697"/>
      <c r="K15025" s="744" t="s">
        <v>3448</v>
      </c>
      <c r="S15025" s="744"/>
      <c r="T15025" s="744"/>
      <c r="V15025" s="744">
        <v>358</v>
      </c>
    </row>
    <row r="15026" spans="1:22" ht="15" x14ac:dyDescent="0.25">
      <c r="A15026" s="744" t="s">
        <v>179</v>
      </c>
      <c r="E15026" s="1916" t="s">
        <v>3061</v>
      </c>
      <c r="F15026" s="1697"/>
      <c r="G15026" s="1697"/>
      <c r="H15026" s="1697"/>
      <c r="K15026" s="744" t="s">
        <v>3221</v>
      </c>
      <c r="S15026" s="744"/>
      <c r="T15026" s="744"/>
      <c r="V15026" s="744">
        <v>11</v>
      </c>
    </row>
    <row r="15027" spans="1:22" ht="15" customHeight="1" x14ac:dyDescent="0.25">
      <c r="A15027" s="744" t="s">
        <v>179</v>
      </c>
      <c r="E15027" s="1689" t="s">
        <v>3063</v>
      </c>
      <c r="F15027" s="1697"/>
      <c r="G15027" s="1697"/>
      <c r="H15027" s="1697"/>
      <c r="K15027" s="744" t="s">
        <v>3448</v>
      </c>
      <c r="S15027" s="744"/>
      <c r="T15027" s="744"/>
      <c r="V15027" s="744">
        <v>280</v>
      </c>
    </row>
    <row r="15028" spans="1:22" ht="15" customHeight="1" x14ac:dyDescent="0.25">
      <c r="A15028" s="744" t="s">
        <v>179</v>
      </c>
      <c r="E15028" s="1689" t="s">
        <v>3064</v>
      </c>
      <c r="F15028" s="1697"/>
      <c r="G15028" s="1697"/>
      <c r="H15028" s="1697"/>
      <c r="K15028" s="744" t="s">
        <v>3448</v>
      </c>
      <c r="S15028" s="744"/>
      <c r="T15028" s="744"/>
      <c r="V15028" s="744">
        <v>411</v>
      </c>
    </row>
    <row r="15029" spans="1:22" ht="15" customHeight="1" x14ac:dyDescent="0.25">
      <c r="A15029" s="744" t="s">
        <v>179</v>
      </c>
      <c r="E15029" s="1689" t="s">
        <v>3199</v>
      </c>
      <c r="F15029" s="1697"/>
      <c r="G15029" s="1697"/>
      <c r="H15029" s="1697"/>
      <c r="K15029" s="744" t="s">
        <v>3448</v>
      </c>
      <c r="S15029" s="744"/>
      <c r="T15029" s="744"/>
      <c r="V15029" s="744">
        <v>386</v>
      </c>
    </row>
    <row r="15030" spans="1:22" ht="15" customHeight="1" x14ac:dyDescent="0.25">
      <c r="A15030" s="744" t="s">
        <v>179</v>
      </c>
      <c r="E15030" s="1689" t="s">
        <v>3223</v>
      </c>
      <c r="F15030" s="1689"/>
      <c r="G15030" s="1689"/>
      <c r="H15030" s="1689"/>
      <c r="K15030" s="744" t="s">
        <v>3448</v>
      </c>
      <c r="S15030" s="744"/>
      <c r="T15030" s="744"/>
      <c r="V15030" s="744">
        <v>626</v>
      </c>
    </row>
    <row r="15031" spans="1:22" ht="15" customHeight="1" x14ac:dyDescent="0.25">
      <c r="A15031" s="744" t="s">
        <v>179</v>
      </c>
      <c r="E15031" s="1689" t="s">
        <v>3390</v>
      </c>
      <c r="F15031" s="1697"/>
      <c r="G15031" s="1697"/>
      <c r="H15031" s="1697"/>
      <c r="K15031" s="744" t="s">
        <v>3448</v>
      </c>
      <c r="S15031" s="744"/>
      <c r="T15031" s="744"/>
      <c r="V15031" s="744">
        <v>274</v>
      </c>
    </row>
    <row r="15032" spans="1:22" ht="15" customHeight="1" x14ac:dyDescent="0.2">
      <c r="A15032" s="744" t="s">
        <v>179</v>
      </c>
      <c r="E15032" s="1694" t="s">
        <v>3067</v>
      </c>
      <c r="F15032" s="1907"/>
      <c r="G15032" s="1907"/>
      <c r="H15032" s="1907"/>
      <c r="K15032" s="744" t="s">
        <v>3224</v>
      </c>
      <c r="S15032" s="744"/>
      <c r="T15032" s="744"/>
      <c r="V15032" s="744">
        <v>46</v>
      </c>
    </row>
    <row r="15033" spans="1:22" ht="15" x14ac:dyDescent="0.2">
      <c r="A15033" s="744" t="s">
        <v>179</v>
      </c>
      <c r="E15033" s="1690" t="s">
        <v>11</v>
      </c>
      <c r="F15033" s="1690"/>
      <c r="G15033" s="1427" t="s">
        <v>23</v>
      </c>
      <c r="H15033" s="391">
        <v>1528.7327000000002</v>
      </c>
      <c r="K15033" s="744" t="s">
        <v>3448</v>
      </c>
      <c r="L15033" s="744" t="s">
        <v>442</v>
      </c>
      <c r="P15033" s="744" t="s">
        <v>3449</v>
      </c>
      <c r="S15033" s="744"/>
      <c r="T15033" s="744"/>
      <c r="V15033" s="744">
        <v>14</v>
      </c>
    </row>
    <row r="15034" spans="1:22" ht="15" x14ac:dyDescent="0.2">
      <c r="A15034" s="744" t="s">
        <v>179</v>
      </c>
      <c r="E15034" s="1690" t="s">
        <v>84</v>
      </c>
      <c r="F15034" s="1690"/>
      <c r="G15034" s="1427" t="s">
        <v>33</v>
      </c>
      <c r="H15034" s="393">
        <v>1.4175810000000002</v>
      </c>
      <c r="K15034" s="744" t="s">
        <v>3448</v>
      </c>
      <c r="L15034" s="744" t="s">
        <v>442</v>
      </c>
      <c r="P15034" s="744" t="s">
        <v>3450</v>
      </c>
      <c r="S15034" s="744"/>
      <c r="T15034" s="744"/>
      <c r="V15034" s="744">
        <v>28</v>
      </c>
    </row>
    <row r="15035" spans="1:22" ht="15" x14ac:dyDescent="0.2">
      <c r="A15035" s="744" t="s">
        <v>179</v>
      </c>
      <c r="E15035" s="1690" t="s">
        <v>18</v>
      </c>
      <c r="F15035" s="1690"/>
      <c r="G15035" s="1427" t="s">
        <v>33</v>
      </c>
      <c r="H15035" s="393">
        <v>0.40939999999999999</v>
      </c>
      <c r="I15035" s="744" t="str">
        <f>IF(LEN(H15035)&gt;6, "fix", "")</f>
        <v/>
      </c>
      <c r="K15035" s="744" t="s">
        <v>3448</v>
      </c>
      <c r="L15035" s="744" t="s">
        <v>443</v>
      </c>
      <c r="P15035" s="744" t="s">
        <v>3451</v>
      </c>
      <c r="S15035" s="744"/>
      <c r="T15035" s="744"/>
      <c r="V15035" s="744">
        <v>24</v>
      </c>
    </row>
    <row r="15036" spans="1:22" ht="15" customHeight="1" x14ac:dyDescent="0.2">
      <c r="A15036" s="744" t="s">
        <v>179</v>
      </c>
      <c r="E15036" s="1690" t="s">
        <v>223</v>
      </c>
      <c r="F15036" s="1690"/>
      <c r="G15036" s="1427" t="s">
        <v>33</v>
      </c>
      <c r="H15036" s="393">
        <v>2.0924</v>
      </c>
      <c r="K15036" s="744" t="s">
        <v>3448</v>
      </c>
      <c r="L15036" s="744" t="s">
        <v>444</v>
      </c>
      <c r="P15036" s="744" t="s">
        <v>4191</v>
      </c>
      <c r="S15036" s="744"/>
      <c r="T15036" s="744"/>
      <c r="V15036" s="744">
        <v>66</v>
      </c>
    </row>
    <row r="15037" spans="1:22" ht="15" customHeight="1" x14ac:dyDescent="0.2">
      <c r="A15037" s="744" t="s">
        <v>179</v>
      </c>
      <c r="E15037" s="1690" t="s">
        <v>219</v>
      </c>
      <c r="F15037" s="1690"/>
      <c r="G15037" s="1427" t="s">
        <v>33</v>
      </c>
      <c r="H15037" s="393">
        <v>1.3480000000000001</v>
      </c>
      <c r="K15037" s="744" t="s">
        <v>3448</v>
      </c>
      <c r="L15037" s="744" t="s">
        <v>444</v>
      </c>
      <c r="P15037" s="744" t="s">
        <v>4192</v>
      </c>
      <c r="S15037" s="744"/>
      <c r="T15037" s="744"/>
      <c r="V15037" s="744">
        <v>93</v>
      </c>
    </row>
    <row r="15038" spans="1:22" ht="15" customHeight="1" x14ac:dyDescent="0.2">
      <c r="A15038" s="744" t="s">
        <v>179</v>
      </c>
      <c r="E15038" s="1694" t="s">
        <v>3079</v>
      </c>
      <c r="F15038" s="1690"/>
      <c r="G15038" s="1427"/>
      <c r="H15038" s="394"/>
      <c r="K15038" s="744" t="s">
        <v>3225</v>
      </c>
      <c r="S15038" s="744"/>
      <c r="T15038" s="744"/>
      <c r="V15038" s="744">
        <v>48</v>
      </c>
    </row>
    <row r="15039" spans="1:22" ht="15" customHeight="1" x14ac:dyDescent="0.2">
      <c r="A15039" s="744" t="s">
        <v>179</v>
      </c>
      <c r="E15039" s="1690" t="s">
        <v>6718</v>
      </c>
      <c r="F15039" s="1690"/>
      <c r="G15039" s="1427" t="s">
        <v>24</v>
      </c>
      <c r="H15039" s="393">
        <v>3.2000000000000002E-3</v>
      </c>
      <c r="K15039" s="744" t="s">
        <v>3448</v>
      </c>
      <c r="L15039" s="744" t="s">
        <v>3046</v>
      </c>
      <c r="P15039" s="744" t="s">
        <v>3454</v>
      </c>
      <c r="S15039" s="744"/>
      <c r="T15039" s="744"/>
      <c r="V15039" s="744">
        <v>55</v>
      </c>
    </row>
    <row r="15040" spans="1:22" ht="15" customHeight="1" x14ac:dyDescent="0.2">
      <c r="A15040" s="744" t="s">
        <v>179</v>
      </c>
      <c r="E15040" s="1690" t="s">
        <v>3211</v>
      </c>
      <c r="F15040" s="1690"/>
      <c r="G15040" s="1427" t="s">
        <v>24</v>
      </c>
      <c r="H15040" s="393">
        <v>4.0000000000000002E-4</v>
      </c>
      <c r="K15040" s="744" t="s">
        <v>3448</v>
      </c>
      <c r="L15040" s="744" t="s">
        <v>3046</v>
      </c>
      <c r="P15040" s="744" t="s">
        <v>3454</v>
      </c>
      <c r="S15040" s="744"/>
      <c r="T15040" s="744"/>
      <c r="V15040" s="744">
        <v>64</v>
      </c>
    </row>
    <row r="15041" spans="1:29" ht="15" customHeight="1" x14ac:dyDescent="0.2">
      <c r="A15041" s="744" t="s">
        <v>179</v>
      </c>
      <c r="E15041" s="1690" t="s">
        <v>439</v>
      </c>
      <c r="F15041" s="1690"/>
      <c r="G15041" s="1427" t="s">
        <v>24</v>
      </c>
      <c r="H15041" s="393">
        <v>2.0999999999999999E-3</v>
      </c>
      <c r="K15041" s="744" t="s">
        <v>3448</v>
      </c>
      <c r="L15041" s="744" t="s">
        <v>3046</v>
      </c>
      <c r="P15041" s="744" t="s">
        <v>3455</v>
      </c>
      <c r="S15041" s="744"/>
      <c r="T15041" s="744"/>
      <c r="V15041" s="744">
        <v>57</v>
      </c>
    </row>
    <row r="15042" spans="1:29" ht="15" customHeight="1" x14ac:dyDescent="0.2">
      <c r="A15042" s="744" t="s">
        <v>179</v>
      </c>
      <c r="E15042" s="1690" t="s">
        <v>32</v>
      </c>
      <c r="F15042" s="1690"/>
      <c r="G15042" s="1427" t="s">
        <v>23</v>
      </c>
      <c r="H15042" s="391">
        <v>0.25</v>
      </c>
      <c r="K15042" s="744" t="s">
        <v>3448</v>
      </c>
      <c r="L15042" s="744" t="s">
        <v>3046</v>
      </c>
      <c r="P15042" s="744" t="s">
        <v>3456</v>
      </c>
      <c r="S15042" s="744"/>
      <c r="T15042" s="744"/>
      <c r="V15042" s="744">
        <v>63</v>
      </c>
    </row>
    <row r="15043" spans="1:29" ht="18" customHeight="1" x14ac:dyDescent="0.25">
      <c r="A15043" s="744" t="s">
        <v>179</v>
      </c>
      <c r="E15043" s="1909" t="s">
        <v>617</v>
      </c>
      <c r="F15043" s="1915"/>
      <c r="G15043" s="1915"/>
      <c r="H15043" s="1915"/>
      <c r="K15043" s="744" t="s">
        <v>3457</v>
      </c>
      <c r="S15043" s="744"/>
      <c r="T15043" s="744"/>
      <c r="V15043" s="744">
        <v>47</v>
      </c>
      <c r="AC15043" s="744">
        <f>FIND(E15043, K15043)</f>
        <v>3</v>
      </c>
    </row>
    <row r="15044" spans="1:29" ht="15" customHeight="1" x14ac:dyDescent="0.25">
      <c r="A15044" s="744" t="s">
        <v>179</v>
      </c>
      <c r="E15044" s="1689" t="s">
        <v>6810</v>
      </c>
      <c r="F15044" s="1697"/>
      <c r="G15044" s="1697"/>
      <c r="H15044" s="1697"/>
      <c r="K15044" s="744" t="s">
        <v>3457</v>
      </c>
      <c r="S15044" s="744"/>
      <c r="T15044" s="744"/>
      <c r="V15044" s="744">
        <v>572</v>
      </c>
    </row>
    <row r="15045" spans="1:29" ht="15" x14ac:dyDescent="0.25">
      <c r="A15045" s="744" t="s">
        <v>179</v>
      </c>
      <c r="E15045" s="1916" t="s">
        <v>3061</v>
      </c>
      <c r="F15045" s="1697"/>
      <c r="G15045" s="1697"/>
      <c r="H15045" s="1697"/>
      <c r="K15045" s="744" t="s">
        <v>3107</v>
      </c>
      <c r="S15045" s="744"/>
      <c r="T15045" s="744"/>
      <c r="V15045" s="744">
        <v>11</v>
      </c>
    </row>
    <row r="15046" spans="1:29" ht="15" customHeight="1" x14ac:dyDescent="0.25">
      <c r="A15046" s="744" t="s">
        <v>179</v>
      </c>
      <c r="E15046" s="1689" t="s">
        <v>3063</v>
      </c>
      <c r="F15046" s="1697"/>
      <c r="G15046" s="1697"/>
      <c r="H15046" s="1697"/>
      <c r="K15046" s="744" t="s">
        <v>3457</v>
      </c>
      <c r="S15046" s="744"/>
      <c r="T15046" s="744"/>
      <c r="V15046" s="744">
        <v>280</v>
      </c>
    </row>
    <row r="15047" spans="1:29" ht="15" customHeight="1" x14ac:dyDescent="0.25">
      <c r="A15047" s="744" t="s">
        <v>179</v>
      </c>
      <c r="E15047" s="1689" t="s">
        <v>3064</v>
      </c>
      <c r="F15047" s="1697"/>
      <c r="G15047" s="1697"/>
      <c r="H15047" s="1697"/>
      <c r="K15047" s="744" t="s">
        <v>3457</v>
      </c>
      <c r="S15047" s="744"/>
      <c r="T15047" s="744"/>
      <c r="V15047" s="744">
        <v>411</v>
      </c>
    </row>
    <row r="15048" spans="1:29" ht="15" customHeight="1" x14ac:dyDescent="0.25">
      <c r="A15048" s="744" t="s">
        <v>179</v>
      </c>
      <c r="E15048" s="1689" t="s">
        <v>3199</v>
      </c>
      <c r="F15048" s="1697"/>
      <c r="G15048" s="1697"/>
      <c r="H15048" s="1697"/>
      <c r="K15048" s="744" t="s">
        <v>3457</v>
      </c>
      <c r="S15048" s="744"/>
      <c r="T15048" s="744"/>
      <c r="V15048" s="744">
        <v>386</v>
      </c>
    </row>
    <row r="15049" spans="1:29" ht="15" customHeight="1" x14ac:dyDescent="0.25">
      <c r="A15049" s="744" t="s">
        <v>179</v>
      </c>
      <c r="E15049" s="1689" t="s">
        <v>3390</v>
      </c>
      <c r="F15049" s="1697"/>
      <c r="G15049" s="1697"/>
      <c r="H15049" s="1697"/>
      <c r="K15049" s="744" t="s">
        <v>3457</v>
      </c>
      <c r="S15049" s="744"/>
      <c r="T15049" s="744"/>
      <c r="V15049" s="744">
        <v>274</v>
      </c>
    </row>
    <row r="15050" spans="1:29" ht="15" customHeight="1" x14ac:dyDescent="0.2">
      <c r="A15050" s="744" t="s">
        <v>179</v>
      </c>
      <c r="E15050" s="1694" t="s">
        <v>3067</v>
      </c>
      <c r="F15050" s="1907"/>
      <c r="G15050" s="1907"/>
      <c r="H15050" s="1907"/>
      <c r="K15050" s="744" t="s">
        <v>3108</v>
      </c>
      <c r="S15050" s="744"/>
      <c r="T15050" s="744"/>
      <c r="V15050" s="744">
        <v>46</v>
      </c>
    </row>
    <row r="15051" spans="1:29" ht="15" x14ac:dyDescent="0.2">
      <c r="A15051" s="744" t="s">
        <v>179</v>
      </c>
      <c r="E15051" s="1690" t="s">
        <v>12</v>
      </c>
      <c r="F15051" s="1690"/>
      <c r="G15051" s="1427" t="s">
        <v>23</v>
      </c>
      <c r="H15051" s="391">
        <v>9.5339749999999999</v>
      </c>
      <c r="K15051" s="744" t="s">
        <v>3457</v>
      </c>
      <c r="L15051" s="744" t="s">
        <v>442</v>
      </c>
      <c r="P15051" s="744" t="s">
        <v>3458</v>
      </c>
      <c r="S15051" s="744"/>
      <c r="T15051" s="744"/>
      <c r="V15051" s="744">
        <v>31</v>
      </c>
    </row>
    <row r="15052" spans="1:29" ht="15" x14ac:dyDescent="0.2">
      <c r="A15052" s="744" t="s">
        <v>179</v>
      </c>
      <c r="E15052" s="1690" t="s">
        <v>84</v>
      </c>
      <c r="F15052" s="1690"/>
      <c r="G15052" s="1427" t="s">
        <v>24</v>
      </c>
      <c r="H15052" s="393">
        <v>2.9711000000000001E-2</v>
      </c>
      <c r="K15052" s="744" t="s">
        <v>3457</v>
      </c>
      <c r="L15052" s="744" t="s">
        <v>442</v>
      </c>
      <c r="P15052" s="744" t="s">
        <v>3459</v>
      </c>
      <c r="S15052" s="744"/>
      <c r="T15052" s="744"/>
      <c r="V15052" s="744">
        <v>28</v>
      </c>
    </row>
    <row r="15053" spans="1:29" ht="15" x14ac:dyDescent="0.2">
      <c r="A15053" s="744" t="s">
        <v>179</v>
      </c>
      <c r="E15053" s="1690" t="s">
        <v>18</v>
      </c>
      <c r="F15053" s="1690"/>
      <c r="G15053" s="1427" t="s">
        <v>24</v>
      </c>
      <c r="H15053" s="393">
        <v>1E-3</v>
      </c>
      <c r="I15053" s="744" t="str">
        <f>IF(LEN(H15053)&gt;6, "fix", "")</f>
        <v/>
      </c>
      <c r="K15053" s="744" t="s">
        <v>3457</v>
      </c>
      <c r="L15053" s="744" t="s">
        <v>443</v>
      </c>
      <c r="P15053" s="744" t="s">
        <v>3460</v>
      </c>
      <c r="S15053" s="744"/>
      <c r="T15053" s="744"/>
      <c r="V15053" s="744">
        <v>24</v>
      </c>
    </row>
    <row r="15054" spans="1:29" ht="15" x14ac:dyDescent="0.2">
      <c r="A15054" s="744" t="s">
        <v>179</v>
      </c>
      <c r="E15054" s="1690" t="s">
        <v>221</v>
      </c>
      <c r="F15054" s="1690"/>
      <c r="G15054" s="1427" t="s">
        <v>24</v>
      </c>
      <c r="H15054" s="393">
        <v>4.1000000000000003E-3</v>
      </c>
      <c r="K15054" s="744" t="s">
        <v>3457</v>
      </c>
      <c r="L15054" s="744" t="s">
        <v>444</v>
      </c>
      <c r="P15054" s="744" t="s">
        <v>3462</v>
      </c>
      <c r="S15054" s="744"/>
      <c r="T15054" s="744"/>
      <c r="V15054" s="744">
        <v>47</v>
      </c>
    </row>
    <row r="15055" spans="1:29" ht="15" customHeight="1" x14ac:dyDescent="0.2">
      <c r="A15055" s="744" t="s">
        <v>179</v>
      </c>
      <c r="E15055" s="1690" t="s">
        <v>217</v>
      </c>
      <c r="F15055" s="1690"/>
      <c r="G15055" s="1427" t="s">
        <v>24</v>
      </c>
      <c r="H15055" s="393">
        <v>3.0000000000000001E-3</v>
      </c>
      <c r="K15055" s="744" t="s">
        <v>3457</v>
      </c>
      <c r="L15055" s="744" t="s">
        <v>444</v>
      </c>
      <c r="P15055" s="744" t="s">
        <v>3463</v>
      </c>
      <c r="S15055" s="744"/>
      <c r="T15055" s="744"/>
      <c r="V15055" s="744">
        <v>74</v>
      </c>
    </row>
    <row r="15056" spans="1:29" ht="15" customHeight="1" x14ac:dyDescent="0.2">
      <c r="A15056" s="744" t="s">
        <v>179</v>
      </c>
      <c r="E15056" s="1694" t="s">
        <v>3079</v>
      </c>
      <c r="F15056" s="1690"/>
      <c r="G15056" s="1427"/>
      <c r="H15056" s="394"/>
      <c r="K15056" s="744" t="s">
        <v>3111</v>
      </c>
      <c r="S15056" s="744"/>
      <c r="T15056" s="744"/>
      <c r="V15056" s="744">
        <v>48</v>
      </c>
    </row>
    <row r="15057" spans="1:29" ht="15" customHeight="1" x14ac:dyDescent="0.2">
      <c r="A15057" s="744" t="s">
        <v>179</v>
      </c>
      <c r="E15057" s="1690" t="s">
        <v>6718</v>
      </c>
      <c r="F15057" s="1690"/>
      <c r="G15057" s="1427" t="s">
        <v>24</v>
      </c>
      <c r="H15057" s="393">
        <v>3.2000000000000002E-3</v>
      </c>
      <c r="K15057" s="744" t="s">
        <v>3457</v>
      </c>
      <c r="L15057" s="744" t="s">
        <v>3046</v>
      </c>
      <c r="P15057" s="744" t="s">
        <v>3464</v>
      </c>
      <c r="S15057" s="744"/>
      <c r="T15057" s="744"/>
      <c r="V15057" s="744">
        <v>55</v>
      </c>
    </row>
    <row r="15058" spans="1:29" ht="15" customHeight="1" x14ac:dyDescent="0.2">
      <c r="A15058" s="744" t="s">
        <v>179</v>
      </c>
      <c r="E15058" s="1690" t="s">
        <v>3211</v>
      </c>
      <c r="F15058" s="1690"/>
      <c r="G15058" s="1427" t="s">
        <v>24</v>
      </c>
      <c r="H15058" s="393">
        <v>4.0000000000000002E-4</v>
      </c>
      <c r="K15058" s="744" t="s">
        <v>3457</v>
      </c>
      <c r="L15058" s="744" t="s">
        <v>3046</v>
      </c>
      <c r="P15058" s="744" t="s">
        <v>3464</v>
      </c>
      <c r="S15058" s="744"/>
      <c r="T15058" s="744"/>
      <c r="V15058" s="744">
        <v>64</v>
      </c>
    </row>
    <row r="15059" spans="1:29" ht="15" customHeight="1" x14ac:dyDescent="0.2">
      <c r="A15059" s="744" t="s">
        <v>179</v>
      </c>
      <c r="E15059" s="1690" t="s">
        <v>439</v>
      </c>
      <c r="F15059" s="1690"/>
      <c r="G15059" s="1427" t="s">
        <v>24</v>
      </c>
      <c r="H15059" s="393">
        <v>2.0999999999999999E-3</v>
      </c>
      <c r="K15059" s="744" t="s">
        <v>3457</v>
      </c>
      <c r="L15059" s="744" t="s">
        <v>3046</v>
      </c>
      <c r="P15059" s="744" t="s">
        <v>3465</v>
      </c>
      <c r="S15059" s="744"/>
      <c r="T15059" s="744"/>
      <c r="V15059" s="744">
        <v>57</v>
      </c>
    </row>
    <row r="15060" spans="1:29" ht="15" customHeight="1" x14ac:dyDescent="0.2">
      <c r="A15060" s="744" t="s">
        <v>179</v>
      </c>
      <c r="E15060" s="1690" t="s">
        <v>32</v>
      </c>
      <c r="F15060" s="1690"/>
      <c r="G15060" s="1427" t="s">
        <v>23</v>
      </c>
      <c r="H15060" s="391">
        <v>0.25</v>
      </c>
      <c r="K15060" s="744" t="s">
        <v>3457</v>
      </c>
      <c r="L15060" s="744" t="s">
        <v>3046</v>
      </c>
      <c r="P15060" s="744" t="s">
        <v>3466</v>
      </c>
      <c r="S15060" s="744"/>
      <c r="T15060" s="744"/>
      <c r="V15060" s="744">
        <v>63</v>
      </c>
    </row>
    <row r="15061" spans="1:29" ht="18" customHeight="1" x14ac:dyDescent="0.25">
      <c r="A15061" s="744" t="s">
        <v>179</v>
      </c>
      <c r="E15061" s="1909" t="s">
        <v>629</v>
      </c>
      <c r="F15061" s="1915"/>
      <c r="G15061" s="1915"/>
      <c r="H15061" s="1915"/>
      <c r="K15061" s="744" t="s">
        <v>3467</v>
      </c>
      <c r="S15061" s="744"/>
      <c r="T15061" s="744"/>
      <c r="V15061" s="744">
        <v>40</v>
      </c>
      <c r="AC15061" s="744">
        <f>FIND(E15061, K15061)</f>
        <v>3</v>
      </c>
    </row>
    <row r="15062" spans="1:29" ht="15" customHeight="1" x14ac:dyDescent="0.25">
      <c r="A15062" s="744" t="s">
        <v>179</v>
      </c>
      <c r="E15062" s="1689" t="s">
        <v>4325</v>
      </c>
      <c r="F15062" s="1697"/>
      <c r="G15062" s="1697"/>
      <c r="H15062" s="1697"/>
      <c r="K15062" s="744" t="s">
        <v>3467</v>
      </c>
      <c r="S15062" s="744"/>
      <c r="T15062" s="744"/>
      <c r="V15062" s="744">
        <v>253</v>
      </c>
    </row>
    <row r="15063" spans="1:29" ht="15" x14ac:dyDescent="0.25">
      <c r="A15063" s="744" t="s">
        <v>179</v>
      </c>
      <c r="E15063" s="1916" t="s">
        <v>3061</v>
      </c>
      <c r="F15063" s="1697"/>
      <c r="G15063" s="1697"/>
      <c r="H15063" s="1697"/>
      <c r="K15063" s="744" t="s">
        <v>3114</v>
      </c>
      <c r="S15063" s="744"/>
      <c r="T15063" s="744"/>
      <c r="V15063" s="744">
        <v>11</v>
      </c>
    </row>
    <row r="15064" spans="1:29" ht="15" customHeight="1" x14ac:dyDescent="0.25">
      <c r="A15064" s="744" t="s">
        <v>179</v>
      </c>
      <c r="E15064" s="1689" t="s">
        <v>3063</v>
      </c>
      <c r="F15064" s="1697"/>
      <c r="G15064" s="1697"/>
      <c r="H15064" s="1697"/>
      <c r="K15064" s="744" t="s">
        <v>3467</v>
      </c>
      <c r="S15064" s="744"/>
      <c r="T15064" s="744"/>
      <c r="V15064" s="744">
        <v>280</v>
      </c>
    </row>
    <row r="15065" spans="1:29" ht="15" customHeight="1" x14ac:dyDescent="0.25">
      <c r="A15065" s="744" t="s">
        <v>179</v>
      </c>
      <c r="E15065" s="1689" t="s">
        <v>3064</v>
      </c>
      <c r="F15065" s="1697"/>
      <c r="G15065" s="1697"/>
      <c r="H15065" s="1697"/>
      <c r="K15065" s="744" t="s">
        <v>3467</v>
      </c>
      <c r="S15065" s="744"/>
      <c r="T15065" s="744"/>
      <c r="V15065" s="744">
        <v>411</v>
      </c>
    </row>
    <row r="15066" spans="1:29" ht="15" customHeight="1" x14ac:dyDescent="0.25">
      <c r="A15066" s="744" t="s">
        <v>179</v>
      </c>
      <c r="E15066" s="1689" t="s">
        <v>3199</v>
      </c>
      <c r="F15066" s="1697"/>
      <c r="G15066" s="1697"/>
      <c r="H15066" s="1697"/>
      <c r="K15066" s="744" t="s">
        <v>3467</v>
      </c>
      <c r="S15066" s="744"/>
      <c r="T15066" s="744"/>
      <c r="V15066" s="744">
        <v>386</v>
      </c>
    </row>
    <row r="15067" spans="1:29" ht="15" customHeight="1" x14ac:dyDescent="0.25">
      <c r="A15067" s="744" t="s">
        <v>179</v>
      </c>
      <c r="E15067" s="1689" t="s">
        <v>3390</v>
      </c>
      <c r="F15067" s="1697"/>
      <c r="G15067" s="1697"/>
      <c r="H15067" s="1697"/>
      <c r="K15067" s="744" t="s">
        <v>3467</v>
      </c>
      <c r="S15067" s="744"/>
      <c r="T15067" s="744"/>
      <c r="V15067" s="744">
        <v>274</v>
      </c>
    </row>
    <row r="15068" spans="1:29" ht="15" customHeight="1" x14ac:dyDescent="0.2">
      <c r="A15068" s="744" t="s">
        <v>179</v>
      </c>
      <c r="E15068" s="1694" t="s">
        <v>3067</v>
      </c>
      <c r="F15068" s="1907"/>
      <c r="G15068" s="1907"/>
      <c r="H15068" s="1907"/>
      <c r="K15068" s="744" t="s">
        <v>3115</v>
      </c>
      <c r="S15068" s="744"/>
      <c r="T15068" s="744"/>
      <c r="V15068" s="744">
        <v>46</v>
      </c>
    </row>
    <row r="15069" spans="1:29" ht="15" x14ac:dyDescent="0.2">
      <c r="A15069" s="744" t="s">
        <v>179</v>
      </c>
      <c r="E15069" s="1690" t="s">
        <v>12</v>
      </c>
      <c r="F15069" s="1690"/>
      <c r="G15069" s="1427" t="s">
        <v>23</v>
      </c>
      <c r="H15069" s="391">
        <v>3.4086250000000002</v>
      </c>
      <c r="K15069" s="744" t="s">
        <v>3467</v>
      </c>
      <c r="L15069" s="744" t="s">
        <v>442</v>
      </c>
      <c r="P15069" s="744" t="s">
        <v>3468</v>
      </c>
      <c r="S15069" s="744"/>
      <c r="T15069" s="744"/>
      <c r="V15069" s="744">
        <v>31</v>
      </c>
    </row>
    <row r="15070" spans="1:29" ht="15" x14ac:dyDescent="0.2">
      <c r="A15070" s="744" t="s">
        <v>179</v>
      </c>
      <c r="E15070" s="1690" t="s">
        <v>84</v>
      </c>
      <c r="F15070" s="1690"/>
      <c r="G15070" s="1427" t="s">
        <v>33</v>
      </c>
      <c r="H15070" s="393">
        <v>9.7922165000000003</v>
      </c>
      <c r="K15070" s="744" t="s">
        <v>3467</v>
      </c>
      <c r="L15070" s="744" t="s">
        <v>442</v>
      </c>
      <c r="P15070" s="744" t="s">
        <v>3469</v>
      </c>
      <c r="S15070" s="744"/>
      <c r="T15070" s="744"/>
      <c r="V15070" s="744">
        <v>28</v>
      </c>
    </row>
    <row r="15071" spans="1:29" ht="15" x14ac:dyDescent="0.2">
      <c r="A15071" s="744" t="s">
        <v>179</v>
      </c>
      <c r="E15071" s="1690" t="s">
        <v>18</v>
      </c>
      <c r="F15071" s="1690"/>
      <c r="G15071" s="1427" t="s">
        <v>33</v>
      </c>
      <c r="H15071" s="393">
        <v>0.28160000000000002</v>
      </c>
      <c r="I15071" s="744" t="str">
        <f>IF(LEN(H15071)&gt;6, "fix", "")</f>
        <v/>
      </c>
      <c r="K15071" s="744" t="s">
        <v>3467</v>
      </c>
      <c r="L15071" s="744" t="s">
        <v>443</v>
      </c>
      <c r="P15071" s="744" t="s">
        <v>3470</v>
      </c>
      <c r="S15071" s="744"/>
      <c r="T15071" s="744"/>
      <c r="V15071" s="744">
        <v>24</v>
      </c>
    </row>
    <row r="15072" spans="1:29" ht="15" x14ac:dyDescent="0.2">
      <c r="A15072" s="744" t="s">
        <v>179</v>
      </c>
      <c r="E15072" s="1690" t="s">
        <v>221</v>
      </c>
      <c r="F15072" s="1690"/>
      <c r="G15072" s="1427" t="s">
        <v>33</v>
      </c>
      <c r="H15072" s="393">
        <v>1.3077000000000001</v>
      </c>
      <c r="K15072" s="744" t="s">
        <v>3467</v>
      </c>
      <c r="L15072" s="744" t="s">
        <v>444</v>
      </c>
      <c r="P15072" s="744" t="s">
        <v>3472</v>
      </c>
      <c r="S15072" s="744"/>
      <c r="T15072" s="744"/>
      <c r="V15072" s="744">
        <v>47</v>
      </c>
    </row>
    <row r="15073" spans="1:29" ht="15" customHeight="1" x14ac:dyDescent="0.2">
      <c r="A15073" s="744" t="s">
        <v>179</v>
      </c>
      <c r="E15073" s="1690" t="s">
        <v>217</v>
      </c>
      <c r="F15073" s="1690"/>
      <c r="G15073" s="1427" t="s">
        <v>33</v>
      </c>
      <c r="H15073" s="393">
        <v>0.92669999999999997</v>
      </c>
      <c r="K15073" s="744" t="s">
        <v>3467</v>
      </c>
      <c r="L15073" s="744" t="s">
        <v>444</v>
      </c>
      <c r="P15073" s="744" t="s">
        <v>3473</v>
      </c>
      <c r="S15073" s="744"/>
      <c r="T15073" s="744"/>
      <c r="V15073" s="744">
        <v>74</v>
      </c>
    </row>
    <row r="15074" spans="1:29" ht="15" customHeight="1" x14ac:dyDescent="0.2">
      <c r="A15074" s="744" t="s">
        <v>179</v>
      </c>
      <c r="E15074" s="1694" t="s">
        <v>3079</v>
      </c>
      <c r="F15074" s="1690"/>
      <c r="G15074" s="1427"/>
      <c r="H15074" s="394"/>
      <c r="K15074" s="744" t="s">
        <v>3122</v>
      </c>
      <c r="S15074" s="744"/>
      <c r="T15074" s="744"/>
      <c r="V15074" s="744">
        <v>48</v>
      </c>
    </row>
    <row r="15075" spans="1:29" ht="15" customHeight="1" x14ac:dyDescent="0.2">
      <c r="A15075" s="744" t="s">
        <v>179</v>
      </c>
      <c r="E15075" s="1690" t="s">
        <v>6718</v>
      </c>
      <c r="F15075" s="1690"/>
      <c r="G15075" s="1427" t="s">
        <v>24</v>
      </c>
      <c r="H15075" s="393">
        <v>3.2000000000000002E-3</v>
      </c>
      <c r="K15075" s="744" t="s">
        <v>3467</v>
      </c>
      <c r="L15075" s="744" t="s">
        <v>3046</v>
      </c>
      <c r="P15075" s="744" t="s">
        <v>3474</v>
      </c>
      <c r="S15075" s="744"/>
      <c r="T15075" s="744"/>
      <c r="V15075" s="744">
        <v>55</v>
      </c>
    </row>
    <row r="15076" spans="1:29" ht="15" customHeight="1" x14ac:dyDescent="0.2">
      <c r="A15076" s="744" t="s">
        <v>179</v>
      </c>
      <c r="E15076" s="1690" t="s">
        <v>3211</v>
      </c>
      <c r="F15076" s="1690"/>
      <c r="G15076" s="1427" t="s">
        <v>24</v>
      </c>
      <c r="H15076" s="393">
        <v>4.0000000000000002E-4</v>
      </c>
      <c r="K15076" s="744" t="s">
        <v>3467</v>
      </c>
      <c r="L15076" s="744" t="s">
        <v>3046</v>
      </c>
      <c r="P15076" s="744" t="s">
        <v>3474</v>
      </c>
      <c r="S15076" s="744"/>
      <c r="T15076" s="744"/>
      <c r="V15076" s="744">
        <v>64</v>
      </c>
    </row>
    <row r="15077" spans="1:29" ht="15" customHeight="1" x14ac:dyDescent="0.2">
      <c r="A15077" s="744" t="s">
        <v>179</v>
      </c>
      <c r="E15077" s="1690" t="s">
        <v>439</v>
      </c>
      <c r="F15077" s="1690"/>
      <c r="G15077" s="1427" t="s">
        <v>24</v>
      </c>
      <c r="H15077" s="393">
        <v>2.0999999999999999E-3</v>
      </c>
      <c r="K15077" s="744" t="s">
        <v>3467</v>
      </c>
      <c r="L15077" s="744" t="s">
        <v>3046</v>
      </c>
      <c r="P15077" s="744" t="s">
        <v>3475</v>
      </c>
      <c r="S15077" s="744"/>
      <c r="T15077" s="744"/>
      <c r="V15077" s="744">
        <v>57</v>
      </c>
    </row>
    <row r="15078" spans="1:29" ht="15" customHeight="1" x14ac:dyDescent="0.2">
      <c r="A15078" s="744" t="s">
        <v>179</v>
      </c>
      <c r="E15078" s="1690" t="s">
        <v>32</v>
      </c>
      <c r="F15078" s="1690"/>
      <c r="G15078" s="1427" t="s">
        <v>23</v>
      </c>
      <c r="H15078" s="391">
        <v>0.25</v>
      </c>
      <c r="K15078" s="744" t="s">
        <v>3467</v>
      </c>
      <c r="L15078" s="744" t="s">
        <v>3046</v>
      </c>
      <c r="P15078" s="744" t="s">
        <v>3476</v>
      </c>
      <c r="S15078" s="744"/>
      <c r="T15078" s="744"/>
      <c r="V15078" s="744">
        <v>63</v>
      </c>
    </row>
    <row r="15079" spans="1:29" ht="18" customHeight="1" x14ac:dyDescent="0.25">
      <c r="A15079" s="744" t="s">
        <v>179</v>
      </c>
      <c r="E15079" s="1909" t="s">
        <v>615</v>
      </c>
      <c r="F15079" s="1915"/>
      <c r="G15079" s="1915"/>
      <c r="H15079" s="1915"/>
      <c r="K15079" s="744" t="s">
        <v>3477</v>
      </c>
      <c r="S15079" s="744"/>
      <c r="T15079" s="744"/>
      <c r="V15079" s="744">
        <v>38</v>
      </c>
      <c r="AC15079" s="744">
        <f>FIND(E15079, K15079)</f>
        <v>3</v>
      </c>
    </row>
    <row r="15080" spans="1:29" ht="15" customHeight="1" x14ac:dyDescent="0.25">
      <c r="A15080" s="744" t="s">
        <v>179</v>
      </c>
      <c r="E15080" s="1689" t="s">
        <v>3551</v>
      </c>
      <c r="F15080" s="1697"/>
      <c r="G15080" s="1697"/>
      <c r="H15080" s="1697"/>
      <c r="K15080" s="744" t="s">
        <v>3477</v>
      </c>
      <c r="S15080" s="744"/>
      <c r="T15080" s="744"/>
      <c r="V15080" s="744">
        <v>551</v>
      </c>
    </row>
    <row r="15081" spans="1:29" ht="15" x14ac:dyDescent="0.25">
      <c r="A15081" s="744" t="s">
        <v>179</v>
      </c>
      <c r="E15081" s="1916" t="s">
        <v>3061</v>
      </c>
      <c r="F15081" s="1697"/>
      <c r="G15081" s="1697"/>
      <c r="H15081" s="1697"/>
      <c r="K15081" s="744" t="s">
        <v>3128</v>
      </c>
      <c r="S15081" s="744"/>
      <c r="T15081" s="744"/>
      <c r="V15081" s="744">
        <v>11</v>
      </c>
    </row>
    <row r="15082" spans="1:29" ht="15" customHeight="1" x14ac:dyDescent="0.25">
      <c r="A15082" s="744" t="s">
        <v>179</v>
      </c>
      <c r="E15082" s="1689" t="s">
        <v>3063</v>
      </c>
      <c r="F15082" s="1697"/>
      <c r="G15082" s="1697"/>
      <c r="H15082" s="1697"/>
      <c r="K15082" s="744" t="s">
        <v>3477</v>
      </c>
      <c r="S15082" s="744"/>
      <c r="T15082" s="744"/>
      <c r="V15082" s="744">
        <v>280</v>
      </c>
    </row>
    <row r="15083" spans="1:29" ht="15" customHeight="1" x14ac:dyDescent="0.25">
      <c r="A15083" s="744" t="s">
        <v>179</v>
      </c>
      <c r="E15083" s="1689" t="s">
        <v>3064</v>
      </c>
      <c r="F15083" s="1697"/>
      <c r="G15083" s="1697"/>
      <c r="H15083" s="1697"/>
      <c r="K15083" s="744" t="s">
        <v>3477</v>
      </c>
      <c r="S15083" s="744"/>
      <c r="T15083" s="744"/>
      <c r="V15083" s="744">
        <v>411</v>
      </c>
    </row>
    <row r="15084" spans="1:29" ht="15" customHeight="1" x14ac:dyDescent="0.25">
      <c r="A15084" s="744" t="s">
        <v>179</v>
      </c>
      <c r="E15084" s="1689" t="s">
        <v>3199</v>
      </c>
      <c r="F15084" s="1697"/>
      <c r="G15084" s="1697"/>
      <c r="H15084" s="1697"/>
      <c r="K15084" s="744" t="s">
        <v>3477</v>
      </c>
      <c r="S15084" s="744"/>
      <c r="T15084" s="744"/>
      <c r="V15084" s="744">
        <v>386</v>
      </c>
    </row>
    <row r="15085" spans="1:29" ht="15" customHeight="1" x14ac:dyDescent="0.25">
      <c r="A15085" s="744" t="s">
        <v>179</v>
      </c>
      <c r="E15085" s="1689" t="s">
        <v>3390</v>
      </c>
      <c r="F15085" s="1697"/>
      <c r="G15085" s="1697"/>
      <c r="H15085" s="1697"/>
      <c r="K15085" s="744" t="s">
        <v>3477</v>
      </c>
      <c r="S15085" s="744"/>
      <c r="T15085" s="744"/>
      <c r="V15085" s="744">
        <v>274</v>
      </c>
    </row>
    <row r="15086" spans="1:29" ht="15" customHeight="1" x14ac:dyDescent="0.2">
      <c r="A15086" s="744" t="s">
        <v>179</v>
      </c>
      <c r="E15086" s="1694" t="s">
        <v>3067</v>
      </c>
      <c r="F15086" s="1907"/>
      <c r="G15086" s="1907"/>
      <c r="H15086" s="1907"/>
      <c r="K15086" s="744" t="s">
        <v>3130</v>
      </c>
      <c r="S15086" s="744"/>
      <c r="T15086" s="744"/>
      <c r="V15086" s="744">
        <v>46</v>
      </c>
    </row>
    <row r="15087" spans="1:29" ht="15" x14ac:dyDescent="0.2">
      <c r="A15087" s="744" t="s">
        <v>179</v>
      </c>
      <c r="E15087" s="1690" t="s">
        <v>12</v>
      </c>
      <c r="F15087" s="1690"/>
      <c r="G15087" s="1427" t="s">
        <v>23</v>
      </c>
      <c r="H15087" s="391">
        <v>3.2967000000000004</v>
      </c>
      <c r="K15087" s="744" t="s">
        <v>3477</v>
      </c>
      <c r="L15087" s="744" t="s">
        <v>442</v>
      </c>
      <c r="P15087" s="744" t="s">
        <v>3478</v>
      </c>
      <c r="S15087" s="744"/>
      <c r="T15087" s="744"/>
      <c r="V15087" s="744">
        <v>31</v>
      </c>
    </row>
    <row r="15088" spans="1:29" ht="15" x14ac:dyDescent="0.2">
      <c r="A15088" s="744" t="s">
        <v>179</v>
      </c>
      <c r="E15088" s="1690" t="s">
        <v>84</v>
      </c>
      <c r="F15088" s="1690"/>
      <c r="G15088" s="1427" t="s">
        <v>33</v>
      </c>
      <c r="H15088" s="393">
        <v>8.9406707500000007</v>
      </c>
      <c r="K15088" s="744" t="s">
        <v>3477</v>
      </c>
      <c r="L15088" s="744" t="s">
        <v>442</v>
      </c>
      <c r="P15088" s="744" t="s">
        <v>3479</v>
      </c>
      <c r="S15088" s="744"/>
      <c r="T15088" s="744"/>
      <c r="V15088" s="744">
        <v>28</v>
      </c>
    </row>
    <row r="15089" spans="1:29" ht="15" x14ac:dyDescent="0.2">
      <c r="A15089" s="744" t="s">
        <v>179</v>
      </c>
      <c r="E15089" s="1690" t="s">
        <v>18</v>
      </c>
      <c r="F15089" s="1690"/>
      <c r="G15089" s="1427" t="s">
        <v>33</v>
      </c>
      <c r="H15089" s="393">
        <v>0.27979999999999999</v>
      </c>
      <c r="I15089" s="744" t="str">
        <f>IF(LEN(H15089)&gt;6, "fix", "")</f>
        <v/>
      </c>
      <c r="K15089" s="744" t="s">
        <v>3477</v>
      </c>
      <c r="L15089" s="744" t="s">
        <v>443</v>
      </c>
      <c r="P15089" s="744" t="s">
        <v>3480</v>
      </c>
      <c r="S15089" s="744"/>
      <c r="T15089" s="744"/>
      <c r="V15089" s="744">
        <v>24</v>
      </c>
    </row>
    <row r="15090" spans="1:29" ht="15" x14ac:dyDescent="0.2">
      <c r="A15090" s="744" t="s">
        <v>179</v>
      </c>
      <c r="E15090" s="1690" t="s">
        <v>221</v>
      </c>
      <c r="F15090" s="1690"/>
      <c r="G15090" s="1427" t="s">
        <v>33</v>
      </c>
      <c r="H15090" s="393">
        <v>1.2894000000000001</v>
      </c>
      <c r="K15090" s="744" t="s">
        <v>3477</v>
      </c>
      <c r="L15090" s="744" t="s">
        <v>444</v>
      </c>
      <c r="P15090" s="744" t="s">
        <v>3482</v>
      </c>
      <c r="S15090" s="744"/>
      <c r="T15090" s="744"/>
      <c r="V15090" s="744">
        <v>47</v>
      </c>
    </row>
    <row r="15091" spans="1:29" ht="15" customHeight="1" x14ac:dyDescent="0.2">
      <c r="A15091" s="744" t="s">
        <v>179</v>
      </c>
      <c r="E15091" s="1690" t="s">
        <v>217</v>
      </c>
      <c r="F15091" s="1690"/>
      <c r="G15091" s="1427" t="s">
        <v>33</v>
      </c>
      <c r="H15091" s="393">
        <v>0.92069999999999996</v>
      </c>
      <c r="K15091" s="744" t="s">
        <v>3477</v>
      </c>
      <c r="L15091" s="744" t="s">
        <v>444</v>
      </c>
      <c r="P15091" s="744" t="s">
        <v>3483</v>
      </c>
      <c r="S15091" s="744"/>
      <c r="T15091" s="744"/>
      <c r="V15091" s="744">
        <v>74</v>
      </c>
    </row>
    <row r="15092" spans="1:29" ht="15" customHeight="1" x14ac:dyDescent="0.2">
      <c r="A15092" s="744" t="s">
        <v>179</v>
      </c>
      <c r="E15092" s="1694" t="s">
        <v>3079</v>
      </c>
      <c r="F15092" s="1690"/>
      <c r="G15092" s="1427"/>
      <c r="H15092" s="394"/>
      <c r="K15092" s="744" t="s">
        <v>3260</v>
      </c>
      <c r="S15092" s="744"/>
      <c r="T15092" s="744"/>
      <c r="V15092" s="744">
        <v>48</v>
      </c>
    </row>
    <row r="15093" spans="1:29" ht="15" customHeight="1" x14ac:dyDescent="0.2">
      <c r="A15093" s="744" t="s">
        <v>179</v>
      </c>
      <c r="E15093" s="1690" t="s">
        <v>6718</v>
      </c>
      <c r="F15093" s="1690"/>
      <c r="G15093" s="1427" t="s">
        <v>24</v>
      </c>
      <c r="H15093" s="393">
        <v>3.2000000000000002E-3</v>
      </c>
      <c r="K15093" s="744" t="s">
        <v>3477</v>
      </c>
      <c r="L15093" s="744" t="s">
        <v>3046</v>
      </c>
      <c r="P15093" s="744" t="s">
        <v>3484</v>
      </c>
      <c r="S15093" s="744"/>
      <c r="T15093" s="744"/>
      <c r="V15093" s="744">
        <v>55</v>
      </c>
    </row>
    <row r="15094" spans="1:29" ht="15" customHeight="1" x14ac:dyDescent="0.2">
      <c r="A15094" s="744" t="s">
        <v>179</v>
      </c>
      <c r="E15094" s="1690" t="s">
        <v>3211</v>
      </c>
      <c r="F15094" s="1690"/>
      <c r="G15094" s="1427" t="s">
        <v>24</v>
      </c>
      <c r="H15094" s="393">
        <v>4.0000000000000002E-4</v>
      </c>
      <c r="K15094" s="744" t="s">
        <v>3477</v>
      </c>
      <c r="L15094" s="744" t="s">
        <v>3046</v>
      </c>
      <c r="P15094" s="744" t="s">
        <v>3484</v>
      </c>
      <c r="S15094" s="744"/>
      <c r="T15094" s="744"/>
      <c r="V15094" s="744">
        <v>64</v>
      </c>
    </row>
    <row r="15095" spans="1:29" ht="15" customHeight="1" x14ac:dyDescent="0.2">
      <c r="A15095" s="744" t="s">
        <v>179</v>
      </c>
      <c r="E15095" s="1690" t="s">
        <v>439</v>
      </c>
      <c r="F15095" s="1690"/>
      <c r="G15095" s="1427" t="s">
        <v>24</v>
      </c>
      <c r="H15095" s="393">
        <v>2.0999999999999999E-3</v>
      </c>
      <c r="K15095" s="744" t="s">
        <v>3477</v>
      </c>
      <c r="L15095" s="744" t="s">
        <v>3046</v>
      </c>
      <c r="P15095" s="744" t="s">
        <v>3485</v>
      </c>
      <c r="S15095" s="744"/>
      <c r="T15095" s="744"/>
      <c r="V15095" s="744">
        <v>57</v>
      </c>
    </row>
    <row r="15096" spans="1:29" ht="15" customHeight="1" x14ac:dyDescent="0.2">
      <c r="A15096" s="744" t="s">
        <v>179</v>
      </c>
      <c r="E15096" s="1690" t="s">
        <v>32</v>
      </c>
      <c r="F15096" s="1690"/>
      <c r="G15096" s="1427" t="s">
        <v>23</v>
      </c>
      <c r="H15096" s="391">
        <v>0.25</v>
      </c>
      <c r="K15096" s="744" t="s">
        <v>3477</v>
      </c>
      <c r="L15096" s="744" t="s">
        <v>3046</v>
      </c>
      <c r="P15096" s="744" t="s">
        <v>3486</v>
      </c>
      <c r="S15096" s="744"/>
      <c r="T15096" s="744"/>
      <c r="V15096" s="744">
        <v>63</v>
      </c>
    </row>
    <row r="15097" spans="1:29" ht="18" customHeight="1" x14ac:dyDescent="0.25">
      <c r="A15097" s="744" t="s">
        <v>179</v>
      </c>
      <c r="E15097" s="1909" t="s">
        <v>618</v>
      </c>
      <c r="F15097" s="1915"/>
      <c r="G15097" s="1915"/>
      <c r="H15097" s="1915"/>
      <c r="K15097" s="744" t="s">
        <v>3487</v>
      </c>
      <c r="S15097" s="744"/>
      <c r="T15097" s="744"/>
      <c r="V15097" s="744">
        <v>31</v>
      </c>
      <c r="AC15097" s="744">
        <f>FIND(E15097, K15097)</f>
        <v>3</v>
      </c>
    </row>
    <row r="15098" spans="1:29" ht="15" customHeight="1" x14ac:dyDescent="0.25">
      <c r="A15098" s="744" t="s">
        <v>179</v>
      </c>
      <c r="E15098" s="1689" t="s">
        <v>3372</v>
      </c>
      <c r="F15098" s="1697"/>
      <c r="G15098" s="1697"/>
      <c r="H15098" s="1697"/>
      <c r="K15098" s="744" t="s">
        <v>3487</v>
      </c>
      <c r="S15098" s="744"/>
      <c r="T15098" s="744"/>
      <c r="V15098" s="744">
        <v>285</v>
      </c>
    </row>
    <row r="15099" spans="1:29" ht="15" x14ac:dyDescent="0.25">
      <c r="A15099" s="744" t="s">
        <v>179</v>
      </c>
      <c r="E15099" s="1916" t="s">
        <v>3061</v>
      </c>
      <c r="F15099" s="1697"/>
      <c r="G15099" s="1697"/>
      <c r="H15099" s="1697"/>
      <c r="K15099" s="744" t="s">
        <v>3266</v>
      </c>
      <c r="S15099" s="744"/>
      <c r="T15099" s="744"/>
      <c r="V15099" s="744">
        <v>11</v>
      </c>
    </row>
    <row r="15100" spans="1:29" ht="15" customHeight="1" x14ac:dyDescent="0.25">
      <c r="A15100" s="744" t="s">
        <v>179</v>
      </c>
      <c r="E15100" s="1689" t="s">
        <v>3063</v>
      </c>
      <c r="F15100" s="1697"/>
      <c r="G15100" s="1697"/>
      <c r="H15100" s="1697"/>
      <c r="K15100" s="744" t="s">
        <v>3487</v>
      </c>
      <c r="S15100" s="744"/>
      <c r="T15100" s="744"/>
      <c r="V15100" s="744">
        <v>280</v>
      </c>
    </row>
    <row r="15101" spans="1:29" ht="15" customHeight="1" x14ac:dyDescent="0.25">
      <c r="A15101" s="744" t="s">
        <v>179</v>
      </c>
      <c r="E15101" s="1689" t="s">
        <v>3064</v>
      </c>
      <c r="F15101" s="1697"/>
      <c r="G15101" s="1697"/>
      <c r="H15101" s="1697"/>
      <c r="K15101" s="744" t="s">
        <v>3487</v>
      </c>
      <c r="S15101" s="744"/>
      <c r="T15101" s="744"/>
      <c r="V15101" s="744">
        <v>411</v>
      </c>
    </row>
    <row r="15102" spans="1:29" ht="15" customHeight="1" x14ac:dyDescent="0.25">
      <c r="A15102" s="744" t="s">
        <v>179</v>
      </c>
      <c r="E15102" s="1689" t="s">
        <v>3129</v>
      </c>
      <c r="F15102" s="1697"/>
      <c r="G15102" s="1697"/>
      <c r="H15102" s="1697"/>
      <c r="K15102" s="744" t="s">
        <v>3487</v>
      </c>
      <c r="S15102" s="744"/>
      <c r="T15102" s="744"/>
      <c r="V15102" s="744">
        <v>211</v>
      </c>
    </row>
    <row r="15103" spans="1:29" ht="15" customHeight="1" x14ac:dyDescent="0.25">
      <c r="A15103" s="744" t="s">
        <v>179</v>
      </c>
      <c r="E15103" s="1689" t="s">
        <v>3390</v>
      </c>
      <c r="F15103" s="1697"/>
      <c r="G15103" s="1697"/>
      <c r="H15103" s="1697"/>
      <c r="K15103" s="744" t="s">
        <v>3487</v>
      </c>
      <c r="S15103" s="744"/>
      <c r="T15103" s="744"/>
      <c r="V15103" s="744">
        <v>274</v>
      </c>
    </row>
    <row r="15104" spans="1:29" ht="15" customHeight="1" x14ac:dyDescent="0.2">
      <c r="A15104" s="744" t="s">
        <v>179</v>
      </c>
      <c r="E15104" s="1694" t="s">
        <v>3067</v>
      </c>
      <c r="F15104" s="1907"/>
      <c r="G15104" s="1907"/>
      <c r="H15104" s="1907"/>
      <c r="K15104" s="744" t="s">
        <v>3267</v>
      </c>
      <c r="S15104" s="744"/>
      <c r="T15104" s="744"/>
      <c r="V15104" s="744">
        <v>46</v>
      </c>
    </row>
    <row r="15105" spans="1:22" ht="15" x14ac:dyDescent="0.2">
      <c r="A15105" s="744" t="s">
        <v>179</v>
      </c>
      <c r="E15105" s="1690" t="s">
        <v>11</v>
      </c>
      <c r="F15105" s="1690"/>
      <c r="G15105" s="1427" t="s">
        <v>23</v>
      </c>
      <c r="H15105" s="391">
        <v>5.4</v>
      </c>
      <c r="K15105" s="744" t="s">
        <v>3487</v>
      </c>
      <c r="L15105" s="744" t="s">
        <v>442</v>
      </c>
      <c r="P15105" s="744" t="s">
        <v>3488</v>
      </c>
      <c r="S15105" s="744"/>
      <c r="T15105" s="744"/>
      <c r="V15105" s="744">
        <v>14</v>
      </c>
    </row>
    <row r="15106" spans="1:22" x14ac:dyDescent="0.25">
      <c r="A15106" s="744" t="s">
        <v>179</v>
      </c>
      <c r="E15106" s="1931" t="s">
        <v>85</v>
      </c>
      <c r="F15106" s="1931"/>
      <c r="G15106" s="693"/>
      <c r="H15106" s="694"/>
      <c r="K15106" s="744" t="s">
        <v>6811</v>
      </c>
      <c r="S15106" s="744"/>
      <c r="T15106" s="744"/>
      <c r="V15106" s="744">
        <v>10</v>
      </c>
    </row>
    <row r="15107" spans="1:22" ht="15" customHeight="1" x14ac:dyDescent="0.2">
      <c r="A15107" s="744" t="s">
        <v>179</v>
      </c>
      <c r="E15107" s="1690" t="s">
        <v>3133</v>
      </c>
      <c r="F15107" s="1690"/>
      <c r="G15107" s="1427" t="s">
        <v>33</v>
      </c>
      <c r="H15107" s="391">
        <v>-0.6</v>
      </c>
      <c r="I15107" s="1431" t="str">
        <f>IF(LEN(H15107)&gt;4, "fix", "")</f>
        <v/>
      </c>
      <c r="S15107" s="744"/>
      <c r="T15107" s="744"/>
      <c r="V15107" s="744">
        <v>68</v>
      </c>
    </row>
    <row r="15108" spans="1:22" ht="15" customHeight="1" x14ac:dyDescent="0.2">
      <c r="A15108" s="744" t="s">
        <v>179</v>
      </c>
      <c r="E15108" s="1690" t="s">
        <v>3134</v>
      </c>
      <c r="F15108" s="1690"/>
      <c r="G15108" s="1427" t="s">
        <v>86</v>
      </c>
      <c r="H15108" s="391">
        <v>-1</v>
      </c>
      <c r="L15108" s="744" t="s">
        <v>3046</v>
      </c>
      <c r="S15108" s="744"/>
      <c r="T15108" s="744"/>
      <c r="V15108" s="744">
        <v>89</v>
      </c>
    </row>
    <row r="15109" spans="1:22" ht="18" customHeight="1" x14ac:dyDescent="0.25">
      <c r="A15109" s="744" t="s">
        <v>179</v>
      </c>
      <c r="E15109" s="1931" t="s">
        <v>87</v>
      </c>
      <c r="F15109" s="1932"/>
      <c r="G15109" s="693"/>
      <c r="H15109" s="694"/>
      <c r="K15109" s="744" t="s">
        <v>6812</v>
      </c>
      <c r="S15109" s="744"/>
      <c r="T15109" s="744"/>
      <c r="V15109" s="744">
        <v>24</v>
      </c>
    </row>
    <row r="15110" spans="1:22" ht="15" x14ac:dyDescent="0.25">
      <c r="A15110" s="744" t="s">
        <v>179</v>
      </c>
      <c r="E15110" s="1926" t="s">
        <v>3061</v>
      </c>
      <c r="F15110" s="1689"/>
      <c r="G15110" s="1689"/>
      <c r="H15110" s="1689"/>
      <c r="S15110" s="744"/>
      <c r="T15110" s="744"/>
      <c r="V15110" s="744">
        <v>11</v>
      </c>
    </row>
    <row r="15111" spans="1:22" ht="15" customHeight="1" x14ac:dyDescent="0.25">
      <c r="A15111" s="744" t="s">
        <v>179</v>
      </c>
      <c r="E15111" s="1689" t="s">
        <v>3063</v>
      </c>
      <c r="F15111" s="1689"/>
      <c r="G15111" s="1689"/>
      <c r="H15111" s="1689"/>
      <c r="S15111" s="744"/>
      <c r="T15111" s="744"/>
      <c r="V15111" s="744">
        <v>280</v>
      </c>
    </row>
    <row r="15112" spans="1:22" ht="15" customHeight="1" x14ac:dyDescent="0.25">
      <c r="A15112" s="744" t="s">
        <v>179</v>
      </c>
      <c r="E15112" s="1689" t="s">
        <v>3136</v>
      </c>
      <c r="F15112" s="1689"/>
      <c r="G15112" s="1689"/>
      <c r="H15112" s="1689"/>
      <c r="S15112" s="744"/>
      <c r="T15112" s="744"/>
      <c r="V15112" s="744">
        <v>353</v>
      </c>
    </row>
    <row r="15113" spans="1:22" ht="15" customHeight="1" x14ac:dyDescent="0.25">
      <c r="A15113" s="744" t="s">
        <v>179</v>
      </c>
      <c r="E15113" s="1689" t="s">
        <v>3390</v>
      </c>
      <c r="F15113" s="1689"/>
      <c r="G15113" s="1689"/>
      <c r="H15113" s="1689"/>
      <c r="S15113" s="744"/>
      <c r="T15113" s="744"/>
      <c r="V15113" s="744">
        <v>274</v>
      </c>
    </row>
    <row r="15114" spans="1:22" ht="15" x14ac:dyDescent="0.25">
      <c r="A15114" s="744" t="s">
        <v>179</v>
      </c>
      <c r="E15114" s="1424" t="s">
        <v>3137</v>
      </c>
      <c r="F15114" s="3"/>
      <c r="G15114" s="3"/>
      <c r="H15114" s="398"/>
      <c r="K15114" s="744" t="s">
        <v>6813</v>
      </c>
      <c r="S15114" s="744"/>
      <c r="T15114" s="744"/>
      <c r="V15114" s="744">
        <v>23</v>
      </c>
    </row>
    <row r="15115" spans="1:22" ht="15" x14ac:dyDescent="0.2">
      <c r="A15115" s="744" t="s">
        <v>179</v>
      </c>
      <c r="E15115" s="1688" t="s">
        <v>3355</v>
      </c>
      <c r="F15115" s="1688"/>
      <c r="G15115" s="1427" t="s">
        <v>23</v>
      </c>
      <c r="H15115" s="391">
        <v>15</v>
      </c>
      <c r="S15115" s="744"/>
      <c r="T15115" s="744"/>
      <c r="V15115" s="744">
        <v>19</v>
      </c>
    </row>
    <row r="15116" spans="1:22" ht="15" x14ac:dyDescent="0.2">
      <c r="A15116" s="744" t="s">
        <v>179</v>
      </c>
      <c r="E15116" s="1688" t="s">
        <v>3140</v>
      </c>
      <c r="F15116" s="1688"/>
      <c r="G15116" s="1427" t="s">
        <v>23</v>
      </c>
      <c r="H15116" s="391">
        <v>15</v>
      </c>
      <c r="S15116" s="744"/>
      <c r="T15116" s="744"/>
      <c r="V15116" s="744">
        <v>20</v>
      </c>
    </row>
    <row r="15117" spans="1:22" ht="15" x14ac:dyDescent="0.2">
      <c r="A15117" s="744" t="s">
        <v>179</v>
      </c>
      <c r="E15117" s="1688" t="s">
        <v>3142</v>
      </c>
      <c r="F15117" s="1688"/>
      <c r="G15117" s="1427" t="s">
        <v>23</v>
      </c>
      <c r="H15117" s="391">
        <v>15</v>
      </c>
      <c r="S15117" s="744"/>
      <c r="T15117" s="744"/>
      <c r="V15117" s="744">
        <v>39</v>
      </c>
    </row>
    <row r="15118" spans="1:22" ht="15" x14ac:dyDescent="0.2">
      <c r="A15118" s="744" t="s">
        <v>179</v>
      </c>
      <c r="E15118" s="1688" t="s">
        <v>3143</v>
      </c>
      <c r="F15118" s="1688"/>
      <c r="G15118" s="1427" t="s">
        <v>23</v>
      </c>
      <c r="H15118" s="391">
        <v>15</v>
      </c>
      <c r="S15118" s="744"/>
      <c r="T15118" s="744"/>
      <c r="V15118" s="744">
        <v>37</v>
      </c>
    </row>
    <row r="15119" spans="1:22" ht="15" x14ac:dyDescent="0.2">
      <c r="A15119" s="744" t="s">
        <v>179</v>
      </c>
      <c r="E15119" s="1688" t="s">
        <v>3144</v>
      </c>
      <c r="F15119" s="1688"/>
      <c r="G15119" s="1427" t="s">
        <v>23</v>
      </c>
      <c r="H15119" s="391">
        <v>15</v>
      </c>
      <c r="S15119" s="744"/>
      <c r="T15119" s="744"/>
      <c r="V15119" s="744">
        <v>15</v>
      </c>
    </row>
    <row r="15120" spans="1:22" ht="15" x14ac:dyDescent="0.2">
      <c r="A15120" s="744" t="s">
        <v>179</v>
      </c>
      <c r="E15120" s="1688" t="s">
        <v>3145</v>
      </c>
      <c r="F15120" s="1688"/>
      <c r="G15120" s="1427" t="s">
        <v>23</v>
      </c>
      <c r="H15120" s="391">
        <v>15</v>
      </c>
      <c r="S15120" s="744"/>
      <c r="T15120" s="744"/>
      <c r="V15120" s="744">
        <v>17</v>
      </c>
    </row>
    <row r="15121" spans="1:22" ht="15" x14ac:dyDescent="0.2">
      <c r="A15121" s="744" t="s">
        <v>179</v>
      </c>
      <c r="E15121" s="1688" t="s">
        <v>3147</v>
      </c>
      <c r="F15121" s="1688"/>
      <c r="G15121" s="1427" t="s">
        <v>23</v>
      </c>
      <c r="H15121" s="391">
        <v>15</v>
      </c>
      <c r="S15121" s="744"/>
      <c r="T15121" s="744"/>
      <c r="V15121" s="744">
        <v>15</v>
      </c>
    </row>
    <row r="15122" spans="1:22" ht="15" x14ac:dyDescent="0.2">
      <c r="A15122" s="744" t="s">
        <v>179</v>
      </c>
      <c r="E15122" s="1688" t="s">
        <v>3149</v>
      </c>
      <c r="F15122" s="1688"/>
      <c r="G15122" s="1427" t="s">
        <v>23</v>
      </c>
      <c r="H15122" s="391">
        <v>15</v>
      </c>
      <c r="S15122" s="744"/>
      <c r="T15122" s="744"/>
      <c r="V15122" s="744">
        <v>35</v>
      </c>
    </row>
    <row r="15123" spans="1:22" ht="15" x14ac:dyDescent="0.2">
      <c r="A15123" s="744" t="s">
        <v>179</v>
      </c>
      <c r="E15123" s="1688" t="s">
        <v>3151</v>
      </c>
      <c r="F15123" s="1688"/>
      <c r="G15123" s="1427" t="s">
        <v>23</v>
      </c>
      <c r="H15123" s="391">
        <v>15</v>
      </c>
      <c r="S15123" s="744"/>
      <c r="T15123" s="744"/>
      <c r="V15123" s="744">
        <v>19</v>
      </c>
    </row>
    <row r="15124" spans="1:22" ht="15" customHeight="1" x14ac:dyDescent="0.2">
      <c r="A15124" s="744" t="s">
        <v>179</v>
      </c>
      <c r="E15124" s="1688" t="s">
        <v>88</v>
      </c>
      <c r="F15124" s="1688"/>
      <c r="G15124" s="1427" t="s">
        <v>23</v>
      </c>
      <c r="H15124" s="391">
        <v>30</v>
      </c>
      <c r="S15124" s="744"/>
      <c r="T15124" s="744"/>
      <c r="V15124" s="744">
        <v>89</v>
      </c>
    </row>
    <row r="15125" spans="1:22" ht="15" x14ac:dyDescent="0.2">
      <c r="A15125" s="744" t="s">
        <v>179</v>
      </c>
      <c r="E15125" s="1688" t="s">
        <v>94</v>
      </c>
      <c r="F15125" s="1688"/>
      <c r="G15125" s="1427" t="s">
        <v>23</v>
      </c>
      <c r="H15125" s="391">
        <v>30</v>
      </c>
      <c r="S15125" s="744"/>
      <c r="T15125" s="744"/>
      <c r="V15125" s="744">
        <v>19</v>
      </c>
    </row>
    <row r="15126" spans="1:22" ht="15" customHeight="1" x14ac:dyDescent="0.2">
      <c r="A15126" s="744" t="s">
        <v>179</v>
      </c>
      <c r="E15126" s="1688" t="s">
        <v>92</v>
      </c>
      <c r="F15126" s="1688"/>
      <c r="G15126" s="1427" t="s">
        <v>23</v>
      </c>
      <c r="H15126" s="391">
        <v>30</v>
      </c>
      <c r="S15126" s="744"/>
      <c r="T15126" s="744"/>
      <c r="V15126" s="744">
        <v>74</v>
      </c>
    </row>
    <row r="15127" spans="1:22" ht="15" x14ac:dyDescent="0.25">
      <c r="A15127" s="744" t="s">
        <v>179</v>
      </c>
      <c r="E15127" s="1424" t="s">
        <v>3152</v>
      </c>
      <c r="F15127" s="3"/>
      <c r="G15127" s="3"/>
      <c r="H15127" s="505"/>
      <c r="K15127" s="744" t="s">
        <v>6814</v>
      </c>
      <c r="S15127" s="744"/>
      <c r="T15127" s="744"/>
      <c r="V15127" s="744">
        <v>22</v>
      </c>
    </row>
    <row r="15128" spans="1:22" ht="15" x14ac:dyDescent="0.2">
      <c r="A15128" s="744" t="s">
        <v>179</v>
      </c>
      <c r="E15128" s="1688" t="s">
        <v>3154</v>
      </c>
      <c r="F15128" s="1688"/>
      <c r="G15128" s="1427" t="s">
        <v>86</v>
      </c>
      <c r="H15128" s="391">
        <v>1.5</v>
      </c>
      <c r="S15128" s="744"/>
      <c r="T15128" s="744"/>
      <c r="V15128" s="744">
        <v>24</v>
      </c>
    </row>
    <row r="15129" spans="1:22" ht="15" x14ac:dyDescent="0.2">
      <c r="A15129" s="744" t="s">
        <v>179</v>
      </c>
      <c r="E15129" s="1688" t="s">
        <v>3155</v>
      </c>
      <c r="F15129" s="1688"/>
      <c r="G15129" s="1427" t="s">
        <v>86</v>
      </c>
      <c r="H15129" s="391">
        <v>19.559999999999999</v>
      </c>
      <c r="S15129" s="744"/>
      <c r="T15129" s="744"/>
      <c r="V15129" s="744">
        <v>24</v>
      </c>
    </row>
    <row r="15130" spans="1:22" ht="15" x14ac:dyDescent="0.2">
      <c r="A15130" s="744" t="s">
        <v>179</v>
      </c>
      <c r="E15130" s="1688" t="s">
        <v>3288</v>
      </c>
      <c r="F15130" s="1688"/>
      <c r="G15130" s="1427" t="s">
        <v>23</v>
      </c>
      <c r="H15130" s="391">
        <v>30</v>
      </c>
      <c r="S15130" s="744"/>
      <c r="T15130" s="744"/>
      <c r="V15130" s="744">
        <v>47</v>
      </c>
    </row>
    <row r="15131" spans="1:22" ht="15" customHeight="1" x14ac:dyDescent="0.2">
      <c r="A15131" s="744" t="s">
        <v>179</v>
      </c>
      <c r="E15131" s="1688" t="s">
        <v>3157</v>
      </c>
      <c r="F15131" s="1688"/>
      <c r="G15131" s="1427" t="s">
        <v>23</v>
      </c>
      <c r="H15131" s="391">
        <v>165</v>
      </c>
      <c r="S15131" s="744"/>
      <c r="T15131" s="744"/>
      <c r="V15131" s="744">
        <v>69</v>
      </c>
    </row>
    <row r="15132" spans="1:22" ht="15" customHeight="1" x14ac:dyDescent="0.2">
      <c r="A15132" s="744" t="s">
        <v>179</v>
      </c>
      <c r="E15132" s="1688" t="s">
        <v>3158</v>
      </c>
      <c r="F15132" s="1688"/>
      <c r="G15132" s="1427" t="s">
        <v>23</v>
      </c>
      <c r="H15132" s="391">
        <v>65</v>
      </c>
      <c r="S15132" s="744"/>
      <c r="T15132" s="744"/>
      <c r="V15132" s="744">
        <v>61</v>
      </c>
    </row>
    <row r="15133" spans="1:22" ht="15" customHeight="1" x14ac:dyDescent="0.2">
      <c r="A15133" s="744" t="s">
        <v>179</v>
      </c>
      <c r="E15133" s="1688" t="s">
        <v>3159</v>
      </c>
      <c r="F15133" s="1688"/>
      <c r="G15133" s="1427" t="s">
        <v>23</v>
      </c>
      <c r="H15133" s="391">
        <v>185</v>
      </c>
      <c r="S15133" s="744"/>
      <c r="T15133" s="744"/>
      <c r="V15133" s="744">
        <v>52</v>
      </c>
    </row>
    <row r="15134" spans="1:22" ht="15" customHeight="1" x14ac:dyDescent="0.2">
      <c r="A15134" s="744" t="s">
        <v>179</v>
      </c>
      <c r="E15134" s="1688" t="s">
        <v>3160</v>
      </c>
      <c r="F15134" s="1688"/>
      <c r="G15134" s="1427" t="s">
        <v>23</v>
      </c>
      <c r="H15134" s="391">
        <v>185</v>
      </c>
      <c r="S15134" s="744"/>
      <c r="T15134" s="744"/>
      <c r="V15134" s="744">
        <v>51</v>
      </c>
    </row>
    <row r="15135" spans="1:22" ht="15" customHeight="1" x14ac:dyDescent="0.2">
      <c r="A15135" s="744" t="s">
        <v>179</v>
      </c>
      <c r="E15135" s="1688" t="s">
        <v>3161</v>
      </c>
      <c r="F15135" s="1688"/>
      <c r="G15135" s="1427" t="s">
        <v>23</v>
      </c>
      <c r="H15135" s="391">
        <v>415</v>
      </c>
      <c r="S15135" s="744"/>
      <c r="T15135" s="744"/>
      <c r="V15135" s="744">
        <v>50</v>
      </c>
    </row>
    <row r="15136" spans="1:22" ht="15" customHeight="1" x14ac:dyDescent="0.2">
      <c r="A15136" s="744" t="s">
        <v>179</v>
      </c>
      <c r="E15136" s="1688" t="s">
        <v>3162</v>
      </c>
      <c r="F15136" s="1688"/>
      <c r="G15136" s="1427" t="s">
        <v>23</v>
      </c>
      <c r="H15136" s="391">
        <v>65</v>
      </c>
      <c r="S15136" s="744"/>
      <c r="T15136" s="744"/>
      <c r="V15136" s="744">
        <v>57</v>
      </c>
    </row>
    <row r="15137" spans="1:22" ht="15" customHeight="1" x14ac:dyDescent="0.2">
      <c r="A15137" s="744" t="s">
        <v>179</v>
      </c>
      <c r="E15137" s="1688" t="s">
        <v>3163</v>
      </c>
      <c r="F15137" s="1688"/>
      <c r="G15137" s="1427" t="s">
        <v>23</v>
      </c>
      <c r="H15137" s="391">
        <v>185</v>
      </c>
      <c r="S15137" s="744"/>
      <c r="T15137" s="744"/>
      <c r="V15137" s="744">
        <v>56</v>
      </c>
    </row>
    <row r="15138" spans="1:22" ht="15" x14ac:dyDescent="0.25">
      <c r="A15138" s="744" t="s">
        <v>179</v>
      </c>
      <c r="E15138" s="1424" t="s">
        <v>3164</v>
      </c>
      <c r="F15138" s="3"/>
      <c r="G15138" s="3"/>
      <c r="H15138" s="505"/>
      <c r="S15138" s="744"/>
      <c r="T15138" s="744"/>
      <c r="V15138" s="744">
        <v>5</v>
      </c>
    </row>
    <row r="15139" spans="1:22" ht="15" x14ac:dyDescent="0.2">
      <c r="A15139" s="744" t="s">
        <v>179</v>
      </c>
      <c r="E15139" s="1688" t="s">
        <v>3167</v>
      </c>
      <c r="F15139" s="1688"/>
      <c r="G15139" s="1427" t="s">
        <v>23</v>
      </c>
      <c r="H15139" s="391">
        <v>30</v>
      </c>
      <c r="S15139" s="744"/>
      <c r="T15139" s="744"/>
      <c r="V15139" s="744">
        <v>39</v>
      </c>
    </row>
    <row r="15140" spans="1:22" ht="15" x14ac:dyDescent="0.2">
      <c r="A15140" s="744" t="s">
        <v>179</v>
      </c>
      <c r="E15140" s="1688" t="s">
        <v>3168</v>
      </c>
      <c r="F15140" s="1688"/>
      <c r="G15140" s="1427" t="s">
        <v>23</v>
      </c>
      <c r="H15140" s="391">
        <v>165</v>
      </c>
      <c r="S15140" s="744"/>
      <c r="T15140" s="744"/>
      <c r="V15140" s="744">
        <v>34</v>
      </c>
    </row>
    <row r="15141" spans="1:22" ht="15" customHeight="1" x14ac:dyDescent="0.2">
      <c r="A15141" s="744" t="s">
        <v>179</v>
      </c>
      <c r="E15141" s="1688" t="s">
        <v>3888</v>
      </c>
      <c r="F15141" s="1688"/>
      <c r="G15141" s="1427" t="s">
        <v>23</v>
      </c>
      <c r="H15141" s="391">
        <v>500</v>
      </c>
      <c r="S15141" s="744"/>
      <c r="T15141" s="744"/>
      <c r="V15141" s="744">
        <v>62</v>
      </c>
    </row>
    <row r="15142" spans="1:22" ht="15" customHeight="1" x14ac:dyDescent="0.2">
      <c r="A15142" s="744" t="s">
        <v>179</v>
      </c>
      <c r="E15142" s="1688" t="s">
        <v>3170</v>
      </c>
      <c r="F15142" s="1688"/>
      <c r="G15142" s="1427" t="s">
        <v>23</v>
      </c>
      <c r="H15142" s="391">
        <v>300</v>
      </c>
      <c r="S15142" s="744"/>
      <c r="T15142" s="744"/>
      <c r="V15142" s="744">
        <v>65</v>
      </c>
    </row>
    <row r="15143" spans="1:22" ht="15" customHeight="1" x14ac:dyDescent="0.2">
      <c r="A15143" s="744" t="s">
        <v>179</v>
      </c>
      <c r="E15143" s="1688" t="s">
        <v>3171</v>
      </c>
      <c r="F15143" s="1688"/>
      <c r="G15143" s="1427" t="s">
        <v>23</v>
      </c>
      <c r="H15143" s="1067">
        <v>1000</v>
      </c>
      <c r="S15143" s="744"/>
      <c r="T15143" s="744"/>
      <c r="V15143" s="744">
        <v>64</v>
      </c>
    </row>
    <row r="15144" spans="1:22" ht="15" customHeight="1" x14ac:dyDescent="0.2">
      <c r="A15144" s="744" t="s">
        <v>179</v>
      </c>
      <c r="E15144" s="1688" t="s">
        <v>3491</v>
      </c>
      <c r="F15144" s="1688"/>
      <c r="G15144" s="1427" t="s">
        <v>23</v>
      </c>
      <c r="H15144" s="391">
        <v>22.35</v>
      </c>
      <c r="S15144" s="744"/>
      <c r="T15144" s="744"/>
      <c r="V15144" s="744">
        <v>61</v>
      </c>
    </row>
    <row r="15145" spans="1:22" ht="15" x14ac:dyDescent="0.2">
      <c r="A15145" s="744" t="s">
        <v>179</v>
      </c>
      <c r="E15145" s="1688" t="s">
        <v>3166</v>
      </c>
      <c r="F15145" s="1688"/>
      <c r="G15145" s="1427"/>
      <c r="H15145" s="394"/>
      <c r="S15145" s="744"/>
      <c r="T15145" s="744"/>
      <c r="V15145" s="744">
        <v>44</v>
      </c>
    </row>
    <row r="15146" spans="1:22" ht="18.75" customHeight="1" x14ac:dyDescent="0.3">
      <c r="A15146" s="744" t="s">
        <v>179</v>
      </c>
      <c r="E15146" s="1931" t="s">
        <v>77</v>
      </c>
      <c r="F15146" s="1932"/>
      <c r="G15146" s="657"/>
      <c r="H15146" s="658"/>
      <c r="K15146" s="744" t="s">
        <v>6815</v>
      </c>
      <c r="S15146" s="744"/>
      <c r="T15146" s="744"/>
      <c r="V15146" s="744">
        <v>38</v>
      </c>
    </row>
    <row r="15147" spans="1:22" ht="15" x14ac:dyDescent="0.25">
      <c r="A15147" s="744" t="s">
        <v>179</v>
      </c>
      <c r="E15147" s="2194" t="s">
        <v>3061</v>
      </c>
      <c r="F15147" s="2074"/>
      <c r="G15147" s="2074"/>
      <c r="H15147" s="2074"/>
      <c r="K15147" s="744" t="s">
        <v>3266</v>
      </c>
      <c r="S15147" s="744"/>
      <c r="T15147" s="744"/>
      <c r="V15147" s="744">
        <v>11</v>
      </c>
    </row>
    <row r="15148" spans="1:22" ht="15" customHeight="1" x14ac:dyDescent="0.25">
      <c r="A15148" s="744" t="s">
        <v>179</v>
      </c>
      <c r="E15148" s="1689" t="s">
        <v>3063</v>
      </c>
      <c r="F15148" s="1689"/>
      <c r="G15148" s="1689"/>
      <c r="H15148" s="1689"/>
      <c r="S15148" s="744"/>
      <c r="T15148" s="744"/>
      <c r="V15148" s="744">
        <v>280</v>
      </c>
    </row>
    <row r="15149" spans="1:22" ht="15" customHeight="1" x14ac:dyDescent="0.25">
      <c r="A15149" s="744" t="s">
        <v>179</v>
      </c>
      <c r="E15149" s="1689" t="s">
        <v>3064</v>
      </c>
      <c r="F15149" s="1689"/>
      <c r="G15149" s="1689"/>
      <c r="H15149" s="1689"/>
      <c r="S15149" s="744"/>
      <c r="T15149" s="744"/>
      <c r="V15149" s="744">
        <v>411</v>
      </c>
    </row>
    <row r="15150" spans="1:22" ht="15" customHeight="1" x14ac:dyDescent="0.25">
      <c r="A15150" s="744" t="s">
        <v>179</v>
      </c>
      <c r="E15150" s="1689" t="s">
        <v>3129</v>
      </c>
      <c r="F15150" s="1689"/>
      <c r="G15150" s="1689"/>
      <c r="H15150" s="1689"/>
      <c r="S15150" s="744"/>
      <c r="T15150" s="744"/>
      <c r="V15150" s="744">
        <v>211</v>
      </c>
    </row>
    <row r="15151" spans="1:22" ht="15" customHeight="1" x14ac:dyDescent="0.25">
      <c r="A15151" s="744" t="s">
        <v>179</v>
      </c>
      <c r="E15151" s="1689" t="s">
        <v>3390</v>
      </c>
      <c r="F15151" s="1689"/>
      <c r="G15151" s="1689"/>
      <c r="H15151" s="1689"/>
      <c r="S15151" s="744"/>
      <c r="T15151" s="744"/>
      <c r="V15151" s="744">
        <v>274</v>
      </c>
    </row>
    <row r="15152" spans="1:22" ht="15.75" customHeight="1" x14ac:dyDescent="0.25">
      <c r="A15152" s="744" t="s">
        <v>179</v>
      </c>
      <c r="E15152" s="1690" t="s">
        <v>3659</v>
      </c>
      <c r="F15152" s="1690"/>
      <c r="G15152" s="3"/>
      <c r="H15152" s="398"/>
      <c r="S15152" s="744"/>
      <c r="T15152" s="744"/>
      <c r="V15152" s="744">
        <v>117</v>
      </c>
    </row>
    <row r="15153" spans="1:22" ht="15" x14ac:dyDescent="0.25">
      <c r="A15153" s="744" t="s">
        <v>179</v>
      </c>
      <c r="E15153" s="1690" t="s">
        <v>3660</v>
      </c>
      <c r="F15153" s="1690"/>
      <c r="G15153" s="3"/>
      <c r="H15153" s="398"/>
      <c r="S15153" s="744"/>
      <c r="T15153" s="744"/>
      <c r="V15153" s="744">
        <v>23</v>
      </c>
    </row>
    <row r="15154" spans="1:22" ht="15" customHeight="1" x14ac:dyDescent="0.2">
      <c r="A15154" s="744" t="s">
        <v>179</v>
      </c>
      <c r="E15154" s="1690" t="s">
        <v>3176</v>
      </c>
      <c r="F15154" s="1690"/>
      <c r="G15154" s="397" t="s">
        <v>23</v>
      </c>
      <c r="H15154" s="391">
        <v>100</v>
      </c>
      <c r="S15154" s="744"/>
      <c r="T15154" s="744"/>
      <c r="V15154" s="744">
        <v>106</v>
      </c>
    </row>
    <row r="15155" spans="1:22" ht="15" x14ac:dyDescent="0.2">
      <c r="A15155" s="744" t="s">
        <v>179</v>
      </c>
      <c r="E15155" s="1690" t="s">
        <v>3177</v>
      </c>
      <c r="F15155" s="1690"/>
      <c r="G15155" s="397" t="s">
        <v>23</v>
      </c>
      <c r="H15155" s="391">
        <v>20</v>
      </c>
      <c r="S15155" s="744"/>
      <c r="T15155" s="744"/>
      <c r="V15155" s="744">
        <v>34</v>
      </c>
    </row>
    <row r="15156" spans="1:22" ht="15" x14ac:dyDescent="0.2">
      <c r="A15156" s="744" t="s">
        <v>179</v>
      </c>
      <c r="E15156" s="1690" t="s">
        <v>3178</v>
      </c>
      <c r="F15156" s="1690"/>
      <c r="G15156" s="397" t="s">
        <v>23</v>
      </c>
      <c r="H15156" s="391">
        <v>0.5</v>
      </c>
      <c r="S15156" s="744"/>
      <c r="T15156" s="744"/>
      <c r="V15156" s="744">
        <v>51</v>
      </c>
    </row>
    <row r="15157" spans="1:22" ht="15" customHeight="1" x14ac:dyDescent="0.2">
      <c r="A15157" s="744" t="s">
        <v>179</v>
      </c>
      <c r="E15157" s="1690" t="s">
        <v>3180</v>
      </c>
      <c r="F15157" s="1690"/>
      <c r="G15157" s="397" t="s">
        <v>23</v>
      </c>
      <c r="H15157" s="391">
        <v>0.3</v>
      </c>
      <c r="S15157" s="744"/>
      <c r="T15157" s="744"/>
      <c r="V15157" s="744">
        <v>75</v>
      </c>
    </row>
    <row r="15158" spans="1:22" ht="15" customHeight="1" x14ac:dyDescent="0.2">
      <c r="A15158" s="744" t="s">
        <v>179</v>
      </c>
      <c r="E15158" s="1691" t="s">
        <v>3181</v>
      </c>
      <c r="F15158" s="1691"/>
      <c r="G15158" s="397" t="s">
        <v>23</v>
      </c>
      <c r="H15158" s="391">
        <v>-0.3</v>
      </c>
      <c r="S15158" s="744"/>
      <c r="T15158" s="744"/>
      <c r="V15158" s="744">
        <v>72</v>
      </c>
    </row>
    <row r="15159" spans="1:22" ht="15" x14ac:dyDescent="0.2">
      <c r="A15159" s="744" t="s">
        <v>179</v>
      </c>
      <c r="E15159" s="1691" t="s">
        <v>3292</v>
      </c>
      <c r="F15159" s="1691"/>
      <c r="G15159" s="397"/>
      <c r="H15159" s="392"/>
      <c r="S15159" s="744"/>
      <c r="T15159" s="744"/>
      <c r="V15159" s="744">
        <v>34</v>
      </c>
    </row>
    <row r="15160" spans="1:22" ht="15" customHeight="1" x14ac:dyDescent="0.2">
      <c r="A15160" s="744" t="s">
        <v>179</v>
      </c>
      <c r="E15160" s="1690" t="s">
        <v>3183</v>
      </c>
      <c r="F15160" s="1690"/>
      <c r="G15160" s="397" t="s">
        <v>23</v>
      </c>
      <c r="H15160" s="391">
        <v>0.25</v>
      </c>
      <c r="S15160" s="744"/>
      <c r="T15160" s="744"/>
      <c r="V15160" s="744">
        <v>57</v>
      </c>
    </row>
    <row r="15161" spans="1:22" ht="15" customHeight="1" x14ac:dyDescent="0.2">
      <c r="A15161" s="744" t="s">
        <v>179</v>
      </c>
      <c r="E15161" s="1690" t="s">
        <v>3184</v>
      </c>
      <c r="F15161" s="1690"/>
      <c r="G15161" s="397" t="s">
        <v>23</v>
      </c>
      <c r="H15161" s="391">
        <v>0.5</v>
      </c>
      <c r="S15161" s="744"/>
      <c r="T15161" s="744"/>
      <c r="V15161" s="744">
        <v>60</v>
      </c>
    </row>
    <row r="15162" spans="1:22" ht="15" customHeight="1" x14ac:dyDescent="0.2">
      <c r="A15162" s="744" t="s">
        <v>179</v>
      </c>
      <c r="E15162" s="1690" t="s">
        <v>3185</v>
      </c>
      <c r="F15162" s="1690"/>
      <c r="G15162" s="397"/>
      <c r="H15162" s="392"/>
      <c r="S15162" s="744"/>
      <c r="T15162" s="744"/>
      <c r="V15162" s="744">
        <v>91</v>
      </c>
    </row>
    <row r="15163" spans="1:22" ht="15" customHeight="1" x14ac:dyDescent="0.2">
      <c r="A15163" s="744" t="s">
        <v>179</v>
      </c>
      <c r="E15163" s="1691" t="s">
        <v>3186</v>
      </c>
      <c r="F15163" s="1691"/>
      <c r="G15163" s="397"/>
      <c r="H15163" s="392"/>
      <c r="S15163" s="744"/>
      <c r="T15163" s="744"/>
      <c r="V15163" s="744">
        <v>96</v>
      </c>
    </row>
    <row r="15164" spans="1:22" ht="15" customHeight="1" x14ac:dyDescent="0.2">
      <c r="A15164" s="744" t="s">
        <v>179</v>
      </c>
      <c r="E15164" s="1691" t="s">
        <v>3293</v>
      </c>
      <c r="F15164" s="1691"/>
      <c r="G15164" s="397"/>
      <c r="H15164" s="392"/>
      <c r="S15164" s="744"/>
      <c r="T15164" s="744"/>
      <c r="V15164" s="744">
        <v>77</v>
      </c>
    </row>
    <row r="15165" spans="1:22" ht="15" x14ac:dyDescent="0.25">
      <c r="A15165" s="744" t="s">
        <v>179</v>
      </c>
      <c r="E15165" s="1422" t="s">
        <v>3188</v>
      </c>
      <c r="F15165" s="3"/>
      <c r="G15165" s="397" t="s">
        <v>23</v>
      </c>
      <c r="H15165" s="392" t="s">
        <v>3189</v>
      </c>
      <c r="S15165" s="744"/>
      <c r="T15165" s="744"/>
      <c r="V15165" s="744">
        <v>18</v>
      </c>
    </row>
    <row r="15166" spans="1:22" ht="23.25" x14ac:dyDescent="0.25">
      <c r="A15166" s="744" t="s">
        <v>179</v>
      </c>
      <c r="E15166" s="1422" t="s">
        <v>3190</v>
      </c>
      <c r="F15166" s="3"/>
      <c r="G15166" s="397" t="s">
        <v>23</v>
      </c>
      <c r="H15166" s="391">
        <v>2</v>
      </c>
      <c r="S15166" s="744"/>
      <c r="T15166" s="744"/>
      <c r="V15166" s="744">
        <v>69</v>
      </c>
    </row>
    <row r="15167" spans="1:22" ht="18.75" x14ac:dyDescent="0.3">
      <c r="A15167" s="744" t="s">
        <v>179</v>
      </c>
      <c r="E15167" s="1425" t="s">
        <v>147</v>
      </c>
      <c r="F15167" s="657"/>
      <c r="G15167" s="657"/>
      <c r="H15167" s="658"/>
      <c r="K15167" s="744" t="s">
        <v>6816</v>
      </c>
      <c r="S15167" s="744"/>
      <c r="T15167" s="744"/>
      <c r="V15167" s="744">
        <v>12</v>
      </c>
    </row>
    <row r="15168" spans="1:22" ht="15" customHeight="1" x14ac:dyDescent="0.25">
      <c r="A15168" s="744" t="s">
        <v>179</v>
      </c>
      <c r="E15168" s="1704" t="s">
        <v>3192</v>
      </c>
      <c r="F15168" s="1948"/>
      <c r="G15168" s="1948"/>
      <c r="H15168" s="1948"/>
      <c r="S15168" s="744"/>
      <c r="T15168" s="744"/>
      <c r="V15168" s="744">
        <v>203</v>
      </c>
    </row>
    <row r="15169" spans="1:29" ht="15" customHeight="1" x14ac:dyDescent="0.2">
      <c r="A15169" s="744" t="s">
        <v>179</v>
      </c>
      <c r="E15169" s="1690" t="s">
        <v>3295</v>
      </c>
      <c r="F15169" s="1690"/>
      <c r="G15169" s="1427"/>
      <c r="H15169" s="394">
        <v>1.0602</v>
      </c>
      <c r="S15169" s="744"/>
      <c r="T15169" s="744"/>
      <c r="V15169" s="744">
        <v>57</v>
      </c>
    </row>
    <row r="15170" spans="1:29" ht="15" customHeight="1" x14ac:dyDescent="0.2">
      <c r="A15170" s="744" t="s">
        <v>179</v>
      </c>
      <c r="E15170" s="1690" t="s">
        <v>3297</v>
      </c>
      <c r="F15170" s="1690"/>
      <c r="G15170" s="1427"/>
      <c r="H15170" s="394">
        <v>1.0496000000000001</v>
      </c>
      <c r="J15170" s="744" t="s">
        <v>6817</v>
      </c>
      <c r="S15170" s="744"/>
      <c r="T15170" s="744"/>
      <c r="V15170" s="744">
        <v>55</v>
      </c>
    </row>
    <row r="15171" spans="1:29" ht="23.25" x14ac:dyDescent="0.25">
      <c r="A15171" s="744" t="s">
        <v>204</v>
      </c>
      <c r="B15171" s="841"/>
      <c r="C15171" s="744" t="s">
        <v>3050</v>
      </c>
      <c r="D15171" s="841"/>
      <c r="E15171" s="1911" t="s">
        <v>204</v>
      </c>
      <c r="F15171" s="1911"/>
      <c r="G15171" s="1911"/>
      <c r="H15171" s="1911"/>
      <c r="I15171" s="744" t="s">
        <v>628</v>
      </c>
      <c r="J15171" s="744" t="s">
        <v>6818</v>
      </c>
      <c r="K15171" s="744" t="s">
        <v>204</v>
      </c>
      <c r="L15171" s="841"/>
      <c r="M15171" s="1435">
        <v>6</v>
      </c>
      <c r="N15171" s="841"/>
      <c r="O15171" s="841"/>
      <c r="P15171" s="841"/>
      <c r="Q15171" s="841"/>
      <c r="R15171" s="841"/>
      <c r="S15171" s="841"/>
      <c r="T15171" s="841"/>
      <c r="U15171" s="841"/>
      <c r="V15171" s="1435">
        <v>15</v>
      </c>
    </row>
    <row r="15172" spans="1:29" ht="18" customHeight="1" x14ac:dyDescent="0.25">
      <c r="A15172" s="744" t="s">
        <v>204</v>
      </c>
      <c r="B15172" s="841"/>
      <c r="C15172" s="744" t="s">
        <v>3052</v>
      </c>
      <c r="D15172" s="841"/>
      <c r="E15172" s="1912" t="s">
        <v>3053</v>
      </c>
      <c r="F15172" s="1912"/>
      <c r="G15172" s="1912"/>
      <c r="H15172" s="1912"/>
      <c r="I15172" s="841"/>
      <c r="J15172" s="841"/>
      <c r="K15172" s="841"/>
      <c r="L15172" s="841"/>
      <c r="M15172" s="1436"/>
      <c r="N15172" s="841"/>
      <c r="O15172" s="841"/>
      <c r="P15172" s="841"/>
      <c r="Q15172" s="841"/>
      <c r="R15172" s="841"/>
      <c r="S15172" s="841"/>
      <c r="T15172" s="841"/>
      <c r="U15172" s="841"/>
      <c r="V15172" s="1435">
        <v>27</v>
      </c>
    </row>
    <row r="15173" spans="1:29" ht="15.75" customHeight="1" x14ac:dyDescent="0.25">
      <c r="A15173" s="744" t="s">
        <v>204</v>
      </c>
      <c r="B15173" s="841"/>
      <c r="C15173" s="744" t="s">
        <v>3054</v>
      </c>
      <c r="D15173" s="841"/>
      <c r="E15173" s="1913" t="s">
        <v>5107</v>
      </c>
      <c r="F15173" s="1913"/>
      <c r="G15173" s="1913"/>
      <c r="H15173" s="1913"/>
      <c r="I15173" s="841"/>
      <c r="J15173" s="841"/>
      <c r="K15173" s="841"/>
      <c r="L15173" s="841"/>
      <c r="M15173" s="1436"/>
      <c r="N15173" s="841"/>
      <c r="O15173" s="841"/>
      <c r="P15173" s="841"/>
      <c r="Q15173" s="841"/>
      <c r="R15173" s="841"/>
      <c r="S15173" s="1428">
        <v>43221</v>
      </c>
      <c r="T15173" s="841"/>
      <c r="U15173" s="841"/>
      <c r="V15173" s="1435">
        <v>45</v>
      </c>
    </row>
    <row r="15174" spans="1:29" ht="15" customHeight="1" x14ac:dyDescent="0.25">
      <c r="A15174" s="744" t="s">
        <v>204</v>
      </c>
      <c r="B15174" s="841"/>
      <c r="C15174" s="744" t="s">
        <v>3055</v>
      </c>
      <c r="D15174" s="841"/>
      <c r="E15174" s="1914" t="s">
        <v>3056</v>
      </c>
      <c r="F15174" s="1914"/>
      <c r="G15174" s="1914"/>
      <c r="H15174" s="1914"/>
      <c r="I15174" s="841"/>
      <c r="J15174" s="841"/>
      <c r="K15174" s="841"/>
      <c r="L15174" s="841"/>
      <c r="M15174" s="1436"/>
      <c r="N15174" s="841"/>
      <c r="O15174" s="841"/>
      <c r="P15174" s="841"/>
      <c r="Q15174" s="841"/>
      <c r="R15174" s="841"/>
      <c r="S15174" s="841"/>
      <c r="T15174" s="841"/>
      <c r="U15174" s="841"/>
      <c r="V15174" s="1435">
        <v>52</v>
      </c>
      <c r="W15174" s="841"/>
      <c r="X15174" s="841"/>
      <c r="Y15174" s="841"/>
      <c r="Z15174" s="841"/>
      <c r="AA15174" s="841"/>
      <c r="AB15174" s="841"/>
      <c r="AC15174" s="841"/>
    </row>
    <row r="15175" spans="1:29" ht="15" customHeight="1" x14ac:dyDescent="0.25">
      <c r="A15175" s="744" t="s">
        <v>204</v>
      </c>
      <c r="B15175" s="841"/>
      <c r="C15175" s="841"/>
      <c r="D15175" s="841"/>
      <c r="E15175" s="1914" t="s">
        <v>3057</v>
      </c>
      <c r="F15175" s="1914"/>
      <c r="G15175" s="1914"/>
      <c r="H15175" s="1914"/>
      <c r="I15175" s="841"/>
      <c r="J15175" s="841"/>
      <c r="K15175" s="841"/>
      <c r="L15175" s="841"/>
      <c r="M15175" s="1436"/>
      <c r="N15175" s="841"/>
      <c r="O15175" s="841"/>
      <c r="P15175" s="841"/>
      <c r="Q15175" s="841"/>
      <c r="R15175" s="841"/>
      <c r="S15175" s="841"/>
      <c r="T15175" s="841"/>
      <c r="U15175" s="841"/>
      <c r="V15175" s="1435">
        <v>53</v>
      </c>
      <c r="W15175" s="841"/>
      <c r="X15175" s="841"/>
      <c r="Y15175" s="841"/>
      <c r="Z15175" s="841"/>
      <c r="AA15175" s="841"/>
      <c r="AB15175" s="841"/>
      <c r="AC15175" s="841"/>
    </row>
    <row r="15176" spans="1:29" ht="15" x14ac:dyDescent="0.25">
      <c r="A15176" s="744" t="s">
        <v>204</v>
      </c>
      <c r="B15176" s="841"/>
      <c r="C15176" s="841"/>
      <c r="D15176" s="841"/>
      <c r="E15176" s="1925" t="s">
        <v>6819</v>
      </c>
      <c r="F15176" s="1925"/>
      <c r="G15176" s="1925"/>
      <c r="H15176" s="1925"/>
      <c r="I15176" s="841"/>
      <c r="J15176" s="841"/>
      <c r="K15176" s="744" t="s">
        <v>6819</v>
      </c>
      <c r="L15176" s="841"/>
      <c r="M15176" s="1436"/>
      <c r="N15176" s="841"/>
      <c r="O15176" s="841"/>
      <c r="P15176" s="841"/>
      <c r="Q15176" s="841"/>
      <c r="R15176" s="841"/>
      <c r="S15176" s="841"/>
      <c r="T15176" s="841"/>
      <c r="U15176" s="841"/>
      <c r="V15176" s="1435">
        <v>12</v>
      </c>
      <c r="W15176" s="841"/>
      <c r="X15176" s="841"/>
      <c r="Y15176" s="841"/>
      <c r="Z15176" s="841"/>
      <c r="AA15176" s="841"/>
      <c r="AB15176" s="841"/>
      <c r="AC15176" s="841"/>
    </row>
    <row r="15177" spans="1:29" ht="15" customHeight="1" x14ac:dyDescent="0.25">
      <c r="A15177" s="744" t="s">
        <v>204</v>
      </c>
      <c r="B15177" s="841"/>
      <c r="C15177" s="841"/>
      <c r="D15177" s="841"/>
      <c r="E15177" s="1909" t="s">
        <v>438</v>
      </c>
      <c r="F15177" s="1697"/>
      <c r="G15177" s="1697"/>
      <c r="H15177" s="1697"/>
      <c r="I15177" s="841"/>
      <c r="J15177" s="841"/>
      <c r="K15177" s="744" t="s">
        <v>3197</v>
      </c>
      <c r="L15177" s="841"/>
      <c r="M15177" s="1436"/>
      <c r="N15177" s="841"/>
      <c r="O15177" s="841"/>
      <c r="P15177" s="841"/>
      <c r="Q15177" s="841"/>
      <c r="R15177" s="841"/>
      <c r="S15177" s="841"/>
      <c r="T15177" s="841"/>
      <c r="U15177" s="841"/>
      <c r="V15177" s="1435">
        <v>34</v>
      </c>
      <c r="W15177" s="841"/>
      <c r="X15177" s="841"/>
      <c r="Y15177" s="841"/>
      <c r="Z15177" s="841"/>
      <c r="AA15177" s="841"/>
      <c r="AB15177" s="841"/>
      <c r="AC15177" s="744">
        <v>3</v>
      </c>
    </row>
    <row r="15178" spans="1:29" ht="15" customHeight="1" x14ac:dyDescent="0.25">
      <c r="A15178" s="744" t="s">
        <v>204</v>
      </c>
      <c r="B15178" s="841"/>
      <c r="C15178" s="841"/>
      <c r="D15178" s="841"/>
      <c r="E15178" s="1689" t="s">
        <v>6820</v>
      </c>
      <c r="F15178" s="1689"/>
      <c r="G15178" s="1689"/>
      <c r="H15178" s="1689"/>
      <c r="I15178" s="841"/>
      <c r="J15178" s="841"/>
      <c r="K15178" s="744" t="s">
        <v>3197</v>
      </c>
      <c r="L15178" s="841"/>
      <c r="M15178" s="1436"/>
      <c r="N15178" s="841"/>
      <c r="O15178" s="841"/>
      <c r="P15178" s="841"/>
      <c r="Q15178" s="841"/>
      <c r="R15178" s="841"/>
      <c r="S15178" s="841"/>
      <c r="T15178" s="841"/>
      <c r="U15178" s="841"/>
      <c r="V15178" s="1435">
        <v>361</v>
      </c>
      <c r="W15178" s="841"/>
      <c r="X15178" s="841"/>
      <c r="Y15178" s="841"/>
      <c r="Z15178" s="841"/>
      <c r="AA15178" s="841"/>
      <c r="AB15178" s="841"/>
      <c r="AC15178" s="841"/>
    </row>
    <row r="15179" spans="1:29" ht="15" x14ac:dyDescent="0.25">
      <c r="A15179" s="744" t="s">
        <v>204</v>
      </c>
      <c r="B15179" s="841"/>
      <c r="C15179" s="841"/>
      <c r="D15179" s="841"/>
      <c r="E15179" s="1916" t="s">
        <v>3061</v>
      </c>
      <c r="F15179" s="1697"/>
      <c r="G15179" s="1697"/>
      <c r="H15179" s="1697"/>
      <c r="I15179" s="841"/>
      <c r="J15179" s="841"/>
      <c r="K15179" s="744" t="s">
        <v>3062</v>
      </c>
      <c r="L15179" s="841"/>
      <c r="M15179" s="1436"/>
      <c r="N15179" s="841"/>
      <c r="O15179" s="841"/>
      <c r="P15179" s="841"/>
      <c r="Q15179" s="841"/>
      <c r="R15179" s="841"/>
      <c r="S15179" s="841"/>
      <c r="T15179" s="841"/>
      <c r="U15179" s="841"/>
      <c r="V15179" s="1435">
        <v>11</v>
      </c>
      <c r="W15179" s="841"/>
      <c r="X15179" s="841"/>
      <c r="Y15179" s="841"/>
      <c r="Z15179" s="841"/>
      <c r="AA15179" s="841"/>
      <c r="AB15179" s="841"/>
      <c r="AC15179" s="841"/>
    </row>
    <row r="15180" spans="1:29" ht="15" customHeight="1" x14ac:dyDescent="0.25">
      <c r="A15180" s="744" t="s">
        <v>204</v>
      </c>
      <c r="B15180" s="841"/>
      <c r="C15180" s="841"/>
      <c r="D15180" s="841"/>
      <c r="E15180" s="1689" t="s">
        <v>3063</v>
      </c>
      <c r="F15180" s="1689"/>
      <c r="G15180" s="1689"/>
      <c r="H15180" s="1689"/>
      <c r="I15180" s="841"/>
      <c r="J15180" s="841"/>
      <c r="K15180" s="744" t="s">
        <v>3197</v>
      </c>
      <c r="L15180" s="841"/>
      <c r="M15180" s="1436"/>
      <c r="N15180" s="841"/>
      <c r="O15180" s="841"/>
      <c r="P15180" s="841"/>
      <c r="Q15180" s="841"/>
      <c r="R15180" s="841"/>
      <c r="S15180" s="841"/>
      <c r="T15180" s="841"/>
      <c r="U15180" s="841"/>
      <c r="V15180" s="1435">
        <v>280</v>
      </c>
      <c r="W15180" s="841"/>
      <c r="X15180" s="841"/>
      <c r="Y15180" s="841"/>
      <c r="Z15180" s="841"/>
      <c r="AA15180" s="841"/>
      <c r="AB15180" s="841"/>
      <c r="AC15180" s="841"/>
    </row>
    <row r="15181" spans="1:29" ht="15" customHeight="1" x14ac:dyDescent="0.25">
      <c r="A15181" s="744" t="s">
        <v>204</v>
      </c>
      <c r="B15181" s="841"/>
      <c r="C15181" s="841"/>
      <c r="D15181" s="841"/>
      <c r="E15181" s="1689" t="s">
        <v>3064</v>
      </c>
      <c r="F15181" s="1689"/>
      <c r="G15181" s="1689"/>
      <c r="H15181" s="1689"/>
      <c r="I15181" s="841"/>
      <c r="J15181" s="841"/>
      <c r="K15181" s="744" t="s">
        <v>3197</v>
      </c>
      <c r="L15181" s="841"/>
      <c r="M15181" s="1436"/>
      <c r="N15181" s="841"/>
      <c r="O15181" s="841"/>
      <c r="P15181" s="841"/>
      <c r="Q15181" s="841"/>
      <c r="R15181" s="841"/>
      <c r="S15181" s="841"/>
      <c r="T15181" s="841"/>
      <c r="U15181" s="841"/>
      <c r="V15181" s="1435">
        <v>411</v>
      </c>
      <c r="W15181" s="841"/>
      <c r="X15181" s="841"/>
      <c r="Y15181" s="841"/>
      <c r="Z15181" s="841"/>
      <c r="AA15181" s="841"/>
      <c r="AB15181" s="841"/>
      <c r="AC15181" s="841"/>
    </row>
    <row r="15182" spans="1:29" ht="15" customHeight="1" x14ac:dyDescent="0.25">
      <c r="A15182" s="744" t="s">
        <v>204</v>
      </c>
      <c r="B15182" s="841"/>
      <c r="C15182" s="841"/>
      <c r="D15182" s="841"/>
      <c r="E15182" s="1689" t="s">
        <v>3065</v>
      </c>
      <c r="F15182" s="1689"/>
      <c r="G15182" s="1689"/>
      <c r="H15182" s="1689"/>
      <c r="I15182" s="841"/>
      <c r="J15182" s="841"/>
      <c r="K15182" s="744" t="s">
        <v>3197</v>
      </c>
      <c r="L15182" s="841"/>
      <c r="M15182" s="1436"/>
      <c r="N15182" s="841"/>
      <c r="O15182" s="841"/>
      <c r="P15182" s="841"/>
      <c r="Q15182" s="841"/>
      <c r="R15182" s="841"/>
      <c r="S15182" s="841"/>
      <c r="T15182" s="841"/>
      <c r="U15182" s="841"/>
      <c r="V15182" s="1435">
        <v>387</v>
      </c>
      <c r="W15182" s="841"/>
      <c r="X15182" s="841"/>
      <c r="Y15182" s="841"/>
      <c r="Z15182" s="841"/>
      <c r="AA15182" s="841"/>
      <c r="AB15182" s="841"/>
      <c r="AC15182" s="841"/>
    </row>
    <row r="15183" spans="1:29" ht="15" customHeight="1" x14ac:dyDescent="0.25">
      <c r="A15183" s="744" t="s">
        <v>204</v>
      </c>
      <c r="B15183" s="841"/>
      <c r="C15183" s="841"/>
      <c r="D15183" s="841"/>
      <c r="E15183" s="1689" t="s">
        <v>3200</v>
      </c>
      <c r="F15183" s="1689"/>
      <c r="G15183" s="1689"/>
      <c r="H15183" s="1689"/>
      <c r="I15183" s="841"/>
      <c r="J15183" s="841"/>
      <c r="K15183" s="744" t="s">
        <v>3197</v>
      </c>
      <c r="L15183" s="841"/>
      <c r="M15183" s="1436"/>
      <c r="N15183" s="841"/>
      <c r="O15183" s="841"/>
      <c r="P15183" s="841"/>
      <c r="Q15183" s="841"/>
      <c r="R15183" s="841"/>
      <c r="S15183" s="841"/>
      <c r="T15183" s="841"/>
      <c r="U15183" s="841"/>
      <c r="V15183" s="1435">
        <v>275</v>
      </c>
      <c r="W15183" s="841"/>
      <c r="X15183" s="841"/>
      <c r="Y15183" s="841"/>
      <c r="Z15183" s="841"/>
      <c r="AA15183" s="841"/>
      <c r="AB15183" s="841"/>
      <c r="AC15183" s="841"/>
    </row>
    <row r="15184" spans="1:29" ht="15" customHeight="1" x14ac:dyDescent="0.25">
      <c r="A15184" s="744" t="s">
        <v>204</v>
      </c>
      <c r="B15184" s="841"/>
      <c r="C15184" s="841"/>
      <c r="D15184" s="841"/>
      <c r="E15184" s="1694" t="s">
        <v>3067</v>
      </c>
      <c r="F15184" s="1907"/>
      <c r="G15184" s="1907"/>
      <c r="H15184" s="1907"/>
      <c r="I15184" s="841"/>
      <c r="J15184" s="841"/>
      <c r="K15184" s="744" t="s">
        <v>3068</v>
      </c>
      <c r="L15184" s="841"/>
      <c r="M15184" s="1436"/>
      <c r="N15184" s="841"/>
      <c r="O15184" s="841"/>
      <c r="P15184" s="841"/>
      <c r="Q15184" s="841"/>
      <c r="R15184" s="841"/>
      <c r="S15184" s="841"/>
      <c r="T15184" s="841"/>
      <c r="U15184" s="841"/>
      <c r="V15184" s="1435">
        <v>46</v>
      </c>
      <c r="W15184" s="841"/>
      <c r="X15184" s="841"/>
      <c r="Y15184" s="841"/>
      <c r="Z15184" s="841"/>
      <c r="AA15184" s="841"/>
      <c r="AB15184" s="841"/>
      <c r="AC15184" s="841"/>
    </row>
    <row r="15185" spans="1:32" ht="15" x14ac:dyDescent="0.25">
      <c r="A15185" s="744" t="s">
        <v>204</v>
      </c>
      <c r="B15185" s="841"/>
      <c r="C15185" s="841"/>
      <c r="D15185" s="841"/>
      <c r="E15185" s="1690" t="s">
        <v>11</v>
      </c>
      <c r="F15185" s="1690"/>
      <c r="G15185" s="1427" t="s">
        <v>23</v>
      </c>
      <c r="H15185" s="391">
        <v>22.097999999999999</v>
      </c>
      <c r="I15185" s="841"/>
      <c r="J15185" s="841"/>
      <c r="K15185" s="744" t="s">
        <v>3197</v>
      </c>
      <c r="L15185" s="744" t="s">
        <v>442</v>
      </c>
      <c r="M15185" s="1436"/>
      <c r="N15185" s="841"/>
      <c r="O15185" s="841"/>
      <c r="P15185" s="744" t="s">
        <v>3201</v>
      </c>
      <c r="Q15185" s="841"/>
      <c r="R15185" s="841"/>
      <c r="S15185" s="841"/>
      <c r="T15185" s="841"/>
      <c r="U15185" s="841"/>
      <c r="V15185" s="1435">
        <v>14</v>
      </c>
      <c r="W15185" s="841"/>
      <c r="X15185" s="841"/>
      <c r="Y15185" s="841"/>
      <c r="Z15185" s="841"/>
      <c r="AA15185" s="841"/>
      <c r="AB15185" s="841"/>
      <c r="AC15185" s="841"/>
    </row>
    <row r="15186" spans="1:32" ht="15" customHeight="1" x14ac:dyDescent="0.25">
      <c r="A15186" s="744" t="s">
        <v>204</v>
      </c>
      <c r="B15186" s="841"/>
      <c r="C15186" s="841"/>
      <c r="D15186" s="841"/>
      <c r="E15186" s="1690" t="s">
        <v>423</v>
      </c>
      <c r="F15186" s="1690"/>
      <c r="G15186" s="1427" t="s">
        <v>23</v>
      </c>
      <c r="H15186" s="391">
        <v>0.56999999999999995</v>
      </c>
      <c r="I15186" s="841"/>
      <c r="J15186" s="841"/>
      <c r="K15186" s="744" t="s">
        <v>3197</v>
      </c>
      <c r="L15186" s="744" t="s">
        <v>443</v>
      </c>
      <c r="M15186" s="1436"/>
      <c r="N15186" s="841"/>
      <c r="O15186" s="841"/>
      <c r="P15186" s="744" t="s">
        <v>3202</v>
      </c>
      <c r="Q15186" s="841"/>
      <c r="R15186" s="841"/>
      <c r="S15186" s="841"/>
      <c r="T15186" s="1428">
        <v>43404</v>
      </c>
      <c r="U15186" s="841"/>
      <c r="V15186" s="1435">
        <v>78</v>
      </c>
      <c r="W15186" s="841"/>
      <c r="X15186" s="841"/>
      <c r="Y15186" s="841"/>
      <c r="Z15186" s="841"/>
      <c r="AA15186" s="841"/>
      <c r="AB15186" s="841"/>
      <c r="AC15186" s="841"/>
    </row>
    <row r="15187" spans="1:32" ht="15" x14ac:dyDescent="0.25">
      <c r="A15187" s="744" t="s">
        <v>204</v>
      </c>
      <c r="B15187" s="841"/>
      <c r="C15187" s="841"/>
      <c r="D15187" s="841"/>
      <c r="E15187" s="1690" t="s">
        <v>84</v>
      </c>
      <c r="F15187" s="1690"/>
      <c r="G15187" s="1427" t="s">
        <v>24</v>
      </c>
      <c r="H15187" s="393">
        <v>9.1439999999999994E-3</v>
      </c>
      <c r="I15187" s="841"/>
      <c r="J15187" s="841"/>
      <c r="K15187" s="744" t="s">
        <v>3197</v>
      </c>
      <c r="L15187" s="744" t="s">
        <v>442</v>
      </c>
      <c r="M15187" s="1436"/>
      <c r="N15187" s="841"/>
      <c r="O15187" s="841"/>
      <c r="P15187" s="744" t="s">
        <v>3203</v>
      </c>
      <c r="Q15187" s="841"/>
      <c r="R15187" s="841"/>
      <c r="S15187" s="841"/>
      <c r="T15187" s="841"/>
      <c r="U15187" s="841"/>
      <c r="V15187" s="1435">
        <v>28</v>
      </c>
      <c r="W15187" s="841"/>
      <c r="X15187" s="841"/>
      <c r="Y15187" s="841"/>
      <c r="Z15187" s="841"/>
      <c r="AA15187" s="841"/>
      <c r="AB15187" s="841"/>
      <c r="AC15187" s="841"/>
    </row>
    <row r="15188" spans="1:32" ht="15" x14ac:dyDescent="0.25">
      <c r="A15188" s="744" t="s">
        <v>204</v>
      </c>
      <c r="B15188" s="841"/>
      <c r="C15188" s="841"/>
      <c r="D15188" s="841"/>
      <c r="E15188" s="1690" t="s">
        <v>18</v>
      </c>
      <c r="F15188" s="1690"/>
      <c r="G15188" s="1427" t="s">
        <v>24</v>
      </c>
      <c r="H15188" s="393">
        <v>5.4000000000000003E-3</v>
      </c>
      <c r="I15188" s="744" t="s">
        <v>2461</v>
      </c>
      <c r="J15188" s="841"/>
      <c r="K15188" s="744" t="s">
        <v>3197</v>
      </c>
      <c r="L15188" s="744" t="s">
        <v>443</v>
      </c>
      <c r="M15188" s="1436"/>
      <c r="N15188" s="841"/>
      <c r="O15188" s="841"/>
      <c r="P15188" s="744" t="s">
        <v>3204</v>
      </c>
      <c r="Q15188" s="841"/>
      <c r="R15188" s="841"/>
      <c r="S15188" s="841"/>
      <c r="T15188" s="841"/>
      <c r="U15188" s="841"/>
      <c r="V15188" s="1435">
        <v>24</v>
      </c>
      <c r="W15188" s="841"/>
      <c r="X15188" s="841"/>
      <c r="Y15188" s="841"/>
      <c r="Z15188" s="841"/>
      <c r="AA15188" s="841"/>
      <c r="AB15188" s="841"/>
      <c r="AC15188" s="841"/>
    </row>
    <row r="15189" spans="1:32" ht="15" x14ac:dyDescent="0.25">
      <c r="A15189" s="744" t="s">
        <v>204</v>
      </c>
      <c r="B15189" s="841"/>
      <c r="C15189" s="841"/>
      <c r="D15189" s="841"/>
      <c r="E15189" s="1690" t="s">
        <v>221</v>
      </c>
      <c r="F15189" s="1690"/>
      <c r="G15189" s="1427" t="s">
        <v>24</v>
      </c>
      <c r="H15189" s="393">
        <v>6.1000000000000004E-3</v>
      </c>
      <c r="I15189" s="841"/>
      <c r="J15189" s="841"/>
      <c r="K15189" s="744" t="s">
        <v>3197</v>
      </c>
      <c r="L15189" s="744" t="s">
        <v>444</v>
      </c>
      <c r="M15189" s="1436"/>
      <c r="N15189" s="841"/>
      <c r="O15189" s="841"/>
      <c r="P15189" s="744" t="s">
        <v>3208</v>
      </c>
      <c r="Q15189" s="841"/>
      <c r="R15189" s="841"/>
      <c r="S15189" s="841"/>
      <c r="T15189" s="841"/>
      <c r="U15189" s="841"/>
      <c r="V15189" s="1435">
        <v>47</v>
      </c>
      <c r="W15189" s="841"/>
      <c r="X15189" s="841"/>
      <c r="Y15189" s="841"/>
      <c r="Z15189" s="841"/>
      <c r="AA15189" s="841"/>
      <c r="AB15189" s="841"/>
      <c r="AC15189" s="841"/>
    </row>
    <row r="15190" spans="1:32" ht="15" customHeight="1" x14ac:dyDescent="0.25">
      <c r="A15190" s="744" t="s">
        <v>204</v>
      </c>
      <c r="B15190" s="841"/>
      <c r="C15190" s="841"/>
      <c r="D15190" s="841"/>
      <c r="E15190" s="1690" t="s">
        <v>217</v>
      </c>
      <c r="F15190" s="1690"/>
      <c r="G15190" s="1427" t="s">
        <v>24</v>
      </c>
      <c r="H15190" s="393">
        <v>4.7999999999999996E-3</v>
      </c>
      <c r="I15190" s="841"/>
      <c r="J15190" s="841"/>
      <c r="K15190" s="744" t="s">
        <v>3197</v>
      </c>
      <c r="L15190" s="744" t="s">
        <v>444</v>
      </c>
      <c r="M15190" s="1436"/>
      <c r="N15190" s="841"/>
      <c r="O15190" s="841"/>
      <c r="P15190" s="744" t="s">
        <v>3209</v>
      </c>
      <c r="Q15190" s="841"/>
      <c r="R15190" s="841"/>
      <c r="S15190" s="841"/>
      <c r="T15190" s="841"/>
      <c r="U15190" s="841"/>
      <c r="V15190" s="1435">
        <v>74</v>
      </c>
      <c r="W15190" s="841"/>
      <c r="X15190" s="841"/>
      <c r="Y15190" s="841"/>
      <c r="Z15190" s="841"/>
      <c r="AA15190" s="841"/>
      <c r="AB15190" s="841"/>
      <c r="AC15190" s="841"/>
      <c r="AD15190" s="841"/>
      <c r="AE15190" s="841"/>
      <c r="AF15190" s="841"/>
    </row>
    <row r="15191" spans="1:32" ht="15" customHeight="1" x14ac:dyDescent="0.25">
      <c r="A15191" s="744" t="s">
        <v>204</v>
      </c>
      <c r="B15191" s="841"/>
      <c r="C15191" s="841"/>
      <c r="D15191" s="841"/>
      <c r="E15191" s="1694" t="s">
        <v>3079</v>
      </c>
      <c r="F15191" s="1690"/>
      <c r="G15191" s="1427"/>
      <c r="H15191" s="394"/>
      <c r="I15191" s="841"/>
      <c r="J15191" s="841"/>
      <c r="K15191" s="744" t="s">
        <v>3080</v>
      </c>
      <c r="L15191" s="841"/>
      <c r="M15191" s="1436"/>
      <c r="N15191" s="841"/>
      <c r="O15191" s="841"/>
      <c r="P15191" s="841"/>
      <c r="Q15191" s="841"/>
      <c r="R15191" s="841"/>
      <c r="S15191" s="841"/>
      <c r="T15191" s="841"/>
      <c r="U15191" s="841"/>
      <c r="V15191" s="1435">
        <v>48</v>
      </c>
      <c r="W15191" s="841"/>
      <c r="X15191" s="841"/>
      <c r="Y15191" s="841"/>
      <c r="Z15191" s="841"/>
      <c r="AA15191" s="841"/>
      <c r="AB15191" s="841"/>
      <c r="AC15191" s="841"/>
      <c r="AD15191" s="841"/>
      <c r="AE15191" s="841"/>
      <c r="AF15191" s="841"/>
    </row>
    <row r="15192" spans="1:32" ht="15" customHeight="1" x14ac:dyDescent="0.25">
      <c r="A15192" s="744" t="s">
        <v>204</v>
      </c>
      <c r="B15192" s="841"/>
      <c r="C15192" s="841"/>
      <c r="D15192" s="841"/>
      <c r="E15192" s="1690" t="s">
        <v>6718</v>
      </c>
      <c r="F15192" s="1690"/>
      <c r="G15192" s="1427" t="s">
        <v>24</v>
      </c>
      <c r="H15192" s="393">
        <v>3.2000000000000002E-3</v>
      </c>
      <c r="I15192" s="841"/>
      <c r="J15192" s="841"/>
      <c r="K15192" s="744" t="s">
        <v>3197</v>
      </c>
      <c r="L15192" s="744" t="s">
        <v>3046</v>
      </c>
      <c r="M15192" s="1436"/>
      <c r="N15192" s="841"/>
      <c r="O15192" s="841"/>
      <c r="P15192" s="744" t="s">
        <v>3210</v>
      </c>
      <c r="Q15192" s="841"/>
      <c r="R15192" s="841"/>
      <c r="S15192" s="841"/>
      <c r="T15192" s="841"/>
      <c r="U15192" s="841"/>
      <c r="V15192" s="1435">
        <v>55</v>
      </c>
      <c r="W15192" s="841"/>
      <c r="X15192" s="841"/>
      <c r="Y15192" s="841"/>
      <c r="Z15192" s="841"/>
      <c r="AA15192" s="841"/>
      <c r="AB15192" s="841"/>
      <c r="AC15192" s="841"/>
      <c r="AD15192" s="841"/>
      <c r="AE15192" s="841"/>
      <c r="AF15192" s="841"/>
    </row>
    <row r="15193" spans="1:32" ht="15" customHeight="1" x14ac:dyDescent="0.25">
      <c r="A15193" s="744" t="s">
        <v>204</v>
      </c>
      <c r="B15193" s="841"/>
      <c r="C15193" s="841"/>
      <c r="D15193" s="841"/>
      <c r="E15193" s="1690" t="s">
        <v>3211</v>
      </c>
      <c r="F15193" s="1690"/>
      <c r="G15193" s="1427" t="s">
        <v>24</v>
      </c>
      <c r="H15193" s="393">
        <v>4.0000000000000002E-4</v>
      </c>
      <c r="I15193" s="841"/>
      <c r="J15193" s="841"/>
      <c r="K15193" s="744" t="s">
        <v>3197</v>
      </c>
      <c r="L15193" s="744" t="s">
        <v>3046</v>
      </c>
      <c r="M15193" s="1436"/>
      <c r="N15193" s="841"/>
      <c r="O15193" s="841"/>
      <c r="P15193" s="744" t="s">
        <v>3210</v>
      </c>
      <c r="Q15193" s="841"/>
      <c r="R15193" s="841"/>
      <c r="S15193" s="841"/>
      <c r="T15193" s="841"/>
      <c r="U15193" s="841"/>
      <c r="V15193" s="1435">
        <v>64</v>
      </c>
      <c r="W15193" s="841"/>
      <c r="X15193" s="841"/>
      <c r="Y15193" s="841"/>
      <c r="Z15193" s="841"/>
      <c r="AA15193" s="841"/>
      <c r="AB15193" s="841"/>
      <c r="AC15193" s="841"/>
      <c r="AD15193" s="841"/>
      <c r="AE15193" s="841"/>
      <c r="AF15193" s="841"/>
    </row>
    <row r="15194" spans="1:32" ht="15" customHeight="1" x14ac:dyDescent="0.25">
      <c r="A15194" s="744" t="s">
        <v>204</v>
      </c>
      <c r="B15194" s="841"/>
      <c r="C15194" s="841"/>
      <c r="D15194" s="841"/>
      <c r="E15194" s="1690" t="s">
        <v>439</v>
      </c>
      <c r="F15194" s="1690"/>
      <c r="G15194" s="1427" t="s">
        <v>24</v>
      </c>
      <c r="H15194" s="393">
        <v>2.0999999999999999E-3</v>
      </c>
      <c r="I15194" s="841"/>
      <c r="J15194" s="841"/>
      <c r="K15194" s="744" t="s">
        <v>3197</v>
      </c>
      <c r="L15194" s="744" t="s">
        <v>3046</v>
      </c>
      <c r="M15194" s="1436"/>
      <c r="N15194" s="841"/>
      <c r="O15194" s="841"/>
      <c r="P15194" s="744" t="s">
        <v>3212</v>
      </c>
      <c r="Q15194" s="841"/>
      <c r="R15194" s="841"/>
      <c r="S15194" s="841"/>
      <c r="T15194" s="841"/>
      <c r="U15194" s="841"/>
      <c r="V15194" s="1435">
        <v>57</v>
      </c>
      <c r="W15194" s="841"/>
      <c r="X15194" s="841"/>
      <c r="Y15194" s="841"/>
      <c r="Z15194" s="841"/>
      <c r="AA15194" s="841"/>
      <c r="AB15194" s="841"/>
      <c r="AC15194" s="841"/>
      <c r="AD15194" s="841"/>
      <c r="AE15194" s="841"/>
      <c r="AF15194" s="841"/>
    </row>
    <row r="15195" spans="1:32" ht="15" customHeight="1" x14ac:dyDescent="0.25">
      <c r="A15195" s="744" t="s">
        <v>204</v>
      </c>
      <c r="B15195" s="841"/>
      <c r="C15195" s="841"/>
      <c r="D15195" s="841"/>
      <c r="E15195" s="1690" t="s">
        <v>32</v>
      </c>
      <c r="F15195" s="1690"/>
      <c r="G15195" s="1427" t="s">
        <v>23</v>
      </c>
      <c r="H15195" s="391">
        <v>0.25</v>
      </c>
      <c r="I15195" s="841"/>
      <c r="J15195" s="841"/>
      <c r="K15195" s="744" t="s">
        <v>3197</v>
      </c>
      <c r="L15195" s="744" t="s">
        <v>3046</v>
      </c>
      <c r="M15195" s="1436"/>
      <c r="N15195" s="841"/>
      <c r="O15195" s="841"/>
      <c r="P15195" s="744" t="s">
        <v>3213</v>
      </c>
      <c r="Q15195" s="841"/>
      <c r="R15195" s="841"/>
      <c r="S15195" s="841"/>
      <c r="T15195" s="841"/>
      <c r="U15195" s="841"/>
      <c r="V15195" s="1435">
        <v>63</v>
      </c>
      <c r="W15195" s="841"/>
      <c r="X15195" s="841"/>
      <c r="Y15195" s="841"/>
      <c r="Z15195" s="841"/>
      <c r="AA15195" s="841"/>
      <c r="AB15195" s="841"/>
      <c r="AC15195" s="841"/>
      <c r="AD15195" s="841"/>
      <c r="AE15195" s="841"/>
      <c r="AF15195" s="841"/>
    </row>
    <row r="15196" spans="1:32" ht="18" customHeight="1" x14ac:dyDescent="0.25">
      <c r="A15196" s="744" t="s">
        <v>204</v>
      </c>
      <c r="B15196" s="841"/>
      <c r="C15196" s="841"/>
      <c r="D15196" s="841"/>
      <c r="E15196" s="1909" t="s">
        <v>3214</v>
      </c>
      <c r="F15196" s="1915"/>
      <c r="G15196" s="1915"/>
      <c r="H15196" s="1915"/>
      <c r="I15196" s="841"/>
      <c r="J15196" s="841"/>
      <c r="K15196" s="744" t="s">
        <v>6675</v>
      </c>
      <c r="L15196" s="841"/>
      <c r="M15196" s="1436"/>
      <c r="N15196" s="841"/>
      <c r="O15196" s="841"/>
      <c r="P15196" s="841"/>
      <c r="Q15196" s="841"/>
      <c r="R15196" s="841"/>
      <c r="S15196" s="841"/>
      <c r="T15196" s="841"/>
      <c r="U15196" s="841"/>
      <c r="V15196" s="1435">
        <v>54</v>
      </c>
      <c r="W15196" s="841"/>
      <c r="X15196" s="841"/>
      <c r="Y15196" s="841"/>
      <c r="Z15196" s="841"/>
      <c r="AA15196" s="841"/>
      <c r="AB15196" s="841"/>
      <c r="AC15196" s="744" t="e">
        <v>#VALUE!</v>
      </c>
      <c r="AD15196" s="744" t="s">
        <v>3214</v>
      </c>
      <c r="AE15196" s="744" t="s">
        <v>6675</v>
      </c>
      <c r="AF15196" s="744" t="s">
        <v>204</v>
      </c>
    </row>
    <row r="15197" spans="1:32" ht="15" customHeight="1" x14ac:dyDescent="0.25">
      <c r="A15197" s="744" t="s">
        <v>204</v>
      </c>
      <c r="B15197" s="841"/>
      <c r="C15197" s="841"/>
      <c r="D15197" s="841"/>
      <c r="E15197" s="1689" t="s">
        <v>6821</v>
      </c>
      <c r="F15197" s="1689"/>
      <c r="G15197" s="1689"/>
      <c r="H15197" s="1689"/>
      <c r="I15197" s="841"/>
      <c r="J15197" s="841"/>
      <c r="K15197" s="744" t="s">
        <v>6675</v>
      </c>
      <c r="L15197" s="841"/>
      <c r="M15197" s="1436"/>
      <c r="N15197" s="841"/>
      <c r="O15197" s="841"/>
      <c r="P15197" s="841"/>
      <c r="Q15197" s="841"/>
      <c r="R15197" s="841"/>
      <c r="S15197" s="841"/>
      <c r="T15197" s="841"/>
      <c r="U15197" s="841"/>
      <c r="V15197" s="1435">
        <v>480</v>
      </c>
      <c r="W15197" s="841"/>
      <c r="X15197" s="841"/>
      <c r="Y15197" s="841"/>
      <c r="Z15197" s="841"/>
      <c r="AA15197" s="841"/>
      <c r="AB15197" s="841"/>
      <c r="AC15197" s="841"/>
      <c r="AD15197" s="841"/>
      <c r="AE15197" s="841"/>
      <c r="AF15197" s="841"/>
    </row>
    <row r="15198" spans="1:32" ht="15" x14ac:dyDescent="0.25">
      <c r="A15198" s="744" t="s">
        <v>204</v>
      </c>
      <c r="B15198" s="841"/>
      <c r="C15198" s="841"/>
      <c r="D15198" s="841"/>
      <c r="E15198" s="1916" t="s">
        <v>3061</v>
      </c>
      <c r="F15198" s="1697"/>
      <c r="G15198" s="1697"/>
      <c r="H15198" s="1697"/>
      <c r="I15198" s="841"/>
      <c r="J15198" s="841"/>
      <c r="K15198" s="744" t="s">
        <v>3086</v>
      </c>
      <c r="L15198" s="841"/>
      <c r="M15198" s="1436"/>
      <c r="N15198" s="841"/>
      <c r="O15198" s="841"/>
      <c r="P15198" s="841"/>
      <c r="Q15198" s="841"/>
      <c r="R15198" s="841"/>
      <c r="S15198" s="841"/>
      <c r="T15198" s="841"/>
      <c r="U15198" s="841"/>
      <c r="V15198" s="1435">
        <v>11</v>
      </c>
      <c r="W15198" s="841"/>
      <c r="X15198" s="841"/>
      <c r="Y15198" s="841"/>
      <c r="Z15198" s="841"/>
      <c r="AA15198" s="841"/>
      <c r="AB15198" s="841"/>
      <c r="AC15198" s="841"/>
      <c r="AD15198" s="841"/>
      <c r="AE15198" s="841"/>
      <c r="AF15198" s="841"/>
    </row>
    <row r="15199" spans="1:32" ht="15" customHeight="1" x14ac:dyDescent="0.25">
      <c r="A15199" s="744" t="s">
        <v>204</v>
      </c>
      <c r="B15199" s="841"/>
      <c r="C15199" s="841"/>
      <c r="D15199" s="841"/>
      <c r="E15199" s="1689" t="s">
        <v>3063</v>
      </c>
      <c r="F15199" s="1689"/>
      <c r="G15199" s="1689"/>
      <c r="H15199" s="1689"/>
      <c r="I15199" s="841"/>
      <c r="J15199" s="841"/>
      <c r="K15199" s="744" t="s">
        <v>6675</v>
      </c>
      <c r="L15199" s="841"/>
      <c r="M15199" s="1436"/>
      <c r="N15199" s="841"/>
      <c r="O15199" s="841"/>
      <c r="P15199" s="841"/>
      <c r="Q15199" s="841"/>
      <c r="R15199" s="841"/>
      <c r="S15199" s="841"/>
      <c r="T15199" s="841"/>
      <c r="U15199" s="841"/>
      <c r="V15199" s="1435">
        <v>280</v>
      </c>
      <c r="W15199" s="841"/>
      <c r="X15199" s="841"/>
      <c r="Y15199" s="841"/>
      <c r="Z15199" s="841"/>
      <c r="AA15199" s="841"/>
      <c r="AB15199" s="841"/>
      <c r="AC15199" s="841"/>
      <c r="AD15199" s="841"/>
      <c r="AE15199" s="841"/>
      <c r="AF15199" s="841"/>
    </row>
    <row r="15200" spans="1:32" ht="15" customHeight="1" x14ac:dyDescent="0.25">
      <c r="A15200" s="744" t="s">
        <v>204</v>
      </c>
      <c r="B15200" s="841"/>
      <c r="C15200" s="841"/>
      <c r="D15200" s="841"/>
      <c r="E15200" s="1689" t="s">
        <v>3064</v>
      </c>
      <c r="F15200" s="1689"/>
      <c r="G15200" s="1689"/>
      <c r="H15200" s="1689"/>
      <c r="I15200" s="841"/>
      <c r="J15200" s="841"/>
      <c r="K15200" s="744" t="s">
        <v>6675</v>
      </c>
      <c r="L15200" s="841"/>
      <c r="M15200" s="1436"/>
      <c r="N15200" s="841"/>
      <c r="O15200" s="841"/>
      <c r="P15200" s="841"/>
      <c r="Q15200" s="841"/>
      <c r="R15200" s="841"/>
      <c r="S15200" s="841"/>
      <c r="T15200" s="841"/>
      <c r="U15200" s="841"/>
      <c r="V15200" s="1435">
        <v>411</v>
      </c>
      <c r="W15200" s="841"/>
      <c r="X15200" s="841"/>
      <c r="Y15200" s="841"/>
      <c r="Z15200" s="841"/>
      <c r="AA15200" s="841"/>
      <c r="AB15200" s="841"/>
      <c r="AC15200" s="841"/>
      <c r="AD15200" s="841"/>
      <c r="AE15200" s="841"/>
      <c r="AF15200" s="841"/>
    </row>
    <row r="15201" spans="1:32" ht="15" customHeight="1" x14ac:dyDescent="0.25">
      <c r="A15201" s="744" t="s">
        <v>204</v>
      </c>
      <c r="B15201" s="841"/>
      <c r="C15201" s="841"/>
      <c r="D15201" s="841"/>
      <c r="E15201" s="1689" t="s">
        <v>3065</v>
      </c>
      <c r="F15201" s="1689"/>
      <c r="G15201" s="1689"/>
      <c r="H15201" s="1689"/>
      <c r="I15201" s="841"/>
      <c r="J15201" s="841"/>
      <c r="K15201" s="744" t="s">
        <v>6675</v>
      </c>
      <c r="L15201" s="841"/>
      <c r="M15201" s="1436"/>
      <c r="N15201" s="841"/>
      <c r="O15201" s="841"/>
      <c r="P15201" s="841"/>
      <c r="Q15201" s="841"/>
      <c r="R15201" s="841"/>
      <c r="S15201" s="841"/>
      <c r="T15201" s="841"/>
      <c r="U15201" s="841"/>
      <c r="V15201" s="1435">
        <v>387</v>
      </c>
      <c r="W15201" s="841"/>
      <c r="X15201" s="841"/>
      <c r="Y15201" s="841"/>
      <c r="Z15201" s="841"/>
      <c r="AA15201" s="841"/>
      <c r="AB15201" s="841"/>
      <c r="AC15201" s="841"/>
      <c r="AD15201" s="841"/>
      <c r="AE15201" s="841"/>
      <c r="AF15201" s="841"/>
    </row>
    <row r="15202" spans="1:32" ht="15" customHeight="1" x14ac:dyDescent="0.25">
      <c r="A15202" s="744" t="s">
        <v>204</v>
      </c>
      <c r="B15202" s="841"/>
      <c r="C15202" s="841"/>
      <c r="D15202" s="841"/>
      <c r="E15202" s="1689" t="s">
        <v>3200</v>
      </c>
      <c r="F15202" s="1689"/>
      <c r="G15202" s="1689"/>
      <c r="H15202" s="1689"/>
      <c r="I15202" s="841"/>
      <c r="J15202" s="841"/>
      <c r="K15202" s="744" t="s">
        <v>6675</v>
      </c>
      <c r="L15202" s="841"/>
      <c r="M15202" s="1436"/>
      <c r="N15202" s="841"/>
      <c r="O15202" s="841"/>
      <c r="P15202" s="841"/>
      <c r="Q15202" s="841"/>
      <c r="R15202" s="841"/>
      <c r="S15202" s="841"/>
      <c r="T15202" s="841"/>
      <c r="U15202" s="841"/>
      <c r="V15202" s="1435">
        <v>275</v>
      </c>
      <c r="W15202" s="841"/>
      <c r="X15202" s="841"/>
      <c r="Y15202" s="841"/>
      <c r="Z15202" s="841"/>
      <c r="AA15202" s="841"/>
      <c r="AB15202" s="841"/>
      <c r="AC15202" s="841"/>
      <c r="AD15202" s="841"/>
      <c r="AE15202" s="841"/>
      <c r="AF15202" s="841"/>
    </row>
    <row r="15203" spans="1:32" ht="15" customHeight="1" x14ac:dyDescent="0.25">
      <c r="A15203" s="744" t="s">
        <v>204</v>
      </c>
      <c r="B15203" s="841"/>
      <c r="C15203" s="841"/>
      <c r="D15203" s="841"/>
      <c r="E15203" s="1694" t="s">
        <v>3067</v>
      </c>
      <c r="F15203" s="1907"/>
      <c r="G15203" s="1907"/>
      <c r="H15203" s="1907"/>
      <c r="I15203" s="841"/>
      <c r="J15203" s="841"/>
      <c r="K15203" s="744" t="s">
        <v>3087</v>
      </c>
      <c r="L15203" s="841"/>
      <c r="M15203" s="1436"/>
      <c r="N15203" s="841"/>
      <c r="O15203" s="841"/>
      <c r="P15203" s="841"/>
      <c r="Q15203" s="841"/>
      <c r="R15203" s="841"/>
      <c r="S15203" s="841"/>
      <c r="T15203" s="841"/>
      <c r="U15203" s="841"/>
      <c r="V15203" s="1435">
        <v>46</v>
      </c>
      <c r="W15203" s="841"/>
      <c r="X15203" s="841"/>
      <c r="Y15203" s="841"/>
      <c r="Z15203" s="841"/>
      <c r="AA15203" s="841"/>
      <c r="AB15203" s="841"/>
      <c r="AC15203" s="841"/>
      <c r="AD15203" s="841"/>
      <c r="AE15203" s="841"/>
      <c r="AF15203" s="841"/>
    </row>
    <row r="15204" spans="1:32" ht="15" x14ac:dyDescent="0.25">
      <c r="A15204" s="744" t="s">
        <v>204</v>
      </c>
      <c r="B15204" s="841"/>
      <c r="C15204" s="841"/>
      <c r="D15204" s="841"/>
      <c r="E15204" s="1690" t="s">
        <v>11</v>
      </c>
      <c r="F15204" s="1690"/>
      <c r="G15204" s="1427" t="s">
        <v>23</v>
      </c>
      <c r="H15204" s="391">
        <v>22.47392</v>
      </c>
      <c r="I15204" s="841"/>
      <c r="J15204" s="841"/>
      <c r="K15204" s="744" t="s">
        <v>6675</v>
      </c>
      <c r="L15204" s="744" t="s">
        <v>442</v>
      </c>
      <c r="M15204" s="1436"/>
      <c r="N15204" s="841"/>
      <c r="O15204" s="841"/>
      <c r="P15204" s="744" t="s">
        <v>6677</v>
      </c>
      <c r="Q15204" s="841"/>
      <c r="R15204" s="841"/>
      <c r="S15204" s="841"/>
      <c r="T15204" s="841"/>
      <c r="U15204" s="841"/>
      <c r="V15204" s="1435">
        <v>14</v>
      </c>
      <c r="W15204" s="841"/>
      <c r="X15204" s="841"/>
      <c r="Y15204" s="841"/>
      <c r="Z15204" s="841"/>
      <c r="AA15204" s="841"/>
      <c r="AB15204" s="841"/>
      <c r="AC15204" s="841"/>
      <c r="AD15204" s="841"/>
      <c r="AE15204" s="841"/>
      <c r="AF15204" s="841"/>
    </row>
    <row r="15205" spans="1:32" ht="15" customHeight="1" x14ac:dyDescent="0.25">
      <c r="A15205" s="744" t="s">
        <v>204</v>
      </c>
      <c r="B15205" s="841"/>
      <c r="C15205" s="841"/>
      <c r="D15205" s="841"/>
      <c r="E15205" s="1690" t="s">
        <v>423</v>
      </c>
      <c r="F15205" s="1690"/>
      <c r="G15205" s="1427" t="s">
        <v>23</v>
      </c>
      <c r="H15205" s="391">
        <v>0.56999999999999995</v>
      </c>
      <c r="I15205" s="841"/>
      <c r="J15205" s="841"/>
      <c r="K15205" s="744" t="s">
        <v>6675</v>
      </c>
      <c r="L15205" s="744" t="s">
        <v>443</v>
      </c>
      <c r="M15205" s="1436"/>
      <c r="N15205" s="841"/>
      <c r="O15205" s="841"/>
      <c r="P15205" s="744" t="s">
        <v>6678</v>
      </c>
      <c r="Q15205" s="841"/>
      <c r="R15205" s="841"/>
      <c r="S15205" s="841"/>
      <c r="T15205" s="1428">
        <v>43404</v>
      </c>
      <c r="U15205" s="841"/>
      <c r="V15205" s="1435">
        <v>78</v>
      </c>
      <c r="W15205" s="841"/>
      <c r="X15205" s="841"/>
      <c r="Y15205" s="841"/>
      <c r="Z15205" s="841"/>
      <c r="AA15205" s="841"/>
      <c r="AB15205" s="841"/>
      <c r="AC15205" s="841"/>
      <c r="AD15205" s="841"/>
      <c r="AE15205" s="841"/>
      <c r="AF15205" s="841"/>
    </row>
    <row r="15206" spans="1:32" ht="15" x14ac:dyDescent="0.25">
      <c r="A15206" s="744" t="s">
        <v>204</v>
      </c>
      <c r="B15206" s="841"/>
      <c r="C15206" s="841"/>
      <c r="D15206" s="841"/>
      <c r="E15206" s="1690" t="s">
        <v>84</v>
      </c>
      <c r="F15206" s="1690"/>
      <c r="G15206" s="1427" t="s">
        <v>24</v>
      </c>
      <c r="H15206" s="393">
        <v>9.7535999999999994E-3</v>
      </c>
      <c r="I15206" s="841"/>
      <c r="J15206" s="841"/>
      <c r="K15206" s="744" t="s">
        <v>6675</v>
      </c>
      <c r="L15206" s="744" t="s">
        <v>442</v>
      </c>
      <c r="M15206" s="1436"/>
      <c r="N15206" s="841"/>
      <c r="O15206" s="841"/>
      <c r="P15206" s="744" t="s">
        <v>6679</v>
      </c>
      <c r="Q15206" s="841"/>
      <c r="R15206" s="841"/>
      <c r="S15206" s="841"/>
      <c r="T15206" s="841"/>
      <c r="U15206" s="841"/>
      <c r="V15206" s="1435">
        <v>28</v>
      </c>
      <c r="W15206" s="841"/>
      <c r="X15206" s="841"/>
      <c r="Y15206" s="841"/>
      <c r="Z15206" s="841"/>
      <c r="AA15206" s="841"/>
      <c r="AB15206" s="841"/>
      <c r="AC15206" s="841"/>
    </row>
    <row r="15207" spans="1:32" ht="15" x14ac:dyDescent="0.25">
      <c r="A15207" s="744" t="s">
        <v>204</v>
      </c>
      <c r="B15207" s="841"/>
      <c r="C15207" s="841"/>
      <c r="D15207" s="841"/>
      <c r="E15207" s="1690" t="s">
        <v>18</v>
      </c>
      <c r="F15207" s="1690"/>
      <c r="G15207" s="1427" t="s">
        <v>24</v>
      </c>
      <c r="H15207" s="393">
        <v>5.1999999999999998E-3</v>
      </c>
      <c r="I15207" s="744" t="s">
        <v>2461</v>
      </c>
      <c r="J15207" s="841"/>
      <c r="K15207" s="744" t="s">
        <v>6675</v>
      </c>
      <c r="L15207" s="744" t="s">
        <v>443</v>
      </c>
      <c r="M15207" s="1436"/>
      <c r="N15207" s="841"/>
      <c r="O15207" s="841"/>
      <c r="P15207" s="744" t="s">
        <v>6680</v>
      </c>
      <c r="Q15207" s="841"/>
      <c r="R15207" s="841"/>
      <c r="S15207" s="841"/>
      <c r="T15207" s="841"/>
      <c r="U15207" s="841"/>
      <c r="V15207" s="1435">
        <v>24</v>
      </c>
      <c r="W15207" s="841"/>
      <c r="X15207" s="841"/>
      <c r="Y15207" s="841"/>
      <c r="Z15207" s="841"/>
      <c r="AA15207" s="841"/>
      <c r="AB15207" s="841"/>
      <c r="AC15207" s="841"/>
    </row>
    <row r="15208" spans="1:32" ht="15" x14ac:dyDescent="0.25">
      <c r="A15208" s="744" t="s">
        <v>204</v>
      </c>
      <c r="B15208" s="841"/>
      <c r="C15208" s="841"/>
      <c r="D15208" s="841"/>
      <c r="E15208" s="1690" t="s">
        <v>221</v>
      </c>
      <c r="F15208" s="1690"/>
      <c r="G15208" s="1427" t="s">
        <v>24</v>
      </c>
      <c r="H15208" s="393">
        <v>5.5999999999999999E-3</v>
      </c>
      <c r="I15208" s="841"/>
      <c r="J15208" s="841"/>
      <c r="K15208" s="744" t="s">
        <v>6675</v>
      </c>
      <c r="L15208" s="744" t="s">
        <v>444</v>
      </c>
      <c r="M15208" s="1436"/>
      <c r="N15208" s="841"/>
      <c r="O15208" s="841"/>
      <c r="P15208" s="744" t="s">
        <v>6681</v>
      </c>
      <c r="Q15208" s="841"/>
      <c r="R15208" s="841"/>
      <c r="S15208" s="841"/>
      <c r="T15208" s="841"/>
      <c r="U15208" s="841"/>
      <c r="V15208" s="1435">
        <v>47</v>
      </c>
      <c r="W15208" s="841"/>
      <c r="X15208" s="841"/>
      <c r="Y15208" s="841"/>
      <c r="Z15208" s="841"/>
      <c r="AA15208" s="841"/>
      <c r="AB15208" s="841"/>
      <c r="AC15208" s="841"/>
    </row>
    <row r="15209" spans="1:32" ht="15" customHeight="1" x14ac:dyDescent="0.25">
      <c r="A15209" s="744" t="s">
        <v>204</v>
      </c>
      <c r="B15209" s="841"/>
      <c r="C15209" s="841"/>
      <c r="D15209" s="841"/>
      <c r="E15209" s="1690" t="s">
        <v>217</v>
      </c>
      <c r="F15209" s="1690"/>
      <c r="G15209" s="1427" t="s">
        <v>24</v>
      </c>
      <c r="H15209" s="393">
        <v>4.5999999999999999E-3</v>
      </c>
      <c r="I15209" s="841"/>
      <c r="J15209" s="841"/>
      <c r="K15209" s="744" t="s">
        <v>6675</v>
      </c>
      <c r="L15209" s="744" t="s">
        <v>444</v>
      </c>
      <c r="M15209" s="1436"/>
      <c r="N15209" s="841"/>
      <c r="O15209" s="841"/>
      <c r="P15209" s="744" t="s">
        <v>6682</v>
      </c>
      <c r="Q15209" s="841"/>
      <c r="R15209" s="841"/>
      <c r="S15209" s="841"/>
      <c r="T15209" s="841"/>
      <c r="U15209" s="841"/>
      <c r="V15209" s="1435">
        <v>74</v>
      </c>
      <c r="W15209" s="841"/>
      <c r="X15209" s="841"/>
      <c r="Y15209" s="841"/>
      <c r="Z15209" s="841"/>
      <c r="AA15209" s="841"/>
      <c r="AB15209" s="841"/>
      <c r="AC15209" s="841"/>
    </row>
    <row r="15210" spans="1:32" ht="15" customHeight="1" x14ac:dyDescent="0.25">
      <c r="A15210" s="744" t="s">
        <v>204</v>
      </c>
      <c r="B15210" s="841"/>
      <c r="C15210" s="841"/>
      <c r="D15210" s="841"/>
      <c r="E15210" s="1694" t="s">
        <v>3079</v>
      </c>
      <c r="F15210" s="1690"/>
      <c r="G15210" s="1427"/>
      <c r="H15210" s="394"/>
      <c r="I15210" s="841"/>
      <c r="J15210" s="841"/>
      <c r="K15210" s="744" t="s">
        <v>3093</v>
      </c>
      <c r="L15210" s="841"/>
      <c r="M15210" s="1436"/>
      <c r="N15210" s="841"/>
      <c r="O15210" s="841"/>
      <c r="P15210" s="841"/>
      <c r="Q15210" s="841"/>
      <c r="R15210" s="841"/>
      <c r="S15210" s="841"/>
      <c r="T15210" s="841"/>
      <c r="U15210" s="841"/>
      <c r="V15210" s="1435">
        <v>48</v>
      </c>
      <c r="W15210" s="841"/>
      <c r="X15210" s="841"/>
      <c r="Y15210" s="841"/>
      <c r="Z15210" s="841"/>
      <c r="AA15210" s="841"/>
      <c r="AB15210" s="841"/>
      <c r="AC15210" s="841"/>
    </row>
    <row r="15211" spans="1:32" ht="15" customHeight="1" x14ac:dyDescent="0.25">
      <c r="A15211" s="744" t="s">
        <v>204</v>
      </c>
      <c r="B15211" s="841"/>
      <c r="C15211" s="841"/>
      <c r="D15211" s="841"/>
      <c r="E15211" s="1690" t="s">
        <v>6718</v>
      </c>
      <c r="F15211" s="1690"/>
      <c r="G15211" s="1427" t="s">
        <v>24</v>
      </c>
      <c r="H15211" s="393">
        <v>3.2000000000000002E-3</v>
      </c>
      <c r="I15211" s="841"/>
      <c r="J15211" s="841"/>
      <c r="K15211" s="744" t="s">
        <v>6675</v>
      </c>
      <c r="L15211" s="744" t="s">
        <v>3046</v>
      </c>
      <c r="M15211" s="1436"/>
      <c r="N15211" s="841"/>
      <c r="O15211" s="841"/>
      <c r="P15211" s="744" t="s">
        <v>6683</v>
      </c>
      <c r="Q15211" s="841"/>
      <c r="R15211" s="841"/>
      <c r="S15211" s="841"/>
      <c r="T15211" s="841"/>
      <c r="U15211" s="841"/>
      <c r="V15211" s="1435">
        <v>55</v>
      </c>
      <c r="W15211" s="841"/>
      <c r="X15211" s="841"/>
      <c r="Y15211" s="841"/>
      <c r="Z15211" s="841"/>
      <c r="AA15211" s="841"/>
      <c r="AB15211" s="841"/>
      <c r="AC15211" s="841"/>
    </row>
    <row r="15212" spans="1:32" ht="15" customHeight="1" x14ac:dyDescent="0.25">
      <c r="A15212" s="744" t="s">
        <v>204</v>
      </c>
      <c r="B15212" s="841"/>
      <c r="C15212" s="841"/>
      <c r="D15212" s="841"/>
      <c r="E15212" s="1690" t="s">
        <v>3211</v>
      </c>
      <c r="F15212" s="1690"/>
      <c r="G15212" s="1427" t="s">
        <v>24</v>
      </c>
      <c r="H15212" s="393">
        <v>4.0000000000000002E-4</v>
      </c>
      <c r="I15212" s="841"/>
      <c r="J15212" s="841"/>
      <c r="K15212" s="744" t="s">
        <v>6675</v>
      </c>
      <c r="L15212" s="744" t="s">
        <v>3046</v>
      </c>
      <c r="M15212" s="1436"/>
      <c r="N15212" s="841"/>
      <c r="O15212" s="841"/>
      <c r="P15212" s="744" t="s">
        <v>6683</v>
      </c>
      <c r="Q15212" s="841"/>
      <c r="R15212" s="841"/>
      <c r="S15212" s="841"/>
      <c r="T15212" s="841"/>
      <c r="U15212" s="841"/>
      <c r="V15212" s="1435">
        <v>64</v>
      </c>
      <c r="W15212" s="841"/>
      <c r="X15212" s="841"/>
      <c r="Y15212" s="841"/>
      <c r="Z15212" s="841"/>
      <c r="AA15212" s="841"/>
      <c r="AB15212" s="841"/>
      <c r="AC15212" s="841"/>
    </row>
    <row r="15213" spans="1:32" ht="15" customHeight="1" x14ac:dyDescent="0.25">
      <c r="A15213" s="744" t="s">
        <v>204</v>
      </c>
      <c r="B15213" s="841"/>
      <c r="C15213" s="841"/>
      <c r="D15213" s="841"/>
      <c r="E15213" s="1690" t="s">
        <v>439</v>
      </c>
      <c r="F15213" s="1690"/>
      <c r="G15213" s="1427" t="s">
        <v>24</v>
      </c>
      <c r="H15213" s="393">
        <v>2.0999999999999999E-3</v>
      </c>
      <c r="I15213" s="841"/>
      <c r="J15213" s="841"/>
      <c r="K15213" s="744" t="s">
        <v>6675</v>
      </c>
      <c r="L15213" s="744" t="s">
        <v>3046</v>
      </c>
      <c r="M15213" s="1436"/>
      <c r="N15213" s="841"/>
      <c r="O15213" s="841"/>
      <c r="P15213" s="744" t="s">
        <v>6684</v>
      </c>
      <c r="Q15213" s="841"/>
      <c r="R15213" s="841"/>
      <c r="S15213" s="841"/>
      <c r="T15213" s="841"/>
      <c r="U15213" s="841"/>
      <c r="V15213" s="1435">
        <v>57</v>
      </c>
      <c r="W15213" s="841"/>
      <c r="X15213" s="841"/>
      <c r="Y15213" s="841"/>
      <c r="Z15213" s="841"/>
      <c r="AA15213" s="841"/>
      <c r="AB15213" s="841"/>
      <c r="AC15213" s="841"/>
    </row>
    <row r="15214" spans="1:32" ht="15" customHeight="1" x14ac:dyDescent="0.25">
      <c r="A15214" s="744" t="s">
        <v>204</v>
      </c>
      <c r="B15214" s="841"/>
      <c r="C15214" s="841"/>
      <c r="D15214" s="841"/>
      <c r="E15214" s="1690" t="s">
        <v>32</v>
      </c>
      <c r="F15214" s="1690"/>
      <c r="G15214" s="1427" t="s">
        <v>23</v>
      </c>
      <c r="H15214" s="391">
        <v>0.25</v>
      </c>
      <c r="I15214" s="841"/>
      <c r="J15214" s="841"/>
      <c r="K15214" s="744" t="s">
        <v>6675</v>
      </c>
      <c r="L15214" s="744" t="s">
        <v>3046</v>
      </c>
      <c r="M15214" s="1436"/>
      <c r="N15214" s="841"/>
      <c r="O15214" s="841"/>
      <c r="P15214" s="744" t="s">
        <v>6685</v>
      </c>
      <c r="Q15214" s="841"/>
      <c r="R15214" s="841"/>
      <c r="S15214" s="841"/>
      <c r="T15214" s="841"/>
      <c r="U15214" s="841"/>
      <c r="V15214" s="1435">
        <v>63</v>
      </c>
      <c r="W15214" s="841"/>
      <c r="X15214" s="841"/>
      <c r="Y15214" s="841"/>
      <c r="Z15214" s="841"/>
      <c r="AA15214" s="841"/>
      <c r="AB15214" s="841"/>
      <c r="AC15214" s="841"/>
    </row>
    <row r="15215" spans="1:32" ht="18" customHeight="1" x14ac:dyDescent="0.25">
      <c r="A15215" s="744" t="s">
        <v>204</v>
      </c>
      <c r="B15215" s="841"/>
      <c r="C15215" s="841"/>
      <c r="D15215" s="841"/>
      <c r="E15215" s="1909" t="s">
        <v>616</v>
      </c>
      <c r="F15215" s="1915"/>
      <c r="G15215" s="1915"/>
      <c r="H15215" s="1915"/>
      <c r="I15215" s="841"/>
      <c r="J15215" s="841"/>
      <c r="K15215" s="744" t="s">
        <v>6686</v>
      </c>
      <c r="L15215" s="841"/>
      <c r="M15215" s="1436"/>
      <c r="N15215" s="841"/>
      <c r="O15215" s="841"/>
      <c r="P15215" s="841"/>
      <c r="Q15215" s="841"/>
      <c r="R15215" s="841"/>
      <c r="S15215" s="841"/>
      <c r="T15215" s="841"/>
      <c r="U15215" s="841"/>
      <c r="V15215" s="1435">
        <v>53</v>
      </c>
      <c r="W15215" s="841"/>
      <c r="X15215" s="841"/>
      <c r="Y15215" s="841"/>
      <c r="Z15215" s="841"/>
      <c r="AA15215" s="841"/>
      <c r="AB15215" s="841"/>
      <c r="AC15215" s="744">
        <v>3</v>
      </c>
    </row>
    <row r="15216" spans="1:32" ht="15" customHeight="1" x14ac:dyDescent="0.25">
      <c r="A15216" s="744" t="s">
        <v>204</v>
      </c>
      <c r="B15216" s="841"/>
      <c r="C15216" s="841"/>
      <c r="D15216" s="841"/>
      <c r="E15216" s="1689" t="s">
        <v>3547</v>
      </c>
      <c r="F15216" s="1689"/>
      <c r="G15216" s="1689"/>
      <c r="H15216" s="1689"/>
      <c r="I15216" s="841"/>
      <c r="J15216" s="841"/>
      <c r="K15216" s="744" t="s">
        <v>6686</v>
      </c>
      <c r="L15216" s="841"/>
      <c r="M15216" s="1436"/>
      <c r="N15216" s="841"/>
      <c r="O15216" s="841"/>
      <c r="P15216" s="841"/>
      <c r="Q15216" s="841"/>
      <c r="R15216" s="841"/>
      <c r="S15216" s="841"/>
      <c r="T15216" s="841"/>
      <c r="U15216" s="841"/>
      <c r="V15216" s="1435">
        <v>356</v>
      </c>
      <c r="W15216" s="841"/>
      <c r="X15216" s="841"/>
      <c r="Y15216" s="841"/>
      <c r="Z15216" s="841"/>
      <c r="AA15216" s="841"/>
      <c r="AB15216" s="841"/>
      <c r="AC15216" s="841"/>
    </row>
    <row r="15217" spans="1:29" ht="15" x14ac:dyDescent="0.25">
      <c r="A15217" s="744" t="s">
        <v>204</v>
      </c>
      <c r="B15217" s="841"/>
      <c r="C15217" s="841"/>
      <c r="D15217" s="841"/>
      <c r="E15217" s="1916" t="s">
        <v>3061</v>
      </c>
      <c r="F15217" s="1697"/>
      <c r="G15217" s="1697"/>
      <c r="H15217" s="1697"/>
      <c r="I15217" s="841"/>
      <c r="J15217" s="841"/>
      <c r="K15217" s="744" t="s">
        <v>3098</v>
      </c>
      <c r="L15217" s="841"/>
      <c r="M15217" s="1436"/>
      <c r="N15217" s="841"/>
      <c r="O15217" s="841"/>
      <c r="P15217" s="841"/>
      <c r="Q15217" s="841"/>
      <c r="R15217" s="841"/>
      <c r="S15217" s="841"/>
      <c r="T15217" s="841"/>
      <c r="U15217" s="841"/>
      <c r="V15217" s="1435">
        <v>11</v>
      </c>
      <c r="W15217" s="841"/>
      <c r="X15217" s="841"/>
      <c r="Y15217" s="841"/>
      <c r="Z15217" s="841"/>
      <c r="AA15217" s="841"/>
      <c r="AB15217" s="841"/>
      <c r="AC15217" s="841"/>
    </row>
    <row r="15218" spans="1:29" ht="15" customHeight="1" x14ac:dyDescent="0.25">
      <c r="A15218" s="744" t="s">
        <v>204</v>
      </c>
      <c r="B15218" s="841"/>
      <c r="C15218" s="841"/>
      <c r="D15218" s="841"/>
      <c r="E15218" s="1689" t="s">
        <v>3063</v>
      </c>
      <c r="F15218" s="1689"/>
      <c r="G15218" s="1689"/>
      <c r="H15218" s="1689"/>
      <c r="I15218" s="841"/>
      <c r="J15218" s="841"/>
      <c r="K15218" s="744" t="s">
        <v>6686</v>
      </c>
      <c r="L15218" s="841"/>
      <c r="M15218" s="1436"/>
      <c r="N15218" s="841"/>
      <c r="O15218" s="841"/>
      <c r="P15218" s="841"/>
      <c r="Q15218" s="841"/>
      <c r="R15218" s="841"/>
      <c r="S15218" s="841"/>
      <c r="T15218" s="841"/>
      <c r="U15218" s="841"/>
      <c r="V15218" s="1435">
        <v>280</v>
      </c>
      <c r="W15218" s="841"/>
      <c r="X15218" s="841"/>
      <c r="Y15218" s="841"/>
      <c r="Z15218" s="841"/>
      <c r="AA15218" s="841"/>
      <c r="AB15218" s="841"/>
      <c r="AC15218" s="841"/>
    </row>
    <row r="15219" spans="1:29" ht="15" customHeight="1" x14ac:dyDescent="0.25">
      <c r="A15219" s="744" t="s">
        <v>204</v>
      </c>
      <c r="B15219" s="841"/>
      <c r="C15219" s="841"/>
      <c r="D15219" s="841"/>
      <c r="E15219" s="1689" t="s">
        <v>3064</v>
      </c>
      <c r="F15219" s="1689"/>
      <c r="G15219" s="1689"/>
      <c r="H15219" s="1689"/>
      <c r="I15219" s="841"/>
      <c r="J15219" s="841"/>
      <c r="K15219" s="744" t="s">
        <v>6686</v>
      </c>
      <c r="L15219" s="841"/>
      <c r="M15219" s="1436"/>
      <c r="N15219" s="841"/>
      <c r="O15219" s="841"/>
      <c r="P15219" s="841"/>
      <c r="Q15219" s="841"/>
      <c r="R15219" s="841"/>
      <c r="S15219" s="841"/>
      <c r="T15219" s="841"/>
      <c r="U15219" s="841"/>
      <c r="V15219" s="1435">
        <v>411</v>
      </c>
      <c r="W15219" s="841"/>
      <c r="X15219" s="841"/>
      <c r="Y15219" s="841"/>
      <c r="Z15219" s="841"/>
      <c r="AA15219" s="841"/>
      <c r="AB15219" s="841"/>
      <c r="AC15219" s="841"/>
    </row>
    <row r="15220" spans="1:29" ht="15" customHeight="1" x14ac:dyDescent="0.25">
      <c r="A15220" s="744" t="s">
        <v>204</v>
      </c>
      <c r="B15220" s="841"/>
      <c r="C15220" s="841"/>
      <c r="D15220" s="841"/>
      <c r="E15220" s="1689" t="s">
        <v>3065</v>
      </c>
      <c r="F15220" s="1689"/>
      <c r="G15220" s="1689"/>
      <c r="H15220" s="1689"/>
      <c r="I15220" s="841"/>
      <c r="J15220" s="841"/>
      <c r="K15220" s="744" t="s">
        <v>6686</v>
      </c>
      <c r="L15220" s="841"/>
      <c r="M15220" s="1436"/>
      <c r="N15220" s="841"/>
      <c r="O15220" s="841"/>
      <c r="P15220" s="841"/>
      <c r="Q15220" s="841"/>
      <c r="R15220" s="841"/>
      <c r="S15220" s="841"/>
      <c r="T15220" s="841"/>
      <c r="U15220" s="841"/>
      <c r="V15220" s="1435">
        <v>387</v>
      </c>
      <c r="W15220" s="841"/>
      <c r="X15220" s="841"/>
      <c r="Y15220" s="841"/>
      <c r="Z15220" s="841"/>
      <c r="AA15220" s="841"/>
      <c r="AB15220" s="841"/>
      <c r="AC15220" s="841"/>
    </row>
    <row r="15221" spans="1:29" ht="15" customHeight="1" x14ac:dyDescent="0.25">
      <c r="A15221" s="744" t="s">
        <v>204</v>
      </c>
      <c r="B15221" s="841"/>
      <c r="C15221" s="841"/>
      <c r="D15221" s="841"/>
      <c r="E15221" s="1689" t="s">
        <v>3569</v>
      </c>
      <c r="F15221" s="1689"/>
      <c r="G15221" s="1689"/>
      <c r="H15221" s="1689"/>
      <c r="I15221" s="841"/>
      <c r="J15221" s="841"/>
      <c r="K15221" s="744" t="s">
        <v>6686</v>
      </c>
      <c r="L15221" s="841"/>
      <c r="M15221" s="1436"/>
      <c r="N15221" s="841"/>
      <c r="O15221" s="841"/>
      <c r="P15221" s="841"/>
      <c r="Q15221" s="841"/>
      <c r="R15221" s="841"/>
      <c r="S15221" s="841"/>
      <c r="T15221" s="841"/>
      <c r="U15221" s="841"/>
      <c r="V15221" s="1435">
        <v>626</v>
      </c>
      <c r="W15221" s="841"/>
      <c r="X15221" s="841"/>
      <c r="Y15221" s="841"/>
      <c r="Z15221" s="841"/>
      <c r="AA15221" s="841"/>
      <c r="AB15221" s="841"/>
      <c r="AC15221" s="841"/>
    </row>
    <row r="15222" spans="1:29" ht="15" customHeight="1" x14ac:dyDescent="0.25">
      <c r="A15222" s="744" t="s">
        <v>204</v>
      </c>
      <c r="B15222" s="841"/>
      <c r="C15222" s="841"/>
      <c r="D15222" s="841"/>
      <c r="E15222" s="1689" t="s">
        <v>3200</v>
      </c>
      <c r="F15222" s="1689"/>
      <c r="G15222" s="1689"/>
      <c r="H15222" s="1689"/>
      <c r="I15222" s="841"/>
      <c r="J15222" s="841"/>
      <c r="K15222" s="744" t="s">
        <v>6686</v>
      </c>
      <c r="L15222" s="841"/>
      <c r="M15222" s="1436"/>
      <c r="N15222" s="841"/>
      <c r="O15222" s="841"/>
      <c r="P15222" s="841"/>
      <c r="Q15222" s="841"/>
      <c r="R15222" s="841"/>
      <c r="S15222" s="841"/>
      <c r="T15222" s="841"/>
      <c r="U15222" s="841"/>
      <c r="V15222" s="1435">
        <v>275</v>
      </c>
      <c r="W15222" s="841"/>
      <c r="X15222" s="841"/>
      <c r="Y15222" s="841"/>
      <c r="Z15222" s="841"/>
      <c r="AA15222" s="841"/>
      <c r="AB15222" s="841"/>
      <c r="AC15222" s="841"/>
    </row>
    <row r="15223" spans="1:29" ht="15" customHeight="1" x14ac:dyDescent="0.25">
      <c r="A15223" s="744" t="s">
        <v>204</v>
      </c>
      <c r="B15223" s="841"/>
      <c r="C15223" s="841"/>
      <c r="D15223" s="841"/>
      <c r="E15223" s="1694" t="s">
        <v>3067</v>
      </c>
      <c r="F15223" s="1907"/>
      <c r="G15223" s="1907"/>
      <c r="H15223" s="1907"/>
      <c r="I15223" s="841"/>
      <c r="J15223" s="841"/>
      <c r="K15223" s="744" t="s">
        <v>3099</v>
      </c>
      <c r="L15223" s="841"/>
      <c r="M15223" s="1436"/>
      <c r="N15223" s="841"/>
      <c r="O15223" s="841"/>
      <c r="P15223" s="841"/>
      <c r="Q15223" s="841"/>
      <c r="R15223" s="841"/>
      <c r="S15223" s="841"/>
      <c r="T15223" s="841"/>
      <c r="U15223" s="841"/>
      <c r="V15223" s="1435">
        <v>46</v>
      </c>
      <c r="W15223" s="841"/>
      <c r="X15223" s="841"/>
      <c r="Y15223" s="841"/>
      <c r="Z15223" s="841"/>
      <c r="AA15223" s="841"/>
      <c r="AB15223" s="841"/>
      <c r="AC15223" s="841"/>
    </row>
    <row r="15224" spans="1:29" ht="15" x14ac:dyDescent="0.25">
      <c r="A15224" s="744" t="s">
        <v>204</v>
      </c>
      <c r="B15224" s="841"/>
      <c r="C15224" s="841"/>
      <c r="D15224" s="841"/>
      <c r="E15224" s="1690" t="s">
        <v>11</v>
      </c>
      <c r="F15224" s="1690"/>
      <c r="G15224" s="1427" t="s">
        <v>23</v>
      </c>
      <c r="H15224" s="391">
        <v>83.413600000000002</v>
      </c>
      <c r="I15224" s="841"/>
      <c r="J15224" s="841"/>
      <c r="K15224" s="744" t="s">
        <v>6686</v>
      </c>
      <c r="L15224" s="744" t="s">
        <v>442</v>
      </c>
      <c r="M15224" s="1436"/>
      <c r="N15224" s="841"/>
      <c r="O15224" s="841"/>
      <c r="P15224" s="744" t="s">
        <v>6688</v>
      </c>
      <c r="Q15224" s="841"/>
      <c r="R15224" s="841"/>
      <c r="S15224" s="841"/>
      <c r="T15224" s="841"/>
      <c r="U15224" s="841"/>
      <c r="V15224" s="1435">
        <v>14</v>
      </c>
      <c r="W15224" s="841"/>
      <c r="X15224" s="841"/>
      <c r="Y15224" s="841"/>
      <c r="Z15224" s="841"/>
      <c r="AA15224" s="841"/>
      <c r="AB15224" s="841"/>
      <c r="AC15224" s="841"/>
    </row>
    <row r="15225" spans="1:29" ht="15" x14ac:dyDescent="0.25">
      <c r="A15225" s="744" t="s">
        <v>204</v>
      </c>
      <c r="B15225" s="841"/>
      <c r="C15225" s="841"/>
      <c r="D15225" s="841"/>
      <c r="E15225" s="1690" t="s">
        <v>84</v>
      </c>
      <c r="F15225" s="1690"/>
      <c r="G15225" s="1427" t="s">
        <v>33</v>
      </c>
      <c r="H15225" s="393">
        <v>1.4436344000000001</v>
      </c>
      <c r="I15225" s="841"/>
      <c r="J15225" s="841"/>
      <c r="K15225" s="744" t="s">
        <v>6686</v>
      </c>
      <c r="L15225" s="744" t="s">
        <v>442</v>
      </c>
      <c r="M15225" s="1436"/>
      <c r="N15225" s="841"/>
      <c r="O15225" s="841"/>
      <c r="P15225" s="744" t="s">
        <v>6689</v>
      </c>
      <c r="Q15225" s="841"/>
      <c r="R15225" s="841"/>
      <c r="S15225" s="841"/>
      <c r="T15225" s="841"/>
      <c r="U15225" s="841"/>
      <c r="V15225" s="1435">
        <v>28</v>
      </c>
      <c r="W15225" s="841"/>
      <c r="X15225" s="841"/>
      <c r="Y15225" s="841"/>
      <c r="Z15225" s="841"/>
      <c r="AA15225" s="841"/>
      <c r="AB15225" s="841"/>
      <c r="AC15225" s="841"/>
    </row>
    <row r="15226" spans="1:29" ht="15" x14ac:dyDescent="0.25">
      <c r="A15226" s="744" t="s">
        <v>204</v>
      </c>
      <c r="B15226" s="841"/>
      <c r="C15226" s="841"/>
      <c r="D15226" s="841"/>
      <c r="E15226" s="1690" t="s">
        <v>18</v>
      </c>
      <c r="F15226" s="1690"/>
      <c r="G15226" s="1427" t="s">
        <v>33</v>
      </c>
      <c r="H15226" s="393">
        <v>1.9417</v>
      </c>
      <c r="I15226" s="744" t="s">
        <v>2461</v>
      </c>
      <c r="J15226" s="841"/>
      <c r="K15226" s="744" t="s">
        <v>6686</v>
      </c>
      <c r="L15226" s="744" t="s">
        <v>443</v>
      </c>
      <c r="M15226" s="1436"/>
      <c r="N15226" s="841"/>
      <c r="O15226" s="841"/>
      <c r="P15226" s="744" t="s">
        <v>6690</v>
      </c>
      <c r="Q15226" s="841"/>
      <c r="R15226" s="841"/>
      <c r="S15226" s="841"/>
      <c r="T15226" s="841"/>
      <c r="U15226" s="841"/>
      <c r="V15226" s="1435">
        <v>24</v>
      </c>
      <c r="W15226" s="841"/>
      <c r="X15226" s="841"/>
      <c r="Y15226" s="841"/>
      <c r="Z15226" s="841"/>
      <c r="AA15226" s="841"/>
      <c r="AB15226" s="841"/>
      <c r="AC15226" s="841"/>
    </row>
    <row r="15227" spans="1:29" ht="15" x14ac:dyDescent="0.25">
      <c r="A15227" s="744" t="s">
        <v>204</v>
      </c>
      <c r="B15227" s="841"/>
      <c r="C15227" s="841"/>
      <c r="D15227" s="841"/>
      <c r="E15227" s="1690" t="s">
        <v>221</v>
      </c>
      <c r="F15227" s="1690"/>
      <c r="G15227" s="1427" t="s">
        <v>33</v>
      </c>
      <c r="H15227" s="393">
        <v>2.2907000000000002</v>
      </c>
      <c r="I15227" s="841"/>
      <c r="J15227" s="841"/>
      <c r="K15227" s="744" t="s">
        <v>6686</v>
      </c>
      <c r="L15227" s="744" t="s">
        <v>444</v>
      </c>
      <c r="M15227" s="1436"/>
      <c r="N15227" s="841"/>
      <c r="O15227" s="841"/>
      <c r="P15227" s="744" t="s">
        <v>6691</v>
      </c>
      <c r="Q15227" s="841"/>
      <c r="R15227" s="841"/>
      <c r="S15227" s="841"/>
      <c r="T15227" s="841"/>
      <c r="U15227" s="841"/>
      <c r="V15227" s="1435">
        <v>47</v>
      </c>
      <c r="W15227" s="841"/>
      <c r="X15227" s="841"/>
      <c r="Y15227" s="841"/>
      <c r="Z15227" s="841"/>
      <c r="AA15227" s="841"/>
      <c r="AB15227" s="841"/>
      <c r="AC15227" s="841"/>
    </row>
    <row r="15228" spans="1:29" ht="15" customHeight="1" x14ac:dyDescent="0.25">
      <c r="A15228" s="744" t="s">
        <v>204</v>
      </c>
      <c r="B15228" s="841"/>
      <c r="C15228" s="841"/>
      <c r="D15228" s="841"/>
      <c r="E15228" s="1690" t="s">
        <v>217</v>
      </c>
      <c r="F15228" s="1690"/>
      <c r="G15228" s="1427" t="s">
        <v>33</v>
      </c>
      <c r="H15228" s="393">
        <v>1.8082</v>
      </c>
      <c r="I15228" s="841"/>
      <c r="J15228" s="841"/>
      <c r="K15228" s="744" t="s">
        <v>6686</v>
      </c>
      <c r="L15228" s="744" t="s">
        <v>444</v>
      </c>
      <c r="M15228" s="1436"/>
      <c r="N15228" s="841"/>
      <c r="O15228" s="841"/>
      <c r="P15228" s="744" t="s">
        <v>6692</v>
      </c>
      <c r="Q15228" s="841"/>
      <c r="R15228" s="841"/>
      <c r="S15228" s="841"/>
      <c r="T15228" s="841"/>
      <c r="U15228" s="841"/>
      <c r="V15228" s="1435">
        <v>74</v>
      </c>
      <c r="W15228" s="841"/>
      <c r="X15228" s="841"/>
      <c r="Y15228" s="841"/>
      <c r="Z15228" s="841"/>
      <c r="AA15228" s="841"/>
      <c r="AB15228" s="841"/>
      <c r="AC15228" s="841"/>
    </row>
    <row r="15229" spans="1:29" ht="15" customHeight="1" x14ac:dyDescent="0.25">
      <c r="A15229" s="744" t="s">
        <v>204</v>
      </c>
      <c r="B15229" s="841"/>
      <c r="C15229" s="841"/>
      <c r="D15229" s="841"/>
      <c r="E15229" s="1694" t="s">
        <v>3079</v>
      </c>
      <c r="F15229" s="1690"/>
      <c r="G15229" s="1427"/>
      <c r="H15229" s="394"/>
      <c r="I15229" s="841"/>
      <c r="J15229" s="841"/>
      <c r="K15229" s="744" t="s">
        <v>3218</v>
      </c>
      <c r="L15229" s="841"/>
      <c r="M15229" s="1436"/>
      <c r="N15229" s="841"/>
      <c r="O15229" s="841"/>
      <c r="P15229" s="841"/>
      <c r="Q15229" s="841"/>
      <c r="R15229" s="841"/>
      <c r="S15229" s="841"/>
      <c r="T15229" s="841"/>
      <c r="U15229" s="841"/>
      <c r="V15229" s="1435">
        <v>48</v>
      </c>
      <c r="W15229" s="841"/>
      <c r="X15229" s="841"/>
      <c r="Y15229" s="841"/>
      <c r="Z15229" s="841"/>
      <c r="AA15229" s="841"/>
      <c r="AB15229" s="841"/>
      <c r="AC15229" s="841"/>
    </row>
    <row r="15230" spans="1:29" ht="15" customHeight="1" x14ac:dyDescent="0.25">
      <c r="A15230" s="744" t="s">
        <v>204</v>
      </c>
      <c r="B15230" s="841"/>
      <c r="C15230" s="841"/>
      <c r="D15230" s="841"/>
      <c r="E15230" s="1690" t="s">
        <v>6718</v>
      </c>
      <c r="F15230" s="1690"/>
      <c r="G15230" s="1427" t="s">
        <v>24</v>
      </c>
      <c r="H15230" s="393">
        <v>3.2000000000000002E-3</v>
      </c>
      <c r="I15230" s="841"/>
      <c r="J15230" s="841"/>
      <c r="K15230" s="744" t="s">
        <v>6686</v>
      </c>
      <c r="L15230" s="744" t="s">
        <v>3046</v>
      </c>
      <c r="M15230" s="1436"/>
      <c r="N15230" s="841"/>
      <c r="O15230" s="841"/>
      <c r="P15230" s="744" t="s">
        <v>6693</v>
      </c>
      <c r="Q15230" s="841"/>
      <c r="R15230" s="841"/>
      <c r="S15230" s="841"/>
      <c r="T15230" s="841"/>
      <c r="U15230" s="841"/>
      <c r="V15230" s="1435">
        <v>55</v>
      </c>
      <c r="W15230" s="841"/>
      <c r="X15230" s="841"/>
      <c r="Y15230" s="841"/>
      <c r="Z15230" s="841"/>
      <c r="AA15230" s="841"/>
      <c r="AB15230" s="841"/>
      <c r="AC15230" s="841"/>
    </row>
    <row r="15231" spans="1:29" ht="15" customHeight="1" x14ac:dyDescent="0.25">
      <c r="A15231" s="744" t="s">
        <v>204</v>
      </c>
      <c r="B15231" s="841"/>
      <c r="C15231" s="841"/>
      <c r="D15231" s="841"/>
      <c r="E15231" s="1690" t="s">
        <v>3211</v>
      </c>
      <c r="F15231" s="1690"/>
      <c r="G15231" s="1427" t="s">
        <v>24</v>
      </c>
      <c r="H15231" s="393">
        <v>4.0000000000000002E-4</v>
      </c>
      <c r="I15231" s="841"/>
      <c r="J15231" s="841"/>
      <c r="K15231" s="744" t="s">
        <v>6686</v>
      </c>
      <c r="L15231" s="744" t="s">
        <v>3046</v>
      </c>
      <c r="M15231" s="1436"/>
      <c r="N15231" s="841"/>
      <c r="O15231" s="841"/>
      <c r="P15231" s="744" t="s">
        <v>6693</v>
      </c>
      <c r="Q15231" s="841"/>
      <c r="R15231" s="841"/>
      <c r="S15231" s="841"/>
      <c r="T15231" s="841"/>
      <c r="U15231" s="841"/>
      <c r="V15231" s="1435">
        <v>64</v>
      </c>
      <c r="W15231" s="841"/>
      <c r="X15231" s="841"/>
      <c r="Y15231" s="841"/>
      <c r="Z15231" s="841"/>
      <c r="AA15231" s="841"/>
      <c r="AB15231" s="841"/>
      <c r="AC15231" s="841"/>
    </row>
    <row r="15232" spans="1:29" ht="15" customHeight="1" x14ac:dyDescent="0.25">
      <c r="A15232" s="744" t="s">
        <v>204</v>
      </c>
      <c r="B15232" s="841"/>
      <c r="C15232" s="841"/>
      <c r="D15232" s="841"/>
      <c r="E15232" s="1690" t="s">
        <v>439</v>
      </c>
      <c r="F15232" s="1690"/>
      <c r="G15232" s="1427" t="s">
        <v>24</v>
      </c>
      <c r="H15232" s="393">
        <v>2.0999999999999999E-3</v>
      </c>
      <c r="I15232" s="841"/>
      <c r="J15232" s="841"/>
      <c r="K15232" s="744" t="s">
        <v>6686</v>
      </c>
      <c r="L15232" s="744" t="s">
        <v>3046</v>
      </c>
      <c r="M15232" s="1436"/>
      <c r="N15232" s="841"/>
      <c r="O15232" s="841"/>
      <c r="P15232" s="744" t="s">
        <v>6694</v>
      </c>
      <c r="Q15232" s="841"/>
      <c r="R15232" s="841"/>
      <c r="S15232" s="841"/>
      <c r="T15232" s="841"/>
      <c r="U15232" s="841"/>
      <c r="V15232" s="1435">
        <v>57</v>
      </c>
      <c r="W15232" s="841"/>
      <c r="X15232" s="841"/>
      <c r="Y15232" s="841"/>
      <c r="Z15232" s="841"/>
      <c r="AA15232" s="841"/>
      <c r="AB15232" s="841"/>
      <c r="AC15232" s="841"/>
    </row>
    <row r="15233" spans="1:29" ht="15" customHeight="1" x14ac:dyDescent="0.25">
      <c r="A15233" s="744" t="s">
        <v>204</v>
      </c>
      <c r="B15233" s="841"/>
      <c r="C15233" s="841"/>
      <c r="D15233" s="841"/>
      <c r="E15233" s="1690" t="s">
        <v>32</v>
      </c>
      <c r="F15233" s="1690"/>
      <c r="G15233" s="1427" t="s">
        <v>23</v>
      </c>
      <c r="H15233" s="391">
        <v>0.25</v>
      </c>
      <c r="I15233" s="841"/>
      <c r="J15233" s="841"/>
      <c r="K15233" s="744" t="s">
        <v>6686</v>
      </c>
      <c r="L15233" s="744" t="s">
        <v>3046</v>
      </c>
      <c r="M15233" s="1436"/>
      <c r="N15233" s="841"/>
      <c r="O15233" s="841"/>
      <c r="P15233" s="744" t="s">
        <v>6695</v>
      </c>
      <c r="Q15233" s="841"/>
      <c r="R15233" s="841"/>
      <c r="S15233" s="841"/>
      <c r="T15233" s="841"/>
      <c r="U15233" s="841"/>
      <c r="V15233" s="1435">
        <v>63</v>
      </c>
      <c r="W15233" s="841"/>
      <c r="X15233" s="841"/>
      <c r="Y15233" s="841"/>
      <c r="Z15233" s="841"/>
      <c r="AA15233" s="841"/>
      <c r="AB15233" s="841"/>
      <c r="AC15233" s="841"/>
    </row>
    <row r="15234" spans="1:29" ht="18" customHeight="1" x14ac:dyDescent="0.25">
      <c r="A15234" s="744" t="s">
        <v>204</v>
      </c>
      <c r="B15234" s="841"/>
      <c r="C15234" s="841"/>
      <c r="D15234" s="841"/>
      <c r="E15234" s="1909" t="s">
        <v>615</v>
      </c>
      <c r="F15234" s="1915"/>
      <c r="G15234" s="1915"/>
      <c r="H15234" s="1915"/>
      <c r="I15234" s="841"/>
      <c r="J15234" s="841"/>
      <c r="K15234" s="744" t="s">
        <v>4516</v>
      </c>
      <c r="L15234" s="841"/>
      <c r="M15234" s="1436"/>
      <c r="N15234" s="841"/>
      <c r="O15234" s="841"/>
      <c r="P15234" s="841"/>
      <c r="Q15234" s="841"/>
      <c r="R15234" s="841"/>
      <c r="S15234" s="841"/>
      <c r="T15234" s="841"/>
      <c r="U15234" s="841"/>
      <c r="V15234" s="1435">
        <v>38</v>
      </c>
      <c r="W15234" s="841"/>
      <c r="X15234" s="841"/>
      <c r="Y15234" s="841"/>
      <c r="Z15234" s="841"/>
      <c r="AA15234" s="841"/>
      <c r="AB15234" s="841"/>
      <c r="AC15234" s="744">
        <v>3</v>
      </c>
    </row>
    <row r="15235" spans="1:29" ht="15" customHeight="1" x14ac:dyDescent="0.25">
      <c r="A15235" s="744" t="s">
        <v>204</v>
      </c>
      <c r="B15235" s="841"/>
      <c r="C15235" s="841"/>
      <c r="D15235" s="841"/>
      <c r="E15235" s="1689" t="s">
        <v>3551</v>
      </c>
      <c r="F15235" s="1689"/>
      <c r="G15235" s="1689"/>
      <c r="H15235" s="1689"/>
      <c r="I15235" s="841"/>
      <c r="J15235" s="841"/>
      <c r="K15235" s="744" t="s">
        <v>4516</v>
      </c>
      <c r="L15235" s="841"/>
      <c r="M15235" s="1436"/>
      <c r="N15235" s="841"/>
      <c r="O15235" s="841"/>
      <c r="P15235" s="841"/>
      <c r="Q15235" s="841"/>
      <c r="R15235" s="841"/>
      <c r="S15235" s="841"/>
      <c r="T15235" s="841"/>
      <c r="U15235" s="841"/>
      <c r="V15235" s="1435">
        <v>551</v>
      </c>
      <c r="W15235" s="841"/>
      <c r="X15235" s="841"/>
      <c r="Y15235" s="841"/>
      <c r="Z15235" s="841"/>
      <c r="AA15235" s="841"/>
      <c r="AB15235" s="841"/>
      <c r="AC15235" s="841"/>
    </row>
    <row r="15236" spans="1:29" ht="15" x14ac:dyDescent="0.25">
      <c r="A15236" s="744" t="s">
        <v>204</v>
      </c>
      <c r="B15236" s="841"/>
      <c r="C15236" s="841"/>
      <c r="D15236" s="841"/>
      <c r="E15236" s="1916" t="s">
        <v>3061</v>
      </c>
      <c r="F15236" s="1697"/>
      <c r="G15236" s="1697"/>
      <c r="H15236" s="1697"/>
      <c r="I15236" s="841"/>
      <c r="J15236" s="841"/>
      <c r="K15236" s="744" t="s">
        <v>3221</v>
      </c>
      <c r="L15236" s="841"/>
      <c r="M15236" s="1436"/>
      <c r="N15236" s="841"/>
      <c r="O15236" s="841"/>
      <c r="P15236" s="841"/>
      <c r="Q15236" s="841"/>
      <c r="R15236" s="841"/>
      <c r="S15236" s="841"/>
      <c r="T15236" s="841"/>
      <c r="U15236" s="841"/>
      <c r="V15236" s="1435">
        <v>11</v>
      </c>
      <c r="W15236" s="841"/>
      <c r="X15236" s="841"/>
      <c r="Y15236" s="841"/>
      <c r="Z15236" s="841"/>
      <c r="AA15236" s="841"/>
      <c r="AB15236" s="841"/>
      <c r="AC15236" s="841"/>
    </row>
    <row r="15237" spans="1:29" ht="15" customHeight="1" x14ac:dyDescent="0.25">
      <c r="A15237" s="744" t="s">
        <v>204</v>
      </c>
      <c r="B15237" s="841"/>
      <c r="C15237" s="841"/>
      <c r="D15237" s="841"/>
      <c r="E15237" s="1689" t="s">
        <v>3063</v>
      </c>
      <c r="F15237" s="1689"/>
      <c r="G15237" s="1689"/>
      <c r="H15237" s="1689"/>
      <c r="I15237" s="841"/>
      <c r="J15237" s="841"/>
      <c r="K15237" s="744" t="s">
        <v>4516</v>
      </c>
      <c r="L15237" s="841"/>
      <c r="M15237" s="1436"/>
      <c r="N15237" s="841"/>
      <c r="O15237" s="841"/>
      <c r="P15237" s="841"/>
      <c r="Q15237" s="841"/>
      <c r="R15237" s="841"/>
      <c r="S15237" s="841"/>
      <c r="T15237" s="841"/>
      <c r="U15237" s="841"/>
      <c r="V15237" s="1435">
        <v>280</v>
      </c>
      <c r="W15237" s="841"/>
      <c r="X15237" s="841"/>
      <c r="Y15237" s="841"/>
      <c r="Z15237" s="841"/>
      <c r="AA15237" s="841"/>
      <c r="AB15237" s="841"/>
      <c r="AC15237" s="841"/>
    </row>
    <row r="15238" spans="1:29" ht="15" customHeight="1" x14ac:dyDescent="0.25">
      <c r="A15238" s="744" t="s">
        <v>204</v>
      </c>
      <c r="B15238" s="841"/>
      <c r="C15238" s="841"/>
      <c r="D15238" s="841"/>
      <c r="E15238" s="1689" t="s">
        <v>3064</v>
      </c>
      <c r="F15238" s="1689"/>
      <c r="G15238" s="1689"/>
      <c r="H15238" s="1689"/>
      <c r="I15238" s="841"/>
      <c r="J15238" s="841"/>
      <c r="K15238" s="744" t="s">
        <v>4516</v>
      </c>
      <c r="L15238" s="841"/>
      <c r="M15238" s="1436"/>
      <c r="N15238" s="841"/>
      <c r="O15238" s="841"/>
      <c r="P15238" s="841"/>
      <c r="Q15238" s="841"/>
      <c r="R15238" s="841"/>
      <c r="S15238" s="841"/>
      <c r="T15238" s="841"/>
      <c r="U15238" s="841"/>
      <c r="V15238" s="1435">
        <v>411</v>
      </c>
      <c r="W15238" s="841"/>
      <c r="X15238" s="841"/>
      <c r="Y15238" s="841"/>
      <c r="Z15238" s="841"/>
      <c r="AA15238" s="841"/>
      <c r="AB15238" s="841"/>
      <c r="AC15238" s="841"/>
    </row>
    <row r="15239" spans="1:29" ht="15" customHeight="1" x14ac:dyDescent="0.25">
      <c r="A15239" s="744" t="s">
        <v>204</v>
      </c>
      <c r="B15239" s="841"/>
      <c r="C15239" s="841"/>
      <c r="D15239" s="841"/>
      <c r="E15239" s="1689" t="s">
        <v>3065</v>
      </c>
      <c r="F15239" s="1689"/>
      <c r="G15239" s="1689"/>
      <c r="H15239" s="1689"/>
      <c r="I15239" s="841"/>
      <c r="J15239" s="841"/>
      <c r="K15239" s="744" t="s">
        <v>4516</v>
      </c>
      <c r="L15239" s="841"/>
      <c r="M15239" s="1436"/>
      <c r="N15239" s="841"/>
      <c r="O15239" s="841"/>
      <c r="P15239" s="841"/>
      <c r="Q15239" s="841"/>
      <c r="R15239" s="841"/>
      <c r="S15239" s="841"/>
      <c r="T15239" s="841"/>
      <c r="U15239" s="841"/>
      <c r="V15239" s="1435">
        <v>387</v>
      </c>
      <c r="W15239" s="841"/>
      <c r="X15239" s="841"/>
      <c r="Y15239" s="841"/>
      <c r="Z15239" s="841"/>
      <c r="AA15239" s="841"/>
      <c r="AB15239" s="841"/>
      <c r="AC15239" s="841"/>
    </row>
    <row r="15240" spans="1:29" ht="15" customHeight="1" x14ac:dyDescent="0.25">
      <c r="A15240" s="744" t="s">
        <v>204</v>
      </c>
      <c r="B15240" s="841"/>
      <c r="C15240" s="841"/>
      <c r="D15240" s="841"/>
      <c r="E15240" s="1689" t="s">
        <v>3200</v>
      </c>
      <c r="F15240" s="1689"/>
      <c r="G15240" s="1689"/>
      <c r="H15240" s="1689"/>
      <c r="I15240" s="841"/>
      <c r="J15240" s="841"/>
      <c r="K15240" s="744" t="s">
        <v>4516</v>
      </c>
      <c r="L15240" s="841"/>
      <c r="M15240" s="1436"/>
      <c r="N15240" s="841"/>
      <c r="O15240" s="841"/>
      <c r="P15240" s="841"/>
      <c r="Q15240" s="841"/>
      <c r="R15240" s="841"/>
      <c r="S15240" s="841"/>
      <c r="T15240" s="841"/>
      <c r="U15240" s="841"/>
      <c r="V15240" s="1435">
        <v>275</v>
      </c>
      <c r="W15240" s="841"/>
      <c r="X15240" s="841"/>
      <c r="Y15240" s="841"/>
      <c r="Z15240" s="841"/>
      <c r="AA15240" s="841"/>
      <c r="AB15240" s="841"/>
      <c r="AC15240" s="841"/>
    </row>
    <row r="15241" spans="1:29" ht="15" customHeight="1" x14ac:dyDescent="0.25">
      <c r="A15241" s="744" t="s">
        <v>204</v>
      </c>
      <c r="B15241" s="841"/>
      <c r="C15241" s="841"/>
      <c r="D15241" s="841"/>
      <c r="E15241" s="1694" t="s">
        <v>3067</v>
      </c>
      <c r="F15241" s="1907"/>
      <c r="G15241" s="1907"/>
      <c r="H15241" s="1907"/>
      <c r="I15241" s="841"/>
      <c r="J15241" s="841"/>
      <c r="K15241" s="744" t="s">
        <v>3224</v>
      </c>
      <c r="L15241" s="841"/>
      <c r="M15241" s="1436"/>
      <c r="N15241" s="841"/>
      <c r="O15241" s="841"/>
      <c r="P15241" s="841"/>
      <c r="Q15241" s="841"/>
      <c r="R15241" s="841"/>
      <c r="S15241" s="841"/>
      <c r="T15241" s="841"/>
      <c r="U15241" s="841"/>
      <c r="V15241" s="1435">
        <v>46</v>
      </c>
      <c r="W15241" s="841"/>
      <c r="X15241" s="841"/>
      <c r="Y15241" s="841"/>
      <c r="Z15241" s="841"/>
      <c r="AA15241" s="841"/>
      <c r="AB15241" s="841"/>
      <c r="AC15241" s="841"/>
    </row>
    <row r="15242" spans="1:29" ht="15" x14ac:dyDescent="0.25">
      <c r="A15242" s="744" t="s">
        <v>204</v>
      </c>
      <c r="B15242" s="841"/>
      <c r="C15242" s="841"/>
      <c r="D15242" s="841"/>
      <c r="E15242" s="1690" t="s">
        <v>12</v>
      </c>
      <c r="F15242" s="1690"/>
      <c r="G15242" s="1427" t="s">
        <v>23</v>
      </c>
      <c r="H15242" s="391">
        <v>1.22936</v>
      </c>
      <c r="I15242" s="841"/>
      <c r="J15242" s="841"/>
      <c r="K15242" s="744" t="s">
        <v>4516</v>
      </c>
      <c r="L15242" s="744" t="s">
        <v>442</v>
      </c>
      <c r="M15242" s="1436"/>
      <c r="N15242" s="841"/>
      <c r="O15242" s="841"/>
      <c r="P15242" s="744" t="s">
        <v>4517</v>
      </c>
      <c r="Q15242" s="841"/>
      <c r="R15242" s="841"/>
      <c r="S15242" s="841"/>
      <c r="T15242" s="841"/>
      <c r="U15242" s="841"/>
      <c r="V15242" s="1435">
        <v>31</v>
      </c>
      <c r="W15242" s="841"/>
      <c r="X15242" s="841"/>
      <c r="Y15242" s="841"/>
      <c r="Z15242" s="841"/>
      <c r="AA15242" s="841"/>
      <c r="AB15242" s="841"/>
      <c r="AC15242" s="841"/>
    </row>
    <row r="15243" spans="1:29" ht="15" x14ac:dyDescent="0.25">
      <c r="A15243" s="744" t="s">
        <v>204</v>
      </c>
      <c r="B15243" s="841"/>
      <c r="C15243" s="841"/>
      <c r="D15243" s="841"/>
      <c r="E15243" s="1690" t="s">
        <v>84</v>
      </c>
      <c r="F15243" s="1690"/>
      <c r="G15243" s="1427" t="s">
        <v>33</v>
      </c>
      <c r="H15243" s="393">
        <v>7.1944992000000001</v>
      </c>
      <c r="I15243" s="841"/>
      <c r="J15243" s="841"/>
      <c r="K15243" s="744" t="s">
        <v>4516</v>
      </c>
      <c r="L15243" s="744" t="s">
        <v>442</v>
      </c>
      <c r="M15243" s="1436"/>
      <c r="N15243" s="841"/>
      <c r="O15243" s="841"/>
      <c r="P15243" s="744" t="s">
        <v>4518</v>
      </c>
      <c r="Q15243" s="841"/>
      <c r="R15243" s="841"/>
      <c r="S15243" s="841"/>
      <c r="T15243" s="841"/>
      <c r="U15243" s="841"/>
      <c r="V15243" s="1435">
        <v>28</v>
      </c>
      <c r="W15243" s="841"/>
      <c r="X15243" s="841"/>
      <c r="Y15243" s="841"/>
      <c r="Z15243" s="841"/>
      <c r="AA15243" s="841"/>
      <c r="AB15243" s="841"/>
      <c r="AC15243" s="841"/>
    </row>
    <row r="15244" spans="1:29" ht="15" x14ac:dyDescent="0.25">
      <c r="A15244" s="744" t="s">
        <v>204</v>
      </c>
      <c r="B15244" s="841"/>
      <c r="C15244" s="841"/>
      <c r="D15244" s="841"/>
      <c r="E15244" s="1690" t="s">
        <v>18</v>
      </c>
      <c r="F15244" s="1690"/>
      <c r="G15244" s="1427" t="s">
        <v>33</v>
      </c>
      <c r="H15244" s="393">
        <v>1.5009999999999999</v>
      </c>
      <c r="I15244" s="744" t="s">
        <v>2461</v>
      </c>
      <c r="J15244" s="841"/>
      <c r="K15244" s="744" t="s">
        <v>4516</v>
      </c>
      <c r="L15244" s="744" t="s">
        <v>443</v>
      </c>
      <c r="M15244" s="1436"/>
      <c r="N15244" s="841"/>
      <c r="O15244" s="841"/>
      <c r="P15244" s="744" t="s">
        <v>6822</v>
      </c>
      <c r="Q15244" s="841"/>
      <c r="R15244" s="841"/>
      <c r="S15244" s="841"/>
      <c r="T15244" s="841"/>
      <c r="U15244" s="841"/>
      <c r="V15244" s="1435">
        <v>24</v>
      </c>
      <c r="W15244" s="841"/>
      <c r="X15244" s="841"/>
      <c r="Y15244" s="841"/>
      <c r="Z15244" s="841"/>
      <c r="AA15244" s="841"/>
      <c r="AB15244" s="841"/>
      <c r="AC15244" s="841"/>
    </row>
    <row r="15245" spans="1:29" ht="15" x14ac:dyDescent="0.25">
      <c r="A15245" s="744" t="s">
        <v>204</v>
      </c>
      <c r="B15245" s="841"/>
      <c r="C15245" s="841"/>
      <c r="D15245" s="841"/>
      <c r="E15245" s="1690" t="s">
        <v>221</v>
      </c>
      <c r="F15245" s="1690"/>
      <c r="G15245" s="1427" t="s">
        <v>33</v>
      </c>
      <c r="H15245" s="393">
        <v>1.7274</v>
      </c>
      <c r="I15245" s="841"/>
      <c r="J15245" s="841"/>
      <c r="K15245" s="744" t="s">
        <v>4516</v>
      </c>
      <c r="L15245" s="744" t="s">
        <v>444</v>
      </c>
      <c r="M15245" s="1436"/>
      <c r="N15245" s="841"/>
      <c r="O15245" s="841"/>
      <c r="P15245" s="744" t="s">
        <v>4519</v>
      </c>
      <c r="Q15245" s="841"/>
      <c r="R15245" s="841"/>
      <c r="S15245" s="841"/>
      <c r="T15245" s="841"/>
      <c r="U15245" s="841"/>
      <c r="V15245" s="1435">
        <v>47</v>
      </c>
      <c r="W15245" s="841"/>
      <c r="X15245" s="841"/>
      <c r="Y15245" s="841"/>
      <c r="Z15245" s="841"/>
      <c r="AA15245" s="841"/>
      <c r="AB15245" s="841"/>
      <c r="AC15245" s="841"/>
    </row>
    <row r="15246" spans="1:29" ht="15" customHeight="1" x14ac:dyDescent="0.25">
      <c r="A15246" s="744" t="s">
        <v>204</v>
      </c>
      <c r="B15246" s="841"/>
      <c r="C15246" s="841"/>
      <c r="D15246" s="841"/>
      <c r="E15246" s="1690" t="s">
        <v>217</v>
      </c>
      <c r="F15246" s="1690"/>
      <c r="G15246" s="1427" t="s">
        <v>33</v>
      </c>
      <c r="H15246" s="393">
        <v>1.3978999999999999</v>
      </c>
      <c r="I15246" s="841"/>
      <c r="J15246" s="841"/>
      <c r="K15246" s="744" t="s">
        <v>4516</v>
      </c>
      <c r="L15246" s="744" t="s">
        <v>444</v>
      </c>
      <c r="M15246" s="1436"/>
      <c r="N15246" s="841"/>
      <c r="O15246" s="841"/>
      <c r="P15246" s="744" t="s">
        <v>4520</v>
      </c>
      <c r="Q15246" s="841"/>
      <c r="R15246" s="841"/>
      <c r="S15246" s="841"/>
      <c r="T15246" s="841"/>
      <c r="U15246" s="841"/>
      <c r="V15246" s="1435">
        <v>74</v>
      </c>
      <c r="W15246" s="841"/>
      <c r="X15246" s="841"/>
      <c r="Y15246" s="841"/>
      <c r="Z15246" s="841"/>
      <c r="AA15246" s="841"/>
      <c r="AB15246" s="841"/>
      <c r="AC15246" s="841"/>
    </row>
    <row r="15247" spans="1:29" ht="15" customHeight="1" x14ac:dyDescent="0.25">
      <c r="A15247" s="744" t="s">
        <v>204</v>
      </c>
      <c r="B15247" s="841"/>
      <c r="C15247" s="841"/>
      <c r="D15247" s="841"/>
      <c r="E15247" s="1694" t="s">
        <v>3079</v>
      </c>
      <c r="F15247" s="1690"/>
      <c r="G15247" s="1427"/>
      <c r="H15247" s="394"/>
      <c r="I15247" s="841"/>
      <c r="J15247" s="841"/>
      <c r="K15247" s="744" t="s">
        <v>3225</v>
      </c>
      <c r="L15247" s="841"/>
      <c r="M15247" s="1436"/>
      <c r="N15247" s="841"/>
      <c r="O15247" s="841"/>
      <c r="P15247" s="841"/>
      <c r="Q15247" s="841"/>
      <c r="R15247" s="841"/>
      <c r="S15247" s="841"/>
      <c r="T15247" s="841"/>
      <c r="U15247" s="841"/>
      <c r="V15247" s="1435">
        <v>48</v>
      </c>
      <c r="W15247" s="841"/>
      <c r="X15247" s="841"/>
      <c r="Y15247" s="841"/>
      <c r="Z15247" s="841"/>
      <c r="AA15247" s="841"/>
      <c r="AB15247" s="841"/>
      <c r="AC15247" s="841"/>
    </row>
    <row r="15248" spans="1:29" ht="15" customHeight="1" x14ac:dyDescent="0.25">
      <c r="A15248" s="744" t="s">
        <v>204</v>
      </c>
      <c r="B15248" s="841"/>
      <c r="C15248" s="841"/>
      <c r="D15248" s="841"/>
      <c r="E15248" s="1690" t="s">
        <v>6718</v>
      </c>
      <c r="F15248" s="1690"/>
      <c r="G15248" s="1427" t="s">
        <v>24</v>
      </c>
      <c r="H15248" s="393">
        <v>3.2000000000000002E-3</v>
      </c>
      <c r="I15248" s="841"/>
      <c r="J15248" s="841"/>
      <c r="K15248" s="744" t="s">
        <v>4516</v>
      </c>
      <c r="L15248" s="744" t="s">
        <v>3046</v>
      </c>
      <c r="M15248" s="1436"/>
      <c r="N15248" s="841"/>
      <c r="O15248" s="841"/>
      <c r="P15248" s="744" t="s">
        <v>4521</v>
      </c>
      <c r="Q15248" s="841"/>
      <c r="R15248" s="841"/>
      <c r="S15248" s="841"/>
      <c r="T15248" s="841"/>
      <c r="U15248" s="841"/>
      <c r="V15248" s="1435">
        <v>55</v>
      </c>
      <c r="W15248" s="841"/>
      <c r="X15248" s="841"/>
      <c r="Y15248" s="841"/>
      <c r="Z15248" s="841"/>
      <c r="AA15248" s="841"/>
      <c r="AB15248" s="841"/>
      <c r="AC15248" s="841"/>
    </row>
    <row r="15249" spans="1:29" ht="15" customHeight="1" x14ac:dyDescent="0.25">
      <c r="A15249" s="744" t="s">
        <v>204</v>
      </c>
      <c r="B15249" s="841"/>
      <c r="C15249" s="841"/>
      <c r="D15249" s="841"/>
      <c r="E15249" s="1690" t="s">
        <v>3211</v>
      </c>
      <c r="F15249" s="1690"/>
      <c r="G15249" s="1427" t="s">
        <v>24</v>
      </c>
      <c r="H15249" s="393">
        <v>4.0000000000000002E-4</v>
      </c>
      <c r="I15249" s="841"/>
      <c r="J15249" s="841"/>
      <c r="K15249" s="744" t="s">
        <v>4516</v>
      </c>
      <c r="L15249" s="744" t="s">
        <v>3046</v>
      </c>
      <c r="M15249" s="1436"/>
      <c r="N15249" s="841"/>
      <c r="O15249" s="841"/>
      <c r="P15249" s="744" t="s">
        <v>4521</v>
      </c>
      <c r="Q15249" s="841"/>
      <c r="R15249" s="841"/>
      <c r="S15249" s="841"/>
      <c r="T15249" s="841"/>
      <c r="U15249" s="841"/>
      <c r="V15249" s="1435">
        <v>64</v>
      </c>
      <c r="W15249" s="841"/>
      <c r="X15249" s="841"/>
      <c r="Y15249" s="841"/>
      <c r="Z15249" s="841"/>
      <c r="AA15249" s="841"/>
      <c r="AB15249" s="841"/>
      <c r="AC15249" s="841"/>
    </row>
    <row r="15250" spans="1:29" ht="15" customHeight="1" x14ac:dyDescent="0.25">
      <c r="A15250" s="744" t="s">
        <v>204</v>
      </c>
      <c r="B15250" s="841"/>
      <c r="C15250" s="841"/>
      <c r="D15250" s="841"/>
      <c r="E15250" s="1690" t="s">
        <v>439</v>
      </c>
      <c r="F15250" s="1690"/>
      <c r="G15250" s="1427" t="s">
        <v>24</v>
      </c>
      <c r="H15250" s="393">
        <v>2.0999999999999999E-3</v>
      </c>
      <c r="I15250" s="841"/>
      <c r="J15250" s="841"/>
      <c r="K15250" s="744" t="s">
        <v>4516</v>
      </c>
      <c r="L15250" s="744" t="s">
        <v>3046</v>
      </c>
      <c r="M15250" s="1436"/>
      <c r="N15250" s="841"/>
      <c r="O15250" s="841"/>
      <c r="P15250" s="744" t="s">
        <v>4522</v>
      </c>
      <c r="Q15250" s="841"/>
      <c r="R15250" s="841"/>
      <c r="S15250" s="841"/>
      <c r="T15250" s="841"/>
      <c r="U15250" s="841"/>
      <c r="V15250" s="1435">
        <v>57</v>
      </c>
      <c r="W15250" s="841"/>
      <c r="X15250" s="841"/>
      <c r="Y15250" s="841"/>
      <c r="Z15250" s="841"/>
      <c r="AA15250" s="841"/>
      <c r="AB15250" s="841"/>
      <c r="AC15250" s="841"/>
    </row>
    <row r="15251" spans="1:29" ht="15" customHeight="1" x14ac:dyDescent="0.25">
      <c r="A15251" s="744" t="s">
        <v>204</v>
      </c>
      <c r="B15251" s="841"/>
      <c r="C15251" s="841"/>
      <c r="D15251" s="841"/>
      <c r="E15251" s="1690" t="s">
        <v>32</v>
      </c>
      <c r="F15251" s="1690"/>
      <c r="G15251" s="1427" t="s">
        <v>23</v>
      </c>
      <c r="H15251" s="391">
        <v>0.25</v>
      </c>
      <c r="I15251" s="841"/>
      <c r="J15251" s="841"/>
      <c r="K15251" s="744" t="s">
        <v>4516</v>
      </c>
      <c r="L15251" s="744" t="s">
        <v>3046</v>
      </c>
      <c r="M15251" s="1436"/>
      <c r="N15251" s="841"/>
      <c r="O15251" s="841"/>
      <c r="P15251" s="744" t="s">
        <v>4523</v>
      </c>
      <c r="Q15251" s="841"/>
      <c r="R15251" s="841"/>
      <c r="S15251" s="841"/>
      <c r="T15251" s="841"/>
      <c r="U15251" s="841"/>
      <c r="V15251" s="1435">
        <v>63</v>
      </c>
      <c r="W15251" s="841"/>
      <c r="X15251" s="841"/>
      <c r="Y15251" s="841"/>
      <c r="Z15251" s="841"/>
      <c r="AA15251" s="841"/>
      <c r="AB15251" s="841"/>
      <c r="AC15251" s="841"/>
    </row>
    <row r="15252" spans="1:29" ht="18" customHeight="1" x14ac:dyDescent="0.25">
      <c r="A15252" s="744" t="s">
        <v>204</v>
      </c>
      <c r="B15252" s="841"/>
      <c r="C15252" s="841"/>
      <c r="D15252" s="841"/>
      <c r="E15252" s="1909" t="s">
        <v>617</v>
      </c>
      <c r="F15252" s="1915"/>
      <c r="G15252" s="1915"/>
      <c r="H15252" s="1915"/>
      <c r="I15252" s="841"/>
      <c r="J15252" s="841"/>
      <c r="K15252" s="744" t="s">
        <v>3457</v>
      </c>
      <c r="L15252" s="841"/>
      <c r="M15252" s="1436"/>
      <c r="N15252" s="841"/>
      <c r="O15252" s="841"/>
      <c r="P15252" s="841"/>
      <c r="Q15252" s="841"/>
      <c r="R15252" s="841"/>
      <c r="S15252" s="841"/>
      <c r="T15252" s="841"/>
      <c r="U15252" s="841"/>
      <c r="V15252" s="1435">
        <v>47</v>
      </c>
      <c r="W15252" s="841"/>
      <c r="X15252" s="841"/>
      <c r="Y15252" s="841"/>
      <c r="Z15252" s="841"/>
      <c r="AA15252" s="841"/>
      <c r="AB15252" s="841"/>
      <c r="AC15252" s="744">
        <v>3</v>
      </c>
    </row>
    <row r="15253" spans="1:29" ht="15" customHeight="1" x14ac:dyDescent="0.25">
      <c r="A15253" s="744" t="s">
        <v>204</v>
      </c>
      <c r="B15253" s="841"/>
      <c r="C15253" s="841"/>
      <c r="D15253" s="841"/>
      <c r="E15253" s="1689" t="s">
        <v>4524</v>
      </c>
      <c r="F15253" s="1689"/>
      <c r="G15253" s="1689"/>
      <c r="H15253" s="1689"/>
      <c r="I15253" s="841"/>
      <c r="J15253" s="841"/>
      <c r="K15253" s="744" t="s">
        <v>3457</v>
      </c>
      <c r="L15253" s="841"/>
      <c r="M15253" s="1436"/>
      <c r="N15253" s="841"/>
      <c r="O15253" s="841"/>
      <c r="P15253" s="841"/>
      <c r="Q15253" s="841"/>
      <c r="R15253" s="841"/>
      <c r="S15253" s="841"/>
      <c r="T15253" s="841"/>
      <c r="U15253" s="841"/>
      <c r="V15253" s="1435">
        <v>620</v>
      </c>
      <c r="W15253" s="841"/>
      <c r="X15253" s="841"/>
      <c r="Y15253" s="841"/>
      <c r="Z15253" s="841"/>
      <c r="AA15253" s="841"/>
      <c r="AB15253" s="841"/>
      <c r="AC15253" s="841"/>
    </row>
    <row r="15254" spans="1:29" ht="15" x14ac:dyDescent="0.25">
      <c r="A15254" s="744" t="s">
        <v>204</v>
      </c>
      <c r="B15254" s="841"/>
      <c r="C15254" s="841"/>
      <c r="D15254" s="841"/>
      <c r="E15254" s="1916" t="s">
        <v>3061</v>
      </c>
      <c r="F15254" s="1697"/>
      <c r="G15254" s="1697"/>
      <c r="H15254" s="1697"/>
      <c r="I15254" s="841"/>
      <c r="J15254" s="841"/>
      <c r="K15254" s="744" t="s">
        <v>3107</v>
      </c>
      <c r="L15254" s="841"/>
      <c r="M15254" s="1436"/>
      <c r="N15254" s="841"/>
      <c r="O15254" s="841"/>
      <c r="P15254" s="841"/>
      <c r="Q15254" s="841"/>
      <c r="R15254" s="841"/>
      <c r="S15254" s="841"/>
      <c r="T15254" s="841"/>
      <c r="U15254" s="841"/>
      <c r="V15254" s="1435">
        <v>11</v>
      </c>
    </row>
    <row r="15255" spans="1:29" ht="15" customHeight="1" x14ac:dyDescent="0.25">
      <c r="A15255" s="744" t="s">
        <v>204</v>
      </c>
      <c r="B15255" s="841"/>
      <c r="C15255" s="841"/>
      <c r="D15255" s="841"/>
      <c r="E15255" s="1689" t="s">
        <v>3063</v>
      </c>
      <c r="F15255" s="1689"/>
      <c r="G15255" s="1689"/>
      <c r="H15255" s="1689"/>
      <c r="I15255" s="841"/>
      <c r="J15255" s="841"/>
      <c r="K15255" s="744" t="s">
        <v>3457</v>
      </c>
      <c r="L15255" s="841"/>
      <c r="M15255" s="1436"/>
      <c r="N15255" s="841"/>
      <c r="O15255" s="841"/>
      <c r="P15255" s="841"/>
      <c r="Q15255" s="841"/>
      <c r="R15255" s="841"/>
      <c r="S15255" s="841"/>
      <c r="T15255" s="841"/>
      <c r="U15255" s="841"/>
      <c r="V15255" s="1435">
        <v>280</v>
      </c>
    </row>
    <row r="15256" spans="1:29" ht="15" customHeight="1" x14ac:dyDescent="0.25">
      <c r="A15256" s="744" t="s">
        <v>204</v>
      </c>
      <c r="B15256" s="841"/>
      <c r="C15256" s="841"/>
      <c r="D15256" s="841"/>
      <c r="E15256" s="1689" t="s">
        <v>3064</v>
      </c>
      <c r="F15256" s="1689"/>
      <c r="G15256" s="1689"/>
      <c r="H15256" s="1689"/>
      <c r="I15256" s="841"/>
      <c r="J15256" s="841"/>
      <c r="K15256" s="744" t="s">
        <v>3457</v>
      </c>
      <c r="L15256" s="841"/>
      <c r="M15256" s="1436"/>
      <c r="N15256" s="841"/>
      <c r="O15256" s="841"/>
      <c r="P15256" s="841"/>
      <c r="Q15256" s="841"/>
      <c r="R15256" s="841"/>
      <c r="S15256" s="841"/>
      <c r="T15256" s="841"/>
      <c r="U15256" s="841"/>
      <c r="V15256" s="1435">
        <v>411</v>
      </c>
    </row>
    <row r="15257" spans="1:29" ht="15" customHeight="1" x14ac:dyDescent="0.25">
      <c r="A15257" s="744" t="s">
        <v>204</v>
      </c>
      <c r="B15257" s="841"/>
      <c r="C15257" s="841"/>
      <c r="D15257" s="841"/>
      <c r="E15257" s="1689" t="s">
        <v>3065</v>
      </c>
      <c r="F15257" s="1689"/>
      <c r="G15257" s="1689"/>
      <c r="H15257" s="1689"/>
      <c r="I15257" s="841"/>
      <c r="J15257" s="841"/>
      <c r="K15257" s="744" t="s">
        <v>3457</v>
      </c>
      <c r="L15257" s="841"/>
      <c r="M15257" s="1436"/>
      <c r="N15257" s="841"/>
      <c r="O15257" s="841"/>
      <c r="P15257" s="841"/>
      <c r="Q15257" s="841"/>
      <c r="R15257" s="841"/>
      <c r="S15257" s="841"/>
      <c r="T15257" s="841"/>
      <c r="U15257" s="841"/>
      <c r="V15257" s="1435">
        <v>387</v>
      </c>
    </row>
    <row r="15258" spans="1:29" ht="15" customHeight="1" x14ac:dyDescent="0.25">
      <c r="A15258" s="744" t="s">
        <v>204</v>
      </c>
      <c r="B15258" s="841"/>
      <c r="C15258" s="841"/>
      <c r="D15258" s="841"/>
      <c r="E15258" s="1689" t="s">
        <v>3200</v>
      </c>
      <c r="F15258" s="1689"/>
      <c r="G15258" s="1689"/>
      <c r="H15258" s="1689"/>
      <c r="I15258" s="841"/>
      <c r="J15258" s="841"/>
      <c r="K15258" s="744" t="s">
        <v>3457</v>
      </c>
      <c r="L15258" s="841"/>
      <c r="M15258" s="1436"/>
      <c r="N15258" s="841"/>
      <c r="O15258" s="841"/>
      <c r="P15258" s="841"/>
      <c r="Q15258" s="841"/>
      <c r="R15258" s="841"/>
      <c r="S15258" s="841"/>
      <c r="T15258" s="841"/>
      <c r="U15258" s="841"/>
      <c r="V15258" s="1435">
        <v>275</v>
      </c>
    </row>
    <row r="15259" spans="1:29" ht="15" customHeight="1" x14ac:dyDescent="0.25">
      <c r="A15259" s="744" t="s">
        <v>204</v>
      </c>
      <c r="B15259" s="841"/>
      <c r="C15259" s="841"/>
      <c r="D15259" s="841"/>
      <c r="E15259" s="1694" t="s">
        <v>3067</v>
      </c>
      <c r="F15259" s="1907"/>
      <c r="G15259" s="1907"/>
      <c r="H15259" s="1907"/>
      <c r="I15259" s="841"/>
      <c r="J15259" s="841"/>
      <c r="K15259" s="744" t="s">
        <v>3108</v>
      </c>
      <c r="L15259" s="841"/>
      <c r="M15259" s="1436"/>
      <c r="N15259" s="841"/>
      <c r="O15259" s="841"/>
      <c r="P15259" s="841"/>
      <c r="Q15259" s="841"/>
      <c r="R15259" s="841"/>
      <c r="S15259" s="841"/>
      <c r="T15259" s="841"/>
      <c r="U15259" s="841"/>
      <c r="V15259" s="1435">
        <v>46</v>
      </c>
    </row>
    <row r="15260" spans="1:29" ht="15" x14ac:dyDescent="0.25">
      <c r="A15260" s="744" t="s">
        <v>204</v>
      </c>
      <c r="B15260" s="841"/>
      <c r="C15260" s="841"/>
      <c r="D15260" s="841"/>
      <c r="E15260" s="1690" t="s">
        <v>12</v>
      </c>
      <c r="F15260" s="1690"/>
      <c r="G15260" s="1427" t="s">
        <v>23</v>
      </c>
      <c r="H15260" s="391">
        <v>15.47368</v>
      </c>
      <c r="I15260" s="841"/>
      <c r="J15260" s="841"/>
      <c r="K15260" s="744" t="s">
        <v>3457</v>
      </c>
      <c r="L15260" s="744" t="s">
        <v>442</v>
      </c>
      <c r="M15260" s="1436"/>
      <c r="N15260" s="841"/>
      <c r="O15260" s="841"/>
      <c r="P15260" s="744" t="s">
        <v>3458</v>
      </c>
      <c r="Q15260" s="841"/>
      <c r="R15260" s="841"/>
      <c r="S15260" s="841"/>
      <c r="T15260" s="841"/>
      <c r="U15260" s="841"/>
      <c r="V15260" s="1435">
        <v>31</v>
      </c>
    </row>
    <row r="15261" spans="1:29" ht="15" x14ac:dyDescent="0.25">
      <c r="A15261" s="744" t="s">
        <v>204</v>
      </c>
      <c r="B15261" s="841"/>
      <c r="C15261" s="841"/>
      <c r="D15261" s="841"/>
      <c r="E15261" s="1690" t="s">
        <v>84</v>
      </c>
      <c r="F15261" s="1690"/>
      <c r="G15261" s="1427" t="s">
        <v>24</v>
      </c>
      <c r="H15261" s="393">
        <v>4.3687999999999998E-2</v>
      </c>
      <c r="I15261" s="841"/>
      <c r="J15261" s="841"/>
      <c r="K15261" s="744" t="s">
        <v>3457</v>
      </c>
      <c r="L15261" s="744" t="s">
        <v>442</v>
      </c>
      <c r="M15261" s="1436"/>
      <c r="N15261" s="841"/>
      <c r="O15261" s="841"/>
      <c r="P15261" s="744" t="s">
        <v>3459</v>
      </c>
      <c r="Q15261" s="841"/>
      <c r="R15261" s="841"/>
      <c r="S15261" s="841"/>
      <c r="T15261" s="841"/>
      <c r="U15261" s="841"/>
      <c r="V15261" s="1435">
        <v>28</v>
      </c>
    </row>
    <row r="15262" spans="1:29" ht="15" x14ac:dyDescent="0.25">
      <c r="A15262" s="744" t="s">
        <v>204</v>
      </c>
      <c r="B15262" s="841"/>
      <c r="C15262" s="841"/>
      <c r="D15262" s="841"/>
      <c r="E15262" s="1690" t="s">
        <v>18</v>
      </c>
      <c r="F15262" s="1690"/>
      <c r="G15262" s="1427" t="s">
        <v>24</v>
      </c>
      <c r="H15262" s="393">
        <v>5.1999999999999998E-3</v>
      </c>
      <c r="I15262" s="744" t="s">
        <v>2461</v>
      </c>
      <c r="J15262" s="841"/>
      <c r="K15262" s="744" t="s">
        <v>3457</v>
      </c>
      <c r="L15262" s="744" t="s">
        <v>443</v>
      </c>
      <c r="M15262" s="1436"/>
      <c r="N15262" s="841"/>
      <c r="O15262" s="841"/>
      <c r="P15262" s="744" t="s">
        <v>3460</v>
      </c>
      <c r="Q15262" s="841"/>
      <c r="R15262" s="841"/>
      <c r="S15262" s="841"/>
      <c r="T15262" s="841"/>
      <c r="U15262" s="841"/>
      <c r="V15262" s="1435">
        <v>24</v>
      </c>
    </row>
    <row r="15263" spans="1:29" ht="15" x14ac:dyDescent="0.25">
      <c r="A15263" s="744" t="s">
        <v>204</v>
      </c>
      <c r="B15263" s="841"/>
      <c r="C15263" s="841"/>
      <c r="D15263" s="841"/>
      <c r="E15263" s="1690" t="s">
        <v>221</v>
      </c>
      <c r="F15263" s="1690"/>
      <c r="G15263" s="1427" t="s">
        <v>24</v>
      </c>
      <c r="H15263" s="393">
        <v>5.5999999999999999E-3</v>
      </c>
      <c r="I15263" s="841"/>
      <c r="J15263" s="841"/>
      <c r="K15263" s="744" t="s">
        <v>3457</v>
      </c>
      <c r="L15263" s="744" t="s">
        <v>444</v>
      </c>
      <c r="M15263" s="1436"/>
      <c r="N15263" s="841"/>
      <c r="O15263" s="841"/>
      <c r="P15263" s="744" t="s">
        <v>3462</v>
      </c>
      <c r="Q15263" s="841"/>
      <c r="R15263" s="841"/>
      <c r="S15263" s="841"/>
      <c r="T15263" s="841"/>
      <c r="U15263" s="841"/>
      <c r="V15263" s="1435">
        <v>47</v>
      </c>
    </row>
    <row r="15264" spans="1:29" ht="15" customHeight="1" x14ac:dyDescent="0.25">
      <c r="A15264" s="744" t="s">
        <v>204</v>
      </c>
      <c r="B15264" s="841"/>
      <c r="C15264" s="841"/>
      <c r="D15264" s="841"/>
      <c r="E15264" s="1690" t="s">
        <v>217</v>
      </c>
      <c r="F15264" s="1690"/>
      <c r="G15264" s="1427" t="s">
        <v>24</v>
      </c>
      <c r="H15264" s="393">
        <v>4.5999999999999999E-3</v>
      </c>
      <c r="I15264" s="841"/>
      <c r="J15264" s="841"/>
      <c r="K15264" s="744" t="s">
        <v>3457</v>
      </c>
      <c r="L15264" s="744" t="s">
        <v>444</v>
      </c>
      <c r="M15264" s="1436"/>
      <c r="N15264" s="841"/>
      <c r="O15264" s="841"/>
      <c r="P15264" s="744" t="s">
        <v>3463</v>
      </c>
      <c r="Q15264" s="841"/>
      <c r="R15264" s="841"/>
      <c r="S15264" s="841"/>
      <c r="T15264" s="841"/>
      <c r="U15264" s="841"/>
      <c r="V15264" s="1435">
        <v>74</v>
      </c>
    </row>
    <row r="15265" spans="1:29" ht="15" customHeight="1" x14ac:dyDescent="0.25">
      <c r="A15265" s="744" t="s">
        <v>204</v>
      </c>
      <c r="B15265" s="841"/>
      <c r="C15265" s="841"/>
      <c r="D15265" s="841"/>
      <c r="E15265" s="1694" t="s">
        <v>3079</v>
      </c>
      <c r="F15265" s="1690"/>
      <c r="G15265" s="1427"/>
      <c r="H15265" s="394"/>
      <c r="I15265" s="841"/>
      <c r="J15265" s="841"/>
      <c r="K15265" s="744" t="s">
        <v>3111</v>
      </c>
      <c r="L15265" s="841"/>
      <c r="M15265" s="1436"/>
      <c r="N15265" s="841"/>
      <c r="O15265" s="841"/>
      <c r="P15265" s="841"/>
      <c r="Q15265" s="841"/>
      <c r="R15265" s="841"/>
      <c r="S15265" s="841"/>
      <c r="T15265" s="841"/>
      <c r="U15265" s="841"/>
      <c r="V15265" s="1435">
        <v>48</v>
      </c>
    </row>
    <row r="15266" spans="1:29" ht="15" customHeight="1" x14ac:dyDescent="0.25">
      <c r="A15266" s="744" t="s">
        <v>204</v>
      </c>
      <c r="B15266" s="841"/>
      <c r="C15266" s="841"/>
      <c r="D15266" s="841"/>
      <c r="E15266" s="1690" t="s">
        <v>6718</v>
      </c>
      <c r="F15266" s="1690"/>
      <c r="G15266" s="1427" t="s">
        <v>24</v>
      </c>
      <c r="H15266" s="393">
        <v>3.2000000000000002E-3</v>
      </c>
      <c r="I15266" s="841"/>
      <c r="J15266" s="841"/>
      <c r="K15266" s="744" t="s">
        <v>3457</v>
      </c>
      <c r="L15266" s="744" t="s">
        <v>3046</v>
      </c>
      <c r="M15266" s="1436"/>
      <c r="N15266" s="841"/>
      <c r="O15266" s="841"/>
      <c r="P15266" s="744" t="s">
        <v>3464</v>
      </c>
      <c r="Q15266" s="841"/>
      <c r="R15266" s="841"/>
      <c r="S15266" s="841"/>
      <c r="T15266" s="841"/>
      <c r="U15266" s="841"/>
      <c r="V15266" s="1435">
        <v>55</v>
      </c>
    </row>
    <row r="15267" spans="1:29" ht="15" customHeight="1" x14ac:dyDescent="0.25">
      <c r="A15267" s="744" t="s">
        <v>204</v>
      </c>
      <c r="B15267" s="841"/>
      <c r="C15267" s="841"/>
      <c r="D15267" s="841"/>
      <c r="E15267" s="1690" t="s">
        <v>3211</v>
      </c>
      <c r="F15267" s="1690"/>
      <c r="G15267" s="1427" t="s">
        <v>24</v>
      </c>
      <c r="H15267" s="393">
        <v>4.0000000000000002E-4</v>
      </c>
      <c r="I15267" s="841"/>
      <c r="J15267" s="841"/>
      <c r="K15267" s="744" t="s">
        <v>3457</v>
      </c>
      <c r="L15267" s="744" t="s">
        <v>3046</v>
      </c>
      <c r="M15267" s="1436"/>
      <c r="N15267" s="841"/>
      <c r="O15267" s="841"/>
      <c r="P15267" s="744" t="s">
        <v>3464</v>
      </c>
      <c r="Q15267" s="841"/>
      <c r="R15267" s="841"/>
      <c r="S15267" s="841"/>
      <c r="T15267" s="841"/>
      <c r="U15267" s="841"/>
      <c r="V15267" s="1435">
        <v>64</v>
      </c>
    </row>
    <row r="15268" spans="1:29" ht="15" customHeight="1" x14ac:dyDescent="0.25">
      <c r="A15268" s="744" t="s">
        <v>204</v>
      </c>
      <c r="B15268" s="841"/>
      <c r="C15268" s="841"/>
      <c r="D15268" s="841"/>
      <c r="E15268" s="1690" t="s">
        <v>439</v>
      </c>
      <c r="F15268" s="1690"/>
      <c r="G15268" s="1427" t="s">
        <v>24</v>
      </c>
      <c r="H15268" s="393">
        <v>2.0999999999999999E-3</v>
      </c>
      <c r="I15268" s="841"/>
      <c r="J15268" s="841"/>
      <c r="K15268" s="744" t="s">
        <v>3457</v>
      </c>
      <c r="L15268" s="744" t="s">
        <v>3046</v>
      </c>
      <c r="M15268" s="1436"/>
      <c r="N15268" s="841"/>
      <c r="O15268" s="841"/>
      <c r="P15268" s="744" t="s">
        <v>3465</v>
      </c>
      <c r="Q15268" s="841"/>
      <c r="R15268" s="841"/>
      <c r="S15268" s="841"/>
      <c r="T15268" s="841"/>
      <c r="U15268" s="841"/>
      <c r="V15268" s="1435">
        <v>57</v>
      </c>
    </row>
    <row r="15269" spans="1:29" ht="15" customHeight="1" x14ac:dyDescent="0.25">
      <c r="A15269" s="744" t="s">
        <v>204</v>
      </c>
      <c r="B15269" s="841"/>
      <c r="C15269" s="841"/>
      <c r="D15269" s="841"/>
      <c r="E15269" s="1690" t="s">
        <v>32</v>
      </c>
      <c r="F15269" s="1690"/>
      <c r="G15269" s="1427" t="s">
        <v>23</v>
      </c>
      <c r="H15269" s="391">
        <v>0.25</v>
      </c>
      <c r="I15269" s="841"/>
      <c r="J15269" s="841"/>
      <c r="K15269" s="744" t="s">
        <v>3457</v>
      </c>
      <c r="L15269" s="744" t="s">
        <v>3046</v>
      </c>
      <c r="M15269" s="1436"/>
      <c r="N15269" s="841"/>
      <c r="O15269" s="841"/>
      <c r="P15269" s="744" t="s">
        <v>3466</v>
      </c>
      <c r="Q15269" s="841"/>
      <c r="R15269" s="841"/>
      <c r="S15269" s="841"/>
      <c r="T15269" s="841"/>
      <c r="U15269" s="841"/>
      <c r="V15269" s="1435">
        <v>63</v>
      </c>
    </row>
    <row r="15270" spans="1:29" ht="18" customHeight="1" x14ac:dyDescent="0.25">
      <c r="A15270" s="744" t="s">
        <v>204</v>
      </c>
      <c r="B15270" s="841"/>
      <c r="C15270" s="841"/>
      <c r="D15270" s="841"/>
      <c r="E15270" s="1909" t="s">
        <v>618</v>
      </c>
      <c r="F15270" s="1915"/>
      <c r="G15270" s="1915"/>
      <c r="H15270" s="1915"/>
      <c r="I15270" s="841"/>
      <c r="J15270" s="841"/>
      <c r="K15270" s="744" t="s">
        <v>3371</v>
      </c>
      <c r="L15270" s="841"/>
      <c r="M15270" s="1436"/>
      <c r="N15270" s="841"/>
      <c r="O15270" s="841"/>
      <c r="P15270" s="841"/>
      <c r="Q15270" s="841"/>
      <c r="R15270" s="841"/>
      <c r="S15270" s="841"/>
      <c r="T15270" s="841"/>
      <c r="U15270" s="841"/>
      <c r="V15270" s="1435">
        <v>31</v>
      </c>
      <c r="W15270" s="841"/>
      <c r="X15270" s="841"/>
      <c r="Y15270" s="841"/>
      <c r="Z15270" s="841"/>
      <c r="AA15270" s="841"/>
      <c r="AB15270" s="841"/>
      <c r="AC15270" s="744">
        <v>3</v>
      </c>
    </row>
    <row r="15271" spans="1:29" ht="15" customHeight="1" x14ac:dyDescent="0.25">
      <c r="A15271" s="744" t="s">
        <v>204</v>
      </c>
      <c r="B15271" s="841"/>
      <c r="C15271" s="841"/>
      <c r="D15271" s="841"/>
      <c r="E15271" s="1689" t="s">
        <v>3372</v>
      </c>
      <c r="F15271" s="1689"/>
      <c r="G15271" s="1689"/>
      <c r="H15271" s="1689"/>
      <c r="I15271" s="841"/>
      <c r="J15271" s="841"/>
      <c r="K15271" s="744" t="s">
        <v>3371</v>
      </c>
      <c r="L15271" s="841"/>
      <c r="M15271" s="1436"/>
      <c r="N15271" s="841"/>
      <c r="O15271" s="841"/>
      <c r="P15271" s="841"/>
      <c r="Q15271" s="841"/>
      <c r="R15271" s="841"/>
      <c r="S15271" s="841"/>
      <c r="T15271" s="841"/>
      <c r="U15271" s="841"/>
      <c r="V15271" s="1435">
        <v>285</v>
      </c>
      <c r="W15271" s="841"/>
      <c r="X15271" s="841"/>
      <c r="Y15271" s="841"/>
      <c r="Z15271" s="841"/>
      <c r="AA15271" s="841"/>
      <c r="AB15271" s="841"/>
      <c r="AC15271" s="841"/>
    </row>
    <row r="15272" spans="1:29" ht="15" x14ac:dyDescent="0.25">
      <c r="A15272" s="744" t="s">
        <v>204</v>
      </c>
      <c r="B15272" s="841"/>
      <c r="C15272" s="841"/>
      <c r="D15272" s="841"/>
      <c r="E15272" s="1916" t="s">
        <v>3061</v>
      </c>
      <c r="F15272" s="1697"/>
      <c r="G15272" s="1697"/>
      <c r="H15272" s="1697"/>
      <c r="I15272" s="841"/>
      <c r="J15272" s="841"/>
      <c r="K15272" s="744" t="s">
        <v>3114</v>
      </c>
      <c r="L15272" s="841"/>
      <c r="M15272" s="1436"/>
      <c r="N15272" s="841"/>
      <c r="O15272" s="841"/>
      <c r="P15272" s="841"/>
      <c r="Q15272" s="841"/>
      <c r="R15272" s="841"/>
      <c r="S15272" s="841"/>
      <c r="T15272" s="841"/>
      <c r="U15272" s="841"/>
      <c r="V15272" s="1435">
        <v>11</v>
      </c>
      <c r="W15272" s="841"/>
      <c r="X15272" s="841"/>
      <c r="Y15272" s="841"/>
      <c r="Z15272" s="841"/>
      <c r="AA15272" s="841"/>
      <c r="AB15272" s="841"/>
      <c r="AC15272" s="841"/>
    </row>
    <row r="15273" spans="1:29" ht="15" customHeight="1" x14ac:dyDescent="0.25">
      <c r="A15273" s="744" t="s">
        <v>204</v>
      </c>
      <c r="B15273" s="841"/>
      <c r="C15273" s="841"/>
      <c r="D15273" s="841"/>
      <c r="E15273" s="1689" t="s">
        <v>3063</v>
      </c>
      <c r="F15273" s="1689"/>
      <c r="G15273" s="1689"/>
      <c r="H15273" s="1689"/>
      <c r="I15273" s="841"/>
      <c r="J15273" s="841"/>
      <c r="K15273" s="744" t="s">
        <v>3371</v>
      </c>
      <c r="L15273" s="841"/>
      <c r="M15273" s="1436"/>
      <c r="N15273" s="841"/>
      <c r="O15273" s="841"/>
      <c r="P15273" s="841"/>
      <c r="Q15273" s="841"/>
      <c r="R15273" s="841"/>
      <c r="S15273" s="841"/>
      <c r="T15273" s="841"/>
      <c r="U15273" s="841"/>
      <c r="V15273" s="1435">
        <v>280</v>
      </c>
      <c r="W15273" s="841"/>
      <c r="X15273" s="841"/>
      <c r="Y15273" s="841"/>
      <c r="Z15273" s="841"/>
      <c r="AA15273" s="841"/>
      <c r="AB15273" s="841"/>
      <c r="AC15273" s="841"/>
    </row>
    <row r="15274" spans="1:29" ht="15" customHeight="1" x14ac:dyDescent="0.25">
      <c r="A15274" s="744" t="s">
        <v>204</v>
      </c>
      <c r="B15274" s="841"/>
      <c r="C15274" s="841"/>
      <c r="D15274" s="841"/>
      <c r="E15274" s="1689" t="s">
        <v>3064</v>
      </c>
      <c r="F15274" s="1689"/>
      <c r="G15274" s="1689"/>
      <c r="H15274" s="1689"/>
      <c r="I15274" s="841"/>
      <c r="J15274" s="841"/>
      <c r="K15274" s="744" t="s">
        <v>3371</v>
      </c>
      <c r="L15274" s="841"/>
      <c r="M15274" s="1436"/>
      <c r="N15274" s="841"/>
      <c r="O15274" s="841"/>
      <c r="P15274" s="841"/>
      <c r="Q15274" s="841"/>
      <c r="R15274" s="841"/>
      <c r="S15274" s="841"/>
      <c r="T15274" s="841"/>
      <c r="U15274" s="841"/>
      <c r="V15274" s="1435">
        <v>411</v>
      </c>
      <c r="W15274" s="841"/>
      <c r="X15274" s="841"/>
      <c r="Y15274" s="841"/>
      <c r="Z15274" s="841"/>
      <c r="AA15274" s="841"/>
      <c r="AB15274" s="841"/>
      <c r="AC15274" s="841"/>
    </row>
    <row r="15275" spans="1:29" ht="15" customHeight="1" x14ac:dyDescent="0.25">
      <c r="A15275" s="744" t="s">
        <v>204</v>
      </c>
      <c r="B15275" s="841"/>
      <c r="C15275" s="841"/>
      <c r="D15275" s="841"/>
      <c r="E15275" s="1689" t="s">
        <v>3129</v>
      </c>
      <c r="F15275" s="1689"/>
      <c r="G15275" s="1689"/>
      <c r="H15275" s="1689"/>
      <c r="I15275" s="841"/>
      <c r="J15275" s="841"/>
      <c r="K15275" s="744" t="s">
        <v>3371</v>
      </c>
      <c r="L15275" s="841"/>
      <c r="M15275" s="1436"/>
      <c r="N15275" s="841"/>
      <c r="O15275" s="841"/>
      <c r="P15275" s="841"/>
      <c r="Q15275" s="841"/>
      <c r="R15275" s="841"/>
      <c r="S15275" s="841"/>
      <c r="T15275" s="841"/>
      <c r="U15275" s="841"/>
      <c r="V15275" s="1435">
        <v>211</v>
      </c>
      <c r="W15275" s="841"/>
      <c r="X15275" s="841"/>
      <c r="Y15275" s="841"/>
      <c r="Z15275" s="841"/>
      <c r="AA15275" s="841"/>
      <c r="AB15275" s="841"/>
      <c r="AC15275" s="841"/>
    </row>
    <row r="15276" spans="1:29" ht="15" customHeight="1" x14ac:dyDescent="0.25">
      <c r="A15276" s="744" t="s">
        <v>204</v>
      </c>
      <c r="B15276" s="841"/>
      <c r="C15276" s="841"/>
      <c r="D15276" s="841"/>
      <c r="E15276" s="1689" t="s">
        <v>3200</v>
      </c>
      <c r="F15276" s="1689"/>
      <c r="G15276" s="1689"/>
      <c r="H15276" s="1689"/>
      <c r="I15276" s="841"/>
      <c r="J15276" s="841"/>
      <c r="K15276" s="744" t="s">
        <v>3371</v>
      </c>
      <c r="L15276" s="841"/>
      <c r="M15276" s="1436"/>
      <c r="N15276" s="841"/>
      <c r="O15276" s="841"/>
      <c r="P15276" s="841"/>
      <c r="Q15276" s="841"/>
      <c r="R15276" s="841"/>
      <c r="S15276" s="841"/>
      <c r="T15276" s="841"/>
      <c r="U15276" s="841"/>
      <c r="V15276" s="1435">
        <v>275</v>
      </c>
      <c r="W15276" s="841"/>
      <c r="X15276" s="841"/>
      <c r="Y15276" s="841"/>
      <c r="Z15276" s="841"/>
      <c r="AA15276" s="841"/>
      <c r="AB15276" s="841"/>
      <c r="AC15276" s="841"/>
    </row>
    <row r="15277" spans="1:29" ht="15" customHeight="1" x14ac:dyDescent="0.25">
      <c r="A15277" s="744" t="s">
        <v>204</v>
      </c>
      <c r="B15277" s="841"/>
      <c r="C15277" s="841"/>
      <c r="D15277" s="841"/>
      <c r="E15277" s="1694" t="s">
        <v>3067</v>
      </c>
      <c r="F15277" s="1907"/>
      <c r="G15277" s="1907"/>
      <c r="H15277" s="1907"/>
      <c r="I15277" s="841"/>
      <c r="J15277" s="841"/>
      <c r="K15277" s="744" t="s">
        <v>3115</v>
      </c>
      <c r="L15277" s="841"/>
      <c r="M15277" s="1436"/>
      <c r="N15277" s="841"/>
      <c r="O15277" s="841"/>
      <c r="P15277" s="841"/>
      <c r="Q15277" s="841"/>
      <c r="R15277" s="841"/>
      <c r="S15277" s="841"/>
      <c r="T15277" s="841"/>
      <c r="U15277" s="841"/>
      <c r="V15277" s="1435">
        <v>46</v>
      </c>
      <c r="W15277" s="841"/>
      <c r="X15277" s="841"/>
      <c r="Y15277" s="841"/>
      <c r="Z15277" s="841"/>
      <c r="AA15277" s="841"/>
      <c r="AB15277" s="841"/>
      <c r="AC15277" s="841"/>
    </row>
    <row r="15278" spans="1:29" ht="15" x14ac:dyDescent="0.25">
      <c r="A15278" s="744" t="s">
        <v>204</v>
      </c>
      <c r="B15278" s="841"/>
      <c r="C15278" s="841"/>
      <c r="D15278" s="841"/>
      <c r="E15278" s="1690" t="s">
        <v>11</v>
      </c>
      <c r="F15278" s="1690"/>
      <c r="G15278" s="1427" t="s">
        <v>23</v>
      </c>
      <c r="H15278" s="391">
        <v>5.4</v>
      </c>
      <c r="I15278" s="841"/>
      <c r="J15278" s="841"/>
      <c r="K15278" s="744" t="s">
        <v>3371</v>
      </c>
      <c r="L15278" s="744" t="s">
        <v>442</v>
      </c>
      <c r="M15278" s="1436"/>
      <c r="N15278" s="841"/>
      <c r="O15278" s="841"/>
      <c r="P15278" s="744" t="s">
        <v>3373</v>
      </c>
      <c r="Q15278" s="841"/>
      <c r="R15278" s="841"/>
      <c r="S15278" s="841"/>
      <c r="T15278" s="841"/>
      <c r="U15278" s="841"/>
      <c r="V15278" s="1435">
        <v>14</v>
      </c>
      <c r="W15278" s="841"/>
      <c r="X15278" s="841"/>
      <c r="Y15278" s="841"/>
      <c r="Z15278" s="841"/>
      <c r="AA15278" s="841"/>
      <c r="AB15278" s="841"/>
      <c r="AC15278" s="841"/>
    </row>
    <row r="15279" spans="1:29" ht="18.75" x14ac:dyDescent="0.3">
      <c r="A15279" s="744" t="s">
        <v>204</v>
      </c>
      <c r="B15279" s="841"/>
      <c r="C15279" s="841"/>
      <c r="D15279" s="841"/>
      <c r="E15279" s="1425" t="s">
        <v>85</v>
      </c>
      <c r="F15279" s="657"/>
      <c r="G15279" s="657"/>
      <c r="H15279" s="658"/>
      <c r="I15279" s="841"/>
      <c r="J15279" s="841"/>
      <c r="K15279" s="744" t="s">
        <v>6823</v>
      </c>
      <c r="L15279" s="841"/>
      <c r="M15279" s="1436"/>
      <c r="N15279" s="841"/>
      <c r="O15279" s="841"/>
      <c r="P15279" s="841"/>
      <c r="Q15279" s="841"/>
      <c r="R15279" s="841"/>
      <c r="S15279" s="841"/>
      <c r="T15279" s="841"/>
      <c r="U15279" s="841"/>
      <c r="V15279" s="1435">
        <v>10</v>
      </c>
      <c r="W15279" s="841"/>
      <c r="X15279" s="841"/>
      <c r="Y15279" s="841"/>
      <c r="Z15279" s="841"/>
      <c r="AA15279" s="841"/>
      <c r="AB15279" s="841"/>
      <c r="AC15279" s="841"/>
    </row>
    <row r="15280" spans="1:29" ht="15" customHeight="1" x14ac:dyDescent="0.25">
      <c r="A15280" s="744" t="s">
        <v>204</v>
      </c>
      <c r="B15280" s="841"/>
      <c r="C15280" s="841"/>
      <c r="D15280" s="841"/>
      <c r="E15280" s="1690" t="s">
        <v>3133</v>
      </c>
      <c r="F15280" s="1690"/>
      <c r="G15280" s="1427" t="s">
        <v>33</v>
      </c>
      <c r="H15280" s="391">
        <v>-0.6</v>
      </c>
      <c r="I15280" s="1431" t="s">
        <v>2461</v>
      </c>
      <c r="J15280" s="841"/>
      <c r="K15280" s="841"/>
      <c r="L15280" s="841"/>
      <c r="M15280" s="1436"/>
      <c r="N15280" s="841"/>
      <c r="O15280" s="841"/>
      <c r="P15280" s="841"/>
      <c r="Q15280" s="841"/>
      <c r="R15280" s="841"/>
      <c r="S15280" s="841"/>
      <c r="T15280" s="841"/>
      <c r="U15280" s="841"/>
      <c r="V15280" s="1435">
        <v>68</v>
      </c>
      <c r="W15280" s="841"/>
      <c r="X15280" s="841"/>
      <c r="Y15280" s="841"/>
      <c r="Z15280" s="841"/>
      <c r="AA15280" s="841"/>
      <c r="AB15280" s="841"/>
      <c r="AC15280" s="841"/>
    </row>
    <row r="15281" spans="1:29" ht="15" customHeight="1" x14ac:dyDescent="0.25">
      <c r="A15281" s="744" t="s">
        <v>204</v>
      </c>
      <c r="B15281" s="841"/>
      <c r="C15281" s="841"/>
      <c r="D15281" s="841"/>
      <c r="E15281" s="1690" t="s">
        <v>3134</v>
      </c>
      <c r="F15281" s="1690"/>
      <c r="G15281" s="1427" t="s">
        <v>86</v>
      </c>
      <c r="H15281" s="391">
        <v>-1</v>
      </c>
      <c r="I15281" s="841"/>
      <c r="J15281" s="841"/>
      <c r="K15281" s="841"/>
      <c r="L15281" s="744" t="s">
        <v>3046</v>
      </c>
      <c r="M15281" s="1436"/>
      <c r="N15281" s="841"/>
      <c r="O15281" s="841"/>
      <c r="P15281" s="841"/>
      <c r="Q15281" s="841"/>
      <c r="R15281" s="841"/>
      <c r="S15281" s="841"/>
      <c r="T15281" s="841"/>
      <c r="U15281" s="841"/>
      <c r="V15281" s="1435">
        <v>89</v>
      </c>
      <c r="W15281" s="841"/>
      <c r="X15281" s="841"/>
      <c r="Y15281" s="841"/>
      <c r="Z15281" s="841"/>
      <c r="AA15281" s="841"/>
      <c r="AB15281" s="841"/>
      <c r="AC15281" s="841"/>
    </row>
    <row r="15282" spans="1:29" ht="36.75" x14ac:dyDescent="0.3">
      <c r="A15282" s="744" t="s">
        <v>204</v>
      </c>
      <c r="B15282" s="841"/>
      <c r="C15282" s="841"/>
      <c r="D15282" s="841"/>
      <c r="E15282" s="1425" t="s">
        <v>87</v>
      </c>
      <c r="F15282" s="657"/>
      <c r="G15282" s="657"/>
      <c r="H15282" s="658"/>
      <c r="I15282" s="841"/>
      <c r="J15282" s="841"/>
      <c r="K15282" s="744" t="s">
        <v>6824</v>
      </c>
      <c r="L15282" s="841"/>
      <c r="M15282" s="1436"/>
      <c r="N15282" s="841"/>
      <c r="O15282" s="841"/>
      <c r="P15282" s="841"/>
      <c r="Q15282" s="841"/>
      <c r="R15282" s="841"/>
      <c r="S15282" s="841"/>
      <c r="T15282" s="841"/>
      <c r="U15282" s="841"/>
      <c r="V15282" s="1435">
        <v>24</v>
      </c>
      <c r="W15282" s="841"/>
      <c r="X15282" s="841"/>
      <c r="Y15282" s="841"/>
      <c r="Z15282" s="841"/>
      <c r="AA15282" s="841"/>
      <c r="AB15282" s="841"/>
      <c r="AC15282" s="841"/>
    </row>
    <row r="15283" spans="1:29" ht="15" customHeight="1" x14ac:dyDescent="0.25">
      <c r="A15283" s="744" t="s">
        <v>204</v>
      </c>
      <c r="B15283" s="841"/>
      <c r="C15283" s="841"/>
      <c r="D15283" s="841"/>
      <c r="E15283" s="1689" t="s">
        <v>3063</v>
      </c>
      <c r="F15283" s="1689"/>
      <c r="G15283" s="1689"/>
      <c r="H15283" s="1689"/>
      <c r="I15283" s="841"/>
      <c r="J15283" s="841"/>
      <c r="K15283" s="841"/>
      <c r="L15283" s="841"/>
      <c r="M15283" s="1436"/>
      <c r="N15283" s="841"/>
      <c r="O15283" s="841"/>
      <c r="P15283" s="841"/>
      <c r="Q15283" s="841"/>
      <c r="R15283" s="841"/>
      <c r="S15283" s="841"/>
      <c r="T15283" s="841"/>
      <c r="U15283" s="841"/>
      <c r="V15283" s="1435">
        <v>280</v>
      </c>
      <c r="W15283" s="841"/>
      <c r="X15283" s="841"/>
      <c r="Y15283" s="841"/>
      <c r="Z15283" s="841"/>
      <c r="AA15283" s="841"/>
      <c r="AB15283" s="841"/>
      <c r="AC15283" s="841"/>
    </row>
    <row r="15284" spans="1:29" ht="15" customHeight="1" x14ac:dyDescent="0.25">
      <c r="A15284" s="744" t="s">
        <v>204</v>
      </c>
      <c r="B15284" s="841"/>
      <c r="C15284" s="841"/>
      <c r="D15284" s="841"/>
      <c r="E15284" s="1689" t="s">
        <v>3136</v>
      </c>
      <c r="F15284" s="1689"/>
      <c r="G15284" s="1689"/>
      <c r="H15284" s="1689"/>
      <c r="I15284" s="841"/>
      <c r="J15284" s="841"/>
      <c r="K15284" s="841"/>
      <c r="L15284" s="841"/>
      <c r="M15284" s="1436"/>
      <c r="N15284" s="841"/>
      <c r="O15284" s="841"/>
      <c r="P15284" s="841"/>
      <c r="Q15284" s="841"/>
      <c r="R15284" s="841"/>
      <c r="S15284" s="841"/>
      <c r="T15284" s="841"/>
      <c r="U15284" s="841"/>
      <c r="V15284" s="1435">
        <v>353</v>
      </c>
      <c r="W15284" s="841"/>
      <c r="X15284" s="841"/>
      <c r="Y15284" s="841"/>
      <c r="Z15284" s="841"/>
      <c r="AA15284" s="841"/>
      <c r="AB15284" s="841"/>
      <c r="AC15284" s="841"/>
    </row>
    <row r="15285" spans="1:29" ht="15" customHeight="1" x14ac:dyDescent="0.25">
      <c r="A15285" s="744" t="s">
        <v>204</v>
      </c>
      <c r="B15285" s="841"/>
      <c r="C15285" s="841"/>
      <c r="D15285" s="841"/>
      <c r="E15285" s="1689" t="s">
        <v>3200</v>
      </c>
      <c r="F15285" s="1689"/>
      <c r="G15285" s="1689"/>
      <c r="H15285" s="1689"/>
      <c r="I15285" s="841"/>
      <c r="J15285" s="841"/>
      <c r="K15285" s="841"/>
      <c r="L15285" s="841"/>
      <c r="M15285" s="1436"/>
      <c r="N15285" s="841"/>
      <c r="O15285" s="841"/>
      <c r="P15285" s="841"/>
      <c r="Q15285" s="841"/>
      <c r="R15285" s="841"/>
      <c r="S15285" s="841"/>
      <c r="T15285" s="841"/>
      <c r="U15285" s="841"/>
      <c r="V15285" s="1435">
        <v>275</v>
      </c>
      <c r="W15285" s="841"/>
      <c r="X15285" s="841"/>
      <c r="Y15285" s="841"/>
      <c r="Z15285" s="841"/>
      <c r="AA15285" s="841"/>
      <c r="AB15285" s="841"/>
      <c r="AC15285" s="841"/>
    </row>
    <row r="15286" spans="1:29" ht="15" x14ac:dyDescent="0.25">
      <c r="A15286" s="744" t="s">
        <v>204</v>
      </c>
      <c r="B15286" s="841"/>
      <c r="C15286" s="841"/>
      <c r="D15286" s="841"/>
      <c r="E15286" s="1424" t="s">
        <v>3137</v>
      </c>
      <c r="F15286" s="3"/>
      <c r="G15286" s="3"/>
      <c r="H15286" s="398"/>
      <c r="I15286" s="841"/>
      <c r="J15286" s="841"/>
      <c r="K15286" s="744" t="s">
        <v>6825</v>
      </c>
      <c r="L15286" s="841"/>
      <c r="M15286" s="1436"/>
      <c r="N15286" s="841"/>
      <c r="O15286" s="841"/>
      <c r="P15286" s="841"/>
      <c r="Q15286" s="841"/>
      <c r="R15286" s="841"/>
      <c r="S15286" s="841"/>
      <c r="T15286" s="841"/>
      <c r="U15286" s="841"/>
      <c r="V15286" s="1435">
        <v>23</v>
      </c>
    </row>
    <row r="15287" spans="1:29" ht="15" x14ac:dyDescent="0.25">
      <c r="A15287" s="744" t="s">
        <v>204</v>
      </c>
      <c r="B15287" s="841"/>
      <c r="C15287" s="841"/>
      <c r="D15287" s="841"/>
      <c r="E15287" s="1688" t="s">
        <v>3355</v>
      </c>
      <c r="F15287" s="1688"/>
      <c r="G15287" s="1427" t="s">
        <v>23</v>
      </c>
      <c r="H15287" s="391">
        <v>15</v>
      </c>
      <c r="I15287" s="841"/>
      <c r="J15287" s="841"/>
      <c r="K15287" s="841"/>
      <c r="L15287" s="841"/>
      <c r="M15287" s="1436"/>
      <c r="N15287" s="841"/>
      <c r="O15287" s="841"/>
      <c r="P15287" s="841"/>
      <c r="Q15287" s="841"/>
      <c r="R15287" s="841"/>
      <c r="S15287" s="841"/>
      <c r="T15287" s="841"/>
      <c r="U15287" s="841"/>
      <c r="V15287" s="1435">
        <v>19</v>
      </c>
    </row>
    <row r="15288" spans="1:29" ht="15" x14ac:dyDescent="0.25">
      <c r="A15288" s="744" t="s">
        <v>204</v>
      </c>
      <c r="B15288" s="841"/>
      <c r="C15288" s="841"/>
      <c r="D15288" s="841"/>
      <c r="E15288" s="1688" t="s">
        <v>3140</v>
      </c>
      <c r="F15288" s="1688"/>
      <c r="G15288" s="1427" t="s">
        <v>23</v>
      </c>
      <c r="H15288" s="391">
        <v>15</v>
      </c>
      <c r="I15288" s="841"/>
      <c r="J15288" s="841"/>
      <c r="K15288" s="841"/>
      <c r="L15288" s="841"/>
      <c r="M15288" s="1436"/>
      <c r="N15288" s="841"/>
      <c r="O15288" s="841"/>
      <c r="P15288" s="841"/>
      <c r="Q15288" s="841"/>
      <c r="R15288" s="841"/>
      <c r="S15288" s="841"/>
      <c r="T15288" s="841"/>
      <c r="U15288" s="841"/>
      <c r="V15288" s="1435">
        <v>20</v>
      </c>
    </row>
    <row r="15289" spans="1:29" ht="15" x14ac:dyDescent="0.25">
      <c r="A15289" s="744" t="s">
        <v>204</v>
      </c>
      <c r="B15289" s="841"/>
      <c r="C15289" s="841"/>
      <c r="D15289" s="841"/>
      <c r="E15289" s="1688" t="s">
        <v>3141</v>
      </c>
      <c r="F15289" s="1688"/>
      <c r="G15289" s="1427" t="s">
        <v>23</v>
      </c>
      <c r="H15289" s="391">
        <v>15</v>
      </c>
      <c r="I15289" s="841"/>
      <c r="J15289" s="841"/>
      <c r="K15289" s="841"/>
      <c r="L15289" s="841"/>
      <c r="M15289" s="1436"/>
      <c r="N15289" s="841"/>
      <c r="O15289" s="841"/>
      <c r="P15289" s="841"/>
      <c r="Q15289" s="841"/>
      <c r="R15289" s="841"/>
      <c r="S15289" s="841"/>
      <c r="T15289" s="841"/>
      <c r="U15289" s="841"/>
      <c r="V15289" s="1435">
        <v>26</v>
      </c>
    </row>
    <row r="15290" spans="1:29" ht="15" x14ac:dyDescent="0.25">
      <c r="A15290" s="744" t="s">
        <v>204</v>
      </c>
      <c r="B15290" s="841"/>
      <c r="C15290" s="841"/>
      <c r="D15290" s="841"/>
      <c r="E15290" s="1688" t="s">
        <v>3142</v>
      </c>
      <c r="F15290" s="1688"/>
      <c r="G15290" s="1427" t="s">
        <v>23</v>
      </c>
      <c r="H15290" s="391">
        <v>15</v>
      </c>
      <c r="I15290" s="841"/>
      <c r="J15290" s="841"/>
      <c r="K15290" s="841"/>
      <c r="L15290" s="841"/>
      <c r="M15290" s="1436"/>
      <c r="N15290" s="841"/>
      <c r="O15290" s="841"/>
      <c r="P15290" s="841"/>
      <c r="Q15290" s="841"/>
      <c r="R15290" s="841"/>
      <c r="S15290" s="841"/>
      <c r="T15290" s="841"/>
      <c r="U15290" s="841"/>
      <c r="V15290" s="1435">
        <v>39</v>
      </c>
    </row>
    <row r="15291" spans="1:29" ht="15" x14ac:dyDescent="0.25">
      <c r="A15291" s="744" t="s">
        <v>204</v>
      </c>
      <c r="B15291" s="841"/>
      <c r="C15291" s="841"/>
      <c r="D15291" s="841"/>
      <c r="E15291" s="1688" t="s">
        <v>3143</v>
      </c>
      <c r="F15291" s="1688"/>
      <c r="G15291" s="1427" t="s">
        <v>23</v>
      </c>
      <c r="H15291" s="391">
        <v>15</v>
      </c>
      <c r="I15291" s="841"/>
      <c r="J15291" s="841"/>
      <c r="K15291" s="841"/>
      <c r="L15291" s="841"/>
      <c r="M15291" s="1436"/>
      <c r="N15291" s="841"/>
      <c r="O15291" s="841"/>
      <c r="P15291" s="841"/>
      <c r="Q15291" s="841"/>
      <c r="R15291" s="841"/>
      <c r="S15291" s="841"/>
      <c r="T15291" s="841"/>
      <c r="U15291" s="841"/>
      <c r="V15291" s="1435">
        <v>37</v>
      </c>
    </row>
    <row r="15292" spans="1:29" ht="15" x14ac:dyDescent="0.25">
      <c r="A15292" s="744" t="s">
        <v>204</v>
      </c>
      <c r="B15292" s="841"/>
      <c r="C15292" s="841"/>
      <c r="D15292" s="841"/>
      <c r="E15292" s="1688" t="s">
        <v>3144</v>
      </c>
      <c r="F15292" s="1688"/>
      <c r="G15292" s="1427" t="s">
        <v>23</v>
      </c>
      <c r="H15292" s="391">
        <v>15</v>
      </c>
      <c r="I15292" s="841"/>
      <c r="J15292" s="841"/>
      <c r="K15292" s="841"/>
      <c r="L15292" s="841"/>
      <c r="M15292" s="1436"/>
      <c r="N15292" s="841"/>
      <c r="O15292" s="841"/>
      <c r="P15292" s="841"/>
      <c r="Q15292" s="841"/>
      <c r="R15292" s="841"/>
      <c r="S15292" s="841"/>
      <c r="T15292" s="841"/>
      <c r="U15292" s="841"/>
      <c r="V15292" s="1435">
        <v>15</v>
      </c>
    </row>
    <row r="15293" spans="1:29" ht="15" x14ac:dyDescent="0.25">
      <c r="A15293" s="744" t="s">
        <v>204</v>
      </c>
      <c r="B15293" s="841"/>
      <c r="C15293" s="841"/>
      <c r="D15293" s="841"/>
      <c r="E15293" s="1688" t="s">
        <v>3145</v>
      </c>
      <c r="F15293" s="1688"/>
      <c r="G15293" s="1427" t="s">
        <v>23</v>
      </c>
      <c r="H15293" s="391">
        <v>15</v>
      </c>
      <c r="I15293" s="841"/>
      <c r="J15293" s="841"/>
      <c r="K15293" s="841"/>
      <c r="L15293" s="841"/>
      <c r="M15293" s="1436"/>
      <c r="N15293" s="841"/>
      <c r="O15293" s="841"/>
      <c r="P15293" s="841"/>
      <c r="Q15293" s="841"/>
      <c r="R15293" s="841"/>
      <c r="S15293" s="841"/>
      <c r="T15293" s="841"/>
      <c r="U15293" s="841"/>
      <c r="V15293" s="1435">
        <v>17</v>
      </c>
    </row>
    <row r="15294" spans="1:29" ht="15" x14ac:dyDescent="0.25">
      <c r="A15294" s="744" t="s">
        <v>204</v>
      </c>
      <c r="B15294" s="841"/>
      <c r="C15294" s="841"/>
      <c r="D15294" s="841"/>
      <c r="E15294" s="1688" t="s">
        <v>3146</v>
      </c>
      <c r="F15294" s="1688"/>
      <c r="G15294" s="1427" t="s">
        <v>23</v>
      </c>
      <c r="H15294" s="391">
        <v>15</v>
      </c>
      <c r="I15294" s="841"/>
      <c r="J15294" s="841"/>
      <c r="K15294" s="841"/>
      <c r="L15294" s="841"/>
      <c r="M15294" s="1436"/>
      <c r="N15294" s="841"/>
      <c r="O15294" s="841"/>
      <c r="P15294" s="841"/>
      <c r="Q15294" s="841"/>
      <c r="R15294" s="841"/>
      <c r="S15294" s="841"/>
      <c r="T15294" s="841"/>
      <c r="U15294" s="841"/>
      <c r="V15294" s="1435">
        <v>19</v>
      </c>
    </row>
    <row r="15295" spans="1:29" ht="15" x14ac:dyDescent="0.25">
      <c r="A15295" s="744" t="s">
        <v>204</v>
      </c>
      <c r="B15295" s="841"/>
      <c r="C15295" s="841"/>
      <c r="D15295" s="841"/>
      <c r="E15295" s="1688" t="s">
        <v>3147</v>
      </c>
      <c r="F15295" s="1688"/>
      <c r="G15295" s="1427" t="s">
        <v>23</v>
      </c>
      <c r="H15295" s="391">
        <v>15</v>
      </c>
      <c r="I15295" s="841"/>
      <c r="J15295" s="841"/>
      <c r="K15295" s="841"/>
      <c r="L15295" s="841"/>
      <c r="M15295" s="1436"/>
      <c r="N15295" s="841"/>
      <c r="O15295" s="841"/>
      <c r="P15295" s="841"/>
      <c r="Q15295" s="841"/>
      <c r="R15295" s="841"/>
      <c r="S15295" s="841"/>
      <c r="T15295" s="841"/>
      <c r="U15295" s="841"/>
      <c r="V15295" s="1435">
        <v>15</v>
      </c>
    </row>
    <row r="15296" spans="1:29" ht="15" customHeight="1" x14ac:dyDescent="0.25">
      <c r="A15296" s="744" t="s">
        <v>204</v>
      </c>
      <c r="B15296" s="841"/>
      <c r="C15296" s="841"/>
      <c r="D15296" s="841"/>
      <c r="E15296" s="1688" t="s">
        <v>3148</v>
      </c>
      <c r="F15296" s="1688"/>
      <c r="G15296" s="1427" t="s">
        <v>23</v>
      </c>
      <c r="H15296" s="391">
        <v>25</v>
      </c>
      <c r="I15296" s="841"/>
      <c r="J15296" s="841"/>
      <c r="K15296" s="841"/>
      <c r="L15296" s="841"/>
      <c r="M15296" s="1436"/>
      <c r="N15296" s="841"/>
      <c r="O15296" s="841"/>
      <c r="P15296" s="841"/>
      <c r="Q15296" s="841"/>
      <c r="R15296" s="841"/>
      <c r="S15296" s="841"/>
      <c r="T15296" s="841"/>
      <c r="U15296" s="841"/>
      <c r="V15296" s="1435">
        <v>56</v>
      </c>
    </row>
    <row r="15297" spans="1:22" ht="15" x14ac:dyDescent="0.25">
      <c r="A15297" s="744" t="s">
        <v>204</v>
      </c>
      <c r="B15297" s="841"/>
      <c r="C15297" s="841"/>
      <c r="D15297" s="841"/>
      <c r="E15297" s="1688" t="s">
        <v>3149</v>
      </c>
      <c r="F15297" s="1688"/>
      <c r="G15297" s="1427" t="s">
        <v>23</v>
      </c>
      <c r="H15297" s="391">
        <v>15</v>
      </c>
      <c r="I15297" s="841"/>
      <c r="J15297" s="841"/>
      <c r="K15297" s="841"/>
      <c r="L15297" s="841"/>
      <c r="M15297" s="1436"/>
      <c r="N15297" s="841"/>
      <c r="O15297" s="841"/>
      <c r="P15297" s="841"/>
      <c r="Q15297" s="841"/>
      <c r="R15297" s="841"/>
      <c r="S15297" s="841"/>
      <c r="T15297" s="841"/>
      <c r="U15297" s="841"/>
      <c r="V15297" s="1435">
        <v>35</v>
      </c>
    </row>
    <row r="15298" spans="1:22" ht="15" x14ac:dyDescent="0.25">
      <c r="A15298" s="744" t="s">
        <v>204</v>
      </c>
      <c r="B15298" s="841"/>
      <c r="C15298" s="841"/>
      <c r="D15298" s="841"/>
      <c r="E15298" s="1688" t="s">
        <v>3150</v>
      </c>
      <c r="F15298" s="1688"/>
      <c r="G15298" s="1427" t="s">
        <v>23</v>
      </c>
      <c r="H15298" s="391">
        <v>15</v>
      </c>
      <c r="I15298" s="841"/>
      <c r="J15298" s="841"/>
      <c r="K15298" s="841"/>
      <c r="L15298" s="841"/>
      <c r="M15298" s="1436"/>
      <c r="N15298" s="841"/>
      <c r="O15298" s="841"/>
      <c r="P15298" s="841"/>
      <c r="Q15298" s="841"/>
      <c r="R15298" s="841"/>
      <c r="S15298" s="841"/>
      <c r="T15298" s="841"/>
      <c r="U15298" s="841"/>
      <c r="V15298" s="1435">
        <v>24</v>
      </c>
    </row>
    <row r="15299" spans="1:22" ht="15" x14ac:dyDescent="0.25">
      <c r="A15299" s="744" t="s">
        <v>204</v>
      </c>
      <c r="B15299" s="841"/>
      <c r="C15299" s="841"/>
      <c r="D15299" s="841"/>
      <c r="E15299" s="1688" t="s">
        <v>3151</v>
      </c>
      <c r="F15299" s="1688"/>
      <c r="G15299" s="1427" t="s">
        <v>23</v>
      </c>
      <c r="H15299" s="391">
        <v>15</v>
      </c>
      <c r="I15299" s="841"/>
      <c r="J15299" s="841"/>
      <c r="K15299" s="841"/>
      <c r="L15299" s="841"/>
      <c r="M15299" s="1436"/>
      <c r="N15299" s="841"/>
      <c r="O15299" s="841"/>
      <c r="P15299" s="841"/>
      <c r="Q15299" s="841"/>
      <c r="R15299" s="841"/>
      <c r="S15299" s="841"/>
      <c r="T15299" s="841"/>
      <c r="U15299" s="841"/>
      <c r="V15299" s="1435">
        <v>19</v>
      </c>
    </row>
    <row r="15300" spans="1:22" ht="15" customHeight="1" x14ac:dyDescent="0.25">
      <c r="A15300" s="744" t="s">
        <v>204</v>
      </c>
      <c r="B15300" s="841"/>
      <c r="C15300" s="841"/>
      <c r="D15300" s="841"/>
      <c r="E15300" s="1688" t="s">
        <v>88</v>
      </c>
      <c r="F15300" s="1688"/>
      <c r="G15300" s="1427" t="s">
        <v>23</v>
      </c>
      <c r="H15300" s="391">
        <v>15</v>
      </c>
      <c r="I15300" s="841"/>
      <c r="J15300" s="841"/>
      <c r="K15300" s="841"/>
      <c r="L15300" s="841"/>
      <c r="M15300" s="1436"/>
      <c r="N15300" s="841"/>
      <c r="O15300" s="841"/>
      <c r="P15300" s="841"/>
      <c r="Q15300" s="841"/>
      <c r="R15300" s="841"/>
      <c r="S15300" s="841"/>
      <c r="T15300" s="841"/>
      <c r="U15300" s="841"/>
      <c r="V15300" s="1435">
        <v>89</v>
      </c>
    </row>
    <row r="15301" spans="1:22" ht="15" x14ac:dyDescent="0.25">
      <c r="A15301" s="744" t="s">
        <v>204</v>
      </c>
      <c r="B15301" s="841"/>
      <c r="C15301" s="841"/>
      <c r="D15301" s="841"/>
      <c r="E15301" s="1688" t="s">
        <v>94</v>
      </c>
      <c r="F15301" s="1688"/>
      <c r="G15301" s="1427" t="s">
        <v>23</v>
      </c>
      <c r="H15301" s="391">
        <v>30</v>
      </c>
      <c r="I15301" s="841"/>
      <c r="J15301" s="841"/>
      <c r="K15301" s="841"/>
      <c r="L15301" s="841"/>
      <c r="M15301" s="1436"/>
      <c r="N15301" s="841"/>
      <c r="O15301" s="841"/>
      <c r="P15301" s="841"/>
      <c r="Q15301" s="841"/>
      <c r="R15301" s="841"/>
      <c r="S15301" s="841"/>
      <c r="T15301" s="841"/>
      <c r="U15301" s="841"/>
      <c r="V15301" s="1435">
        <v>19</v>
      </c>
    </row>
    <row r="15302" spans="1:22" ht="15" customHeight="1" x14ac:dyDescent="0.25">
      <c r="A15302" s="744" t="s">
        <v>204</v>
      </c>
      <c r="B15302" s="841"/>
      <c r="C15302" s="841"/>
      <c r="D15302" s="841"/>
      <c r="E15302" s="1688" t="s">
        <v>92</v>
      </c>
      <c r="F15302" s="1688"/>
      <c r="G15302" s="1427" t="s">
        <v>23</v>
      </c>
      <c r="H15302" s="391">
        <v>30</v>
      </c>
      <c r="I15302" s="841"/>
      <c r="J15302" s="841"/>
      <c r="K15302" s="841"/>
      <c r="L15302" s="841"/>
      <c r="M15302" s="1436"/>
      <c r="N15302" s="841"/>
      <c r="O15302" s="841"/>
      <c r="P15302" s="841"/>
      <c r="Q15302" s="841"/>
      <c r="R15302" s="841"/>
      <c r="S15302" s="841"/>
      <c r="T15302" s="841"/>
      <c r="U15302" s="841"/>
      <c r="V15302" s="1435">
        <v>74</v>
      </c>
    </row>
    <row r="15303" spans="1:22" ht="15" x14ac:dyDescent="0.25">
      <c r="A15303" s="744" t="s">
        <v>204</v>
      </c>
      <c r="B15303" s="841"/>
      <c r="C15303" s="841"/>
      <c r="D15303" s="841"/>
      <c r="E15303" s="1424" t="s">
        <v>3152</v>
      </c>
      <c r="F15303" s="3"/>
      <c r="G15303" s="3"/>
      <c r="H15303" s="398"/>
      <c r="I15303" s="841"/>
      <c r="J15303" s="841"/>
      <c r="K15303" s="744" t="s">
        <v>6826</v>
      </c>
      <c r="L15303" s="841"/>
      <c r="M15303" s="1436"/>
      <c r="N15303" s="841"/>
      <c r="O15303" s="841"/>
      <c r="P15303" s="841"/>
      <c r="Q15303" s="841"/>
      <c r="R15303" s="841"/>
      <c r="S15303" s="841"/>
      <c r="T15303" s="841"/>
      <c r="U15303" s="841"/>
      <c r="V15303" s="1435">
        <v>22</v>
      </c>
    </row>
    <row r="15304" spans="1:22" ht="15" x14ac:dyDescent="0.25">
      <c r="A15304" s="744" t="s">
        <v>204</v>
      </c>
      <c r="B15304" s="841"/>
      <c r="C15304" s="841"/>
      <c r="D15304" s="841"/>
      <c r="E15304" s="1688" t="s">
        <v>3154</v>
      </c>
      <c r="F15304" s="1688"/>
      <c r="G15304" s="1427" t="s">
        <v>86</v>
      </c>
      <c r="H15304" s="391">
        <v>1.5</v>
      </c>
      <c r="I15304" s="841"/>
      <c r="J15304" s="841"/>
      <c r="K15304" s="841"/>
      <c r="L15304" s="841"/>
      <c r="M15304" s="1436"/>
      <c r="N15304" s="841"/>
      <c r="O15304" s="841"/>
      <c r="P15304" s="841"/>
      <c r="Q15304" s="841"/>
      <c r="R15304" s="841"/>
      <c r="S15304" s="841"/>
      <c r="T15304" s="841"/>
      <c r="U15304" s="841"/>
      <c r="V15304" s="1435">
        <v>24</v>
      </c>
    </row>
    <row r="15305" spans="1:22" ht="15" x14ac:dyDescent="0.25">
      <c r="A15305" s="744" t="s">
        <v>204</v>
      </c>
      <c r="B15305" s="841"/>
      <c r="C15305" s="841"/>
      <c r="D15305" s="841"/>
      <c r="E15305" s="1688" t="s">
        <v>3155</v>
      </c>
      <c r="F15305" s="1688"/>
      <c r="G15305" s="1427" t="s">
        <v>86</v>
      </c>
      <c r="H15305" s="391">
        <v>19.559999999999999</v>
      </c>
      <c r="I15305" s="841"/>
      <c r="J15305" s="841"/>
      <c r="K15305" s="841"/>
      <c r="L15305" s="841"/>
      <c r="M15305" s="1436"/>
      <c r="N15305" s="841"/>
      <c r="O15305" s="841"/>
      <c r="P15305" s="841"/>
      <c r="Q15305" s="841"/>
      <c r="R15305" s="841"/>
      <c r="S15305" s="841"/>
      <c r="T15305" s="841"/>
      <c r="U15305" s="841"/>
      <c r="V15305" s="1435">
        <v>24</v>
      </c>
    </row>
    <row r="15306" spans="1:22" ht="15" customHeight="1" x14ac:dyDescent="0.25">
      <c r="A15306" s="744" t="s">
        <v>204</v>
      </c>
      <c r="B15306" s="841"/>
      <c r="C15306" s="841"/>
      <c r="D15306" s="841"/>
      <c r="E15306" s="1688" t="s">
        <v>3156</v>
      </c>
      <c r="F15306" s="1688"/>
      <c r="G15306" s="1427" t="s">
        <v>23</v>
      </c>
      <c r="H15306" s="391">
        <v>20</v>
      </c>
      <c r="I15306" s="841"/>
      <c r="J15306" s="841"/>
      <c r="K15306" s="841"/>
      <c r="L15306" s="841"/>
      <c r="M15306" s="1436"/>
      <c r="N15306" s="841"/>
      <c r="O15306" s="841"/>
      <c r="P15306" s="841"/>
      <c r="Q15306" s="841"/>
      <c r="R15306" s="841"/>
      <c r="S15306" s="841"/>
      <c r="T15306" s="841"/>
      <c r="U15306" s="841"/>
      <c r="V15306" s="1435">
        <v>79</v>
      </c>
    </row>
    <row r="15307" spans="1:22" ht="15" customHeight="1" x14ac:dyDescent="0.25">
      <c r="A15307" s="744" t="s">
        <v>204</v>
      </c>
      <c r="B15307" s="841"/>
      <c r="C15307" s="841"/>
      <c r="D15307" s="841"/>
      <c r="E15307" s="1688" t="s">
        <v>3157</v>
      </c>
      <c r="F15307" s="1688"/>
      <c r="G15307" s="1427" t="s">
        <v>23</v>
      </c>
      <c r="H15307" s="391">
        <v>50</v>
      </c>
      <c r="I15307" s="841"/>
      <c r="J15307" s="841"/>
      <c r="K15307" s="841"/>
      <c r="L15307" s="841"/>
      <c r="M15307" s="1436"/>
      <c r="N15307" s="841"/>
      <c r="O15307" s="841"/>
      <c r="P15307" s="841"/>
      <c r="Q15307" s="841"/>
      <c r="R15307" s="841"/>
      <c r="S15307" s="841"/>
      <c r="T15307" s="841"/>
      <c r="U15307" s="841"/>
      <c r="V15307" s="1435">
        <v>69</v>
      </c>
    </row>
    <row r="15308" spans="1:22" ht="15" customHeight="1" x14ac:dyDescent="0.25">
      <c r="A15308" s="744" t="s">
        <v>204</v>
      </c>
      <c r="B15308" s="841"/>
      <c r="C15308" s="841"/>
      <c r="D15308" s="841"/>
      <c r="E15308" s="1688" t="s">
        <v>3158</v>
      </c>
      <c r="F15308" s="1688"/>
      <c r="G15308" s="1427" t="s">
        <v>23</v>
      </c>
      <c r="H15308" s="391">
        <v>25</v>
      </c>
      <c r="I15308" s="841"/>
      <c r="J15308" s="841"/>
      <c r="K15308" s="841"/>
      <c r="L15308" s="841"/>
      <c r="M15308" s="1436"/>
      <c r="N15308" s="841"/>
      <c r="O15308" s="841"/>
      <c r="P15308" s="841"/>
      <c r="Q15308" s="841"/>
      <c r="R15308" s="841"/>
      <c r="S15308" s="841"/>
      <c r="T15308" s="841"/>
      <c r="U15308" s="841"/>
      <c r="V15308" s="1435">
        <v>52</v>
      </c>
    </row>
    <row r="15309" spans="1:22" ht="15" customHeight="1" x14ac:dyDescent="0.25">
      <c r="A15309" s="744" t="s">
        <v>204</v>
      </c>
      <c r="B15309" s="841"/>
      <c r="C15309" s="841"/>
      <c r="D15309" s="841"/>
      <c r="E15309" s="1688" t="s">
        <v>3159</v>
      </c>
      <c r="F15309" s="1688"/>
      <c r="G15309" s="1427" t="s">
        <v>23</v>
      </c>
      <c r="H15309" s="391">
        <v>50</v>
      </c>
      <c r="I15309" s="841"/>
      <c r="J15309" s="841"/>
      <c r="K15309" s="841"/>
      <c r="L15309" s="841"/>
      <c r="M15309" s="1436"/>
      <c r="N15309" s="841"/>
      <c r="O15309" s="841"/>
      <c r="P15309" s="841"/>
      <c r="Q15309" s="841"/>
      <c r="R15309" s="841"/>
      <c r="S15309" s="841"/>
      <c r="T15309" s="841"/>
      <c r="U15309" s="841"/>
      <c r="V15309" s="1435">
        <v>51</v>
      </c>
    </row>
    <row r="15310" spans="1:22" ht="15" customHeight="1" x14ac:dyDescent="0.25">
      <c r="A15310" s="744" t="s">
        <v>204</v>
      </c>
      <c r="B15310" s="841"/>
      <c r="C15310" s="841"/>
      <c r="D15310" s="841"/>
      <c r="E15310" s="1688" t="s">
        <v>3160</v>
      </c>
      <c r="F15310" s="1688"/>
      <c r="G15310" s="1427" t="s">
        <v>23</v>
      </c>
      <c r="H15310" s="391">
        <v>185</v>
      </c>
      <c r="I15310" s="841"/>
      <c r="J15310" s="841"/>
      <c r="K15310" s="841"/>
      <c r="L15310" s="841"/>
      <c r="M15310" s="1436"/>
      <c r="N15310" s="841"/>
      <c r="O15310" s="841"/>
      <c r="P15310" s="841"/>
      <c r="Q15310" s="841"/>
      <c r="R15310" s="841"/>
      <c r="S15310" s="841"/>
      <c r="T15310" s="841"/>
      <c r="U15310" s="841"/>
      <c r="V15310" s="1435">
        <v>60</v>
      </c>
    </row>
    <row r="15311" spans="1:22" ht="15" customHeight="1" x14ac:dyDescent="0.25">
      <c r="A15311" s="744" t="s">
        <v>204</v>
      </c>
      <c r="B15311" s="841"/>
      <c r="C15311" s="841"/>
      <c r="D15311" s="841"/>
      <c r="E15311" s="1688" t="s">
        <v>3161</v>
      </c>
      <c r="F15311" s="1688"/>
      <c r="G15311" s="1427" t="s">
        <v>23</v>
      </c>
      <c r="H15311" s="391">
        <v>415</v>
      </c>
      <c r="I15311" s="841"/>
      <c r="J15311" s="841"/>
      <c r="K15311" s="841"/>
      <c r="L15311" s="841"/>
      <c r="M15311" s="1436"/>
      <c r="N15311" s="841"/>
      <c r="O15311" s="841"/>
      <c r="P15311" s="841"/>
      <c r="Q15311" s="841"/>
      <c r="R15311" s="841"/>
      <c r="S15311" s="841"/>
      <c r="T15311" s="841"/>
      <c r="U15311" s="841"/>
      <c r="V15311" s="1435">
        <v>51</v>
      </c>
    </row>
    <row r="15312" spans="1:22" ht="15" customHeight="1" x14ac:dyDescent="0.25">
      <c r="A15312" s="744" t="s">
        <v>204</v>
      </c>
      <c r="B15312" s="841"/>
      <c r="C15312" s="841"/>
      <c r="D15312" s="841"/>
      <c r="E15312" s="1688" t="s">
        <v>3162</v>
      </c>
      <c r="F15312" s="1688"/>
      <c r="G15312" s="1427" t="s">
        <v>23</v>
      </c>
      <c r="H15312" s="391">
        <v>25</v>
      </c>
      <c r="I15312" s="841"/>
      <c r="J15312" s="841"/>
      <c r="K15312" s="841"/>
      <c r="L15312" s="841"/>
      <c r="M15312" s="1436"/>
      <c r="N15312" s="841"/>
      <c r="O15312" s="841"/>
      <c r="P15312" s="841"/>
      <c r="Q15312" s="841"/>
      <c r="R15312" s="841"/>
      <c r="S15312" s="841"/>
      <c r="T15312" s="841"/>
      <c r="U15312" s="841"/>
      <c r="V15312" s="1435">
        <v>57</v>
      </c>
    </row>
    <row r="15313" spans="1:22" ht="15" customHeight="1" x14ac:dyDescent="0.25">
      <c r="A15313" s="744" t="s">
        <v>204</v>
      </c>
      <c r="B15313" s="841"/>
      <c r="C15313" s="841"/>
      <c r="D15313" s="841"/>
      <c r="E15313" s="1688" t="s">
        <v>3163</v>
      </c>
      <c r="F15313" s="1688"/>
      <c r="G15313" s="1427" t="s">
        <v>23</v>
      </c>
      <c r="H15313" s="391">
        <v>50</v>
      </c>
      <c r="I15313" s="841"/>
      <c r="J15313" s="841"/>
      <c r="K15313" s="841"/>
      <c r="L15313" s="841"/>
      <c r="M15313" s="1436"/>
      <c r="N15313" s="841"/>
      <c r="O15313" s="841"/>
      <c r="P15313" s="841"/>
      <c r="Q15313" s="841"/>
      <c r="R15313" s="841"/>
      <c r="S15313" s="841"/>
      <c r="T15313" s="841"/>
      <c r="U15313" s="841"/>
      <c r="V15313" s="1435">
        <v>56</v>
      </c>
    </row>
    <row r="15314" spans="1:22" ht="15" x14ac:dyDescent="0.25">
      <c r="A15314" s="744" t="s">
        <v>204</v>
      </c>
      <c r="B15314" s="841"/>
      <c r="C15314" s="841"/>
      <c r="D15314" s="841"/>
      <c r="E15314" s="1424" t="s">
        <v>3164</v>
      </c>
      <c r="F15314" s="507"/>
      <c r="G15314" s="397"/>
      <c r="H15314" s="391"/>
      <c r="I15314" s="841"/>
      <c r="J15314" s="841"/>
      <c r="K15314" s="841"/>
      <c r="L15314" s="841"/>
      <c r="M15314" s="1436"/>
      <c r="N15314" s="841"/>
      <c r="O15314" s="841"/>
      <c r="P15314" s="841"/>
      <c r="Q15314" s="841"/>
      <c r="R15314" s="841"/>
      <c r="S15314" s="841"/>
      <c r="T15314" s="841"/>
      <c r="U15314" s="841"/>
      <c r="V15314" s="1435">
        <v>5</v>
      </c>
    </row>
    <row r="15315" spans="1:22" ht="15" x14ac:dyDescent="0.25">
      <c r="A15315" s="744" t="s">
        <v>204</v>
      </c>
      <c r="B15315" s="841"/>
      <c r="C15315" s="841"/>
      <c r="D15315" s="841"/>
      <c r="E15315" s="1688" t="s">
        <v>3167</v>
      </c>
      <c r="F15315" s="1688"/>
      <c r="G15315" s="1427" t="s">
        <v>23</v>
      </c>
      <c r="H15315" s="391">
        <v>30</v>
      </c>
      <c r="I15315" s="841"/>
      <c r="J15315" s="841"/>
      <c r="K15315" s="841"/>
      <c r="L15315" s="841"/>
      <c r="M15315" s="1436"/>
      <c r="N15315" s="841"/>
      <c r="O15315" s="841"/>
      <c r="P15315" s="841"/>
      <c r="Q15315" s="841"/>
      <c r="R15315" s="841"/>
      <c r="S15315" s="841"/>
      <c r="T15315" s="841"/>
      <c r="U15315" s="841"/>
      <c r="V15315" s="1435">
        <v>39</v>
      </c>
    </row>
    <row r="15316" spans="1:22" ht="15" x14ac:dyDescent="0.25">
      <c r="A15316" s="744" t="s">
        <v>204</v>
      </c>
      <c r="B15316" s="841"/>
      <c r="C15316" s="841"/>
      <c r="D15316" s="841"/>
      <c r="E15316" s="1688" t="s">
        <v>3168</v>
      </c>
      <c r="F15316" s="1688"/>
      <c r="G15316" s="1427" t="s">
        <v>23</v>
      </c>
      <c r="H15316" s="391">
        <v>165</v>
      </c>
      <c r="I15316" s="841"/>
      <c r="J15316" s="841"/>
      <c r="K15316" s="841"/>
      <c r="L15316" s="841"/>
      <c r="M15316" s="1436"/>
      <c r="N15316" s="841"/>
      <c r="O15316" s="841"/>
      <c r="P15316" s="841"/>
      <c r="Q15316" s="841"/>
      <c r="R15316" s="841"/>
      <c r="S15316" s="841"/>
      <c r="T15316" s="841"/>
      <c r="U15316" s="841"/>
      <c r="V15316" s="1435">
        <v>34</v>
      </c>
    </row>
    <row r="15317" spans="1:22" ht="15" customHeight="1" x14ac:dyDescent="0.25">
      <c r="A15317" s="744" t="s">
        <v>204</v>
      </c>
      <c r="B15317" s="841"/>
      <c r="C15317" s="841"/>
      <c r="D15317" s="841"/>
      <c r="E15317" s="1688" t="s">
        <v>3434</v>
      </c>
      <c r="F15317" s="1688"/>
      <c r="G15317" s="1427" t="s">
        <v>23</v>
      </c>
      <c r="H15317" s="391">
        <v>500</v>
      </c>
      <c r="I15317" s="841"/>
      <c r="J15317" s="841"/>
      <c r="K15317" s="841"/>
      <c r="L15317" s="841"/>
      <c r="M15317" s="1436"/>
      <c r="N15317" s="841"/>
      <c r="O15317" s="841"/>
      <c r="P15317" s="841"/>
      <c r="Q15317" s="841"/>
      <c r="R15317" s="841"/>
      <c r="S15317" s="841"/>
      <c r="T15317" s="841"/>
      <c r="U15317" s="841"/>
      <c r="V15317" s="1435">
        <v>64</v>
      </c>
    </row>
    <row r="15318" spans="1:22" ht="15" customHeight="1" x14ac:dyDescent="0.25">
      <c r="A15318" s="744" t="s">
        <v>204</v>
      </c>
      <c r="B15318" s="841"/>
      <c r="C15318" s="841"/>
      <c r="D15318" s="841"/>
      <c r="E15318" s="1688" t="s">
        <v>3489</v>
      </c>
      <c r="F15318" s="1688"/>
      <c r="G15318" s="1427" t="s">
        <v>23</v>
      </c>
      <c r="H15318" s="391">
        <v>300</v>
      </c>
      <c r="I15318" s="841"/>
      <c r="J15318" s="841"/>
      <c r="K15318" s="841"/>
      <c r="L15318" s="841"/>
      <c r="M15318" s="1436"/>
      <c r="N15318" s="841"/>
      <c r="O15318" s="841"/>
      <c r="P15318" s="841"/>
      <c r="Q15318" s="841"/>
      <c r="R15318" s="841"/>
      <c r="S15318" s="841"/>
      <c r="T15318" s="841"/>
      <c r="U15318" s="841"/>
      <c r="V15318" s="1435">
        <v>67</v>
      </c>
    </row>
    <row r="15319" spans="1:22" ht="15" customHeight="1" x14ac:dyDescent="0.25">
      <c r="A15319" s="744" t="s">
        <v>204</v>
      </c>
      <c r="B15319" s="841"/>
      <c r="C15319" s="841"/>
      <c r="D15319" s="841"/>
      <c r="E15319" s="1688" t="s">
        <v>3490</v>
      </c>
      <c r="F15319" s="1688"/>
      <c r="G15319" s="1427" t="s">
        <v>23</v>
      </c>
      <c r="H15319" s="391">
        <v>1000</v>
      </c>
      <c r="I15319" s="841"/>
      <c r="J15319" s="841"/>
      <c r="K15319" s="841"/>
      <c r="L15319" s="841"/>
      <c r="M15319" s="1436"/>
      <c r="N15319" s="841"/>
      <c r="O15319" s="841"/>
      <c r="P15319" s="841"/>
      <c r="Q15319" s="841"/>
      <c r="R15319" s="841"/>
      <c r="S15319" s="841"/>
      <c r="T15319" s="841"/>
      <c r="U15319" s="841"/>
      <c r="V15319" s="1435">
        <v>66</v>
      </c>
    </row>
    <row r="15320" spans="1:22" ht="15" customHeight="1" x14ac:dyDescent="0.25">
      <c r="A15320" s="744" t="s">
        <v>204</v>
      </c>
      <c r="B15320" s="841"/>
      <c r="C15320" s="841"/>
      <c r="D15320" s="841"/>
      <c r="E15320" s="1688" t="s">
        <v>3491</v>
      </c>
      <c r="F15320" s="1688"/>
      <c r="G15320" s="1427" t="s">
        <v>23</v>
      </c>
      <c r="H15320" s="391">
        <v>22.35</v>
      </c>
      <c r="I15320" s="841"/>
      <c r="J15320" s="841"/>
      <c r="K15320" s="841"/>
      <c r="L15320" s="841"/>
      <c r="M15320" s="1436"/>
      <c r="N15320" s="841"/>
      <c r="O15320" s="841"/>
      <c r="P15320" s="841"/>
      <c r="Q15320" s="841"/>
      <c r="R15320" s="841"/>
      <c r="S15320" s="841"/>
      <c r="T15320" s="841"/>
      <c r="U15320" s="841"/>
      <c r="V15320" s="1435">
        <v>59</v>
      </c>
    </row>
    <row r="15321" spans="1:22" ht="15" x14ac:dyDescent="0.25">
      <c r="A15321" s="744" t="s">
        <v>204</v>
      </c>
      <c r="B15321" s="841"/>
      <c r="C15321" s="841"/>
      <c r="D15321" s="841"/>
      <c r="E15321" s="1688" t="s">
        <v>3166</v>
      </c>
      <c r="F15321" s="1688"/>
      <c r="G15321" s="1427"/>
      <c r="H15321" s="391"/>
      <c r="I15321" s="841"/>
      <c r="J15321" s="841"/>
      <c r="K15321" s="841"/>
      <c r="L15321" s="841"/>
      <c r="M15321" s="1436"/>
      <c r="N15321" s="841"/>
      <c r="O15321" s="841"/>
      <c r="P15321" s="841"/>
      <c r="Q15321" s="841"/>
      <c r="R15321" s="841"/>
      <c r="S15321" s="841"/>
      <c r="T15321" s="841"/>
      <c r="U15321" s="841"/>
      <c r="V15321" s="1435">
        <v>44</v>
      </c>
    </row>
    <row r="15322" spans="1:22" ht="36.75" x14ac:dyDescent="0.3">
      <c r="A15322" s="744" t="s">
        <v>204</v>
      </c>
      <c r="B15322" s="841"/>
      <c r="C15322" s="841"/>
      <c r="D15322" s="841"/>
      <c r="E15322" s="1425" t="s">
        <v>77</v>
      </c>
      <c r="F15322" s="657"/>
      <c r="G15322" s="657"/>
      <c r="H15322" s="658"/>
      <c r="I15322" s="841"/>
      <c r="J15322" s="841"/>
      <c r="K15322" s="744" t="s">
        <v>6827</v>
      </c>
      <c r="L15322" s="841"/>
      <c r="M15322" s="1436"/>
      <c r="N15322" s="841"/>
      <c r="O15322" s="841"/>
      <c r="P15322" s="841"/>
      <c r="Q15322" s="841"/>
      <c r="R15322" s="841"/>
      <c r="S15322" s="841"/>
      <c r="T15322" s="841"/>
      <c r="U15322" s="841"/>
      <c r="V15322" s="1435">
        <v>38</v>
      </c>
    </row>
    <row r="15323" spans="1:22" ht="15" customHeight="1" x14ac:dyDescent="0.25">
      <c r="A15323" s="744" t="s">
        <v>204</v>
      </c>
      <c r="B15323" s="841"/>
      <c r="C15323" s="841"/>
      <c r="D15323" s="841"/>
      <c r="E15323" s="1689" t="s">
        <v>3063</v>
      </c>
      <c r="F15323" s="1689"/>
      <c r="G15323" s="1689"/>
      <c r="H15323" s="1689"/>
      <c r="I15323" s="841"/>
      <c r="J15323" s="841"/>
      <c r="K15323" s="841"/>
      <c r="L15323" s="841"/>
      <c r="M15323" s="1436"/>
      <c r="N15323" s="841"/>
      <c r="O15323" s="841"/>
      <c r="P15323" s="841"/>
      <c r="Q15323" s="841"/>
      <c r="R15323" s="841"/>
      <c r="S15323" s="841"/>
      <c r="T15323" s="841"/>
      <c r="U15323" s="841"/>
      <c r="V15323" s="1435">
        <v>280</v>
      </c>
    </row>
    <row r="15324" spans="1:22" ht="15" customHeight="1" x14ac:dyDescent="0.25">
      <c r="A15324" s="744" t="s">
        <v>204</v>
      </c>
      <c r="B15324" s="841"/>
      <c r="C15324" s="841"/>
      <c r="D15324" s="841"/>
      <c r="E15324" s="1689" t="s">
        <v>3064</v>
      </c>
      <c r="F15324" s="1689"/>
      <c r="G15324" s="1689"/>
      <c r="H15324" s="1689"/>
      <c r="I15324" s="841"/>
      <c r="J15324" s="841"/>
      <c r="K15324" s="841"/>
      <c r="L15324" s="841"/>
      <c r="M15324" s="1436"/>
      <c r="N15324" s="841"/>
      <c r="O15324" s="841"/>
      <c r="P15324" s="841"/>
      <c r="Q15324" s="841"/>
      <c r="R15324" s="841"/>
      <c r="S15324" s="841"/>
      <c r="T15324" s="841"/>
      <c r="U15324" s="841"/>
      <c r="V15324" s="1435">
        <v>411</v>
      </c>
    </row>
    <row r="15325" spans="1:22" ht="15" customHeight="1" x14ac:dyDescent="0.25">
      <c r="A15325" s="744" t="s">
        <v>204</v>
      </c>
      <c r="B15325" s="841"/>
      <c r="C15325" s="841"/>
      <c r="D15325" s="841"/>
      <c r="E15325" s="1689" t="s">
        <v>3129</v>
      </c>
      <c r="F15325" s="1689"/>
      <c r="G15325" s="1689"/>
      <c r="H15325" s="1689"/>
      <c r="I15325" s="841"/>
      <c r="J15325" s="841"/>
      <c r="K15325" s="841"/>
      <c r="L15325" s="841"/>
      <c r="M15325" s="1436"/>
      <c r="N15325" s="841"/>
      <c r="O15325" s="841"/>
      <c r="P15325" s="841"/>
      <c r="Q15325" s="841"/>
      <c r="R15325" s="841"/>
      <c r="S15325" s="841"/>
      <c r="T15325" s="841"/>
      <c r="U15325" s="841"/>
      <c r="V15325" s="1435">
        <v>211</v>
      </c>
    </row>
    <row r="15326" spans="1:22" ht="15" customHeight="1" x14ac:dyDescent="0.25">
      <c r="A15326" s="744" t="s">
        <v>204</v>
      </c>
      <c r="B15326" s="841"/>
      <c r="C15326" s="841"/>
      <c r="D15326" s="841"/>
      <c r="E15326" s="1689" t="s">
        <v>3200</v>
      </c>
      <c r="F15326" s="1689"/>
      <c r="G15326" s="1689"/>
      <c r="H15326" s="1689"/>
      <c r="I15326" s="841"/>
      <c r="J15326" s="841"/>
      <c r="K15326" s="841"/>
      <c r="L15326" s="841"/>
      <c r="M15326" s="1436"/>
      <c r="N15326" s="841"/>
      <c r="O15326" s="841"/>
      <c r="P15326" s="841"/>
      <c r="Q15326" s="841"/>
      <c r="R15326" s="841"/>
      <c r="S15326" s="841"/>
      <c r="T15326" s="841"/>
      <c r="U15326" s="841"/>
      <c r="V15326" s="1435">
        <v>275</v>
      </c>
    </row>
    <row r="15327" spans="1:22" ht="15" customHeight="1" x14ac:dyDescent="0.25">
      <c r="A15327" s="744" t="s">
        <v>204</v>
      </c>
      <c r="B15327" s="841"/>
      <c r="C15327" s="841"/>
      <c r="D15327" s="841"/>
      <c r="E15327" s="1689" t="s">
        <v>3291</v>
      </c>
      <c r="F15327" s="1689"/>
      <c r="G15327" s="1689"/>
      <c r="H15327" s="1689"/>
      <c r="I15327" s="841"/>
      <c r="J15327" s="841"/>
      <c r="K15327" s="841"/>
      <c r="L15327" s="841"/>
      <c r="M15327" s="1436"/>
      <c r="N15327" s="841"/>
      <c r="O15327" s="841"/>
      <c r="P15327" s="841"/>
      <c r="Q15327" s="841"/>
      <c r="R15327" s="841"/>
      <c r="S15327" s="841"/>
      <c r="T15327" s="841"/>
      <c r="U15327" s="841"/>
      <c r="V15327" s="1435">
        <v>142</v>
      </c>
    </row>
    <row r="15328" spans="1:22" ht="15" customHeight="1" x14ac:dyDescent="0.25">
      <c r="A15328" s="744" t="s">
        <v>204</v>
      </c>
      <c r="B15328" s="841"/>
      <c r="C15328" s="841"/>
      <c r="D15328" s="841"/>
      <c r="E15328" s="1690" t="s">
        <v>3176</v>
      </c>
      <c r="F15328" s="1690"/>
      <c r="G15328" s="397" t="s">
        <v>23</v>
      </c>
      <c r="H15328" s="391">
        <v>100</v>
      </c>
      <c r="I15328" s="841"/>
      <c r="J15328" s="841"/>
      <c r="K15328" s="841"/>
      <c r="L15328" s="841"/>
      <c r="M15328" s="1436"/>
      <c r="N15328" s="841"/>
      <c r="O15328" s="841"/>
      <c r="P15328" s="841"/>
      <c r="Q15328" s="841"/>
      <c r="R15328" s="841"/>
      <c r="S15328" s="841"/>
      <c r="T15328" s="841"/>
      <c r="U15328" s="841"/>
      <c r="V15328" s="1435">
        <v>106</v>
      </c>
    </row>
    <row r="15329" spans="1:22" ht="15" x14ac:dyDescent="0.25">
      <c r="A15329" s="744" t="s">
        <v>204</v>
      </c>
      <c r="B15329" s="841"/>
      <c r="C15329" s="841"/>
      <c r="D15329" s="841"/>
      <c r="E15329" s="1690" t="s">
        <v>3177</v>
      </c>
      <c r="F15329" s="1690"/>
      <c r="G15329" s="397" t="s">
        <v>23</v>
      </c>
      <c r="H15329" s="391">
        <v>20</v>
      </c>
      <c r="I15329" s="841"/>
      <c r="J15329" s="841"/>
      <c r="K15329" s="841"/>
      <c r="L15329" s="841"/>
      <c r="M15329" s="1436"/>
      <c r="N15329" s="841"/>
      <c r="O15329" s="841"/>
      <c r="P15329" s="841"/>
      <c r="Q15329" s="841"/>
      <c r="R15329" s="841"/>
      <c r="S15329" s="841"/>
      <c r="T15329" s="841"/>
      <c r="U15329" s="841"/>
      <c r="V15329" s="1435">
        <v>34</v>
      </c>
    </row>
    <row r="15330" spans="1:22" ht="15" x14ac:dyDescent="0.25">
      <c r="A15330" s="744" t="s">
        <v>204</v>
      </c>
      <c r="B15330" s="841"/>
      <c r="C15330" s="841"/>
      <c r="D15330" s="841"/>
      <c r="E15330" s="1690" t="s">
        <v>3178</v>
      </c>
      <c r="F15330" s="1690"/>
      <c r="G15330" s="397" t="s">
        <v>3179</v>
      </c>
      <c r="H15330" s="391">
        <v>0.5</v>
      </c>
      <c r="I15330" s="841"/>
      <c r="J15330" s="841"/>
      <c r="K15330" s="841"/>
      <c r="L15330" s="841"/>
      <c r="M15330" s="1436"/>
      <c r="N15330" s="841"/>
      <c r="O15330" s="841"/>
      <c r="P15330" s="841"/>
      <c r="Q15330" s="841"/>
      <c r="R15330" s="841"/>
      <c r="S15330" s="841"/>
      <c r="T15330" s="841"/>
      <c r="U15330" s="841"/>
      <c r="V15330" s="1435">
        <v>51</v>
      </c>
    </row>
    <row r="15331" spans="1:22" ht="15" customHeight="1" x14ac:dyDescent="0.25">
      <c r="A15331" s="744" t="s">
        <v>204</v>
      </c>
      <c r="B15331" s="841"/>
      <c r="C15331" s="841"/>
      <c r="D15331" s="841"/>
      <c r="E15331" s="1690" t="s">
        <v>3180</v>
      </c>
      <c r="F15331" s="1690"/>
      <c r="G15331" s="397" t="s">
        <v>3179</v>
      </c>
      <c r="H15331" s="391">
        <v>0.3</v>
      </c>
      <c r="I15331" s="841"/>
      <c r="J15331" s="841"/>
      <c r="K15331" s="841"/>
      <c r="L15331" s="841"/>
      <c r="M15331" s="1436"/>
      <c r="N15331" s="841"/>
      <c r="O15331" s="841"/>
      <c r="P15331" s="841"/>
      <c r="Q15331" s="841"/>
      <c r="R15331" s="841"/>
      <c r="S15331" s="841"/>
      <c r="T15331" s="841"/>
      <c r="U15331" s="841"/>
      <c r="V15331" s="1435">
        <v>75</v>
      </c>
    </row>
    <row r="15332" spans="1:22" ht="15" customHeight="1" x14ac:dyDescent="0.25">
      <c r="A15332" s="744" t="s">
        <v>204</v>
      </c>
      <c r="B15332" s="841"/>
      <c r="C15332" s="841"/>
      <c r="D15332" s="841"/>
      <c r="E15332" s="1690" t="s">
        <v>3181</v>
      </c>
      <c r="F15332" s="1690"/>
      <c r="G15332" s="397" t="s">
        <v>3179</v>
      </c>
      <c r="H15332" s="391">
        <v>-0.3</v>
      </c>
      <c r="I15332" s="841"/>
      <c r="J15332" s="841"/>
      <c r="K15332" s="841"/>
      <c r="L15332" s="841"/>
      <c r="M15332" s="1436"/>
      <c r="N15332" s="841"/>
      <c r="O15332" s="841"/>
      <c r="P15332" s="841"/>
      <c r="Q15332" s="841"/>
      <c r="R15332" s="841"/>
      <c r="S15332" s="841"/>
      <c r="T15332" s="841"/>
      <c r="U15332" s="841"/>
      <c r="V15332" s="1435">
        <v>72</v>
      </c>
    </row>
    <row r="15333" spans="1:22" ht="15" x14ac:dyDescent="0.25">
      <c r="A15333" s="744" t="s">
        <v>204</v>
      </c>
      <c r="B15333" s="841"/>
      <c r="C15333" s="841"/>
      <c r="D15333" s="841"/>
      <c r="E15333" s="1690" t="s">
        <v>3292</v>
      </c>
      <c r="F15333" s="1690"/>
      <c r="G15333" s="397"/>
      <c r="H15333" s="392"/>
      <c r="I15333" s="841"/>
      <c r="J15333" s="841"/>
      <c r="K15333" s="841"/>
      <c r="L15333" s="841"/>
      <c r="M15333" s="1436"/>
      <c r="N15333" s="841"/>
      <c r="O15333" s="841"/>
      <c r="P15333" s="841"/>
      <c r="Q15333" s="841"/>
      <c r="R15333" s="841"/>
      <c r="S15333" s="841"/>
      <c r="T15333" s="841"/>
      <c r="U15333" s="841"/>
      <c r="V15333" s="1435">
        <v>34</v>
      </c>
    </row>
    <row r="15334" spans="1:22" ht="15" customHeight="1" x14ac:dyDescent="0.25">
      <c r="A15334" s="744" t="s">
        <v>204</v>
      </c>
      <c r="B15334" s="841"/>
      <c r="C15334" s="841"/>
      <c r="D15334" s="841"/>
      <c r="E15334" s="1691" t="s">
        <v>3183</v>
      </c>
      <c r="F15334" s="1691"/>
      <c r="G15334" s="397" t="s">
        <v>23</v>
      </c>
      <c r="H15334" s="391">
        <v>0.25</v>
      </c>
      <c r="I15334" s="841"/>
      <c r="J15334" s="841"/>
      <c r="K15334" s="841"/>
      <c r="L15334" s="841"/>
      <c r="M15334" s="1436"/>
      <c r="N15334" s="841"/>
      <c r="O15334" s="841"/>
      <c r="P15334" s="841"/>
      <c r="Q15334" s="841"/>
      <c r="R15334" s="841"/>
      <c r="S15334" s="841"/>
      <c r="T15334" s="841"/>
      <c r="U15334" s="841"/>
      <c r="V15334" s="1435">
        <v>57</v>
      </c>
    </row>
    <row r="15335" spans="1:22" ht="15" customHeight="1" x14ac:dyDescent="0.25">
      <c r="A15335" s="744" t="s">
        <v>204</v>
      </c>
      <c r="B15335" s="841"/>
      <c r="C15335" s="841"/>
      <c r="D15335" s="841"/>
      <c r="E15335" s="1691" t="s">
        <v>3184</v>
      </c>
      <c r="F15335" s="1691"/>
      <c r="G15335" s="397" t="s">
        <v>23</v>
      </c>
      <c r="H15335" s="391">
        <v>0.5</v>
      </c>
      <c r="I15335" s="841"/>
      <c r="J15335" s="841"/>
      <c r="K15335" s="841"/>
      <c r="L15335" s="841"/>
      <c r="M15335" s="1436"/>
      <c r="N15335" s="841"/>
      <c r="O15335" s="841"/>
      <c r="P15335" s="841"/>
      <c r="Q15335" s="841"/>
      <c r="R15335" s="841"/>
      <c r="S15335" s="841"/>
      <c r="T15335" s="841"/>
      <c r="U15335" s="841"/>
      <c r="V15335" s="1435">
        <v>60</v>
      </c>
    </row>
    <row r="15336" spans="1:22" ht="15" customHeight="1" x14ac:dyDescent="0.25">
      <c r="A15336" s="744" t="s">
        <v>204</v>
      </c>
      <c r="B15336" s="841"/>
      <c r="C15336" s="841"/>
      <c r="D15336" s="841"/>
      <c r="E15336" s="1690" t="s">
        <v>3185</v>
      </c>
      <c r="F15336" s="1690"/>
      <c r="G15336" s="397"/>
      <c r="H15336" s="392"/>
      <c r="I15336" s="841"/>
      <c r="J15336" s="841"/>
      <c r="K15336" s="841"/>
      <c r="L15336" s="841"/>
      <c r="M15336" s="1436"/>
      <c r="N15336" s="841"/>
      <c r="O15336" s="841"/>
      <c r="P15336" s="841"/>
      <c r="Q15336" s="841"/>
      <c r="R15336" s="841"/>
      <c r="S15336" s="841"/>
      <c r="T15336" s="841"/>
      <c r="U15336" s="841"/>
      <c r="V15336" s="1435">
        <v>91</v>
      </c>
    </row>
    <row r="15337" spans="1:22" ht="15" customHeight="1" x14ac:dyDescent="0.25">
      <c r="A15337" s="744" t="s">
        <v>204</v>
      </c>
      <c r="B15337" s="841"/>
      <c r="C15337" s="841"/>
      <c r="D15337" s="841"/>
      <c r="E15337" s="1690" t="s">
        <v>3186</v>
      </c>
      <c r="F15337" s="1690"/>
      <c r="G15337" s="397"/>
      <c r="H15337" s="392"/>
      <c r="I15337" s="841"/>
      <c r="J15337" s="841"/>
      <c r="K15337" s="841"/>
      <c r="L15337" s="841"/>
      <c r="M15337" s="1436"/>
      <c r="N15337" s="841"/>
      <c r="O15337" s="841"/>
      <c r="P15337" s="841"/>
      <c r="Q15337" s="841"/>
      <c r="R15337" s="841"/>
      <c r="S15337" s="841"/>
      <c r="T15337" s="841"/>
      <c r="U15337" s="841"/>
      <c r="V15337" s="1435">
        <v>96</v>
      </c>
    </row>
    <row r="15338" spans="1:22" ht="15" customHeight="1" x14ac:dyDescent="0.25">
      <c r="A15338" s="744" t="s">
        <v>204</v>
      </c>
      <c r="B15338" s="841"/>
      <c r="C15338" s="841"/>
      <c r="D15338" s="841"/>
      <c r="E15338" s="1690" t="s">
        <v>3293</v>
      </c>
      <c r="F15338" s="1690"/>
      <c r="G15338" s="397"/>
      <c r="H15338" s="392"/>
      <c r="I15338" s="841"/>
      <c r="J15338" s="841"/>
      <c r="K15338" s="841"/>
      <c r="L15338" s="841"/>
      <c r="M15338" s="1436"/>
      <c r="N15338" s="841"/>
      <c r="O15338" s="841"/>
      <c r="P15338" s="841"/>
      <c r="Q15338" s="841"/>
      <c r="R15338" s="841"/>
      <c r="S15338" s="841"/>
      <c r="T15338" s="841"/>
      <c r="U15338" s="841"/>
      <c r="V15338" s="1435">
        <v>77</v>
      </c>
    </row>
    <row r="15339" spans="1:22" ht="15" x14ac:dyDescent="0.25">
      <c r="A15339" s="744" t="s">
        <v>204</v>
      </c>
      <c r="B15339" s="841"/>
      <c r="C15339" s="841"/>
      <c r="D15339" s="841"/>
      <c r="E15339" s="1691" t="s">
        <v>3188</v>
      </c>
      <c r="F15339" s="1691"/>
      <c r="G15339" s="397" t="s">
        <v>23</v>
      </c>
      <c r="H15339" s="392" t="s">
        <v>3189</v>
      </c>
      <c r="I15339" s="841"/>
      <c r="J15339" s="841"/>
      <c r="K15339" s="841"/>
      <c r="L15339" s="841"/>
      <c r="M15339" s="1436"/>
      <c r="N15339" s="841"/>
      <c r="O15339" s="841"/>
      <c r="P15339" s="841"/>
      <c r="Q15339" s="841"/>
      <c r="R15339" s="841"/>
      <c r="S15339" s="841"/>
      <c r="T15339" s="841"/>
      <c r="U15339" s="841"/>
      <c r="V15339" s="1435">
        <v>18</v>
      </c>
    </row>
    <row r="15340" spans="1:22" ht="15" customHeight="1" x14ac:dyDescent="0.25">
      <c r="A15340" s="744" t="s">
        <v>204</v>
      </c>
      <c r="B15340" s="841"/>
      <c r="C15340" s="841"/>
      <c r="D15340" s="841"/>
      <c r="E15340" s="1691" t="s">
        <v>3190</v>
      </c>
      <c r="F15340" s="1691"/>
      <c r="G15340" s="397" t="s">
        <v>23</v>
      </c>
      <c r="H15340" s="391">
        <v>2</v>
      </c>
      <c r="I15340" s="841"/>
      <c r="J15340" s="841"/>
      <c r="K15340" s="841"/>
      <c r="L15340" s="841"/>
      <c r="M15340" s="1436"/>
      <c r="N15340" s="841"/>
      <c r="O15340" s="841"/>
      <c r="P15340" s="841"/>
      <c r="Q15340" s="841"/>
      <c r="R15340" s="841"/>
      <c r="S15340" s="841"/>
      <c r="T15340" s="841"/>
      <c r="U15340" s="841"/>
      <c r="V15340" s="1435">
        <v>69</v>
      </c>
    </row>
    <row r="15341" spans="1:22" ht="18.75" x14ac:dyDescent="0.3">
      <c r="A15341" s="744" t="s">
        <v>204</v>
      </c>
      <c r="B15341" s="841"/>
      <c r="C15341" s="841"/>
      <c r="D15341" s="841"/>
      <c r="E15341" s="1425" t="s">
        <v>147</v>
      </c>
      <c r="F15341" s="657"/>
      <c r="G15341" s="657"/>
      <c r="H15341" s="658"/>
      <c r="I15341" s="841"/>
      <c r="J15341" s="841"/>
      <c r="K15341" s="744" t="s">
        <v>6828</v>
      </c>
      <c r="L15341" s="841"/>
      <c r="M15341" s="1436"/>
      <c r="N15341" s="841"/>
      <c r="O15341" s="841"/>
      <c r="P15341" s="841"/>
      <c r="Q15341" s="841"/>
      <c r="R15341" s="841"/>
      <c r="S15341" s="841"/>
      <c r="T15341" s="841"/>
      <c r="U15341" s="841"/>
      <c r="V15341" s="1435">
        <v>12</v>
      </c>
    </row>
    <row r="15342" spans="1:22" ht="15" customHeight="1" x14ac:dyDescent="0.25">
      <c r="A15342" s="744" t="s">
        <v>204</v>
      </c>
      <c r="B15342" s="841"/>
      <c r="C15342" s="841"/>
      <c r="D15342" s="841"/>
      <c r="E15342" s="1689" t="s">
        <v>3192</v>
      </c>
      <c r="F15342" s="1689"/>
      <c r="G15342" s="1689"/>
      <c r="H15342" s="1689"/>
      <c r="I15342" s="841"/>
      <c r="J15342" s="841"/>
      <c r="K15342" s="841"/>
      <c r="L15342" s="841"/>
      <c r="M15342" s="1436"/>
      <c r="N15342" s="841"/>
      <c r="O15342" s="841"/>
      <c r="P15342" s="841"/>
      <c r="Q15342" s="841"/>
      <c r="R15342" s="841"/>
      <c r="S15342" s="841"/>
      <c r="T15342" s="841"/>
      <c r="U15342" s="841"/>
      <c r="V15342" s="1435">
        <v>203</v>
      </c>
    </row>
    <row r="15343" spans="1:22" ht="15" customHeight="1" x14ac:dyDescent="0.25">
      <c r="A15343" s="744" t="s">
        <v>204</v>
      </c>
      <c r="B15343" s="841"/>
      <c r="C15343" s="841"/>
      <c r="D15343" s="841"/>
      <c r="E15343" s="1690" t="s">
        <v>3295</v>
      </c>
      <c r="F15343" s="1690"/>
      <c r="G15343" s="1427"/>
      <c r="H15343" s="393">
        <v>1.0771999999999999</v>
      </c>
      <c r="I15343" s="841"/>
      <c r="J15343" s="841"/>
      <c r="K15343" s="841"/>
      <c r="L15343" s="841"/>
      <c r="M15343" s="1436"/>
      <c r="N15343" s="841"/>
      <c r="O15343" s="841"/>
      <c r="P15343" s="841"/>
      <c r="Q15343" s="841"/>
      <c r="R15343" s="841"/>
      <c r="S15343" s="841"/>
      <c r="T15343" s="841"/>
      <c r="U15343" s="841"/>
      <c r="V15343" s="1435">
        <v>57</v>
      </c>
    </row>
    <row r="15344" spans="1:22" ht="15" customHeight="1" x14ac:dyDescent="0.25">
      <c r="A15344" s="744" t="s">
        <v>204</v>
      </c>
      <c r="B15344" s="841"/>
      <c r="C15344" s="841"/>
      <c r="D15344" s="841"/>
      <c r="E15344" s="1690" t="s">
        <v>3297</v>
      </c>
      <c r="F15344" s="1690"/>
      <c r="G15344" s="1427"/>
      <c r="H15344" s="393">
        <v>1.0664</v>
      </c>
      <c r="I15344" s="841"/>
      <c r="J15344" s="744" t="s">
        <v>6829</v>
      </c>
      <c r="K15344" s="841"/>
      <c r="L15344" s="841"/>
      <c r="M15344" s="1436"/>
      <c r="N15344" s="841"/>
      <c r="O15344" s="841"/>
      <c r="P15344" s="841"/>
      <c r="Q15344" s="841"/>
      <c r="R15344" s="841"/>
      <c r="S15344" s="841"/>
      <c r="T15344" s="841"/>
      <c r="U15344" s="841"/>
      <c r="V15344" s="1435">
        <v>55</v>
      </c>
    </row>
    <row r="15345" spans="1:32" ht="23.25" customHeight="1" x14ac:dyDescent="0.25">
      <c r="A15345" s="744" t="s">
        <v>194</v>
      </c>
      <c r="B15345" s="841"/>
      <c r="C15345" s="744" t="s">
        <v>3050</v>
      </c>
      <c r="D15345" s="841"/>
      <c r="E15345" s="1911" t="s">
        <v>194</v>
      </c>
      <c r="F15345" s="1911"/>
      <c r="G15345" s="1911"/>
      <c r="H15345" s="1911"/>
      <c r="I15345" s="744" t="s">
        <v>628</v>
      </c>
      <c r="J15345" s="744" t="s">
        <v>6830</v>
      </c>
      <c r="K15345" s="744" t="s">
        <v>194</v>
      </c>
      <c r="L15345" s="841"/>
      <c r="M15345" s="1435">
        <v>6</v>
      </c>
      <c r="N15345" s="841"/>
      <c r="O15345" s="841"/>
      <c r="P15345" s="841"/>
      <c r="Q15345" s="841"/>
      <c r="R15345" s="841"/>
      <c r="S15345" s="841"/>
      <c r="T15345" s="841"/>
      <c r="U15345" s="841"/>
      <c r="V15345" s="1435">
        <v>24</v>
      </c>
      <c r="W15345" s="841"/>
      <c r="X15345" s="841"/>
      <c r="Y15345" s="841"/>
      <c r="Z15345" s="841"/>
      <c r="AA15345" s="841"/>
      <c r="AB15345" s="841"/>
      <c r="AC15345" s="841"/>
    </row>
    <row r="15346" spans="1:32" ht="18" customHeight="1" x14ac:dyDescent="0.25">
      <c r="A15346" s="744" t="s">
        <v>194</v>
      </c>
      <c r="B15346" s="841"/>
      <c r="C15346" s="744" t="s">
        <v>3052</v>
      </c>
      <c r="D15346" s="841"/>
      <c r="E15346" s="1912" t="s">
        <v>3053</v>
      </c>
      <c r="F15346" s="1912"/>
      <c r="G15346" s="1912"/>
      <c r="H15346" s="1912"/>
      <c r="I15346" s="841"/>
      <c r="J15346" s="841"/>
      <c r="K15346" s="841"/>
      <c r="L15346" s="841"/>
      <c r="M15346" s="1436"/>
      <c r="N15346" s="841"/>
      <c r="O15346" s="841"/>
      <c r="P15346" s="841"/>
      <c r="Q15346" s="841"/>
      <c r="R15346" s="841"/>
      <c r="S15346" s="841"/>
      <c r="T15346" s="841"/>
      <c r="U15346" s="841"/>
      <c r="V15346" s="1435">
        <v>27</v>
      </c>
      <c r="W15346" s="841"/>
      <c r="X15346" s="841"/>
      <c r="Y15346" s="841"/>
      <c r="Z15346" s="841"/>
      <c r="AA15346" s="841"/>
      <c r="AB15346" s="841"/>
      <c r="AC15346" s="841"/>
    </row>
    <row r="15347" spans="1:32" ht="15.75" customHeight="1" x14ac:dyDescent="0.25">
      <c r="A15347" s="744" t="s">
        <v>194</v>
      </c>
      <c r="B15347" s="841"/>
      <c r="C15347" s="744" t="s">
        <v>3054</v>
      </c>
      <c r="D15347" s="841"/>
      <c r="E15347" s="1913" t="s">
        <v>5107</v>
      </c>
      <c r="F15347" s="1913"/>
      <c r="G15347" s="1913"/>
      <c r="H15347" s="1913"/>
      <c r="I15347" s="841"/>
      <c r="J15347" s="841"/>
      <c r="K15347" s="841"/>
      <c r="L15347" s="841"/>
      <c r="M15347" s="1436"/>
      <c r="N15347" s="841"/>
      <c r="O15347" s="841"/>
      <c r="P15347" s="841"/>
      <c r="Q15347" s="841"/>
      <c r="R15347" s="841"/>
      <c r="S15347" s="1428">
        <v>43221</v>
      </c>
      <c r="T15347" s="841"/>
      <c r="U15347" s="841"/>
      <c r="V15347" s="1435">
        <v>45</v>
      </c>
      <c r="W15347" s="841"/>
      <c r="X15347" s="841"/>
      <c r="Y15347" s="841"/>
      <c r="Z15347" s="841"/>
      <c r="AA15347" s="841"/>
      <c r="AB15347" s="841"/>
      <c r="AC15347" s="841"/>
    </row>
    <row r="15348" spans="1:32" ht="15" customHeight="1" x14ac:dyDescent="0.25">
      <c r="A15348" s="744" t="s">
        <v>194</v>
      </c>
      <c r="B15348" s="841"/>
      <c r="C15348" s="744" t="s">
        <v>3055</v>
      </c>
      <c r="D15348" s="841"/>
      <c r="E15348" s="1914" t="s">
        <v>3056</v>
      </c>
      <c r="F15348" s="1914"/>
      <c r="G15348" s="1914"/>
      <c r="H15348" s="1914"/>
      <c r="I15348" s="841"/>
      <c r="J15348" s="841"/>
      <c r="K15348" s="841"/>
      <c r="L15348" s="841"/>
      <c r="M15348" s="1436"/>
      <c r="N15348" s="841"/>
      <c r="O15348" s="841"/>
      <c r="P15348" s="841"/>
      <c r="Q15348" s="841"/>
      <c r="R15348" s="841"/>
      <c r="S15348" s="841"/>
      <c r="T15348" s="841"/>
      <c r="U15348" s="841"/>
      <c r="V15348" s="1435">
        <v>52</v>
      </c>
      <c r="W15348" s="841"/>
      <c r="X15348" s="841"/>
      <c r="Y15348" s="841"/>
      <c r="Z15348" s="841"/>
      <c r="AA15348" s="841"/>
      <c r="AB15348" s="841"/>
      <c r="AC15348" s="841"/>
    </row>
    <row r="15349" spans="1:32" ht="15" customHeight="1" x14ac:dyDescent="0.25">
      <c r="A15349" s="744" t="s">
        <v>194</v>
      </c>
      <c r="B15349" s="841"/>
      <c r="C15349" s="841"/>
      <c r="D15349" s="841"/>
      <c r="E15349" s="1914" t="s">
        <v>3057</v>
      </c>
      <c r="F15349" s="1914"/>
      <c r="G15349" s="1914"/>
      <c r="H15349" s="1914"/>
      <c r="I15349" s="841"/>
      <c r="J15349" s="841"/>
      <c r="K15349" s="841"/>
      <c r="L15349" s="841"/>
      <c r="M15349" s="1436"/>
      <c r="N15349" s="841"/>
      <c r="O15349" s="841"/>
      <c r="P15349" s="841"/>
      <c r="Q15349" s="841"/>
      <c r="R15349" s="841"/>
      <c r="S15349" s="841"/>
      <c r="T15349" s="841"/>
      <c r="U15349" s="841"/>
      <c r="V15349" s="1435">
        <v>53</v>
      </c>
      <c r="W15349" s="841"/>
      <c r="X15349" s="841"/>
      <c r="Y15349" s="841"/>
      <c r="Z15349" s="841"/>
      <c r="AA15349" s="841"/>
      <c r="AB15349" s="841"/>
      <c r="AC15349" s="841"/>
    </row>
    <row r="15350" spans="1:32" ht="15" x14ac:dyDescent="0.25">
      <c r="A15350" s="744" t="s">
        <v>194</v>
      </c>
      <c r="B15350" s="841"/>
      <c r="C15350" s="841"/>
      <c r="D15350" s="841"/>
      <c r="E15350" s="1925" t="s">
        <v>6831</v>
      </c>
      <c r="F15350" s="1925"/>
      <c r="G15350" s="1925"/>
      <c r="H15350" s="1925"/>
      <c r="I15350" s="841"/>
      <c r="J15350" s="841"/>
      <c r="K15350" s="744" t="s">
        <v>6831</v>
      </c>
      <c r="L15350" s="841"/>
      <c r="M15350" s="1436"/>
      <c r="N15350" s="841"/>
      <c r="O15350" s="841"/>
      <c r="P15350" s="841"/>
      <c r="Q15350" s="841"/>
      <c r="R15350" s="841"/>
      <c r="S15350" s="841"/>
      <c r="T15350" s="841"/>
      <c r="U15350" s="841"/>
      <c r="V15350" s="1435">
        <v>12</v>
      </c>
      <c r="W15350" s="841"/>
      <c r="X15350" s="841"/>
      <c r="Y15350" s="841"/>
      <c r="Z15350" s="841"/>
      <c r="AA15350" s="841"/>
      <c r="AB15350" s="841"/>
      <c r="AC15350" s="841"/>
    </row>
    <row r="15351" spans="1:32" ht="15" customHeight="1" x14ac:dyDescent="0.25">
      <c r="A15351" s="744" t="s">
        <v>194</v>
      </c>
      <c r="B15351" s="841"/>
      <c r="C15351" s="841"/>
      <c r="D15351" s="841"/>
      <c r="E15351" s="1909" t="s">
        <v>438</v>
      </c>
      <c r="F15351" s="1697"/>
      <c r="G15351" s="1697"/>
      <c r="H15351" s="1697"/>
      <c r="I15351" s="841"/>
      <c r="J15351" s="841"/>
      <c r="K15351" s="744" t="s">
        <v>3197</v>
      </c>
      <c r="L15351" s="841"/>
      <c r="M15351" s="1436"/>
      <c r="N15351" s="841"/>
      <c r="O15351" s="841"/>
      <c r="P15351" s="841"/>
      <c r="Q15351" s="841"/>
      <c r="R15351" s="841"/>
      <c r="S15351" s="841"/>
      <c r="T15351" s="841"/>
      <c r="U15351" s="841"/>
      <c r="V15351" s="1435">
        <v>34</v>
      </c>
      <c r="W15351" s="841"/>
      <c r="X15351" s="841"/>
      <c r="Y15351" s="841"/>
      <c r="Z15351" s="841"/>
      <c r="AA15351" s="841"/>
      <c r="AB15351" s="841"/>
      <c r="AC15351" s="744">
        <v>3</v>
      </c>
    </row>
    <row r="15352" spans="1:32" ht="15" customHeight="1" x14ac:dyDescent="0.25">
      <c r="A15352" s="744" t="s">
        <v>194</v>
      </c>
      <c r="B15352" s="841"/>
      <c r="C15352" s="841"/>
      <c r="D15352" s="841"/>
      <c r="E15352" s="1689" t="s">
        <v>3951</v>
      </c>
      <c r="F15352" s="1689"/>
      <c r="G15352" s="1689"/>
      <c r="H15352" s="1689"/>
      <c r="I15352" s="841"/>
      <c r="J15352" s="841"/>
      <c r="K15352" s="744" t="s">
        <v>3197</v>
      </c>
      <c r="L15352" s="841"/>
      <c r="M15352" s="1436"/>
      <c r="N15352" s="841"/>
      <c r="O15352" s="841"/>
      <c r="P15352" s="841"/>
      <c r="Q15352" s="841"/>
      <c r="R15352" s="841"/>
      <c r="S15352" s="841"/>
      <c r="T15352" s="841"/>
      <c r="U15352" s="841"/>
      <c r="V15352" s="1435">
        <v>652</v>
      </c>
      <c r="W15352" s="841"/>
      <c r="X15352" s="841"/>
      <c r="Y15352" s="841"/>
      <c r="Z15352" s="841"/>
      <c r="AA15352" s="841"/>
      <c r="AB15352" s="841"/>
      <c r="AC15352" s="841"/>
    </row>
    <row r="15353" spans="1:32" ht="15" x14ac:dyDescent="0.25">
      <c r="A15353" s="744" t="s">
        <v>194</v>
      </c>
      <c r="B15353" s="841"/>
      <c r="C15353" s="841"/>
      <c r="D15353" s="841"/>
      <c r="E15353" s="1916" t="s">
        <v>3061</v>
      </c>
      <c r="F15353" s="1697"/>
      <c r="G15353" s="1697"/>
      <c r="H15353" s="1697"/>
      <c r="I15353" s="841"/>
      <c r="J15353" s="841"/>
      <c r="K15353" s="744" t="s">
        <v>3062</v>
      </c>
      <c r="L15353" s="841"/>
      <c r="M15353" s="1436"/>
      <c r="N15353" s="841"/>
      <c r="O15353" s="841"/>
      <c r="P15353" s="841"/>
      <c r="Q15353" s="841"/>
      <c r="R15353" s="841"/>
      <c r="S15353" s="841"/>
      <c r="T15353" s="841"/>
      <c r="U15353" s="841"/>
      <c r="V15353" s="1435">
        <v>11</v>
      </c>
      <c r="W15353" s="841"/>
      <c r="X15353" s="841"/>
      <c r="Y15353" s="841"/>
      <c r="Z15353" s="841"/>
      <c r="AA15353" s="841"/>
      <c r="AB15353" s="841"/>
      <c r="AC15353" s="841"/>
    </row>
    <row r="15354" spans="1:32" ht="15" customHeight="1" x14ac:dyDescent="0.25">
      <c r="A15354" s="744" t="s">
        <v>194</v>
      </c>
      <c r="B15354" s="841"/>
      <c r="C15354" s="841"/>
      <c r="D15354" s="841"/>
      <c r="E15354" s="1689" t="s">
        <v>3063</v>
      </c>
      <c r="F15354" s="1689"/>
      <c r="G15354" s="1689"/>
      <c r="H15354" s="1689"/>
      <c r="I15354" s="841"/>
      <c r="J15354" s="841"/>
      <c r="K15354" s="744" t="s">
        <v>3197</v>
      </c>
      <c r="L15354" s="841"/>
      <c r="M15354" s="1436"/>
      <c r="N15354" s="841"/>
      <c r="O15354" s="841"/>
      <c r="P15354" s="841"/>
      <c r="Q15354" s="841"/>
      <c r="R15354" s="841"/>
      <c r="S15354" s="841"/>
      <c r="T15354" s="841"/>
      <c r="U15354" s="841"/>
      <c r="V15354" s="1435">
        <v>280</v>
      </c>
      <c r="W15354" s="841"/>
      <c r="X15354" s="841"/>
      <c r="Y15354" s="841"/>
      <c r="Z15354" s="841"/>
      <c r="AA15354" s="841"/>
      <c r="AB15354" s="841"/>
      <c r="AC15354" s="841"/>
    </row>
    <row r="15355" spans="1:32" ht="15" customHeight="1" x14ac:dyDescent="0.25">
      <c r="A15355" s="744" t="s">
        <v>194</v>
      </c>
      <c r="B15355" s="841"/>
      <c r="C15355" s="841"/>
      <c r="D15355" s="841"/>
      <c r="E15355" s="1689" t="s">
        <v>3064</v>
      </c>
      <c r="F15355" s="1689"/>
      <c r="G15355" s="1689"/>
      <c r="H15355" s="1689"/>
      <c r="I15355" s="841"/>
      <c r="J15355" s="841"/>
      <c r="K15355" s="744" t="s">
        <v>3197</v>
      </c>
      <c r="L15355" s="841"/>
      <c r="M15355" s="1436"/>
      <c r="N15355" s="841"/>
      <c r="O15355" s="841"/>
      <c r="P15355" s="841"/>
      <c r="Q15355" s="841"/>
      <c r="R15355" s="841"/>
      <c r="S15355" s="841"/>
      <c r="T15355" s="841"/>
      <c r="U15355" s="841"/>
      <c r="V15355" s="1435">
        <v>411</v>
      </c>
      <c r="W15355" s="841"/>
      <c r="X15355" s="841"/>
      <c r="Y15355" s="841"/>
      <c r="Z15355" s="841"/>
      <c r="AA15355" s="841"/>
      <c r="AB15355" s="841"/>
      <c r="AC15355" s="841"/>
    </row>
    <row r="15356" spans="1:32" ht="15" customHeight="1" x14ac:dyDescent="0.25">
      <c r="A15356" s="744" t="s">
        <v>194</v>
      </c>
      <c r="B15356" s="841"/>
      <c r="C15356" s="841"/>
      <c r="D15356" s="841"/>
      <c r="E15356" s="1689" t="s">
        <v>3065</v>
      </c>
      <c r="F15356" s="1689"/>
      <c r="G15356" s="1689"/>
      <c r="H15356" s="1689"/>
      <c r="I15356" s="841"/>
      <c r="J15356" s="841"/>
      <c r="K15356" s="744" t="s">
        <v>3197</v>
      </c>
      <c r="L15356" s="841"/>
      <c r="M15356" s="1436"/>
      <c r="N15356" s="841"/>
      <c r="O15356" s="841"/>
      <c r="P15356" s="841"/>
      <c r="Q15356" s="841"/>
      <c r="R15356" s="841"/>
      <c r="S15356" s="841"/>
      <c r="T15356" s="841"/>
      <c r="U15356" s="841"/>
      <c r="V15356" s="1435">
        <v>387</v>
      </c>
      <c r="W15356" s="841"/>
      <c r="X15356" s="841"/>
      <c r="Y15356" s="841"/>
      <c r="Z15356" s="841"/>
      <c r="AA15356" s="841"/>
      <c r="AB15356" s="841"/>
      <c r="AC15356" s="841"/>
    </row>
    <row r="15357" spans="1:32" ht="15" customHeight="1" x14ac:dyDescent="0.25">
      <c r="A15357" s="744" t="s">
        <v>194</v>
      </c>
      <c r="B15357" s="841"/>
      <c r="C15357" s="841"/>
      <c r="D15357" s="841"/>
      <c r="E15357" s="1689" t="s">
        <v>3200</v>
      </c>
      <c r="F15357" s="1689"/>
      <c r="G15357" s="1689"/>
      <c r="H15357" s="1689"/>
      <c r="I15357" s="841"/>
      <c r="J15357" s="841"/>
      <c r="K15357" s="744" t="s">
        <v>3197</v>
      </c>
      <c r="L15357" s="841"/>
      <c r="M15357" s="1436"/>
      <c r="N15357" s="841"/>
      <c r="O15357" s="841"/>
      <c r="P15357" s="841"/>
      <c r="Q15357" s="841"/>
      <c r="R15357" s="841"/>
      <c r="S15357" s="841"/>
      <c r="T15357" s="841"/>
      <c r="U15357" s="841"/>
      <c r="V15357" s="1435">
        <v>275</v>
      </c>
      <c r="W15357" s="841"/>
      <c r="X15357" s="841"/>
      <c r="Y15357" s="841"/>
      <c r="Z15357" s="841"/>
      <c r="AA15357" s="841"/>
      <c r="AB15357" s="841"/>
      <c r="AC15357" s="841"/>
    </row>
    <row r="15358" spans="1:32" ht="15" customHeight="1" x14ac:dyDescent="0.25">
      <c r="A15358" s="744" t="s">
        <v>194</v>
      </c>
      <c r="B15358" s="841"/>
      <c r="C15358" s="841"/>
      <c r="D15358" s="841"/>
      <c r="E15358" s="1694" t="s">
        <v>3067</v>
      </c>
      <c r="F15358" s="1907"/>
      <c r="G15358" s="1907"/>
      <c r="H15358" s="1907"/>
      <c r="I15358" s="841"/>
      <c r="J15358" s="841"/>
      <c r="K15358" s="744" t="s">
        <v>3068</v>
      </c>
      <c r="L15358" s="841"/>
      <c r="M15358" s="1436"/>
      <c r="N15358" s="841"/>
      <c r="O15358" s="841"/>
      <c r="P15358" s="841"/>
      <c r="Q15358" s="841"/>
      <c r="R15358" s="841"/>
      <c r="S15358" s="841"/>
      <c r="T15358" s="841"/>
      <c r="U15358" s="841"/>
      <c r="V15358" s="1435">
        <v>46</v>
      </c>
      <c r="W15358" s="841"/>
      <c r="X15358" s="841"/>
      <c r="Y15358" s="841"/>
      <c r="Z15358" s="841"/>
      <c r="AA15358" s="841"/>
      <c r="AB15358" s="841"/>
      <c r="AC15358" s="841"/>
      <c r="AD15358" s="841"/>
      <c r="AE15358" s="841"/>
      <c r="AF15358" s="841"/>
    </row>
    <row r="15359" spans="1:32" ht="15" x14ac:dyDescent="0.25">
      <c r="A15359" s="744" t="s">
        <v>194</v>
      </c>
      <c r="B15359" s="841"/>
      <c r="C15359" s="841"/>
      <c r="D15359" s="841"/>
      <c r="E15359" s="1690" t="s">
        <v>11</v>
      </c>
      <c r="F15359" s="1690"/>
      <c r="G15359" s="1427" t="s">
        <v>23</v>
      </c>
      <c r="H15359" s="391">
        <v>35.56</v>
      </c>
      <c r="I15359" s="841"/>
      <c r="J15359" s="841"/>
      <c r="K15359" s="744" t="s">
        <v>3197</v>
      </c>
      <c r="L15359" s="744" t="s">
        <v>442</v>
      </c>
      <c r="M15359" s="1436"/>
      <c r="N15359" s="841"/>
      <c r="O15359" s="841"/>
      <c r="P15359" s="744" t="s">
        <v>3201</v>
      </c>
      <c r="Q15359" s="841"/>
      <c r="R15359" s="841"/>
      <c r="S15359" s="841"/>
      <c r="T15359" s="841"/>
      <c r="U15359" s="841"/>
      <c r="V15359" s="1435">
        <v>14</v>
      </c>
      <c r="W15359" s="841"/>
      <c r="X15359" s="841"/>
      <c r="Y15359" s="841"/>
      <c r="Z15359" s="841"/>
      <c r="AA15359" s="841"/>
      <c r="AB15359" s="841"/>
      <c r="AC15359" s="841"/>
      <c r="AD15359" s="841"/>
      <c r="AE15359" s="841"/>
      <c r="AF15359" s="841"/>
    </row>
    <row r="15360" spans="1:32" ht="15" customHeight="1" x14ac:dyDescent="0.25">
      <c r="A15360" s="744" t="s">
        <v>194</v>
      </c>
      <c r="B15360" s="841"/>
      <c r="C15360" s="841"/>
      <c r="D15360" s="841"/>
      <c r="E15360" s="1690" t="s">
        <v>423</v>
      </c>
      <c r="F15360" s="1690"/>
      <c r="G15360" s="1427" t="s">
        <v>23</v>
      </c>
      <c r="H15360" s="391">
        <v>0.56999999999999995</v>
      </c>
      <c r="I15360" s="841"/>
      <c r="J15360" s="841"/>
      <c r="K15360" s="744" t="s">
        <v>3197</v>
      </c>
      <c r="L15360" s="744" t="s">
        <v>443</v>
      </c>
      <c r="M15360" s="1436"/>
      <c r="N15360" s="841"/>
      <c r="O15360" s="841"/>
      <c r="P15360" s="744" t="s">
        <v>3202</v>
      </c>
      <c r="Q15360" s="841"/>
      <c r="R15360" s="841"/>
      <c r="S15360" s="841"/>
      <c r="T15360" s="1428">
        <v>43404</v>
      </c>
      <c r="U15360" s="841"/>
      <c r="V15360" s="1435">
        <v>78</v>
      </c>
      <c r="W15360" s="841"/>
      <c r="X15360" s="841"/>
      <c r="Y15360" s="841"/>
      <c r="Z15360" s="841"/>
      <c r="AA15360" s="841"/>
      <c r="AB15360" s="841"/>
      <c r="AC15360" s="841"/>
      <c r="AD15360" s="841"/>
      <c r="AE15360" s="841"/>
      <c r="AF15360" s="841"/>
    </row>
    <row r="15361" spans="1:32" ht="15" x14ac:dyDescent="0.25">
      <c r="A15361" s="744" t="s">
        <v>194</v>
      </c>
      <c r="B15361" s="841"/>
      <c r="C15361" s="841"/>
      <c r="D15361" s="841"/>
      <c r="E15361" s="1690" t="s">
        <v>84</v>
      </c>
      <c r="F15361" s="1690"/>
      <c r="G15361" s="1427" t="s">
        <v>24</v>
      </c>
      <c r="H15361" s="393">
        <v>5.9943999999999996E-3</v>
      </c>
      <c r="I15361" s="841"/>
      <c r="J15361" s="841"/>
      <c r="K15361" s="744" t="s">
        <v>3197</v>
      </c>
      <c r="L15361" s="744" t="s">
        <v>442</v>
      </c>
      <c r="M15361" s="1436"/>
      <c r="N15361" s="841"/>
      <c r="O15361" s="841"/>
      <c r="P15361" s="744" t="s">
        <v>3203</v>
      </c>
      <c r="Q15361" s="841"/>
      <c r="R15361" s="841"/>
      <c r="S15361" s="841"/>
      <c r="T15361" s="841"/>
      <c r="U15361" s="841"/>
      <c r="V15361" s="1435">
        <v>28</v>
      </c>
      <c r="W15361" s="841"/>
      <c r="X15361" s="841"/>
      <c r="Y15361" s="841"/>
      <c r="Z15361" s="841"/>
      <c r="AA15361" s="841"/>
      <c r="AB15361" s="841"/>
      <c r="AC15361" s="841"/>
      <c r="AD15361" s="841"/>
      <c r="AE15361" s="841"/>
      <c r="AF15361" s="841"/>
    </row>
    <row r="15362" spans="1:32" ht="15" x14ac:dyDescent="0.25">
      <c r="A15362" s="744" t="s">
        <v>194</v>
      </c>
      <c r="B15362" s="841"/>
      <c r="C15362" s="841"/>
      <c r="D15362" s="841"/>
      <c r="E15362" s="1690" t="s">
        <v>18</v>
      </c>
      <c r="F15362" s="1690"/>
      <c r="G15362" s="1427" t="s">
        <v>24</v>
      </c>
      <c r="H15362" s="393">
        <v>3.7000000000000002E-3</v>
      </c>
      <c r="I15362" s="744" t="s">
        <v>2461</v>
      </c>
      <c r="J15362" s="841"/>
      <c r="K15362" s="744" t="s">
        <v>3197</v>
      </c>
      <c r="L15362" s="744" t="s">
        <v>443</v>
      </c>
      <c r="M15362" s="1436"/>
      <c r="N15362" s="841"/>
      <c r="O15362" s="841"/>
      <c r="P15362" s="744" t="s">
        <v>3204</v>
      </c>
      <c r="Q15362" s="841"/>
      <c r="R15362" s="841"/>
      <c r="S15362" s="841"/>
      <c r="T15362" s="841"/>
      <c r="U15362" s="841"/>
      <c r="V15362" s="1435">
        <v>24</v>
      </c>
      <c r="W15362" s="841"/>
      <c r="X15362" s="841"/>
      <c r="Y15362" s="841"/>
      <c r="Z15362" s="841"/>
      <c r="AA15362" s="841"/>
      <c r="AB15362" s="841"/>
      <c r="AC15362" s="841"/>
      <c r="AD15362" s="841"/>
      <c r="AE15362" s="841"/>
      <c r="AF15362" s="841"/>
    </row>
    <row r="15363" spans="1:32" ht="15.75" customHeight="1" x14ac:dyDescent="0.25">
      <c r="A15363" s="744" t="s">
        <v>194</v>
      </c>
      <c r="B15363" s="841"/>
      <c r="C15363" s="841"/>
      <c r="D15363" s="841"/>
      <c r="E15363" s="1690" t="s">
        <v>6832</v>
      </c>
      <c r="F15363" s="1908"/>
      <c r="G15363" s="1427" t="s">
        <v>24</v>
      </c>
      <c r="H15363" s="393">
        <v>-1.2999999999999999E-3</v>
      </c>
      <c r="I15363" s="841"/>
      <c r="J15363" s="841"/>
      <c r="K15363" s="744" t="s">
        <v>3197</v>
      </c>
      <c r="L15363" s="744" t="s">
        <v>443</v>
      </c>
      <c r="M15363" s="1436"/>
      <c r="N15363" s="841"/>
      <c r="O15363" s="841"/>
      <c r="P15363" s="744" t="s">
        <v>3207</v>
      </c>
      <c r="Q15363" s="841"/>
      <c r="R15363" s="841"/>
      <c r="S15363" s="841"/>
      <c r="T15363" s="1428">
        <v>43220</v>
      </c>
      <c r="U15363" s="841"/>
      <c r="V15363" s="1435">
        <v>96</v>
      </c>
      <c r="W15363" s="841"/>
      <c r="X15363" s="841"/>
      <c r="Y15363" s="841"/>
      <c r="Z15363" s="841"/>
      <c r="AA15363" s="841"/>
      <c r="AB15363" s="841"/>
      <c r="AC15363" s="841"/>
      <c r="AD15363" s="841"/>
      <c r="AE15363" s="841"/>
      <c r="AF15363" s="841"/>
    </row>
    <row r="15364" spans="1:32" ht="15" x14ac:dyDescent="0.25">
      <c r="A15364" s="744" t="s">
        <v>194</v>
      </c>
      <c r="B15364" s="841"/>
      <c r="C15364" s="841"/>
      <c r="D15364" s="841"/>
      <c r="E15364" s="1690" t="s">
        <v>221</v>
      </c>
      <c r="F15364" s="1690"/>
      <c r="G15364" s="1427" t="s">
        <v>24</v>
      </c>
      <c r="H15364" s="393">
        <v>6.4000000000000003E-3</v>
      </c>
      <c r="I15364" s="841"/>
      <c r="J15364" s="841"/>
      <c r="K15364" s="744" t="s">
        <v>3197</v>
      </c>
      <c r="L15364" s="744" t="s">
        <v>444</v>
      </c>
      <c r="M15364" s="1436"/>
      <c r="N15364" s="841"/>
      <c r="O15364" s="841"/>
      <c r="P15364" s="744" t="s">
        <v>3208</v>
      </c>
      <c r="Q15364" s="841"/>
      <c r="R15364" s="841"/>
      <c r="S15364" s="841"/>
      <c r="T15364" s="841"/>
      <c r="U15364" s="841"/>
      <c r="V15364" s="1435">
        <v>47</v>
      </c>
      <c r="W15364" s="841"/>
      <c r="X15364" s="841"/>
      <c r="Y15364" s="841"/>
      <c r="Z15364" s="841"/>
      <c r="AA15364" s="841"/>
      <c r="AB15364" s="841"/>
      <c r="AC15364" s="841"/>
      <c r="AD15364" s="841"/>
      <c r="AE15364" s="841"/>
      <c r="AF15364" s="841"/>
    </row>
    <row r="15365" spans="1:32" ht="15" customHeight="1" x14ac:dyDescent="0.25">
      <c r="A15365" s="744" t="s">
        <v>194</v>
      </c>
      <c r="B15365" s="841"/>
      <c r="C15365" s="841"/>
      <c r="D15365" s="841"/>
      <c r="E15365" s="1690" t="s">
        <v>217</v>
      </c>
      <c r="F15365" s="1690"/>
      <c r="G15365" s="1427" t="s">
        <v>24</v>
      </c>
      <c r="H15365" s="393">
        <v>1.6999999999999999E-3</v>
      </c>
      <c r="I15365" s="841"/>
      <c r="J15365" s="841"/>
      <c r="K15365" s="744" t="s">
        <v>3197</v>
      </c>
      <c r="L15365" s="744" t="s">
        <v>444</v>
      </c>
      <c r="M15365" s="1436"/>
      <c r="N15365" s="841"/>
      <c r="O15365" s="841"/>
      <c r="P15365" s="744" t="s">
        <v>3209</v>
      </c>
      <c r="Q15365" s="841"/>
      <c r="R15365" s="841"/>
      <c r="S15365" s="841"/>
      <c r="T15365" s="841"/>
      <c r="U15365" s="841"/>
      <c r="V15365" s="1435">
        <v>74</v>
      </c>
      <c r="W15365" s="841"/>
      <c r="X15365" s="841"/>
      <c r="Y15365" s="841"/>
      <c r="Z15365" s="841"/>
      <c r="AA15365" s="841"/>
      <c r="AB15365" s="841"/>
      <c r="AC15365" s="841"/>
      <c r="AD15365" s="841"/>
      <c r="AE15365" s="841"/>
      <c r="AF15365" s="841"/>
    </row>
    <row r="15366" spans="1:32" ht="15" customHeight="1" x14ac:dyDescent="0.25">
      <c r="A15366" s="744" t="s">
        <v>194</v>
      </c>
      <c r="B15366" s="841"/>
      <c r="C15366" s="841"/>
      <c r="D15366" s="841"/>
      <c r="E15366" s="1694" t="s">
        <v>3079</v>
      </c>
      <c r="F15366" s="1690"/>
      <c r="G15366" s="1427"/>
      <c r="H15366" s="394"/>
      <c r="I15366" s="841"/>
      <c r="J15366" s="841"/>
      <c r="K15366" s="744" t="s">
        <v>3080</v>
      </c>
      <c r="L15366" s="841"/>
      <c r="M15366" s="1436"/>
      <c r="N15366" s="841"/>
      <c r="O15366" s="841"/>
      <c r="P15366" s="841"/>
      <c r="Q15366" s="841"/>
      <c r="R15366" s="841"/>
      <c r="S15366" s="841"/>
      <c r="T15366" s="841"/>
      <c r="U15366" s="841"/>
      <c r="V15366" s="1435">
        <v>48</v>
      </c>
      <c r="W15366" s="841"/>
      <c r="X15366" s="841"/>
      <c r="Y15366" s="841"/>
      <c r="Z15366" s="841"/>
      <c r="AA15366" s="841"/>
      <c r="AB15366" s="841"/>
      <c r="AC15366" s="841"/>
      <c r="AD15366" s="841"/>
      <c r="AE15366" s="841"/>
      <c r="AF15366" s="841"/>
    </row>
    <row r="15367" spans="1:32" ht="15" customHeight="1" x14ac:dyDescent="0.25">
      <c r="A15367" s="744" t="s">
        <v>194</v>
      </c>
      <c r="B15367" s="841"/>
      <c r="C15367" s="841"/>
      <c r="D15367" s="841"/>
      <c r="E15367" s="1690" t="s">
        <v>6718</v>
      </c>
      <c r="F15367" s="1690"/>
      <c r="G15367" s="1427" t="s">
        <v>24</v>
      </c>
      <c r="H15367" s="393">
        <v>3.2000000000000002E-3</v>
      </c>
      <c r="I15367" s="841"/>
      <c r="J15367" s="841"/>
      <c r="K15367" s="744" t="s">
        <v>3197</v>
      </c>
      <c r="L15367" s="744" t="s">
        <v>3046</v>
      </c>
      <c r="M15367" s="1436"/>
      <c r="N15367" s="841"/>
      <c r="O15367" s="841"/>
      <c r="P15367" s="744" t="s">
        <v>3210</v>
      </c>
      <c r="Q15367" s="841"/>
      <c r="R15367" s="841"/>
      <c r="S15367" s="841"/>
      <c r="T15367" s="841"/>
      <c r="U15367" s="841"/>
      <c r="V15367" s="1435">
        <v>55</v>
      </c>
      <c r="W15367" s="841"/>
      <c r="X15367" s="841"/>
      <c r="Y15367" s="841"/>
      <c r="Z15367" s="841"/>
      <c r="AA15367" s="841"/>
      <c r="AB15367" s="841"/>
      <c r="AC15367" s="841"/>
      <c r="AD15367" s="841"/>
      <c r="AE15367" s="841"/>
      <c r="AF15367" s="841"/>
    </row>
    <row r="15368" spans="1:32" ht="15" customHeight="1" x14ac:dyDescent="0.25">
      <c r="A15368" s="744" t="s">
        <v>194</v>
      </c>
      <c r="B15368" s="841"/>
      <c r="C15368" s="841"/>
      <c r="D15368" s="841"/>
      <c r="E15368" s="1690" t="s">
        <v>3211</v>
      </c>
      <c r="F15368" s="1690"/>
      <c r="G15368" s="1427" t="s">
        <v>24</v>
      </c>
      <c r="H15368" s="393">
        <v>4.0000000000000002E-4</v>
      </c>
      <c r="I15368" s="841"/>
      <c r="J15368" s="841"/>
      <c r="K15368" s="744" t="s">
        <v>3197</v>
      </c>
      <c r="L15368" s="744" t="s">
        <v>3046</v>
      </c>
      <c r="M15368" s="1436"/>
      <c r="N15368" s="841"/>
      <c r="O15368" s="841"/>
      <c r="P15368" s="744" t="s">
        <v>3210</v>
      </c>
      <c r="Q15368" s="841"/>
      <c r="R15368" s="841"/>
      <c r="S15368" s="841"/>
      <c r="T15368" s="841"/>
      <c r="U15368" s="841"/>
      <c r="V15368" s="1435">
        <v>65</v>
      </c>
      <c r="W15368" s="841"/>
      <c r="X15368" s="841"/>
      <c r="Y15368" s="841"/>
      <c r="Z15368" s="841"/>
      <c r="AA15368" s="841"/>
      <c r="AB15368" s="841"/>
      <c r="AC15368" s="841"/>
      <c r="AD15368" s="841"/>
      <c r="AE15368" s="841"/>
      <c r="AF15368" s="841"/>
    </row>
    <row r="15369" spans="1:32" ht="15" customHeight="1" x14ac:dyDescent="0.25">
      <c r="A15369" s="744" t="s">
        <v>194</v>
      </c>
      <c r="B15369" s="841"/>
      <c r="C15369" s="841"/>
      <c r="D15369" s="841"/>
      <c r="E15369" s="1690" t="s">
        <v>439</v>
      </c>
      <c r="F15369" s="1690"/>
      <c r="G15369" s="1427" t="s">
        <v>24</v>
      </c>
      <c r="H15369" s="393">
        <v>2.0999999999999999E-3</v>
      </c>
      <c r="I15369" s="841"/>
      <c r="J15369" s="841"/>
      <c r="K15369" s="744" t="s">
        <v>3197</v>
      </c>
      <c r="L15369" s="744" t="s">
        <v>3046</v>
      </c>
      <c r="M15369" s="1436"/>
      <c r="N15369" s="841"/>
      <c r="O15369" s="841"/>
      <c r="P15369" s="744" t="s">
        <v>3212</v>
      </c>
      <c r="Q15369" s="841"/>
      <c r="R15369" s="841"/>
      <c r="S15369" s="841"/>
      <c r="T15369" s="841"/>
      <c r="U15369" s="841"/>
      <c r="V15369" s="1435">
        <v>57</v>
      </c>
      <c r="W15369" s="841"/>
      <c r="X15369" s="841"/>
      <c r="Y15369" s="841"/>
      <c r="Z15369" s="841"/>
      <c r="AA15369" s="841"/>
      <c r="AB15369" s="841"/>
      <c r="AC15369" s="841"/>
      <c r="AD15369" s="841"/>
      <c r="AE15369" s="841"/>
      <c r="AF15369" s="841"/>
    </row>
    <row r="15370" spans="1:32" ht="15" customHeight="1" x14ac:dyDescent="0.25">
      <c r="A15370" s="744" t="s">
        <v>194</v>
      </c>
      <c r="B15370" s="841"/>
      <c r="C15370" s="841"/>
      <c r="D15370" s="841"/>
      <c r="E15370" s="1690" t="s">
        <v>32</v>
      </c>
      <c r="F15370" s="1690"/>
      <c r="G15370" s="1427" t="s">
        <v>23</v>
      </c>
      <c r="H15370" s="391">
        <v>0.25</v>
      </c>
      <c r="I15370" s="841"/>
      <c r="J15370" s="841"/>
      <c r="K15370" s="744" t="s">
        <v>3197</v>
      </c>
      <c r="L15370" s="744" t="s">
        <v>3046</v>
      </c>
      <c r="M15370" s="1436"/>
      <c r="N15370" s="841"/>
      <c r="O15370" s="841"/>
      <c r="P15370" s="744" t="s">
        <v>3213</v>
      </c>
      <c r="Q15370" s="841"/>
      <c r="R15370" s="841"/>
      <c r="S15370" s="841"/>
      <c r="T15370" s="841"/>
      <c r="U15370" s="841"/>
      <c r="V15370" s="1435">
        <v>63</v>
      </c>
      <c r="W15370" s="841"/>
      <c r="X15370" s="841"/>
      <c r="Y15370" s="841"/>
      <c r="Z15370" s="841"/>
      <c r="AA15370" s="841"/>
      <c r="AB15370" s="841"/>
      <c r="AC15370" s="841"/>
      <c r="AD15370" s="841"/>
      <c r="AE15370" s="841"/>
      <c r="AF15370" s="841"/>
    </row>
    <row r="15371" spans="1:32" ht="18" customHeight="1" x14ac:dyDescent="0.25">
      <c r="A15371" s="744" t="s">
        <v>194</v>
      </c>
      <c r="B15371" s="841"/>
      <c r="C15371" s="841"/>
      <c r="D15371" s="841"/>
      <c r="E15371" s="1909" t="s">
        <v>3214</v>
      </c>
      <c r="F15371" s="1915"/>
      <c r="G15371" s="1915"/>
      <c r="H15371" s="1915"/>
      <c r="I15371" s="841"/>
      <c r="J15371" s="841"/>
      <c r="K15371" s="744" t="s">
        <v>6675</v>
      </c>
      <c r="L15371" s="841"/>
      <c r="M15371" s="1436"/>
      <c r="N15371" s="841"/>
      <c r="O15371" s="841"/>
      <c r="P15371" s="841"/>
      <c r="Q15371" s="841"/>
      <c r="R15371" s="841"/>
      <c r="S15371" s="841"/>
      <c r="T15371" s="841"/>
      <c r="U15371" s="841"/>
      <c r="V15371" s="1435">
        <v>54</v>
      </c>
      <c r="W15371" s="841"/>
      <c r="X15371" s="841"/>
      <c r="Y15371" s="841"/>
      <c r="Z15371" s="841"/>
      <c r="AA15371" s="841"/>
      <c r="AB15371" s="841"/>
      <c r="AC15371" s="744" t="e">
        <v>#VALUE!</v>
      </c>
      <c r="AD15371" s="744" t="s">
        <v>3214</v>
      </c>
      <c r="AE15371" s="744" t="s">
        <v>6675</v>
      </c>
      <c r="AF15371" s="744" t="s">
        <v>194</v>
      </c>
    </row>
    <row r="15372" spans="1:32" ht="15" customHeight="1" x14ac:dyDescent="0.25">
      <c r="A15372" s="744" t="s">
        <v>194</v>
      </c>
      <c r="B15372" s="841"/>
      <c r="C15372" s="841"/>
      <c r="D15372" s="841"/>
      <c r="E15372" s="1689" t="s">
        <v>6833</v>
      </c>
      <c r="F15372" s="1689"/>
      <c r="G15372" s="1689"/>
      <c r="H15372" s="1689"/>
      <c r="I15372" s="841"/>
      <c r="J15372" s="841"/>
      <c r="K15372" s="744" t="s">
        <v>6675</v>
      </c>
      <c r="L15372" s="841"/>
      <c r="M15372" s="1436"/>
      <c r="N15372" s="841"/>
      <c r="O15372" s="841"/>
      <c r="P15372" s="841"/>
      <c r="Q15372" s="841"/>
      <c r="R15372" s="841"/>
      <c r="S15372" s="841"/>
      <c r="T15372" s="841"/>
      <c r="U15372" s="841"/>
      <c r="V15372" s="1435">
        <v>336</v>
      </c>
      <c r="W15372" s="841"/>
      <c r="X15372" s="841"/>
      <c r="Y15372" s="841"/>
      <c r="Z15372" s="841"/>
      <c r="AA15372" s="841"/>
      <c r="AB15372" s="841"/>
      <c r="AC15372" s="841"/>
      <c r="AD15372" s="841"/>
      <c r="AE15372" s="841"/>
      <c r="AF15372" s="841"/>
    </row>
    <row r="15373" spans="1:32" ht="15" x14ac:dyDescent="0.25">
      <c r="A15373" s="744" t="s">
        <v>194</v>
      </c>
      <c r="B15373" s="841"/>
      <c r="C15373" s="841"/>
      <c r="D15373" s="841"/>
      <c r="E15373" s="1916" t="s">
        <v>3061</v>
      </c>
      <c r="F15373" s="1697"/>
      <c r="G15373" s="1697"/>
      <c r="H15373" s="1697"/>
      <c r="I15373" s="841"/>
      <c r="J15373" s="841"/>
      <c r="K15373" s="744" t="s">
        <v>3086</v>
      </c>
      <c r="L15373" s="841"/>
      <c r="M15373" s="1436"/>
      <c r="N15373" s="841"/>
      <c r="O15373" s="841"/>
      <c r="P15373" s="841"/>
      <c r="Q15373" s="841"/>
      <c r="R15373" s="841"/>
      <c r="S15373" s="841"/>
      <c r="T15373" s="841"/>
      <c r="U15373" s="841"/>
      <c r="V15373" s="1435">
        <v>11</v>
      </c>
    </row>
    <row r="15374" spans="1:32" ht="15" customHeight="1" x14ac:dyDescent="0.25">
      <c r="A15374" s="744" t="s">
        <v>194</v>
      </c>
      <c r="B15374" s="841"/>
      <c r="C15374" s="841"/>
      <c r="D15374" s="841"/>
      <c r="E15374" s="1689" t="s">
        <v>3063</v>
      </c>
      <c r="F15374" s="1689"/>
      <c r="G15374" s="1689"/>
      <c r="H15374" s="1689"/>
      <c r="I15374" s="841"/>
      <c r="J15374" s="841"/>
      <c r="K15374" s="744" t="s">
        <v>6675</v>
      </c>
      <c r="L15374" s="841"/>
      <c r="M15374" s="1436"/>
      <c r="N15374" s="841"/>
      <c r="O15374" s="841"/>
      <c r="P15374" s="841"/>
      <c r="Q15374" s="841"/>
      <c r="R15374" s="841"/>
      <c r="S15374" s="841"/>
      <c r="T15374" s="841"/>
      <c r="U15374" s="841"/>
      <c r="V15374" s="1435">
        <v>280</v>
      </c>
    </row>
    <row r="15375" spans="1:32" ht="15" customHeight="1" x14ac:dyDescent="0.25">
      <c r="A15375" s="744" t="s">
        <v>194</v>
      </c>
      <c r="B15375" s="841"/>
      <c r="C15375" s="841"/>
      <c r="D15375" s="841"/>
      <c r="E15375" s="1689" t="s">
        <v>3064</v>
      </c>
      <c r="F15375" s="1689"/>
      <c r="G15375" s="1689"/>
      <c r="H15375" s="1689"/>
      <c r="I15375" s="841"/>
      <c r="J15375" s="841"/>
      <c r="K15375" s="744" t="s">
        <v>6675</v>
      </c>
      <c r="L15375" s="841"/>
      <c r="M15375" s="1436"/>
      <c r="N15375" s="841"/>
      <c r="O15375" s="841"/>
      <c r="P15375" s="841"/>
      <c r="Q15375" s="841"/>
      <c r="R15375" s="841"/>
      <c r="S15375" s="841"/>
      <c r="T15375" s="841"/>
      <c r="U15375" s="841"/>
      <c r="V15375" s="1435">
        <v>411</v>
      </c>
    </row>
    <row r="15376" spans="1:32" ht="15" customHeight="1" x14ac:dyDescent="0.25">
      <c r="A15376" s="744" t="s">
        <v>194</v>
      </c>
      <c r="B15376" s="841"/>
      <c r="C15376" s="841"/>
      <c r="D15376" s="841"/>
      <c r="E15376" s="1689" t="s">
        <v>3065</v>
      </c>
      <c r="F15376" s="1689"/>
      <c r="G15376" s="1689"/>
      <c r="H15376" s="1689"/>
      <c r="I15376" s="841"/>
      <c r="J15376" s="841"/>
      <c r="K15376" s="744" t="s">
        <v>6675</v>
      </c>
      <c r="L15376" s="841"/>
      <c r="M15376" s="1436"/>
      <c r="N15376" s="841"/>
      <c r="O15376" s="841"/>
      <c r="P15376" s="841"/>
      <c r="Q15376" s="841"/>
      <c r="R15376" s="841"/>
      <c r="S15376" s="841"/>
      <c r="T15376" s="841"/>
      <c r="U15376" s="841"/>
      <c r="V15376" s="1435">
        <v>387</v>
      </c>
    </row>
    <row r="15377" spans="1:29" ht="15" customHeight="1" x14ac:dyDescent="0.25">
      <c r="A15377" s="744" t="s">
        <v>194</v>
      </c>
      <c r="B15377" s="841"/>
      <c r="C15377" s="841"/>
      <c r="D15377" s="841"/>
      <c r="E15377" s="1689" t="s">
        <v>3200</v>
      </c>
      <c r="F15377" s="1689"/>
      <c r="G15377" s="1689"/>
      <c r="H15377" s="1689"/>
      <c r="I15377" s="841"/>
      <c r="J15377" s="841"/>
      <c r="K15377" s="744" t="s">
        <v>6675</v>
      </c>
      <c r="L15377" s="841"/>
      <c r="M15377" s="1436"/>
      <c r="N15377" s="841"/>
      <c r="O15377" s="841"/>
      <c r="P15377" s="841"/>
      <c r="Q15377" s="841"/>
      <c r="R15377" s="841"/>
      <c r="S15377" s="841"/>
      <c r="T15377" s="841"/>
      <c r="U15377" s="841"/>
      <c r="V15377" s="1435">
        <v>275</v>
      </c>
    </row>
    <row r="15378" spans="1:29" ht="15" customHeight="1" x14ac:dyDescent="0.25">
      <c r="A15378" s="744" t="s">
        <v>194</v>
      </c>
      <c r="B15378" s="841"/>
      <c r="C15378" s="841"/>
      <c r="D15378" s="841"/>
      <c r="E15378" s="1694" t="s">
        <v>3067</v>
      </c>
      <c r="F15378" s="1907"/>
      <c r="G15378" s="1907"/>
      <c r="H15378" s="1907"/>
      <c r="I15378" s="841"/>
      <c r="J15378" s="841"/>
      <c r="K15378" s="744" t="s">
        <v>3087</v>
      </c>
      <c r="L15378" s="841"/>
      <c r="M15378" s="1436"/>
      <c r="N15378" s="841"/>
      <c r="O15378" s="841"/>
      <c r="P15378" s="841"/>
      <c r="Q15378" s="841"/>
      <c r="R15378" s="841"/>
      <c r="S15378" s="841"/>
      <c r="T15378" s="841"/>
      <c r="U15378" s="841"/>
      <c r="V15378" s="1435">
        <v>46</v>
      </c>
    </row>
    <row r="15379" spans="1:29" ht="15" x14ac:dyDescent="0.25">
      <c r="A15379" s="744" t="s">
        <v>194</v>
      </c>
      <c r="B15379" s="841"/>
      <c r="C15379" s="841"/>
      <c r="D15379" s="841"/>
      <c r="E15379" s="1690" t="s">
        <v>11</v>
      </c>
      <c r="F15379" s="1690"/>
      <c r="G15379" s="1427" t="s">
        <v>23</v>
      </c>
      <c r="H15379" s="391">
        <v>43.545760000000001</v>
      </c>
      <c r="I15379" s="841"/>
      <c r="J15379" s="841"/>
      <c r="K15379" s="744" t="s">
        <v>6675</v>
      </c>
      <c r="L15379" s="744" t="s">
        <v>442</v>
      </c>
      <c r="M15379" s="1436"/>
      <c r="N15379" s="841"/>
      <c r="O15379" s="841"/>
      <c r="P15379" s="744" t="s">
        <v>6677</v>
      </c>
      <c r="Q15379" s="841"/>
      <c r="R15379" s="841"/>
      <c r="S15379" s="841"/>
      <c r="T15379" s="841"/>
      <c r="U15379" s="841"/>
      <c r="V15379" s="1435">
        <v>14</v>
      </c>
    </row>
    <row r="15380" spans="1:29" ht="15" customHeight="1" x14ac:dyDescent="0.25">
      <c r="A15380" s="744" t="s">
        <v>194</v>
      </c>
      <c r="B15380" s="841"/>
      <c r="C15380" s="841"/>
      <c r="D15380" s="841"/>
      <c r="E15380" s="1690" t="s">
        <v>423</v>
      </c>
      <c r="F15380" s="1690"/>
      <c r="G15380" s="1427" t="s">
        <v>23</v>
      </c>
      <c r="H15380" s="391">
        <v>0.56999999999999995</v>
      </c>
      <c r="I15380" s="841"/>
      <c r="J15380" s="841"/>
      <c r="K15380" s="744" t="s">
        <v>6675</v>
      </c>
      <c r="L15380" s="744" t="s">
        <v>443</v>
      </c>
      <c r="M15380" s="1436"/>
      <c r="N15380" s="841"/>
      <c r="O15380" s="841"/>
      <c r="P15380" s="744" t="s">
        <v>6678</v>
      </c>
      <c r="Q15380" s="841"/>
      <c r="R15380" s="841"/>
      <c r="S15380" s="841"/>
      <c r="T15380" s="1428">
        <v>43404</v>
      </c>
      <c r="U15380" s="841"/>
      <c r="V15380" s="1435">
        <v>78</v>
      </c>
    </row>
    <row r="15381" spans="1:29" ht="15" x14ac:dyDescent="0.25">
      <c r="A15381" s="744" t="s">
        <v>194</v>
      </c>
      <c r="B15381" s="841"/>
      <c r="C15381" s="841"/>
      <c r="D15381" s="841"/>
      <c r="E15381" s="1690" t="s">
        <v>84</v>
      </c>
      <c r="F15381" s="1690"/>
      <c r="G15381" s="1427" t="s">
        <v>24</v>
      </c>
      <c r="H15381" s="393">
        <v>8.2296000000000001E-3</v>
      </c>
      <c r="I15381" s="841"/>
      <c r="J15381" s="841"/>
      <c r="K15381" s="744" t="s">
        <v>6675</v>
      </c>
      <c r="L15381" s="744" t="s">
        <v>442</v>
      </c>
      <c r="M15381" s="1436"/>
      <c r="N15381" s="841"/>
      <c r="O15381" s="841"/>
      <c r="P15381" s="744" t="s">
        <v>6679</v>
      </c>
      <c r="Q15381" s="841"/>
      <c r="R15381" s="841"/>
      <c r="S15381" s="841"/>
      <c r="T15381" s="841"/>
      <c r="U15381" s="841"/>
      <c r="V15381" s="1435">
        <v>28</v>
      </c>
    </row>
    <row r="15382" spans="1:29" ht="15" x14ac:dyDescent="0.25">
      <c r="A15382" s="744" t="s">
        <v>194</v>
      </c>
      <c r="B15382" s="841"/>
      <c r="C15382" s="841"/>
      <c r="D15382" s="841"/>
      <c r="E15382" s="1690" t="s">
        <v>18</v>
      </c>
      <c r="F15382" s="1690"/>
      <c r="G15382" s="1427" t="s">
        <v>24</v>
      </c>
      <c r="H15382" s="393">
        <v>3.0999999999999999E-3</v>
      </c>
      <c r="I15382" s="744" t="s">
        <v>2461</v>
      </c>
      <c r="J15382" s="841"/>
      <c r="K15382" s="744" t="s">
        <v>6675</v>
      </c>
      <c r="L15382" s="744" t="s">
        <v>443</v>
      </c>
      <c r="M15382" s="1436"/>
      <c r="N15382" s="841"/>
      <c r="O15382" s="841"/>
      <c r="P15382" s="744" t="s">
        <v>6680</v>
      </c>
      <c r="Q15382" s="841"/>
      <c r="R15382" s="841"/>
      <c r="S15382" s="841"/>
      <c r="T15382" s="841"/>
      <c r="U15382" s="841"/>
      <c r="V15382" s="1435">
        <v>24</v>
      </c>
    </row>
    <row r="15383" spans="1:29" ht="15.75" customHeight="1" x14ac:dyDescent="0.25">
      <c r="A15383" s="744" t="s">
        <v>194</v>
      </c>
      <c r="B15383" s="841"/>
      <c r="C15383" s="841"/>
      <c r="D15383" s="841"/>
      <c r="E15383" s="1690" t="s">
        <v>6832</v>
      </c>
      <c r="F15383" s="1908"/>
      <c r="G15383" s="1427" t="s">
        <v>24</v>
      </c>
      <c r="H15383" s="393">
        <v>-1.2999999999999999E-3</v>
      </c>
      <c r="I15383" s="841"/>
      <c r="J15383" s="841"/>
      <c r="K15383" s="744" t="s">
        <v>6675</v>
      </c>
      <c r="L15383" s="744" t="s">
        <v>443</v>
      </c>
      <c r="M15383" s="1436"/>
      <c r="N15383" s="841"/>
      <c r="O15383" s="841"/>
      <c r="P15383" s="744" t="s">
        <v>6834</v>
      </c>
      <c r="Q15383" s="841"/>
      <c r="R15383" s="841"/>
      <c r="S15383" s="841"/>
      <c r="T15383" s="1428">
        <v>43220</v>
      </c>
      <c r="U15383" s="841"/>
      <c r="V15383" s="1435">
        <v>96</v>
      </c>
    </row>
    <row r="15384" spans="1:29" ht="15" x14ac:dyDescent="0.25">
      <c r="A15384" s="744" t="s">
        <v>194</v>
      </c>
      <c r="B15384" s="841"/>
      <c r="C15384" s="841"/>
      <c r="D15384" s="841"/>
      <c r="E15384" s="1690" t="s">
        <v>221</v>
      </c>
      <c r="F15384" s="1690"/>
      <c r="G15384" s="1427" t="s">
        <v>24</v>
      </c>
      <c r="H15384" s="393">
        <v>5.7000000000000002E-3</v>
      </c>
      <c r="I15384" s="841"/>
      <c r="J15384" s="841"/>
      <c r="K15384" s="744" t="s">
        <v>6675</v>
      </c>
      <c r="L15384" s="744" t="s">
        <v>444</v>
      </c>
      <c r="M15384" s="1436"/>
      <c r="N15384" s="841"/>
      <c r="O15384" s="841"/>
      <c r="P15384" s="744" t="s">
        <v>6681</v>
      </c>
      <c r="Q15384" s="841"/>
      <c r="R15384" s="841"/>
      <c r="S15384" s="841"/>
      <c r="T15384" s="841"/>
      <c r="U15384" s="841"/>
      <c r="V15384" s="1435">
        <v>47</v>
      </c>
    </row>
    <row r="15385" spans="1:29" ht="15" customHeight="1" x14ac:dyDescent="0.25">
      <c r="A15385" s="744" t="s">
        <v>194</v>
      </c>
      <c r="B15385" s="841"/>
      <c r="C15385" s="841"/>
      <c r="D15385" s="841"/>
      <c r="E15385" s="1690" t="s">
        <v>217</v>
      </c>
      <c r="F15385" s="1690"/>
      <c r="G15385" s="1427" t="s">
        <v>24</v>
      </c>
      <c r="H15385" s="393">
        <v>1.1999999999999999E-3</v>
      </c>
      <c r="I15385" s="841"/>
      <c r="J15385" s="841"/>
      <c r="K15385" s="744" t="s">
        <v>6675</v>
      </c>
      <c r="L15385" s="744" t="s">
        <v>444</v>
      </c>
      <c r="M15385" s="1436"/>
      <c r="N15385" s="841"/>
      <c r="O15385" s="841"/>
      <c r="P15385" s="744" t="s">
        <v>6682</v>
      </c>
      <c r="Q15385" s="841"/>
      <c r="R15385" s="841"/>
      <c r="S15385" s="841"/>
      <c r="T15385" s="841"/>
      <c r="U15385" s="841"/>
      <c r="V15385" s="1435">
        <v>74</v>
      </c>
    </row>
    <row r="15386" spans="1:29" ht="15" customHeight="1" x14ac:dyDescent="0.25">
      <c r="A15386" s="744" t="s">
        <v>194</v>
      </c>
      <c r="B15386" s="841"/>
      <c r="C15386" s="841"/>
      <c r="D15386" s="841"/>
      <c r="E15386" s="1694" t="s">
        <v>3079</v>
      </c>
      <c r="F15386" s="1690"/>
      <c r="G15386" s="1427"/>
      <c r="H15386" s="394"/>
      <c r="I15386" s="841"/>
      <c r="J15386" s="841"/>
      <c r="K15386" s="744" t="s">
        <v>3093</v>
      </c>
      <c r="L15386" s="841"/>
      <c r="M15386" s="1436"/>
      <c r="N15386" s="841"/>
      <c r="O15386" s="841"/>
      <c r="P15386" s="841"/>
      <c r="Q15386" s="841"/>
      <c r="R15386" s="841"/>
      <c r="S15386" s="841"/>
      <c r="T15386" s="841"/>
      <c r="U15386" s="841"/>
      <c r="V15386" s="1435">
        <v>48</v>
      </c>
    </row>
    <row r="15387" spans="1:29" ht="15" customHeight="1" x14ac:dyDescent="0.25">
      <c r="A15387" s="744" t="s">
        <v>194</v>
      </c>
      <c r="B15387" s="841"/>
      <c r="C15387" s="841"/>
      <c r="D15387" s="841"/>
      <c r="E15387" s="1690" t="s">
        <v>6718</v>
      </c>
      <c r="F15387" s="1690"/>
      <c r="G15387" s="1427" t="s">
        <v>24</v>
      </c>
      <c r="H15387" s="393">
        <v>3.2000000000000002E-3</v>
      </c>
      <c r="I15387" s="841"/>
      <c r="J15387" s="841"/>
      <c r="K15387" s="744" t="s">
        <v>6675</v>
      </c>
      <c r="L15387" s="744" t="s">
        <v>3046</v>
      </c>
      <c r="M15387" s="1436"/>
      <c r="N15387" s="841"/>
      <c r="O15387" s="841"/>
      <c r="P15387" s="744" t="s">
        <v>6683</v>
      </c>
      <c r="Q15387" s="841"/>
      <c r="R15387" s="841"/>
      <c r="S15387" s="841"/>
      <c r="T15387" s="841"/>
      <c r="U15387" s="841"/>
      <c r="V15387" s="1435">
        <v>55</v>
      </c>
    </row>
    <row r="15388" spans="1:29" ht="15" customHeight="1" x14ac:dyDescent="0.25">
      <c r="A15388" s="744" t="s">
        <v>194</v>
      </c>
      <c r="B15388" s="841"/>
      <c r="C15388" s="841"/>
      <c r="D15388" s="841"/>
      <c r="E15388" s="1690" t="s">
        <v>3211</v>
      </c>
      <c r="F15388" s="1690"/>
      <c r="G15388" s="1427" t="s">
        <v>24</v>
      </c>
      <c r="H15388" s="393">
        <v>4.0000000000000002E-4</v>
      </c>
      <c r="I15388" s="841"/>
      <c r="J15388" s="841"/>
      <c r="K15388" s="744" t="s">
        <v>6675</v>
      </c>
      <c r="L15388" s="744" t="s">
        <v>3046</v>
      </c>
      <c r="M15388" s="1436"/>
      <c r="N15388" s="841"/>
      <c r="O15388" s="841"/>
      <c r="P15388" s="744" t="s">
        <v>6683</v>
      </c>
      <c r="Q15388" s="841"/>
      <c r="R15388" s="841"/>
      <c r="S15388" s="841"/>
      <c r="T15388" s="841"/>
      <c r="U15388" s="841"/>
      <c r="V15388" s="1435">
        <v>65</v>
      </c>
      <c r="W15388" s="841"/>
      <c r="X15388" s="841"/>
      <c r="Y15388" s="841"/>
      <c r="Z15388" s="841"/>
      <c r="AA15388" s="841"/>
      <c r="AB15388" s="841"/>
      <c r="AC15388" s="841"/>
    </row>
    <row r="15389" spans="1:29" ht="15" customHeight="1" x14ac:dyDescent="0.25">
      <c r="A15389" s="744" t="s">
        <v>194</v>
      </c>
      <c r="B15389" s="841"/>
      <c r="C15389" s="841"/>
      <c r="D15389" s="841"/>
      <c r="E15389" s="1690" t="s">
        <v>439</v>
      </c>
      <c r="F15389" s="1690"/>
      <c r="G15389" s="1427" t="s">
        <v>24</v>
      </c>
      <c r="H15389" s="393">
        <v>2.0999999999999999E-3</v>
      </c>
      <c r="I15389" s="841"/>
      <c r="J15389" s="841"/>
      <c r="K15389" s="744" t="s">
        <v>6675</v>
      </c>
      <c r="L15389" s="744" t="s">
        <v>3046</v>
      </c>
      <c r="M15389" s="1436"/>
      <c r="N15389" s="841"/>
      <c r="O15389" s="841"/>
      <c r="P15389" s="744" t="s">
        <v>6684</v>
      </c>
      <c r="Q15389" s="841"/>
      <c r="R15389" s="841"/>
      <c r="S15389" s="841"/>
      <c r="T15389" s="841"/>
      <c r="U15389" s="841"/>
      <c r="V15389" s="1435">
        <v>57</v>
      </c>
      <c r="W15389" s="841"/>
      <c r="X15389" s="841"/>
      <c r="Y15389" s="841"/>
      <c r="Z15389" s="841"/>
      <c r="AA15389" s="841"/>
      <c r="AB15389" s="841"/>
      <c r="AC15389" s="841"/>
    </row>
    <row r="15390" spans="1:29" ht="15" customHeight="1" x14ac:dyDescent="0.25">
      <c r="A15390" s="744" t="s">
        <v>194</v>
      </c>
      <c r="B15390" s="841"/>
      <c r="C15390" s="841"/>
      <c r="D15390" s="841"/>
      <c r="E15390" s="1690" t="s">
        <v>32</v>
      </c>
      <c r="F15390" s="1690"/>
      <c r="G15390" s="1427" t="s">
        <v>23</v>
      </c>
      <c r="H15390" s="391">
        <v>0.25</v>
      </c>
      <c r="I15390" s="841"/>
      <c r="J15390" s="841"/>
      <c r="K15390" s="744" t="s">
        <v>6675</v>
      </c>
      <c r="L15390" s="744" t="s">
        <v>3046</v>
      </c>
      <c r="M15390" s="1436"/>
      <c r="N15390" s="841"/>
      <c r="O15390" s="841"/>
      <c r="P15390" s="744" t="s">
        <v>6685</v>
      </c>
      <c r="Q15390" s="841"/>
      <c r="R15390" s="841"/>
      <c r="S15390" s="841"/>
      <c r="T15390" s="841"/>
      <c r="U15390" s="841"/>
      <c r="V15390" s="1435">
        <v>63</v>
      </c>
      <c r="W15390" s="841"/>
      <c r="X15390" s="841"/>
      <c r="Y15390" s="841"/>
      <c r="Z15390" s="841"/>
      <c r="AA15390" s="841"/>
      <c r="AB15390" s="841"/>
      <c r="AC15390" s="841"/>
    </row>
    <row r="15391" spans="1:29" ht="18" customHeight="1" x14ac:dyDescent="0.25">
      <c r="A15391" s="744" t="s">
        <v>194</v>
      </c>
      <c r="B15391" s="841"/>
      <c r="C15391" s="841"/>
      <c r="D15391" s="841"/>
      <c r="E15391" s="1909" t="s">
        <v>616</v>
      </c>
      <c r="F15391" s="1915"/>
      <c r="G15391" s="1915"/>
      <c r="H15391" s="1915"/>
      <c r="I15391" s="841"/>
      <c r="J15391" s="841"/>
      <c r="K15391" s="744" t="s">
        <v>6686</v>
      </c>
      <c r="L15391" s="841"/>
      <c r="M15391" s="1436"/>
      <c r="N15391" s="841"/>
      <c r="O15391" s="841"/>
      <c r="P15391" s="841"/>
      <c r="Q15391" s="841"/>
      <c r="R15391" s="841"/>
      <c r="S15391" s="841"/>
      <c r="T15391" s="841"/>
      <c r="U15391" s="841"/>
      <c r="V15391" s="1435">
        <v>53</v>
      </c>
      <c r="W15391" s="841"/>
      <c r="X15391" s="841"/>
      <c r="Y15391" s="841"/>
      <c r="Z15391" s="841"/>
      <c r="AA15391" s="841"/>
      <c r="AB15391" s="841"/>
      <c r="AC15391" s="744">
        <v>3</v>
      </c>
    </row>
    <row r="15392" spans="1:29" ht="15" customHeight="1" x14ac:dyDescent="0.25">
      <c r="A15392" s="744" t="s">
        <v>194</v>
      </c>
      <c r="B15392" s="841"/>
      <c r="C15392" s="841"/>
      <c r="D15392" s="841"/>
      <c r="E15392" s="1689" t="s">
        <v>6835</v>
      </c>
      <c r="F15392" s="1689"/>
      <c r="G15392" s="1689"/>
      <c r="H15392" s="1689"/>
      <c r="I15392" s="841"/>
      <c r="J15392" s="841"/>
      <c r="K15392" s="744" t="s">
        <v>6686</v>
      </c>
      <c r="L15392" s="841"/>
      <c r="M15392" s="1436"/>
      <c r="N15392" s="841"/>
      <c r="O15392" s="841"/>
      <c r="P15392" s="841"/>
      <c r="Q15392" s="841"/>
      <c r="R15392" s="841"/>
      <c r="S15392" s="841"/>
      <c r="T15392" s="841"/>
      <c r="U15392" s="841"/>
      <c r="V15392" s="1435">
        <v>753</v>
      </c>
      <c r="W15392" s="841"/>
      <c r="X15392" s="841"/>
      <c r="Y15392" s="841"/>
      <c r="Z15392" s="841"/>
      <c r="AA15392" s="841"/>
      <c r="AB15392" s="841"/>
      <c r="AC15392" s="841"/>
    </row>
    <row r="15393" spans="1:29" ht="15" x14ac:dyDescent="0.25">
      <c r="A15393" s="744" t="s">
        <v>194</v>
      </c>
      <c r="B15393" s="841"/>
      <c r="C15393" s="841"/>
      <c r="D15393" s="841"/>
      <c r="E15393" s="1916" t="s">
        <v>3061</v>
      </c>
      <c r="F15393" s="1697"/>
      <c r="G15393" s="1697"/>
      <c r="H15393" s="1697"/>
      <c r="I15393" s="841"/>
      <c r="J15393" s="841"/>
      <c r="K15393" s="744" t="s">
        <v>3098</v>
      </c>
      <c r="L15393" s="841"/>
      <c r="M15393" s="1436"/>
      <c r="N15393" s="841"/>
      <c r="O15393" s="841"/>
      <c r="P15393" s="841"/>
      <c r="Q15393" s="841"/>
      <c r="R15393" s="841"/>
      <c r="S15393" s="841"/>
      <c r="T15393" s="841"/>
      <c r="U15393" s="841"/>
      <c r="V15393" s="1435">
        <v>11</v>
      </c>
      <c r="W15393" s="841"/>
      <c r="X15393" s="841"/>
      <c r="Y15393" s="841"/>
      <c r="Z15393" s="841"/>
      <c r="AA15393" s="841"/>
      <c r="AB15393" s="841"/>
      <c r="AC15393" s="841"/>
    </row>
    <row r="15394" spans="1:29" ht="15" customHeight="1" x14ac:dyDescent="0.25">
      <c r="A15394" s="744" t="s">
        <v>194</v>
      </c>
      <c r="B15394" s="841"/>
      <c r="C15394" s="841"/>
      <c r="D15394" s="841"/>
      <c r="E15394" s="1689" t="s">
        <v>3063</v>
      </c>
      <c r="F15394" s="1689"/>
      <c r="G15394" s="1689"/>
      <c r="H15394" s="1689"/>
      <c r="I15394" s="841"/>
      <c r="J15394" s="841"/>
      <c r="K15394" s="744" t="s">
        <v>6686</v>
      </c>
      <c r="L15394" s="841"/>
      <c r="M15394" s="1436"/>
      <c r="N15394" s="841"/>
      <c r="O15394" s="841"/>
      <c r="P15394" s="841"/>
      <c r="Q15394" s="841"/>
      <c r="R15394" s="841"/>
      <c r="S15394" s="841"/>
      <c r="T15394" s="841"/>
      <c r="U15394" s="841"/>
      <c r="V15394" s="1435">
        <v>280</v>
      </c>
      <c r="W15394" s="841"/>
      <c r="X15394" s="841"/>
      <c r="Y15394" s="841"/>
      <c r="Z15394" s="841"/>
      <c r="AA15394" s="841"/>
      <c r="AB15394" s="841"/>
      <c r="AC15394" s="841"/>
    </row>
    <row r="15395" spans="1:29" ht="15" customHeight="1" x14ac:dyDescent="0.25">
      <c r="A15395" s="744" t="s">
        <v>194</v>
      </c>
      <c r="B15395" s="841"/>
      <c r="C15395" s="841"/>
      <c r="D15395" s="841"/>
      <c r="E15395" s="1689" t="s">
        <v>3064</v>
      </c>
      <c r="F15395" s="1689"/>
      <c r="G15395" s="1689"/>
      <c r="H15395" s="1689"/>
      <c r="I15395" s="841"/>
      <c r="J15395" s="841"/>
      <c r="K15395" s="744" t="s">
        <v>6686</v>
      </c>
      <c r="L15395" s="841"/>
      <c r="M15395" s="1436"/>
      <c r="N15395" s="841"/>
      <c r="O15395" s="841"/>
      <c r="P15395" s="841"/>
      <c r="Q15395" s="841"/>
      <c r="R15395" s="841"/>
      <c r="S15395" s="841"/>
      <c r="T15395" s="841"/>
      <c r="U15395" s="841"/>
      <c r="V15395" s="1435">
        <v>411</v>
      </c>
      <c r="W15395" s="841"/>
      <c r="X15395" s="841"/>
      <c r="Y15395" s="841"/>
      <c r="Z15395" s="841"/>
      <c r="AA15395" s="841"/>
      <c r="AB15395" s="841"/>
      <c r="AC15395" s="841"/>
    </row>
    <row r="15396" spans="1:29" ht="15" customHeight="1" x14ac:dyDescent="0.25">
      <c r="A15396" s="744" t="s">
        <v>194</v>
      </c>
      <c r="B15396" s="841"/>
      <c r="C15396" s="841"/>
      <c r="D15396" s="841"/>
      <c r="E15396" s="1689" t="s">
        <v>3065</v>
      </c>
      <c r="F15396" s="1689"/>
      <c r="G15396" s="1689"/>
      <c r="H15396" s="1689"/>
      <c r="I15396" s="841"/>
      <c r="J15396" s="841"/>
      <c r="K15396" s="744" t="s">
        <v>6686</v>
      </c>
      <c r="L15396" s="841"/>
      <c r="M15396" s="1436"/>
      <c r="N15396" s="841"/>
      <c r="O15396" s="841"/>
      <c r="P15396" s="841"/>
      <c r="Q15396" s="841"/>
      <c r="R15396" s="841"/>
      <c r="S15396" s="841"/>
      <c r="T15396" s="841"/>
      <c r="U15396" s="841"/>
      <c r="V15396" s="1435">
        <v>387</v>
      </c>
      <c r="W15396" s="841"/>
      <c r="X15396" s="841"/>
      <c r="Y15396" s="841"/>
      <c r="Z15396" s="841"/>
      <c r="AA15396" s="841"/>
      <c r="AB15396" s="841"/>
      <c r="AC15396" s="841"/>
    </row>
    <row r="15397" spans="1:29" ht="15" customHeight="1" x14ac:dyDescent="0.25">
      <c r="A15397" s="744" t="s">
        <v>194</v>
      </c>
      <c r="B15397" s="841"/>
      <c r="C15397" s="841"/>
      <c r="D15397" s="841"/>
      <c r="E15397" s="2024" t="s">
        <v>3223</v>
      </c>
      <c r="F15397" s="2024"/>
      <c r="G15397" s="2024"/>
      <c r="H15397" s="2024"/>
      <c r="I15397" s="841"/>
      <c r="J15397" s="841"/>
      <c r="K15397" s="744" t="s">
        <v>6686</v>
      </c>
      <c r="L15397" s="841"/>
      <c r="M15397" s="1436"/>
      <c r="N15397" s="841"/>
      <c r="O15397" s="841"/>
      <c r="P15397" s="841"/>
      <c r="Q15397" s="841"/>
      <c r="R15397" s="841"/>
      <c r="S15397" s="841"/>
      <c r="T15397" s="841"/>
      <c r="U15397" s="841"/>
      <c r="V15397" s="1435">
        <v>626</v>
      </c>
      <c r="W15397" s="841"/>
      <c r="X15397" s="841"/>
      <c r="Y15397" s="841"/>
      <c r="Z15397" s="841"/>
      <c r="AA15397" s="841"/>
      <c r="AB15397" s="841"/>
      <c r="AC15397" s="841"/>
    </row>
    <row r="15398" spans="1:29" ht="15" customHeight="1" x14ac:dyDescent="0.25">
      <c r="A15398" s="744" t="s">
        <v>194</v>
      </c>
      <c r="B15398" s="841"/>
      <c r="C15398" s="841"/>
      <c r="D15398" s="841"/>
      <c r="E15398" s="1689" t="s">
        <v>3200</v>
      </c>
      <c r="F15398" s="1689"/>
      <c r="G15398" s="1689"/>
      <c r="H15398" s="1689"/>
      <c r="I15398" s="841"/>
      <c r="J15398" s="841"/>
      <c r="K15398" s="744" t="s">
        <v>6686</v>
      </c>
      <c r="L15398" s="841"/>
      <c r="M15398" s="1436"/>
      <c r="N15398" s="841"/>
      <c r="O15398" s="841"/>
      <c r="P15398" s="841"/>
      <c r="Q15398" s="841"/>
      <c r="R15398" s="841"/>
      <c r="S15398" s="841"/>
      <c r="T15398" s="841"/>
      <c r="U15398" s="841"/>
      <c r="V15398" s="1435">
        <v>275</v>
      </c>
      <c r="W15398" s="841"/>
      <c r="X15398" s="841"/>
      <c r="Y15398" s="841"/>
      <c r="Z15398" s="841"/>
      <c r="AA15398" s="841"/>
      <c r="AB15398" s="841"/>
      <c r="AC15398" s="841"/>
    </row>
    <row r="15399" spans="1:29" ht="15" customHeight="1" x14ac:dyDescent="0.25">
      <c r="A15399" s="744" t="s">
        <v>194</v>
      </c>
      <c r="B15399" s="841"/>
      <c r="C15399" s="841"/>
      <c r="D15399" s="841"/>
      <c r="E15399" s="1694" t="s">
        <v>3067</v>
      </c>
      <c r="F15399" s="1907"/>
      <c r="G15399" s="1907"/>
      <c r="H15399" s="1907"/>
      <c r="I15399" s="841"/>
      <c r="J15399" s="841"/>
      <c r="K15399" s="744" t="s">
        <v>3099</v>
      </c>
      <c r="L15399" s="841"/>
      <c r="M15399" s="1436"/>
      <c r="N15399" s="841"/>
      <c r="O15399" s="841"/>
      <c r="P15399" s="841"/>
      <c r="Q15399" s="841"/>
      <c r="R15399" s="841"/>
      <c r="S15399" s="841"/>
      <c r="T15399" s="841"/>
      <c r="U15399" s="841"/>
      <c r="V15399" s="1435">
        <v>46</v>
      </c>
      <c r="W15399" s="841"/>
      <c r="X15399" s="841"/>
      <c r="Y15399" s="841"/>
      <c r="Z15399" s="841"/>
      <c r="AA15399" s="841"/>
      <c r="AB15399" s="841"/>
      <c r="AC15399" s="841"/>
    </row>
    <row r="15400" spans="1:29" ht="15" x14ac:dyDescent="0.25">
      <c r="A15400" s="744" t="s">
        <v>194</v>
      </c>
      <c r="B15400" s="841"/>
      <c r="C15400" s="841"/>
      <c r="D15400" s="841"/>
      <c r="E15400" s="1690" t="s">
        <v>11</v>
      </c>
      <c r="F15400" s="1690"/>
      <c r="G15400" s="1427" t="s">
        <v>23</v>
      </c>
      <c r="H15400" s="391">
        <v>386.97408000000001</v>
      </c>
      <c r="I15400" s="841"/>
      <c r="J15400" s="841"/>
      <c r="K15400" s="744" t="s">
        <v>6686</v>
      </c>
      <c r="L15400" s="744" t="s">
        <v>442</v>
      </c>
      <c r="M15400" s="1436"/>
      <c r="N15400" s="841"/>
      <c r="O15400" s="841"/>
      <c r="P15400" s="744" t="s">
        <v>6688</v>
      </c>
      <c r="Q15400" s="841"/>
      <c r="R15400" s="841"/>
      <c r="S15400" s="841"/>
      <c r="T15400" s="841"/>
      <c r="U15400" s="841"/>
      <c r="V15400" s="1435">
        <v>14</v>
      </c>
      <c r="W15400" s="841"/>
      <c r="X15400" s="841"/>
      <c r="Y15400" s="841"/>
      <c r="Z15400" s="841"/>
      <c r="AA15400" s="841"/>
      <c r="AB15400" s="841"/>
      <c r="AC15400" s="841"/>
    </row>
    <row r="15401" spans="1:29" ht="15" x14ac:dyDescent="0.25">
      <c r="A15401" s="744" t="s">
        <v>194</v>
      </c>
      <c r="B15401" s="841"/>
      <c r="C15401" s="841"/>
      <c r="D15401" s="841"/>
      <c r="E15401" s="1690" t="s">
        <v>84</v>
      </c>
      <c r="F15401" s="1690"/>
      <c r="G15401" s="1427" t="s">
        <v>33</v>
      </c>
      <c r="H15401" s="393">
        <v>1.3481304000000001</v>
      </c>
      <c r="I15401" s="841"/>
      <c r="J15401" s="841"/>
      <c r="K15401" s="744" t="s">
        <v>6686</v>
      </c>
      <c r="L15401" s="744" t="s">
        <v>442</v>
      </c>
      <c r="M15401" s="1436"/>
      <c r="N15401" s="841"/>
      <c r="O15401" s="841"/>
      <c r="P15401" s="744" t="s">
        <v>6689</v>
      </c>
      <c r="Q15401" s="841"/>
      <c r="R15401" s="841"/>
      <c r="S15401" s="841"/>
      <c r="T15401" s="841"/>
      <c r="U15401" s="841"/>
      <c r="V15401" s="1435">
        <v>28</v>
      </c>
      <c r="W15401" s="841"/>
      <c r="X15401" s="841"/>
      <c r="Y15401" s="841"/>
      <c r="Z15401" s="841"/>
      <c r="AA15401" s="841"/>
      <c r="AB15401" s="841"/>
      <c r="AC15401" s="841"/>
    </row>
    <row r="15402" spans="1:29" ht="15" x14ac:dyDescent="0.25">
      <c r="A15402" s="744" t="s">
        <v>194</v>
      </c>
      <c r="B15402" s="841"/>
      <c r="C15402" s="841"/>
      <c r="D15402" s="841"/>
      <c r="E15402" s="1690" t="s">
        <v>18</v>
      </c>
      <c r="F15402" s="1690"/>
      <c r="G15402" s="1427" t="s">
        <v>33</v>
      </c>
      <c r="H15402" s="393">
        <v>1.3088</v>
      </c>
      <c r="I15402" s="744" t="s">
        <v>2461</v>
      </c>
      <c r="J15402" s="841"/>
      <c r="K15402" s="744" t="s">
        <v>6686</v>
      </c>
      <c r="L15402" s="744" t="s">
        <v>443</v>
      </c>
      <c r="M15402" s="1436"/>
      <c r="N15402" s="841"/>
      <c r="O15402" s="841"/>
      <c r="P15402" s="744" t="s">
        <v>6690</v>
      </c>
      <c r="Q15402" s="841"/>
      <c r="R15402" s="841"/>
      <c r="S15402" s="841"/>
      <c r="T15402" s="841"/>
      <c r="U15402" s="841"/>
      <c r="V15402" s="1435">
        <v>24</v>
      </c>
      <c r="W15402" s="841"/>
      <c r="X15402" s="841"/>
      <c r="Y15402" s="841"/>
      <c r="Z15402" s="841"/>
      <c r="AA15402" s="841"/>
      <c r="AB15402" s="841"/>
      <c r="AC15402" s="841"/>
    </row>
    <row r="15403" spans="1:29" ht="15.75" customHeight="1" x14ac:dyDescent="0.25">
      <c r="A15403" s="744" t="s">
        <v>194</v>
      </c>
      <c r="B15403" s="841"/>
      <c r="C15403" s="841"/>
      <c r="D15403" s="841"/>
      <c r="E15403" s="1690" t="s">
        <v>6832</v>
      </c>
      <c r="F15403" s="1908"/>
      <c r="G15403" s="1427" t="s">
        <v>33</v>
      </c>
      <c r="H15403" s="393">
        <v>-0.46920000000000001</v>
      </c>
      <c r="I15403" s="841"/>
      <c r="J15403" s="841"/>
      <c r="K15403" s="744" t="s">
        <v>6686</v>
      </c>
      <c r="L15403" s="744" t="s">
        <v>443</v>
      </c>
      <c r="M15403" s="1436"/>
      <c r="N15403" s="841"/>
      <c r="O15403" s="841"/>
      <c r="P15403" s="744" t="s">
        <v>6836</v>
      </c>
      <c r="Q15403" s="841"/>
      <c r="R15403" s="841"/>
      <c r="S15403" s="841"/>
      <c r="T15403" s="1428">
        <v>43220</v>
      </c>
      <c r="U15403" s="841"/>
      <c r="V15403" s="1435">
        <v>96</v>
      </c>
      <c r="W15403" s="841"/>
      <c r="X15403" s="841"/>
      <c r="Y15403" s="841"/>
      <c r="Z15403" s="841"/>
      <c r="AA15403" s="841"/>
      <c r="AB15403" s="841"/>
      <c r="AC15403" s="841"/>
    </row>
    <row r="15404" spans="1:29" ht="15" x14ac:dyDescent="0.25">
      <c r="A15404" s="744" t="s">
        <v>194</v>
      </c>
      <c r="B15404" s="841"/>
      <c r="C15404" s="841"/>
      <c r="D15404" s="841"/>
      <c r="E15404" s="1690" t="s">
        <v>221</v>
      </c>
      <c r="F15404" s="1690"/>
      <c r="G15404" s="1427" t="s">
        <v>33</v>
      </c>
      <c r="H15404" s="393">
        <v>2.3127</v>
      </c>
      <c r="I15404" s="841"/>
      <c r="J15404" s="841"/>
      <c r="K15404" s="744" t="s">
        <v>6686</v>
      </c>
      <c r="L15404" s="744" t="s">
        <v>444</v>
      </c>
      <c r="M15404" s="1436"/>
      <c r="N15404" s="841"/>
      <c r="O15404" s="841"/>
      <c r="P15404" s="744" t="s">
        <v>6691</v>
      </c>
      <c r="Q15404" s="841"/>
      <c r="R15404" s="841"/>
      <c r="S15404" s="841"/>
      <c r="T15404" s="841"/>
      <c r="U15404" s="841"/>
      <c r="V15404" s="1435">
        <v>47</v>
      </c>
      <c r="W15404" s="841"/>
      <c r="X15404" s="841"/>
      <c r="Y15404" s="841"/>
      <c r="Z15404" s="841"/>
      <c r="AA15404" s="841"/>
      <c r="AB15404" s="841"/>
      <c r="AC15404" s="841"/>
    </row>
    <row r="15405" spans="1:29" ht="15" customHeight="1" x14ac:dyDescent="0.25">
      <c r="A15405" s="744" t="s">
        <v>194</v>
      </c>
      <c r="B15405" s="841"/>
      <c r="C15405" s="841"/>
      <c r="D15405" s="841"/>
      <c r="E15405" s="1690" t="s">
        <v>217</v>
      </c>
      <c r="F15405" s="1690"/>
      <c r="G15405" s="1427" t="s">
        <v>33</v>
      </c>
      <c r="H15405" s="393">
        <v>0.54290000000000005</v>
      </c>
      <c r="I15405" s="841"/>
      <c r="J15405" s="841"/>
      <c r="K15405" s="744" t="s">
        <v>6686</v>
      </c>
      <c r="L15405" s="744" t="s">
        <v>444</v>
      </c>
      <c r="M15405" s="1436"/>
      <c r="N15405" s="841"/>
      <c r="O15405" s="841"/>
      <c r="P15405" s="744" t="s">
        <v>6692</v>
      </c>
      <c r="Q15405" s="841"/>
      <c r="R15405" s="841"/>
      <c r="S15405" s="841"/>
      <c r="T15405" s="841"/>
      <c r="U15405" s="841"/>
      <c r="V15405" s="1435">
        <v>74</v>
      </c>
      <c r="W15405" s="841"/>
      <c r="X15405" s="841"/>
      <c r="Y15405" s="841"/>
      <c r="Z15405" s="841"/>
      <c r="AA15405" s="841"/>
      <c r="AB15405" s="841"/>
      <c r="AC15405" s="841"/>
    </row>
    <row r="15406" spans="1:29" ht="15" customHeight="1" x14ac:dyDescent="0.25">
      <c r="A15406" s="744" t="s">
        <v>194</v>
      </c>
      <c r="B15406" s="841"/>
      <c r="C15406" s="841"/>
      <c r="D15406" s="841"/>
      <c r="E15406" s="1690" t="s">
        <v>226</v>
      </c>
      <c r="F15406" s="1690"/>
      <c r="G15406" s="1427" t="s">
        <v>33</v>
      </c>
      <c r="H15406" s="393">
        <v>2.4533999999999998</v>
      </c>
      <c r="I15406" s="841"/>
      <c r="J15406" s="841"/>
      <c r="K15406" s="744" t="s">
        <v>6686</v>
      </c>
      <c r="L15406" s="744" t="s">
        <v>444</v>
      </c>
      <c r="M15406" s="1436"/>
      <c r="N15406" s="841"/>
      <c r="O15406" s="841"/>
      <c r="P15406" s="744" t="s">
        <v>6837</v>
      </c>
      <c r="Q15406" s="841"/>
      <c r="R15406" s="841"/>
      <c r="S15406" s="841"/>
      <c r="T15406" s="841"/>
      <c r="U15406" s="841"/>
      <c r="V15406" s="1435">
        <v>77</v>
      </c>
      <c r="W15406" s="841"/>
      <c r="X15406" s="841"/>
      <c r="Y15406" s="841"/>
      <c r="Z15406" s="841"/>
      <c r="AA15406" s="841"/>
      <c r="AB15406" s="841"/>
      <c r="AC15406" s="841"/>
    </row>
    <row r="15407" spans="1:29" ht="15" customHeight="1" x14ac:dyDescent="0.25">
      <c r="A15407" s="744" t="s">
        <v>194</v>
      </c>
      <c r="B15407" s="841"/>
      <c r="C15407" s="841"/>
      <c r="D15407" s="841"/>
      <c r="E15407" s="1690" t="s">
        <v>642</v>
      </c>
      <c r="F15407" s="1690"/>
      <c r="G15407" s="1427" t="s">
        <v>33</v>
      </c>
      <c r="H15407" s="393">
        <v>0.6</v>
      </c>
      <c r="I15407" s="841"/>
      <c r="J15407" s="841"/>
      <c r="K15407" s="744" t="s">
        <v>6686</v>
      </c>
      <c r="L15407" s="744" t="s">
        <v>444</v>
      </c>
      <c r="M15407" s="1436"/>
      <c r="N15407" s="841"/>
      <c r="O15407" s="841"/>
      <c r="P15407" s="744" t="s">
        <v>6838</v>
      </c>
      <c r="Q15407" s="841"/>
      <c r="R15407" s="841"/>
      <c r="S15407" s="841"/>
      <c r="T15407" s="841"/>
      <c r="U15407" s="841"/>
      <c r="V15407" s="1435">
        <v>104</v>
      </c>
      <c r="W15407" s="841"/>
      <c r="X15407" s="841"/>
      <c r="Y15407" s="841"/>
      <c r="Z15407" s="841"/>
      <c r="AA15407" s="841"/>
      <c r="AB15407" s="841"/>
      <c r="AC15407" s="841"/>
    </row>
    <row r="15408" spans="1:29" ht="15" customHeight="1" x14ac:dyDescent="0.25">
      <c r="A15408" s="744" t="s">
        <v>194</v>
      </c>
      <c r="B15408" s="841"/>
      <c r="C15408" s="841"/>
      <c r="D15408" s="841"/>
      <c r="E15408" s="1694" t="s">
        <v>3079</v>
      </c>
      <c r="F15408" s="1690"/>
      <c r="G15408" s="1427"/>
      <c r="H15408" s="394"/>
      <c r="I15408" s="841"/>
      <c r="J15408" s="841"/>
      <c r="K15408" s="744" t="s">
        <v>3218</v>
      </c>
      <c r="L15408" s="841"/>
      <c r="M15408" s="1436"/>
      <c r="N15408" s="841"/>
      <c r="O15408" s="841"/>
      <c r="P15408" s="841"/>
      <c r="Q15408" s="841"/>
      <c r="R15408" s="841"/>
      <c r="S15408" s="841"/>
      <c r="T15408" s="841"/>
      <c r="U15408" s="841"/>
      <c r="V15408" s="1435">
        <v>48</v>
      </c>
      <c r="W15408" s="841"/>
      <c r="X15408" s="841"/>
      <c r="Y15408" s="841"/>
      <c r="Z15408" s="841"/>
      <c r="AA15408" s="841"/>
      <c r="AB15408" s="841"/>
      <c r="AC15408" s="841"/>
    </row>
    <row r="15409" spans="1:29" ht="15" customHeight="1" x14ac:dyDescent="0.25">
      <c r="A15409" s="744" t="s">
        <v>194</v>
      </c>
      <c r="B15409" s="841"/>
      <c r="C15409" s="841"/>
      <c r="D15409" s="841"/>
      <c r="E15409" s="1690" t="s">
        <v>6718</v>
      </c>
      <c r="F15409" s="1690"/>
      <c r="G15409" s="1427" t="s">
        <v>24</v>
      </c>
      <c r="H15409" s="393">
        <v>3.2000000000000002E-3</v>
      </c>
      <c r="I15409" s="841"/>
      <c r="J15409" s="841"/>
      <c r="K15409" s="744" t="s">
        <v>6686</v>
      </c>
      <c r="L15409" s="744" t="s">
        <v>3046</v>
      </c>
      <c r="M15409" s="1436"/>
      <c r="N15409" s="841"/>
      <c r="O15409" s="841"/>
      <c r="P15409" s="744" t="s">
        <v>6693</v>
      </c>
      <c r="Q15409" s="841"/>
      <c r="R15409" s="841"/>
      <c r="S15409" s="841"/>
      <c r="T15409" s="841"/>
      <c r="U15409" s="841"/>
      <c r="V15409" s="1435">
        <v>55</v>
      </c>
      <c r="W15409" s="841"/>
      <c r="X15409" s="841"/>
      <c r="Y15409" s="841"/>
      <c r="Z15409" s="841"/>
      <c r="AA15409" s="841"/>
      <c r="AB15409" s="841"/>
      <c r="AC15409" s="841"/>
    </row>
    <row r="15410" spans="1:29" ht="15" customHeight="1" x14ac:dyDescent="0.25">
      <c r="A15410" s="744" t="s">
        <v>194</v>
      </c>
      <c r="B15410" s="841"/>
      <c r="C15410" s="841"/>
      <c r="D15410" s="841"/>
      <c r="E15410" s="1690" t="s">
        <v>3211</v>
      </c>
      <c r="F15410" s="1690"/>
      <c r="G15410" s="1427" t="s">
        <v>24</v>
      </c>
      <c r="H15410" s="393">
        <v>4.0000000000000002E-4</v>
      </c>
      <c r="I15410" s="841"/>
      <c r="J15410" s="841"/>
      <c r="K15410" s="744" t="s">
        <v>6686</v>
      </c>
      <c r="L15410" s="744" t="s">
        <v>3046</v>
      </c>
      <c r="M15410" s="1436"/>
      <c r="N15410" s="841"/>
      <c r="O15410" s="841"/>
      <c r="P15410" s="744" t="s">
        <v>6693</v>
      </c>
      <c r="Q15410" s="841"/>
      <c r="R15410" s="841"/>
      <c r="S15410" s="841"/>
      <c r="T15410" s="841"/>
      <c r="U15410" s="841"/>
      <c r="V15410" s="1435">
        <v>65</v>
      </c>
      <c r="W15410" s="841"/>
      <c r="X15410" s="841"/>
      <c r="Y15410" s="841"/>
      <c r="Z15410" s="841"/>
      <c r="AA15410" s="841"/>
      <c r="AB15410" s="841"/>
      <c r="AC15410" s="841"/>
    </row>
    <row r="15411" spans="1:29" ht="15" customHeight="1" x14ac:dyDescent="0.25">
      <c r="A15411" s="744" t="s">
        <v>194</v>
      </c>
      <c r="B15411" s="841"/>
      <c r="C15411" s="841"/>
      <c r="D15411" s="841"/>
      <c r="E15411" s="1690" t="s">
        <v>439</v>
      </c>
      <c r="F15411" s="1690"/>
      <c r="G15411" s="1427" t="s">
        <v>24</v>
      </c>
      <c r="H15411" s="393">
        <v>2.0999999999999999E-3</v>
      </c>
      <c r="I15411" s="841"/>
      <c r="J15411" s="841"/>
      <c r="K15411" s="744" t="s">
        <v>6686</v>
      </c>
      <c r="L15411" s="744" t="s">
        <v>3046</v>
      </c>
      <c r="M15411" s="1436"/>
      <c r="N15411" s="841"/>
      <c r="O15411" s="841"/>
      <c r="P15411" s="744" t="s">
        <v>6694</v>
      </c>
      <c r="Q15411" s="841"/>
      <c r="R15411" s="841"/>
      <c r="S15411" s="841"/>
      <c r="T15411" s="841"/>
      <c r="U15411" s="841"/>
      <c r="V15411" s="1435">
        <v>57</v>
      </c>
      <c r="W15411" s="841"/>
      <c r="X15411" s="841"/>
      <c r="Y15411" s="841"/>
      <c r="Z15411" s="841"/>
      <c r="AA15411" s="841"/>
      <c r="AB15411" s="841"/>
      <c r="AC15411" s="841"/>
    </row>
    <row r="15412" spans="1:29" ht="15" customHeight="1" x14ac:dyDescent="0.25">
      <c r="A15412" s="744" t="s">
        <v>194</v>
      </c>
      <c r="B15412" s="841"/>
      <c r="C15412" s="841"/>
      <c r="D15412" s="841"/>
      <c r="E15412" s="1690" t="s">
        <v>32</v>
      </c>
      <c r="F15412" s="1690"/>
      <c r="G15412" s="1427" t="s">
        <v>23</v>
      </c>
      <c r="H15412" s="391">
        <v>0.25</v>
      </c>
      <c r="I15412" s="841"/>
      <c r="J15412" s="841"/>
      <c r="K15412" s="744" t="s">
        <v>6686</v>
      </c>
      <c r="L15412" s="744" t="s">
        <v>3046</v>
      </c>
      <c r="M15412" s="1436"/>
      <c r="N15412" s="841"/>
      <c r="O15412" s="841"/>
      <c r="P15412" s="744" t="s">
        <v>6695</v>
      </c>
      <c r="Q15412" s="841"/>
      <c r="R15412" s="841"/>
      <c r="S15412" s="841"/>
      <c r="T15412" s="841"/>
      <c r="U15412" s="841"/>
      <c r="V15412" s="1435">
        <v>63</v>
      </c>
      <c r="W15412" s="841"/>
      <c r="X15412" s="841"/>
      <c r="Y15412" s="841"/>
      <c r="Z15412" s="841"/>
      <c r="AA15412" s="841"/>
      <c r="AB15412" s="841"/>
      <c r="AC15412" s="841"/>
    </row>
    <row r="15413" spans="1:29" ht="18" customHeight="1" x14ac:dyDescent="0.25">
      <c r="A15413" s="744" t="s">
        <v>194</v>
      </c>
      <c r="B15413" s="841"/>
      <c r="C15413" s="841"/>
      <c r="D15413" s="841"/>
      <c r="E15413" s="1909" t="s">
        <v>617</v>
      </c>
      <c r="F15413" s="1915"/>
      <c r="G15413" s="1915"/>
      <c r="H15413" s="1915"/>
      <c r="I15413" s="841"/>
      <c r="J15413" s="841"/>
      <c r="K15413" s="744" t="s">
        <v>3406</v>
      </c>
      <c r="L15413" s="841"/>
      <c r="M15413" s="1436"/>
      <c r="N15413" s="841"/>
      <c r="O15413" s="841"/>
      <c r="P15413" s="841"/>
      <c r="Q15413" s="841"/>
      <c r="R15413" s="841"/>
      <c r="S15413" s="841"/>
      <c r="T15413" s="841"/>
      <c r="U15413" s="841"/>
      <c r="V15413" s="1435">
        <v>47</v>
      </c>
      <c r="W15413" s="841"/>
      <c r="X15413" s="841"/>
      <c r="Y15413" s="841"/>
      <c r="Z15413" s="841"/>
      <c r="AA15413" s="841"/>
      <c r="AB15413" s="841"/>
      <c r="AC15413" s="744">
        <v>3</v>
      </c>
    </row>
    <row r="15414" spans="1:29" ht="15" customHeight="1" x14ac:dyDescent="0.25">
      <c r="A15414" s="744" t="s">
        <v>194</v>
      </c>
      <c r="B15414" s="841"/>
      <c r="C15414" s="841"/>
      <c r="D15414" s="841"/>
      <c r="E15414" s="1689" t="s">
        <v>6839</v>
      </c>
      <c r="F15414" s="1689"/>
      <c r="G15414" s="1689"/>
      <c r="H15414" s="1689"/>
      <c r="I15414" s="841"/>
      <c r="J15414" s="841"/>
      <c r="K15414" s="744" t="s">
        <v>3406</v>
      </c>
      <c r="L15414" s="841"/>
      <c r="M15414" s="1436"/>
      <c r="N15414" s="841"/>
      <c r="O15414" s="841"/>
      <c r="P15414" s="841"/>
      <c r="Q15414" s="841"/>
      <c r="R15414" s="841"/>
      <c r="S15414" s="841"/>
      <c r="T15414" s="841"/>
      <c r="U15414" s="841"/>
      <c r="V15414" s="1435">
        <v>722</v>
      </c>
      <c r="W15414" s="841"/>
      <c r="X15414" s="841"/>
      <c r="Y15414" s="841"/>
      <c r="Z15414" s="841"/>
      <c r="AA15414" s="841"/>
      <c r="AB15414" s="841"/>
      <c r="AC15414" s="841"/>
    </row>
    <row r="15415" spans="1:29" ht="15" x14ac:dyDescent="0.25">
      <c r="A15415" s="744" t="s">
        <v>194</v>
      </c>
      <c r="B15415" s="841"/>
      <c r="C15415" s="841"/>
      <c r="D15415" s="841"/>
      <c r="E15415" s="1916" t="s">
        <v>3061</v>
      </c>
      <c r="F15415" s="1697"/>
      <c r="G15415" s="1697"/>
      <c r="H15415" s="1697"/>
      <c r="I15415" s="841"/>
      <c r="J15415" s="841"/>
      <c r="K15415" s="744" t="s">
        <v>3221</v>
      </c>
      <c r="L15415" s="841"/>
      <c r="M15415" s="1436"/>
      <c r="N15415" s="841"/>
      <c r="O15415" s="841"/>
      <c r="P15415" s="841"/>
      <c r="Q15415" s="841"/>
      <c r="R15415" s="841"/>
      <c r="S15415" s="841"/>
      <c r="T15415" s="841"/>
      <c r="U15415" s="841"/>
      <c r="V15415" s="1435">
        <v>11</v>
      </c>
      <c r="W15415" s="841"/>
      <c r="X15415" s="841"/>
      <c r="Y15415" s="841"/>
      <c r="Z15415" s="841"/>
      <c r="AA15415" s="841"/>
      <c r="AB15415" s="841"/>
      <c r="AC15415" s="841"/>
    </row>
    <row r="15416" spans="1:29" ht="15" customHeight="1" x14ac:dyDescent="0.25">
      <c r="A15416" s="744" t="s">
        <v>194</v>
      </c>
      <c r="B15416" s="841"/>
      <c r="C15416" s="841"/>
      <c r="D15416" s="841"/>
      <c r="E15416" s="1689" t="s">
        <v>3063</v>
      </c>
      <c r="F15416" s="1689"/>
      <c r="G15416" s="1689"/>
      <c r="H15416" s="1689"/>
      <c r="I15416" s="841"/>
      <c r="J15416" s="841"/>
      <c r="K15416" s="744" t="s">
        <v>3406</v>
      </c>
      <c r="L15416" s="841"/>
      <c r="M15416" s="1436"/>
      <c r="N15416" s="841"/>
      <c r="O15416" s="841"/>
      <c r="P15416" s="841"/>
      <c r="Q15416" s="841"/>
      <c r="R15416" s="841"/>
      <c r="S15416" s="841"/>
      <c r="T15416" s="841"/>
      <c r="U15416" s="841"/>
      <c r="V15416" s="1435">
        <v>280</v>
      </c>
      <c r="W15416" s="841"/>
      <c r="X15416" s="841"/>
      <c r="Y15416" s="841"/>
      <c r="Z15416" s="841"/>
      <c r="AA15416" s="841"/>
      <c r="AB15416" s="841"/>
      <c r="AC15416" s="841"/>
    </row>
    <row r="15417" spans="1:29" ht="15" customHeight="1" x14ac:dyDescent="0.25">
      <c r="A15417" s="744" t="s">
        <v>194</v>
      </c>
      <c r="B15417" s="841"/>
      <c r="C15417" s="841"/>
      <c r="D15417" s="841"/>
      <c r="E15417" s="1689" t="s">
        <v>3064</v>
      </c>
      <c r="F15417" s="1689"/>
      <c r="G15417" s="1689"/>
      <c r="H15417" s="1689"/>
      <c r="I15417" s="841"/>
      <c r="J15417" s="841"/>
      <c r="K15417" s="744" t="s">
        <v>3406</v>
      </c>
      <c r="L15417" s="841"/>
      <c r="M15417" s="1436"/>
      <c r="N15417" s="841"/>
      <c r="O15417" s="841"/>
      <c r="P15417" s="841"/>
      <c r="Q15417" s="841"/>
      <c r="R15417" s="841"/>
      <c r="S15417" s="841"/>
      <c r="T15417" s="841"/>
      <c r="U15417" s="841"/>
      <c r="V15417" s="1435">
        <v>411</v>
      </c>
      <c r="W15417" s="841"/>
      <c r="X15417" s="841"/>
      <c r="Y15417" s="841"/>
      <c r="Z15417" s="841"/>
      <c r="AA15417" s="841"/>
      <c r="AB15417" s="841"/>
      <c r="AC15417" s="841"/>
    </row>
    <row r="15418" spans="1:29" ht="15" customHeight="1" x14ac:dyDescent="0.25">
      <c r="A15418" s="744" t="s">
        <v>194</v>
      </c>
      <c r="B15418" s="841"/>
      <c r="C15418" s="841"/>
      <c r="D15418" s="841"/>
      <c r="E15418" s="1689" t="s">
        <v>3065</v>
      </c>
      <c r="F15418" s="1689"/>
      <c r="G15418" s="1689"/>
      <c r="H15418" s="1689"/>
      <c r="I15418" s="841"/>
      <c r="J15418" s="841"/>
      <c r="K15418" s="744" t="s">
        <v>3406</v>
      </c>
      <c r="L15418" s="841"/>
      <c r="M15418" s="1436"/>
      <c r="N15418" s="841"/>
      <c r="O15418" s="841"/>
      <c r="P15418" s="841"/>
      <c r="Q15418" s="841"/>
      <c r="R15418" s="841"/>
      <c r="S15418" s="841"/>
      <c r="T15418" s="841"/>
      <c r="U15418" s="841"/>
      <c r="V15418" s="1435">
        <v>387</v>
      </c>
      <c r="W15418" s="841"/>
      <c r="X15418" s="841"/>
      <c r="Y15418" s="841"/>
      <c r="Z15418" s="841"/>
      <c r="AA15418" s="841"/>
      <c r="AB15418" s="841"/>
      <c r="AC15418" s="841"/>
    </row>
    <row r="15419" spans="1:29" ht="15" customHeight="1" x14ac:dyDescent="0.25">
      <c r="A15419" s="744" t="s">
        <v>194</v>
      </c>
      <c r="B15419" s="841"/>
      <c r="C15419" s="841"/>
      <c r="D15419" s="841"/>
      <c r="E15419" s="1689" t="s">
        <v>3200</v>
      </c>
      <c r="F15419" s="1689"/>
      <c r="G15419" s="1689"/>
      <c r="H15419" s="1689"/>
      <c r="I15419" s="841"/>
      <c r="J15419" s="841"/>
      <c r="K15419" s="744" t="s">
        <v>3406</v>
      </c>
      <c r="L15419" s="841"/>
      <c r="M15419" s="1436"/>
      <c r="N15419" s="841"/>
      <c r="O15419" s="841"/>
      <c r="P15419" s="841"/>
      <c r="Q15419" s="841"/>
      <c r="R15419" s="841"/>
      <c r="S15419" s="841"/>
      <c r="T15419" s="841"/>
      <c r="U15419" s="841"/>
      <c r="V15419" s="1435">
        <v>275</v>
      </c>
      <c r="W15419" s="841"/>
      <c r="X15419" s="841"/>
      <c r="Y15419" s="841"/>
      <c r="Z15419" s="841"/>
      <c r="AA15419" s="841"/>
      <c r="AB15419" s="841"/>
      <c r="AC15419" s="841"/>
    </row>
    <row r="15420" spans="1:29" ht="15" customHeight="1" x14ac:dyDescent="0.25">
      <c r="A15420" s="744" t="s">
        <v>194</v>
      </c>
      <c r="B15420" s="841"/>
      <c r="C15420" s="841"/>
      <c r="D15420" s="841"/>
      <c r="E15420" s="1694" t="s">
        <v>3067</v>
      </c>
      <c r="F15420" s="1907"/>
      <c r="G15420" s="1907"/>
      <c r="H15420" s="1907"/>
      <c r="I15420" s="841"/>
      <c r="J15420" s="841"/>
      <c r="K15420" s="744" t="s">
        <v>3224</v>
      </c>
      <c r="L15420" s="841"/>
      <c r="M15420" s="1436"/>
      <c r="N15420" s="841"/>
      <c r="O15420" s="841"/>
      <c r="P15420" s="841"/>
      <c r="Q15420" s="841"/>
      <c r="R15420" s="841"/>
      <c r="S15420" s="841"/>
      <c r="T15420" s="841"/>
      <c r="U15420" s="841"/>
      <c r="V15420" s="1435">
        <v>46</v>
      </c>
      <c r="W15420" s="841"/>
      <c r="X15420" s="841"/>
      <c r="Y15420" s="841"/>
      <c r="Z15420" s="841"/>
      <c r="AA15420" s="841"/>
      <c r="AB15420" s="841"/>
      <c r="AC15420" s="841"/>
    </row>
    <row r="15421" spans="1:29" ht="15" x14ac:dyDescent="0.25">
      <c r="A15421" s="744" t="s">
        <v>194</v>
      </c>
      <c r="B15421" s="841"/>
      <c r="C15421" s="841"/>
      <c r="D15421" s="841"/>
      <c r="E15421" s="1690" t="s">
        <v>12</v>
      </c>
      <c r="F15421" s="1690"/>
      <c r="G15421" s="1427" t="s">
        <v>23</v>
      </c>
      <c r="H15421" s="391">
        <v>23.032720000000001</v>
      </c>
      <c r="I15421" s="841"/>
      <c r="J15421" s="841"/>
      <c r="K15421" s="744" t="s">
        <v>3406</v>
      </c>
      <c r="L15421" s="744" t="s">
        <v>442</v>
      </c>
      <c r="M15421" s="1436"/>
      <c r="N15421" s="841"/>
      <c r="O15421" s="841"/>
      <c r="P15421" s="744" t="s">
        <v>3408</v>
      </c>
      <c r="Q15421" s="841"/>
      <c r="R15421" s="841"/>
      <c r="S15421" s="841"/>
      <c r="T15421" s="841"/>
      <c r="U15421" s="841"/>
      <c r="V15421" s="1435">
        <v>31</v>
      </c>
      <c r="W15421" s="841"/>
      <c r="X15421" s="841"/>
      <c r="Y15421" s="841"/>
      <c r="Z15421" s="841"/>
      <c r="AA15421" s="841"/>
      <c r="AB15421" s="841"/>
      <c r="AC15421" s="841"/>
    </row>
    <row r="15422" spans="1:29" ht="15" x14ac:dyDescent="0.25">
      <c r="A15422" s="744" t="s">
        <v>194</v>
      </c>
      <c r="B15422" s="841"/>
      <c r="C15422" s="841"/>
      <c r="D15422" s="841"/>
      <c r="E15422" s="1690" t="s">
        <v>84</v>
      </c>
      <c r="F15422" s="1690"/>
      <c r="G15422" s="1427" t="s">
        <v>24</v>
      </c>
      <c r="H15422" s="393">
        <v>8.9408000000000005E-3</v>
      </c>
      <c r="I15422" s="841"/>
      <c r="J15422" s="841"/>
      <c r="K15422" s="744" t="s">
        <v>3406</v>
      </c>
      <c r="L15422" s="744" t="s">
        <v>442</v>
      </c>
      <c r="M15422" s="1436"/>
      <c r="N15422" s="841"/>
      <c r="O15422" s="841"/>
      <c r="P15422" s="744" t="s">
        <v>3409</v>
      </c>
      <c r="Q15422" s="841"/>
      <c r="R15422" s="841"/>
      <c r="S15422" s="841"/>
      <c r="T15422" s="841"/>
      <c r="U15422" s="841"/>
      <c r="V15422" s="1435">
        <v>28</v>
      </c>
      <c r="W15422" s="841"/>
      <c r="X15422" s="841"/>
      <c r="Y15422" s="841"/>
      <c r="Z15422" s="841"/>
      <c r="AA15422" s="841"/>
      <c r="AB15422" s="841"/>
      <c r="AC15422" s="841"/>
    </row>
    <row r="15423" spans="1:29" ht="15" x14ac:dyDescent="0.25">
      <c r="A15423" s="744" t="s">
        <v>194</v>
      </c>
      <c r="B15423" s="841"/>
      <c r="C15423" s="841"/>
      <c r="D15423" s="841"/>
      <c r="E15423" s="1690" t="s">
        <v>18</v>
      </c>
      <c r="F15423" s="1690"/>
      <c r="G15423" s="1427" t="s">
        <v>24</v>
      </c>
      <c r="H15423" s="393">
        <v>3.0999999999999999E-3</v>
      </c>
      <c r="I15423" s="744" t="s">
        <v>2461</v>
      </c>
      <c r="J15423" s="841"/>
      <c r="K15423" s="744" t="s">
        <v>3406</v>
      </c>
      <c r="L15423" s="744" t="s">
        <v>443</v>
      </c>
      <c r="M15423" s="1436"/>
      <c r="N15423" s="841"/>
      <c r="O15423" s="841"/>
      <c r="P15423" s="744" t="s">
        <v>3549</v>
      </c>
      <c r="Q15423" s="841"/>
      <c r="R15423" s="841"/>
      <c r="S15423" s="841"/>
      <c r="T15423" s="841"/>
      <c r="U15423" s="841"/>
      <c r="V15423" s="1435">
        <v>24</v>
      </c>
      <c r="W15423" s="841"/>
      <c r="X15423" s="841"/>
      <c r="Y15423" s="841"/>
      <c r="Z15423" s="841"/>
      <c r="AA15423" s="841"/>
      <c r="AB15423" s="841"/>
      <c r="AC15423" s="841"/>
    </row>
    <row r="15424" spans="1:29" ht="15.75" customHeight="1" x14ac:dyDescent="0.25">
      <c r="A15424" s="744" t="s">
        <v>194</v>
      </c>
      <c r="B15424" s="841"/>
      <c r="C15424" s="841"/>
      <c r="D15424" s="841"/>
      <c r="E15424" s="1690" t="s">
        <v>6832</v>
      </c>
      <c r="F15424" s="1908"/>
      <c r="G15424" s="1427" t="s">
        <v>24</v>
      </c>
      <c r="H15424" s="393">
        <v>-1.2999999999999999E-3</v>
      </c>
      <c r="I15424" s="841"/>
      <c r="J15424" s="841"/>
      <c r="K15424" s="744" t="s">
        <v>3406</v>
      </c>
      <c r="L15424" s="744" t="s">
        <v>443</v>
      </c>
      <c r="M15424" s="1436"/>
      <c r="N15424" s="841"/>
      <c r="O15424" s="841"/>
      <c r="P15424" s="744" t="s">
        <v>3411</v>
      </c>
      <c r="Q15424" s="841"/>
      <c r="R15424" s="841"/>
      <c r="S15424" s="841"/>
      <c r="T15424" s="1428">
        <v>43220</v>
      </c>
      <c r="U15424" s="841"/>
      <c r="V15424" s="1435">
        <v>96</v>
      </c>
      <c r="W15424" s="841"/>
      <c r="X15424" s="841"/>
      <c r="Y15424" s="841"/>
      <c r="Z15424" s="841"/>
      <c r="AA15424" s="841"/>
      <c r="AB15424" s="841"/>
      <c r="AC15424" s="841"/>
    </row>
    <row r="15425" spans="1:29" ht="15" x14ac:dyDescent="0.25">
      <c r="A15425" s="744" t="s">
        <v>194</v>
      </c>
      <c r="B15425" s="841"/>
      <c r="C15425" s="841"/>
      <c r="D15425" s="841"/>
      <c r="E15425" s="1690" t="s">
        <v>221</v>
      </c>
      <c r="F15425" s="1690"/>
      <c r="G15425" s="1427" t="s">
        <v>24</v>
      </c>
      <c r="H15425" s="393">
        <v>5.7000000000000002E-3</v>
      </c>
      <c r="I15425" s="841"/>
      <c r="J15425" s="841"/>
      <c r="K15425" s="744" t="s">
        <v>3406</v>
      </c>
      <c r="L15425" s="744" t="s">
        <v>444</v>
      </c>
      <c r="M15425" s="1436"/>
      <c r="N15425" s="841"/>
      <c r="O15425" s="841"/>
      <c r="P15425" s="744" t="s">
        <v>3412</v>
      </c>
      <c r="Q15425" s="841"/>
      <c r="R15425" s="841"/>
      <c r="S15425" s="841"/>
      <c r="T15425" s="841"/>
      <c r="U15425" s="841"/>
      <c r="V15425" s="1435">
        <v>47</v>
      </c>
      <c r="W15425" s="841"/>
      <c r="X15425" s="841"/>
      <c r="Y15425" s="841"/>
      <c r="Z15425" s="841"/>
      <c r="AA15425" s="841"/>
      <c r="AB15425" s="841"/>
      <c r="AC15425" s="841"/>
    </row>
    <row r="15426" spans="1:29" ht="15" customHeight="1" x14ac:dyDescent="0.25">
      <c r="A15426" s="744" t="s">
        <v>194</v>
      </c>
      <c r="B15426" s="841"/>
      <c r="C15426" s="841"/>
      <c r="D15426" s="841"/>
      <c r="E15426" s="1690" t="s">
        <v>217</v>
      </c>
      <c r="F15426" s="1690"/>
      <c r="G15426" s="1427" t="s">
        <v>24</v>
      </c>
      <c r="H15426" s="393">
        <v>1.1999999999999999E-3</v>
      </c>
      <c r="I15426" s="841"/>
      <c r="J15426" s="841"/>
      <c r="K15426" s="744" t="s">
        <v>3406</v>
      </c>
      <c r="L15426" s="744" t="s">
        <v>444</v>
      </c>
      <c r="M15426" s="1436"/>
      <c r="N15426" s="841"/>
      <c r="O15426" s="841"/>
      <c r="P15426" s="744" t="s">
        <v>3413</v>
      </c>
      <c r="Q15426" s="841"/>
      <c r="R15426" s="841"/>
      <c r="S15426" s="841"/>
      <c r="T15426" s="841"/>
      <c r="U15426" s="841"/>
      <c r="V15426" s="1435">
        <v>74</v>
      </c>
      <c r="W15426" s="841"/>
      <c r="X15426" s="841"/>
      <c r="Y15426" s="841"/>
      <c r="Z15426" s="841"/>
      <c r="AA15426" s="841"/>
      <c r="AB15426" s="841"/>
      <c r="AC15426" s="841"/>
    </row>
    <row r="15427" spans="1:29" ht="15" customHeight="1" x14ac:dyDescent="0.25">
      <c r="A15427" s="744" t="s">
        <v>194</v>
      </c>
      <c r="B15427" s="841"/>
      <c r="C15427" s="841"/>
      <c r="D15427" s="841"/>
      <c r="E15427" s="1694" t="s">
        <v>3079</v>
      </c>
      <c r="F15427" s="1690"/>
      <c r="G15427" s="1427"/>
      <c r="H15427" s="394"/>
      <c r="I15427" s="841"/>
      <c r="J15427" s="841"/>
      <c r="K15427" s="744" t="s">
        <v>3225</v>
      </c>
      <c r="L15427" s="841"/>
      <c r="M15427" s="1436"/>
      <c r="N15427" s="841"/>
      <c r="O15427" s="841"/>
      <c r="P15427" s="841"/>
      <c r="Q15427" s="841"/>
      <c r="R15427" s="841"/>
      <c r="S15427" s="841"/>
      <c r="T15427" s="841"/>
      <c r="U15427" s="841"/>
      <c r="V15427" s="1435">
        <v>48</v>
      </c>
      <c r="W15427" s="841"/>
      <c r="X15427" s="841"/>
      <c r="Y15427" s="841"/>
      <c r="Z15427" s="841"/>
      <c r="AA15427" s="841"/>
      <c r="AB15427" s="841"/>
      <c r="AC15427" s="841"/>
    </row>
    <row r="15428" spans="1:29" ht="15" customHeight="1" x14ac:dyDescent="0.25">
      <c r="A15428" s="744" t="s">
        <v>194</v>
      </c>
      <c r="B15428" s="841"/>
      <c r="C15428" s="841"/>
      <c r="D15428" s="841"/>
      <c r="E15428" s="1690" t="s">
        <v>6718</v>
      </c>
      <c r="F15428" s="1690"/>
      <c r="G15428" s="1427" t="s">
        <v>24</v>
      </c>
      <c r="H15428" s="393">
        <v>3.2000000000000002E-3</v>
      </c>
      <c r="I15428" s="841"/>
      <c r="J15428" s="841"/>
      <c r="K15428" s="744" t="s">
        <v>3406</v>
      </c>
      <c r="L15428" s="744" t="s">
        <v>3046</v>
      </c>
      <c r="M15428" s="1436"/>
      <c r="N15428" s="841"/>
      <c r="O15428" s="841"/>
      <c r="P15428" s="744" t="s">
        <v>3414</v>
      </c>
      <c r="Q15428" s="841"/>
      <c r="R15428" s="841"/>
      <c r="S15428" s="841"/>
      <c r="T15428" s="841"/>
      <c r="U15428" s="841"/>
      <c r="V15428" s="1435">
        <v>55</v>
      </c>
      <c r="W15428" s="841"/>
      <c r="X15428" s="841"/>
      <c r="Y15428" s="841"/>
      <c r="Z15428" s="841"/>
      <c r="AA15428" s="841"/>
      <c r="AB15428" s="841"/>
      <c r="AC15428" s="841"/>
    </row>
    <row r="15429" spans="1:29" ht="15" customHeight="1" x14ac:dyDescent="0.25">
      <c r="A15429" s="744" t="s">
        <v>194</v>
      </c>
      <c r="B15429" s="841"/>
      <c r="C15429" s="841"/>
      <c r="D15429" s="841"/>
      <c r="E15429" s="1690" t="s">
        <v>3211</v>
      </c>
      <c r="F15429" s="1690"/>
      <c r="G15429" s="1427" t="s">
        <v>24</v>
      </c>
      <c r="H15429" s="393">
        <v>4.0000000000000002E-4</v>
      </c>
      <c r="I15429" s="841"/>
      <c r="J15429" s="841"/>
      <c r="K15429" s="744" t="s">
        <v>3406</v>
      </c>
      <c r="L15429" s="744" t="s">
        <v>3046</v>
      </c>
      <c r="M15429" s="1436"/>
      <c r="N15429" s="841"/>
      <c r="O15429" s="841"/>
      <c r="P15429" s="744" t="s">
        <v>3414</v>
      </c>
      <c r="Q15429" s="841"/>
      <c r="R15429" s="841"/>
      <c r="S15429" s="841"/>
      <c r="T15429" s="841"/>
      <c r="U15429" s="841"/>
      <c r="V15429" s="1435">
        <v>65</v>
      </c>
      <c r="W15429" s="841"/>
      <c r="X15429" s="841"/>
      <c r="Y15429" s="841"/>
      <c r="Z15429" s="841"/>
      <c r="AA15429" s="841"/>
      <c r="AB15429" s="841"/>
      <c r="AC15429" s="841"/>
    </row>
    <row r="15430" spans="1:29" ht="15" customHeight="1" x14ac:dyDescent="0.25">
      <c r="A15430" s="744" t="s">
        <v>194</v>
      </c>
      <c r="B15430" s="841"/>
      <c r="C15430" s="841"/>
      <c r="D15430" s="841"/>
      <c r="E15430" s="1690" t="s">
        <v>439</v>
      </c>
      <c r="F15430" s="1690"/>
      <c r="G15430" s="1427" t="s">
        <v>24</v>
      </c>
      <c r="H15430" s="393">
        <v>2.0999999999999999E-3</v>
      </c>
      <c r="I15430" s="841"/>
      <c r="J15430" s="841"/>
      <c r="K15430" s="744" t="s">
        <v>3406</v>
      </c>
      <c r="L15430" s="744" t="s">
        <v>3046</v>
      </c>
      <c r="M15430" s="1436"/>
      <c r="N15430" s="841"/>
      <c r="O15430" s="841"/>
      <c r="P15430" s="744" t="s">
        <v>3415</v>
      </c>
      <c r="Q15430" s="841"/>
      <c r="R15430" s="841"/>
      <c r="S15430" s="841"/>
      <c r="T15430" s="841"/>
      <c r="U15430" s="841"/>
      <c r="V15430" s="1435">
        <v>57</v>
      </c>
      <c r="W15430" s="841"/>
      <c r="X15430" s="841"/>
      <c r="Y15430" s="841"/>
      <c r="Z15430" s="841"/>
      <c r="AA15430" s="841"/>
      <c r="AB15430" s="841"/>
      <c r="AC15430" s="841"/>
    </row>
    <row r="15431" spans="1:29" ht="15" customHeight="1" x14ac:dyDescent="0.25">
      <c r="A15431" s="744" t="s">
        <v>194</v>
      </c>
      <c r="B15431" s="841"/>
      <c r="C15431" s="841"/>
      <c r="D15431" s="841"/>
      <c r="E15431" s="1690" t="s">
        <v>32</v>
      </c>
      <c r="F15431" s="1690"/>
      <c r="G15431" s="1427" t="s">
        <v>23</v>
      </c>
      <c r="H15431" s="391">
        <v>0.25</v>
      </c>
      <c r="I15431" s="841"/>
      <c r="J15431" s="841"/>
      <c r="K15431" s="744" t="s">
        <v>3406</v>
      </c>
      <c r="L15431" s="744" t="s">
        <v>3046</v>
      </c>
      <c r="M15431" s="1436"/>
      <c r="N15431" s="841"/>
      <c r="O15431" s="841"/>
      <c r="P15431" s="744" t="s">
        <v>3416</v>
      </c>
      <c r="Q15431" s="841"/>
      <c r="R15431" s="841"/>
      <c r="S15431" s="841"/>
      <c r="T15431" s="841"/>
      <c r="U15431" s="841"/>
      <c r="V15431" s="1435">
        <v>63</v>
      </c>
      <c r="W15431" s="841"/>
      <c r="X15431" s="841"/>
      <c r="Y15431" s="841"/>
      <c r="Z15431" s="841"/>
      <c r="AA15431" s="841"/>
      <c r="AB15431" s="841"/>
      <c r="AC15431" s="841"/>
    </row>
    <row r="15432" spans="1:29" ht="18" customHeight="1" x14ac:dyDescent="0.25">
      <c r="A15432" s="744" t="s">
        <v>194</v>
      </c>
      <c r="B15432" s="841"/>
      <c r="C15432" s="841"/>
      <c r="D15432" s="841"/>
      <c r="E15432" s="1909" t="s">
        <v>615</v>
      </c>
      <c r="F15432" s="1915"/>
      <c r="G15432" s="1915"/>
      <c r="H15432" s="1915"/>
      <c r="I15432" s="841"/>
      <c r="J15432" s="841"/>
      <c r="K15432" s="744" t="s">
        <v>3417</v>
      </c>
      <c r="L15432" s="841"/>
      <c r="M15432" s="1436"/>
      <c r="N15432" s="841"/>
      <c r="O15432" s="841"/>
      <c r="P15432" s="841"/>
      <c r="Q15432" s="841"/>
      <c r="R15432" s="841"/>
      <c r="S15432" s="841"/>
      <c r="T15432" s="841"/>
      <c r="U15432" s="841"/>
      <c r="V15432" s="1435">
        <v>38</v>
      </c>
      <c r="W15432" s="841"/>
      <c r="X15432" s="841"/>
      <c r="Y15432" s="841"/>
      <c r="Z15432" s="841"/>
      <c r="AA15432" s="841"/>
      <c r="AB15432" s="841"/>
      <c r="AC15432" s="744">
        <v>3</v>
      </c>
    </row>
    <row r="15433" spans="1:29" ht="15" customHeight="1" x14ac:dyDescent="0.25">
      <c r="A15433" s="744" t="s">
        <v>194</v>
      </c>
      <c r="B15433" s="841"/>
      <c r="C15433" s="841"/>
      <c r="D15433" s="841"/>
      <c r="E15433" s="1689" t="s">
        <v>6840</v>
      </c>
      <c r="F15433" s="1689"/>
      <c r="G15433" s="1689"/>
      <c r="H15433" s="1689"/>
      <c r="I15433" s="841"/>
      <c r="J15433" s="841"/>
      <c r="K15433" s="744" t="s">
        <v>3417</v>
      </c>
      <c r="L15433" s="841"/>
      <c r="M15433" s="1436"/>
      <c r="N15433" s="841"/>
      <c r="O15433" s="841"/>
      <c r="P15433" s="841"/>
      <c r="Q15433" s="841"/>
      <c r="R15433" s="841"/>
      <c r="S15433" s="841"/>
      <c r="T15433" s="841"/>
      <c r="U15433" s="841"/>
      <c r="V15433" s="1435">
        <v>544</v>
      </c>
      <c r="W15433" s="841"/>
      <c r="X15433" s="841"/>
      <c r="Y15433" s="841"/>
      <c r="Z15433" s="841"/>
      <c r="AA15433" s="841"/>
      <c r="AB15433" s="841"/>
      <c r="AC15433" s="841"/>
    </row>
    <row r="15434" spans="1:29" ht="15" x14ac:dyDescent="0.25">
      <c r="A15434" s="744" t="s">
        <v>194</v>
      </c>
      <c r="B15434" s="841"/>
      <c r="C15434" s="841"/>
      <c r="D15434" s="841"/>
      <c r="E15434" s="1916" t="s">
        <v>3061</v>
      </c>
      <c r="F15434" s="1697"/>
      <c r="G15434" s="1697"/>
      <c r="H15434" s="1697"/>
      <c r="I15434" s="841"/>
      <c r="J15434" s="841"/>
      <c r="K15434" s="744" t="s">
        <v>3107</v>
      </c>
      <c r="L15434" s="841"/>
      <c r="M15434" s="1436"/>
      <c r="N15434" s="841"/>
      <c r="O15434" s="841"/>
      <c r="P15434" s="841"/>
      <c r="Q15434" s="841"/>
      <c r="R15434" s="841"/>
      <c r="S15434" s="841"/>
      <c r="T15434" s="841"/>
      <c r="U15434" s="841"/>
      <c r="V15434" s="1435">
        <v>11</v>
      </c>
      <c r="W15434" s="841"/>
      <c r="X15434" s="841"/>
      <c r="Y15434" s="841"/>
      <c r="Z15434" s="841"/>
      <c r="AA15434" s="841"/>
      <c r="AB15434" s="841"/>
      <c r="AC15434" s="841"/>
    </row>
    <row r="15435" spans="1:29" ht="15" customHeight="1" x14ac:dyDescent="0.25">
      <c r="A15435" s="744" t="s">
        <v>194</v>
      </c>
      <c r="B15435" s="841"/>
      <c r="C15435" s="841"/>
      <c r="D15435" s="841"/>
      <c r="E15435" s="1689" t="s">
        <v>3063</v>
      </c>
      <c r="F15435" s="1689"/>
      <c r="G15435" s="1689"/>
      <c r="H15435" s="1689"/>
      <c r="I15435" s="841"/>
      <c r="J15435" s="841"/>
      <c r="K15435" s="744" t="s">
        <v>3417</v>
      </c>
      <c r="L15435" s="841"/>
      <c r="M15435" s="1436"/>
      <c r="N15435" s="841"/>
      <c r="O15435" s="841"/>
      <c r="P15435" s="841"/>
      <c r="Q15435" s="841"/>
      <c r="R15435" s="841"/>
      <c r="S15435" s="841"/>
      <c r="T15435" s="841"/>
      <c r="U15435" s="841"/>
      <c r="V15435" s="1435">
        <v>280</v>
      </c>
    </row>
    <row r="15436" spans="1:29" ht="15" customHeight="1" x14ac:dyDescent="0.25">
      <c r="A15436" s="744" t="s">
        <v>194</v>
      </c>
      <c r="B15436" s="841"/>
      <c r="C15436" s="841"/>
      <c r="D15436" s="841"/>
      <c r="E15436" s="1689" t="s">
        <v>3064</v>
      </c>
      <c r="F15436" s="1689"/>
      <c r="G15436" s="1689"/>
      <c r="H15436" s="1689"/>
      <c r="I15436" s="841"/>
      <c r="J15436" s="841"/>
      <c r="K15436" s="744" t="s">
        <v>3417</v>
      </c>
      <c r="L15436" s="841"/>
      <c r="M15436" s="1436"/>
      <c r="N15436" s="841"/>
      <c r="O15436" s="841"/>
      <c r="P15436" s="841"/>
      <c r="Q15436" s="841"/>
      <c r="R15436" s="841"/>
      <c r="S15436" s="841"/>
      <c r="T15436" s="841"/>
      <c r="U15436" s="841"/>
      <c r="V15436" s="1435">
        <v>411</v>
      </c>
    </row>
    <row r="15437" spans="1:29" ht="15" customHeight="1" x14ac:dyDescent="0.25">
      <c r="A15437" s="744" t="s">
        <v>194</v>
      </c>
      <c r="B15437" s="841"/>
      <c r="C15437" s="841"/>
      <c r="D15437" s="841"/>
      <c r="E15437" s="1689" t="s">
        <v>3065</v>
      </c>
      <c r="F15437" s="1689"/>
      <c r="G15437" s="1689"/>
      <c r="H15437" s="1689"/>
      <c r="I15437" s="841"/>
      <c r="J15437" s="841"/>
      <c r="K15437" s="744" t="s">
        <v>3417</v>
      </c>
      <c r="L15437" s="841"/>
      <c r="M15437" s="1436"/>
      <c r="N15437" s="841"/>
      <c r="O15437" s="841"/>
      <c r="P15437" s="841"/>
      <c r="Q15437" s="841"/>
      <c r="R15437" s="841"/>
      <c r="S15437" s="841"/>
      <c r="T15437" s="841"/>
      <c r="U15437" s="841"/>
      <c r="V15437" s="1435">
        <v>387</v>
      </c>
    </row>
    <row r="15438" spans="1:29" ht="15" customHeight="1" x14ac:dyDescent="0.25">
      <c r="A15438" s="744" t="s">
        <v>194</v>
      </c>
      <c r="B15438" s="841"/>
      <c r="C15438" s="841"/>
      <c r="D15438" s="841"/>
      <c r="E15438" s="1689" t="s">
        <v>3200</v>
      </c>
      <c r="F15438" s="1689"/>
      <c r="G15438" s="1689"/>
      <c r="H15438" s="1689"/>
      <c r="I15438" s="841"/>
      <c r="J15438" s="841"/>
      <c r="K15438" s="744" t="s">
        <v>3417</v>
      </c>
      <c r="L15438" s="841"/>
      <c r="M15438" s="1436"/>
      <c r="N15438" s="841"/>
      <c r="O15438" s="841"/>
      <c r="P15438" s="841"/>
      <c r="Q15438" s="841"/>
      <c r="R15438" s="841"/>
      <c r="S15438" s="841"/>
      <c r="T15438" s="841"/>
      <c r="U15438" s="841"/>
      <c r="V15438" s="1435">
        <v>275</v>
      </c>
    </row>
    <row r="15439" spans="1:29" ht="15" customHeight="1" x14ac:dyDescent="0.25">
      <c r="A15439" s="744" t="s">
        <v>194</v>
      </c>
      <c r="B15439" s="841"/>
      <c r="C15439" s="841"/>
      <c r="D15439" s="841"/>
      <c r="E15439" s="1694" t="s">
        <v>3067</v>
      </c>
      <c r="F15439" s="1907"/>
      <c r="G15439" s="1907"/>
      <c r="H15439" s="1907"/>
      <c r="I15439" s="841"/>
      <c r="J15439" s="841"/>
      <c r="K15439" s="744" t="s">
        <v>3108</v>
      </c>
      <c r="L15439" s="841"/>
      <c r="M15439" s="1436"/>
      <c r="N15439" s="841"/>
      <c r="O15439" s="841"/>
      <c r="P15439" s="841"/>
      <c r="Q15439" s="841"/>
      <c r="R15439" s="841"/>
      <c r="S15439" s="841"/>
      <c r="T15439" s="841"/>
      <c r="U15439" s="841"/>
      <c r="V15439" s="1435">
        <v>46</v>
      </c>
    </row>
    <row r="15440" spans="1:29" ht="15" x14ac:dyDescent="0.25">
      <c r="A15440" s="744" t="s">
        <v>194</v>
      </c>
      <c r="B15440" s="841"/>
      <c r="C15440" s="841"/>
      <c r="D15440" s="841"/>
      <c r="E15440" s="1690" t="s">
        <v>12</v>
      </c>
      <c r="F15440" s="1690"/>
      <c r="G15440" s="1427" t="s">
        <v>23</v>
      </c>
      <c r="H15440" s="391">
        <v>10.73912</v>
      </c>
      <c r="I15440" s="841"/>
      <c r="J15440" s="841"/>
      <c r="K15440" s="744" t="s">
        <v>3417</v>
      </c>
      <c r="L15440" s="744" t="s">
        <v>442</v>
      </c>
      <c r="M15440" s="1436"/>
      <c r="N15440" s="841"/>
      <c r="O15440" s="841"/>
      <c r="P15440" s="744" t="s">
        <v>3419</v>
      </c>
      <c r="Q15440" s="841"/>
      <c r="R15440" s="841"/>
      <c r="S15440" s="841"/>
      <c r="T15440" s="841"/>
      <c r="U15440" s="841"/>
      <c r="V15440" s="1435">
        <v>31</v>
      </c>
    </row>
    <row r="15441" spans="1:29" ht="15" x14ac:dyDescent="0.25">
      <c r="A15441" s="744" t="s">
        <v>194</v>
      </c>
      <c r="B15441" s="841"/>
      <c r="C15441" s="841"/>
      <c r="D15441" s="841"/>
      <c r="E15441" s="1690" t="s">
        <v>84</v>
      </c>
      <c r="F15441" s="1690"/>
      <c r="G15441" s="1427" t="s">
        <v>33</v>
      </c>
      <c r="H15441" s="393">
        <v>28.322524000000001</v>
      </c>
      <c r="I15441" s="841"/>
      <c r="J15441" s="841"/>
      <c r="K15441" s="744" t="s">
        <v>3417</v>
      </c>
      <c r="L15441" s="744" t="s">
        <v>442</v>
      </c>
      <c r="M15441" s="1436"/>
      <c r="N15441" s="841"/>
      <c r="O15441" s="841"/>
      <c r="P15441" s="744" t="s">
        <v>3420</v>
      </c>
      <c r="Q15441" s="841"/>
      <c r="R15441" s="841"/>
      <c r="S15441" s="841"/>
      <c r="T15441" s="841"/>
      <c r="U15441" s="841"/>
      <c r="V15441" s="1435">
        <v>28</v>
      </c>
    </row>
    <row r="15442" spans="1:29" ht="15" x14ac:dyDescent="0.25">
      <c r="A15442" s="744" t="s">
        <v>194</v>
      </c>
      <c r="B15442" s="841"/>
      <c r="C15442" s="841"/>
      <c r="D15442" s="841"/>
      <c r="E15442" s="1690" t="s">
        <v>18</v>
      </c>
      <c r="F15442" s="1690"/>
      <c r="G15442" s="1427" t="s">
        <v>33</v>
      </c>
      <c r="H15442" s="393">
        <v>1.012</v>
      </c>
      <c r="I15442" s="744" t="s">
        <v>2461</v>
      </c>
      <c r="J15442" s="841"/>
      <c r="K15442" s="744" t="s">
        <v>3417</v>
      </c>
      <c r="L15442" s="744" t="s">
        <v>443</v>
      </c>
      <c r="M15442" s="1436"/>
      <c r="N15442" s="841"/>
      <c r="O15442" s="841"/>
      <c r="P15442" s="744" t="s">
        <v>3552</v>
      </c>
      <c r="Q15442" s="841"/>
      <c r="R15442" s="841"/>
      <c r="S15442" s="841"/>
      <c r="T15442" s="841"/>
      <c r="U15442" s="841"/>
      <c r="V15442" s="1435">
        <v>24</v>
      </c>
    </row>
    <row r="15443" spans="1:29" ht="15.75" customHeight="1" x14ac:dyDescent="0.25">
      <c r="A15443" s="744" t="s">
        <v>194</v>
      </c>
      <c r="B15443" s="841"/>
      <c r="C15443" s="841"/>
      <c r="D15443" s="841"/>
      <c r="E15443" s="1690" t="s">
        <v>6832</v>
      </c>
      <c r="F15443" s="1908"/>
      <c r="G15443" s="1427" t="s">
        <v>33</v>
      </c>
      <c r="H15443" s="393">
        <v>-0.44130000000000003</v>
      </c>
      <c r="I15443" s="841"/>
      <c r="J15443" s="841"/>
      <c r="K15443" s="744" t="s">
        <v>3417</v>
      </c>
      <c r="L15443" s="744" t="s">
        <v>443</v>
      </c>
      <c r="M15443" s="1436"/>
      <c r="N15443" s="841"/>
      <c r="O15443" s="841"/>
      <c r="P15443" s="744" t="s">
        <v>3423</v>
      </c>
      <c r="Q15443" s="841"/>
      <c r="R15443" s="841"/>
      <c r="S15443" s="841"/>
      <c r="T15443" s="1428">
        <v>43220</v>
      </c>
      <c r="U15443" s="841"/>
      <c r="V15443" s="1435">
        <v>96</v>
      </c>
    </row>
    <row r="15444" spans="1:29" ht="15" x14ac:dyDescent="0.25">
      <c r="A15444" s="744" t="s">
        <v>194</v>
      </c>
      <c r="B15444" s="841"/>
      <c r="C15444" s="841"/>
      <c r="D15444" s="841"/>
      <c r="E15444" s="1690" t="s">
        <v>221</v>
      </c>
      <c r="F15444" s="1690"/>
      <c r="G15444" s="1427" t="s">
        <v>33</v>
      </c>
      <c r="H15444" s="393">
        <v>1.7442</v>
      </c>
      <c r="I15444" s="841"/>
      <c r="J15444" s="841"/>
      <c r="K15444" s="744" t="s">
        <v>3417</v>
      </c>
      <c r="L15444" s="744" t="s">
        <v>444</v>
      </c>
      <c r="M15444" s="1436"/>
      <c r="N15444" s="841"/>
      <c r="O15444" s="841"/>
      <c r="P15444" s="744" t="s">
        <v>3424</v>
      </c>
      <c r="Q15444" s="841"/>
      <c r="R15444" s="841"/>
      <c r="S15444" s="841"/>
      <c r="T15444" s="841"/>
      <c r="U15444" s="841"/>
      <c r="V15444" s="1435">
        <v>47</v>
      </c>
    </row>
    <row r="15445" spans="1:29" ht="15" customHeight="1" x14ac:dyDescent="0.25">
      <c r="A15445" s="744" t="s">
        <v>194</v>
      </c>
      <c r="B15445" s="841"/>
      <c r="C15445" s="841"/>
      <c r="D15445" s="841"/>
      <c r="E15445" s="1690" t="s">
        <v>217</v>
      </c>
      <c r="F15445" s="1690"/>
      <c r="G15445" s="1427" t="s">
        <v>33</v>
      </c>
      <c r="H15445" s="393">
        <v>0.41980000000000001</v>
      </c>
      <c r="I15445" s="841"/>
      <c r="J15445" s="841"/>
      <c r="K15445" s="744" t="s">
        <v>3417</v>
      </c>
      <c r="L15445" s="744" t="s">
        <v>444</v>
      </c>
      <c r="M15445" s="1436"/>
      <c r="N15445" s="841"/>
      <c r="O15445" s="841"/>
      <c r="P15445" s="744" t="s">
        <v>3553</v>
      </c>
      <c r="Q15445" s="841"/>
      <c r="R15445" s="841"/>
      <c r="S15445" s="841"/>
      <c r="T15445" s="841"/>
      <c r="U15445" s="841"/>
      <c r="V15445" s="1435">
        <v>74</v>
      </c>
    </row>
    <row r="15446" spans="1:29" ht="15" customHeight="1" x14ac:dyDescent="0.25">
      <c r="A15446" s="744" t="s">
        <v>194</v>
      </c>
      <c r="B15446" s="841"/>
      <c r="C15446" s="841"/>
      <c r="D15446" s="841"/>
      <c r="E15446" s="1694" t="s">
        <v>3079</v>
      </c>
      <c r="F15446" s="1690"/>
      <c r="G15446" s="1427"/>
      <c r="H15446" s="394"/>
      <c r="I15446" s="841"/>
      <c r="J15446" s="841"/>
      <c r="K15446" s="744" t="s">
        <v>3111</v>
      </c>
      <c r="L15446" s="841"/>
      <c r="M15446" s="1436"/>
      <c r="N15446" s="841"/>
      <c r="O15446" s="841"/>
      <c r="P15446" s="841"/>
      <c r="Q15446" s="841"/>
      <c r="R15446" s="841"/>
      <c r="S15446" s="841"/>
      <c r="T15446" s="841"/>
      <c r="U15446" s="841"/>
      <c r="V15446" s="1435">
        <v>48</v>
      </c>
    </row>
    <row r="15447" spans="1:29" ht="15" customHeight="1" x14ac:dyDescent="0.25">
      <c r="A15447" s="744" t="s">
        <v>194</v>
      </c>
      <c r="B15447" s="841"/>
      <c r="C15447" s="841"/>
      <c r="D15447" s="841"/>
      <c r="E15447" s="1690" t="s">
        <v>6718</v>
      </c>
      <c r="F15447" s="1690"/>
      <c r="G15447" s="1427" t="s">
        <v>24</v>
      </c>
      <c r="H15447" s="393">
        <v>3.2000000000000002E-3</v>
      </c>
      <c r="I15447" s="841"/>
      <c r="J15447" s="841"/>
      <c r="K15447" s="744" t="s">
        <v>3417</v>
      </c>
      <c r="L15447" s="744" t="s">
        <v>3046</v>
      </c>
      <c r="M15447" s="1436"/>
      <c r="N15447" s="841"/>
      <c r="O15447" s="841"/>
      <c r="P15447" s="744" t="s">
        <v>3426</v>
      </c>
      <c r="Q15447" s="841"/>
      <c r="R15447" s="841"/>
      <c r="S15447" s="841"/>
      <c r="T15447" s="841"/>
      <c r="U15447" s="841"/>
      <c r="V15447" s="1435">
        <v>55</v>
      </c>
    </row>
    <row r="15448" spans="1:29" ht="15" customHeight="1" x14ac:dyDescent="0.25">
      <c r="A15448" s="744" t="s">
        <v>194</v>
      </c>
      <c r="B15448" s="841"/>
      <c r="C15448" s="841"/>
      <c r="D15448" s="841"/>
      <c r="E15448" s="1690" t="s">
        <v>3211</v>
      </c>
      <c r="F15448" s="1690"/>
      <c r="G15448" s="1427" t="s">
        <v>24</v>
      </c>
      <c r="H15448" s="393">
        <v>4.0000000000000002E-4</v>
      </c>
      <c r="I15448" s="841"/>
      <c r="J15448" s="841"/>
      <c r="K15448" s="744" t="s">
        <v>3417</v>
      </c>
      <c r="L15448" s="744" t="s">
        <v>3046</v>
      </c>
      <c r="M15448" s="1436"/>
      <c r="N15448" s="841"/>
      <c r="O15448" s="841"/>
      <c r="P15448" s="744" t="s">
        <v>3426</v>
      </c>
      <c r="Q15448" s="841"/>
      <c r="R15448" s="841"/>
      <c r="S15448" s="841"/>
      <c r="T15448" s="841"/>
      <c r="U15448" s="841"/>
      <c r="V15448" s="1435">
        <v>65</v>
      </c>
    </row>
    <row r="15449" spans="1:29" ht="15" customHeight="1" x14ac:dyDescent="0.25">
      <c r="A15449" s="744" t="s">
        <v>194</v>
      </c>
      <c r="B15449" s="841"/>
      <c r="C15449" s="841"/>
      <c r="D15449" s="841"/>
      <c r="E15449" s="1690" t="s">
        <v>439</v>
      </c>
      <c r="F15449" s="1690"/>
      <c r="G15449" s="1427" t="s">
        <v>24</v>
      </c>
      <c r="H15449" s="393">
        <v>2.0999999999999999E-3</v>
      </c>
      <c r="I15449" s="841"/>
      <c r="J15449" s="841"/>
      <c r="K15449" s="744" t="s">
        <v>3417</v>
      </c>
      <c r="L15449" s="744" t="s">
        <v>3046</v>
      </c>
      <c r="M15449" s="1436"/>
      <c r="N15449" s="841"/>
      <c r="O15449" s="841"/>
      <c r="P15449" s="744" t="s">
        <v>3427</v>
      </c>
      <c r="Q15449" s="841"/>
      <c r="R15449" s="841"/>
      <c r="S15449" s="841"/>
      <c r="T15449" s="841"/>
      <c r="U15449" s="841"/>
      <c r="V15449" s="1435">
        <v>57</v>
      </c>
    </row>
    <row r="15450" spans="1:29" ht="15" customHeight="1" x14ac:dyDescent="0.25">
      <c r="A15450" s="744" t="s">
        <v>194</v>
      </c>
      <c r="B15450" s="841"/>
      <c r="C15450" s="841"/>
      <c r="D15450" s="841"/>
      <c r="E15450" s="1690" t="s">
        <v>32</v>
      </c>
      <c r="F15450" s="1690"/>
      <c r="G15450" s="1427" t="s">
        <v>23</v>
      </c>
      <c r="H15450" s="391">
        <v>0.25</v>
      </c>
      <c r="I15450" s="841"/>
      <c r="J15450" s="841"/>
      <c r="K15450" s="744" t="s">
        <v>3417</v>
      </c>
      <c r="L15450" s="744" t="s">
        <v>3046</v>
      </c>
      <c r="M15450" s="1436"/>
      <c r="N15450" s="841"/>
      <c r="O15450" s="841"/>
      <c r="P15450" s="744" t="s">
        <v>3428</v>
      </c>
      <c r="Q15450" s="841"/>
      <c r="R15450" s="841"/>
      <c r="S15450" s="841"/>
      <c r="T15450" s="841"/>
      <c r="U15450" s="841"/>
      <c r="V15450" s="1435">
        <v>63</v>
      </c>
      <c r="W15450" s="841"/>
      <c r="X15450" s="841"/>
      <c r="Y15450" s="841"/>
      <c r="Z15450" s="841"/>
      <c r="AA15450" s="841"/>
      <c r="AB15450" s="841"/>
      <c r="AC15450" s="841"/>
    </row>
    <row r="15451" spans="1:29" ht="18" customHeight="1" x14ac:dyDescent="0.25">
      <c r="A15451" s="744" t="s">
        <v>194</v>
      </c>
      <c r="B15451" s="841"/>
      <c r="C15451" s="841"/>
      <c r="D15451" s="841"/>
      <c r="E15451" s="1909" t="s">
        <v>618</v>
      </c>
      <c r="F15451" s="1915"/>
      <c r="G15451" s="1915"/>
      <c r="H15451" s="1915"/>
      <c r="I15451" s="841"/>
      <c r="J15451" s="841"/>
      <c r="K15451" s="744" t="s">
        <v>3371</v>
      </c>
      <c r="L15451" s="841"/>
      <c r="M15451" s="1436"/>
      <c r="N15451" s="841"/>
      <c r="O15451" s="841"/>
      <c r="P15451" s="841"/>
      <c r="Q15451" s="841"/>
      <c r="R15451" s="841"/>
      <c r="S15451" s="841"/>
      <c r="T15451" s="841"/>
      <c r="U15451" s="841"/>
      <c r="V15451" s="1435">
        <v>31</v>
      </c>
      <c r="W15451" s="841"/>
      <c r="X15451" s="841"/>
      <c r="Y15451" s="841"/>
      <c r="Z15451" s="841"/>
      <c r="AA15451" s="841"/>
      <c r="AB15451" s="841"/>
      <c r="AC15451" s="744">
        <v>3</v>
      </c>
    </row>
    <row r="15452" spans="1:29" ht="15" customHeight="1" x14ac:dyDescent="0.25">
      <c r="A15452" s="744" t="s">
        <v>194</v>
      </c>
      <c r="B15452" s="841"/>
      <c r="C15452" s="841"/>
      <c r="D15452" s="841"/>
      <c r="E15452" s="1689" t="s">
        <v>4309</v>
      </c>
      <c r="F15452" s="1689"/>
      <c r="G15452" s="1689"/>
      <c r="H15452" s="1689"/>
      <c r="I15452" s="841"/>
      <c r="J15452" s="841"/>
      <c r="K15452" s="744" t="s">
        <v>3371</v>
      </c>
      <c r="L15452" s="841"/>
      <c r="M15452" s="1436"/>
      <c r="N15452" s="841"/>
      <c r="O15452" s="841"/>
      <c r="P15452" s="841"/>
      <c r="Q15452" s="841"/>
      <c r="R15452" s="841"/>
      <c r="S15452" s="841"/>
      <c r="T15452" s="841"/>
      <c r="U15452" s="841"/>
      <c r="V15452" s="1435">
        <v>284</v>
      </c>
      <c r="W15452" s="841"/>
      <c r="X15452" s="841"/>
      <c r="Y15452" s="841"/>
      <c r="Z15452" s="841"/>
      <c r="AA15452" s="841"/>
      <c r="AB15452" s="841"/>
      <c r="AC15452" s="841"/>
    </row>
    <row r="15453" spans="1:29" ht="15" x14ac:dyDescent="0.25">
      <c r="A15453" s="744" t="s">
        <v>194</v>
      </c>
      <c r="B15453" s="841"/>
      <c r="C15453" s="841"/>
      <c r="D15453" s="841"/>
      <c r="E15453" s="1916" t="s">
        <v>3061</v>
      </c>
      <c r="F15453" s="1697"/>
      <c r="G15453" s="1697"/>
      <c r="H15453" s="1697"/>
      <c r="I15453" s="841"/>
      <c r="J15453" s="841"/>
      <c r="K15453" s="744" t="s">
        <v>3114</v>
      </c>
      <c r="L15453" s="841"/>
      <c r="M15453" s="1436"/>
      <c r="N15453" s="841"/>
      <c r="O15453" s="841"/>
      <c r="P15453" s="841"/>
      <c r="Q15453" s="841"/>
      <c r="R15453" s="841"/>
      <c r="S15453" s="841"/>
      <c r="T15453" s="841"/>
      <c r="U15453" s="841"/>
      <c r="V15453" s="1435">
        <v>11</v>
      </c>
      <c r="W15453" s="841"/>
      <c r="X15453" s="841"/>
      <c r="Y15453" s="841"/>
      <c r="Z15453" s="841"/>
      <c r="AA15453" s="841"/>
      <c r="AB15453" s="841"/>
      <c r="AC15453" s="841"/>
    </row>
    <row r="15454" spans="1:29" ht="15" customHeight="1" x14ac:dyDescent="0.25">
      <c r="A15454" s="744" t="s">
        <v>194</v>
      </c>
      <c r="B15454" s="841"/>
      <c r="C15454" s="841"/>
      <c r="D15454" s="841"/>
      <c r="E15454" s="1689" t="s">
        <v>3063</v>
      </c>
      <c r="F15454" s="1689"/>
      <c r="G15454" s="1689"/>
      <c r="H15454" s="1689"/>
      <c r="I15454" s="841"/>
      <c r="J15454" s="841"/>
      <c r="K15454" s="744" t="s">
        <v>3371</v>
      </c>
      <c r="L15454" s="841"/>
      <c r="M15454" s="1436"/>
      <c r="N15454" s="841"/>
      <c r="O15454" s="841"/>
      <c r="P15454" s="841"/>
      <c r="Q15454" s="841"/>
      <c r="R15454" s="841"/>
      <c r="S15454" s="841"/>
      <c r="T15454" s="841"/>
      <c r="U15454" s="841"/>
      <c r="V15454" s="1435">
        <v>280</v>
      </c>
      <c r="W15454" s="841"/>
      <c r="X15454" s="841"/>
      <c r="Y15454" s="841"/>
      <c r="Z15454" s="841"/>
      <c r="AA15454" s="841"/>
      <c r="AB15454" s="841"/>
      <c r="AC15454" s="841"/>
    </row>
    <row r="15455" spans="1:29" ht="15" customHeight="1" x14ac:dyDescent="0.25">
      <c r="A15455" s="744" t="s">
        <v>194</v>
      </c>
      <c r="B15455" s="841"/>
      <c r="C15455" s="841"/>
      <c r="D15455" s="841"/>
      <c r="E15455" s="1689" t="s">
        <v>3064</v>
      </c>
      <c r="F15455" s="1689"/>
      <c r="G15455" s="1689"/>
      <c r="H15455" s="1689"/>
      <c r="I15455" s="841"/>
      <c r="J15455" s="841"/>
      <c r="K15455" s="744" t="s">
        <v>3371</v>
      </c>
      <c r="L15455" s="841"/>
      <c r="M15455" s="1436"/>
      <c r="N15455" s="841"/>
      <c r="O15455" s="841"/>
      <c r="P15455" s="841"/>
      <c r="Q15455" s="841"/>
      <c r="R15455" s="841"/>
      <c r="S15455" s="841"/>
      <c r="T15455" s="841"/>
      <c r="U15455" s="841"/>
      <c r="V15455" s="1435">
        <v>411</v>
      </c>
      <c r="W15455" s="841"/>
      <c r="X15455" s="841"/>
      <c r="Y15455" s="841"/>
      <c r="Z15455" s="841"/>
      <c r="AA15455" s="841"/>
      <c r="AB15455" s="841"/>
      <c r="AC15455" s="841"/>
    </row>
    <row r="15456" spans="1:29" ht="15" customHeight="1" x14ac:dyDescent="0.25">
      <c r="A15456" s="744" t="s">
        <v>194</v>
      </c>
      <c r="B15456" s="841"/>
      <c r="C15456" s="841"/>
      <c r="D15456" s="841"/>
      <c r="E15456" s="1689" t="s">
        <v>3129</v>
      </c>
      <c r="F15456" s="1689"/>
      <c r="G15456" s="1689"/>
      <c r="H15456" s="1689"/>
      <c r="I15456" s="841"/>
      <c r="J15456" s="841"/>
      <c r="K15456" s="744" t="s">
        <v>3371</v>
      </c>
      <c r="L15456" s="841"/>
      <c r="M15456" s="1436"/>
      <c r="N15456" s="841"/>
      <c r="O15456" s="841"/>
      <c r="P15456" s="841"/>
      <c r="Q15456" s="841"/>
      <c r="R15456" s="841"/>
      <c r="S15456" s="841"/>
      <c r="T15456" s="841"/>
      <c r="U15456" s="841"/>
      <c r="V15456" s="1435">
        <v>211</v>
      </c>
      <c r="W15456" s="841"/>
      <c r="X15456" s="841"/>
      <c r="Y15456" s="841"/>
      <c r="Z15456" s="841"/>
      <c r="AA15456" s="841"/>
      <c r="AB15456" s="841"/>
      <c r="AC15456" s="841"/>
    </row>
    <row r="15457" spans="1:29" ht="15" customHeight="1" x14ac:dyDescent="0.25">
      <c r="A15457" s="744" t="s">
        <v>194</v>
      </c>
      <c r="B15457" s="841"/>
      <c r="C15457" s="841"/>
      <c r="D15457" s="841"/>
      <c r="E15457" s="1689" t="s">
        <v>3200</v>
      </c>
      <c r="F15457" s="1689"/>
      <c r="G15457" s="1689"/>
      <c r="H15457" s="1689"/>
      <c r="I15457" s="841"/>
      <c r="J15457" s="841"/>
      <c r="K15457" s="744" t="s">
        <v>3371</v>
      </c>
      <c r="L15457" s="841"/>
      <c r="M15457" s="1436"/>
      <c r="N15457" s="841"/>
      <c r="O15457" s="841"/>
      <c r="P15457" s="841"/>
      <c r="Q15457" s="841"/>
      <c r="R15457" s="841"/>
      <c r="S15457" s="841"/>
      <c r="T15457" s="841"/>
      <c r="U15457" s="841"/>
      <c r="V15457" s="1435">
        <v>275</v>
      </c>
      <c r="W15457" s="841"/>
      <c r="X15457" s="841"/>
      <c r="Y15457" s="841"/>
      <c r="Z15457" s="841"/>
      <c r="AA15457" s="841"/>
      <c r="AB15457" s="841"/>
      <c r="AC15457" s="841"/>
    </row>
    <row r="15458" spans="1:29" ht="15" customHeight="1" x14ac:dyDescent="0.25">
      <c r="A15458" s="744" t="s">
        <v>194</v>
      </c>
      <c r="B15458" s="841"/>
      <c r="C15458" s="841"/>
      <c r="D15458" s="841"/>
      <c r="E15458" s="1694" t="s">
        <v>3067</v>
      </c>
      <c r="F15458" s="1907"/>
      <c r="G15458" s="1907"/>
      <c r="H15458" s="1907"/>
      <c r="I15458" s="841"/>
      <c r="J15458" s="841"/>
      <c r="K15458" s="744" t="s">
        <v>3115</v>
      </c>
      <c r="L15458" s="841"/>
      <c r="M15458" s="1436"/>
      <c r="N15458" s="841"/>
      <c r="O15458" s="841"/>
      <c r="P15458" s="841"/>
      <c r="Q15458" s="841"/>
      <c r="R15458" s="841"/>
      <c r="S15458" s="841"/>
      <c r="T15458" s="841"/>
      <c r="U15458" s="841"/>
      <c r="V15458" s="1435">
        <v>46</v>
      </c>
      <c r="W15458" s="841"/>
      <c r="X15458" s="841"/>
      <c r="Y15458" s="841"/>
      <c r="Z15458" s="841"/>
      <c r="AA15458" s="841"/>
      <c r="AB15458" s="841"/>
      <c r="AC15458" s="841"/>
    </row>
    <row r="15459" spans="1:29" ht="15" x14ac:dyDescent="0.25">
      <c r="A15459" s="744" t="s">
        <v>194</v>
      </c>
      <c r="B15459" s="841"/>
      <c r="C15459" s="841"/>
      <c r="D15459" s="841"/>
      <c r="E15459" s="1690" t="s">
        <v>11</v>
      </c>
      <c r="F15459" s="1690"/>
      <c r="G15459" s="1427" t="s">
        <v>23</v>
      </c>
      <c r="H15459" s="391">
        <v>5.4</v>
      </c>
      <c r="I15459" s="841"/>
      <c r="J15459" s="841"/>
      <c r="K15459" s="744" t="s">
        <v>3371</v>
      </c>
      <c r="L15459" s="744" t="s">
        <v>442</v>
      </c>
      <c r="M15459" s="1436"/>
      <c r="N15459" s="841"/>
      <c r="O15459" s="841"/>
      <c r="P15459" s="744" t="s">
        <v>3373</v>
      </c>
      <c r="Q15459" s="841"/>
      <c r="R15459" s="841"/>
      <c r="S15459" s="841"/>
      <c r="T15459" s="841"/>
      <c r="U15459" s="841"/>
      <c r="V15459" s="1435">
        <v>14</v>
      </c>
      <c r="W15459" s="841"/>
      <c r="X15459" s="841"/>
      <c r="Y15459" s="841"/>
      <c r="Z15459" s="841"/>
      <c r="AA15459" s="841"/>
      <c r="AB15459" s="841"/>
      <c r="AC15459" s="841"/>
    </row>
    <row r="15460" spans="1:29" ht="18.75" x14ac:dyDescent="0.3">
      <c r="A15460" s="744" t="s">
        <v>194</v>
      </c>
      <c r="B15460" s="841"/>
      <c r="C15460" s="841"/>
      <c r="D15460" s="841"/>
      <c r="E15460" s="1425" t="s">
        <v>85</v>
      </c>
      <c r="F15460" s="657"/>
      <c r="G15460" s="657"/>
      <c r="H15460" s="658"/>
      <c r="I15460" s="841"/>
      <c r="J15460" s="841"/>
      <c r="K15460" s="744" t="s">
        <v>6841</v>
      </c>
      <c r="L15460" s="841"/>
      <c r="M15460" s="1436"/>
      <c r="N15460" s="841"/>
      <c r="O15460" s="841"/>
      <c r="P15460" s="841"/>
      <c r="Q15460" s="841"/>
      <c r="R15460" s="841"/>
      <c r="S15460" s="841"/>
      <c r="T15460" s="841"/>
      <c r="U15460" s="841"/>
      <c r="V15460" s="1435">
        <v>10</v>
      </c>
      <c r="W15460" s="841"/>
      <c r="X15460" s="841"/>
      <c r="Y15460" s="841"/>
      <c r="Z15460" s="841"/>
      <c r="AA15460" s="841"/>
      <c r="AB15460" s="841"/>
      <c r="AC15460" s="841"/>
    </row>
    <row r="15461" spans="1:29" ht="15" customHeight="1" x14ac:dyDescent="0.25">
      <c r="A15461" s="744" t="s">
        <v>194</v>
      </c>
      <c r="B15461" s="841"/>
      <c r="C15461" s="841"/>
      <c r="D15461" s="841"/>
      <c r="E15461" s="1690" t="s">
        <v>3133</v>
      </c>
      <c r="F15461" s="1690"/>
      <c r="G15461" s="1427" t="s">
        <v>33</v>
      </c>
      <c r="H15461" s="393">
        <v>-0.37409999999999999</v>
      </c>
      <c r="I15461" s="1431"/>
      <c r="J15461" s="841"/>
      <c r="K15461" s="841"/>
      <c r="L15461" s="841"/>
      <c r="M15461" s="1436"/>
      <c r="N15461" s="841"/>
      <c r="O15461" s="841"/>
      <c r="P15461" s="841"/>
      <c r="Q15461" s="841"/>
      <c r="R15461" s="841"/>
      <c r="S15461" s="841"/>
      <c r="T15461" s="841"/>
      <c r="U15461" s="841"/>
      <c r="V15461" s="1435">
        <v>68</v>
      </c>
      <c r="W15461" s="841"/>
      <c r="X15461" s="841"/>
      <c r="Y15461" s="841"/>
      <c r="Z15461" s="841"/>
      <c r="AA15461" s="841"/>
      <c r="AB15461" s="841"/>
      <c r="AC15461" s="841"/>
    </row>
    <row r="15462" spans="1:29" ht="15" customHeight="1" x14ac:dyDescent="0.25">
      <c r="A15462" s="744" t="s">
        <v>194</v>
      </c>
      <c r="B15462" s="841"/>
      <c r="C15462" s="841"/>
      <c r="D15462" s="841"/>
      <c r="E15462" s="1690" t="s">
        <v>3134</v>
      </c>
      <c r="F15462" s="1690"/>
      <c r="G15462" s="1427" t="s">
        <v>86</v>
      </c>
      <c r="H15462" s="391">
        <v>-1</v>
      </c>
      <c r="I15462" s="841"/>
      <c r="J15462" s="841"/>
      <c r="K15462" s="841"/>
      <c r="L15462" s="744" t="s">
        <v>3046</v>
      </c>
      <c r="M15462" s="1436"/>
      <c r="N15462" s="841"/>
      <c r="O15462" s="841"/>
      <c r="P15462" s="841"/>
      <c r="Q15462" s="841"/>
      <c r="R15462" s="841"/>
      <c r="S15462" s="841"/>
      <c r="T15462" s="841"/>
      <c r="U15462" s="841"/>
      <c r="V15462" s="1435">
        <v>89</v>
      </c>
      <c r="W15462" s="841"/>
      <c r="X15462" s="841"/>
      <c r="Y15462" s="841"/>
      <c r="Z15462" s="841"/>
      <c r="AA15462" s="841"/>
      <c r="AB15462" s="841"/>
      <c r="AC15462" s="841"/>
    </row>
    <row r="15463" spans="1:29" ht="36.75" x14ac:dyDescent="0.3">
      <c r="A15463" s="744" t="s">
        <v>194</v>
      </c>
      <c r="B15463" s="841"/>
      <c r="C15463" s="841"/>
      <c r="D15463" s="841"/>
      <c r="E15463" s="1425" t="s">
        <v>87</v>
      </c>
      <c r="F15463" s="657"/>
      <c r="G15463" s="657"/>
      <c r="H15463" s="658"/>
      <c r="I15463" s="841"/>
      <c r="J15463" s="841"/>
      <c r="K15463" s="744" t="s">
        <v>6842</v>
      </c>
      <c r="L15463" s="841"/>
      <c r="M15463" s="1436"/>
      <c r="N15463" s="841"/>
      <c r="O15463" s="841"/>
      <c r="P15463" s="841"/>
      <c r="Q15463" s="841"/>
      <c r="R15463" s="841"/>
      <c r="S15463" s="841"/>
      <c r="T15463" s="841"/>
      <c r="U15463" s="841"/>
      <c r="V15463" s="1435">
        <v>24</v>
      </c>
      <c r="W15463" s="841"/>
      <c r="X15463" s="841"/>
      <c r="Y15463" s="841"/>
      <c r="Z15463" s="841"/>
      <c r="AA15463" s="841"/>
      <c r="AB15463" s="841"/>
      <c r="AC15463" s="841"/>
    </row>
    <row r="15464" spans="1:29" ht="15" customHeight="1" x14ac:dyDescent="0.25">
      <c r="A15464" s="744" t="s">
        <v>194</v>
      </c>
      <c r="B15464" s="841"/>
      <c r="C15464" s="841"/>
      <c r="D15464" s="841"/>
      <c r="E15464" s="1689" t="s">
        <v>3063</v>
      </c>
      <c r="F15464" s="1689"/>
      <c r="G15464" s="1689"/>
      <c r="H15464" s="1689"/>
      <c r="I15464" s="841"/>
      <c r="J15464" s="841"/>
      <c r="K15464" s="841"/>
      <c r="L15464" s="841"/>
      <c r="M15464" s="1436"/>
      <c r="N15464" s="841"/>
      <c r="O15464" s="841"/>
      <c r="P15464" s="841"/>
      <c r="Q15464" s="841"/>
      <c r="R15464" s="841"/>
      <c r="S15464" s="841"/>
      <c r="T15464" s="841"/>
      <c r="U15464" s="841"/>
      <c r="V15464" s="1435">
        <v>280</v>
      </c>
      <c r="W15464" s="841"/>
      <c r="X15464" s="841"/>
      <c r="Y15464" s="841"/>
      <c r="Z15464" s="841"/>
      <c r="AA15464" s="841"/>
      <c r="AB15464" s="841"/>
      <c r="AC15464" s="841"/>
    </row>
    <row r="15465" spans="1:29" ht="15" customHeight="1" x14ac:dyDescent="0.25">
      <c r="A15465" s="744" t="s">
        <v>194</v>
      </c>
      <c r="B15465" s="841"/>
      <c r="C15465" s="841"/>
      <c r="D15465" s="841"/>
      <c r="E15465" s="1689" t="s">
        <v>3136</v>
      </c>
      <c r="F15465" s="1689"/>
      <c r="G15465" s="1689"/>
      <c r="H15465" s="1689"/>
      <c r="I15465" s="841"/>
      <c r="J15465" s="841"/>
      <c r="K15465" s="841"/>
      <c r="L15465" s="841"/>
      <c r="M15465" s="1436"/>
      <c r="N15465" s="841"/>
      <c r="O15465" s="841"/>
      <c r="P15465" s="841"/>
      <c r="Q15465" s="841"/>
      <c r="R15465" s="841"/>
      <c r="S15465" s="841"/>
      <c r="T15465" s="841"/>
      <c r="U15465" s="841"/>
      <c r="V15465" s="1435">
        <v>353</v>
      </c>
      <c r="W15465" s="841"/>
      <c r="X15465" s="841"/>
      <c r="Y15465" s="841"/>
      <c r="Z15465" s="841"/>
      <c r="AA15465" s="841"/>
      <c r="AB15465" s="841"/>
      <c r="AC15465" s="841"/>
    </row>
    <row r="15466" spans="1:29" ht="15" customHeight="1" x14ac:dyDescent="0.25">
      <c r="A15466" s="744" t="s">
        <v>194</v>
      </c>
      <c r="B15466" s="841"/>
      <c r="C15466" s="841"/>
      <c r="D15466" s="841"/>
      <c r="E15466" s="1689" t="s">
        <v>3200</v>
      </c>
      <c r="F15466" s="1689"/>
      <c r="G15466" s="1689"/>
      <c r="H15466" s="1689"/>
      <c r="I15466" s="841"/>
      <c r="J15466" s="841"/>
      <c r="K15466" s="841"/>
      <c r="L15466" s="841"/>
      <c r="M15466" s="1436"/>
      <c r="N15466" s="841"/>
      <c r="O15466" s="841"/>
      <c r="P15466" s="841"/>
      <c r="Q15466" s="841"/>
      <c r="R15466" s="841"/>
      <c r="S15466" s="841"/>
      <c r="T15466" s="841"/>
      <c r="U15466" s="841"/>
      <c r="V15466" s="1435">
        <v>275</v>
      </c>
    </row>
    <row r="15467" spans="1:29" ht="15" x14ac:dyDescent="0.25">
      <c r="A15467" s="744" t="s">
        <v>194</v>
      </c>
      <c r="B15467" s="841"/>
      <c r="C15467" s="841"/>
      <c r="D15467" s="841"/>
      <c r="E15467" s="1424" t="s">
        <v>3137</v>
      </c>
      <c r="F15467" s="3"/>
      <c r="G15467" s="3"/>
      <c r="H15467" s="398"/>
      <c r="I15467" s="841"/>
      <c r="J15467" s="841"/>
      <c r="K15467" s="744" t="s">
        <v>6843</v>
      </c>
      <c r="L15467" s="841"/>
      <c r="M15467" s="1436"/>
      <c r="N15467" s="841"/>
      <c r="O15467" s="841"/>
      <c r="P15467" s="841"/>
      <c r="Q15467" s="841"/>
      <c r="R15467" s="841"/>
      <c r="S15467" s="841"/>
      <c r="T15467" s="841"/>
      <c r="U15467" s="841"/>
      <c r="V15467" s="1435">
        <v>23</v>
      </c>
    </row>
    <row r="15468" spans="1:29" ht="15" x14ac:dyDescent="0.25">
      <c r="A15468" s="744" t="s">
        <v>194</v>
      </c>
      <c r="B15468" s="841"/>
      <c r="C15468" s="841"/>
      <c r="D15468" s="841"/>
      <c r="E15468" s="1688" t="s">
        <v>3140</v>
      </c>
      <c r="F15468" s="1688"/>
      <c r="G15468" s="1427" t="s">
        <v>23</v>
      </c>
      <c r="H15468" s="391">
        <v>15</v>
      </c>
      <c r="I15468" s="841"/>
      <c r="J15468" s="841"/>
      <c r="K15468" s="841"/>
      <c r="L15468" s="841"/>
      <c r="M15468" s="1436"/>
      <c r="N15468" s="841"/>
      <c r="O15468" s="841"/>
      <c r="P15468" s="841"/>
      <c r="Q15468" s="841"/>
      <c r="R15468" s="841"/>
      <c r="S15468" s="841"/>
      <c r="T15468" s="841"/>
      <c r="U15468" s="841"/>
      <c r="V15468" s="1435">
        <v>20</v>
      </c>
    </row>
    <row r="15469" spans="1:29" ht="15" x14ac:dyDescent="0.25">
      <c r="A15469" s="744" t="s">
        <v>194</v>
      </c>
      <c r="B15469" s="841"/>
      <c r="C15469" s="841"/>
      <c r="D15469" s="841"/>
      <c r="E15469" s="1688" t="s">
        <v>3142</v>
      </c>
      <c r="F15469" s="1688"/>
      <c r="G15469" s="1427" t="s">
        <v>23</v>
      </c>
      <c r="H15469" s="391">
        <v>15</v>
      </c>
      <c r="I15469" s="841"/>
      <c r="J15469" s="841"/>
      <c r="K15469" s="841"/>
      <c r="L15469" s="841"/>
      <c r="M15469" s="1436"/>
      <c r="N15469" s="841"/>
      <c r="O15469" s="841"/>
      <c r="P15469" s="841"/>
      <c r="Q15469" s="841"/>
      <c r="R15469" s="841"/>
      <c r="S15469" s="841"/>
      <c r="T15469" s="841"/>
      <c r="U15469" s="841"/>
      <c r="V15469" s="1435">
        <v>39</v>
      </c>
    </row>
    <row r="15470" spans="1:29" ht="15" x14ac:dyDescent="0.25">
      <c r="A15470" s="744" t="s">
        <v>194</v>
      </c>
      <c r="B15470" s="841"/>
      <c r="C15470" s="841"/>
      <c r="D15470" s="841"/>
      <c r="E15470" s="1688" t="s">
        <v>3144</v>
      </c>
      <c r="F15470" s="1688"/>
      <c r="G15470" s="1427" t="s">
        <v>23</v>
      </c>
      <c r="H15470" s="391">
        <v>15</v>
      </c>
      <c r="I15470" s="841"/>
      <c r="J15470" s="841"/>
      <c r="K15470" s="841"/>
      <c r="L15470" s="841"/>
      <c r="M15470" s="1436"/>
      <c r="N15470" s="841"/>
      <c r="O15470" s="841"/>
      <c r="P15470" s="841"/>
      <c r="Q15470" s="841"/>
      <c r="R15470" s="841"/>
      <c r="S15470" s="841"/>
      <c r="T15470" s="841"/>
      <c r="U15470" s="841"/>
      <c r="V15470" s="1435">
        <v>15</v>
      </c>
    </row>
    <row r="15471" spans="1:29" ht="15" x14ac:dyDescent="0.25">
      <c r="A15471" s="744" t="s">
        <v>194</v>
      </c>
      <c r="B15471" s="841"/>
      <c r="C15471" s="841"/>
      <c r="D15471" s="841"/>
      <c r="E15471" s="1688" t="s">
        <v>3145</v>
      </c>
      <c r="F15471" s="1688"/>
      <c r="G15471" s="1427" t="s">
        <v>23</v>
      </c>
      <c r="H15471" s="391">
        <v>15</v>
      </c>
      <c r="I15471" s="841"/>
      <c r="J15471" s="841"/>
      <c r="K15471" s="841"/>
      <c r="L15471" s="841"/>
      <c r="M15471" s="1436"/>
      <c r="N15471" s="841"/>
      <c r="O15471" s="841"/>
      <c r="P15471" s="841"/>
      <c r="Q15471" s="841"/>
      <c r="R15471" s="841"/>
      <c r="S15471" s="841"/>
      <c r="T15471" s="841"/>
      <c r="U15471" s="841"/>
      <c r="V15471" s="1435">
        <v>17</v>
      </c>
    </row>
    <row r="15472" spans="1:29" ht="15" customHeight="1" x14ac:dyDescent="0.25">
      <c r="A15472" s="744" t="s">
        <v>194</v>
      </c>
      <c r="B15472" s="841"/>
      <c r="C15472" s="841"/>
      <c r="D15472" s="841"/>
      <c r="E15472" s="1688" t="s">
        <v>3148</v>
      </c>
      <c r="F15472" s="1688"/>
      <c r="G15472" s="1427" t="s">
        <v>23</v>
      </c>
      <c r="H15472" s="391">
        <v>15</v>
      </c>
      <c r="I15472" s="841"/>
      <c r="J15472" s="841"/>
      <c r="K15472" s="841"/>
      <c r="L15472" s="841"/>
      <c r="M15472" s="1436"/>
      <c r="N15472" s="841"/>
      <c r="O15472" s="841"/>
      <c r="P15472" s="841"/>
      <c r="Q15472" s="841"/>
      <c r="R15472" s="841"/>
      <c r="S15472" s="841"/>
      <c r="T15472" s="841"/>
      <c r="U15472" s="841"/>
      <c r="V15472" s="1435">
        <v>56</v>
      </c>
    </row>
    <row r="15473" spans="1:22" ht="15" x14ac:dyDescent="0.25">
      <c r="A15473" s="744" t="s">
        <v>194</v>
      </c>
      <c r="B15473" s="841"/>
      <c r="C15473" s="841"/>
      <c r="D15473" s="841"/>
      <c r="E15473" s="1688" t="s">
        <v>3149</v>
      </c>
      <c r="F15473" s="1688"/>
      <c r="G15473" s="1427" t="s">
        <v>23</v>
      </c>
      <c r="H15473" s="391">
        <v>15</v>
      </c>
      <c r="I15473" s="841"/>
      <c r="J15473" s="841"/>
      <c r="K15473" s="841"/>
      <c r="L15473" s="841"/>
      <c r="M15473" s="1436"/>
      <c r="N15473" s="841"/>
      <c r="O15473" s="841"/>
      <c r="P15473" s="841"/>
      <c r="Q15473" s="841"/>
      <c r="R15473" s="841"/>
      <c r="S15473" s="841"/>
      <c r="T15473" s="841"/>
      <c r="U15473" s="841"/>
      <c r="V15473" s="1435">
        <v>35</v>
      </c>
    </row>
    <row r="15474" spans="1:22" ht="15" x14ac:dyDescent="0.25">
      <c r="A15474" s="744" t="s">
        <v>194</v>
      </c>
      <c r="B15474" s="841"/>
      <c r="C15474" s="841"/>
      <c r="D15474" s="841"/>
      <c r="E15474" s="1688" t="s">
        <v>3150</v>
      </c>
      <c r="F15474" s="1688"/>
      <c r="G15474" s="1427" t="s">
        <v>23</v>
      </c>
      <c r="H15474" s="391">
        <v>15</v>
      </c>
      <c r="I15474" s="841"/>
      <c r="J15474" s="841"/>
      <c r="K15474" s="841"/>
      <c r="L15474" s="841"/>
      <c r="M15474" s="1436"/>
      <c r="N15474" s="841"/>
      <c r="O15474" s="841"/>
      <c r="P15474" s="841"/>
      <c r="Q15474" s="841"/>
      <c r="R15474" s="841"/>
      <c r="S15474" s="841"/>
      <c r="T15474" s="841"/>
      <c r="U15474" s="841"/>
      <c r="V15474" s="1435">
        <v>24</v>
      </c>
    </row>
    <row r="15475" spans="1:22" ht="15" customHeight="1" x14ac:dyDescent="0.25">
      <c r="A15475" s="744" t="s">
        <v>194</v>
      </c>
      <c r="B15475" s="841"/>
      <c r="C15475" s="841"/>
      <c r="D15475" s="841"/>
      <c r="E15475" s="1688" t="s">
        <v>88</v>
      </c>
      <c r="F15475" s="1688"/>
      <c r="G15475" s="1427" t="s">
        <v>23</v>
      </c>
      <c r="H15475" s="391">
        <v>30</v>
      </c>
      <c r="I15475" s="841"/>
      <c r="J15475" s="841"/>
      <c r="K15475" s="841"/>
      <c r="L15475" s="841"/>
      <c r="M15475" s="1436"/>
      <c r="N15475" s="841"/>
      <c r="O15475" s="841"/>
      <c r="P15475" s="841"/>
      <c r="Q15475" s="841"/>
      <c r="R15475" s="841"/>
      <c r="S15475" s="841"/>
      <c r="T15475" s="841"/>
      <c r="U15475" s="841"/>
      <c r="V15475" s="1435">
        <v>89</v>
      </c>
    </row>
    <row r="15476" spans="1:22" ht="15" customHeight="1" x14ac:dyDescent="0.25">
      <c r="A15476" s="744" t="s">
        <v>194</v>
      </c>
      <c r="B15476" s="841"/>
      <c r="C15476" s="841"/>
      <c r="D15476" s="841"/>
      <c r="E15476" s="1688" t="s">
        <v>92</v>
      </c>
      <c r="F15476" s="1688"/>
      <c r="G15476" s="1427" t="s">
        <v>23</v>
      </c>
      <c r="H15476" s="391">
        <v>30</v>
      </c>
      <c r="I15476" s="841"/>
      <c r="J15476" s="841"/>
      <c r="K15476" s="841"/>
      <c r="L15476" s="841"/>
      <c r="M15476" s="1436"/>
      <c r="N15476" s="841"/>
      <c r="O15476" s="841"/>
      <c r="P15476" s="841"/>
      <c r="Q15476" s="841"/>
      <c r="R15476" s="841"/>
      <c r="S15476" s="841"/>
      <c r="T15476" s="841"/>
      <c r="U15476" s="841"/>
      <c r="V15476" s="1435">
        <v>74</v>
      </c>
    </row>
    <row r="15477" spans="1:22" ht="15" x14ac:dyDescent="0.25">
      <c r="A15477" s="744" t="s">
        <v>194</v>
      </c>
      <c r="B15477" s="841"/>
      <c r="C15477" s="841"/>
      <c r="D15477" s="841"/>
      <c r="E15477" s="1424" t="s">
        <v>3152</v>
      </c>
      <c r="F15477" s="3"/>
      <c r="G15477" s="3"/>
      <c r="H15477" s="398"/>
      <c r="I15477" s="841"/>
      <c r="J15477" s="841"/>
      <c r="K15477" s="744" t="s">
        <v>6844</v>
      </c>
      <c r="L15477" s="841"/>
      <c r="M15477" s="1436"/>
      <c r="N15477" s="841"/>
      <c r="O15477" s="841"/>
      <c r="P15477" s="841"/>
      <c r="Q15477" s="841"/>
      <c r="R15477" s="841"/>
      <c r="S15477" s="841"/>
      <c r="T15477" s="841"/>
      <c r="U15477" s="841"/>
      <c r="V15477" s="1435">
        <v>22</v>
      </c>
    </row>
    <row r="15478" spans="1:22" ht="15" x14ac:dyDescent="0.25">
      <c r="A15478" s="744" t="s">
        <v>194</v>
      </c>
      <c r="B15478" s="841"/>
      <c r="C15478" s="841"/>
      <c r="D15478" s="841"/>
      <c r="E15478" s="1688" t="s">
        <v>3154</v>
      </c>
      <c r="F15478" s="1688"/>
      <c r="G15478" s="1427" t="s">
        <v>86</v>
      </c>
      <c r="H15478" s="391">
        <v>1.5</v>
      </c>
      <c r="I15478" s="841"/>
      <c r="J15478" s="841"/>
      <c r="K15478" s="841"/>
      <c r="L15478" s="841"/>
      <c r="M15478" s="1436"/>
      <c r="N15478" s="841"/>
      <c r="O15478" s="841"/>
      <c r="P15478" s="841"/>
      <c r="Q15478" s="841"/>
      <c r="R15478" s="841"/>
      <c r="S15478" s="841"/>
      <c r="T15478" s="841"/>
      <c r="U15478" s="841"/>
      <c r="V15478" s="1435">
        <v>24</v>
      </c>
    </row>
    <row r="15479" spans="1:22" ht="15" x14ac:dyDescent="0.25">
      <c r="A15479" s="744" t="s">
        <v>194</v>
      </c>
      <c r="B15479" s="841"/>
      <c r="C15479" s="841"/>
      <c r="D15479" s="841"/>
      <c r="E15479" s="1688" t="s">
        <v>3155</v>
      </c>
      <c r="F15479" s="1688"/>
      <c r="G15479" s="1427" t="s">
        <v>86</v>
      </c>
      <c r="H15479" s="391">
        <v>19.559999999999999</v>
      </c>
      <c r="I15479" s="841"/>
      <c r="J15479" s="841"/>
      <c r="K15479" s="841"/>
      <c r="L15479" s="841"/>
      <c r="M15479" s="1436"/>
      <c r="N15479" s="841"/>
      <c r="O15479" s="841"/>
      <c r="P15479" s="841"/>
      <c r="Q15479" s="841"/>
      <c r="R15479" s="841"/>
      <c r="S15479" s="841"/>
      <c r="T15479" s="841"/>
      <c r="U15479" s="841"/>
      <c r="V15479" s="1435">
        <v>24</v>
      </c>
    </row>
    <row r="15480" spans="1:22" ht="15" x14ac:dyDescent="0.25">
      <c r="A15480" s="744" t="s">
        <v>194</v>
      </c>
      <c r="B15480" s="841"/>
      <c r="C15480" s="841"/>
      <c r="D15480" s="841"/>
      <c r="E15480" s="1688" t="s">
        <v>3288</v>
      </c>
      <c r="F15480" s="1688"/>
      <c r="G15480" s="1427" t="s">
        <v>23</v>
      </c>
      <c r="H15480" s="391">
        <v>30</v>
      </c>
      <c r="I15480" s="841"/>
      <c r="J15480" s="841"/>
      <c r="K15480" s="841"/>
      <c r="L15480" s="841"/>
      <c r="M15480" s="1436"/>
      <c r="N15480" s="841"/>
      <c r="O15480" s="841"/>
      <c r="P15480" s="841"/>
      <c r="Q15480" s="841"/>
      <c r="R15480" s="841"/>
      <c r="S15480" s="841"/>
      <c r="T15480" s="841"/>
      <c r="U15480" s="841"/>
      <c r="V15480" s="1435">
        <v>47</v>
      </c>
    </row>
    <row r="15481" spans="1:22" ht="15" customHeight="1" x14ac:dyDescent="0.25">
      <c r="A15481" s="744" t="s">
        <v>194</v>
      </c>
      <c r="B15481" s="841"/>
      <c r="C15481" s="841"/>
      <c r="D15481" s="841"/>
      <c r="E15481" s="1688" t="s">
        <v>3158</v>
      </c>
      <c r="F15481" s="1688"/>
      <c r="G15481" s="1427" t="s">
        <v>23</v>
      </c>
      <c r="H15481" s="391">
        <v>110</v>
      </c>
      <c r="I15481" s="841"/>
      <c r="J15481" s="841"/>
      <c r="K15481" s="841"/>
      <c r="L15481" s="841"/>
      <c r="M15481" s="1436"/>
      <c r="N15481" s="841"/>
      <c r="O15481" s="841"/>
      <c r="P15481" s="841"/>
      <c r="Q15481" s="841"/>
      <c r="R15481" s="841"/>
      <c r="S15481" s="841"/>
      <c r="T15481" s="841"/>
      <c r="U15481" s="841"/>
      <c r="V15481" s="1435">
        <v>52</v>
      </c>
    </row>
    <row r="15482" spans="1:22" ht="15" customHeight="1" x14ac:dyDescent="0.25">
      <c r="A15482" s="744" t="s">
        <v>194</v>
      </c>
      <c r="B15482" s="841"/>
      <c r="C15482" s="841"/>
      <c r="D15482" s="841"/>
      <c r="E15482" s="1688" t="s">
        <v>3159</v>
      </c>
      <c r="F15482" s="1688"/>
      <c r="G15482" s="1427" t="s">
        <v>23</v>
      </c>
      <c r="H15482" s="391">
        <v>245</v>
      </c>
      <c r="I15482" s="841"/>
      <c r="J15482" s="841"/>
      <c r="K15482" s="841"/>
      <c r="L15482" s="841"/>
      <c r="M15482" s="1436"/>
      <c r="N15482" s="841"/>
      <c r="O15482" s="841"/>
      <c r="P15482" s="841"/>
      <c r="Q15482" s="841"/>
      <c r="R15482" s="841"/>
      <c r="S15482" s="841"/>
      <c r="T15482" s="841"/>
      <c r="U15482" s="841"/>
      <c r="V15482" s="1435">
        <v>43</v>
      </c>
    </row>
    <row r="15483" spans="1:22" ht="15" customHeight="1" x14ac:dyDescent="0.25">
      <c r="A15483" s="744" t="s">
        <v>194</v>
      </c>
      <c r="B15483" s="841"/>
      <c r="C15483" s="841"/>
      <c r="D15483" s="841"/>
      <c r="E15483" s="1688" t="s">
        <v>3160</v>
      </c>
      <c r="F15483" s="1688"/>
      <c r="G15483" s="1427" t="s">
        <v>23</v>
      </c>
      <c r="H15483" s="391">
        <v>245</v>
      </c>
      <c r="I15483" s="841"/>
      <c r="J15483" s="841"/>
      <c r="K15483" s="841"/>
      <c r="L15483" s="841"/>
      <c r="M15483" s="1436"/>
      <c r="N15483" s="841"/>
      <c r="O15483" s="841"/>
      <c r="P15483" s="841"/>
      <c r="Q15483" s="841"/>
      <c r="R15483" s="841"/>
      <c r="S15483" s="841"/>
      <c r="T15483" s="841"/>
      <c r="U15483" s="841"/>
      <c r="V15483" s="1435">
        <v>51</v>
      </c>
    </row>
    <row r="15484" spans="1:22" ht="15" customHeight="1" x14ac:dyDescent="0.25">
      <c r="A15484" s="744" t="s">
        <v>194</v>
      </c>
      <c r="B15484" s="841"/>
      <c r="C15484" s="841"/>
      <c r="D15484" s="841"/>
      <c r="E15484" s="1688" t="s">
        <v>3161</v>
      </c>
      <c r="F15484" s="1688"/>
      <c r="G15484" s="1427" t="s">
        <v>23</v>
      </c>
      <c r="H15484" s="391">
        <v>415</v>
      </c>
      <c r="I15484" s="841"/>
      <c r="J15484" s="841"/>
      <c r="K15484" s="841"/>
      <c r="L15484" s="841"/>
      <c r="M15484" s="1436"/>
      <c r="N15484" s="841"/>
      <c r="O15484" s="841"/>
      <c r="P15484" s="841"/>
      <c r="Q15484" s="841"/>
      <c r="R15484" s="841"/>
      <c r="S15484" s="841"/>
      <c r="T15484" s="841"/>
      <c r="U15484" s="841"/>
      <c r="V15484" s="1435">
        <v>50</v>
      </c>
    </row>
    <row r="15485" spans="1:22" ht="15" customHeight="1" x14ac:dyDescent="0.25">
      <c r="A15485" s="744" t="s">
        <v>194</v>
      </c>
      <c r="B15485" s="841"/>
      <c r="C15485" s="841"/>
      <c r="D15485" s="841"/>
      <c r="E15485" s="1688" t="s">
        <v>3162</v>
      </c>
      <c r="F15485" s="1688"/>
      <c r="G15485" s="1427" t="s">
        <v>23</v>
      </c>
      <c r="H15485" s="391">
        <v>110</v>
      </c>
      <c r="I15485" s="841"/>
      <c r="J15485" s="841"/>
      <c r="K15485" s="841"/>
      <c r="L15485" s="841"/>
      <c r="M15485" s="1436"/>
      <c r="N15485" s="841"/>
      <c r="O15485" s="841"/>
      <c r="P15485" s="841"/>
      <c r="Q15485" s="841"/>
      <c r="R15485" s="841"/>
      <c r="S15485" s="841"/>
      <c r="T15485" s="841"/>
      <c r="U15485" s="841"/>
      <c r="V15485" s="1435">
        <v>57</v>
      </c>
    </row>
    <row r="15486" spans="1:22" ht="15" customHeight="1" x14ac:dyDescent="0.25">
      <c r="A15486" s="744" t="s">
        <v>194</v>
      </c>
      <c r="B15486" s="841"/>
      <c r="C15486" s="841"/>
      <c r="D15486" s="841"/>
      <c r="E15486" s="1688" t="s">
        <v>3163</v>
      </c>
      <c r="F15486" s="1688"/>
      <c r="G15486" s="1427" t="s">
        <v>23</v>
      </c>
      <c r="H15486" s="391">
        <v>245</v>
      </c>
      <c r="I15486" s="841"/>
      <c r="J15486" s="841"/>
      <c r="K15486" s="841"/>
      <c r="L15486" s="841"/>
      <c r="M15486" s="1436"/>
      <c r="N15486" s="841"/>
      <c r="O15486" s="841"/>
      <c r="P15486" s="841"/>
      <c r="Q15486" s="841"/>
      <c r="R15486" s="841"/>
      <c r="S15486" s="841"/>
      <c r="T15486" s="841"/>
      <c r="U15486" s="841"/>
      <c r="V15486" s="1435">
        <v>56</v>
      </c>
    </row>
    <row r="15487" spans="1:22" ht="15" x14ac:dyDescent="0.25">
      <c r="A15487" s="744" t="s">
        <v>194</v>
      </c>
      <c r="B15487" s="841"/>
      <c r="C15487" s="841"/>
      <c r="D15487" s="841"/>
      <c r="E15487" s="1424" t="s">
        <v>3164</v>
      </c>
      <c r="F15487" s="3"/>
      <c r="G15487" s="3"/>
      <c r="H15487" s="398"/>
      <c r="I15487" s="841"/>
      <c r="J15487" s="841"/>
      <c r="K15487" s="841"/>
      <c r="L15487" s="841"/>
      <c r="M15487" s="1436"/>
      <c r="N15487" s="841"/>
      <c r="O15487" s="841"/>
      <c r="P15487" s="841"/>
      <c r="Q15487" s="841"/>
      <c r="R15487" s="841"/>
      <c r="S15487" s="841"/>
      <c r="T15487" s="841"/>
      <c r="U15487" s="841"/>
      <c r="V15487" s="1435">
        <v>5</v>
      </c>
    </row>
    <row r="15488" spans="1:22" ht="15" customHeight="1" x14ac:dyDescent="0.25">
      <c r="A15488" s="744" t="s">
        <v>194</v>
      </c>
      <c r="B15488" s="841"/>
      <c r="C15488" s="841"/>
      <c r="D15488" s="841"/>
      <c r="E15488" s="1688" t="s">
        <v>3434</v>
      </c>
      <c r="F15488" s="1688"/>
      <c r="G15488" s="1427" t="s">
        <v>23</v>
      </c>
      <c r="H15488" s="391">
        <v>500</v>
      </c>
      <c r="I15488" s="841"/>
      <c r="J15488" s="841"/>
      <c r="K15488" s="841"/>
      <c r="L15488" s="841"/>
      <c r="M15488" s="1436"/>
      <c r="N15488" s="841"/>
      <c r="O15488" s="841"/>
      <c r="P15488" s="841"/>
      <c r="Q15488" s="841"/>
      <c r="R15488" s="841"/>
      <c r="S15488" s="841"/>
      <c r="T15488" s="841"/>
      <c r="U15488" s="841"/>
      <c r="V15488" s="1435">
        <v>64</v>
      </c>
    </row>
    <row r="15489" spans="1:22" ht="15" customHeight="1" x14ac:dyDescent="0.25">
      <c r="A15489" s="744" t="s">
        <v>194</v>
      </c>
      <c r="B15489" s="841"/>
      <c r="C15489" s="841"/>
      <c r="D15489" s="841"/>
      <c r="E15489" s="1688" t="s">
        <v>3489</v>
      </c>
      <c r="F15489" s="1688"/>
      <c r="G15489" s="1427" t="s">
        <v>23</v>
      </c>
      <c r="H15489" s="391">
        <v>300</v>
      </c>
      <c r="I15489" s="841"/>
      <c r="J15489" s="841"/>
      <c r="K15489" s="841"/>
      <c r="L15489" s="841"/>
      <c r="M15489" s="1436"/>
      <c r="N15489" s="841"/>
      <c r="O15489" s="841"/>
      <c r="P15489" s="841"/>
      <c r="Q15489" s="841"/>
      <c r="R15489" s="841"/>
      <c r="S15489" s="841"/>
      <c r="T15489" s="841"/>
      <c r="U15489" s="841"/>
      <c r="V15489" s="1435">
        <v>67</v>
      </c>
    </row>
    <row r="15490" spans="1:22" ht="15" customHeight="1" x14ac:dyDescent="0.25">
      <c r="A15490" s="744" t="s">
        <v>194</v>
      </c>
      <c r="B15490" s="841"/>
      <c r="C15490" s="841"/>
      <c r="D15490" s="841"/>
      <c r="E15490" s="1688" t="s">
        <v>3490</v>
      </c>
      <c r="F15490" s="1688"/>
      <c r="G15490" s="1427" t="s">
        <v>23</v>
      </c>
      <c r="H15490" s="391">
        <v>1000</v>
      </c>
      <c r="I15490" s="841"/>
      <c r="J15490" s="841"/>
      <c r="K15490" s="841"/>
      <c r="L15490" s="841"/>
      <c r="M15490" s="1436"/>
      <c r="N15490" s="841"/>
      <c r="O15490" s="841"/>
      <c r="P15490" s="841"/>
      <c r="Q15490" s="841"/>
      <c r="R15490" s="841"/>
      <c r="S15490" s="841"/>
      <c r="T15490" s="841"/>
      <c r="U15490" s="841"/>
      <c r="V15490" s="1435">
        <v>66</v>
      </c>
    </row>
    <row r="15491" spans="1:22" ht="15" customHeight="1" x14ac:dyDescent="0.25">
      <c r="A15491" s="744" t="s">
        <v>194</v>
      </c>
      <c r="B15491" s="841"/>
      <c r="C15491" s="841"/>
      <c r="D15491" s="841"/>
      <c r="E15491" s="1688" t="s">
        <v>3502</v>
      </c>
      <c r="F15491" s="1688"/>
      <c r="G15491" s="1427" t="s">
        <v>23</v>
      </c>
      <c r="H15491" s="391">
        <v>22.35</v>
      </c>
      <c r="I15491" s="841"/>
      <c r="J15491" s="841"/>
      <c r="K15491" s="841"/>
      <c r="L15491" s="841"/>
      <c r="M15491" s="1436"/>
      <c r="N15491" s="841"/>
      <c r="O15491" s="841"/>
      <c r="P15491" s="841"/>
      <c r="Q15491" s="841"/>
      <c r="R15491" s="841"/>
      <c r="S15491" s="841"/>
      <c r="T15491" s="841"/>
      <c r="U15491" s="841"/>
      <c r="V15491" s="1435">
        <v>104</v>
      </c>
    </row>
    <row r="15492" spans="1:22" ht="36.75" x14ac:dyDescent="0.3">
      <c r="A15492" s="744" t="s">
        <v>194</v>
      </c>
      <c r="B15492" s="841"/>
      <c r="C15492" s="841"/>
      <c r="D15492" s="841"/>
      <c r="E15492" s="1425" t="s">
        <v>77</v>
      </c>
      <c r="F15492" s="657"/>
      <c r="G15492" s="657"/>
      <c r="H15492" s="658"/>
      <c r="I15492" s="841"/>
      <c r="J15492" s="841"/>
      <c r="K15492" s="744" t="s">
        <v>6845</v>
      </c>
      <c r="L15492" s="841"/>
      <c r="M15492" s="1436"/>
      <c r="N15492" s="841"/>
      <c r="O15492" s="841"/>
      <c r="P15492" s="841"/>
      <c r="Q15492" s="841"/>
      <c r="R15492" s="841"/>
      <c r="S15492" s="841"/>
      <c r="T15492" s="841"/>
      <c r="U15492" s="841"/>
      <c r="V15492" s="1435">
        <v>38</v>
      </c>
    </row>
    <row r="15493" spans="1:22" ht="15" customHeight="1" x14ac:dyDescent="0.25">
      <c r="A15493" s="744" t="s">
        <v>194</v>
      </c>
      <c r="B15493" s="841"/>
      <c r="C15493" s="841"/>
      <c r="D15493" s="841"/>
      <c r="E15493" s="1689" t="s">
        <v>3063</v>
      </c>
      <c r="F15493" s="1689"/>
      <c r="G15493" s="1689"/>
      <c r="H15493" s="1689"/>
      <c r="I15493" s="841"/>
      <c r="J15493" s="841"/>
      <c r="K15493" s="841"/>
      <c r="L15493" s="841"/>
      <c r="M15493" s="1436"/>
      <c r="N15493" s="841"/>
      <c r="O15493" s="841"/>
      <c r="P15493" s="841"/>
      <c r="Q15493" s="841"/>
      <c r="R15493" s="841"/>
      <c r="S15493" s="841"/>
      <c r="T15493" s="841"/>
      <c r="U15493" s="841"/>
      <c r="V15493" s="1435">
        <v>280</v>
      </c>
    </row>
    <row r="15494" spans="1:22" ht="15" customHeight="1" x14ac:dyDescent="0.25">
      <c r="A15494" s="744" t="s">
        <v>194</v>
      </c>
      <c r="B15494" s="841"/>
      <c r="C15494" s="841"/>
      <c r="D15494" s="841"/>
      <c r="E15494" s="1689" t="s">
        <v>3064</v>
      </c>
      <c r="F15494" s="1689"/>
      <c r="G15494" s="1689"/>
      <c r="H15494" s="1689"/>
      <c r="I15494" s="841"/>
      <c r="J15494" s="841"/>
      <c r="K15494" s="841"/>
      <c r="L15494" s="841"/>
      <c r="M15494" s="1436"/>
      <c r="N15494" s="841"/>
      <c r="O15494" s="841"/>
      <c r="P15494" s="841"/>
      <c r="Q15494" s="841"/>
      <c r="R15494" s="841"/>
      <c r="S15494" s="841"/>
      <c r="T15494" s="841"/>
      <c r="U15494" s="841"/>
      <c r="V15494" s="1435">
        <v>411</v>
      </c>
    </row>
    <row r="15495" spans="1:22" ht="15" customHeight="1" x14ac:dyDescent="0.25">
      <c r="A15495" s="744" t="s">
        <v>194</v>
      </c>
      <c r="B15495" s="841"/>
      <c r="C15495" s="841"/>
      <c r="D15495" s="841"/>
      <c r="E15495" s="1689" t="s">
        <v>3129</v>
      </c>
      <c r="F15495" s="1689"/>
      <c r="G15495" s="1689"/>
      <c r="H15495" s="1689"/>
      <c r="I15495" s="841"/>
      <c r="J15495" s="841"/>
      <c r="K15495" s="841"/>
      <c r="L15495" s="841"/>
      <c r="M15495" s="1436"/>
      <c r="N15495" s="841"/>
      <c r="O15495" s="841"/>
      <c r="P15495" s="841"/>
      <c r="Q15495" s="841"/>
      <c r="R15495" s="841"/>
      <c r="S15495" s="841"/>
      <c r="T15495" s="841"/>
      <c r="U15495" s="841"/>
      <c r="V15495" s="1435">
        <v>211</v>
      </c>
    </row>
    <row r="15496" spans="1:22" ht="15" customHeight="1" x14ac:dyDescent="0.25">
      <c r="A15496" s="744" t="s">
        <v>194</v>
      </c>
      <c r="B15496" s="841"/>
      <c r="C15496" s="841"/>
      <c r="D15496" s="841"/>
      <c r="E15496" s="1689" t="s">
        <v>3200</v>
      </c>
      <c r="F15496" s="1689"/>
      <c r="G15496" s="1689"/>
      <c r="H15496" s="1689"/>
      <c r="I15496" s="841"/>
      <c r="J15496" s="841"/>
      <c r="K15496" s="841"/>
      <c r="L15496" s="841"/>
      <c r="M15496" s="1436"/>
      <c r="N15496" s="841"/>
      <c r="O15496" s="841"/>
      <c r="P15496" s="841"/>
      <c r="Q15496" s="841"/>
      <c r="R15496" s="841"/>
      <c r="S15496" s="841"/>
      <c r="T15496" s="841"/>
      <c r="U15496" s="841"/>
      <c r="V15496" s="1435">
        <v>275</v>
      </c>
    </row>
    <row r="15497" spans="1:22" ht="15" customHeight="1" x14ac:dyDescent="0.25">
      <c r="A15497" s="744" t="s">
        <v>194</v>
      </c>
      <c r="B15497" s="841"/>
      <c r="C15497" s="841"/>
      <c r="D15497" s="841"/>
      <c r="E15497" s="1689" t="s">
        <v>3291</v>
      </c>
      <c r="F15497" s="1689"/>
      <c r="G15497" s="1689"/>
      <c r="H15497" s="1689"/>
      <c r="I15497" s="841"/>
      <c r="J15497" s="841"/>
      <c r="K15497" s="841"/>
      <c r="L15497" s="841"/>
      <c r="M15497" s="1436"/>
      <c r="N15497" s="841"/>
      <c r="O15497" s="841"/>
      <c r="P15497" s="841"/>
      <c r="Q15497" s="841"/>
      <c r="R15497" s="841"/>
      <c r="S15497" s="841"/>
      <c r="T15497" s="841"/>
      <c r="U15497" s="841"/>
      <c r="V15497" s="1435">
        <v>142</v>
      </c>
    </row>
    <row r="15498" spans="1:22" ht="15" customHeight="1" x14ac:dyDescent="0.25">
      <c r="A15498" s="744" t="s">
        <v>194</v>
      </c>
      <c r="B15498" s="841"/>
      <c r="C15498" s="841"/>
      <c r="D15498" s="841"/>
      <c r="E15498" s="1690" t="s">
        <v>3176</v>
      </c>
      <c r="F15498" s="1690"/>
      <c r="G15498" s="397" t="s">
        <v>23</v>
      </c>
      <c r="H15498" s="391">
        <v>100</v>
      </c>
      <c r="I15498" s="841"/>
      <c r="J15498" s="841"/>
      <c r="K15498" s="841"/>
      <c r="L15498" s="841"/>
      <c r="M15498" s="1436"/>
      <c r="N15498" s="841"/>
      <c r="O15498" s="841"/>
      <c r="P15498" s="841"/>
      <c r="Q15498" s="841"/>
      <c r="R15498" s="841"/>
      <c r="S15498" s="841"/>
      <c r="T15498" s="841"/>
      <c r="U15498" s="841"/>
      <c r="V15498" s="1435">
        <v>106</v>
      </c>
    </row>
    <row r="15499" spans="1:22" ht="15" x14ac:dyDescent="0.25">
      <c r="A15499" s="744" t="s">
        <v>194</v>
      </c>
      <c r="B15499" s="841"/>
      <c r="C15499" s="841"/>
      <c r="D15499" s="841"/>
      <c r="E15499" s="1690" t="s">
        <v>3177</v>
      </c>
      <c r="F15499" s="1690"/>
      <c r="G15499" s="397" t="s">
        <v>23</v>
      </c>
      <c r="H15499" s="391">
        <v>20</v>
      </c>
      <c r="I15499" s="841"/>
      <c r="J15499" s="841"/>
      <c r="K15499" s="841"/>
      <c r="L15499" s="841"/>
      <c r="M15499" s="1436"/>
      <c r="N15499" s="841"/>
      <c r="O15499" s="841"/>
      <c r="P15499" s="841"/>
      <c r="Q15499" s="841"/>
      <c r="R15499" s="841"/>
      <c r="S15499" s="841"/>
      <c r="T15499" s="841"/>
      <c r="U15499" s="841"/>
      <c r="V15499" s="1435">
        <v>34</v>
      </c>
    </row>
    <row r="15500" spans="1:22" ht="15" x14ac:dyDescent="0.25">
      <c r="A15500" s="744" t="s">
        <v>194</v>
      </c>
      <c r="B15500" s="841"/>
      <c r="C15500" s="841"/>
      <c r="D15500" s="841"/>
      <c r="E15500" s="1690" t="s">
        <v>3178</v>
      </c>
      <c r="F15500" s="1690"/>
      <c r="G15500" s="397" t="s">
        <v>3179</v>
      </c>
      <c r="H15500" s="391">
        <v>0.5</v>
      </c>
      <c r="I15500" s="841"/>
      <c r="J15500" s="841"/>
      <c r="K15500" s="841"/>
      <c r="L15500" s="841"/>
      <c r="M15500" s="1436"/>
      <c r="N15500" s="841"/>
      <c r="O15500" s="841"/>
      <c r="P15500" s="841"/>
      <c r="Q15500" s="841"/>
      <c r="R15500" s="841"/>
      <c r="S15500" s="841"/>
      <c r="T15500" s="841"/>
      <c r="U15500" s="841"/>
      <c r="V15500" s="1435">
        <v>51</v>
      </c>
    </row>
    <row r="15501" spans="1:22" ht="15" customHeight="1" x14ac:dyDescent="0.25">
      <c r="A15501" s="744" t="s">
        <v>194</v>
      </c>
      <c r="B15501" s="841"/>
      <c r="C15501" s="841"/>
      <c r="D15501" s="841"/>
      <c r="E15501" s="1690" t="s">
        <v>3180</v>
      </c>
      <c r="F15501" s="1690"/>
      <c r="G15501" s="397" t="s">
        <v>3179</v>
      </c>
      <c r="H15501" s="391">
        <v>0.3</v>
      </c>
      <c r="I15501" s="841"/>
      <c r="J15501" s="841"/>
      <c r="K15501" s="841"/>
      <c r="L15501" s="841"/>
      <c r="M15501" s="1436"/>
      <c r="N15501" s="841"/>
      <c r="O15501" s="841"/>
      <c r="P15501" s="841"/>
      <c r="Q15501" s="841"/>
      <c r="R15501" s="841"/>
      <c r="S15501" s="841"/>
      <c r="T15501" s="841"/>
      <c r="U15501" s="841"/>
      <c r="V15501" s="1435">
        <v>75</v>
      </c>
    </row>
    <row r="15502" spans="1:22" ht="15" customHeight="1" x14ac:dyDescent="0.25">
      <c r="A15502" s="744" t="s">
        <v>194</v>
      </c>
      <c r="B15502" s="841"/>
      <c r="C15502" s="841"/>
      <c r="D15502" s="841"/>
      <c r="E15502" s="1690" t="s">
        <v>3181</v>
      </c>
      <c r="F15502" s="1690"/>
      <c r="G15502" s="397" t="s">
        <v>3179</v>
      </c>
      <c r="H15502" s="391">
        <v>-0.3</v>
      </c>
      <c r="I15502" s="841"/>
      <c r="J15502" s="841"/>
      <c r="K15502" s="841"/>
      <c r="L15502" s="841"/>
      <c r="M15502" s="1436"/>
      <c r="N15502" s="841"/>
      <c r="O15502" s="841"/>
      <c r="P15502" s="841"/>
      <c r="Q15502" s="841"/>
      <c r="R15502" s="841"/>
      <c r="S15502" s="841"/>
      <c r="T15502" s="841"/>
      <c r="U15502" s="841"/>
      <c r="V15502" s="1435">
        <v>72</v>
      </c>
    </row>
    <row r="15503" spans="1:22" ht="15" x14ac:dyDescent="0.25">
      <c r="A15503" s="744" t="s">
        <v>194</v>
      </c>
      <c r="B15503" s="841"/>
      <c r="C15503" s="841"/>
      <c r="D15503" s="841"/>
      <c r="E15503" s="1690" t="s">
        <v>3292</v>
      </c>
      <c r="F15503" s="1690"/>
      <c r="G15503" s="397"/>
      <c r="H15503" s="392"/>
      <c r="I15503" s="841"/>
      <c r="J15503" s="841"/>
      <c r="K15503" s="841"/>
      <c r="L15503" s="841"/>
      <c r="M15503" s="1436"/>
      <c r="N15503" s="841"/>
      <c r="O15503" s="841"/>
      <c r="P15503" s="841"/>
      <c r="Q15503" s="841"/>
      <c r="R15503" s="841"/>
      <c r="S15503" s="841"/>
      <c r="T15503" s="841"/>
      <c r="U15503" s="841"/>
      <c r="V15503" s="1435">
        <v>34</v>
      </c>
    </row>
    <row r="15504" spans="1:22" ht="15" customHeight="1" x14ac:dyDescent="0.25">
      <c r="A15504" s="744" t="s">
        <v>194</v>
      </c>
      <c r="B15504" s="841"/>
      <c r="C15504" s="841"/>
      <c r="D15504" s="841"/>
      <c r="E15504" s="1691" t="s">
        <v>3183</v>
      </c>
      <c r="F15504" s="1691"/>
      <c r="G15504" s="397" t="s">
        <v>23</v>
      </c>
      <c r="H15504" s="391">
        <v>0.25</v>
      </c>
      <c r="I15504" s="841"/>
      <c r="J15504" s="841"/>
      <c r="K15504" s="841"/>
      <c r="L15504" s="841"/>
      <c r="M15504" s="1436"/>
      <c r="N15504" s="841"/>
      <c r="O15504" s="841"/>
      <c r="P15504" s="841"/>
      <c r="Q15504" s="841"/>
      <c r="R15504" s="841"/>
      <c r="S15504" s="841"/>
      <c r="T15504" s="841"/>
      <c r="U15504" s="841"/>
      <c r="V15504" s="1435">
        <v>57</v>
      </c>
    </row>
    <row r="15505" spans="1:29" ht="15" customHeight="1" x14ac:dyDescent="0.25">
      <c r="A15505" s="744" t="s">
        <v>194</v>
      </c>
      <c r="B15505" s="841"/>
      <c r="C15505" s="841"/>
      <c r="D15505" s="841"/>
      <c r="E15505" s="1691" t="s">
        <v>3184</v>
      </c>
      <c r="F15505" s="1691"/>
      <c r="G15505" s="397" t="s">
        <v>23</v>
      </c>
      <c r="H15505" s="391">
        <v>0.5</v>
      </c>
      <c r="I15505" s="841"/>
      <c r="J15505" s="841"/>
      <c r="K15505" s="841"/>
      <c r="L15505" s="841"/>
      <c r="M15505" s="1436"/>
      <c r="N15505" s="841"/>
      <c r="O15505" s="841"/>
      <c r="P15505" s="841"/>
      <c r="Q15505" s="841"/>
      <c r="R15505" s="841"/>
      <c r="S15505" s="841"/>
      <c r="T15505" s="841"/>
      <c r="U15505" s="841"/>
      <c r="V15505" s="1435">
        <v>60</v>
      </c>
    </row>
    <row r="15506" spans="1:29" ht="15" customHeight="1" x14ac:dyDescent="0.25">
      <c r="A15506" s="744" t="s">
        <v>194</v>
      </c>
      <c r="B15506" s="841"/>
      <c r="C15506" s="841"/>
      <c r="D15506" s="841"/>
      <c r="E15506" s="1690" t="s">
        <v>3185</v>
      </c>
      <c r="F15506" s="1690"/>
      <c r="G15506" s="397"/>
      <c r="H15506" s="392"/>
      <c r="I15506" s="841"/>
      <c r="J15506" s="841"/>
      <c r="K15506" s="841"/>
      <c r="L15506" s="841"/>
      <c r="M15506" s="1436"/>
      <c r="N15506" s="841"/>
      <c r="O15506" s="841"/>
      <c r="P15506" s="841"/>
      <c r="Q15506" s="841"/>
      <c r="R15506" s="841"/>
      <c r="S15506" s="841"/>
      <c r="T15506" s="841"/>
      <c r="U15506" s="841"/>
      <c r="V15506" s="1435">
        <v>91</v>
      </c>
    </row>
    <row r="15507" spans="1:29" ht="15" customHeight="1" x14ac:dyDescent="0.25">
      <c r="A15507" s="744" t="s">
        <v>194</v>
      </c>
      <c r="B15507" s="841"/>
      <c r="C15507" s="841"/>
      <c r="D15507" s="841"/>
      <c r="E15507" s="1690" t="s">
        <v>3186</v>
      </c>
      <c r="F15507" s="1690"/>
      <c r="G15507" s="397"/>
      <c r="H15507" s="392"/>
      <c r="I15507" s="841"/>
      <c r="J15507" s="841"/>
      <c r="K15507" s="841"/>
      <c r="L15507" s="841"/>
      <c r="M15507" s="1436"/>
      <c r="N15507" s="841"/>
      <c r="O15507" s="841"/>
      <c r="P15507" s="841"/>
      <c r="Q15507" s="841"/>
      <c r="R15507" s="841"/>
      <c r="S15507" s="841"/>
      <c r="T15507" s="841"/>
      <c r="U15507" s="841"/>
      <c r="V15507" s="1435">
        <v>96</v>
      </c>
    </row>
    <row r="15508" spans="1:29" ht="15" customHeight="1" x14ac:dyDescent="0.25">
      <c r="A15508" s="744" t="s">
        <v>194</v>
      </c>
      <c r="B15508" s="841"/>
      <c r="C15508" s="841"/>
      <c r="D15508" s="841"/>
      <c r="E15508" s="1690" t="s">
        <v>3293</v>
      </c>
      <c r="F15508" s="1690"/>
      <c r="G15508" s="397"/>
      <c r="H15508" s="392"/>
      <c r="I15508" s="841"/>
      <c r="J15508" s="841"/>
      <c r="K15508" s="841"/>
      <c r="L15508" s="841"/>
      <c r="M15508" s="1436"/>
      <c r="N15508" s="841"/>
      <c r="O15508" s="841"/>
      <c r="P15508" s="841"/>
      <c r="Q15508" s="841"/>
      <c r="R15508" s="841"/>
      <c r="S15508" s="841"/>
      <c r="T15508" s="841"/>
      <c r="U15508" s="841"/>
      <c r="V15508" s="1435">
        <v>77</v>
      </c>
    </row>
    <row r="15509" spans="1:29" ht="15" x14ac:dyDescent="0.25">
      <c r="A15509" s="744" t="s">
        <v>194</v>
      </c>
      <c r="B15509" s="841"/>
      <c r="C15509" s="841"/>
      <c r="D15509" s="841"/>
      <c r="E15509" s="1691" t="s">
        <v>3188</v>
      </c>
      <c r="F15509" s="1691"/>
      <c r="G15509" s="397" t="s">
        <v>23</v>
      </c>
      <c r="H15509" s="392" t="s">
        <v>3189</v>
      </c>
      <c r="I15509" s="841"/>
      <c r="J15509" s="841"/>
      <c r="K15509" s="841"/>
      <c r="L15509" s="841"/>
      <c r="M15509" s="1436"/>
      <c r="N15509" s="841"/>
      <c r="O15509" s="841"/>
      <c r="P15509" s="841"/>
      <c r="Q15509" s="841"/>
      <c r="R15509" s="841"/>
      <c r="S15509" s="841"/>
      <c r="T15509" s="841"/>
      <c r="U15509" s="841"/>
      <c r="V15509" s="1435">
        <v>18</v>
      </c>
    </row>
    <row r="15510" spans="1:29" ht="15" customHeight="1" x14ac:dyDescent="0.25">
      <c r="A15510" s="744" t="s">
        <v>194</v>
      </c>
      <c r="B15510" s="841"/>
      <c r="C15510" s="841"/>
      <c r="D15510" s="841"/>
      <c r="E15510" s="1691" t="s">
        <v>3190</v>
      </c>
      <c r="F15510" s="1691"/>
      <c r="G15510" s="397" t="s">
        <v>23</v>
      </c>
      <c r="H15510" s="391">
        <v>2</v>
      </c>
      <c r="I15510" s="841"/>
      <c r="J15510" s="841"/>
      <c r="K15510" s="841"/>
      <c r="L15510" s="841"/>
      <c r="M15510" s="1436"/>
      <c r="N15510" s="841"/>
      <c r="O15510" s="841"/>
      <c r="P15510" s="841"/>
      <c r="Q15510" s="841"/>
      <c r="R15510" s="841"/>
      <c r="S15510" s="841"/>
      <c r="T15510" s="841"/>
      <c r="U15510" s="841"/>
      <c r="V15510" s="1435">
        <v>69</v>
      </c>
    </row>
    <row r="15511" spans="1:29" ht="18.75" x14ac:dyDescent="0.3">
      <c r="A15511" s="744" t="s">
        <v>194</v>
      </c>
      <c r="B15511" s="841"/>
      <c r="C15511" s="841"/>
      <c r="D15511" s="841"/>
      <c r="E15511" s="1425" t="s">
        <v>147</v>
      </c>
      <c r="F15511" s="657"/>
      <c r="G15511" s="657"/>
      <c r="H15511" s="658"/>
      <c r="I15511" s="841"/>
      <c r="J15511" s="841"/>
      <c r="K15511" s="744" t="s">
        <v>6846</v>
      </c>
      <c r="L15511" s="841"/>
      <c r="M15511" s="1436"/>
      <c r="N15511" s="841"/>
      <c r="O15511" s="841"/>
      <c r="P15511" s="841"/>
      <c r="Q15511" s="841"/>
      <c r="R15511" s="841"/>
      <c r="S15511" s="841"/>
      <c r="T15511" s="841"/>
      <c r="U15511" s="841"/>
      <c r="V15511" s="1435">
        <v>12</v>
      </c>
    </row>
    <row r="15512" spans="1:29" ht="15" customHeight="1" x14ac:dyDescent="0.25">
      <c r="A15512" s="744" t="s">
        <v>194</v>
      </c>
      <c r="B15512" s="841"/>
      <c r="C15512" s="841"/>
      <c r="D15512" s="841"/>
      <c r="E15512" s="1704" t="s">
        <v>3192</v>
      </c>
      <c r="F15512" s="1704"/>
      <c r="G15512" s="1704"/>
      <c r="H15512" s="1704"/>
      <c r="I15512" s="841"/>
      <c r="J15512" s="841"/>
      <c r="K15512" s="841"/>
      <c r="L15512" s="841"/>
      <c r="M15512" s="1436"/>
      <c r="N15512" s="841"/>
      <c r="O15512" s="841"/>
      <c r="P15512" s="841"/>
      <c r="Q15512" s="841"/>
      <c r="R15512" s="841"/>
      <c r="S15512" s="841"/>
      <c r="T15512" s="841"/>
      <c r="U15512" s="841"/>
      <c r="V15512" s="1435">
        <v>203</v>
      </c>
    </row>
    <row r="15513" spans="1:29" ht="15" customHeight="1" x14ac:dyDescent="0.25">
      <c r="A15513" s="744" t="s">
        <v>194</v>
      </c>
      <c r="B15513" s="841"/>
      <c r="C15513" s="841"/>
      <c r="D15513" s="841"/>
      <c r="E15513" s="1690" t="s">
        <v>3295</v>
      </c>
      <c r="F15513" s="1690"/>
      <c r="G15513" s="1427"/>
      <c r="H15513" s="393">
        <v>1.0896999999999999</v>
      </c>
      <c r="I15513" s="841"/>
      <c r="J15513" s="841"/>
      <c r="K15513" s="841"/>
      <c r="L15513" s="841"/>
      <c r="M15513" s="1436"/>
      <c r="N15513" s="841"/>
      <c r="O15513" s="841"/>
      <c r="P15513" s="841"/>
      <c r="Q15513" s="841"/>
      <c r="R15513" s="841"/>
      <c r="S15513" s="841"/>
      <c r="T15513" s="841"/>
      <c r="U15513" s="841"/>
      <c r="V15513" s="1435">
        <v>57</v>
      </c>
    </row>
    <row r="15514" spans="1:29" ht="15" customHeight="1" x14ac:dyDescent="0.25">
      <c r="A15514" s="744" t="s">
        <v>194</v>
      </c>
      <c r="B15514" s="841"/>
      <c r="C15514" s="841"/>
      <c r="D15514" s="841"/>
      <c r="E15514" s="1690" t="s">
        <v>3297</v>
      </c>
      <c r="F15514" s="1690"/>
      <c r="G15514" s="1427"/>
      <c r="H15514" s="393">
        <v>1.0788</v>
      </c>
      <c r="I15514" s="841"/>
      <c r="J15514" s="744" t="s">
        <v>6847</v>
      </c>
      <c r="K15514" s="841"/>
      <c r="L15514" s="841"/>
      <c r="M15514" s="1436"/>
      <c r="N15514" s="841"/>
      <c r="O15514" s="841"/>
      <c r="P15514" s="841"/>
      <c r="Q15514" s="841"/>
      <c r="R15514" s="841"/>
      <c r="S15514" s="841"/>
      <c r="T15514" s="841"/>
      <c r="U15514" s="841"/>
      <c r="V15514" s="1435">
        <v>55</v>
      </c>
      <c r="W15514" s="841"/>
      <c r="X15514" s="841"/>
      <c r="Y15514" s="841"/>
      <c r="Z15514" s="841"/>
      <c r="AA15514" s="841"/>
      <c r="AB15514" s="841"/>
      <c r="AC15514" s="841"/>
    </row>
    <row r="15515" spans="1:29" ht="18" customHeight="1" x14ac:dyDescent="0.25">
      <c r="A15515" s="841" t="s">
        <v>176</v>
      </c>
      <c r="B15515" s="841"/>
      <c r="C15515" s="841" t="s">
        <v>3050</v>
      </c>
      <c r="D15515" s="841"/>
      <c r="E15515" s="1911" t="s">
        <v>176</v>
      </c>
      <c r="F15515" s="1911"/>
      <c r="G15515" s="1911"/>
      <c r="H15515" s="1911"/>
      <c r="I15515" s="841" t="s">
        <v>628</v>
      </c>
      <c r="J15515" s="841" t="s">
        <v>6873</v>
      </c>
      <c r="K15515" s="841" t="s">
        <v>176</v>
      </c>
      <c r="L15515" s="1357"/>
      <c r="M15515" s="841">
        <v>6</v>
      </c>
      <c r="N15515" s="841"/>
      <c r="O15515" s="841"/>
      <c r="P15515" s="841"/>
      <c r="Q15515" s="1357"/>
      <c r="R15515" s="841"/>
      <c r="S15515" s="841"/>
      <c r="T15515" s="841"/>
      <c r="U15515" s="841"/>
      <c r="V15515" s="1357">
        <v>29</v>
      </c>
    </row>
    <row r="15516" spans="1:29" ht="18" customHeight="1" x14ac:dyDescent="0.25">
      <c r="A15516" s="841" t="s">
        <v>176</v>
      </c>
      <c r="B15516" s="841"/>
      <c r="C15516" s="841" t="s">
        <v>3052</v>
      </c>
      <c r="D15516" s="841"/>
      <c r="E15516" s="1912" t="s">
        <v>3053</v>
      </c>
      <c r="F15516" s="1912"/>
      <c r="G15516" s="1912"/>
      <c r="H15516" s="1912"/>
      <c r="I15516" s="841"/>
      <c r="J15516" s="841"/>
      <c r="K15516" s="841"/>
      <c r="L15516" s="1357"/>
      <c r="M15516" s="841"/>
      <c r="N15516" s="841"/>
      <c r="O15516" s="841"/>
      <c r="P15516" s="841"/>
      <c r="Q15516" s="1357"/>
      <c r="R15516" s="841"/>
      <c r="S15516" s="841"/>
      <c r="T15516" s="841"/>
      <c r="U15516" s="841"/>
      <c r="V15516" s="1357">
        <v>27</v>
      </c>
    </row>
    <row r="15517" spans="1:29" ht="18" customHeight="1" x14ac:dyDescent="0.25">
      <c r="A15517" s="841" t="s">
        <v>176</v>
      </c>
      <c r="B15517" s="841"/>
      <c r="C15517" s="841" t="s">
        <v>3054</v>
      </c>
      <c r="D15517" s="841"/>
      <c r="E15517" s="1913" t="s">
        <v>5101</v>
      </c>
      <c r="F15517" s="1913"/>
      <c r="G15517" s="1913"/>
      <c r="H15517" s="1913"/>
      <c r="I15517" s="841"/>
      <c r="J15517" s="841"/>
      <c r="K15517" s="841"/>
      <c r="L15517" s="1357"/>
      <c r="M15517" s="841"/>
      <c r="N15517" s="841"/>
      <c r="O15517" s="841"/>
      <c r="P15517" s="841"/>
      <c r="Q15517" s="1357"/>
      <c r="R15517" s="841"/>
      <c r="S15517" s="1420">
        <v>43101</v>
      </c>
      <c r="T15517" s="841"/>
      <c r="U15517" s="841"/>
      <c r="V15517" s="1357">
        <v>49</v>
      </c>
    </row>
    <row r="15518" spans="1:29" ht="18" customHeight="1" x14ac:dyDescent="0.25">
      <c r="A15518" s="841" t="s">
        <v>176</v>
      </c>
      <c r="B15518" s="841"/>
      <c r="C15518" s="841" t="s">
        <v>3055</v>
      </c>
      <c r="D15518" s="841"/>
      <c r="E15518" s="1914" t="s">
        <v>3056</v>
      </c>
      <c r="F15518" s="1914"/>
      <c r="G15518" s="1914"/>
      <c r="H15518" s="1914"/>
      <c r="I15518" s="841"/>
      <c r="J15518" s="841"/>
      <c r="K15518" s="841"/>
      <c r="L15518" s="1357"/>
      <c r="M15518" s="841"/>
      <c r="N15518" s="841"/>
      <c r="O15518" s="841"/>
      <c r="P15518" s="841"/>
      <c r="Q15518" s="1357"/>
      <c r="R15518" s="841"/>
      <c r="S15518" s="841"/>
      <c r="T15518" s="841"/>
      <c r="U15518" s="841"/>
      <c r="V15518" s="1357">
        <v>52</v>
      </c>
    </row>
    <row r="15519" spans="1:29" ht="18" customHeight="1" x14ac:dyDescent="0.25">
      <c r="A15519" s="841" t="s">
        <v>176</v>
      </c>
      <c r="B15519" s="841"/>
      <c r="C15519" s="841"/>
      <c r="D15519" s="841"/>
      <c r="E15519" s="1914" t="s">
        <v>3057</v>
      </c>
      <c r="F15519" s="1914"/>
      <c r="G15519" s="1914"/>
      <c r="H15519" s="1914"/>
      <c r="I15519" s="841"/>
      <c r="J15519" s="841"/>
      <c r="K15519" s="841"/>
      <c r="L15519" s="1357"/>
      <c r="M15519" s="841"/>
      <c r="N15519" s="841"/>
      <c r="O15519" s="841"/>
      <c r="P15519" s="841"/>
      <c r="Q15519" s="1357"/>
      <c r="R15519" s="841"/>
      <c r="S15519" s="841"/>
      <c r="T15519" s="841"/>
      <c r="U15519" s="841"/>
      <c r="V15519" s="1357">
        <v>53</v>
      </c>
    </row>
    <row r="15520" spans="1:29" ht="18" customHeight="1" x14ac:dyDescent="0.25">
      <c r="A15520" s="841" t="s">
        <v>176</v>
      </c>
      <c r="B15520" s="841"/>
      <c r="C15520" s="841"/>
      <c r="D15520" s="841"/>
      <c r="E15520" s="1909" t="s">
        <v>438</v>
      </c>
      <c r="F15520" s="1697"/>
      <c r="G15520" s="1697"/>
      <c r="H15520" s="1697"/>
      <c r="I15520" s="841"/>
      <c r="J15520" s="841"/>
      <c r="K15520" s="841" t="s">
        <v>3197</v>
      </c>
      <c r="L15520" s="1357"/>
      <c r="M15520" s="841"/>
      <c r="N15520" s="841"/>
      <c r="O15520" s="841"/>
      <c r="P15520" s="841"/>
      <c r="Q15520" s="1357"/>
      <c r="R15520" s="841"/>
      <c r="S15520" s="841"/>
      <c r="T15520" s="841"/>
      <c r="U15520" s="841"/>
      <c r="V15520" s="1357">
        <v>34</v>
      </c>
    </row>
    <row r="15521" spans="1:22" ht="18" customHeight="1" x14ac:dyDescent="0.25">
      <c r="A15521" s="841" t="s">
        <v>176</v>
      </c>
      <c r="B15521" s="841"/>
      <c r="C15521" s="841"/>
      <c r="D15521" s="841"/>
      <c r="E15521" s="1689" t="s">
        <v>6874</v>
      </c>
      <c r="F15521" s="1689"/>
      <c r="G15521" s="1689"/>
      <c r="H15521" s="1689"/>
      <c r="I15521" s="841"/>
      <c r="J15521" s="841"/>
      <c r="K15521" s="841" t="s">
        <v>3197</v>
      </c>
      <c r="L15521" s="1357"/>
      <c r="M15521" s="841"/>
      <c r="N15521" s="841"/>
      <c r="O15521" s="841"/>
      <c r="P15521" s="841"/>
      <c r="Q15521" s="1357"/>
      <c r="R15521" s="841"/>
      <c r="S15521" s="841"/>
      <c r="T15521" s="841"/>
      <c r="U15521" s="841"/>
      <c r="V15521" s="1357">
        <v>649</v>
      </c>
    </row>
    <row r="15522" spans="1:22" ht="18" customHeight="1" x14ac:dyDescent="0.25">
      <c r="A15522" s="841" t="s">
        <v>176</v>
      </c>
      <c r="B15522" s="841"/>
      <c r="C15522" s="841"/>
      <c r="D15522" s="841"/>
      <c r="E15522" s="1910" t="s">
        <v>3061</v>
      </c>
      <c r="F15522" s="1697"/>
      <c r="G15522" s="1697"/>
      <c r="H15522" s="1697"/>
      <c r="I15522" s="841"/>
      <c r="J15522" s="841"/>
      <c r="K15522" s="841" t="s">
        <v>3062</v>
      </c>
      <c r="L15522" s="1357"/>
      <c r="M15522" s="841"/>
      <c r="N15522" s="841"/>
      <c r="O15522" s="841"/>
      <c r="P15522" s="841"/>
      <c r="Q15522" s="1357"/>
      <c r="R15522" s="841"/>
      <c r="S15522" s="841"/>
      <c r="T15522" s="841"/>
      <c r="U15522" s="841"/>
      <c r="V15522" s="1357">
        <v>11</v>
      </c>
    </row>
    <row r="15523" spans="1:22" ht="18" customHeight="1" x14ac:dyDescent="0.25">
      <c r="A15523" s="841" t="s">
        <v>176</v>
      </c>
      <c r="B15523" s="841"/>
      <c r="C15523" s="841"/>
      <c r="D15523" s="841"/>
      <c r="E15523" s="1689" t="s">
        <v>3493</v>
      </c>
      <c r="F15523" s="1689"/>
      <c r="G15523" s="1689"/>
      <c r="H15523" s="1689"/>
      <c r="I15523" s="841"/>
      <c r="J15523" s="841"/>
      <c r="K15523" s="841" t="s">
        <v>3197</v>
      </c>
      <c r="L15523" s="1357"/>
      <c r="M15523" s="841"/>
      <c r="N15523" s="841"/>
      <c r="O15523" s="841"/>
      <c r="P15523" s="841"/>
      <c r="Q15523" s="1357"/>
      <c r="R15523" s="841"/>
      <c r="S15523" s="841"/>
      <c r="T15523" s="841"/>
      <c r="U15523" s="841"/>
      <c r="V15523" s="1357">
        <v>272</v>
      </c>
    </row>
    <row r="15524" spans="1:22" ht="18" customHeight="1" x14ac:dyDescent="0.25">
      <c r="A15524" s="841" t="s">
        <v>176</v>
      </c>
      <c r="B15524" s="841"/>
      <c r="C15524" s="841"/>
      <c r="D15524" s="841"/>
      <c r="E15524" s="1689" t="s">
        <v>3494</v>
      </c>
      <c r="F15524" s="1689"/>
      <c r="G15524" s="1689"/>
      <c r="H15524" s="1689"/>
      <c r="I15524" s="841"/>
      <c r="J15524" s="841"/>
      <c r="K15524" s="841" t="s">
        <v>3197</v>
      </c>
      <c r="L15524" s="1357"/>
      <c r="M15524" s="841"/>
      <c r="N15524" s="841"/>
      <c r="O15524" s="841"/>
      <c r="P15524" s="841"/>
      <c r="Q15524" s="1357"/>
      <c r="R15524" s="841"/>
      <c r="S15524" s="841"/>
      <c r="T15524" s="841"/>
      <c r="U15524" s="841"/>
      <c r="V15524" s="1357">
        <v>403</v>
      </c>
    </row>
    <row r="15525" spans="1:22" ht="18" customHeight="1" x14ac:dyDescent="0.25">
      <c r="A15525" s="841" t="s">
        <v>176</v>
      </c>
      <c r="B15525" s="841"/>
      <c r="C15525" s="841"/>
      <c r="D15525" s="841"/>
      <c r="E15525" s="1689" t="s">
        <v>3199</v>
      </c>
      <c r="F15525" s="1689"/>
      <c r="G15525" s="1689"/>
      <c r="H15525" s="1689"/>
      <c r="I15525" s="841"/>
      <c r="J15525" s="841"/>
      <c r="K15525" s="841" t="s">
        <v>3197</v>
      </c>
      <c r="L15525" s="1357"/>
      <c r="M15525" s="841"/>
      <c r="N15525" s="841"/>
      <c r="O15525" s="841"/>
      <c r="P15525" s="841"/>
      <c r="Q15525" s="1357"/>
      <c r="R15525" s="841"/>
      <c r="S15525" s="841"/>
      <c r="T15525" s="841"/>
      <c r="U15525" s="841"/>
      <c r="V15525" s="1357">
        <v>386</v>
      </c>
    </row>
    <row r="15526" spans="1:22" ht="18" customHeight="1" x14ac:dyDescent="0.25">
      <c r="A15526" s="841" t="s">
        <v>176</v>
      </c>
      <c r="B15526" s="841"/>
      <c r="C15526" s="841"/>
      <c r="D15526" s="841"/>
      <c r="E15526" s="1689" t="s">
        <v>3200</v>
      </c>
      <c r="F15526" s="1689"/>
      <c r="G15526" s="1689"/>
      <c r="H15526" s="1689"/>
      <c r="I15526" s="841"/>
      <c r="J15526" s="841"/>
      <c r="K15526" s="841" t="s">
        <v>3197</v>
      </c>
      <c r="L15526" s="1357"/>
      <c r="M15526" s="841"/>
      <c r="N15526" s="841"/>
      <c r="O15526" s="841"/>
      <c r="P15526" s="841"/>
      <c r="Q15526" s="1357"/>
      <c r="R15526" s="841"/>
      <c r="S15526" s="841"/>
      <c r="T15526" s="841"/>
      <c r="U15526" s="841"/>
      <c r="V15526" s="1357">
        <v>275</v>
      </c>
    </row>
    <row r="15527" spans="1:22" ht="18" customHeight="1" x14ac:dyDescent="0.25">
      <c r="A15527" s="841" t="s">
        <v>176</v>
      </c>
      <c r="B15527" s="841"/>
      <c r="C15527" s="841"/>
      <c r="D15527" s="841"/>
      <c r="E15527" s="1906" t="s">
        <v>3067</v>
      </c>
      <c r="F15527" s="1907"/>
      <c r="G15527" s="1907"/>
      <c r="H15527" s="1907"/>
      <c r="I15527" s="841"/>
      <c r="J15527" s="841"/>
      <c r="K15527" s="841" t="s">
        <v>3068</v>
      </c>
      <c r="L15527" s="1357"/>
      <c r="M15527" s="841"/>
      <c r="N15527" s="841"/>
      <c r="O15527" s="841"/>
      <c r="P15527" s="841"/>
      <c r="Q15527" s="1357"/>
      <c r="R15527" s="841"/>
      <c r="S15527" s="841"/>
      <c r="T15527" s="841"/>
      <c r="U15527" s="841"/>
      <c r="V15527" s="1357">
        <v>46</v>
      </c>
    </row>
    <row r="15528" spans="1:22" ht="18" customHeight="1" x14ac:dyDescent="0.25">
      <c r="A15528" s="841" t="s">
        <v>176</v>
      </c>
      <c r="B15528" s="841"/>
      <c r="C15528" s="841"/>
      <c r="D15528" s="841"/>
      <c r="E15528" s="1690" t="s">
        <v>11</v>
      </c>
      <c r="F15528" s="1690"/>
      <c r="G15528" s="1358" t="s">
        <v>23</v>
      </c>
      <c r="H15528" s="600">
        <v>27.84</v>
      </c>
      <c r="I15528" s="841"/>
      <c r="J15528" s="841"/>
      <c r="K15528" s="841" t="s">
        <v>3197</v>
      </c>
      <c r="L15528" s="1357" t="s">
        <v>442</v>
      </c>
      <c r="M15528" s="841"/>
      <c r="N15528" s="841"/>
      <c r="O15528" s="841"/>
      <c r="P15528" s="841" t="s">
        <v>3201</v>
      </c>
      <c r="Q15528" s="1357"/>
      <c r="R15528" s="841"/>
      <c r="S15528" s="841"/>
      <c r="T15528" s="841"/>
      <c r="U15528" s="841"/>
      <c r="V15528" s="1357">
        <v>14</v>
      </c>
    </row>
    <row r="15529" spans="1:22" ht="18" customHeight="1" x14ac:dyDescent="0.25">
      <c r="A15529" s="841" t="s">
        <v>176</v>
      </c>
      <c r="B15529" s="841"/>
      <c r="C15529" s="841"/>
      <c r="D15529" s="841"/>
      <c r="E15529" s="1437" t="s">
        <v>6875</v>
      </c>
      <c r="F15529" s="1437"/>
      <c r="G15529" s="1358" t="s">
        <v>23</v>
      </c>
      <c r="H15529" s="600">
        <v>0.79</v>
      </c>
      <c r="I15529" s="841"/>
      <c r="J15529" s="841"/>
      <c r="K15529" s="841" t="s">
        <v>3197</v>
      </c>
      <c r="L15529" s="1357" t="s">
        <v>443</v>
      </c>
      <c r="M15529" s="841"/>
      <c r="N15529" s="841"/>
      <c r="O15529" s="841"/>
      <c r="P15529" s="841" t="s">
        <v>3202</v>
      </c>
      <c r="Q15529" s="1357"/>
      <c r="R15529" s="841"/>
      <c r="S15529" s="841"/>
      <c r="T15529" s="1420">
        <v>43404</v>
      </c>
      <c r="U15529" s="841"/>
      <c r="V15529" s="1357">
        <v>79</v>
      </c>
    </row>
    <row r="15530" spans="1:22" ht="18" customHeight="1" x14ac:dyDescent="0.25">
      <c r="A15530" s="841" t="s">
        <v>176</v>
      </c>
      <c r="B15530" s="841"/>
      <c r="C15530" s="841"/>
      <c r="D15530" s="841"/>
      <c r="E15530" s="1690" t="s">
        <v>6876</v>
      </c>
      <c r="F15530" s="1908"/>
      <c r="G15530" s="1358" t="s">
        <v>23</v>
      </c>
      <c r="H15530" s="600">
        <v>0.21</v>
      </c>
      <c r="I15530" s="841"/>
      <c r="J15530" s="841"/>
      <c r="K15530" s="841" t="s">
        <v>3197</v>
      </c>
      <c r="L15530" s="1357" t="s">
        <v>442</v>
      </c>
      <c r="M15530" s="841"/>
      <c r="N15530" s="841"/>
      <c r="O15530" s="841"/>
      <c r="P15530" s="841" t="s">
        <v>3207</v>
      </c>
      <c r="Q15530" s="1357"/>
      <c r="R15530" s="841"/>
      <c r="S15530" s="841"/>
      <c r="T15530" s="1420">
        <v>44196</v>
      </c>
      <c r="U15530" s="841"/>
      <c r="V15530" s="1357">
        <v>107</v>
      </c>
    </row>
    <row r="15531" spans="1:22" ht="18" customHeight="1" x14ac:dyDescent="0.25">
      <c r="A15531" s="841" t="s">
        <v>176</v>
      </c>
      <c r="B15531" s="841"/>
      <c r="C15531" s="841"/>
      <c r="D15531" s="841"/>
      <c r="E15531" s="1690" t="s">
        <v>84</v>
      </c>
      <c r="F15531" s="1690"/>
      <c r="G15531" s="1358" t="s">
        <v>24</v>
      </c>
      <c r="H15531" s="606">
        <v>6.4000000000000003E-3</v>
      </c>
      <c r="I15531" s="841"/>
      <c r="J15531" s="841"/>
      <c r="K15531" s="841" t="s">
        <v>3197</v>
      </c>
      <c r="L15531" s="1357" t="s">
        <v>442</v>
      </c>
      <c r="M15531" s="841"/>
      <c r="N15531" s="841"/>
      <c r="O15531" s="841"/>
      <c r="P15531" s="841" t="s">
        <v>3203</v>
      </c>
      <c r="Q15531" s="1357"/>
      <c r="R15531" s="841"/>
      <c r="S15531" s="841"/>
      <c r="T15531" s="1420"/>
      <c r="U15531" s="841"/>
      <c r="V15531" s="1357">
        <v>28</v>
      </c>
    </row>
    <row r="15532" spans="1:22" ht="18" customHeight="1" x14ac:dyDescent="0.25">
      <c r="A15532" s="841" t="s">
        <v>176</v>
      </c>
      <c r="B15532" s="841"/>
      <c r="C15532" s="841"/>
      <c r="D15532" s="841"/>
      <c r="E15532" s="1690" t="s">
        <v>18</v>
      </c>
      <c r="F15532" s="1690"/>
      <c r="G15532" s="1358" t="s">
        <v>24</v>
      </c>
      <c r="H15532" s="606">
        <v>3.3E-3</v>
      </c>
      <c r="I15532" s="841"/>
      <c r="J15532" s="841"/>
      <c r="K15532" s="841" t="s">
        <v>3197</v>
      </c>
      <c r="L15532" s="1357" t="s">
        <v>443</v>
      </c>
      <c r="M15532" s="841"/>
      <c r="N15532" s="841"/>
      <c r="O15532" s="841"/>
      <c r="P15532" s="841" t="s">
        <v>3204</v>
      </c>
      <c r="Q15532" s="1357"/>
      <c r="R15532" s="841"/>
      <c r="S15532" s="841"/>
      <c r="T15532" s="1420"/>
      <c r="U15532" s="841"/>
      <c r="V15532" s="1357">
        <v>24</v>
      </c>
    </row>
    <row r="15533" spans="1:22" ht="18" customHeight="1" x14ac:dyDescent="0.25">
      <c r="A15533" s="841" t="s">
        <v>176</v>
      </c>
      <c r="B15533" s="841"/>
      <c r="C15533" s="841"/>
      <c r="D15533" s="841"/>
      <c r="E15533" s="1690" t="s">
        <v>6877</v>
      </c>
      <c r="F15533" s="1908"/>
      <c r="G15533" s="1358" t="s">
        <v>24</v>
      </c>
      <c r="H15533" s="606">
        <v>2.0999999999999999E-3</v>
      </c>
      <c r="I15533" s="841"/>
      <c r="J15533" s="841"/>
      <c r="K15533" s="841" t="s">
        <v>3197</v>
      </c>
      <c r="L15533" s="1357" t="s">
        <v>443</v>
      </c>
      <c r="M15533" s="841"/>
      <c r="N15533" s="841"/>
      <c r="O15533" s="841"/>
      <c r="P15533" s="841" t="s">
        <v>3207</v>
      </c>
      <c r="Q15533" s="1357"/>
      <c r="R15533" s="841"/>
      <c r="S15533" s="841"/>
      <c r="T15533" s="1420">
        <v>44196</v>
      </c>
      <c r="U15533" s="841"/>
      <c r="V15533" s="1357">
        <v>99</v>
      </c>
    </row>
    <row r="15534" spans="1:22" ht="18" customHeight="1" x14ac:dyDescent="0.25">
      <c r="A15534" s="841" t="s">
        <v>176</v>
      </c>
      <c r="B15534" s="841"/>
      <c r="C15534" s="841"/>
      <c r="D15534" s="841"/>
      <c r="E15534" s="1690" t="s">
        <v>6878</v>
      </c>
      <c r="F15534" s="1908"/>
      <c r="G15534" s="1358" t="s">
        <v>24</v>
      </c>
      <c r="H15534" s="606">
        <v>-8.0000000000000004E-4</v>
      </c>
      <c r="I15534" s="841"/>
      <c r="J15534" s="841"/>
      <c r="K15534" s="841" t="s">
        <v>3197</v>
      </c>
      <c r="L15534" s="1357" t="s">
        <v>443</v>
      </c>
      <c r="M15534" s="841"/>
      <c r="N15534" s="841"/>
      <c r="O15534" s="841"/>
      <c r="P15534" s="841" t="s">
        <v>3205</v>
      </c>
      <c r="Q15534" s="1357"/>
      <c r="R15534" s="841"/>
      <c r="S15534" s="841"/>
      <c r="T15534" s="1420">
        <v>44196</v>
      </c>
      <c r="U15534" s="841"/>
      <c r="V15534" s="1357">
        <v>141</v>
      </c>
    </row>
    <row r="15535" spans="1:22" ht="18" customHeight="1" x14ac:dyDescent="0.25">
      <c r="A15535" s="841" t="s">
        <v>176</v>
      </c>
      <c r="B15535" s="841"/>
      <c r="C15535" s="841"/>
      <c r="D15535" s="841"/>
      <c r="E15535" s="1690" t="s">
        <v>6879</v>
      </c>
      <c r="F15535" s="1908"/>
      <c r="G15535" s="1358" t="s">
        <v>24</v>
      </c>
      <c r="H15535" s="606">
        <v>1E-4</v>
      </c>
      <c r="I15535" s="841"/>
      <c r="J15535" s="841"/>
      <c r="K15535" s="841" t="s">
        <v>3197</v>
      </c>
      <c r="L15535" s="1357" t="s">
        <v>442</v>
      </c>
      <c r="M15535" s="841"/>
      <c r="N15535" s="841"/>
      <c r="O15535" s="841"/>
      <c r="P15535" s="841" t="s">
        <v>3206</v>
      </c>
      <c r="Q15535" s="1357"/>
      <c r="R15535" s="841"/>
      <c r="S15535" s="841"/>
      <c r="T15535" s="1420">
        <v>44196</v>
      </c>
      <c r="U15535" s="841"/>
      <c r="V15535" s="1357">
        <v>138</v>
      </c>
    </row>
    <row r="15536" spans="1:22" ht="18" customHeight="1" x14ac:dyDescent="0.25">
      <c r="A15536" s="841" t="s">
        <v>176</v>
      </c>
      <c r="B15536" s="841"/>
      <c r="C15536" s="841"/>
      <c r="D15536" s="841"/>
      <c r="E15536" s="1690" t="s">
        <v>221</v>
      </c>
      <c r="F15536" s="1690"/>
      <c r="G15536" s="1358" t="s">
        <v>24</v>
      </c>
      <c r="H15536" s="606">
        <v>7.1999999999999998E-3</v>
      </c>
      <c r="I15536" s="841"/>
      <c r="J15536" s="841"/>
      <c r="K15536" s="841" t="s">
        <v>3197</v>
      </c>
      <c r="L15536" s="1357" t="s">
        <v>444</v>
      </c>
      <c r="M15536" s="841"/>
      <c r="N15536" s="841"/>
      <c r="O15536" s="841"/>
      <c r="P15536" s="841" t="s">
        <v>3208</v>
      </c>
      <c r="Q15536" s="1357"/>
      <c r="R15536" s="841"/>
      <c r="S15536" s="841"/>
      <c r="T15536" s="1420"/>
      <c r="U15536" s="841"/>
      <c r="V15536" s="1357">
        <v>47</v>
      </c>
    </row>
    <row r="15537" spans="1:22" ht="18" customHeight="1" x14ac:dyDescent="0.25">
      <c r="A15537" s="841" t="s">
        <v>176</v>
      </c>
      <c r="B15537" s="841"/>
      <c r="C15537" s="841"/>
      <c r="D15537" s="841"/>
      <c r="E15537" s="1690" t="s">
        <v>217</v>
      </c>
      <c r="F15537" s="1690"/>
      <c r="G15537" s="1358" t="s">
        <v>24</v>
      </c>
      <c r="H15537" s="606">
        <v>5.7999999999999996E-3</v>
      </c>
      <c r="I15537" s="841"/>
      <c r="J15537" s="841"/>
      <c r="K15537" s="841" t="s">
        <v>3197</v>
      </c>
      <c r="L15537" s="1357" t="s">
        <v>444</v>
      </c>
      <c r="M15537" s="841"/>
      <c r="N15537" s="841"/>
      <c r="O15537" s="841"/>
      <c r="P15537" s="841" t="s">
        <v>3209</v>
      </c>
      <c r="Q15537" s="1357"/>
      <c r="R15537" s="841"/>
      <c r="S15537" s="841"/>
      <c r="T15537" s="1420"/>
      <c r="U15537" s="841"/>
      <c r="V15537" s="1357">
        <v>74</v>
      </c>
    </row>
    <row r="15538" spans="1:22" ht="18" customHeight="1" x14ac:dyDescent="0.25">
      <c r="A15538" s="841" t="s">
        <v>176</v>
      </c>
      <c r="B15538" s="841"/>
      <c r="C15538" s="841"/>
      <c r="D15538" s="841"/>
      <c r="E15538" s="1906" t="s">
        <v>3079</v>
      </c>
      <c r="F15538" s="1690"/>
      <c r="G15538" s="1440"/>
      <c r="H15538" s="720"/>
      <c r="I15538" s="841"/>
      <c r="J15538" s="841"/>
      <c r="K15538" s="841" t="s">
        <v>3080</v>
      </c>
      <c r="L15538" s="1357"/>
      <c r="M15538" s="841"/>
      <c r="N15538" s="841"/>
      <c r="O15538" s="841"/>
      <c r="P15538" s="841"/>
      <c r="Q15538" s="1357"/>
      <c r="R15538" s="841"/>
      <c r="S15538" s="841"/>
      <c r="T15538" s="1420"/>
      <c r="U15538" s="841"/>
      <c r="V15538" s="1357">
        <v>48</v>
      </c>
    </row>
    <row r="15539" spans="1:22" ht="18" customHeight="1" x14ac:dyDescent="0.25">
      <c r="A15539" s="841" t="s">
        <v>176</v>
      </c>
      <c r="B15539" s="841"/>
      <c r="C15539" s="841"/>
      <c r="D15539" s="841"/>
      <c r="E15539" s="1690" t="s">
        <v>2449</v>
      </c>
      <c r="F15539" s="1690"/>
      <c r="G15539" s="1358" t="s">
        <v>24</v>
      </c>
      <c r="H15539" s="606">
        <v>3.2000000000000002E-3</v>
      </c>
      <c r="I15539" s="841"/>
      <c r="J15539" s="841"/>
      <c r="K15539" s="841" t="s">
        <v>3197</v>
      </c>
      <c r="L15539" s="1357" t="s">
        <v>3046</v>
      </c>
      <c r="M15539" s="841"/>
      <c r="N15539" s="841"/>
      <c r="O15539" s="841"/>
      <c r="P15539" s="841" t="s">
        <v>3210</v>
      </c>
      <c r="Q15539" s="1357"/>
      <c r="R15539" s="841"/>
      <c r="S15539" s="841"/>
      <c r="T15539" s="1420"/>
      <c r="U15539" s="841"/>
      <c r="V15539" s="1357">
        <v>55</v>
      </c>
    </row>
    <row r="15540" spans="1:22" ht="18" customHeight="1" x14ac:dyDescent="0.25">
      <c r="A15540" s="841" t="s">
        <v>176</v>
      </c>
      <c r="B15540" s="841"/>
      <c r="C15540" s="841"/>
      <c r="D15540" s="841"/>
      <c r="E15540" s="1690" t="s">
        <v>2450</v>
      </c>
      <c r="F15540" s="1690"/>
      <c r="G15540" s="1358" t="s">
        <v>24</v>
      </c>
      <c r="H15540" s="606">
        <v>4.0000000000000002E-4</v>
      </c>
      <c r="I15540" s="841"/>
      <c r="J15540" s="841"/>
      <c r="K15540" s="841" t="s">
        <v>3197</v>
      </c>
      <c r="L15540" s="1357" t="s">
        <v>3046</v>
      </c>
      <c r="M15540" s="841"/>
      <c r="N15540" s="841"/>
      <c r="O15540" s="841"/>
      <c r="P15540" s="841" t="s">
        <v>3210</v>
      </c>
      <c r="Q15540" s="1357"/>
      <c r="R15540" s="841"/>
      <c r="S15540" s="841"/>
      <c r="T15540" s="1420"/>
      <c r="U15540" s="841"/>
      <c r="V15540" s="1357">
        <v>65</v>
      </c>
    </row>
    <row r="15541" spans="1:22" ht="18" customHeight="1" x14ac:dyDescent="0.25">
      <c r="A15541" s="841" t="s">
        <v>176</v>
      </c>
      <c r="B15541" s="841"/>
      <c r="C15541" s="841"/>
      <c r="D15541" s="841"/>
      <c r="E15541" s="1690" t="s">
        <v>439</v>
      </c>
      <c r="F15541" s="1690"/>
      <c r="G15541" s="1358" t="s">
        <v>24</v>
      </c>
      <c r="H15541" s="606">
        <v>2.9999999999999997E-4</v>
      </c>
      <c r="I15541" s="841"/>
      <c r="J15541" s="841"/>
      <c r="K15541" s="841" t="s">
        <v>3197</v>
      </c>
      <c r="L15541" s="1357" t="s">
        <v>3046</v>
      </c>
      <c r="M15541" s="841"/>
      <c r="N15541" s="841"/>
      <c r="O15541" s="841"/>
      <c r="P15541" s="841" t="s">
        <v>3212</v>
      </c>
      <c r="Q15541" s="1357"/>
      <c r="R15541" s="841"/>
      <c r="S15541" s="841"/>
      <c r="T15541" s="1420"/>
      <c r="U15541" s="841"/>
      <c r="V15541" s="1357">
        <v>57</v>
      </c>
    </row>
    <row r="15542" spans="1:22" ht="18" customHeight="1" x14ac:dyDescent="0.25">
      <c r="A15542" s="841" t="s">
        <v>176</v>
      </c>
      <c r="B15542" s="841"/>
      <c r="C15542" s="841"/>
      <c r="D15542" s="841"/>
      <c r="E15542" s="1690" t="s">
        <v>32</v>
      </c>
      <c r="F15542" s="1690"/>
      <c r="G15542" s="1358" t="s">
        <v>23</v>
      </c>
      <c r="H15542" s="600">
        <v>0.25</v>
      </c>
      <c r="I15542" s="841"/>
      <c r="J15542" s="841"/>
      <c r="K15542" s="841" t="s">
        <v>3197</v>
      </c>
      <c r="L15542" s="1357" t="s">
        <v>3046</v>
      </c>
      <c r="M15542" s="841"/>
      <c r="N15542" s="841"/>
      <c r="O15542" s="841"/>
      <c r="P15542" s="841" t="s">
        <v>3213</v>
      </c>
      <c r="Q15542" s="1357"/>
      <c r="R15542" s="841"/>
      <c r="S15542" s="841"/>
      <c r="T15542" s="1420"/>
      <c r="U15542" s="841"/>
      <c r="V15542" s="1357">
        <v>63</v>
      </c>
    </row>
    <row r="15543" spans="1:22" ht="18" customHeight="1" x14ac:dyDescent="0.25">
      <c r="A15543" s="841" t="s">
        <v>176</v>
      </c>
      <c r="B15543" s="841"/>
      <c r="C15543" s="841"/>
      <c r="D15543" s="841"/>
      <c r="E15543" s="1909" t="s">
        <v>3214</v>
      </c>
      <c r="F15543" s="1697"/>
      <c r="G15543" s="1697"/>
      <c r="H15543" s="1697"/>
      <c r="I15543" s="841"/>
      <c r="J15543" s="841"/>
      <c r="K15543" s="841" t="s">
        <v>5110</v>
      </c>
      <c r="L15543" s="1357"/>
      <c r="M15543" s="841"/>
      <c r="N15543" s="841"/>
      <c r="O15543" s="841"/>
      <c r="P15543" s="841"/>
      <c r="Q15543" s="1357"/>
      <c r="R15543" s="841"/>
      <c r="S15543" s="841"/>
      <c r="T15543" s="1420"/>
      <c r="U15543" s="841"/>
      <c r="V15543" s="1357">
        <v>54</v>
      </c>
    </row>
    <row r="15544" spans="1:22" ht="18" customHeight="1" x14ac:dyDescent="0.25">
      <c r="A15544" s="841" t="s">
        <v>176</v>
      </c>
      <c r="B15544" s="841"/>
      <c r="C15544" s="841"/>
      <c r="D15544" s="841"/>
      <c r="E15544" s="1689" t="s">
        <v>6880</v>
      </c>
      <c r="F15544" s="1689"/>
      <c r="G15544" s="1689"/>
      <c r="H15544" s="1689"/>
      <c r="I15544" s="841"/>
      <c r="J15544" s="841"/>
      <c r="K15544" s="841" t="s">
        <v>5110</v>
      </c>
      <c r="L15544" s="1357"/>
      <c r="M15544" s="841"/>
      <c r="N15544" s="841"/>
      <c r="O15544" s="841"/>
      <c r="P15544" s="841"/>
      <c r="Q15544" s="1357"/>
      <c r="R15544" s="841"/>
      <c r="S15544" s="841"/>
      <c r="T15544" s="1420"/>
      <c r="U15544" s="841"/>
      <c r="V15544" s="1357">
        <v>336</v>
      </c>
    </row>
    <row r="15545" spans="1:22" ht="18" customHeight="1" x14ac:dyDescent="0.25">
      <c r="A15545" s="841" t="s">
        <v>176</v>
      </c>
      <c r="B15545" s="841"/>
      <c r="C15545" s="841"/>
      <c r="D15545" s="841"/>
      <c r="E15545" s="1910" t="s">
        <v>3061</v>
      </c>
      <c r="F15545" s="1697"/>
      <c r="G15545" s="1697"/>
      <c r="H15545" s="1697"/>
      <c r="I15545" s="841"/>
      <c r="J15545" s="841"/>
      <c r="K15545" s="841" t="s">
        <v>3086</v>
      </c>
      <c r="L15545" s="1357"/>
      <c r="M15545" s="841"/>
      <c r="N15545" s="841"/>
      <c r="O15545" s="841"/>
      <c r="P15545" s="841"/>
      <c r="Q15545" s="1357"/>
      <c r="R15545" s="841"/>
      <c r="S15545" s="841"/>
      <c r="T15545" s="1420"/>
      <c r="U15545" s="841"/>
      <c r="V15545" s="1357">
        <v>11</v>
      </c>
    </row>
    <row r="15546" spans="1:22" ht="18" customHeight="1" x14ac:dyDescent="0.25">
      <c r="A15546" s="841" t="s">
        <v>176</v>
      </c>
      <c r="B15546" s="841"/>
      <c r="C15546" s="841"/>
      <c r="D15546" s="841"/>
      <c r="E15546" s="1689" t="s">
        <v>3493</v>
      </c>
      <c r="F15546" s="1689"/>
      <c r="G15546" s="1689"/>
      <c r="H15546" s="1689"/>
      <c r="I15546" s="841"/>
      <c r="J15546" s="841"/>
      <c r="K15546" s="841" t="s">
        <v>5110</v>
      </c>
      <c r="L15546" s="1357"/>
      <c r="M15546" s="841"/>
      <c r="N15546" s="841"/>
      <c r="O15546" s="841"/>
      <c r="P15546" s="841"/>
      <c r="Q15546" s="1357"/>
      <c r="R15546" s="841"/>
      <c r="S15546" s="841"/>
      <c r="T15546" s="1420"/>
      <c r="U15546" s="841"/>
      <c r="V15546" s="1357">
        <v>272</v>
      </c>
    </row>
    <row r="15547" spans="1:22" ht="18" customHeight="1" x14ac:dyDescent="0.25">
      <c r="A15547" s="841" t="s">
        <v>176</v>
      </c>
      <c r="B15547" s="841"/>
      <c r="C15547" s="841"/>
      <c r="D15547" s="841"/>
      <c r="E15547" s="1689" t="s">
        <v>3494</v>
      </c>
      <c r="F15547" s="1689"/>
      <c r="G15547" s="1689"/>
      <c r="H15547" s="1689"/>
      <c r="I15547" s="841"/>
      <c r="J15547" s="841"/>
      <c r="K15547" s="841" t="s">
        <v>5110</v>
      </c>
      <c r="L15547" s="1357"/>
      <c r="M15547" s="841"/>
      <c r="N15547" s="841"/>
      <c r="O15547" s="841"/>
      <c r="P15547" s="841"/>
      <c r="Q15547" s="1357"/>
      <c r="R15547" s="841"/>
      <c r="S15547" s="841"/>
      <c r="T15547" s="1420"/>
      <c r="U15547" s="841"/>
      <c r="V15547" s="1357">
        <v>403</v>
      </c>
    </row>
    <row r="15548" spans="1:22" ht="18" customHeight="1" x14ac:dyDescent="0.25">
      <c r="A15548" s="841" t="s">
        <v>176</v>
      </c>
      <c r="B15548" s="841"/>
      <c r="C15548" s="841"/>
      <c r="D15548" s="841"/>
      <c r="E15548" s="1689" t="s">
        <v>3199</v>
      </c>
      <c r="F15548" s="1689"/>
      <c r="G15548" s="1689"/>
      <c r="H15548" s="1689"/>
      <c r="I15548" s="841"/>
      <c r="J15548" s="841"/>
      <c r="K15548" s="841" t="s">
        <v>5110</v>
      </c>
      <c r="L15548" s="1357"/>
      <c r="M15548" s="841"/>
      <c r="N15548" s="841"/>
      <c r="O15548" s="841"/>
      <c r="P15548" s="841"/>
      <c r="Q15548" s="1357"/>
      <c r="R15548" s="841"/>
      <c r="S15548" s="841"/>
      <c r="T15548" s="1420"/>
      <c r="U15548" s="841"/>
      <c r="V15548" s="1357">
        <v>386</v>
      </c>
    </row>
    <row r="15549" spans="1:22" ht="18" customHeight="1" x14ac:dyDescent="0.25">
      <c r="A15549" s="841" t="s">
        <v>176</v>
      </c>
      <c r="B15549" s="841"/>
      <c r="C15549" s="841"/>
      <c r="D15549" s="841"/>
      <c r="E15549" s="1689" t="s">
        <v>3200</v>
      </c>
      <c r="F15549" s="1689"/>
      <c r="G15549" s="1689"/>
      <c r="H15549" s="1689"/>
      <c r="I15549" s="841"/>
      <c r="J15549" s="841"/>
      <c r="K15549" s="841" t="s">
        <v>5110</v>
      </c>
      <c r="L15549" s="1357"/>
      <c r="M15549" s="841"/>
      <c r="N15549" s="841"/>
      <c r="O15549" s="841"/>
      <c r="P15549" s="841"/>
      <c r="Q15549" s="1357"/>
      <c r="R15549" s="841"/>
      <c r="S15549" s="841"/>
      <c r="T15549" s="1420"/>
      <c r="U15549" s="841"/>
      <c r="V15549" s="1357">
        <v>275</v>
      </c>
    </row>
    <row r="15550" spans="1:22" ht="18" customHeight="1" x14ac:dyDescent="0.25">
      <c r="A15550" s="841" t="s">
        <v>176</v>
      </c>
      <c r="B15550" s="841"/>
      <c r="C15550" s="841"/>
      <c r="D15550" s="841"/>
      <c r="E15550" s="1906" t="s">
        <v>3067</v>
      </c>
      <c r="F15550" s="1907"/>
      <c r="G15550" s="1907"/>
      <c r="H15550" s="1907"/>
      <c r="I15550" s="841"/>
      <c r="J15550" s="841"/>
      <c r="K15550" s="841" t="s">
        <v>3087</v>
      </c>
      <c r="L15550" s="1357"/>
      <c r="M15550" s="841"/>
      <c r="N15550" s="841"/>
      <c r="O15550" s="841"/>
      <c r="P15550" s="841"/>
      <c r="Q15550" s="1357"/>
      <c r="R15550" s="841"/>
      <c r="S15550" s="841"/>
      <c r="T15550" s="1420"/>
      <c r="U15550" s="841"/>
      <c r="V15550" s="1357">
        <v>46</v>
      </c>
    </row>
    <row r="15551" spans="1:22" ht="18" customHeight="1" x14ac:dyDescent="0.25">
      <c r="A15551" s="841" t="s">
        <v>176</v>
      </c>
      <c r="B15551" s="841"/>
      <c r="C15551" s="841"/>
      <c r="D15551" s="841"/>
      <c r="E15551" s="1690" t="s">
        <v>11</v>
      </c>
      <c r="F15551" s="1690"/>
      <c r="G15551" s="1358" t="s">
        <v>23</v>
      </c>
      <c r="H15551" s="600">
        <v>21.11</v>
      </c>
      <c r="I15551" s="841"/>
      <c r="J15551" s="841"/>
      <c r="K15551" s="841" t="s">
        <v>5110</v>
      </c>
      <c r="L15551" s="1357" t="s">
        <v>442</v>
      </c>
      <c r="M15551" s="841"/>
      <c r="N15551" s="841"/>
      <c r="O15551" s="841"/>
      <c r="P15551" s="841" t="s">
        <v>5111</v>
      </c>
      <c r="Q15551" s="1357"/>
      <c r="R15551" s="841"/>
      <c r="S15551" s="841"/>
      <c r="T15551" s="1420"/>
      <c r="U15551" s="841"/>
      <c r="V15551" s="1357">
        <v>14</v>
      </c>
    </row>
    <row r="15552" spans="1:22" ht="18" customHeight="1" x14ac:dyDescent="0.25">
      <c r="A15552" s="841" t="s">
        <v>176</v>
      </c>
      <c r="B15552" s="841"/>
      <c r="C15552" s="841"/>
      <c r="D15552" s="841"/>
      <c r="E15552" s="1437" t="s">
        <v>6875</v>
      </c>
      <c r="F15552" s="1437"/>
      <c r="G15552" s="1358" t="s">
        <v>23</v>
      </c>
      <c r="H15552" s="600">
        <v>0.79</v>
      </c>
      <c r="I15552" s="841"/>
      <c r="J15552" s="841"/>
      <c r="K15552" s="841" t="s">
        <v>5110</v>
      </c>
      <c r="L15552" s="1357" t="s">
        <v>443</v>
      </c>
      <c r="M15552" s="841"/>
      <c r="N15552" s="841"/>
      <c r="O15552" s="841"/>
      <c r="P15552" s="841" t="s">
        <v>5112</v>
      </c>
      <c r="Q15552" s="1357"/>
      <c r="R15552" s="841"/>
      <c r="S15552" s="841"/>
      <c r="T15552" s="1420">
        <v>43404</v>
      </c>
      <c r="U15552" s="841"/>
      <c r="V15552" s="1357">
        <v>79</v>
      </c>
    </row>
    <row r="15553" spans="1:22" ht="18" customHeight="1" x14ac:dyDescent="0.25">
      <c r="A15553" s="841" t="s">
        <v>176</v>
      </c>
      <c r="B15553" s="841"/>
      <c r="C15553" s="841"/>
      <c r="D15553" s="841"/>
      <c r="E15553" s="1690" t="s">
        <v>84</v>
      </c>
      <c r="F15553" s="1690"/>
      <c r="G15553" s="1358" t="s">
        <v>24</v>
      </c>
      <c r="H15553" s="606">
        <v>1.7600000000000001E-2</v>
      </c>
      <c r="I15553" s="841"/>
      <c r="J15553" s="841"/>
      <c r="K15553" s="841" t="s">
        <v>5110</v>
      </c>
      <c r="L15553" s="1357" t="s">
        <v>442</v>
      </c>
      <c r="M15553" s="841"/>
      <c r="N15553" s="841"/>
      <c r="O15553" s="841"/>
      <c r="P15553" s="841" t="s">
        <v>5113</v>
      </c>
      <c r="Q15553" s="1357"/>
      <c r="R15553" s="841"/>
      <c r="S15553" s="841"/>
      <c r="T15553" s="1420"/>
      <c r="U15553" s="841"/>
      <c r="V15553" s="1357">
        <v>28</v>
      </c>
    </row>
    <row r="15554" spans="1:22" ht="18" customHeight="1" x14ac:dyDescent="0.25">
      <c r="A15554" s="841" t="s">
        <v>176</v>
      </c>
      <c r="B15554" s="841"/>
      <c r="C15554" s="841"/>
      <c r="D15554" s="841"/>
      <c r="E15554" s="1690" t="s">
        <v>18</v>
      </c>
      <c r="F15554" s="1690"/>
      <c r="G15554" s="1358" t="s">
        <v>24</v>
      </c>
      <c r="H15554" s="606">
        <v>2.8999999999999998E-3</v>
      </c>
      <c r="I15554" s="841"/>
      <c r="J15554" s="841"/>
      <c r="K15554" s="841" t="s">
        <v>5110</v>
      </c>
      <c r="L15554" s="1357" t="s">
        <v>443</v>
      </c>
      <c r="M15554" s="841"/>
      <c r="N15554" s="841"/>
      <c r="O15554" s="841"/>
      <c r="P15554" s="841" t="s">
        <v>5114</v>
      </c>
      <c r="Q15554" s="1357"/>
      <c r="R15554" s="841"/>
      <c r="S15554" s="841"/>
      <c r="T15554" s="1420"/>
      <c r="U15554" s="841"/>
      <c r="V15554" s="1357">
        <v>24</v>
      </c>
    </row>
    <row r="15555" spans="1:22" ht="18" customHeight="1" x14ac:dyDescent="0.25">
      <c r="A15555" s="841" t="s">
        <v>176</v>
      </c>
      <c r="B15555" s="841"/>
      <c r="C15555" s="841"/>
      <c r="D15555" s="841"/>
      <c r="E15555" s="1690" t="s">
        <v>6877</v>
      </c>
      <c r="F15555" s="1908"/>
      <c r="G15555" s="1358" t="s">
        <v>24</v>
      </c>
      <c r="H15555" s="606">
        <v>2.3E-3</v>
      </c>
      <c r="I15555" s="841"/>
      <c r="J15555" s="841"/>
      <c r="K15555" s="841" t="s">
        <v>5110</v>
      </c>
      <c r="L15555" s="1357" t="s">
        <v>443</v>
      </c>
      <c r="M15555" s="841"/>
      <c r="N15555" s="841"/>
      <c r="O15555" s="841"/>
      <c r="P15555" s="841" t="s">
        <v>5124</v>
      </c>
      <c r="Q15555" s="1357"/>
      <c r="R15555" s="841"/>
      <c r="S15555" s="841"/>
      <c r="T15555" s="1420">
        <v>44196</v>
      </c>
      <c r="U15555" s="841"/>
      <c r="V15555" s="1357">
        <v>99</v>
      </c>
    </row>
    <row r="15556" spans="1:22" ht="18" customHeight="1" x14ac:dyDescent="0.25">
      <c r="A15556" s="841" t="s">
        <v>176</v>
      </c>
      <c r="B15556" s="841"/>
      <c r="C15556" s="841"/>
      <c r="D15556" s="841"/>
      <c r="E15556" s="1690" t="s">
        <v>6878</v>
      </c>
      <c r="F15556" s="1908"/>
      <c r="G15556" s="1358" t="s">
        <v>24</v>
      </c>
      <c r="H15556" s="606">
        <v>-8.0000000000000004E-4</v>
      </c>
      <c r="I15556" s="841"/>
      <c r="J15556" s="841"/>
      <c r="K15556" s="841" t="s">
        <v>5110</v>
      </c>
      <c r="L15556" s="1357" t="s">
        <v>443</v>
      </c>
      <c r="M15556" s="841"/>
      <c r="N15556" s="841"/>
      <c r="O15556" s="841"/>
      <c r="P15556" s="841" t="s">
        <v>4818</v>
      </c>
      <c r="Q15556" s="1357"/>
      <c r="R15556" s="841"/>
      <c r="S15556" s="841"/>
      <c r="T15556" s="1420">
        <v>44196</v>
      </c>
      <c r="U15556" s="841"/>
      <c r="V15556" s="1357">
        <v>141</v>
      </c>
    </row>
    <row r="15557" spans="1:22" ht="18" customHeight="1" x14ac:dyDescent="0.25">
      <c r="A15557" s="841" t="s">
        <v>176</v>
      </c>
      <c r="B15557" s="841"/>
      <c r="C15557" s="841"/>
      <c r="D15557" s="841"/>
      <c r="E15557" s="1690" t="s">
        <v>6876</v>
      </c>
      <c r="F15557" s="1908"/>
      <c r="G15557" s="1358" t="s">
        <v>24</v>
      </c>
      <c r="H15557" s="606">
        <v>2.0000000000000001E-4</v>
      </c>
      <c r="I15557" s="841"/>
      <c r="J15557" s="841"/>
      <c r="K15557" s="841" t="s">
        <v>5110</v>
      </c>
      <c r="L15557" s="1357" t="s">
        <v>442</v>
      </c>
      <c r="M15557" s="841"/>
      <c r="N15557" s="841"/>
      <c r="O15557" s="841"/>
      <c r="P15557" s="841" t="s">
        <v>5124</v>
      </c>
      <c r="Q15557" s="1357"/>
      <c r="R15557" s="841"/>
      <c r="S15557" s="841"/>
      <c r="T15557" s="1420">
        <v>44196</v>
      </c>
      <c r="U15557" s="841"/>
      <c r="V15557" s="1357">
        <v>107</v>
      </c>
    </row>
    <row r="15558" spans="1:22" ht="18" customHeight="1" x14ac:dyDescent="0.25">
      <c r="A15558" s="841" t="s">
        <v>176</v>
      </c>
      <c r="B15558" s="841"/>
      <c r="C15558" s="841"/>
      <c r="D15558" s="841"/>
      <c r="E15558" s="1690" t="s">
        <v>6881</v>
      </c>
      <c r="F15558" s="1908"/>
      <c r="G15558" s="1358" t="s">
        <v>24</v>
      </c>
      <c r="H15558" s="606">
        <v>1E-3</v>
      </c>
      <c r="I15558" s="841"/>
      <c r="J15558" s="841"/>
      <c r="K15558" s="841" t="s">
        <v>5110</v>
      </c>
      <c r="L15558" s="1357" t="s">
        <v>442</v>
      </c>
      <c r="M15558" s="841"/>
      <c r="N15558" s="841"/>
      <c r="O15558" s="841"/>
      <c r="P15558" s="841" t="s">
        <v>5285</v>
      </c>
      <c r="Q15558" s="1357"/>
      <c r="R15558" s="841"/>
      <c r="S15558" s="841"/>
      <c r="T15558" s="1420">
        <v>44196</v>
      </c>
      <c r="U15558" s="841"/>
      <c r="V15558" s="1357">
        <v>140</v>
      </c>
    </row>
    <row r="15559" spans="1:22" ht="18" customHeight="1" x14ac:dyDescent="0.25">
      <c r="A15559" s="841" t="s">
        <v>176</v>
      </c>
      <c r="B15559" s="841"/>
      <c r="C15559" s="841"/>
      <c r="D15559" s="841"/>
      <c r="E15559" s="1690" t="s">
        <v>221</v>
      </c>
      <c r="F15559" s="1690"/>
      <c r="G15559" s="1358" t="s">
        <v>24</v>
      </c>
      <c r="H15559" s="606">
        <v>6.6E-3</v>
      </c>
      <c r="I15559" s="841"/>
      <c r="J15559" s="841"/>
      <c r="K15559" s="841" t="s">
        <v>5110</v>
      </c>
      <c r="L15559" s="1357" t="s">
        <v>444</v>
      </c>
      <c r="M15559" s="841"/>
      <c r="N15559" s="841"/>
      <c r="O15559" s="841"/>
      <c r="P15559" s="841" t="s">
        <v>5115</v>
      </c>
      <c r="Q15559" s="1357"/>
      <c r="R15559" s="841"/>
      <c r="S15559" s="841"/>
      <c r="T15559" s="1420"/>
      <c r="U15559" s="841"/>
      <c r="V15559" s="1357">
        <v>47</v>
      </c>
    </row>
    <row r="15560" spans="1:22" ht="18" customHeight="1" x14ac:dyDescent="0.25">
      <c r="A15560" s="841" t="s">
        <v>176</v>
      </c>
      <c r="B15560" s="841"/>
      <c r="C15560" s="841"/>
      <c r="D15560" s="841"/>
      <c r="E15560" s="1690" t="s">
        <v>217</v>
      </c>
      <c r="F15560" s="1690"/>
      <c r="G15560" s="1358" t="s">
        <v>24</v>
      </c>
      <c r="H15560" s="606">
        <v>5.0000000000000001E-3</v>
      </c>
      <c r="I15560" s="841"/>
      <c r="J15560" s="841"/>
      <c r="K15560" s="841" t="s">
        <v>5110</v>
      </c>
      <c r="L15560" s="1357" t="s">
        <v>444</v>
      </c>
      <c r="M15560" s="841"/>
      <c r="N15560" s="841"/>
      <c r="O15560" s="841"/>
      <c r="P15560" s="841" t="s">
        <v>5116</v>
      </c>
      <c r="Q15560" s="1357"/>
      <c r="R15560" s="841"/>
      <c r="S15560" s="841"/>
      <c r="T15560" s="1420"/>
      <c r="U15560" s="841"/>
      <c r="V15560" s="1357">
        <v>74</v>
      </c>
    </row>
    <row r="15561" spans="1:22" ht="18" customHeight="1" x14ac:dyDescent="0.25">
      <c r="A15561" s="841" t="s">
        <v>176</v>
      </c>
      <c r="B15561" s="841"/>
      <c r="C15561" s="841"/>
      <c r="D15561" s="841"/>
      <c r="E15561" s="1906" t="s">
        <v>3079</v>
      </c>
      <c r="F15561" s="1690"/>
      <c r="G15561" s="1440"/>
      <c r="H15561" s="720"/>
      <c r="I15561" s="841"/>
      <c r="J15561" s="841"/>
      <c r="K15561" s="841" t="s">
        <v>3093</v>
      </c>
      <c r="L15561" s="1357"/>
      <c r="M15561" s="841"/>
      <c r="N15561" s="841"/>
      <c r="O15561" s="841"/>
      <c r="P15561" s="841"/>
      <c r="Q15561" s="1357"/>
      <c r="R15561" s="841"/>
      <c r="S15561" s="841"/>
      <c r="T15561" s="1420"/>
      <c r="U15561" s="841"/>
      <c r="V15561" s="1357">
        <v>48</v>
      </c>
    </row>
    <row r="15562" spans="1:22" ht="18" customHeight="1" x14ac:dyDescent="0.25">
      <c r="A15562" s="841" t="s">
        <v>176</v>
      </c>
      <c r="B15562" s="841"/>
      <c r="C15562" s="841"/>
      <c r="D15562" s="841"/>
      <c r="E15562" s="1690" t="s">
        <v>2449</v>
      </c>
      <c r="F15562" s="1690"/>
      <c r="G15562" s="1358" t="s">
        <v>24</v>
      </c>
      <c r="H15562" s="606">
        <v>3.2000000000000002E-3</v>
      </c>
      <c r="I15562" s="841"/>
      <c r="J15562" s="841"/>
      <c r="K15562" s="841" t="s">
        <v>5110</v>
      </c>
      <c r="L15562" s="1357" t="s">
        <v>3046</v>
      </c>
      <c r="M15562" s="841"/>
      <c r="N15562" s="841"/>
      <c r="O15562" s="841"/>
      <c r="P15562" s="841" t="s">
        <v>5117</v>
      </c>
      <c r="Q15562" s="1357"/>
      <c r="R15562" s="841"/>
      <c r="S15562" s="841"/>
      <c r="T15562" s="1420"/>
      <c r="U15562" s="841"/>
      <c r="V15562" s="1357">
        <v>55</v>
      </c>
    </row>
    <row r="15563" spans="1:22" ht="18" customHeight="1" x14ac:dyDescent="0.25">
      <c r="A15563" s="841" t="s">
        <v>176</v>
      </c>
      <c r="B15563" s="841"/>
      <c r="C15563" s="841"/>
      <c r="D15563" s="841"/>
      <c r="E15563" s="1690" t="s">
        <v>2450</v>
      </c>
      <c r="F15563" s="1690"/>
      <c r="G15563" s="1358" t="s">
        <v>24</v>
      </c>
      <c r="H15563" s="606">
        <v>4.0000000000000002E-4</v>
      </c>
      <c r="I15563" s="841"/>
      <c r="J15563" s="841"/>
      <c r="K15563" s="841" t="s">
        <v>5110</v>
      </c>
      <c r="L15563" s="1357" t="s">
        <v>3046</v>
      </c>
      <c r="M15563" s="841"/>
      <c r="N15563" s="841"/>
      <c r="O15563" s="841"/>
      <c r="P15563" s="841" t="s">
        <v>5117</v>
      </c>
      <c r="Q15563" s="1357"/>
      <c r="R15563" s="841"/>
      <c r="S15563" s="841"/>
      <c r="T15563" s="1420"/>
      <c r="U15563" s="841"/>
      <c r="V15563" s="1357">
        <v>65</v>
      </c>
    </row>
    <row r="15564" spans="1:22" ht="18" customHeight="1" x14ac:dyDescent="0.25">
      <c r="A15564" s="841" t="s">
        <v>176</v>
      </c>
      <c r="B15564" s="841"/>
      <c r="C15564" s="841"/>
      <c r="D15564" s="841"/>
      <c r="E15564" s="1690" t="s">
        <v>439</v>
      </c>
      <c r="F15564" s="1690"/>
      <c r="G15564" s="1358" t="s">
        <v>24</v>
      </c>
      <c r="H15564" s="606">
        <v>2.9999999999999997E-4</v>
      </c>
      <c r="I15564" s="841"/>
      <c r="J15564" s="841"/>
      <c r="K15564" s="841" t="s">
        <v>5110</v>
      </c>
      <c r="L15564" s="1357" t="s">
        <v>3046</v>
      </c>
      <c r="M15564" s="841"/>
      <c r="N15564" s="841"/>
      <c r="O15564" s="841"/>
      <c r="P15564" s="841" t="s">
        <v>5118</v>
      </c>
      <c r="Q15564" s="1357"/>
      <c r="R15564" s="841"/>
      <c r="S15564" s="841"/>
      <c r="T15564" s="1420"/>
      <c r="U15564" s="841"/>
      <c r="V15564" s="1357">
        <v>57</v>
      </c>
    </row>
    <row r="15565" spans="1:22" ht="18" customHeight="1" x14ac:dyDescent="0.25">
      <c r="A15565" s="841" t="s">
        <v>176</v>
      </c>
      <c r="B15565" s="841"/>
      <c r="C15565" s="841"/>
      <c r="D15565" s="841"/>
      <c r="E15565" s="1690" t="s">
        <v>32</v>
      </c>
      <c r="F15565" s="1690"/>
      <c r="G15565" s="1358" t="s">
        <v>23</v>
      </c>
      <c r="H15565" s="600">
        <v>0.25</v>
      </c>
      <c r="I15565" s="841"/>
      <c r="J15565" s="841"/>
      <c r="K15565" s="841" t="s">
        <v>5110</v>
      </c>
      <c r="L15565" s="1357" t="s">
        <v>3046</v>
      </c>
      <c r="M15565" s="841"/>
      <c r="N15565" s="841"/>
      <c r="O15565" s="841"/>
      <c r="P15565" s="841" t="s">
        <v>5119</v>
      </c>
      <c r="Q15565" s="1357"/>
      <c r="R15565" s="841"/>
      <c r="S15565" s="841"/>
      <c r="T15565" s="1420"/>
      <c r="U15565" s="841"/>
      <c r="V15565" s="1357">
        <v>63</v>
      </c>
    </row>
    <row r="15566" spans="1:22" ht="18" customHeight="1" x14ac:dyDescent="0.25">
      <c r="A15566" s="841" t="s">
        <v>176</v>
      </c>
      <c r="B15566" s="841"/>
      <c r="C15566" s="841"/>
      <c r="D15566" s="841"/>
      <c r="E15566" s="1909" t="s">
        <v>616</v>
      </c>
      <c r="F15566" s="1697"/>
      <c r="G15566" s="1697"/>
      <c r="H15566" s="1697"/>
      <c r="I15566" s="841"/>
      <c r="J15566" s="841"/>
      <c r="K15566" s="841" t="s">
        <v>6095</v>
      </c>
      <c r="L15566" s="1357"/>
      <c r="M15566" s="841"/>
      <c r="N15566" s="841"/>
      <c r="O15566" s="841"/>
      <c r="P15566" s="841"/>
      <c r="Q15566" s="1357"/>
      <c r="R15566" s="841"/>
      <c r="S15566" s="841"/>
      <c r="T15566" s="1420"/>
      <c r="U15566" s="841"/>
      <c r="V15566" s="1357">
        <v>53</v>
      </c>
    </row>
    <row r="15567" spans="1:22" ht="18" customHeight="1" x14ac:dyDescent="0.25">
      <c r="A15567" s="841" t="s">
        <v>176</v>
      </c>
      <c r="B15567" s="841"/>
      <c r="C15567" s="841"/>
      <c r="D15567" s="841"/>
      <c r="E15567" s="1689" t="s">
        <v>6882</v>
      </c>
      <c r="F15567" s="1689"/>
      <c r="G15567" s="1689"/>
      <c r="H15567" s="1689"/>
      <c r="I15567" s="841"/>
      <c r="J15567" s="841"/>
      <c r="K15567" s="841" t="s">
        <v>6095</v>
      </c>
      <c r="L15567" s="1357"/>
      <c r="M15567" s="841"/>
      <c r="N15567" s="841"/>
      <c r="O15567" s="841"/>
      <c r="P15567" s="841"/>
      <c r="Q15567" s="1357"/>
      <c r="R15567" s="841"/>
      <c r="S15567" s="841"/>
      <c r="T15567" s="1420"/>
      <c r="U15567" s="841"/>
      <c r="V15567" s="1357">
        <v>387</v>
      </c>
    </row>
    <row r="15568" spans="1:22" ht="18" customHeight="1" x14ac:dyDescent="0.25">
      <c r="A15568" s="841" t="s">
        <v>176</v>
      </c>
      <c r="B15568" s="841"/>
      <c r="C15568" s="841"/>
      <c r="D15568" s="841"/>
      <c r="E15568" s="1910" t="s">
        <v>3061</v>
      </c>
      <c r="F15568" s="1697"/>
      <c r="G15568" s="1697"/>
      <c r="H15568" s="1697"/>
      <c r="I15568" s="841"/>
      <c r="J15568" s="841"/>
      <c r="K15568" s="841" t="s">
        <v>3098</v>
      </c>
      <c r="L15568" s="1357"/>
      <c r="M15568" s="841"/>
      <c r="N15568" s="841"/>
      <c r="O15568" s="841"/>
      <c r="P15568" s="841"/>
      <c r="Q15568" s="1357"/>
      <c r="R15568" s="841"/>
      <c r="S15568" s="841"/>
      <c r="T15568" s="1420"/>
      <c r="U15568" s="841"/>
      <c r="V15568" s="1357">
        <v>11</v>
      </c>
    </row>
    <row r="15569" spans="1:22" ht="18" customHeight="1" x14ac:dyDescent="0.25">
      <c r="A15569" s="841" t="s">
        <v>176</v>
      </c>
      <c r="B15569" s="841"/>
      <c r="C15569" s="841"/>
      <c r="D15569" s="841"/>
      <c r="E15569" s="1689" t="s">
        <v>3493</v>
      </c>
      <c r="F15569" s="1689"/>
      <c r="G15569" s="1689"/>
      <c r="H15569" s="1689"/>
      <c r="I15569" s="841"/>
      <c r="J15569" s="841"/>
      <c r="K15569" s="841" t="s">
        <v>6095</v>
      </c>
      <c r="L15569" s="1357"/>
      <c r="M15569" s="841"/>
      <c r="N15569" s="841"/>
      <c r="O15569" s="841"/>
      <c r="P15569" s="841"/>
      <c r="Q15569" s="1357"/>
      <c r="R15569" s="841"/>
      <c r="S15569" s="841"/>
      <c r="T15569" s="1420"/>
      <c r="U15569" s="841"/>
      <c r="V15569" s="1357">
        <v>272</v>
      </c>
    </row>
    <row r="15570" spans="1:22" ht="18" customHeight="1" x14ac:dyDescent="0.25">
      <c r="A15570" s="841" t="s">
        <v>176</v>
      </c>
      <c r="B15570" s="841"/>
      <c r="C15570" s="841"/>
      <c r="D15570" s="841"/>
      <c r="E15570" s="1689" t="s">
        <v>3494</v>
      </c>
      <c r="F15570" s="1689"/>
      <c r="G15570" s="1689"/>
      <c r="H15570" s="1689"/>
      <c r="I15570" s="841"/>
      <c r="J15570" s="841"/>
      <c r="K15570" s="841" t="s">
        <v>6095</v>
      </c>
      <c r="L15570" s="1357"/>
      <c r="M15570" s="841"/>
      <c r="N15570" s="841"/>
      <c r="O15570" s="841"/>
      <c r="P15570" s="841"/>
      <c r="Q15570" s="1357"/>
      <c r="R15570" s="841"/>
      <c r="S15570" s="841"/>
      <c r="T15570" s="1420"/>
      <c r="U15570" s="841"/>
      <c r="V15570" s="1357">
        <v>403</v>
      </c>
    </row>
    <row r="15571" spans="1:22" ht="18" customHeight="1" x14ac:dyDescent="0.25">
      <c r="A15571" s="841" t="s">
        <v>176</v>
      </c>
      <c r="B15571" s="841"/>
      <c r="C15571" s="841"/>
      <c r="D15571" s="841"/>
      <c r="E15571" s="1689" t="s">
        <v>3199</v>
      </c>
      <c r="F15571" s="1689"/>
      <c r="G15571" s="1689"/>
      <c r="H15571" s="1689"/>
      <c r="I15571" s="841"/>
      <c r="J15571" s="841"/>
      <c r="K15571" s="841" t="s">
        <v>6095</v>
      </c>
      <c r="L15571" s="1357"/>
      <c r="M15571" s="841"/>
      <c r="N15571" s="841"/>
      <c r="O15571" s="841"/>
      <c r="P15571" s="841"/>
      <c r="Q15571" s="1357"/>
      <c r="R15571" s="841"/>
      <c r="S15571" s="841"/>
      <c r="T15571" s="1420"/>
      <c r="U15571" s="841"/>
      <c r="V15571" s="1357">
        <v>386</v>
      </c>
    </row>
    <row r="15572" spans="1:22" ht="18" customHeight="1" x14ac:dyDescent="0.25">
      <c r="A15572" s="841" t="s">
        <v>176</v>
      </c>
      <c r="B15572" s="841"/>
      <c r="C15572" s="841"/>
      <c r="D15572" s="841"/>
      <c r="E15572" s="1689" t="s">
        <v>3200</v>
      </c>
      <c r="F15572" s="1689"/>
      <c r="G15572" s="1689"/>
      <c r="H15572" s="1689"/>
      <c r="I15572" s="841"/>
      <c r="J15572" s="841"/>
      <c r="K15572" s="841" t="s">
        <v>6095</v>
      </c>
      <c r="L15572" s="1357"/>
      <c r="M15572" s="841"/>
      <c r="N15572" s="841"/>
      <c r="O15572" s="841"/>
      <c r="P15572" s="841"/>
      <c r="Q15572" s="1357"/>
      <c r="R15572" s="841"/>
      <c r="S15572" s="841"/>
      <c r="T15572" s="1420"/>
      <c r="U15572" s="841"/>
      <c r="V15572" s="1357">
        <v>275</v>
      </c>
    </row>
    <row r="15573" spans="1:22" ht="18" customHeight="1" x14ac:dyDescent="0.25">
      <c r="A15573" s="841" t="s">
        <v>176</v>
      </c>
      <c r="B15573" s="841"/>
      <c r="C15573" s="841"/>
      <c r="D15573" s="841"/>
      <c r="E15573" s="1906" t="s">
        <v>3067</v>
      </c>
      <c r="F15573" s="1907"/>
      <c r="G15573" s="1907"/>
      <c r="H15573" s="1907"/>
      <c r="I15573" s="841"/>
      <c r="J15573" s="841"/>
      <c r="K15573" s="841" t="s">
        <v>3099</v>
      </c>
      <c r="L15573" s="1357"/>
      <c r="M15573" s="841"/>
      <c r="N15573" s="841"/>
      <c r="O15573" s="841"/>
      <c r="P15573" s="841"/>
      <c r="Q15573" s="1357"/>
      <c r="R15573" s="841"/>
      <c r="S15573" s="841"/>
      <c r="T15573" s="1420"/>
      <c r="U15573" s="841"/>
      <c r="V15573" s="1357">
        <v>46</v>
      </c>
    </row>
    <row r="15574" spans="1:22" ht="18" customHeight="1" x14ac:dyDescent="0.25">
      <c r="A15574" s="841" t="s">
        <v>176</v>
      </c>
      <c r="B15574" s="841"/>
      <c r="C15574" s="841"/>
      <c r="D15574" s="841"/>
      <c r="E15574" s="1690" t="s">
        <v>11</v>
      </c>
      <c r="F15574" s="1690"/>
      <c r="G15574" s="1358" t="s">
        <v>23</v>
      </c>
      <c r="H15574" s="600">
        <v>199.45</v>
      </c>
      <c r="I15574" s="841"/>
      <c r="J15574" s="841"/>
      <c r="K15574" s="841" t="s">
        <v>6095</v>
      </c>
      <c r="L15574" s="1357" t="s">
        <v>442</v>
      </c>
      <c r="M15574" s="841"/>
      <c r="N15574" s="841"/>
      <c r="O15574" s="841"/>
      <c r="P15574" s="841" t="s">
        <v>6096</v>
      </c>
      <c r="Q15574" s="1357"/>
      <c r="R15574" s="841"/>
      <c r="S15574" s="841"/>
      <c r="T15574" s="1420"/>
      <c r="U15574" s="841"/>
      <c r="V15574" s="1357">
        <v>14</v>
      </c>
    </row>
    <row r="15575" spans="1:22" ht="18" customHeight="1" x14ac:dyDescent="0.25">
      <c r="A15575" s="841" t="s">
        <v>176</v>
      </c>
      <c r="B15575" s="841"/>
      <c r="C15575" s="841"/>
      <c r="D15575" s="841"/>
      <c r="E15575" s="1690" t="s">
        <v>84</v>
      </c>
      <c r="F15575" s="1690"/>
      <c r="G15575" s="1358" t="s">
        <v>33</v>
      </c>
      <c r="H15575" s="606">
        <v>4.2386999999999997</v>
      </c>
      <c r="I15575" s="841"/>
      <c r="J15575" s="841"/>
      <c r="K15575" s="841" t="s">
        <v>6095</v>
      </c>
      <c r="L15575" s="1357" t="s">
        <v>442</v>
      </c>
      <c r="M15575" s="841"/>
      <c r="N15575" s="841"/>
      <c r="O15575" s="841"/>
      <c r="P15575" s="841" t="s">
        <v>6097</v>
      </c>
      <c r="Q15575" s="1357"/>
      <c r="R15575" s="841"/>
      <c r="S15575" s="841"/>
      <c r="T15575" s="1420"/>
      <c r="U15575" s="841"/>
      <c r="V15575" s="1357">
        <v>28</v>
      </c>
    </row>
    <row r="15576" spans="1:22" ht="18" customHeight="1" x14ac:dyDescent="0.25">
      <c r="A15576" s="841" t="s">
        <v>176</v>
      </c>
      <c r="B15576" s="841"/>
      <c r="C15576" s="841"/>
      <c r="D15576" s="841"/>
      <c r="E15576" s="1690" t="s">
        <v>18</v>
      </c>
      <c r="F15576" s="1690"/>
      <c r="G15576" s="1358" t="s">
        <v>33</v>
      </c>
      <c r="H15576" s="606">
        <v>1.0823</v>
      </c>
      <c r="I15576" s="841"/>
      <c r="J15576" s="841"/>
      <c r="K15576" s="841" t="s">
        <v>6095</v>
      </c>
      <c r="L15576" s="1357" t="s">
        <v>443</v>
      </c>
      <c r="M15576" s="841"/>
      <c r="N15576" s="841"/>
      <c r="O15576" s="841"/>
      <c r="P15576" s="841" t="s">
        <v>6098</v>
      </c>
      <c r="Q15576" s="1357"/>
      <c r="R15576" s="841"/>
      <c r="S15576" s="841"/>
      <c r="T15576" s="1420"/>
      <c r="U15576" s="841"/>
      <c r="V15576" s="1357">
        <v>24</v>
      </c>
    </row>
    <row r="15577" spans="1:22" ht="18" customHeight="1" x14ac:dyDescent="0.25">
      <c r="A15577" s="841" t="s">
        <v>176</v>
      </c>
      <c r="B15577" s="841"/>
      <c r="C15577" s="841"/>
      <c r="D15577" s="841"/>
      <c r="E15577" s="1690" t="s">
        <v>6877</v>
      </c>
      <c r="F15577" s="1908"/>
      <c r="G15577" s="1358" t="s">
        <v>33</v>
      </c>
      <c r="H15577" s="606">
        <v>0.23089999999999999</v>
      </c>
      <c r="I15577" s="841"/>
      <c r="J15577" s="841"/>
      <c r="K15577" s="841" t="s">
        <v>6095</v>
      </c>
      <c r="L15577" s="1357" t="s">
        <v>443</v>
      </c>
      <c r="M15577" s="841"/>
      <c r="N15577" s="841"/>
      <c r="O15577" s="841"/>
      <c r="P15577" s="841" t="s">
        <v>6105</v>
      </c>
      <c r="Q15577" s="1357"/>
      <c r="R15577" s="841"/>
      <c r="S15577" s="841"/>
      <c r="T15577" s="1420">
        <v>44196</v>
      </c>
      <c r="U15577" s="841"/>
      <c r="V15577" s="1357">
        <v>99</v>
      </c>
    </row>
    <row r="15578" spans="1:22" ht="18" customHeight="1" x14ac:dyDescent="0.25">
      <c r="A15578" s="841" t="s">
        <v>176</v>
      </c>
      <c r="B15578" s="841"/>
      <c r="C15578" s="841"/>
      <c r="D15578" s="841"/>
      <c r="E15578" s="1690" t="s">
        <v>6878</v>
      </c>
      <c r="F15578" s="1908"/>
      <c r="G15578" s="1358" t="s">
        <v>24</v>
      </c>
      <c r="H15578" s="606">
        <v>-8.0000000000000004E-4</v>
      </c>
      <c r="I15578" s="841"/>
      <c r="J15578" s="841"/>
      <c r="K15578" s="841" t="s">
        <v>6095</v>
      </c>
      <c r="L15578" s="1357" t="s">
        <v>443</v>
      </c>
      <c r="M15578" s="841"/>
      <c r="N15578" s="841"/>
      <c r="O15578" s="841"/>
      <c r="P15578" s="841" t="s">
        <v>6104</v>
      </c>
      <c r="Q15578" s="1357"/>
      <c r="R15578" s="841"/>
      <c r="S15578" s="841"/>
      <c r="T15578" s="1420">
        <v>44196</v>
      </c>
      <c r="U15578" s="841"/>
      <c r="V15578" s="1357">
        <v>141</v>
      </c>
    </row>
    <row r="15579" spans="1:22" ht="18" customHeight="1" x14ac:dyDescent="0.25">
      <c r="A15579" s="841" t="s">
        <v>176</v>
      </c>
      <c r="B15579" s="841"/>
      <c r="C15579" s="841"/>
      <c r="D15579" s="841"/>
      <c r="E15579" s="1690" t="s">
        <v>6876</v>
      </c>
      <c r="F15579" s="1908"/>
      <c r="G15579" s="1358" t="s">
        <v>33</v>
      </c>
      <c r="H15579" s="606">
        <v>6.9599999999999995E-2</v>
      </c>
      <c r="I15579" s="841"/>
      <c r="J15579" s="841"/>
      <c r="K15579" s="841" t="s">
        <v>6095</v>
      </c>
      <c r="L15579" s="1357" t="s">
        <v>442</v>
      </c>
      <c r="M15579" s="841"/>
      <c r="N15579" s="841"/>
      <c r="O15579" s="841"/>
      <c r="P15579" s="841" t="s">
        <v>6105</v>
      </c>
      <c r="Q15579" s="1357"/>
      <c r="R15579" s="841"/>
      <c r="S15579" s="841"/>
      <c r="T15579" s="1420">
        <v>44196</v>
      </c>
      <c r="U15579" s="841"/>
      <c r="V15579" s="1357">
        <v>107</v>
      </c>
    </row>
    <row r="15580" spans="1:22" ht="18" customHeight="1" x14ac:dyDescent="0.25">
      <c r="A15580" s="841" t="s">
        <v>176</v>
      </c>
      <c r="B15580" s="841"/>
      <c r="C15580" s="841"/>
      <c r="D15580" s="841"/>
      <c r="E15580" s="1690" t="s">
        <v>6883</v>
      </c>
      <c r="F15580" s="1908"/>
      <c r="G15580" s="1358" t="s">
        <v>33</v>
      </c>
      <c r="H15580" s="606">
        <v>-3.1800000000000002E-2</v>
      </c>
      <c r="I15580" s="841"/>
      <c r="J15580" s="841"/>
      <c r="K15580" s="841" t="s">
        <v>6095</v>
      </c>
      <c r="L15580" s="1357" t="s">
        <v>442</v>
      </c>
      <c r="M15580" s="841"/>
      <c r="N15580" s="841"/>
      <c r="O15580" s="841"/>
      <c r="P15580" s="841" t="s">
        <v>6111</v>
      </c>
      <c r="Q15580" s="1357"/>
      <c r="R15580" s="841"/>
      <c r="S15580" s="841"/>
      <c r="T15580" s="1420">
        <v>44196</v>
      </c>
      <c r="U15580" s="841"/>
      <c r="V15580" s="1357">
        <v>137</v>
      </c>
    </row>
    <row r="15581" spans="1:22" ht="18" customHeight="1" x14ac:dyDescent="0.25">
      <c r="A15581" s="841" t="s">
        <v>176</v>
      </c>
      <c r="B15581" s="841"/>
      <c r="C15581" s="841"/>
      <c r="D15581" s="841"/>
      <c r="E15581" s="1690" t="s">
        <v>221</v>
      </c>
      <c r="F15581" s="1690"/>
      <c r="G15581" s="1358" t="s">
        <v>33</v>
      </c>
      <c r="H15581" s="606">
        <v>2.6516999999999999</v>
      </c>
      <c r="I15581" s="841"/>
      <c r="J15581" s="841"/>
      <c r="K15581" s="841" t="s">
        <v>6095</v>
      </c>
      <c r="L15581" s="1357" t="s">
        <v>444</v>
      </c>
      <c r="M15581" s="841"/>
      <c r="N15581" s="841"/>
      <c r="O15581" s="841"/>
      <c r="P15581" s="841" t="s">
        <v>6099</v>
      </c>
      <c r="Q15581" s="1357"/>
      <c r="R15581" s="841"/>
      <c r="S15581" s="841"/>
      <c r="T15581" s="1420"/>
      <c r="U15581" s="841"/>
      <c r="V15581" s="1357">
        <v>47</v>
      </c>
    </row>
    <row r="15582" spans="1:22" ht="18" customHeight="1" x14ac:dyDescent="0.25">
      <c r="A15582" s="841" t="s">
        <v>176</v>
      </c>
      <c r="B15582" s="841"/>
      <c r="C15582" s="841"/>
      <c r="D15582" s="841"/>
      <c r="E15582" s="1690" t="s">
        <v>217</v>
      </c>
      <c r="F15582" s="1690"/>
      <c r="G15582" s="1358" t="s">
        <v>33</v>
      </c>
      <c r="H15582" s="606">
        <v>2.0426000000000002</v>
      </c>
      <c r="I15582" s="841"/>
      <c r="J15582" s="841"/>
      <c r="K15582" s="841" t="s">
        <v>6095</v>
      </c>
      <c r="L15582" s="1357" t="s">
        <v>444</v>
      </c>
      <c r="M15582" s="841"/>
      <c r="N15582" s="841"/>
      <c r="O15582" s="841"/>
      <c r="P15582" s="841" t="s">
        <v>6100</v>
      </c>
      <c r="Q15582" s="1357"/>
      <c r="R15582" s="841"/>
      <c r="S15582" s="841"/>
      <c r="T15582" s="1420"/>
      <c r="U15582" s="841"/>
      <c r="V15582" s="1357">
        <v>74</v>
      </c>
    </row>
    <row r="15583" spans="1:22" ht="18" customHeight="1" x14ac:dyDescent="0.25">
      <c r="A15583" s="841" t="s">
        <v>176</v>
      </c>
      <c r="B15583" s="841"/>
      <c r="C15583" s="841"/>
      <c r="D15583" s="841"/>
      <c r="E15583" s="1906" t="s">
        <v>3079</v>
      </c>
      <c r="F15583" s="1690"/>
      <c r="G15583" s="1440"/>
      <c r="H15583" s="720"/>
      <c r="I15583" s="841"/>
      <c r="J15583" s="841"/>
      <c r="K15583" s="841" t="s">
        <v>3218</v>
      </c>
      <c r="L15583" s="1357"/>
      <c r="M15583" s="841"/>
      <c r="N15583" s="841"/>
      <c r="O15583" s="841"/>
      <c r="P15583" s="841"/>
      <c r="Q15583" s="1357"/>
      <c r="R15583" s="841"/>
      <c r="S15583" s="841"/>
      <c r="T15583" s="1420"/>
      <c r="U15583" s="841"/>
      <c r="V15583" s="1357">
        <v>48</v>
      </c>
    </row>
    <row r="15584" spans="1:22" ht="18" customHeight="1" x14ac:dyDescent="0.25">
      <c r="A15584" s="841" t="s">
        <v>176</v>
      </c>
      <c r="B15584" s="841"/>
      <c r="C15584" s="841"/>
      <c r="D15584" s="841"/>
      <c r="E15584" s="1690" t="s">
        <v>2449</v>
      </c>
      <c r="F15584" s="1690"/>
      <c r="G15584" s="1358" t="s">
        <v>24</v>
      </c>
      <c r="H15584" s="606">
        <v>3.2000000000000002E-3</v>
      </c>
      <c r="I15584" s="841"/>
      <c r="J15584" s="841"/>
      <c r="K15584" s="841" t="s">
        <v>6095</v>
      </c>
      <c r="L15584" s="1357" t="s">
        <v>3046</v>
      </c>
      <c r="M15584" s="841"/>
      <c r="N15584" s="841"/>
      <c r="O15584" s="841"/>
      <c r="P15584" s="841" t="s">
        <v>6101</v>
      </c>
      <c r="Q15584" s="1357"/>
      <c r="R15584" s="841"/>
      <c r="S15584" s="841"/>
      <c r="T15584" s="1420"/>
      <c r="U15584" s="841"/>
      <c r="V15584" s="1357">
        <v>55</v>
      </c>
    </row>
    <row r="15585" spans="1:22" ht="18" customHeight="1" x14ac:dyDescent="0.25">
      <c r="A15585" s="841" t="s">
        <v>176</v>
      </c>
      <c r="B15585" s="841"/>
      <c r="C15585" s="841"/>
      <c r="D15585" s="841"/>
      <c r="E15585" s="1690" t="s">
        <v>2450</v>
      </c>
      <c r="F15585" s="1690"/>
      <c r="G15585" s="1358" t="s">
        <v>24</v>
      </c>
      <c r="H15585" s="606">
        <v>4.0000000000000002E-4</v>
      </c>
      <c r="I15585" s="841"/>
      <c r="J15585" s="841"/>
      <c r="K15585" s="841" t="s">
        <v>6095</v>
      </c>
      <c r="L15585" s="1357" t="s">
        <v>3046</v>
      </c>
      <c r="M15585" s="841"/>
      <c r="N15585" s="841"/>
      <c r="O15585" s="841"/>
      <c r="P15585" s="841" t="s">
        <v>6101</v>
      </c>
      <c r="Q15585" s="1357"/>
      <c r="R15585" s="841"/>
      <c r="S15585" s="841"/>
      <c r="T15585" s="1420"/>
      <c r="U15585" s="841"/>
      <c r="V15585" s="1357">
        <v>65</v>
      </c>
    </row>
    <row r="15586" spans="1:22" ht="18" customHeight="1" x14ac:dyDescent="0.25">
      <c r="A15586" s="841" t="s">
        <v>176</v>
      </c>
      <c r="B15586" s="841"/>
      <c r="C15586" s="841"/>
      <c r="D15586" s="841"/>
      <c r="E15586" s="1690" t="s">
        <v>439</v>
      </c>
      <c r="F15586" s="1690"/>
      <c r="G15586" s="1358" t="s">
        <v>24</v>
      </c>
      <c r="H15586" s="606">
        <v>2.9999999999999997E-4</v>
      </c>
      <c r="I15586" s="841"/>
      <c r="J15586" s="841"/>
      <c r="K15586" s="841" t="s">
        <v>6095</v>
      </c>
      <c r="L15586" s="1357" t="s">
        <v>3046</v>
      </c>
      <c r="M15586" s="841"/>
      <c r="N15586" s="841"/>
      <c r="O15586" s="841"/>
      <c r="P15586" s="841" t="s">
        <v>6102</v>
      </c>
      <c r="Q15586" s="1357"/>
      <c r="R15586" s="841"/>
      <c r="S15586" s="841"/>
      <c r="T15586" s="1420"/>
      <c r="U15586" s="841"/>
      <c r="V15586" s="1357">
        <v>57</v>
      </c>
    </row>
    <row r="15587" spans="1:22" ht="18" customHeight="1" x14ac:dyDescent="0.25">
      <c r="A15587" s="841" t="s">
        <v>176</v>
      </c>
      <c r="B15587" s="841"/>
      <c r="C15587" s="841"/>
      <c r="D15587" s="841"/>
      <c r="E15587" s="1690" t="s">
        <v>32</v>
      </c>
      <c r="F15587" s="1690"/>
      <c r="G15587" s="1358" t="s">
        <v>23</v>
      </c>
      <c r="H15587" s="600">
        <v>0.25</v>
      </c>
      <c r="I15587" s="841"/>
      <c r="J15587" s="841"/>
      <c r="K15587" s="841" t="s">
        <v>6095</v>
      </c>
      <c r="L15587" s="1357" t="s">
        <v>3046</v>
      </c>
      <c r="M15587" s="841"/>
      <c r="N15587" s="841"/>
      <c r="O15587" s="841"/>
      <c r="P15587" s="841" t="s">
        <v>6103</v>
      </c>
      <c r="Q15587" s="1357"/>
      <c r="R15587" s="841"/>
      <c r="S15587" s="841"/>
      <c r="T15587" s="1420"/>
      <c r="U15587" s="841"/>
      <c r="V15587" s="1357">
        <v>63</v>
      </c>
    </row>
    <row r="15588" spans="1:22" ht="18" customHeight="1" x14ac:dyDescent="0.25">
      <c r="A15588" s="841" t="s">
        <v>176</v>
      </c>
      <c r="B15588" s="841"/>
      <c r="C15588" s="841"/>
      <c r="D15588" s="841"/>
      <c r="E15588" s="1909" t="s">
        <v>617</v>
      </c>
      <c r="F15588" s="1697"/>
      <c r="G15588" s="1697"/>
      <c r="H15588" s="1697"/>
      <c r="I15588" s="841"/>
      <c r="J15588" s="841"/>
      <c r="K15588" s="841" t="s">
        <v>3406</v>
      </c>
      <c r="L15588" s="1357"/>
      <c r="M15588" s="841"/>
      <c r="N15588" s="841"/>
      <c r="O15588" s="841"/>
      <c r="P15588" s="841"/>
      <c r="Q15588" s="1357"/>
      <c r="R15588" s="841"/>
      <c r="S15588" s="841"/>
      <c r="T15588" s="1420"/>
      <c r="U15588" s="841"/>
      <c r="V15588" s="1357">
        <v>47</v>
      </c>
    </row>
    <row r="15589" spans="1:22" ht="18" customHeight="1" x14ac:dyDescent="0.25">
      <c r="A15589" s="841" t="s">
        <v>176</v>
      </c>
      <c r="B15589" s="841"/>
      <c r="C15589" s="841"/>
      <c r="D15589" s="841"/>
      <c r="E15589" s="1689" t="s">
        <v>6884</v>
      </c>
      <c r="F15589" s="1689"/>
      <c r="G15589" s="1689"/>
      <c r="H15589" s="1689"/>
      <c r="I15589" s="841"/>
      <c r="J15589" s="841"/>
      <c r="K15589" s="841" t="s">
        <v>3406</v>
      </c>
      <c r="L15589" s="1357"/>
      <c r="M15589" s="841"/>
      <c r="N15589" s="841"/>
      <c r="O15589" s="841"/>
      <c r="P15589" s="841"/>
      <c r="Q15589" s="1357"/>
      <c r="R15589" s="841"/>
      <c r="S15589" s="841"/>
      <c r="T15589" s="1420"/>
      <c r="U15589" s="841"/>
      <c r="V15589" s="1357">
        <v>721</v>
      </c>
    </row>
    <row r="15590" spans="1:22" ht="18" customHeight="1" x14ac:dyDescent="0.25">
      <c r="A15590" s="841" t="s">
        <v>176</v>
      </c>
      <c r="B15590" s="841"/>
      <c r="C15590" s="841"/>
      <c r="D15590" s="841"/>
      <c r="E15590" s="1910" t="s">
        <v>3061</v>
      </c>
      <c r="F15590" s="1697"/>
      <c r="G15590" s="1697"/>
      <c r="H15590" s="1697"/>
      <c r="I15590" s="841"/>
      <c r="J15590" s="841"/>
      <c r="K15590" s="841" t="s">
        <v>3221</v>
      </c>
      <c r="L15590" s="1357"/>
      <c r="M15590" s="841"/>
      <c r="N15590" s="841"/>
      <c r="O15590" s="841"/>
      <c r="P15590" s="841"/>
      <c r="Q15590" s="1357"/>
      <c r="R15590" s="841"/>
      <c r="S15590" s="841"/>
      <c r="T15590" s="1420"/>
      <c r="U15590" s="841"/>
      <c r="V15590" s="1357">
        <v>11</v>
      </c>
    </row>
    <row r="15591" spans="1:22" ht="18" customHeight="1" x14ac:dyDescent="0.25">
      <c r="A15591" s="841" t="s">
        <v>176</v>
      </c>
      <c r="B15591" s="841"/>
      <c r="C15591" s="841"/>
      <c r="D15591" s="841"/>
      <c r="E15591" s="1689" t="s">
        <v>3493</v>
      </c>
      <c r="F15591" s="1689"/>
      <c r="G15591" s="1689"/>
      <c r="H15591" s="1689"/>
      <c r="I15591" s="841"/>
      <c r="J15591" s="841"/>
      <c r="K15591" s="841" t="s">
        <v>3406</v>
      </c>
      <c r="L15591" s="1357"/>
      <c r="M15591" s="841"/>
      <c r="N15591" s="841"/>
      <c r="O15591" s="841"/>
      <c r="P15591" s="841"/>
      <c r="Q15591" s="1357"/>
      <c r="R15591" s="841"/>
      <c r="S15591" s="841"/>
      <c r="T15591" s="1420"/>
      <c r="U15591" s="841"/>
      <c r="V15591" s="1357">
        <v>272</v>
      </c>
    </row>
    <row r="15592" spans="1:22" ht="18" customHeight="1" x14ac:dyDescent="0.25">
      <c r="A15592" s="841" t="s">
        <v>176</v>
      </c>
      <c r="B15592" s="841"/>
      <c r="C15592" s="841"/>
      <c r="D15592" s="841"/>
      <c r="E15592" s="1689" t="s">
        <v>3494</v>
      </c>
      <c r="F15592" s="1689"/>
      <c r="G15592" s="1689"/>
      <c r="H15592" s="1689"/>
      <c r="I15592" s="841"/>
      <c r="J15592" s="841"/>
      <c r="K15592" s="841" t="s">
        <v>3406</v>
      </c>
      <c r="L15592" s="1357"/>
      <c r="M15592" s="841"/>
      <c r="N15592" s="841"/>
      <c r="O15592" s="841"/>
      <c r="P15592" s="841"/>
      <c r="Q15592" s="1357"/>
      <c r="R15592" s="841"/>
      <c r="S15592" s="841"/>
      <c r="T15592" s="1420"/>
      <c r="U15592" s="841"/>
      <c r="V15592" s="1357">
        <v>403</v>
      </c>
    </row>
    <row r="15593" spans="1:22" ht="18" customHeight="1" x14ac:dyDescent="0.25">
      <c r="A15593" s="841" t="s">
        <v>176</v>
      </c>
      <c r="B15593" s="841"/>
      <c r="C15593" s="841"/>
      <c r="D15593" s="841"/>
      <c r="E15593" s="1689" t="s">
        <v>6885</v>
      </c>
      <c r="F15593" s="1689"/>
      <c r="G15593" s="1689"/>
      <c r="H15593" s="1689"/>
      <c r="I15593" s="841"/>
      <c r="J15593" s="841"/>
      <c r="K15593" s="841" t="s">
        <v>3406</v>
      </c>
      <c r="L15593" s="1357"/>
      <c r="M15593" s="841"/>
      <c r="N15593" s="841"/>
      <c r="O15593" s="841"/>
      <c r="P15593" s="841"/>
      <c r="Q15593" s="1357"/>
      <c r="R15593" s="841"/>
      <c r="S15593" s="841"/>
      <c r="T15593" s="1420"/>
      <c r="U15593" s="841"/>
      <c r="V15593" s="1357">
        <v>385</v>
      </c>
    </row>
    <row r="15594" spans="1:22" ht="18" customHeight="1" x14ac:dyDescent="0.25">
      <c r="A15594" s="841" t="s">
        <v>176</v>
      </c>
      <c r="B15594" s="841"/>
      <c r="C15594" s="841"/>
      <c r="D15594" s="841"/>
      <c r="E15594" s="1689" t="s">
        <v>3200</v>
      </c>
      <c r="F15594" s="1689"/>
      <c r="G15594" s="1689"/>
      <c r="H15594" s="1689"/>
      <c r="I15594" s="841"/>
      <c r="J15594" s="841"/>
      <c r="K15594" s="841" t="s">
        <v>3406</v>
      </c>
      <c r="L15594" s="1357"/>
      <c r="M15594" s="841"/>
      <c r="N15594" s="841"/>
      <c r="O15594" s="841"/>
      <c r="P15594" s="841"/>
      <c r="Q15594" s="1357"/>
      <c r="R15594" s="841"/>
      <c r="S15594" s="841"/>
      <c r="T15594" s="1420"/>
      <c r="U15594" s="841"/>
      <c r="V15594" s="1357">
        <v>275</v>
      </c>
    </row>
    <row r="15595" spans="1:22" ht="18" customHeight="1" x14ac:dyDescent="0.25">
      <c r="A15595" s="841" t="s">
        <v>176</v>
      </c>
      <c r="B15595" s="841"/>
      <c r="C15595" s="841"/>
      <c r="D15595" s="841"/>
      <c r="E15595" s="1906" t="s">
        <v>3067</v>
      </c>
      <c r="F15595" s="1907"/>
      <c r="G15595" s="1907"/>
      <c r="H15595" s="1907"/>
      <c r="I15595" s="841"/>
      <c r="J15595" s="841"/>
      <c r="K15595" s="841" t="s">
        <v>3224</v>
      </c>
      <c r="L15595" s="1357"/>
      <c r="M15595" s="841"/>
      <c r="N15595" s="841"/>
      <c r="O15595" s="841"/>
      <c r="P15595" s="841"/>
      <c r="Q15595" s="1357"/>
      <c r="R15595" s="841"/>
      <c r="S15595" s="841"/>
      <c r="T15595" s="1420"/>
      <c r="U15595" s="841"/>
      <c r="V15595" s="1357">
        <v>46</v>
      </c>
    </row>
    <row r="15596" spans="1:22" ht="18" customHeight="1" x14ac:dyDescent="0.25">
      <c r="A15596" s="841" t="s">
        <v>176</v>
      </c>
      <c r="B15596" s="841"/>
      <c r="C15596" s="841"/>
      <c r="D15596" s="841"/>
      <c r="E15596" s="1690" t="s">
        <v>13</v>
      </c>
      <c r="F15596" s="1690"/>
      <c r="G15596" s="1358" t="s">
        <v>23</v>
      </c>
      <c r="H15596" s="600">
        <v>21.16</v>
      </c>
      <c r="I15596" s="841"/>
      <c r="J15596" s="841"/>
      <c r="K15596" s="841" t="s">
        <v>3406</v>
      </c>
      <c r="L15596" s="1357" t="s">
        <v>442</v>
      </c>
      <c r="M15596" s="841"/>
      <c r="N15596" s="841"/>
      <c r="O15596" s="841"/>
      <c r="P15596" s="841" t="s">
        <v>3408</v>
      </c>
      <c r="Q15596" s="1357"/>
      <c r="R15596" s="841"/>
      <c r="S15596" s="841"/>
      <c r="T15596" s="1420"/>
      <c r="U15596" s="841"/>
      <c r="V15596" s="1357">
        <v>29</v>
      </c>
    </row>
    <row r="15597" spans="1:22" ht="18" customHeight="1" x14ac:dyDescent="0.25">
      <c r="A15597" s="841" t="s">
        <v>176</v>
      </c>
      <c r="B15597" s="841"/>
      <c r="C15597" s="841"/>
      <c r="D15597" s="841"/>
      <c r="E15597" s="1690" t="s">
        <v>84</v>
      </c>
      <c r="F15597" s="1690"/>
      <c r="G15597" s="1358" t="s">
        <v>24</v>
      </c>
      <c r="H15597" s="606">
        <v>1.4500000000000001E-2</v>
      </c>
      <c r="I15597" s="841"/>
      <c r="J15597" s="841"/>
      <c r="K15597" s="841" t="s">
        <v>3406</v>
      </c>
      <c r="L15597" s="1357" t="s">
        <v>442</v>
      </c>
      <c r="M15597" s="841"/>
      <c r="N15597" s="841"/>
      <c r="O15597" s="841"/>
      <c r="P15597" s="841" t="s">
        <v>3409</v>
      </c>
      <c r="Q15597" s="1357"/>
      <c r="R15597" s="841"/>
      <c r="S15597" s="841"/>
      <c r="T15597" s="1420"/>
      <c r="U15597" s="841"/>
      <c r="V15597" s="1357">
        <v>28</v>
      </c>
    </row>
    <row r="15598" spans="1:22" ht="18" customHeight="1" x14ac:dyDescent="0.25">
      <c r="A15598" s="841" t="s">
        <v>176</v>
      </c>
      <c r="B15598" s="841"/>
      <c r="C15598" s="841"/>
      <c r="D15598" s="841"/>
      <c r="E15598" s="1690" t="s">
        <v>18</v>
      </c>
      <c r="F15598" s="1690"/>
      <c r="G15598" s="1358" t="s">
        <v>24</v>
      </c>
      <c r="H15598" s="606">
        <v>2.8999999999999998E-3</v>
      </c>
      <c r="I15598" s="841"/>
      <c r="J15598" s="841"/>
      <c r="K15598" s="841" t="s">
        <v>3406</v>
      </c>
      <c r="L15598" s="1357" t="s">
        <v>443</v>
      </c>
      <c r="M15598" s="841"/>
      <c r="N15598" s="841"/>
      <c r="O15598" s="841"/>
      <c r="P15598" s="841" t="s">
        <v>3549</v>
      </c>
      <c r="Q15598" s="1357"/>
      <c r="R15598" s="841"/>
      <c r="S15598" s="841"/>
      <c r="T15598" s="1420"/>
      <c r="U15598" s="841"/>
      <c r="V15598" s="1357">
        <v>24</v>
      </c>
    </row>
    <row r="15599" spans="1:22" ht="18" customHeight="1" x14ac:dyDescent="0.25">
      <c r="A15599" s="841" t="s">
        <v>176</v>
      </c>
      <c r="B15599" s="841"/>
      <c r="C15599" s="841"/>
      <c r="D15599" s="841"/>
      <c r="E15599" s="1690" t="s">
        <v>6877</v>
      </c>
      <c r="F15599" s="1908"/>
      <c r="G15599" s="1358" t="s">
        <v>24</v>
      </c>
      <c r="H15599" s="606">
        <v>2.3999999999999998E-3</v>
      </c>
      <c r="I15599" s="841"/>
      <c r="J15599" s="841"/>
      <c r="K15599" s="841" t="s">
        <v>3406</v>
      </c>
      <c r="L15599" s="1357" t="s">
        <v>443</v>
      </c>
      <c r="M15599" s="841"/>
      <c r="N15599" s="841"/>
      <c r="O15599" s="841"/>
      <c r="P15599" s="841" t="s">
        <v>3411</v>
      </c>
      <c r="Q15599" s="1357"/>
      <c r="R15599" s="841"/>
      <c r="S15599" s="841"/>
      <c r="T15599" s="1420">
        <v>44196</v>
      </c>
      <c r="U15599" s="841"/>
      <c r="V15599" s="1357">
        <v>99</v>
      </c>
    </row>
    <row r="15600" spans="1:22" ht="18" customHeight="1" x14ac:dyDescent="0.25">
      <c r="A15600" s="841" t="s">
        <v>176</v>
      </c>
      <c r="B15600" s="841"/>
      <c r="C15600" s="841"/>
      <c r="D15600" s="841"/>
      <c r="E15600" s="1690" t="s">
        <v>6876</v>
      </c>
      <c r="F15600" s="1908"/>
      <c r="G15600" s="1358" t="s">
        <v>24</v>
      </c>
      <c r="H15600" s="606">
        <v>2.0000000000000001E-4</v>
      </c>
      <c r="I15600" s="841"/>
      <c r="J15600" s="841"/>
      <c r="K15600" s="841" t="s">
        <v>3406</v>
      </c>
      <c r="L15600" s="1357" t="s">
        <v>442</v>
      </c>
      <c r="M15600" s="841"/>
      <c r="N15600" s="841"/>
      <c r="O15600" s="841"/>
      <c r="P15600" s="841" t="s">
        <v>3411</v>
      </c>
      <c r="Q15600" s="1357"/>
      <c r="R15600" s="841"/>
      <c r="S15600" s="841"/>
      <c r="T15600" s="1420">
        <v>44196</v>
      </c>
      <c r="U15600" s="841"/>
      <c r="V15600" s="1357">
        <v>107</v>
      </c>
    </row>
    <row r="15601" spans="1:22" ht="18" customHeight="1" x14ac:dyDescent="0.25">
      <c r="A15601" s="841" t="s">
        <v>176</v>
      </c>
      <c r="B15601" s="841"/>
      <c r="C15601" s="841"/>
      <c r="D15601" s="841"/>
      <c r="E15601" s="1690" t="s">
        <v>6886</v>
      </c>
      <c r="F15601" s="1908"/>
      <c r="G15601" s="1358" t="s">
        <v>24</v>
      </c>
      <c r="H15601" s="606">
        <v>-1E-4</v>
      </c>
      <c r="I15601" s="841"/>
      <c r="J15601" s="841"/>
      <c r="K15601" s="841" t="s">
        <v>3406</v>
      </c>
      <c r="L15601" s="1357" t="s">
        <v>442</v>
      </c>
      <c r="M15601" s="841"/>
      <c r="N15601" s="841"/>
      <c r="O15601" s="841"/>
      <c r="P15601" s="841" t="s">
        <v>3410</v>
      </c>
      <c r="Q15601" s="1357"/>
      <c r="R15601" s="841"/>
      <c r="S15601" s="841"/>
      <c r="T15601" s="1420">
        <v>44196</v>
      </c>
      <c r="U15601" s="841"/>
      <c r="V15601" s="1357">
        <v>139</v>
      </c>
    </row>
    <row r="15602" spans="1:22" ht="18" customHeight="1" x14ac:dyDescent="0.25">
      <c r="A15602" s="841" t="s">
        <v>176</v>
      </c>
      <c r="B15602" s="841"/>
      <c r="C15602" s="841"/>
      <c r="D15602" s="841"/>
      <c r="E15602" s="1690" t="s">
        <v>221</v>
      </c>
      <c r="F15602" s="1690"/>
      <c r="G15602" s="1358" t="s">
        <v>24</v>
      </c>
      <c r="H15602" s="606">
        <v>6.6E-3</v>
      </c>
      <c r="I15602" s="841"/>
      <c r="J15602" s="841"/>
      <c r="K15602" s="841" t="s">
        <v>3406</v>
      </c>
      <c r="L15602" s="1357" t="s">
        <v>444</v>
      </c>
      <c r="M15602" s="841"/>
      <c r="N15602" s="841"/>
      <c r="O15602" s="841"/>
      <c r="P15602" s="841" t="s">
        <v>3412</v>
      </c>
      <c r="Q15602" s="1357"/>
      <c r="R15602" s="841"/>
      <c r="S15602" s="841"/>
      <c r="T15602" s="1420"/>
      <c r="U15602" s="841"/>
      <c r="V15602" s="1357">
        <v>47</v>
      </c>
    </row>
    <row r="15603" spans="1:22" ht="18" customHeight="1" x14ac:dyDescent="0.25">
      <c r="A15603" s="841" t="s">
        <v>176</v>
      </c>
      <c r="B15603" s="841"/>
      <c r="C15603" s="841"/>
      <c r="D15603" s="841"/>
      <c r="E15603" s="1690" t="s">
        <v>217</v>
      </c>
      <c r="F15603" s="1690"/>
      <c r="G15603" s="1358" t="s">
        <v>24</v>
      </c>
      <c r="H15603" s="606">
        <v>5.0000000000000001E-3</v>
      </c>
      <c r="I15603" s="841"/>
      <c r="J15603" s="841"/>
      <c r="K15603" s="841" t="s">
        <v>3406</v>
      </c>
      <c r="L15603" s="1357" t="s">
        <v>444</v>
      </c>
      <c r="M15603" s="841"/>
      <c r="N15603" s="841"/>
      <c r="O15603" s="841"/>
      <c r="P15603" s="841" t="s">
        <v>3413</v>
      </c>
      <c r="Q15603" s="1357"/>
      <c r="R15603" s="841"/>
      <c r="S15603" s="841"/>
      <c r="T15603" s="1420"/>
      <c r="U15603" s="841"/>
      <c r="V15603" s="1357">
        <v>74</v>
      </c>
    </row>
    <row r="15604" spans="1:22" ht="18" customHeight="1" x14ac:dyDescent="0.25">
      <c r="A15604" s="841" t="s">
        <v>176</v>
      </c>
      <c r="B15604" s="841"/>
      <c r="C15604" s="841"/>
      <c r="D15604" s="841"/>
      <c r="E15604" s="1906" t="s">
        <v>3079</v>
      </c>
      <c r="F15604" s="1690"/>
      <c r="G15604" s="1440"/>
      <c r="H15604" s="720"/>
      <c r="I15604" s="841"/>
      <c r="J15604" s="841"/>
      <c r="K15604" s="841" t="s">
        <v>3225</v>
      </c>
      <c r="L15604" s="1357"/>
      <c r="M15604" s="841"/>
      <c r="N15604" s="841"/>
      <c r="O15604" s="841"/>
      <c r="P15604" s="841"/>
      <c r="Q15604" s="1357"/>
      <c r="R15604" s="841"/>
      <c r="S15604" s="841"/>
      <c r="T15604" s="1420"/>
      <c r="U15604" s="841"/>
      <c r="V15604" s="1357">
        <v>48</v>
      </c>
    </row>
    <row r="15605" spans="1:22" ht="18" customHeight="1" x14ac:dyDescent="0.25">
      <c r="A15605" s="841" t="s">
        <v>176</v>
      </c>
      <c r="B15605" s="841"/>
      <c r="C15605" s="841"/>
      <c r="D15605" s="841"/>
      <c r="E15605" s="1690" t="s">
        <v>2449</v>
      </c>
      <c r="F15605" s="1690"/>
      <c r="G15605" s="1358" t="s">
        <v>24</v>
      </c>
      <c r="H15605" s="606">
        <v>3.2000000000000002E-3</v>
      </c>
      <c r="I15605" s="841"/>
      <c r="J15605" s="841"/>
      <c r="K15605" s="841" t="s">
        <v>3406</v>
      </c>
      <c r="L15605" s="1357" t="s">
        <v>3046</v>
      </c>
      <c r="M15605" s="841"/>
      <c r="N15605" s="841"/>
      <c r="O15605" s="841"/>
      <c r="P15605" s="841" t="s">
        <v>3414</v>
      </c>
      <c r="Q15605" s="1357"/>
      <c r="R15605" s="841"/>
      <c r="S15605" s="841"/>
      <c r="T15605" s="1420"/>
      <c r="U15605" s="841"/>
      <c r="V15605" s="1357">
        <v>55</v>
      </c>
    </row>
    <row r="15606" spans="1:22" ht="18" customHeight="1" x14ac:dyDescent="0.25">
      <c r="A15606" s="841" t="s">
        <v>176</v>
      </c>
      <c r="B15606" s="841"/>
      <c r="C15606" s="841"/>
      <c r="D15606" s="841"/>
      <c r="E15606" s="1690" t="s">
        <v>2450</v>
      </c>
      <c r="F15606" s="1690"/>
      <c r="G15606" s="1358" t="s">
        <v>24</v>
      </c>
      <c r="H15606" s="606">
        <v>4.0000000000000002E-4</v>
      </c>
      <c r="I15606" s="841"/>
      <c r="J15606" s="841"/>
      <c r="K15606" s="841" t="s">
        <v>3406</v>
      </c>
      <c r="L15606" s="1357" t="s">
        <v>3046</v>
      </c>
      <c r="M15606" s="841"/>
      <c r="N15606" s="841"/>
      <c r="O15606" s="841"/>
      <c r="P15606" s="841" t="s">
        <v>3414</v>
      </c>
      <c r="Q15606" s="1357"/>
      <c r="R15606" s="841"/>
      <c r="S15606" s="841"/>
      <c r="T15606" s="1420"/>
      <c r="U15606" s="841"/>
      <c r="V15606" s="1357">
        <v>65</v>
      </c>
    </row>
    <row r="15607" spans="1:22" ht="18" customHeight="1" x14ac:dyDescent="0.25">
      <c r="A15607" s="841" t="s">
        <v>176</v>
      </c>
      <c r="B15607" s="841"/>
      <c r="C15607" s="841"/>
      <c r="D15607" s="841"/>
      <c r="E15607" s="1690" t="s">
        <v>439</v>
      </c>
      <c r="F15607" s="1690"/>
      <c r="G15607" s="1358" t="s">
        <v>24</v>
      </c>
      <c r="H15607" s="606">
        <v>2.9999999999999997E-4</v>
      </c>
      <c r="I15607" s="841"/>
      <c r="J15607" s="841"/>
      <c r="K15607" s="841" t="s">
        <v>3406</v>
      </c>
      <c r="L15607" s="1357" t="s">
        <v>3046</v>
      </c>
      <c r="M15607" s="841"/>
      <c r="N15607" s="841"/>
      <c r="O15607" s="841"/>
      <c r="P15607" s="841" t="s">
        <v>3415</v>
      </c>
      <c r="Q15607" s="1357"/>
      <c r="R15607" s="841"/>
      <c r="S15607" s="841"/>
      <c r="T15607" s="1420"/>
      <c r="U15607" s="841"/>
      <c r="V15607" s="1357">
        <v>57</v>
      </c>
    </row>
    <row r="15608" spans="1:22" ht="18" customHeight="1" x14ac:dyDescent="0.25">
      <c r="A15608" s="841" t="s">
        <v>176</v>
      </c>
      <c r="B15608" s="841"/>
      <c r="C15608" s="841"/>
      <c r="D15608" s="841"/>
      <c r="E15608" s="1690" t="s">
        <v>32</v>
      </c>
      <c r="F15608" s="1690"/>
      <c r="G15608" s="1358" t="s">
        <v>23</v>
      </c>
      <c r="H15608" s="600">
        <v>0.25</v>
      </c>
      <c r="I15608" s="841"/>
      <c r="J15608" s="841"/>
      <c r="K15608" s="841" t="s">
        <v>3406</v>
      </c>
      <c r="L15608" s="1357" t="s">
        <v>3046</v>
      </c>
      <c r="M15608" s="841"/>
      <c r="N15608" s="841"/>
      <c r="O15608" s="841"/>
      <c r="P15608" s="841" t="s">
        <v>3416</v>
      </c>
      <c r="Q15608" s="1357"/>
      <c r="R15608" s="841"/>
      <c r="S15608" s="841"/>
      <c r="T15608" s="1420"/>
      <c r="U15608" s="841"/>
      <c r="V15608" s="1357">
        <v>63</v>
      </c>
    </row>
    <row r="15609" spans="1:22" ht="18" customHeight="1" x14ac:dyDescent="0.25">
      <c r="A15609" s="841" t="s">
        <v>176</v>
      </c>
      <c r="B15609" s="841"/>
      <c r="C15609" s="841"/>
      <c r="D15609" s="841"/>
      <c r="E15609" s="1909" t="s">
        <v>615</v>
      </c>
      <c r="F15609" s="1697"/>
      <c r="G15609" s="1697"/>
      <c r="H15609" s="1697"/>
      <c r="I15609" s="841"/>
      <c r="J15609" s="841"/>
      <c r="K15609" s="841" t="s">
        <v>3417</v>
      </c>
      <c r="L15609" s="1357"/>
      <c r="M15609" s="841"/>
      <c r="N15609" s="841"/>
      <c r="O15609" s="841"/>
      <c r="P15609" s="841"/>
      <c r="Q15609" s="1357"/>
      <c r="R15609" s="841"/>
      <c r="S15609" s="841"/>
      <c r="T15609" s="1420"/>
      <c r="U15609" s="841"/>
      <c r="V15609" s="1357">
        <v>38</v>
      </c>
    </row>
    <row r="15610" spans="1:22" ht="18" customHeight="1" x14ac:dyDescent="0.25">
      <c r="A15610" s="841" t="s">
        <v>176</v>
      </c>
      <c r="B15610" s="841"/>
      <c r="C15610" s="841"/>
      <c r="D15610" s="841"/>
      <c r="E15610" s="1689" t="s">
        <v>3265</v>
      </c>
      <c r="F15610" s="1689"/>
      <c r="G15610" s="1689"/>
      <c r="H15610" s="1689"/>
      <c r="I15610" s="841"/>
      <c r="J15610" s="841"/>
      <c r="K15610" s="841" t="s">
        <v>3417</v>
      </c>
      <c r="L15610" s="1357"/>
      <c r="M15610" s="841"/>
      <c r="N15610" s="841"/>
      <c r="O15610" s="841"/>
      <c r="P15610" s="841"/>
      <c r="Q15610" s="1357"/>
      <c r="R15610" s="841"/>
      <c r="S15610" s="841"/>
      <c r="T15610" s="1420"/>
      <c r="U15610" s="841"/>
      <c r="V15610" s="1357">
        <v>543</v>
      </c>
    </row>
    <row r="15611" spans="1:22" ht="18" customHeight="1" x14ac:dyDescent="0.25">
      <c r="A15611" s="841" t="s">
        <v>176</v>
      </c>
      <c r="B15611" s="841"/>
      <c r="C15611" s="841"/>
      <c r="D15611" s="841"/>
      <c r="E15611" s="1910" t="s">
        <v>3061</v>
      </c>
      <c r="F15611" s="1697"/>
      <c r="G15611" s="1697"/>
      <c r="H15611" s="1697"/>
      <c r="I15611" s="841"/>
      <c r="J15611" s="841"/>
      <c r="K15611" s="841" t="s">
        <v>3107</v>
      </c>
      <c r="L15611" s="1357"/>
      <c r="M15611" s="841"/>
      <c r="N15611" s="841"/>
      <c r="O15611" s="841"/>
      <c r="P15611" s="841"/>
      <c r="Q15611" s="1357"/>
      <c r="R15611" s="841"/>
      <c r="S15611" s="841"/>
      <c r="T15611" s="1420"/>
      <c r="U15611" s="841"/>
      <c r="V15611" s="1357">
        <v>11</v>
      </c>
    </row>
    <row r="15612" spans="1:22" ht="18" customHeight="1" x14ac:dyDescent="0.25">
      <c r="A15612" s="841" t="s">
        <v>176</v>
      </c>
      <c r="B15612" s="841"/>
      <c r="C15612" s="841"/>
      <c r="D15612" s="841"/>
      <c r="E15612" s="1689" t="s">
        <v>3493</v>
      </c>
      <c r="F15612" s="1689"/>
      <c r="G15612" s="1689"/>
      <c r="H15612" s="1689"/>
      <c r="I15612" s="841"/>
      <c r="J15612" s="841"/>
      <c r="K15612" s="841" t="s">
        <v>3417</v>
      </c>
      <c r="L15612" s="1357"/>
      <c r="M15612" s="841"/>
      <c r="N15612" s="841"/>
      <c r="O15612" s="841"/>
      <c r="P15612" s="841"/>
      <c r="Q15612" s="1357"/>
      <c r="R15612" s="841"/>
      <c r="S15612" s="841"/>
      <c r="T15612" s="1420"/>
      <c r="U15612" s="841"/>
      <c r="V15612" s="1357">
        <v>272</v>
      </c>
    </row>
    <row r="15613" spans="1:22" ht="18" customHeight="1" x14ac:dyDescent="0.25">
      <c r="A15613" s="841" t="s">
        <v>176</v>
      </c>
      <c r="B15613" s="841"/>
      <c r="C15613" s="841"/>
      <c r="D15613" s="841"/>
      <c r="E15613" s="1689" t="s">
        <v>3494</v>
      </c>
      <c r="F15613" s="1689"/>
      <c r="G15613" s="1689"/>
      <c r="H15613" s="1689"/>
      <c r="I15613" s="841"/>
      <c r="J15613" s="841"/>
      <c r="K15613" s="841" t="s">
        <v>3417</v>
      </c>
      <c r="L15613" s="1357"/>
      <c r="M15613" s="841"/>
      <c r="N15613" s="841"/>
      <c r="O15613" s="841"/>
      <c r="P15613" s="841"/>
      <c r="Q15613" s="1357"/>
      <c r="R15613" s="841"/>
      <c r="S15613" s="841"/>
      <c r="T15613" s="1420"/>
      <c r="U15613" s="841"/>
      <c r="V15613" s="1357">
        <v>403</v>
      </c>
    </row>
    <row r="15614" spans="1:22" ht="18" customHeight="1" x14ac:dyDescent="0.25">
      <c r="A15614" s="841" t="s">
        <v>176</v>
      </c>
      <c r="B15614" s="841"/>
      <c r="C15614" s="841"/>
      <c r="D15614" s="841"/>
      <c r="E15614" s="1689" t="s">
        <v>3199</v>
      </c>
      <c r="F15614" s="1689"/>
      <c r="G15614" s="1689"/>
      <c r="H15614" s="1689"/>
      <c r="I15614" s="841"/>
      <c r="J15614" s="841"/>
      <c r="K15614" s="841" t="s">
        <v>3417</v>
      </c>
      <c r="L15614" s="1357"/>
      <c r="M15614" s="841"/>
      <c r="N15614" s="841"/>
      <c r="O15614" s="841"/>
      <c r="P15614" s="841"/>
      <c r="Q15614" s="1357"/>
      <c r="R15614" s="841"/>
      <c r="S15614" s="841"/>
      <c r="T15614" s="1420"/>
      <c r="U15614" s="841"/>
      <c r="V15614" s="1357">
        <v>386</v>
      </c>
    </row>
    <row r="15615" spans="1:22" ht="18" customHeight="1" x14ac:dyDescent="0.25">
      <c r="A15615" s="841" t="s">
        <v>176</v>
      </c>
      <c r="B15615" s="841"/>
      <c r="C15615" s="841"/>
      <c r="D15615" s="841"/>
      <c r="E15615" s="1689" t="s">
        <v>3200</v>
      </c>
      <c r="F15615" s="1689"/>
      <c r="G15615" s="1689"/>
      <c r="H15615" s="1689"/>
      <c r="I15615" s="841"/>
      <c r="J15615" s="841"/>
      <c r="K15615" s="841" t="s">
        <v>3417</v>
      </c>
      <c r="L15615" s="1357"/>
      <c r="M15615" s="841"/>
      <c r="N15615" s="841"/>
      <c r="O15615" s="841"/>
      <c r="P15615" s="841"/>
      <c r="Q15615" s="1357"/>
      <c r="R15615" s="841"/>
      <c r="S15615" s="841"/>
      <c r="T15615" s="1420"/>
      <c r="U15615" s="841"/>
      <c r="V15615" s="1357">
        <v>275</v>
      </c>
    </row>
    <row r="15616" spans="1:22" ht="18" customHeight="1" x14ac:dyDescent="0.25">
      <c r="A15616" s="841" t="s">
        <v>176</v>
      </c>
      <c r="B15616" s="841"/>
      <c r="C15616" s="841"/>
      <c r="D15616" s="841"/>
      <c r="E15616" s="1906" t="s">
        <v>3067</v>
      </c>
      <c r="F15616" s="1907"/>
      <c r="G15616" s="1907"/>
      <c r="H15616" s="1907"/>
      <c r="I15616" s="841"/>
      <c r="J15616" s="841"/>
      <c r="K15616" s="841" t="s">
        <v>3108</v>
      </c>
      <c r="L15616" s="1357"/>
      <c r="M15616" s="841"/>
      <c r="N15616" s="841"/>
      <c r="O15616" s="841"/>
      <c r="P15616" s="841"/>
      <c r="Q15616" s="1357"/>
      <c r="R15616" s="841"/>
      <c r="S15616" s="841"/>
      <c r="T15616" s="1420"/>
      <c r="U15616" s="841"/>
      <c r="V15616" s="1357">
        <v>46</v>
      </c>
    </row>
    <row r="15617" spans="1:22" ht="18" customHeight="1" x14ac:dyDescent="0.25">
      <c r="A15617" s="841" t="s">
        <v>176</v>
      </c>
      <c r="B15617" s="841"/>
      <c r="C15617" s="841"/>
      <c r="D15617" s="841"/>
      <c r="E15617" s="1690" t="s">
        <v>12</v>
      </c>
      <c r="F15617" s="1690"/>
      <c r="G15617" s="1358" t="s">
        <v>23</v>
      </c>
      <c r="H15617" s="600">
        <v>2</v>
      </c>
      <c r="I15617" s="841"/>
      <c r="J15617" s="841"/>
      <c r="K15617" s="841" t="s">
        <v>3417</v>
      </c>
      <c r="L15617" s="1357" t="s">
        <v>442</v>
      </c>
      <c r="M15617" s="841"/>
      <c r="N15617" s="841"/>
      <c r="O15617" s="841"/>
      <c r="P15617" s="841" t="s">
        <v>3419</v>
      </c>
      <c r="Q15617" s="1357"/>
      <c r="R15617" s="841"/>
      <c r="S15617" s="841"/>
      <c r="T15617" s="1420"/>
      <c r="U15617" s="841"/>
      <c r="V15617" s="1357">
        <v>31</v>
      </c>
    </row>
    <row r="15618" spans="1:22" ht="18" customHeight="1" x14ac:dyDescent="0.25">
      <c r="A15618" s="841" t="s">
        <v>176</v>
      </c>
      <c r="B15618" s="841"/>
      <c r="C15618" s="841"/>
      <c r="D15618" s="841"/>
      <c r="E15618" s="1690" t="s">
        <v>84</v>
      </c>
      <c r="F15618" s="1690"/>
      <c r="G15618" s="1358" t="s">
        <v>33</v>
      </c>
      <c r="H15618" s="606">
        <v>18.185700000000001</v>
      </c>
      <c r="I15618" s="841"/>
      <c r="J15618" s="841"/>
      <c r="K15618" s="841" t="s">
        <v>3417</v>
      </c>
      <c r="L15618" s="1357" t="s">
        <v>442</v>
      </c>
      <c r="M15618" s="841"/>
      <c r="N15618" s="841"/>
      <c r="O15618" s="841"/>
      <c r="P15618" s="841" t="s">
        <v>3420</v>
      </c>
      <c r="Q15618" s="1357"/>
      <c r="R15618" s="841"/>
      <c r="S15618" s="841"/>
      <c r="T15618" s="1420"/>
      <c r="U15618" s="841"/>
      <c r="V15618" s="1357">
        <v>28</v>
      </c>
    </row>
    <row r="15619" spans="1:22" ht="18" customHeight="1" x14ac:dyDescent="0.25">
      <c r="A15619" s="841" t="s">
        <v>176</v>
      </c>
      <c r="B15619" s="841"/>
      <c r="C15619" s="841"/>
      <c r="D15619" s="841"/>
      <c r="E15619" s="1690" t="s">
        <v>18</v>
      </c>
      <c r="F15619" s="1690"/>
      <c r="G15619" s="1358" t="s">
        <v>33</v>
      </c>
      <c r="H15619" s="606">
        <v>0.8367</v>
      </c>
      <c r="I15619" s="841"/>
      <c r="J15619" s="841"/>
      <c r="K15619" s="841" t="s">
        <v>3417</v>
      </c>
      <c r="L15619" s="1357" t="s">
        <v>443</v>
      </c>
      <c r="M15619" s="841"/>
      <c r="N15619" s="841"/>
      <c r="O15619" s="841"/>
      <c r="P15619" s="841" t="s">
        <v>3552</v>
      </c>
      <c r="Q15619" s="1357"/>
      <c r="R15619" s="841"/>
      <c r="S15619" s="841"/>
      <c r="T15619" s="1420"/>
      <c r="U15619" s="841"/>
      <c r="V15619" s="1357">
        <v>24</v>
      </c>
    </row>
    <row r="15620" spans="1:22" ht="18" customHeight="1" x14ac:dyDescent="0.25">
      <c r="A15620" s="841" t="s">
        <v>176</v>
      </c>
      <c r="B15620" s="841"/>
      <c r="C15620" s="841"/>
      <c r="D15620" s="841"/>
      <c r="E15620" s="1690" t="s">
        <v>6877</v>
      </c>
      <c r="F15620" s="1908"/>
      <c r="G15620" s="1358" t="s">
        <v>33</v>
      </c>
      <c r="H15620" s="606">
        <v>0.30680000000000002</v>
      </c>
      <c r="I15620" s="841"/>
      <c r="J15620" s="841"/>
      <c r="K15620" s="841" t="s">
        <v>3417</v>
      </c>
      <c r="L15620" s="1357" t="s">
        <v>443</v>
      </c>
      <c r="M15620" s="841"/>
      <c r="N15620" s="841"/>
      <c r="O15620" s="841"/>
      <c r="P15620" s="841" t="s">
        <v>3423</v>
      </c>
      <c r="Q15620" s="1357"/>
      <c r="R15620" s="841"/>
      <c r="S15620" s="841"/>
      <c r="T15620" s="1420">
        <v>44196</v>
      </c>
      <c r="U15620" s="841"/>
      <c r="V15620" s="1357">
        <v>99</v>
      </c>
    </row>
    <row r="15621" spans="1:22" ht="18" customHeight="1" x14ac:dyDescent="0.25">
      <c r="A15621" s="841" t="s">
        <v>176</v>
      </c>
      <c r="B15621" s="841"/>
      <c r="C15621" s="841"/>
      <c r="D15621" s="841"/>
      <c r="E15621" s="1690" t="s">
        <v>6878</v>
      </c>
      <c r="F15621" s="1908"/>
      <c r="G15621" s="1358" t="s">
        <v>24</v>
      </c>
      <c r="H15621" s="606">
        <v>-8.0000000000000004E-4</v>
      </c>
      <c r="I15621" s="841"/>
      <c r="J15621" s="841"/>
      <c r="K15621" s="841" t="s">
        <v>3417</v>
      </c>
      <c r="L15621" s="1357" t="s">
        <v>443</v>
      </c>
      <c r="M15621" s="841"/>
      <c r="N15621" s="841"/>
      <c r="O15621" s="841"/>
      <c r="P15621" s="841" t="s">
        <v>3421</v>
      </c>
      <c r="Q15621" s="1357"/>
      <c r="R15621" s="841"/>
      <c r="S15621" s="841"/>
      <c r="T15621" s="1420">
        <v>44196</v>
      </c>
      <c r="U15621" s="841"/>
      <c r="V15621" s="1357">
        <v>141</v>
      </c>
    </row>
    <row r="15622" spans="1:22" ht="18" customHeight="1" x14ac:dyDescent="0.25">
      <c r="A15622" s="841" t="s">
        <v>176</v>
      </c>
      <c r="B15622" s="841"/>
      <c r="C15622" s="841"/>
      <c r="D15622" s="841"/>
      <c r="E15622" s="1690" t="s">
        <v>6876</v>
      </c>
      <c r="F15622" s="1908"/>
      <c r="G15622" s="1358" t="s">
        <v>33</v>
      </c>
      <c r="H15622" s="606">
        <v>8.3199999999999996E-2</v>
      </c>
      <c r="I15622" s="841"/>
      <c r="J15622" s="841"/>
      <c r="K15622" s="841" t="s">
        <v>3417</v>
      </c>
      <c r="L15622" s="1357" t="s">
        <v>442</v>
      </c>
      <c r="M15622" s="841"/>
      <c r="N15622" s="841"/>
      <c r="O15622" s="841"/>
      <c r="P15622" s="841" t="s">
        <v>3423</v>
      </c>
      <c r="Q15622" s="1357"/>
      <c r="R15622" s="841"/>
      <c r="S15622" s="841"/>
      <c r="T15622" s="1420">
        <v>44196</v>
      </c>
      <c r="U15622" s="841"/>
      <c r="V15622" s="1357">
        <v>107</v>
      </c>
    </row>
    <row r="15623" spans="1:22" ht="18" customHeight="1" x14ac:dyDescent="0.25">
      <c r="A15623" s="841" t="s">
        <v>176</v>
      </c>
      <c r="B15623" s="841"/>
      <c r="C15623" s="841"/>
      <c r="D15623" s="841"/>
      <c r="E15623" s="1690" t="s">
        <v>6883</v>
      </c>
      <c r="F15623" s="1908"/>
      <c r="G15623" s="1358" t="s">
        <v>33</v>
      </c>
      <c r="H15623" s="606">
        <v>-0.1225</v>
      </c>
      <c r="I15623" s="841"/>
      <c r="J15623" s="841"/>
      <c r="K15623" s="841" t="s">
        <v>3417</v>
      </c>
      <c r="L15623" s="1357" t="s">
        <v>442</v>
      </c>
      <c r="M15623" s="841"/>
      <c r="N15623" s="841"/>
      <c r="O15623" s="841"/>
      <c r="P15623" s="841" t="s">
        <v>3422</v>
      </c>
      <c r="Q15623" s="1357"/>
      <c r="R15623" s="841"/>
      <c r="S15623" s="841"/>
      <c r="T15623" s="1420">
        <v>44196</v>
      </c>
      <c r="U15623" s="841"/>
      <c r="V15623" s="1357">
        <v>137</v>
      </c>
    </row>
    <row r="15624" spans="1:22" ht="18" customHeight="1" x14ac:dyDescent="0.25">
      <c r="A15624" s="841" t="s">
        <v>176</v>
      </c>
      <c r="B15624" s="841"/>
      <c r="C15624" s="841"/>
      <c r="D15624" s="841"/>
      <c r="E15624" s="1690" t="s">
        <v>221</v>
      </c>
      <c r="F15624" s="1690"/>
      <c r="G15624" s="1358" t="s">
        <v>33</v>
      </c>
      <c r="H15624" s="606">
        <v>1.9999</v>
      </c>
      <c r="I15624" s="841"/>
      <c r="J15624" s="841"/>
      <c r="K15624" s="841" t="s">
        <v>3417</v>
      </c>
      <c r="L15624" s="1357" t="s">
        <v>444</v>
      </c>
      <c r="M15624" s="841"/>
      <c r="N15624" s="841"/>
      <c r="O15624" s="841"/>
      <c r="P15624" s="841" t="s">
        <v>3424</v>
      </c>
      <c r="Q15624" s="1357"/>
      <c r="R15624" s="841"/>
      <c r="S15624" s="841"/>
      <c r="T15624" s="1420"/>
      <c r="U15624" s="841"/>
      <c r="V15624" s="1357">
        <v>47</v>
      </c>
    </row>
    <row r="15625" spans="1:22" ht="18" customHeight="1" x14ac:dyDescent="0.25">
      <c r="A15625" s="841" t="s">
        <v>176</v>
      </c>
      <c r="B15625" s="841"/>
      <c r="C15625" s="841"/>
      <c r="D15625" s="841"/>
      <c r="E15625" s="1690" t="s">
        <v>217</v>
      </c>
      <c r="F15625" s="1690"/>
      <c r="G15625" s="1358" t="s">
        <v>33</v>
      </c>
      <c r="H15625" s="606">
        <v>1.5790999999999999</v>
      </c>
      <c r="I15625" s="841"/>
      <c r="J15625" s="841"/>
      <c r="K15625" s="841" t="s">
        <v>3417</v>
      </c>
      <c r="L15625" s="1357" t="s">
        <v>444</v>
      </c>
      <c r="M15625" s="841"/>
      <c r="N15625" s="841"/>
      <c r="O15625" s="841"/>
      <c r="P15625" s="841" t="s">
        <v>3553</v>
      </c>
      <c r="Q15625" s="1357"/>
      <c r="R15625" s="841"/>
      <c r="S15625" s="841"/>
      <c r="T15625" s="1420"/>
      <c r="U15625" s="841"/>
      <c r="V15625" s="1357">
        <v>74</v>
      </c>
    </row>
    <row r="15626" spans="1:22" ht="18" customHeight="1" x14ac:dyDescent="0.25">
      <c r="A15626" s="841" t="s">
        <v>176</v>
      </c>
      <c r="B15626" s="841"/>
      <c r="C15626" s="841"/>
      <c r="D15626" s="841"/>
      <c r="E15626" s="1906" t="s">
        <v>3079</v>
      </c>
      <c r="F15626" s="1690"/>
      <c r="G15626" s="1440"/>
      <c r="H15626" s="720"/>
      <c r="I15626" s="841"/>
      <c r="J15626" s="841"/>
      <c r="K15626" s="841" t="s">
        <v>3111</v>
      </c>
      <c r="L15626" s="1357"/>
      <c r="M15626" s="841"/>
      <c r="N15626" s="841"/>
      <c r="O15626" s="841"/>
      <c r="P15626" s="841"/>
      <c r="Q15626" s="1357"/>
      <c r="R15626" s="841"/>
      <c r="S15626" s="841"/>
      <c r="T15626" s="1420"/>
      <c r="U15626" s="841"/>
      <c r="V15626" s="1357">
        <v>48</v>
      </c>
    </row>
    <row r="15627" spans="1:22" ht="18" customHeight="1" x14ac:dyDescent="0.25">
      <c r="A15627" s="841" t="s">
        <v>176</v>
      </c>
      <c r="B15627" s="841"/>
      <c r="C15627" s="841"/>
      <c r="D15627" s="841"/>
      <c r="E15627" s="1690" t="s">
        <v>2449</v>
      </c>
      <c r="F15627" s="1690"/>
      <c r="G15627" s="1358" t="s">
        <v>24</v>
      </c>
      <c r="H15627" s="606">
        <v>3.2000000000000002E-3</v>
      </c>
      <c r="I15627" s="841"/>
      <c r="J15627" s="841"/>
      <c r="K15627" s="841" t="s">
        <v>3417</v>
      </c>
      <c r="L15627" s="1357" t="s">
        <v>3046</v>
      </c>
      <c r="M15627" s="841"/>
      <c r="N15627" s="841"/>
      <c r="O15627" s="841"/>
      <c r="P15627" s="841" t="s">
        <v>3426</v>
      </c>
      <c r="Q15627" s="1357"/>
      <c r="R15627" s="841"/>
      <c r="S15627" s="841"/>
      <c r="T15627" s="1420"/>
      <c r="U15627" s="841"/>
      <c r="V15627" s="1357">
        <v>55</v>
      </c>
    </row>
    <row r="15628" spans="1:22" ht="18" customHeight="1" x14ac:dyDescent="0.25">
      <c r="A15628" s="841" t="s">
        <v>176</v>
      </c>
      <c r="B15628" s="841"/>
      <c r="C15628" s="841"/>
      <c r="D15628" s="841"/>
      <c r="E15628" s="1690" t="s">
        <v>2450</v>
      </c>
      <c r="F15628" s="1690"/>
      <c r="G15628" s="1358" t="s">
        <v>24</v>
      </c>
      <c r="H15628" s="606">
        <v>4.0000000000000002E-4</v>
      </c>
      <c r="I15628" s="841"/>
      <c r="J15628" s="841"/>
      <c r="K15628" s="841" t="s">
        <v>3417</v>
      </c>
      <c r="L15628" s="1357" t="s">
        <v>3046</v>
      </c>
      <c r="M15628" s="841"/>
      <c r="N15628" s="841"/>
      <c r="O15628" s="841"/>
      <c r="P15628" s="841" t="s">
        <v>3426</v>
      </c>
      <c r="Q15628" s="1357"/>
      <c r="R15628" s="841"/>
      <c r="S15628" s="841"/>
      <c r="T15628" s="1420"/>
      <c r="U15628" s="841"/>
      <c r="V15628" s="1357">
        <v>65</v>
      </c>
    </row>
    <row r="15629" spans="1:22" ht="18" customHeight="1" x14ac:dyDescent="0.25">
      <c r="A15629" s="841" t="s">
        <v>176</v>
      </c>
      <c r="B15629" s="841"/>
      <c r="C15629" s="841"/>
      <c r="D15629" s="841"/>
      <c r="E15629" s="1690" t="s">
        <v>439</v>
      </c>
      <c r="F15629" s="1690"/>
      <c r="G15629" s="1358" t="s">
        <v>24</v>
      </c>
      <c r="H15629" s="606">
        <v>2.9999999999999997E-4</v>
      </c>
      <c r="I15629" s="841"/>
      <c r="J15629" s="841"/>
      <c r="K15629" s="841" t="s">
        <v>3417</v>
      </c>
      <c r="L15629" s="1357" t="s">
        <v>3046</v>
      </c>
      <c r="M15629" s="841"/>
      <c r="N15629" s="841"/>
      <c r="O15629" s="841"/>
      <c r="P15629" s="841" t="s">
        <v>3427</v>
      </c>
      <c r="Q15629" s="1357"/>
      <c r="R15629" s="841"/>
      <c r="S15629" s="841"/>
      <c r="T15629" s="1420"/>
      <c r="U15629" s="841"/>
      <c r="V15629" s="1357">
        <v>57</v>
      </c>
    </row>
    <row r="15630" spans="1:22" ht="18" customHeight="1" x14ac:dyDescent="0.25">
      <c r="A15630" s="841" t="s">
        <v>176</v>
      </c>
      <c r="B15630" s="841"/>
      <c r="C15630" s="841"/>
      <c r="D15630" s="841"/>
      <c r="E15630" s="1690" t="s">
        <v>32</v>
      </c>
      <c r="F15630" s="1690"/>
      <c r="G15630" s="1358" t="s">
        <v>23</v>
      </c>
      <c r="H15630" s="600">
        <v>0.25</v>
      </c>
      <c r="I15630" s="841"/>
      <c r="J15630" s="841"/>
      <c r="K15630" s="841" t="s">
        <v>3417</v>
      </c>
      <c r="L15630" s="1357" t="s">
        <v>3046</v>
      </c>
      <c r="M15630" s="841"/>
      <c r="N15630" s="841"/>
      <c r="O15630" s="841"/>
      <c r="P15630" s="841" t="s">
        <v>3428</v>
      </c>
      <c r="Q15630" s="1357"/>
      <c r="R15630" s="841"/>
      <c r="S15630" s="841"/>
      <c r="T15630" s="1420"/>
      <c r="U15630" s="841"/>
      <c r="V15630" s="1357">
        <v>63</v>
      </c>
    </row>
    <row r="15631" spans="1:22" ht="18" customHeight="1" x14ac:dyDescent="0.25">
      <c r="A15631" s="841" t="s">
        <v>176</v>
      </c>
      <c r="B15631" s="841"/>
      <c r="C15631" s="841"/>
      <c r="D15631" s="841"/>
      <c r="E15631" s="1909" t="s">
        <v>618</v>
      </c>
      <c r="F15631" s="1697"/>
      <c r="G15631" s="1697"/>
      <c r="H15631" s="1697"/>
      <c r="I15631" s="841"/>
      <c r="J15631" s="841"/>
      <c r="K15631" s="841" t="s">
        <v>3371</v>
      </c>
      <c r="L15631" s="1357"/>
      <c r="M15631" s="841"/>
      <c r="N15631" s="841"/>
      <c r="O15631" s="841"/>
      <c r="P15631" s="841"/>
      <c r="Q15631" s="1357"/>
      <c r="R15631" s="841"/>
      <c r="S15631" s="841"/>
      <c r="T15631" s="1420"/>
      <c r="U15631" s="841"/>
      <c r="V15631" s="1357">
        <v>31</v>
      </c>
    </row>
    <row r="15632" spans="1:22" ht="18" customHeight="1" x14ac:dyDescent="0.25">
      <c r="A15632" s="841" t="s">
        <v>176</v>
      </c>
      <c r="B15632" s="841"/>
      <c r="C15632" s="841"/>
      <c r="D15632" s="841"/>
      <c r="E15632" s="1689" t="s">
        <v>3429</v>
      </c>
      <c r="F15632" s="1689"/>
      <c r="G15632" s="1689"/>
      <c r="H15632" s="1689"/>
      <c r="I15632" s="841"/>
      <c r="J15632" s="841"/>
      <c r="K15632" s="841" t="s">
        <v>3371</v>
      </c>
      <c r="L15632" s="1357"/>
      <c r="M15632" s="841"/>
      <c r="N15632" s="841"/>
      <c r="O15632" s="841"/>
      <c r="P15632" s="841"/>
      <c r="Q15632" s="1357"/>
      <c r="R15632" s="841"/>
      <c r="S15632" s="841"/>
      <c r="T15632" s="1420"/>
      <c r="U15632" s="841"/>
      <c r="V15632" s="1357">
        <v>285</v>
      </c>
    </row>
    <row r="15633" spans="1:22" ht="18" customHeight="1" x14ac:dyDescent="0.25">
      <c r="A15633" s="841" t="s">
        <v>176</v>
      </c>
      <c r="B15633" s="841"/>
      <c r="C15633" s="841"/>
      <c r="D15633" s="841"/>
      <c r="E15633" s="1910" t="s">
        <v>3061</v>
      </c>
      <c r="F15633" s="1697"/>
      <c r="G15633" s="1697"/>
      <c r="H15633" s="1697"/>
      <c r="I15633" s="841"/>
      <c r="J15633" s="841"/>
      <c r="K15633" s="841" t="s">
        <v>3114</v>
      </c>
      <c r="L15633" s="1357"/>
      <c r="M15633" s="841"/>
      <c r="N15633" s="841"/>
      <c r="O15633" s="841"/>
      <c r="P15633" s="841"/>
      <c r="Q15633" s="1357"/>
      <c r="R15633" s="841"/>
      <c r="S15633" s="841"/>
      <c r="T15633" s="1420"/>
      <c r="U15633" s="841"/>
      <c r="V15633" s="1357">
        <v>11</v>
      </c>
    </row>
    <row r="15634" spans="1:22" ht="18" customHeight="1" x14ac:dyDescent="0.25">
      <c r="A15634" s="841" t="s">
        <v>176</v>
      </c>
      <c r="B15634" s="841"/>
      <c r="C15634" s="841"/>
      <c r="D15634" s="841"/>
      <c r="E15634" s="1689" t="s">
        <v>3493</v>
      </c>
      <c r="F15634" s="1689"/>
      <c r="G15634" s="1689"/>
      <c r="H15634" s="1689"/>
      <c r="I15634" s="841"/>
      <c r="J15634" s="841"/>
      <c r="K15634" s="841" t="s">
        <v>3371</v>
      </c>
      <c r="L15634" s="1357"/>
      <c r="M15634" s="841"/>
      <c r="N15634" s="841"/>
      <c r="O15634" s="841"/>
      <c r="P15634" s="841"/>
      <c r="Q15634" s="1357"/>
      <c r="R15634" s="841"/>
      <c r="S15634" s="841"/>
      <c r="T15634" s="1420"/>
      <c r="U15634" s="841"/>
      <c r="V15634" s="1357">
        <v>272</v>
      </c>
    </row>
    <row r="15635" spans="1:22" ht="18" customHeight="1" x14ac:dyDescent="0.25">
      <c r="A15635" s="841" t="s">
        <v>176</v>
      </c>
      <c r="B15635" s="841"/>
      <c r="C15635" s="841"/>
      <c r="D15635" s="841"/>
      <c r="E15635" s="1689" t="s">
        <v>3494</v>
      </c>
      <c r="F15635" s="1689"/>
      <c r="G15635" s="1689"/>
      <c r="H15635" s="1689"/>
      <c r="I15635" s="841"/>
      <c r="J15635" s="841"/>
      <c r="K15635" s="841" t="s">
        <v>3371</v>
      </c>
      <c r="L15635" s="1357"/>
      <c r="M15635" s="841"/>
      <c r="N15635" s="841"/>
      <c r="O15635" s="841"/>
      <c r="P15635" s="841"/>
      <c r="Q15635" s="1357"/>
      <c r="R15635" s="841"/>
      <c r="S15635" s="841"/>
      <c r="T15635" s="1420"/>
      <c r="U15635" s="841"/>
      <c r="V15635" s="1357">
        <v>403</v>
      </c>
    </row>
    <row r="15636" spans="1:22" ht="18" customHeight="1" x14ac:dyDescent="0.25">
      <c r="A15636" s="841" t="s">
        <v>176</v>
      </c>
      <c r="B15636" s="841"/>
      <c r="C15636" s="841"/>
      <c r="D15636" s="841"/>
      <c r="E15636" s="1689" t="s">
        <v>3199</v>
      </c>
      <c r="F15636" s="1689"/>
      <c r="G15636" s="1689"/>
      <c r="H15636" s="1689"/>
      <c r="I15636" s="841"/>
      <c r="J15636" s="841"/>
      <c r="K15636" s="841" t="s">
        <v>3371</v>
      </c>
      <c r="L15636" s="1357"/>
      <c r="M15636" s="841"/>
      <c r="N15636" s="841"/>
      <c r="O15636" s="841"/>
      <c r="P15636" s="841"/>
      <c r="Q15636" s="1357"/>
      <c r="R15636" s="841"/>
      <c r="S15636" s="841"/>
      <c r="T15636" s="1420"/>
      <c r="U15636" s="841"/>
      <c r="V15636" s="1357">
        <v>386</v>
      </c>
    </row>
    <row r="15637" spans="1:22" ht="18" customHeight="1" x14ac:dyDescent="0.25">
      <c r="A15637" s="841" t="s">
        <v>176</v>
      </c>
      <c r="B15637" s="841"/>
      <c r="C15637" s="841"/>
      <c r="D15637" s="841"/>
      <c r="E15637" s="1689" t="s">
        <v>3200</v>
      </c>
      <c r="F15637" s="1689"/>
      <c r="G15637" s="1689"/>
      <c r="H15637" s="1689"/>
      <c r="I15637" s="841"/>
      <c r="J15637" s="841"/>
      <c r="K15637" s="841" t="s">
        <v>3371</v>
      </c>
      <c r="L15637" s="1357"/>
      <c r="M15637" s="841"/>
      <c r="N15637" s="841"/>
      <c r="O15637" s="841"/>
      <c r="P15637" s="841"/>
      <c r="Q15637" s="1357"/>
      <c r="R15637" s="841"/>
      <c r="S15637" s="841"/>
      <c r="T15637" s="1420"/>
      <c r="U15637" s="841"/>
      <c r="V15637" s="1357">
        <v>275</v>
      </c>
    </row>
    <row r="15638" spans="1:22" ht="18" customHeight="1" x14ac:dyDescent="0.25">
      <c r="A15638" s="841" t="s">
        <v>176</v>
      </c>
      <c r="B15638" s="841"/>
      <c r="C15638" s="841"/>
      <c r="D15638" s="841"/>
      <c r="E15638" s="1906" t="s">
        <v>3067</v>
      </c>
      <c r="F15638" s="1907"/>
      <c r="G15638" s="1907"/>
      <c r="H15638" s="1907"/>
      <c r="I15638" s="841"/>
      <c r="J15638" s="841"/>
      <c r="K15638" s="841" t="s">
        <v>3115</v>
      </c>
      <c r="L15638" s="1357"/>
      <c r="M15638" s="841"/>
      <c r="N15638" s="841"/>
      <c r="O15638" s="841"/>
      <c r="P15638" s="841"/>
      <c r="Q15638" s="1357"/>
      <c r="R15638" s="841"/>
      <c r="S15638" s="841"/>
      <c r="T15638" s="1420"/>
      <c r="U15638" s="841"/>
      <c r="V15638" s="1357">
        <v>46</v>
      </c>
    </row>
    <row r="15639" spans="1:22" ht="18" customHeight="1" x14ac:dyDescent="0.25">
      <c r="A15639" s="841" t="s">
        <v>176</v>
      </c>
      <c r="B15639" s="841"/>
      <c r="C15639" s="841"/>
      <c r="D15639" s="841"/>
      <c r="E15639" s="1690" t="s">
        <v>11</v>
      </c>
      <c r="F15639" s="1690"/>
      <c r="G15639" s="1358" t="s">
        <v>23</v>
      </c>
      <c r="H15639" s="600">
        <v>10</v>
      </c>
      <c r="I15639" s="841"/>
      <c r="J15639" s="841"/>
      <c r="K15639" s="841" t="s">
        <v>3371</v>
      </c>
      <c r="L15639" s="1357" t="s">
        <v>442</v>
      </c>
      <c r="M15639" s="841"/>
      <c r="N15639" s="841"/>
      <c r="O15639" s="841"/>
      <c r="P15639" s="841" t="s">
        <v>3373</v>
      </c>
      <c r="Q15639" s="1357"/>
      <c r="R15639" s="841"/>
      <c r="S15639" s="841"/>
      <c r="T15639" s="1420"/>
      <c r="U15639" s="841"/>
      <c r="V15639" s="1357">
        <v>14</v>
      </c>
    </row>
    <row r="15640" spans="1:22" ht="18" customHeight="1" x14ac:dyDescent="0.3">
      <c r="A15640" s="841" t="s">
        <v>176</v>
      </c>
      <c r="B15640" s="841"/>
      <c r="C15640" s="841"/>
      <c r="D15640" s="841"/>
      <c r="E15640" s="1439" t="s">
        <v>85</v>
      </c>
      <c r="F15640" s="657"/>
      <c r="G15640" s="1336"/>
      <c r="H15640" s="1335"/>
      <c r="I15640" s="841"/>
      <c r="J15640" s="841"/>
      <c r="K15640" s="841" t="s">
        <v>6887</v>
      </c>
      <c r="L15640" s="1357"/>
      <c r="M15640" s="841"/>
      <c r="N15640" s="841"/>
      <c r="O15640" s="841"/>
      <c r="P15640" s="841"/>
      <c r="Q15640" s="1357"/>
      <c r="R15640" s="841"/>
      <c r="S15640" s="841"/>
      <c r="T15640" s="1420"/>
      <c r="U15640" s="841"/>
      <c r="V15640" s="1357">
        <v>10</v>
      </c>
    </row>
    <row r="15641" spans="1:22" ht="18" customHeight="1" x14ac:dyDescent="0.25">
      <c r="A15641" s="841" t="s">
        <v>176</v>
      </c>
      <c r="B15641" s="841"/>
      <c r="C15641" s="841"/>
      <c r="D15641" s="841"/>
      <c r="E15641" s="1690" t="s">
        <v>3133</v>
      </c>
      <c r="F15641" s="1690"/>
      <c r="G15641" s="1440" t="s">
        <v>33</v>
      </c>
      <c r="H15641" s="678">
        <v>-0.6</v>
      </c>
      <c r="I15641" s="841"/>
      <c r="J15641" s="841"/>
      <c r="K15641" s="841"/>
      <c r="L15641" s="1357"/>
      <c r="M15641" s="841"/>
      <c r="N15641" s="841"/>
      <c r="O15641" s="841"/>
      <c r="P15641" s="841"/>
      <c r="Q15641" s="1357"/>
      <c r="R15641" s="841"/>
      <c r="S15641" s="841"/>
      <c r="T15641" s="1420"/>
      <c r="U15641" s="841"/>
      <c r="V15641" s="1357">
        <v>68</v>
      </c>
    </row>
    <row r="15642" spans="1:22" ht="18" customHeight="1" x14ac:dyDescent="0.25">
      <c r="A15642" s="841" t="s">
        <v>176</v>
      </c>
      <c r="B15642" s="841"/>
      <c r="C15642" s="841"/>
      <c r="D15642" s="841"/>
      <c r="E15642" s="1690" t="s">
        <v>3134</v>
      </c>
      <c r="F15642" s="1690"/>
      <c r="G15642" s="1440" t="s">
        <v>86</v>
      </c>
      <c r="H15642" s="1444">
        <v>-1</v>
      </c>
      <c r="I15642" s="841"/>
      <c r="J15642" s="841"/>
      <c r="K15642" s="841"/>
      <c r="L15642" s="1357"/>
      <c r="M15642" s="841"/>
      <c r="N15642" s="841"/>
      <c r="O15642" s="841"/>
      <c r="P15642" s="841"/>
      <c r="Q15642" s="1357"/>
      <c r="R15642" s="841"/>
      <c r="S15642" s="841"/>
      <c r="T15642" s="1420"/>
      <c r="U15642" s="841"/>
      <c r="V15642" s="1357">
        <v>87</v>
      </c>
    </row>
    <row r="15643" spans="1:22" ht="18" customHeight="1" x14ac:dyDescent="0.3">
      <c r="A15643" s="841" t="s">
        <v>176</v>
      </c>
      <c r="B15643" s="841"/>
      <c r="C15643" s="841"/>
      <c r="D15643" s="841"/>
      <c r="E15643" s="1439" t="s">
        <v>87</v>
      </c>
      <c r="F15643" s="657"/>
      <c r="G15643" s="1336"/>
      <c r="H15643" s="1335"/>
      <c r="I15643" s="841"/>
      <c r="J15643" s="841"/>
      <c r="K15643" s="841" t="s">
        <v>6888</v>
      </c>
      <c r="L15643" s="1357"/>
      <c r="M15643" s="841"/>
      <c r="N15643" s="841"/>
      <c r="O15643" s="841"/>
      <c r="P15643" s="841"/>
      <c r="Q15643" s="1357"/>
      <c r="R15643" s="841"/>
      <c r="S15643" s="841"/>
      <c r="T15643" s="1420"/>
      <c r="U15643" s="841"/>
      <c r="V15643" s="1357">
        <v>24</v>
      </c>
    </row>
    <row r="15644" spans="1:22" ht="18" customHeight="1" x14ac:dyDescent="0.25">
      <c r="A15644" s="841" t="s">
        <v>176</v>
      </c>
      <c r="B15644" s="841"/>
      <c r="C15644" s="841"/>
      <c r="D15644" s="841"/>
      <c r="E15644" s="1689" t="s">
        <v>3493</v>
      </c>
      <c r="F15644" s="1689"/>
      <c r="G15644" s="1689"/>
      <c r="H15644" s="1689"/>
      <c r="I15644" s="841"/>
      <c r="J15644" s="841"/>
      <c r="K15644" s="841"/>
      <c r="L15644" s="1357"/>
      <c r="M15644" s="841"/>
      <c r="N15644" s="841"/>
      <c r="O15644" s="841"/>
      <c r="P15644" s="841"/>
      <c r="Q15644" s="1357"/>
      <c r="R15644" s="841"/>
      <c r="S15644" s="841"/>
      <c r="T15644" s="1420"/>
      <c r="U15644" s="841"/>
      <c r="V15644" s="1357">
        <v>272</v>
      </c>
    </row>
    <row r="15645" spans="1:22" ht="18" customHeight="1" x14ac:dyDescent="0.25">
      <c r="A15645" s="841" t="s">
        <v>176</v>
      </c>
      <c r="B15645" s="841"/>
      <c r="C15645" s="841"/>
      <c r="D15645" s="841"/>
      <c r="E15645" s="1689" t="s">
        <v>3498</v>
      </c>
      <c r="F15645" s="1689"/>
      <c r="G15645" s="1689"/>
      <c r="H15645" s="1689"/>
      <c r="I15645" s="841"/>
      <c r="J15645" s="841"/>
      <c r="K15645" s="841"/>
      <c r="L15645" s="1357"/>
      <c r="M15645" s="841"/>
      <c r="N15645" s="841"/>
      <c r="O15645" s="841"/>
      <c r="P15645" s="841"/>
      <c r="Q15645" s="1357"/>
      <c r="R15645" s="841"/>
      <c r="S15645" s="841"/>
      <c r="T15645" s="1420"/>
      <c r="U15645" s="841"/>
      <c r="V15645" s="1357">
        <v>345</v>
      </c>
    </row>
    <row r="15646" spans="1:22" ht="18" customHeight="1" x14ac:dyDescent="0.25">
      <c r="A15646" s="841" t="s">
        <v>176</v>
      </c>
      <c r="B15646" s="841"/>
      <c r="C15646" s="841"/>
      <c r="D15646" s="841"/>
      <c r="E15646" s="1689" t="s">
        <v>3200</v>
      </c>
      <c r="F15646" s="1689"/>
      <c r="G15646" s="1689"/>
      <c r="H15646" s="1689"/>
      <c r="I15646" s="841"/>
      <c r="J15646" s="841"/>
      <c r="K15646" s="841"/>
      <c r="L15646" s="1357"/>
      <c r="M15646" s="841"/>
      <c r="N15646" s="841"/>
      <c r="O15646" s="841"/>
      <c r="P15646" s="841"/>
      <c r="Q15646" s="1357"/>
      <c r="R15646" s="841"/>
      <c r="S15646" s="841"/>
      <c r="T15646" s="1420"/>
      <c r="U15646" s="841"/>
      <c r="V15646" s="1357">
        <v>275</v>
      </c>
    </row>
    <row r="15647" spans="1:22" ht="18" customHeight="1" x14ac:dyDescent="0.25">
      <c r="A15647" s="841" t="s">
        <v>176</v>
      </c>
      <c r="B15647" s="841"/>
      <c r="C15647" s="841"/>
      <c r="D15647" s="841"/>
      <c r="E15647" s="1438" t="s">
        <v>3137</v>
      </c>
      <c r="F15647" s="3"/>
      <c r="G15647" s="924"/>
      <c r="H15647" s="925"/>
      <c r="I15647" s="841"/>
      <c r="J15647" s="841"/>
      <c r="K15647" s="841" t="s">
        <v>6889</v>
      </c>
      <c r="L15647" s="1357"/>
      <c r="M15647" s="841"/>
      <c r="N15647" s="841"/>
      <c r="O15647" s="841"/>
      <c r="P15647" s="841"/>
      <c r="Q15647" s="1357"/>
      <c r="R15647" s="841"/>
      <c r="S15647" s="841"/>
      <c r="T15647" s="1420"/>
      <c r="U15647" s="841"/>
      <c r="V15647" s="1357">
        <v>23</v>
      </c>
    </row>
    <row r="15648" spans="1:22" ht="18" customHeight="1" x14ac:dyDescent="0.25">
      <c r="A15648" s="841" t="s">
        <v>176</v>
      </c>
      <c r="B15648" s="841"/>
      <c r="C15648" s="841"/>
      <c r="D15648" s="841"/>
      <c r="E15648" s="1905" t="s">
        <v>3355</v>
      </c>
      <c r="F15648" s="1905"/>
      <c r="G15648" s="1361" t="s">
        <v>23</v>
      </c>
      <c r="H15648" s="600">
        <v>15</v>
      </c>
      <c r="I15648" s="841"/>
      <c r="J15648" s="841"/>
      <c r="K15648" s="841"/>
      <c r="L15648" s="1357"/>
      <c r="M15648" s="841"/>
      <c r="N15648" s="841"/>
      <c r="O15648" s="841"/>
      <c r="P15648" s="841"/>
      <c r="Q15648" s="1357"/>
      <c r="R15648" s="841"/>
      <c r="S15648" s="841"/>
      <c r="T15648" s="1420"/>
      <c r="U15648" s="841"/>
      <c r="V15648" s="1357">
        <v>19</v>
      </c>
    </row>
    <row r="15649" spans="1:22" ht="18" customHeight="1" x14ac:dyDescent="0.25">
      <c r="A15649" s="841" t="s">
        <v>176</v>
      </c>
      <c r="B15649" s="841"/>
      <c r="C15649" s="841"/>
      <c r="D15649" s="841"/>
      <c r="E15649" s="1905" t="s">
        <v>3140</v>
      </c>
      <c r="F15649" s="1905"/>
      <c r="G15649" s="1361" t="s">
        <v>23</v>
      </c>
      <c r="H15649" s="600">
        <v>15</v>
      </c>
      <c r="I15649" s="841"/>
      <c r="J15649" s="841"/>
      <c r="K15649" s="841"/>
      <c r="L15649" s="1357"/>
      <c r="M15649" s="841"/>
      <c r="N15649" s="841"/>
      <c r="O15649" s="841"/>
      <c r="P15649" s="841"/>
      <c r="Q15649" s="1357"/>
      <c r="R15649" s="841"/>
      <c r="S15649" s="841"/>
      <c r="T15649" s="1420"/>
      <c r="U15649" s="841"/>
      <c r="V15649" s="1357">
        <v>20</v>
      </c>
    </row>
    <row r="15650" spans="1:22" ht="18" customHeight="1" x14ac:dyDescent="0.25">
      <c r="A15650" s="841" t="s">
        <v>176</v>
      </c>
      <c r="B15650" s="841"/>
      <c r="C15650" s="841"/>
      <c r="D15650" s="841"/>
      <c r="E15650" s="1905" t="s">
        <v>3142</v>
      </c>
      <c r="F15650" s="1905"/>
      <c r="G15650" s="1361" t="s">
        <v>23</v>
      </c>
      <c r="H15650" s="600">
        <v>15</v>
      </c>
      <c r="I15650" s="841"/>
      <c r="J15650" s="841"/>
      <c r="K15650" s="841"/>
      <c r="L15650" s="1357"/>
      <c r="M15650" s="841"/>
      <c r="N15650" s="841"/>
      <c r="O15650" s="841"/>
      <c r="P15650" s="841"/>
      <c r="Q15650" s="1357"/>
      <c r="R15650" s="841"/>
      <c r="S15650" s="841"/>
      <c r="T15650" s="1420"/>
      <c r="U15650" s="841"/>
      <c r="V15650" s="1357">
        <v>39</v>
      </c>
    </row>
    <row r="15651" spans="1:22" ht="18" customHeight="1" x14ac:dyDescent="0.25">
      <c r="A15651" s="841" t="s">
        <v>176</v>
      </c>
      <c r="B15651" s="841"/>
      <c r="C15651" s="841"/>
      <c r="D15651" s="841"/>
      <c r="E15651" s="1905" t="s">
        <v>3143</v>
      </c>
      <c r="F15651" s="1905"/>
      <c r="G15651" s="1361" t="s">
        <v>23</v>
      </c>
      <c r="H15651" s="600">
        <v>15</v>
      </c>
      <c r="I15651" s="841"/>
      <c r="J15651" s="841"/>
      <c r="K15651" s="841"/>
      <c r="L15651" s="1357"/>
      <c r="M15651" s="841"/>
      <c r="N15651" s="841"/>
      <c r="O15651" s="841"/>
      <c r="P15651" s="841"/>
      <c r="Q15651" s="1357"/>
      <c r="R15651" s="841"/>
      <c r="S15651" s="841"/>
      <c r="T15651" s="1420"/>
      <c r="U15651" s="841"/>
      <c r="V15651" s="1357">
        <v>37</v>
      </c>
    </row>
    <row r="15652" spans="1:22" ht="18" customHeight="1" x14ac:dyDescent="0.25">
      <c r="A15652" s="841" t="s">
        <v>176</v>
      </c>
      <c r="B15652" s="841"/>
      <c r="C15652" s="841"/>
      <c r="D15652" s="841"/>
      <c r="E15652" s="1905" t="s">
        <v>3145</v>
      </c>
      <c r="F15652" s="1905"/>
      <c r="G15652" s="1361" t="s">
        <v>23</v>
      </c>
      <c r="H15652" s="600">
        <v>15</v>
      </c>
      <c r="I15652" s="841"/>
      <c r="J15652" s="841"/>
      <c r="K15652" s="841"/>
      <c r="L15652" s="1357"/>
      <c r="M15652" s="841"/>
      <c r="N15652" s="841"/>
      <c r="O15652" s="841"/>
      <c r="P15652" s="841"/>
      <c r="Q15652" s="1357"/>
      <c r="R15652" s="841"/>
      <c r="S15652" s="841"/>
      <c r="T15652" s="1420"/>
      <c r="U15652" s="841"/>
      <c r="V15652" s="1357">
        <v>17</v>
      </c>
    </row>
    <row r="15653" spans="1:22" ht="18" customHeight="1" x14ac:dyDescent="0.25">
      <c r="A15653" s="841" t="s">
        <v>176</v>
      </c>
      <c r="B15653" s="841"/>
      <c r="C15653" s="841"/>
      <c r="D15653" s="841"/>
      <c r="E15653" s="1905" t="s">
        <v>3147</v>
      </c>
      <c r="F15653" s="1905"/>
      <c r="G15653" s="1361" t="s">
        <v>23</v>
      </c>
      <c r="H15653" s="600">
        <v>15</v>
      </c>
      <c r="I15653" s="841"/>
      <c r="J15653" s="841"/>
      <c r="K15653" s="841"/>
      <c r="L15653" s="1357"/>
      <c r="M15653" s="841"/>
      <c r="N15653" s="841"/>
      <c r="O15653" s="841"/>
      <c r="P15653" s="841"/>
      <c r="Q15653" s="1357"/>
      <c r="R15653" s="841"/>
      <c r="S15653" s="841"/>
      <c r="T15653" s="1420"/>
      <c r="U15653" s="841"/>
      <c r="V15653" s="1357">
        <v>15</v>
      </c>
    </row>
    <row r="15654" spans="1:22" ht="18" customHeight="1" x14ac:dyDescent="0.25">
      <c r="A15654" s="841" t="s">
        <v>176</v>
      </c>
      <c r="B15654" s="841"/>
      <c r="C15654" s="841"/>
      <c r="D15654" s="841"/>
      <c r="E15654" s="1905" t="s">
        <v>5629</v>
      </c>
      <c r="F15654" s="1905"/>
      <c r="G15654" s="1361" t="s">
        <v>23</v>
      </c>
      <c r="H15654" s="600">
        <v>25</v>
      </c>
      <c r="I15654" s="841"/>
      <c r="J15654" s="841"/>
      <c r="K15654" s="841"/>
      <c r="L15654" s="1357"/>
      <c r="M15654" s="841"/>
      <c r="N15654" s="841"/>
      <c r="O15654" s="841"/>
      <c r="P15654" s="841"/>
      <c r="Q15654" s="1357"/>
      <c r="R15654" s="841"/>
      <c r="S15654" s="841"/>
      <c r="T15654" s="1420"/>
      <c r="U15654" s="841"/>
      <c r="V15654" s="1357">
        <v>39</v>
      </c>
    </row>
    <row r="15655" spans="1:22" ht="18" customHeight="1" x14ac:dyDescent="0.25">
      <c r="A15655" s="841" t="s">
        <v>176</v>
      </c>
      <c r="B15655" s="841"/>
      <c r="C15655" s="841"/>
      <c r="D15655" s="841"/>
      <c r="E15655" s="1905" t="s">
        <v>123</v>
      </c>
      <c r="F15655" s="1905"/>
      <c r="G15655" s="1361" t="s">
        <v>23</v>
      </c>
      <c r="H15655" s="600">
        <v>15</v>
      </c>
      <c r="I15655" s="841"/>
      <c r="J15655" s="841"/>
      <c r="K15655" s="841"/>
      <c r="L15655" s="1357"/>
      <c r="M15655" s="841"/>
      <c r="N15655" s="841"/>
      <c r="O15655" s="841"/>
      <c r="P15655" s="841"/>
      <c r="Q15655" s="1357"/>
      <c r="R15655" s="841"/>
      <c r="S15655" s="841"/>
      <c r="T15655" s="1420"/>
      <c r="U15655" s="841"/>
      <c r="V15655" s="1357">
        <v>35</v>
      </c>
    </row>
    <row r="15656" spans="1:22" ht="18" customHeight="1" x14ac:dyDescent="0.25">
      <c r="A15656" s="841" t="s">
        <v>176</v>
      </c>
      <c r="B15656" s="841"/>
      <c r="C15656" s="841"/>
      <c r="D15656" s="841"/>
      <c r="E15656" s="1905" t="s">
        <v>3151</v>
      </c>
      <c r="F15656" s="1905"/>
      <c r="G15656" s="1361" t="s">
        <v>23</v>
      </c>
      <c r="H15656" s="600">
        <v>15</v>
      </c>
      <c r="I15656" s="841"/>
      <c r="J15656" s="841"/>
      <c r="K15656" s="841"/>
      <c r="L15656" s="1357"/>
      <c r="M15656" s="841"/>
      <c r="N15656" s="841"/>
      <c r="O15656" s="841"/>
      <c r="P15656" s="841"/>
      <c r="Q15656" s="1357"/>
      <c r="R15656" s="841"/>
      <c r="S15656" s="841"/>
      <c r="T15656" s="1420"/>
      <c r="U15656" s="841"/>
      <c r="V15656" s="1357">
        <v>19</v>
      </c>
    </row>
    <row r="15657" spans="1:22" ht="18" customHeight="1" x14ac:dyDescent="0.25">
      <c r="A15657" s="841" t="s">
        <v>176</v>
      </c>
      <c r="B15657" s="841"/>
      <c r="C15657" s="841"/>
      <c r="D15657" s="841"/>
      <c r="E15657" s="1905" t="s">
        <v>88</v>
      </c>
      <c r="F15657" s="1905"/>
      <c r="G15657" s="1361" t="s">
        <v>23</v>
      </c>
      <c r="H15657" s="600">
        <v>15</v>
      </c>
      <c r="I15657" s="841"/>
      <c r="J15657" s="841"/>
      <c r="K15657" s="841"/>
      <c r="L15657" s="1357"/>
      <c r="M15657" s="841"/>
      <c r="N15657" s="841"/>
      <c r="O15657" s="841"/>
      <c r="P15657" s="841"/>
      <c r="Q15657" s="1357"/>
      <c r="R15657" s="841"/>
      <c r="S15657" s="841"/>
      <c r="T15657" s="1420"/>
      <c r="U15657" s="841"/>
      <c r="V15657" s="1357">
        <v>89</v>
      </c>
    </row>
    <row r="15658" spans="1:22" ht="18" customHeight="1" x14ac:dyDescent="0.25">
      <c r="A15658" s="841" t="s">
        <v>176</v>
      </c>
      <c r="B15658" s="841"/>
      <c r="C15658" s="841"/>
      <c r="D15658" s="841"/>
      <c r="E15658" s="1905" t="s">
        <v>92</v>
      </c>
      <c r="F15658" s="1905"/>
      <c r="G15658" s="1361" t="s">
        <v>23</v>
      </c>
      <c r="H15658" s="600">
        <v>30</v>
      </c>
      <c r="I15658" s="841"/>
      <c r="J15658" s="841"/>
      <c r="K15658" s="841"/>
      <c r="L15658" s="1357"/>
      <c r="M15658" s="841"/>
      <c r="N15658" s="841"/>
      <c r="O15658" s="841"/>
      <c r="P15658" s="841"/>
      <c r="Q15658" s="1357"/>
      <c r="R15658" s="841"/>
      <c r="S15658" s="841"/>
      <c r="T15658" s="1420"/>
      <c r="U15658" s="841"/>
      <c r="V15658" s="1357">
        <v>74</v>
      </c>
    </row>
    <row r="15659" spans="1:22" ht="18" customHeight="1" x14ac:dyDescent="0.25">
      <c r="A15659" s="841" t="s">
        <v>176</v>
      </c>
      <c r="B15659" s="841"/>
      <c r="C15659" s="841"/>
      <c r="D15659" s="841"/>
      <c r="E15659" s="1438" t="s">
        <v>3152</v>
      </c>
      <c r="F15659" s="3"/>
      <c r="G15659" s="924"/>
      <c r="H15659" s="925"/>
      <c r="I15659" s="841"/>
      <c r="J15659" s="841"/>
      <c r="K15659" s="841" t="s">
        <v>6890</v>
      </c>
      <c r="L15659" s="1357"/>
      <c r="M15659" s="841"/>
      <c r="N15659" s="841"/>
      <c r="O15659" s="841"/>
      <c r="P15659" s="841"/>
      <c r="Q15659" s="1357"/>
      <c r="R15659" s="841"/>
      <c r="S15659" s="841"/>
      <c r="T15659" s="1420"/>
      <c r="U15659" s="841"/>
      <c r="V15659" s="1357">
        <v>22</v>
      </c>
    </row>
    <row r="15660" spans="1:22" ht="18" customHeight="1" x14ac:dyDescent="0.25">
      <c r="A15660" s="841" t="s">
        <v>176</v>
      </c>
      <c r="B15660" s="841"/>
      <c r="C15660" s="841"/>
      <c r="D15660" s="841"/>
      <c r="E15660" s="1905" t="s">
        <v>5137</v>
      </c>
      <c r="F15660" s="1905"/>
      <c r="G15660" s="1361" t="s">
        <v>86</v>
      </c>
      <c r="H15660" s="600">
        <v>1.5</v>
      </c>
      <c r="I15660" s="841"/>
      <c r="J15660" s="841"/>
      <c r="K15660" s="841"/>
      <c r="L15660" s="1357"/>
      <c r="M15660" s="841"/>
      <c r="N15660" s="841"/>
      <c r="O15660" s="841"/>
      <c r="P15660" s="841"/>
      <c r="Q15660" s="1357"/>
      <c r="R15660" s="841"/>
      <c r="S15660" s="841"/>
      <c r="T15660" s="1420"/>
      <c r="U15660" s="841"/>
      <c r="V15660" s="1357">
        <v>24</v>
      </c>
    </row>
    <row r="15661" spans="1:22" ht="18" customHeight="1" x14ac:dyDescent="0.25">
      <c r="A15661" s="841" t="s">
        <v>176</v>
      </c>
      <c r="B15661" s="841"/>
      <c r="C15661" s="841"/>
      <c r="D15661" s="841"/>
      <c r="E15661" s="1905" t="s">
        <v>4772</v>
      </c>
      <c r="F15661" s="1905"/>
      <c r="G15661" s="1361" t="s">
        <v>86</v>
      </c>
      <c r="H15661" s="600">
        <v>19.559999999999999</v>
      </c>
      <c r="I15661" s="841"/>
      <c r="J15661" s="841"/>
      <c r="K15661" s="841"/>
      <c r="L15661" s="1357"/>
      <c r="M15661" s="841"/>
      <c r="N15661" s="841"/>
      <c r="O15661" s="841"/>
      <c r="P15661" s="841"/>
      <c r="Q15661" s="1357"/>
      <c r="R15661" s="841"/>
      <c r="S15661" s="841"/>
      <c r="T15661" s="1420"/>
      <c r="U15661" s="841"/>
      <c r="V15661" s="1357">
        <v>24</v>
      </c>
    </row>
    <row r="15662" spans="1:22" ht="18" customHeight="1" x14ac:dyDescent="0.25">
      <c r="A15662" s="841" t="s">
        <v>176</v>
      </c>
      <c r="B15662" s="841"/>
      <c r="C15662" s="841"/>
      <c r="D15662" s="841"/>
      <c r="E15662" s="1905" t="s">
        <v>3288</v>
      </c>
      <c r="F15662" s="1905"/>
      <c r="G15662" s="1361" t="s">
        <v>23</v>
      </c>
      <c r="H15662" s="600">
        <v>20</v>
      </c>
      <c r="I15662" s="841"/>
      <c r="J15662" s="841"/>
      <c r="K15662" s="841"/>
      <c r="L15662" s="1357"/>
      <c r="M15662" s="841"/>
      <c r="N15662" s="841"/>
      <c r="O15662" s="841"/>
      <c r="P15662" s="841"/>
      <c r="Q15662" s="1357"/>
      <c r="R15662" s="841"/>
      <c r="S15662" s="841"/>
      <c r="T15662" s="1420"/>
      <c r="U15662" s="841"/>
      <c r="V15662" s="1357">
        <v>47</v>
      </c>
    </row>
    <row r="15663" spans="1:22" ht="18" customHeight="1" x14ac:dyDescent="0.25">
      <c r="A15663" s="841" t="s">
        <v>176</v>
      </c>
      <c r="B15663" s="841"/>
      <c r="C15663" s="841"/>
      <c r="D15663" s="841"/>
      <c r="E15663" s="1905" t="s">
        <v>3157</v>
      </c>
      <c r="F15663" s="1905"/>
      <c r="G15663" s="1361" t="s">
        <v>23</v>
      </c>
      <c r="H15663" s="600">
        <v>50</v>
      </c>
      <c r="I15663" s="841"/>
      <c r="J15663" s="841"/>
      <c r="K15663" s="841"/>
      <c r="L15663" s="1357"/>
      <c r="M15663" s="841"/>
      <c r="N15663" s="841"/>
      <c r="O15663" s="841"/>
      <c r="P15663" s="841"/>
      <c r="Q15663" s="1357"/>
      <c r="R15663" s="841"/>
      <c r="S15663" s="841"/>
      <c r="T15663" s="1420"/>
      <c r="U15663" s="841"/>
      <c r="V15663" s="1357">
        <v>69</v>
      </c>
    </row>
    <row r="15664" spans="1:22" ht="18" customHeight="1" x14ac:dyDescent="0.25">
      <c r="A15664" s="841" t="s">
        <v>176</v>
      </c>
      <c r="B15664" s="841"/>
      <c r="C15664" s="841"/>
      <c r="D15664" s="841"/>
      <c r="E15664" s="1905" t="s">
        <v>5906</v>
      </c>
      <c r="F15664" s="1905"/>
      <c r="G15664" s="1361" t="s">
        <v>23</v>
      </c>
      <c r="H15664" s="600">
        <v>25</v>
      </c>
      <c r="I15664" s="841"/>
      <c r="J15664" s="841"/>
      <c r="K15664" s="841"/>
      <c r="L15664" s="1357"/>
      <c r="M15664" s="841"/>
      <c r="N15664" s="841"/>
      <c r="O15664" s="841"/>
      <c r="P15664" s="841"/>
      <c r="Q15664" s="1357"/>
      <c r="R15664" s="841"/>
      <c r="S15664" s="841"/>
      <c r="T15664" s="1420"/>
      <c r="U15664" s="841"/>
      <c r="V15664" s="1357">
        <v>52</v>
      </c>
    </row>
    <row r="15665" spans="1:22" ht="18" customHeight="1" x14ac:dyDescent="0.25">
      <c r="A15665" s="841" t="s">
        <v>176</v>
      </c>
      <c r="B15665" s="841"/>
      <c r="C15665" s="841"/>
      <c r="D15665" s="841"/>
      <c r="E15665" s="1905" t="s">
        <v>5907</v>
      </c>
      <c r="F15665" s="1905"/>
      <c r="G15665" s="1361" t="s">
        <v>23</v>
      </c>
      <c r="H15665" s="600">
        <v>50</v>
      </c>
      <c r="I15665" s="841"/>
      <c r="J15665" s="841"/>
      <c r="K15665" s="841"/>
      <c r="L15665" s="1357"/>
      <c r="M15665" s="841"/>
      <c r="N15665" s="841"/>
      <c r="O15665" s="841"/>
      <c r="P15665" s="841"/>
      <c r="Q15665" s="1357"/>
      <c r="R15665" s="841"/>
      <c r="S15665" s="841"/>
      <c r="T15665" s="1420"/>
      <c r="U15665" s="841"/>
      <c r="V15665" s="1357">
        <v>51</v>
      </c>
    </row>
    <row r="15666" spans="1:22" ht="18" customHeight="1" x14ac:dyDescent="0.25">
      <c r="A15666" s="841" t="s">
        <v>176</v>
      </c>
      <c r="B15666" s="841"/>
      <c r="C15666" s="841"/>
      <c r="D15666" s="841"/>
      <c r="E15666" s="1905" t="s">
        <v>6891</v>
      </c>
      <c r="F15666" s="1905"/>
      <c r="G15666" s="1361" t="s">
        <v>23</v>
      </c>
      <c r="H15666" s="600">
        <v>185</v>
      </c>
      <c r="I15666" s="841"/>
      <c r="J15666" s="841"/>
      <c r="K15666" s="841"/>
      <c r="L15666" s="1357"/>
      <c r="M15666" s="841"/>
      <c r="N15666" s="841"/>
      <c r="O15666" s="841"/>
      <c r="P15666" s="841"/>
      <c r="Q15666" s="1357"/>
      <c r="R15666" s="841"/>
      <c r="S15666" s="841"/>
      <c r="T15666" s="1420"/>
      <c r="U15666" s="841"/>
      <c r="V15666" s="1357">
        <v>58</v>
      </c>
    </row>
    <row r="15667" spans="1:22" ht="18" customHeight="1" x14ac:dyDescent="0.25">
      <c r="A15667" s="841" t="s">
        <v>176</v>
      </c>
      <c r="B15667" s="841"/>
      <c r="C15667" s="841"/>
      <c r="D15667" s="841"/>
      <c r="E15667" s="1905" t="s">
        <v>6892</v>
      </c>
      <c r="F15667" s="1905"/>
      <c r="G15667" s="1361" t="s">
        <v>23</v>
      </c>
      <c r="H15667" s="600">
        <v>415</v>
      </c>
      <c r="I15667" s="841"/>
      <c r="J15667" s="841"/>
      <c r="K15667" s="841"/>
      <c r="L15667" s="1357"/>
      <c r="M15667" s="841"/>
      <c r="N15667" s="841"/>
      <c r="O15667" s="841"/>
      <c r="P15667" s="841"/>
      <c r="Q15667" s="1357"/>
      <c r="R15667" s="841"/>
      <c r="S15667" s="841"/>
      <c r="T15667" s="1420"/>
      <c r="U15667" s="841"/>
      <c r="V15667" s="1357">
        <v>49</v>
      </c>
    </row>
    <row r="15668" spans="1:22" ht="18" customHeight="1" x14ac:dyDescent="0.25">
      <c r="A15668" s="841" t="s">
        <v>176</v>
      </c>
      <c r="B15668" s="841"/>
      <c r="C15668" s="841"/>
      <c r="D15668" s="841"/>
      <c r="E15668" s="1905" t="s">
        <v>3162</v>
      </c>
      <c r="F15668" s="1905"/>
      <c r="G15668" s="1361" t="s">
        <v>23</v>
      </c>
      <c r="H15668" s="600">
        <v>25</v>
      </c>
      <c r="I15668" s="841"/>
      <c r="J15668" s="841"/>
      <c r="K15668" s="841"/>
      <c r="L15668" s="1357"/>
      <c r="M15668" s="841"/>
      <c r="N15668" s="841"/>
      <c r="O15668" s="841"/>
      <c r="P15668" s="841"/>
      <c r="Q15668" s="1357"/>
      <c r="R15668" s="841"/>
      <c r="S15668" s="841"/>
      <c r="T15668" s="1420"/>
      <c r="U15668" s="841"/>
      <c r="V15668" s="1357">
        <v>57</v>
      </c>
    </row>
    <row r="15669" spans="1:22" ht="18" customHeight="1" x14ac:dyDescent="0.25">
      <c r="A15669" s="841" t="s">
        <v>176</v>
      </c>
      <c r="B15669" s="841"/>
      <c r="C15669" s="841"/>
      <c r="D15669" s="841"/>
      <c r="E15669" s="1905" t="s">
        <v>3163</v>
      </c>
      <c r="F15669" s="1905"/>
      <c r="G15669" s="1361" t="s">
        <v>23</v>
      </c>
      <c r="H15669" s="600">
        <v>50</v>
      </c>
      <c r="I15669" s="841"/>
      <c r="J15669" s="841"/>
      <c r="K15669" s="841"/>
      <c r="L15669" s="1357"/>
      <c r="M15669" s="841"/>
      <c r="N15669" s="841"/>
      <c r="O15669" s="841"/>
      <c r="P15669" s="841"/>
      <c r="Q15669" s="1357"/>
      <c r="R15669" s="841"/>
      <c r="S15669" s="841"/>
      <c r="T15669" s="1420"/>
      <c r="U15669" s="841"/>
      <c r="V15669" s="1357">
        <v>56</v>
      </c>
    </row>
    <row r="15670" spans="1:22" ht="18" customHeight="1" x14ac:dyDescent="0.25">
      <c r="A15670" s="841" t="s">
        <v>176</v>
      </c>
      <c r="B15670" s="841"/>
      <c r="C15670" s="841"/>
      <c r="D15670" s="841"/>
      <c r="E15670" s="1438" t="s">
        <v>3164</v>
      </c>
      <c r="F15670" s="3"/>
      <c r="G15670" s="924"/>
      <c r="H15670" s="925"/>
      <c r="I15670" s="841"/>
      <c r="J15670" s="841"/>
      <c r="K15670" s="841"/>
      <c r="L15670" s="1357"/>
      <c r="M15670" s="841"/>
      <c r="N15670" s="841"/>
      <c r="O15670" s="841"/>
      <c r="P15670" s="841"/>
      <c r="Q15670" s="1357"/>
      <c r="R15670" s="841"/>
      <c r="S15670" s="841"/>
      <c r="T15670" s="1420"/>
      <c r="U15670" s="841"/>
      <c r="V15670" s="1357">
        <v>5</v>
      </c>
    </row>
    <row r="15671" spans="1:22" ht="18" customHeight="1" x14ac:dyDescent="0.25">
      <c r="A15671" s="841" t="s">
        <v>176</v>
      </c>
      <c r="B15671" s="841"/>
      <c r="C15671" s="841"/>
      <c r="D15671" s="841"/>
      <c r="E15671" s="1905" t="s">
        <v>94</v>
      </c>
      <c r="F15671" s="1905"/>
      <c r="G15671" s="1361" t="s">
        <v>23</v>
      </c>
      <c r="H15671" s="600">
        <v>20</v>
      </c>
      <c r="I15671" s="841"/>
      <c r="J15671" s="841"/>
      <c r="K15671" s="841"/>
      <c r="L15671" s="1357"/>
      <c r="M15671" s="841"/>
      <c r="N15671" s="841"/>
      <c r="O15671" s="841"/>
      <c r="P15671" s="841"/>
      <c r="Q15671" s="1357"/>
      <c r="R15671" s="841"/>
      <c r="S15671" s="841"/>
      <c r="T15671" s="1420"/>
      <c r="U15671" s="841"/>
      <c r="V15671" s="1357">
        <v>19</v>
      </c>
    </row>
    <row r="15672" spans="1:22" ht="18" customHeight="1" x14ac:dyDescent="0.25">
      <c r="A15672" s="841" t="s">
        <v>176</v>
      </c>
      <c r="B15672" s="841"/>
      <c r="C15672" s="841"/>
      <c r="D15672" s="841"/>
      <c r="E15672" s="1905" t="s">
        <v>3167</v>
      </c>
      <c r="F15672" s="1905"/>
      <c r="G15672" s="1361" t="s">
        <v>23</v>
      </c>
      <c r="H15672" s="600">
        <v>30</v>
      </c>
      <c r="I15672" s="841"/>
      <c r="J15672" s="841"/>
      <c r="K15672" s="841"/>
      <c r="L15672" s="1357"/>
      <c r="M15672" s="841"/>
      <c r="N15672" s="841"/>
      <c r="O15672" s="841"/>
      <c r="P15672" s="841"/>
      <c r="Q15672" s="1357"/>
      <c r="R15672" s="841"/>
      <c r="S15672" s="841"/>
      <c r="T15672" s="1420"/>
      <c r="U15672" s="841"/>
      <c r="V15672" s="1357">
        <v>39</v>
      </c>
    </row>
    <row r="15673" spans="1:22" ht="18" customHeight="1" x14ac:dyDescent="0.25">
      <c r="A15673" s="841" t="s">
        <v>176</v>
      </c>
      <c r="B15673" s="841"/>
      <c r="C15673" s="841"/>
      <c r="D15673" s="841"/>
      <c r="E15673" s="1905" t="s">
        <v>3168</v>
      </c>
      <c r="F15673" s="1905"/>
      <c r="G15673" s="1361" t="s">
        <v>23</v>
      </c>
      <c r="H15673" s="600">
        <v>165</v>
      </c>
      <c r="I15673" s="841"/>
      <c r="J15673" s="841"/>
      <c r="K15673" s="841"/>
      <c r="L15673" s="1357"/>
      <c r="M15673" s="841"/>
      <c r="N15673" s="841"/>
      <c r="O15673" s="841"/>
      <c r="P15673" s="841"/>
      <c r="Q15673" s="1357"/>
      <c r="R15673" s="841"/>
      <c r="S15673" s="841"/>
      <c r="T15673" s="1420"/>
      <c r="U15673" s="841"/>
      <c r="V15673" s="1357">
        <v>34</v>
      </c>
    </row>
    <row r="15674" spans="1:22" ht="18" customHeight="1" x14ac:dyDescent="0.25">
      <c r="A15674" s="841" t="s">
        <v>176</v>
      </c>
      <c r="B15674" s="841"/>
      <c r="C15674" s="841"/>
      <c r="D15674" s="841"/>
      <c r="E15674" s="1905" t="s">
        <v>6893</v>
      </c>
      <c r="F15674" s="1905"/>
      <c r="G15674" s="1361" t="s">
        <v>23</v>
      </c>
      <c r="H15674" s="600">
        <v>500</v>
      </c>
      <c r="I15674" s="841"/>
      <c r="J15674" s="841"/>
      <c r="K15674" s="841"/>
      <c r="L15674" s="1357"/>
      <c r="M15674" s="841"/>
      <c r="N15674" s="841"/>
      <c r="O15674" s="841"/>
      <c r="P15674" s="841"/>
      <c r="Q15674" s="1357"/>
      <c r="R15674" s="841"/>
      <c r="S15674" s="841"/>
      <c r="T15674" s="1420"/>
      <c r="U15674" s="841"/>
      <c r="V15674" s="1357">
        <v>72</v>
      </c>
    </row>
    <row r="15675" spans="1:22" ht="18" customHeight="1" x14ac:dyDescent="0.25">
      <c r="A15675" s="841" t="s">
        <v>176</v>
      </c>
      <c r="B15675" s="841"/>
      <c r="C15675" s="841"/>
      <c r="D15675" s="841"/>
      <c r="E15675" s="1905" t="s">
        <v>3500</v>
      </c>
      <c r="F15675" s="1905"/>
      <c r="G15675" s="1361" t="s">
        <v>23</v>
      </c>
      <c r="H15675" s="600">
        <v>300</v>
      </c>
      <c r="I15675" s="841"/>
      <c r="J15675" s="841"/>
      <c r="K15675" s="841"/>
      <c r="L15675" s="1357"/>
      <c r="M15675" s="841"/>
      <c r="N15675" s="841"/>
      <c r="O15675" s="841"/>
      <c r="P15675" s="841"/>
      <c r="Q15675" s="1357"/>
      <c r="R15675" s="841"/>
      <c r="S15675" s="841"/>
      <c r="T15675" s="1420"/>
      <c r="U15675" s="841"/>
      <c r="V15675" s="1357">
        <v>75</v>
      </c>
    </row>
    <row r="15676" spans="1:22" ht="18" customHeight="1" x14ac:dyDescent="0.25">
      <c r="A15676" s="841" t="s">
        <v>176</v>
      </c>
      <c r="B15676" s="841"/>
      <c r="C15676" s="841"/>
      <c r="D15676" s="841"/>
      <c r="E15676" s="1905" t="s">
        <v>3501</v>
      </c>
      <c r="F15676" s="1905"/>
      <c r="G15676" s="1361" t="s">
        <v>23</v>
      </c>
      <c r="H15676" s="600">
        <v>1000</v>
      </c>
      <c r="I15676" s="841"/>
      <c r="J15676" s="841"/>
      <c r="K15676" s="841"/>
      <c r="L15676" s="1357"/>
      <c r="M15676" s="841"/>
      <c r="N15676" s="841"/>
      <c r="O15676" s="841"/>
      <c r="P15676" s="841"/>
      <c r="Q15676" s="1357"/>
      <c r="R15676" s="841"/>
      <c r="S15676" s="841"/>
      <c r="T15676" s="1420"/>
      <c r="U15676" s="841"/>
      <c r="V15676" s="1357">
        <v>74</v>
      </c>
    </row>
    <row r="15677" spans="1:22" ht="18" customHeight="1" x14ac:dyDescent="0.25">
      <c r="A15677" s="841" t="s">
        <v>176</v>
      </c>
      <c r="B15677" s="841"/>
      <c r="C15677" s="841"/>
      <c r="D15677" s="841"/>
      <c r="E15677" s="1905" t="s">
        <v>3502</v>
      </c>
      <c r="F15677" s="1905"/>
      <c r="G15677" s="1445" t="s">
        <v>23</v>
      </c>
      <c r="H15677" s="1332">
        <v>22.35</v>
      </c>
      <c r="I15677" s="841"/>
      <c r="J15677" s="841"/>
      <c r="K15677" s="841"/>
      <c r="L15677" s="1357"/>
      <c r="M15677" s="841"/>
      <c r="N15677" s="841"/>
      <c r="O15677" s="841"/>
      <c r="P15677" s="841"/>
      <c r="Q15677" s="1357"/>
      <c r="R15677" s="841"/>
      <c r="S15677" s="841"/>
      <c r="T15677" s="1420"/>
      <c r="U15677" s="841"/>
      <c r="V15677" s="1357">
        <v>104</v>
      </c>
    </row>
    <row r="15678" spans="1:22" ht="18" customHeight="1" x14ac:dyDescent="0.3">
      <c r="A15678" s="841" t="s">
        <v>176</v>
      </c>
      <c r="B15678" s="841"/>
      <c r="C15678" s="841"/>
      <c r="D15678" s="841"/>
      <c r="E15678" s="1439" t="s">
        <v>77</v>
      </c>
      <c r="F15678" s="657"/>
      <c r="G15678" s="1336"/>
      <c r="H15678" s="1335"/>
      <c r="I15678" s="841"/>
      <c r="J15678" s="841"/>
      <c r="K15678" s="841" t="s">
        <v>6894</v>
      </c>
      <c r="L15678" s="1357"/>
      <c r="M15678" s="841"/>
      <c r="N15678" s="841"/>
      <c r="O15678" s="841"/>
      <c r="P15678" s="841"/>
      <c r="Q15678" s="1357"/>
      <c r="R15678" s="841"/>
      <c r="S15678" s="841"/>
      <c r="T15678" s="1420"/>
      <c r="U15678" s="841"/>
      <c r="V15678" s="1357">
        <v>38</v>
      </c>
    </row>
    <row r="15679" spans="1:22" ht="18" customHeight="1" x14ac:dyDescent="0.25">
      <c r="A15679" s="841" t="s">
        <v>176</v>
      </c>
      <c r="B15679" s="841"/>
      <c r="C15679" s="841"/>
      <c r="D15679" s="841"/>
      <c r="E15679" s="1689" t="s">
        <v>3493</v>
      </c>
      <c r="F15679" s="1689"/>
      <c r="G15679" s="1689"/>
      <c r="H15679" s="1689"/>
      <c r="I15679" s="841"/>
      <c r="J15679" s="841"/>
      <c r="K15679" s="841"/>
      <c r="L15679" s="1357"/>
      <c r="M15679" s="841"/>
      <c r="N15679" s="841"/>
      <c r="O15679" s="841"/>
      <c r="P15679" s="841"/>
      <c r="Q15679" s="1357"/>
      <c r="R15679" s="841"/>
      <c r="S15679" s="841"/>
      <c r="T15679" s="1420"/>
      <c r="U15679" s="841"/>
      <c r="V15679" s="1357">
        <v>272</v>
      </c>
    </row>
    <row r="15680" spans="1:22" ht="18" customHeight="1" x14ac:dyDescent="0.25">
      <c r="A15680" s="841" t="s">
        <v>176</v>
      </c>
      <c r="B15680" s="841"/>
      <c r="C15680" s="841"/>
      <c r="D15680" s="841"/>
      <c r="E15680" s="1689" t="s">
        <v>3494</v>
      </c>
      <c r="F15680" s="1689"/>
      <c r="G15680" s="1689"/>
      <c r="H15680" s="1689"/>
      <c r="I15680" s="841"/>
      <c r="J15680" s="841"/>
      <c r="K15680" s="841"/>
      <c r="L15680" s="1357"/>
      <c r="M15680" s="841"/>
      <c r="N15680" s="841"/>
      <c r="O15680" s="841"/>
      <c r="P15680" s="841"/>
      <c r="Q15680" s="1357"/>
      <c r="R15680" s="841"/>
      <c r="S15680" s="841"/>
      <c r="T15680" s="1420"/>
      <c r="U15680" s="841"/>
      <c r="V15680" s="1357">
        <v>403</v>
      </c>
    </row>
    <row r="15681" spans="1:22" ht="18" customHeight="1" x14ac:dyDescent="0.25">
      <c r="A15681" s="841" t="s">
        <v>176</v>
      </c>
      <c r="B15681" s="841"/>
      <c r="C15681" s="841"/>
      <c r="D15681" s="841"/>
      <c r="E15681" s="1689" t="s">
        <v>3129</v>
      </c>
      <c r="F15681" s="1689"/>
      <c r="G15681" s="1689"/>
      <c r="H15681" s="1689"/>
      <c r="I15681" s="841"/>
      <c r="J15681" s="841"/>
      <c r="K15681" s="841"/>
      <c r="L15681" s="1357"/>
      <c r="M15681" s="841"/>
      <c r="N15681" s="841"/>
      <c r="O15681" s="841"/>
      <c r="P15681" s="841"/>
      <c r="Q15681" s="1357"/>
      <c r="R15681" s="841"/>
      <c r="S15681" s="841"/>
      <c r="T15681" s="1420"/>
      <c r="U15681" s="841"/>
      <c r="V15681" s="1357">
        <v>211</v>
      </c>
    </row>
    <row r="15682" spans="1:22" ht="18" customHeight="1" x14ac:dyDescent="0.25">
      <c r="A15682" s="841" t="s">
        <v>176</v>
      </c>
      <c r="B15682" s="841"/>
      <c r="C15682" s="841"/>
      <c r="D15682" s="841"/>
      <c r="E15682" s="1689" t="s">
        <v>3200</v>
      </c>
      <c r="F15682" s="1689"/>
      <c r="G15682" s="1689"/>
      <c r="H15682" s="1689"/>
      <c r="I15682" s="841"/>
      <c r="J15682" s="841"/>
      <c r="K15682" s="841"/>
      <c r="L15682" s="1357"/>
      <c r="M15682" s="841"/>
      <c r="N15682" s="841"/>
      <c r="O15682" s="841"/>
      <c r="P15682" s="841"/>
      <c r="Q15682" s="1357"/>
      <c r="R15682" s="841"/>
      <c r="S15682" s="841"/>
      <c r="T15682" s="1420"/>
      <c r="U15682" s="841"/>
      <c r="V15682" s="1357">
        <v>275</v>
      </c>
    </row>
    <row r="15683" spans="1:22" ht="18" customHeight="1" x14ac:dyDescent="0.25">
      <c r="A15683" s="841" t="s">
        <v>176</v>
      </c>
      <c r="B15683" s="841"/>
      <c r="C15683" s="841"/>
      <c r="D15683" s="841"/>
      <c r="E15683" s="1689" t="s">
        <v>3291</v>
      </c>
      <c r="F15683" s="1689"/>
      <c r="G15683" s="1689"/>
      <c r="H15683" s="1689"/>
      <c r="I15683" s="841"/>
      <c r="J15683" s="841"/>
      <c r="K15683" s="841"/>
      <c r="L15683" s="1357"/>
      <c r="M15683" s="841"/>
      <c r="N15683" s="841"/>
      <c r="O15683" s="841"/>
      <c r="P15683" s="841"/>
      <c r="Q15683" s="1357"/>
      <c r="R15683" s="841"/>
      <c r="S15683" s="841"/>
      <c r="T15683" s="1420"/>
      <c r="U15683" s="841"/>
      <c r="V15683" s="1357">
        <v>142</v>
      </c>
    </row>
    <row r="15684" spans="1:22" ht="18" customHeight="1" x14ac:dyDescent="0.25">
      <c r="A15684" s="841" t="s">
        <v>176</v>
      </c>
      <c r="B15684" s="841"/>
      <c r="C15684" s="841"/>
      <c r="D15684" s="841"/>
      <c r="E15684" s="1690" t="s">
        <v>3176</v>
      </c>
      <c r="F15684" s="1690"/>
      <c r="G15684" s="718" t="s">
        <v>23</v>
      </c>
      <c r="H15684" s="600">
        <v>100</v>
      </c>
      <c r="I15684" s="841"/>
      <c r="J15684" s="841"/>
      <c r="K15684" s="841"/>
      <c r="L15684" s="1357"/>
      <c r="M15684" s="841"/>
      <c r="N15684" s="841"/>
      <c r="O15684" s="841"/>
      <c r="P15684" s="841"/>
      <c r="Q15684" s="1357"/>
      <c r="R15684" s="841"/>
      <c r="S15684" s="841"/>
      <c r="T15684" s="1420"/>
      <c r="U15684" s="841"/>
      <c r="V15684" s="1357">
        <v>106</v>
      </c>
    </row>
    <row r="15685" spans="1:22" ht="18" customHeight="1" x14ac:dyDescent="0.25">
      <c r="A15685" s="841" t="s">
        <v>176</v>
      </c>
      <c r="B15685" s="841"/>
      <c r="C15685" s="841"/>
      <c r="D15685" s="841"/>
      <c r="E15685" s="1690" t="s">
        <v>3177</v>
      </c>
      <c r="F15685" s="1690"/>
      <c r="G15685" s="718" t="s">
        <v>23</v>
      </c>
      <c r="H15685" s="600">
        <v>20</v>
      </c>
      <c r="I15685" s="841"/>
      <c r="J15685" s="841"/>
      <c r="K15685" s="841"/>
      <c r="L15685" s="1357"/>
      <c r="M15685" s="841"/>
      <c r="N15685" s="841"/>
      <c r="O15685" s="841"/>
      <c r="P15685" s="841"/>
      <c r="Q15685" s="1357"/>
      <c r="R15685" s="841"/>
      <c r="S15685" s="841"/>
      <c r="T15685" s="1420"/>
      <c r="U15685" s="841"/>
      <c r="V15685" s="1357">
        <v>34</v>
      </c>
    </row>
    <row r="15686" spans="1:22" ht="18" customHeight="1" x14ac:dyDescent="0.25">
      <c r="A15686" s="841" t="s">
        <v>176</v>
      </c>
      <c r="B15686" s="841"/>
      <c r="C15686" s="841"/>
      <c r="D15686" s="841"/>
      <c r="E15686" s="1690" t="s">
        <v>3178</v>
      </c>
      <c r="F15686" s="1690"/>
      <c r="G15686" s="718" t="s">
        <v>3179</v>
      </c>
      <c r="H15686" s="600">
        <v>0.5</v>
      </c>
      <c r="I15686" s="841"/>
      <c r="J15686" s="841"/>
      <c r="K15686" s="841"/>
      <c r="L15686" s="1357"/>
      <c r="M15686" s="841"/>
      <c r="N15686" s="841"/>
      <c r="O15686" s="841"/>
      <c r="P15686" s="841"/>
      <c r="Q15686" s="1357"/>
      <c r="R15686" s="841"/>
      <c r="S15686" s="841"/>
      <c r="T15686" s="1420"/>
      <c r="U15686" s="841"/>
      <c r="V15686" s="1357">
        <v>51</v>
      </c>
    </row>
    <row r="15687" spans="1:22" ht="18" customHeight="1" x14ac:dyDescent="0.25">
      <c r="A15687" s="841" t="s">
        <v>176</v>
      </c>
      <c r="B15687" s="841"/>
      <c r="C15687" s="841"/>
      <c r="D15687" s="841"/>
      <c r="E15687" s="1690" t="s">
        <v>3180</v>
      </c>
      <c r="F15687" s="1690"/>
      <c r="G15687" s="718" t="s">
        <v>3179</v>
      </c>
      <c r="H15687" s="600">
        <v>0.3</v>
      </c>
      <c r="I15687" s="841"/>
      <c r="J15687" s="841"/>
      <c r="K15687" s="841"/>
      <c r="L15687" s="1357"/>
      <c r="M15687" s="841"/>
      <c r="N15687" s="841"/>
      <c r="O15687" s="841"/>
      <c r="P15687" s="841"/>
      <c r="Q15687" s="1357"/>
      <c r="R15687" s="841"/>
      <c r="S15687" s="841"/>
      <c r="T15687" s="1420"/>
      <c r="U15687" s="841"/>
      <c r="V15687" s="1357">
        <v>75</v>
      </c>
    </row>
    <row r="15688" spans="1:22" ht="18" customHeight="1" x14ac:dyDescent="0.25">
      <c r="A15688" s="841" t="s">
        <v>176</v>
      </c>
      <c r="B15688" s="841"/>
      <c r="C15688" s="841"/>
      <c r="D15688" s="841"/>
      <c r="E15688" s="1690" t="s">
        <v>3181</v>
      </c>
      <c r="F15688" s="1690"/>
      <c r="G15688" s="718" t="s">
        <v>3179</v>
      </c>
      <c r="H15688" s="600">
        <v>-0.3</v>
      </c>
      <c r="I15688" s="841"/>
      <c r="J15688" s="841"/>
      <c r="K15688" s="841"/>
      <c r="L15688" s="1357"/>
      <c r="M15688" s="841"/>
      <c r="N15688" s="841"/>
      <c r="O15688" s="841"/>
      <c r="P15688" s="841"/>
      <c r="Q15688" s="1357"/>
      <c r="R15688" s="841"/>
      <c r="S15688" s="841"/>
      <c r="T15688" s="1420"/>
      <c r="U15688" s="841"/>
      <c r="V15688" s="1357">
        <v>72</v>
      </c>
    </row>
    <row r="15689" spans="1:22" ht="18" customHeight="1" x14ac:dyDescent="0.25">
      <c r="A15689" s="841" t="s">
        <v>176</v>
      </c>
      <c r="B15689" s="841"/>
      <c r="C15689" s="841"/>
      <c r="D15689" s="841"/>
      <c r="E15689" s="1690" t="s">
        <v>3292</v>
      </c>
      <c r="F15689" s="1690"/>
      <c r="G15689" s="718"/>
      <c r="H15689" s="1446"/>
      <c r="I15689" s="841"/>
      <c r="J15689" s="841"/>
      <c r="K15689" s="841"/>
      <c r="L15689" s="1357"/>
      <c r="M15689" s="841"/>
      <c r="N15689" s="841"/>
      <c r="O15689" s="841"/>
      <c r="P15689" s="841"/>
      <c r="Q15689" s="1357"/>
      <c r="R15689" s="841"/>
      <c r="S15689" s="841"/>
      <c r="T15689" s="1420"/>
      <c r="U15689" s="841"/>
      <c r="V15689" s="1357">
        <v>34</v>
      </c>
    </row>
    <row r="15690" spans="1:22" ht="18" customHeight="1" x14ac:dyDescent="0.25">
      <c r="A15690" s="841" t="s">
        <v>176</v>
      </c>
      <c r="B15690" s="841"/>
      <c r="C15690" s="841"/>
      <c r="D15690" s="841"/>
      <c r="E15690" s="1691" t="s">
        <v>3183</v>
      </c>
      <c r="F15690" s="1691"/>
      <c r="G15690" s="718" t="s">
        <v>23</v>
      </c>
      <c r="H15690" s="600">
        <v>0.25</v>
      </c>
      <c r="I15690" s="841"/>
      <c r="J15690" s="841"/>
      <c r="K15690" s="841"/>
      <c r="L15690" s="1357"/>
      <c r="M15690" s="841"/>
      <c r="N15690" s="841"/>
      <c r="O15690" s="841"/>
      <c r="P15690" s="841"/>
      <c r="Q15690" s="1357"/>
      <c r="R15690" s="841"/>
      <c r="S15690" s="841"/>
      <c r="T15690" s="1420"/>
      <c r="U15690" s="841"/>
      <c r="V15690" s="1357">
        <v>57</v>
      </c>
    </row>
    <row r="15691" spans="1:22" ht="18" customHeight="1" x14ac:dyDescent="0.25">
      <c r="A15691" s="841" t="s">
        <v>176</v>
      </c>
      <c r="B15691" s="841"/>
      <c r="C15691" s="841"/>
      <c r="D15691" s="841"/>
      <c r="E15691" s="1691" t="s">
        <v>3184</v>
      </c>
      <c r="F15691" s="1691"/>
      <c r="G15691" s="718" t="s">
        <v>23</v>
      </c>
      <c r="H15691" s="600">
        <v>0.5</v>
      </c>
      <c r="I15691" s="841"/>
      <c r="J15691" s="841"/>
      <c r="K15691" s="841"/>
      <c r="L15691" s="1357"/>
      <c r="M15691" s="841"/>
      <c r="N15691" s="841"/>
      <c r="O15691" s="841"/>
      <c r="P15691" s="841"/>
      <c r="Q15691" s="1357"/>
      <c r="R15691" s="841"/>
      <c r="S15691" s="841"/>
      <c r="T15691" s="1420"/>
      <c r="U15691" s="841"/>
      <c r="V15691" s="1357">
        <v>60</v>
      </c>
    </row>
    <row r="15692" spans="1:22" ht="18" customHeight="1" x14ac:dyDescent="0.25">
      <c r="A15692" s="841" t="s">
        <v>176</v>
      </c>
      <c r="B15692" s="841"/>
      <c r="C15692" s="841"/>
      <c r="D15692" s="841"/>
      <c r="E15692" s="1690" t="s">
        <v>3185</v>
      </c>
      <c r="F15692" s="1690"/>
      <c r="G15692" s="718"/>
      <c r="H15692" s="1446"/>
      <c r="I15692" s="841"/>
      <c r="J15692" s="841"/>
      <c r="K15692" s="841"/>
      <c r="L15692" s="1357"/>
      <c r="M15692" s="841"/>
      <c r="N15692" s="841"/>
      <c r="O15692" s="841"/>
      <c r="P15692" s="841"/>
      <c r="Q15692" s="1357"/>
      <c r="R15692" s="841"/>
      <c r="S15692" s="841"/>
      <c r="T15692" s="1420"/>
      <c r="U15692" s="841"/>
      <c r="V15692" s="1357">
        <v>91</v>
      </c>
    </row>
    <row r="15693" spans="1:22" ht="18" customHeight="1" x14ac:dyDescent="0.25">
      <c r="A15693" s="841" t="s">
        <v>176</v>
      </c>
      <c r="B15693" s="841"/>
      <c r="C15693" s="841"/>
      <c r="D15693" s="841"/>
      <c r="E15693" s="1690" t="s">
        <v>3186</v>
      </c>
      <c r="F15693" s="1690"/>
      <c r="G15693" s="718"/>
      <c r="H15693" s="1446"/>
      <c r="I15693" s="841"/>
      <c r="J15693" s="841"/>
      <c r="K15693" s="841"/>
      <c r="L15693" s="1357"/>
      <c r="M15693" s="841"/>
      <c r="N15693" s="841"/>
      <c r="O15693" s="841"/>
      <c r="P15693" s="841"/>
      <c r="Q15693" s="1357"/>
      <c r="R15693" s="841"/>
      <c r="S15693" s="841"/>
      <c r="T15693" s="1420"/>
      <c r="U15693" s="841"/>
      <c r="V15693" s="1357">
        <v>96</v>
      </c>
    </row>
    <row r="15694" spans="1:22" ht="18" customHeight="1" x14ac:dyDescent="0.25">
      <c r="A15694" s="841" t="s">
        <v>176</v>
      </c>
      <c r="B15694" s="841"/>
      <c r="C15694" s="841"/>
      <c r="D15694" s="841"/>
      <c r="E15694" s="1690" t="s">
        <v>3293</v>
      </c>
      <c r="F15694" s="1690"/>
      <c r="G15694" s="718"/>
      <c r="H15694" s="1446"/>
      <c r="I15694" s="841"/>
      <c r="J15694" s="841"/>
      <c r="K15694" s="841"/>
      <c r="L15694" s="1357"/>
      <c r="M15694" s="841"/>
      <c r="N15694" s="841"/>
      <c r="O15694" s="841"/>
      <c r="P15694" s="841"/>
      <c r="Q15694" s="1357"/>
      <c r="R15694" s="841"/>
      <c r="S15694" s="841"/>
      <c r="T15694" s="1420"/>
      <c r="U15694" s="841"/>
      <c r="V15694" s="1357">
        <v>77</v>
      </c>
    </row>
    <row r="15695" spans="1:22" ht="18" customHeight="1" x14ac:dyDescent="0.25">
      <c r="A15695" s="841" t="s">
        <v>176</v>
      </c>
      <c r="B15695" s="841"/>
      <c r="C15695" s="841"/>
      <c r="D15695" s="841"/>
      <c r="E15695" s="1691" t="s">
        <v>3188</v>
      </c>
      <c r="F15695" s="1691"/>
      <c r="G15695" s="718" t="s">
        <v>23</v>
      </c>
      <c r="H15695" s="1446" t="s">
        <v>3189</v>
      </c>
      <c r="I15695" s="841"/>
      <c r="J15695" s="841"/>
      <c r="K15695" s="841"/>
      <c r="L15695" s="1357"/>
      <c r="M15695" s="841"/>
      <c r="N15695" s="841"/>
      <c r="O15695" s="841"/>
      <c r="P15695" s="841"/>
      <c r="Q15695" s="1357"/>
      <c r="R15695" s="841"/>
      <c r="S15695" s="841"/>
      <c r="T15695" s="1420"/>
      <c r="U15695" s="841"/>
      <c r="V15695" s="1357">
        <v>18</v>
      </c>
    </row>
    <row r="15696" spans="1:22" ht="18" customHeight="1" x14ac:dyDescent="0.25">
      <c r="A15696" s="841" t="s">
        <v>176</v>
      </c>
      <c r="B15696" s="841"/>
      <c r="C15696" s="841"/>
      <c r="D15696" s="841"/>
      <c r="E15696" s="1691" t="s">
        <v>3190</v>
      </c>
      <c r="F15696" s="1691"/>
      <c r="G15696" s="718" t="s">
        <v>23</v>
      </c>
      <c r="H15696" s="600">
        <v>2</v>
      </c>
      <c r="I15696" s="841"/>
      <c r="J15696" s="841"/>
      <c r="K15696" s="841"/>
      <c r="L15696" s="1357"/>
      <c r="M15696" s="841"/>
      <c r="N15696" s="841"/>
      <c r="O15696" s="841"/>
      <c r="P15696" s="841"/>
      <c r="Q15696" s="1357"/>
      <c r="R15696" s="841"/>
      <c r="S15696" s="841"/>
      <c r="T15696" s="1420"/>
      <c r="U15696" s="841"/>
      <c r="V15696" s="1357">
        <v>69</v>
      </c>
    </row>
    <row r="15697" spans="1:22" ht="18" customHeight="1" x14ac:dyDescent="0.3">
      <c r="A15697" s="841" t="s">
        <v>176</v>
      </c>
      <c r="B15697" s="841"/>
      <c r="C15697" s="841"/>
      <c r="D15697" s="841"/>
      <c r="E15697" s="1362" t="s">
        <v>147</v>
      </c>
      <c r="F15697" s="657"/>
      <c r="G15697" s="1336"/>
      <c r="H15697" s="1335"/>
      <c r="I15697" s="841"/>
      <c r="J15697" s="841"/>
      <c r="K15697" s="841" t="s">
        <v>6895</v>
      </c>
      <c r="L15697" s="1357"/>
      <c r="M15697" s="841"/>
      <c r="N15697" s="841"/>
      <c r="O15697" s="841"/>
      <c r="P15697" s="841"/>
      <c r="Q15697" s="1357"/>
      <c r="R15697" s="841"/>
      <c r="S15697" s="841"/>
      <c r="T15697" s="1420"/>
      <c r="U15697" s="841"/>
      <c r="V15697" s="1357">
        <v>12</v>
      </c>
    </row>
    <row r="15698" spans="1:22" ht="18" customHeight="1" x14ac:dyDescent="0.25">
      <c r="A15698" s="841" t="s">
        <v>176</v>
      </c>
      <c r="B15698" s="841"/>
      <c r="C15698" s="841"/>
      <c r="D15698" s="841"/>
      <c r="E15698" s="1704" t="s">
        <v>3192</v>
      </c>
      <c r="F15698" s="1704"/>
      <c r="G15698" s="1704"/>
      <c r="H15698" s="1704"/>
      <c r="I15698" s="841"/>
      <c r="J15698" s="841"/>
      <c r="K15698" s="841"/>
      <c r="L15698" s="1357"/>
      <c r="M15698" s="841"/>
      <c r="N15698" s="841"/>
      <c r="O15698" s="841"/>
      <c r="P15698" s="841"/>
      <c r="Q15698" s="1357"/>
      <c r="R15698" s="841"/>
      <c r="S15698" s="841"/>
      <c r="T15698" s="1420"/>
      <c r="U15698" s="841"/>
      <c r="V15698" s="1357">
        <v>203</v>
      </c>
    </row>
    <row r="15699" spans="1:22" ht="18" customHeight="1" x14ac:dyDescent="0.25">
      <c r="A15699" s="841" t="s">
        <v>176</v>
      </c>
      <c r="B15699" s="841"/>
      <c r="C15699" s="841"/>
      <c r="D15699" s="841"/>
      <c r="E15699" s="1904" t="s">
        <v>3295</v>
      </c>
      <c r="F15699" s="1904"/>
      <c r="G15699" s="1440"/>
      <c r="H15699" s="606">
        <v>1.0749</v>
      </c>
      <c r="I15699" s="841"/>
      <c r="J15699" s="841"/>
      <c r="K15699" s="841"/>
      <c r="L15699" s="1357"/>
      <c r="M15699" s="841"/>
      <c r="N15699" s="841"/>
      <c r="O15699" s="841"/>
      <c r="P15699" s="841"/>
      <c r="Q15699" s="1357"/>
      <c r="R15699" s="841"/>
      <c r="S15699" s="841"/>
      <c r="T15699" s="1420"/>
      <c r="U15699" s="841"/>
      <c r="V15699" s="1357">
        <v>57</v>
      </c>
    </row>
    <row r="15700" spans="1:22" ht="18" customHeight="1" x14ac:dyDescent="0.25">
      <c r="A15700" s="841" t="s">
        <v>176</v>
      </c>
      <c r="B15700" s="841"/>
      <c r="C15700" s="841"/>
      <c r="D15700" s="841"/>
      <c r="E15700" s="1904" t="s">
        <v>3297</v>
      </c>
      <c r="F15700" s="1904"/>
      <c r="G15700" s="1440"/>
      <c r="H15700" s="606">
        <v>1.0649999999999999</v>
      </c>
      <c r="I15700" s="841"/>
      <c r="J15700" s="841" t="s">
        <v>6896</v>
      </c>
      <c r="K15700" s="841"/>
      <c r="L15700" s="1357"/>
      <c r="M15700" s="841"/>
      <c r="N15700" s="841"/>
      <c r="O15700" s="841"/>
      <c r="P15700" s="841"/>
      <c r="Q15700" s="1357"/>
      <c r="R15700" s="841"/>
      <c r="S15700" s="841"/>
      <c r="T15700" s="1420"/>
      <c r="U15700" s="841"/>
      <c r="V15700" s="1357">
        <v>55</v>
      </c>
    </row>
  </sheetData>
  <sheetProtection algorithmName="SHA-512" hashValue="9MwSJ8uDI7gnC9CgskND1NBTj5vU38K5rTW9AXJea8UbVWeVUBWuJqapfFmWJMnm2fyI4IcY8GoXHl3ynVuhSw==" saltValue="1o1VElFmxExU2r+lUoBsVA==" spinCount="100000" sheet="1" objects="1" scenarios="1"/>
  <mergeCells count="14349">
    <mergeCell ref="E15506:F15506"/>
    <mergeCell ref="E15507:F15507"/>
    <mergeCell ref="E15508:F15508"/>
    <mergeCell ref="E15509:F15509"/>
    <mergeCell ref="E15510:F15510"/>
    <mergeCell ref="E15512:H15512"/>
    <mergeCell ref="E15513:F15513"/>
    <mergeCell ref="E15514:F15514"/>
    <mergeCell ref="E15470:F15470"/>
    <mergeCell ref="E15471:F15471"/>
    <mergeCell ref="E15472:F15472"/>
    <mergeCell ref="E15473:F15473"/>
    <mergeCell ref="E15474:F15474"/>
    <mergeCell ref="E15475:F15475"/>
    <mergeCell ref="E15476:F15476"/>
    <mergeCell ref="E15478:F15478"/>
    <mergeCell ref="E15479:F15479"/>
    <mergeCell ref="E15480:F15480"/>
    <mergeCell ref="E15481:F15481"/>
    <mergeCell ref="E15482:F15482"/>
    <mergeCell ref="E15483:F15483"/>
    <mergeCell ref="E15484:F15484"/>
    <mergeCell ref="E15485:F15485"/>
    <mergeCell ref="E15486:F15486"/>
    <mergeCell ref="E15488:F15488"/>
    <mergeCell ref="E15489:F15489"/>
    <mergeCell ref="E15490:F15490"/>
    <mergeCell ref="E15491:F15491"/>
    <mergeCell ref="E15493:H15493"/>
    <mergeCell ref="E15494:H15494"/>
    <mergeCell ref="E15495:H15495"/>
    <mergeCell ref="E15496:H15496"/>
    <mergeCell ref="E15497:H15497"/>
    <mergeCell ref="E15498:F15498"/>
    <mergeCell ref="E15499:F15499"/>
    <mergeCell ref="E15500:F15500"/>
    <mergeCell ref="E15501:F15501"/>
    <mergeCell ref="E15502:F15502"/>
    <mergeCell ref="E15503:F15503"/>
    <mergeCell ref="E15504:F15504"/>
    <mergeCell ref="E15505:F15505"/>
    <mergeCell ref="E15435:H15435"/>
    <mergeCell ref="E15436:H15436"/>
    <mergeCell ref="E15437:H15437"/>
    <mergeCell ref="E15438:H15438"/>
    <mergeCell ref="E15439:H15439"/>
    <mergeCell ref="E15440:F15440"/>
    <mergeCell ref="E15441:F15441"/>
    <mergeCell ref="E15442:F15442"/>
    <mergeCell ref="E15443:F15443"/>
    <mergeCell ref="E15444:F15444"/>
    <mergeCell ref="E15445:F15445"/>
    <mergeCell ref="E15446:F15446"/>
    <mergeCell ref="E15447:F15447"/>
    <mergeCell ref="E15448:F15448"/>
    <mergeCell ref="E15449:F15449"/>
    <mergeCell ref="E15450:F15450"/>
    <mergeCell ref="E15451:H15451"/>
    <mergeCell ref="E15452:H15452"/>
    <mergeCell ref="E15453:H15453"/>
    <mergeCell ref="E15454:H15454"/>
    <mergeCell ref="E15455:H15455"/>
    <mergeCell ref="E15456:H15456"/>
    <mergeCell ref="E15457:H15457"/>
    <mergeCell ref="E15458:H15458"/>
    <mergeCell ref="E15459:F15459"/>
    <mergeCell ref="E15461:F15461"/>
    <mergeCell ref="E15462:F15462"/>
    <mergeCell ref="E15464:H15464"/>
    <mergeCell ref="E15465:H15465"/>
    <mergeCell ref="E15466:H15466"/>
    <mergeCell ref="E15468:F15468"/>
    <mergeCell ref="E15469:F15469"/>
    <mergeCell ref="E15403:F15403"/>
    <mergeCell ref="E15404:F15404"/>
    <mergeCell ref="E15405:F15405"/>
    <mergeCell ref="E15406:F15406"/>
    <mergeCell ref="E15407:F15407"/>
    <mergeCell ref="E15408:F15408"/>
    <mergeCell ref="E15409:F15409"/>
    <mergeCell ref="E15410:F15410"/>
    <mergeCell ref="E15411:F15411"/>
    <mergeCell ref="E15412:F15412"/>
    <mergeCell ref="E15413:H15413"/>
    <mergeCell ref="E15414:H15414"/>
    <mergeCell ref="E15415:H15415"/>
    <mergeCell ref="E15416:H15416"/>
    <mergeCell ref="E15417:H15417"/>
    <mergeCell ref="E15418:H15418"/>
    <mergeCell ref="E15419:H15419"/>
    <mergeCell ref="E15420:H15420"/>
    <mergeCell ref="E15421:F15421"/>
    <mergeCell ref="E15422:F15422"/>
    <mergeCell ref="E15423:F15423"/>
    <mergeCell ref="E15424:F15424"/>
    <mergeCell ref="E15425:F15425"/>
    <mergeCell ref="E15426:F15426"/>
    <mergeCell ref="E15427:F15427"/>
    <mergeCell ref="E15428:F15428"/>
    <mergeCell ref="E15429:F15429"/>
    <mergeCell ref="E15430:F15430"/>
    <mergeCell ref="E15431:F15431"/>
    <mergeCell ref="E15432:H15432"/>
    <mergeCell ref="E15433:H15433"/>
    <mergeCell ref="E15434:H15434"/>
    <mergeCell ref="E15371:H15371"/>
    <mergeCell ref="E15372:H15372"/>
    <mergeCell ref="E15373:H15373"/>
    <mergeCell ref="E15374:H15374"/>
    <mergeCell ref="E15375:H15375"/>
    <mergeCell ref="E15376:H15376"/>
    <mergeCell ref="E15377:H15377"/>
    <mergeCell ref="E15378:H15378"/>
    <mergeCell ref="E15379:F15379"/>
    <mergeCell ref="E15380:F15380"/>
    <mergeCell ref="E15381:F15381"/>
    <mergeCell ref="E15382:F15382"/>
    <mergeCell ref="E15383:F15383"/>
    <mergeCell ref="E15384:F15384"/>
    <mergeCell ref="E15385:F15385"/>
    <mergeCell ref="E15386:F15386"/>
    <mergeCell ref="E15387:F15387"/>
    <mergeCell ref="E15388:F15388"/>
    <mergeCell ref="E15389:F15389"/>
    <mergeCell ref="E15390:F15390"/>
    <mergeCell ref="E15391:H15391"/>
    <mergeCell ref="E15392:H15392"/>
    <mergeCell ref="E15393:H15393"/>
    <mergeCell ref="E15394:H15394"/>
    <mergeCell ref="E15395:H15395"/>
    <mergeCell ref="E15396:H15396"/>
    <mergeCell ref="E15397:H15397"/>
    <mergeCell ref="E15398:H15398"/>
    <mergeCell ref="E15399:H15399"/>
    <mergeCell ref="E15400:F15400"/>
    <mergeCell ref="E15401:F15401"/>
    <mergeCell ref="E15402:F15402"/>
    <mergeCell ref="E15338:F15338"/>
    <mergeCell ref="E15339:F15339"/>
    <mergeCell ref="E15340:F15340"/>
    <mergeCell ref="E15342:H15342"/>
    <mergeCell ref="E15343:F15343"/>
    <mergeCell ref="E15344:F15344"/>
    <mergeCell ref="E15345:H15345"/>
    <mergeCell ref="E15346:H15346"/>
    <mergeCell ref="E15347:H15347"/>
    <mergeCell ref="E15348:H15348"/>
    <mergeCell ref="E15349:H15349"/>
    <mergeCell ref="E15350:H15350"/>
    <mergeCell ref="E15351:H15351"/>
    <mergeCell ref="E15352:H15352"/>
    <mergeCell ref="E15353:H15353"/>
    <mergeCell ref="E15354:H15354"/>
    <mergeCell ref="E15355:H15355"/>
    <mergeCell ref="E15356:H15356"/>
    <mergeCell ref="E15357:H15357"/>
    <mergeCell ref="E15358:H15358"/>
    <mergeCell ref="E15359:F15359"/>
    <mergeCell ref="E15360:F15360"/>
    <mergeCell ref="E15361:F15361"/>
    <mergeCell ref="E15362:F15362"/>
    <mergeCell ref="E15363:F15363"/>
    <mergeCell ref="E15364:F15364"/>
    <mergeCell ref="E15365:F15365"/>
    <mergeCell ref="E15366:F15366"/>
    <mergeCell ref="E15367:F15367"/>
    <mergeCell ref="E15368:F15368"/>
    <mergeCell ref="E15369:F15369"/>
    <mergeCell ref="E15370:F15370"/>
    <mergeCell ref="E15302:F15302"/>
    <mergeCell ref="E15304:F15304"/>
    <mergeCell ref="E15305:F15305"/>
    <mergeCell ref="E15306:F15306"/>
    <mergeCell ref="E15307:F15307"/>
    <mergeCell ref="E15308:F15308"/>
    <mergeCell ref="E15309:F15309"/>
    <mergeCell ref="E15310:F15310"/>
    <mergeCell ref="E15311:F15311"/>
    <mergeCell ref="E15312:F15312"/>
    <mergeCell ref="E15313:F15313"/>
    <mergeCell ref="E15315:F15315"/>
    <mergeCell ref="E15316:F15316"/>
    <mergeCell ref="E15317:F15317"/>
    <mergeCell ref="E15318:F15318"/>
    <mergeCell ref="E15319:F15319"/>
    <mergeCell ref="E15320:F15320"/>
    <mergeCell ref="E15321:F15321"/>
    <mergeCell ref="E15323:H15323"/>
    <mergeCell ref="E15324:H15324"/>
    <mergeCell ref="E15325:H15325"/>
    <mergeCell ref="E15326:H15326"/>
    <mergeCell ref="E15327:H15327"/>
    <mergeCell ref="E15328:F15328"/>
    <mergeCell ref="E15329:F15329"/>
    <mergeCell ref="E15330:F15330"/>
    <mergeCell ref="E15331:F15331"/>
    <mergeCell ref="E15332:F15332"/>
    <mergeCell ref="E15333:F15333"/>
    <mergeCell ref="E15334:F15334"/>
    <mergeCell ref="E15335:F15335"/>
    <mergeCell ref="E15336:F15336"/>
    <mergeCell ref="E15337:F15337"/>
    <mergeCell ref="E15266:F15266"/>
    <mergeCell ref="E15267:F15267"/>
    <mergeCell ref="E15268:F15268"/>
    <mergeCell ref="E15269:F15269"/>
    <mergeCell ref="E15270:H15270"/>
    <mergeCell ref="E15271:H15271"/>
    <mergeCell ref="E15272:H15272"/>
    <mergeCell ref="E15273:H15273"/>
    <mergeCell ref="E15274:H15274"/>
    <mergeCell ref="E15275:H15275"/>
    <mergeCell ref="E15276:H15276"/>
    <mergeCell ref="E15277:H15277"/>
    <mergeCell ref="E15278:F15278"/>
    <mergeCell ref="E15280:F15280"/>
    <mergeCell ref="E15281:F15281"/>
    <mergeCell ref="E15283:H15283"/>
    <mergeCell ref="E15284:H15284"/>
    <mergeCell ref="E15285:H15285"/>
    <mergeCell ref="E15287:F15287"/>
    <mergeCell ref="E15288:F15288"/>
    <mergeCell ref="E15289:F15289"/>
    <mergeCell ref="E15290:F15290"/>
    <mergeCell ref="E15291:F15291"/>
    <mergeCell ref="E15292:F15292"/>
    <mergeCell ref="E15293:F15293"/>
    <mergeCell ref="E15294:F15294"/>
    <mergeCell ref="E15295:F15295"/>
    <mergeCell ref="E15296:F15296"/>
    <mergeCell ref="E15297:F15297"/>
    <mergeCell ref="E15298:F15298"/>
    <mergeCell ref="E15299:F15299"/>
    <mergeCell ref="E15300:F15300"/>
    <mergeCell ref="E15301:F15301"/>
    <mergeCell ref="E15233:F15233"/>
    <mergeCell ref="E15234:H15234"/>
    <mergeCell ref="E15235:H15235"/>
    <mergeCell ref="E15236:H15236"/>
    <mergeCell ref="E15237:H15237"/>
    <mergeCell ref="E15238:H15238"/>
    <mergeCell ref="E15239:H15239"/>
    <mergeCell ref="E15240:H15240"/>
    <mergeCell ref="E15241:H15241"/>
    <mergeCell ref="E15242:F15242"/>
    <mergeCell ref="E15243:F15243"/>
    <mergeCell ref="E15244:F15244"/>
    <mergeCell ref="E15245:F15245"/>
    <mergeCell ref="E15246:F15246"/>
    <mergeCell ref="E15247:F15247"/>
    <mergeCell ref="E15248:F15248"/>
    <mergeCell ref="E15249:F15249"/>
    <mergeCell ref="E15250:F15250"/>
    <mergeCell ref="E15251:F15251"/>
    <mergeCell ref="E15252:H15252"/>
    <mergeCell ref="E15253:H15253"/>
    <mergeCell ref="E15254:H15254"/>
    <mergeCell ref="E15255:H15255"/>
    <mergeCell ref="E15256:H15256"/>
    <mergeCell ref="E15257:H15257"/>
    <mergeCell ref="E15258:H15258"/>
    <mergeCell ref="E15259:H15259"/>
    <mergeCell ref="E15260:F15260"/>
    <mergeCell ref="E15261:F15261"/>
    <mergeCell ref="E15262:F15262"/>
    <mergeCell ref="E15263:F15263"/>
    <mergeCell ref="E15264:F15264"/>
    <mergeCell ref="E15265:F15265"/>
    <mergeCell ref="E15200:H15200"/>
    <mergeCell ref="E15201:H15201"/>
    <mergeCell ref="E15202:H15202"/>
    <mergeCell ref="E15203:H15203"/>
    <mergeCell ref="E15204:F15204"/>
    <mergeCell ref="E15205:F15205"/>
    <mergeCell ref="E15206:F15206"/>
    <mergeCell ref="E15207:F15207"/>
    <mergeCell ref="E15208:F15208"/>
    <mergeCell ref="E15209:F15209"/>
    <mergeCell ref="E15210:F15210"/>
    <mergeCell ref="E15211:F15211"/>
    <mergeCell ref="E15212:F15212"/>
    <mergeCell ref="E15213:F15213"/>
    <mergeCell ref="E15214:F15214"/>
    <mergeCell ref="E15215:H15215"/>
    <mergeCell ref="E15216:H15216"/>
    <mergeCell ref="E15217:H15217"/>
    <mergeCell ref="E15218:H15218"/>
    <mergeCell ref="E15219:H15219"/>
    <mergeCell ref="E15220:H15220"/>
    <mergeCell ref="E15221:H15221"/>
    <mergeCell ref="E15222:H15222"/>
    <mergeCell ref="E15223:H15223"/>
    <mergeCell ref="E15224:F15224"/>
    <mergeCell ref="E15225:F15225"/>
    <mergeCell ref="E15226:F15226"/>
    <mergeCell ref="E15227:F15227"/>
    <mergeCell ref="E15228:F15228"/>
    <mergeCell ref="E15229:F15229"/>
    <mergeCell ref="E15230:F15230"/>
    <mergeCell ref="E15231:F15231"/>
    <mergeCell ref="E15232:F15232"/>
    <mergeCell ref="E15164:F15164"/>
    <mergeCell ref="E15168:H15168"/>
    <mergeCell ref="E15169:F15169"/>
    <mergeCell ref="E15170:F15170"/>
    <mergeCell ref="E15171:H15171"/>
    <mergeCell ref="E15172:H15172"/>
    <mergeCell ref="E15173:H15173"/>
    <mergeCell ref="E15174:H15174"/>
    <mergeCell ref="E15175:H15175"/>
    <mergeCell ref="E15176:H15176"/>
    <mergeCell ref="E15177:H15177"/>
    <mergeCell ref="E15178:H15178"/>
    <mergeCell ref="E15179:H15179"/>
    <mergeCell ref="E15180:H15180"/>
    <mergeCell ref="E15181:H15181"/>
    <mergeCell ref="E15182:H15182"/>
    <mergeCell ref="E15183:H15183"/>
    <mergeCell ref="E15184:H15184"/>
    <mergeCell ref="E15185:F15185"/>
    <mergeCell ref="E15186:F15186"/>
    <mergeCell ref="E15187:F15187"/>
    <mergeCell ref="E15188:F15188"/>
    <mergeCell ref="E15189:F15189"/>
    <mergeCell ref="E15190:F15190"/>
    <mergeCell ref="E15191:F15191"/>
    <mergeCell ref="E15192:F15192"/>
    <mergeCell ref="E15193:F15193"/>
    <mergeCell ref="E15194:F15194"/>
    <mergeCell ref="E15195:F15195"/>
    <mergeCell ref="E15196:H15196"/>
    <mergeCell ref="E15197:H15197"/>
    <mergeCell ref="E15198:H15198"/>
    <mergeCell ref="E15199:H15199"/>
    <mergeCell ref="E15130:F15130"/>
    <mergeCell ref="E15131:F15131"/>
    <mergeCell ref="E15132:F15132"/>
    <mergeCell ref="E15133:F15133"/>
    <mergeCell ref="E15134:F15134"/>
    <mergeCell ref="E15135:F15135"/>
    <mergeCell ref="E15136:F15136"/>
    <mergeCell ref="E15137:F15137"/>
    <mergeCell ref="E15139:F15139"/>
    <mergeCell ref="E15140:F15140"/>
    <mergeCell ref="E15141:F15141"/>
    <mergeCell ref="E15142:F15142"/>
    <mergeCell ref="E15143:F15143"/>
    <mergeCell ref="E15144:F15144"/>
    <mergeCell ref="E15145:F15145"/>
    <mergeCell ref="E15146:F15146"/>
    <mergeCell ref="E15147:H15147"/>
    <mergeCell ref="E15148:H15148"/>
    <mergeCell ref="E15149:H15149"/>
    <mergeCell ref="E15150:H15150"/>
    <mergeCell ref="E15151:H15151"/>
    <mergeCell ref="E15152:F15152"/>
    <mergeCell ref="E15153:F15153"/>
    <mergeCell ref="E15154:F15154"/>
    <mergeCell ref="E15155:F15155"/>
    <mergeCell ref="E15156:F15156"/>
    <mergeCell ref="E15157:F15157"/>
    <mergeCell ref="E15158:F15158"/>
    <mergeCell ref="E15159:F15159"/>
    <mergeCell ref="E15160:F15160"/>
    <mergeCell ref="E15161:F15161"/>
    <mergeCell ref="E15162:F15162"/>
    <mergeCell ref="E15163:F15163"/>
    <mergeCell ref="E15095:F15095"/>
    <mergeCell ref="E15096:F15096"/>
    <mergeCell ref="E15097:H15097"/>
    <mergeCell ref="E15098:H15098"/>
    <mergeCell ref="E15099:H15099"/>
    <mergeCell ref="E15100:H15100"/>
    <mergeCell ref="E15101:H15101"/>
    <mergeCell ref="E15102:H15102"/>
    <mergeCell ref="E15103:H15103"/>
    <mergeCell ref="E15104:H15104"/>
    <mergeCell ref="E15105:F15105"/>
    <mergeCell ref="E15106:F15106"/>
    <mergeCell ref="E15107:F15107"/>
    <mergeCell ref="E15108:F15108"/>
    <mergeCell ref="E15109:F15109"/>
    <mergeCell ref="E15110:H15110"/>
    <mergeCell ref="E15111:H15111"/>
    <mergeCell ref="E15112:H15112"/>
    <mergeCell ref="E15113:H15113"/>
    <mergeCell ref="E15115:F15115"/>
    <mergeCell ref="E15116:F15116"/>
    <mergeCell ref="E15117:F15117"/>
    <mergeCell ref="E15118:F15118"/>
    <mergeCell ref="E15119:F15119"/>
    <mergeCell ref="E15120:F15120"/>
    <mergeCell ref="E15121:F15121"/>
    <mergeCell ref="E15122:F15122"/>
    <mergeCell ref="E15123:F15123"/>
    <mergeCell ref="E15124:F15124"/>
    <mergeCell ref="E15125:F15125"/>
    <mergeCell ref="E15126:F15126"/>
    <mergeCell ref="E15128:F15128"/>
    <mergeCell ref="E15129:F15129"/>
    <mergeCell ref="E15066:H15066"/>
    <mergeCell ref="E15067:H15067"/>
    <mergeCell ref="E15068:H15068"/>
    <mergeCell ref="E15069:F15069"/>
    <mergeCell ref="E15070:F15070"/>
    <mergeCell ref="E15071:F15071"/>
    <mergeCell ref="E15072:F15072"/>
    <mergeCell ref="E15073:F15073"/>
    <mergeCell ref="E15074:F15074"/>
    <mergeCell ref="E15075:F15075"/>
    <mergeCell ref="E15076:F15076"/>
    <mergeCell ref="E15077:F15077"/>
    <mergeCell ref="E15078:F15078"/>
    <mergeCell ref="E15079:H15079"/>
    <mergeCell ref="E15080:H15080"/>
    <mergeCell ref="E15081:H15081"/>
    <mergeCell ref="E15082:H15082"/>
    <mergeCell ref="E15083:H15083"/>
    <mergeCell ref="E15084:H15084"/>
    <mergeCell ref="E15085:H15085"/>
    <mergeCell ref="E15086:H15086"/>
    <mergeCell ref="E15087:F15087"/>
    <mergeCell ref="E15088:F15088"/>
    <mergeCell ref="E15089:F15089"/>
    <mergeCell ref="E15090:F15090"/>
    <mergeCell ref="E15091:F15091"/>
    <mergeCell ref="E15092:F15092"/>
    <mergeCell ref="E15093:F15093"/>
    <mergeCell ref="E15094:F15094"/>
    <mergeCell ref="E15036:F15036"/>
    <mergeCell ref="E15037:F15037"/>
    <mergeCell ref="E15038:F15038"/>
    <mergeCell ref="E15039:F15039"/>
    <mergeCell ref="E15040:F15040"/>
    <mergeCell ref="E15041:F15041"/>
    <mergeCell ref="E15042:F15042"/>
    <mergeCell ref="E15043:H15043"/>
    <mergeCell ref="E15044:H15044"/>
    <mergeCell ref="E15045:H15045"/>
    <mergeCell ref="E15046:H15046"/>
    <mergeCell ref="E15047:H15047"/>
    <mergeCell ref="E15048:H15048"/>
    <mergeCell ref="E15049:H15049"/>
    <mergeCell ref="E15050:H15050"/>
    <mergeCell ref="E15051:F15051"/>
    <mergeCell ref="E15052:F15052"/>
    <mergeCell ref="E15053:F15053"/>
    <mergeCell ref="E15054:F15054"/>
    <mergeCell ref="E15055:F15055"/>
    <mergeCell ref="E15056:F15056"/>
    <mergeCell ref="E15057:F15057"/>
    <mergeCell ref="E15058:F15058"/>
    <mergeCell ref="E15059:F15059"/>
    <mergeCell ref="E15060:F15060"/>
    <mergeCell ref="E15061:H15061"/>
    <mergeCell ref="E15062:H15062"/>
    <mergeCell ref="E15063:H15063"/>
    <mergeCell ref="E15064:H15064"/>
    <mergeCell ref="E15065:H15065"/>
    <mergeCell ref="E15005:H15005"/>
    <mergeCell ref="E15006:H15006"/>
    <mergeCell ref="E15007:H15007"/>
    <mergeCell ref="E15008:H15008"/>
    <mergeCell ref="E15009:H15009"/>
    <mergeCell ref="E15010:H15010"/>
    <mergeCell ref="E15011:H15011"/>
    <mergeCell ref="E15012:F15012"/>
    <mergeCell ref="E15013:F15013"/>
    <mergeCell ref="E15014:F15014"/>
    <mergeCell ref="E15015:F15015"/>
    <mergeCell ref="E15016:F15016"/>
    <mergeCell ref="E15017:F15017"/>
    <mergeCell ref="E15018:F15018"/>
    <mergeCell ref="E15019:F15019"/>
    <mergeCell ref="E15020:F15020"/>
    <mergeCell ref="E15021:F15021"/>
    <mergeCell ref="E15022:F15022"/>
    <mergeCell ref="E15023:F15023"/>
    <mergeCell ref="E15024:H15024"/>
    <mergeCell ref="E15025:H15025"/>
    <mergeCell ref="E15026:H15026"/>
    <mergeCell ref="E15027:H15027"/>
    <mergeCell ref="E15028:H15028"/>
    <mergeCell ref="E15029:H15029"/>
    <mergeCell ref="E15030:H15030"/>
    <mergeCell ref="E15031:H15031"/>
    <mergeCell ref="E15032:H15032"/>
    <mergeCell ref="E15033:F15033"/>
    <mergeCell ref="E15034:F15034"/>
    <mergeCell ref="E15035:F15035"/>
    <mergeCell ref="E14975:F14975"/>
    <mergeCell ref="E14976:F14976"/>
    <mergeCell ref="E14977:F14977"/>
    <mergeCell ref="E14978:F14978"/>
    <mergeCell ref="E14979:F14979"/>
    <mergeCell ref="E14980:F14980"/>
    <mergeCell ref="E14981:F14981"/>
    <mergeCell ref="E14982:F14982"/>
    <mergeCell ref="E14983:F14983"/>
    <mergeCell ref="E14984:H14984"/>
    <mergeCell ref="E14985:H14985"/>
    <mergeCell ref="E14986:H14986"/>
    <mergeCell ref="E14987:H14987"/>
    <mergeCell ref="E14988:H14988"/>
    <mergeCell ref="E14989:H14989"/>
    <mergeCell ref="E14990:H14990"/>
    <mergeCell ref="E14991:H14991"/>
    <mergeCell ref="E14992:F14992"/>
    <mergeCell ref="E14993:F14993"/>
    <mergeCell ref="E14994:F14994"/>
    <mergeCell ref="E14995:F14995"/>
    <mergeCell ref="E14996:F14996"/>
    <mergeCell ref="E14997:F14997"/>
    <mergeCell ref="E14998:F14998"/>
    <mergeCell ref="E14999:F14999"/>
    <mergeCell ref="E15000:F15000"/>
    <mergeCell ref="E15001:F15001"/>
    <mergeCell ref="E15002:F15002"/>
    <mergeCell ref="E15003:H15003"/>
    <mergeCell ref="E15004:H15004"/>
    <mergeCell ref="E14940:H14940"/>
    <mergeCell ref="E14941:H14941"/>
    <mergeCell ref="E14944:F14944"/>
    <mergeCell ref="E14945:F14945"/>
    <mergeCell ref="E14946:F14946"/>
    <mergeCell ref="E14947:F14947"/>
    <mergeCell ref="E14948:F14948"/>
    <mergeCell ref="E14949:F14949"/>
    <mergeCell ref="E14950:F14950"/>
    <mergeCell ref="E14951:F14951"/>
    <mergeCell ref="E14952:F14952"/>
    <mergeCell ref="E14953:F14953"/>
    <mergeCell ref="E14954:F14954"/>
    <mergeCell ref="E14956:H14956"/>
    <mergeCell ref="E14957:F14957"/>
    <mergeCell ref="E14958:F14958"/>
    <mergeCell ref="E14959:H14959"/>
    <mergeCell ref="E14960:H14960"/>
    <mergeCell ref="E14961:H14961"/>
    <mergeCell ref="E14962:H14962"/>
    <mergeCell ref="E14963:H14963"/>
    <mergeCell ref="E14964:H14964"/>
    <mergeCell ref="E14965:H14965"/>
    <mergeCell ref="E14966:H14966"/>
    <mergeCell ref="E14967:H14967"/>
    <mergeCell ref="E14968:H14968"/>
    <mergeCell ref="E14969:H14969"/>
    <mergeCell ref="E14970:H14970"/>
    <mergeCell ref="E14971:H14971"/>
    <mergeCell ref="E14972:H14972"/>
    <mergeCell ref="E14973:F14973"/>
    <mergeCell ref="E14974:F14974"/>
    <mergeCell ref="E14896:F14896"/>
    <mergeCell ref="E14897:F14897"/>
    <mergeCell ref="E14898:F14898"/>
    <mergeCell ref="E14900:F14900"/>
    <mergeCell ref="E14901:F14901"/>
    <mergeCell ref="E14902:F14902"/>
    <mergeCell ref="E14904:H14904"/>
    <mergeCell ref="E14906:H14906"/>
    <mergeCell ref="E14907:H14907"/>
    <mergeCell ref="E14908:H14908"/>
    <mergeCell ref="E14909:H14909"/>
    <mergeCell ref="E14911:F14911"/>
    <mergeCell ref="E14914:F14914"/>
    <mergeCell ref="E14916:H14916"/>
    <mergeCell ref="E14917:H14917"/>
    <mergeCell ref="E14918:H14918"/>
    <mergeCell ref="E14920:F14920"/>
    <mergeCell ref="E14921:F14921"/>
    <mergeCell ref="E14922:F14922"/>
    <mergeCell ref="E14923:F14923"/>
    <mergeCell ref="E14924:F14924"/>
    <mergeCell ref="E14925:F14925"/>
    <mergeCell ref="E14927:F14927"/>
    <mergeCell ref="E14928:F14928"/>
    <mergeCell ref="E14929:F14929"/>
    <mergeCell ref="E14930:F14930"/>
    <mergeCell ref="E14931:F14931"/>
    <mergeCell ref="E14933:F14933"/>
    <mergeCell ref="E14934:F14934"/>
    <mergeCell ref="E14935:F14935"/>
    <mergeCell ref="E14937:H14937"/>
    <mergeCell ref="E14938:H14938"/>
    <mergeCell ref="E14939:H14939"/>
    <mergeCell ref="E14855:F14855"/>
    <mergeCell ref="E14856:F14856"/>
    <mergeCell ref="E14857:F14857"/>
    <mergeCell ref="E14858:F14858"/>
    <mergeCell ref="E14859:F14859"/>
    <mergeCell ref="E14860:F14860"/>
    <mergeCell ref="E14862:F14862"/>
    <mergeCell ref="E14863:F14863"/>
    <mergeCell ref="E14864:F14864"/>
    <mergeCell ref="E14866:H14866"/>
    <mergeCell ref="E14868:H14868"/>
    <mergeCell ref="E14869:H14869"/>
    <mergeCell ref="E14870:H14870"/>
    <mergeCell ref="E14871:H14871"/>
    <mergeCell ref="E14873:F14873"/>
    <mergeCell ref="E14874:F14874"/>
    <mergeCell ref="E14875:F14875"/>
    <mergeCell ref="E14876:F14876"/>
    <mergeCell ref="E14877:F14877"/>
    <mergeCell ref="E14878:F14878"/>
    <mergeCell ref="E14879:F14879"/>
    <mergeCell ref="E14881:F14881"/>
    <mergeCell ref="E14882:F14882"/>
    <mergeCell ref="E14883:F14883"/>
    <mergeCell ref="E14885:H14885"/>
    <mergeCell ref="E14887:H14887"/>
    <mergeCell ref="E14888:H14888"/>
    <mergeCell ref="E14889:H14889"/>
    <mergeCell ref="E14890:H14890"/>
    <mergeCell ref="E14892:F14892"/>
    <mergeCell ref="E14893:F14893"/>
    <mergeCell ref="E14894:F14894"/>
    <mergeCell ref="E14895:F14895"/>
    <mergeCell ref="E14814:F14814"/>
    <mergeCell ref="E14815:F14815"/>
    <mergeCell ref="E14816:F14816"/>
    <mergeCell ref="E14817:F14817"/>
    <mergeCell ref="E14818:F14818"/>
    <mergeCell ref="E14819:F14819"/>
    <mergeCell ref="E14820:F14820"/>
    <mergeCell ref="E14822:F14822"/>
    <mergeCell ref="E14823:F14823"/>
    <mergeCell ref="E14824:F14824"/>
    <mergeCell ref="E14826:H14826"/>
    <mergeCell ref="E14828:H14828"/>
    <mergeCell ref="E14829:H14829"/>
    <mergeCell ref="E14830:H14830"/>
    <mergeCell ref="E14831:H14831"/>
    <mergeCell ref="E14833:F14833"/>
    <mergeCell ref="E14834:F14834"/>
    <mergeCell ref="E14835:F14835"/>
    <mergeCell ref="E14836:F14836"/>
    <mergeCell ref="E14837:F14837"/>
    <mergeCell ref="E14838:F14838"/>
    <mergeCell ref="E14839:F14839"/>
    <mergeCell ref="E14840:F14840"/>
    <mergeCell ref="E14841:F14841"/>
    <mergeCell ref="E14843:F14843"/>
    <mergeCell ref="E14844:F14844"/>
    <mergeCell ref="E14845:F14845"/>
    <mergeCell ref="E14847:H14847"/>
    <mergeCell ref="E14849:H14849"/>
    <mergeCell ref="E14850:H14850"/>
    <mergeCell ref="E14851:H14851"/>
    <mergeCell ref="E14852:H14852"/>
    <mergeCell ref="E14854:F14854"/>
    <mergeCell ref="E14771:H14771"/>
    <mergeCell ref="E14772:H14772"/>
    <mergeCell ref="E14773:H14773"/>
    <mergeCell ref="E14774:H14774"/>
    <mergeCell ref="E14775:H14775"/>
    <mergeCell ref="E14776:H14776"/>
    <mergeCell ref="E14777:F14777"/>
    <mergeCell ref="E14778:H14778"/>
    <mergeCell ref="E14780:F14780"/>
    <mergeCell ref="E14781:H14781"/>
    <mergeCell ref="E14782:F14782"/>
    <mergeCell ref="E14783:F14783"/>
    <mergeCell ref="E14784:H14784"/>
    <mergeCell ref="E14786:F14786"/>
    <mergeCell ref="E14787:H14787"/>
    <mergeCell ref="E14788:F14788"/>
    <mergeCell ref="E14789:F14789"/>
    <mergeCell ref="E14790:H14790"/>
    <mergeCell ref="E14792:F14792"/>
    <mergeCell ref="E14793:H14793"/>
    <mergeCell ref="E14794:H14794"/>
    <mergeCell ref="E14796:F14796"/>
    <mergeCell ref="E14797:H14797"/>
    <mergeCell ref="E14799:F14799"/>
    <mergeCell ref="E14800:H14800"/>
    <mergeCell ref="E14802:F14802"/>
    <mergeCell ref="E14803:H14803"/>
    <mergeCell ref="E14806:H14806"/>
    <mergeCell ref="E14808:H14808"/>
    <mergeCell ref="E14809:H14809"/>
    <mergeCell ref="E14810:H14810"/>
    <mergeCell ref="E14811:H14811"/>
    <mergeCell ref="E14813:F14813"/>
    <mergeCell ref="E14733:F14733"/>
    <mergeCell ref="E14734:F14734"/>
    <mergeCell ref="E14735:F14735"/>
    <mergeCell ref="E14736:F14736"/>
    <mergeCell ref="E14737:F14737"/>
    <mergeCell ref="E14739:H14739"/>
    <mergeCell ref="E14740:F14740"/>
    <mergeCell ref="E14741:F14741"/>
    <mergeCell ref="E14742:F14742"/>
    <mergeCell ref="E14743:F14743"/>
    <mergeCell ref="E14744:H14744"/>
    <mergeCell ref="E14745:H14745"/>
    <mergeCell ref="E14746:H14746"/>
    <mergeCell ref="E14747:H14747"/>
    <mergeCell ref="E14748:H14748"/>
    <mergeCell ref="E14749:H14749"/>
    <mergeCell ref="E14751:H14751"/>
    <mergeCell ref="E14753:H14753"/>
    <mergeCell ref="E14754:H14754"/>
    <mergeCell ref="E14755:H14755"/>
    <mergeCell ref="E14756:H14756"/>
    <mergeCell ref="E14758:F14758"/>
    <mergeCell ref="E14759:F14759"/>
    <mergeCell ref="E14760:F14760"/>
    <mergeCell ref="E14761:F14761"/>
    <mergeCell ref="E14762:F14762"/>
    <mergeCell ref="E14763:F14763"/>
    <mergeCell ref="E14764:F14764"/>
    <mergeCell ref="E14765:F14765"/>
    <mergeCell ref="E14767:F14767"/>
    <mergeCell ref="E14768:F14768"/>
    <mergeCell ref="E14769:F14769"/>
    <mergeCell ref="E14770:H14770"/>
    <mergeCell ref="E14696:H14696"/>
    <mergeCell ref="E14697:H14697"/>
    <mergeCell ref="E14699:F14699"/>
    <mergeCell ref="E14700:F14700"/>
    <mergeCell ref="E14701:F14701"/>
    <mergeCell ref="E14702:F14702"/>
    <mergeCell ref="E14703:F14703"/>
    <mergeCell ref="E14704:F14704"/>
    <mergeCell ref="E14705:F14705"/>
    <mergeCell ref="E14707:F14707"/>
    <mergeCell ref="E14708:F14708"/>
    <mergeCell ref="E14709:F14709"/>
    <mergeCell ref="E14710:F14710"/>
    <mergeCell ref="E14711:F14711"/>
    <mergeCell ref="E14712:F14712"/>
    <mergeCell ref="E14713:F14713"/>
    <mergeCell ref="E14715:F14715"/>
    <mergeCell ref="E14716:F14716"/>
    <mergeCell ref="E14717:F14717"/>
    <mergeCell ref="E14718:F14718"/>
    <mergeCell ref="E14720:H14720"/>
    <mergeCell ref="E14721:H14721"/>
    <mergeCell ref="E14722:H14722"/>
    <mergeCell ref="E14723:H14723"/>
    <mergeCell ref="E14724:H14724"/>
    <mergeCell ref="E14725:F14725"/>
    <mergeCell ref="E14726:F14726"/>
    <mergeCell ref="E14727:F14727"/>
    <mergeCell ref="E14728:F14728"/>
    <mergeCell ref="E14729:F14729"/>
    <mergeCell ref="E14730:F14730"/>
    <mergeCell ref="E14731:F14731"/>
    <mergeCell ref="E14732:F14732"/>
    <mergeCell ref="E14662:F14662"/>
    <mergeCell ref="E14663:F14663"/>
    <mergeCell ref="E14664:F14664"/>
    <mergeCell ref="E14665:H14665"/>
    <mergeCell ref="E14666:H14666"/>
    <mergeCell ref="E14667:H14667"/>
    <mergeCell ref="E14668:H14668"/>
    <mergeCell ref="E14669:H14669"/>
    <mergeCell ref="E14670:H14670"/>
    <mergeCell ref="E14671:H14671"/>
    <mergeCell ref="E14672:H14672"/>
    <mergeCell ref="E14673:F14673"/>
    <mergeCell ref="E14674:F14674"/>
    <mergeCell ref="E14675:F14675"/>
    <mergeCell ref="E14676:F14676"/>
    <mergeCell ref="E14677:F14677"/>
    <mergeCell ref="E14678:F14678"/>
    <mergeCell ref="E14679:F14679"/>
    <mergeCell ref="E14680:F14680"/>
    <mergeCell ref="E14681:F14681"/>
    <mergeCell ref="E14682:H14682"/>
    <mergeCell ref="E14683:H14683"/>
    <mergeCell ref="E14684:H14684"/>
    <mergeCell ref="E14685:H14685"/>
    <mergeCell ref="E14686:H14686"/>
    <mergeCell ref="E14687:H14687"/>
    <mergeCell ref="E14688:H14688"/>
    <mergeCell ref="E14689:H14689"/>
    <mergeCell ref="E14690:F14690"/>
    <mergeCell ref="E14692:F14692"/>
    <mergeCell ref="E14693:F14693"/>
    <mergeCell ref="E14695:H14695"/>
    <mergeCell ref="E14630:H14630"/>
    <mergeCell ref="E14631:H14631"/>
    <mergeCell ref="E14632:H14632"/>
    <mergeCell ref="E14633:H14633"/>
    <mergeCell ref="E14634:H14634"/>
    <mergeCell ref="E14635:H14635"/>
    <mergeCell ref="E14636:H14636"/>
    <mergeCell ref="E14637:F14637"/>
    <mergeCell ref="E14638:F14638"/>
    <mergeCell ref="E14639:F14639"/>
    <mergeCell ref="E14640:F14640"/>
    <mergeCell ref="E14641:F14641"/>
    <mergeCell ref="E14642:F14642"/>
    <mergeCell ref="E14643:F14643"/>
    <mergeCell ref="E14644:F14644"/>
    <mergeCell ref="E14645:F14645"/>
    <mergeCell ref="E14646:F14646"/>
    <mergeCell ref="E14647:H14647"/>
    <mergeCell ref="E14648:H14648"/>
    <mergeCell ref="E14649:H14649"/>
    <mergeCell ref="E14650:H14650"/>
    <mergeCell ref="E14651:H14651"/>
    <mergeCell ref="E14652:H14652"/>
    <mergeCell ref="E14653:H14653"/>
    <mergeCell ref="E14654:H14654"/>
    <mergeCell ref="E14655:F14655"/>
    <mergeCell ref="E14656:F14656"/>
    <mergeCell ref="E14657:F14657"/>
    <mergeCell ref="E14658:F14658"/>
    <mergeCell ref="E14659:F14659"/>
    <mergeCell ref="E14660:F14660"/>
    <mergeCell ref="E14661:F14661"/>
    <mergeCell ref="E14598:H14598"/>
    <mergeCell ref="E14599:H14599"/>
    <mergeCell ref="E14600:H14600"/>
    <mergeCell ref="E14601:F14601"/>
    <mergeCell ref="E14602:F14602"/>
    <mergeCell ref="E14603:F14603"/>
    <mergeCell ref="E14604:F14604"/>
    <mergeCell ref="E14605:F14605"/>
    <mergeCell ref="E14606:F14606"/>
    <mergeCell ref="E14607:F14607"/>
    <mergeCell ref="E14608:F14608"/>
    <mergeCell ref="E14609:F14609"/>
    <mergeCell ref="E14610:F14610"/>
    <mergeCell ref="E14611:H14611"/>
    <mergeCell ref="E14612:H14612"/>
    <mergeCell ref="E14613:H14613"/>
    <mergeCell ref="E14614:H14614"/>
    <mergeCell ref="E14615:H14615"/>
    <mergeCell ref="E14616:H14616"/>
    <mergeCell ref="E14617:H14617"/>
    <mergeCell ref="E14618:H14618"/>
    <mergeCell ref="E14619:F14619"/>
    <mergeCell ref="E14620:F14620"/>
    <mergeCell ref="E14621:F14621"/>
    <mergeCell ref="E14622:F14622"/>
    <mergeCell ref="E14623:F14623"/>
    <mergeCell ref="E14624:F14624"/>
    <mergeCell ref="E14625:F14625"/>
    <mergeCell ref="E14626:F14626"/>
    <mergeCell ref="E14627:F14627"/>
    <mergeCell ref="E14628:F14628"/>
    <mergeCell ref="E14629:H14629"/>
    <mergeCell ref="E14566:F14566"/>
    <mergeCell ref="E14567:F14567"/>
    <mergeCell ref="E14568:F14568"/>
    <mergeCell ref="E14569:F14569"/>
    <mergeCell ref="E14570:F14570"/>
    <mergeCell ref="E14571:F14571"/>
    <mergeCell ref="E14572:F14572"/>
    <mergeCell ref="E14573:H14573"/>
    <mergeCell ref="E14574:H14574"/>
    <mergeCell ref="E14575:H14575"/>
    <mergeCell ref="E14576:H14576"/>
    <mergeCell ref="E14577:H14577"/>
    <mergeCell ref="E14578:H14578"/>
    <mergeCell ref="E14579:H14579"/>
    <mergeCell ref="E14580:H14580"/>
    <mergeCell ref="E14581:H14581"/>
    <mergeCell ref="E14582:F14582"/>
    <mergeCell ref="E14583:F14583"/>
    <mergeCell ref="E14584:F14584"/>
    <mergeCell ref="E14585:F14585"/>
    <mergeCell ref="E14586:F14586"/>
    <mergeCell ref="E14587:F14587"/>
    <mergeCell ref="E14588:F14588"/>
    <mergeCell ref="E14589:F14589"/>
    <mergeCell ref="E14590:F14590"/>
    <mergeCell ref="E14591:F14591"/>
    <mergeCell ref="E14592:H14592"/>
    <mergeCell ref="E14593:H14593"/>
    <mergeCell ref="E14594:H14594"/>
    <mergeCell ref="E14595:H14595"/>
    <mergeCell ref="E14596:H14596"/>
    <mergeCell ref="E14597:H14597"/>
    <mergeCell ref="E14535:F14535"/>
    <mergeCell ref="E14536:H14536"/>
    <mergeCell ref="E14537:H14537"/>
    <mergeCell ref="E14538:H14538"/>
    <mergeCell ref="E14539:H14539"/>
    <mergeCell ref="E14540:H14540"/>
    <mergeCell ref="E14541:H14541"/>
    <mergeCell ref="E14542:H14542"/>
    <mergeCell ref="E14543:H14543"/>
    <mergeCell ref="E14544:F14544"/>
    <mergeCell ref="E14545:F14545"/>
    <mergeCell ref="E14546:F14546"/>
    <mergeCell ref="E14547:F14547"/>
    <mergeCell ref="E14548:F14548"/>
    <mergeCell ref="E14549:F14549"/>
    <mergeCell ref="E14550:F14550"/>
    <mergeCell ref="E14551:F14551"/>
    <mergeCell ref="E14552:F14552"/>
    <mergeCell ref="E14553:F14553"/>
    <mergeCell ref="E14554:F14554"/>
    <mergeCell ref="E14555:H14555"/>
    <mergeCell ref="E14556:H14556"/>
    <mergeCell ref="E14557:H14557"/>
    <mergeCell ref="E14558:H14558"/>
    <mergeCell ref="E14559:H14559"/>
    <mergeCell ref="E14560:H14560"/>
    <mergeCell ref="E14561:H14561"/>
    <mergeCell ref="E14562:H14562"/>
    <mergeCell ref="E14563:F14563"/>
    <mergeCell ref="E14564:F14564"/>
    <mergeCell ref="E14565:F14565"/>
    <mergeCell ref="E14502:F14502"/>
    <mergeCell ref="E14503:F14503"/>
    <mergeCell ref="E14504:F14504"/>
    <mergeCell ref="E14505:F14505"/>
    <mergeCell ref="E14506:F14506"/>
    <mergeCell ref="E14508:H14508"/>
    <mergeCell ref="E14509:F14509"/>
    <mergeCell ref="E14510:F14510"/>
    <mergeCell ref="E14511:H14511"/>
    <mergeCell ref="E14512:H14512"/>
    <mergeCell ref="E14513:H14513"/>
    <mergeCell ref="E14514:H14514"/>
    <mergeCell ref="E14515:H14515"/>
    <mergeCell ref="E14516:H14516"/>
    <mergeCell ref="E14517:H14517"/>
    <mergeCell ref="E14518:H14518"/>
    <mergeCell ref="E14519:H14519"/>
    <mergeCell ref="E14520:H14520"/>
    <mergeCell ref="E14521:H14521"/>
    <mergeCell ref="E14522:H14522"/>
    <mergeCell ref="E14523:H14523"/>
    <mergeCell ref="E14524:H14524"/>
    <mergeCell ref="E14525:F14525"/>
    <mergeCell ref="E14526:F14526"/>
    <mergeCell ref="E14527:F14527"/>
    <mergeCell ref="E14528:F14528"/>
    <mergeCell ref="E14529:F14529"/>
    <mergeCell ref="E14530:F14530"/>
    <mergeCell ref="E14531:F14531"/>
    <mergeCell ref="E14532:F14532"/>
    <mergeCell ref="E14533:F14533"/>
    <mergeCell ref="E14534:F14534"/>
    <mergeCell ref="E14456:F14456"/>
    <mergeCell ref="E14458:H14458"/>
    <mergeCell ref="E14460:H14460"/>
    <mergeCell ref="E14461:H14461"/>
    <mergeCell ref="E14462:H14462"/>
    <mergeCell ref="E14463:H14463"/>
    <mergeCell ref="E14465:F14465"/>
    <mergeCell ref="E14470:H14470"/>
    <mergeCell ref="E14471:H14471"/>
    <mergeCell ref="E14472:H14472"/>
    <mergeCell ref="E14474:F14474"/>
    <mergeCell ref="E14475:F14475"/>
    <mergeCell ref="E14476:F14476"/>
    <mergeCell ref="E14477:F14477"/>
    <mergeCell ref="E14478:F14478"/>
    <mergeCell ref="E14479:F14479"/>
    <mergeCell ref="E14481:F14481"/>
    <mergeCell ref="E14482:F14482"/>
    <mergeCell ref="E14483:F14483"/>
    <mergeCell ref="E14484:F14484"/>
    <mergeCell ref="E14485:F14485"/>
    <mergeCell ref="E14487:F14487"/>
    <mergeCell ref="E14489:H14489"/>
    <mergeCell ref="E14490:H14490"/>
    <mergeCell ref="E14491:H14491"/>
    <mergeCell ref="E14492:H14492"/>
    <mergeCell ref="E14493:H14493"/>
    <mergeCell ref="E14496:F14496"/>
    <mergeCell ref="E14497:F14497"/>
    <mergeCell ref="E14498:F14498"/>
    <mergeCell ref="E14499:F14499"/>
    <mergeCell ref="E14500:F14500"/>
    <mergeCell ref="E14501:F14501"/>
    <mergeCell ref="E14414:F14414"/>
    <mergeCell ref="E14415:F14415"/>
    <mergeCell ref="E14416:F14416"/>
    <mergeCell ref="E14417:F14417"/>
    <mergeCell ref="E14418:F14418"/>
    <mergeCell ref="E14420:F14420"/>
    <mergeCell ref="E14421:F14421"/>
    <mergeCell ref="E14422:F14422"/>
    <mergeCell ref="E14424:H14424"/>
    <mergeCell ref="E14426:H14426"/>
    <mergeCell ref="E14427:H14427"/>
    <mergeCell ref="E14428:H14428"/>
    <mergeCell ref="E14429:H14429"/>
    <mergeCell ref="E14431:F14431"/>
    <mergeCell ref="E14432:F14432"/>
    <mergeCell ref="E14433:F14433"/>
    <mergeCell ref="E14434:F14434"/>
    <mergeCell ref="E14435:F14435"/>
    <mergeCell ref="E14437:F14437"/>
    <mergeCell ref="E14438:F14438"/>
    <mergeCell ref="E14439:F14439"/>
    <mergeCell ref="E14441:H14441"/>
    <mergeCell ref="E14443:H14443"/>
    <mergeCell ref="E14444:H14444"/>
    <mergeCell ref="E14445:H14445"/>
    <mergeCell ref="E14446:H14446"/>
    <mergeCell ref="E14448:F14448"/>
    <mergeCell ref="E14449:F14449"/>
    <mergeCell ref="E14450:F14450"/>
    <mergeCell ref="E14451:F14451"/>
    <mergeCell ref="E14452:F14452"/>
    <mergeCell ref="E14454:F14454"/>
    <mergeCell ref="E14455:F14455"/>
    <mergeCell ref="E14370:F14370"/>
    <mergeCell ref="E14372:H14372"/>
    <mergeCell ref="E14374:H14374"/>
    <mergeCell ref="E14375:H14375"/>
    <mergeCell ref="E14376:H14376"/>
    <mergeCell ref="E14377:H14377"/>
    <mergeCell ref="E14379:F14379"/>
    <mergeCell ref="E14380:F14380"/>
    <mergeCell ref="E14381:F14381"/>
    <mergeCell ref="E14382:F14382"/>
    <mergeCell ref="E14383:F14383"/>
    <mergeCell ref="E14384:F14384"/>
    <mergeCell ref="E14386:F14386"/>
    <mergeCell ref="E14387:F14387"/>
    <mergeCell ref="E14388:F14388"/>
    <mergeCell ref="E14390:H14390"/>
    <mergeCell ref="E14392:H14392"/>
    <mergeCell ref="E14393:H14393"/>
    <mergeCell ref="E14394:H14394"/>
    <mergeCell ref="E14395:H14395"/>
    <mergeCell ref="E14397:F14397"/>
    <mergeCell ref="E14398:F14398"/>
    <mergeCell ref="E14399:F14399"/>
    <mergeCell ref="E14400:F14400"/>
    <mergeCell ref="E14401:F14401"/>
    <mergeCell ref="E14403:F14403"/>
    <mergeCell ref="E14404:F14404"/>
    <mergeCell ref="E14405:F14405"/>
    <mergeCell ref="E14407:H14407"/>
    <mergeCell ref="E14409:H14409"/>
    <mergeCell ref="E14410:H14410"/>
    <mergeCell ref="E14411:H14411"/>
    <mergeCell ref="E14412:H14412"/>
    <mergeCell ref="E14332:F14332"/>
    <mergeCell ref="E14333:F14333"/>
    <mergeCell ref="E14334:F14334"/>
    <mergeCell ref="E14335:F14335"/>
    <mergeCell ref="E14336:F14336"/>
    <mergeCell ref="E14337:F14337"/>
    <mergeCell ref="E14338:F14338"/>
    <mergeCell ref="E14339:F14339"/>
    <mergeCell ref="E14340:F14340"/>
    <mergeCell ref="E14341:F14341"/>
    <mergeCell ref="E14342:F14342"/>
    <mergeCell ref="E14344:H14344"/>
    <mergeCell ref="E14345:F14345"/>
    <mergeCell ref="E14346:F14346"/>
    <mergeCell ref="E14347:H14347"/>
    <mergeCell ref="E14348:H14348"/>
    <mergeCell ref="E14349:H14349"/>
    <mergeCell ref="E14350:H14350"/>
    <mergeCell ref="E14351:H14351"/>
    <mergeCell ref="E14352:H14352"/>
    <mergeCell ref="E14354:H14354"/>
    <mergeCell ref="E14356:H14356"/>
    <mergeCell ref="E14357:H14357"/>
    <mergeCell ref="E14358:H14358"/>
    <mergeCell ref="E14359:H14359"/>
    <mergeCell ref="E14361:F14361"/>
    <mergeCell ref="E14362:F14362"/>
    <mergeCell ref="E14363:F14363"/>
    <mergeCell ref="E14364:F14364"/>
    <mergeCell ref="E14365:F14365"/>
    <mergeCell ref="E14366:F14366"/>
    <mergeCell ref="E14368:F14368"/>
    <mergeCell ref="E14369:F14369"/>
    <mergeCell ref="E14295:H14295"/>
    <mergeCell ref="E14297:F14297"/>
    <mergeCell ref="E14298:F14298"/>
    <mergeCell ref="E14299:F14299"/>
    <mergeCell ref="E14300:F14300"/>
    <mergeCell ref="E14302:F14302"/>
    <mergeCell ref="E14303:F14303"/>
    <mergeCell ref="E14304:F14304"/>
    <mergeCell ref="E14305:F14305"/>
    <mergeCell ref="E14306:F14306"/>
    <mergeCell ref="E14307:F14307"/>
    <mergeCell ref="E14308:F14308"/>
    <mergeCell ref="E14309:F14309"/>
    <mergeCell ref="E14310:F14310"/>
    <mergeCell ref="E14311:F14311"/>
    <mergeCell ref="E14313:F14313"/>
    <mergeCell ref="E14314:F14314"/>
    <mergeCell ref="E14315:F14315"/>
    <mergeCell ref="E14316:F14316"/>
    <mergeCell ref="E14317:F14317"/>
    <mergeCell ref="E14318:F14318"/>
    <mergeCell ref="E14319:F14319"/>
    <mergeCell ref="E14320:F14320"/>
    <mergeCell ref="E14321:F14321"/>
    <mergeCell ref="E14322:F14322"/>
    <mergeCell ref="E14323:F14323"/>
    <mergeCell ref="E14325:H14325"/>
    <mergeCell ref="E14326:H14326"/>
    <mergeCell ref="E14327:H14327"/>
    <mergeCell ref="E14328:H14328"/>
    <mergeCell ref="E14329:H14329"/>
    <mergeCell ref="E14330:F14330"/>
    <mergeCell ref="E14331:F14331"/>
    <mergeCell ref="E14262:F14262"/>
    <mergeCell ref="E14263:F14263"/>
    <mergeCell ref="E14264:H14264"/>
    <mergeCell ref="E14265:H14265"/>
    <mergeCell ref="E14266:H14266"/>
    <mergeCell ref="E14267:H14267"/>
    <mergeCell ref="E14268:H14268"/>
    <mergeCell ref="E14269:H14269"/>
    <mergeCell ref="E14270:H14270"/>
    <mergeCell ref="E14271:H14271"/>
    <mergeCell ref="E14272:F14272"/>
    <mergeCell ref="E14273:F14273"/>
    <mergeCell ref="E14274:F14274"/>
    <mergeCell ref="E14275:F14275"/>
    <mergeCell ref="E14276:F14276"/>
    <mergeCell ref="E14277:F14277"/>
    <mergeCell ref="E14278:F14278"/>
    <mergeCell ref="E14279:F14279"/>
    <mergeCell ref="E14280:H14280"/>
    <mergeCell ref="E14281:H14281"/>
    <mergeCell ref="E14282:H14282"/>
    <mergeCell ref="E14283:H14283"/>
    <mergeCell ref="E14284:H14284"/>
    <mergeCell ref="E14285:H14285"/>
    <mergeCell ref="E14286:H14286"/>
    <mergeCell ref="E14287:H14287"/>
    <mergeCell ref="E14288:F14288"/>
    <mergeCell ref="E14290:F14290"/>
    <mergeCell ref="E14291:F14291"/>
    <mergeCell ref="E14293:H14293"/>
    <mergeCell ref="E14294:H14294"/>
    <mergeCell ref="E14233:H14233"/>
    <mergeCell ref="E14234:H14234"/>
    <mergeCell ref="E14235:H14235"/>
    <mergeCell ref="E14236:H14236"/>
    <mergeCell ref="E14237:H14237"/>
    <mergeCell ref="E14238:H14238"/>
    <mergeCell ref="E14239:H14239"/>
    <mergeCell ref="E14240:F14240"/>
    <mergeCell ref="E14241:F14241"/>
    <mergeCell ref="E14242:F14242"/>
    <mergeCell ref="E14243:F14243"/>
    <mergeCell ref="E14244:F14244"/>
    <mergeCell ref="E14245:F14245"/>
    <mergeCell ref="E14246:F14246"/>
    <mergeCell ref="E14247:F14247"/>
    <mergeCell ref="E14248:H14248"/>
    <mergeCell ref="E14249:H14249"/>
    <mergeCell ref="E14250:H14250"/>
    <mergeCell ref="E14251:H14251"/>
    <mergeCell ref="E14252:H14252"/>
    <mergeCell ref="E14253:H14253"/>
    <mergeCell ref="E14254:H14254"/>
    <mergeCell ref="E14255:H14255"/>
    <mergeCell ref="E14256:F14256"/>
    <mergeCell ref="E14257:F14257"/>
    <mergeCell ref="E14258:F14258"/>
    <mergeCell ref="E14259:F14259"/>
    <mergeCell ref="E14260:F14260"/>
    <mergeCell ref="E14261:F14261"/>
    <mergeCell ref="E14202:H14202"/>
    <mergeCell ref="E14203:H14203"/>
    <mergeCell ref="E14204:F14204"/>
    <mergeCell ref="E14205:F14205"/>
    <mergeCell ref="E14206:F14206"/>
    <mergeCell ref="E14207:F14207"/>
    <mergeCell ref="E14208:F14208"/>
    <mergeCell ref="E14209:F14209"/>
    <mergeCell ref="E14210:F14210"/>
    <mergeCell ref="E14211:F14211"/>
    <mergeCell ref="E14212:F14212"/>
    <mergeCell ref="E14213:H14213"/>
    <mergeCell ref="E14214:H14214"/>
    <mergeCell ref="E14215:H14215"/>
    <mergeCell ref="E14216:H14216"/>
    <mergeCell ref="E14217:H14217"/>
    <mergeCell ref="E14218:H14218"/>
    <mergeCell ref="E14219:H14219"/>
    <mergeCell ref="E14220:H14220"/>
    <mergeCell ref="E14221:F14221"/>
    <mergeCell ref="E14222:F14222"/>
    <mergeCell ref="E14223:F14223"/>
    <mergeCell ref="E14224:F14224"/>
    <mergeCell ref="E14225:F14225"/>
    <mergeCell ref="E14226:F14226"/>
    <mergeCell ref="E14227:F14227"/>
    <mergeCell ref="E14228:F14228"/>
    <mergeCell ref="E14229:F14229"/>
    <mergeCell ref="E14230:F14230"/>
    <mergeCell ref="E14231:F14231"/>
    <mergeCell ref="E14232:H14232"/>
    <mergeCell ref="E14169:H14169"/>
    <mergeCell ref="E14170:F14170"/>
    <mergeCell ref="E14171:F14171"/>
    <mergeCell ref="E14172:H14172"/>
    <mergeCell ref="E14173:F14173"/>
    <mergeCell ref="E14174:F14174"/>
    <mergeCell ref="E14175:H14175"/>
    <mergeCell ref="E14176:F14176"/>
    <mergeCell ref="E14177:F14177"/>
    <mergeCell ref="E14178:H14178"/>
    <mergeCell ref="E14179:F14179"/>
    <mergeCell ref="E14180:F14180"/>
    <mergeCell ref="E14181:H14181"/>
    <mergeCell ref="E14182:F14182"/>
    <mergeCell ref="E14183:F14183"/>
    <mergeCell ref="E14184:H14184"/>
    <mergeCell ref="E14185:H14185"/>
    <mergeCell ref="E14186:F14186"/>
    <mergeCell ref="E14187:F14187"/>
    <mergeCell ref="E14188:H14188"/>
    <mergeCell ref="E14189:F14189"/>
    <mergeCell ref="E14190:F14190"/>
    <mergeCell ref="E14191:H14191"/>
    <mergeCell ref="E14192:F14192"/>
    <mergeCell ref="E14193:F14193"/>
    <mergeCell ref="E14194:H14194"/>
    <mergeCell ref="E14195:F14195"/>
    <mergeCell ref="E14196:H14196"/>
    <mergeCell ref="E14197:H14197"/>
    <mergeCell ref="E14198:H14198"/>
    <mergeCell ref="E14199:H14199"/>
    <mergeCell ref="E14200:H14200"/>
    <mergeCell ref="E14201:H14201"/>
    <mergeCell ref="E14104:F14104"/>
    <mergeCell ref="E14105:F14105"/>
    <mergeCell ref="E14138:H14138"/>
    <mergeCell ref="E14139:H14139"/>
    <mergeCell ref="E14140:H14140"/>
    <mergeCell ref="E14141:H14141"/>
    <mergeCell ref="E14142:H14142"/>
    <mergeCell ref="E14143:H14143"/>
    <mergeCell ref="E14144:H14144"/>
    <mergeCell ref="E14145:H14145"/>
    <mergeCell ref="E14146:H14146"/>
    <mergeCell ref="E14147:H14147"/>
    <mergeCell ref="E14148:H14148"/>
    <mergeCell ref="E14149:H14149"/>
    <mergeCell ref="E14150:H14150"/>
    <mergeCell ref="E14151:H14151"/>
    <mergeCell ref="E14152:F14152"/>
    <mergeCell ref="E14153:F14153"/>
    <mergeCell ref="E14154:F14154"/>
    <mergeCell ref="E14155:F14155"/>
    <mergeCell ref="E14156:F14156"/>
    <mergeCell ref="E14157:F14157"/>
    <mergeCell ref="E14158:F14158"/>
    <mergeCell ref="E14159:F14159"/>
    <mergeCell ref="E14160:F14160"/>
    <mergeCell ref="E14161:H14161"/>
    <mergeCell ref="E14162:H14162"/>
    <mergeCell ref="E14163:H14163"/>
    <mergeCell ref="E14164:H14164"/>
    <mergeCell ref="E14165:H14165"/>
    <mergeCell ref="E14166:H14166"/>
    <mergeCell ref="E14167:H14167"/>
    <mergeCell ref="E14168:F14168"/>
    <mergeCell ref="E14118:H14118"/>
    <mergeCell ref="E14119:F14119"/>
    <mergeCell ref="E14120:F14120"/>
    <mergeCell ref="E14121:F14121"/>
    <mergeCell ref="E14122:F14122"/>
    <mergeCell ref="E14123:F14123"/>
    <mergeCell ref="E14124:F14124"/>
    <mergeCell ref="E14125:F14125"/>
    <mergeCell ref="E14126:F14126"/>
    <mergeCell ref="E14127:F14127"/>
    <mergeCell ref="E14128:F14128"/>
    <mergeCell ref="E14129:F14129"/>
    <mergeCell ref="E14130:F14130"/>
    <mergeCell ref="E14131:F14131"/>
    <mergeCell ref="E14133:H14133"/>
    <mergeCell ref="E14134:F14134"/>
    <mergeCell ref="E14135:F14135"/>
    <mergeCell ref="E14136:F14136"/>
    <mergeCell ref="E14137:F14137"/>
    <mergeCell ref="E14048:F14048"/>
    <mergeCell ref="E14049:F14049"/>
    <mergeCell ref="E14050:F14050"/>
    <mergeCell ref="E14051:F14051"/>
    <mergeCell ref="E14052:H14052"/>
    <mergeCell ref="E14053:H14053"/>
    <mergeCell ref="E14054:H14054"/>
    <mergeCell ref="E14055:H14055"/>
    <mergeCell ref="E14056:H14056"/>
    <mergeCell ref="E14057:H14057"/>
    <mergeCell ref="E14058:H14058"/>
    <mergeCell ref="E14059:H14059"/>
    <mergeCell ref="E14060:F14060"/>
    <mergeCell ref="E14061:F14061"/>
    <mergeCell ref="E14062:F14062"/>
    <mergeCell ref="E14063:F14063"/>
    <mergeCell ref="E14064:F14064"/>
    <mergeCell ref="E14065:F14065"/>
    <mergeCell ref="E14066:F14066"/>
    <mergeCell ref="E14067:F14067"/>
    <mergeCell ref="E14068:F14068"/>
    <mergeCell ref="E14069:F14069"/>
    <mergeCell ref="E14106:F14106"/>
    <mergeCell ref="E14107:F14107"/>
    <mergeCell ref="E14109:F14109"/>
    <mergeCell ref="E14110:F14110"/>
    <mergeCell ref="E14111:F14111"/>
    <mergeCell ref="E14112:G14112"/>
    <mergeCell ref="E14113:H14113"/>
    <mergeCell ref="E14114:H14114"/>
    <mergeCell ref="E14115:H14115"/>
    <mergeCell ref="E14116:H14116"/>
    <mergeCell ref="E14117:H14117"/>
    <mergeCell ref="E14070:F14070"/>
    <mergeCell ref="E14071:F14071"/>
    <mergeCell ref="E14072:F14072"/>
    <mergeCell ref="E14073:F14073"/>
    <mergeCell ref="E14074:F14074"/>
    <mergeCell ref="E14075:H14075"/>
    <mergeCell ref="E14076:H14076"/>
    <mergeCell ref="E14077:H14077"/>
    <mergeCell ref="E14078:H14078"/>
    <mergeCell ref="E14079:H14079"/>
    <mergeCell ref="E14080:H14080"/>
    <mergeCell ref="E14081:H14081"/>
    <mergeCell ref="E14082:H14082"/>
    <mergeCell ref="E14083:F14083"/>
    <mergeCell ref="E14085:F14085"/>
    <mergeCell ref="E14086:F14086"/>
    <mergeCell ref="E14088:H14088"/>
    <mergeCell ref="E14089:H14089"/>
    <mergeCell ref="E14090:H14090"/>
    <mergeCell ref="E14091:H14091"/>
    <mergeCell ref="E14092:H14092"/>
    <mergeCell ref="E14093:F14093"/>
    <mergeCell ref="E14094:F14094"/>
    <mergeCell ref="E14095:F14095"/>
    <mergeCell ref="E14096:F14096"/>
    <mergeCell ref="E14097:F14097"/>
    <mergeCell ref="E14098:F14098"/>
    <mergeCell ref="E14099:F14099"/>
    <mergeCell ref="E14101:F14101"/>
    <mergeCell ref="E14102:F14102"/>
    <mergeCell ref="E14103:F14103"/>
    <mergeCell ref="E14015:F14015"/>
    <mergeCell ref="E14016:F14016"/>
    <mergeCell ref="E14017:F14017"/>
    <mergeCell ref="E14018:F14018"/>
    <mergeCell ref="E14019:F14019"/>
    <mergeCell ref="E14020:F14020"/>
    <mergeCell ref="E14021:F14021"/>
    <mergeCell ref="E14022:F14022"/>
    <mergeCell ref="E14023:F14023"/>
    <mergeCell ref="E14024:F14024"/>
    <mergeCell ref="E14025:F14025"/>
    <mergeCell ref="E14026:F14026"/>
    <mergeCell ref="E14027:F14027"/>
    <mergeCell ref="E14028:F14028"/>
    <mergeCell ref="E14029:H14029"/>
    <mergeCell ref="E14030:H14030"/>
    <mergeCell ref="E14031:H14031"/>
    <mergeCell ref="E14032:H14032"/>
    <mergeCell ref="E14033:H14033"/>
    <mergeCell ref="E14034:H14034"/>
    <mergeCell ref="E14035:H14035"/>
    <mergeCell ref="E14036:H14036"/>
    <mergeCell ref="E14037:F14037"/>
    <mergeCell ref="E14038:F14038"/>
    <mergeCell ref="E14039:F14039"/>
    <mergeCell ref="E14040:F14040"/>
    <mergeCell ref="E14041:F14041"/>
    <mergeCell ref="E14042:F14042"/>
    <mergeCell ref="E14043:F14043"/>
    <mergeCell ref="E14044:F14044"/>
    <mergeCell ref="E14045:F14045"/>
    <mergeCell ref="E14046:F14046"/>
    <mergeCell ref="E14047:F14047"/>
    <mergeCell ref="E13982:H13982"/>
    <mergeCell ref="E13983:H13983"/>
    <mergeCell ref="E13984:H13984"/>
    <mergeCell ref="E13985:H13985"/>
    <mergeCell ref="E13986:H13986"/>
    <mergeCell ref="E13987:H13987"/>
    <mergeCell ref="E13988:F13988"/>
    <mergeCell ref="E13989:F13989"/>
    <mergeCell ref="E13990:F13990"/>
    <mergeCell ref="E13991:F13991"/>
    <mergeCell ref="E13992:F13992"/>
    <mergeCell ref="E13993:F13993"/>
    <mergeCell ref="E13994:F13994"/>
    <mergeCell ref="E13995:F13995"/>
    <mergeCell ref="E13996:F13996"/>
    <mergeCell ref="E13997:F13997"/>
    <mergeCell ref="E13998:F13998"/>
    <mergeCell ref="E13999:F13999"/>
    <mergeCell ref="E14000:F14000"/>
    <mergeCell ref="E14001:F14001"/>
    <mergeCell ref="E14002:F14002"/>
    <mergeCell ref="E14003:F14003"/>
    <mergeCell ref="E14004:H14004"/>
    <mergeCell ref="E14005:H14005"/>
    <mergeCell ref="E14006:H14006"/>
    <mergeCell ref="E14007:H14007"/>
    <mergeCell ref="E14008:H14008"/>
    <mergeCell ref="E14009:H14009"/>
    <mergeCell ref="E14010:H14010"/>
    <mergeCell ref="E14011:H14011"/>
    <mergeCell ref="E14012:H14012"/>
    <mergeCell ref="E14013:H14013"/>
    <mergeCell ref="E14014:F14014"/>
    <mergeCell ref="E13949:F13949"/>
    <mergeCell ref="E13950:F13950"/>
    <mergeCell ref="E13951:F13951"/>
    <mergeCell ref="E13952:F13952"/>
    <mergeCell ref="E13953:H13953"/>
    <mergeCell ref="E13954:H13954"/>
    <mergeCell ref="E13955:H13955"/>
    <mergeCell ref="E13956:H13956"/>
    <mergeCell ref="E13957:H13957"/>
    <mergeCell ref="E13958:H13958"/>
    <mergeCell ref="E13959:H13959"/>
    <mergeCell ref="E13960:H13960"/>
    <mergeCell ref="E13961:F13961"/>
    <mergeCell ref="E13962:F13962"/>
    <mergeCell ref="E13963:F13963"/>
    <mergeCell ref="E13964:F13964"/>
    <mergeCell ref="E13965:F13965"/>
    <mergeCell ref="E13966:F13966"/>
    <mergeCell ref="E13967:F13967"/>
    <mergeCell ref="E13968:F13968"/>
    <mergeCell ref="E13969:F13969"/>
    <mergeCell ref="E13970:F13970"/>
    <mergeCell ref="E13971:F13971"/>
    <mergeCell ref="E13972:F13972"/>
    <mergeCell ref="E13973:F13973"/>
    <mergeCell ref="E13974:F13974"/>
    <mergeCell ref="E13975:F13975"/>
    <mergeCell ref="E13976:F13976"/>
    <mergeCell ref="E13977:F13977"/>
    <mergeCell ref="E13978:H13978"/>
    <mergeCell ref="E13979:H13979"/>
    <mergeCell ref="E13980:H13980"/>
    <mergeCell ref="E13981:H13981"/>
    <mergeCell ref="E13915:F13915"/>
    <mergeCell ref="E13916:F13916"/>
    <mergeCell ref="E13918:H13918"/>
    <mergeCell ref="E13919:F13919"/>
    <mergeCell ref="E13920:F13920"/>
    <mergeCell ref="E13921:H13921"/>
    <mergeCell ref="E13922:H13922"/>
    <mergeCell ref="E13923:H13923"/>
    <mergeCell ref="E13924:H13924"/>
    <mergeCell ref="E13925:H13925"/>
    <mergeCell ref="E13926:H13926"/>
    <mergeCell ref="E13927:H13927"/>
    <mergeCell ref="E13928:H13928"/>
    <mergeCell ref="E13929:H13929"/>
    <mergeCell ref="E13930:H13930"/>
    <mergeCell ref="E13931:H13931"/>
    <mergeCell ref="E13932:H13932"/>
    <mergeCell ref="E13933:H13933"/>
    <mergeCell ref="E13934:H13934"/>
    <mergeCell ref="E13935:H13935"/>
    <mergeCell ref="E13936:F13936"/>
    <mergeCell ref="E13937:F13937"/>
    <mergeCell ref="E13938:F13938"/>
    <mergeCell ref="E13939:F13939"/>
    <mergeCell ref="E13940:F13940"/>
    <mergeCell ref="E13941:F13941"/>
    <mergeCell ref="E13942:F13942"/>
    <mergeCell ref="E13943:F13943"/>
    <mergeCell ref="E13944:F13944"/>
    <mergeCell ref="E13945:F13945"/>
    <mergeCell ref="E13946:F13946"/>
    <mergeCell ref="E13947:F13947"/>
    <mergeCell ref="E13948:F13948"/>
    <mergeCell ref="E13881:F13881"/>
    <mergeCell ref="E13882:F13882"/>
    <mergeCell ref="E13883:F13883"/>
    <mergeCell ref="E13884:F13884"/>
    <mergeCell ref="E13885:F13885"/>
    <mergeCell ref="E13886:F13886"/>
    <mergeCell ref="E13887:F13887"/>
    <mergeCell ref="E13888:F13888"/>
    <mergeCell ref="E13889:F13889"/>
    <mergeCell ref="E13890:F13890"/>
    <mergeCell ref="E13892:F13892"/>
    <mergeCell ref="E13893:F13893"/>
    <mergeCell ref="E13894:F13894"/>
    <mergeCell ref="E13895:F13895"/>
    <mergeCell ref="E13896:F13896"/>
    <mergeCell ref="E13897:F13897"/>
    <mergeCell ref="E13898:F13898"/>
    <mergeCell ref="E13899:H13899"/>
    <mergeCell ref="E13900:H13900"/>
    <mergeCell ref="E13901:H13901"/>
    <mergeCell ref="E13902:H13902"/>
    <mergeCell ref="E13903:H13903"/>
    <mergeCell ref="E13904:F13904"/>
    <mergeCell ref="E13905:F13905"/>
    <mergeCell ref="E13906:F13906"/>
    <mergeCell ref="E13907:F13907"/>
    <mergeCell ref="E13908:F13908"/>
    <mergeCell ref="E13909:F13909"/>
    <mergeCell ref="E13910:F13910"/>
    <mergeCell ref="E13911:F13911"/>
    <mergeCell ref="E13912:F13912"/>
    <mergeCell ref="E13913:F13913"/>
    <mergeCell ref="E13914:F13914"/>
    <mergeCell ref="E13844:F13844"/>
    <mergeCell ref="E13845:F13845"/>
    <mergeCell ref="E13846:F13846"/>
    <mergeCell ref="E13847:F13847"/>
    <mergeCell ref="E13848:F13848"/>
    <mergeCell ref="E13849:F13849"/>
    <mergeCell ref="E13850:F13850"/>
    <mergeCell ref="E13851:F13851"/>
    <mergeCell ref="E13852:H13852"/>
    <mergeCell ref="E13853:H13853"/>
    <mergeCell ref="E13854:H13854"/>
    <mergeCell ref="E13855:H13855"/>
    <mergeCell ref="E13856:H13856"/>
    <mergeCell ref="E13857:H13857"/>
    <mergeCell ref="E13858:H13858"/>
    <mergeCell ref="E13859:H13859"/>
    <mergeCell ref="E13860:F13860"/>
    <mergeCell ref="E13862:F13862"/>
    <mergeCell ref="E13863:F13863"/>
    <mergeCell ref="E13865:H13865"/>
    <mergeCell ref="E13866:H13866"/>
    <mergeCell ref="E13867:H13867"/>
    <mergeCell ref="E13869:F13869"/>
    <mergeCell ref="E13870:F13870"/>
    <mergeCell ref="E13871:F13871"/>
    <mergeCell ref="E13872:F13872"/>
    <mergeCell ref="E13873:F13873"/>
    <mergeCell ref="E13874:F13874"/>
    <mergeCell ref="E13875:F13875"/>
    <mergeCell ref="E13876:F13876"/>
    <mergeCell ref="E13877:F13877"/>
    <mergeCell ref="E13878:F13878"/>
    <mergeCell ref="E13879:F13879"/>
    <mergeCell ref="E13811:F13811"/>
    <mergeCell ref="E13812:H13812"/>
    <mergeCell ref="E13813:H13813"/>
    <mergeCell ref="E13814:H13814"/>
    <mergeCell ref="E13815:H13815"/>
    <mergeCell ref="E13816:H13816"/>
    <mergeCell ref="E13817:H13817"/>
    <mergeCell ref="E13818:H13818"/>
    <mergeCell ref="E13819:H13819"/>
    <mergeCell ref="E13820:F13820"/>
    <mergeCell ref="E13821:F13821"/>
    <mergeCell ref="E13822:F13822"/>
    <mergeCell ref="E13823:F13823"/>
    <mergeCell ref="E13824:F13824"/>
    <mergeCell ref="E13825:F13825"/>
    <mergeCell ref="E13826:F13826"/>
    <mergeCell ref="E13827:F13827"/>
    <mergeCell ref="E13828:F13828"/>
    <mergeCell ref="E13829:F13829"/>
    <mergeCell ref="E13830:H13830"/>
    <mergeCell ref="E13831:H13831"/>
    <mergeCell ref="E13832:H13832"/>
    <mergeCell ref="E13833:H13833"/>
    <mergeCell ref="E13834:H13834"/>
    <mergeCell ref="E13835:H13835"/>
    <mergeCell ref="E13836:H13836"/>
    <mergeCell ref="E13837:H13837"/>
    <mergeCell ref="E13838:F13838"/>
    <mergeCell ref="E13839:F13839"/>
    <mergeCell ref="E13840:F13840"/>
    <mergeCell ref="E13841:F13841"/>
    <mergeCell ref="E13842:F13842"/>
    <mergeCell ref="E13843:F13843"/>
    <mergeCell ref="E13778:F13778"/>
    <mergeCell ref="E13779:F13779"/>
    <mergeCell ref="E13780:F13780"/>
    <mergeCell ref="E13781:F13781"/>
    <mergeCell ref="E13782:F13782"/>
    <mergeCell ref="E13783:F13783"/>
    <mergeCell ref="E13784:F13784"/>
    <mergeCell ref="E13785:F13785"/>
    <mergeCell ref="E13786:F13786"/>
    <mergeCell ref="E13787:F13787"/>
    <mergeCell ref="E13788:F13788"/>
    <mergeCell ref="E13789:F13789"/>
    <mergeCell ref="E13790:F13790"/>
    <mergeCell ref="E13791:H13791"/>
    <mergeCell ref="E13792:H13792"/>
    <mergeCell ref="E13793:H13793"/>
    <mergeCell ref="E13794:H13794"/>
    <mergeCell ref="E13795:H13795"/>
    <mergeCell ref="E13796:H13796"/>
    <mergeCell ref="E13797:H13797"/>
    <mergeCell ref="E13798:H13798"/>
    <mergeCell ref="E13799:F13799"/>
    <mergeCell ref="E13800:F13800"/>
    <mergeCell ref="E13801:F13801"/>
    <mergeCell ref="E13802:F13802"/>
    <mergeCell ref="E13803:F13803"/>
    <mergeCell ref="E13804:F13804"/>
    <mergeCell ref="E13805:F13805"/>
    <mergeCell ref="E13806:F13806"/>
    <mergeCell ref="E13807:F13807"/>
    <mergeCell ref="E13808:F13808"/>
    <mergeCell ref="E13809:F13809"/>
    <mergeCell ref="E13810:F13810"/>
    <mergeCell ref="E13745:H13745"/>
    <mergeCell ref="E13746:H13746"/>
    <mergeCell ref="E13747:H13747"/>
    <mergeCell ref="E13748:H13748"/>
    <mergeCell ref="E13749:H13749"/>
    <mergeCell ref="E13750:F13750"/>
    <mergeCell ref="E13751:F13751"/>
    <mergeCell ref="E13752:F13752"/>
    <mergeCell ref="E13753:F13753"/>
    <mergeCell ref="E13754:F13754"/>
    <mergeCell ref="E13755:F13755"/>
    <mergeCell ref="E13756:F13756"/>
    <mergeCell ref="E13757:F13757"/>
    <mergeCell ref="E13758:F13758"/>
    <mergeCell ref="E13759:F13759"/>
    <mergeCell ref="E13760:F13760"/>
    <mergeCell ref="E13761:F13761"/>
    <mergeCell ref="E13762:F13762"/>
    <mergeCell ref="E13763:F13763"/>
    <mergeCell ref="E13764:F13764"/>
    <mergeCell ref="E13765:F13765"/>
    <mergeCell ref="E13766:H13766"/>
    <mergeCell ref="E13767:H13767"/>
    <mergeCell ref="E13768:H13768"/>
    <mergeCell ref="E13769:H13769"/>
    <mergeCell ref="E13770:H13770"/>
    <mergeCell ref="E13771:H13771"/>
    <mergeCell ref="E13772:H13772"/>
    <mergeCell ref="E13773:H13773"/>
    <mergeCell ref="E13774:H13774"/>
    <mergeCell ref="E13775:H13775"/>
    <mergeCell ref="E13776:F13776"/>
    <mergeCell ref="E13777:F13777"/>
    <mergeCell ref="E13712:H13712"/>
    <mergeCell ref="E13713:H13713"/>
    <mergeCell ref="E13714:H13714"/>
    <mergeCell ref="E13715:H13715"/>
    <mergeCell ref="E13716:H13716"/>
    <mergeCell ref="E13717:H13717"/>
    <mergeCell ref="E13718:H13718"/>
    <mergeCell ref="E13719:H13719"/>
    <mergeCell ref="E13720:H13720"/>
    <mergeCell ref="E13721:H13721"/>
    <mergeCell ref="E13722:H13722"/>
    <mergeCell ref="E13723:H13723"/>
    <mergeCell ref="E13724:H13724"/>
    <mergeCell ref="E13725:H13725"/>
    <mergeCell ref="E13726:F13726"/>
    <mergeCell ref="E13727:F13727"/>
    <mergeCell ref="E13728:F13728"/>
    <mergeCell ref="E13729:F13729"/>
    <mergeCell ref="E13730:F13730"/>
    <mergeCell ref="E13731:F13731"/>
    <mergeCell ref="E13732:F13732"/>
    <mergeCell ref="E13733:F13733"/>
    <mergeCell ref="E13734:F13734"/>
    <mergeCell ref="E13735:F13735"/>
    <mergeCell ref="E13736:F13736"/>
    <mergeCell ref="E13737:F13737"/>
    <mergeCell ref="E13738:F13738"/>
    <mergeCell ref="E13739:F13739"/>
    <mergeCell ref="E13740:F13740"/>
    <mergeCell ref="E13741:F13741"/>
    <mergeCell ref="E13742:H13742"/>
    <mergeCell ref="E13743:H13743"/>
    <mergeCell ref="E13744:H13744"/>
    <mergeCell ref="E13676:F13676"/>
    <mergeCell ref="E13677:F13677"/>
    <mergeCell ref="E13678:F13678"/>
    <mergeCell ref="E13679:F13679"/>
    <mergeCell ref="E13680:F13680"/>
    <mergeCell ref="E13682:F13682"/>
    <mergeCell ref="E13683:F13683"/>
    <mergeCell ref="E13684:F13684"/>
    <mergeCell ref="E13685:F13685"/>
    <mergeCell ref="E13686:F13686"/>
    <mergeCell ref="E13687:F13687"/>
    <mergeCell ref="E13688:F13688"/>
    <mergeCell ref="E13690:H13690"/>
    <mergeCell ref="E13691:H13691"/>
    <mergeCell ref="E13692:H13692"/>
    <mergeCell ref="E13693:H13693"/>
    <mergeCell ref="E13694:H13694"/>
    <mergeCell ref="E13695:F13695"/>
    <mergeCell ref="E13696:F13696"/>
    <mergeCell ref="E13697:F13697"/>
    <mergeCell ref="E13698:F13698"/>
    <mergeCell ref="E13699:F13699"/>
    <mergeCell ref="E13700:F13700"/>
    <mergeCell ref="E13701:F13701"/>
    <mergeCell ref="E13702:F13702"/>
    <mergeCell ref="E13703:F13703"/>
    <mergeCell ref="E13704:F13704"/>
    <mergeCell ref="E13705:F13705"/>
    <mergeCell ref="E13706:F13706"/>
    <mergeCell ref="E13707:F13707"/>
    <mergeCell ref="E13709:H13709"/>
    <mergeCell ref="E13710:F13710"/>
    <mergeCell ref="E13711:F13711"/>
    <mergeCell ref="E13644:H13644"/>
    <mergeCell ref="E13648:F13648"/>
    <mergeCell ref="E13650:H13650"/>
    <mergeCell ref="E13651:H13651"/>
    <mergeCell ref="E13652:H13652"/>
    <mergeCell ref="E13654:F13654"/>
    <mergeCell ref="E13655:F13655"/>
    <mergeCell ref="E13656:F13656"/>
    <mergeCell ref="E13657:F13657"/>
    <mergeCell ref="E13658:F13658"/>
    <mergeCell ref="E13659:F13659"/>
    <mergeCell ref="E13660:F13660"/>
    <mergeCell ref="E13661:F13661"/>
    <mergeCell ref="E13662:F13662"/>
    <mergeCell ref="E13663:F13663"/>
    <mergeCell ref="E13643:H13643"/>
    <mergeCell ref="E13645:F13645"/>
    <mergeCell ref="E13647:F13647"/>
    <mergeCell ref="E13635:F13635"/>
    <mergeCell ref="E13636:F13636"/>
    <mergeCell ref="E13633:F13633"/>
    <mergeCell ref="E13634:F13634"/>
    <mergeCell ref="E13664:F13664"/>
    <mergeCell ref="E13665:F13665"/>
    <mergeCell ref="E13666:F13666"/>
    <mergeCell ref="E13667:F13667"/>
    <mergeCell ref="E13668:F13668"/>
    <mergeCell ref="E13669:F13669"/>
    <mergeCell ref="E13671:F13671"/>
    <mergeCell ref="E13672:F13672"/>
    <mergeCell ref="E13673:F13673"/>
    <mergeCell ref="E13674:F13674"/>
    <mergeCell ref="E13675:F13675"/>
    <mergeCell ref="E13555:H13555"/>
    <mergeCell ref="E13556:H13556"/>
    <mergeCell ref="E13557:H13557"/>
    <mergeCell ref="E13558:H13558"/>
    <mergeCell ref="E13559:H13559"/>
    <mergeCell ref="E13562:F13562"/>
    <mergeCell ref="E13563:F13563"/>
    <mergeCell ref="E13564:F13564"/>
    <mergeCell ref="E13565:F13565"/>
    <mergeCell ref="E13547:F13547"/>
    <mergeCell ref="E13548:F13548"/>
    <mergeCell ref="E13549:F13549"/>
    <mergeCell ref="E13550:F13550"/>
    <mergeCell ref="E13560:F13560"/>
    <mergeCell ref="E13561:F13561"/>
    <mergeCell ref="E13616:H13616"/>
    <mergeCell ref="E13617:H13617"/>
    <mergeCell ref="E13618:H13618"/>
    <mergeCell ref="E13619:H13619"/>
    <mergeCell ref="E13620:H13620"/>
    <mergeCell ref="E13621:H13621"/>
    <mergeCell ref="E13622:H13622"/>
    <mergeCell ref="E13624:F13624"/>
    <mergeCell ref="E13625:F13625"/>
    <mergeCell ref="E13626:F13626"/>
    <mergeCell ref="E13627:F13627"/>
    <mergeCell ref="E13628:F13628"/>
    <mergeCell ref="E13637:H13637"/>
    <mergeCell ref="E13638:H13638"/>
    <mergeCell ref="E13639:H13639"/>
    <mergeCell ref="E13640:H13640"/>
    <mergeCell ref="E13641:H13641"/>
    <mergeCell ref="E13642:H13642"/>
    <mergeCell ref="E13582:F13582"/>
    <mergeCell ref="E13570:F13570"/>
    <mergeCell ref="E13571:F13571"/>
    <mergeCell ref="E13572:F13572"/>
    <mergeCell ref="E13573:F13573"/>
    <mergeCell ref="E13566:F13566"/>
    <mergeCell ref="E13567:F13567"/>
    <mergeCell ref="E13568:F13568"/>
    <mergeCell ref="E13569:F13569"/>
    <mergeCell ref="E13574:H13574"/>
    <mergeCell ref="E13575:H13575"/>
    <mergeCell ref="E13576:H13576"/>
    <mergeCell ref="E13577:H13577"/>
    <mergeCell ref="E13578:H13578"/>
    <mergeCell ref="E13579:H13579"/>
    <mergeCell ref="E13580:H13580"/>
    <mergeCell ref="E13581:H13581"/>
    <mergeCell ref="E13585:F13585"/>
    <mergeCell ref="E13586:F13586"/>
    <mergeCell ref="E13587:F13587"/>
    <mergeCell ref="E13588:F13588"/>
    <mergeCell ref="E13589:F13589"/>
    <mergeCell ref="E13614:F13614"/>
    <mergeCell ref="E13615:F13615"/>
    <mergeCell ref="E13593:F13593"/>
    <mergeCell ref="E13613:F13613"/>
    <mergeCell ref="E13583:F13583"/>
    <mergeCell ref="E13584:F13584"/>
    <mergeCell ref="E13611:F13611"/>
    <mergeCell ref="E13612:F13612"/>
    <mergeCell ref="E13598:H13598"/>
    <mergeCell ref="E13493:F13493"/>
    <mergeCell ref="E13494:F13494"/>
    <mergeCell ref="E13497:F13497"/>
    <mergeCell ref="E13501:H13501"/>
    <mergeCell ref="E13502:H13502"/>
    <mergeCell ref="E13503:H13503"/>
    <mergeCell ref="E13504:H13504"/>
    <mergeCell ref="E13505:H13505"/>
    <mergeCell ref="E13506:H13506"/>
    <mergeCell ref="E13507:H13507"/>
    <mergeCell ref="E13508:H13508"/>
    <mergeCell ref="E13509:H13509"/>
    <mergeCell ref="E13520:F13520"/>
    <mergeCell ref="E13521:F13521"/>
    <mergeCell ref="E13522:F13522"/>
    <mergeCell ref="E13523:F13523"/>
    <mergeCell ref="E13529:H13529"/>
    <mergeCell ref="E13530:H13530"/>
    <mergeCell ref="E13531:H13531"/>
    <mergeCell ref="E13532:H13532"/>
    <mergeCell ref="E13533:H13533"/>
    <mergeCell ref="E13482:F13482"/>
    <mergeCell ref="E13483:F13483"/>
    <mergeCell ref="E13484:F13484"/>
    <mergeCell ref="E13486:F13486"/>
    <mergeCell ref="E13496:H13496"/>
    <mergeCell ref="E13514:H13514"/>
    <mergeCell ref="E13524:F13524"/>
    <mergeCell ref="E13525:F13525"/>
    <mergeCell ref="E13526:F13526"/>
    <mergeCell ref="E13527:F13527"/>
    <mergeCell ref="E13528:F13528"/>
    <mergeCell ref="E13487:F13487"/>
    <mergeCell ref="E13498:F13498"/>
    <mergeCell ref="E13499:F13499"/>
    <mergeCell ref="E13500:F13500"/>
    <mergeCell ref="E13510:H13510"/>
    <mergeCell ref="E13511:H13511"/>
    <mergeCell ref="E13512:H13512"/>
    <mergeCell ref="E13513:H13513"/>
    <mergeCell ref="E13515:F13515"/>
    <mergeCell ref="E13516:F13516"/>
    <mergeCell ref="E13517:F13517"/>
    <mergeCell ref="E13518:F13518"/>
    <mergeCell ref="E13519:F13519"/>
    <mergeCell ref="E13485:F13485"/>
    <mergeCell ref="E13449:H13449"/>
    <mergeCell ref="E13450:H13450"/>
    <mergeCell ref="E13451:H13451"/>
    <mergeCell ref="E13452:H13452"/>
    <mergeCell ref="E13458:H13458"/>
    <mergeCell ref="E13459:H13459"/>
    <mergeCell ref="E13460:H13460"/>
    <mergeCell ref="E13463:F13463"/>
    <mergeCell ref="E13464:F13464"/>
    <mergeCell ref="E13465:F13465"/>
    <mergeCell ref="E13467:F13467"/>
    <mergeCell ref="E13468:F13468"/>
    <mergeCell ref="E13469:F13469"/>
    <mergeCell ref="E13456:F13456"/>
    <mergeCell ref="E13422:F13422"/>
    <mergeCell ref="E13428:H13428"/>
    <mergeCell ref="E13431:H13431"/>
    <mergeCell ref="E13432:H13432"/>
    <mergeCell ref="E13433:H13433"/>
    <mergeCell ref="E13434:H13434"/>
    <mergeCell ref="E13453:F13453"/>
    <mergeCell ref="E13470:F13470"/>
    <mergeCell ref="E13476:H13476"/>
    <mergeCell ref="E13477:H13477"/>
    <mergeCell ref="E13478:H13478"/>
    <mergeCell ref="E13479:H13479"/>
    <mergeCell ref="E13480:H13480"/>
    <mergeCell ref="E13481:H13481"/>
    <mergeCell ref="E13488:F13488"/>
    <mergeCell ref="E13489:F13489"/>
    <mergeCell ref="E13490:F13490"/>
    <mergeCell ref="E13491:F13491"/>
    <mergeCell ref="E13492:F13492"/>
    <mergeCell ref="E13475:F13475"/>
    <mergeCell ref="E13472:F13472"/>
    <mergeCell ref="E13474:F13474"/>
    <mergeCell ref="E13471:F13471"/>
    <mergeCell ref="E13275:H13275"/>
    <mergeCell ref="E13277:F13277"/>
    <mergeCell ref="E13278:F13278"/>
    <mergeCell ref="E13279:F13279"/>
    <mergeCell ref="E13280:F13280"/>
    <mergeCell ref="E13281:F13281"/>
    <mergeCell ref="E13282:F13282"/>
    <mergeCell ref="E13283:F13283"/>
    <mergeCell ref="E13284:F13284"/>
    <mergeCell ref="E13285:F13285"/>
    <mergeCell ref="E13291:H13291"/>
    <mergeCell ref="E13294:H13294"/>
    <mergeCell ref="E13295:H13295"/>
    <mergeCell ref="E13296:H13296"/>
    <mergeCell ref="E13297:H13297"/>
    <mergeCell ref="E13288:F13288"/>
    <mergeCell ref="E13287:F13287"/>
    <mergeCell ref="E13286:F13286"/>
    <mergeCell ref="E13393:H13393"/>
    <mergeCell ref="E13394:H13394"/>
    <mergeCell ref="E13395:H13395"/>
    <mergeCell ref="E13396:H13396"/>
    <mergeCell ref="E13397:H13397"/>
    <mergeCell ref="E13398:H13398"/>
    <mergeCell ref="E13354:F13354"/>
    <mergeCell ref="E13355:F13355"/>
    <mergeCell ref="E13356:H13356"/>
    <mergeCell ref="E13357:H13357"/>
    <mergeCell ref="E13358:H13358"/>
    <mergeCell ref="E13359:H13359"/>
    <mergeCell ref="E13360:H13360"/>
    <mergeCell ref="E13361:H13361"/>
    <mergeCell ref="E13364:F13364"/>
    <mergeCell ref="E13365:F13365"/>
    <mergeCell ref="E13366:F13366"/>
    <mergeCell ref="E13367:F13367"/>
    <mergeCell ref="E13368:F13368"/>
    <mergeCell ref="E13369:F13369"/>
    <mergeCell ref="E13371:F13371"/>
    <mergeCell ref="E13374:H13374"/>
    <mergeCell ref="E13298:H13298"/>
    <mergeCell ref="E13299:H13299"/>
    <mergeCell ref="E13300:H13300"/>
    <mergeCell ref="E13382:F13382"/>
    <mergeCell ref="E13383:F13383"/>
    <mergeCell ref="E13289:F13289"/>
    <mergeCell ref="E13292:F13292"/>
    <mergeCell ref="E13293:F13293"/>
    <mergeCell ref="E13276:H13276"/>
    <mergeCell ref="E13349:F13349"/>
    <mergeCell ref="E13314:F13314"/>
    <mergeCell ref="E13315:F13315"/>
    <mergeCell ref="E13350:F13350"/>
    <mergeCell ref="E13351:F13351"/>
    <mergeCell ref="E13352:F13352"/>
    <mergeCell ref="E13353:F13353"/>
    <mergeCell ref="E13389:F13389"/>
    <mergeCell ref="E13391:F13391"/>
    <mergeCell ref="E13330:F13330"/>
    <mergeCell ref="E13316:F13316"/>
    <mergeCell ref="E13317:F13317"/>
    <mergeCell ref="E13318:F13318"/>
    <mergeCell ref="E13332:F13332"/>
    <mergeCell ref="E13333:F13333"/>
    <mergeCell ref="E13095:H13095"/>
    <mergeCell ref="E13096:H13096"/>
    <mergeCell ref="E13103:F13103"/>
    <mergeCell ref="E13105:F13105"/>
    <mergeCell ref="E13106:F13106"/>
    <mergeCell ref="E13107:F13107"/>
    <mergeCell ref="E13114:H13114"/>
    <mergeCell ref="E13115:H13115"/>
    <mergeCell ref="E13108:F13108"/>
    <mergeCell ref="E13116:H13116"/>
    <mergeCell ref="E13121:F13121"/>
    <mergeCell ref="E13122:F13122"/>
    <mergeCell ref="E13123:F13123"/>
    <mergeCell ref="E13124:F13124"/>
    <mergeCell ref="E13127:F13127"/>
    <mergeCell ref="E13131:H13131"/>
    <mergeCell ref="E13132:H13132"/>
    <mergeCell ref="E13133:H13133"/>
    <mergeCell ref="E13134:H13134"/>
    <mergeCell ref="E13135:H13135"/>
    <mergeCell ref="E13257:F13257"/>
    <mergeCell ref="E13258:F13258"/>
    <mergeCell ref="E13259:F13259"/>
    <mergeCell ref="E13272:H13272"/>
    <mergeCell ref="E13273:H13273"/>
    <mergeCell ref="E13274:H13274"/>
    <mergeCell ref="E13269:F13269"/>
    <mergeCell ref="E13270:F13270"/>
    <mergeCell ref="E13230:H13230"/>
    <mergeCell ref="E13231:H13231"/>
    <mergeCell ref="E13189:F13189"/>
    <mergeCell ref="E13186:F13186"/>
    <mergeCell ref="E13188:F13188"/>
    <mergeCell ref="E13234:H13234"/>
    <mergeCell ref="E13235:H13235"/>
    <mergeCell ref="E13218:F13218"/>
    <mergeCell ref="E13219:F13219"/>
    <mergeCell ref="E13220:F13220"/>
    <mergeCell ref="E13221:F13221"/>
    <mergeCell ref="E13260:F13260"/>
    <mergeCell ref="E13261:F13261"/>
    <mergeCell ref="E13262:F13262"/>
    <mergeCell ref="E13263:F13263"/>
    <mergeCell ref="E13265:F13265"/>
    <mergeCell ref="E13266:F13266"/>
    <mergeCell ref="E13232:H13232"/>
    <mergeCell ref="E13238:F13238"/>
    <mergeCell ref="E13241:F13241"/>
    <mergeCell ref="E13249:F13249"/>
    <mergeCell ref="E13250:F13250"/>
    <mergeCell ref="E13251:F13251"/>
    <mergeCell ref="E13187:F13187"/>
    <mergeCell ref="E13190:H13190"/>
    <mergeCell ref="E13191:H13191"/>
    <mergeCell ref="E13192:H13192"/>
    <mergeCell ref="E13193:H13193"/>
    <mergeCell ref="E13194:H13194"/>
    <mergeCell ref="E13119:F13119"/>
    <mergeCell ref="E13120:F13120"/>
    <mergeCell ref="E13125:H13125"/>
    <mergeCell ref="E13130:H13130"/>
    <mergeCell ref="E13138:F13138"/>
    <mergeCell ref="E13145:H13145"/>
    <mergeCell ref="E13148:F13148"/>
    <mergeCell ref="E13020:F13020"/>
    <mergeCell ref="E13021:F13021"/>
    <mergeCell ref="E13029:H13029"/>
    <mergeCell ref="E13035:H13035"/>
    <mergeCell ref="E13036:H13036"/>
    <mergeCell ref="E13037:H13037"/>
    <mergeCell ref="E13040:F13040"/>
    <mergeCell ref="E13041:F13041"/>
    <mergeCell ref="E13042:F13042"/>
    <mergeCell ref="E13043:F13043"/>
    <mergeCell ref="E13044:F13044"/>
    <mergeCell ref="E13045:F13045"/>
    <mergeCell ref="E13046:F13046"/>
    <mergeCell ref="E13047:F13047"/>
    <mergeCell ref="E13059:F13059"/>
    <mergeCell ref="E13060:F13060"/>
    <mergeCell ref="E13066:F13066"/>
    <mergeCell ref="E13077:F13077"/>
    <mergeCell ref="E13078:F13078"/>
    <mergeCell ref="E13081:F13081"/>
    <mergeCell ref="E13082:F13082"/>
    <mergeCell ref="E13085:H13085"/>
    <mergeCell ref="E13086:H13086"/>
    <mergeCell ref="E13087:H13087"/>
    <mergeCell ref="E13088:H13088"/>
    <mergeCell ref="E13013:F13013"/>
    <mergeCell ref="E13014:F13014"/>
    <mergeCell ref="E13022:H13022"/>
    <mergeCell ref="E13023:H13023"/>
    <mergeCell ref="E13024:H13024"/>
    <mergeCell ref="E13025:H13025"/>
    <mergeCell ref="E13026:H13026"/>
    <mergeCell ref="E13027:H13027"/>
    <mergeCell ref="E13028:H13028"/>
    <mergeCell ref="E13030:F13030"/>
    <mergeCell ref="E13031:F13031"/>
    <mergeCell ref="E13032:F13032"/>
    <mergeCell ref="E13033:F13033"/>
    <mergeCell ref="E13034:F13034"/>
    <mergeCell ref="E13039:F13039"/>
    <mergeCell ref="E13048:F13048"/>
    <mergeCell ref="E13049:F13049"/>
    <mergeCell ref="E13067:F13067"/>
    <mergeCell ref="E13068:F13068"/>
    <mergeCell ref="E13069:F13069"/>
    <mergeCell ref="E13084:H13084"/>
    <mergeCell ref="E13065:H13065"/>
    <mergeCell ref="E13070:F13070"/>
    <mergeCell ref="E13071:F13071"/>
    <mergeCell ref="E13072:F13072"/>
    <mergeCell ref="E13073:F13073"/>
    <mergeCell ref="E13074:F13074"/>
    <mergeCell ref="E13075:F13075"/>
    <mergeCell ref="E13076:F13076"/>
    <mergeCell ref="E13080:H13080"/>
    <mergeCell ref="E13083:H13083"/>
    <mergeCell ref="E12993:F12993"/>
    <mergeCell ref="E12994:F12994"/>
    <mergeCell ref="E12995:F12995"/>
    <mergeCell ref="E12996:F12996"/>
    <mergeCell ref="E12997:F12997"/>
    <mergeCell ref="E13003:H13003"/>
    <mergeCell ref="E13004:H13004"/>
    <mergeCell ref="E13005:H13005"/>
    <mergeCell ref="E13006:H13006"/>
    <mergeCell ref="E13007:H13007"/>
    <mergeCell ref="E13008:H13008"/>
    <mergeCell ref="E12974:F12974"/>
    <mergeCell ref="E12975:F12975"/>
    <mergeCell ref="E12977:F12977"/>
    <mergeCell ref="E12980:F12980"/>
    <mergeCell ref="E12981:F12981"/>
    <mergeCell ref="E12982:F12982"/>
    <mergeCell ref="E12983:F12983"/>
    <mergeCell ref="E13000:F13000"/>
    <mergeCell ref="E13001:F13001"/>
    <mergeCell ref="E13002:F13002"/>
    <mergeCell ref="E12978:F12978"/>
    <mergeCell ref="E12979:F12979"/>
    <mergeCell ref="E12998:F12998"/>
    <mergeCell ref="E12999:F12999"/>
    <mergeCell ref="E13010:H13010"/>
    <mergeCell ref="E13011:F13011"/>
    <mergeCell ref="E13012:F13012"/>
    <mergeCell ref="E13015:F13015"/>
    <mergeCell ref="E13016:F13016"/>
    <mergeCell ref="E13017:F13017"/>
    <mergeCell ref="E13018:F13018"/>
    <mergeCell ref="E13019:F13019"/>
    <mergeCell ref="E12929:H12929"/>
    <mergeCell ref="E12930:H12930"/>
    <mergeCell ref="E12955:F12955"/>
    <mergeCell ref="E12956:F12956"/>
    <mergeCell ref="E12957:F12957"/>
    <mergeCell ref="E12958:F12958"/>
    <mergeCell ref="E12960:F12960"/>
    <mergeCell ref="E12963:F12963"/>
    <mergeCell ref="E12964:F12964"/>
    <mergeCell ref="E12968:H12968"/>
    <mergeCell ref="E12969:H12969"/>
    <mergeCell ref="E12970:H12970"/>
    <mergeCell ref="E12971:H12971"/>
    <mergeCell ref="E12972:H12972"/>
    <mergeCell ref="E12976:F12976"/>
    <mergeCell ref="E12984:H12984"/>
    <mergeCell ref="E12985:H12985"/>
    <mergeCell ref="E12986:H12986"/>
    <mergeCell ref="E12987:H12987"/>
    <mergeCell ref="E12988:H12988"/>
    <mergeCell ref="E12989:H12989"/>
    <mergeCell ref="E12990:H12990"/>
    <mergeCell ref="E12991:H12991"/>
    <mergeCell ref="E12992:F12992"/>
    <mergeCell ref="E12919:F12919"/>
    <mergeCell ref="E12932:F12932"/>
    <mergeCell ref="E12933:F12933"/>
    <mergeCell ref="E12934:F12934"/>
    <mergeCell ref="E12935:F12935"/>
    <mergeCell ref="E12936:F12936"/>
    <mergeCell ref="E12937:F12937"/>
    <mergeCell ref="E12938:F12938"/>
    <mergeCell ref="E12944:H12944"/>
    <mergeCell ref="E12945:H12945"/>
    <mergeCell ref="E12946:H12946"/>
    <mergeCell ref="E12947:H12947"/>
    <mergeCell ref="E12948:H12948"/>
    <mergeCell ref="E12949:H12949"/>
    <mergeCell ref="E12950:H12950"/>
    <mergeCell ref="E12953:F12953"/>
    <mergeCell ref="E12954:F12954"/>
    <mergeCell ref="E12967:H12967"/>
    <mergeCell ref="E12973:F12973"/>
    <mergeCell ref="E12952:H12952"/>
    <mergeCell ref="E12961:F12961"/>
    <mergeCell ref="E12962:F12962"/>
    <mergeCell ref="E12951:H12951"/>
    <mergeCell ref="E12940:F12940"/>
    <mergeCell ref="E12942:F12942"/>
    <mergeCell ref="E12915:F12915"/>
    <mergeCell ref="E12916:F12916"/>
    <mergeCell ref="E12917:F12917"/>
    <mergeCell ref="E12918:F12918"/>
    <mergeCell ref="E12924:H12924"/>
    <mergeCell ref="E12925:H12925"/>
    <mergeCell ref="E12926:H12926"/>
    <mergeCell ref="E12927:H12927"/>
    <mergeCell ref="E12928:H12928"/>
    <mergeCell ref="E12859:F12859"/>
    <mergeCell ref="E12860:F12860"/>
    <mergeCell ref="E12861:F12861"/>
    <mergeCell ref="E12862:F12862"/>
    <mergeCell ref="E12863:F12863"/>
    <mergeCell ref="E12864:F12864"/>
    <mergeCell ref="E12872:H12872"/>
    <mergeCell ref="E12873:H12873"/>
    <mergeCell ref="E12874:H12874"/>
    <mergeCell ref="E12875:H12875"/>
    <mergeCell ref="E12876:H12876"/>
    <mergeCell ref="E12879:F12879"/>
    <mergeCell ref="E12880:F12880"/>
    <mergeCell ref="E12881:F12881"/>
    <mergeCell ref="E12882:F12882"/>
    <mergeCell ref="E12883:F12883"/>
    <mergeCell ref="E12890:F12890"/>
    <mergeCell ref="E12893:H12893"/>
    <mergeCell ref="E12898:H12898"/>
    <mergeCell ref="E12911:H12911"/>
    <mergeCell ref="E12877:H12877"/>
    <mergeCell ref="E12878:H12878"/>
    <mergeCell ref="E12885:F12885"/>
    <mergeCell ref="E12886:F12886"/>
    <mergeCell ref="E12892:H12892"/>
    <mergeCell ref="E12888:H12888"/>
    <mergeCell ref="E12889:H12889"/>
    <mergeCell ref="E12891:F12891"/>
    <mergeCell ref="E12894:F12894"/>
    <mergeCell ref="E12895:F12895"/>
    <mergeCell ref="E12896:F12896"/>
    <mergeCell ref="E12912:F12912"/>
    <mergeCell ref="E12913:F12913"/>
    <mergeCell ref="E12914:F12914"/>
    <mergeCell ref="E12738:H12738"/>
    <mergeCell ref="E12739:H12739"/>
    <mergeCell ref="E12740:H12740"/>
    <mergeCell ref="E12741:H12741"/>
    <mergeCell ref="E12695:F12695"/>
    <mergeCell ref="E12705:H12705"/>
    <mergeCell ref="E12718:F12718"/>
    <mergeCell ref="E12721:F12721"/>
    <mergeCell ref="E12722:F12722"/>
    <mergeCell ref="E12723:F12723"/>
    <mergeCell ref="E12728:H12728"/>
    <mergeCell ref="E12764:H12764"/>
    <mergeCell ref="E12765:H12765"/>
    <mergeCell ref="E12766:H12766"/>
    <mergeCell ref="E12767:H12767"/>
    <mergeCell ref="E12768:H12768"/>
    <mergeCell ref="E12771:F12771"/>
    <mergeCell ref="E12775:H12775"/>
    <mergeCell ref="E12778:F12778"/>
    <mergeCell ref="E12780:H12780"/>
    <mergeCell ref="E12781:H12781"/>
    <mergeCell ref="E12787:H12787"/>
    <mergeCell ref="E12786:H12786"/>
    <mergeCell ref="E12751:F12751"/>
    <mergeCell ref="E12752:F12752"/>
    <mergeCell ref="E12753:F12753"/>
    <mergeCell ref="E12754:F12754"/>
    <mergeCell ref="E12755:F12755"/>
    <mergeCell ref="E12756:H12756"/>
    <mergeCell ref="E12769:F12769"/>
    <mergeCell ref="E12770:F12770"/>
    <mergeCell ref="E12776:F12776"/>
    <mergeCell ref="E12777:F12777"/>
    <mergeCell ref="E12779:F12779"/>
    <mergeCell ref="E12760:F12760"/>
    <mergeCell ref="E12742:H12742"/>
    <mergeCell ref="E12743:F12743"/>
    <mergeCell ref="E12744:F12744"/>
    <mergeCell ref="E12745:F12745"/>
    <mergeCell ref="E12746:F12746"/>
    <mergeCell ref="E12747:F12747"/>
    <mergeCell ref="E12748:F12748"/>
    <mergeCell ref="E12749:F12749"/>
    <mergeCell ref="E12750:F12750"/>
    <mergeCell ref="E12757:F12757"/>
    <mergeCell ref="E12758:F12758"/>
    <mergeCell ref="E12759:F12759"/>
    <mergeCell ref="E12761:H12761"/>
    <mergeCell ref="E12762:H12762"/>
    <mergeCell ref="E12763:H12763"/>
    <mergeCell ref="E12732:F12732"/>
    <mergeCell ref="E12717:H12717"/>
    <mergeCell ref="E12724:F12724"/>
    <mergeCell ref="E12725:F12725"/>
    <mergeCell ref="E12726:F12726"/>
    <mergeCell ref="E12727:F12727"/>
    <mergeCell ref="E12729:F12729"/>
    <mergeCell ref="E12730:F12730"/>
    <mergeCell ref="E12731:F12731"/>
    <mergeCell ref="E12733:H12733"/>
    <mergeCell ref="E12734:H12734"/>
    <mergeCell ref="E12711:H12711"/>
    <mergeCell ref="E12710:H12710"/>
    <mergeCell ref="E12720:F12720"/>
    <mergeCell ref="E12609:F12609"/>
    <mergeCell ref="E12610:H12610"/>
    <mergeCell ref="E12613:H12613"/>
    <mergeCell ref="E12644:F12644"/>
    <mergeCell ref="E12664:F12664"/>
    <mergeCell ref="E12655:F12655"/>
    <mergeCell ref="E12656:F12656"/>
    <mergeCell ref="E12707:F12707"/>
    <mergeCell ref="E12708:F12708"/>
    <mergeCell ref="E12709:F12709"/>
    <mergeCell ref="E12713:H12713"/>
    <mergeCell ref="E12714:H12714"/>
    <mergeCell ref="E12715:H12715"/>
    <mergeCell ref="E12716:H12716"/>
    <mergeCell ref="E12632:H12632"/>
    <mergeCell ref="E12637:F12637"/>
    <mergeCell ref="E12638:F12638"/>
    <mergeCell ref="E12692:H12692"/>
    <mergeCell ref="E12693:H12693"/>
    <mergeCell ref="E12698:F12698"/>
    <mergeCell ref="E12699:F12699"/>
    <mergeCell ref="E12700:F12700"/>
    <mergeCell ref="E12701:F12701"/>
    <mergeCell ref="E12735:H12735"/>
    <mergeCell ref="E12736:H12736"/>
    <mergeCell ref="E12737:H12737"/>
    <mergeCell ref="E12611:H12611"/>
    <mergeCell ref="E12612:H12612"/>
    <mergeCell ref="E12615:H12615"/>
    <mergeCell ref="E12616:H12616"/>
    <mergeCell ref="E12617:H12617"/>
    <mergeCell ref="E12619:F12619"/>
    <mergeCell ref="E12620:F12620"/>
    <mergeCell ref="E12621:F12621"/>
    <mergeCell ref="E12622:F12622"/>
    <mergeCell ref="E12623:F12623"/>
    <mergeCell ref="E12624:F12624"/>
    <mergeCell ref="E12625:F12625"/>
    <mergeCell ref="E12626:F12626"/>
    <mergeCell ref="E12633:H12633"/>
    <mergeCell ref="E12634:H12634"/>
    <mergeCell ref="E12640:H12640"/>
    <mergeCell ref="E12641:H12641"/>
    <mergeCell ref="E12642:H12642"/>
    <mergeCell ref="E12645:F12645"/>
    <mergeCell ref="E12647:F12647"/>
    <mergeCell ref="E12648:F12648"/>
    <mergeCell ref="E12649:F12649"/>
    <mergeCell ref="E12650:F12650"/>
    <mergeCell ref="E12651:F12651"/>
    <mergeCell ref="E12652:F12652"/>
    <mergeCell ref="E12658:H12658"/>
    <mergeCell ref="E12659:H12659"/>
    <mergeCell ref="E12660:H12660"/>
    <mergeCell ref="E12661:H12661"/>
    <mergeCell ref="E12662:H12662"/>
    <mergeCell ref="E12663:H12663"/>
    <mergeCell ref="E12675:F12675"/>
    <mergeCell ref="E12676:F12676"/>
    <mergeCell ref="E12691:H12691"/>
    <mergeCell ref="E12702:F12702"/>
    <mergeCell ref="E12703:F12703"/>
    <mergeCell ref="E12704:F12704"/>
    <mergeCell ref="E12719:F12719"/>
    <mergeCell ref="E12552:F12552"/>
    <mergeCell ref="E12553:F12553"/>
    <mergeCell ref="E12554:F12554"/>
    <mergeCell ref="E12555:F12555"/>
    <mergeCell ref="E12556:F12556"/>
    <mergeCell ref="E12557:F12557"/>
    <mergeCell ref="E12558:F12558"/>
    <mergeCell ref="E12548:H12548"/>
    <mergeCell ref="E12495:H12495"/>
    <mergeCell ref="E12501:F12501"/>
    <mergeCell ref="E12502:F12502"/>
    <mergeCell ref="E12503:F12503"/>
    <mergeCell ref="E12504:F12504"/>
    <mergeCell ref="E12505:F12505"/>
    <mergeCell ref="E12506:F12506"/>
    <mergeCell ref="E12509:H12509"/>
    <mergeCell ref="E12510:H12510"/>
    <mergeCell ref="E12511:H12511"/>
    <mergeCell ref="E12512:H12512"/>
    <mergeCell ref="E12513:H12513"/>
    <mergeCell ref="E12543:H12543"/>
    <mergeCell ref="E12544:H12544"/>
    <mergeCell ref="E12547:H12547"/>
    <mergeCell ref="E12601:F12601"/>
    <mergeCell ref="E12606:F12606"/>
    <mergeCell ref="E12607:F12607"/>
    <mergeCell ref="E12596:H12596"/>
    <mergeCell ref="E12597:H12597"/>
    <mergeCell ref="E12598:H12598"/>
    <mergeCell ref="E12599:H12599"/>
    <mergeCell ref="E12604:F12604"/>
    <mergeCell ref="E12602:F12602"/>
    <mergeCell ref="E12603:F12603"/>
    <mergeCell ref="E12564:H12564"/>
    <mergeCell ref="E12571:F12571"/>
    <mergeCell ref="E12576:H12576"/>
    <mergeCell ref="E12577:H12577"/>
    <mergeCell ref="E12568:F12568"/>
    <mergeCell ref="E12570:F12570"/>
    <mergeCell ref="E12592:F12592"/>
    <mergeCell ref="E12594:H12594"/>
    <mergeCell ref="E12595:H12595"/>
    <mergeCell ref="E12559:H12559"/>
    <mergeCell ref="E12567:F12567"/>
    <mergeCell ref="E12584:F12584"/>
    <mergeCell ref="E12585:F12585"/>
    <mergeCell ref="E12593:H12593"/>
    <mergeCell ref="E12551:F12551"/>
    <mergeCell ref="E12546:H12546"/>
    <mergeCell ref="E12514:H12514"/>
    <mergeCell ref="E12517:F12517"/>
    <mergeCell ref="E12522:F12522"/>
    <mergeCell ref="E12523:F12523"/>
    <mergeCell ref="E12524:F12524"/>
    <mergeCell ref="E12530:H12530"/>
    <mergeCell ref="E12531:H12531"/>
    <mergeCell ref="E12532:H12532"/>
    <mergeCell ref="E12538:F12538"/>
    <mergeCell ref="E12542:H12542"/>
    <mergeCell ref="E12550:F12550"/>
    <mergeCell ref="E12526:H12526"/>
    <mergeCell ref="E12527:H12527"/>
    <mergeCell ref="E12569:F12569"/>
    <mergeCell ref="E12572:F12572"/>
    <mergeCell ref="E12454:F12454"/>
    <mergeCell ref="E12455:F12455"/>
    <mergeCell ref="E12459:F12459"/>
    <mergeCell ref="E12460:F12460"/>
    <mergeCell ref="E12424:F12424"/>
    <mergeCell ref="E12425:F12425"/>
    <mergeCell ref="E12427:F12427"/>
    <mergeCell ref="E12431:H12431"/>
    <mergeCell ref="E12464:H12464"/>
    <mergeCell ref="E12465:H12465"/>
    <mergeCell ref="E12477:F12477"/>
    <mergeCell ref="E12480:H12480"/>
    <mergeCell ref="E12482:F12482"/>
    <mergeCell ref="E12490:H12490"/>
    <mergeCell ref="E12491:H12491"/>
    <mergeCell ref="E12492:H12492"/>
    <mergeCell ref="E12493:H12493"/>
    <mergeCell ref="E12494:H12494"/>
    <mergeCell ref="E12549:H12549"/>
    <mergeCell ref="E12468:F12468"/>
    <mergeCell ref="E12451:F12451"/>
    <mergeCell ref="E12475:F12475"/>
    <mergeCell ref="E12476:F12476"/>
    <mergeCell ref="E12489:H12489"/>
    <mergeCell ref="E12450:F12450"/>
    <mergeCell ref="E12452:F12452"/>
    <mergeCell ref="E12443:F12443"/>
    <mergeCell ref="E12444:F12444"/>
    <mergeCell ref="E12445:F12445"/>
    <mergeCell ref="E12446:F12446"/>
    <mergeCell ref="E12447:F12447"/>
    <mergeCell ref="E12448:F12448"/>
    <mergeCell ref="E12453:F12453"/>
    <mergeCell ref="E12456:F12456"/>
    <mergeCell ref="E12457:F12457"/>
    <mergeCell ref="E12458:F12458"/>
    <mergeCell ref="E12535:F12535"/>
    <mergeCell ref="E12541:F12541"/>
    <mergeCell ref="E12545:H12545"/>
    <mergeCell ref="E12472:F12472"/>
    <mergeCell ref="E12488:H12488"/>
    <mergeCell ref="E12537:F12537"/>
    <mergeCell ref="E12428:F12428"/>
    <mergeCell ref="E12311:H12311"/>
    <mergeCell ref="E12312:H12312"/>
    <mergeCell ref="E12313:H12313"/>
    <mergeCell ref="E12320:F12320"/>
    <mergeCell ref="E12270:F12270"/>
    <mergeCell ref="E12280:F12280"/>
    <mergeCell ref="E12285:H12285"/>
    <mergeCell ref="E12286:H12286"/>
    <mergeCell ref="E12289:F12289"/>
    <mergeCell ref="E12290:F12290"/>
    <mergeCell ref="E12291:F12291"/>
    <mergeCell ref="E12292:F12292"/>
    <mergeCell ref="E12293:F12293"/>
    <mergeCell ref="E12294:F12294"/>
    <mergeCell ref="E12295:F12295"/>
    <mergeCell ref="E12287:H12287"/>
    <mergeCell ref="E12296:F12296"/>
    <mergeCell ref="E12315:H12315"/>
    <mergeCell ref="E12409:F12409"/>
    <mergeCell ref="E12410:F12410"/>
    <mergeCell ref="E12411:F12411"/>
    <mergeCell ref="E12288:H12288"/>
    <mergeCell ref="E12297:F12297"/>
    <mergeCell ref="E12298:F12298"/>
    <mergeCell ref="E12299:F12299"/>
    <mergeCell ref="E12300:F12300"/>
    <mergeCell ref="E12404:F12404"/>
    <mergeCell ref="E12405:F12405"/>
    <mergeCell ref="E12406:F12406"/>
    <mergeCell ref="E12342:F12342"/>
    <mergeCell ref="E12343:F12343"/>
    <mergeCell ref="E12344:F12344"/>
    <mergeCell ref="E12399:H12399"/>
    <mergeCell ref="E12345:F12345"/>
    <mergeCell ref="E12346:F12346"/>
    <mergeCell ref="E12335:H12335"/>
    <mergeCell ref="E12336:H12336"/>
    <mergeCell ref="E12403:H12403"/>
    <mergeCell ref="E12366:F12366"/>
    <mergeCell ref="E12368:F12368"/>
    <mergeCell ref="E12369:F12369"/>
    <mergeCell ref="E12370:F12370"/>
    <mergeCell ref="E12371:F12371"/>
    <mergeCell ref="E12372:F12372"/>
    <mergeCell ref="E12402:H12402"/>
    <mergeCell ref="E12341:F12341"/>
    <mergeCell ref="E12337:H12337"/>
    <mergeCell ref="E12338:H12338"/>
    <mergeCell ref="E12347:F12347"/>
    <mergeCell ref="E12354:H12354"/>
    <mergeCell ref="E12355:H12355"/>
    <mergeCell ref="E12361:H12361"/>
    <mergeCell ref="E12362:H12362"/>
    <mergeCell ref="E12373:F12373"/>
    <mergeCell ref="E12374:F12374"/>
    <mergeCell ref="E12379:H12379"/>
    <mergeCell ref="E12380:H12380"/>
    <mergeCell ref="E12381:H12381"/>
    <mergeCell ref="E12382:H12382"/>
    <mergeCell ref="E12383:H12383"/>
    <mergeCell ref="E12390:F12390"/>
    <mergeCell ref="E12392:F12392"/>
    <mergeCell ref="E12394:F12394"/>
    <mergeCell ref="E12395:F12395"/>
    <mergeCell ref="E12015:F12015"/>
    <mergeCell ref="E12016:F12016"/>
    <mergeCell ref="E12017:F12017"/>
    <mergeCell ref="E12018:F12018"/>
    <mergeCell ref="E12019:F12019"/>
    <mergeCell ref="E12027:H12027"/>
    <mergeCell ref="E12178:F12178"/>
    <mergeCell ref="E12187:H12187"/>
    <mergeCell ref="E12188:H12188"/>
    <mergeCell ref="E12189:H12189"/>
    <mergeCell ref="E12190:H12190"/>
    <mergeCell ref="E12179:F12179"/>
    <mergeCell ref="E12180:F12180"/>
    <mergeCell ref="E12181:F12181"/>
    <mergeCell ref="E12330:F12330"/>
    <mergeCell ref="E12305:F12305"/>
    <mergeCell ref="E12317:H12317"/>
    <mergeCell ref="E12318:H12318"/>
    <mergeCell ref="E12319:H12319"/>
    <mergeCell ref="E12326:F12326"/>
    <mergeCell ref="E12327:F12327"/>
    <mergeCell ref="E12328:F12328"/>
    <mergeCell ref="E12329:F12329"/>
    <mergeCell ref="E12245:H12245"/>
    <mergeCell ref="E12251:F12251"/>
    <mergeCell ref="E12253:F12253"/>
    <mergeCell ref="E12256:H12256"/>
    <mergeCell ref="E12257:H12257"/>
    <mergeCell ref="E12258:H12258"/>
    <mergeCell ref="E12263:F12263"/>
    <mergeCell ref="E12264:F12264"/>
    <mergeCell ref="E12273:F12273"/>
    <mergeCell ref="E12282:F12282"/>
    <mergeCell ref="E12265:F12265"/>
    <mergeCell ref="E12266:F12266"/>
    <mergeCell ref="E12267:F12267"/>
    <mergeCell ref="E12268:F12268"/>
    <mergeCell ref="E12230:H12230"/>
    <mergeCell ref="E12237:F12237"/>
    <mergeCell ref="E12238:F12238"/>
    <mergeCell ref="E12240:F12240"/>
    <mergeCell ref="E12242:F12242"/>
    <mergeCell ref="E12316:H12316"/>
    <mergeCell ref="E12324:F12324"/>
    <mergeCell ref="E12325:F12325"/>
    <mergeCell ref="E12231:F12231"/>
    <mergeCell ref="E12232:F12232"/>
    <mergeCell ref="E12233:F12233"/>
    <mergeCell ref="E12234:F12234"/>
    <mergeCell ref="E12235:F12235"/>
    <mergeCell ref="E12243:H12243"/>
    <mergeCell ref="E12244:H12244"/>
    <mergeCell ref="E12284:H12284"/>
    <mergeCell ref="E12272:F12272"/>
    <mergeCell ref="E12277:F12277"/>
    <mergeCell ref="E12279:F12279"/>
    <mergeCell ref="E12247:H12247"/>
    <mergeCell ref="E12248:H12248"/>
    <mergeCell ref="E12274:F12274"/>
    <mergeCell ref="E12275:F12275"/>
    <mergeCell ref="E12276:F12276"/>
    <mergeCell ref="E12308:H12308"/>
    <mergeCell ref="E12309:H12309"/>
    <mergeCell ref="E12310:H12310"/>
    <mergeCell ref="E12218:F12218"/>
    <mergeCell ref="E12220:F12220"/>
    <mergeCell ref="E12222:F12222"/>
    <mergeCell ref="E12191:H12191"/>
    <mergeCell ref="E12201:F12201"/>
    <mergeCell ref="E12212:F12212"/>
    <mergeCell ref="E11945:F11945"/>
    <mergeCell ref="E11946:F11946"/>
    <mergeCell ref="E11947:F11947"/>
    <mergeCell ref="E11952:H11952"/>
    <mergeCell ref="E11953:H11953"/>
    <mergeCell ref="E12007:F12007"/>
    <mergeCell ref="E12008:F12008"/>
    <mergeCell ref="E12009:F12009"/>
    <mergeCell ref="E12020:H12020"/>
    <mergeCell ref="E12021:H12021"/>
    <mergeCell ref="E12022:H12022"/>
    <mergeCell ref="E12023:H12023"/>
    <mergeCell ref="E12025:H12025"/>
    <mergeCell ref="E12026:H12026"/>
    <mergeCell ref="E12028:F12028"/>
    <mergeCell ref="E12004:F12004"/>
    <mergeCell ref="E12005:F12005"/>
    <mergeCell ref="E12006:F12006"/>
    <mergeCell ref="E12024:H12024"/>
    <mergeCell ref="E11979:F11979"/>
    <mergeCell ref="E11980:F11980"/>
    <mergeCell ref="E11990:F11990"/>
    <mergeCell ref="E11994:H11994"/>
    <mergeCell ref="E11995:H11995"/>
    <mergeCell ref="E11996:H11996"/>
    <mergeCell ref="E11997:H11997"/>
    <mergeCell ref="E11998:H11998"/>
    <mergeCell ref="E11999:H11999"/>
    <mergeCell ref="E12000:H12000"/>
    <mergeCell ref="E12001:H12001"/>
    <mergeCell ref="E12002:F12002"/>
    <mergeCell ref="E11982:F11982"/>
    <mergeCell ref="E11984:F11984"/>
    <mergeCell ref="E11974:F11974"/>
    <mergeCell ref="E12012:F12012"/>
    <mergeCell ref="E12013:F12013"/>
    <mergeCell ref="E11948:H11948"/>
    <mergeCell ref="E11949:H11949"/>
    <mergeCell ref="E11957:F11957"/>
    <mergeCell ref="E11959:F11959"/>
    <mergeCell ref="E11968:H11968"/>
    <mergeCell ref="E11969:H11969"/>
    <mergeCell ref="E11981:F11981"/>
    <mergeCell ref="E11987:F11987"/>
    <mergeCell ref="E11988:F11988"/>
    <mergeCell ref="E11989:F11989"/>
    <mergeCell ref="E11991:F11991"/>
    <mergeCell ref="E11992:F11992"/>
    <mergeCell ref="E11993:F11993"/>
    <mergeCell ref="E12003:F12003"/>
    <mergeCell ref="E11950:H11950"/>
    <mergeCell ref="E11951:H11951"/>
    <mergeCell ref="E11958:F11958"/>
    <mergeCell ref="E11961:F11961"/>
    <mergeCell ref="E11985:F11985"/>
    <mergeCell ref="E11986:F11986"/>
    <mergeCell ref="E11975:F11975"/>
    <mergeCell ref="E12014:F12014"/>
    <mergeCell ref="E11924:H11924"/>
    <mergeCell ref="E11925:F11925"/>
    <mergeCell ref="E11926:F11926"/>
    <mergeCell ref="E11927:F11927"/>
    <mergeCell ref="E11928:F11928"/>
    <mergeCell ref="E11929:F11929"/>
    <mergeCell ref="E11930:F11930"/>
    <mergeCell ref="E11931:F11931"/>
    <mergeCell ref="E11932:F11932"/>
    <mergeCell ref="E11944:F11944"/>
    <mergeCell ref="E11857:H11857"/>
    <mergeCell ref="E11859:F11859"/>
    <mergeCell ref="E11860:F11860"/>
    <mergeCell ref="E11861:F11861"/>
    <mergeCell ref="E11862:F11862"/>
    <mergeCell ref="E11863:F11863"/>
    <mergeCell ref="E11864:F11864"/>
    <mergeCell ref="E11865:F11865"/>
    <mergeCell ref="E11866:F11866"/>
    <mergeCell ref="E11867:F11867"/>
    <mergeCell ref="E11886:H11886"/>
    <mergeCell ref="E11887:H11887"/>
    <mergeCell ref="E11888:H11888"/>
    <mergeCell ref="E11889:H11889"/>
    <mergeCell ref="E11890:H11890"/>
    <mergeCell ref="E11891:H11891"/>
    <mergeCell ref="E11897:F11897"/>
    <mergeCell ref="E11898:F11898"/>
    <mergeCell ref="E11899:F11899"/>
    <mergeCell ref="E11900:F11900"/>
    <mergeCell ref="E11901:F11901"/>
    <mergeCell ref="E11902:F11902"/>
    <mergeCell ref="E11903:F11903"/>
    <mergeCell ref="E11904:F11904"/>
    <mergeCell ref="E11913:F11913"/>
    <mergeCell ref="E11933:F11933"/>
    <mergeCell ref="E11934:F11934"/>
    <mergeCell ref="E11938:F11938"/>
    <mergeCell ref="E11939:F11939"/>
    <mergeCell ref="E11940:F11940"/>
    <mergeCell ref="E11941:F11941"/>
    <mergeCell ref="E11906:F11906"/>
    <mergeCell ref="E11907:F11907"/>
    <mergeCell ref="E11908:F11908"/>
    <mergeCell ref="E11909:F11909"/>
    <mergeCell ref="E11910:F11910"/>
    <mergeCell ref="E11911:F11911"/>
    <mergeCell ref="E11912:F11912"/>
    <mergeCell ref="E11915:H11915"/>
    <mergeCell ref="E11868:F11868"/>
    <mergeCell ref="E11882:H11882"/>
    <mergeCell ref="E11873:F11873"/>
    <mergeCell ref="E11874:F11874"/>
    <mergeCell ref="E11885:H11885"/>
    <mergeCell ref="E11858:F11858"/>
    <mergeCell ref="E11870:F11870"/>
    <mergeCell ref="E11876:F11876"/>
    <mergeCell ref="E11877:F11877"/>
    <mergeCell ref="E11878:F11878"/>
    <mergeCell ref="E11879:F11879"/>
    <mergeCell ref="E11880:F11880"/>
    <mergeCell ref="E11881:F11881"/>
    <mergeCell ref="E11883:H11883"/>
    <mergeCell ref="E11894:F11894"/>
    <mergeCell ref="E11771:F11771"/>
    <mergeCell ref="E11773:F11773"/>
    <mergeCell ref="E11774:F11774"/>
    <mergeCell ref="E11776:F11776"/>
    <mergeCell ref="E11777:F11777"/>
    <mergeCell ref="E11779:F11779"/>
    <mergeCell ref="E11780:F11780"/>
    <mergeCell ref="E11782:F11782"/>
    <mergeCell ref="E11783:F11783"/>
    <mergeCell ref="E11784:F11784"/>
    <mergeCell ref="E11785:F11785"/>
    <mergeCell ref="E11790:H11790"/>
    <mergeCell ref="E11791:H11791"/>
    <mergeCell ref="E11792:H11792"/>
    <mergeCell ref="E11800:F11800"/>
    <mergeCell ref="E11805:F11805"/>
    <mergeCell ref="E11808:F11808"/>
    <mergeCell ref="E11809:F11809"/>
    <mergeCell ref="E11810:F11810"/>
    <mergeCell ref="E11811:F11811"/>
    <mergeCell ref="E11816:H11816"/>
    <mergeCell ref="E11817:H11817"/>
    <mergeCell ref="E11818:H11818"/>
    <mergeCell ref="E11819:H11819"/>
    <mergeCell ref="E11820:H11820"/>
    <mergeCell ref="E11821:H11821"/>
    <mergeCell ref="E11822:H11822"/>
    <mergeCell ref="E11823:H11823"/>
    <mergeCell ref="E11826:F11826"/>
    <mergeCell ref="E11799:F11799"/>
    <mergeCell ref="E11801:F11801"/>
    <mergeCell ref="E11787:H11787"/>
    <mergeCell ref="E11795:F11795"/>
    <mergeCell ref="E11781:F11781"/>
    <mergeCell ref="E11802:F11802"/>
    <mergeCell ref="E11803:F11803"/>
    <mergeCell ref="E11804:F11804"/>
    <mergeCell ref="E11789:H11789"/>
    <mergeCell ref="E11778:F11778"/>
    <mergeCell ref="E11786:F11786"/>
    <mergeCell ref="E11793:H11793"/>
    <mergeCell ref="E11794:H11794"/>
    <mergeCell ref="E11806:F11806"/>
    <mergeCell ref="E11807:F11807"/>
    <mergeCell ref="E11812:F11812"/>
    <mergeCell ref="E11813:F11813"/>
    <mergeCell ref="E11814:F11814"/>
    <mergeCell ref="E11815:F11815"/>
    <mergeCell ref="E11824:F11824"/>
    <mergeCell ref="E11683:F11683"/>
    <mergeCell ref="E11684:F11684"/>
    <mergeCell ref="E11685:F11685"/>
    <mergeCell ref="E11686:F11686"/>
    <mergeCell ref="E11687:F11687"/>
    <mergeCell ref="E11691:H11691"/>
    <mergeCell ref="E11692:H11692"/>
    <mergeCell ref="E11693:H11693"/>
    <mergeCell ref="E11694:H11694"/>
    <mergeCell ref="E11695:H11695"/>
    <mergeCell ref="E11701:H11701"/>
    <mergeCell ref="E11702:H11702"/>
    <mergeCell ref="E11703:H11703"/>
    <mergeCell ref="E11716:F11716"/>
    <mergeCell ref="E11717:F11717"/>
    <mergeCell ref="E11718:F11718"/>
    <mergeCell ref="E11719:F11719"/>
    <mergeCell ref="E11720:F11720"/>
    <mergeCell ref="E11721:F11721"/>
    <mergeCell ref="E11722:F11722"/>
    <mergeCell ref="E11729:H11729"/>
    <mergeCell ref="E11730:H11730"/>
    <mergeCell ref="E11731:H11731"/>
    <mergeCell ref="E11732:H11732"/>
    <mergeCell ref="E11733:H11733"/>
    <mergeCell ref="E11741:F11741"/>
    <mergeCell ref="E11742:F11742"/>
    <mergeCell ref="E11645:F11645"/>
    <mergeCell ref="E11646:H11646"/>
    <mergeCell ref="E11647:H11647"/>
    <mergeCell ref="E11648:H11648"/>
    <mergeCell ref="E11649:H11649"/>
    <mergeCell ref="E11650:H11650"/>
    <mergeCell ref="E11651:H11651"/>
    <mergeCell ref="E11652:H11652"/>
    <mergeCell ref="E11653:H11653"/>
    <mergeCell ref="E11667:H11667"/>
    <mergeCell ref="E11668:H11668"/>
    <mergeCell ref="E11675:F11675"/>
    <mergeCell ref="E11676:F11676"/>
    <mergeCell ref="E11677:F11677"/>
    <mergeCell ref="E11672:H11672"/>
    <mergeCell ref="E11673:H11673"/>
    <mergeCell ref="E11674:H11674"/>
    <mergeCell ref="E11682:F11682"/>
    <mergeCell ref="E11655:F11655"/>
    <mergeCell ref="E11658:F11658"/>
    <mergeCell ref="E11664:F11664"/>
    <mergeCell ref="E11665:F11665"/>
    <mergeCell ref="E11678:F11678"/>
    <mergeCell ref="E11698:F11698"/>
    <mergeCell ref="E11712:F11712"/>
    <mergeCell ref="E11713:F11713"/>
    <mergeCell ref="E11724:F11724"/>
    <mergeCell ref="E11725:F11725"/>
    <mergeCell ref="E11726:F11726"/>
    <mergeCell ref="E11727:F11727"/>
    <mergeCell ref="E11728:F11728"/>
    <mergeCell ref="E11681:F11681"/>
    <mergeCell ref="E11469:F11469"/>
    <mergeCell ref="E11472:F11472"/>
    <mergeCell ref="E11473:F11473"/>
    <mergeCell ref="E11482:F11482"/>
    <mergeCell ref="E11483:F11483"/>
    <mergeCell ref="E11484:F11484"/>
    <mergeCell ref="E11485:F11485"/>
    <mergeCell ref="E11493:H11493"/>
    <mergeCell ref="E11494:H11494"/>
    <mergeCell ref="E11495:H11495"/>
    <mergeCell ref="E11496:H11496"/>
    <mergeCell ref="E11497:H11497"/>
    <mergeCell ref="E11498:H11498"/>
    <mergeCell ref="E11499:H11499"/>
    <mergeCell ref="E11500:H11500"/>
    <mergeCell ref="E11506:H11506"/>
    <mergeCell ref="E11507:H11507"/>
    <mergeCell ref="E11510:F11510"/>
    <mergeCell ref="E11511:F11511"/>
    <mergeCell ref="E11512:F11512"/>
    <mergeCell ref="E11513:F11513"/>
    <mergeCell ref="E11514:F11514"/>
    <mergeCell ref="E11515:F11515"/>
    <mergeCell ref="E11529:H11529"/>
    <mergeCell ref="E11530:H11530"/>
    <mergeCell ref="E11470:F11470"/>
    <mergeCell ref="E11471:F11471"/>
    <mergeCell ref="E11478:H11478"/>
    <mergeCell ref="E11479:H11479"/>
    <mergeCell ref="E11480:H11480"/>
    <mergeCell ref="E11481:H11481"/>
    <mergeCell ref="E11492:F11492"/>
    <mergeCell ref="E11466:F11466"/>
    <mergeCell ref="E11467:F11467"/>
    <mergeCell ref="E11486:F11486"/>
    <mergeCell ref="E11487:F11487"/>
    <mergeCell ref="E11488:F11488"/>
    <mergeCell ref="E11489:F11489"/>
    <mergeCell ref="E11491:F11491"/>
    <mergeCell ref="E11490:F11490"/>
    <mergeCell ref="E11503:F11503"/>
    <mergeCell ref="E11504:F11504"/>
    <mergeCell ref="E11474:H11474"/>
    <mergeCell ref="E11475:H11475"/>
    <mergeCell ref="E11476:H11476"/>
    <mergeCell ref="E11450:F11450"/>
    <mergeCell ref="E11451:F11451"/>
    <mergeCell ref="E11452:F11452"/>
    <mergeCell ref="E11453:F11453"/>
    <mergeCell ref="E11454:F11454"/>
    <mergeCell ref="E11455:H11455"/>
    <mergeCell ref="E11426:F11426"/>
    <mergeCell ref="E11427:F11427"/>
    <mergeCell ref="E11428:F11428"/>
    <mergeCell ref="E11429:F11429"/>
    <mergeCell ref="E11445:F11445"/>
    <mergeCell ref="E11446:F11446"/>
    <mergeCell ref="E11447:F11447"/>
    <mergeCell ref="E11448:F11448"/>
    <mergeCell ref="E11449:F11449"/>
    <mergeCell ref="E11432:F11432"/>
    <mergeCell ref="E11433:F11433"/>
    <mergeCell ref="E11434:F11434"/>
    <mergeCell ref="E11435:F11435"/>
    <mergeCell ref="E11423:H11423"/>
    <mergeCell ref="E11416:H11416"/>
    <mergeCell ref="E11430:F11430"/>
    <mergeCell ref="E11431:F11431"/>
    <mergeCell ref="E11422:H11422"/>
    <mergeCell ref="E11456:H11456"/>
    <mergeCell ref="E11457:H11457"/>
    <mergeCell ref="E11458:H11458"/>
    <mergeCell ref="E11459:H11459"/>
    <mergeCell ref="E11460:H11460"/>
    <mergeCell ref="E11461:H11461"/>
    <mergeCell ref="E11462:H11462"/>
    <mergeCell ref="E11468:F11468"/>
    <mergeCell ref="E11463:F11463"/>
    <mergeCell ref="E11464:F11464"/>
    <mergeCell ref="E11465:F11465"/>
    <mergeCell ref="E11386:F11386"/>
    <mergeCell ref="E11400:H11400"/>
    <mergeCell ref="E11401:H11401"/>
    <mergeCell ref="E11402:H11402"/>
    <mergeCell ref="E11403:H11403"/>
    <mergeCell ref="E11409:F11409"/>
    <mergeCell ref="E11410:F11410"/>
    <mergeCell ref="E11411:F11411"/>
    <mergeCell ref="E11412:F11412"/>
    <mergeCell ref="E11405:F11405"/>
    <mergeCell ref="E11406:F11406"/>
    <mergeCell ref="E11407:F11407"/>
    <mergeCell ref="E11404:F11404"/>
    <mergeCell ref="E11408:F11408"/>
    <mergeCell ref="E11413:F11413"/>
    <mergeCell ref="E11414:F11414"/>
    <mergeCell ref="E11415:F11415"/>
    <mergeCell ref="E11417:H11417"/>
    <mergeCell ref="E11418:H11418"/>
    <mergeCell ref="E11419:H11419"/>
    <mergeCell ref="E11420:H11420"/>
    <mergeCell ref="E11421:H11421"/>
    <mergeCell ref="E11424:F11424"/>
    <mergeCell ref="E11425:F11425"/>
    <mergeCell ref="E11436:H11436"/>
    <mergeCell ref="E11437:H11437"/>
    <mergeCell ref="E11438:H11438"/>
    <mergeCell ref="E11439:H11439"/>
    <mergeCell ref="E11440:H11440"/>
    <mergeCell ref="E11441:H11441"/>
    <mergeCell ref="E11442:H11442"/>
    <mergeCell ref="E11443:H11443"/>
    <mergeCell ref="E11444:F11444"/>
    <mergeCell ref="E11370:F11370"/>
    <mergeCell ref="E11371:F11371"/>
    <mergeCell ref="E11372:F11372"/>
    <mergeCell ref="E11354:F11354"/>
    <mergeCell ref="E11355:F11355"/>
    <mergeCell ref="E11317:F11317"/>
    <mergeCell ref="E11344:F11344"/>
    <mergeCell ref="E11331:H11331"/>
    <mergeCell ref="E11351:F11351"/>
    <mergeCell ref="E11352:F11352"/>
    <mergeCell ref="E11353:F11353"/>
    <mergeCell ref="E11356:H11356"/>
    <mergeCell ref="E11357:H11357"/>
    <mergeCell ref="E11358:H11358"/>
    <mergeCell ref="E11308:H11308"/>
    <mergeCell ref="E11309:H11309"/>
    <mergeCell ref="E11316:F11316"/>
    <mergeCell ref="E11367:F11367"/>
    <mergeCell ref="E11368:F11368"/>
    <mergeCell ref="E11369:F11369"/>
    <mergeCell ref="E11281:F11281"/>
    <mergeCell ref="E11282:F11282"/>
    <mergeCell ref="E11280:F11280"/>
    <mergeCell ref="E11299:F11299"/>
    <mergeCell ref="E11322:F11322"/>
    <mergeCell ref="E11323:F11323"/>
    <mergeCell ref="E11283:F11283"/>
    <mergeCell ref="E11284:F11284"/>
    <mergeCell ref="E11285:F11285"/>
    <mergeCell ref="E11287:F11287"/>
    <mergeCell ref="E11302:F11302"/>
    <mergeCell ref="E11303:F11303"/>
    <mergeCell ref="E11304:F11304"/>
    <mergeCell ref="E11305:F11305"/>
    <mergeCell ref="E11306:G11306"/>
    <mergeCell ref="E11310:H11310"/>
    <mergeCell ref="E11311:H11311"/>
    <mergeCell ref="E11324:F11324"/>
    <mergeCell ref="E11327:F11327"/>
    <mergeCell ref="E11328:F11328"/>
    <mergeCell ref="E11332:H11332"/>
    <mergeCell ref="E11333:H11333"/>
    <mergeCell ref="E11334:H11334"/>
    <mergeCell ref="E11335:H11335"/>
    <mergeCell ref="E11336:H11336"/>
    <mergeCell ref="E11337:H11337"/>
    <mergeCell ref="E11338:H11338"/>
    <mergeCell ref="E11339:H11339"/>
    <mergeCell ref="E11340:H11340"/>
    <mergeCell ref="E11341:H11341"/>
    <mergeCell ref="E11342:H11342"/>
    <mergeCell ref="E11312:F11312"/>
    <mergeCell ref="E11313:F11313"/>
    <mergeCell ref="E11314:F11314"/>
    <mergeCell ref="E11315:F11315"/>
    <mergeCell ref="E11329:H11329"/>
    <mergeCell ref="E11330:H11330"/>
    <mergeCell ref="E11300:F11300"/>
    <mergeCell ref="E11301:F11301"/>
    <mergeCell ref="E11183:F11183"/>
    <mergeCell ref="E11184:H11184"/>
    <mergeCell ref="E11185:H11185"/>
    <mergeCell ref="E11186:H11186"/>
    <mergeCell ref="E11187:H11187"/>
    <mergeCell ref="E11188:H11188"/>
    <mergeCell ref="E11189:H11189"/>
    <mergeCell ref="E11190:H11190"/>
    <mergeCell ref="E11191:H11191"/>
    <mergeCell ref="E11192:H11192"/>
    <mergeCell ref="E11195:F11195"/>
    <mergeCell ref="E11196:F11196"/>
    <mergeCell ref="E11197:F11197"/>
    <mergeCell ref="E11198:F11198"/>
    <mergeCell ref="E11193:F11193"/>
    <mergeCell ref="E11199:F11199"/>
    <mergeCell ref="E11200:F11200"/>
    <mergeCell ref="E11126:H11126"/>
    <mergeCell ref="E11127:H11127"/>
    <mergeCell ref="E11128:H11128"/>
    <mergeCell ref="E11129:H11129"/>
    <mergeCell ref="E11130:H11130"/>
    <mergeCell ref="E11167:H11167"/>
    <mergeCell ref="E11168:H11168"/>
    <mergeCell ref="E11169:H11169"/>
    <mergeCell ref="E11170:H11170"/>
    <mergeCell ref="E11171:H11171"/>
    <mergeCell ref="E11164:F11164"/>
    <mergeCell ref="E11165:H11165"/>
    <mergeCell ref="E11166:H11166"/>
    <mergeCell ref="E11149:H11149"/>
    <mergeCell ref="E11150:H11150"/>
    <mergeCell ref="E11151:H11151"/>
    <mergeCell ref="E11152:H11152"/>
    <mergeCell ref="E11153:H11153"/>
    <mergeCell ref="E11157:F11157"/>
    <mergeCell ref="E11159:F11159"/>
    <mergeCell ref="E10726:H10726"/>
    <mergeCell ref="E10729:F10729"/>
    <mergeCell ref="E10730:F10730"/>
    <mergeCell ref="E10731:F10731"/>
    <mergeCell ref="E10732:F10732"/>
    <mergeCell ref="E10733:F10733"/>
    <mergeCell ref="E10734:F10734"/>
    <mergeCell ref="E10735:F10735"/>
    <mergeCell ref="E10736:F10736"/>
    <mergeCell ref="E10743:H10743"/>
    <mergeCell ref="E10744:H10744"/>
    <mergeCell ref="E10745:H10745"/>
    <mergeCell ref="E10746:H10746"/>
    <mergeCell ref="E10752:F10752"/>
    <mergeCell ref="E10753:F10753"/>
    <mergeCell ref="E10754:F10754"/>
    <mergeCell ref="E10755:F10755"/>
    <mergeCell ref="E10756:F10756"/>
    <mergeCell ref="E10757:F10757"/>
    <mergeCell ref="E10758:F10758"/>
    <mergeCell ref="E10759:F10759"/>
    <mergeCell ref="E10760:F10760"/>
    <mergeCell ref="E10761:F10761"/>
    <mergeCell ref="E10762:F10762"/>
    <mergeCell ref="E10727:F10727"/>
    <mergeCell ref="E10728:F10728"/>
    <mergeCell ref="E10741:F10741"/>
    <mergeCell ref="E10742:F10742"/>
    <mergeCell ref="E10747:H10747"/>
    <mergeCell ref="E10748:H10748"/>
    <mergeCell ref="E10878:H10878"/>
    <mergeCell ref="E10886:F10886"/>
    <mergeCell ref="E10887:F10887"/>
    <mergeCell ref="E10883:F10883"/>
    <mergeCell ref="E10884:F10884"/>
    <mergeCell ref="E10847:H10847"/>
    <mergeCell ref="E10848:H10848"/>
    <mergeCell ref="E10849:H10849"/>
    <mergeCell ref="E10857:F10857"/>
    <mergeCell ref="E10858:F10858"/>
    <mergeCell ref="E10808:F10808"/>
    <mergeCell ref="E10809:F10809"/>
    <mergeCell ref="E10810:F10810"/>
    <mergeCell ref="E10811:F10811"/>
    <mergeCell ref="E10812:F10812"/>
    <mergeCell ref="E10813:F10813"/>
    <mergeCell ref="E10815:F10815"/>
    <mergeCell ref="E10821:H10821"/>
    <mergeCell ref="E10796:F10796"/>
    <mergeCell ref="E10797:F10797"/>
    <mergeCell ref="E10788:F10788"/>
    <mergeCell ref="E10789:F10789"/>
    <mergeCell ref="E10855:F10855"/>
    <mergeCell ref="E10863:H10863"/>
    <mergeCell ref="E10864:H10864"/>
    <mergeCell ref="E10865:H10865"/>
    <mergeCell ref="E10866:H10866"/>
    <mergeCell ref="E10871:F10871"/>
    <mergeCell ref="E10873:F10873"/>
    <mergeCell ref="E10874:F10874"/>
    <mergeCell ref="E10876:H10876"/>
    <mergeCell ref="E10877:H10877"/>
    <mergeCell ref="E10803:H10803"/>
    <mergeCell ref="E10804:H10804"/>
    <mergeCell ref="E10656:F10656"/>
    <mergeCell ref="E10627:F10627"/>
    <mergeCell ref="E10630:H10630"/>
    <mergeCell ref="E10631:H10631"/>
    <mergeCell ref="E10632:H10632"/>
    <mergeCell ref="E10633:H10633"/>
    <mergeCell ref="E10592:F10592"/>
    <mergeCell ref="E10597:H10597"/>
    <mergeCell ref="E10598:H10598"/>
    <mergeCell ref="E10599:H10599"/>
    <mergeCell ref="E10608:F10608"/>
    <mergeCell ref="E10609:F10609"/>
    <mergeCell ref="E10610:F10610"/>
    <mergeCell ref="E10611:F10611"/>
    <mergeCell ref="E10612:F10612"/>
    <mergeCell ref="E10613:F10613"/>
    <mergeCell ref="E10615:F10615"/>
    <mergeCell ref="E10623:H10623"/>
    <mergeCell ref="E10624:H10624"/>
    <mergeCell ref="E10581:F10581"/>
    <mergeCell ref="E10601:F10601"/>
    <mergeCell ref="E10602:F10602"/>
    <mergeCell ref="E10582:F10582"/>
    <mergeCell ref="E10583:F10583"/>
    <mergeCell ref="E10595:H10595"/>
    <mergeCell ref="E10596:H10596"/>
    <mergeCell ref="E10600:H10600"/>
    <mergeCell ref="E10606:F10606"/>
    <mergeCell ref="E10614:F10614"/>
    <mergeCell ref="E10617:H10617"/>
    <mergeCell ref="E10637:F10637"/>
    <mergeCell ref="E10638:F10638"/>
    <mergeCell ref="E10639:F10639"/>
    <mergeCell ref="E10628:F10628"/>
    <mergeCell ref="E10618:H10618"/>
    <mergeCell ref="E10564:F10564"/>
    <mergeCell ref="E10565:F10565"/>
    <mergeCell ref="E10566:F10566"/>
    <mergeCell ref="E10567:F10567"/>
    <mergeCell ref="E10568:F10568"/>
    <mergeCell ref="E10569:F10569"/>
    <mergeCell ref="E10571:H10571"/>
    <mergeCell ref="E10572:H10572"/>
    <mergeCell ref="E10573:H10573"/>
    <mergeCell ref="E10559:F10559"/>
    <mergeCell ref="E10560:F10560"/>
    <mergeCell ref="E10561:F10561"/>
    <mergeCell ref="E10570:H10570"/>
    <mergeCell ref="E10574:H10574"/>
    <mergeCell ref="E10575:H10575"/>
    <mergeCell ref="E10576:H10576"/>
    <mergeCell ref="E10577:H10577"/>
    <mergeCell ref="E10584:F10584"/>
    <mergeCell ref="E10585:F10585"/>
    <mergeCell ref="E10586:F10586"/>
    <mergeCell ref="E10587:F10587"/>
    <mergeCell ref="E10588:F10588"/>
    <mergeCell ref="E10589:F10589"/>
    <mergeCell ref="E10590:F10590"/>
    <mergeCell ref="E10591:F10591"/>
    <mergeCell ref="E10593:H10593"/>
    <mergeCell ref="E10594:H10594"/>
    <mergeCell ref="E10641:F10641"/>
    <mergeCell ref="E10642:F10642"/>
    <mergeCell ref="E10652:F10652"/>
    <mergeCell ref="E10653:F10653"/>
    <mergeCell ref="E10654:F10654"/>
    <mergeCell ref="E10655:F10655"/>
    <mergeCell ref="E10578:F10578"/>
    <mergeCell ref="E10579:F10579"/>
    <mergeCell ref="E10580:F10580"/>
    <mergeCell ref="E10257:H10257"/>
    <mergeCell ref="E10227:F10227"/>
    <mergeCell ref="E10228:F10228"/>
    <mergeCell ref="E10229:F10229"/>
    <mergeCell ref="E10230:F10230"/>
    <mergeCell ref="E10231:F10231"/>
    <mergeCell ref="E10232:F10232"/>
    <mergeCell ref="E10251:F10251"/>
    <mergeCell ref="E10252:F10252"/>
    <mergeCell ref="E10253:F10253"/>
    <mergeCell ref="E10254:F10254"/>
    <mergeCell ref="E10279:H10279"/>
    <mergeCell ref="E10280:H10280"/>
    <mergeCell ref="E10281:H10281"/>
    <mergeCell ref="E10282:H10282"/>
    <mergeCell ref="E10283:H10283"/>
    <mergeCell ref="E10284:H10284"/>
    <mergeCell ref="E10285:H10285"/>
    <mergeCell ref="E10286:H10286"/>
    <mergeCell ref="E10287:H10287"/>
    <mergeCell ref="E10288:H10288"/>
    <mergeCell ref="E10291:F10291"/>
    <mergeCell ref="E10292:F10292"/>
    <mergeCell ref="E10293:F10293"/>
    <mergeCell ref="E10294:F10294"/>
    <mergeCell ref="E10295:F10295"/>
    <mergeCell ref="E10296:F10296"/>
    <mergeCell ref="E10297:F10297"/>
    <mergeCell ref="E10298:F10298"/>
    <mergeCell ref="E10303:H10303"/>
    <mergeCell ref="E10304:H10304"/>
    <mergeCell ref="E10305:H10305"/>
    <mergeCell ref="E10306:H10306"/>
    <mergeCell ref="E10275:F10275"/>
    <mergeCell ref="E10276:F10276"/>
    <mergeCell ref="E10258:H10258"/>
    <mergeCell ref="E10259:H10259"/>
    <mergeCell ref="E10260:H10260"/>
    <mergeCell ref="E10261:H10261"/>
    <mergeCell ref="E10262:H10262"/>
    <mergeCell ref="E10263:H10263"/>
    <mergeCell ref="E10264:H10264"/>
    <mergeCell ref="E10267:F10267"/>
    <mergeCell ref="E10268:F10268"/>
    <mergeCell ref="E10269:F10269"/>
    <mergeCell ref="E10270:F10270"/>
    <mergeCell ref="E10271:F10271"/>
    <mergeCell ref="E10272:F10272"/>
    <mergeCell ref="E10273:F10273"/>
    <mergeCell ref="E10274:F10274"/>
    <mergeCell ref="E10234:H10234"/>
    <mergeCell ref="E10235:H10235"/>
    <mergeCell ref="E10236:H10236"/>
    <mergeCell ref="E10237:H10237"/>
    <mergeCell ref="E10238:H10238"/>
    <mergeCell ref="E10239:H10239"/>
    <mergeCell ref="E10240:H10240"/>
    <mergeCell ref="E10241:H10241"/>
    <mergeCell ref="E10242:F10242"/>
    <mergeCell ref="E10243:F10243"/>
    <mergeCell ref="E10244:F10244"/>
    <mergeCell ref="E10245:F10245"/>
    <mergeCell ref="E10246:F10246"/>
    <mergeCell ref="E10247:F10247"/>
    <mergeCell ref="E10043:H10043"/>
    <mergeCell ref="E10044:H10044"/>
    <mergeCell ref="E10054:H10054"/>
    <mergeCell ref="E10067:F10067"/>
    <mergeCell ref="E10068:F10068"/>
    <mergeCell ref="E10042:H10042"/>
    <mergeCell ref="E10076:H10076"/>
    <mergeCell ref="E10089:F10089"/>
    <mergeCell ref="E10090:F10090"/>
    <mergeCell ref="E10097:H10097"/>
    <mergeCell ref="E10098:H10098"/>
    <mergeCell ref="E10206:H10206"/>
    <mergeCell ref="E10207:H10207"/>
    <mergeCell ref="E10208:H10208"/>
    <mergeCell ref="E10209:H10209"/>
    <mergeCell ref="E10210:H10210"/>
    <mergeCell ref="E10211:H10211"/>
    <mergeCell ref="E10212:H10212"/>
    <mergeCell ref="E10213:H10213"/>
    <mergeCell ref="E10214:H10214"/>
    <mergeCell ref="E10219:F10219"/>
    <mergeCell ref="E10220:F10220"/>
    <mergeCell ref="E10221:F10221"/>
    <mergeCell ref="E10222:F10222"/>
    <mergeCell ref="E10233:H10233"/>
    <mergeCell ref="E10223:F10223"/>
    <mergeCell ref="E10224:F10224"/>
    <mergeCell ref="E10225:F10225"/>
    <mergeCell ref="E10168:F10168"/>
    <mergeCell ref="E10169:F10169"/>
    <mergeCell ref="E10170:F10170"/>
    <mergeCell ref="E10171:F10171"/>
    <mergeCell ref="E10172:F10172"/>
    <mergeCell ref="E10174:F10174"/>
    <mergeCell ref="E10175:F10175"/>
    <mergeCell ref="E10182:H10182"/>
    <mergeCell ref="E10183:H10183"/>
    <mergeCell ref="E10184:H10184"/>
    <mergeCell ref="E10185:H10185"/>
    <mergeCell ref="E10215:H10215"/>
    <mergeCell ref="E10216:H10216"/>
    <mergeCell ref="E10217:H10217"/>
    <mergeCell ref="E10218:H10218"/>
    <mergeCell ref="E10201:F10201"/>
    <mergeCell ref="E10197:F10197"/>
    <mergeCell ref="E10198:F10198"/>
    <mergeCell ref="E10196:F10196"/>
    <mergeCell ref="E10179:F10179"/>
    <mergeCell ref="E10202:F10202"/>
    <mergeCell ref="E10200:H10200"/>
    <mergeCell ref="E10203:H10203"/>
    <mergeCell ref="E10204:H10204"/>
    <mergeCell ref="E10205:H10205"/>
    <mergeCell ref="E10226:F10226"/>
    <mergeCell ref="E10188:F10188"/>
    <mergeCell ref="E10189:F10189"/>
    <mergeCell ref="E10190:F10190"/>
    <mergeCell ref="E10191:F10191"/>
    <mergeCell ref="E10045:H10045"/>
    <mergeCell ref="E10046:H10046"/>
    <mergeCell ref="E10047:H10047"/>
    <mergeCell ref="E10048:H10048"/>
    <mergeCell ref="E10049:H10049"/>
    <mergeCell ref="E10050:H10050"/>
    <mergeCell ref="E10051:H10051"/>
    <mergeCell ref="E10052:H10052"/>
    <mergeCell ref="E10053:H10053"/>
    <mergeCell ref="E10059:F10059"/>
    <mergeCell ref="E10069:H10069"/>
    <mergeCell ref="E10070:H10070"/>
    <mergeCell ref="E10071:H10071"/>
    <mergeCell ref="E10072:H10072"/>
    <mergeCell ref="E10073:H10073"/>
    <mergeCell ref="E10077:F10077"/>
    <mergeCell ref="E10078:F10078"/>
    <mergeCell ref="E10091:H10091"/>
    <mergeCell ref="E10092:H10092"/>
    <mergeCell ref="E10094:H10094"/>
    <mergeCell ref="E10095:H10095"/>
    <mergeCell ref="E10133:H10133"/>
    <mergeCell ref="E10134:H10134"/>
    <mergeCell ref="E10135:H10135"/>
    <mergeCell ref="E10136:H10136"/>
    <mergeCell ref="E10137:H10137"/>
    <mergeCell ref="E10100:F10100"/>
    <mergeCell ref="E10088:F10088"/>
    <mergeCell ref="E10081:F10081"/>
    <mergeCell ref="E10082:F10082"/>
    <mergeCell ref="E10083:F10083"/>
    <mergeCell ref="E10084:F10084"/>
    <mergeCell ref="E10063:F10063"/>
    <mergeCell ref="E10064:F10064"/>
    <mergeCell ref="E10066:F10066"/>
    <mergeCell ref="E10057:F10057"/>
    <mergeCell ref="E10058:F10058"/>
    <mergeCell ref="E10060:F10060"/>
    <mergeCell ref="E10062:F10062"/>
    <mergeCell ref="E10056:F10056"/>
    <mergeCell ref="E10074:H10074"/>
    <mergeCell ref="E10075:H10075"/>
    <mergeCell ref="E10079:F10079"/>
    <mergeCell ref="E10080:F10080"/>
    <mergeCell ref="E10061:F10061"/>
    <mergeCell ref="E10085:F10085"/>
    <mergeCell ref="E10093:H10093"/>
    <mergeCell ref="E10096:H10096"/>
    <mergeCell ref="E10055:F10055"/>
    <mergeCell ref="E10086:F10086"/>
    <mergeCell ref="E10087:F10087"/>
    <mergeCell ref="E10065:F10065"/>
    <mergeCell ref="E10099:H10099"/>
    <mergeCell ref="E10009:F10009"/>
    <mergeCell ref="E10015:H10015"/>
    <mergeCell ref="E10016:H10016"/>
    <mergeCell ref="E10017:H10017"/>
    <mergeCell ref="E10018:H10018"/>
    <mergeCell ref="E10019:H10019"/>
    <mergeCell ref="E10020:H10020"/>
    <mergeCell ref="E10021:H10021"/>
    <mergeCell ref="E10022:H10022"/>
    <mergeCell ref="E10023:H10023"/>
    <mergeCell ref="E10024:F10024"/>
    <mergeCell ref="E10025:F10025"/>
    <mergeCell ref="E10026:F10026"/>
    <mergeCell ref="E10027:F10027"/>
    <mergeCell ref="E10028:F10028"/>
    <mergeCell ref="E10030:F10030"/>
    <mergeCell ref="E10031:F10031"/>
    <mergeCell ref="E10034:H10034"/>
    <mergeCell ref="E10037:H10037"/>
    <mergeCell ref="E10038:H10038"/>
    <mergeCell ref="E10041:H10041"/>
    <mergeCell ref="E9928:F9928"/>
    <mergeCell ref="E9929:F9929"/>
    <mergeCell ref="E9931:F9931"/>
    <mergeCell ref="E9932:F9932"/>
    <mergeCell ref="E9933:F9933"/>
    <mergeCell ref="E9934:F9934"/>
    <mergeCell ref="E9940:H9940"/>
    <mergeCell ref="E9941:H9941"/>
    <mergeCell ref="E9942:H9942"/>
    <mergeCell ref="E9950:H9950"/>
    <mergeCell ref="E9954:F9954"/>
    <mergeCell ref="E9970:H9970"/>
    <mergeCell ref="E9975:H9975"/>
    <mergeCell ref="E9976:H9976"/>
    <mergeCell ref="E9983:F9983"/>
    <mergeCell ref="E9985:F9985"/>
    <mergeCell ref="E9987:H9987"/>
    <mergeCell ref="E9988:H9988"/>
    <mergeCell ref="E9989:H9989"/>
    <mergeCell ref="E9990:H9990"/>
    <mergeCell ref="E9991:H9991"/>
    <mergeCell ref="E9935:H9935"/>
    <mergeCell ref="E9937:H9937"/>
    <mergeCell ref="E9938:H9938"/>
    <mergeCell ref="E9943:F9943"/>
    <mergeCell ref="E9946:F9946"/>
    <mergeCell ref="E9949:F9949"/>
    <mergeCell ref="E9951:F9951"/>
    <mergeCell ref="E9952:F9952"/>
    <mergeCell ref="E9953:F9953"/>
    <mergeCell ref="E9959:H9959"/>
    <mergeCell ref="E10040:F10040"/>
    <mergeCell ref="E9963:F9963"/>
    <mergeCell ref="E9957:H9957"/>
    <mergeCell ref="E9958:H9958"/>
    <mergeCell ref="E9969:F9969"/>
    <mergeCell ref="E9964:F9964"/>
    <mergeCell ref="E9945:F9945"/>
    <mergeCell ref="E9948:F9948"/>
    <mergeCell ref="E9912:F9912"/>
    <mergeCell ref="E9913:F9913"/>
    <mergeCell ref="E9824:H9824"/>
    <mergeCell ref="E9825:H9825"/>
    <mergeCell ref="E9826:H9826"/>
    <mergeCell ref="E9827:H9827"/>
    <mergeCell ref="E9828:H9828"/>
    <mergeCell ref="E9829:H9829"/>
    <mergeCell ref="E9830:F9830"/>
    <mergeCell ref="E9831:F9831"/>
    <mergeCell ref="E9832:F9832"/>
    <mergeCell ref="E9833:F9833"/>
    <mergeCell ref="E9834:F9834"/>
    <mergeCell ref="E9835:F9835"/>
    <mergeCell ref="E9836:F9836"/>
    <mergeCell ref="E9837:F9837"/>
    <mergeCell ref="E9838:F9838"/>
    <mergeCell ref="E9839:F9839"/>
    <mergeCell ref="E9840:F9840"/>
    <mergeCell ref="E9841:F9841"/>
    <mergeCell ref="E9844:H9844"/>
    <mergeCell ref="E9847:H9847"/>
    <mergeCell ref="E9848:H9848"/>
    <mergeCell ref="E9849:H9849"/>
    <mergeCell ref="E9850:H9850"/>
    <mergeCell ref="E9851:H9851"/>
    <mergeCell ref="E9852:H9852"/>
    <mergeCell ref="E9869:H9869"/>
    <mergeCell ref="E9872:F9872"/>
    <mergeCell ref="E9799:F9799"/>
    <mergeCell ref="E9800:F9800"/>
    <mergeCell ref="E9821:F9821"/>
    <mergeCell ref="E9822:F9822"/>
    <mergeCell ref="E9823:F9823"/>
    <mergeCell ref="E9854:H9854"/>
    <mergeCell ref="E9855:H9855"/>
    <mergeCell ref="E9856:H9856"/>
    <mergeCell ref="E9857:H9857"/>
    <mergeCell ref="E9858:H9858"/>
    <mergeCell ref="E9859:H9859"/>
    <mergeCell ref="E9860:H9860"/>
    <mergeCell ref="E9862:F9862"/>
    <mergeCell ref="E9867:F9867"/>
    <mergeCell ref="E9868:F9868"/>
    <mergeCell ref="E9883:F9883"/>
    <mergeCell ref="E9866:F9866"/>
    <mergeCell ref="E9861:F9861"/>
    <mergeCell ref="E9863:F9863"/>
    <mergeCell ref="E9870:F9870"/>
    <mergeCell ref="E9871:F9871"/>
    <mergeCell ref="E9874:H9874"/>
    <mergeCell ref="E9875:H9875"/>
    <mergeCell ref="E9876:H9876"/>
    <mergeCell ref="E9877:H9877"/>
    <mergeCell ref="E9878:H9878"/>
    <mergeCell ref="E9879:H9879"/>
    <mergeCell ref="E9891:F9891"/>
    <mergeCell ref="E9892:F9892"/>
    <mergeCell ref="E9893:F9893"/>
    <mergeCell ref="E9882:F9882"/>
    <mergeCell ref="E9889:F9889"/>
    <mergeCell ref="E9921:H9921"/>
    <mergeCell ref="E9947:F9947"/>
    <mergeCell ref="E9930:H9930"/>
    <mergeCell ref="E9936:H9936"/>
    <mergeCell ref="E9939:H9939"/>
    <mergeCell ref="E9968:F9968"/>
    <mergeCell ref="E9603:H9603"/>
    <mergeCell ref="E9609:H9609"/>
    <mergeCell ref="E9620:F9620"/>
    <mergeCell ref="E9621:F9621"/>
    <mergeCell ref="E9622:F9622"/>
    <mergeCell ref="E9623:F9623"/>
    <mergeCell ref="E9624:F9624"/>
    <mergeCell ref="E9632:F9632"/>
    <mergeCell ref="E9643:F9643"/>
    <mergeCell ref="E9644:F9644"/>
    <mergeCell ref="E9651:F9651"/>
    <mergeCell ref="E9658:F9658"/>
    <mergeCell ref="E9659:F9659"/>
    <mergeCell ref="E9619:F9619"/>
    <mergeCell ref="E9664:H9664"/>
    <mergeCell ref="E9665:H9665"/>
    <mergeCell ref="E9666:H9666"/>
    <mergeCell ref="E9667:H9667"/>
    <mergeCell ref="E9668:H9668"/>
    <mergeCell ref="E9669:H9669"/>
    <mergeCell ref="E9670:H9670"/>
    <mergeCell ref="E9672:H9672"/>
    <mergeCell ref="E9673:H9673"/>
    <mergeCell ref="E9758:F9758"/>
    <mergeCell ref="E9759:F9759"/>
    <mergeCell ref="E9762:F9762"/>
    <mergeCell ref="E9763:F9763"/>
    <mergeCell ref="E9764:F9764"/>
    <mergeCell ref="E9773:F9773"/>
    <mergeCell ref="E9774:F9774"/>
    <mergeCell ref="E9775:F9775"/>
    <mergeCell ref="E9789:H9789"/>
    <mergeCell ref="E9731:F9731"/>
    <mergeCell ref="E9725:F9725"/>
    <mergeCell ref="E9726:F9726"/>
    <mergeCell ref="E9727:F9727"/>
    <mergeCell ref="E9728:F9728"/>
    <mergeCell ref="E9741:H9741"/>
    <mergeCell ref="E9718:H9718"/>
    <mergeCell ref="E9732:F9732"/>
    <mergeCell ref="E9733:F9733"/>
    <mergeCell ref="E9734:F9734"/>
    <mergeCell ref="E9735:F9735"/>
    <mergeCell ref="E9629:F9629"/>
    <mergeCell ref="E9630:F9630"/>
    <mergeCell ref="E9635:F9635"/>
    <mergeCell ref="E9636:F9636"/>
    <mergeCell ref="E9633:F9633"/>
    <mergeCell ref="E9626:F9626"/>
    <mergeCell ref="E9627:F9627"/>
    <mergeCell ref="E9641:H9641"/>
    <mergeCell ref="E9642:H9642"/>
    <mergeCell ref="E9649:F9649"/>
    <mergeCell ref="E9650:F9650"/>
    <mergeCell ref="E9652:F9652"/>
    <mergeCell ref="E9606:F9606"/>
    <mergeCell ref="E9653:F9653"/>
    <mergeCell ref="E9654:F9654"/>
    <mergeCell ref="E9454:F9454"/>
    <mergeCell ref="E9456:F9456"/>
    <mergeCell ref="E9457:F9457"/>
    <mergeCell ref="E9458:F9458"/>
    <mergeCell ref="E9460:F9460"/>
    <mergeCell ref="E9475:H9475"/>
    <mergeCell ref="E9476:H9476"/>
    <mergeCell ref="E9477:H9477"/>
    <mergeCell ref="E9478:H9478"/>
    <mergeCell ref="E9479:H9479"/>
    <mergeCell ref="E9480:H9480"/>
    <mergeCell ref="E9481:H9481"/>
    <mergeCell ref="E9482:H9482"/>
    <mergeCell ref="E9483:H9483"/>
    <mergeCell ref="E9486:F9486"/>
    <mergeCell ref="E9487:F9487"/>
    <mergeCell ref="E9488:F9488"/>
    <mergeCell ref="E9489:F9489"/>
    <mergeCell ref="E9490:F9490"/>
    <mergeCell ref="E9491:F9491"/>
    <mergeCell ref="E9492:F9492"/>
    <mergeCell ref="E9493:F9493"/>
    <mergeCell ref="E9500:H9500"/>
    <mergeCell ref="E9501:H9501"/>
    <mergeCell ref="E9502:H9502"/>
    <mergeCell ref="E9503:H9503"/>
    <mergeCell ref="E9504:H9504"/>
    <mergeCell ref="E9505:H9505"/>
    <mergeCell ref="E9506:H9506"/>
    <mergeCell ref="E9507:H9507"/>
    <mergeCell ref="E9510:F9510"/>
    <mergeCell ref="E9511:F9511"/>
    <mergeCell ref="E9512:F9512"/>
    <mergeCell ref="E9484:F9484"/>
    <mergeCell ref="E9485:F9485"/>
    <mergeCell ref="E9508:F9508"/>
    <mergeCell ref="E9509:F9509"/>
    <mergeCell ref="E9494:F9494"/>
    <mergeCell ref="E9495:F9495"/>
    <mergeCell ref="E9496:F9496"/>
    <mergeCell ref="E9497:F9497"/>
    <mergeCell ref="E9498:F9498"/>
    <mergeCell ref="E9499:F9499"/>
    <mergeCell ref="E9455:F9455"/>
    <mergeCell ref="E9468:F9468"/>
    <mergeCell ref="E9469:F9469"/>
    <mergeCell ref="E9459:F9459"/>
    <mergeCell ref="E9285:H9285"/>
    <mergeCell ref="E9286:H9286"/>
    <mergeCell ref="E9245:H9245"/>
    <mergeCell ref="E9238:F9238"/>
    <mergeCell ref="E9240:F9240"/>
    <mergeCell ref="E9262:F9262"/>
    <mergeCell ref="E9279:F9279"/>
    <mergeCell ref="E9294:F9294"/>
    <mergeCell ref="E9295:F9295"/>
    <mergeCell ref="E9296:F9296"/>
    <mergeCell ref="E9297:F9297"/>
    <mergeCell ref="E9298:F9298"/>
    <mergeCell ref="E9299:F9299"/>
    <mergeCell ref="E9304:H9304"/>
    <mergeCell ref="E9305:H9305"/>
    <mergeCell ref="E9306:H9306"/>
    <mergeCell ref="E9307:H9307"/>
    <mergeCell ref="E9308:H9308"/>
    <mergeCell ref="E9309:H9309"/>
    <mergeCell ref="E9310:H9310"/>
    <mergeCell ref="E9311:H9311"/>
    <mergeCell ref="E9312:H9312"/>
    <mergeCell ref="E9313:H9313"/>
    <mergeCell ref="E9255:F9255"/>
    <mergeCell ref="E9256:F9256"/>
    <mergeCell ref="E9257:F9257"/>
    <mergeCell ref="E9258:F9258"/>
    <mergeCell ref="E9260:F9260"/>
    <mergeCell ref="E9264:F9264"/>
    <mergeCell ref="E9265:F9265"/>
    <mergeCell ref="E9266:F9266"/>
    <mergeCell ref="E9267:F9267"/>
    <mergeCell ref="E9268:F9268"/>
    <mergeCell ref="E9280:F9280"/>
    <mergeCell ref="E9301:H9301"/>
    <mergeCell ref="E9303:F9303"/>
    <mergeCell ref="E9269:F9269"/>
    <mergeCell ref="E9270:F9270"/>
    <mergeCell ref="E9287:F9287"/>
    <mergeCell ref="E9300:H9300"/>
    <mergeCell ref="E9302:F9302"/>
    <mergeCell ref="E9288:F9288"/>
    <mergeCell ref="E9289:F9289"/>
    <mergeCell ref="E9290:F9290"/>
    <mergeCell ref="E9291:F9291"/>
    <mergeCell ref="E9261:F9261"/>
    <mergeCell ref="E9293:F9293"/>
    <mergeCell ref="E9292:F9292"/>
    <mergeCell ref="E9241:F9241"/>
    <mergeCell ref="E9101:H9101"/>
    <mergeCell ref="E9102:H9102"/>
    <mergeCell ref="E9109:F9109"/>
    <mergeCell ref="E9110:F9110"/>
    <mergeCell ref="E9120:F9120"/>
    <mergeCell ref="E9121:F9121"/>
    <mergeCell ref="E9122:F9122"/>
    <mergeCell ref="E9123:F9123"/>
    <mergeCell ref="E9124:F9124"/>
    <mergeCell ref="E9125:F9125"/>
    <mergeCell ref="E9126:F9126"/>
    <mergeCell ref="E9127:F9127"/>
    <mergeCell ref="E9128:H9128"/>
    <mergeCell ref="E9129:H9129"/>
    <mergeCell ref="E9130:H9130"/>
    <mergeCell ref="E9131:H9131"/>
    <mergeCell ref="E9132:H9132"/>
    <mergeCell ref="E9137:F9137"/>
    <mergeCell ref="E9154:F9154"/>
    <mergeCell ref="E9157:H9157"/>
    <mergeCell ref="E9158:H9158"/>
    <mergeCell ref="E9159:H9159"/>
    <mergeCell ref="E9108:H9108"/>
    <mergeCell ref="E9195:F9195"/>
    <mergeCell ref="E9196:F9196"/>
    <mergeCell ref="E9197:F9197"/>
    <mergeCell ref="E9198:F9198"/>
    <mergeCell ref="E9199:F9199"/>
    <mergeCell ref="E9200:F9200"/>
    <mergeCell ref="E9201:F9201"/>
    <mergeCell ref="E9202:F9202"/>
    <mergeCell ref="E9203:F9203"/>
    <mergeCell ref="E9204:F9204"/>
    <mergeCell ref="E9111:F9111"/>
    <mergeCell ref="E9112:F9112"/>
    <mergeCell ref="E9103:H9103"/>
    <mergeCell ref="E9106:H9106"/>
    <mergeCell ref="E9115:F9115"/>
    <mergeCell ref="E9116:F9116"/>
    <mergeCell ref="E9138:F9138"/>
    <mergeCell ref="E9139:F9139"/>
    <mergeCell ref="E9166:F9166"/>
    <mergeCell ref="E9167:F9167"/>
    <mergeCell ref="E9177:F9177"/>
    <mergeCell ref="E9190:F9190"/>
    <mergeCell ref="E9134:H9134"/>
    <mergeCell ref="E9135:H9135"/>
    <mergeCell ref="E9136:H9136"/>
    <mergeCell ref="E9142:F9142"/>
    <mergeCell ref="E9104:H9104"/>
    <mergeCell ref="E9105:H9105"/>
    <mergeCell ref="E9113:F9113"/>
    <mergeCell ref="E9114:F9114"/>
    <mergeCell ref="E9107:H9107"/>
    <mergeCell ref="E9133:H9133"/>
    <mergeCell ref="E9140:F9140"/>
    <mergeCell ref="E9141:F9141"/>
    <mergeCell ref="E9150:F9150"/>
    <mergeCell ref="E9189:F9189"/>
    <mergeCell ref="E9149:F9149"/>
    <mergeCell ref="E9117:F9117"/>
    <mergeCell ref="E9118:F9118"/>
    <mergeCell ref="E9119:F9119"/>
    <mergeCell ref="E8937:H8937"/>
    <mergeCell ref="E8938:H8938"/>
    <mergeCell ref="E8939:H8939"/>
    <mergeCell ref="E8940:H8940"/>
    <mergeCell ref="E8941:H8941"/>
    <mergeCell ref="E8946:H8946"/>
    <mergeCell ref="E8947:H8947"/>
    <mergeCell ref="E8948:H8948"/>
    <mergeCell ref="E8949:H8949"/>
    <mergeCell ref="E8950:H8950"/>
    <mergeCell ref="E8954:F8954"/>
    <mergeCell ref="E8959:H8959"/>
    <mergeCell ref="E8961:H8961"/>
    <mergeCell ref="E8962:H8962"/>
    <mergeCell ref="E8963:F8963"/>
    <mergeCell ref="E8964:F8964"/>
    <mergeCell ref="E8965:F8965"/>
    <mergeCell ref="E8966:F8966"/>
    <mergeCell ref="E8967:F8967"/>
    <mergeCell ref="E8972:H8972"/>
    <mergeCell ref="E8973:H8973"/>
    <mergeCell ref="E8974:H8974"/>
    <mergeCell ref="E8975:H8975"/>
    <mergeCell ref="E8976:H8976"/>
    <mergeCell ref="E8977:H8977"/>
    <mergeCell ref="E8978:H8978"/>
    <mergeCell ref="E8979:H8979"/>
    <mergeCell ref="E8984:F8984"/>
    <mergeCell ref="E8989:H8989"/>
    <mergeCell ref="E8990:H8990"/>
    <mergeCell ref="E8991:H8991"/>
    <mergeCell ref="E8992:H8992"/>
    <mergeCell ref="E8993:H8993"/>
    <mergeCell ref="E8942:F8942"/>
    <mergeCell ref="E8943:F8943"/>
    <mergeCell ref="E8944:F8944"/>
    <mergeCell ref="E8945:F8945"/>
    <mergeCell ref="E8957:H8957"/>
    <mergeCell ref="E8958:H8958"/>
    <mergeCell ref="E8955:H8955"/>
    <mergeCell ref="E8956:H8956"/>
    <mergeCell ref="E8970:F8970"/>
    <mergeCell ref="E8971:F8971"/>
    <mergeCell ref="E8987:F8987"/>
    <mergeCell ref="E8988:F8988"/>
    <mergeCell ref="E8983:F8983"/>
    <mergeCell ref="E8985:F8985"/>
    <mergeCell ref="E8986:F8986"/>
    <mergeCell ref="E8968:F8968"/>
    <mergeCell ref="E8969:F8969"/>
    <mergeCell ref="E8980:F8980"/>
    <mergeCell ref="E8981:F8981"/>
    <mergeCell ref="E8982:F8982"/>
    <mergeCell ref="E8773:H8773"/>
    <mergeCell ref="E8774:H8774"/>
    <mergeCell ref="E8775:H8775"/>
    <mergeCell ref="E8776:H8776"/>
    <mergeCell ref="E8803:H8803"/>
    <mergeCell ref="E8804:H8804"/>
    <mergeCell ref="E8811:H8811"/>
    <mergeCell ref="E8812:H8812"/>
    <mergeCell ref="E8813:H8813"/>
    <mergeCell ref="E8814:H8814"/>
    <mergeCell ref="E8815:G8815"/>
    <mergeCell ref="E8846:H8846"/>
    <mergeCell ref="E8847:H8847"/>
    <mergeCell ref="E8848:H8848"/>
    <mergeCell ref="E8866:H8866"/>
    <mergeCell ref="E8867:G8867"/>
    <mergeCell ref="E8868:G8868"/>
    <mergeCell ref="E8869:G8869"/>
    <mergeCell ref="E8870:G8870"/>
    <mergeCell ref="E8871:H8871"/>
    <mergeCell ref="E8872:H8872"/>
    <mergeCell ref="E8873:H8873"/>
    <mergeCell ref="E8874:H8874"/>
    <mergeCell ref="E8875:H8875"/>
    <mergeCell ref="E8876:H8876"/>
    <mergeCell ref="E8877:H8877"/>
    <mergeCell ref="E8885:F8885"/>
    <mergeCell ref="E8896:H8896"/>
    <mergeCell ref="E8883:H8883"/>
    <mergeCell ref="E8884:H8884"/>
    <mergeCell ref="E8849:H8849"/>
    <mergeCell ref="E8850:H8850"/>
    <mergeCell ref="E8799:H8799"/>
    <mergeCell ref="E8801:H8801"/>
    <mergeCell ref="E8802:H8802"/>
    <mergeCell ref="E8882:H8882"/>
    <mergeCell ref="E8879:H8879"/>
    <mergeCell ref="E8878:H8878"/>
    <mergeCell ref="E8880:H8880"/>
    <mergeCell ref="E8881:H8881"/>
    <mergeCell ref="E8892:F8892"/>
    <mergeCell ref="E8893:F8893"/>
    <mergeCell ref="E8894:F8894"/>
    <mergeCell ref="E8895:F8895"/>
    <mergeCell ref="E8589:H8589"/>
    <mergeCell ref="E8613:H8613"/>
    <mergeCell ref="E8615:H8615"/>
    <mergeCell ref="E8616:H8616"/>
    <mergeCell ref="E8646:H8646"/>
    <mergeCell ref="E8647:H8647"/>
    <mergeCell ref="E8648:H8648"/>
    <mergeCell ref="E8649:H8649"/>
    <mergeCell ref="E8703:H8703"/>
    <mergeCell ref="E8705:H8705"/>
    <mergeCell ref="E8744:H8744"/>
    <mergeCell ref="E8745:H8745"/>
    <mergeCell ref="E8746:H8746"/>
    <mergeCell ref="E8747:H8747"/>
    <mergeCell ref="E8771:H8771"/>
    <mergeCell ref="E8742:H8742"/>
    <mergeCell ref="E8715:H8715"/>
    <mergeCell ref="E8716:H8716"/>
    <mergeCell ref="E8677:H8677"/>
    <mergeCell ref="E8717:H8717"/>
    <mergeCell ref="E8706:H8706"/>
    <mergeCell ref="E8707:H8707"/>
    <mergeCell ref="E8708:H8708"/>
    <mergeCell ref="E8718:H8718"/>
    <mergeCell ref="E8679:H8679"/>
    <mergeCell ref="E8680:H8680"/>
    <mergeCell ref="E8681:H8681"/>
    <mergeCell ref="E8682:H8682"/>
    <mergeCell ref="E8713:H8713"/>
    <mergeCell ref="E8644:H8644"/>
    <mergeCell ref="E8617:H8617"/>
    <mergeCell ref="E8618:H8618"/>
    <mergeCell ref="E8571:H8571"/>
    <mergeCell ref="E8553:H8553"/>
    <mergeCell ref="E8554:H8554"/>
    <mergeCell ref="E8555:H8555"/>
    <mergeCell ref="E8556:H8556"/>
    <mergeCell ref="E8557:F8557"/>
    <mergeCell ref="E8558:F8558"/>
    <mergeCell ref="E8559:F8559"/>
    <mergeCell ref="E8560:F8560"/>
    <mergeCell ref="E8561:F8561"/>
    <mergeCell ref="E8562:F8562"/>
    <mergeCell ref="E8563:F8563"/>
    <mergeCell ref="E8564:F8564"/>
    <mergeCell ref="E8565:F8565"/>
    <mergeCell ref="E8566:F8566"/>
    <mergeCell ref="E8567:F8567"/>
    <mergeCell ref="E8568:F8568"/>
    <mergeCell ref="E8569:F8569"/>
    <mergeCell ref="E8572:F8572"/>
    <mergeCell ref="E8573:F8573"/>
    <mergeCell ref="E8574:F8574"/>
    <mergeCell ref="E8575:F8575"/>
    <mergeCell ref="E8576:H8576"/>
    <mergeCell ref="E8577:H8577"/>
    <mergeCell ref="E8578:H8578"/>
    <mergeCell ref="E8579:H8579"/>
    <mergeCell ref="E8580:H8580"/>
    <mergeCell ref="E8581:H8581"/>
    <mergeCell ref="E8582:H8582"/>
    <mergeCell ref="E8583:H8583"/>
    <mergeCell ref="E8584:H8584"/>
    <mergeCell ref="E8585:H8585"/>
    <mergeCell ref="E8586:H8586"/>
    <mergeCell ref="E8588:H8588"/>
    <mergeCell ref="E8517:F8517"/>
    <mergeCell ref="E8518:F8518"/>
    <mergeCell ref="E8519:F8519"/>
    <mergeCell ref="E8520:F8520"/>
    <mergeCell ref="E8521:F8521"/>
    <mergeCell ref="E8522:F8522"/>
    <mergeCell ref="E8523:F8523"/>
    <mergeCell ref="E8524:F8524"/>
    <mergeCell ref="E8525:F8525"/>
    <mergeCell ref="E8526:F8526"/>
    <mergeCell ref="E8527:F8527"/>
    <mergeCell ref="E8528:F8528"/>
    <mergeCell ref="E8529:F8529"/>
    <mergeCell ref="E8530:F8530"/>
    <mergeCell ref="E8531:F8531"/>
    <mergeCell ref="E8533:F8533"/>
    <mergeCell ref="E8534:F8534"/>
    <mergeCell ref="E8535:F8535"/>
    <mergeCell ref="E8536:F8536"/>
    <mergeCell ref="E8537:F8537"/>
    <mergeCell ref="E8538:F8538"/>
    <mergeCell ref="E8539:F8539"/>
    <mergeCell ref="E8540:F8540"/>
    <mergeCell ref="E8541:F8541"/>
    <mergeCell ref="E8542:F8542"/>
    <mergeCell ref="E8544:F8544"/>
    <mergeCell ref="E8545:F8545"/>
    <mergeCell ref="E8546:F8546"/>
    <mergeCell ref="E8547:F8547"/>
    <mergeCell ref="E8548:F8548"/>
    <mergeCell ref="E8549:F8549"/>
    <mergeCell ref="E8550:F8550"/>
    <mergeCell ref="E8552:H8552"/>
    <mergeCell ref="E8481:H8481"/>
    <mergeCell ref="E8482:H8482"/>
    <mergeCell ref="E8483:H8483"/>
    <mergeCell ref="E8484:H8484"/>
    <mergeCell ref="E8485:H8485"/>
    <mergeCell ref="E8486:H8486"/>
    <mergeCell ref="E8487:F8487"/>
    <mergeCell ref="E8488:F8488"/>
    <mergeCell ref="E8489:F8489"/>
    <mergeCell ref="E8490:F8490"/>
    <mergeCell ref="E8491:F8491"/>
    <mergeCell ref="E8492:F8492"/>
    <mergeCell ref="E8493:F8493"/>
    <mergeCell ref="E8494:F8494"/>
    <mergeCell ref="E8495:F8495"/>
    <mergeCell ref="E8496:F8496"/>
    <mergeCell ref="E8497:F8497"/>
    <mergeCell ref="E8498:F8498"/>
    <mergeCell ref="E8499:F8499"/>
    <mergeCell ref="E8500:H8500"/>
    <mergeCell ref="E8501:H8501"/>
    <mergeCell ref="E8502:H8502"/>
    <mergeCell ref="E8503:H8503"/>
    <mergeCell ref="E8504:H8504"/>
    <mergeCell ref="E8505:H8505"/>
    <mergeCell ref="E8506:H8506"/>
    <mergeCell ref="E8507:H8507"/>
    <mergeCell ref="E8508:F8508"/>
    <mergeCell ref="E8510:F8510"/>
    <mergeCell ref="E8511:F8511"/>
    <mergeCell ref="E8513:H8513"/>
    <mergeCell ref="E8514:H8514"/>
    <mergeCell ref="E8515:H8515"/>
    <mergeCell ref="E8446:F8446"/>
    <mergeCell ref="E8447:F8447"/>
    <mergeCell ref="E8448:F8448"/>
    <mergeCell ref="E8449:F8449"/>
    <mergeCell ref="E8450:F8450"/>
    <mergeCell ref="E8451:F8451"/>
    <mergeCell ref="E8452:F8452"/>
    <mergeCell ref="E8453:F8453"/>
    <mergeCell ref="E8454:F8454"/>
    <mergeCell ref="E8455:F8455"/>
    <mergeCell ref="E8456:F8456"/>
    <mergeCell ref="E8457:F8457"/>
    <mergeCell ref="E8458:H8458"/>
    <mergeCell ref="E8459:H8459"/>
    <mergeCell ref="E8460:H8460"/>
    <mergeCell ref="E8461:H8461"/>
    <mergeCell ref="E8462:H8462"/>
    <mergeCell ref="E8464:H8464"/>
    <mergeCell ref="E8466:F8466"/>
    <mergeCell ref="E8467:F8467"/>
    <mergeCell ref="E8468:F8468"/>
    <mergeCell ref="E8469:F8469"/>
    <mergeCell ref="E8470:F8470"/>
    <mergeCell ref="E8471:F8471"/>
    <mergeCell ref="E8472:F8472"/>
    <mergeCell ref="E8473:F8473"/>
    <mergeCell ref="E8474:F8474"/>
    <mergeCell ref="E8475:F8475"/>
    <mergeCell ref="E8476:F8476"/>
    <mergeCell ref="E8477:F8477"/>
    <mergeCell ref="E8478:F8478"/>
    <mergeCell ref="E8479:H8479"/>
    <mergeCell ref="E8480:H8480"/>
    <mergeCell ref="E8409:F8409"/>
    <mergeCell ref="E8410:F8410"/>
    <mergeCell ref="E8411:F8411"/>
    <mergeCell ref="E8412:F8412"/>
    <mergeCell ref="E8413:F8413"/>
    <mergeCell ref="E8414:F8414"/>
    <mergeCell ref="E8415:F8415"/>
    <mergeCell ref="E8416:F8416"/>
    <mergeCell ref="E8417:F8417"/>
    <mergeCell ref="E8418:H8418"/>
    <mergeCell ref="E8419:H8419"/>
    <mergeCell ref="E8420:H8420"/>
    <mergeCell ref="E8421:H8421"/>
    <mergeCell ref="E8422:H8422"/>
    <mergeCell ref="E8423:H8423"/>
    <mergeCell ref="E8425:H8425"/>
    <mergeCell ref="E8426:F8426"/>
    <mergeCell ref="E8427:F8427"/>
    <mergeCell ref="E8428:F8428"/>
    <mergeCell ref="E8429:F8429"/>
    <mergeCell ref="E8430:F8430"/>
    <mergeCell ref="E8431:F8431"/>
    <mergeCell ref="E8432:F8432"/>
    <mergeCell ref="E8433:F8433"/>
    <mergeCell ref="E8434:F8434"/>
    <mergeCell ref="E8435:F8435"/>
    <mergeCell ref="E8436:F8436"/>
    <mergeCell ref="E8440:H8440"/>
    <mergeCell ref="E8441:H8441"/>
    <mergeCell ref="E8442:H8442"/>
    <mergeCell ref="E8443:H8443"/>
    <mergeCell ref="E8444:H8444"/>
    <mergeCell ref="E8445:F8445"/>
    <mergeCell ref="E8235:F8235"/>
    <mergeCell ref="E8236:F8236"/>
    <mergeCell ref="E8237:F8237"/>
    <mergeCell ref="E8238:H8238"/>
    <mergeCell ref="E8243:H8243"/>
    <mergeCell ref="E8244:H8244"/>
    <mergeCell ref="E8245:H8245"/>
    <mergeCell ref="E8246:H8246"/>
    <mergeCell ref="E8247:H8247"/>
    <mergeCell ref="E8248:H8248"/>
    <mergeCell ref="E8249:H8249"/>
    <mergeCell ref="E8250:H8250"/>
    <mergeCell ref="E8253:F8253"/>
    <mergeCell ref="E8257:H8257"/>
    <mergeCell ref="E8262:H8262"/>
    <mergeCell ref="E8263:H8263"/>
    <mergeCell ref="E8264:H8264"/>
    <mergeCell ref="E8265:H8265"/>
    <mergeCell ref="E8266:H8266"/>
    <mergeCell ref="E8267:H8267"/>
    <mergeCell ref="E8268:H8268"/>
    <mergeCell ref="E8269:H8269"/>
    <mergeCell ref="E8272:F8272"/>
    <mergeCell ref="E8273:F8273"/>
    <mergeCell ref="E8274:F8274"/>
    <mergeCell ref="E8275:F8275"/>
    <mergeCell ref="E8276:F8276"/>
    <mergeCell ref="E8282:H8282"/>
    <mergeCell ref="E8283:H8283"/>
    <mergeCell ref="E8284:H8284"/>
    <mergeCell ref="E8285:H8285"/>
    <mergeCell ref="E8286:H8286"/>
    <mergeCell ref="E8287:H8287"/>
    <mergeCell ref="E8277:H8277"/>
    <mergeCell ref="E8281:F8281"/>
    <mergeCell ref="E8278:F8278"/>
    <mergeCell ref="E8279:F8279"/>
    <mergeCell ref="E8242:F8242"/>
    <mergeCell ref="E8256:F8256"/>
    <mergeCell ref="E8260:F8260"/>
    <mergeCell ref="E8261:F8261"/>
    <mergeCell ref="E8270:F8270"/>
    <mergeCell ref="E8271:F8271"/>
    <mergeCell ref="E8280:F8280"/>
    <mergeCell ref="E8255:F8255"/>
    <mergeCell ref="E8258:F8258"/>
    <mergeCell ref="E8259:F8259"/>
    <mergeCell ref="E8254:F8254"/>
    <mergeCell ref="E8241:F8241"/>
    <mergeCell ref="E8252:F8252"/>
    <mergeCell ref="E8139:F8139"/>
    <mergeCell ref="E8140:F8140"/>
    <mergeCell ref="E8141:F8141"/>
    <mergeCell ref="E8142:F8142"/>
    <mergeCell ref="E8143:F8143"/>
    <mergeCell ref="E8146:F8146"/>
    <mergeCell ref="E8150:H8150"/>
    <mergeCell ref="E8151:H8151"/>
    <mergeCell ref="E8152:H8152"/>
    <mergeCell ref="E8153:H8153"/>
    <mergeCell ref="E8154:H8154"/>
    <mergeCell ref="E8155:H8155"/>
    <mergeCell ref="E8156:H8156"/>
    <mergeCell ref="E8157:H8157"/>
    <mergeCell ref="E8165:F8165"/>
    <mergeCell ref="E8174:H8174"/>
    <mergeCell ref="E8196:H8196"/>
    <mergeCell ref="E8200:F8200"/>
    <mergeCell ref="E8208:H8208"/>
    <mergeCell ref="E8209:H8209"/>
    <mergeCell ref="E8219:H8219"/>
    <mergeCell ref="E8221:F8221"/>
    <mergeCell ref="E8222:F8222"/>
    <mergeCell ref="E8223:F8223"/>
    <mergeCell ref="E8229:H8229"/>
    <mergeCell ref="E8230:H8230"/>
    <mergeCell ref="E8231:H8231"/>
    <mergeCell ref="E8233:F8233"/>
    <mergeCell ref="E8234:F8234"/>
    <mergeCell ref="E8215:F8215"/>
    <mergeCell ref="E8216:F8216"/>
    <mergeCell ref="E8232:F8232"/>
    <mergeCell ref="E8218:F8218"/>
    <mergeCell ref="E8220:F8220"/>
    <mergeCell ref="E8210:F8210"/>
    <mergeCell ref="E8211:F8211"/>
    <mergeCell ref="E8212:F8212"/>
    <mergeCell ref="E8213:F8213"/>
    <mergeCell ref="E8214:F8214"/>
    <mergeCell ref="E8173:F8173"/>
    <mergeCell ref="E8159:H8159"/>
    <mergeCell ref="E8160:H8160"/>
    <mergeCell ref="E8161:H8161"/>
    <mergeCell ref="E8162:H8162"/>
    <mergeCell ref="E8166:F8166"/>
    <mergeCell ref="E8167:F8167"/>
    <mergeCell ref="E8168:F8168"/>
    <mergeCell ref="E8169:F8169"/>
    <mergeCell ref="E8170:F8170"/>
    <mergeCell ref="E8179:H8179"/>
    <mergeCell ref="E8180:H8180"/>
    <mergeCell ref="E8181:H8181"/>
    <mergeCell ref="E8182:H8182"/>
    <mergeCell ref="E8183:H8183"/>
    <mergeCell ref="E8184:H8184"/>
    <mergeCell ref="E8185:H8185"/>
    <mergeCell ref="E8186:H8186"/>
    <mergeCell ref="E8187:F8187"/>
    <mergeCell ref="E8188:F8188"/>
    <mergeCell ref="E8189:F8189"/>
    <mergeCell ref="E8190:F8190"/>
    <mergeCell ref="E8163:H8163"/>
    <mergeCell ref="E8191:F8191"/>
    <mergeCell ref="E8192:F8192"/>
    <mergeCell ref="E8012:F8012"/>
    <mergeCell ref="E8016:F8016"/>
    <mergeCell ref="E8017:F8017"/>
    <mergeCell ref="E8021:H8021"/>
    <mergeCell ref="E8022:H8022"/>
    <mergeCell ref="E8023:H8023"/>
    <mergeCell ref="E8024:H8024"/>
    <mergeCell ref="E8029:F8029"/>
    <mergeCell ref="E8041:H8041"/>
    <mergeCell ref="E8053:F8053"/>
    <mergeCell ref="E8056:F8056"/>
    <mergeCell ref="E8058:F8058"/>
    <mergeCell ref="E8061:F8061"/>
    <mergeCell ref="E8063:H8063"/>
    <mergeCell ref="E8070:F8070"/>
    <mergeCell ref="E8071:F8071"/>
    <mergeCell ref="E8072:F8072"/>
    <mergeCell ref="E8073:F8073"/>
    <mergeCell ref="E8074:F8074"/>
    <mergeCell ref="E8075:F8075"/>
    <mergeCell ref="E8076:F8076"/>
    <mergeCell ref="E8077:F8077"/>
    <mergeCell ref="E8078:F8078"/>
    <mergeCell ref="E8085:H8085"/>
    <mergeCell ref="E8086:H8086"/>
    <mergeCell ref="E8088:H8088"/>
    <mergeCell ref="E8089:H8089"/>
    <mergeCell ref="E8090:H8090"/>
    <mergeCell ref="E8091:H8091"/>
    <mergeCell ref="E8093:F8093"/>
    <mergeCell ref="E8095:F8095"/>
    <mergeCell ref="E8011:F8011"/>
    <mergeCell ref="E8033:F8033"/>
    <mergeCell ref="E8034:F8034"/>
    <mergeCell ref="E8035:F8035"/>
    <mergeCell ref="E8037:F8037"/>
    <mergeCell ref="E8042:H8042"/>
    <mergeCell ref="E8044:H8044"/>
    <mergeCell ref="E8045:H8045"/>
    <mergeCell ref="E8051:F8051"/>
    <mergeCell ref="E8052:F8052"/>
    <mergeCell ref="E8055:F8055"/>
    <mergeCell ref="E8060:F8060"/>
    <mergeCell ref="E8068:H8068"/>
    <mergeCell ref="E8065:H8065"/>
    <mergeCell ref="E8062:H8062"/>
    <mergeCell ref="E8066:H8066"/>
    <mergeCell ref="E8067:H8067"/>
    <mergeCell ref="E8028:F8028"/>
    <mergeCell ref="E8031:F8031"/>
    <mergeCell ref="E8027:F8027"/>
    <mergeCell ref="E8050:F8050"/>
    <mergeCell ref="E8026:F8026"/>
    <mergeCell ref="E8039:F8039"/>
    <mergeCell ref="E8046:H8046"/>
    <mergeCell ref="E8047:H8047"/>
    <mergeCell ref="E8049:F8049"/>
    <mergeCell ref="E8030:F8030"/>
    <mergeCell ref="E8014:F8014"/>
    <mergeCell ref="E8018:H8018"/>
    <mergeCell ref="E8019:H8019"/>
    <mergeCell ref="E8032:F8032"/>
    <mergeCell ref="E7737:H7737"/>
    <mergeCell ref="E7738:H7738"/>
    <mergeCell ref="E7740:F7740"/>
    <mergeCell ref="E7741:F7741"/>
    <mergeCell ref="E7742:F7742"/>
    <mergeCell ref="E7743:F7743"/>
    <mergeCell ref="E7744:F7744"/>
    <mergeCell ref="E7745:F7745"/>
    <mergeCell ref="E7746:F7746"/>
    <mergeCell ref="E7754:H7754"/>
    <mergeCell ref="E7755:H7755"/>
    <mergeCell ref="E7756:H7756"/>
    <mergeCell ref="E7757:H7757"/>
    <mergeCell ref="E7758:H7758"/>
    <mergeCell ref="E7759:H7759"/>
    <mergeCell ref="E7760:H7760"/>
    <mergeCell ref="E7761:H7761"/>
    <mergeCell ref="E7762:F7762"/>
    <mergeCell ref="E7763:F7763"/>
    <mergeCell ref="E7764:F7764"/>
    <mergeCell ref="E7765:F7765"/>
    <mergeCell ref="E7766:F7766"/>
    <mergeCell ref="E7767:F7767"/>
    <mergeCell ref="E7768:F7768"/>
    <mergeCell ref="E7769:F7769"/>
    <mergeCell ref="E7775:H7775"/>
    <mergeCell ref="E7776:H7776"/>
    <mergeCell ref="E7777:H7777"/>
    <mergeCell ref="E7778:H7778"/>
    <mergeCell ref="E7779:H7779"/>
    <mergeCell ref="E7780:H7780"/>
    <mergeCell ref="E7781:H7781"/>
    <mergeCell ref="E7782:H7782"/>
    <mergeCell ref="E7739:H7739"/>
    <mergeCell ref="E7749:F7749"/>
    <mergeCell ref="E7747:F7747"/>
    <mergeCell ref="E7748:F7748"/>
    <mergeCell ref="E7750:F7750"/>
    <mergeCell ref="E7751:F7751"/>
    <mergeCell ref="E7752:F7752"/>
    <mergeCell ref="E7753:F7753"/>
    <mergeCell ref="E7770:F7770"/>
    <mergeCell ref="E7774:F7774"/>
    <mergeCell ref="E7692:H7692"/>
    <mergeCell ref="E7694:F7694"/>
    <mergeCell ref="E7695:F7695"/>
    <mergeCell ref="E7696:F7696"/>
    <mergeCell ref="E7697:F7697"/>
    <mergeCell ref="E7698:F7698"/>
    <mergeCell ref="E7699:F7699"/>
    <mergeCell ref="E7700:F7700"/>
    <mergeCell ref="E7701:F7701"/>
    <mergeCell ref="E7702:F7702"/>
    <mergeCell ref="E7708:H7708"/>
    <mergeCell ref="E7709:H7709"/>
    <mergeCell ref="E7710:H7710"/>
    <mergeCell ref="E7711:H7711"/>
    <mergeCell ref="E7712:H7712"/>
    <mergeCell ref="E7713:H7713"/>
    <mergeCell ref="E7714:H7714"/>
    <mergeCell ref="E7715:H7715"/>
    <mergeCell ref="E7718:F7718"/>
    <mergeCell ref="E7719:F7719"/>
    <mergeCell ref="E7720:F7720"/>
    <mergeCell ref="E7721:F7721"/>
    <mergeCell ref="E7722:F7722"/>
    <mergeCell ref="E7723:F7723"/>
    <mergeCell ref="E7724:F7724"/>
    <mergeCell ref="E7725:F7725"/>
    <mergeCell ref="E7726:F7726"/>
    <mergeCell ref="E7731:H7731"/>
    <mergeCell ref="E7732:H7732"/>
    <mergeCell ref="E7733:H7733"/>
    <mergeCell ref="E7734:H7734"/>
    <mergeCell ref="E7735:H7735"/>
    <mergeCell ref="E7736:H7736"/>
    <mergeCell ref="E7707:F7707"/>
    <mergeCell ref="E7716:F7716"/>
    <mergeCell ref="E7727:F7727"/>
    <mergeCell ref="E7728:F7728"/>
    <mergeCell ref="E7703:F7703"/>
    <mergeCell ref="E7704:F7704"/>
    <mergeCell ref="E7705:F7705"/>
    <mergeCell ref="E7706:F7706"/>
    <mergeCell ref="E7729:F7729"/>
    <mergeCell ref="E7730:F7730"/>
    <mergeCell ref="E7717:F7717"/>
    <mergeCell ref="E7693:F7693"/>
    <mergeCell ref="E7649:F7649"/>
    <mergeCell ref="E7650:F7650"/>
    <mergeCell ref="E7651:F7651"/>
    <mergeCell ref="E7655:H7655"/>
    <mergeCell ref="E7656:H7656"/>
    <mergeCell ref="E7657:H7657"/>
    <mergeCell ref="E7658:H7658"/>
    <mergeCell ref="E7659:H7659"/>
    <mergeCell ref="E7663:F7663"/>
    <mergeCell ref="E7665:F7665"/>
    <mergeCell ref="E7668:F7668"/>
    <mergeCell ref="E7669:F7669"/>
    <mergeCell ref="E7670:F7670"/>
    <mergeCell ref="E7671:F7671"/>
    <mergeCell ref="E7672:F7672"/>
    <mergeCell ref="E7675:F7675"/>
    <mergeCell ref="E7679:H7679"/>
    <mergeCell ref="E7680:H7680"/>
    <mergeCell ref="E7681:H7681"/>
    <mergeCell ref="E7682:H7682"/>
    <mergeCell ref="E7683:H7683"/>
    <mergeCell ref="E7684:H7684"/>
    <mergeCell ref="E7685:H7685"/>
    <mergeCell ref="E7686:H7686"/>
    <mergeCell ref="E7687:H7687"/>
    <mergeCell ref="E7688:H7688"/>
    <mergeCell ref="E7689:H7689"/>
    <mergeCell ref="E7690:H7690"/>
    <mergeCell ref="E7691:H7691"/>
    <mergeCell ref="E7652:F7652"/>
    <mergeCell ref="E7653:F7653"/>
    <mergeCell ref="E7661:F7661"/>
    <mergeCell ref="E7662:F7662"/>
    <mergeCell ref="E7664:F7664"/>
    <mergeCell ref="E7666:F7666"/>
    <mergeCell ref="E7667:F7667"/>
    <mergeCell ref="E7660:F7660"/>
    <mergeCell ref="E7674:H7674"/>
    <mergeCell ref="E7676:F7676"/>
    <mergeCell ref="E7677:F7677"/>
    <mergeCell ref="E7678:F7678"/>
    <mergeCell ref="E7598:H7598"/>
    <mergeCell ref="E7599:H7599"/>
    <mergeCell ref="E7555:F7555"/>
    <mergeCell ref="E7560:H7560"/>
    <mergeCell ref="E7561:H7561"/>
    <mergeCell ref="E7562:H7562"/>
    <mergeCell ref="E7576:F7576"/>
    <mergeCell ref="E7569:F7569"/>
    <mergeCell ref="E7570:F7570"/>
    <mergeCell ref="E7571:F7571"/>
    <mergeCell ref="E7573:F7573"/>
    <mergeCell ref="E7574:F7574"/>
    <mergeCell ref="E7547:H7547"/>
    <mergeCell ref="E7548:H7548"/>
    <mergeCell ref="E7585:F7585"/>
    <mergeCell ref="E7588:F7588"/>
    <mergeCell ref="E7595:H7595"/>
    <mergeCell ref="E7596:H7596"/>
    <mergeCell ref="E7644:F7644"/>
    <mergeCell ref="E7645:F7645"/>
    <mergeCell ref="E7646:F7646"/>
    <mergeCell ref="E7648:F7648"/>
    <mergeCell ref="E7604:F7604"/>
    <mergeCell ref="E7607:F7607"/>
    <mergeCell ref="E7612:F7612"/>
    <mergeCell ref="E7620:H7620"/>
    <mergeCell ref="E7626:H7626"/>
    <mergeCell ref="E7630:F7630"/>
    <mergeCell ref="E7640:F7640"/>
    <mergeCell ref="E7642:F7642"/>
    <mergeCell ref="E7643:F7643"/>
    <mergeCell ref="E7616:H7616"/>
    <mergeCell ref="E7618:H7618"/>
    <mergeCell ref="E7614:H7614"/>
    <mergeCell ref="E7615:H7615"/>
    <mergeCell ref="E7617:H7617"/>
    <mergeCell ref="E7608:F7608"/>
    <mergeCell ref="E7605:F7605"/>
    <mergeCell ref="E7589:F7589"/>
    <mergeCell ref="E7567:F7567"/>
    <mergeCell ref="E7558:F7558"/>
    <mergeCell ref="E7572:F7572"/>
    <mergeCell ref="E7631:F7631"/>
    <mergeCell ref="E7600:H7600"/>
    <mergeCell ref="E7601:H7601"/>
    <mergeCell ref="E7602:H7602"/>
    <mergeCell ref="E7610:F7610"/>
    <mergeCell ref="E7611:F7611"/>
    <mergeCell ref="E7613:H7613"/>
    <mergeCell ref="E7621:F7621"/>
    <mergeCell ref="E7623:F7623"/>
    <mergeCell ref="E7624:F7624"/>
    <mergeCell ref="E7627:H7627"/>
    <mergeCell ref="E7628:H7628"/>
    <mergeCell ref="E7641:F7641"/>
    <mergeCell ref="E7636:F7636"/>
    <mergeCell ref="E7603:F7603"/>
    <mergeCell ref="E7606:F7606"/>
    <mergeCell ref="E7609:F7609"/>
    <mergeCell ref="E7632:F7632"/>
    <mergeCell ref="E7637:F7637"/>
    <mergeCell ref="E7638:F7638"/>
    <mergeCell ref="E7619:H7619"/>
    <mergeCell ref="E7635:F7635"/>
    <mergeCell ref="E7522:F7522"/>
    <mergeCell ref="E7525:H7525"/>
    <mergeCell ref="E7526:H7526"/>
    <mergeCell ref="E7527:H7527"/>
    <mergeCell ref="E7528:H7528"/>
    <mergeCell ref="E7529:H7529"/>
    <mergeCell ref="E7530:H7530"/>
    <mergeCell ref="E7514:F7514"/>
    <mergeCell ref="E7538:F7538"/>
    <mergeCell ref="E7539:F7539"/>
    <mergeCell ref="E7540:F7540"/>
    <mergeCell ref="E7546:H7546"/>
    <mergeCell ref="E7549:F7549"/>
    <mergeCell ref="E7543:H7543"/>
    <mergeCell ref="E7544:H7544"/>
    <mergeCell ref="E7545:H7545"/>
    <mergeCell ref="E7580:H7580"/>
    <mergeCell ref="E7581:H7581"/>
    <mergeCell ref="E7582:H7582"/>
    <mergeCell ref="E7583:H7583"/>
    <mergeCell ref="E7584:H7584"/>
    <mergeCell ref="E7586:F7586"/>
    <mergeCell ref="E7591:F7591"/>
    <mergeCell ref="E7592:F7592"/>
    <mergeCell ref="E7593:F7593"/>
    <mergeCell ref="E7594:F7594"/>
    <mergeCell ref="E7597:H7597"/>
    <mergeCell ref="E7557:F7557"/>
    <mergeCell ref="E7568:F7568"/>
    <mergeCell ref="E7587:F7587"/>
    <mergeCell ref="E7590:F7590"/>
    <mergeCell ref="E7550:F7550"/>
    <mergeCell ref="E7551:F7551"/>
    <mergeCell ref="E7552:F7552"/>
    <mergeCell ref="E7553:F7553"/>
    <mergeCell ref="E7554:F7554"/>
    <mergeCell ref="E7556:F7556"/>
    <mergeCell ref="E7559:H7559"/>
    <mergeCell ref="E7563:H7563"/>
    <mergeCell ref="E7564:H7564"/>
    <mergeCell ref="E7565:H7565"/>
    <mergeCell ref="E7566:H7566"/>
    <mergeCell ref="E7575:F7575"/>
    <mergeCell ref="E7577:H7577"/>
    <mergeCell ref="E7578:H7578"/>
    <mergeCell ref="E7579:H7579"/>
    <mergeCell ref="E7532:F7532"/>
    <mergeCell ref="E7531:F7531"/>
    <mergeCell ref="E7533:F7533"/>
    <mergeCell ref="E7516:F7516"/>
    <mergeCell ref="E7523:H7523"/>
    <mergeCell ref="E7524:H7524"/>
    <mergeCell ref="E7535:F7535"/>
    <mergeCell ref="E7536:F7536"/>
    <mergeCell ref="E7537:F7537"/>
    <mergeCell ref="E7541:H7541"/>
    <mergeCell ref="E7542:H7542"/>
    <mergeCell ref="E7482:F7482"/>
    <mergeCell ref="E7483:H7483"/>
    <mergeCell ref="E7484:H7484"/>
    <mergeCell ref="E7485:H7485"/>
    <mergeCell ref="E7486:H7486"/>
    <mergeCell ref="E7487:H7487"/>
    <mergeCell ref="E7488:H7488"/>
    <mergeCell ref="E7489:H7489"/>
    <mergeCell ref="E7490:H7490"/>
    <mergeCell ref="E7496:F7496"/>
    <mergeCell ref="E7497:F7497"/>
    <mergeCell ref="E7498:F7498"/>
    <mergeCell ref="E7499:F7499"/>
    <mergeCell ref="E7500:F7500"/>
    <mergeCell ref="E7501:F7501"/>
    <mergeCell ref="E7502:F7502"/>
    <mergeCell ref="E7504:H7504"/>
    <mergeCell ref="E7505:H7505"/>
    <mergeCell ref="E7506:H7506"/>
    <mergeCell ref="E7507:H7507"/>
    <mergeCell ref="E7508:H7508"/>
    <mergeCell ref="E7509:H7509"/>
    <mergeCell ref="E7491:F7491"/>
    <mergeCell ref="E7492:F7492"/>
    <mergeCell ref="E7493:F7493"/>
    <mergeCell ref="E7494:F7494"/>
    <mergeCell ref="E7503:H7503"/>
    <mergeCell ref="E7510:H7510"/>
    <mergeCell ref="E7517:F7517"/>
    <mergeCell ref="E7518:F7518"/>
    <mergeCell ref="E7519:F7519"/>
    <mergeCell ref="E7520:F7520"/>
    <mergeCell ref="E7521:F7521"/>
    <mergeCell ref="E7513:F7513"/>
    <mergeCell ref="E7495:F7495"/>
    <mergeCell ref="E7511:F7511"/>
    <mergeCell ref="E7512:F7512"/>
    <mergeCell ref="E7515:F7515"/>
    <mergeCell ref="E7402:H7402"/>
    <mergeCell ref="E7414:F7414"/>
    <mergeCell ref="E7415:F7415"/>
    <mergeCell ref="E7418:F7418"/>
    <mergeCell ref="E7467:H7467"/>
    <mergeCell ref="E7468:H7468"/>
    <mergeCell ref="E7469:H7469"/>
    <mergeCell ref="E7470:H7470"/>
    <mergeCell ref="E7475:F7475"/>
    <mergeCell ref="E7476:F7476"/>
    <mergeCell ref="E7477:F7477"/>
    <mergeCell ref="E7478:F7478"/>
    <mergeCell ref="E7479:F7479"/>
    <mergeCell ref="E7480:F7480"/>
    <mergeCell ref="E7481:F7481"/>
    <mergeCell ref="E7453:H7453"/>
    <mergeCell ref="E7454:H7454"/>
    <mergeCell ref="E7435:H7435"/>
    <mergeCell ref="E7436:H7436"/>
    <mergeCell ref="E7442:F7442"/>
    <mergeCell ref="E7443:F7443"/>
    <mergeCell ref="E7444:F7444"/>
    <mergeCell ref="E7424:F7424"/>
    <mergeCell ref="E7425:F7425"/>
    <mergeCell ref="E7427:F7427"/>
    <mergeCell ref="E7428:F7428"/>
    <mergeCell ref="E7446:F7446"/>
    <mergeCell ref="E7447:F7447"/>
    <mergeCell ref="E7448:H7448"/>
    <mergeCell ref="E7449:H7449"/>
    <mergeCell ref="E7450:H7450"/>
    <mergeCell ref="E7452:F7452"/>
    <mergeCell ref="E7455:F7455"/>
    <mergeCell ref="E7456:F7456"/>
    <mergeCell ref="E7461:H7461"/>
    <mergeCell ref="E7462:H7462"/>
    <mergeCell ref="E7463:H7463"/>
    <mergeCell ref="E7464:H7464"/>
    <mergeCell ref="E7465:H7465"/>
    <mergeCell ref="E7466:H7466"/>
    <mergeCell ref="E7460:H7460"/>
    <mergeCell ref="E7471:F7471"/>
    <mergeCell ref="E7472:F7472"/>
    <mergeCell ref="E7473:F7473"/>
    <mergeCell ref="E7474:F7474"/>
    <mergeCell ref="E7459:H7459"/>
    <mergeCell ref="E7440:F7440"/>
    <mergeCell ref="E7441:F7441"/>
    <mergeCell ref="E7451:F7451"/>
    <mergeCell ref="E7417:F7417"/>
    <mergeCell ref="E7457:H7457"/>
    <mergeCell ref="E7458:H7458"/>
    <mergeCell ref="E7408:F7408"/>
    <mergeCell ref="E7409:F7409"/>
    <mergeCell ref="E6906:H6906"/>
    <mergeCell ref="E6907:H6907"/>
    <mergeCell ref="E7326:H7326"/>
    <mergeCell ref="E7331:H7331"/>
    <mergeCell ref="E7332:H7332"/>
    <mergeCell ref="E7333:H7333"/>
    <mergeCell ref="E7339:F7339"/>
    <mergeCell ref="E7340:F7340"/>
    <mergeCell ref="E7341:F7341"/>
    <mergeCell ref="E7338:H7338"/>
    <mergeCell ref="E7287:F7287"/>
    <mergeCell ref="E7291:H7291"/>
    <mergeCell ref="E7292:H7292"/>
    <mergeCell ref="E7293:H7293"/>
    <mergeCell ref="E7294:H7294"/>
    <mergeCell ref="E7295:H7295"/>
    <mergeCell ref="E7296:H7296"/>
    <mergeCell ref="E7297:H7297"/>
    <mergeCell ref="E7345:F7345"/>
    <mergeCell ref="E7385:F7385"/>
    <mergeCell ref="E7410:F7410"/>
    <mergeCell ref="E7411:F7411"/>
    <mergeCell ref="E7412:F7412"/>
    <mergeCell ref="E7413:F7413"/>
    <mergeCell ref="E7416:H7416"/>
    <mergeCell ref="E7426:H7426"/>
    <mergeCell ref="E7429:F7429"/>
    <mergeCell ref="E7430:F7430"/>
    <mergeCell ref="E7431:F7431"/>
    <mergeCell ref="E7432:F7432"/>
    <mergeCell ref="E7433:F7433"/>
    <mergeCell ref="E7437:H7437"/>
    <mergeCell ref="E7438:H7438"/>
    <mergeCell ref="E7358:F7358"/>
    <mergeCell ref="E7359:F7359"/>
    <mergeCell ref="E7382:F7382"/>
    <mergeCell ref="E7383:F7383"/>
    <mergeCell ref="E7384:F7384"/>
    <mergeCell ref="E7353:H7353"/>
    <mergeCell ref="E7354:H7354"/>
    <mergeCell ref="E7355:H7355"/>
    <mergeCell ref="E7356:H7356"/>
    <mergeCell ref="E7360:F7360"/>
    <mergeCell ref="E7362:H7362"/>
    <mergeCell ref="E7367:H7367"/>
    <mergeCell ref="E7368:H7368"/>
    <mergeCell ref="E7369:H7369"/>
    <mergeCell ref="E7370:H7370"/>
    <mergeCell ref="E7371:H7371"/>
    <mergeCell ref="E7372:H7372"/>
    <mergeCell ref="E7373:H7373"/>
    <mergeCell ref="E7374:H7374"/>
    <mergeCell ref="E7375:F7375"/>
    <mergeCell ref="E7376:F7376"/>
    <mergeCell ref="E7377:F7377"/>
    <mergeCell ref="E7378:F7378"/>
    <mergeCell ref="E7379:F7379"/>
    <mergeCell ref="E7380:F7380"/>
    <mergeCell ref="E7381:H7381"/>
    <mergeCell ref="E7434:H7434"/>
    <mergeCell ref="E7419:F7419"/>
    <mergeCell ref="E7420:F7420"/>
    <mergeCell ref="E7421:F7421"/>
    <mergeCell ref="E7422:F7422"/>
    <mergeCell ref="E6983:F6983"/>
    <mergeCell ref="E6985:F6985"/>
    <mergeCell ref="E6935:F6935"/>
    <mergeCell ref="E6936:F6936"/>
    <mergeCell ref="E6937:F6937"/>
    <mergeCell ref="E6933:F6933"/>
    <mergeCell ref="E6934:F6934"/>
    <mergeCell ref="E6938:F6938"/>
    <mergeCell ref="E6939:F6939"/>
    <mergeCell ref="E6992:F6992"/>
    <mergeCell ref="E7148:H7148"/>
    <mergeCell ref="E7149:H7149"/>
    <mergeCell ref="E7150:H7150"/>
    <mergeCell ref="E7151:H7151"/>
    <mergeCell ref="E7152:H7152"/>
    <mergeCell ref="E7086:F7086"/>
    <mergeCell ref="E7087:F7087"/>
    <mergeCell ref="E7077:H7077"/>
    <mergeCell ref="E7123:H7123"/>
    <mergeCell ref="E7131:F7131"/>
    <mergeCell ref="E7132:F7132"/>
    <mergeCell ref="E7133:F7133"/>
    <mergeCell ref="E7134:F7134"/>
    <mergeCell ref="E7135:F7135"/>
    <mergeCell ref="E7136:F7136"/>
    <mergeCell ref="E7138:F7138"/>
    <mergeCell ref="E7145:F7145"/>
    <mergeCell ref="E7147:H7147"/>
    <mergeCell ref="E7099:F7099"/>
    <mergeCell ref="E7100:F7100"/>
    <mergeCell ref="E7081:H7081"/>
    <mergeCell ref="E7082:H7082"/>
    <mergeCell ref="E7088:F7088"/>
    <mergeCell ref="E7089:F7089"/>
    <mergeCell ref="E7090:F7090"/>
    <mergeCell ref="E7091:F7091"/>
    <mergeCell ref="E7092:F7092"/>
    <mergeCell ref="E7093:F7093"/>
    <mergeCell ref="E7094:F7094"/>
    <mergeCell ref="E7095:F7095"/>
    <mergeCell ref="E7101:H7101"/>
    <mergeCell ref="E7103:H7103"/>
    <mergeCell ref="E7104:H7104"/>
    <mergeCell ref="E7105:H7105"/>
    <mergeCell ref="E7106:H7106"/>
    <mergeCell ref="E7109:F7109"/>
    <mergeCell ref="E7144:F7144"/>
    <mergeCell ref="E7139:F7139"/>
    <mergeCell ref="E7140:F7140"/>
    <mergeCell ref="E7146:H7146"/>
    <mergeCell ref="E7122:F7122"/>
    <mergeCell ref="E7124:H7124"/>
    <mergeCell ref="E7125:H7125"/>
    <mergeCell ref="E7126:H7126"/>
    <mergeCell ref="E7127:H7127"/>
    <mergeCell ref="E7128:H7128"/>
    <mergeCell ref="E7129:H7129"/>
    <mergeCell ref="E7130:H7130"/>
    <mergeCell ref="E7137:F7137"/>
    <mergeCell ref="E7031:H7031"/>
    <mergeCell ref="E7035:F7035"/>
    <mergeCell ref="E7036:F7036"/>
    <mergeCell ref="E7037:F7037"/>
    <mergeCell ref="E7038:F7038"/>
    <mergeCell ref="E6671:F6671"/>
    <mergeCell ref="E6672:F6672"/>
    <mergeCell ref="E6673:F6673"/>
    <mergeCell ref="E6674:F6674"/>
    <mergeCell ref="E6675:F6675"/>
    <mergeCell ref="E6677:F6677"/>
    <mergeCell ref="E6680:H6680"/>
    <mergeCell ref="E6684:H6684"/>
    <mergeCell ref="E6685:H6685"/>
    <mergeCell ref="E6686:H6686"/>
    <mergeCell ref="E6687:H6687"/>
    <mergeCell ref="E6698:F6698"/>
    <mergeCell ref="E6701:H6701"/>
    <mergeCell ref="E6702:H6702"/>
    <mergeCell ref="E6703:H6703"/>
    <mergeCell ref="E6704:H6704"/>
    <mergeCell ref="E6705:H6705"/>
    <mergeCell ref="E6706:H6706"/>
    <mergeCell ref="E6707:H6707"/>
    <mergeCell ref="E6708:H6708"/>
    <mergeCell ref="E6709:H6709"/>
    <mergeCell ref="E6718:F6718"/>
    <mergeCell ref="E6719:F6719"/>
    <mergeCell ref="E6720:F6720"/>
    <mergeCell ref="E6721:F6721"/>
    <mergeCell ref="E6722:F6722"/>
    <mergeCell ref="E6724:H6724"/>
    <mergeCell ref="E6725:H6725"/>
    <mergeCell ref="E6726:H6726"/>
    <mergeCell ref="E6727:H6727"/>
    <mergeCell ref="E6728:H6728"/>
    <mergeCell ref="E6729:H6729"/>
    <mergeCell ref="E6730:H6730"/>
    <mergeCell ref="E6676:F6676"/>
    <mergeCell ref="E6678:F6678"/>
    <mergeCell ref="E6681:H6681"/>
    <mergeCell ref="E6682:H6682"/>
    <mergeCell ref="E6683:H6683"/>
    <mergeCell ref="E6688:F6688"/>
    <mergeCell ref="E6711:F6711"/>
    <mergeCell ref="E6691:F6691"/>
    <mergeCell ref="E6693:F6693"/>
    <mergeCell ref="E6689:F6689"/>
    <mergeCell ref="E6690:F6690"/>
    <mergeCell ref="E6692:F6692"/>
    <mergeCell ref="E6679:F6679"/>
    <mergeCell ref="E6694:F6694"/>
    <mergeCell ref="E6695:F6695"/>
    <mergeCell ref="E6696:F6696"/>
    <mergeCell ref="E6697:F6697"/>
    <mergeCell ref="E6699:F6699"/>
    <mergeCell ref="E6700:F6700"/>
    <mergeCell ref="E6710:F6710"/>
    <mergeCell ref="E6548:H6548"/>
    <mergeCell ref="E6561:F6561"/>
    <mergeCell ref="E6562:F6562"/>
    <mergeCell ref="E6563:F6563"/>
    <mergeCell ref="E6564:F6564"/>
    <mergeCell ref="E6565:F6565"/>
    <mergeCell ref="E6574:H6574"/>
    <mergeCell ref="E6575:H6575"/>
    <mergeCell ref="E6576:H6576"/>
    <mergeCell ref="E6577:H6577"/>
    <mergeCell ref="E6578:H6578"/>
    <mergeCell ref="E6579:H6579"/>
    <mergeCell ref="E6582:F6582"/>
    <mergeCell ref="E6652:F6652"/>
    <mergeCell ref="E6654:H6654"/>
    <mergeCell ref="E6655:H6655"/>
    <mergeCell ref="E6656:H6656"/>
    <mergeCell ref="E6657:H6657"/>
    <mergeCell ref="E6658:H6658"/>
    <mergeCell ref="E6659:H6659"/>
    <mergeCell ref="E6660:H6660"/>
    <mergeCell ref="E6661:H6661"/>
    <mergeCell ref="E6598:H6598"/>
    <mergeCell ref="E6606:H6606"/>
    <mergeCell ref="E6617:F6617"/>
    <mergeCell ref="E6623:F6623"/>
    <mergeCell ref="E6642:F6642"/>
    <mergeCell ref="E6646:H6646"/>
    <mergeCell ref="E6650:H6650"/>
    <mergeCell ref="E6600:H6600"/>
    <mergeCell ref="E6604:H6604"/>
    <mergeCell ref="E6608:F6608"/>
    <mergeCell ref="E6609:F6609"/>
    <mergeCell ref="E6630:H6630"/>
    <mergeCell ref="E6631:H6631"/>
    <mergeCell ref="E6620:F6620"/>
    <mergeCell ref="E6612:F6612"/>
    <mergeCell ref="E6613:F6613"/>
    <mergeCell ref="E6603:H6603"/>
    <mergeCell ref="E6605:H6605"/>
    <mergeCell ref="E6610:F6610"/>
    <mergeCell ref="E6611:F6611"/>
    <mergeCell ref="E6636:F6636"/>
    <mergeCell ref="E6637:F6637"/>
    <mergeCell ref="E6638:F6638"/>
    <mergeCell ref="E6639:F6639"/>
    <mergeCell ref="E6640:F6640"/>
    <mergeCell ref="E6643:F6643"/>
    <mergeCell ref="E6649:H6649"/>
    <mergeCell ref="E6653:H6653"/>
    <mergeCell ref="E6627:H6627"/>
    <mergeCell ref="E6621:F6621"/>
    <mergeCell ref="E6622:F6622"/>
    <mergeCell ref="E6614:F6614"/>
    <mergeCell ref="E6615:F6615"/>
    <mergeCell ref="E6618:F6618"/>
    <mergeCell ref="E6619:F6619"/>
    <mergeCell ref="E6597:H6597"/>
    <mergeCell ref="E6599:F6599"/>
    <mergeCell ref="E6601:F6601"/>
    <mergeCell ref="E6602:F6602"/>
    <mergeCell ref="E6607:H6607"/>
    <mergeCell ref="E6616:H6616"/>
    <mergeCell ref="E6624:F6624"/>
    <mergeCell ref="E6625:F6625"/>
    <mergeCell ref="E6626:F6626"/>
    <mergeCell ref="E6628:F6628"/>
    <mergeCell ref="E6629:F6629"/>
    <mergeCell ref="E6632:H6632"/>
    <mergeCell ref="E6633:H6633"/>
    <mergeCell ref="E6634:H6634"/>
    <mergeCell ref="E6635:H6635"/>
    <mergeCell ref="E6641:H6641"/>
    <mergeCell ref="E6644:H6644"/>
    <mergeCell ref="E6645:H6645"/>
    <mergeCell ref="E6647:F6647"/>
    <mergeCell ref="E6648:F6648"/>
    <mergeCell ref="E6651:F6651"/>
    <mergeCell ref="E6572:H6572"/>
    <mergeCell ref="E6573:H6573"/>
    <mergeCell ref="E6580:F6580"/>
    <mergeCell ref="E6581:F6581"/>
    <mergeCell ref="E6586:H6586"/>
    <mergeCell ref="E6591:H6591"/>
    <mergeCell ref="E6592:H6592"/>
    <mergeCell ref="E6593:H6593"/>
    <mergeCell ref="E6583:F6583"/>
    <mergeCell ref="E6584:F6584"/>
    <mergeCell ref="E6585:F6585"/>
    <mergeCell ref="E6587:F6587"/>
    <mergeCell ref="E6588:F6588"/>
    <mergeCell ref="E6589:F6589"/>
    <mergeCell ref="E6590:F6590"/>
    <mergeCell ref="E6594:H6594"/>
    <mergeCell ref="E6595:H6595"/>
    <mergeCell ref="E6596:H6596"/>
    <mergeCell ref="E6568:F6568"/>
    <mergeCell ref="E6569:F6569"/>
    <mergeCell ref="E6570:F6570"/>
    <mergeCell ref="E6571:F6571"/>
    <mergeCell ref="E6555:H6555"/>
    <mergeCell ref="E6557:H6557"/>
    <mergeCell ref="E6556:H6556"/>
    <mergeCell ref="E6549:F6549"/>
    <mergeCell ref="E6550:F6550"/>
    <mergeCell ref="E6551:F6551"/>
    <mergeCell ref="E6552:F6552"/>
    <mergeCell ref="E6558:H6558"/>
    <mergeCell ref="E6559:H6559"/>
    <mergeCell ref="E6398:F6398"/>
    <mergeCell ref="E6399:F6399"/>
    <mergeCell ref="E6400:F6400"/>
    <mergeCell ref="E6405:H6405"/>
    <mergeCell ref="E6406:H6406"/>
    <mergeCell ref="E6407:H6407"/>
    <mergeCell ref="E6408:H6408"/>
    <mergeCell ref="E6413:F6413"/>
    <mergeCell ref="E6415:F6415"/>
    <mergeCell ref="E6416:F6416"/>
    <mergeCell ref="E6079:H6079"/>
    <mergeCell ref="E6084:F6084"/>
    <mergeCell ref="E6085:F6085"/>
    <mergeCell ref="E6086:F6086"/>
    <mergeCell ref="E6087:F6087"/>
    <mergeCell ref="E6097:H6097"/>
    <mergeCell ref="E6098:H6098"/>
    <mergeCell ref="E6099:H6099"/>
    <mergeCell ref="E6100:H6100"/>
    <mergeCell ref="E6101:H6101"/>
    <mergeCell ref="E6102:H6102"/>
    <mergeCell ref="E6105:F6105"/>
    <mergeCell ref="E6106:F6106"/>
    <mergeCell ref="E6107:F6107"/>
    <mergeCell ref="E6108:F6108"/>
    <mergeCell ref="E6109:F6109"/>
    <mergeCell ref="E6110:F6110"/>
    <mergeCell ref="E6117:H6117"/>
    <mergeCell ref="E6118:H6118"/>
    <mergeCell ref="E6119:H6119"/>
    <mergeCell ref="E6120:H6120"/>
    <mergeCell ref="E6121:H6121"/>
    <mergeCell ref="E6104:H6104"/>
    <mergeCell ref="E6111:F6111"/>
    <mergeCell ref="E6113:F6113"/>
    <mergeCell ref="E6114:F6114"/>
    <mergeCell ref="E6115:F6115"/>
    <mergeCell ref="E6116:F6116"/>
    <mergeCell ref="E6096:F6096"/>
    <mergeCell ref="E6112:F6112"/>
    <mergeCell ref="E6080:H6080"/>
    <mergeCell ref="E6082:H6082"/>
    <mergeCell ref="E6083:H6083"/>
    <mergeCell ref="E6103:H6103"/>
    <mergeCell ref="E6081:H6081"/>
    <mergeCell ref="E6090:F6090"/>
    <mergeCell ref="E6091:F6091"/>
    <mergeCell ref="E6092:F6092"/>
    <mergeCell ref="E6093:F6093"/>
    <mergeCell ref="E6094:F6094"/>
    <mergeCell ref="E6095:F6095"/>
    <mergeCell ref="E6263:H6263"/>
    <mergeCell ref="E6264:H6264"/>
    <mergeCell ref="E6287:H6287"/>
    <mergeCell ref="E6553:H6553"/>
    <mergeCell ref="E6075:H6075"/>
    <mergeCell ref="E6076:H6076"/>
    <mergeCell ref="E6077:H6077"/>
    <mergeCell ref="E6078:H6078"/>
    <mergeCell ref="E6069:F6069"/>
    <mergeCell ref="E6057:H6057"/>
    <mergeCell ref="E6058:H6058"/>
    <mergeCell ref="E5899:H5899"/>
    <mergeCell ref="E5901:F5901"/>
    <mergeCell ref="E5902:F5902"/>
    <mergeCell ref="E5903:F5903"/>
    <mergeCell ref="E5904:F5904"/>
    <mergeCell ref="E5905:F5905"/>
    <mergeCell ref="E5906:F5906"/>
    <mergeCell ref="E5907:F5907"/>
    <mergeCell ref="E5909:F5909"/>
    <mergeCell ref="E5910:F5910"/>
    <mergeCell ref="E5911:F5911"/>
    <mergeCell ref="E5912:F5912"/>
    <mergeCell ref="E5913:F5913"/>
    <mergeCell ref="E5914:F5914"/>
    <mergeCell ref="E5915:F5915"/>
    <mergeCell ref="E5916:F5916"/>
    <mergeCell ref="E5918:F5918"/>
    <mergeCell ref="E5919:H5919"/>
    <mergeCell ref="E5920:H5920"/>
    <mergeCell ref="E5921:H5921"/>
    <mergeCell ref="E5926:H5926"/>
    <mergeCell ref="E5932:H5932"/>
    <mergeCell ref="E5933:H5933"/>
    <mergeCell ref="E5934:H5934"/>
    <mergeCell ref="E5937:F5937"/>
    <mergeCell ref="E5945:F5945"/>
    <mergeCell ref="E5954:F5954"/>
    <mergeCell ref="E5955:F5955"/>
    <mergeCell ref="E6011:H6011"/>
    <mergeCell ref="E6012:H6012"/>
    <mergeCell ref="E6013:H6013"/>
    <mergeCell ref="E6017:F6017"/>
    <mergeCell ref="E6018:F6018"/>
    <mergeCell ref="E6019:F6019"/>
    <mergeCell ref="E6020:F6020"/>
    <mergeCell ref="E6021:F6021"/>
    <mergeCell ref="E6022:F6022"/>
    <mergeCell ref="E6023:F6023"/>
    <mergeCell ref="E6024:F6024"/>
    <mergeCell ref="E6025:F6025"/>
    <mergeCell ref="E6026:F6026"/>
    <mergeCell ref="E6027:F6027"/>
    <mergeCell ref="E6028:F6028"/>
    <mergeCell ref="E6030:F6030"/>
    <mergeCell ref="E6032:H6032"/>
    <mergeCell ref="E6033:H6033"/>
    <mergeCell ref="E6034:H6034"/>
    <mergeCell ref="E6035:H6035"/>
    <mergeCell ref="E6005:F6005"/>
    <mergeCell ref="E6008:F6008"/>
    <mergeCell ref="E6001:F6001"/>
    <mergeCell ref="E5974:F5974"/>
    <mergeCell ref="E5972:F5972"/>
    <mergeCell ref="E5973:F5973"/>
    <mergeCell ref="E5979:F5979"/>
    <mergeCell ref="E5927:F5927"/>
    <mergeCell ref="E6003:F6003"/>
    <mergeCell ref="E5609:H5609"/>
    <mergeCell ref="E5610:H5610"/>
    <mergeCell ref="E5629:H5629"/>
    <mergeCell ref="E5631:H5631"/>
    <mergeCell ref="E5632:H5632"/>
    <mergeCell ref="E5633:H5633"/>
    <mergeCell ref="E5634:H5634"/>
    <mergeCell ref="E5517:H5517"/>
    <mergeCell ref="E5518:H5518"/>
    <mergeCell ref="E5542:H5542"/>
    <mergeCell ref="E5544:H5544"/>
    <mergeCell ref="E5545:H5545"/>
    <mergeCell ref="E5546:H5546"/>
    <mergeCell ref="E5537:F5537"/>
    <mergeCell ref="E5488:H5488"/>
    <mergeCell ref="E5490:H5490"/>
    <mergeCell ref="E5491:H5491"/>
    <mergeCell ref="E5492:H5492"/>
    <mergeCell ref="E5956:F5956"/>
    <mergeCell ref="E5959:H5959"/>
    <mergeCell ref="E5960:H5960"/>
    <mergeCell ref="E5949:F5949"/>
    <mergeCell ref="E5950:F5950"/>
    <mergeCell ref="E5951:F5951"/>
    <mergeCell ref="E5952:F5952"/>
    <mergeCell ref="E5761:H5761"/>
    <mergeCell ref="E5762:H5762"/>
    <mergeCell ref="E5763:H5763"/>
    <mergeCell ref="E5764:H5764"/>
    <mergeCell ref="E5765:H5765"/>
    <mergeCell ref="E5766:H5766"/>
    <mergeCell ref="E5767:H5767"/>
    <mergeCell ref="E5768:H5768"/>
    <mergeCell ref="E5769:H5769"/>
    <mergeCell ref="E5770:H5770"/>
    <mergeCell ref="E5771:H5771"/>
    <mergeCell ref="E5772:H5772"/>
    <mergeCell ref="E5774:F5774"/>
    <mergeCell ref="E5775:F5775"/>
    <mergeCell ref="E5776:F5776"/>
    <mergeCell ref="E5777:F5777"/>
    <mergeCell ref="E5778:F5778"/>
    <mergeCell ref="E5779:F5779"/>
    <mergeCell ref="E5780:F5780"/>
    <mergeCell ref="E5781:F5781"/>
    <mergeCell ref="E5782:F5782"/>
    <mergeCell ref="E5791:H5791"/>
    <mergeCell ref="E5792:H5792"/>
    <mergeCell ref="E5793:H5793"/>
    <mergeCell ref="E5794:H5794"/>
    <mergeCell ref="E5773:F5773"/>
    <mergeCell ref="E5783:F5783"/>
    <mergeCell ref="E5861:F5861"/>
    <mergeCell ref="E5867:F5867"/>
    <mergeCell ref="E5874:H5874"/>
    <mergeCell ref="E5875:H5875"/>
    <mergeCell ref="E5882:F5882"/>
    <mergeCell ref="E5888:F5888"/>
    <mergeCell ref="E5889:F5889"/>
    <mergeCell ref="E5890:F5890"/>
    <mergeCell ref="E5895:H5895"/>
    <mergeCell ref="E5896:H5896"/>
    <mergeCell ref="E5858:F5858"/>
    <mergeCell ref="E5831:F5831"/>
    <mergeCell ref="E5359:H5359"/>
    <mergeCell ref="E5360:H5360"/>
    <mergeCell ref="E5361:H5361"/>
    <mergeCell ref="E5362:F5362"/>
    <mergeCell ref="E5363:F5363"/>
    <mergeCell ref="E5364:F5364"/>
    <mergeCell ref="E5365:F5365"/>
    <mergeCell ref="E5366:F5366"/>
    <mergeCell ref="E5367:F5367"/>
    <mergeCell ref="E5368:F5368"/>
    <mergeCell ref="E5369:H5369"/>
    <mergeCell ref="E5370:F5370"/>
    <mergeCell ref="E5371:F5371"/>
    <mergeCell ref="E5372:F5372"/>
    <mergeCell ref="E5373:F5373"/>
    <mergeCell ref="E5374:H5374"/>
    <mergeCell ref="E5376:H5376"/>
    <mergeCell ref="E5375:H5375"/>
    <mergeCell ref="E5414:F5414"/>
    <mergeCell ref="E5415:F5415"/>
    <mergeCell ref="E5416:F5416"/>
    <mergeCell ref="E5417:F5417"/>
    <mergeCell ref="E5418:F5418"/>
    <mergeCell ref="E5419:H5419"/>
    <mergeCell ref="E5420:F5420"/>
    <mergeCell ref="E5421:F5421"/>
    <mergeCell ref="E5422:F5422"/>
    <mergeCell ref="E5423:F5423"/>
    <mergeCell ref="E5424:F5424"/>
    <mergeCell ref="E5425:F5425"/>
    <mergeCell ref="E5426:H5426"/>
    <mergeCell ref="E5403:H5403"/>
    <mergeCell ref="E5381:H5381"/>
    <mergeCell ref="E5382:F5382"/>
    <mergeCell ref="E5383:F5383"/>
    <mergeCell ref="E5384:F5384"/>
    <mergeCell ref="E5385:F5385"/>
    <mergeCell ref="E5386:F5386"/>
    <mergeCell ref="E5387:F5387"/>
    <mergeCell ref="E5388:F5388"/>
    <mergeCell ref="E5389:H5389"/>
    <mergeCell ref="E5390:F5390"/>
    <mergeCell ref="E5391:F5391"/>
    <mergeCell ref="E5392:F5392"/>
    <mergeCell ref="E5393:F5393"/>
    <mergeCell ref="E5394:H5394"/>
    <mergeCell ref="E5395:H5395"/>
    <mergeCell ref="E5396:H5396"/>
    <mergeCell ref="E5397:H5397"/>
    <mergeCell ref="E5398:H5398"/>
    <mergeCell ref="E5399:H5399"/>
    <mergeCell ref="E5401:H5401"/>
    <mergeCell ref="E5402:F5402"/>
    <mergeCell ref="E5789:F5789"/>
    <mergeCell ref="E5796:H5796"/>
    <mergeCell ref="E5797:H5797"/>
    <mergeCell ref="E5798:H5798"/>
    <mergeCell ref="E5809:F5809"/>
    <mergeCell ref="E5818:H5818"/>
    <mergeCell ref="E5821:H5821"/>
    <mergeCell ref="E5822:H5822"/>
    <mergeCell ref="E5823:H5823"/>
    <mergeCell ref="E5824:H5824"/>
    <mergeCell ref="E5853:F5853"/>
    <mergeCell ref="E5855:F5855"/>
    <mergeCell ref="E5299:F5299"/>
    <mergeCell ref="E5300:F5300"/>
    <mergeCell ref="E5301:F5301"/>
    <mergeCell ref="E5302:F5302"/>
    <mergeCell ref="E5303:H5303"/>
    <mergeCell ref="E5304:F5304"/>
    <mergeCell ref="E5305:F5305"/>
    <mergeCell ref="E5306:F5306"/>
    <mergeCell ref="E5307:F5307"/>
    <mergeCell ref="E5308:H5308"/>
    <mergeCell ref="E5309:H5309"/>
    <mergeCell ref="E5310:H5310"/>
    <mergeCell ref="E5311:H5311"/>
    <mergeCell ref="E5312:H5312"/>
    <mergeCell ref="E5313:H5313"/>
    <mergeCell ref="E5314:H5314"/>
    <mergeCell ref="E5315:H5315"/>
    <mergeCell ref="E5317:F5317"/>
    <mergeCell ref="E5318:F5318"/>
    <mergeCell ref="E5319:F5319"/>
    <mergeCell ref="E5320:F5320"/>
    <mergeCell ref="E5404:F5404"/>
    <mergeCell ref="E5405:F5405"/>
    <mergeCell ref="E5406:H5406"/>
    <mergeCell ref="E5407:H5407"/>
    <mergeCell ref="E5408:H5408"/>
    <mergeCell ref="E5409:H5409"/>
    <mergeCell ref="E5410:H5410"/>
    <mergeCell ref="E5411:H5411"/>
    <mergeCell ref="E5412:F5412"/>
    <mergeCell ref="E5321:F5321"/>
    <mergeCell ref="E5322:F5322"/>
    <mergeCell ref="E5323:F5323"/>
    <mergeCell ref="E5324:F5324"/>
    <mergeCell ref="E5325:F5325"/>
    <mergeCell ref="E5326:H5326"/>
    <mergeCell ref="E5327:F5327"/>
    <mergeCell ref="E5328:F5328"/>
    <mergeCell ref="E5329:F5329"/>
    <mergeCell ref="E5330:F5330"/>
    <mergeCell ref="E5333:H5333"/>
    <mergeCell ref="E5334:H5334"/>
    <mergeCell ref="E5335:H5335"/>
    <mergeCell ref="E5336:H5336"/>
    <mergeCell ref="E5337:H5337"/>
    <mergeCell ref="E5338:H5338"/>
    <mergeCell ref="E5339:H5339"/>
    <mergeCell ref="E5340:F5340"/>
    <mergeCell ref="E5341:F5341"/>
    <mergeCell ref="E5342:F5342"/>
    <mergeCell ref="E5343:F5343"/>
    <mergeCell ref="E5344:F5344"/>
    <mergeCell ref="E5345:F5345"/>
    <mergeCell ref="E5346:F5346"/>
    <mergeCell ref="E5347:F5347"/>
    <mergeCell ref="E5348:F5348"/>
    <mergeCell ref="E5349:H5349"/>
    <mergeCell ref="E5350:F5350"/>
    <mergeCell ref="E5351:F5351"/>
    <mergeCell ref="E5352:F5352"/>
    <mergeCell ref="E5353:F5353"/>
    <mergeCell ref="E5357:H5357"/>
    <mergeCell ref="E5358:H5358"/>
    <mergeCell ref="E5379:H5379"/>
    <mergeCell ref="E5165:F5165"/>
    <mergeCell ref="E5168:F5168"/>
    <mergeCell ref="E5169:F5169"/>
    <mergeCell ref="E5170:F5170"/>
    <mergeCell ref="E5171:F5171"/>
    <mergeCell ref="E5172:F5172"/>
    <mergeCell ref="E5174:F5174"/>
    <mergeCell ref="E5177:F5177"/>
    <mergeCell ref="E5186:F5186"/>
    <mergeCell ref="E5188:F5188"/>
    <mergeCell ref="E5189:F5189"/>
    <mergeCell ref="E5191:H5191"/>
    <mergeCell ref="E5192:H5192"/>
    <mergeCell ref="E5193:H5193"/>
    <mergeCell ref="E5194:H5194"/>
    <mergeCell ref="E5195:H5195"/>
    <mergeCell ref="E5196:F5196"/>
    <mergeCell ref="E5197:F5197"/>
    <mergeCell ref="E5198:F5198"/>
    <mergeCell ref="E5231:F5231"/>
    <mergeCell ref="E5232:H5232"/>
    <mergeCell ref="E5233:H5233"/>
    <mergeCell ref="E5234:H5234"/>
    <mergeCell ref="E5235:H5235"/>
    <mergeCell ref="E5237:H5237"/>
    <mergeCell ref="E5239:F5239"/>
    <mergeCell ref="E5240:F5240"/>
    <mergeCell ref="E5241:F5241"/>
    <mergeCell ref="E5242:F5242"/>
    <mergeCell ref="E5243:F5243"/>
    <mergeCell ref="E5244:H5244"/>
    <mergeCell ref="E5245:F5245"/>
    <mergeCell ref="E5246:F5246"/>
    <mergeCell ref="E5167:F5167"/>
    <mergeCell ref="E5173:H5173"/>
    <mergeCell ref="E5178:H5178"/>
    <mergeCell ref="E5179:H5179"/>
    <mergeCell ref="E5180:H5180"/>
    <mergeCell ref="E5181:H5181"/>
    <mergeCell ref="E5182:H5182"/>
    <mergeCell ref="E5183:H5183"/>
    <mergeCell ref="E5184:H5184"/>
    <mergeCell ref="E5185:H5185"/>
    <mergeCell ref="E5175:F5175"/>
    <mergeCell ref="E5176:F5176"/>
    <mergeCell ref="E5166:F5166"/>
    <mergeCell ref="E5217:F5217"/>
    <mergeCell ref="E5218:F5218"/>
    <mergeCell ref="E5219:F5219"/>
    <mergeCell ref="E5220:F5220"/>
    <mergeCell ref="E5221:F5221"/>
    <mergeCell ref="E5222:F5222"/>
    <mergeCell ref="E5211:F5211"/>
    <mergeCell ref="E5092:H5092"/>
    <mergeCell ref="E5093:H5093"/>
    <mergeCell ref="E5094:H5094"/>
    <mergeCell ref="E5095:H5095"/>
    <mergeCell ref="E5102:F5102"/>
    <mergeCell ref="E5103:F5103"/>
    <mergeCell ref="E5110:H5110"/>
    <mergeCell ref="E5111:F5111"/>
    <mergeCell ref="E5115:H5115"/>
    <mergeCell ref="E5123:F5123"/>
    <mergeCell ref="E5125:F5125"/>
    <mergeCell ref="E5128:F5128"/>
    <mergeCell ref="E5129:F5129"/>
    <mergeCell ref="E5130:F5130"/>
    <mergeCell ref="E5132:F5132"/>
    <mergeCell ref="E5133:F5133"/>
    <mergeCell ref="E5136:H5136"/>
    <mergeCell ref="E5137:H5137"/>
    <mergeCell ref="E5138:H5138"/>
    <mergeCell ref="E5139:H5139"/>
    <mergeCell ref="E5140:H5140"/>
    <mergeCell ref="E5142:H5142"/>
    <mergeCell ref="E5143:H5143"/>
    <mergeCell ref="E5148:F5148"/>
    <mergeCell ref="E5153:F5153"/>
    <mergeCell ref="E5154:F5154"/>
    <mergeCell ref="E5155:F5155"/>
    <mergeCell ref="E5156:F5156"/>
    <mergeCell ref="E5160:H5160"/>
    <mergeCell ref="E5161:H5161"/>
    <mergeCell ref="E5162:H5162"/>
    <mergeCell ref="E5163:H5163"/>
    <mergeCell ref="E5164:H5164"/>
    <mergeCell ref="E5152:H5152"/>
    <mergeCell ref="E5157:H5157"/>
    <mergeCell ref="E5158:H5158"/>
    <mergeCell ref="E5159:H5159"/>
    <mergeCell ref="E5131:H5131"/>
    <mergeCell ref="E5096:H5096"/>
    <mergeCell ref="E5097:H5097"/>
    <mergeCell ref="E5098:H5098"/>
    <mergeCell ref="E4981:F4981"/>
    <mergeCell ref="E4982:F4982"/>
    <mergeCell ref="E4983:F4983"/>
    <mergeCell ref="E4984:F4984"/>
    <mergeCell ref="E4993:H4993"/>
    <mergeCell ref="E4995:H4995"/>
    <mergeCell ref="E4997:H4997"/>
    <mergeCell ref="E5002:F5002"/>
    <mergeCell ref="E5007:F5007"/>
    <mergeCell ref="E5008:F5008"/>
    <mergeCell ref="E5009:F5009"/>
    <mergeCell ref="E5010:F5010"/>
    <mergeCell ref="E4987:H4987"/>
    <mergeCell ref="E4989:H4989"/>
    <mergeCell ref="E4991:H4991"/>
    <mergeCell ref="E5000:F5000"/>
    <mergeCell ref="E5001:F5001"/>
    <mergeCell ref="E5003:F5003"/>
    <mergeCell ref="E5004:F5004"/>
    <mergeCell ref="E5005:F5005"/>
    <mergeCell ref="E5006:F5006"/>
    <mergeCell ref="E4923:F4923"/>
    <mergeCell ref="E4924:F4924"/>
    <mergeCell ref="E4925:F4925"/>
    <mergeCell ref="E4926:F4926"/>
    <mergeCell ref="E4928:F4928"/>
    <mergeCell ref="E4912:H4912"/>
    <mergeCell ref="E4922:F4922"/>
    <mergeCell ref="E4909:H4909"/>
    <mergeCell ref="E4914:H4914"/>
    <mergeCell ref="E4921:F4921"/>
    <mergeCell ref="E4917:H4917"/>
    <mergeCell ref="E4916:H4916"/>
    <mergeCell ref="E4929:F4929"/>
    <mergeCell ref="E4934:H4934"/>
    <mergeCell ref="E4945:H4945"/>
    <mergeCell ref="E4950:F4950"/>
    <mergeCell ref="E4952:H4952"/>
    <mergeCell ref="E4954:H4954"/>
    <mergeCell ref="E4958:H4958"/>
    <mergeCell ref="E4963:F4963"/>
    <mergeCell ref="E4969:H4969"/>
    <mergeCell ref="E4685:H4685"/>
    <mergeCell ref="E4690:F4690"/>
    <mergeCell ref="E4691:F4691"/>
    <mergeCell ref="E4693:H4693"/>
    <mergeCell ref="E4699:H4699"/>
    <mergeCell ref="E4700:H4700"/>
    <mergeCell ref="E4701:H4701"/>
    <mergeCell ref="E4703:H4703"/>
    <mergeCell ref="E4704:H4704"/>
    <mergeCell ref="E4705:H4705"/>
    <mergeCell ref="E4706:H4706"/>
    <mergeCell ref="E4707:F4707"/>
    <mergeCell ref="E4708:F4708"/>
    <mergeCell ref="E4709:F4709"/>
    <mergeCell ref="E4710:F4710"/>
    <mergeCell ref="E4711:F4711"/>
    <mergeCell ref="E4712:F4712"/>
    <mergeCell ref="G4712:H4712"/>
    <mergeCell ref="E4713:F4713"/>
    <mergeCell ref="E4714:F4714"/>
    <mergeCell ref="E4716:H4716"/>
    <mergeCell ref="E4718:F4718"/>
    <mergeCell ref="E4719:F4719"/>
    <mergeCell ref="E4720:H4720"/>
    <mergeCell ref="E4721:H4721"/>
    <mergeCell ref="E4726:H4726"/>
    <mergeCell ref="E4727:H4727"/>
    <mergeCell ref="E4728:H4728"/>
    <mergeCell ref="E4729:H4729"/>
    <mergeCell ref="E4730:H4730"/>
    <mergeCell ref="E4731:H4731"/>
    <mergeCell ref="E4732:H4732"/>
    <mergeCell ref="E4733:H4733"/>
    <mergeCell ref="E4686:F4686"/>
    <mergeCell ref="E4687:F4687"/>
    <mergeCell ref="E4688:F4688"/>
    <mergeCell ref="E4689:F4689"/>
    <mergeCell ref="E4717:H4717"/>
    <mergeCell ref="E4695:F4695"/>
    <mergeCell ref="E4692:F4692"/>
    <mergeCell ref="E4694:F4694"/>
    <mergeCell ref="E4696:F4696"/>
    <mergeCell ref="E4715:H4715"/>
    <mergeCell ref="E4702:H4702"/>
    <mergeCell ref="E4723:F4723"/>
    <mergeCell ref="E4724:F4724"/>
    <mergeCell ref="E4725:F4725"/>
    <mergeCell ref="E4632:F4632"/>
    <mergeCell ref="E4633:F4633"/>
    <mergeCell ref="E4635:F4635"/>
    <mergeCell ref="E4636:F4636"/>
    <mergeCell ref="E4637:F4637"/>
    <mergeCell ref="E4638:F4638"/>
    <mergeCell ref="E4641:H4641"/>
    <mergeCell ref="E4643:H4643"/>
    <mergeCell ref="E4644:H4644"/>
    <mergeCell ref="E4645:H4645"/>
    <mergeCell ref="E4646:H4646"/>
    <mergeCell ref="E4649:F4649"/>
    <mergeCell ref="E4655:F4655"/>
    <mergeCell ref="E4656:F4656"/>
    <mergeCell ref="E4657:H4657"/>
    <mergeCell ref="E4658:F4658"/>
    <mergeCell ref="E4659:F4659"/>
    <mergeCell ref="E4660:F4660"/>
    <mergeCell ref="E4661:F4661"/>
    <mergeCell ref="E4663:H4663"/>
    <mergeCell ref="E4666:H4666"/>
    <mergeCell ref="E4668:H4668"/>
    <mergeCell ref="E4669:H4669"/>
    <mergeCell ref="E4670:F4670"/>
    <mergeCell ref="E4671:H4671"/>
    <mergeCell ref="E4675:H4675"/>
    <mergeCell ref="E4677:H4677"/>
    <mergeCell ref="E4679:H4679"/>
    <mergeCell ref="E4680:F4680"/>
    <mergeCell ref="E4681:F4681"/>
    <mergeCell ref="E4682:F4682"/>
    <mergeCell ref="E4683:F4683"/>
    <mergeCell ref="E4684:F4684"/>
    <mergeCell ref="E4634:H4634"/>
    <mergeCell ref="E4673:F4673"/>
    <mergeCell ref="E4678:H4678"/>
    <mergeCell ref="E4672:F4672"/>
    <mergeCell ref="E4676:H4676"/>
    <mergeCell ref="E4667:H4667"/>
    <mergeCell ref="E4664:H4664"/>
    <mergeCell ref="E4665:H4665"/>
    <mergeCell ref="E4654:F4654"/>
    <mergeCell ref="E4650:F4650"/>
    <mergeCell ref="E4651:F4651"/>
    <mergeCell ref="E4652:F4652"/>
    <mergeCell ref="E4653:F4653"/>
    <mergeCell ref="E4642:H4642"/>
    <mergeCell ref="E4639:H4639"/>
    <mergeCell ref="E4640:H4640"/>
    <mergeCell ref="E4647:F4647"/>
    <mergeCell ref="E4648:F4648"/>
    <mergeCell ref="E4581:F4581"/>
    <mergeCell ref="E4583:F4583"/>
    <mergeCell ref="E4584:F4584"/>
    <mergeCell ref="E4585:F4585"/>
    <mergeCell ref="E4586:F4586"/>
    <mergeCell ref="E4587:H4587"/>
    <mergeCell ref="E4588:H4588"/>
    <mergeCell ref="E4589:H4589"/>
    <mergeCell ref="E4590:H4590"/>
    <mergeCell ref="E4591:H4591"/>
    <mergeCell ref="E4592:H4592"/>
    <mergeCell ref="E4593:H4593"/>
    <mergeCell ref="E4594:H4594"/>
    <mergeCell ref="E4596:F4596"/>
    <mergeCell ref="E4602:F4602"/>
    <mergeCell ref="E4604:F4604"/>
    <mergeCell ref="E4605:F4605"/>
    <mergeCell ref="E4606:F4606"/>
    <mergeCell ref="E4607:F4607"/>
    <mergeCell ref="E4608:H4608"/>
    <mergeCell ref="E4610:H4610"/>
    <mergeCell ref="E4614:H4614"/>
    <mergeCell ref="E4616:H4616"/>
    <mergeCell ref="E4617:H4617"/>
    <mergeCell ref="E4618:H4618"/>
    <mergeCell ref="E4619:H4619"/>
    <mergeCell ref="E4620:H4620"/>
    <mergeCell ref="E4621:H4621"/>
    <mergeCell ref="E4622:H4622"/>
    <mergeCell ref="E4623:H4623"/>
    <mergeCell ref="E4624:H4624"/>
    <mergeCell ref="E4625:F4625"/>
    <mergeCell ref="E4631:F4631"/>
    <mergeCell ref="E4582:H4582"/>
    <mergeCell ref="E4595:F4595"/>
    <mergeCell ref="E4597:F4597"/>
    <mergeCell ref="E4598:F4598"/>
    <mergeCell ref="E4603:H4603"/>
    <mergeCell ref="E4609:H4609"/>
    <mergeCell ref="E4612:H4612"/>
    <mergeCell ref="E4613:H4613"/>
    <mergeCell ref="E4615:H4615"/>
    <mergeCell ref="E4599:F4599"/>
    <mergeCell ref="E4600:F4600"/>
    <mergeCell ref="E4601:F4601"/>
    <mergeCell ref="E4611:H4611"/>
    <mergeCell ref="E4630:F4630"/>
    <mergeCell ref="E4627:F4627"/>
    <mergeCell ref="E4628:F4628"/>
    <mergeCell ref="E4629:F4629"/>
    <mergeCell ref="E4626:F4626"/>
    <mergeCell ref="E4521:H4521"/>
    <mergeCell ref="E4523:H4523"/>
    <mergeCell ref="E4525:F4525"/>
    <mergeCell ref="E4526:F4526"/>
    <mergeCell ref="E4527:F4527"/>
    <mergeCell ref="E4528:F4528"/>
    <mergeCell ref="E4529:F4529"/>
    <mergeCell ref="E4538:H4538"/>
    <mergeCell ref="E4539:F4539"/>
    <mergeCell ref="E4543:H4543"/>
    <mergeCell ref="E4544:H4544"/>
    <mergeCell ref="E4547:H4547"/>
    <mergeCell ref="E4549:H4549"/>
    <mergeCell ref="E4551:H4551"/>
    <mergeCell ref="E4553:F4553"/>
    <mergeCell ref="E4554:F4554"/>
    <mergeCell ref="E4555:F4555"/>
    <mergeCell ref="E4556:F4556"/>
    <mergeCell ref="E4557:F4557"/>
    <mergeCell ref="E4558:F4558"/>
    <mergeCell ref="E4562:H4562"/>
    <mergeCell ref="E4567:H4567"/>
    <mergeCell ref="E4568:H4568"/>
    <mergeCell ref="E4570:H4570"/>
    <mergeCell ref="E4571:H4571"/>
    <mergeCell ref="E4572:H4572"/>
    <mergeCell ref="E4573:H4573"/>
    <mergeCell ref="E4575:F4575"/>
    <mergeCell ref="E4576:F4576"/>
    <mergeCell ref="E4577:F4577"/>
    <mergeCell ref="E4578:F4578"/>
    <mergeCell ref="E4579:F4579"/>
    <mergeCell ref="E4580:F4580"/>
    <mergeCell ref="E4545:H4545"/>
    <mergeCell ref="E4534:F4534"/>
    <mergeCell ref="E4535:F4535"/>
    <mergeCell ref="E4537:F4537"/>
    <mergeCell ref="E4530:F4530"/>
    <mergeCell ref="E4531:F4531"/>
    <mergeCell ref="E4532:F4532"/>
    <mergeCell ref="E4536:F4536"/>
    <mergeCell ref="E4561:F4561"/>
    <mergeCell ref="E4563:F4563"/>
    <mergeCell ref="E4546:H4546"/>
    <mergeCell ref="E4548:H4548"/>
    <mergeCell ref="E4550:H4550"/>
    <mergeCell ref="E4552:H4552"/>
    <mergeCell ref="E4559:F4559"/>
    <mergeCell ref="E4564:F4564"/>
    <mergeCell ref="E4565:F4565"/>
    <mergeCell ref="E4566:F4566"/>
    <mergeCell ref="E4569:H4569"/>
    <mergeCell ref="E4574:H4574"/>
    <mergeCell ref="E4463:F4463"/>
    <mergeCell ref="E4464:F4464"/>
    <mergeCell ref="E4466:H4466"/>
    <mergeCell ref="E4468:H4468"/>
    <mergeCell ref="E4469:H4469"/>
    <mergeCell ref="E4470:H4470"/>
    <mergeCell ref="E4471:H4471"/>
    <mergeCell ref="E4472:H4472"/>
    <mergeCell ref="E4473:H4473"/>
    <mergeCell ref="E4474:H4474"/>
    <mergeCell ref="E4475:H4475"/>
    <mergeCell ref="E4476:H4476"/>
    <mergeCell ref="E4477:H4477"/>
    <mergeCell ref="E4478:H4478"/>
    <mergeCell ref="E4484:F4484"/>
    <mergeCell ref="E4485:F4485"/>
    <mergeCell ref="E4486:F4486"/>
    <mergeCell ref="E4487:F4487"/>
    <mergeCell ref="E4488:F4488"/>
    <mergeCell ref="E4490:F4490"/>
    <mergeCell ref="E4491:F4491"/>
    <mergeCell ref="E4492:F4492"/>
    <mergeCell ref="E4493:F4493"/>
    <mergeCell ref="E4496:H4496"/>
    <mergeCell ref="E4498:H4498"/>
    <mergeCell ref="E4499:H4499"/>
    <mergeCell ref="E4500:H4500"/>
    <mergeCell ref="E4501:H4501"/>
    <mergeCell ref="E4509:F4509"/>
    <mergeCell ref="E4511:F4511"/>
    <mergeCell ref="E4512:H4512"/>
    <mergeCell ref="E4516:F4516"/>
    <mergeCell ref="E4519:H4519"/>
    <mergeCell ref="E4495:H4495"/>
    <mergeCell ref="E4502:F4502"/>
    <mergeCell ref="E4503:F4503"/>
    <mergeCell ref="E4506:F4506"/>
    <mergeCell ref="E4507:F4507"/>
    <mergeCell ref="E4508:F4508"/>
    <mergeCell ref="E4505:F4505"/>
    <mergeCell ref="E4517:H4517"/>
    <mergeCell ref="E4518:H4518"/>
    <mergeCell ref="E4510:F4510"/>
    <mergeCell ref="E4513:F4513"/>
    <mergeCell ref="E4514:F4514"/>
    <mergeCell ref="E4515:F4515"/>
    <mergeCell ref="E4467:H4467"/>
    <mergeCell ref="E4479:F4479"/>
    <mergeCell ref="E4481:F4481"/>
    <mergeCell ref="E4482:F4482"/>
    <mergeCell ref="E4483:F4483"/>
    <mergeCell ref="E4489:H4489"/>
    <mergeCell ref="E4504:F4504"/>
    <mergeCell ref="E4497:H4497"/>
    <mergeCell ref="E4480:F4480"/>
    <mergeCell ref="E4494:H4494"/>
    <mergeCell ref="E4465:H4465"/>
    <mergeCell ref="E4401:F4401"/>
    <mergeCell ref="E4404:H4404"/>
    <mergeCell ref="E4405:H4405"/>
    <mergeCell ref="E4406:H4406"/>
    <mergeCell ref="E4415:F4415"/>
    <mergeCell ref="E4421:F4421"/>
    <mergeCell ref="E4422:F4422"/>
    <mergeCell ref="E4424:F4424"/>
    <mergeCell ref="E4425:F4425"/>
    <mergeCell ref="E4426:F4426"/>
    <mergeCell ref="E4427:F4427"/>
    <mergeCell ref="E4428:F4428"/>
    <mergeCell ref="E4437:F4437"/>
    <mergeCell ref="E4438:F4438"/>
    <mergeCell ref="E4439:F4439"/>
    <mergeCell ref="E4444:H4444"/>
    <mergeCell ref="E4445:H4445"/>
    <mergeCell ref="E4446:H4446"/>
    <mergeCell ref="E4447:H4447"/>
    <mergeCell ref="E4448:F4448"/>
    <mergeCell ref="E4449:F4449"/>
    <mergeCell ref="E4450:F4450"/>
    <mergeCell ref="E4451:F4451"/>
    <mergeCell ref="E4452:F4452"/>
    <mergeCell ref="E4453:F4453"/>
    <mergeCell ref="E4454:F4454"/>
    <mergeCell ref="E4455:F4455"/>
    <mergeCell ref="E4456:F4456"/>
    <mergeCell ref="E4457:F4457"/>
    <mergeCell ref="E4458:F4458"/>
    <mergeCell ref="E4459:F4459"/>
    <mergeCell ref="E4460:F4460"/>
    <mergeCell ref="E4462:H4462"/>
    <mergeCell ref="E4432:F4432"/>
    <mergeCell ref="E4433:F4433"/>
    <mergeCell ref="E4436:F4436"/>
    <mergeCell ref="E4440:F4440"/>
    <mergeCell ref="E4441:F4441"/>
    <mergeCell ref="E4199:F4199"/>
    <mergeCell ref="E4200:F4200"/>
    <mergeCell ref="E4212:H4212"/>
    <mergeCell ref="E4213:H4213"/>
    <mergeCell ref="E4214:H4214"/>
    <mergeCell ref="E4215:H4215"/>
    <mergeCell ref="E4216:F4216"/>
    <mergeCell ref="E4217:F4217"/>
    <mergeCell ref="E4218:F4218"/>
    <mergeCell ref="E4219:F4219"/>
    <mergeCell ref="E4220:F4220"/>
    <mergeCell ref="E4221:F4221"/>
    <mergeCell ref="E4222:F4222"/>
    <mergeCell ref="E4223:F4223"/>
    <mergeCell ref="E4230:H4230"/>
    <mergeCell ref="E4233:H4233"/>
    <mergeCell ref="E4235:H4235"/>
    <mergeCell ref="E4236:H4236"/>
    <mergeCell ref="E4237:H4237"/>
    <mergeCell ref="E4238:H4238"/>
    <mergeCell ref="E4261:H4261"/>
    <mergeCell ref="E4262:H4262"/>
    <mergeCell ref="E4263:H4263"/>
    <mergeCell ref="E4264:H4264"/>
    <mergeCell ref="E4266:F4266"/>
    <mergeCell ref="E4268:F4268"/>
    <mergeCell ref="E4269:F4269"/>
    <mergeCell ref="E4271:F4271"/>
    <mergeCell ref="E4272:F4272"/>
    <mergeCell ref="E4274:F4274"/>
    <mergeCell ref="E4276:H4276"/>
    <mergeCell ref="E4279:H4279"/>
    <mergeCell ref="E4282:H4282"/>
    <mergeCell ref="E4228:F4228"/>
    <mergeCell ref="E4251:F4251"/>
    <mergeCell ref="E4252:F4252"/>
    <mergeCell ref="E4253:F4253"/>
    <mergeCell ref="E4254:F4254"/>
    <mergeCell ref="E4255:F4255"/>
    <mergeCell ref="E4260:H4260"/>
    <mergeCell ref="E4227:F4227"/>
    <mergeCell ref="E4152:H4152"/>
    <mergeCell ref="E4153:H4153"/>
    <mergeCell ref="E4154:H4154"/>
    <mergeCell ref="E4156:F4156"/>
    <mergeCell ref="E4164:F4164"/>
    <mergeCell ref="E4165:F4165"/>
    <mergeCell ref="E4166:F4166"/>
    <mergeCell ref="E4170:H4170"/>
    <mergeCell ref="E4171:H4171"/>
    <mergeCell ref="E4172:H4172"/>
    <mergeCell ref="E4173:H4173"/>
    <mergeCell ref="E4174:H4174"/>
    <mergeCell ref="E4180:H4180"/>
    <mergeCell ref="E4181:H4181"/>
    <mergeCell ref="E4182:H4182"/>
    <mergeCell ref="E4184:F4184"/>
    <mergeCell ref="E4187:F4187"/>
    <mergeCell ref="E4188:F4188"/>
    <mergeCell ref="E4189:F4189"/>
    <mergeCell ref="E4190:F4190"/>
    <mergeCell ref="E4191:F4191"/>
    <mergeCell ref="E4192:F4192"/>
    <mergeCell ref="E4193:F4193"/>
    <mergeCell ref="E4194:F4194"/>
    <mergeCell ref="E4195:F4195"/>
    <mergeCell ref="E4196:F4196"/>
    <mergeCell ref="E4198:F4198"/>
    <mergeCell ref="E4175:F4175"/>
    <mergeCell ref="E4177:F4177"/>
    <mergeCell ref="E4167:H4167"/>
    <mergeCell ref="E4168:H4168"/>
    <mergeCell ref="E4169:H4169"/>
    <mergeCell ref="E4160:F4160"/>
    <mergeCell ref="E4161:F4161"/>
    <mergeCell ref="E4155:F4155"/>
    <mergeCell ref="E4157:F4157"/>
    <mergeCell ref="E4158:F4158"/>
    <mergeCell ref="E4162:F4162"/>
    <mergeCell ref="E4102:F4102"/>
    <mergeCell ref="E4103:F4103"/>
    <mergeCell ref="E4104:F4104"/>
    <mergeCell ref="E4105:F4105"/>
    <mergeCell ref="E4106:F4106"/>
    <mergeCell ref="E4109:H4109"/>
    <mergeCell ref="E4110:H4110"/>
    <mergeCell ref="E4111:H4111"/>
    <mergeCell ref="E4112:H4112"/>
    <mergeCell ref="E4116:F4116"/>
    <mergeCell ref="E4117:F4117"/>
    <mergeCell ref="E4118:F4118"/>
    <mergeCell ref="E4119:F4119"/>
    <mergeCell ref="E4120:F4120"/>
    <mergeCell ref="E4122:F4122"/>
    <mergeCell ref="E4125:F4125"/>
    <mergeCell ref="E4126:F4126"/>
    <mergeCell ref="E4127:F4127"/>
    <mergeCell ref="E4130:H4130"/>
    <mergeCell ref="E4131:H4131"/>
    <mergeCell ref="E4132:H4132"/>
    <mergeCell ref="E4128:H4128"/>
    <mergeCell ref="E4129:H4129"/>
    <mergeCell ref="E4123:F4123"/>
    <mergeCell ref="E4124:F4124"/>
    <mergeCell ref="E4121:F4121"/>
    <mergeCell ref="E4113:H4113"/>
    <mergeCell ref="E4114:H4114"/>
    <mergeCell ref="E4115:H4115"/>
    <mergeCell ref="E4097:F4097"/>
    <mergeCell ref="E4098:F4098"/>
    <mergeCell ref="E4099:F4099"/>
    <mergeCell ref="E4100:F4100"/>
    <mergeCell ref="E4107:H4107"/>
    <mergeCell ref="E4108:H4108"/>
    <mergeCell ref="E4069:H4069"/>
    <mergeCell ref="E4070:H4070"/>
    <mergeCell ref="E4071:H4071"/>
    <mergeCell ref="E4038:H4038"/>
    <mergeCell ref="E4039:H4039"/>
    <mergeCell ref="E4048:F4048"/>
    <mergeCell ref="E4049:F4049"/>
    <mergeCell ref="E4050:F4050"/>
    <mergeCell ref="E4051:F4051"/>
    <mergeCell ref="E4052:F4052"/>
    <mergeCell ref="E4056:F4056"/>
    <mergeCell ref="E4061:H4061"/>
    <mergeCell ref="E4063:H4063"/>
    <mergeCell ref="E4064:H4064"/>
    <mergeCell ref="E4057:F4057"/>
    <mergeCell ref="E4072:H4072"/>
    <mergeCell ref="E4081:F4081"/>
    <mergeCell ref="E4082:F4082"/>
    <mergeCell ref="E4083:F4083"/>
    <mergeCell ref="E4084:F4084"/>
    <mergeCell ref="E4085:F4085"/>
    <mergeCell ref="E4089:H4089"/>
    <mergeCell ref="E4090:H4090"/>
    <mergeCell ref="E4091:H4091"/>
    <mergeCell ref="E4092:H4092"/>
    <mergeCell ref="E4093:H4093"/>
    <mergeCell ref="E4101:F4101"/>
    <mergeCell ref="E4094:F4094"/>
    <mergeCell ref="E4095:F4095"/>
    <mergeCell ref="E4096:F4096"/>
    <mergeCell ref="E4086:H4086"/>
    <mergeCell ref="E4087:H4087"/>
    <mergeCell ref="E4088:H4088"/>
    <mergeCell ref="E4079:F4079"/>
    <mergeCell ref="E4076:F4076"/>
    <mergeCell ref="E4077:F4077"/>
    <mergeCell ref="E4080:F4080"/>
    <mergeCell ref="E4078:F4078"/>
    <mergeCell ref="E4068:H4068"/>
    <mergeCell ref="E4073:F4073"/>
    <mergeCell ref="E4074:F4074"/>
    <mergeCell ref="E4062:H4062"/>
    <mergeCell ref="E4065:H4065"/>
    <mergeCell ref="E4043:F4043"/>
    <mergeCell ref="E4044:F4044"/>
    <mergeCell ref="E4045:F4045"/>
    <mergeCell ref="E4047:F4047"/>
    <mergeCell ref="E4054:H4054"/>
    <mergeCell ref="E4059:H4059"/>
    <mergeCell ref="E4060:H4060"/>
    <mergeCell ref="E3951:H3951"/>
    <mergeCell ref="E3953:H3953"/>
    <mergeCell ref="E3954:H3954"/>
    <mergeCell ref="E3955:F3955"/>
    <mergeCell ref="E3956:F3956"/>
    <mergeCell ref="E3957:F3957"/>
    <mergeCell ref="E3958:F3958"/>
    <mergeCell ref="E3959:F3959"/>
    <mergeCell ref="E3960:F3960"/>
    <mergeCell ref="E3961:F3961"/>
    <mergeCell ref="E3962:F3962"/>
    <mergeCell ref="E3963:F3963"/>
    <mergeCell ref="E3964:F3964"/>
    <mergeCell ref="E3965:F3965"/>
    <mergeCell ref="E3966:F3966"/>
    <mergeCell ref="E3967:F3967"/>
    <mergeCell ref="E3968:F3968"/>
    <mergeCell ref="E3969:H3969"/>
    <mergeCell ref="E3970:H3970"/>
    <mergeCell ref="E3971:H3971"/>
    <mergeCell ref="E3972:H3972"/>
    <mergeCell ref="E3973:H3973"/>
    <mergeCell ref="E3974:H3974"/>
    <mergeCell ref="E3975:H3975"/>
    <mergeCell ref="E3976:H3976"/>
    <mergeCell ref="E3982:F3982"/>
    <mergeCell ref="E3983:F3983"/>
    <mergeCell ref="E3984:F3984"/>
    <mergeCell ref="E3985:F3985"/>
    <mergeCell ref="E3986:F3986"/>
    <mergeCell ref="E3987:F3987"/>
    <mergeCell ref="E3989:F3989"/>
    <mergeCell ref="E3991:H3991"/>
    <mergeCell ref="E3978:F3978"/>
    <mergeCell ref="E3979:F3979"/>
    <mergeCell ref="E3980:F3980"/>
    <mergeCell ref="E3977:F3977"/>
    <mergeCell ref="E3952:H3952"/>
    <mergeCell ref="E3890:F3890"/>
    <mergeCell ref="E3891:F3891"/>
    <mergeCell ref="E3892:F3892"/>
    <mergeCell ref="E3893:F3893"/>
    <mergeCell ref="E3894:F3894"/>
    <mergeCell ref="E3895:F3895"/>
    <mergeCell ref="E3896:F3896"/>
    <mergeCell ref="E3898:F3898"/>
    <mergeCell ref="E3901:F3901"/>
    <mergeCell ref="E3905:H3905"/>
    <mergeCell ref="E3906:H3906"/>
    <mergeCell ref="E3907:H3907"/>
    <mergeCell ref="E3908:H3908"/>
    <mergeCell ref="E3909:H3909"/>
    <mergeCell ref="E3910:H3910"/>
    <mergeCell ref="E3919:F3919"/>
    <mergeCell ref="E3925:H3925"/>
    <mergeCell ref="E3926:H3926"/>
    <mergeCell ref="E3927:H3927"/>
    <mergeCell ref="E3928:H3928"/>
    <mergeCell ref="E3929:H3929"/>
    <mergeCell ref="E3930:H3930"/>
    <mergeCell ref="E3931:H3931"/>
    <mergeCell ref="E3932:H3932"/>
    <mergeCell ref="E3933:F3933"/>
    <mergeCell ref="E3934:F3934"/>
    <mergeCell ref="E3935:F3935"/>
    <mergeCell ref="E3936:F3936"/>
    <mergeCell ref="E3937:F3937"/>
    <mergeCell ref="E3947:H3947"/>
    <mergeCell ref="E3948:H3948"/>
    <mergeCell ref="E3949:H3949"/>
    <mergeCell ref="E3950:H3950"/>
    <mergeCell ref="E3945:F3945"/>
    <mergeCell ref="E3946:F3946"/>
    <mergeCell ref="E3941:F3941"/>
    <mergeCell ref="E3942:F3942"/>
    <mergeCell ref="E3943:F3943"/>
    <mergeCell ref="E3944:F3944"/>
    <mergeCell ref="E3922:F3922"/>
    <mergeCell ref="E3923:F3923"/>
    <mergeCell ref="E3924:F3924"/>
    <mergeCell ref="E3921:F3921"/>
    <mergeCell ref="E3939:F3939"/>
    <mergeCell ref="E3940:F3940"/>
    <mergeCell ref="E3897:F3897"/>
    <mergeCell ref="E3899:F3899"/>
    <mergeCell ref="E3902:H3902"/>
    <mergeCell ref="E3903:H3903"/>
    <mergeCell ref="E3904:H3904"/>
    <mergeCell ref="E3912:F3912"/>
    <mergeCell ref="E3913:F3913"/>
    <mergeCell ref="E3914:F3914"/>
    <mergeCell ref="E3915:F3915"/>
    <mergeCell ref="E3916:F3916"/>
    <mergeCell ref="E3917:F3917"/>
    <mergeCell ref="E3918:F3918"/>
    <mergeCell ref="E3938:F3938"/>
    <mergeCell ref="E3911:F3911"/>
    <mergeCell ref="E3900:F3900"/>
    <mergeCell ref="E3920:F3920"/>
    <mergeCell ref="E3816:H3816"/>
    <mergeCell ref="E3817:H3817"/>
    <mergeCell ref="E3818:H3818"/>
    <mergeCell ref="E3819:H3819"/>
    <mergeCell ref="E3820:H3820"/>
    <mergeCell ref="E3821:H3821"/>
    <mergeCell ref="E3822:H3822"/>
    <mergeCell ref="E3823:H3823"/>
    <mergeCell ref="E3824:H3824"/>
    <mergeCell ref="E3825:H3825"/>
    <mergeCell ref="E3826:H3826"/>
    <mergeCell ref="E3827:H3827"/>
    <mergeCell ref="E3828:H3828"/>
    <mergeCell ref="E3837:F3837"/>
    <mergeCell ref="E3850:F3850"/>
    <mergeCell ref="E3851:F3851"/>
    <mergeCell ref="E3858:H3858"/>
    <mergeCell ref="E3859:H3859"/>
    <mergeCell ref="E3869:F3869"/>
    <mergeCell ref="E3870:F3870"/>
    <mergeCell ref="E3871:F3871"/>
    <mergeCell ref="E3872:F3872"/>
    <mergeCell ref="E3873:F3873"/>
    <mergeCell ref="E3874:F3874"/>
    <mergeCell ref="E3877:H3877"/>
    <mergeCell ref="E3878:H3878"/>
    <mergeCell ref="E3879:H3879"/>
    <mergeCell ref="E3880:H3880"/>
    <mergeCell ref="E3881:H3881"/>
    <mergeCell ref="E3882:H3882"/>
    <mergeCell ref="E3883:H3883"/>
    <mergeCell ref="E3884:H3884"/>
    <mergeCell ref="E3889:F3889"/>
    <mergeCell ref="E3841:F3841"/>
    <mergeCell ref="E3842:F3842"/>
    <mergeCell ref="E3876:H3876"/>
    <mergeCell ref="E3875:H3875"/>
    <mergeCell ref="E3867:F3867"/>
    <mergeCell ref="E3868:F3868"/>
    <mergeCell ref="E3861:F3861"/>
    <mergeCell ref="E3862:F3862"/>
    <mergeCell ref="E3863:F3863"/>
    <mergeCell ref="E3864:F3864"/>
    <mergeCell ref="E3865:F3865"/>
    <mergeCell ref="E3866:F3866"/>
    <mergeCell ref="E3855:H3855"/>
    <mergeCell ref="E3856:H3856"/>
    <mergeCell ref="E3860:F3860"/>
    <mergeCell ref="E3852:H3852"/>
    <mergeCell ref="E3853:H3853"/>
    <mergeCell ref="E3854:H3854"/>
    <mergeCell ref="E3829:H3829"/>
    <mergeCell ref="E3830:H3830"/>
    <mergeCell ref="E3831:H3831"/>
    <mergeCell ref="E3832:H3832"/>
    <mergeCell ref="E3833:H3833"/>
    <mergeCell ref="E3834:H3834"/>
    <mergeCell ref="E3835:H3835"/>
    <mergeCell ref="E3836:H3836"/>
    <mergeCell ref="E3848:F3848"/>
    <mergeCell ref="E3849:F3849"/>
    <mergeCell ref="E3857:H3857"/>
    <mergeCell ref="E3839:F3839"/>
    <mergeCell ref="E3840:F3840"/>
    <mergeCell ref="E3737:F3737"/>
    <mergeCell ref="E3747:F3747"/>
    <mergeCell ref="E3749:H3749"/>
    <mergeCell ref="E3750:H3750"/>
    <mergeCell ref="E3751:H3751"/>
    <mergeCell ref="E3752:H3752"/>
    <mergeCell ref="E3753:H3753"/>
    <mergeCell ref="E3754:H3754"/>
    <mergeCell ref="E3755:H3755"/>
    <mergeCell ref="E3757:F3757"/>
    <mergeCell ref="E3759:F3759"/>
    <mergeCell ref="E3760:F3760"/>
    <mergeCell ref="E3762:H3762"/>
    <mergeCell ref="E3763:H3763"/>
    <mergeCell ref="E3764:H3764"/>
    <mergeCell ref="E3775:F3775"/>
    <mergeCell ref="E3781:F3781"/>
    <mergeCell ref="E3782:F3782"/>
    <mergeCell ref="E3783:F3783"/>
    <mergeCell ref="E3785:F3785"/>
    <mergeCell ref="E3786:F3786"/>
    <mergeCell ref="E3787:F3787"/>
    <mergeCell ref="E3788:F3788"/>
    <mergeCell ref="E3789:F3789"/>
    <mergeCell ref="E3790:F3790"/>
    <mergeCell ref="E3795:H3795"/>
    <mergeCell ref="E3796:H3796"/>
    <mergeCell ref="E3808:F3808"/>
    <mergeCell ref="E3809:F3809"/>
    <mergeCell ref="E3812:F3812"/>
    <mergeCell ref="E3813:F3813"/>
    <mergeCell ref="E3814:F3814"/>
    <mergeCell ref="E3815:F3815"/>
    <mergeCell ref="E3804:F3804"/>
    <mergeCell ref="E3806:F3806"/>
    <mergeCell ref="E3807:F3807"/>
    <mergeCell ref="E3811:H3811"/>
    <mergeCell ref="E3805:F3805"/>
    <mergeCell ref="E3741:F3741"/>
    <mergeCell ref="E3742:F3742"/>
    <mergeCell ref="E3688:H3688"/>
    <mergeCell ref="E3689:H3689"/>
    <mergeCell ref="E3690:H3690"/>
    <mergeCell ref="E3694:F3694"/>
    <mergeCell ref="E3695:F3695"/>
    <mergeCell ref="E3696:F3696"/>
    <mergeCell ref="E3697:F3697"/>
    <mergeCell ref="E3698:F3698"/>
    <mergeCell ref="E3707:H3707"/>
    <mergeCell ref="E3708:H3708"/>
    <mergeCell ref="E3709:H3709"/>
    <mergeCell ref="E3710:H3710"/>
    <mergeCell ref="E3711:H3711"/>
    <mergeCell ref="E3712:H3712"/>
    <mergeCell ref="E3715:F3715"/>
    <mergeCell ref="E3716:F3716"/>
    <mergeCell ref="E3717:F3717"/>
    <mergeCell ref="E3718:F3718"/>
    <mergeCell ref="E3719:F3719"/>
    <mergeCell ref="E3720:F3720"/>
    <mergeCell ref="E3722:F3722"/>
    <mergeCell ref="E3725:F3725"/>
    <mergeCell ref="E3726:F3726"/>
    <mergeCell ref="E3727:F3727"/>
    <mergeCell ref="E3730:H3730"/>
    <mergeCell ref="E3731:H3731"/>
    <mergeCell ref="E3732:H3732"/>
    <mergeCell ref="E3733:H3733"/>
    <mergeCell ref="E3734:H3734"/>
    <mergeCell ref="E3735:H3735"/>
    <mergeCell ref="E3692:H3692"/>
    <mergeCell ref="E3693:H3693"/>
    <mergeCell ref="E3700:F3700"/>
    <mergeCell ref="E3701:F3701"/>
    <mergeCell ref="E3713:H3713"/>
    <mergeCell ref="E3721:F3721"/>
    <mergeCell ref="E3714:H3714"/>
    <mergeCell ref="E3704:F3704"/>
    <mergeCell ref="E3705:F3705"/>
    <mergeCell ref="E3706:F3706"/>
    <mergeCell ref="E3496:H3496"/>
    <mergeCell ref="E3497:H3497"/>
    <mergeCell ref="E3498:H3498"/>
    <mergeCell ref="E3499:H3499"/>
    <mergeCell ref="E3500:H3500"/>
    <mergeCell ref="E3506:H3506"/>
    <mergeCell ref="E3507:H3507"/>
    <mergeCell ref="E3508:H3508"/>
    <mergeCell ref="E3513:F3513"/>
    <mergeCell ref="E3514:F3514"/>
    <mergeCell ref="E3516:F3516"/>
    <mergeCell ref="E3517:F3517"/>
    <mergeCell ref="E3518:F3518"/>
    <mergeCell ref="E3526:H3526"/>
    <mergeCell ref="E3527:H3527"/>
    <mergeCell ref="E3528:H3528"/>
    <mergeCell ref="E3529:H3529"/>
    <mergeCell ref="E3530:H3530"/>
    <mergeCell ref="E3532:F3532"/>
    <mergeCell ref="E3533:F3533"/>
    <mergeCell ref="E3538:F3538"/>
    <mergeCell ref="E3539:F3539"/>
    <mergeCell ref="E3540:F3540"/>
    <mergeCell ref="E3541:F3541"/>
    <mergeCell ref="E3542:F3542"/>
    <mergeCell ref="E3531:F3531"/>
    <mergeCell ref="E3511:F3511"/>
    <mergeCell ref="E3512:F3512"/>
    <mergeCell ref="E3510:F3510"/>
    <mergeCell ref="E3501:F3501"/>
    <mergeCell ref="E3503:F3503"/>
    <mergeCell ref="E3504:F3504"/>
    <mergeCell ref="E3519:F3519"/>
    <mergeCell ref="E3520:F3520"/>
    <mergeCell ref="E3522:F3522"/>
    <mergeCell ref="E3523:F3523"/>
    <mergeCell ref="E3524:F3524"/>
    <mergeCell ref="E3534:F3534"/>
    <mergeCell ref="E3535:F3535"/>
    <mergeCell ref="E3440:H3440"/>
    <mergeCell ref="E3441:H3441"/>
    <mergeCell ref="E3442:H3442"/>
    <mergeCell ref="E3443:H3443"/>
    <mergeCell ref="E3444:H3444"/>
    <mergeCell ref="E3451:F3451"/>
    <mergeCell ref="E3452:F3452"/>
    <mergeCell ref="E3453:F3453"/>
    <mergeCell ref="E3454:F3454"/>
    <mergeCell ref="E3455:F3455"/>
    <mergeCell ref="E3458:H3458"/>
    <mergeCell ref="E3459:H3459"/>
    <mergeCell ref="E3460:H3460"/>
    <mergeCell ref="E3461:H3461"/>
    <mergeCell ref="E3462:H3462"/>
    <mergeCell ref="E3463:H3463"/>
    <mergeCell ref="E3471:F3471"/>
    <mergeCell ref="E3472:F3472"/>
    <mergeCell ref="E3473:F3473"/>
    <mergeCell ref="E3427:F3427"/>
    <mergeCell ref="E3428:F3428"/>
    <mergeCell ref="E3424:F3424"/>
    <mergeCell ref="E3425:F3425"/>
    <mergeCell ref="E3426:F3426"/>
    <mergeCell ref="E3423:F3423"/>
    <mergeCell ref="E3483:F3483"/>
    <mergeCell ref="E3484:F3484"/>
    <mergeCell ref="E3485:F3485"/>
    <mergeCell ref="E3486:F3486"/>
    <mergeCell ref="E3487:F3487"/>
    <mergeCell ref="E3493:H3493"/>
    <mergeCell ref="E3494:H3494"/>
    <mergeCell ref="E3495:H3495"/>
    <mergeCell ref="E3488:F3488"/>
    <mergeCell ref="E3489:F3489"/>
    <mergeCell ref="E3490:F3490"/>
    <mergeCell ref="E3491:F3491"/>
    <mergeCell ref="E3492:F3492"/>
    <mergeCell ref="E3469:F3469"/>
    <mergeCell ref="E3470:F3470"/>
    <mergeCell ref="E3467:F3467"/>
    <mergeCell ref="E3468:F3468"/>
    <mergeCell ref="E3435:H3435"/>
    <mergeCell ref="E3436:H3436"/>
    <mergeCell ref="E3445:F3445"/>
    <mergeCell ref="E3456:H3456"/>
    <mergeCell ref="E3446:F3446"/>
    <mergeCell ref="E3447:F3447"/>
    <mergeCell ref="E3448:F3448"/>
    <mergeCell ref="E3449:F3449"/>
    <mergeCell ref="E3457:H3457"/>
    <mergeCell ref="E3465:F3465"/>
    <mergeCell ref="E3466:F3466"/>
    <mergeCell ref="E3477:H3477"/>
    <mergeCell ref="E3478:H3478"/>
    <mergeCell ref="E3464:F3464"/>
    <mergeCell ref="E3474:H3474"/>
    <mergeCell ref="E3475:H3475"/>
    <mergeCell ref="E3476:H3476"/>
    <mergeCell ref="E3482:F3482"/>
    <mergeCell ref="E3479:H3479"/>
    <mergeCell ref="E3480:H3480"/>
    <mergeCell ref="E3481:H3481"/>
    <mergeCell ref="E3431:F3431"/>
    <mergeCell ref="E3351:F3351"/>
    <mergeCell ref="E3372:F3372"/>
    <mergeCell ref="E3373:F3373"/>
    <mergeCell ref="E3374:F3374"/>
    <mergeCell ref="E3375:F3375"/>
    <mergeCell ref="E3386:H3386"/>
    <mergeCell ref="E3397:H3397"/>
    <mergeCell ref="E3398:H3398"/>
    <mergeCell ref="E3399:H3399"/>
    <mergeCell ref="E3400:H3400"/>
    <mergeCell ref="E3401:H3401"/>
    <mergeCell ref="E3402:H3402"/>
    <mergeCell ref="E3408:F3408"/>
    <mergeCell ref="E3409:F3409"/>
    <mergeCell ref="E3410:F3410"/>
    <mergeCell ref="E3411:F3411"/>
    <mergeCell ref="E3412:F3412"/>
    <mergeCell ref="E3413:F3413"/>
    <mergeCell ref="E3414:F3414"/>
    <mergeCell ref="E3416:H3416"/>
    <mergeCell ref="E3417:H3417"/>
    <mergeCell ref="E3381:F3381"/>
    <mergeCell ref="E3382:F3382"/>
    <mergeCell ref="E3387:F3387"/>
    <mergeCell ref="E3388:F3388"/>
    <mergeCell ref="E3391:H3391"/>
    <mergeCell ref="E3392:H3392"/>
    <mergeCell ref="E3393:H3393"/>
    <mergeCell ref="E3394:H3394"/>
    <mergeCell ref="E3395:H3395"/>
    <mergeCell ref="E3403:F3403"/>
    <mergeCell ref="E3404:F3404"/>
    <mergeCell ref="E3405:F3405"/>
    <mergeCell ref="E3406:F3406"/>
    <mergeCell ref="E3407:F3407"/>
    <mergeCell ref="E3415:H3415"/>
    <mergeCell ref="E3358:F3358"/>
    <mergeCell ref="E3359:F3359"/>
    <mergeCell ref="E3360:F3360"/>
    <mergeCell ref="E3362:F3362"/>
    <mergeCell ref="E3352:F3352"/>
    <mergeCell ref="E3354:F3354"/>
    <mergeCell ref="E3355:F3355"/>
    <mergeCell ref="E3356:F3356"/>
    <mergeCell ref="E3353:F3353"/>
    <mergeCell ref="E3348:F3348"/>
    <mergeCell ref="E3349:F3349"/>
    <mergeCell ref="E3350:F3350"/>
    <mergeCell ref="E3274:H3274"/>
    <mergeCell ref="E3275:H3275"/>
    <mergeCell ref="E3277:H3277"/>
    <mergeCell ref="E3278:H3278"/>
    <mergeCell ref="E3279:H3279"/>
    <mergeCell ref="E3269:F3269"/>
    <mergeCell ref="E3276:H3276"/>
    <mergeCell ref="E3280:H3280"/>
    <mergeCell ref="E3284:F3284"/>
    <mergeCell ref="E3285:F3285"/>
    <mergeCell ref="E3286:F3286"/>
    <mergeCell ref="E3287:F3287"/>
    <mergeCell ref="E3288:F3288"/>
    <mergeCell ref="E3289:F3289"/>
    <mergeCell ref="E3298:H3298"/>
    <mergeCell ref="E3299:H3299"/>
    <mergeCell ref="E3300:H3300"/>
    <mergeCell ref="E3301:H3301"/>
    <mergeCell ref="E3306:F3306"/>
    <mergeCell ref="E3307:F3307"/>
    <mergeCell ref="E3308:F3308"/>
    <mergeCell ref="E3309:F3309"/>
    <mergeCell ref="E3320:H3320"/>
    <mergeCell ref="E3321:H3321"/>
    <mergeCell ref="E3290:F3290"/>
    <mergeCell ref="E3270:F3270"/>
    <mergeCell ref="E3271:F3271"/>
    <mergeCell ref="E3272:F3272"/>
    <mergeCell ref="E3273:F3273"/>
    <mergeCell ref="E3281:F3281"/>
    <mergeCell ref="E3282:F3282"/>
    <mergeCell ref="E3113:F3113"/>
    <mergeCell ref="E3114:F3114"/>
    <mergeCell ref="E3115:F3115"/>
    <mergeCell ref="E3116:F3116"/>
    <mergeCell ref="E3117:F3117"/>
    <mergeCell ref="E3119:F3119"/>
    <mergeCell ref="E3120:F3120"/>
    <mergeCell ref="E3121:F3121"/>
    <mergeCell ref="E3122:F3122"/>
    <mergeCell ref="E3123:F3123"/>
    <mergeCell ref="E3136:H3136"/>
    <mergeCell ref="E3141:F3141"/>
    <mergeCell ref="E3142:F3142"/>
    <mergeCell ref="E3143:F3143"/>
    <mergeCell ref="E3144:F3144"/>
    <mergeCell ref="E3155:H3155"/>
    <mergeCell ref="E3157:F3157"/>
    <mergeCell ref="E3158:F3158"/>
    <mergeCell ref="E3159:F3159"/>
    <mergeCell ref="E3167:H3167"/>
    <mergeCell ref="E3168:H3168"/>
    <mergeCell ref="E3169:H3169"/>
    <mergeCell ref="E3170:H3170"/>
    <mergeCell ref="E3171:H3171"/>
    <mergeCell ref="E3172:H3172"/>
    <mergeCell ref="E3173:H3173"/>
    <mergeCell ref="E3178:F3178"/>
    <mergeCell ref="E3179:F3179"/>
    <mergeCell ref="E3180:F3180"/>
    <mergeCell ref="E3181:F3181"/>
    <mergeCell ref="E3134:F3134"/>
    <mergeCell ref="E3137:H3137"/>
    <mergeCell ref="E3161:H3161"/>
    <mergeCell ref="E3150:F3150"/>
    <mergeCell ref="E3151:F3151"/>
    <mergeCell ref="E3152:F3152"/>
    <mergeCell ref="E3153:F3153"/>
    <mergeCell ref="E3156:F3156"/>
    <mergeCell ref="E3160:H3160"/>
    <mergeCell ref="E3165:H3165"/>
    <mergeCell ref="E3166:H3166"/>
    <mergeCell ref="E3162:H3162"/>
    <mergeCell ref="E3125:F3125"/>
    <mergeCell ref="E3126:F3126"/>
    <mergeCell ref="E3127:F3127"/>
    <mergeCell ref="E3128:F3128"/>
    <mergeCell ref="E3129:F3129"/>
    <mergeCell ref="E3130:F3130"/>
    <mergeCell ref="E3131:F3131"/>
    <mergeCell ref="E3132:F3132"/>
    <mergeCell ref="E3133:F3133"/>
    <mergeCell ref="E3138:H3138"/>
    <mergeCell ref="E3139:H3139"/>
    <mergeCell ref="E3140:H3140"/>
    <mergeCell ref="E3145:F3145"/>
    <mergeCell ref="E3146:F3146"/>
    <mergeCell ref="E3147:F3147"/>
    <mergeCell ref="E3148:F3148"/>
    <mergeCell ref="E3149:F3149"/>
    <mergeCell ref="E3174:F3174"/>
    <mergeCell ref="E3175:F3175"/>
    <mergeCell ref="E3176:F3176"/>
    <mergeCell ref="E3177:F3177"/>
    <mergeCell ref="E3094:H3094"/>
    <mergeCell ref="E3095:H3095"/>
    <mergeCell ref="E3096:H3096"/>
    <mergeCell ref="E3102:H3102"/>
    <mergeCell ref="E3103:H3103"/>
    <mergeCell ref="E3104:H3104"/>
    <mergeCell ref="E3107:F3107"/>
    <mergeCell ref="E3053:F3053"/>
    <mergeCell ref="E3054:F3054"/>
    <mergeCell ref="E3090:H3090"/>
    <mergeCell ref="E3077:F3077"/>
    <mergeCell ref="E3070:F3070"/>
    <mergeCell ref="E3071:F3071"/>
    <mergeCell ref="E3076:F3076"/>
    <mergeCell ref="E3069:F3069"/>
    <mergeCell ref="E3092:H3092"/>
    <mergeCell ref="E3093:H3093"/>
    <mergeCell ref="E3055:F3055"/>
    <mergeCell ref="E3056:F3056"/>
    <mergeCell ref="E3057:F3057"/>
    <mergeCell ref="E3058:F3058"/>
    <mergeCell ref="E3072:F3072"/>
    <mergeCell ref="E3073:F3073"/>
    <mergeCell ref="E3078:F3078"/>
    <mergeCell ref="E3100:F3100"/>
    <mergeCell ref="E3106:F3106"/>
    <mergeCell ref="E3097:F3097"/>
    <mergeCell ref="E3099:F3099"/>
    <mergeCell ref="E3091:H3091"/>
    <mergeCell ref="E3089:H3089"/>
    <mergeCell ref="E3108:F3108"/>
    <mergeCell ref="E3111:F3111"/>
    <mergeCell ref="E3112:F3112"/>
    <mergeCell ref="E3109:F3109"/>
    <mergeCell ref="E3110:F3110"/>
    <mergeCell ref="E3045:H3045"/>
    <mergeCell ref="E3046:H3046"/>
    <mergeCell ref="E3047:H3047"/>
    <mergeCell ref="E3048:H3048"/>
    <mergeCell ref="E3049:F3049"/>
    <mergeCell ref="E3050:F3050"/>
    <mergeCell ref="E3051:F3051"/>
    <mergeCell ref="E3052:F3052"/>
    <mergeCell ref="E3061:H3061"/>
    <mergeCell ref="E3026:H3026"/>
    <mergeCell ref="E3027:H3027"/>
    <mergeCell ref="E3028:H3028"/>
    <mergeCell ref="E3036:F3036"/>
    <mergeCell ref="E3037:F3037"/>
    <mergeCell ref="E3038:F3038"/>
    <mergeCell ref="E3039:F3039"/>
    <mergeCell ref="E3062:H3062"/>
    <mergeCell ref="E3063:H3063"/>
    <mergeCell ref="E3064:H3064"/>
    <mergeCell ref="E3065:H3065"/>
    <mergeCell ref="E3066:H3066"/>
    <mergeCell ref="E3067:H3067"/>
    <mergeCell ref="E3068:H3068"/>
    <mergeCell ref="E3079:F3079"/>
    <mergeCell ref="E3080:H3080"/>
    <mergeCell ref="E3081:H3081"/>
    <mergeCell ref="E3082:H3082"/>
    <mergeCell ref="E3083:H3083"/>
    <mergeCell ref="E3084:H3084"/>
    <mergeCell ref="E3085:H3085"/>
    <mergeCell ref="E3086:H3086"/>
    <mergeCell ref="E3087:H3087"/>
    <mergeCell ref="E3088:F3088"/>
    <mergeCell ref="E3074:F3074"/>
    <mergeCell ref="E3075:F3075"/>
    <mergeCell ref="E2908:F2908"/>
    <mergeCell ref="E2909:F2909"/>
    <mergeCell ref="E3040:F3040"/>
    <mergeCell ref="E3044:H3044"/>
    <mergeCell ref="E3029:F3029"/>
    <mergeCell ref="E3030:F3030"/>
    <mergeCell ref="E3031:F3031"/>
    <mergeCell ref="E3032:F3032"/>
    <mergeCell ref="E3041:H3041"/>
    <mergeCell ref="E3042:H3042"/>
    <mergeCell ref="E3043:H3043"/>
    <mergeCell ref="E2989:F2989"/>
    <mergeCell ref="E2990:F2990"/>
    <mergeCell ref="E2991:F2991"/>
    <mergeCell ref="E2993:F2993"/>
    <mergeCell ref="E2994:F2994"/>
    <mergeCell ref="E2995:F2995"/>
    <mergeCell ref="E3033:F3033"/>
    <mergeCell ref="E3034:F3034"/>
    <mergeCell ref="E3035:F3035"/>
    <mergeCell ref="E3022:H3022"/>
    <mergeCell ref="E3023:H3023"/>
    <mergeCell ref="E3010:F3010"/>
    <mergeCell ref="E3011:F3011"/>
    <mergeCell ref="E3012:F3012"/>
    <mergeCell ref="E3013:F3013"/>
    <mergeCell ref="E3003:H3003"/>
    <mergeCell ref="E3004:H3004"/>
    <mergeCell ref="E3005:H3005"/>
    <mergeCell ref="E2937:H2937"/>
    <mergeCell ref="E2938:H2938"/>
    <mergeCell ref="E3006:H3006"/>
    <mergeCell ref="E3007:H3007"/>
    <mergeCell ref="E3008:H3008"/>
    <mergeCell ref="E3009:H3009"/>
    <mergeCell ref="E3016:F3016"/>
    <mergeCell ref="E3017:F3017"/>
    <mergeCell ref="E3018:F3018"/>
    <mergeCell ref="E3019:F3019"/>
    <mergeCell ref="E3020:F3020"/>
    <mergeCell ref="E3024:H3024"/>
    <mergeCell ref="E3025:H3025"/>
    <mergeCell ref="E2918:H2918"/>
    <mergeCell ref="E2985:H2985"/>
    <mergeCell ref="E2986:H2986"/>
    <mergeCell ref="E2987:H2987"/>
    <mergeCell ref="E2988:H2988"/>
    <mergeCell ref="E2996:F2996"/>
    <mergeCell ref="E2997:F2997"/>
    <mergeCell ref="E2998:F2998"/>
    <mergeCell ref="E2999:F2999"/>
    <mergeCell ref="E3000:F3000"/>
    <mergeCell ref="E3001:F3001"/>
    <mergeCell ref="E2959:H2959"/>
    <mergeCell ref="E2960:H2960"/>
    <mergeCell ref="E2967:F2967"/>
    <mergeCell ref="E2952:F2952"/>
    <mergeCell ref="E2953:F2953"/>
    <mergeCell ref="E2950:F2950"/>
    <mergeCell ref="E2951:F2951"/>
    <mergeCell ref="E2961:H2961"/>
    <mergeCell ref="E2968:F2968"/>
    <mergeCell ref="E2969:F2969"/>
    <mergeCell ref="E2970:F2970"/>
    <mergeCell ref="E2824:F2824"/>
    <mergeCell ref="E2825:F2825"/>
    <mergeCell ref="E2826:F2826"/>
    <mergeCell ref="E2827:H2827"/>
    <mergeCell ref="E2832:H2832"/>
    <mergeCell ref="E2833:H2833"/>
    <mergeCell ref="E2834:H2834"/>
    <mergeCell ref="E2821:F2821"/>
    <mergeCell ref="E2813:H2813"/>
    <mergeCell ref="E2814:H2814"/>
    <mergeCell ref="E2815:H2815"/>
    <mergeCell ref="E2830:F2830"/>
    <mergeCell ref="E2831:F2831"/>
    <mergeCell ref="E2803:H2803"/>
    <mergeCell ref="E2804:H2804"/>
    <mergeCell ref="E2805:H2805"/>
    <mergeCell ref="E2806:H2806"/>
    <mergeCell ref="E2828:F2828"/>
    <mergeCell ref="E2829:F2829"/>
    <mergeCell ref="E2919:H2919"/>
    <mergeCell ref="E2932:F2932"/>
    <mergeCell ref="E2933:F2933"/>
    <mergeCell ref="E2934:F2934"/>
    <mergeCell ref="E2939:H2939"/>
    <mergeCell ref="E2888:H2888"/>
    <mergeCell ref="E2889:H2889"/>
    <mergeCell ref="E2912:H2912"/>
    <mergeCell ref="E2913:H2913"/>
    <mergeCell ref="E2914:H2914"/>
    <mergeCell ref="E2915:H2915"/>
    <mergeCell ref="E2916:H2916"/>
    <mergeCell ref="E2917:H2917"/>
    <mergeCell ref="E2923:F2923"/>
    <mergeCell ref="E2924:F2924"/>
    <mergeCell ref="E2925:F2925"/>
    <mergeCell ref="E2926:F2926"/>
    <mergeCell ref="E2920:F2920"/>
    <mergeCell ref="E2921:F2921"/>
    <mergeCell ref="E2922:F2922"/>
    <mergeCell ref="E2927:F2927"/>
    <mergeCell ref="E2928:F2928"/>
    <mergeCell ref="E2929:F2929"/>
    <mergeCell ref="E2930:F2930"/>
    <mergeCell ref="E2931:F2931"/>
    <mergeCell ref="E2935:H2935"/>
    <mergeCell ref="E2936:H2936"/>
    <mergeCell ref="E2910:H2910"/>
    <mergeCell ref="E2911:H2911"/>
    <mergeCell ref="E2902:F2902"/>
    <mergeCell ref="E2896:F2896"/>
    <mergeCell ref="E2897:F2897"/>
    <mergeCell ref="E2898:F2898"/>
    <mergeCell ref="E2899:F2899"/>
    <mergeCell ref="E2900:F2900"/>
    <mergeCell ref="E2901:F2901"/>
    <mergeCell ref="E2890:H2890"/>
    <mergeCell ref="E2881:F2881"/>
    <mergeCell ref="E2844:F2844"/>
    <mergeCell ref="E2842:F2842"/>
    <mergeCell ref="E2853:F2853"/>
    <mergeCell ref="E2904:F2904"/>
    <mergeCell ref="E2905:F2905"/>
    <mergeCell ref="E2906:F2906"/>
    <mergeCell ref="E2907:F2907"/>
    <mergeCell ref="E2957:F2957"/>
    <mergeCell ref="E2958:F2958"/>
    <mergeCell ref="E2962:H2962"/>
    <mergeCell ref="E2963:H2963"/>
    <mergeCell ref="E2964:H2964"/>
    <mergeCell ref="E2965:H2965"/>
    <mergeCell ref="E2966:H2966"/>
    <mergeCell ref="E2975:F2975"/>
    <mergeCell ref="E2976:F2976"/>
    <mergeCell ref="E2977:F2977"/>
    <mergeCell ref="E2835:H2835"/>
    <mergeCell ref="E2836:H2836"/>
    <mergeCell ref="E2837:H2837"/>
    <mergeCell ref="E2840:F2840"/>
    <mergeCell ref="E2838:F2838"/>
    <mergeCell ref="E2839:F2839"/>
    <mergeCell ref="E2841:F2841"/>
    <mergeCell ref="E2878:F2878"/>
    <mergeCell ref="E2879:F2879"/>
    <mergeCell ref="E2880:F2880"/>
    <mergeCell ref="E2978:F2978"/>
    <mergeCell ref="E2979:F2979"/>
    <mergeCell ref="E2980:F2980"/>
    <mergeCell ref="E2983:H2983"/>
    <mergeCell ref="E2984:H2984"/>
    <mergeCell ref="E2945:F2945"/>
    <mergeCell ref="E2946:F2946"/>
    <mergeCell ref="E2947:F2947"/>
    <mergeCell ref="E2948:F2948"/>
    <mergeCell ref="E2949:F2949"/>
    <mergeCell ref="E2872:F2872"/>
    <mergeCell ref="E2873:F2873"/>
    <mergeCell ref="E2891:H2891"/>
    <mergeCell ref="E2886:H2886"/>
    <mergeCell ref="E2887:H2887"/>
    <mergeCell ref="E2885:H2885"/>
    <mergeCell ref="E2862:H2862"/>
    <mergeCell ref="E2868:F2868"/>
    <mergeCell ref="E2869:F2869"/>
    <mergeCell ref="E2870:F2870"/>
    <mergeCell ref="E2871:F2871"/>
    <mergeCell ref="E2892:H2892"/>
    <mergeCell ref="E2903:F2903"/>
    <mergeCell ref="E2852:F2852"/>
    <mergeCell ref="E2846:F2846"/>
    <mergeCell ref="E2849:H2849"/>
    <mergeCell ref="E2854:H2854"/>
    <mergeCell ref="E2855:H2855"/>
    <mergeCell ref="E2856:H2856"/>
    <mergeCell ref="E2857:H2857"/>
    <mergeCell ref="E2863:H2863"/>
    <mergeCell ref="E2864:H2864"/>
    <mergeCell ref="E2865:H2865"/>
    <mergeCell ref="E2866:H2866"/>
    <mergeCell ref="E2867:H2867"/>
    <mergeCell ref="E2876:F2876"/>
    <mergeCell ref="E2877:F2877"/>
    <mergeCell ref="E2882:F2882"/>
    <mergeCell ref="E2883:F2883"/>
    <mergeCell ref="E2884:F2884"/>
    <mergeCell ref="E2893:F2893"/>
    <mergeCell ref="E2894:F2894"/>
    <mergeCell ref="E2895:F2895"/>
    <mergeCell ref="E2981:H2981"/>
    <mergeCell ref="E2671:H2671"/>
    <mergeCell ref="E2672:H2672"/>
    <mergeCell ref="E2673:H2673"/>
    <mergeCell ref="E2674:H2674"/>
    <mergeCell ref="E2675:H2675"/>
    <mergeCell ref="E2681:F2681"/>
    <mergeCell ref="E2682:F2682"/>
    <mergeCell ref="E2683:F2683"/>
    <mergeCell ref="E2685:F2685"/>
    <mergeCell ref="E2686:F2686"/>
    <mergeCell ref="E2687:F2687"/>
    <mergeCell ref="E2688:F2688"/>
    <mergeCell ref="E2689:H2689"/>
    <mergeCell ref="E2690:H2690"/>
    <mergeCell ref="E2691:H2691"/>
    <mergeCell ref="E2692:H2692"/>
    <mergeCell ref="E2693:H2693"/>
    <mergeCell ref="E2694:H2694"/>
    <mergeCell ref="E2695:H2695"/>
    <mergeCell ref="E2696:H2696"/>
    <mergeCell ref="E2697:H2697"/>
    <mergeCell ref="E2703:F2703"/>
    <mergeCell ref="E2704:F2704"/>
    <mergeCell ref="E2706:F2706"/>
    <mergeCell ref="E2707:F2707"/>
    <mergeCell ref="E2708:F2708"/>
    <mergeCell ref="E2709:F2709"/>
    <mergeCell ref="E2680:F2680"/>
    <mergeCell ref="E2676:F2676"/>
    <mergeCell ref="E2677:F2677"/>
    <mergeCell ref="E2752:H2752"/>
    <mergeCell ref="E2753:H2753"/>
    <mergeCell ref="E2754:H2754"/>
    <mergeCell ref="E2722:F2722"/>
    <mergeCell ref="E2723:F2723"/>
    <mergeCell ref="E2742:F2742"/>
    <mergeCell ref="E2745:H2745"/>
    <mergeCell ref="E2750:H2750"/>
    <mergeCell ref="E2730:H2730"/>
    <mergeCell ref="E2731:H2731"/>
    <mergeCell ref="E2725:H2725"/>
    <mergeCell ref="E2740:F2740"/>
    <mergeCell ref="E2741:F2741"/>
    <mergeCell ref="E2684:H2684"/>
    <mergeCell ref="E2698:F2698"/>
    <mergeCell ref="E2705:H2705"/>
    <mergeCell ref="E2710:H2710"/>
    <mergeCell ref="E2718:F2718"/>
    <mergeCell ref="E2719:F2719"/>
    <mergeCell ref="E2720:F2720"/>
    <mergeCell ref="E2721:F2721"/>
    <mergeCell ref="E2699:F2699"/>
    <mergeCell ref="E2700:F2700"/>
    <mergeCell ref="E2701:F2701"/>
    <mergeCell ref="E2702:F2702"/>
    <mergeCell ref="E2711:H2711"/>
    <mergeCell ref="E2712:H2712"/>
    <mergeCell ref="E2713:H2713"/>
    <mergeCell ref="E2714:H2714"/>
    <mergeCell ref="E2715:H2715"/>
    <mergeCell ref="E2716:H2716"/>
    <mergeCell ref="E2717:H2717"/>
    <mergeCell ref="E2724:F2724"/>
    <mergeCell ref="E2726:F2726"/>
    <mergeCell ref="E2639:F2639"/>
    <mergeCell ref="E2640:F2640"/>
    <mergeCell ref="E2646:H2646"/>
    <mergeCell ref="E2647:H2647"/>
    <mergeCell ref="E2648:H2648"/>
    <mergeCell ref="E2649:H2649"/>
    <mergeCell ref="E2650:H2650"/>
    <mergeCell ref="E2651:H2651"/>
    <mergeCell ref="E2652:H2652"/>
    <mergeCell ref="E2653:H2653"/>
    <mergeCell ref="E2657:F2657"/>
    <mergeCell ref="E2658:F2658"/>
    <mergeCell ref="E2659:F2659"/>
    <mergeCell ref="E2660:F2660"/>
    <mergeCell ref="E2661:F2661"/>
    <mergeCell ref="E2663:F2663"/>
    <mergeCell ref="E2664:F2664"/>
    <mergeCell ref="E2632:H2632"/>
    <mergeCell ref="E2642:F2642"/>
    <mergeCell ref="E2654:F2654"/>
    <mergeCell ref="E2662:H2662"/>
    <mergeCell ref="E2643:F2643"/>
    <mergeCell ref="E2644:F2644"/>
    <mergeCell ref="E2656:F2656"/>
    <mergeCell ref="E2655:F2655"/>
    <mergeCell ref="E2645:F2645"/>
    <mergeCell ref="E2641:H2641"/>
    <mergeCell ref="E2665:F2665"/>
    <mergeCell ref="E2666:F2666"/>
    <mergeCell ref="E2667:H2667"/>
    <mergeCell ref="E2668:H2668"/>
    <mergeCell ref="E2669:H2669"/>
    <mergeCell ref="E2670:H2670"/>
    <mergeCell ref="E2620:H2620"/>
    <mergeCell ref="E2621:H2621"/>
    <mergeCell ref="E2554:H2554"/>
    <mergeCell ref="E2555:H2555"/>
    <mergeCell ref="E2556:H2556"/>
    <mergeCell ref="E2494:H2494"/>
    <mergeCell ref="E2513:H2513"/>
    <mergeCell ref="E2514:H2514"/>
    <mergeCell ref="E2515:H2515"/>
    <mergeCell ref="E2516:H2516"/>
    <mergeCell ref="E2517:H2517"/>
    <mergeCell ref="E2518:H2518"/>
    <mergeCell ref="E2565:H2565"/>
    <mergeCell ref="E2509:F2509"/>
    <mergeCell ref="E2544:H2544"/>
    <mergeCell ref="E2610:H2610"/>
    <mergeCell ref="E2549:H2549"/>
    <mergeCell ref="E2622:H2622"/>
    <mergeCell ref="E2623:H2623"/>
    <mergeCell ref="E2624:H2624"/>
    <mergeCell ref="E2625:H2625"/>
    <mergeCell ref="E2626:H2626"/>
    <mergeCell ref="E2627:H2627"/>
    <mergeCell ref="E2628:H2628"/>
    <mergeCell ref="E2629:H2629"/>
    <mergeCell ref="E2630:H2630"/>
    <mergeCell ref="E2631:H2631"/>
    <mergeCell ref="E2633:F2633"/>
    <mergeCell ref="E2634:F2634"/>
    <mergeCell ref="E2635:F2635"/>
    <mergeCell ref="E2636:F2636"/>
    <mergeCell ref="E2637:F2637"/>
    <mergeCell ref="E2638:F2638"/>
    <mergeCell ref="E2489:H2489"/>
    <mergeCell ref="E2490:H2490"/>
    <mergeCell ref="E2491:H2491"/>
    <mergeCell ref="E2519:H2519"/>
    <mergeCell ref="E2520:H2520"/>
    <mergeCell ref="E2536:F2536"/>
    <mergeCell ref="E2540:H2540"/>
    <mergeCell ref="E2541:H2541"/>
    <mergeCell ref="E2542:H2542"/>
    <mergeCell ref="E2543:H2543"/>
    <mergeCell ref="E2492:H2492"/>
    <mergeCell ref="E2493:H2493"/>
    <mergeCell ref="E2545:H2545"/>
    <mergeCell ref="E2546:H2546"/>
    <mergeCell ref="E2547:H2547"/>
    <mergeCell ref="E2548:H2548"/>
    <mergeCell ref="E2550:H2550"/>
    <mergeCell ref="E2551:H2551"/>
    <mergeCell ref="E2552:H2552"/>
    <mergeCell ref="E2553:H2553"/>
    <mergeCell ref="E2562:H2562"/>
    <mergeCell ref="E2563:H2563"/>
    <mergeCell ref="E2564:H2564"/>
    <mergeCell ref="E2591:H2591"/>
    <mergeCell ref="E2592:H2592"/>
    <mergeCell ref="E2593:H2593"/>
    <mergeCell ref="E2594:H2594"/>
    <mergeCell ref="E2595:H2595"/>
    <mergeCell ref="E2615:H2615"/>
    <mergeCell ref="E2616:H2616"/>
    <mergeCell ref="E2617:H2617"/>
    <mergeCell ref="E2618:H2618"/>
    <mergeCell ref="E2619:H2619"/>
    <mergeCell ref="E2403:H2403"/>
    <mergeCell ref="E2404:H2404"/>
    <mergeCell ref="E2405:H2405"/>
    <mergeCell ref="E2407:H2407"/>
    <mergeCell ref="E2408:H2408"/>
    <mergeCell ref="E2409:H2409"/>
    <mergeCell ref="E2440:H2440"/>
    <mergeCell ref="E2457:F2457"/>
    <mergeCell ref="E2461:H2461"/>
    <mergeCell ref="E2462:H2462"/>
    <mergeCell ref="E2463:H2463"/>
    <mergeCell ref="E2464:H2464"/>
    <mergeCell ref="E2465:H2465"/>
    <mergeCell ref="E2466:H2466"/>
    <mergeCell ref="E2469:H2469"/>
    <mergeCell ref="E2488:H2488"/>
    <mergeCell ref="E2375:H2375"/>
    <mergeCell ref="E2350:H2350"/>
    <mergeCell ref="E2351:H2351"/>
    <mergeCell ref="E2352:H2352"/>
    <mergeCell ref="E2353:H2353"/>
    <mergeCell ref="E2354:H2354"/>
    <mergeCell ref="E2349:H2349"/>
    <mergeCell ref="E2345:H2345"/>
    <mergeCell ref="E2346:H2346"/>
    <mergeCell ref="E2347:H2347"/>
    <mergeCell ref="E2348:H2348"/>
    <mergeCell ref="E2343:H2343"/>
    <mergeCell ref="E2344:H2344"/>
    <mergeCell ref="E2435:H2435"/>
    <mergeCell ref="E2467:H2467"/>
    <mergeCell ref="E2438:H2438"/>
    <mergeCell ref="E2483:F2483"/>
    <mergeCell ref="E2487:H2487"/>
    <mergeCell ref="E2406:H2406"/>
    <mergeCell ref="E2434:H2434"/>
    <mergeCell ref="E2319:H2319"/>
    <mergeCell ref="E2320:H2320"/>
    <mergeCell ref="E2321:H2321"/>
    <mergeCell ref="E2322:H2322"/>
    <mergeCell ref="E2323:H2323"/>
    <mergeCell ref="E2324:F2324"/>
    <mergeCell ref="E2325:F2325"/>
    <mergeCell ref="E2326:F2326"/>
    <mergeCell ref="E2327:F2327"/>
    <mergeCell ref="E2328:F2328"/>
    <mergeCell ref="E2329:F2329"/>
    <mergeCell ref="E2330:F2330"/>
    <mergeCell ref="E2331:F2331"/>
    <mergeCell ref="E2332:F2332"/>
    <mergeCell ref="E2333:F2333"/>
    <mergeCell ref="E2334:F2334"/>
    <mergeCell ref="E2335:F2335"/>
    <mergeCell ref="E2336:F2336"/>
    <mergeCell ref="E2339:F2339"/>
    <mergeCell ref="E2340:F2340"/>
    <mergeCell ref="E2355:H2355"/>
    <mergeCell ref="E2356:H2356"/>
    <mergeCell ref="E2371:F2371"/>
    <mergeCell ref="E2376:H2376"/>
    <mergeCell ref="E2377:H2377"/>
    <mergeCell ref="E2338:H2338"/>
    <mergeCell ref="E2341:H2341"/>
    <mergeCell ref="E2342:H2342"/>
    <mergeCell ref="E2378:H2378"/>
    <mergeCell ref="E2379:H2379"/>
    <mergeCell ref="E2380:H2380"/>
    <mergeCell ref="E2381:H2381"/>
    <mergeCell ref="E2382:H2382"/>
    <mergeCell ref="E2273:H2273"/>
    <mergeCell ref="E2274:H2274"/>
    <mergeCell ref="E2301:F2301"/>
    <mergeCell ref="E2302:F2302"/>
    <mergeCell ref="E2253:H2253"/>
    <mergeCell ref="E2254:H2254"/>
    <mergeCell ref="E2255:F2255"/>
    <mergeCell ref="E2256:F2256"/>
    <mergeCell ref="E2257:F2257"/>
    <mergeCell ref="E2258:F2258"/>
    <mergeCell ref="E2259:F2259"/>
    <mergeCell ref="E2260:F2260"/>
    <mergeCell ref="E2261:F2261"/>
    <mergeCell ref="E2262:F2262"/>
    <mergeCell ref="E2263:F2263"/>
    <mergeCell ref="E2264:F2264"/>
    <mergeCell ref="E2265:F2265"/>
    <mergeCell ref="E2266:F2266"/>
    <mergeCell ref="E2275:F2275"/>
    <mergeCell ref="E2277:F2277"/>
    <mergeCell ref="E2310:F2310"/>
    <mergeCell ref="E2311:F2311"/>
    <mergeCell ref="E2312:F2312"/>
    <mergeCell ref="E2313:F2313"/>
    <mergeCell ref="E2314:F2314"/>
    <mergeCell ref="E2315:F2315"/>
    <mergeCell ref="E2290:F2290"/>
    <mergeCell ref="E2291:F2291"/>
    <mergeCell ref="E2292:F2292"/>
    <mergeCell ref="E2293:F2293"/>
    <mergeCell ref="E2267:H2267"/>
    <mergeCell ref="E2316:F2316"/>
    <mergeCell ref="E2317:F2317"/>
    <mergeCell ref="E2201:F2201"/>
    <mergeCell ref="E2202:F2202"/>
    <mergeCell ref="E2203:F2203"/>
    <mergeCell ref="E2204:F2204"/>
    <mergeCell ref="E2205:F2205"/>
    <mergeCell ref="E2206:F2206"/>
    <mergeCell ref="E2207:H2207"/>
    <mergeCell ref="E2208:H2208"/>
    <mergeCell ref="E2215:F2215"/>
    <mergeCell ref="E2216:F2216"/>
    <mergeCell ref="E2217:F2217"/>
    <mergeCell ref="E2218:F2218"/>
    <mergeCell ref="E2219:F2219"/>
    <mergeCell ref="E2220:F2220"/>
    <mergeCell ref="E2210:H2210"/>
    <mergeCell ref="E2211:H2211"/>
    <mergeCell ref="E2212:H2212"/>
    <mergeCell ref="E2213:H2213"/>
    <mergeCell ref="E2214:H2214"/>
    <mergeCell ref="E2209:H2209"/>
    <mergeCell ref="E2303:F2303"/>
    <mergeCell ref="E2304:F2304"/>
    <mergeCell ref="E2305:F2305"/>
    <mergeCell ref="E2306:F2306"/>
    <mergeCell ref="E2307:F2307"/>
    <mergeCell ref="E2308:F2308"/>
    <mergeCell ref="E2222:F2222"/>
    <mergeCell ref="E2223:F2223"/>
    <mergeCell ref="E2224:F2224"/>
    <mergeCell ref="E2225:F2225"/>
    <mergeCell ref="E2226:F2226"/>
    <mergeCell ref="E2227:H2227"/>
    <mergeCell ref="E2228:H2228"/>
    <mergeCell ref="E2229:H2229"/>
    <mergeCell ref="E2230:H2230"/>
    <mergeCell ref="E2231:H2231"/>
    <mergeCell ref="E2232:H2232"/>
    <mergeCell ref="E2233:H2233"/>
    <mergeCell ref="E2234:H2234"/>
    <mergeCell ref="E2235:F2235"/>
    <mergeCell ref="E2236:F2236"/>
    <mergeCell ref="E2237:F2237"/>
    <mergeCell ref="E2238:F2238"/>
    <mergeCell ref="E2239:F2239"/>
    <mergeCell ref="E2240:F2240"/>
    <mergeCell ref="E2241:F2241"/>
    <mergeCell ref="E2242:F2242"/>
    <mergeCell ref="E2243:F2243"/>
    <mergeCell ref="E2244:F2244"/>
    <mergeCell ref="E2245:F2245"/>
    <mergeCell ref="E2246:F2246"/>
    <mergeCell ref="E2247:H2247"/>
    <mergeCell ref="E2248:H2248"/>
    <mergeCell ref="E2249:H2249"/>
    <mergeCell ref="E2250:H2250"/>
    <mergeCell ref="E2251:H2251"/>
    <mergeCell ref="E2252:H2252"/>
    <mergeCell ref="E2294:F2294"/>
    <mergeCell ref="E2295:F2295"/>
    <mergeCell ref="E2268:H2268"/>
    <mergeCell ref="E2269:H2269"/>
    <mergeCell ref="E2270:H2270"/>
    <mergeCell ref="E2271:H2271"/>
    <mergeCell ref="E2272:H2272"/>
    <mergeCell ref="E2003:F2003"/>
    <mergeCell ref="E2004:F2004"/>
    <mergeCell ref="E2005:F2005"/>
    <mergeCell ref="E2011:H2011"/>
    <mergeCell ref="E2012:H2012"/>
    <mergeCell ref="E2013:H2013"/>
    <mergeCell ref="E2014:H2014"/>
    <mergeCell ref="E1912:F1912"/>
    <mergeCell ref="E1914:H1914"/>
    <mergeCell ref="E1915:H1915"/>
    <mergeCell ref="E1918:H1918"/>
    <mergeCell ref="E1919:H1919"/>
    <mergeCell ref="E1920:H1920"/>
    <mergeCell ref="E1921:H1921"/>
    <mergeCell ref="E1922:H1922"/>
    <mergeCell ref="E1870:F1870"/>
    <mergeCell ref="E1871:F1871"/>
    <mergeCell ref="E2015:H2015"/>
    <mergeCell ref="E2016:H2016"/>
    <mergeCell ref="E2017:H2017"/>
    <mergeCell ref="E2018:H2018"/>
    <mergeCell ref="E2022:F2022"/>
    <mergeCell ref="E2030:H2030"/>
    <mergeCell ref="E2031:H2031"/>
    <mergeCell ref="E2032:H2032"/>
    <mergeCell ref="E2033:H2033"/>
    <mergeCell ref="E1953:H1953"/>
    <mergeCell ref="E1976:H1976"/>
    <mergeCell ref="E1988:F1988"/>
    <mergeCell ref="E1993:H1993"/>
    <mergeCell ref="E1982:F1982"/>
    <mergeCell ref="E1983:F1983"/>
    <mergeCell ref="E1984:F1984"/>
    <mergeCell ref="E1985:F1985"/>
    <mergeCell ref="E1986:F1986"/>
    <mergeCell ref="E1987:F1987"/>
    <mergeCell ref="E1978:F1978"/>
    <mergeCell ref="E1979:F1979"/>
    <mergeCell ref="E1980:F1980"/>
    <mergeCell ref="E1981:F1981"/>
    <mergeCell ref="E1970:H1970"/>
    <mergeCell ref="E1971:H1971"/>
    <mergeCell ref="E1972:H1972"/>
    <mergeCell ref="E1973:H1973"/>
    <mergeCell ref="E1974:H1974"/>
    <mergeCell ref="E1975:H1975"/>
    <mergeCell ref="E1964:F1964"/>
    <mergeCell ref="E1965:F1965"/>
    <mergeCell ref="E1966:F1966"/>
    <mergeCell ref="E1967:F1967"/>
    <mergeCell ref="E1958:F1958"/>
    <mergeCell ref="E1959:F1959"/>
    <mergeCell ref="E1960:F1960"/>
    <mergeCell ref="E1961:F1961"/>
    <mergeCell ref="E1962:F1962"/>
    <mergeCell ref="E1963:F1963"/>
    <mergeCell ref="E1969:H1969"/>
    <mergeCell ref="E1923:H1923"/>
    <mergeCell ref="E1924:H1924"/>
    <mergeCell ref="E1925:H1925"/>
    <mergeCell ref="E1926:H1926"/>
    <mergeCell ref="E1927:H1927"/>
    <mergeCell ref="E1928:H1928"/>
    <mergeCell ref="E1932:F1932"/>
    <mergeCell ref="E1761:H1761"/>
    <mergeCell ref="E1762:H1762"/>
    <mergeCell ref="E1763:H1763"/>
    <mergeCell ref="E1764:H1764"/>
    <mergeCell ref="E1765:H1765"/>
    <mergeCell ref="E1766:H1766"/>
    <mergeCell ref="E1767:H1767"/>
    <mergeCell ref="E1768:H1768"/>
    <mergeCell ref="E1773:F1773"/>
    <mergeCell ref="E1774:F1774"/>
    <mergeCell ref="E1775:F1775"/>
    <mergeCell ref="E1777:F1777"/>
    <mergeCell ref="E1778:F1778"/>
    <mergeCell ref="E1779:F1779"/>
    <mergeCell ref="E1780:F1780"/>
    <mergeCell ref="E1781:H1781"/>
    <mergeCell ref="E1782:H1782"/>
    <mergeCell ref="E1783:H1783"/>
    <mergeCell ref="E1784:H1784"/>
    <mergeCell ref="E1790:F1790"/>
    <mergeCell ref="E1791:F1791"/>
    <mergeCell ref="E1792:F1792"/>
    <mergeCell ref="E1794:F1794"/>
    <mergeCell ref="E1795:F1795"/>
    <mergeCell ref="E1797:F1797"/>
    <mergeCell ref="E1798:F1798"/>
    <mergeCell ref="E1799:F1799"/>
    <mergeCell ref="E1800:F1800"/>
    <mergeCell ref="E1803:H1803"/>
    <mergeCell ref="E1804:H1804"/>
    <mergeCell ref="E1805:H1805"/>
    <mergeCell ref="E1806:H1806"/>
    <mergeCell ref="E1809:F1809"/>
    <mergeCell ref="E1787:H1787"/>
    <mergeCell ref="E1788:H1788"/>
    <mergeCell ref="E1771:F1771"/>
    <mergeCell ref="E1769:F1769"/>
    <mergeCell ref="E1772:F1772"/>
    <mergeCell ref="E1785:H1785"/>
    <mergeCell ref="E1786:H1786"/>
    <mergeCell ref="E1793:F1793"/>
    <mergeCell ref="E1801:H1801"/>
    <mergeCell ref="E1802:H1802"/>
    <mergeCell ref="E1807:H1807"/>
    <mergeCell ref="E1808:H1808"/>
    <mergeCell ref="E1789:H1789"/>
    <mergeCell ref="E1770:F1770"/>
    <mergeCell ref="E1776:H1776"/>
    <mergeCell ref="E1796:H1796"/>
    <mergeCell ref="E1678:F1678"/>
    <mergeCell ref="E1710:F1710"/>
    <mergeCell ref="E1711:F1711"/>
    <mergeCell ref="E1714:H1714"/>
    <mergeCell ref="E1715:H1715"/>
    <mergeCell ref="E1716:H1716"/>
    <mergeCell ref="E1717:H1717"/>
    <mergeCell ref="E1718:H1718"/>
    <mergeCell ref="E1719:H1719"/>
    <mergeCell ref="E1720:H1720"/>
    <mergeCell ref="E1748:F1748"/>
    <mergeCell ref="E1749:F1749"/>
    <mergeCell ref="E1750:F1750"/>
    <mergeCell ref="E1751:F1751"/>
    <mergeCell ref="E1747:F1747"/>
    <mergeCell ref="E1739:H1739"/>
    <mergeCell ref="E1740:H1740"/>
    <mergeCell ref="E1729:F1729"/>
    <mergeCell ref="E1730:F1730"/>
    <mergeCell ref="E1731:F1731"/>
    <mergeCell ref="E1734:H1734"/>
    <mergeCell ref="E1726:F1726"/>
    <mergeCell ref="E1727:F1727"/>
    <mergeCell ref="E1728:F1728"/>
    <mergeCell ref="E1679:F1679"/>
    <mergeCell ref="E1680:F1680"/>
    <mergeCell ref="E1682:F1682"/>
    <mergeCell ref="E1683:F1683"/>
    <mergeCell ref="E1703:F1703"/>
    <mergeCell ref="E1704:F1704"/>
    <mergeCell ref="E1705:F1705"/>
    <mergeCell ref="E1700:F1700"/>
    <mergeCell ref="E1701:F1701"/>
    <mergeCell ref="E1702:F1702"/>
    <mergeCell ref="E1687:F1687"/>
    <mergeCell ref="E1688:F1688"/>
    <mergeCell ref="E1684:F1684"/>
    <mergeCell ref="E1685:F1685"/>
    <mergeCell ref="E1686:F1686"/>
    <mergeCell ref="E1690:H1690"/>
    <mergeCell ref="E1691:H1691"/>
    <mergeCell ref="E1692:H1692"/>
    <mergeCell ref="E1693:H1693"/>
    <mergeCell ref="E1694:H1694"/>
    <mergeCell ref="E1706:F1706"/>
    <mergeCell ref="E1707:F1707"/>
    <mergeCell ref="E1622:F1622"/>
    <mergeCell ref="E1628:F1628"/>
    <mergeCell ref="E1631:F1631"/>
    <mergeCell ref="E1632:F1632"/>
    <mergeCell ref="E1633:F1633"/>
    <mergeCell ref="E1636:F1636"/>
    <mergeCell ref="E1638:H1638"/>
    <mergeCell ref="E1639:H1639"/>
    <mergeCell ref="E1645:F1645"/>
    <mergeCell ref="E1647:F1647"/>
    <mergeCell ref="E1648:F1648"/>
    <mergeCell ref="E1668:F1668"/>
    <mergeCell ref="E1669:F1669"/>
    <mergeCell ref="E1671:F1671"/>
    <mergeCell ref="E1672:F1672"/>
    <mergeCell ref="E1665:F1665"/>
    <mergeCell ref="E1666:F1666"/>
    <mergeCell ref="E1667:F1667"/>
    <mergeCell ref="E1659:F1659"/>
    <mergeCell ref="E1660:F1660"/>
    <mergeCell ref="E1661:F1661"/>
    <mergeCell ref="E1662:F1662"/>
    <mergeCell ref="E1663:F1663"/>
    <mergeCell ref="E1664:F1664"/>
    <mergeCell ref="E1657:F1657"/>
    <mergeCell ref="E1658:F1658"/>
    <mergeCell ref="E1652:H1652"/>
    <mergeCell ref="E1650:H1650"/>
    <mergeCell ref="E1651:H1651"/>
    <mergeCell ref="E1655:F1655"/>
    <mergeCell ref="E1656:F1656"/>
    <mergeCell ref="E1654:F1654"/>
    <mergeCell ref="E1644:H1644"/>
    <mergeCell ref="E1627:F1627"/>
    <mergeCell ref="E1629:F1629"/>
    <mergeCell ref="E1623:F1623"/>
    <mergeCell ref="E1624:F1624"/>
    <mergeCell ref="E1625:F1625"/>
    <mergeCell ref="E1626:F1626"/>
    <mergeCell ref="E1558:H1558"/>
    <mergeCell ref="E1559:H1559"/>
    <mergeCell ref="E1560:H1560"/>
    <mergeCell ref="E1561:H1561"/>
    <mergeCell ref="E1563:F1563"/>
    <mergeCell ref="E1564:F1564"/>
    <mergeCell ref="E1565:F1565"/>
    <mergeCell ref="E1566:F1566"/>
    <mergeCell ref="E1567:F1567"/>
    <mergeCell ref="E1568:F1568"/>
    <mergeCell ref="E1569:F1569"/>
    <mergeCell ref="E1577:F1577"/>
    <mergeCell ref="E1581:H1581"/>
    <mergeCell ref="E1589:F1589"/>
    <mergeCell ref="E1591:F1591"/>
    <mergeCell ref="E1594:F1594"/>
    <mergeCell ref="E1595:F1595"/>
    <mergeCell ref="E1596:F1596"/>
    <mergeCell ref="E1597:F1597"/>
    <mergeCell ref="E1598:F1598"/>
    <mergeCell ref="E1599:F1599"/>
    <mergeCell ref="E1605:F1605"/>
    <mergeCell ref="E1609:H1609"/>
    <mergeCell ref="E1610:H1610"/>
    <mergeCell ref="E1612:H1612"/>
    <mergeCell ref="E1613:H1613"/>
    <mergeCell ref="E1602:F1602"/>
    <mergeCell ref="E1603:F1603"/>
    <mergeCell ref="E1604:F1604"/>
    <mergeCell ref="E1606:F1606"/>
    <mergeCell ref="E1607:F1607"/>
    <mergeCell ref="E1608:F1608"/>
    <mergeCell ref="E1611:H1611"/>
    <mergeCell ref="E13543:F13543"/>
    <mergeCell ref="E13544:F13544"/>
    <mergeCell ref="E13545:F13545"/>
    <mergeCell ref="E13546:F13546"/>
    <mergeCell ref="E13551:H13551"/>
    <mergeCell ref="E13552:H13552"/>
    <mergeCell ref="E13553:H13553"/>
    <mergeCell ref="E13554:H13554"/>
    <mergeCell ref="E13376:H13376"/>
    <mergeCell ref="E13377:H13377"/>
    <mergeCell ref="E13402:F13402"/>
    <mergeCell ref="E13403:F13403"/>
    <mergeCell ref="E13404:F13404"/>
    <mergeCell ref="E13405:F13405"/>
    <mergeCell ref="E13406:F13406"/>
    <mergeCell ref="E13407:F13407"/>
    <mergeCell ref="E13408:F13408"/>
    <mergeCell ref="E13410:H13410"/>
    <mergeCell ref="E13411:H13411"/>
    <mergeCell ref="E13412:H13412"/>
    <mergeCell ref="E13384:F13384"/>
    <mergeCell ref="E13385:F13385"/>
    <mergeCell ref="E13386:F13386"/>
    <mergeCell ref="E13387:F13387"/>
    <mergeCell ref="E13388:F13388"/>
    <mergeCell ref="E13400:F13400"/>
    <mergeCell ref="E13462:F13462"/>
    <mergeCell ref="E13445:H13445"/>
    <mergeCell ref="E13455:F13455"/>
    <mergeCell ref="E13378:H13378"/>
    <mergeCell ref="E13379:H13379"/>
    <mergeCell ref="E13380:H13380"/>
    <mergeCell ref="E13381:H13381"/>
    <mergeCell ref="E13390:F13390"/>
    <mergeCell ref="E13392:H13392"/>
    <mergeCell ref="E13426:F13426"/>
    <mergeCell ref="E13423:F13423"/>
    <mergeCell ref="E13424:F13424"/>
    <mergeCell ref="E13425:F13425"/>
    <mergeCell ref="E13413:H13413"/>
    <mergeCell ref="E13418:F13418"/>
    <mergeCell ref="E13419:F13419"/>
    <mergeCell ref="E13420:F13420"/>
    <mergeCell ref="E13421:F13421"/>
    <mergeCell ref="E13414:H13414"/>
    <mergeCell ref="E13415:H13415"/>
    <mergeCell ref="E13416:H13416"/>
    <mergeCell ref="E13417:H13417"/>
    <mergeCell ref="E13427:H13427"/>
    <mergeCell ref="E13429:H13429"/>
    <mergeCell ref="E13430:H13430"/>
    <mergeCell ref="E13435:F13435"/>
    <mergeCell ref="E13436:F13436"/>
    <mergeCell ref="E13437:F13437"/>
    <mergeCell ref="E13438:F13438"/>
    <mergeCell ref="E13439:F13439"/>
    <mergeCell ref="E13440:F13440"/>
    <mergeCell ref="E13441:F13441"/>
    <mergeCell ref="E13442:F13442"/>
    <mergeCell ref="E13443:F13443"/>
    <mergeCell ref="E13444:F13444"/>
    <mergeCell ref="E13446:H13446"/>
    <mergeCell ref="E13447:H13447"/>
    <mergeCell ref="E13448:H13448"/>
    <mergeCell ref="E13537:F13537"/>
    <mergeCell ref="E13538:F13538"/>
    <mergeCell ref="E13534:H13534"/>
    <mergeCell ref="E13535:H13535"/>
    <mergeCell ref="E13536:H13536"/>
    <mergeCell ref="E13539:F13539"/>
    <mergeCell ref="E13540:F13540"/>
    <mergeCell ref="E13541:F13541"/>
    <mergeCell ref="E13542:F13542"/>
    <mergeCell ref="E1673:F1673"/>
    <mergeCell ref="E1674:F1674"/>
    <mergeCell ref="E1675:F1675"/>
    <mergeCell ref="E1695:F1695"/>
    <mergeCell ref="E1696:F1696"/>
    <mergeCell ref="E1697:F1697"/>
    <mergeCell ref="E1698:F1698"/>
    <mergeCell ref="E1699:F1699"/>
    <mergeCell ref="E1709:H1709"/>
    <mergeCell ref="E1712:H1712"/>
    <mergeCell ref="E1713:H1713"/>
    <mergeCell ref="E1722:H1722"/>
    <mergeCell ref="E1723:H1723"/>
    <mergeCell ref="E1724:H1724"/>
    <mergeCell ref="E1725:H1725"/>
    <mergeCell ref="E1733:F1733"/>
    <mergeCell ref="E1735:F1735"/>
    <mergeCell ref="E1736:F1736"/>
    <mergeCell ref="E1737:F1737"/>
    <mergeCell ref="E1738:F1738"/>
    <mergeCell ref="E1741:H1741"/>
    <mergeCell ref="E1742:H1742"/>
    <mergeCell ref="E1743:H1743"/>
    <mergeCell ref="E1744:H1744"/>
    <mergeCell ref="E1745:H1745"/>
    <mergeCell ref="E1746:H1746"/>
    <mergeCell ref="E13268:F13268"/>
    <mergeCell ref="E13228:F13228"/>
    <mergeCell ref="E13229:F13229"/>
    <mergeCell ref="E13236:H13236"/>
    <mergeCell ref="E13237:H13237"/>
    <mergeCell ref="E13243:H13243"/>
    <mergeCell ref="E13244:H13244"/>
    <mergeCell ref="E13245:H13245"/>
    <mergeCell ref="E13246:H13246"/>
    <mergeCell ref="E13252:F13252"/>
    <mergeCell ref="E13253:F13253"/>
    <mergeCell ref="E13254:F13254"/>
    <mergeCell ref="E13256:F13256"/>
    <mergeCell ref="E13399:H13399"/>
    <mergeCell ref="E13401:F13401"/>
    <mergeCell ref="E13409:F13409"/>
    <mergeCell ref="E13331:F13331"/>
    <mergeCell ref="E1752:F1752"/>
    <mergeCell ref="E1753:F1753"/>
    <mergeCell ref="E1754:F1754"/>
    <mergeCell ref="E1756:F1756"/>
    <mergeCell ref="E1757:F1757"/>
    <mergeCell ref="E1758:F1758"/>
    <mergeCell ref="E1759:F1759"/>
    <mergeCell ref="E1721:H1721"/>
    <mergeCell ref="E1732:F1732"/>
    <mergeCell ref="E1755:H1755"/>
    <mergeCell ref="E1676:F1676"/>
    <mergeCell ref="E1677:F1677"/>
    <mergeCell ref="E13334:F13334"/>
    <mergeCell ref="E13335:F13335"/>
    <mergeCell ref="E13336:F13336"/>
    <mergeCell ref="E13337:F13337"/>
    <mergeCell ref="E13301:H13301"/>
    <mergeCell ref="E13302:H13302"/>
    <mergeCell ref="E13309:F13309"/>
    <mergeCell ref="E13340:H13340"/>
    <mergeCell ref="E13341:H13341"/>
    <mergeCell ref="E13342:H13342"/>
    <mergeCell ref="E13343:H13343"/>
    <mergeCell ref="E13344:H13344"/>
    <mergeCell ref="E13345:H13345"/>
    <mergeCell ref="E13362:H13362"/>
    <mergeCell ref="E13363:H13363"/>
    <mergeCell ref="E13370:F13370"/>
    <mergeCell ref="E13372:F13372"/>
    <mergeCell ref="E13373:F13373"/>
    <mergeCell ref="E13375:H13375"/>
    <mergeCell ref="E13308:F13308"/>
    <mergeCell ref="E13319:H13319"/>
    <mergeCell ref="E13320:H13320"/>
    <mergeCell ref="E13321:H13321"/>
    <mergeCell ref="E13327:F13327"/>
    <mergeCell ref="E13328:F13328"/>
    <mergeCell ref="E13329:F13329"/>
    <mergeCell ref="E13338:H13338"/>
    <mergeCell ref="E13339:H13339"/>
    <mergeCell ref="E13346:F13346"/>
    <mergeCell ref="E13347:F13347"/>
    <mergeCell ref="E13303:H13303"/>
    <mergeCell ref="E13304:H13304"/>
    <mergeCell ref="E13305:H13305"/>
    <mergeCell ref="E13306:H13306"/>
    <mergeCell ref="E13307:H13307"/>
    <mergeCell ref="E13310:F13310"/>
    <mergeCell ref="E13311:F13311"/>
    <mergeCell ref="E13312:F13312"/>
    <mergeCell ref="E13313:F13313"/>
    <mergeCell ref="E13322:H13322"/>
    <mergeCell ref="E13323:H13323"/>
    <mergeCell ref="E13324:H13324"/>
    <mergeCell ref="E13325:H13325"/>
    <mergeCell ref="E13326:H13326"/>
    <mergeCell ref="E13348:F13348"/>
    <mergeCell ref="E13149:F13149"/>
    <mergeCell ref="E13156:H13156"/>
    <mergeCell ref="E13157:H13157"/>
    <mergeCell ref="E13166:F13166"/>
    <mergeCell ref="E13167:F13167"/>
    <mergeCell ref="E13195:H13195"/>
    <mergeCell ref="E13196:H13196"/>
    <mergeCell ref="E13198:F13198"/>
    <mergeCell ref="E13199:F13199"/>
    <mergeCell ref="E13200:F13200"/>
    <mergeCell ref="E13201:F13201"/>
    <mergeCell ref="E13202:F13202"/>
    <mergeCell ref="E13210:H13210"/>
    <mergeCell ref="E13211:H13211"/>
    <mergeCell ref="E13197:H13197"/>
    <mergeCell ref="E13203:F13203"/>
    <mergeCell ref="E13204:F13204"/>
    <mergeCell ref="E13205:F13205"/>
    <mergeCell ref="E13206:F13206"/>
    <mergeCell ref="E13207:F13207"/>
    <mergeCell ref="E13208:F13208"/>
    <mergeCell ref="E13217:H13217"/>
    <mergeCell ref="E13209:F13209"/>
    <mergeCell ref="E13233:H13233"/>
    <mergeCell ref="E13240:F13240"/>
    <mergeCell ref="E13267:F13267"/>
    <mergeCell ref="E13168:F13168"/>
    <mergeCell ref="E13169:F13169"/>
    <mergeCell ref="E13129:F13129"/>
    <mergeCell ref="E13146:F13146"/>
    <mergeCell ref="E13160:F13160"/>
    <mergeCell ref="E13161:F13161"/>
    <mergeCell ref="E13126:F13126"/>
    <mergeCell ref="E12712:H12712"/>
    <mergeCell ref="E12657:F12657"/>
    <mergeCell ref="E12665:F12665"/>
    <mergeCell ref="E12618:F12618"/>
    <mergeCell ref="E12614:H12614"/>
    <mergeCell ref="E12580:H12580"/>
    <mergeCell ref="E12581:H12581"/>
    <mergeCell ref="E12582:H12582"/>
    <mergeCell ref="E12583:H12583"/>
    <mergeCell ref="E12586:F12586"/>
    <mergeCell ref="E12587:F12587"/>
    <mergeCell ref="E12588:F12588"/>
    <mergeCell ref="E12589:F12589"/>
    <mergeCell ref="E12590:F12590"/>
    <mergeCell ref="E12591:F12591"/>
    <mergeCell ref="E12600:H12600"/>
    <mergeCell ref="E12605:F12605"/>
    <mergeCell ref="E12608:F12608"/>
    <mergeCell ref="E12688:H12688"/>
    <mergeCell ref="E12689:H12689"/>
    <mergeCell ref="E12696:F12696"/>
    <mergeCell ref="E12697:F12697"/>
    <mergeCell ref="E13113:H13113"/>
    <mergeCell ref="E13172:H13172"/>
    <mergeCell ref="E13136:H13136"/>
    <mergeCell ref="E13137:H13137"/>
    <mergeCell ref="E13139:F13139"/>
    <mergeCell ref="E13140:F13140"/>
    <mergeCell ref="E13141:F13141"/>
    <mergeCell ref="E13142:F13142"/>
    <mergeCell ref="E13143:F13143"/>
    <mergeCell ref="E13144:F13144"/>
    <mergeCell ref="E13150:H13150"/>
    <mergeCell ref="E13151:H13151"/>
    <mergeCell ref="E13152:H13152"/>
    <mergeCell ref="E13153:H13153"/>
    <mergeCell ref="E13154:H13154"/>
    <mergeCell ref="E13155:H13155"/>
    <mergeCell ref="E13158:F13158"/>
    <mergeCell ref="E13159:F13159"/>
    <mergeCell ref="E13162:F13162"/>
    <mergeCell ref="E13163:F13163"/>
    <mergeCell ref="E13164:F13164"/>
    <mergeCell ref="E13165:F13165"/>
    <mergeCell ref="E13170:H13170"/>
    <mergeCell ref="E13089:H13089"/>
    <mergeCell ref="E13090:H13090"/>
    <mergeCell ref="E13091:H13091"/>
    <mergeCell ref="E13092:H13092"/>
    <mergeCell ref="E13093:H13093"/>
    <mergeCell ref="E13094:H13094"/>
    <mergeCell ref="E13097:F13097"/>
    <mergeCell ref="E13098:F13098"/>
    <mergeCell ref="E13099:F13099"/>
    <mergeCell ref="E13100:F13100"/>
    <mergeCell ref="E13101:F13101"/>
    <mergeCell ref="E13102:F13102"/>
    <mergeCell ref="E13104:H13104"/>
    <mergeCell ref="E13109:H13109"/>
    <mergeCell ref="E13110:H13110"/>
    <mergeCell ref="E13111:H13111"/>
    <mergeCell ref="E13112:H13112"/>
    <mergeCell ref="E13117:F13117"/>
    <mergeCell ref="E13118:F13118"/>
    <mergeCell ref="E12857:F12857"/>
    <mergeCell ref="E12858:F12858"/>
    <mergeCell ref="E12865:H12865"/>
    <mergeCell ref="E12870:H12870"/>
    <mergeCell ref="E12871:F12871"/>
    <mergeCell ref="E12884:H12884"/>
    <mergeCell ref="E12887:H12887"/>
    <mergeCell ref="E12831:H12831"/>
    <mergeCell ref="E12832:H12832"/>
    <mergeCell ref="E12833:H12833"/>
    <mergeCell ref="E12834:H12834"/>
    <mergeCell ref="E12835:H12835"/>
    <mergeCell ref="E12836:H12836"/>
    <mergeCell ref="E12837:H12837"/>
    <mergeCell ref="E12841:F12841"/>
    <mergeCell ref="E12842:F12842"/>
    <mergeCell ref="E12844:F12844"/>
    <mergeCell ref="E12845:F12845"/>
    <mergeCell ref="E12847:F12847"/>
    <mergeCell ref="E12851:H12851"/>
    <mergeCell ref="E12852:H12852"/>
    <mergeCell ref="E12853:H12853"/>
    <mergeCell ref="E12854:H12854"/>
    <mergeCell ref="E12855:H12855"/>
    <mergeCell ref="E12856:H12856"/>
    <mergeCell ref="E12818:F12818"/>
    <mergeCell ref="E12819:F12819"/>
    <mergeCell ref="E12820:F12820"/>
    <mergeCell ref="E12849:F12849"/>
    <mergeCell ref="E12850:F12850"/>
    <mergeCell ref="E12822:H12822"/>
    <mergeCell ref="E12823:H12823"/>
    <mergeCell ref="E12805:H12805"/>
    <mergeCell ref="E12806:H12806"/>
    <mergeCell ref="E12825:H12825"/>
    <mergeCell ref="E12840:F12840"/>
    <mergeCell ref="E12839:F12839"/>
    <mergeCell ref="E12653:F12653"/>
    <mergeCell ref="E12674:F12674"/>
    <mergeCell ref="E12686:H12686"/>
    <mergeCell ref="E12687:H12687"/>
    <mergeCell ref="E12690:H12690"/>
    <mergeCell ref="E12694:H12694"/>
    <mergeCell ref="E12706:F12706"/>
    <mergeCell ref="E12666:F12666"/>
    <mergeCell ref="E12667:F12667"/>
    <mergeCell ref="E12668:F12668"/>
    <mergeCell ref="E12669:F12669"/>
    <mergeCell ref="E12670:F12670"/>
    <mergeCell ref="E12671:F12671"/>
    <mergeCell ref="E12672:F12672"/>
    <mergeCell ref="E12673:F12673"/>
    <mergeCell ref="E12678:H12678"/>
    <mergeCell ref="E12685:H12685"/>
    <mergeCell ref="E12407:F12407"/>
    <mergeCell ref="E12408:F12408"/>
    <mergeCell ref="E12520:F12520"/>
    <mergeCell ref="E12521:F12521"/>
    <mergeCell ref="E12534:F12534"/>
    <mergeCell ref="E12515:F12515"/>
    <mergeCell ref="E12516:F12516"/>
    <mergeCell ref="E12518:F12518"/>
    <mergeCell ref="E12519:F12519"/>
    <mergeCell ref="E12528:H12528"/>
    <mergeCell ref="E12439:F12439"/>
    <mergeCell ref="E12440:F12440"/>
    <mergeCell ref="E12441:F12441"/>
    <mergeCell ref="E12442:F12442"/>
    <mergeCell ref="E12466:F12466"/>
    <mergeCell ref="E12478:F12478"/>
    <mergeCell ref="E12479:F12479"/>
    <mergeCell ref="E12473:F12473"/>
    <mergeCell ref="E12474:F12474"/>
    <mergeCell ref="E12483:H12483"/>
    <mergeCell ref="E12484:H12484"/>
    <mergeCell ref="E12485:H12485"/>
    <mergeCell ref="E12486:H12486"/>
    <mergeCell ref="E12487:H12487"/>
    <mergeCell ref="E12435:F12435"/>
    <mergeCell ref="E12436:F12436"/>
    <mergeCell ref="E12437:F12437"/>
    <mergeCell ref="E12438:F12438"/>
    <mergeCell ref="E12449:F12449"/>
    <mergeCell ref="E12627:H12627"/>
    <mergeCell ref="E12628:H12628"/>
    <mergeCell ref="E12635:F12635"/>
    <mergeCell ref="E12629:H12629"/>
    <mergeCell ref="E12630:H12630"/>
    <mergeCell ref="E12631:H12631"/>
    <mergeCell ref="E12679:F12679"/>
    <mergeCell ref="E12680:F12680"/>
    <mergeCell ref="E12540:F12540"/>
    <mergeCell ref="E12681:H12681"/>
    <mergeCell ref="E12682:H12682"/>
    <mergeCell ref="E12683:H12683"/>
    <mergeCell ref="E12560:H12560"/>
    <mergeCell ref="E12561:H12561"/>
    <mergeCell ref="E12562:H12562"/>
    <mergeCell ref="E12563:H12563"/>
    <mergeCell ref="E12565:H12565"/>
    <mergeCell ref="E12566:H12566"/>
    <mergeCell ref="E12573:F12573"/>
    <mergeCell ref="E12574:F12574"/>
    <mergeCell ref="E12575:F12575"/>
    <mergeCell ref="E12578:H12578"/>
    <mergeCell ref="E12579:H12579"/>
    <mergeCell ref="E12461:H12461"/>
    <mergeCell ref="E12462:H12462"/>
    <mergeCell ref="E12463:H12463"/>
    <mergeCell ref="E12469:F12469"/>
    <mergeCell ref="E12470:F12470"/>
    <mergeCell ref="E12471:F12471"/>
    <mergeCell ref="E12496:H12496"/>
    <mergeCell ref="E12481:F12481"/>
    <mergeCell ref="E12467:F12467"/>
    <mergeCell ref="E12356:H12356"/>
    <mergeCell ref="E12357:H12357"/>
    <mergeCell ref="E12358:H12358"/>
    <mergeCell ref="E12359:H12359"/>
    <mergeCell ref="E12360:H12360"/>
    <mergeCell ref="E12363:F12363"/>
    <mergeCell ref="E12364:F12364"/>
    <mergeCell ref="E12367:F12367"/>
    <mergeCell ref="E12375:F12375"/>
    <mergeCell ref="E12376:H12376"/>
    <mergeCell ref="E12377:H12377"/>
    <mergeCell ref="E12378:H12378"/>
    <mergeCell ref="E12384:F12384"/>
    <mergeCell ref="E12396:H12396"/>
    <mergeCell ref="E12397:H12397"/>
    <mergeCell ref="E12398:H12398"/>
    <mergeCell ref="E12400:H12400"/>
    <mergeCell ref="E12401:H12401"/>
    <mergeCell ref="E12365:F12365"/>
    <mergeCell ref="E12412:F12412"/>
    <mergeCell ref="E12413:F12413"/>
    <mergeCell ref="E12414:F12414"/>
    <mergeCell ref="E12415:F12415"/>
    <mergeCell ref="E12416:H12416"/>
    <mergeCell ref="E12417:H12417"/>
    <mergeCell ref="E12418:H12418"/>
    <mergeCell ref="E12419:H12419"/>
    <mergeCell ref="E12420:H12420"/>
    <mergeCell ref="E12421:H12421"/>
    <mergeCell ref="E12422:H12422"/>
    <mergeCell ref="E12423:H12423"/>
    <mergeCell ref="E12426:F12426"/>
    <mergeCell ref="E12429:H12429"/>
    <mergeCell ref="E12430:H12430"/>
    <mergeCell ref="E12432:F12432"/>
    <mergeCell ref="E12433:F12433"/>
    <mergeCell ref="E12434:F12434"/>
    <mergeCell ref="E12497:F12497"/>
    <mergeCell ref="E12498:F12498"/>
    <mergeCell ref="E12499:F12499"/>
    <mergeCell ref="E12500:F12500"/>
    <mergeCell ref="E12507:H12507"/>
    <mergeCell ref="E12508:H12508"/>
    <mergeCell ref="E12529:H12529"/>
    <mergeCell ref="E12533:F12533"/>
    <mergeCell ref="E12536:F12536"/>
    <mergeCell ref="E12539:F12539"/>
    <mergeCell ref="E12525:H12525"/>
    <mergeCell ref="E12387:F12387"/>
    <mergeCell ref="E12388:F12388"/>
    <mergeCell ref="E12056:F12056"/>
    <mergeCell ref="E12058:F12058"/>
    <mergeCell ref="E12059:F12059"/>
    <mergeCell ref="E12060:F12060"/>
    <mergeCell ref="E12061:F12061"/>
    <mergeCell ref="E12066:H12066"/>
    <mergeCell ref="E12067:H12067"/>
    <mergeCell ref="E12068:H12068"/>
    <mergeCell ref="E12069:H12069"/>
    <mergeCell ref="E12070:H12070"/>
    <mergeCell ref="E12071:H12071"/>
    <mergeCell ref="E12075:F12075"/>
    <mergeCell ref="E12076:F12076"/>
    <mergeCell ref="E12077:F12077"/>
    <mergeCell ref="E12078:F12078"/>
    <mergeCell ref="E12079:F12079"/>
    <mergeCell ref="E12072:F12072"/>
    <mergeCell ref="E12062:F12062"/>
    <mergeCell ref="E12063:F12063"/>
    <mergeCell ref="E12064:F12064"/>
    <mergeCell ref="E12162:H12162"/>
    <mergeCell ref="E12163:H12163"/>
    <mergeCell ref="E12164:H12164"/>
    <mergeCell ref="E12165:H12165"/>
    <mergeCell ref="E12166:H12166"/>
    <mergeCell ref="E12167:H12167"/>
    <mergeCell ref="E12168:H12168"/>
    <mergeCell ref="E12169:H12169"/>
    <mergeCell ref="E12170:H12170"/>
    <mergeCell ref="E12171:H12171"/>
    <mergeCell ref="E12182:F12182"/>
    <mergeCell ref="E12183:F12183"/>
    <mergeCell ref="E12174:F12174"/>
    <mergeCell ref="E12175:F12175"/>
    <mergeCell ref="E12117:H12117"/>
    <mergeCell ref="E12118:H12118"/>
    <mergeCell ref="E12119:H12119"/>
    <mergeCell ref="E12120:H12120"/>
    <mergeCell ref="E12112:F12112"/>
    <mergeCell ref="E12104:F12104"/>
    <mergeCell ref="E12142:H12142"/>
    <mergeCell ref="E12132:F12132"/>
    <mergeCell ref="E12133:F12133"/>
    <mergeCell ref="E12134:F12134"/>
    <mergeCell ref="E12135:F12135"/>
    <mergeCell ref="E12130:F12130"/>
    <mergeCell ref="E12131:F12131"/>
    <mergeCell ref="E12137:F12137"/>
    <mergeCell ref="E12226:H12226"/>
    <mergeCell ref="E12227:H12227"/>
    <mergeCell ref="E12084:F12084"/>
    <mergeCell ref="E12103:H12103"/>
    <mergeCell ref="E12113:F12113"/>
    <mergeCell ref="E12114:F12114"/>
    <mergeCell ref="E12115:F12115"/>
    <mergeCell ref="E12116:F12116"/>
    <mergeCell ref="E12121:H12121"/>
    <mergeCell ref="E12122:H12122"/>
    <mergeCell ref="E12214:F12214"/>
    <mergeCell ref="E12215:F12215"/>
    <mergeCell ref="E12216:F12216"/>
    <mergeCell ref="E12217:F12217"/>
    <mergeCell ref="E12352:F12352"/>
    <mergeCell ref="E12353:F12353"/>
    <mergeCell ref="E12321:F12321"/>
    <mergeCell ref="E12331:F12331"/>
    <mergeCell ref="E12048:F12048"/>
    <mergeCell ref="E12148:F12148"/>
    <mergeCell ref="E12159:F12159"/>
    <mergeCell ref="E12157:F12157"/>
    <mergeCell ref="E12184:H12184"/>
    <mergeCell ref="E12186:H12186"/>
    <mergeCell ref="E12145:H12145"/>
    <mergeCell ref="E12146:H12146"/>
    <mergeCell ref="E12147:H12147"/>
    <mergeCell ref="E12150:F12150"/>
    <mergeCell ref="E12151:F12151"/>
    <mergeCell ref="E12152:F12152"/>
    <mergeCell ref="E12246:H12246"/>
    <mergeCell ref="E12249:H12249"/>
    <mergeCell ref="E12250:H12250"/>
    <mergeCell ref="E12254:F12254"/>
    <mergeCell ref="E12260:F12260"/>
    <mergeCell ref="E12261:F12261"/>
    <mergeCell ref="E12073:F12073"/>
    <mergeCell ref="E12074:F12074"/>
    <mergeCell ref="E12262:F12262"/>
    <mergeCell ref="E12271:F12271"/>
    <mergeCell ref="E12228:H12228"/>
    <mergeCell ref="E12301:F12301"/>
    <mergeCell ref="E12304:F12304"/>
    <mergeCell ref="E12306:H12306"/>
    <mergeCell ref="E12307:H12307"/>
    <mergeCell ref="E12303:H12303"/>
    <mergeCell ref="E12229:H12229"/>
    <mergeCell ref="E12241:F12241"/>
    <mergeCell ref="E12213:F12213"/>
    <mergeCell ref="E12202:F12202"/>
    <mergeCell ref="E12203:F12203"/>
    <mergeCell ref="E12054:F12054"/>
    <mergeCell ref="E12055:F12055"/>
    <mergeCell ref="E12123:H12123"/>
    <mergeCell ref="E12124:H12124"/>
    <mergeCell ref="E12101:H12101"/>
    <mergeCell ref="E12102:H12102"/>
    <mergeCell ref="E12109:F12109"/>
    <mergeCell ref="E12110:F12110"/>
    <mergeCell ref="E12111:F12111"/>
    <mergeCell ref="E12105:F12105"/>
    <mergeCell ref="E12106:F12106"/>
    <mergeCell ref="E12107:F12107"/>
    <mergeCell ref="E12108:F12108"/>
    <mergeCell ref="E12204:H12204"/>
    <mergeCell ref="E12205:H12205"/>
    <mergeCell ref="E12206:H12206"/>
    <mergeCell ref="E12207:H12207"/>
    <mergeCell ref="E12208:H12208"/>
    <mergeCell ref="E12209:H12209"/>
    <mergeCell ref="E12210:H12210"/>
    <mergeCell ref="E12211:H12211"/>
    <mergeCell ref="E12219:F12219"/>
    <mergeCell ref="E12221:F12221"/>
    <mergeCell ref="E12176:F12176"/>
    <mergeCell ref="E12177:F12177"/>
    <mergeCell ref="E12332:F12332"/>
    <mergeCell ref="E12339:H12339"/>
    <mergeCell ref="E12340:H12340"/>
    <mergeCell ref="E12348:F12348"/>
    <mergeCell ref="E12349:F12349"/>
    <mergeCell ref="E12350:F12350"/>
    <mergeCell ref="E12351:F12351"/>
    <mergeCell ref="E12314:H12314"/>
    <mergeCell ref="E12322:F12322"/>
    <mergeCell ref="E12323:F12323"/>
    <mergeCell ref="E12333:H12333"/>
    <mergeCell ref="E12334:H12334"/>
    <mergeCell ref="E12051:F12051"/>
    <mergeCell ref="E12052:F12052"/>
    <mergeCell ref="E12281:F12281"/>
    <mergeCell ref="E12223:H12223"/>
    <mergeCell ref="E12224:H12224"/>
    <mergeCell ref="E12225:H12225"/>
    <mergeCell ref="E12192:F12192"/>
    <mergeCell ref="E12193:F12193"/>
    <mergeCell ref="E12194:F12194"/>
    <mergeCell ref="E12195:F12195"/>
    <mergeCell ref="E12196:F12196"/>
    <mergeCell ref="E12197:F12197"/>
    <mergeCell ref="E12198:F12198"/>
    <mergeCell ref="E12199:F12199"/>
    <mergeCell ref="E12200:F12200"/>
    <mergeCell ref="E12236:F12236"/>
    <mergeCell ref="E12239:F12239"/>
    <mergeCell ref="E12172:F12172"/>
    <mergeCell ref="E12185:H12185"/>
    <mergeCell ref="E12173:F12173"/>
    <mergeCell ref="E12154:F12154"/>
    <mergeCell ref="E12155:F12155"/>
    <mergeCell ref="E12156:F12156"/>
    <mergeCell ref="E12149:F12149"/>
    <mergeCell ref="E12143:H12143"/>
    <mergeCell ref="E12144:H12144"/>
    <mergeCell ref="E12136:F12136"/>
    <mergeCell ref="E12100:H12100"/>
    <mergeCell ref="E12097:H12097"/>
    <mergeCell ref="E12098:H12098"/>
    <mergeCell ref="E12099:H12099"/>
    <mergeCell ref="E12125:F12125"/>
    <mergeCell ref="E12126:F12126"/>
    <mergeCell ref="E12127:F12127"/>
    <mergeCell ref="E12128:F12128"/>
    <mergeCell ref="E12129:F12129"/>
    <mergeCell ref="E12138:H12138"/>
    <mergeCell ref="E12139:H12139"/>
    <mergeCell ref="E12140:H12140"/>
    <mergeCell ref="E12141:H12141"/>
    <mergeCell ref="E11748:H11748"/>
    <mergeCell ref="E11765:F11765"/>
    <mergeCell ref="E11772:F11772"/>
    <mergeCell ref="E11775:F11775"/>
    <mergeCell ref="E11688:H11688"/>
    <mergeCell ref="E11689:H11689"/>
    <mergeCell ref="E11690:H11690"/>
    <mergeCell ref="E11696:F11696"/>
    <mergeCell ref="E11896:F11896"/>
    <mergeCell ref="E11893:F11893"/>
    <mergeCell ref="E11895:F11895"/>
    <mergeCell ref="E11942:F11942"/>
    <mergeCell ref="E11983:F11983"/>
    <mergeCell ref="E12010:F12010"/>
    <mergeCell ref="E12011:F12011"/>
    <mergeCell ref="E12080:F12080"/>
    <mergeCell ref="E12081:F12081"/>
    <mergeCell ref="E12082:F12082"/>
    <mergeCell ref="E12083:F12083"/>
    <mergeCell ref="E12086:H12086"/>
    <mergeCell ref="E12091:H12091"/>
    <mergeCell ref="E12092:H12092"/>
    <mergeCell ref="E12093:H12093"/>
    <mergeCell ref="E12094:H12094"/>
    <mergeCell ref="E12095:H12095"/>
    <mergeCell ref="E12096:H12096"/>
    <mergeCell ref="E11831:F11831"/>
    <mergeCell ref="E11832:F11832"/>
    <mergeCell ref="E11833:F11833"/>
    <mergeCell ref="E11834:F11834"/>
    <mergeCell ref="E11835:F11835"/>
    <mergeCell ref="E11836:F11836"/>
    <mergeCell ref="E11837:F11837"/>
    <mergeCell ref="E11875:F11875"/>
    <mergeCell ref="E11838:F11838"/>
    <mergeCell ref="E11839:F11839"/>
    <mergeCell ref="E11840:F11840"/>
    <mergeCell ref="E11841:F11841"/>
    <mergeCell ref="E11842:F11842"/>
    <mergeCell ref="E11843:F11843"/>
    <mergeCell ref="E11844:F11844"/>
    <mergeCell ref="E11845:F11845"/>
    <mergeCell ref="E11848:H11848"/>
    <mergeCell ref="E11849:H11849"/>
    <mergeCell ref="E12053:F12053"/>
    <mergeCell ref="E12049:F12049"/>
    <mergeCell ref="E12050:F12050"/>
    <mergeCell ref="E11850:H11850"/>
    <mergeCell ref="E11851:H11851"/>
    <mergeCell ref="E11852:H11852"/>
    <mergeCell ref="E11853:H11853"/>
    <mergeCell ref="E11854:H11854"/>
    <mergeCell ref="E11855:H11855"/>
    <mergeCell ref="E11856:H11856"/>
    <mergeCell ref="E11943:F11943"/>
    <mergeCell ref="E11954:H11954"/>
    <mergeCell ref="E11955:H11955"/>
    <mergeCell ref="E12087:F12087"/>
    <mergeCell ref="E12088:F12088"/>
    <mergeCell ref="E12089:F12089"/>
    <mergeCell ref="E12090:F12090"/>
    <mergeCell ref="E11935:F11935"/>
    <mergeCell ref="E12030:F12030"/>
    <mergeCell ref="E12031:F12031"/>
    <mergeCell ref="E12038:F12038"/>
    <mergeCell ref="E12039:F12039"/>
    <mergeCell ref="E12040:F12040"/>
    <mergeCell ref="E12033:H12033"/>
    <mergeCell ref="E12034:H12034"/>
    <mergeCell ref="E12035:H12035"/>
    <mergeCell ref="E12036:H12036"/>
    <mergeCell ref="E12041:F12041"/>
    <mergeCell ref="E12042:F12042"/>
    <mergeCell ref="E12043:F12043"/>
    <mergeCell ref="E12044:F12044"/>
    <mergeCell ref="E12045:F12045"/>
    <mergeCell ref="E12046:F12046"/>
    <mergeCell ref="E11916:H11916"/>
    <mergeCell ref="E11917:H11917"/>
    <mergeCell ref="E11918:H11918"/>
    <mergeCell ref="E11919:H11919"/>
    <mergeCell ref="E11920:H11920"/>
    <mergeCell ref="E11921:H11921"/>
    <mergeCell ref="E11922:H11922"/>
    <mergeCell ref="E11923:H11923"/>
    <mergeCell ref="E11766:F11766"/>
    <mergeCell ref="E11767:F11767"/>
    <mergeCell ref="E11769:F11769"/>
    <mergeCell ref="E11770:F11770"/>
    <mergeCell ref="E11734:F11734"/>
    <mergeCell ref="E11735:F11735"/>
    <mergeCell ref="E11736:F11736"/>
    <mergeCell ref="E11737:F11737"/>
    <mergeCell ref="E11699:F11699"/>
    <mergeCell ref="E11714:F11714"/>
    <mergeCell ref="E11705:F11705"/>
    <mergeCell ref="E11768:F11768"/>
    <mergeCell ref="E11752:H11752"/>
    <mergeCell ref="E11753:H11753"/>
    <mergeCell ref="E11758:H11758"/>
    <mergeCell ref="E11759:H11759"/>
    <mergeCell ref="E11760:H11760"/>
    <mergeCell ref="E11761:H11761"/>
    <mergeCell ref="E11762:H11762"/>
    <mergeCell ref="E11763:H11763"/>
    <mergeCell ref="E11764:H11764"/>
    <mergeCell ref="E11756:H11756"/>
    <mergeCell ref="E11956:H11956"/>
    <mergeCell ref="E11962:H11962"/>
    <mergeCell ref="E11963:H11963"/>
    <mergeCell ref="E11970:F11970"/>
    <mergeCell ref="E11971:F11971"/>
    <mergeCell ref="E11973:F11973"/>
    <mergeCell ref="E11976:F11976"/>
    <mergeCell ref="E11977:F11977"/>
    <mergeCell ref="E11978:F11978"/>
    <mergeCell ref="E11743:F11743"/>
    <mergeCell ref="E11744:F11744"/>
    <mergeCell ref="E11745:F11745"/>
    <mergeCell ref="E11746:F11746"/>
    <mergeCell ref="E11750:F11750"/>
    <mergeCell ref="E11751:H11751"/>
    <mergeCell ref="E11749:F11749"/>
    <mergeCell ref="E11892:F11892"/>
    <mergeCell ref="E11905:F11905"/>
    <mergeCell ref="E11830:F11830"/>
    <mergeCell ref="E11847:F11847"/>
    <mergeCell ref="E11966:H11966"/>
    <mergeCell ref="E11967:H11967"/>
    <mergeCell ref="E11846:F11846"/>
    <mergeCell ref="E11872:F11872"/>
    <mergeCell ref="E11623:F11623"/>
    <mergeCell ref="E11624:F11624"/>
    <mergeCell ref="E11654:F11654"/>
    <mergeCell ref="E11656:F11656"/>
    <mergeCell ref="E11659:F11659"/>
    <mergeCell ref="E11660:F11660"/>
    <mergeCell ref="E11661:F11661"/>
    <mergeCell ref="E11662:F11662"/>
    <mergeCell ref="E11663:F11663"/>
    <mergeCell ref="E11669:H11669"/>
    <mergeCell ref="E11670:H11670"/>
    <mergeCell ref="E11671:H11671"/>
    <mergeCell ref="E11583:H11583"/>
    <mergeCell ref="E11584:H11584"/>
    <mergeCell ref="E11585:H11585"/>
    <mergeCell ref="E11586:H11586"/>
    <mergeCell ref="E11579:F11579"/>
    <mergeCell ref="E11580:F11580"/>
    <mergeCell ref="E11598:F11598"/>
    <mergeCell ref="E11599:F11599"/>
    <mergeCell ref="E11600:F11600"/>
    <mergeCell ref="E11601:F11601"/>
    <mergeCell ref="E11602:F11602"/>
    <mergeCell ref="E11606:H11606"/>
    <mergeCell ref="E11607:H11607"/>
    <mergeCell ref="E11608:H11608"/>
    <mergeCell ref="E11609:H11609"/>
    <mergeCell ref="E11610:H11610"/>
    <mergeCell ref="E11618:F11618"/>
    <mergeCell ref="E11619:F11619"/>
    <mergeCell ref="E11620:F11620"/>
    <mergeCell ref="E11621:F11621"/>
    <mergeCell ref="E11622:F11622"/>
    <mergeCell ref="E11592:F11592"/>
    <mergeCell ref="E11593:F11593"/>
    <mergeCell ref="E11666:F11666"/>
    <mergeCell ref="E11633:F11633"/>
    <mergeCell ref="E11634:F11634"/>
    <mergeCell ref="E11635:F11635"/>
    <mergeCell ref="E11657:F11657"/>
    <mergeCell ref="E11625:H11625"/>
    <mergeCell ref="E11626:H11626"/>
    <mergeCell ref="E11627:H11627"/>
    <mergeCell ref="E11628:H11628"/>
    <mergeCell ref="E11629:H11629"/>
    <mergeCell ref="E11630:H11630"/>
    <mergeCell ref="E11631:H11631"/>
    <mergeCell ref="E11632:H11632"/>
    <mergeCell ref="E11636:F11636"/>
    <mergeCell ref="E11637:F11637"/>
    <mergeCell ref="E11638:F11638"/>
    <mergeCell ref="E11639:F11639"/>
    <mergeCell ref="E11640:F11640"/>
    <mergeCell ref="E11641:F11641"/>
    <mergeCell ref="E11642:F11642"/>
    <mergeCell ref="E11643:F11643"/>
    <mergeCell ref="E11644:F11644"/>
    <mergeCell ref="E11594:F11594"/>
    <mergeCell ref="E11595:F11595"/>
    <mergeCell ref="E11596:F11596"/>
    <mergeCell ref="E11597:F11597"/>
    <mergeCell ref="E11604:H11604"/>
    <mergeCell ref="E11605:H11605"/>
    <mergeCell ref="E11613:F11613"/>
    <mergeCell ref="E11614:F11614"/>
    <mergeCell ref="E11603:H11603"/>
    <mergeCell ref="E11615:F11615"/>
    <mergeCell ref="E11587:H11587"/>
    <mergeCell ref="E11588:H11588"/>
    <mergeCell ref="E11611:F11611"/>
    <mergeCell ref="E11612:F11612"/>
    <mergeCell ref="E11501:F11501"/>
    <mergeCell ref="E11508:H11508"/>
    <mergeCell ref="E11516:F11516"/>
    <mergeCell ref="E11518:F11518"/>
    <mergeCell ref="E11519:F11519"/>
    <mergeCell ref="E11520:F11520"/>
    <mergeCell ref="E11521:F11521"/>
    <mergeCell ref="E11522:F11522"/>
    <mergeCell ref="E11545:F11545"/>
    <mergeCell ref="E11546:F11546"/>
    <mergeCell ref="E11567:F11567"/>
    <mergeCell ref="E11526:F11526"/>
    <mergeCell ref="E11527:F11527"/>
    <mergeCell ref="E11536:F11536"/>
    <mergeCell ref="E11549:F11549"/>
    <mergeCell ref="E11550:F11550"/>
    <mergeCell ref="E11551:F11551"/>
    <mergeCell ref="E11552:F11552"/>
    <mergeCell ref="E11531:H11531"/>
    <mergeCell ref="E11532:H11532"/>
    <mergeCell ref="E11533:H11533"/>
    <mergeCell ref="E11537:F11537"/>
    <mergeCell ref="E11538:F11538"/>
    <mergeCell ref="E11539:F11539"/>
    <mergeCell ref="E11540:F11540"/>
    <mergeCell ref="E11541:F11541"/>
    <mergeCell ref="E11542:F11542"/>
    <mergeCell ref="E11534:F11534"/>
    <mergeCell ref="E11535:F11535"/>
    <mergeCell ref="E11589:F11589"/>
    <mergeCell ref="E11590:F11590"/>
    <mergeCell ref="E11543:F11543"/>
    <mergeCell ref="E11544:F11544"/>
    <mergeCell ref="E11548:H11548"/>
    <mergeCell ref="E11553:H11553"/>
    <mergeCell ref="E11554:H11554"/>
    <mergeCell ref="E11555:H11555"/>
    <mergeCell ref="E11556:H11556"/>
    <mergeCell ref="E11569:F11569"/>
    <mergeCell ref="E11570:F11570"/>
    <mergeCell ref="E11571:F11571"/>
    <mergeCell ref="E11572:F11572"/>
    <mergeCell ref="E11573:F11573"/>
    <mergeCell ref="E11557:H11557"/>
    <mergeCell ref="E11558:H11558"/>
    <mergeCell ref="E11559:H11559"/>
    <mergeCell ref="E11560:H11560"/>
    <mergeCell ref="E11561:H11561"/>
    <mergeCell ref="E11591:F11591"/>
    <mergeCell ref="E11524:F11524"/>
    <mergeCell ref="E11525:F11525"/>
    <mergeCell ref="E11568:F11568"/>
    <mergeCell ref="E11576:F11576"/>
    <mergeCell ref="E11582:H11582"/>
    <mergeCell ref="E11578:F11578"/>
    <mergeCell ref="E11581:H11581"/>
    <mergeCell ref="E11214:F11214"/>
    <mergeCell ref="E11215:F11215"/>
    <mergeCell ref="E11216:F11216"/>
    <mergeCell ref="E11217:F11217"/>
    <mergeCell ref="E11218:F11218"/>
    <mergeCell ref="E11219:F11219"/>
    <mergeCell ref="E11220:F11220"/>
    <mergeCell ref="E11222:H11222"/>
    <mergeCell ref="E11223:H11223"/>
    <mergeCell ref="E11224:H11224"/>
    <mergeCell ref="E11225:H11225"/>
    <mergeCell ref="E11226:H11226"/>
    <mergeCell ref="E11229:F11229"/>
    <mergeCell ref="E11230:F11230"/>
    <mergeCell ref="E11238:F11238"/>
    <mergeCell ref="E11239:H11239"/>
    <mergeCell ref="E11240:H11240"/>
    <mergeCell ref="E11007:F11007"/>
    <mergeCell ref="E11008:H11008"/>
    <mergeCell ref="E11009:H11009"/>
    <mergeCell ref="E11010:H11010"/>
    <mergeCell ref="E11011:H11011"/>
    <mergeCell ref="E11012:H11012"/>
    <mergeCell ref="E11013:H11013"/>
    <mergeCell ref="E11014:H11014"/>
    <mergeCell ref="E11015:H11015"/>
    <mergeCell ref="E11018:F11018"/>
    <mergeCell ref="E11026:H11026"/>
    <mergeCell ref="E11027:H11027"/>
    <mergeCell ref="E11033:H11033"/>
    <mergeCell ref="E11034:H11034"/>
    <mergeCell ref="E11035:H11035"/>
    <mergeCell ref="E11148:H11148"/>
    <mergeCell ref="E11260:H11260"/>
    <mergeCell ref="E11261:H11261"/>
    <mergeCell ref="E11262:H11262"/>
    <mergeCell ref="E11263:H11263"/>
    <mergeCell ref="E11264:H11264"/>
    <mergeCell ref="E11268:F11268"/>
    <mergeCell ref="E11270:H11270"/>
    <mergeCell ref="E11271:H11271"/>
    <mergeCell ref="E11272:H11272"/>
    <mergeCell ref="E11274:F11274"/>
    <mergeCell ref="E11275:F11275"/>
    <mergeCell ref="E11276:F11276"/>
    <mergeCell ref="E11277:F11277"/>
    <mergeCell ref="E11373:F11373"/>
    <mergeCell ref="E11374:F11374"/>
    <mergeCell ref="E11376:H11376"/>
    <mergeCell ref="E11377:H11377"/>
    <mergeCell ref="E11378:H11378"/>
    <mergeCell ref="E11562:H11562"/>
    <mergeCell ref="E11563:H11563"/>
    <mergeCell ref="E11564:H11564"/>
    <mergeCell ref="E11565:H11565"/>
    <mergeCell ref="E11566:H11566"/>
    <mergeCell ref="E11343:H11343"/>
    <mergeCell ref="E11346:F11346"/>
    <mergeCell ref="E11347:F11347"/>
    <mergeCell ref="E11348:F11348"/>
    <mergeCell ref="E11307:H11307"/>
    <mergeCell ref="E11156:F11156"/>
    <mergeCell ref="E10974:H10974"/>
    <mergeCell ref="E10975:H10975"/>
    <mergeCell ref="E10976:H10976"/>
    <mergeCell ref="E10977:H10977"/>
    <mergeCell ref="E10979:F10979"/>
    <mergeCell ref="E10980:F10980"/>
    <mergeCell ref="E10981:F10981"/>
    <mergeCell ref="E10982:F10982"/>
    <mergeCell ref="E11029:H11029"/>
    <mergeCell ref="E11030:H11030"/>
    <mergeCell ref="E11031:H11031"/>
    <mergeCell ref="E11032:H11032"/>
    <mergeCell ref="E10998:F10998"/>
    <mergeCell ref="E10999:F10999"/>
    <mergeCell ref="E11000:F11000"/>
    <mergeCell ref="E11001:F11001"/>
    <mergeCell ref="E10994:H10994"/>
    <mergeCell ref="E10995:H10995"/>
    <mergeCell ref="E11131:H11131"/>
    <mergeCell ref="E11132:H11132"/>
    <mergeCell ref="E11133:H11133"/>
    <mergeCell ref="E11134:H11134"/>
    <mergeCell ref="E11137:F11137"/>
    <mergeCell ref="E11138:F11138"/>
    <mergeCell ref="E11139:F11139"/>
    <mergeCell ref="E11140:F11140"/>
    <mergeCell ref="E11141:F11141"/>
    <mergeCell ref="E11142:F11142"/>
    <mergeCell ref="E11143:F11143"/>
    <mergeCell ref="E11144:F11144"/>
    <mergeCell ref="E11146:H11146"/>
    <mergeCell ref="E11147:H11147"/>
    <mergeCell ref="E11577:F11577"/>
    <mergeCell ref="E11086:F11086"/>
    <mergeCell ref="E11087:F11087"/>
    <mergeCell ref="E11097:H11097"/>
    <mergeCell ref="E11098:H11098"/>
    <mergeCell ref="E11099:H11099"/>
    <mergeCell ref="E11105:F11105"/>
    <mergeCell ref="E11106:F11106"/>
    <mergeCell ref="E11107:F11107"/>
    <mergeCell ref="E11109:F11109"/>
    <mergeCell ref="E11112:F11112"/>
    <mergeCell ref="E11094:F11094"/>
    <mergeCell ref="E11111:F11111"/>
    <mergeCell ref="E11110:F11110"/>
    <mergeCell ref="E11088:F11088"/>
    <mergeCell ref="E11089:F11089"/>
    <mergeCell ref="E11100:H11100"/>
    <mergeCell ref="E11101:H11101"/>
    <mergeCell ref="E11108:F11108"/>
    <mergeCell ref="E11121:H11121"/>
    <mergeCell ref="E11122:H11122"/>
    <mergeCell ref="E11201:F11201"/>
    <mergeCell ref="E11202:F11202"/>
    <mergeCell ref="E11203:H11203"/>
    <mergeCell ref="E11204:H11204"/>
    <mergeCell ref="E11205:H11205"/>
    <mergeCell ref="E11206:H11206"/>
    <mergeCell ref="E11207:H11207"/>
    <mergeCell ref="E11208:H11208"/>
    <mergeCell ref="E11209:H11209"/>
    <mergeCell ref="E11210:H11210"/>
    <mergeCell ref="E11172:H11172"/>
    <mergeCell ref="E11085:F11085"/>
    <mergeCell ref="E11046:H11046"/>
    <mergeCell ref="E11047:F11047"/>
    <mergeCell ref="E11050:F11050"/>
    <mergeCell ref="E11051:F11051"/>
    <mergeCell ref="E11052:F11052"/>
    <mergeCell ref="E11053:F11053"/>
    <mergeCell ref="E11054:F11054"/>
    <mergeCell ref="E11055:F11055"/>
    <mergeCell ref="E11056:F11056"/>
    <mergeCell ref="E11123:H11123"/>
    <mergeCell ref="E11124:H11124"/>
    <mergeCell ref="E11113:F11113"/>
    <mergeCell ref="E11114:F11114"/>
    <mergeCell ref="E11120:F11120"/>
    <mergeCell ref="E11254:F11254"/>
    <mergeCell ref="E11257:H11257"/>
    <mergeCell ref="E11258:H11258"/>
    <mergeCell ref="E11259:H11259"/>
    <mergeCell ref="E11235:F11235"/>
    <mergeCell ref="E11236:F11236"/>
    <mergeCell ref="E11237:F11237"/>
    <mergeCell ref="E11252:F11252"/>
    <mergeCell ref="E11253:F11253"/>
    <mergeCell ref="E10978:H10978"/>
    <mergeCell ref="E10983:F10983"/>
    <mergeCell ref="E10984:F10984"/>
    <mergeCell ref="E10985:F10985"/>
    <mergeCell ref="E10987:F10987"/>
    <mergeCell ref="E10989:H10989"/>
    <mergeCell ref="E10990:H10990"/>
    <mergeCell ref="E11036:H11036"/>
    <mergeCell ref="E11037:H11037"/>
    <mergeCell ref="E11038:H11038"/>
    <mergeCell ref="E11039:H11039"/>
    <mergeCell ref="E11040:H11040"/>
    <mergeCell ref="E11041:H11041"/>
    <mergeCell ref="E11042:H11042"/>
    <mergeCell ref="E11043:H11043"/>
    <mergeCell ref="E11028:H11028"/>
    <mergeCell ref="E11044:H11044"/>
    <mergeCell ref="E11045:H11045"/>
    <mergeCell ref="E11016:F11016"/>
    <mergeCell ref="E11160:F11160"/>
    <mergeCell ref="E11161:F11161"/>
    <mergeCell ref="E11162:F11162"/>
    <mergeCell ref="E11163:F11163"/>
    <mergeCell ref="E11075:F11075"/>
    <mergeCell ref="E11068:F11068"/>
    <mergeCell ref="E11062:H11062"/>
    <mergeCell ref="E11063:H11063"/>
    <mergeCell ref="E11064:H11064"/>
    <mergeCell ref="E11070:H11070"/>
    <mergeCell ref="E11071:H11071"/>
    <mergeCell ref="E11072:H11072"/>
    <mergeCell ref="E11073:H11073"/>
    <mergeCell ref="E11173:H11173"/>
    <mergeCell ref="E11176:F11176"/>
    <mergeCell ref="E11177:F11177"/>
    <mergeCell ref="E11178:F11178"/>
    <mergeCell ref="E11179:F11179"/>
    <mergeCell ref="E11180:F11180"/>
    <mergeCell ref="E11181:F11181"/>
    <mergeCell ref="E11182:F11182"/>
    <mergeCell ref="E11379:H11379"/>
    <mergeCell ref="E11380:H11380"/>
    <mergeCell ref="E11381:H11381"/>
    <mergeCell ref="E11382:H11382"/>
    <mergeCell ref="E11383:H11383"/>
    <mergeCell ref="E11388:F11388"/>
    <mergeCell ref="E11389:F11389"/>
    <mergeCell ref="E11390:F11390"/>
    <mergeCell ref="E11391:F11391"/>
    <mergeCell ref="E11392:F11392"/>
    <mergeCell ref="E11393:F11393"/>
    <mergeCell ref="E11394:F11394"/>
    <mergeCell ref="E11395:F11395"/>
    <mergeCell ref="E11396:H11396"/>
    <mergeCell ref="E11397:H11397"/>
    <mergeCell ref="E11398:H11398"/>
    <mergeCell ref="E11399:H11399"/>
    <mergeCell ref="E11385:F11385"/>
    <mergeCell ref="E11387:F11387"/>
    <mergeCell ref="E10956:H10956"/>
    <mergeCell ref="E10957:H10957"/>
    <mergeCell ref="E10958:H10958"/>
    <mergeCell ref="E10960:F10960"/>
    <mergeCell ref="E10961:F10961"/>
    <mergeCell ref="E10962:F10962"/>
    <mergeCell ref="E10963:F10963"/>
    <mergeCell ref="E10964:F10964"/>
    <mergeCell ref="E10965:F10965"/>
    <mergeCell ref="E10966:F10966"/>
    <mergeCell ref="E10967:F10967"/>
    <mergeCell ref="E10970:H10970"/>
    <mergeCell ref="E10971:H10971"/>
    <mergeCell ref="E10972:H10972"/>
    <mergeCell ref="E10973:H10973"/>
    <mergeCell ref="E11265:F11265"/>
    <mergeCell ref="E11267:F11267"/>
    <mergeCell ref="E11243:H11243"/>
    <mergeCell ref="E11244:H11244"/>
    <mergeCell ref="E11245:H11245"/>
    <mergeCell ref="E11246:H11246"/>
    <mergeCell ref="E11249:F11249"/>
    <mergeCell ref="E11250:F11250"/>
    <mergeCell ref="E11251:F11251"/>
    <mergeCell ref="E11278:F11278"/>
    <mergeCell ref="E11279:F11279"/>
    <mergeCell ref="E11294:F11294"/>
    <mergeCell ref="E11288:F11288"/>
    <mergeCell ref="E11289:F11289"/>
    <mergeCell ref="E11290:F11290"/>
    <mergeCell ref="E10996:H10996"/>
    <mergeCell ref="E10997:H10997"/>
    <mergeCell ref="E11077:F11077"/>
    <mergeCell ref="E11078:F11078"/>
    <mergeCell ref="E11079:F11079"/>
    <mergeCell ref="E11080:F11080"/>
    <mergeCell ref="E11081:F11081"/>
    <mergeCell ref="E10959:F10959"/>
    <mergeCell ref="E11082:F11082"/>
    <mergeCell ref="E11083:F11083"/>
    <mergeCell ref="E11057:H11057"/>
    <mergeCell ref="E11058:H11058"/>
    <mergeCell ref="E11059:H11059"/>
    <mergeCell ref="E11065:F11065"/>
    <mergeCell ref="E11067:F11067"/>
    <mergeCell ref="E10942:F10942"/>
    <mergeCell ref="E10943:F10943"/>
    <mergeCell ref="E10944:F10944"/>
    <mergeCell ref="E10945:F10945"/>
    <mergeCell ref="E10946:F10946"/>
    <mergeCell ref="E10889:F10889"/>
    <mergeCell ref="E10890:F10890"/>
    <mergeCell ref="E10891:F10891"/>
    <mergeCell ref="E10892:F10892"/>
    <mergeCell ref="E10894:F10894"/>
    <mergeCell ref="E10937:H10937"/>
    <mergeCell ref="E10938:H10938"/>
    <mergeCell ref="E10939:H10939"/>
    <mergeCell ref="E10895:F10895"/>
    <mergeCell ref="E10896:F10896"/>
    <mergeCell ref="E10897:F10897"/>
    <mergeCell ref="E10902:H10902"/>
    <mergeCell ref="E10903:H10903"/>
    <mergeCell ref="E10904:H10904"/>
    <mergeCell ref="E10931:H10931"/>
    <mergeCell ref="E10905:H10905"/>
    <mergeCell ref="E10906:H10906"/>
    <mergeCell ref="E10917:F10917"/>
    <mergeCell ref="E10918:F10918"/>
    <mergeCell ref="E10919:F10919"/>
    <mergeCell ref="E10968:F10968"/>
    <mergeCell ref="E10969:F10969"/>
    <mergeCell ref="E10907:F10907"/>
    <mergeCell ref="E10908:F10908"/>
    <mergeCell ref="E10909:F10909"/>
    <mergeCell ref="E10910:F10910"/>
    <mergeCell ref="E10911:F10911"/>
    <mergeCell ref="E10912:F10912"/>
    <mergeCell ref="E10913:F10913"/>
    <mergeCell ref="E10921:H10921"/>
    <mergeCell ref="E10924:F10924"/>
    <mergeCell ref="E10925:F10925"/>
    <mergeCell ref="E10932:H10932"/>
    <mergeCell ref="E10898:F10898"/>
    <mergeCell ref="E10933:H10933"/>
    <mergeCell ref="E10934:H10934"/>
    <mergeCell ref="E10935:H10935"/>
    <mergeCell ref="E10936:H10936"/>
    <mergeCell ref="E10947:F10947"/>
    <mergeCell ref="E10948:F10948"/>
    <mergeCell ref="E10949:F10949"/>
    <mergeCell ref="E10951:H10951"/>
    <mergeCell ref="E10952:H10952"/>
    <mergeCell ref="E10953:H10953"/>
    <mergeCell ref="E10954:H10954"/>
    <mergeCell ref="E10955:H10955"/>
    <mergeCell ref="E10899:F10899"/>
    <mergeCell ref="E10900:F10900"/>
    <mergeCell ref="E10922:F10922"/>
    <mergeCell ref="E10923:F10923"/>
    <mergeCell ref="E10930:H10930"/>
    <mergeCell ref="E10926:H10926"/>
    <mergeCell ref="E10927:H10927"/>
    <mergeCell ref="E10928:H10928"/>
    <mergeCell ref="E10929:H10929"/>
    <mergeCell ref="E10914:F10914"/>
    <mergeCell ref="E10915:F10915"/>
    <mergeCell ref="E10916:F10916"/>
    <mergeCell ref="E10950:F10950"/>
    <mergeCell ref="E10798:F10798"/>
    <mergeCell ref="E10799:F10799"/>
    <mergeCell ref="E10867:H10867"/>
    <mergeCell ref="E10868:H10868"/>
    <mergeCell ref="E10869:H10869"/>
    <mergeCell ref="E10870:H10870"/>
    <mergeCell ref="E10880:F10880"/>
    <mergeCell ref="E10881:F10881"/>
    <mergeCell ref="E10882:F10882"/>
    <mergeCell ref="E10842:H10842"/>
    <mergeCell ref="E10822:H10822"/>
    <mergeCell ref="E10834:F10834"/>
    <mergeCell ref="E10835:F10835"/>
    <mergeCell ref="E10838:F10838"/>
    <mergeCell ref="E10839:F10839"/>
    <mergeCell ref="E10840:F10840"/>
    <mergeCell ref="E10841:F10841"/>
    <mergeCell ref="E10843:H10843"/>
    <mergeCell ref="E10844:H10844"/>
    <mergeCell ref="E10845:H10845"/>
    <mergeCell ref="E10846:H10846"/>
    <mergeCell ref="E10856:F10856"/>
    <mergeCell ref="E10807:H10807"/>
    <mergeCell ref="E10814:F10814"/>
    <mergeCell ref="E10817:F10817"/>
    <mergeCell ref="E10818:F10818"/>
    <mergeCell ref="E10819:F10819"/>
    <mergeCell ref="E10820:F10820"/>
    <mergeCell ref="E10823:H10823"/>
    <mergeCell ref="E10824:H10824"/>
    <mergeCell ref="E10825:H10825"/>
    <mergeCell ref="E10826:H10826"/>
    <mergeCell ref="E10827:H10827"/>
    <mergeCell ref="E10828:H10828"/>
    <mergeCell ref="E10836:F10836"/>
    <mergeCell ref="E10837:F10837"/>
    <mergeCell ref="E10850:F10850"/>
    <mergeCell ref="E10851:F10851"/>
    <mergeCell ref="E10852:F10852"/>
    <mergeCell ref="E10853:F10853"/>
    <mergeCell ref="E10854:F10854"/>
    <mergeCell ref="E10859:F10859"/>
    <mergeCell ref="E10860:F10860"/>
    <mergeCell ref="E10861:F10861"/>
    <mergeCell ref="E10862:F10862"/>
    <mergeCell ref="E10829:F10829"/>
    <mergeCell ref="E10888:F10888"/>
    <mergeCell ref="E10805:H10805"/>
    <mergeCell ref="E10806:H10806"/>
    <mergeCell ref="E10785:H10785"/>
    <mergeCell ref="E10750:H10750"/>
    <mergeCell ref="E10751:H10751"/>
    <mergeCell ref="E10782:H10782"/>
    <mergeCell ref="E10784:H10784"/>
    <mergeCell ref="E10775:F10775"/>
    <mergeCell ref="E10749:H10749"/>
    <mergeCell ref="E10767:H10767"/>
    <mergeCell ref="E10765:H10765"/>
    <mergeCell ref="E10766:H10766"/>
    <mergeCell ref="E10774:F10774"/>
    <mergeCell ref="E10777:F10777"/>
    <mergeCell ref="E10778:H10778"/>
    <mergeCell ref="E10779:H10779"/>
    <mergeCell ref="E10781:H10781"/>
    <mergeCell ref="E10657:F10657"/>
    <mergeCell ref="E10658:F10658"/>
    <mergeCell ref="E10659:F10659"/>
    <mergeCell ref="E10660:F10660"/>
    <mergeCell ref="E10666:H10666"/>
    <mergeCell ref="E10669:H10669"/>
    <mergeCell ref="E10670:H10670"/>
    <mergeCell ref="E10671:H10671"/>
    <mergeCell ref="E10680:H10680"/>
    <mergeCell ref="E10681:H10681"/>
    <mergeCell ref="E10776:F10776"/>
    <mergeCell ref="E10780:H10780"/>
    <mergeCell ref="E10682:H10682"/>
    <mergeCell ref="E10691:F10691"/>
    <mergeCell ref="E10692:F10692"/>
    <mergeCell ref="E10693:F10693"/>
    <mergeCell ref="E10694:F10694"/>
    <mergeCell ref="E10695:F10695"/>
    <mergeCell ref="E10700:H10700"/>
    <mergeCell ref="E10701:H10701"/>
    <mergeCell ref="E10702:H10702"/>
    <mergeCell ref="E10703:H10703"/>
    <mergeCell ref="E10710:F10710"/>
    <mergeCell ref="E10711:F10711"/>
    <mergeCell ref="E10712:F10712"/>
    <mergeCell ref="E10713:F10713"/>
    <mergeCell ref="E10714:F10714"/>
    <mergeCell ref="E10715:F10715"/>
    <mergeCell ref="E10683:F10683"/>
    <mergeCell ref="E10685:F10685"/>
    <mergeCell ref="E10704:F10704"/>
    <mergeCell ref="E10696:H10696"/>
    <mergeCell ref="E10697:H10697"/>
    <mergeCell ref="E10698:H10698"/>
    <mergeCell ref="E10699:H10699"/>
    <mergeCell ref="E10706:F10706"/>
    <mergeCell ref="E10707:F10707"/>
    <mergeCell ref="E10705:F10705"/>
    <mergeCell ref="E10708:F10708"/>
    <mergeCell ref="E10709:F10709"/>
    <mergeCell ref="E10716:F10716"/>
    <mergeCell ref="E10717:F10717"/>
    <mergeCell ref="E10719:H10719"/>
    <mergeCell ref="E10720:H10720"/>
    <mergeCell ref="E10721:H10721"/>
    <mergeCell ref="E10722:H10722"/>
    <mergeCell ref="E10723:H10723"/>
    <mergeCell ref="E10724:H10724"/>
    <mergeCell ref="E10725:H10725"/>
    <mergeCell ref="E10676:H10676"/>
    <mergeCell ref="E10677:H10677"/>
    <mergeCell ref="E10678:H10678"/>
    <mergeCell ref="E10679:H10679"/>
    <mergeCell ref="E10684:F10684"/>
    <mergeCell ref="E10687:F10687"/>
    <mergeCell ref="E10688:F10688"/>
    <mergeCell ref="E10689:F10689"/>
    <mergeCell ref="E10690:F10690"/>
    <mergeCell ref="E10643:F10643"/>
    <mergeCell ref="E10644:F10644"/>
    <mergeCell ref="E10645:F10645"/>
    <mergeCell ref="E10635:F10635"/>
    <mergeCell ref="E10636:F10636"/>
    <mergeCell ref="E10647:H10647"/>
    <mergeCell ref="E10663:F10663"/>
    <mergeCell ref="E10664:F10664"/>
    <mergeCell ref="E10686:F10686"/>
    <mergeCell ref="E10651:H10651"/>
    <mergeCell ref="E10667:F10667"/>
    <mergeCell ref="E10668:F10668"/>
    <mergeCell ref="E10648:H10648"/>
    <mergeCell ref="E10649:H10649"/>
    <mergeCell ref="E10650:H10650"/>
    <mergeCell ref="E10473:H10473"/>
    <mergeCell ref="E10474:H10474"/>
    <mergeCell ref="E10486:F10486"/>
    <mergeCell ref="E10487:F10487"/>
    <mergeCell ref="E10488:F10488"/>
    <mergeCell ref="E10489:F10489"/>
    <mergeCell ref="E10490:F10490"/>
    <mergeCell ref="E10491:F10491"/>
    <mergeCell ref="E10619:H10619"/>
    <mergeCell ref="E10620:H10620"/>
    <mergeCell ref="E10621:H10621"/>
    <mergeCell ref="E10622:H10622"/>
    <mergeCell ref="E10625:F10625"/>
    <mergeCell ref="E10478:F10478"/>
    <mergeCell ref="E10479:F10479"/>
    <mergeCell ref="E10516:F10516"/>
    <mergeCell ref="E10510:F10510"/>
    <mergeCell ref="E10509:F10509"/>
    <mergeCell ref="E10511:F10511"/>
    <mergeCell ref="E10514:F10514"/>
    <mergeCell ref="E10477:F10477"/>
    <mergeCell ref="E10508:F10508"/>
    <mergeCell ref="E10515:F10515"/>
    <mergeCell ref="E10525:H10525"/>
    <mergeCell ref="E10526:H10526"/>
    <mergeCell ref="E10527:H10527"/>
    <mergeCell ref="E10528:H10528"/>
    <mergeCell ref="E10513:F10513"/>
    <mergeCell ref="E10519:F10519"/>
    <mergeCell ref="E10520:F10520"/>
    <mergeCell ref="E10512:F10512"/>
    <mergeCell ref="E10492:F10492"/>
    <mergeCell ref="E10493:F10493"/>
    <mergeCell ref="E10495:H10495"/>
    <mergeCell ref="E10496:H10496"/>
    <mergeCell ref="E10497:H10497"/>
    <mergeCell ref="E10498:H10498"/>
    <mergeCell ref="E10468:H10468"/>
    <mergeCell ref="E10469:H10469"/>
    <mergeCell ref="E10470:H10470"/>
    <mergeCell ref="E10471:H10471"/>
    <mergeCell ref="E10472:H10472"/>
    <mergeCell ref="E10475:F10475"/>
    <mergeCell ref="E10480:F10480"/>
    <mergeCell ref="E10481:F10481"/>
    <mergeCell ref="E10482:F10482"/>
    <mergeCell ref="E10483:F10483"/>
    <mergeCell ref="E10484:F10484"/>
    <mergeCell ref="E10485:F10485"/>
    <mergeCell ref="E10529:H10529"/>
    <mergeCell ref="E10542:F10542"/>
    <mergeCell ref="E10543:F10543"/>
    <mergeCell ref="E10544:F10544"/>
    <mergeCell ref="E10545:F10545"/>
    <mergeCell ref="E10550:H10550"/>
    <mergeCell ref="E10551:H10551"/>
    <mergeCell ref="E10546:H10546"/>
    <mergeCell ref="E10547:H10547"/>
    <mergeCell ref="E10552:H10552"/>
    <mergeCell ref="E10553:H10553"/>
    <mergeCell ref="E10563:F10563"/>
    <mergeCell ref="E10554:F10554"/>
    <mergeCell ref="E10555:F10555"/>
    <mergeCell ref="E10521:H10521"/>
    <mergeCell ref="E10522:H10522"/>
    <mergeCell ref="E10523:H10523"/>
    <mergeCell ref="E10524:H10524"/>
    <mergeCell ref="E10476:F10476"/>
    <mergeCell ref="E10372:H10372"/>
    <mergeCell ref="E10377:F10377"/>
    <mergeCell ref="E10378:F10378"/>
    <mergeCell ref="E10379:F10379"/>
    <mergeCell ref="E10380:F10380"/>
    <mergeCell ref="E10381:F10381"/>
    <mergeCell ref="E10382:F10382"/>
    <mergeCell ref="E10383:F10383"/>
    <mergeCell ref="E10384:F10384"/>
    <mergeCell ref="E10390:H10390"/>
    <mergeCell ref="E10391:H10391"/>
    <mergeCell ref="E10392:H10392"/>
    <mergeCell ref="E10393:H10393"/>
    <mergeCell ref="E10395:H10395"/>
    <mergeCell ref="E10405:F10405"/>
    <mergeCell ref="E10406:F10406"/>
    <mergeCell ref="E10499:H10499"/>
    <mergeCell ref="E10500:H10500"/>
    <mergeCell ref="E10501:H10501"/>
    <mergeCell ref="E10506:F10506"/>
    <mergeCell ref="E10507:F10507"/>
    <mergeCell ref="E10534:F10534"/>
    <mergeCell ref="E10535:F10535"/>
    <mergeCell ref="E10538:F10538"/>
    <mergeCell ref="E10539:F10539"/>
    <mergeCell ref="E10558:F10558"/>
    <mergeCell ref="E10531:F10531"/>
    <mergeCell ref="E10517:F10517"/>
    <mergeCell ref="E10518:F10518"/>
    <mergeCell ref="E10364:F10364"/>
    <mergeCell ref="E10401:H10401"/>
    <mergeCell ref="E10402:H10402"/>
    <mergeCell ref="E10403:H10403"/>
    <mergeCell ref="E10458:F10458"/>
    <mergeCell ref="E10459:F10459"/>
    <mergeCell ref="E10466:H10466"/>
    <mergeCell ref="E10467:H10467"/>
    <mergeCell ref="E10433:F10433"/>
    <mergeCell ref="E10434:F10434"/>
    <mergeCell ref="E10435:F10435"/>
    <mergeCell ref="E10451:F10451"/>
    <mergeCell ref="E10452:F10452"/>
    <mergeCell ref="E10453:F10453"/>
    <mergeCell ref="E10454:F10454"/>
    <mergeCell ref="E10464:H10464"/>
    <mergeCell ref="E10465:H10465"/>
    <mergeCell ref="E10449:F10449"/>
    <mergeCell ref="E10450:F10450"/>
    <mergeCell ref="E10457:F10457"/>
    <mergeCell ref="E10388:H10388"/>
    <mergeCell ref="E10389:H10389"/>
    <mergeCell ref="E10396:F10396"/>
    <mergeCell ref="E10398:F10398"/>
    <mergeCell ref="E10399:F10399"/>
    <mergeCell ref="E10417:F10417"/>
    <mergeCell ref="E10418:F10418"/>
    <mergeCell ref="E10419:F10419"/>
    <mergeCell ref="E10420:F10420"/>
    <mergeCell ref="E10422:F10422"/>
    <mergeCell ref="E10423:F10423"/>
    <mergeCell ref="E10424:F10424"/>
    <mergeCell ref="E10436:H10436"/>
    <mergeCell ref="E10437:H10437"/>
    <mergeCell ref="E10447:F10447"/>
    <mergeCell ref="E10456:H10456"/>
    <mergeCell ref="E10461:H10461"/>
    <mergeCell ref="E10462:H10462"/>
    <mergeCell ref="E10463:H10463"/>
    <mergeCell ref="E10438:H10438"/>
    <mergeCell ref="E10442:F10442"/>
    <mergeCell ref="E10443:F10443"/>
    <mergeCell ref="E10444:F10444"/>
    <mergeCell ref="E10445:F10445"/>
    <mergeCell ref="E10446:F10446"/>
    <mergeCell ref="E10369:H10369"/>
    <mergeCell ref="E10366:F10366"/>
    <mergeCell ref="E10410:F10410"/>
    <mergeCell ref="E10385:F10385"/>
    <mergeCell ref="E10394:H10394"/>
    <mergeCell ref="E10460:F10460"/>
    <mergeCell ref="E10413:F10413"/>
    <mergeCell ref="E10416:F10416"/>
    <mergeCell ref="E10414:F10414"/>
    <mergeCell ref="E10415:F10415"/>
    <mergeCell ref="E10411:F10411"/>
    <mergeCell ref="E10412:F10412"/>
    <mergeCell ref="E10349:H10349"/>
    <mergeCell ref="E10350:H10350"/>
    <mergeCell ref="E10355:F10355"/>
    <mergeCell ref="E10361:F10361"/>
    <mergeCell ref="E10367:F10367"/>
    <mergeCell ref="E10373:H10373"/>
    <mergeCell ref="E10374:H10374"/>
    <mergeCell ref="E10375:H10375"/>
    <mergeCell ref="E10386:F10386"/>
    <mergeCell ref="E10387:F10387"/>
    <mergeCell ref="E10299:F10299"/>
    <mergeCell ref="E10300:F10300"/>
    <mergeCell ref="E10301:F10301"/>
    <mergeCell ref="E10322:F10322"/>
    <mergeCell ref="E10323:F10323"/>
    <mergeCell ref="E10333:F10333"/>
    <mergeCell ref="E10334:F10334"/>
    <mergeCell ref="E10335:F10335"/>
    <mergeCell ref="E10313:F10313"/>
    <mergeCell ref="E10336:F10336"/>
    <mergeCell ref="E10337:F10337"/>
    <mergeCell ref="E10319:F10319"/>
    <mergeCell ref="E10320:F10320"/>
    <mergeCell ref="E10321:F10321"/>
    <mergeCell ref="E10324:H10324"/>
    <mergeCell ref="E10325:H10325"/>
    <mergeCell ref="E10326:H10326"/>
    <mergeCell ref="E10327:H10327"/>
    <mergeCell ref="E10328:H10328"/>
    <mergeCell ref="E10329:H10329"/>
    <mergeCell ref="E10330:H10330"/>
    <mergeCell ref="E10331:H10331"/>
    <mergeCell ref="E10332:H10332"/>
    <mergeCell ref="E10338:F10338"/>
    <mergeCell ref="E10339:F10339"/>
    <mergeCell ref="E10340:F10340"/>
    <mergeCell ref="E10302:F10302"/>
    <mergeCell ref="E10307:H10307"/>
    <mergeCell ref="E10308:H10308"/>
    <mergeCell ref="E10309:H10309"/>
    <mergeCell ref="E10310:H10310"/>
    <mergeCell ref="E10311:H10311"/>
    <mergeCell ref="E10312:H10312"/>
    <mergeCell ref="E10314:F10314"/>
    <mergeCell ref="E10315:F10315"/>
    <mergeCell ref="E10316:F10316"/>
    <mergeCell ref="E10317:F10317"/>
    <mergeCell ref="E10318:F10318"/>
    <mergeCell ref="E10352:H10352"/>
    <mergeCell ref="E10353:H10353"/>
    <mergeCell ref="E10354:H10354"/>
    <mergeCell ref="E10360:F10360"/>
    <mergeCell ref="E10362:F10362"/>
    <mergeCell ref="E10371:H10371"/>
    <mergeCell ref="E10376:F10376"/>
    <mergeCell ref="E10356:F10356"/>
    <mergeCell ref="E10357:F10357"/>
    <mergeCell ref="E10359:F10359"/>
    <mergeCell ref="E10351:H10351"/>
    <mergeCell ref="E10358:F10358"/>
    <mergeCell ref="E10368:H10368"/>
    <mergeCell ref="E10363:F10363"/>
    <mergeCell ref="E10365:F10365"/>
    <mergeCell ref="E10370:H10370"/>
    <mergeCell ref="E10248:F10248"/>
    <mergeCell ref="E10249:F10249"/>
    <mergeCell ref="E10250:F10250"/>
    <mergeCell ref="E10256:H10256"/>
    <mergeCell ref="E10101:F10101"/>
    <mergeCell ref="E10102:F10102"/>
    <mergeCell ref="E10103:F10103"/>
    <mergeCell ref="E10104:F10104"/>
    <mergeCell ref="E10105:F10105"/>
    <mergeCell ref="E10106:F10106"/>
    <mergeCell ref="E10107:F10107"/>
    <mergeCell ref="E10108:F10108"/>
    <mergeCell ref="E10113:H10113"/>
    <mergeCell ref="E10114:H10114"/>
    <mergeCell ref="E10115:H10115"/>
    <mergeCell ref="E10116:H10116"/>
    <mergeCell ref="E10126:F10126"/>
    <mergeCell ref="E10127:F10127"/>
    <mergeCell ref="E10128:F10128"/>
    <mergeCell ref="E10129:F10129"/>
    <mergeCell ref="E10130:F10130"/>
    <mergeCell ref="E10144:F10144"/>
    <mergeCell ref="E10145:F10145"/>
    <mergeCell ref="E10146:F10146"/>
    <mergeCell ref="E10147:F10147"/>
    <mergeCell ref="E10148:F10148"/>
    <mergeCell ref="E10149:F10149"/>
    <mergeCell ref="E10150:F10150"/>
    <mergeCell ref="E10157:H10157"/>
    <mergeCell ref="E10158:H10158"/>
    <mergeCell ref="E10140:F10140"/>
    <mergeCell ref="E10141:F10141"/>
    <mergeCell ref="E10143:F10143"/>
    <mergeCell ref="E10131:F10131"/>
    <mergeCell ref="E10117:H10117"/>
    <mergeCell ref="E10118:H10118"/>
    <mergeCell ref="E10119:H10119"/>
    <mergeCell ref="E10120:H10120"/>
    <mergeCell ref="E10121:F10121"/>
    <mergeCell ref="E10122:F10122"/>
    <mergeCell ref="E10123:F10123"/>
    <mergeCell ref="E10124:F10124"/>
    <mergeCell ref="E10125:F10125"/>
    <mergeCell ref="E10132:H10132"/>
    <mergeCell ref="E10138:H10138"/>
    <mergeCell ref="E10139:H10139"/>
    <mergeCell ref="E10142:F10142"/>
    <mergeCell ref="E10151:H10151"/>
    <mergeCell ref="E10152:H10152"/>
    <mergeCell ref="E10153:H10153"/>
    <mergeCell ref="E10154:H10154"/>
    <mergeCell ref="E10155:H10155"/>
    <mergeCell ref="E10156:H10156"/>
    <mergeCell ref="E10165:H10165"/>
    <mergeCell ref="E10166:H10166"/>
    <mergeCell ref="E10176:F10176"/>
    <mergeCell ref="E10177:F10177"/>
    <mergeCell ref="E10181:H10181"/>
    <mergeCell ref="E10186:F10186"/>
    <mergeCell ref="E10187:F10187"/>
    <mergeCell ref="E10192:F10192"/>
    <mergeCell ref="E10193:F10193"/>
    <mergeCell ref="E10194:F10194"/>
    <mergeCell ref="E10195:F10195"/>
    <mergeCell ref="E10159:F10159"/>
    <mergeCell ref="E10161:F10161"/>
    <mergeCell ref="E10162:F10162"/>
    <mergeCell ref="E10164:H10164"/>
    <mergeCell ref="E9903:H9903"/>
    <mergeCell ref="E9865:F9865"/>
    <mergeCell ref="E9885:F9885"/>
    <mergeCell ref="E9886:F9886"/>
    <mergeCell ref="E9887:F9887"/>
    <mergeCell ref="E9888:F9888"/>
    <mergeCell ref="E9890:H9890"/>
    <mergeCell ref="E9894:F9894"/>
    <mergeCell ref="E9895:H9895"/>
    <mergeCell ref="E9896:H9896"/>
    <mergeCell ref="E9897:H9897"/>
    <mergeCell ref="E9898:H9898"/>
    <mergeCell ref="E9899:H9899"/>
    <mergeCell ref="E9900:H9900"/>
    <mergeCell ref="E9901:H9901"/>
    <mergeCell ref="E9904:F9904"/>
    <mergeCell ref="E9979:H9979"/>
    <mergeCell ref="E9980:H9980"/>
    <mergeCell ref="E9981:H9981"/>
    <mergeCell ref="E9982:H9982"/>
    <mergeCell ref="E9984:H9984"/>
    <mergeCell ref="E9993:F9993"/>
    <mergeCell ref="E9994:F9994"/>
    <mergeCell ref="E9995:F9995"/>
    <mergeCell ref="E9996:F9996"/>
    <mergeCell ref="E10010:F10010"/>
    <mergeCell ref="E10011:F10011"/>
    <mergeCell ref="E10012:F10012"/>
    <mergeCell ref="E10013:F10013"/>
    <mergeCell ref="E10014:F10014"/>
    <mergeCell ref="E10033:H10033"/>
    <mergeCell ref="E10039:F10039"/>
    <mergeCell ref="E10032:H10032"/>
    <mergeCell ref="E10029:H10029"/>
    <mergeCell ref="E10035:F10035"/>
    <mergeCell ref="E9998:F9998"/>
    <mergeCell ref="E10008:H10008"/>
    <mergeCell ref="E10036:F10036"/>
    <mergeCell ref="E9992:H9992"/>
    <mergeCell ref="E9997:H9997"/>
    <mergeCell ref="E10000:F10000"/>
    <mergeCell ref="E10001:F10001"/>
    <mergeCell ref="E9908:F9908"/>
    <mergeCell ref="E9909:F9909"/>
    <mergeCell ref="E10002:F10002"/>
    <mergeCell ref="E10003:F10003"/>
    <mergeCell ref="E10004:F10004"/>
    <mergeCell ref="E10005:F10005"/>
    <mergeCell ref="E10006:F10006"/>
    <mergeCell ref="E10007:F10007"/>
    <mergeCell ref="E9960:H9960"/>
    <mergeCell ref="E9961:H9961"/>
    <mergeCell ref="E9962:H9962"/>
    <mergeCell ref="E9971:F9971"/>
    <mergeCell ref="E9972:F9972"/>
    <mergeCell ref="E9973:F9973"/>
    <mergeCell ref="E9974:F9974"/>
    <mergeCell ref="E9955:H9955"/>
    <mergeCell ref="E9944:F9944"/>
    <mergeCell ref="E9956:H9956"/>
    <mergeCell ref="E9914:F9914"/>
    <mergeCell ref="E9915:F9915"/>
    <mergeCell ref="E9745:H9745"/>
    <mergeCell ref="E9746:H9746"/>
    <mergeCell ref="E9747:H9747"/>
    <mergeCell ref="E9742:H9742"/>
    <mergeCell ref="E9748:H9748"/>
    <mergeCell ref="E9750:F9750"/>
    <mergeCell ref="E9753:F9753"/>
    <mergeCell ref="E9754:F9754"/>
    <mergeCell ref="E9755:F9755"/>
    <mergeCell ref="E9676:F9676"/>
    <mergeCell ref="E9677:F9677"/>
    <mergeCell ref="E9907:F9907"/>
    <mergeCell ref="E9781:F9781"/>
    <mergeCell ref="E9757:F9757"/>
    <mergeCell ref="E9760:F9760"/>
    <mergeCell ref="E9780:F9780"/>
    <mergeCell ref="E9782:F9782"/>
    <mergeCell ref="E9749:F9749"/>
    <mergeCell ref="E9818:F9818"/>
    <mergeCell ref="E9819:F9819"/>
    <mergeCell ref="E9873:F9873"/>
    <mergeCell ref="E9880:H9880"/>
    <mergeCell ref="E9881:H9881"/>
    <mergeCell ref="E9884:F9884"/>
    <mergeCell ref="E9853:H9853"/>
    <mergeCell ref="E9846:F9846"/>
    <mergeCell ref="E9802:H9802"/>
    <mergeCell ref="E9803:H9803"/>
    <mergeCell ref="E9804:H9804"/>
    <mergeCell ref="E9805:H9805"/>
    <mergeCell ref="E9812:F9812"/>
    <mergeCell ref="E9813:F9813"/>
    <mergeCell ref="E9815:F9815"/>
    <mergeCell ref="E9795:H9795"/>
    <mergeCell ref="E9796:H9796"/>
    <mergeCell ref="E9807:F9807"/>
    <mergeCell ref="E9808:F9808"/>
    <mergeCell ref="E9809:F9809"/>
    <mergeCell ref="E9810:F9810"/>
    <mergeCell ref="E9811:F9811"/>
    <mergeCell ref="E9793:H9793"/>
    <mergeCell ref="E9794:H9794"/>
    <mergeCell ref="E9801:F9801"/>
    <mergeCell ref="E9790:H9790"/>
    <mergeCell ref="E9791:H9791"/>
    <mergeCell ref="E9792:H9792"/>
    <mergeCell ref="E9798:F9798"/>
    <mergeCell ref="E9761:F9761"/>
    <mergeCell ref="E9787:F9787"/>
    <mergeCell ref="E9788:F9788"/>
    <mergeCell ref="E9783:F9783"/>
    <mergeCell ref="E9784:F9784"/>
    <mergeCell ref="E9785:F9785"/>
    <mergeCell ref="E9709:F9709"/>
    <mergeCell ref="E9710:F9710"/>
    <mergeCell ref="E9711:F9711"/>
    <mergeCell ref="E9712:F9712"/>
    <mergeCell ref="E9713:F9713"/>
    <mergeCell ref="E9716:H9716"/>
    <mergeCell ref="E9717:H9717"/>
    <mergeCell ref="E9719:H9719"/>
    <mergeCell ref="E9720:H9720"/>
    <mergeCell ref="E9359:F9359"/>
    <mergeCell ref="E9337:F9337"/>
    <mergeCell ref="E9330:H9330"/>
    <mergeCell ref="E9331:H9331"/>
    <mergeCell ref="E9357:F9357"/>
    <mergeCell ref="E9356:F9356"/>
    <mergeCell ref="E9373:F9373"/>
    <mergeCell ref="E9374:F9374"/>
    <mergeCell ref="E9382:H9382"/>
    <mergeCell ref="E9383:H9383"/>
    <mergeCell ref="E9384:H9384"/>
    <mergeCell ref="E9407:F9407"/>
    <mergeCell ref="E9409:F9409"/>
    <mergeCell ref="E9410:F9410"/>
    <mergeCell ref="E9412:H9412"/>
    <mergeCell ref="E9413:H9413"/>
    <mergeCell ref="E9414:H9414"/>
    <mergeCell ref="E9415:H9415"/>
    <mergeCell ref="E9379:F9379"/>
    <mergeCell ref="E9380:F9380"/>
    <mergeCell ref="E9387:H9387"/>
    <mergeCell ref="E9388:H9388"/>
    <mergeCell ref="E9389:H9389"/>
    <mergeCell ref="E9395:F9395"/>
    <mergeCell ref="E9364:F9364"/>
    <mergeCell ref="E9360:F9360"/>
    <mergeCell ref="E9361:F9361"/>
    <mergeCell ref="E9362:F9362"/>
    <mergeCell ref="E9363:F9363"/>
    <mergeCell ref="E9365:H9365"/>
    <mergeCell ref="E9366:H9366"/>
    <mergeCell ref="E9367:H9367"/>
    <mergeCell ref="E9368:H9368"/>
    <mergeCell ref="E9369:H9369"/>
    <mergeCell ref="E9370:H9370"/>
    <mergeCell ref="E9371:H9371"/>
    <mergeCell ref="E9372:H9372"/>
    <mergeCell ref="E9377:F9377"/>
    <mergeCell ref="E9378:F9378"/>
    <mergeCell ref="E9381:F9381"/>
    <mergeCell ref="E9390:F9390"/>
    <mergeCell ref="E9391:F9391"/>
    <mergeCell ref="E9392:F9392"/>
    <mergeCell ref="E9393:F9393"/>
    <mergeCell ref="E9394:F9394"/>
    <mergeCell ref="E9399:H9399"/>
    <mergeCell ref="E9400:H9400"/>
    <mergeCell ref="E9401:H9401"/>
    <mergeCell ref="E9402:H9402"/>
    <mergeCell ref="E9403:H9403"/>
    <mergeCell ref="E9404:H9404"/>
    <mergeCell ref="E9405:H9405"/>
    <mergeCell ref="E9406:H9406"/>
    <mergeCell ref="E9342:F9342"/>
    <mergeCell ref="E9343:F9343"/>
    <mergeCell ref="E9344:F9344"/>
    <mergeCell ref="E9345:F9345"/>
    <mergeCell ref="E9332:H9332"/>
    <mergeCell ref="E9338:F9338"/>
    <mergeCell ref="E9339:F9339"/>
    <mergeCell ref="E9217:F9217"/>
    <mergeCell ref="E9317:H9317"/>
    <mergeCell ref="E9328:F9328"/>
    <mergeCell ref="E9347:F9347"/>
    <mergeCell ref="E9340:F9340"/>
    <mergeCell ref="E9341:F9341"/>
    <mergeCell ref="E9325:F9325"/>
    <mergeCell ref="E9314:H9314"/>
    <mergeCell ref="E9315:H9315"/>
    <mergeCell ref="E9316:H9316"/>
    <mergeCell ref="E9318:F9318"/>
    <mergeCell ref="E9319:F9319"/>
    <mergeCell ref="E9320:F9320"/>
    <mergeCell ref="E9321:F9321"/>
    <mergeCell ref="E9322:F9322"/>
    <mergeCell ref="E9323:F9323"/>
    <mergeCell ref="E9324:F9324"/>
    <mergeCell ref="E9326:F9326"/>
    <mergeCell ref="E9329:H9329"/>
    <mergeCell ref="E9333:H9333"/>
    <mergeCell ref="E9334:H9334"/>
    <mergeCell ref="E9335:H9335"/>
    <mergeCell ref="E9336:H9336"/>
    <mergeCell ref="E9346:F9346"/>
    <mergeCell ref="E9348:H9348"/>
    <mergeCell ref="E9349:H9349"/>
    <mergeCell ref="E9350:H9350"/>
    <mergeCell ref="E9351:H9351"/>
    <mergeCell ref="E9352:H9352"/>
    <mergeCell ref="E9353:H9353"/>
    <mergeCell ref="E9354:H9354"/>
    <mergeCell ref="E9355:H9355"/>
    <mergeCell ref="E9358:F9358"/>
    <mergeCell ref="E9221:F9221"/>
    <mergeCell ref="E9222:F9222"/>
    <mergeCell ref="E9223:F9223"/>
    <mergeCell ref="E9224:F9224"/>
    <mergeCell ref="E9225:F9225"/>
    <mergeCell ref="E9226:F9226"/>
    <mergeCell ref="E9227:F9227"/>
    <mergeCell ref="E9228:F9228"/>
    <mergeCell ref="E9230:H9230"/>
    <mergeCell ref="E9231:H9231"/>
    <mergeCell ref="E9232:H9232"/>
    <mergeCell ref="E9233:H9233"/>
    <mergeCell ref="E9234:H9234"/>
    <mergeCell ref="E9235:H9235"/>
    <mergeCell ref="E9236:H9236"/>
    <mergeCell ref="E9229:F9229"/>
    <mergeCell ref="E9251:F9251"/>
    <mergeCell ref="E9252:F9252"/>
    <mergeCell ref="E9253:F9253"/>
    <mergeCell ref="E9254:F9254"/>
    <mergeCell ref="E9271:F9271"/>
    <mergeCell ref="E9272:F9272"/>
    <mergeCell ref="E9273:F9273"/>
    <mergeCell ref="E9275:F9275"/>
    <mergeCell ref="E9276:F9276"/>
    <mergeCell ref="E9277:F9277"/>
    <mergeCell ref="E9278:F9278"/>
    <mergeCell ref="E9281:H9281"/>
    <mergeCell ref="E9282:H9282"/>
    <mergeCell ref="E9283:H9283"/>
    <mergeCell ref="E9284:H9284"/>
    <mergeCell ref="E9093:F9093"/>
    <mergeCell ref="E9220:F9220"/>
    <mergeCell ref="E9219:F9219"/>
    <mergeCell ref="E9218:F9218"/>
    <mergeCell ref="E9237:H9237"/>
    <mergeCell ref="E9239:H9239"/>
    <mergeCell ref="E9242:H9242"/>
    <mergeCell ref="E9243:H9243"/>
    <mergeCell ref="E9244:H9244"/>
    <mergeCell ref="E9247:F9247"/>
    <mergeCell ref="E9248:F9248"/>
    <mergeCell ref="E9249:F9249"/>
    <mergeCell ref="E9250:F9250"/>
    <mergeCell ref="E9148:F9148"/>
    <mergeCell ref="E9155:F9155"/>
    <mergeCell ref="E9156:F9156"/>
    <mergeCell ref="E9180:F9180"/>
    <mergeCell ref="E9188:H9188"/>
    <mergeCell ref="E9143:F9143"/>
    <mergeCell ref="E9144:F9144"/>
    <mergeCell ref="E9145:F9145"/>
    <mergeCell ref="E9146:F9146"/>
    <mergeCell ref="E9176:F9176"/>
    <mergeCell ref="E9178:F9178"/>
    <mergeCell ref="E9179:F9179"/>
    <mergeCell ref="E9151:F9151"/>
    <mergeCell ref="E9152:F9152"/>
    <mergeCell ref="E9153:F9153"/>
    <mergeCell ref="E9174:F9174"/>
    <mergeCell ref="E9175:F9175"/>
    <mergeCell ref="E9147:F9147"/>
    <mergeCell ref="E9160:H9160"/>
    <mergeCell ref="E9161:H9161"/>
    <mergeCell ref="E9162:H9162"/>
    <mergeCell ref="E9163:H9163"/>
    <mergeCell ref="E9164:H9164"/>
    <mergeCell ref="E9165:F9165"/>
    <mergeCell ref="E9168:F9168"/>
    <mergeCell ref="E9169:F9169"/>
    <mergeCell ref="E9170:F9170"/>
    <mergeCell ref="E9171:F9171"/>
    <mergeCell ref="E9172:F9172"/>
    <mergeCell ref="E9173:F9173"/>
    <mergeCell ref="E9181:H9181"/>
    <mergeCell ref="E9182:H9182"/>
    <mergeCell ref="E9183:H9183"/>
    <mergeCell ref="E9184:H9184"/>
    <mergeCell ref="E9185:H9185"/>
    <mergeCell ref="E9186:H9186"/>
    <mergeCell ref="E9187:H9187"/>
    <mergeCell ref="E9191:F9191"/>
    <mergeCell ref="E9192:F9192"/>
    <mergeCell ref="E9193:F9193"/>
    <mergeCell ref="E9194:F9194"/>
    <mergeCell ref="E9205:H9205"/>
    <mergeCell ref="E9206:H9206"/>
    <mergeCell ref="E9207:H9207"/>
    <mergeCell ref="E9208:H9208"/>
    <mergeCell ref="E9209:H9209"/>
    <mergeCell ref="E9210:H9210"/>
    <mergeCell ref="E9211:H9211"/>
    <mergeCell ref="E9212:H9212"/>
    <mergeCell ref="E9215:F9215"/>
    <mergeCell ref="E9216:F9216"/>
    <mergeCell ref="E9083:F9083"/>
    <mergeCell ref="E9084:F9084"/>
    <mergeCell ref="E9085:F9085"/>
    <mergeCell ref="E9071:H9071"/>
    <mergeCell ref="E9072:H9072"/>
    <mergeCell ref="E9045:H9045"/>
    <mergeCell ref="E9046:H9046"/>
    <mergeCell ref="E9047:H9047"/>
    <mergeCell ref="E9048:H9048"/>
    <mergeCell ref="E9049:H9049"/>
    <mergeCell ref="E9050:F9050"/>
    <mergeCell ref="E9051:F9051"/>
    <mergeCell ref="E9052:F9052"/>
    <mergeCell ref="E9053:F9053"/>
    <mergeCell ref="E9054:F9054"/>
    <mergeCell ref="E9055:F9055"/>
    <mergeCell ref="E9056:F9056"/>
    <mergeCell ref="E9057:F9057"/>
    <mergeCell ref="E9064:H9064"/>
    <mergeCell ref="E9067:H9067"/>
    <mergeCell ref="E9068:H9068"/>
    <mergeCell ref="E9077:H9077"/>
    <mergeCell ref="E9078:H9078"/>
    <mergeCell ref="E9079:H9079"/>
    <mergeCell ref="E9080:H9080"/>
    <mergeCell ref="E9081:H9081"/>
    <mergeCell ref="E9086:F9086"/>
    <mergeCell ref="E9087:F9087"/>
    <mergeCell ref="E9088:F9088"/>
    <mergeCell ref="E9089:F9089"/>
    <mergeCell ref="E9090:F9090"/>
    <mergeCell ref="E9091:F9091"/>
    <mergeCell ref="E9092:F9092"/>
    <mergeCell ref="E9061:F9061"/>
    <mergeCell ref="E9062:F9062"/>
    <mergeCell ref="E8336:H8336"/>
    <mergeCell ref="E8337:H8337"/>
    <mergeCell ref="E8587:H8587"/>
    <mergeCell ref="E8359:F8359"/>
    <mergeCell ref="E8360:F8360"/>
    <mergeCell ref="E8361:F8361"/>
    <mergeCell ref="E8362:F8362"/>
    <mergeCell ref="E8363:F8363"/>
    <mergeCell ref="E8364:F8364"/>
    <mergeCell ref="E8365:F8365"/>
    <mergeCell ref="E8366:F8366"/>
    <mergeCell ref="E8367:F8367"/>
    <mergeCell ref="E8368:F8368"/>
    <mergeCell ref="E8369:F8369"/>
    <mergeCell ref="E8370:F8370"/>
    <mergeCell ref="E8371:F8371"/>
    <mergeCell ref="E8372:H8372"/>
    <mergeCell ref="E8373:H8373"/>
    <mergeCell ref="E8374:H8374"/>
    <mergeCell ref="E8375:H8375"/>
    <mergeCell ref="E8376:H8376"/>
    <mergeCell ref="E8377:H8377"/>
    <mergeCell ref="E8378:H8378"/>
    <mergeCell ref="E8379:H8379"/>
    <mergeCell ref="E8380:F8380"/>
    <mergeCell ref="E8338:F8338"/>
    <mergeCell ref="E8339:F8339"/>
    <mergeCell ref="E8340:H8340"/>
    <mergeCell ref="E8341:H8341"/>
    <mergeCell ref="E8342:F8342"/>
    <mergeCell ref="E8343:F8343"/>
    <mergeCell ref="E8344:H8344"/>
    <mergeCell ref="E8345:H8345"/>
    <mergeCell ref="E8346:H8346"/>
    <mergeCell ref="E8347:H8347"/>
    <mergeCell ref="E8348:H8348"/>
    <mergeCell ref="E8349:H8349"/>
    <mergeCell ref="E8350:H8350"/>
    <mergeCell ref="E8351:H8351"/>
    <mergeCell ref="E8352:H8352"/>
    <mergeCell ref="E8353:H8353"/>
    <mergeCell ref="E8354:H8354"/>
    <mergeCell ref="E8355:H8355"/>
    <mergeCell ref="E8356:H8356"/>
    <mergeCell ref="E8357:H8357"/>
    <mergeCell ref="E8358:F8358"/>
    <mergeCell ref="E8386:F8386"/>
    <mergeCell ref="E8387:F8387"/>
    <mergeCell ref="E8388:F8388"/>
    <mergeCell ref="E8389:F8389"/>
    <mergeCell ref="E8390:F8390"/>
    <mergeCell ref="E8391:F8391"/>
    <mergeCell ref="E8392:F8392"/>
    <mergeCell ref="E8393:F8393"/>
    <mergeCell ref="E8394:H8394"/>
    <mergeCell ref="E8395:H8395"/>
    <mergeCell ref="E8396:H8396"/>
    <mergeCell ref="E8397:H8397"/>
    <mergeCell ref="E8399:H8399"/>
    <mergeCell ref="E8404:F8404"/>
    <mergeCell ref="E8405:F8405"/>
    <mergeCell ref="E8406:F8406"/>
    <mergeCell ref="E8407:F8407"/>
    <mergeCell ref="E8408:F8408"/>
    <mergeCell ref="E8290:F8290"/>
    <mergeCell ref="E8293:F8293"/>
    <mergeCell ref="E8297:H8297"/>
    <mergeCell ref="E8298:H8298"/>
    <mergeCell ref="E8308:H8308"/>
    <mergeCell ref="E8398:H8398"/>
    <mergeCell ref="E8463:H8463"/>
    <mergeCell ref="E8465:H8465"/>
    <mergeCell ref="E8288:H8288"/>
    <mergeCell ref="E8289:H8289"/>
    <mergeCell ref="E8291:H8291"/>
    <mergeCell ref="E8292:F8292"/>
    <mergeCell ref="E8294:H8294"/>
    <mergeCell ref="E8295:H8295"/>
    <mergeCell ref="E8296:H8296"/>
    <mergeCell ref="E8299:F8299"/>
    <mergeCell ref="E8300:F8300"/>
    <mergeCell ref="E8301:F8301"/>
    <mergeCell ref="E8302:F8302"/>
    <mergeCell ref="E8303:F8303"/>
    <mergeCell ref="E8304:F8304"/>
    <mergeCell ref="E8305:F8305"/>
    <mergeCell ref="E8306:F8306"/>
    <mergeCell ref="E8307:F8307"/>
    <mergeCell ref="E8309:F8309"/>
    <mergeCell ref="E8310:F8310"/>
    <mergeCell ref="E8311:F8311"/>
    <mergeCell ref="E8312:F8312"/>
    <mergeCell ref="E8313:F8313"/>
    <mergeCell ref="E8314:F8314"/>
    <mergeCell ref="E8315:H8315"/>
    <mergeCell ref="E8316:F8316"/>
    <mergeCell ref="E8317:F8317"/>
    <mergeCell ref="E8318:F8318"/>
    <mergeCell ref="E8319:F8319"/>
    <mergeCell ref="E8320:F8320"/>
    <mergeCell ref="E8321:H8321"/>
    <mergeCell ref="E8322:H8322"/>
    <mergeCell ref="E8323:H8323"/>
    <mergeCell ref="E8401:H8401"/>
    <mergeCell ref="E8400:H8400"/>
    <mergeCell ref="E8424:H8424"/>
    <mergeCell ref="E8438:H8438"/>
    <mergeCell ref="E8439:H8439"/>
    <mergeCell ref="E8437:H8437"/>
    <mergeCell ref="E8402:H8402"/>
    <mergeCell ref="E8403:H8403"/>
    <mergeCell ref="E8324:H8324"/>
    <mergeCell ref="E8325:H8325"/>
    <mergeCell ref="E8326:H8326"/>
    <mergeCell ref="E8327:F8327"/>
    <mergeCell ref="E8328:F8328"/>
    <mergeCell ref="E8329:F8329"/>
    <mergeCell ref="E8330:F8330"/>
    <mergeCell ref="E8331:F8331"/>
    <mergeCell ref="E8332:H8332"/>
    <mergeCell ref="E8333:F8333"/>
    <mergeCell ref="E8334:F8334"/>
    <mergeCell ref="E8335:H8335"/>
    <mergeCell ref="E8381:F8381"/>
    <mergeCell ref="E8382:F8382"/>
    <mergeCell ref="E8383:F8383"/>
    <mergeCell ref="E8384:F8384"/>
    <mergeCell ref="E8385:F8385"/>
    <mergeCell ref="E8131:F8131"/>
    <mergeCell ref="E8132:F8132"/>
    <mergeCell ref="E8133:F8133"/>
    <mergeCell ref="E8127:H8127"/>
    <mergeCell ref="E8128:H8128"/>
    <mergeCell ref="E8129:H8129"/>
    <mergeCell ref="E8130:H8130"/>
    <mergeCell ref="E8107:F8107"/>
    <mergeCell ref="E7955:F7955"/>
    <mergeCell ref="E7956:F7956"/>
    <mergeCell ref="E7958:F7958"/>
    <mergeCell ref="E7960:F7960"/>
    <mergeCell ref="E7963:F7963"/>
    <mergeCell ref="E7972:F7972"/>
    <mergeCell ref="E7978:H7978"/>
    <mergeCell ref="E7991:F7991"/>
    <mergeCell ref="E7993:F7993"/>
    <mergeCell ref="E7996:F7996"/>
    <mergeCell ref="E8003:H8003"/>
    <mergeCell ref="E7962:F7962"/>
    <mergeCell ref="E7995:F7995"/>
    <mergeCell ref="E7945:F7945"/>
    <mergeCell ref="E7946:F7946"/>
    <mergeCell ref="E7953:H7953"/>
    <mergeCell ref="E7959:F7959"/>
    <mergeCell ref="E7964:F7964"/>
    <mergeCell ref="E7965:F7965"/>
    <mergeCell ref="E7966:F7966"/>
    <mergeCell ref="E7967:F7967"/>
    <mergeCell ref="E7969:F7969"/>
    <mergeCell ref="E7971:F7971"/>
    <mergeCell ref="E7973:H7973"/>
    <mergeCell ref="E7974:H7974"/>
    <mergeCell ref="E7976:H7976"/>
    <mergeCell ref="E7977:H7977"/>
    <mergeCell ref="E7979:H7979"/>
    <mergeCell ref="E7980:H7980"/>
    <mergeCell ref="E7983:F7983"/>
    <mergeCell ref="E7984:F7984"/>
    <mergeCell ref="E7985:F7985"/>
    <mergeCell ref="E7986:F7986"/>
    <mergeCell ref="E7987:F7987"/>
    <mergeCell ref="E7988:F7988"/>
    <mergeCell ref="E7989:F7989"/>
    <mergeCell ref="E7990:F7990"/>
    <mergeCell ref="E7997:H7997"/>
    <mergeCell ref="E8000:H8000"/>
    <mergeCell ref="E8001:H8001"/>
    <mergeCell ref="E8002:H8002"/>
    <mergeCell ref="E7998:H7998"/>
    <mergeCell ref="E7982:F7982"/>
    <mergeCell ref="E7952:H7952"/>
    <mergeCell ref="E7948:H7948"/>
    <mergeCell ref="E7950:H7950"/>
    <mergeCell ref="E7951:H7951"/>
    <mergeCell ref="E7947:H7947"/>
    <mergeCell ref="E7957:F7957"/>
    <mergeCell ref="E7961:F7961"/>
    <mergeCell ref="E8099:H8099"/>
    <mergeCell ref="E8100:H8100"/>
    <mergeCell ref="E8112:F8112"/>
    <mergeCell ref="E8114:F8114"/>
    <mergeCell ref="E8009:F8009"/>
    <mergeCell ref="E8010:F8010"/>
    <mergeCell ref="E7932:F7932"/>
    <mergeCell ref="E7933:F7933"/>
    <mergeCell ref="E7934:F7934"/>
    <mergeCell ref="E7935:F7935"/>
    <mergeCell ref="E7936:F7936"/>
    <mergeCell ref="E7937:F7937"/>
    <mergeCell ref="E7939:F7939"/>
    <mergeCell ref="E7941:F7941"/>
    <mergeCell ref="E7907:F7907"/>
    <mergeCell ref="E7917:F7917"/>
    <mergeCell ref="E7922:F7922"/>
    <mergeCell ref="E7940:F7940"/>
    <mergeCell ref="E7869:F7869"/>
    <mergeCell ref="E7874:H7874"/>
    <mergeCell ref="E7875:H7875"/>
    <mergeCell ref="E7871:H7871"/>
    <mergeCell ref="E7872:H7872"/>
    <mergeCell ref="E7873:H7873"/>
    <mergeCell ref="E7886:F7886"/>
    <mergeCell ref="E7887:F7887"/>
    <mergeCell ref="E7888:F7888"/>
    <mergeCell ref="E7891:F7891"/>
    <mergeCell ref="E7892:F7892"/>
    <mergeCell ref="E7895:H7895"/>
    <mergeCell ref="E7896:H7896"/>
    <mergeCell ref="E7897:H7897"/>
    <mergeCell ref="E7898:H7898"/>
    <mergeCell ref="E7899:H7899"/>
    <mergeCell ref="E7919:F7919"/>
    <mergeCell ref="E7927:H7927"/>
    <mergeCell ref="E7928:H7928"/>
    <mergeCell ref="E7938:F7938"/>
    <mergeCell ref="E7929:H7929"/>
    <mergeCell ref="E7870:H7870"/>
    <mergeCell ref="E7876:F7876"/>
    <mergeCell ref="E7877:F7877"/>
    <mergeCell ref="E7878:F7878"/>
    <mergeCell ref="E7879:F7879"/>
    <mergeCell ref="E7880:F7880"/>
    <mergeCell ref="E7881:F7881"/>
    <mergeCell ref="E7882:F7882"/>
    <mergeCell ref="E7883:F7883"/>
    <mergeCell ref="E7884:F7884"/>
    <mergeCell ref="E7885:F7885"/>
    <mergeCell ref="E7890:H7890"/>
    <mergeCell ref="E7893:H7893"/>
    <mergeCell ref="E7894:H7894"/>
    <mergeCell ref="E7900:H7900"/>
    <mergeCell ref="E7902:H7902"/>
    <mergeCell ref="E7903:H7903"/>
    <mergeCell ref="E7904:H7904"/>
    <mergeCell ref="E7905:H7905"/>
    <mergeCell ref="E7908:F7908"/>
    <mergeCell ref="E7909:F7909"/>
    <mergeCell ref="E7910:F7910"/>
    <mergeCell ref="E7911:F7911"/>
    <mergeCell ref="E7912:F7912"/>
    <mergeCell ref="E7913:F7913"/>
    <mergeCell ref="E7914:F7914"/>
    <mergeCell ref="E7915:F7915"/>
    <mergeCell ref="E7916:F7916"/>
    <mergeCell ref="E7921:F7921"/>
    <mergeCell ref="E7923:H7923"/>
    <mergeCell ref="E7924:H7924"/>
    <mergeCell ref="E7926:H7926"/>
    <mergeCell ref="E7931:F7931"/>
    <mergeCell ref="E7829:H7829"/>
    <mergeCell ref="E7830:H7830"/>
    <mergeCell ref="E7831:H7831"/>
    <mergeCell ref="E7832:H7832"/>
    <mergeCell ref="E7833:H7833"/>
    <mergeCell ref="E7834:F7834"/>
    <mergeCell ref="E7839:H7839"/>
    <mergeCell ref="E7840:H7840"/>
    <mergeCell ref="E7841:H7841"/>
    <mergeCell ref="E7844:F7844"/>
    <mergeCell ref="E7846:F7846"/>
    <mergeCell ref="E7847:F7847"/>
    <mergeCell ref="E7848:F7848"/>
    <mergeCell ref="E7849:F7849"/>
    <mergeCell ref="E7850:F7850"/>
    <mergeCell ref="E7851:F7851"/>
    <mergeCell ref="E7866:F7866"/>
    <mergeCell ref="E7858:F7858"/>
    <mergeCell ref="E7859:F7859"/>
    <mergeCell ref="E7852:F7852"/>
    <mergeCell ref="E7853:F7853"/>
    <mergeCell ref="E7855:F7855"/>
    <mergeCell ref="E7860:F7860"/>
    <mergeCell ref="E7861:F7861"/>
    <mergeCell ref="E7862:F7862"/>
    <mergeCell ref="E7863:F7863"/>
    <mergeCell ref="E7864:F7864"/>
    <mergeCell ref="E7867:F7867"/>
    <mergeCell ref="E7868:F7868"/>
    <mergeCell ref="E7856:F7856"/>
    <mergeCell ref="E7857:F7857"/>
    <mergeCell ref="E7784:F7784"/>
    <mergeCell ref="E7785:F7785"/>
    <mergeCell ref="E7786:F7786"/>
    <mergeCell ref="E7787:F7787"/>
    <mergeCell ref="E7788:F7788"/>
    <mergeCell ref="E7789:F7789"/>
    <mergeCell ref="E7790:F7790"/>
    <mergeCell ref="E7796:H7796"/>
    <mergeCell ref="E7797:H7797"/>
    <mergeCell ref="E7798:H7798"/>
    <mergeCell ref="E7799:H7799"/>
    <mergeCell ref="E7800:H7800"/>
    <mergeCell ref="E7801:H7801"/>
    <mergeCell ref="E7802:H7802"/>
    <mergeCell ref="E7803:H7803"/>
    <mergeCell ref="E7806:F7806"/>
    <mergeCell ref="E7807:F7807"/>
    <mergeCell ref="E7808:F7808"/>
    <mergeCell ref="E7809:F7809"/>
    <mergeCell ref="E7810:F7810"/>
    <mergeCell ref="E7811:F7811"/>
    <mergeCell ref="E7812:F7812"/>
    <mergeCell ref="E7813:F7813"/>
    <mergeCell ref="E7815:F7815"/>
    <mergeCell ref="E7817:H7817"/>
    <mergeCell ref="E7818:H7818"/>
    <mergeCell ref="E7819:H7819"/>
    <mergeCell ref="E7823:H7823"/>
    <mergeCell ref="E7824:H7824"/>
    <mergeCell ref="E7826:H7826"/>
    <mergeCell ref="E7843:F7843"/>
    <mergeCell ref="E7845:F7845"/>
    <mergeCell ref="E7792:F7792"/>
    <mergeCell ref="E7793:F7793"/>
    <mergeCell ref="E7794:F7794"/>
    <mergeCell ref="E7825:F7825"/>
    <mergeCell ref="E7804:F7804"/>
    <mergeCell ref="E7805:F7805"/>
    <mergeCell ref="E7814:F7814"/>
    <mergeCell ref="E7816:F7816"/>
    <mergeCell ref="E7820:H7820"/>
    <mergeCell ref="E7821:H7821"/>
    <mergeCell ref="E7822:H7822"/>
    <mergeCell ref="E7827:H7827"/>
    <mergeCell ref="E7828:H7828"/>
    <mergeCell ref="E7335:H7335"/>
    <mergeCell ref="E7336:H7336"/>
    <mergeCell ref="E7272:H7272"/>
    <mergeCell ref="E7273:H7273"/>
    <mergeCell ref="E7274:H7274"/>
    <mergeCell ref="E7275:H7275"/>
    <mergeCell ref="E7276:H7276"/>
    <mergeCell ref="E7277:H7277"/>
    <mergeCell ref="E7278:H7278"/>
    <mergeCell ref="E7280:F7280"/>
    <mergeCell ref="E7281:F7281"/>
    <mergeCell ref="E7282:F7282"/>
    <mergeCell ref="E7283:F7283"/>
    <mergeCell ref="E7284:F7284"/>
    <mergeCell ref="E7285:F7285"/>
    <mergeCell ref="E7279:F7279"/>
    <mergeCell ref="E7253:F7253"/>
    <mergeCell ref="E7307:F7307"/>
    <mergeCell ref="E7259:H7259"/>
    <mergeCell ref="E7260:H7260"/>
    <mergeCell ref="E7262:F7262"/>
    <mergeCell ref="E7263:F7263"/>
    <mergeCell ref="E7264:F7264"/>
    <mergeCell ref="E7270:H7270"/>
    <mergeCell ref="E7271:H7271"/>
    <mergeCell ref="E7783:F7783"/>
    <mergeCell ref="E7386:H7386"/>
    <mergeCell ref="E7387:H7387"/>
    <mergeCell ref="E7388:H7388"/>
    <mergeCell ref="E7389:H7389"/>
    <mergeCell ref="E7390:H7390"/>
    <mergeCell ref="E7391:H7391"/>
    <mergeCell ref="E7392:H7392"/>
    <mergeCell ref="E7393:H7393"/>
    <mergeCell ref="E7394:F7394"/>
    <mergeCell ref="E7398:H7398"/>
    <mergeCell ref="E7399:H7399"/>
    <mergeCell ref="E7403:F7403"/>
    <mergeCell ref="E7404:F7404"/>
    <mergeCell ref="E7405:F7405"/>
    <mergeCell ref="E7406:F7406"/>
    <mergeCell ref="E7407:F7407"/>
    <mergeCell ref="E7329:F7329"/>
    <mergeCell ref="E7330:F7330"/>
    <mergeCell ref="E7309:F7309"/>
    <mergeCell ref="E7310:F7310"/>
    <mergeCell ref="E7349:H7349"/>
    <mergeCell ref="E7357:F7357"/>
    <mergeCell ref="E7327:F7327"/>
    <mergeCell ref="E7337:H7337"/>
    <mergeCell ref="E7314:H7314"/>
    <mergeCell ref="E7315:H7315"/>
    <mergeCell ref="E7319:F7319"/>
    <mergeCell ref="E7320:F7320"/>
    <mergeCell ref="E7321:F7321"/>
    <mergeCell ref="E7322:F7322"/>
    <mergeCell ref="E7323:F7323"/>
    <mergeCell ref="E7312:H7312"/>
    <mergeCell ref="E7313:H7313"/>
    <mergeCell ref="E7439:H7439"/>
    <mergeCell ref="E7445:H7445"/>
    <mergeCell ref="E7395:H7395"/>
    <mergeCell ref="E7400:H7400"/>
    <mergeCell ref="E7401:H7401"/>
    <mergeCell ref="E7302:F7302"/>
    <mergeCell ref="E7303:F7303"/>
    <mergeCell ref="E7304:F7304"/>
    <mergeCell ref="E7305:F7305"/>
    <mergeCell ref="E7306:H7306"/>
    <mergeCell ref="E7311:H7311"/>
    <mergeCell ref="E7190:H7190"/>
    <mergeCell ref="E7191:H7191"/>
    <mergeCell ref="E7197:F7197"/>
    <mergeCell ref="E7204:H7204"/>
    <mergeCell ref="E7205:H7205"/>
    <mergeCell ref="E7206:H7206"/>
    <mergeCell ref="E7212:F7212"/>
    <mergeCell ref="E7213:F7213"/>
    <mergeCell ref="E7214:F7214"/>
    <mergeCell ref="E7215:F7215"/>
    <mergeCell ref="E7216:F7216"/>
    <mergeCell ref="E7217:F7217"/>
    <mergeCell ref="E7220:F7220"/>
    <mergeCell ref="E7232:F7232"/>
    <mergeCell ref="E7221:F7221"/>
    <mergeCell ref="E7222:F7222"/>
    <mergeCell ref="E7200:F7200"/>
    <mergeCell ref="E7241:H7241"/>
    <mergeCell ref="E7242:H7242"/>
    <mergeCell ref="E7243:H7243"/>
    <mergeCell ref="E7246:F7246"/>
    <mergeCell ref="E7247:F7247"/>
    <mergeCell ref="E7316:H7316"/>
    <mergeCell ref="E7317:H7317"/>
    <mergeCell ref="E7324:F7324"/>
    <mergeCell ref="E7325:F7325"/>
    <mergeCell ref="E7334:H7334"/>
    <mergeCell ref="E7236:F7236"/>
    <mergeCell ref="E7237:F7237"/>
    <mergeCell ref="E7233:F7233"/>
    <mergeCell ref="E7199:F7199"/>
    <mergeCell ref="E7255:F7255"/>
    <mergeCell ref="E7269:H7269"/>
    <mergeCell ref="E7153:H7153"/>
    <mergeCell ref="E7155:F7155"/>
    <mergeCell ref="E7156:F7156"/>
    <mergeCell ref="E7157:F7157"/>
    <mergeCell ref="E7158:F7158"/>
    <mergeCell ref="E7159:F7159"/>
    <mergeCell ref="E7160:F7160"/>
    <mergeCell ref="E7166:F7166"/>
    <mergeCell ref="E7169:F7169"/>
    <mergeCell ref="E7172:H7172"/>
    <mergeCell ref="E7173:H7173"/>
    <mergeCell ref="E7176:H7176"/>
    <mergeCell ref="E7177:H7177"/>
    <mergeCell ref="E7178:F7178"/>
    <mergeCell ref="E7179:F7179"/>
    <mergeCell ref="E7180:F7180"/>
    <mergeCell ref="E7154:F7154"/>
    <mergeCell ref="E7165:F7165"/>
    <mergeCell ref="E7174:H7174"/>
    <mergeCell ref="E7175:H7175"/>
    <mergeCell ref="E7164:F7164"/>
    <mergeCell ref="E7167:F7167"/>
    <mergeCell ref="E7161:F7161"/>
    <mergeCell ref="E7299:F7299"/>
    <mergeCell ref="E7300:F7300"/>
    <mergeCell ref="E7301:F7301"/>
    <mergeCell ref="E7181:F7181"/>
    <mergeCell ref="E7182:F7182"/>
    <mergeCell ref="E7183:F7183"/>
    <mergeCell ref="E7184:F7184"/>
    <mergeCell ref="E7185:F7185"/>
    <mergeCell ref="E7186:F7186"/>
    <mergeCell ref="E7248:F7248"/>
    <mergeCell ref="E7249:F7249"/>
    <mergeCell ref="E7250:F7250"/>
    <mergeCell ref="E7251:F7251"/>
    <mergeCell ref="E7193:H7193"/>
    <mergeCell ref="E7194:H7194"/>
    <mergeCell ref="E7195:H7195"/>
    <mergeCell ref="E7196:H7196"/>
    <mergeCell ref="E7201:H7201"/>
    <mergeCell ref="E7202:H7202"/>
    <mergeCell ref="E7203:H7203"/>
    <mergeCell ref="E7207:F7207"/>
    <mergeCell ref="E7208:F7208"/>
    <mergeCell ref="E7209:F7209"/>
    <mergeCell ref="E7210:F7210"/>
    <mergeCell ref="E7211:F7211"/>
    <mergeCell ref="E7223:H7223"/>
    <mergeCell ref="E7224:F7224"/>
    <mergeCell ref="E7225:F7225"/>
    <mergeCell ref="E7226:F7226"/>
    <mergeCell ref="E7227:F7227"/>
    <mergeCell ref="E7228:F7228"/>
    <mergeCell ref="E7229:F7229"/>
    <mergeCell ref="E7230:F7230"/>
    <mergeCell ref="E7231:F7231"/>
    <mergeCell ref="E7234:H7234"/>
    <mergeCell ref="E7239:H7239"/>
    <mergeCell ref="E7240:H7240"/>
    <mergeCell ref="E7238:F7238"/>
    <mergeCell ref="E7235:F7235"/>
    <mergeCell ref="E7189:H7189"/>
    <mergeCell ref="E7187:F7187"/>
    <mergeCell ref="E7188:F7188"/>
    <mergeCell ref="E7192:H7192"/>
    <mergeCell ref="E7015:F7015"/>
    <mergeCell ref="E7018:F7018"/>
    <mergeCell ref="E7019:F7019"/>
    <mergeCell ref="E6955:F6955"/>
    <mergeCell ref="E6964:F6964"/>
    <mergeCell ref="E6965:F6965"/>
    <mergeCell ref="E6966:F6966"/>
    <mergeCell ref="E6980:F6980"/>
    <mergeCell ref="E6981:F6981"/>
    <mergeCell ref="E6986:F6986"/>
    <mergeCell ref="E6988:F6988"/>
    <mergeCell ref="E6989:F6989"/>
    <mergeCell ref="E6990:F6990"/>
    <mergeCell ref="E6991:F6991"/>
    <mergeCell ref="E6995:F6995"/>
    <mergeCell ref="E6996:F6996"/>
    <mergeCell ref="E7000:H7000"/>
    <mergeCell ref="E7001:H7001"/>
    <mergeCell ref="E7002:H7002"/>
    <mergeCell ref="E7007:F7007"/>
    <mergeCell ref="E7012:F7012"/>
    <mergeCell ref="E7069:F7069"/>
    <mergeCell ref="E7041:F7041"/>
    <mergeCell ref="E7042:F7042"/>
    <mergeCell ref="E7043:F7043"/>
    <mergeCell ref="E7044:F7044"/>
    <mergeCell ref="E7066:F7066"/>
    <mergeCell ref="E7045:F7045"/>
    <mergeCell ref="E7046:F7046"/>
    <mergeCell ref="E7048:F7048"/>
    <mergeCell ref="E7049:F7049"/>
    <mergeCell ref="E7052:H7052"/>
    <mergeCell ref="E7054:H7054"/>
    <mergeCell ref="E7056:H7056"/>
    <mergeCell ref="E7058:H7058"/>
    <mergeCell ref="E7059:F7059"/>
    <mergeCell ref="E7065:F7065"/>
    <mergeCell ref="E7013:F7013"/>
    <mergeCell ref="E7014:F7014"/>
    <mergeCell ref="E6967:F6967"/>
    <mergeCell ref="E6968:F6968"/>
    <mergeCell ref="E6969:F6969"/>
    <mergeCell ref="E6970:F6970"/>
    <mergeCell ref="E6971:F6971"/>
    <mergeCell ref="E6972:F6972"/>
    <mergeCell ref="E6984:F6984"/>
    <mergeCell ref="E6961:H6961"/>
    <mergeCell ref="E6976:F6976"/>
    <mergeCell ref="E6978:F6978"/>
    <mergeCell ref="E6979:F6979"/>
    <mergeCell ref="E7050:F7050"/>
    <mergeCell ref="E7053:H7053"/>
    <mergeCell ref="E7055:H7055"/>
    <mergeCell ref="E7057:H7057"/>
    <mergeCell ref="E7020:H7020"/>
    <mergeCell ref="E7021:H7021"/>
    <mergeCell ref="E7022:H7022"/>
    <mergeCell ref="E7023:H7023"/>
    <mergeCell ref="E7024:H7024"/>
    <mergeCell ref="E7025:H7025"/>
    <mergeCell ref="E7026:H7026"/>
    <mergeCell ref="E7028:H7028"/>
    <mergeCell ref="E7029:H7029"/>
    <mergeCell ref="E7030:H7030"/>
    <mergeCell ref="E6834:H6834"/>
    <mergeCell ref="E6998:H6998"/>
    <mergeCell ref="E6999:H6999"/>
    <mergeCell ref="E7008:F7008"/>
    <mergeCell ref="E7009:F7009"/>
    <mergeCell ref="E6962:H6962"/>
    <mergeCell ref="E6973:F6973"/>
    <mergeCell ref="E6974:F6974"/>
    <mergeCell ref="E6940:F6940"/>
    <mergeCell ref="E6941:F6941"/>
    <mergeCell ref="E6942:F6942"/>
    <mergeCell ref="E6946:F6946"/>
    <mergeCell ref="E6957:F6957"/>
    <mergeCell ref="E6958:F6958"/>
    <mergeCell ref="E6943:F6943"/>
    <mergeCell ref="E6913:F6913"/>
    <mergeCell ref="E6914:F6914"/>
    <mergeCell ref="E6915:F6915"/>
    <mergeCell ref="E6916:F6916"/>
    <mergeCell ref="E6917:F6917"/>
    <mergeCell ref="E6919:F6919"/>
    <mergeCell ref="E6922:F6922"/>
    <mergeCell ref="E6923:F6923"/>
    <mergeCell ref="E6924:F6924"/>
    <mergeCell ref="E6928:H6928"/>
    <mergeCell ref="E6929:H6929"/>
    <mergeCell ref="E6930:H6930"/>
    <mergeCell ref="E6931:H6931"/>
    <mergeCell ref="E6932:H6932"/>
    <mergeCell ref="E6944:F6944"/>
    <mergeCell ref="E6975:F6975"/>
    <mergeCell ref="E6835:H6835"/>
    <mergeCell ref="E6836:H6836"/>
    <mergeCell ref="E6889:F6889"/>
    <mergeCell ref="E6890:F6890"/>
    <mergeCell ref="E6870:F6870"/>
    <mergeCell ref="E6871:F6871"/>
    <mergeCell ref="E6872:F6872"/>
    <mergeCell ref="E6873:F6873"/>
    <mergeCell ref="E6874:F6874"/>
    <mergeCell ref="E6877:H6877"/>
    <mergeCell ref="E6878:H6878"/>
    <mergeCell ref="E6879:H6879"/>
    <mergeCell ref="E6897:F6897"/>
    <mergeCell ref="E6898:F6898"/>
    <mergeCell ref="E6903:H6903"/>
    <mergeCell ref="E6904:H6904"/>
    <mergeCell ref="E6905:H6905"/>
    <mergeCell ref="E6908:H6908"/>
    <mergeCell ref="E6909:H6909"/>
    <mergeCell ref="E6911:F6911"/>
    <mergeCell ref="E6912:F6912"/>
    <mergeCell ref="E6945:F6945"/>
    <mergeCell ref="E6947:H6947"/>
    <mergeCell ref="E6948:H6948"/>
    <mergeCell ref="E6949:H6949"/>
    <mergeCell ref="E6950:H6950"/>
    <mergeCell ref="E6951:H6951"/>
    <mergeCell ref="E6952:H6952"/>
    <mergeCell ref="E6953:H6953"/>
    <mergeCell ref="E6954:H6954"/>
    <mergeCell ref="E6901:F6901"/>
    <mergeCell ref="E6902:F6902"/>
    <mergeCell ref="E6910:H6910"/>
    <mergeCell ref="E6781:F6781"/>
    <mergeCell ref="E6782:F6782"/>
    <mergeCell ref="E6783:F6783"/>
    <mergeCell ref="E6760:F6760"/>
    <mergeCell ref="E6795:F6795"/>
    <mergeCell ref="E6804:H6804"/>
    <mergeCell ref="E6814:F6814"/>
    <mergeCell ref="E6801:H6801"/>
    <mergeCell ref="E6802:H6802"/>
    <mergeCell ref="E6803:H6803"/>
    <mergeCell ref="E6806:F6806"/>
    <mergeCell ref="E6807:F6807"/>
    <mergeCell ref="E6808:F6808"/>
    <mergeCell ref="E7039:F7039"/>
    <mergeCell ref="E7047:F7047"/>
    <mergeCell ref="E7051:H7051"/>
    <mergeCell ref="E7017:H7017"/>
    <mergeCell ref="E7011:F7011"/>
    <mergeCell ref="E6918:F6918"/>
    <mergeCell ref="E6920:F6920"/>
    <mergeCell ref="E6921:F6921"/>
    <mergeCell ref="E6926:H6926"/>
    <mergeCell ref="E6927:H6927"/>
    <mergeCell ref="E6960:H6960"/>
    <mergeCell ref="E6982:F6982"/>
    <mergeCell ref="E6815:F6815"/>
    <mergeCell ref="E6816:F6816"/>
    <mergeCell ref="E6817:F6817"/>
    <mergeCell ref="E6818:F6818"/>
    <mergeCell ref="E6823:H6823"/>
    <mergeCell ref="E6824:H6824"/>
    <mergeCell ref="E6826:H6826"/>
    <mergeCell ref="E6827:H6827"/>
    <mergeCell ref="E6829:H6829"/>
    <mergeCell ref="E6837:F6837"/>
    <mergeCell ref="E6838:F6838"/>
    <mergeCell ref="E6841:F6841"/>
    <mergeCell ref="E6852:F6852"/>
    <mergeCell ref="E6886:F6886"/>
    <mergeCell ref="E6887:F6887"/>
    <mergeCell ref="E6888:F6888"/>
    <mergeCell ref="E6828:H6828"/>
    <mergeCell ref="E6821:F6821"/>
    <mergeCell ref="E6825:H6825"/>
    <mergeCell ref="E6843:F6843"/>
    <mergeCell ref="E6842:F6842"/>
    <mergeCell ref="E6864:F6864"/>
    <mergeCell ref="E6865:F6865"/>
    <mergeCell ref="E6866:F6866"/>
    <mergeCell ref="E6839:F6839"/>
    <mergeCell ref="E6840:F6840"/>
    <mergeCell ref="E6875:F6875"/>
    <mergeCell ref="E6876:F6876"/>
    <mergeCell ref="E6861:F6861"/>
    <mergeCell ref="E6862:F6862"/>
    <mergeCell ref="E6863:F6863"/>
    <mergeCell ref="E6899:F6899"/>
    <mergeCell ref="E6900:F6900"/>
    <mergeCell ref="E6820:H6820"/>
    <mergeCell ref="E6822:F6822"/>
    <mergeCell ref="E6830:H6830"/>
    <mergeCell ref="E6831:H6831"/>
    <mergeCell ref="E6832:H6832"/>
    <mergeCell ref="E6833:H6833"/>
    <mergeCell ref="E6771:F6771"/>
    <mergeCell ref="E6787:F6787"/>
    <mergeCell ref="E6788:F6788"/>
    <mergeCell ref="E6761:F6761"/>
    <mergeCell ref="E6758:F6758"/>
    <mergeCell ref="E6759:F6759"/>
    <mergeCell ref="E6757:F6757"/>
    <mergeCell ref="E6925:H6925"/>
    <mergeCell ref="E6773:F6773"/>
    <mergeCell ref="E6774:F6774"/>
    <mergeCell ref="E6796:F6796"/>
    <mergeCell ref="E6797:F6797"/>
    <mergeCell ref="E6798:F6798"/>
    <mergeCell ref="E6799:F6799"/>
    <mergeCell ref="E6805:H6805"/>
    <mergeCell ref="E6844:F6844"/>
    <mergeCell ref="E6845:F6845"/>
    <mergeCell ref="E6846:F6846"/>
    <mergeCell ref="E6847:F6847"/>
    <mergeCell ref="E6848:F6848"/>
    <mergeCell ref="E6849:F6849"/>
    <mergeCell ref="E6850:F6850"/>
    <mergeCell ref="E6851:F6851"/>
    <mergeCell ref="E6853:H6853"/>
    <mergeCell ref="E6854:H6854"/>
    <mergeCell ref="E6855:H6855"/>
    <mergeCell ref="E6856:H6856"/>
    <mergeCell ref="E6857:H6857"/>
    <mergeCell ref="E6858:H6858"/>
    <mergeCell ref="E6859:H6859"/>
    <mergeCell ref="E6860:H6860"/>
    <mergeCell ref="E6867:F6867"/>
    <mergeCell ref="E6809:F6809"/>
    <mergeCell ref="E6810:F6810"/>
    <mergeCell ref="E6811:F6811"/>
    <mergeCell ref="E6812:F6812"/>
    <mergeCell ref="E6813:F6813"/>
    <mergeCell ref="E6868:F6868"/>
    <mergeCell ref="E6869:F6869"/>
    <mergeCell ref="E6880:H6880"/>
    <mergeCell ref="E6881:H6881"/>
    <mergeCell ref="E6882:H6882"/>
    <mergeCell ref="E6883:H6883"/>
    <mergeCell ref="E6884:H6884"/>
    <mergeCell ref="E6885:H6885"/>
    <mergeCell ref="E6891:F6891"/>
    <mergeCell ref="E6892:F6892"/>
    <mergeCell ref="E6893:F6893"/>
    <mergeCell ref="E6894:F6894"/>
    <mergeCell ref="E6895:F6895"/>
    <mergeCell ref="E6896:F6896"/>
    <mergeCell ref="E6776:H6776"/>
    <mergeCell ref="E6763:H6763"/>
    <mergeCell ref="E6764:H6764"/>
    <mergeCell ref="E6777:H6777"/>
    <mergeCell ref="E6778:H6778"/>
    <mergeCell ref="E6784:F6784"/>
    <mergeCell ref="E6790:F6790"/>
    <mergeCell ref="E6791:F6791"/>
    <mergeCell ref="E6792:F6792"/>
    <mergeCell ref="E6793:F6793"/>
    <mergeCell ref="E6789:F6789"/>
    <mergeCell ref="E6786:F6786"/>
    <mergeCell ref="E6780:F6780"/>
    <mergeCell ref="E6526:F6526"/>
    <mergeCell ref="E6529:H6529"/>
    <mergeCell ref="E6534:H6534"/>
    <mergeCell ref="E6535:H6535"/>
    <mergeCell ref="E6536:H6536"/>
    <mergeCell ref="E6537:H6537"/>
    <mergeCell ref="E6528:F6528"/>
    <mergeCell ref="E6543:F6543"/>
    <mergeCell ref="E6401:F6401"/>
    <mergeCell ref="E6403:F6403"/>
    <mergeCell ref="E6404:F6404"/>
    <mergeCell ref="E6409:H6409"/>
    <mergeCell ref="E6410:H6410"/>
    <mergeCell ref="E6412:H6412"/>
    <mergeCell ref="E6418:H6418"/>
    <mergeCell ref="E6470:H6470"/>
    <mergeCell ref="E6765:H6765"/>
    <mergeCell ref="E6766:H6766"/>
    <mergeCell ref="E6767:H6767"/>
    <mergeCell ref="E6768:H6768"/>
    <mergeCell ref="E6769:H6769"/>
    <mergeCell ref="E6770:H6770"/>
    <mergeCell ref="E6723:H6723"/>
    <mergeCell ref="E6731:F6731"/>
    <mergeCell ref="E6732:F6732"/>
    <mergeCell ref="E6733:F6733"/>
    <mergeCell ref="E6735:F6735"/>
    <mergeCell ref="E6739:F6739"/>
    <mergeCell ref="E6740:F6740"/>
    <mergeCell ref="E6743:H6743"/>
    <mergeCell ref="E6712:F6712"/>
    <mergeCell ref="E6713:F6713"/>
    <mergeCell ref="E6714:F6714"/>
    <mergeCell ref="E6744:H6744"/>
    <mergeCell ref="E6745:H6745"/>
    <mergeCell ref="E6746:H6746"/>
    <mergeCell ref="E6747:H6747"/>
    <mergeCell ref="E6748:H6748"/>
    <mergeCell ref="E6749:H6749"/>
    <mergeCell ref="E6750:H6750"/>
    <mergeCell ref="E6734:F6734"/>
    <mergeCell ref="E6736:F6736"/>
    <mergeCell ref="E6715:F6715"/>
    <mergeCell ref="E6716:F6716"/>
    <mergeCell ref="E6717:F6717"/>
    <mergeCell ref="E6737:F6737"/>
    <mergeCell ref="E6738:F6738"/>
    <mergeCell ref="E6741:F6741"/>
    <mergeCell ref="E6742:F6742"/>
    <mergeCell ref="E6751:F6751"/>
    <mergeCell ref="E6752:F6752"/>
    <mergeCell ref="E6753:F6753"/>
    <mergeCell ref="E6754:F6754"/>
    <mergeCell ref="E6762:F6762"/>
    <mergeCell ref="E6567:H6567"/>
    <mergeCell ref="E6544:F6544"/>
    <mergeCell ref="E6545:F6545"/>
    <mergeCell ref="E6546:F6546"/>
    <mergeCell ref="E6547:F6547"/>
    <mergeCell ref="E6662:H6662"/>
    <mergeCell ref="E6663:H6663"/>
    <mergeCell ref="E6664:H6664"/>
    <mergeCell ref="E6756:F6756"/>
    <mergeCell ref="E6755:F6755"/>
    <mergeCell ref="E6530:F6530"/>
    <mergeCell ref="E6531:F6531"/>
    <mergeCell ref="E6532:F6532"/>
    <mergeCell ref="E6533:F6533"/>
    <mergeCell ref="E6527:F6527"/>
    <mergeCell ref="E6542:F6542"/>
    <mergeCell ref="E6419:H6419"/>
    <mergeCell ref="E6420:H6420"/>
    <mergeCell ref="E6422:F6422"/>
    <mergeCell ref="E6423:F6423"/>
    <mergeCell ref="E6424:F6424"/>
    <mergeCell ref="E6425:F6425"/>
    <mergeCell ref="E6426:F6426"/>
    <mergeCell ref="E6427:F6427"/>
    <mergeCell ref="E6429:F6429"/>
    <mergeCell ref="E6541:H6541"/>
    <mergeCell ref="E6554:H6554"/>
    <mergeCell ref="E6566:F6566"/>
    <mergeCell ref="E6289:H6289"/>
    <mergeCell ref="E6290:H6290"/>
    <mergeCell ref="E6291:H6291"/>
    <mergeCell ref="E6292:H6292"/>
    <mergeCell ref="E6295:F6295"/>
    <mergeCell ref="E6296:F6296"/>
    <mergeCell ref="E6297:F6297"/>
    <mergeCell ref="E6298:F6298"/>
    <mergeCell ref="E6299:F6299"/>
    <mergeCell ref="E6300:F6300"/>
    <mergeCell ref="E6307:F6307"/>
    <mergeCell ref="E6311:H6311"/>
    <mergeCell ref="E6319:F6319"/>
    <mergeCell ref="E6472:H6472"/>
    <mergeCell ref="E6560:H6560"/>
    <mergeCell ref="E6338:H6338"/>
    <mergeCell ref="E6339:H6339"/>
    <mergeCell ref="E6330:F6330"/>
    <mergeCell ref="E6331:F6331"/>
    <mergeCell ref="E6347:F6347"/>
    <mergeCell ref="E6303:F6303"/>
    <mergeCell ref="E6304:F6304"/>
    <mergeCell ref="E6305:F6305"/>
    <mergeCell ref="E6306:F6306"/>
    <mergeCell ref="E6309:F6309"/>
    <mergeCell ref="E6310:F6310"/>
    <mergeCell ref="E6315:H6315"/>
    <mergeCell ref="E6473:H6473"/>
    <mergeCell ref="E6474:H6474"/>
    <mergeCell ref="E6475:H6475"/>
    <mergeCell ref="E6476:H6476"/>
    <mergeCell ref="E6477:H6477"/>
    <mergeCell ref="E6478:H6478"/>
    <mergeCell ref="E6479:H6479"/>
    <mergeCell ref="E6480:H6480"/>
    <mergeCell ref="E6481:H6481"/>
    <mergeCell ref="E6482:H6482"/>
    <mergeCell ref="E6484:F6484"/>
    <mergeCell ref="E6485:F6485"/>
    <mergeCell ref="E6538:H6538"/>
    <mergeCell ref="E6539:H6539"/>
    <mergeCell ref="E6540:H6540"/>
    <mergeCell ref="E6521:H6521"/>
    <mergeCell ref="E6523:F6523"/>
    <mergeCell ref="E6524:F6524"/>
    <mergeCell ref="E6525:F6525"/>
    <mergeCell ref="E6337:H6337"/>
    <mergeCell ref="E6316:H6316"/>
    <mergeCell ref="E6320:F6320"/>
    <mergeCell ref="E6322:F6322"/>
    <mergeCell ref="E6323:F6323"/>
    <mergeCell ref="E6329:F6329"/>
    <mergeCell ref="E6201:H6201"/>
    <mergeCell ref="E6210:F6210"/>
    <mergeCell ref="E6212:F6212"/>
    <mergeCell ref="E6214:F6214"/>
    <mergeCell ref="E6471:H6471"/>
    <mergeCell ref="E6430:F6430"/>
    <mergeCell ref="E6444:F6444"/>
    <mergeCell ref="E6451:F6451"/>
    <mergeCell ref="E6466:F6466"/>
    <mergeCell ref="E6467:F6467"/>
    <mergeCell ref="E6382:H6382"/>
    <mergeCell ref="E6383:H6383"/>
    <mergeCell ref="E6384:H6384"/>
    <mergeCell ref="E6385:H6385"/>
    <mergeCell ref="E6390:F6390"/>
    <mergeCell ref="E6411:H6411"/>
    <mergeCell ref="E6388:H6388"/>
    <mergeCell ref="E6514:F6514"/>
    <mergeCell ref="E6522:H6522"/>
    <mergeCell ref="E6492:F6492"/>
    <mergeCell ref="E6494:F6494"/>
    <mergeCell ref="E6497:H6497"/>
    <mergeCell ref="E6498:H6498"/>
    <mergeCell ref="E6499:H6499"/>
    <mergeCell ref="E6503:F6503"/>
    <mergeCell ref="E6508:F6508"/>
    <mergeCell ref="E6509:F6509"/>
    <mergeCell ref="E6504:F6504"/>
    <mergeCell ref="E6505:F6505"/>
    <mergeCell ref="E6507:F6507"/>
    <mergeCell ref="E6335:F6335"/>
    <mergeCell ref="E6332:F6332"/>
    <mergeCell ref="E6334:F6334"/>
    <mergeCell ref="E6368:F6368"/>
    <mergeCell ref="E6369:F6369"/>
    <mergeCell ref="E6340:H6340"/>
    <mergeCell ref="E6341:H6341"/>
    <mergeCell ref="E6342:H6342"/>
    <mergeCell ref="E6343:H6343"/>
    <mergeCell ref="E6348:F6348"/>
    <mergeCell ref="E6351:F6351"/>
    <mergeCell ref="E6352:F6352"/>
    <mergeCell ref="E6353:F6353"/>
    <mergeCell ref="E6354:F6354"/>
    <mergeCell ref="E6355:F6355"/>
    <mergeCell ref="E6359:H6359"/>
    <mergeCell ref="E6360:H6360"/>
    <mergeCell ref="E6361:H6361"/>
    <mergeCell ref="E6363:H6363"/>
    <mergeCell ref="E6483:F6483"/>
    <mergeCell ref="E6450:H6450"/>
    <mergeCell ref="E6458:F6458"/>
    <mergeCell ref="E6459:F6459"/>
    <mergeCell ref="E6460:F6460"/>
    <mergeCell ref="E6125:F6125"/>
    <mergeCell ref="E6129:H6129"/>
    <mergeCell ref="E6130:H6130"/>
    <mergeCell ref="E6131:H6131"/>
    <mergeCell ref="E6132:H6132"/>
    <mergeCell ref="E6133:H6133"/>
    <mergeCell ref="E6144:F6144"/>
    <mergeCell ref="E6145:F6145"/>
    <mergeCell ref="E6146:F6146"/>
    <mergeCell ref="E6147:F6147"/>
    <mergeCell ref="E6148:F6148"/>
    <mergeCell ref="E6158:F6158"/>
    <mergeCell ref="E6143:F6143"/>
    <mergeCell ref="E6137:F6137"/>
    <mergeCell ref="E6122:H6122"/>
    <mergeCell ref="E6123:H6123"/>
    <mergeCell ref="E6124:H6124"/>
    <mergeCell ref="E6126:F6126"/>
    <mergeCell ref="E6127:F6127"/>
    <mergeCell ref="E6128:F6128"/>
    <mergeCell ref="E6134:H6134"/>
    <mergeCell ref="E6135:H6135"/>
    <mergeCell ref="E6136:H6136"/>
    <mergeCell ref="E6138:F6138"/>
    <mergeCell ref="E6139:F6139"/>
    <mergeCell ref="E6140:F6140"/>
    <mergeCell ref="E6141:F6141"/>
    <mergeCell ref="E6142:F6142"/>
    <mergeCell ref="E6286:F6286"/>
    <mergeCell ref="E6314:H6314"/>
    <mergeCell ref="E6317:H6317"/>
    <mergeCell ref="E6265:H6265"/>
    <mergeCell ref="E6283:F6283"/>
    <mergeCell ref="E6285:F6285"/>
    <mergeCell ref="E6246:F6246"/>
    <mergeCell ref="E6247:F6247"/>
    <mergeCell ref="E6259:H6259"/>
    <mergeCell ref="E6260:H6260"/>
    <mergeCell ref="E6261:H6261"/>
    <mergeCell ref="E6262:H6262"/>
    <mergeCell ref="E6234:H6234"/>
    <mergeCell ref="E6053:H6053"/>
    <mergeCell ref="E6054:H6054"/>
    <mergeCell ref="E6055:H6055"/>
    <mergeCell ref="E6056:H6056"/>
    <mergeCell ref="E6062:F6062"/>
    <mergeCell ref="E6063:F6063"/>
    <mergeCell ref="E6064:F6064"/>
    <mergeCell ref="E6163:F6163"/>
    <mergeCell ref="E6165:F6165"/>
    <mergeCell ref="E6171:H6171"/>
    <mergeCell ref="E6186:H6186"/>
    <mergeCell ref="E6189:H6189"/>
    <mergeCell ref="E6190:H6190"/>
    <mergeCell ref="E6191:H6191"/>
    <mergeCell ref="E6344:F6344"/>
    <mergeCell ref="E6346:F6346"/>
    <mergeCell ref="E6036:H6036"/>
    <mergeCell ref="E6037:H6037"/>
    <mergeCell ref="E5980:F5980"/>
    <mergeCell ref="E5993:H5993"/>
    <mergeCell ref="E5994:H5994"/>
    <mergeCell ref="E5998:F5998"/>
    <mergeCell ref="E5999:F5999"/>
    <mergeCell ref="E6000:F6000"/>
    <mergeCell ref="E6253:G6253"/>
    <mergeCell ref="E6254:G6254"/>
    <mergeCell ref="E6255:G6255"/>
    <mergeCell ref="E6256:G6256"/>
    <mergeCell ref="E6195:H6195"/>
    <mergeCell ref="E6194:H6194"/>
    <mergeCell ref="E6321:F6321"/>
    <mergeCell ref="E6324:F6324"/>
    <mergeCell ref="E6325:F6325"/>
    <mergeCell ref="E6326:F6326"/>
    <mergeCell ref="E6327:F6327"/>
    <mergeCell ref="E6328:F6328"/>
    <mergeCell ref="E6336:H6336"/>
    <mergeCell ref="E6199:F6199"/>
    <mergeCell ref="E6204:H6204"/>
    <mergeCell ref="E6211:F6211"/>
    <mergeCell ref="E6217:F6217"/>
    <mergeCell ref="E6218:F6218"/>
    <mergeCell ref="E6219:F6219"/>
    <mergeCell ref="E6220:F6220"/>
    <mergeCell ref="E6221:F6221"/>
    <mergeCell ref="E6222:F6222"/>
    <mergeCell ref="E6223:F6223"/>
    <mergeCell ref="E6231:F6231"/>
    <mergeCell ref="E6233:H6233"/>
    <mergeCell ref="E6270:H6270"/>
    <mergeCell ref="E6271:H6271"/>
    <mergeCell ref="E6274:F6274"/>
    <mergeCell ref="E6275:F6275"/>
    <mergeCell ref="E6276:F6276"/>
    <mergeCell ref="E6277:F6277"/>
    <mergeCell ref="E6278:F6278"/>
    <mergeCell ref="E6068:F6068"/>
    <mergeCell ref="E6070:F6070"/>
    <mergeCell ref="E6071:F6071"/>
    <mergeCell ref="E6156:H6156"/>
    <mergeCell ref="E6157:F6157"/>
    <mergeCell ref="E6345:F6345"/>
    <mergeCell ref="E6313:H6313"/>
    <mergeCell ref="E6318:H6318"/>
    <mergeCell ref="E5891:F5891"/>
    <mergeCell ref="E5892:F5892"/>
    <mergeCell ref="E5942:F5942"/>
    <mergeCell ref="E5944:F5944"/>
    <mergeCell ref="E5946:F5946"/>
    <mergeCell ref="E5947:F5947"/>
    <mergeCell ref="E5948:F5948"/>
    <mergeCell ref="E5908:F5908"/>
    <mergeCell ref="E5929:F5929"/>
    <mergeCell ref="E6038:H6038"/>
    <mergeCell ref="E6039:H6039"/>
    <mergeCell ref="E6041:F6041"/>
    <mergeCell ref="E6045:F6045"/>
    <mergeCell ref="E6046:F6046"/>
    <mergeCell ref="E6047:F6047"/>
    <mergeCell ref="E6048:F6048"/>
    <mergeCell ref="E6049:F6049"/>
    <mergeCell ref="E6050:F6050"/>
    <mergeCell ref="E6015:H6015"/>
    <mergeCell ref="E6040:F6040"/>
    <mergeCell ref="E6042:F6042"/>
    <mergeCell ref="E6044:F6044"/>
    <mergeCell ref="E6014:H6014"/>
    <mergeCell ref="E6016:H6016"/>
    <mergeCell ref="E6029:F6029"/>
    <mergeCell ref="E6031:H6031"/>
    <mergeCell ref="E6043:F6043"/>
    <mergeCell ref="E5967:F5967"/>
    <mergeCell ref="E5968:F5968"/>
    <mergeCell ref="E5976:F5976"/>
    <mergeCell ref="E5978:H5978"/>
    <mergeCell ref="E5981:H5981"/>
    <mergeCell ref="E5982:H5982"/>
    <mergeCell ref="E5983:H5983"/>
    <mergeCell ref="E5984:H5984"/>
    <mergeCell ref="E5985:H5985"/>
    <mergeCell ref="E5986:H5986"/>
    <mergeCell ref="E5987:H5987"/>
    <mergeCell ref="E5988:H5988"/>
    <mergeCell ref="E5989:H5989"/>
    <mergeCell ref="E6010:H6010"/>
    <mergeCell ref="E5995:F5995"/>
    <mergeCell ref="E5996:F5996"/>
    <mergeCell ref="E5997:F5997"/>
    <mergeCell ref="E5969:F5969"/>
    <mergeCell ref="E5970:F5970"/>
    <mergeCell ref="E5971:F5971"/>
    <mergeCell ref="E5990:H5990"/>
    <mergeCell ref="E5991:H5991"/>
    <mergeCell ref="E5992:H5992"/>
    <mergeCell ref="E5975:F5975"/>
    <mergeCell ref="E6009:H6009"/>
    <mergeCell ref="E5917:F5917"/>
    <mergeCell ref="E6004:F6004"/>
    <mergeCell ref="E6006:F6006"/>
    <mergeCell ref="E5962:H5962"/>
    <mergeCell ref="E5963:H5963"/>
    <mergeCell ref="E6007:F6007"/>
    <mergeCell ref="E6002:F6002"/>
    <mergeCell ref="E5804:F5804"/>
    <mergeCell ref="E5817:H5817"/>
    <mergeCell ref="E5827:F5827"/>
    <mergeCell ref="E5835:F5835"/>
    <mergeCell ref="E5795:H5795"/>
    <mergeCell ref="E5799:F5799"/>
    <mergeCell ref="E5846:H5846"/>
    <mergeCell ref="E5847:H5847"/>
    <mergeCell ref="E5848:H5848"/>
    <mergeCell ref="E5849:H5849"/>
    <mergeCell ref="E5851:F5851"/>
    <mergeCell ref="E5964:F5964"/>
    <mergeCell ref="E5965:F5965"/>
    <mergeCell ref="E5966:F5966"/>
    <mergeCell ref="E5845:H5845"/>
    <mergeCell ref="E5864:F5864"/>
    <mergeCell ref="E5870:H5870"/>
    <mergeCell ref="E5872:H5872"/>
    <mergeCell ref="E5834:F5834"/>
    <mergeCell ref="E5859:F5859"/>
    <mergeCell ref="E5862:F5862"/>
    <mergeCell ref="E5863:F5863"/>
    <mergeCell ref="E5865:F5865"/>
    <mergeCell ref="E5850:H5850"/>
    <mergeCell ref="E5894:H5894"/>
    <mergeCell ref="E5885:F5885"/>
    <mergeCell ref="E5893:H5893"/>
    <mergeCell ref="E5883:F5883"/>
    <mergeCell ref="E5886:F5886"/>
    <mergeCell ref="E5887:F5887"/>
    <mergeCell ref="E5838:F5838"/>
    <mergeCell ref="E5839:F5839"/>
    <mergeCell ref="E5897:H5897"/>
    <mergeCell ref="E5898:H5898"/>
    <mergeCell ref="E5900:H5900"/>
    <mergeCell ref="E5922:H5922"/>
    <mergeCell ref="E5923:H5923"/>
    <mergeCell ref="E5924:H5924"/>
    <mergeCell ref="E5925:H5925"/>
    <mergeCell ref="E5930:F5930"/>
    <mergeCell ref="E5936:F5936"/>
    <mergeCell ref="E5938:F5938"/>
    <mergeCell ref="E5939:F5939"/>
    <mergeCell ref="E5940:F5940"/>
    <mergeCell ref="E5941:F5941"/>
    <mergeCell ref="E5866:F5866"/>
    <mergeCell ref="E5884:F5884"/>
    <mergeCell ref="E5871:H5871"/>
    <mergeCell ref="E5873:H5873"/>
    <mergeCell ref="E5878:F5878"/>
    <mergeCell ref="E5879:F5879"/>
    <mergeCell ref="E5880:F5880"/>
    <mergeCell ref="E5881:F5881"/>
    <mergeCell ref="E5961:H5961"/>
    <mergeCell ref="E5852:F5852"/>
    <mergeCell ref="E5854:F5854"/>
    <mergeCell ref="E5856:F5856"/>
    <mergeCell ref="E5857:F5857"/>
    <mergeCell ref="E5868:H5868"/>
    <mergeCell ref="E5869:H5869"/>
    <mergeCell ref="E5877:F5877"/>
    <mergeCell ref="E5876:F5876"/>
    <mergeCell ref="E5843:H5843"/>
    <mergeCell ref="E5844:H5844"/>
    <mergeCell ref="E5605:H5605"/>
    <mergeCell ref="E5570:H5570"/>
    <mergeCell ref="E5596:H5596"/>
    <mergeCell ref="E5624:F5624"/>
    <mergeCell ref="E5607:H5607"/>
    <mergeCell ref="E5608:H5608"/>
    <mergeCell ref="E5825:H5825"/>
    <mergeCell ref="E5785:F5785"/>
    <mergeCell ref="E5786:F5786"/>
    <mergeCell ref="E5812:F5812"/>
    <mergeCell ref="E5806:F5806"/>
    <mergeCell ref="E5648:F5648"/>
    <mergeCell ref="E5653:H5653"/>
    <mergeCell ref="E5680:H5680"/>
    <mergeCell ref="E5681:H5681"/>
    <mergeCell ref="E5682:H5682"/>
    <mergeCell ref="E5683:H5683"/>
    <mergeCell ref="E5655:H5655"/>
    <mergeCell ref="E5840:F5840"/>
    <mergeCell ref="E5841:F5841"/>
    <mergeCell ref="E5842:F5842"/>
    <mergeCell ref="E5759:H5759"/>
    <mergeCell ref="E5760:H5760"/>
    <mergeCell ref="E5753:H5753"/>
    <mergeCell ref="E5758:H5758"/>
    <mergeCell ref="E5684:H5684"/>
    <mergeCell ref="E5656:H5656"/>
    <mergeCell ref="E5657:H5657"/>
    <mergeCell ref="E5658:H5658"/>
    <mergeCell ref="E5678:H5678"/>
    <mergeCell ref="E5754:G5754"/>
    <mergeCell ref="E5755:G5755"/>
    <mergeCell ref="E5756:G5756"/>
    <mergeCell ref="E5757:G5757"/>
    <mergeCell ref="E5832:F5832"/>
    <mergeCell ref="E5833:F5833"/>
    <mergeCell ref="E5837:F5837"/>
    <mergeCell ref="E5826:F5826"/>
    <mergeCell ref="E5829:F5829"/>
    <mergeCell ref="E5830:F5830"/>
    <mergeCell ref="E5813:F5813"/>
    <mergeCell ref="E5814:F5814"/>
    <mergeCell ref="E5819:H5819"/>
    <mergeCell ref="E5820:H5820"/>
    <mergeCell ref="E5807:F5807"/>
    <mergeCell ref="E5811:F5811"/>
    <mergeCell ref="E5691:H5691"/>
    <mergeCell ref="E5692:H5692"/>
    <mergeCell ref="E5693:H5693"/>
    <mergeCell ref="E5784:F5784"/>
    <mergeCell ref="E5787:F5787"/>
    <mergeCell ref="E5788:F5788"/>
    <mergeCell ref="E5810:F5810"/>
    <mergeCell ref="E5815:F5815"/>
    <mergeCell ref="E5790:F5790"/>
    <mergeCell ref="E5808:F5808"/>
    <mergeCell ref="E5816:F5816"/>
    <mergeCell ref="E5805:F5805"/>
    <mergeCell ref="E5828:F5828"/>
    <mergeCell ref="E5836:F5836"/>
    <mergeCell ref="E5800:F5800"/>
    <mergeCell ref="E5801:F5801"/>
    <mergeCell ref="E5802:F5802"/>
    <mergeCell ref="E5803:F5803"/>
    <mergeCell ref="E5291:H5291"/>
    <mergeCell ref="E5293:F5293"/>
    <mergeCell ref="E5294:F5294"/>
    <mergeCell ref="E5295:F5295"/>
    <mergeCell ref="E5296:F5296"/>
    <mergeCell ref="E5297:F5297"/>
    <mergeCell ref="E5298:F5298"/>
    <mergeCell ref="E5493:H5493"/>
    <mergeCell ref="E5509:F5509"/>
    <mergeCell ref="E5514:H5514"/>
    <mergeCell ref="E5516:H5516"/>
    <mergeCell ref="E5673:F5673"/>
    <mergeCell ref="E5427:F5427"/>
    <mergeCell ref="E5428:F5428"/>
    <mergeCell ref="E5429:F5429"/>
    <mergeCell ref="E5430:H5430"/>
    <mergeCell ref="E5431:H5431"/>
    <mergeCell ref="E5432:H5432"/>
    <mergeCell ref="E5433:H5433"/>
    <mergeCell ref="E5434:H5434"/>
    <mergeCell ref="E5435:H5435"/>
    <mergeCell ref="E5436:H5436"/>
    <mergeCell ref="E5437:H5437"/>
    <mergeCell ref="E5438:F5438"/>
    <mergeCell ref="E5439:F5439"/>
    <mergeCell ref="E5440:F5440"/>
    <mergeCell ref="E5441:F5441"/>
    <mergeCell ref="E5442:F5442"/>
    <mergeCell ref="E5443:H5443"/>
    <mergeCell ref="E5444:F5444"/>
    <mergeCell ref="E5445:F5445"/>
    <mergeCell ref="E5446:H5446"/>
    <mergeCell ref="E5447:H5447"/>
    <mergeCell ref="E5448:H5448"/>
    <mergeCell ref="E5451:H5451"/>
    <mergeCell ref="E5452:H5452"/>
    <mergeCell ref="E5453:F5453"/>
    <mergeCell ref="E5454:F5454"/>
    <mergeCell ref="E5455:H5455"/>
    <mergeCell ref="E5456:H5456"/>
    <mergeCell ref="E5594:H5594"/>
    <mergeCell ref="E5457:H5457"/>
    <mergeCell ref="E5458:H5458"/>
    <mergeCell ref="E5459:H5459"/>
    <mergeCell ref="E5460:H5460"/>
    <mergeCell ref="E5461:H5461"/>
    <mergeCell ref="E5462:H5462"/>
    <mergeCell ref="E5463:H5463"/>
    <mergeCell ref="E5464:H5464"/>
    <mergeCell ref="E5465:H5465"/>
    <mergeCell ref="E5466:H5466"/>
    <mergeCell ref="E5467:H5467"/>
    <mergeCell ref="E5468:H5468"/>
    <mergeCell ref="E5483:F5483"/>
    <mergeCell ref="E5521:H5521"/>
    <mergeCell ref="E5549:H5549"/>
    <mergeCell ref="E5565:F5565"/>
    <mergeCell ref="E5572:H5572"/>
    <mergeCell ref="E5573:H5573"/>
    <mergeCell ref="E5574:H5574"/>
    <mergeCell ref="E5575:H5575"/>
    <mergeCell ref="E5589:F5589"/>
    <mergeCell ref="E5597:H5597"/>
    <mergeCell ref="E5599:H5599"/>
    <mergeCell ref="E5033:F5033"/>
    <mergeCell ref="E5034:F5034"/>
    <mergeCell ref="E5035:F5035"/>
    <mergeCell ref="E5036:F5036"/>
    <mergeCell ref="E5037:F5037"/>
    <mergeCell ref="E5085:F5085"/>
    <mergeCell ref="E5090:F5090"/>
    <mergeCell ref="E5039:F5039"/>
    <mergeCell ref="E5040:F5040"/>
    <mergeCell ref="E5042:F5042"/>
    <mergeCell ref="E5043:F5043"/>
    <mergeCell ref="E5044:F5044"/>
    <mergeCell ref="E5045:F5045"/>
    <mergeCell ref="E5598:H5598"/>
    <mergeCell ref="E5088:F5088"/>
    <mergeCell ref="E5089:F5089"/>
    <mergeCell ref="E5062:F5062"/>
    <mergeCell ref="E5064:F5064"/>
    <mergeCell ref="E5065:F5065"/>
    <mergeCell ref="E5066:F5066"/>
    <mergeCell ref="E5071:H5071"/>
    <mergeCell ref="E5213:F5213"/>
    <mergeCell ref="E5214:F5214"/>
    <mergeCell ref="E5215:F5215"/>
    <mergeCell ref="E5216:F5216"/>
    <mergeCell ref="E5223:H5223"/>
    <mergeCell ref="E5224:F5224"/>
    <mergeCell ref="E5225:F5225"/>
    <mergeCell ref="E5226:F5226"/>
    <mergeCell ref="E5227:F5227"/>
    <mergeCell ref="E5228:F5228"/>
    <mergeCell ref="E5229:F5229"/>
    <mergeCell ref="E5230:H5230"/>
    <mergeCell ref="E5354:H5354"/>
    <mergeCell ref="E5355:H5355"/>
    <mergeCell ref="E5331:H5331"/>
    <mergeCell ref="E5332:H5332"/>
    <mergeCell ref="E5356:H5356"/>
    <mergeCell ref="E5247:H5247"/>
    <mergeCell ref="E5248:H5248"/>
    <mergeCell ref="E5249:H5249"/>
    <mergeCell ref="E5250:F5250"/>
    <mergeCell ref="E5251:F5251"/>
    <mergeCell ref="E5252:H5252"/>
    <mergeCell ref="E5253:H5253"/>
    <mergeCell ref="E5254:F5254"/>
    <mergeCell ref="E5255:F5255"/>
    <mergeCell ref="E5256:H5256"/>
    <mergeCell ref="E5257:H5257"/>
    <mergeCell ref="E5258:H5258"/>
    <mergeCell ref="E5259:H5259"/>
    <mergeCell ref="E5260:H5260"/>
    <mergeCell ref="E5261:H5261"/>
    <mergeCell ref="E5262:H5262"/>
    <mergeCell ref="E5263:H5263"/>
    <mergeCell ref="E5265:H5265"/>
    <mergeCell ref="E5269:H5269"/>
    <mergeCell ref="E5270:F5270"/>
    <mergeCell ref="E5271:F5271"/>
    <mergeCell ref="E5272:F5272"/>
    <mergeCell ref="E5273:F5273"/>
    <mergeCell ref="E5274:F5274"/>
    <mergeCell ref="E5275:F5275"/>
    <mergeCell ref="E5276:F5276"/>
    <mergeCell ref="E5290:H5290"/>
    <mergeCell ref="E5038:F5038"/>
    <mergeCell ref="E5041:H5041"/>
    <mergeCell ref="E5046:H5046"/>
    <mergeCell ref="E5047:H5047"/>
    <mergeCell ref="E5049:H5049"/>
    <mergeCell ref="E5050:H5050"/>
    <mergeCell ref="E5051:H5051"/>
    <mergeCell ref="E5052:H5052"/>
    <mergeCell ref="E5054:F5054"/>
    <mergeCell ref="E5055:F5055"/>
    <mergeCell ref="E5056:F5056"/>
    <mergeCell ref="E5057:F5057"/>
    <mergeCell ref="E5058:F5058"/>
    <mergeCell ref="E5059:F5059"/>
    <mergeCell ref="E5060:F5060"/>
    <mergeCell ref="E5061:F5061"/>
    <mergeCell ref="E5063:H5063"/>
    <mergeCell ref="E5068:H5068"/>
    <mergeCell ref="E5069:H5069"/>
    <mergeCell ref="E5070:H5070"/>
    <mergeCell ref="E5072:H5072"/>
    <mergeCell ref="E5073:H5073"/>
    <mergeCell ref="E5074:H5074"/>
    <mergeCell ref="E5075:H5075"/>
    <mergeCell ref="E5077:F5077"/>
    <mergeCell ref="E5078:F5078"/>
    <mergeCell ref="E5079:F5079"/>
    <mergeCell ref="E5080:F5080"/>
    <mergeCell ref="E5081:F5081"/>
    <mergeCell ref="E5082:F5082"/>
    <mergeCell ref="E5083:F5083"/>
    <mergeCell ref="E5086:H5086"/>
    <mergeCell ref="E5087:F5087"/>
    <mergeCell ref="E5267:H5267"/>
    <mergeCell ref="E5048:H5048"/>
    <mergeCell ref="E5053:H5053"/>
    <mergeCell ref="E5067:F5067"/>
    <mergeCell ref="E5076:H5076"/>
    <mergeCell ref="E5084:F5084"/>
    <mergeCell ref="E5277:F5277"/>
    <mergeCell ref="E5278:F5278"/>
    <mergeCell ref="E5279:F5279"/>
    <mergeCell ref="E5280:H5280"/>
    <mergeCell ref="E5281:F5281"/>
    <mergeCell ref="E5282:F5282"/>
    <mergeCell ref="E5283:F5283"/>
    <mergeCell ref="E5284:F5284"/>
    <mergeCell ref="E5285:H5285"/>
    <mergeCell ref="E5286:H5286"/>
    <mergeCell ref="E5287:H5287"/>
    <mergeCell ref="E5288:H5288"/>
    <mergeCell ref="E5289:H5289"/>
    <mergeCell ref="E5200:F5200"/>
    <mergeCell ref="E5201:F5201"/>
    <mergeCell ref="E5202:F5202"/>
    <mergeCell ref="E5203:F5203"/>
    <mergeCell ref="E5204:F5204"/>
    <mergeCell ref="E5205:F5205"/>
    <mergeCell ref="E5206:F5206"/>
    <mergeCell ref="E5207:F5207"/>
    <mergeCell ref="E5208:F5208"/>
    <mergeCell ref="E5209:F5209"/>
    <mergeCell ref="E5210:F5210"/>
    <mergeCell ref="E4864:H4864"/>
    <mergeCell ref="E4862:H4862"/>
    <mergeCell ref="E4858:H4858"/>
    <mergeCell ref="E4861:H4861"/>
    <mergeCell ref="E4868:F4868"/>
    <mergeCell ref="E4869:F4869"/>
    <mergeCell ref="E4870:F4870"/>
    <mergeCell ref="E4852:H4852"/>
    <mergeCell ref="E4854:H4854"/>
    <mergeCell ref="E4856:H4856"/>
    <mergeCell ref="E4865:F4865"/>
    <mergeCell ref="E4879:F4879"/>
    <mergeCell ref="E4887:H4887"/>
    <mergeCell ref="E4889:H4889"/>
    <mergeCell ref="E4890:H4890"/>
    <mergeCell ref="E4891:H4891"/>
    <mergeCell ref="E4893:H4893"/>
    <mergeCell ref="E4895:F4895"/>
    <mergeCell ref="E4972:F4972"/>
    <mergeCell ref="E4980:H4980"/>
    <mergeCell ref="E4931:F4931"/>
    <mergeCell ref="E4951:F4951"/>
    <mergeCell ref="E4947:F4947"/>
    <mergeCell ref="E4960:H4960"/>
    <mergeCell ref="E4967:F4967"/>
    <mergeCell ref="E4930:F4930"/>
    <mergeCell ref="E4932:F4932"/>
    <mergeCell ref="E4956:H4956"/>
    <mergeCell ref="E4964:F4964"/>
    <mergeCell ref="E4965:F4965"/>
    <mergeCell ref="E4973:F4973"/>
    <mergeCell ref="E4976:F4976"/>
    <mergeCell ref="E4977:F4977"/>
    <mergeCell ref="E4904:F4904"/>
    <mergeCell ref="E4905:F4905"/>
    <mergeCell ref="E4906:F4906"/>
    <mergeCell ref="E4907:F4907"/>
    <mergeCell ref="E4910:H4910"/>
    <mergeCell ref="E4911:H4911"/>
    <mergeCell ref="E4918:H4918"/>
    <mergeCell ref="E4920:H4920"/>
    <mergeCell ref="E4933:H4933"/>
    <mergeCell ref="E4936:H4936"/>
    <mergeCell ref="E4938:H4938"/>
    <mergeCell ref="E4940:H4940"/>
    <mergeCell ref="E4942:H4942"/>
    <mergeCell ref="E4943:H4943"/>
    <mergeCell ref="E4962:H4962"/>
    <mergeCell ref="E4966:F4966"/>
    <mergeCell ref="E4970:F4970"/>
    <mergeCell ref="E4971:F4971"/>
    <mergeCell ref="E4974:F4974"/>
    <mergeCell ref="E4975:F4975"/>
    <mergeCell ref="E4978:F4978"/>
    <mergeCell ref="E4908:F4908"/>
    <mergeCell ref="E4900:F4900"/>
    <mergeCell ref="E4901:F4901"/>
    <mergeCell ref="E4902:F4902"/>
    <mergeCell ref="E4896:F4896"/>
    <mergeCell ref="E4897:F4897"/>
    <mergeCell ref="E5014:H5014"/>
    <mergeCell ref="E5015:F5015"/>
    <mergeCell ref="E5016:F5016"/>
    <mergeCell ref="E5017:F5017"/>
    <mergeCell ref="E5025:H5025"/>
    <mergeCell ref="E5030:H5030"/>
    <mergeCell ref="E5031:H5031"/>
    <mergeCell ref="E4998:F4998"/>
    <mergeCell ref="E4999:F4999"/>
    <mergeCell ref="E5018:H5018"/>
    <mergeCell ref="E5019:H5019"/>
    <mergeCell ref="E5020:H5020"/>
    <mergeCell ref="E5021:H5021"/>
    <mergeCell ref="E5022:H5022"/>
    <mergeCell ref="E5023:H5023"/>
    <mergeCell ref="E5024:H5024"/>
    <mergeCell ref="E5026:H5026"/>
    <mergeCell ref="E5027:H5027"/>
    <mergeCell ref="E5028:H5028"/>
    <mergeCell ref="E5029:H5029"/>
    <mergeCell ref="E5032:F5032"/>
    <mergeCell ref="E4823:H4823"/>
    <mergeCell ref="E4849:F4849"/>
    <mergeCell ref="E4853:H4853"/>
    <mergeCell ref="E4813:F4813"/>
    <mergeCell ref="E4814:F4814"/>
    <mergeCell ref="E4815:F4815"/>
    <mergeCell ref="E4816:F4816"/>
    <mergeCell ref="E4818:F4818"/>
    <mergeCell ref="E4819:F4819"/>
    <mergeCell ref="E4820:F4820"/>
    <mergeCell ref="E4821:F4821"/>
    <mergeCell ref="E4822:F4822"/>
    <mergeCell ref="E4824:H4824"/>
    <mergeCell ref="E4826:H4826"/>
    <mergeCell ref="E4828:H4828"/>
    <mergeCell ref="E4830:H4830"/>
    <mergeCell ref="E4833:H4833"/>
    <mergeCell ref="E4834:H4834"/>
    <mergeCell ref="E4836:H4836"/>
    <mergeCell ref="E4837:F4837"/>
    <mergeCell ref="E4838:F4838"/>
    <mergeCell ref="E4839:F4839"/>
    <mergeCell ref="E4840:F4840"/>
    <mergeCell ref="E4841:F4841"/>
    <mergeCell ref="E4842:F4842"/>
    <mergeCell ref="E4843:F4843"/>
    <mergeCell ref="E4844:F4844"/>
    <mergeCell ref="E4847:H4847"/>
    <mergeCell ref="E4877:F4877"/>
    <mergeCell ref="E4880:H4880"/>
    <mergeCell ref="E4881:H4881"/>
    <mergeCell ref="E4885:H4885"/>
    <mergeCell ref="E4860:H4860"/>
    <mergeCell ref="E4866:F4866"/>
    <mergeCell ref="E4867:F4867"/>
    <mergeCell ref="E4883:H4883"/>
    <mergeCell ref="E4894:F4894"/>
    <mergeCell ref="E4878:F4878"/>
    <mergeCell ref="E4871:F4871"/>
    <mergeCell ref="E4872:F4872"/>
    <mergeCell ref="E4873:F4873"/>
    <mergeCell ref="E4875:F4875"/>
    <mergeCell ref="E4876:F4876"/>
    <mergeCell ref="E4780:F4780"/>
    <mergeCell ref="E4781:F4781"/>
    <mergeCell ref="E4782:F4782"/>
    <mergeCell ref="E4783:F4783"/>
    <mergeCell ref="E4784:F4784"/>
    <mergeCell ref="E4786:F4786"/>
    <mergeCell ref="E4788:F4788"/>
    <mergeCell ref="E4794:H4794"/>
    <mergeCell ref="E4795:H4795"/>
    <mergeCell ref="E4796:H4796"/>
    <mergeCell ref="E4798:H4798"/>
    <mergeCell ref="E4809:F4809"/>
    <mergeCell ref="E4810:F4810"/>
    <mergeCell ref="E4811:F4811"/>
    <mergeCell ref="E4812:F4812"/>
    <mergeCell ref="E4785:F4785"/>
    <mergeCell ref="E4790:F4790"/>
    <mergeCell ref="E4791:F4791"/>
    <mergeCell ref="E4792:F4792"/>
    <mergeCell ref="E4793:F4793"/>
    <mergeCell ref="E4800:H4800"/>
    <mergeCell ref="E4802:H4802"/>
    <mergeCell ref="E4803:H4803"/>
    <mergeCell ref="E4804:H4804"/>
    <mergeCell ref="E4805:H4805"/>
    <mergeCell ref="E4807:H4807"/>
    <mergeCell ref="E4808:F4808"/>
    <mergeCell ref="E4848:F4848"/>
    <mergeCell ref="E4845:F4845"/>
    <mergeCell ref="E4850:F4850"/>
    <mergeCell ref="E4851:F4851"/>
    <mergeCell ref="E4745:H4745"/>
    <mergeCell ref="E4754:F4754"/>
    <mergeCell ref="E4755:F4755"/>
    <mergeCell ref="E4757:F4757"/>
    <mergeCell ref="E4758:F4758"/>
    <mergeCell ref="E4759:F4759"/>
    <mergeCell ref="E4760:F4760"/>
    <mergeCell ref="E4761:F4761"/>
    <mergeCell ref="E4769:H4769"/>
    <mergeCell ref="E4771:H4771"/>
    <mergeCell ref="E4772:H4772"/>
    <mergeCell ref="E4773:H4773"/>
    <mergeCell ref="E4775:H4775"/>
    <mergeCell ref="E4777:F4777"/>
    <mergeCell ref="E4778:F4778"/>
    <mergeCell ref="E4779:F4779"/>
    <mergeCell ref="E4746:F4746"/>
    <mergeCell ref="E4747:F4747"/>
    <mergeCell ref="E4748:F4748"/>
    <mergeCell ref="E4749:F4749"/>
    <mergeCell ref="E4750:F4750"/>
    <mergeCell ref="E4751:F4751"/>
    <mergeCell ref="E4752:F4752"/>
    <mergeCell ref="E4753:F4753"/>
    <mergeCell ref="E4762:H4762"/>
    <mergeCell ref="E4765:H4765"/>
    <mergeCell ref="E4767:H4767"/>
    <mergeCell ref="E4741:H4741"/>
    <mergeCell ref="E4722:F4722"/>
    <mergeCell ref="E4743:H4743"/>
    <mergeCell ref="E4734:H4734"/>
    <mergeCell ref="E4738:H4738"/>
    <mergeCell ref="E4739:H4739"/>
    <mergeCell ref="E4697:F4697"/>
    <mergeCell ref="E4698:F4698"/>
    <mergeCell ref="E4736:H4736"/>
    <mergeCell ref="E4763:H4763"/>
    <mergeCell ref="E4520:H4520"/>
    <mergeCell ref="E4522:H4522"/>
    <mergeCell ref="E4524:H4524"/>
    <mergeCell ref="E4533:F4533"/>
    <mergeCell ref="E4540:F4540"/>
    <mergeCell ref="E4541:F4541"/>
    <mergeCell ref="E4542:F4542"/>
    <mergeCell ref="E4560:F4560"/>
    <mergeCell ref="E4372:F4372"/>
    <mergeCell ref="E4373:F4373"/>
    <mergeCell ref="E4374:F4374"/>
    <mergeCell ref="E4379:H4379"/>
    <mergeCell ref="E4384:H4384"/>
    <mergeCell ref="E4385:H4385"/>
    <mergeCell ref="E4386:H4386"/>
    <mergeCell ref="E4396:H4396"/>
    <mergeCell ref="E4397:H4397"/>
    <mergeCell ref="E4398:H4398"/>
    <mergeCell ref="E4402:F4402"/>
    <mergeCell ref="E4409:F4409"/>
    <mergeCell ref="E4410:F4410"/>
    <mergeCell ref="E4411:F4411"/>
    <mergeCell ref="E4412:F4412"/>
    <mergeCell ref="E4413:F4413"/>
    <mergeCell ref="E4414:F4414"/>
    <mergeCell ref="E4391:H4391"/>
    <mergeCell ref="E4393:H4393"/>
    <mergeCell ref="E4378:F4378"/>
    <mergeCell ref="E4375:F4375"/>
    <mergeCell ref="E4376:F4376"/>
    <mergeCell ref="E4377:F4377"/>
    <mergeCell ref="E4420:F4420"/>
    <mergeCell ref="E4418:F4418"/>
    <mergeCell ref="E4419:F4419"/>
    <mergeCell ref="E4407:H4407"/>
    <mergeCell ref="E4416:F4416"/>
    <mergeCell ref="E4417:F4417"/>
    <mergeCell ref="E4380:H4380"/>
    <mergeCell ref="E4381:H4381"/>
    <mergeCell ref="E4382:H4382"/>
    <mergeCell ref="E4383:H4383"/>
    <mergeCell ref="E4387:F4387"/>
    <mergeCell ref="E4388:F4388"/>
    <mergeCell ref="E4389:F4389"/>
    <mergeCell ref="E4390:F4390"/>
    <mergeCell ref="E4392:H4392"/>
    <mergeCell ref="E4394:H4394"/>
    <mergeCell ref="E4395:H4395"/>
    <mergeCell ref="E4399:F4399"/>
    <mergeCell ref="E4435:F4435"/>
    <mergeCell ref="E4443:H4443"/>
    <mergeCell ref="E4429:F4429"/>
    <mergeCell ref="E4430:F4430"/>
    <mergeCell ref="E4431:F4431"/>
    <mergeCell ref="E4347:F4347"/>
    <mergeCell ref="E4348:F4348"/>
    <mergeCell ref="E4349:F4349"/>
    <mergeCell ref="E4350:F4350"/>
    <mergeCell ref="E4351:F4351"/>
    <mergeCell ref="E4352:F4352"/>
    <mergeCell ref="E4353:F4353"/>
    <mergeCell ref="E4354:F4354"/>
    <mergeCell ref="E4361:H4361"/>
    <mergeCell ref="E4363:H4363"/>
    <mergeCell ref="E4358:F4358"/>
    <mergeCell ref="E4339:H4339"/>
    <mergeCell ref="E4344:H4344"/>
    <mergeCell ref="E4345:H4345"/>
    <mergeCell ref="E4346:H4346"/>
    <mergeCell ref="E4355:F4355"/>
    <mergeCell ref="E4357:F4357"/>
    <mergeCell ref="E4362:H4362"/>
    <mergeCell ref="E4364:H4364"/>
    <mergeCell ref="E4365:H4365"/>
    <mergeCell ref="E4366:H4366"/>
    <mergeCell ref="E4369:F4369"/>
    <mergeCell ref="E4370:F4370"/>
    <mergeCell ref="E4371:F4371"/>
    <mergeCell ref="E4318:H4318"/>
    <mergeCell ref="E4319:H4319"/>
    <mergeCell ref="E4320:H4320"/>
    <mergeCell ref="E4321:H4321"/>
    <mergeCell ref="E4322:H4322"/>
    <mergeCell ref="E4323:H4323"/>
    <mergeCell ref="E4330:F4330"/>
    <mergeCell ref="E4331:F4331"/>
    <mergeCell ref="E4332:F4332"/>
    <mergeCell ref="E4333:F4333"/>
    <mergeCell ref="E4334:F4334"/>
    <mergeCell ref="E4335:F4335"/>
    <mergeCell ref="E4336:F4336"/>
    <mergeCell ref="E4337:F4337"/>
    <mergeCell ref="E4338:F4338"/>
    <mergeCell ref="E4356:F4356"/>
    <mergeCell ref="E4359:H4359"/>
    <mergeCell ref="E4360:H4360"/>
    <mergeCell ref="E4367:F4367"/>
    <mergeCell ref="E4368:F4368"/>
    <mergeCell ref="E4315:H4315"/>
    <mergeCell ref="E4316:H4316"/>
    <mergeCell ref="E4324:F4324"/>
    <mergeCell ref="E4326:F4326"/>
    <mergeCell ref="E4327:F4327"/>
    <mergeCell ref="E4328:F4328"/>
    <mergeCell ref="E4329:F4329"/>
    <mergeCell ref="E4340:H4340"/>
    <mergeCell ref="E4341:H4341"/>
    <mergeCell ref="E4342:H4342"/>
    <mergeCell ref="E4343:H4343"/>
    <mergeCell ref="E4297:H4297"/>
    <mergeCell ref="E4298:H4298"/>
    <mergeCell ref="E4299:H4299"/>
    <mergeCell ref="E4300:H4300"/>
    <mergeCell ref="E4301:H4301"/>
    <mergeCell ref="E4304:F4304"/>
    <mergeCell ref="E4309:F4309"/>
    <mergeCell ref="E4310:F4310"/>
    <mergeCell ref="E4311:F4311"/>
    <mergeCell ref="E4312:F4312"/>
    <mergeCell ref="E4313:F4313"/>
    <mergeCell ref="E4314:F4314"/>
    <mergeCell ref="E4317:H4317"/>
    <mergeCell ref="E4265:H4265"/>
    <mergeCell ref="E4267:H4267"/>
    <mergeCell ref="E4275:F4275"/>
    <mergeCell ref="E4277:F4277"/>
    <mergeCell ref="E4278:F4278"/>
    <mergeCell ref="E4280:F4280"/>
    <mergeCell ref="E4281:F4281"/>
    <mergeCell ref="E4285:F4285"/>
    <mergeCell ref="E4289:H4289"/>
    <mergeCell ref="E4292:H4292"/>
    <mergeCell ref="E4294:H4294"/>
    <mergeCell ref="E4295:H4295"/>
    <mergeCell ref="E4302:F4302"/>
    <mergeCell ref="E4303:F4303"/>
    <mergeCell ref="E4305:F4305"/>
    <mergeCell ref="E4306:F4306"/>
    <mergeCell ref="E4307:F4307"/>
    <mergeCell ref="E4308:F4308"/>
    <mergeCell ref="E4283:H4283"/>
    <mergeCell ref="E4284:F4284"/>
    <mergeCell ref="E4286:H4286"/>
    <mergeCell ref="E4290:F4290"/>
    <mergeCell ref="E4291:F4291"/>
    <mergeCell ref="E4293:F4293"/>
    <mergeCell ref="E4012:F4012"/>
    <mergeCell ref="E4009:F4009"/>
    <mergeCell ref="E4010:F4010"/>
    <mergeCell ref="E4024:F4024"/>
    <mergeCell ref="E4026:F4026"/>
    <mergeCell ref="E4027:F4027"/>
    <mergeCell ref="E4028:F4028"/>
    <mergeCell ref="E4029:F4029"/>
    <mergeCell ref="E4030:F4030"/>
    <mergeCell ref="E4037:H4037"/>
    <mergeCell ref="E3993:H3993"/>
    <mergeCell ref="E3994:H3994"/>
    <mergeCell ref="E3996:H3996"/>
    <mergeCell ref="E3997:H3997"/>
    <mergeCell ref="E4001:F4001"/>
    <mergeCell ref="E4006:H4006"/>
    <mergeCell ref="E4007:H4007"/>
    <mergeCell ref="E4011:F4011"/>
    <mergeCell ref="E4014:F4014"/>
    <mergeCell ref="E4016:F4016"/>
    <mergeCell ref="E4017:F4017"/>
    <mergeCell ref="E4018:F4018"/>
    <mergeCell ref="E4019:F4019"/>
    <mergeCell ref="E4020:F4020"/>
    <mergeCell ref="E4021:F4021"/>
    <mergeCell ref="E4022:F4022"/>
    <mergeCell ref="E4023:F4023"/>
    <mergeCell ref="E4034:H4034"/>
    <mergeCell ref="E4035:H4035"/>
    <mergeCell ref="E4036:H4036"/>
    <mergeCell ref="E4040:F4040"/>
    <mergeCell ref="E4041:F4041"/>
    <mergeCell ref="E4042:F4042"/>
    <mergeCell ref="E4002:F4002"/>
    <mergeCell ref="E3677:F3677"/>
    <mergeCell ref="E3691:H3691"/>
    <mergeCell ref="E3699:F3699"/>
    <mergeCell ref="E3728:H3728"/>
    <mergeCell ref="E3729:H3729"/>
    <mergeCell ref="E3736:F3736"/>
    <mergeCell ref="E3738:F3738"/>
    <mergeCell ref="E3739:F3739"/>
    <mergeCell ref="E3740:F3740"/>
    <mergeCell ref="E3777:F3777"/>
    <mergeCell ref="E3778:F3778"/>
    <mergeCell ref="E3779:F3779"/>
    <mergeCell ref="E3780:F3780"/>
    <mergeCell ref="E3792:H3792"/>
    <mergeCell ref="E3793:H3793"/>
    <mergeCell ref="E3794:H3794"/>
    <mergeCell ref="E3803:F3803"/>
    <mergeCell ref="E3613:F3613"/>
    <mergeCell ref="E3756:H3756"/>
    <mergeCell ref="E3746:F3746"/>
    <mergeCell ref="E3748:F3748"/>
    <mergeCell ref="E3743:F3743"/>
    <mergeCell ref="E3744:F3744"/>
    <mergeCell ref="E3745:F3745"/>
    <mergeCell ref="E3723:F3723"/>
    <mergeCell ref="E3724:F3724"/>
    <mergeCell ref="E3797:F3797"/>
    <mergeCell ref="E3798:F3798"/>
    <mergeCell ref="E3799:F3799"/>
    <mergeCell ref="E3800:F3800"/>
    <mergeCell ref="E3801:F3801"/>
    <mergeCell ref="E3802:F3802"/>
    <mergeCell ref="E3770:F3770"/>
    <mergeCell ref="E3771:F3771"/>
    <mergeCell ref="E3772:F3772"/>
    <mergeCell ref="E3773:F3773"/>
    <mergeCell ref="E3774:F3774"/>
    <mergeCell ref="E3766:F3766"/>
    <mergeCell ref="E3767:F3767"/>
    <mergeCell ref="E3768:F3768"/>
    <mergeCell ref="E3769:F3769"/>
    <mergeCell ref="E3680:F3680"/>
    <mergeCell ref="E3681:F3681"/>
    <mergeCell ref="E3682:F3682"/>
    <mergeCell ref="E3683:F3683"/>
    <mergeCell ref="E3684:F3684"/>
    <mergeCell ref="E3685:F3685"/>
    <mergeCell ref="E3619:F3619"/>
    <mergeCell ref="E3620:H3620"/>
    <mergeCell ref="E3621:H3621"/>
    <mergeCell ref="E3622:H3622"/>
    <mergeCell ref="E3623:H3623"/>
    <mergeCell ref="E3630:F3630"/>
    <mergeCell ref="E3631:F3631"/>
    <mergeCell ref="E3632:F3632"/>
    <mergeCell ref="E3644:H3644"/>
    <mergeCell ref="E3645:H3645"/>
    <mergeCell ref="E3646:H3646"/>
    <mergeCell ref="E3654:F3654"/>
    <mergeCell ref="E3667:H3667"/>
    <mergeCell ref="E3668:H3668"/>
    <mergeCell ref="E3676:F3676"/>
    <mergeCell ref="E3686:H3686"/>
    <mergeCell ref="E3687:H3687"/>
    <mergeCell ref="E3590:F3590"/>
    <mergeCell ref="E3591:F3591"/>
    <mergeCell ref="E3592:F3592"/>
    <mergeCell ref="E3587:F3587"/>
    <mergeCell ref="E3588:F3588"/>
    <mergeCell ref="E3602:H3602"/>
    <mergeCell ref="E3603:H3603"/>
    <mergeCell ref="E3596:F3596"/>
    <mergeCell ref="E3543:F3543"/>
    <mergeCell ref="E3546:F3546"/>
    <mergeCell ref="E3547:F3547"/>
    <mergeCell ref="E3559:H3559"/>
    <mergeCell ref="E3560:H3560"/>
    <mergeCell ref="E3561:H3561"/>
    <mergeCell ref="E3574:F3574"/>
    <mergeCell ref="E3575:F3575"/>
    <mergeCell ref="E3582:H3582"/>
    <mergeCell ref="E3583:H3583"/>
    <mergeCell ref="E3597:F3597"/>
    <mergeCell ref="E3545:H3545"/>
    <mergeCell ref="E3548:H3548"/>
    <mergeCell ref="E3549:H3549"/>
    <mergeCell ref="E3550:H3550"/>
    <mergeCell ref="E3556:H3556"/>
    <mergeCell ref="E3557:H3557"/>
    <mergeCell ref="E3558:H3558"/>
    <mergeCell ref="E3569:F3569"/>
    <mergeCell ref="E3570:F3570"/>
    <mergeCell ref="E3573:F3573"/>
    <mergeCell ref="E3584:F3584"/>
    <mergeCell ref="E3585:F3585"/>
    <mergeCell ref="E3594:F3594"/>
    <mergeCell ref="E3595:F3595"/>
    <mergeCell ref="E3578:H3578"/>
    <mergeCell ref="E3579:H3579"/>
    <mergeCell ref="E3580:H3580"/>
    <mergeCell ref="E3581:H3581"/>
    <mergeCell ref="E3576:H3576"/>
    <mergeCell ref="E3577:H3577"/>
    <mergeCell ref="E3565:F3565"/>
    <mergeCell ref="E3566:F3566"/>
    <mergeCell ref="E3567:F3567"/>
    <mergeCell ref="E3568:F3568"/>
    <mergeCell ref="E3562:F3562"/>
    <mergeCell ref="E3563:F3563"/>
    <mergeCell ref="E3564:F3564"/>
    <mergeCell ref="E3553:H3553"/>
    <mergeCell ref="E3554:H3554"/>
    <mergeCell ref="E3555:H3555"/>
    <mergeCell ref="E3551:H3551"/>
    <mergeCell ref="E3552:H3552"/>
    <mergeCell ref="E3571:F3571"/>
    <mergeCell ref="E3572:F3572"/>
    <mergeCell ref="E3258:H3258"/>
    <mergeCell ref="E3324:F3324"/>
    <mergeCell ref="E3325:F3325"/>
    <mergeCell ref="E3328:H3328"/>
    <mergeCell ref="E3329:H3329"/>
    <mergeCell ref="E3342:F3342"/>
    <mergeCell ref="E3343:F3343"/>
    <mergeCell ref="E3344:F3344"/>
    <mergeCell ref="E3345:F3345"/>
    <mergeCell ref="E3347:F3347"/>
    <mergeCell ref="E3327:H3327"/>
    <mergeCell ref="E3331:F3331"/>
    <mergeCell ref="E3334:F3334"/>
    <mergeCell ref="E3341:F3341"/>
    <mergeCell ref="E3332:F3332"/>
    <mergeCell ref="E3335:F3335"/>
    <mergeCell ref="E3336:F3336"/>
    <mergeCell ref="E3291:F3291"/>
    <mergeCell ref="E3310:F3310"/>
    <mergeCell ref="E3283:F3283"/>
    <mergeCell ref="E3294:H3294"/>
    <mergeCell ref="E3295:H3295"/>
    <mergeCell ref="E3296:H3296"/>
    <mergeCell ref="E3297:H3297"/>
    <mergeCell ref="E3302:F3302"/>
    <mergeCell ref="E3303:F3303"/>
    <mergeCell ref="E3304:F3304"/>
    <mergeCell ref="E3305:F3305"/>
    <mergeCell ref="E3314:H3314"/>
    <mergeCell ref="E3315:H3315"/>
    <mergeCell ref="E3316:H3316"/>
    <mergeCell ref="E3317:H3317"/>
    <mergeCell ref="E3318:H3318"/>
    <mergeCell ref="E3319:H3319"/>
    <mergeCell ref="E3312:F3312"/>
    <mergeCell ref="E3313:F3313"/>
    <mergeCell ref="E3292:F3292"/>
    <mergeCell ref="E3293:F3293"/>
    <mergeCell ref="E3338:F3338"/>
    <mergeCell ref="E3339:F3339"/>
    <mergeCell ref="E3340:F3340"/>
    <mergeCell ref="E3195:H3195"/>
    <mergeCell ref="E3196:F3196"/>
    <mergeCell ref="E3197:F3197"/>
    <mergeCell ref="E3198:F3198"/>
    <mergeCell ref="E3199:F3199"/>
    <mergeCell ref="E3200:F3200"/>
    <mergeCell ref="E3201:F3201"/>
    <mergeCell ref="E3202:F3202"/>
    <mergeCell ref="E3203:F3203"/>
    <mergeCell ref="E3210:H3210"/>
    <mergeCell ref="E3211:H3211"/>
    <mergeCell ref="E3212:H3212"/>
    <mergeCell ref="E3213:H3213"/>
    <mergeCell ref="E3214:H3214"/>
    <mergeCell ref="E3217:F3217"/>
    <mergeCell ref="E3218:F3218"/>
    <mergeCell ref="E3219:F3219"/>
    <mergeCell ref="E3220:F3220"/>
    <mergeCell ref="E3221:F3221"/>
    <mergeCell ref="E3222:F3222"/>
    <mergeCell ref="E3224:F3224"/>
    <mergeCell ref="E3227:F3227"/>
    <mergeCell ref="E3228:F3228"/>
    <mergeCell ref="E3204:F3204"/>
    <mergeCell ref="E3207:F3207"/>
    <mergeCell ref="E3208:F3208"/>
    <mergeCell ref="E3311:F3311"/>
    <mergeCell ref="E3244:F3244"/>
    <mergeCell ref="E3245:F3245"/>
    <mergeCell ref="E3246:F3246"/>
    <mergeCell ref="E3261:F3261"/>
    <mergeCell ref="E3262:F3262"/>
    <mergeCell ref="E3263:F3263"/>
    <mergeCell ref="E3264:F3264"/>
    <mergeCell ref="E3265:F3265"/>
    <mergeCell ref="E3268:F3268"/>
    <mergeCell ref="E3240:F3240"/>
    <mergeCell ref="E3259:H3259"/>
    <mergeCell ref="E3260:H3260"/>
    <mergeCell ref="E3266:F3266"/>
    <mergeCell ref="E3267:F3267"/>
    <mergeCell ref="E3229:F3229"/>
    <mergeCell ref="E3230:F3230"/>
    <mergeCell ref="E3231:F3231"/>
    <mergeCell ref="E3232:H3232"/>
    <mergeCell ref="E3233:H3233"/>
    <mergeCell ref="E3234:H3234"/>
    <mergeCell ref="E3235:H3235"/>
    <mergeCell ref="E3236:H3236"/>
    <mergeCell ref="E3237:H3237"/>
    <mergeCell ref="E3238:H3238"/>
    <mergeCell ref="E3239:H3239"/>
    <mergeCell ref="E3243:F3243"/>
    <mergeCell ref="E3247:F3247"/>
    <mergeCell ref="E3248:F3248"/>
    <mergeCell ref="E3249:F3249"/>
    <mergeCell ref="E3250:F3250"/>
    <mergeCell ref="E3251:F3251"/>
    <mergeCell ref="E3252:F3252"/>
    <mergeCell ref="E3253:H3253"/>
    <mergeCell ref="E3254:H3254"/>
    <mergeCell ref="E3255:H3255"/>
    <mergeCell ref="E3256:H3256"/>
    <mergeCell ref="E3257:H3257"/>
    <mergeCell ref="E2940:H2940"/>
    <mergeCell ref="E2941:H2941"/>
    <mergeCell ref="E2942:H2942"/>
    <mergeCell ref="E2943:H2943"/>
    <mergeCell ref="E2944:H2944"/>
    <mergeCell ref="E2954:F2954"/>
    <mergeCell ref="E2955:F2955"/>
    <mergeCell ref="E2956:F2956"/>
    <mergeCell ref="E1488:F1488"/>
    <mergeCell ref="E1489:F1489"/>
    <mergeCell ref="E1490:F1490"/>
    <mergeCell ref="E1497:H1497"/>
    <mergeCell ref="E1499:H1499"/>
    <mergeCell ref="E1500:H1500"/>
    <mergeCell ref="E1501:H1501"/>
    <mergeCell ref="E1502:H1502"/>
    <mergeCell ref="E1506:F1506"/>
    <mergeCell ref="E1507:F1507"/>
    <mergeCell ref="E1508:F1508"/>
    <mergeCell ref="E1822:H1822"/>
    <mergeCell ref="E1823:H1823"/>
    <mergeCell ref="E1824:H1824"/>
    <mergeCell ref="E1825:H1825"/>
    <mergeCell ref="E1826:H1826"/>
    <mergeCell ref="E1828:F1828"/>
    <mergeCell ref="E1829:F1829"/>
    <mergeCell ref="E1830:F1830"/>
    <mergeCell ref="E1831:F1831"/>
    <mergeCell ref="E1832:F1832"/>
    <mergeCell ref="E1536:F1536"/>
    <mergeCell ref="E1994:H1994"/>
    <mergeCell ref="E1995:H1995"/>
    <mergeCell ref="E1996:H1996"/>
    <mergeCell ref="E2000:F2000"/>
    <mergeCell ref="E2023:F2023"/>
    <mergeCell ref="E2019:F2019"/>
    <mergeCell ref="E2020:F2020"/>
    <mergeCell ref="E2021:F2021"/>
    <mergeCell ref="E1864:H1864"/>
    <mergeCell ref="E1865:H1865"/>
    <mergeCell ref="E1913:F1913"/>
    <mergeCell ref="E1901:F1901"/>
    <mergeCell ref="E1902:F1902"/>
    <mergeCell ref="E1903:F1903"/>
    <mergeCell ref="E1890:F1890"/>
    <mergeCell ref="E1891:F1891"/>
    <mergeCell ref="E1952:H1952"/>
    <mergeCell ref="E1957:F1957"/>
    <mergeCell ref="E1867:H1867"/>
    <mergeCell ref="E1949:H1949"/>
    <mergeCell ref="E1950:H1950"/>
    <mergeCell ref="E1951:H1951"/>
    <mergeCell ref="E1879:F1879"/>
    <mergeCell ref="E1880:F1880"/>
    <mergeCell ref="E1881:F1881"/>
    <mergeCell ref="E1883:H1883"/>
    <mergeCell ref="E1889:H1889"/>
    <mergeCell ref="E1836:F1836"/>
    <mergeCell ref="E1837:F1837"/>
    <mergeCell ref="E1547:F1547"/>
    <mergeCell ref="E1548:F1548"/>
    <mergeCell ref="E1549:F1549"/>
    <mergeCell ref="E1555:H1555"/>
    <mergeCell ref="E1556:H1556"/>
    <mergeCell ref="E3186:F3186"/>
    <mergeCell ref="E3187:F3187"/>
    <mergeCell ref="E1614:H1614"/>
    <mergeCell ref="E1630:F1630"/>
    <mergeCell ref="E1637:H1637"/>
    <mergeCell ref="E1640:H1640"/>
    <mergeCell ref="E1641:H1641"/>
    <mergeCell ref="E1642:H1642"/>
    <mergeCell ref="E1643:H1643"/>
    <mergeCell ref="E1617:F1617"/>
    <mergeCell ref="E1618:F1618"/>
    <mergeCell ref="E1619:F1619"/>
    <mergeCell ref="E1620:F1620"/>
    <mergeCell ref="E1621:F1621"/>
    <mergeCell ref="E1545:F1545"/>
    <mergeCell ref="E1546:F1546"/>
    <mergeCell ref="E1835:H1835"/>
    <mergeCell ref="E1840:H1840"/>
    <mergeCell ref="E1841:H1841"/>
    <mergeCell ref="E1812:F1812"/>
    <mergeCell ref="E1813:F1813"/>
    <mergeCell ref="E1814:F1814"/>
    <mergeCell ref="E1818:F1818"/>
    <mergeCell ref="E1819:F1819"/>
    <mergeCell ref="E1827:H1827"/>
    <mergeCell ref="E1992:H1992"/>
    <mergeCell ref="E1866:H1866"/>
    <mergeCell ref="E1929:H1929"/>
    <mergeCell ref="E1930:H1930"/>
    <mergeCell ref="E1931:H1931"/>
    <mergeCell ref="E1939:F1939"/>
    <mergeCell ref="E1940:F1940"/>
    <mergeCell ref="E1941:F1941"/>
    <mergeCell ref="E1942:F1942"/>
    <mergeCell ref="E1943:F1943"/>
    <mergeCell ref="E1944:F1944"/>
    <mergeCell ref="E1945:F1945"/>
    <mergeCell ref="E1937:F1937"/>
    <mergeCell ref="E1938:F1938"/>
    <mergeCell ref="E1906:H1906"/>
    <mergeCell ref="E1909:H1909"/>
    <mergeCell ref="E1910:H1910"/>
    <mergeCell ref="E1911:H1911"/>
    <mergeCell ref="E1916:F1916"/>
    <mergeCell ref="E1917:F1917"/>
    <mergeCell ref="E1899:H1899"/>
    <mergeCell ref="E1634:F1634"/>
    <mergeCell ref="E1635:F1635"/>
    <mergeCell ref="E2042:F2042"/>
    <mergeCell ref="E1933:F1933"/>
    <mergeCell ref="E1934:F1934"/>
    <mergeCell ref="E1935:F1935"/>
    <mergeCell ref="E1760:H1760"/>
    <mergeCell ref="E2024:F2024"/>
    <mergeCell ref="E2025:F2025"/>
    <mergeCell ref="E2026:F2026"/>
    <mergeCell ref="E2027:F2027"/>
    <mergeCell ref="E2028:F2028"/>
    <mergeCell ref="E2029:F2029"/>
    <mergeCell ref="E2006:F2006"/>
    <mergeCell ref="E2007:F2007"/>
    <mergeCell ref="E2008:F2008"/>
    <mergeCell ref="E2009:F2009"/>
    <mergeCell ref="E2010:F2010"/>
    <mergeCell ref="E1509:F1509"/>
    <mergeCell ref="E1510:F1510"/>
    <mergeCell ref="E1515:F1515"/>
    <mergeCell ref="E1512:F1512"/>
    <mergeCell ref="E1498:H1498"/>
    <mergeCell ref="E1493:F1493"/>
    <mergeCell ref="E1514:F1514"/>
    <mergeCell ref="E1517:F1517"/>
    <mergeCell ref="E1521:F1521"/>
    <mergeCell ref="E1526:H1526"/>
    <mergeCell ref="E1528:H1528"/>
    <mergeCell ref="E1600:F1600"/>
    <mergeCell ref="E1601:F1601"/>
    <mergeCell ref="E1511:F1511"/>
    <mergeCell ref="E1518:F1518"/>
    <mergeCell ref="E1523:F1523"/>
    <mergeCell ref="E1524:F1524"/>
    <mergeCell ref="E1525:F1525"/>
    <mergeCell ref="E1531:H1531"/>
    <mergeCell ref="E1532:H1532"/>
    <mergeCell ref="E1533:H1533"/>
    <mergeCell ref="E1534:H1534"/>
    <mergeCell ref="E1537:F1537"/>
    <mergeCell ref="E1542:F1542"/>
    <mergeCell ref="E1543:F1543"/>
    <mergeCell ref="E1544:F1544"/>
    <mergeCell ref="E1436:H1436"/>
    <mergeCell ref="E1437:H1437"/>
    <mergeCell ref="E1438:H1438"/>
    <mergeCell ref="E1439:H1439"/>
    <mergeCell ref="E1440:H1440"/>
    <mergeCell ref="E1441:H1441"/>
    <mergeCell ref="E1442:H1442"/>
    <mergeCell ref="E1443:H1443"/>
    <mergeCell ref="E1444:H1444"/>
    <mergeCell ref="E1445:H1445"/>
    <mergeCell ref="E1446:H1446"/>
    <mergeCell ref="E1448:F1448"/>
    <mergeCell ref="E1449:F1449"/>
    <mergeCell ref="E1450:F1450"/>
    <mergeCell ref="E1451:F1451"/>
    <mergeCell ref="E1468:H1468"/>
    <mergeCell ref="E1476:F1476"/>
    <mergeCell ref="E1478:F1478"/>
    <mergeCell ref="E1479:F1479"/>
    <mergeCell ref="E1480:F1480"/>
    <mergeCell ref="E1481:F1481"/>
    <mergeCell ref="E1494:F1494"/>
    <mergeCell ref="E1495:F1495"/>
    <mergeCell ref="E1496:F1496"/>
    <mergeCell ref="E1503:H1503"/>
    <mergeCell ref="E1504:H1504"/>
    <mergeCell ref="E1505:H1505"/>
    <mergeCell ref="E1491:F1491"/>
    <mergeCell ref="E1492:F1492"/>
    <mergeCell ref="E1474:H1474"/>
    <mergeCell ref="E1475:H1475"/>
    <mergeCell ref="E1477:F1477"/>
    <mergeCell ref="E1482:F1482"/>
    <mergeCell ref="E1483:F1483"/>
    <mergeCell ref="E1484:F1484"/>
    <mergeCell ref="E1485:F1485"/>
    <mergeCell ref="E1486:F1486"/>
    <mergeCell ref="E1487:F1487"/>
    <mergeCell ref="E1459:F1459"/>
    <mergeCell ref="E1460:F1460"/>
    <mergeCell ref="E1447:H1447"/>
    <mergeCell ref="E1452:F1452"/>
    <mergeCell ref="E1453:F1453"/>
    <mergeCell ref="E1454:F1454"/>
    <mergeCell ref="E1455:F1455"/>
    <mergeCell ref="E1457:F1457"/>
    <mergeCell ref="E1458:F1458"/>
    <mergeCell ref="E1456:F1456"/>
    <mergeCell ref="E1461:F1461"/>
    <mergeCell ref="E1462:F1462"/>
    <mergeCell ref="E1463:F1463"/>
    <mergeCell ref="E1464:F1464"/>
    <mergeCell ref="E1465:F1465"/>
    <mergeCell ref="E1466:F1466"/>
    <mergeCell ref="E1467:F1467"/>
    <mergeCell ref="E1469:H1469"/>
    <mergeCell ref="E1470:H1470"/>
    <mergeCell ref="E1471:H1471"/>
    <mergeCell ref="E1472:H1472"/>
    <mergeCell ref="E1473:H1473"/>
    <mergeCell ref="E1406:F1406"/>
    <mergeCell ref="E1407:F1407"/>
    <mergeCell ref="E1408:F1408"/>
    <mergeCell ref="E1409:F1409"/>
    <mergeCell ref="E1335:F1335"/>
    <mergeCell ref="E1336:F1336"/>
    <mergeCell ref="E1328:F1328"/>
    <mergeCell ref="E1329:F1329"/>
    <mergeCell ref="E1330:F1330"/>
    <mergeCell ref="E1331:F1331"/>
    <mergeCell ref="E1332:F1332"/>
    <mergeCell ref="E1410:F1410"/>
    <mergeCell ref="E1412:H1412"/>
    <mergeCell ref="E1413:H1413"/>
    <mergeCell ref="E1414:H1414"/>
    <mergeCell ref="E1415:H1415"/>
    <mergeCell ref="E1416:H1416"/>
    <mergeCell ref="E1427:F1427"/>
    <mergeCell ref="E1431:H1431"/>
    <mergeCell ref="E1434:H1434"/>
    <mergeCell ref="E1435:H1435"/>
    <mergeCell ref="E1433:F1433"/>
    <mergeCell ref="E1417:F1417"/>
    <mergeCell ref="E1418:F1418"/>
    <mergeCell ref="E1419:F1419"/>
    <mergeCell ref="E1404:F1404"/>
    <mergeCell ref="E1429:F1429"/>
    <mergeCell ref="E1432:F1432"/>
    <mergeCell ref="E1402:F1402"/>
    <mergeCell ref="E1405:F1405"/>
    <mergeCell ref="E1342:H1342"/>
    <mergeCell ref="E1343:H1343"/>
    <mergeCell ref="E1344:H1344"/>
    <mergeCell ref="E1333:F1333"/>
    <mergeCell ref="E1334:F1334"/>
    <mergeCell ref="E1426:F1426"/>
    <mergeCell ref="E1420:F1420"/>
    <mergeCell ref="E1421:F1421"/>
    <mergeCell ref="E1422:F1422"/>
    <mergeCell ref="E1359:F1359"/>
    <mergeCell ref="E1364:H1364"/>
    <mergeCell ref="E1365:H1365"/>
    <mergeCell ref="E1246:F1246"/>
    <mergeCell ref="E1247:F1247"/>
    <mergeCell ref="E1250:F1250"/>
    <mergeCell ref="E1251:F1251"/>
    <mergeCell ref="E1274:F1274"/>
    <mergeCell ref="E1275:F1275"/>
    <mergeCell ref="E1276:F1276"/>
    <mergeCell ref="E1268:F1268"/>
    <mergeCell ref="E1269:F1269"/>
    <mergeCell ref="E1270:F1270"/>
    <mergeCell ref="E1271:F1271"/>
    <mergeCell ref="E1272:F1272"/>
    <mergeCell ref="E1261:H1261"/>
    <mergeCell ref="E1262:H1262"/>
    <mergeCell ref="E1263:H1263"/>
    <mergeCell ref="E1264:H1264"/>
    <mergeCell ref="E1265:H1265"/>
    <mergeCell ref="E1295:F1295"/>
    <mergeCell ref="E1296:F1296"/>
    <mergeCell ref="E1310:H1310"/>
    <mergeCell ref="E1311:H1311"/>
    <mergeCell ref="E1312:H1312"/>
    <mergeCell ref="E1313:H1313"/>
    <mergeCell ref="E1315:H1315"/>
    <mergeCell ref="E1316:H1316"/>
    <mergeCell ref="E1323:F1323"/>
    <mergeCell ref="E1324:F1324"/>
    <mergeCell ref="E1325:F1325"/>
    <mergeCell ref="E1356:F1356"/>
    <mergeCell ref="E1357:F1357"/>
    <mergeCell ref="E1358:F1358"/>
    <mergeCell ref="E1378:F1378"/>
    <mergeCell ref="E1291:F1291"/>
    <mergeCell ref="E1292:F1292"/>
    <mergeCell ref="E1293:F1293"/>
    <mergeCell ref="E1294:F1294"/>
    <mergeCell ref="E1327:F1327"/>
    <mergeCell ref="E1337:H1337"/>
    <mergeCell ref="E1338:H1338"/>
    <mergeCell ref="E1345:F1345"/>
    <mergeCell ref="E1346:F1346"/>
    <mergeCell ref="E1231:H1231"/>
    <mergeCell ref="E1366:H1366"/>
    <mergeCell ref="E1367:H1367"/>
    <mergeCell ref="E1373:H1373"/>
    <mergeCell ref="E1374:H1374"/>
    <mergeCell ref="E1377:F1377"/>
    <mergeCell ref="E1428:F1428"/>
    <mergeCell ref="E1423:F1423"/>
    <mergeCell ref="E1424:F1424"/>
    <mergeCell ref="E1425:F1425"/>
    <mergeCell ref="E1379:F1379"/>
    <mergeCell ref="E1380:F1380"/>
    <mergeCell ref="E1381:F1381"/>
    <mergeCell ref="E1382:F1382"/>
    <mergeCell ref="E1394:F1394"/>
    <mergeCell ref="E1395:F1395"/>
    <mergeCell ref="E1396:F1396"/>
    <mergeCell ref="E1397:F1397"/>
    <mergeCell ref="E1398:F1398"/>
    <mergeCell ref="E1399:F1399"/>
    <mergeCell ref="E1400:F1400"/>
    <mergeCell ref="E1401:F1401"/>
    <mergeCell ref="E1314:F1314"/>
    <mergeCell ref="E1363:H1363"/>
    <mergeCell ref="E1368:F1368"/>
    <mergeCell ref="E1360:H1360"/>
    <mergeCell ref="E1361:H1361"/>
    <mergeCell ref="E1362:H1362"/>
    <mergeCell ref="E1351:F1351"/>
    <mergeCell ref="E1352:F1352"/>
    <mergeCell ref="E1353:F1353"/>
    <mergeCell ref="E1354:F1354"/>
    <mergeCell ref="E1355:F1355"/>
    <mergeCell ref="E1347:F1347"/>
    <mergeCell ref="E1348:F1348"/>
    <mergeCell ref="E1349:F1349"/>
    <mergeCell ref="E1350:F1350"/>
    <mergeCell ref="E1393:F1393"/>
    <mergeCell ref="E1387:F1387"/>
    <mergeCell ref="E1388:F1388"/>
    <mergeCell ref="E1389:F1389"/>
    <mergeCell ref="E1390:F1390"/>
    <mergeCell ref="E1391:F1391"/>
    <mergeCell ref="E1385:F1385"/>
    <mergeCell ref="E1386:F1386"/>
    <mergeCell ref="E1370:F1370"/>
    <mergeCell ref="E1371:F1371"/>
    <mergeCell ref="E1375:H1375"/>
    <mergeCell ref="E1383:F1383"/>
    <mergeCell ref="E1384:F1384"/>
    <mergeCell ref="E1339:H1339"/>
    <mergeCell ref="E1340:H1340"/>
    <mergeCell ref="E1341:H1341"/>
    <mergeCell ref="E1321:H1321"/>
    <mergeCell ref="E1322:H1322"/>
    <mergeCell ref="E1319:H1319"/>
    <mergeCell ref="E1320:H1320"/>
    <mergeCell ref="E1317:H1317"/>
    <mergeCell ref="E1318:H1318"/>
    <mergeCell ref="E1326:F1326"/>
    <mergeCell ref="E1260:H1260"/>
    <mergeCell ref="E1283:H1283"/>
    <mergeCell ref="E1284:H1284"/>
    <mergeCell ref="E1273:F1273"/>
    <mergeCell ref="E1096:H1096"/>
    <mergeCell ref="E1089:H1089"/>
    <mergeCell ref="E1176:H1176"/>
    <mergeCell ref="E1177:H1177"/>
    <mergeCell ref="E1098:H1098"/>
    <mergeCell ref="E1099:H1099"/>
    <mergeCell ref="E1100:H1100"/>
    <mergeCell ref="E1101:H1101"/>
    <mergeCell ref="E1102:H1102"/>
    <mergeCell ref="E1103:H1103"/>
    <mergeCell ref="E1104:H1104"/>
    <mergeCell ref="E1105:H1105"/>
    <mergeCell ref="E1150:H1150"/>
    <mergeCell ref="E1151:H1151"/>
    <mergeCell ref="E1152:H1152"/>
    <mergeCell ref="E1153:H1153"/>
    <mergeCell ref="E1154:H1154"/>
    <mergeCell ref="E1169:H1169"/>
    <mergeCell ref="E1174:H1174"/>
    <mergeCell ref="E1175:H1175"/>
    <mergeCell ref="E1233:H1233"/>
    <mergeCell ref="E1185:H1185"/>
    <mergeCell ref="E1211:H1211"/>
    <mergeCell ref="E1214:F1214"/>
    <mergeCell ref="E1215:F1215"/>
    <mergeCell ref="E1221:F1221"/>
    <mergeCell ref="E1232:H1232"/>
    <mergeCell ref="E1243:F1243"/>
    <mergeCell ref="E1244:F1244"/>
    <mergeCell ref="E1245:F1245"/>
    <mergeCell ref="E1236:H1236"/>
    <mergeCell ref="E1237:H1237"/>
    <mergeCell ref="E1238:H1238"/>
    <mergeCell ref="E1239:H1239"/>
    <mergeCell ref="E1240:H1240"/>
    <mergeCell ref="E1242:F1242"/>
    <mergeCell ref="E1188:F1188"/>
    <mergeCell ref="E1189:F1189"/>
    <mergeCell ref="E1190:F1190"/>
    <mergeCell ref="E1191:F1191"/>
    <mergeCell ref="E1192:F1192"/>
    <mergeCell ref="E1193:F1193"/>
    <mergeCell ref="E1182:H1182"/>
    <mergeCell ref="E1183:H1183"/>
    <mergeCell ref="E1178:H1178"/>
    <mergeCell ref="E1179:H1179"/>
    <mergeCell ref="E1180:H1180"/>
    <mergeCell ref="E1181:H1181"/>
    <mergeCell ref="E1241:F1241"/>
    <mergeCell ref="E1234:H1234"/>
    <mergeCell ref="E1222:F1222"/>
    <mergeCell ref="E1223:F1223"/>
    <mergeCell ref="E1224:F1224"/>
    <mergeCell ref="E1226:F1226"/>
    <mergeCell ref="E1228:F1228"/>
    <mergeCell ref="E1216:F1216"/>
    <mergeCell ref="E1217:F1217"/>
    <mergeCell ref="E1218:F1218"/>
    <mergeCell ref="E1220:F1220"/>
    <mergeCell ref="E1212:H1212"/>
    <mergeCell ref="E1194:F1194"/>
    <mergeCell ref="E1195:F1195"/>
    <mergeCell ref="E1196:F1196"/>
    <mergeCell ref="E1205:F1205"/>
    <mergeCell ref="E1003:H1003"/>
    <mergeCell ref="E1186:H1186"/>
    <mergeCell ref="E1187:H1187"/>
    <mergeCell ref="E1197:F1197"/>
    <mergeCell ref="E1198:F1198"/>
    <mergeCell ref="E1199:F1199"/>
    <mergeCell ref="E1200:F1200"/>
    <mergeCell ref="E1201:F1201"/>
    <mergeCell ref="E1202:F1202"/>
    <mergeCell ref="E1203:F1203"/>
    <mergeCell ref="E1204:F1204"/>
    <mergeCell ref="E1206:H1206"/>
    <mergeCell ref="E1207:H1207"/>
    <mergeCell ref="E1208:H1208"/>
    <mergeCell ref="E1209:H1209"/>
    <mergeCell ref="E1213:H1213"/>
    <mergeCell ref="E1219:F1219"/>
    <mergeCell ref="E1225:F1225"/>
    <mergeCell ref="E1229:F1229"/>
    <mergeCell ref="E1230:F1230"/>
    <mergeCell ref="E1018:H1018"/>
    <mergeCell ref="E1019:H1019"/>
    <mergeCell ref="E1020:H1020"/>
    <mergeCell ref="E1021:H1021"/>
    <mergeCell ref="E1024:H1024"/>
    <mergeCell ref="E1040:H1040"/>
    <mergeCell ref="E1041:H1041"/>
    <mergeCell ref="E1042:H1042"/>
    <mergeCell ref="E1043:H1043"/>
    <mergeCell ref="E1044:H1044"/>
    <mergeCell ref="E1045:H1045"/>
    <mergeCell ref="E1046:H1046"/>
    <mergeCell ref="E1047:H1047"/>
    <mergeCell ref="E1049:H1049"/>
    <mergeCell ref="E1050:H1050"/>
    <mergeCell ref="E1051:H1051"/>
    <mergeCell ref="E1052:H1052"/>
    <mergeCell ref="E1053:H1053"/>
    <mergeCell ref="E1054:H1054"/>
    <mergeCell ref="E1055:H1055"/>
    <mergeCell ref="E1056:H1056"/>
    <mergeCell ref="E1069:H1069"/>
    <mergeCell ref="E1070:H1070"/>
    <mergeCell ref="E1071:H1071"/>
    <mergeCell ref="E1072:H1072"/>
    <mergeCell ref="E1073:H1073"/>
    <mergeCell ref="E1074:H1074"/>
    <mergeCell ref="E1075:H1075"/>
    <mergeCell ref="E1076:H1076"/>
    <mergeCell ref="E1022:H1022"/>
    <mergeCell ref="E1184:H1184"/>
    <mergeCell ref="E1023:H1023"/>
    <mergeCell ref="E1025:H1025"/>
    <mergeCell ref="E1227:F1227"/>
    <mergeCell ref="E1090:H1090"/>
    <mergeCell ref="E1091:H1091"/>
    <mergeCell ref="E1116:H1116"/>
    <mergeCell ref="E1117:H1117"/>
    <mergeCell ref="E1114:H1114"/>
    <mergeCell ref="E1115:H1115"/>
    <mergeCell ref="E1092:H1092"/>
    <mergeCell ref="E1093:H1093"/>
    <mergeCell ref="E1094:H1094"/>
    <mergeCell ref="E1095:H1095"/>
    <mergeCell ref="E888:H888"/>
    <mergeCell ref="E889:H889"/>
    <mergeCell ref="E890:H890"/>
    <mergeCell ref="E905:H905"/>
    <mergeCell ref="E908:H908"/>
    <mergeCell ref="E928:H928"/>
    <mergeCell ref="E929:H929"/>
    <mergeCell ref="E932:H932"/>
    <mergeCell ref="E952:H952"/>
    <mergeCell ref="E953:H953"/>
    <mergeCell ref="E956:H956"/>
    <mergeCell ref="E974:H974"/>
    <mergeCell ref="E868:F868"/>
    <mergeCell ref="E861:F861"/>
    <mergeCell ref="E862:F862"/>
    <mergeCell ref="E997:H997"/>
    <mergeCell ref="E998:H998"/>
    <mergeCell ref="E863:F863"/>
    <mergeCell ref="E854:H854"/>
    <mergeCell ref="E855:H855"/>
    <mergeCell ref="E843:F843"/>
    <mergeCell ref="E844:F844"/>
    <mergeCell ref="E845:F845"/>
    <mergeCell ref="E835:F835"/>
    <mergeCell ref="E836:F836"/>
    <mergeCell ref="E837:F837"/>
    <mergeCell ref="E838:F838"/>
    <mergeCell ref="E839:F839"/>
    <mergeCell ref="E841:F841"/>
    <mergeCell ref="E830:H830"/>
    <mergeCell ref="E831:H831"/>
    <mergeCell ref="E821:H821"/>
    <mergeCell ref="E822:H822"/>
    <mergeCell ref="E823:H823"/>
    <mergeCell ref="E824:H824"/>
    <mergeCell ref="E828:F828"/>
    <mergeCell ref="E832:H832"/>
    <mergeCell ref="E847:F847"/>
    <mergeCell ref="E851:H851"/>
    <mergeCell ref="E856:F856"/>
    <mergeCell ref="E857:F857"/>
    <mergeCell ref="E858:F858"/>
    <mergeCell ref="E870:H870"/>
    <mergeCell ref="E872:F872"/>
    <mergeCell ref="E875:H875"/>
    <mergeCell ref="E876:H876"/>
    <mergeCell ref="E877:H877"/>
    <mergeCell ref="E878:H878"/>
    <mergeCell ref="E881:H881"/>
    <mergeCell ref="E886:H886"/>
    <mergeCell ref="E887:H887"/>
    <mergeCell ref="E930:H930"/>
    <mergeCell ref="E931:H931"/>
    <mergeCell ref="E934:H934"/>
    <mergeCell ref="E909:H909"/>
    <mergeCell ref="E911:H911"/>
    <mergeCell ref="E912:H912"/>
    <mergeCell ref="E906:H906"/>
    <mergeCell ref="E907:H907"/>
    <mergeCell ref="E910:H910"/>
    <mergeCell ref="E860:F860"/>
    <mergeCell ref="E874:F874"/>
    <mergeCell ref="E879:H879"/>
    <mergeCell ref="E880:H880"/>
    <mergeCell ref="E883:H883"/>
    <mergeCell ref="E808:F808"/>
    <mergeCell ref="E809:F809"/>
    <mergeCell ref="E810:F810"/>
    <mergeCell ref="E811:F811"/>
    <mergeCell ref="E812:F812"/>
    <mergeCell ref="E807:F807"/>
    <mergeCell ref="E799:H799"/>
    <mergeCell ref="E674:H674"/>
    <mergeCell ref="E675:H675"/>
    <mergeCell ref="E676:H676"/>
    <mergeCell ref="E677:H677"/>
    <mergeCell ref="E678:H678"/>
    <mergeCell ref="E688:F688"/>
    <mergeCell ref="E689:F689"/>
    <mergeCell ref="E696:H696"/>
    <mergeCell ref="E698:F698"/>
    <mergeCell ref="E699:F699"/>
    <mergeCell ref="E700:F700"/>
    <mergeCell ref="E701:F701"/>
    <mergeCell ref="E702:F702"/>
    <mergeCell ref="E703:F703"/>
    <mergeCell ref="E704:F704"/>
    <mergeCell ref="E709:H709"/>
    <mergeCell ref="E710:H710"/>
    <mergeCell ref="E711:H711"/>
    <mergeCell ref="E754:F754"/>
    <mergeCell ref="E760:F760"/>
    <mergeCell ref="E761:F761"/>
    <mergeCell ref="E762:F762"/>
    <mergeCell ref="E765:H765"/>
    <mergeCell ref="E766:H766"/>
    <mergeCell ref="E767:H767"/>
    <mergeCell ref="E768:H768"/>
    <mergeCell ref="E769:H769"/>
    <mergeCell ref="E770:H770"/>
    <mergeCell ref="E780:F780"/>
    <mergeCell ref="E781:H781"/>
    <mergeCell ref="E782:H782"/>
    <mergeCell ref="E783:H783"/>
    <mergeCell ref="E735:F735"/>
    <mergeCell ref="E720:F720"/>
    <mergeCell ref="E729:H729"/>
    <mergeCell ref="E730:H730"/>
    <mergeCell ref="E731:H731"/>
    <mergeCell ref="E789:F789"/>
    <mergeCell ref="E791:F791"/>
    <mergeCell ref="E793:F793"/>
    <mergeCell ref="E792:F792"/>
    <mergeCell ref="E816:F816"/>
    <mergeCell ref="E819:H819"/>
    <mergeCell ref="E820:H820"/>
    <mergeCell ref="E834:F834"/>
    <mergeCell ref="E849:F849"/>
    <mergeCell ref="E852:H852"/>
    <mergeCell ref="E853:H853"/>
    <mergeCell ref="E859:F859"/>
    <mergeCell ref="E705:F705"/>
    <mergeCell ref="E706:F706"/>
    <mergeCell ref="E716:H716"/>
    <mergeCell ref="E724:F724"/>
    <mergeCell ref="E725:F725"/>
    <mergeCell ref="E744:F744"/>
    <mergeCell ref="E746:H746"/>
    <mergeCell ref="E462:F462"/>
    <mergeCell ref="E468:F468"/>
    <mergeCell ref="E469:H469"/>
    <mergeCell ref="E470:H470"/>
    <mergeCell ref="E475:F475"/>
    <mergeCell ref="E488:H488"/>
    <mergeCell ref="E489:H489"/>
    <mergeCell ref="E490:F490"/>
    <mergeCell ref="E492:H492"/>
    <mergeCell ref="E464:F464"/>
    <mergeCell ref="E465:F465"/>
    <mergeCell ref="E467:F467"/>
    <mergeCell ref="E456:F456"/>
    <mergeCell ref="E457:F457"/>
    <mergeCell ref="E459:F459"/>
    <mergeCell ref="E460:F460"/>
    <mergeCell ref="E461:F461"/>
    <mergeCell ref="E448:F448"/>
    <mergeCell ref="E450:H450"/>
    <mergeCell ref="E451:H451"/>
    <mergeCell ref="E452:H452"/>
    <mergeCell ref="E455:F455"/>
    <mergeCell ref="E518:F518"/>
    <mergeCell ref="E519:F519"/>
    <mergeCell ref="E523:H523"/>
    <mergeCell ref="E531:H531"/>
    <mergeCell ref="E532:H532"/>
    <mergeCell ref="E546:H546"/>
    <mergeCell ref="E547:H547"/>
    <mergeCell ref="E548:H548"/>
    <mergeCell ref="E549:H549"/>
    <mergeCell ref="E582:F582"/>
    <mergeCell ref="E583:F583"/>
    <mergeCell ref="E573:H573"/>
    <mergeCell ref="E577:F577"/>
    <mergeCell ref="E578:F578"/>
    <mergeCell ref="E579:F579"/>
    <mergeCell ref="E580:F580"/>
    <mergeCell ref="E581:F581"/>
    <mergeCell ref="E502:H502"/>
    <mergeCell ref="E503:H503"/>
    <mergeCell ref="E504:H504"/>
    <mergeCell ref="E505:H505"/>
    <mergeCell ref="E506:H506"/>
    <mergeCell ref="E496:H496"/>
    <mergeCell ref="E497:H497"/>
    <mergeCell ref="E574:H574"/>
    <mergeCell ref="E575:H575"/>
    <mergeCell ref="E576:H576"/>
    <mergeCell ref="E568:F568"/>
    <mergeCell ref="E562:F562"/>
    <mergeCell ref="E563:F563"/>
    <mergeCell ref="E564:F564"/>
    <mergeCell ref="E565:F565"/>
    <mergeCell ref="E566:F566"/>
    <mergeCell ref="E567:F567"/>
    <mergeCell ref="E559:F559"/>
    <mergeCell ref="E560:F560"/>
    <mergeCell ref="E561:F561"/>
    <mergeCell ref="E551:H551"/>
    <mergeCell ref="E552:H552"/>
    <mergeCell ref="E553:H553"/>
    <mergeCell ref="E550:H550"/>
    <mergeCell ref="E621:F621"/>
    <mergeCell ref="E622:F622"/>
    <mergeCell ref="E471:H471"/>
    <mergeCell ref="E472:H472"/>
    <mergeCell ref="E473:H473"/>
    <mergeCell ref="E474:H474"/>
    <mergeCell ref="E476:F476"/>
    <mergeCell ref="E463:F463"/>
    <mergeCell ref="E498:H498"/>
    <mergeCell ref="E499:H499"/>
    <mergeCell ref="E500:H500"/>
    <mergeCell ref="E501:H501"/>
    <mergeCell ref="E491:F491"/>
    <mergeCell ref="E495:H495"/>
    <mergeCell ref="E483:F483"/>
    <mergeCell ref="E484:F484"/>
    <mergeCell ref="E485:F485"/>
    <mergeCell ref="E486:F486"/>
    <mergeCell ref="E487:F487"/>
    <mergeCell ref="E477:F477"/>
    <mergeCell ref="E478:F478"/>
    <mergeCell ref="E479:F479"/>
    <mergeCell ref="E480:F480"/>
    <mergeCell ref="E481:F481"/>
    <mergeCell ref="E482:F482"/>
    <mergeCell ref="E493:H493"/>
    <mergeCell ref="E494:H494"/>
    <mergeCell ref="E507:F507"/>
    <mergeCell ref="E508:F508"/>
    <mergeCell ref="E544:F544"/>
    <mergeCell ref="E545:F545"/>
    <mergeCell ref="E538:F538"/>
    <mergeCell ref="E539:F539"/>
    <mergeCell ref="E540:F540"/>
    <mergeCell ref="E541:F541"/>
    <mergeCell ref="E542:F542"/>
    <mergeCell ref="E543:F543"/>
    <mergeCell ref="E533:F533"/>
    <mergeCell ref="E534:F534"/>
    <mergeCell ref="E535:F535"/>
    <mergeCell ref="E536:F536"/>
    <mergeCell ref="E537:F537"/>
    <mergeCell ref="E526:H526"/>
    <mergeCell ref="E527:H527"/>
    <mergeCell ref="E528:H528"/>
    <mergeCell ref="E529:H529"/>
    <mergeCell ref="E530:H530"/>
    <mergeCell ref="E520:F520"/>
    <mergeCell ref="E521:F521"/>
    <mergeCell ref="E522:F522"/>
    <mergeCell ref="E524:H524"/>
    <mergeCell ref="E525:H525"/>
    <mergeCell ref="E514:F514"/>
    <mergeCell ref="E516:F516"/>
    <mergeCell ref="E517:F517"/>
    <mergeCell ref="E585:F585"/>
    <mergeCell ref="E605:H605"/>
    <mergeCell ref="E615:F615"/>
    <mergeCell ref="E604:H604"/>
    <mergeCell ref="E607:F607"/>
    <mergeCell ref="E608:F608"/>
    <mergeCell ref="E609:F609"/>
    <mergeCell ref="E603:H603"/>
    <mergeCell ref="E616:F616"/>
    <mergeCell ref="E396:F396"/>
    <mergeCell ref="E401:H401"/>
    <mergeCell ref="E402:H402"/>
    <mergeCell ref="E403:H403"/>
    <mergeCell ref="E404:H404"/>
    <mergeCell ref="E405:H405"/>
    <mergeCell ref="E415:F415"/>
    <mergeCell ref="E416:F416"/>
    <mergeCell ref="E417:F417"/>
    <mergeCell ref="E418:F418"/>
    <mergeCell ref="E423:H423"/>
    <mergeCell ref="E424:H424"/>
    <mergeCell ref="E425:H425"/>
    <mergeCell ref="E426:H426"/>
    <mergeCell ref="E437:F437"/>
    <mergeCell ref="E445:H445"/>
    <mergeCell ref="E446:F446"/>
    <mergeCell ref="E449:F449"/>
    <mergeCell ref="E453:H453"/>
    <mergeCell ref="E414:F414"/>
    <mergeCell ref="E406:F406"/>
    <mergeCell ref="E407:F407"/>
    <mergeCell ref="E408:F408"/>
    <mergeCell ref="E409:F409"/>
    <mergeCell ref="E410:F410"/>
    <mergeCell ref="E399:H399"/>
    <mergeCell ref="E400:H400"/>
    <mergeCell ref="E333:H333"/>
    <mergeCell ref="E335:F335"/>
    <mergeCell ref="E334:F334"/>
    <mergeCell ref="E348:H348"/>
    <mergeCell ref="E349:F349"/>
    <mergeCell ref="E350:F350"/>
    <mergeCell ref="E359:H359"/>
    <mergeCell ref="E357:H357"/>
    <mergeCell ref="E358:H358"/>
    <mergeCell ref="E356:H356"/>
    <mergeCell ref="E345:F345"/>
    <mergeCell ref="E346:F346"/>
    <mergeCell ref="E339:F339"/>
    <mergeCell ref="E340:F340"/>
    <mergeCell ref="E341:F341"/>
    <mergeCell ref="E342:F342"/>
    <mergeCell ref="E343:F343"/>
    <mergeCell ref="E344:F344"/>
    <mergeCell ref="E441:H441"/>
    <mergeCell ref="E442:H442"/>
    <mergeCell ref="E443:H443"/>
    <mergeCell ref="E444:H444"/>
    <mergeCell ref="E435:F435"/>
    <mergeCell ref="E436:F436"/>
    <mergeCell ref="E438:H438"/>
    <mergeCell ref="E439:H439"/>
    <mergeCell ref="E440:H440"/>
    <mergeCell ref="E183:H183"/>
    <mergeCell ref="E184:H184"/>
    <mergeCell ref="E185:H185"/>
    <mergeCell ref="E186:H186"/>
    <mergeCell ref="E187:H187"/>
    <mergeCell ref="E116:F116"/>
    <mergeCell ref="E117:F117"/>
    <mergeCell ref="E118:F118"/>
    <mergeCell ref="E119:H119"/>
    <mergeCell ref="E191:F191"/>
    <mergeCell ref="E203:H203"/>
    <mergeCell ref="E173:F173"/>
    <mergeCell ref="E175:H175"/>
    <mergeCell ref="E153:H153"/>
    <mergeCell ref="E167:F167"/>
    <mergeCell ref="E201:F201"/>
    <mergeCell ref="E202:F202"/>
    <mergeCell ref="E195:F195"/>
    <mergeCell ref="E330:H330"/>
    <mergeCell ref="E331:H331"/>
    <mergeCell ref="E332:H332"/>
    <mergeCell ref="E321:F321"/>
    <mergeCell ref="E323:F323"/>
    <mergeCell ref="E259:F259"/>
    <mergeCell ref="E260:F260"/>
    <mergeCell ref="E261:F261"/>
    <mergeCell ref="E262:F262"/>
    <mergeCell ref="E263:F263"/>
    <mergeCell ref="E264:H264"/>
    <mergeCell ref="E265:H265"/>
    <mergeCell ref="E266:H266"/>
    <mergeCell ref="E267:H267"/>
    <mergeCell ref="E268:H268"/>
    <mergeCell ref="E269:H269"/>
    <mergeCell ref="E270:H270"/>
    <mergeCell ref="E271:H271"/>
    <mergeCell ref="E234:F234"/>
    <mergeCell ref="E235:F235"/>
    <mergeCell ref="E214:F214"/>
    <mergeCell ref="E285:H285"/>
    <mergeCell ref="E289:H289"/>
    <mergeCell ref="E290:H290"/>
    <mergeCell ref="E296:H296"/>
    <mergeCell ref="E297:H297"/>
    <mergeCell ref="E298:H298"/>
    <mergeCell ref="E302:F302"/>
    <mergeCell ref="E303:F303"/>
    <mergeCell ref="E304:F304"/>
    <mergeCell ref="E305:F305"/>
    <mergeCell ref="E306:F306"/>
    <mergeCell ref="E307:F307"/>
    <mergeCell ref="E308:F308"/>
    <mergeCell ref="E273:F273"/>
    <mergeCell ref="E274:F274"/>
    <mergeCell ref="E275:F275"/>
    <mergeCell ref="E276:F276"/>
    <mergeCell ref="E277:F277"/>
    <mergeCell ref="E278:F278"/>
    <mergeCell ref="E272:F272"/>
    <mergeCell ref="E286:H286"/>
    <mergeCell ref="E283:H283"/>
    <mergeCell ref="E284:H284"/>
    <mergeCell ref="E279:F279"/>
    <mergeCell ref="E280:F280"/>
    <mergeCell ref="E136:F136"/>
    <mergeCell ref="E137:F137"/>
    <mergeCell ref="E141:F141"/>
    <mergeCell ref="E146:F146"/>
    <mergeCell ref="E147:F147"/>
    <mergeCell ref="E148:F148"/>
    <mergeCell ref="E151:F151"/>
    <mergeCell ref="E152:H152"/>
    <mergeCell ref="E155:H155"/>
    <mergeCell ref="E158:F158"/>
    <mergeCell ref="E159:F159"/>
    <mergeCell ref="E160:F160"/>
    <mergeCell ref="E163:F163"/>
    <mergeCell ref="E169:F169"/>
    <mergeCell ref="E172:H172"/>
    <mergeCell ref="E174:F174"/>
    <mergeCell ref="E176:H176"/>
    <mergeCell ref="E181:H181"/>
    <mergeCell ref="E182:H182"/>
    <mergeCell ref="E62:F62"/>
    <mergeCell ref="E65:H65"/>
    <mergeCell ref="E66:H66"/>
    <mergeCell ref="E67:H67"/>
    <mergeCell ref="E68:H68"/>
    <mergeCell ref="E69:H69"/>
    <mergeCell ref="E70:H70"/>
    <mergeCell ref="E71:H71"/>
    <mergeCell ref="E72:H72"/>
    <mergeCell ref="E93:F93"/>
    <mergeCell ref="E94:F94"/>
    <mergeCell ref="E95:F95"/>
    <mergeCell ref="E96:F96"/>
    <mergeCell ref="E97:F97"/>
    <mergeCell ref="E98:F98"/>
    <mergeCell ref="E99:F99"/>
    <mergeCell ref="E100:F100"/>
    <mergeCell ref="E101:H101"/>
    <mergeCell ref="E102:H102"/>
    <mergeCell ref="E103:H103"/>
    <mergeCell ref="E104:H104"/>
    <mergeCell ref="E105:H105"/>
    <mergeCell ref="E106:H106"/>
    <mergeCell ref="E107:H107"/>
    <mergeCell ref="E108:H108"/>
    <mergeCell ref="E109:F109"/>
    <mergeCell ref="E110:F110"/>
    <mergeCell ref="E111:F111"/>
    <mergeCell ref="E112:F112"/>
    <mergeCell ref="E113:F113"/>
    <mergeCell ref="E114:F114"/>
    <mergeCell ref="E79:F79"/>
    <mergeCell ref="E80:F80"/>
    <mergeCell ref="E81:F81"/>
    <mergeCell ref="E82:F82"/>
    <mergeCell ref="E83:H83"/>
    <mergeCell ref="E84:H84"/>
    <mergeCell ref="E85:H85"/>
    <mergeCell ref="E11:H11"/>
    <mergeCell ref="E16:F16"/>
    <mergeCell ref="E22:F22"/>
    <mergeCell ref="E27:H27"/>
    <mergeCell ref="E28:H28"/>
    <mergeCell ref="E29:H29"/>
    <mergeCell ref="E30:H30"/>
    <mergeCell ref="E31:H31"/>
    <mergeCell ref="E32:H32"/>
    <mergeCell ref="E35:F35"/>
    <mergeCell ref="E36:F36"/>
    <mergeCell ref="E37:F37"/>
    <mergeCell ref="E38:F38"/>
    <mergeCell ref="E39:F39"/>
    <mergeCell ref="E40:F40"/>
    <mergeCell ref="E41:F41"/>
    <mergeCell ref="E42:F42"/>
    <mergeCell ref="E44:F44"/>
    <mergeCell ref="E45:F45"/>
    <mergeCell ref="E46:H46"/>
    <mergeCell ref="E47:H47"/>
    <mergeCell ref="E48:H48"/>
    <mergeCell ref="E49:H49"/>
    <mergeCell ref="E50:H50"/>
    <mergeCell ref="E51:H51"/>
    <mergeCell ref="E52:H52"/>
    <mergeCell ref="E53:H53"/>
    <mergeCell ref="E54:H54"/>
    <mergeCell ref="E56:F56"/>
    <mergeCell ref="E57:F57"/>
    <mergeCell ref="E58:F58"/>
    <mergeCell ref="E59:F59"/>
    <mergeCell ref="E60:F60"/>
    <mergeCell ref="E55:F55"/>
    <mergeCell ref="E43:F43"/>
    <mergeCell ref="E17:F17"/>
    <mergeCell ref="E19:F19"/>
    <mergeCell ref="E20:F20"/>
    <mergeCell ref="E61:F61"/>
    <mergeCell ref="E21:F21"/>
    <mergeCell ref="E23:F23"/>
    <mergeCell ref="E25:F25"/>
    <mergeCell ref="E26:F26"/>
    <mergeCell ref="E18:F18"/>
    <mergeCell ref="E91:F91"/>
    <mergeCell ref="E92:F92"/>
    <mergeCell ref="E124:H124"/>
    <mergeCell ref="E125:H125"/>
    <mergeCell ref="E126:H126"/>
    <mergeCell ref="E127:F127"/>
    <mergeCell ref="E129:F129"/>
    <mergeCell ref="E130:F130"/>
    <mergeCell ref="E132:H132"/>
    <mergeCell ref="E115:F115"/>
    <mergeCell ref="E6059:H6059"/>
    <mergeCell ref="E6060:H6060"/>
    <mergeCell ref="E6061:H6061"/>
    <mergeCell ref="E509:F509"/>
    <mergeCell ref="E510:F510"/>
    <mergeCell ref="E511:F511"/>
    <mergeCell ref="E512:F512"/>
    <mergeCell ref="E513:F513"/>
    <mergeCell ref="E120:H120"/>
    <mergeCell ref="E121:H121"/>
    <mergeCell ref="E122:H122"/>
    <mergeCell ref="E123:H123"/>
    <mergeCell ref="E86:H86"/>
    <mergeCell ref="E11296:F11296"/>
    <mergeCell ref="E87:H87"/>
    <mergeCell ref="E88:H88"/>
    <mergeCell ref="E89:H89"/>
    <mergeCell ref="E90:H90"/>
    <mergeCell ref="E1529:H1529"/>
    <mergeCell ref="E1522:F1522"/>
    <mergeCell ref="E1550:F1550"/>
    <mergeCell ref="E1551:F1551"/>
    <mergeCell ref="E1552:F1552"/>
    <mergeCell ref="E1553:F1553"/>
    <mergeCell ref="E1554:F1554"/>
    <mergeCell ref="E1557:H1557"/>
    <mergeCell ref="E1562:H1562"/>
    <mergeCell ref="E1570:F1570"/>
    <mergeCell ref="E1571:F1571"/>
    <mergeCell ref="E1572:F1572"/>
    <mergeCell ref="E1573:F1573"/>
    <mergeCell ref="E1582:H1582"/>
    <mergeCell ref="E1583:H1583"/>
    <mergeCell ref="E1590:F1590"/>
    <mergeCell ref="E1576:F1576"/>
    <mergeCell ref="E1578:F1578"/>
    <mergeCell ref="E1579:F1579"/>
    <mergeCell ref="E3536:F3536"/>
    <mergeCell ref="E3537:F3537"/>
    <mergeCell ref="E554:F554"/>
    <mergeCell ref="E555:F555"/>
    <mergeCell ref="E556:F556"/>
    <mergeCell ref="E557:F557"/>
    <mergeCell ref="E558:F558"/>
    <mergeCell ref="E569:H569"/>
    <mergeCell ref="E570:H570"/>
    <mergeCell ref="E571:H571"/>
    <mergeCell ref="E572:H572"/>
    <mergeCell ref="E591:H591"/>
    <mergeCell ref="E757:F757"/>
    <mergeCell ref="E758:F758"/>
    <mergeCell ref="E759:F759"/>
    <mergeCell ref="E814:F814"/>
    <mergeCell ref="E817:H817"/>
    <mergeCell ref="E818:H818"/>
    <mergeCell ref="E1535:F1535"/>
    <mergeCell ref="E774:F774"/>
    <mergeCell ref="E763:H763"/>
    <mergeCell ref="E764:H764"/>
    <mergeCell ref="E775:F775"/>
    <mergeCell ref="E777:F777"/>
    <mergeCell ref="E778:F778"/>
    <mergeCell ref="E597:H597"/>
    <mergeCell ref="E658:F658"/>
    <mergeCell ref="E659:F659"/>
    <mergeCell ref="E660:F660"/>
    <mergeCell ref="E663:F663"/>
    <mergeCell ref="E654:F654"/>
    <mergeCell ref="E655:F655"/>
    <mergeCell ref="E656:F656"/>
    <mergeCell ref="E657:F657"/>
    <mergeCell ref="E646:H646"/>
    <mergeCell ref="E647:H647"/>
    <mergeCell ref="E640:F640"/>
    <mergeCell ref="E584:F584"/>
    <mergeCell ref="E375:F375"/>
    <mergeCell ref="E376:F376"/>
    <mergeCell ref="E380:H380"/>
    <mergeCell ref="E381:H381"/>
    <mergeCell ref="E382:H382"/>
    <mergeCell ref="E429:F429"/>
    <mergeCell ref="E430:F430"/>
    <mergeCell ref="E431:F431"/>
    <mergeCell ref="E432:F432"/>
    <mergeCell ref="E433:F433"/>
    <mergeCell ref="E434:F434"/>
    <mergeCell ref="E427:F427"/>
    <mergeCell ref="E428:F428"/>
    <mergeCell ref="E419:H419"/>
    <mergeCell ref="E420:H420"/>
    <mergeCell ref="E421:H421"/>
    <mergeCell ref="E422:H422"/>
    <mergeCell ref="E411:F411"/>
    <mergeCell ref="E412:F412"/>
    <mergeCell ref="E413:F413"/>
    <mergeCell ref="E639:F639"/>
    <mergeCell ref="E631:F631"/>
    <mergeCell ref="E632:F632"/>
    <mergeCell ref="E633:F633"/>
    <mergeCell ref="E624:F624"/>
    <mergeCell ref="E625:F625"/>
    <mergeCell ref="E626:F626"/>
    <mergeCell ref="E627:F627"/>
    <mergeCell ref="E628:F628"/>
    <mergeCell ref="E629:F629"/>
    <mergeCell ref="E643:H643"/>
    <mergeCell ref="E648:F648"/>
    <mergeCell ref="E649:F649"/>
    <mergeCell ref="E650:F650"/>
    <mergeCell ref="E651:F651"/>
    <mergeCell ref="E662:H662"/>
    <mergeCell ref="E611:F611"/>
    <mergeCell ref="E630:F630"/>
    <mergeCell ref="E638:F638"/>
    <mergeCell ref="E644:H644"/>
    <mergeCell ref="E645:H645"/>
    <mergeCell ref="E652:F652"/>
    <mergeCell ref="E653:F653"/>
    <mergeCell ref="E610:F610"/>
    <mergeCell ref="E612:F612"/>
    <mergeCell ref="E613:F613"/>
    <mergeCell ref="E614:F614"/>
    <mergeCell ref="E383:H383"/>
    <mergeCell ref="E384:H384"/>
    <mergeCell ref="E393:F393"/>
    <mergeCell ref="E394:F394"/>
    <mergeCell ref="E395:F395"/>
    <mergeCell ref="E204:H204"/>
    <mergeCell ref="E205:H205"/>
    <mergeCell ref="E206:H206"/>
    <mergeCell ref="E207:H207"/>
    <mergeCell ref="E208:H208"/>
    <mergeCell ref="E209:H209"/>
    <mergeCell ref="E210:H210"/>
    <mergeCell ref="E219:F219"/>
    <mergeCell ref="E221:F221"/>
    <mergeCell ref="E223:H223"/>
    <mergeCell ref="E224:H224"/>
    <mergeCell ref="E225:H225"/>
    <mergeCell ref="E226:H226"/>
    <mergeCell ref="E227:H227"/>
    <mergeCell ref="E233:H233"/>
    <mergeCell ref="E245:H245"/>
    <mergeCell ref="E246:H246"/>
    <mergeCell ref="E248:H248"/>
    <mergeCell ref="E249:H249"/>
    <mergeCell ref="E253:F253"/>
    <mergeCell ref="E254:F254"/>
    <mergeCell ref="E255:F255"/>
    <mergeCell ref="E256:F256"/>
    <mergeCell ref="E257:F257"/>
    <mergeCell ref="E258:F258"/>
    <mergeCell ref="E228:H228"/>
    <mergeCell ref="E371:F371"/>
    <mergeCell ref="E365:F365"/>
    <mergeCell ref="E366:F366"/>
    <mergeCell ref="E367:F367"/>
    <mergeCell ref="E368:F368"/>
    <mergeCell ref="E373:F373"/>
    <mergeCell ref="E374:F374"/>
    <mergeCell ref="E229:H229"/>
    <mergeCell ref="E301:F301"/>
    <mergeCell ref="E336:F336"/>
    <mergeCell ref="E337:F337"/>
    <mergeCell ref="E338:F338"/>
    <mergeCell ref="E328:H328"/>
    <mergeCell ref="E360:H360"/>
    <mergeCell ref="E361:H361"/>
    <mergeCell ref="E362:H362"/>
    <mergeCell ref="E363:H363"/>
    <mergeCell ref="E354:H354"/>
    <mergeCell ref="E355:H355"/>
    <mergeCell ref="E281:F281"/>
    <mergeCell ref="E282:F282"/>
    <mergeCell ref="E287:H287"/>
    <mergeCell ref="E288:H288"/>
    <mergeCell ref="E329:H329"/>
    <mergeCell ref="E351:H351"/>
    <mergeCell ref="E352:H352"/>
    <mergeCell ref="E353:H353"/>
    <mergeCell ref="E364:H364"/>
    <mergeCell ref="E372:F372"/>
    <mergeCell ref="E291:F291"/>
    <mergeCell ref="E293:F293"/>
    <mergeCell ref="E294:F294"/>
    <mergeCell ref="E309:F309"/>
    <mergeCell ref="E325:F325"/>
    <mergeCell ref="E326:F326"/>
    <mergeCell ref="E327:F327"/>
    <mergeCell ref="E300:F300"/>
    <mergeCell ref="E8:H8"/>
    <mergeCell ref="E9:H9"/>
    <mergeCell ref="E10:H10"/>
    <mergeCell ref="E12:H12"/>
    <mergeCell ref="E13:H13"/>
    <mergeCell ref="E14:H14"/>
    <mergeCell ref="E197:F197"/>
    <mergeCell ref="E198:F198"/>
    <mergeCell ref="E199:F199"/>
    <mergeCell ref="E200:F200"/>
    <mergeCell ref="E188:H188"/>
    <mergeCell ref="E189:H189"/>
    <mergeCell ref="E190:H190"/>
    <mergeCell ref="E192:F192"/>
    <mergeCell ref="E193:F193"/>
    <mergeCell ref="E194:F194"/>
    <mergeCell ref="E215:F215"/>
    <mergeCell ref="E216:F216"/>
    <mergeCell ref="E217:F217"/>
    <mergeCell ref="E218:F218"/>
    <mergeCell ref="E220:F220"/>
    <mergeCell ref="E222:F222"/>
    <mergeCell ref="E211:F211"/>
    <mergeCell ref="E212:F212"/>
    <mergeCell ref="E213:F213"/>
    <mergeCell ref="E250:H250"/>
    <mergeCell ref="E251:H251"/>
    <mergeCell ref="E252:H252"/>
    <mergeCell ref="E242:F242"/>
    <mergeCell ref="E243:F243"/>
    <mergeCell ref="E244:F244"/>
    <mergeCell ref="E247:H247"/>
    <mergeCell ref="E236:F236"/>
    <mergeCell ref="E237:F237"/>
    <mergeCell ref="E33:H33"/>
    <mergeCell ref="E34:H34"/>
    <mergeCell ref="E24:F24"/>
    <mergeCell ref="E161:F161"/>
    <mergeCell ref="E162:F162"/>
    <mergeCell ref="E164:F164"/>
    <mergeCell ref="E165:F165"/>
    <mergeCell ref="E166:F166"/>
    <mergeCell ref="E168:F168"/>
    <mergeCell ref="E170:F170"/>
    <mergeCell ref="E73:F73"/>
    <mergeCell ref="E74:F74"/>
    <mergeCell ref="E75:F75"/>
    <mergeCell ref="E76:F76"/>
    <mergeCell ref="E77:F77"/>
    <mergeCell ref="E78:F78"/>
    <mergeCell ref="E238:F238"/>
    <mergeCell ref="E239:F239"/>
    <mergeCell ref="E240:F240"/>
    <mergeCell ref="E241:F241"/>
    <mergeCell ref="E230:H230"/>
    <mergeCell ref="E231:H231"/>
    <mergeCell ref="E232:H232"/>
    <mergeCell ref="E2:H2"/>
    <mergeCell ref="E3:H3"/>
    <mergeCell ref="E4:H4"/>
    <mergeCell ref="E5:H5"/>
    <mergeCell ref="E6:H6"/>
    <mergeCell ref="E7:H7"/>
    <mergeCell ref="E840:F840"/>
    <mergeCell ref="E846:F846"/>
    <mergeCell ref="E133:H133"/>
    <mergeCell ref="E134:H134"/>
    <mergeCell ref="E64:F64"/>
    <mergeCell ref="E63:F63"/>
    <mergeCell ref="E177:H177"/>
    <mergeCell ref="E178:H178"/>
    <mergeCell ref="E179:H179"/>
    <mergeCell ref="E180:H180"/>
    <mergeCell ref="E771:F771"/>
    <mergeCell ref="E772:F772"/>
    <mergeCell ref="E773:F773"/>
    <mergeCell ref="E154:H154"/>
    <mergeCell ref="E156:H156"/>
    <mergeCell ref="E157:H157"/>
    <mergeCell ref="E143:F143"/>
    <mergeCell ref="E144:F144"/>
    <mergeCell ref="E145:F145"/>
    <mergeCell ref="E150:F150"/>
    <mergeCell ref="E138:F138"/>
    <mergeCell ref="E139:F139"/>
    <mergeCell ref="E142:F142"/>
    <mergeCell ref="E196:F196"/>
    <mergeCell ref="E15:H15"/>
    <mergeCell ref="E324:F324"/>
    <mergeCell ref="E315:F315"/>
    <mergeCell ref="E316:F316"/>
    <mergeCell ref="E317:F317"/>
    <mergeCell ref="E318:F318"/>
    <mergeCell ref="E319:F319"/>
    <mergeCell ref="E320:F320"/>
    <mergeCell ref="E310:F310"/>
    <mergeCell ref="E311:F311"/>
    <mergeCell ref="E312:F312"/>
    <mergeCell ref="E314:F314"/>
    <mergeCell ref="E397:H397"/>
    <mergeCell ref="E398:H398"/>
    <mergeCell ref="E387:F387"/>
    <mergeCell ref="E388:F388"/>
    <mergeCell ref="E389:F389"/>
    <mergeCell ref="E390:F390"/>
    <mergeCell ref="E391:F391"/>
    <mergeCell ref="E392:F392"/>
    <mergeCell ref="E385:F385"/>
    <mergeCell ref="E386:F386"/>
    <mergeCell ref="E377:H377"/>
    <mergeCell ref="E378:H378"/>
    <mergeCell ref="E379:H379"/>
    <mergeCell ref="E369:F369"/>
    <mergeCell ref="E370:F370"/>
    <mergeCell ref="E592:H592"/>
    <mergeCell ref="E593:H593"/>
    <mergeCell ref="E594:H594"/>
    <mergeCell ref="E595:H595"/>
    <mergeCell ref="E598:F598"/>
    <mergeCell ref="E600:F600"/>
    <mergeCell ref="E601:F601"/>
    <mergeCell ref="E617:F617"/>
    <mergeCell ref="E618:F618"/>
    <mergeCell ref="E619:F619"/>
    <mergeCell ref="E620:F620"/>
    <mergeCell ref="E641:F641"/>
    <mergeCell ref="E635:F635"/>
    <mergeCell ref="E636:F636"/>
    <mergeCell ref="E637:F637"/>
    <mergeCell ref="E596:H596"/>
    <mergeCell ref="E933:H933"/>
    <mergeCell ref="E935:H935"/>
    <mergeCell ref="E954:H954"/>
    <mergeCell ref="E955:H955"/>
    <mergeCell ref="E958:H958"/>
    <mergeCell ref="E977:H977"/>
    <mergeCell ref="E978:H978"/>
    <mergeCell ref="E981:H981"/>
    <mergeCell ref="E975:H975"/>
    <mergeCell ref="E976:H976"/>
    <mergeCell ref="E979:H979"/>
    <mergeCell ref="E996:H996"/>
    <mergeCell ref="E957:H957"/>
    <mergeCell ref="E951:H951"/>
    <mergeCell ref="E980:H980"/>
    <mergeCell ref="E884:H884"/>
    <mergeCell ref="E885:H885"/>
    <mergeCell ref="E882:H882"/>
    <mergeCell ref="E871:F871"/>
    <mergeCell ref="E873:F873"/>
    <mergeCell ref="E864:F864"/>
    <mergeCell ref="E865:F865"/>
    <mergeCell ref="E866:F866"/>
    <mergeCell ref="E867:F867"/>
    <mergeCell ref="E784:H784"/>
    <mergeCell ref="E785:H785"/>
    <mergeCell ref="E786:H786"/>
    <mergeCell ref="E787:H787"/>
    <mergeCell ref="E788:H788"/>
    <mergeCell ref="E790:F790"/>
    <mergeCell ref="E794:F794"/>
    <mergeCell ref="E795:F795"/>
    <mergeCell ref="E796:F796"/>
    <mergeCell ref="E797:F797"/>
    <mergeCell ref="E798:F798"/>
    <mergeCell ref="E800:H800"/>
    <mergeCell ref="E801:H801"/>
    <mergeCell ref="E802:H802"/>
    <mergeCell ref="E803:H803"/>
    <mergeCell ref="E804:H804"/>
    <mergeCell ref="E805:H805"/>
    <mergeCell ref="E806:H806"/>
    <mergeCell ref="E813:F813"/>
    <mergeCell ref="E825:F825"/>
    <mergeCell ref="E827:F827"/>
    <mergeCell ref="E896:F896"/>
    <mergeCell ref="E918:F918"/>
    <mergeCell ref="E940:F940"/>
    <mergeCell ref="E942:F942"/>
    <mergeCell ref="E963:F963"/>
    <mergeCell ref="E965:F965"/>
    <mergeCell ref="E986:F986"/>
    <mergeCell ref="E779:F779"/>
    <mergeCell ref="E776:F776"/>
    <mergeCell ref="E815:F815"/>
    <mergeCell ref="E1210:H1210"/>
    <mergeCell ref="E1255:F1255"/>
    <mergeCell ref="E1256:F1256"/>
    <mergeCell ref="E1257:F1257"/>
    <mergeCell ref="E1258:F1258"/>
    <mergeCell ref="E1259:F1259"/>
    <mergeCell ref="E1266:H1266"/>
    <mergeCell ref="E1235:H1235"/>
    <mergeCell ref="E1248:F1248"/>
    <mergeCell ref="E1249:F1249"/>
    <mergeCell ref="E1252:F1252"/>
    <mergeCell ref="E1253:F1253"/>
    <mergeCell ref="E1254:F1254"/>
    <mergeCell ref="E999:H999"/>
    <mergeCell ref="E1002:H1002"/>
    <mergeCell ref="E1000:H1000"/>
    <mergeCell ref="E1001:H1001"/>
    <mergeCell ref="E1815:H1815"/>
    <mergeCell ref="E1816:F1816"/>
    <mergeCell ref="E1820:H1820"/>
    <mergeCell ref="E1821:H1821"/>
    <mergeCell ref="E1513:F1513"/>
    <mergeCell ref="E1516:F1516"/>
    <mergeCell ref="E1519:F1519"/>
    <mergeCell ref="E1520:F1520"/>
    <mergeCell ref="E1527:H1527"/>
    <mergeCell ref="E1530:H1530"/>
    <mergeCell ref="E1538:F1538"/>
    <mergeCell ref="E1539:F1539"/>
    <mergeCell ref="E1540:F1540"/>
    <mergeCell ref="E1541:F1541"/>
    <mergeCell ref="E1267:H1267"/>
    <mergeCell ref="E1277:F1277"/>
    <mergeCell ref="E1278:F1278"/>
    <mergeCell ref="E1279:F1279"/>
    <mergeCell ref="E1280:F1280"/>
    <mergeCell ref="E1281:F1281"/>
    <mergeCell ref="E1282:F1282"/>
    <mergeCell ref="E1285:H1285"/>
    <mergeCell ref="E1286:H1286"/>
    <mergeCell ref="E1287:H1287"/>
    <mergeCell ref="E1288:H1288"/>
    <mergeCell ref="E1289:H1289"/>
    <mergeCell ref="E1290:H1290"/>
    <mergeCell ref="E1297:F1297"/>
    <mergeCell ref="E1298:F1298"/>
    <mergeCell ref="E1299:F1299"/>
    <mergeCell ref="E1300:F1300"/>
    <mergeCell ref="E1301:F1301"/>
    <mergeCell ref="E1302:F1302"/>
    <mergeCell ref="E1303:F1303"/>
    <mergeCell ref="E1304:F1304"/>
    <mergeCell ref="E1305:F1305"/>
    <mergeCell ref="E1306:H1306"/>
    <mergeCell ref="E1307:H1307"/>
    <mergeCell ref="E1308:H1308"/>
    <mergeCell ref="E1309:H1309"/>
    <mergeCell ref="E1838:F1838"/>
    <mergeCell ref="E1839:F1839"/>
    <mergeCell ref="E1833:F1833"/>
    <mergeCell ref="E1817:F1817"/>
    <mergeCell ref="E1834:F1834"/>
    <mergeCell ref="E1855:H1855"/>
    <mergeCell ref="E1850:F1850"/>
    <mergeCell ref="E1852:F1852"/>
    <mergeCell ref="E1851:F1851"/>
    <mergeCell ref="E1878:F1878"/>
    <mergeCell ref="E1860:H1860"/>
    <mergeCell ref="E1861:H1861"/>
    <mergeCell ref="E1862:H1862"/>
    <mergeCell ref="E1863:H1863"/>
    <mergeCell ref="E1868:F1868"/>
    <mergeCell ref="E1810:F1810"/>
    <mergeCell ref="E1811:F1811"/>
    <mergeCell ref="E1842:H1842"/>
    <mergeCell ref="E1843:H1843"/>
    <mergeCell ref="E1844:H1844"/>
    <mergeCell ref="E1845:H1845"/>
    <mergeCell ref="E1846:H1846"/>
    <mergeCell ref="E1847:H1847"/>
    <mergeCell ref="E1848:F1848"/>
    <mergeCell ref="E1853:F1853"/>
    <mergeCell ref="E1854:F1854"/>
    <mergeCell ref="E1856:F1856"/>
    <mergeCell ref="E1857:F1857"/>
    <mergeCell ref="E1858:F1858"/>
    <mergeCell ref="E1859:F1859"/>
    <mergeCell ref="E1869:H1869"/>
    <mergeCell ref="E1872:H1872"/>
    <mergeCell ref="E1873:H1873"/>
    <mergeCell ref="E1874:H1874"/>
    <mergeCell ref="E1875:H1875"/>
    <mergeCell ref="E1876:H1876"/>
    <mergeCell ref="E1877:H1877"/>
    <mergeCell ref="E1882:F1882"/>
    <mergeCell ref="E1884:F1884"/>
    <mergeCell ref="E1885:F1885"/>
    <mergeCell ref="E1886:F1886"/>
    <mergeCell ref="E1887:F1887"/>
    <mergeCell ref="E2221:F2221"/>
    <mergeCell ref="E1900:H1900"/>
    <mergeCell ref="E1904:F1904"/>
    <mergeCell ref="E1905:F1905"/>
    <mergeCell ref="E1907:F1907"/>
    <mergeCell ref="E1908:F1908"/>
    <mergeCell ref="E1888:F1888"/>
    <mergeCell ref="E1892:H1892"/>
    <mergeCell ref="E1893:H1893"/>
    <mergeCell ref="E1894:H1894"/>
    <mergeCell ref="E1895:H1895"/>
    <mergeCell ref="E1896:H1896"/>
    <mergeCell ref="E1897:H1897"/>
    <mergeCell ref="E1898:H1898"/>
    <mergeCell ref="E1849:F1849"/>
    <mergeCell ref="E1936:F1936"/>
    <mergeCell ref="E1946:H1946"/>
    <mergeCell ref="E1947:H1947"/>
    <mergeCell ref="E1948:H1948"/>
    <mergeCell ref="E1954:F1954"/>
    <mergeCell ref="E1955:F1955"/>
    <mergeCell ref="E1956:F1956"/>
    <mergeCell ref="E1968:H1968"/>
    <mergeCell ref="E1977:H1977"/>
    <mergeCell ref="E1989:F1989"/>
    <mergeCell ref="E1990:F1990"/>
    <mergeCell ref="E1991:F1991"/>
    <mergeCell ref="E1997:H1997"/>
    <mergeCell ref="E1998:H1998"/>
    <mergeCell ref="E1999:H1999"/>
    <mergeCell ref="E2001:F2001"/>
    <mergeCell ref="E2002:F2002"/>
    <mergeCell ref="E2038:F2038"/>
    <mergeCell ref="E2039:F2039"/>
    <mergeCell ref="E2048:F2048"/>
    <mergeCell ref="E2049:F2049"/>
    <mergeCell ref="E2050:F2050"/>
    <mergeCell ref="E2046:F2046"/>
    <mergeCell ref="E2047:F2047"/>
    <mergeCell ref="E2063:H2063"/>
    <mergeCell ref="E2064:H2064"/>
    <mergeCell ref="E2065:H2065"/>
    <mergeCell ref="E2126:H2126"/>
    <mergeCell ref="E2073:H2073"/>
    <mergeCell ref="E2074:H2074"/>
    <mergeCell ref="E2061:F2061"/>
    <mergeCell ref="E2062:F2062"/>
    <mergeCell ref="E2066:H2066"/>
    <mergeCell ref="E2067:H2067"/>
    <mergeCell ref="E2068:H2068"/>
    <mergeCell ref="E2069:H2069"/>
    <mergeCell ref="E2070:H2070"/>
    <mergeCell ref="E2075:H2075"/>
    <mergeCell ref="E2076:H2076"/>
    <mergeCell ref="E2077:H2077"/>
    <mergeCell ref="E2078:H2078"/>
    <mergeCell ref="E2072:H2072"/>
    <mergeCell ref="E2034:H2034"/>
    <mergeCell ref="E2035:H2035"/>
    <mergeCell ref="E2036:H2036"/>
    <mergeCell ref="E2037:H2037"/>
    <mergeCell ref="E2040:F2040"/>
    <mergeCell ref="E2041:F2041"/>
    <mergeCell ref="E2043:F2043"/>
    <mergeCell ref="E2044:F2044"/>
    <mergeCell ref="E2045:F2045"/>
    <mergeCell ref="E2051:H2051"/>
    <mergeCell ref="E2052:H2052"/>
    <mergeCell ref="E2053:H2053"/>
    <mergeCell ref="E2054:H2054"/>
    <mergeCell ref="E2055:H2055"/>
    <mergeCell ref="E2056:H2056"/>
    <mergeCell ref="E2057:H2057"/>
    <mergeCell ref="E2058:H2058"/>
    <mergeCell ref="E2059:F2059"/>
    <mergeCell ref="E2060:F2060"/>
    <mergeCell ref="E2071:F2071"/>
    <mergeCell ref="E2079:H2079"/>
    <mergeCell ref="E2080:H2080"/>
    <mergeCell ref="E2082:F2082"/>
    <mergeCell ref="E2083:F2083"/>
    <mergeCell ref="E2085:H2085"/>
    <mergeCell ref="E2086:H2086"/>
    <mergeCell ref="E2087:H2087"/>
    <mergeCell ref="E2088:H2088"/>
    <mergeCell ref="E2090:F2090"/>
    <mergeCell ref="E2091:F2091"/>
    <mergeCell ref="E2092:F2092"/>
    <mergeCell ref="E2093:F2093"/>
    <mergeCell ref="E2095:F2095"/>
    <mergeCell ref="E2096:F2096"/>
    <mergeCell ref="E2097:F2097"/>
    <mergeCell ref="E2098:F2098"/>
    <mergeCell ref="E2099:F2099"/>
    <mergeCell ref="E2100:F2100"/>
    <mergeCell ref="E2102:F2102"/>
    <mergeCell ref="E2103:F2103"/>
    <mergeCell ref="E2104:F2104"/>
    <mergeCell ref="E2105:H2105"/>
    <mergeCell ref="E2106:H2106"/>
    <mergeCell ref="E2107:H2107"/>
    <mergeCell ref="E2108:H2108"/>
    <mergeCell ref="E2109:H2109"/>
    <mergeCell ref="E2110:H2110"/>
    <mergeCell ref="E2111:F2111"/>
    <mergeCell ref="E2112:F2112"/>
    <mergeCell ref="E2113:F2113"/>
    <mergeCell ref="E2114:F2114"/>
    <mergeCell ref="E2115:F2115"/>
    <mergeCell ref="E2116:F2116"/>
    <mergeCell ref="E2117:F2117"/>
    <mergeCell ref="E2118:F2118"/>
    <mergeCell ref="E2119:F2119"/>
    <mergeCell ref="E2120:F2120"/>
    <mergeCell ref="E2121:F2121"/>
    <mergeCell ref="E2122:F2122"/>
    <mergeCell ref="E2123:F2123"/>
    <mergeCell ref="E2124:F2124"/>
    <mergeCell ref="E2127:F2127"/>
    <mergeCell ref="E2727:F2727"/>
    <mergeCell ref="E2728:F2728"/>
    <mergeCell ref="E2729:F2729"/>
    <mergeCell ref="E2732:H2732"/>
    <mergeCell ref="E2733:H2733"/>
    <mergeCell ref="E2734:H2734"/>
    <mergeCell ref="E2189:H2189"/>
    <mergeCell ref="E2183:H2183"/>
    <mergeCell ref="E2184:H2184"/>
    <mergeCell ref="E2185:H2185"/>
    <mergeCell ref="E2186:H2186"/>
    <mergeCell ref="E2187:H2187"/>
    <mergeCell ref="E2188:H2188"/>
    <mergeCell ref="E2296:F2296"/>
    <mergeCell ref="E2297:F2297"/>
    <mergeCell ref="E2298:F2298"/>
    <mergeCell ref="E2299:F2299"/>
    <mergeCell ref="E2159:F2159"/>
    <mergeCell ref="E2161:H2161"/>
    <mergeCell ref="E2163:H2163"/>
    <mergeCell ref="E2164:H2164"/>
    <mergeCell ref="E2165:H2165"/>
    <mergeCell ref="E2166:H2166"/>
    <mergeCell ref="E2167:H2167"/>
    <mergeCell ref="E2168:F2168"/>
    <mergeCell ref="E2169:F2169"/>
    <mergeCell ref="E2170:F2170"/>
    <mergeCell ref="E2171:F2171"/>
    <mergeCell ref="E2172:F2172"/>
    <mergeCell ref="E2173:F2173"/>
    <mergeCell ref="E2174:F2174"/>
    <mergeCell ref="E2160:H2160"/>
    <mergeCell ref="E2162:H2162"/>
    <mergeCell ref="E2175:F2175"/>
    <mergeCell ref="E2176:F2176"/>
    <mergeCell ref="E2177:F2177"/>
    <mergeCell ref="E2178:F2178"/>
    <mergeCell ref="E2735:H2735"/>
    <mergeCell ref="E2736:H2736"/>
    <mergeCell ref="E2737:H2737"/>
    <mergeCell ref="E2743:F2743"/>
    <mergeCell ref="E2744:F2744"/>
    <mergeCell ref="E2746:F2746"/>
    <mergeCell ref="E2747:F2747"/>
    <mergeCell ref="E2748:F2748"/>
    <mergeCell ref="E2128:F2128"/>
    <mergeCell ref="E2129:F2129"/>
    <mergeCell ref="E2130:F2130"/>
    <mergeCell ref="E2132:H2132"/>
    <mergeCell ref="E2134:H2134"/>
    <mergeCell ref="E2135:H2135"/>
    <mergeCell ref="E2136:H2136"/>
    <mergeCell ref="E2137:H2137"/>
    <mergeCell ref="E2138:H2138"/>
    <mergeCell ref="E2139:H2139"/>
    <mergeCell ref="E2131:H2131"/>
    <mergeCell ref="E2133:H2133"/>
    <mergeCell ref="E2140:H2140"/>
    <mergeCell ref="E2141:H2141"/>
    <mergeCell ref="E2142:H2142"/>
    <mergeCell ref="E2143:H2143"/>
    <mergeCell ref="E2144:H2144"/>
    <mergeCell ref="E2145:H2145"/>
    <mergeCell ref="E2146:F2146"/>
    <mergeCell ref="E2147:F2147"/>
    <mergeCell ref="E2148:F2148"/>
    <mergeCell ref="E2149:F2149"/>
    <mergeCell ref="E2150:F2150"/>
    <mergeCell ref="E2151:F2151"/>
    <mergeCell ref="E2152:F2152"/>
    <mergeCell ref="E2153:F2153"/>
    <mergeCell ref="E2154:F2154"/>
    <mergeCell ref="E2155:F2155"/>
    <mergeCell ref="E2156:F2156"/>
    <mergeCell ref="E2157:F2157"/>
    <mergeCell ref="E2158:F2158"/>
    <mergeCell ref="E2179:F2179"/>
    <mergeCell ref="E2180:F2180"/>
    <mergeCell ref="E2181:F2181"/>
    <mergeCell ref="E2182:H2182"/>
    <mergeCell ref="E2190:H2190"/>
    <mergeCell ref="E2191:F2191"/>
    <mergeCell ref="E2192:F2192"/>
    <mergeCell ref="E2193:F2193"/>
    <mergeCell ref="E2194:F2194"/>
    <mergeCell ref="E2195:F2195"/>
    <mergeCell ref="E2196:F2196"/>
    <mergeCell ref="E2197:F2197"/>
    <mergeCell ref="E2198:F2198"/>
    <mergeCell ref="E2278:F2278"/>
    <mergeCell ref="E2280:H2280"/>
    <mergeCell ref="E2281:H2281"/>
    <mergeCell ref="E2282:H2282"/>
    <mergeCell ref="E2284:F2284"/>
    <mergeCell ref="E2285:F2285"/>
    <mergeCell ref="E2286:F2286"/>
    <mergeCell ref="E2287:F2287"/>
    <mergeCell ref="E2288:F2288"/>
    <mergeCell ref="E2289:F2289"/>
    <mergeCell ref="E2199:F2199"/>
    <mergeCell ref="E2200:F2200"/>
    <mergeCell ref="E2749:F2749"/>
    <mergeCell ref="E2751:H2751"/>
    <mergeCell ref="E2843:H2843"/>
    <mergeCell ref="E2755:H2755"/>
    <mergeCell ref="E2756:H2756"/>
    <mergeCell ref="E2757:H2757"/>
    <mergeCell ref="E2763:F2763"/>
    <mergeCell ref="E2764:F2764"/>
    <mergeCell ref="E2766:F2766"/>
    <mergeCell ref="E2767:F2767"/>
    <mergeCell ref="E2768:F2768"/>
    <mergeCell ref="E2769:F2769"/>
    <mergeCell ref="E2771:H2771"/>
    <mergeCell ref="E2772:H2772"/>
    <mergeCell ref="E2773:H2773"/>
    <mergeCell ref="E2774:H2774"/>
    <mergeCell ref="E2775:H2775"/>
    <mergeCell ref="E2776:H2776"/>
    <mergeCell ref="E2777:H2777"/>
    <mergeCell ref="E2783:F2783"/>
    <mergeCell ref="E2785:F2785"/>
    <mergeCell ref="E2786:F2786"/>
    <mergeCell ref="E2787:F2787"/>
    <mergeCell ref="E2788:F2788"/>
    <mergeCell ref="E2791:H2791"/>
    <mergeCell ref="E2792:H2792"/>
    <mergeCell ref="E2793:H2793"/>
    <mergeCell ref="E2794:H2794"/>
    <mergeCell ref="E2795:H2795"/>
    <mergeCell ref="E2796:H2796"/>
    <mergeCell ref="E2799:H2799"/>
    <mergeCell ref="E2800:H2800"/>
    <mergeCell ref="E2801:H2801"/>
    <mergeCell ref="E2807:F2807"/>
    <mergeCell ref="E2809:F2809"/>
    <mergeCell ref="E2816:F2816"/>
    <mergeCell ref="E2765:H2765"/>
    <mergeCell ref="E2770:H2770"/>
    <mergeCell ref="E2778:F2778"/>
    <mergeCell ref="E2779:F2779"/>
    <mergeCell ref="E2781:F2781"/>
    <mergeCell ref="E2790:H2790"/>
    <mergeCell ref="E2802:H2802"/>
    <mergeCell ref="E2758:F2758"/>
    <mergeCell ref="E2759:F2759"/>
    <mergeCell ref="E2760:F2760"/>
    <mergeCell ref="E2797:F2797"/>
    <mergeCell ref="E2798:F2798"/>
    <mergeCell ref="E2789:H2789"/>
    <mergeCell ref="E2817:F2817"/>
    <mergeCell ref="E2780:F2780"/>
    <mergeCell ref="E2784:H2784"/>
    <mergeCell ref="E2808:H2808"/>
    <mergeCell ref="E2810:F2810"/>
    <mergeCell ref="E2811:H2811"/>
    <mergeCell ref="E2812:H2812"/>
    <mergeCell ref="E2819:F2819"/>
    <mergeCell ref="E2782:F2782"/>
    <mergeCell ref="E2761:F2761"/>
    <mergeCell ref="E2762:F2762"/>
    <mergeCell ref="E2818:F2818"/>
    <mergeCell ref="E2820:F2820"/>
    <mergeCell ref="E2822:H2822"/>
    <mergeCell ref="E2823:F2823"/>
    <mergeCell ref="E2982:H2982"/>
    <mergeCell ref="E3014:F3014"/>
    <mergeCell ref="E3015:F3015"/>
    <mergeCell ref="E3021:H3021"/>
    <mergeCell ref="E2974:F2974"/>
    <mergeCell ref="E2971:F2971"/>
    <mergeCell ref="E2972:F2972"/>
    <mergeCell ref="E2973:F2973"/>
    <mergeCell ref="E3002:H3002"/>
    <mergeCell ref="E2992:F2992"/>
    <mergeCell ref="E3059:F3059"/>
    <mergeCell ref="E3209:F3209"/>
    <mergeCell ref="E3215:H3215"/>
    <mergeCell ref="E3216:H3216"/>
    <mergeCell ref="E3205:F3205"/>
    <mergeCell ref="E3206:F3206"/>
    <mergeCell ref="E3182:F3182"/>
    <mergeCell ref="E3183:F3183"/>
    <mergeCell ref="E3184:F3184"/>
    <mergeCell ref="E3185:F3185"/>
    <mergeCell ref="E3188:H3188"/>
    <mergeCell ref="E3189:H3189"/>
    <mergeCell ref="E3190:H3190"/>
    <mergeCell ref="E3191:H3191"/>
    <mergeCell ref="E3192:H3192"/>
    <mergeCell ref="E3193:H3193"/>
    <mergeCell ref="E3194:H3194"/>
    <mergeCell ref="E3419:H3419"/>
    <mergeCell ref="E3420:H3420"/>
    <mergeCell ref="E3421:H3421"/>
    <mergeCell ref="E3422:H3422"/>
    <mergeCell ref="E3429:F3429"/>
    <mergeCell ref="E3430:F3430"/>
    <mergeCell ref="E3337:F3337"/>
    <mergeCell ref="E3361:F3361"/>
    <mergeCell ref="E3363:F3363"/>
    <mergeCell ref="E3364:F3364"/>
    <mergeCell ref="E3365:F3365"/>
    <mergeCell ref="E3370:H3370"/>
    <mergeCell ref="E3371:H3371"/>
    <mergeCell ref="E3396:H3396"/>
    <mergeCell ref="E3389:H3389"/>
    <mergeCell ref="E3390:H3390"/>
    <mergeCell ref="E3378:F3378"/>
    <mergeCell ref="E3379:F3379"/>
    <mergeCell ref="E3380:F3380"/>
    <mergeCell ref="E3376:F3376"/>
    <mergeCell ref="E3377:F3377"/>
    <mergeCell ref="E3383:F3383"/>
    <mergeCell ref="E3384:F3384"/>
    <mergeCell ref="E3367:H3367"/>
    <mergeCell ref="E3368:H3368"/>
    <mergeCell ref="E3369:H3369"/>
    <mergeCell ref="E3163:H3163"/>
    <mergeCell ref="E3164:H3164"/>
    <mergeCell ref="E3333:F3333"/>
    <mergeCell ref="E3322:F3322"/>
    <mergeCell ref="E3223:F3223"/>
    <mergeCell ref="E3225:F3225"/>
    <mergeCell ref="E3226:F3226"/>
    <mergeCell ref="E3241:F3241"/>
    <mergeCell ref="E3242:F3242"/>
    <mergeCell ref="E3418:H3418"/>
    <mergeCell ref="E3060:F3060"/>
    <mergeCell ref="E3432:F3432"/>
    <mergeCell ref="E3433:F3433"/>
    <mergeCell ref="E3434:F3434"/>
    <mergeCell ref="E3437:H3437"/>
    <mergeCell ref="E3438:H3438"/>
    <mergeCell ref="E3439:H3439"/>
    <mergeCell ref="E5380:H5380"/>
    <mergeCell ref="E5400:H5400"/>
    <mergeCell ref="E5199:F5199"/>
    <mergeCell ref="E4138:F4138"/>
    <mergeCell ref="E4136:F4136"/>
    <mergeCell ref="E4137:F4137"/>
    <mergeCell ref="E4185:F4185"/>
    <mergeCell ref="E4178:F4178"/>
    <mergeCell ref="E4186:F4186"/>
    <mergeCell ref="E4207:F4207"/>
    <mergeCell ref="E4209:F4209"/>
    <mergeCell ref="E4143:F4143"/>
    <mergeCell ref="E4144:F4144"/>
    <mergeCell ref="E4146:F4146"/>
    <mergeCell ref="E4159:F4159"/>
    <mergeCell ref="E4163:F4163"/>
    <mergeCell ref="E4201:F4201"/>
    <mergeCell ref="E4202:F4202"/>
    <mergeCell ref="E4203:F4203"/>
    <mergeCell ref="E4204:F4204"/>
    <mergeCell ref="E4205:F4205"/>
    <mergeCell ref="E4208:F4208"/>
    <mergeCell ref="E4211:H4211"/>
    <mergeCell ref="E4273:H4273"/>
    <mergeCell ref="E4259:F4259"/>
    <mergeCell ref="E4257:F4257"/>
    <mergeCell ref="E4258:F4258"/>
    <mergeCell ref="E4270:H4270"/>
    <mergeCell ref="E4287:F4287"/>
    <mergeCell ref="E4288:F4288"/>
    <mergeCell ref="E4256:F4256"/>
    <mergeCell ref="E4247:F4247"/>
    <mergeCell ref="E4248:F4248"/>
    <mergeCell ref="E4249:F4249"/>
    <mergeCell ref="E4232:F4232"/>
    <mergeCell ref="E4224:F4224"/>
    <mergeCell ref="E4231:F4231"/>
    <mergeCell ref="E4234:H4234"/>
    <mergeCell ref="E4239:H4239"/>
    <mergeCell ref="E4240:H4240"/>
    <mergeCell ref="E4241:H4241"/>
    <mergeCell ref="E4242:H4242"/>
    <mergeCell ref="E4243:H4243"/>
    <mergeCell ref="E4244:H4244"/>
    <mergeCell ref="E4245:H4245"/>
    <mergeCell ref="E4246:H4246"/>
    <mergeCell ref="E4250:F4250"/>
    <mergeCell ref="E4225:F4225"/>
    <mergeCell ref="E4226:F4226"/>
    <mergeCell ref="E3593:F3593"/>
    <mergeCell ref="E3678:F3678"/>
    <mergeCell ref="E3610:F3610"/>
    <mergeCell ref="E3611:F3611"/>
    <mergeCell ref="E3624:H3624"/>
    <mergeCell ref="E3625:H3625"/>
    <mergeCell ref="E3633:F3633"/>
    <mergeCell ref="E3674:H3674"/>
    <mergeCell ref="E3638:F3638"/>
    <mergeCell ref="E6072:F6072"/>
    <mergeCell ref="E6073:F6073"/>
    <mergeCell ref="E6074:F6074"/>
    <mergeCell ref="E6088:F6088"/>
    <mergeCell ref="E6089:F6089"/>
    <mergeCell ref="E6258:H6258"/>
    <mergeCell ref="E6206:F6206"/>
    <mergeCell ref="E6207:F6207"/>
    <mergeCell ref="E6209:F6209"/>
    <mergeCell ref="E6192:H6192"/>
    <mergeCell ref="E6193:H6193"/>
    <mergeCell ref="E6202:H6202"/>
    <mergeCell ref="E6203:H6203"/>
    <mergeCell ref="E6208:F6208"/>
    <mergeCell ref="E6213:F6213"/>
    <mergeCell ref="E6215:F6215"/>
    <mergeCell ref="E6225:F6225"/>
    <mergeCell ref="E6226:F6226"/>
    <mergeCell ref="E6230:F6230"/>
    <mergeCell ref="E6187:F6187"/>
    <mergeCell ref="E6235:H6235"/>
    <mergeCell ref="E6238:F6238"/>
    <mergeCell ref="E6239:F6239"/>
    <mergeCell ref="E6240:F6240"/>
    <mergeCell ref="E6241:F6241"/>
    <mergeCell ref="E6242:F6242"/>
    <mergeCell ref="E6243:F6243"/>
    <mergeCell ref="E6250:F6250"/>
    <mergeCell ref="E6252:H6252"/>
    <mergeCell ref="E6389:H6389"/>
    <mergeCell ref="E6185:H6185"/>
    <mergeCell ref="E6188:H6188"/>
    <mergeCell ref="E6196:F6196"/>
    <mergeCell ref="E6198:F6198"/>
    <mergeCell ref="E6269:H6269"/>
    <mergeCell ref="E6282:F6282"/>
    <mergeCell ref="E6288:H6288"/>
    <mergeCell ref="E6293:H6293"/>
    <mergeCell ref="E6294:H6294"/>
    <mergeCell ref="E6301:F6301"/>
    <mergeCell ref="E6302:F6302"/>
    <mergeCell ref="E6272:F6272"/>
    <mergeCell ref="E6236:H6236"/>
    <mergeCell ref="E6237:H6237"/>
    <mergeCell ref="E6244:F6244"/>
    <mergeCell ref="E6245:F6245"/>
    <mergeCell ref="E6279:F6279"/>
    <mergeCell ref="E6280:F6280"/>
    <mergeCell ref="E6281:F6281"/>
    <mergeCell ref="E6266:H6266"/>
    <mergeCell ref="E6267:H6267"/>
    <mergeCell ref="E6268:H6268"/>
    <mergeCell ref="E6273:F6273"/>
    <mergeCell ref="E6312:H6312"/>
    <mergeCell ref="E6149:H6149"/>
    <mergeCell ref="E6150:H6150"/>
    <mergeCell ref="E6151:H6151"/>
    <mergeCell ref="E6152:H6152"/>
    <mergeCell ref="E6153:H6153"/>
    <mergeCell ref="E6154:H6154"/>
    <mergeCell ref="E6155:H6155"/>
    <mergeCell ref="E6159:F6159"/>
    <mergeCell ref="E6162:F6162"/>
    <mergeCell ref="E6164:F6164"/>
    <mergeCell ref="E10940:F10940"/>
    <mergeCell ref="E10783:H10783"/>
    <mergeCell ref="E11211:F11211"/>
    <mergeCell ref="E11212:F11212"/>
    <mergeCell ref="E10830:F10830"/>
    <mergeCell ref="E10831:F10831"/>
    <mergeCell ref="E10832:F10832"/>
    <mergeCell ref="E10833:F10833"/>
    <mergeCell ref="E10941:F10941"/>
    <mergeCell ref="E10986:F10986"/>
    <mergeCell ref="E10991:H10991"/>
    <mergeCell ref="E11004:F11004"/>
    <mergeCell ref="E11005:F11005"/>
    <mergeCell ref="E11025:F11025"/>
    <mergeCell ref="E11006:F11006"/>
    <mergeCell ref="E9610:H9610"/>
    <mergeCell ref="E9616:F9616"/>
    <mergeCell ref="E11349:F11349"/>
    <mergeCell ref="E11350:F11350"/>
    <mergeCell ref="E11359:H11359"/>
    <mergeCell ref="E11360:H11360"/>
    <mergeCell ref="E11361:H11361"/>
    <mergeCell ref="E11345:F11345"/>
    <mergeCell ref="E11679:F11679"/>
    <mergeCell ref="E11680:F11680"/>
    <mergeCell ref="E11298:F11298"/>
    <mergeCell ref="E11318:F11318"/>
    <mergeCell ref="E11319:F11319"/>
    <mergeCell ref="E11320:F11320"/>
    <mergeCell ref="E11321:F11321"/>
    <mergeCell ref="E10992:H10992"/>
    <mergeCell ref="E10993:H10993"/>
    <mergeCell ref="E11095:F11095"/>
    <mergeCell ref="E11135:F11135"/>
    <mergeCell ref="E11154:F11154"/>
    <mergeCell ref="E11155:F11155"/>
    <mergeCell ref="E11136:F11136"/>
    <mergeCell ref="E10988:F10988"/>
    <mergeCell ref="E11076:F11076"/>
    <mergeCell ref="E11145:F11145"/>
    <mergeCell ref="E11048:F11048"/>
    <mergeCell ref="E11060:H11060"/>
    <mergeCell ref="E11061:H11061"/>
    <mergeCell ref="E11049:F11049"/>
    <mergeCell ref="E11090:F11090"/>
    <mergeCell ref="E9906:F9906"/>
    <mergeCell ref="E9905:F9905"/>
    <mergeCell ref="E9864:F9864"/>
    <mergeCell ref="E9911:H9911"/>
    <mergeCell ref="E9916:H9916"/>
    <mergeCell ref="E9917:H9917"/>
    <mergeCell ref="E9918:H9918"/>
    <mergeCell ref="E9919:H9919"/>
    <mergeCell ref="E9920:H9920"/>
    <mergeCell ref="E9922:H9922"/>
    <mergeCell ref="E9923:H9923"/>
    <mergeCell ref="E9924:F9924"/>
    <mergeCell ref="E9925:F9925"/>
    <mergeCell ref="E9926:F9926"/>
    <mergeCell ref="E9927:F9927"/>
    <mergeCell ref="E9816:F9816"/>
    <mergeCell ref="E11362:H11362"/>
    <mergeCell ref="E11363:H11363"/>
    <mergeCell ref="E11574:F11574"/>
    <mergeCell ref="E8898:H8898"/>
    <mergeCell ref="E8899:H8899"/>
    <mergeCell ref="E8900:H8900"/>
    <mergeCell ref="E8901:H8901"/>
    <mergeCell ref="E8904:F8904"/>
    <mergeCell ref="E8905:F8905"/>
    <mergeCell ref="E8906:F8906"/>
    <mergeCell ref="E8907:F8907"/>
    <mergeCell ref="E8908:F8908"/>
    <mergeCell ref="E8909:F8909"/>
    <mergeCell ref="E8915:H8915"/>
    <mergeCell ref="E8916:H8916"/>
    <mergeCell ref="E9038:F9038"/>
    <mergeCell ref="E9022:H9022"/>
    <mergeCell ref="E9069:H9069"/>
    <mergeCell ref="E9070:H9070"/>
    <mergeCell ref="E9076:H9076"/>
    <mergeCell ref="E9094:F9094"/>
    <mergeCell ref="E9095:F9095"/>
    <mergeCell ref="E9096:F9096"/>
    <mergeCell ref="E8997:F8997"/>
    <mergeCell ref="E8998:F8998"/>
    <mergeCell ref="E8914:F8914"/>
    <mergeCell ref="E8902:H8902"/>
    <mergeCell ref="E8951:H8951"/>
    <mergeCell ref="E8952:H8952"/>
    <mergeCell ref="E6393:F6393"/>
    <mergeCell ref="E6394:F6394"/>
    <mergeCell ref="E6395:F6395"/>
    <mergeCell ref="E6396:F6396"/>
    <mergeCell ref="E6397:F6397"/>
    <mergeCell ref="E6227:F6227"/>
    <mergeCell ref="E6228:F6228"/>
    <mergeCell ref="E6229:F6229"/>
    <mergeCell ref="E6248:F6248"/>
    <mergeCell ref="E6249:F6249"/>
    <mergeCell ref="E6257:H6257"/>
    <mergeCell ref="E6486:F6486"/>
    <mergeCell ref="E6487:F6487"/>
    <mergeCell ref="E6488:F6488"/>
    <mergeCell ref="E6489:F6489"/>
    <mergeCell ref="E6491:F6491"/>
    <mergeCell ref="E6431:F6431"/>
    <mergeCell ref="E6432:F6432"/>
    <mergeCell ref="E6433:F6433"/>
    <mergeCell ref="E6434:F6434"/>
    <mergeCell ref="E6435:F6435"/>
    <mergeCell ref="E6436:F6436"/>
    <mergeCell ref="E6437:F6437"/>
    <mergeCell ref="E8924:F8924"/>
    <mergeCell ref="E7791:F7791"/>
    <mergeCell ref="E7773:F7773"/>
    <mergeCell ref="E7771:F7771"/>
    <mergeCell ref="E7772:F7772"/>
    <mergeCell ref="E7795:F7795"/>
    <mergeCell ref="E7836:F7836"/>
    <mergeCell ref="E7837:F7837"/>
    <mergeCell ref="E7265:H7265"/>
    <mergeCell ref="E7286:H7286"/>
    <mergeCell ref="E7266:H7266"/>
    <mergeCell ref="E7267:H7267"/>
    <mergeCell ref="E7268:H7268"/>
    <mergeCell ref="E7261:F7261"/>
    <mergeCell ref="E7252:F7252"/>
    <mergeCell ref="E11575:F11575"/>
    <mergeCell ref="E11616:F11616"/>
    <mergeCell ref="E8925:F8925"/>
    <mergeCell ref="E8897:H8897"/>
    <mergeCell ref="E7943:F7943"/>
    <mergeCell ref="E9977:H9977"/>
    <mergeCell ref="E9978:H9978"/>
    <mergeCell ref="E9986:F9986"/>
    <mergeCell ref="E9965:F9965"/>
    <mergeCell ref="E9966:F9966"/>
    <mergeCell ref="E9967:F9967"/>
    <mergeCell ref="E9999:F9999"/>
    <mergeCell ref="E8929:F8929"/>
    <mergeCell ref="E8930:F8930"/>
    <mergeCell ref="E8931:F8931"/>
    <mergeCell ref="E11091:F11091"/>
    <mergeCell ref="E11092:F11092"/>
    <mergeCell ref="E11002:F11002"/>
    <mergeCell ref="E11003:F11003"/>
    <mergeCell ref="E11017:F11017"/>
    <mergeCell ref="E11019:F11019"/>
    <mergeCell ref="E11020:F11020"/>
    <mergeCell ref="E11021:F11021"/>
    <mergeCell ref="E11022:F11022"/>
    <mergeCell ref="E11023:F11023"/>
    <mergeCell ref="E11024:F11024"/>
    <mergeCell ref="E11102:F11102"/>
    <mergeCell ref="E11103:F11103"/>
    <mergeCell ref="E11104:F11104"/>
    <mergeCell ref="E11116:H11116"/>
    <mergeCell ref="E11117:F11117"/>
    <mergeCell ref="E11118:F11118"/>
    <mergeCell ref="E11119:F11119"/>
    <mergeCell ref="E11174:F11174"/>
    <mergeCell ref="E11175:F11175"/>
    <mergeCell ref="E11194:F11194"/>
    <mergeCell ref="E11213:F11213"/>
    <mergeCell ref="E11125:H11125"/>
    <mergeCell ref="E11291:F11291"/>
    <mergeCell ref="E11292:F11292"/>
    <mergeCell ref="E11293:F11293"/>
    <mergeCell ref="E11295:F11295"/>
    <mergeCell ref="E11241:H11241"/>
    <mergeCell ref="E11242:H11242"/>
    <mergeCell ref="E11228:H11228"/>
    <mergeCell ref="E11247:F11247"/>
    <mergeCell ref="E11248:F11248"/>
    <mergeCell ref="E11477:H11477"/>
    <mergeCell ref="E9524:H9524"/>
    <mergeCell ref="E11364:F11364"/>
    <mergeCell ref="E11365:F11365"/>
    <mergeCell ref="E11366:F11366"/>
    <mergeCell ref="E11375:F11375"/>
    <mergeCell ref="E11384:F11384"/>
    <mergeCell ref="E11326:H11326"/>
    <mergeCell ref="E9525:H9525"/>
    <mergeCell ref="E9526:H9526"/>
    <mergeCell ref="E10448:F10448"/>
    <mergeCell ref="E10494:H10494"/>
    <mergeCell ref="E10816:F10816"/>
    <mergeCell ref="E8889:F8889"/>
    <mergeCell ref="E8890:F8890"/>
    <mergeCell ref="E8891:F8891"/>
    <mergeCell ref="E8917:H8917"/>
    <mergeCell ref="E7063:F7063"/>
    <mergeCell ref="E7067:F7067"/>
    <mergeCell ref="E7070:F7070"/>
    <mergeCell ref="E7071:F7071"/>
    <mergeCell ref="E7072:F7072"/>
    <mergeCell ref="E7073:F7073"/>
    <mergeCell ref="E7074:F7074"/>
    <mergeCell ref="E7111:F7111"/>
    <mergeCell ref="E7112:F7112"/>
    <mergeCell ref="E7113:F7113"/>
    <mergeCell ref="E7114:F7114"/>
    <mergeCell ref="E7116:F7116"/>
    <mergeCell ref="E7119:F7119"/>
    <mergeCell ref="E7084:F7084"/>
    <mergeCell ref="E7142:F7142"/>
    <mergeCell ref="E7143:F7143"/>
    <mergeCell ref="E7083:H7083"/>
    <mergeCell ref="E7085:F7085"/>
    <mergeCell ref="E7096:F7096"/>
    <mergeCell ref="E7097:F7097"/>
    <mergeCell ref="E7098:F7098"/>
    <mergeCell ref="E7102:H7102"/>
    <mergeCell ref="E7107:H7107"/>
    <mergeCell ref="E7108:H7108"/>
    <mergeCell ref="E7115:F7115"/>
    <mergeCell ref="E7117:F7117"/>
    <mergeCell ref="E7118:F7118"/>
    <mergeCell ref="E7120:F7120"/>
    <mergeCell ref="E7121:F7121"/>
    <mergeCell ref="E7078:H7078"/>
    <mergeCell ref="E7079:H7079"/>
    <mergeCell ref="E7110:F7110"/>
    <mergeCell ref="E7080:H7080"/>
    <mergeCell ref="E8926:F8926"/>
    <mergeCell ref="E8927:F8927"/>
    <mergeCell ref="E8928:F8928"/>
    <mergeCell ref="E8886:F8886"/>
    <mergeCell ref="E8887:F8887"/>
    <mergeCell ref="E8888:F8888"/>
    <mergeCell ref="E7343:F7343"/>
    <mergeCell ref="E7344:H7344"/>
    <mergeCell ref="E7346:F7346"/>
    <mergeCell ref="E7347:F7347"/>
    <mergeCell ref="E7348:F7348"/>
    <mergeCell ref="E7350:H7350"/>
    <mergeCell ref="E7351:H7351"/>
    <mergeCell ref="E7352:H7352"/>
    <mergeCell ref="E9375:F9375"/>
    <mergeCell ref="E8193:F8193"/>
    <mergeCell ref="E8164:H8164"/>
    <mergeCell ref="E8171:F8171"/>
    <mergeCell ref="E8172:F8172"/>
    <mergeCell ref="E8195:F8195"/>
    <mergeCell ref="E8198:F8198"/>
    <mergeCell ref="E8201:H8201"/>
    <mergeCell ref="E9376:F9376"/>
    <mergeCell ref="E9385:H9385"/>
    <mergeCell ref="E9386:H9386"/>
    <mergeCell ref="E9429:F9429"/>
    <mergeCell ref="E9432:F9432"/>
    <mergeCell ref="E9396:F9396"/>
    <mergeCell ref="E9397:F9397"/>
    <mergeCell ref="E9398:F9398"/>
    <mergeCell ref="E9431:F9431"/>
    <mergeCell ref="E9420:F9420"/>
    <mergeCell ref="E9417:F9417"/>
    <mergeCell ref="E9418:F9418"/>
    <mergeCell ref="E9419:F9419"/>
    <mergeCell ref="E8147:F8147"/>
    <mergeCell ref="E8158:H8158"/>
    <mergeCell ref="E8083:F8083"/>
    <mergeCell ref="E8084:F8084"/>
    <mergeCell ref="E8110:F8110"/>
    <mergeCell ref="E8111:F8111"/>
    <mergeCell ref="E8108:F8108"/>
    <mergeCell ref="E8109:F8109"/>
    <mergeCell ref="E8134:F8134"/>
    <mergeCell ref="E8135:F8135"/>
    <mergeCell ref="E8096:F8096"/>
    <mergeCell ref="E8101:H8101"/>
    <mergeCell ref="E8115:F8115"/>
    <mergeCell ref="E8116:F8116"/>
    <mergeCell ref="E8117:F8117"/>
    <mergeCell ref="E8118:F8118"/>
    <mergeCell ref="E8119:F8119"/>
    <mergeCell ref="E8120:F8120"/>
    <mergeCell ref="E8121:F8121"/>
    <mergeCell ref="E8122:F8122"/>
    <mergeCell ref="E8124:F8124"/>
    <mergeCell ref="E8126:H8126"/>
    <mergeCell ref="E9213:F9213"/>
    <mergeCell ref="E9259:F9259"/>
    <mergeCell ref="E8932:F8932"/>
    <mergeCell ref="E8933:F8933"/>
    <mergeCell ref="E8934:H8934"/>
    <mergeCell ref="E8935:H8935"/>
    <mergeCell ref="E8936:H8936"/>
    <mergeCell ref="E8177:F8177"/>
    <mergeCell ref="E8178:F8178"/>
    <mergeCell ref="E8194:F8194"/>
    <mergeCell ref="E8199:F8199"/>
    <mergeCell ref="E8203:H8203"/>
    <mergeCell ref="E8204:H8204"/>
    <mergeCell ref="E8205:H8205"/>
    <mergeCell ref="E8206:H8206"/>
    <mergeCell ref="E8207:H8207"/>
    <mergeCell ref="E8217:F8217"/>
    <mergeCell ref="E8224:H8224"/>
    <mergeCell ref="E8225:H8225"/>
    <mergeCell ref="E8226:H8226"/>
    <mergeCell ref="E8227:H8227"/>
    <mergeCell ref="E8228:H8228"/>
    <mergeCell ref="E8239:F8239"/>
    <mergeCell ref="E6160:F6160"/>
    <mergeCell ref="E6166:F6166"/>
    <mergeCell ref="E6167:F6167"/>
    <mergeCell ref="E6168:F6168"/>
    <mergeCell ref="E6169:F6169"/>
    <mergeCell ref="E6172:H6172"/>
    <mergeCell ref="E6173:H6173"/>
    <mergeCell ref="E6174:H6174"/>
    <mergeCell ref="E6175:H6175"/>
    <mergeCell ref="E6176:H6176"/>
    <mergeCell ref="E6177:H6177"/>
    <mergeCell ref="E6179:H6179"/>
    <mergeCell ref="E6180:H6180"/>
    <mergeCell ref="E6181:H6181"/>
    <mergeCell ref="E6182:H6182"/>
    <mergeCell ref="E6183:H6183"/>
    <mergeCell ref="E6184:H6184"/>
    <mergeCell ref="E7141:F7141"/>
    <mergeCell ref="E7308:F7308"/>
    <mergeCell ref="E7032:H7032"/>
    <mergeCell ref="E7033:H7033"/>
    <mergeCell ref="E7034:H7034"/>
    <mergeCell ref="E7290:F7290"/>
    <mergeCell ref="E7162:F7162"/>
    <mergeCell ref="E7163:F7163"/>
    <mergeCell ref="E7027:H7027"/>
    <mergeCell ref="E7075:H7075"/>
    <mergeCell ref="E7010:F7010"/>
    <mergeCell ref="E7003:F7003"/>
    <mergeCell ref="E7004:F7004"/>
    <mergeCell ref="E7005:F7005"/>
    <mergeCell ref="E7006:F7006"/>
    <mergeCell ref="E7040:F7040"/>
    <mergeCell ref="E7218:F7218"/>
    <mergeCell ref="E7219:F7219"/>
    <mergeCell ref="E7244:H7244"/>
    <mergeCell ref="E7245:H7245"/>
    <mergeCell ref="E7256:F7256"/>
    <mergeCell ref="E7257:F7257"/>
    <mergeCell ref="E7258:F7258"/>
    <mergeCell ref="E7168:F7168"/>
    <mergeCell ref="E7170:H7170"/>
    <mergeCell ref="E7171:H7171"/>
    <mergeCell ref="E7298:H7298"/>
    <mergeCell ref="E7318:H7318"/>
    <mergeCell ref="E7288:F7288"/>
    <mergeCell ref="E6438:F6438"/>
    <mergeCell ref="E6362:H6362"/>
    <mergeCell ref="E8918:H8918"/>
    <mergeCell ref="E8919:H8919"/>
    <mergeCell ref="E8920:H8920"/>
    <mergeCell ref="E8921:H8921"/>
    <mergeCell ref="E8922:H8922"/>
    <mergeCell ref="E8923:H8923"/>
    <mergeCell ref="E3675:F3675"/>
    <mergeCell ref="E9598:H9598"/>
    <mergeCell ref="E9545:F9545"/>
    <mergeCell ref="E9546:F9546"/>
    <mergeCell ref="E9581:F9581"/>
    <mergeCell ref="E9590:F9590"/>
    <mergeCell ref="E9595:F9595"/>
    <mergeCell ref="E9561:F9561"/>
    <mergeCell ref="E9550:H9550"/>
    <mergeCell ref="E9522:F9522"/>
    <mergeCell ref="E9536:F9536"/>
    <mergeCell ref="E9539:F9539"/>
    <mergeCell ref="E9543:F9543"/>
    <mergeCell ref="E9562:F9562"/>
    <mergeCell ref="E9573:H9573"/>
    <mergeCell ref="E9574:H9574"/>
    <mergeCell ref="E9575:H9575"/>
    <mergeCell ref="E9576:H9576"/>
    <mergeCell ref="E9577:H9577"/>
    <mergeCell ref="E9450:H9450"/>
    <mergeCell ref="E9451:H9451"/>
    <mergeCell ref="E9452:H9452"/>
    <mergeCell ref="E9462:F9462"/>
    <mergeCell ref="E9463:F9463"/>
    <mergeCell ref="E9464:F9464"/>
    <mergeCell ref="E9465:F9465"/>
    <mergeCell ref="E9421:F9421"/>
    <mergeCell ref="E9422:F9422"/>
    <mergeCell ref="E9423:F9423"/>
    <mergeCell ref="E9424:F9424"/>
    <mergeCell ref="E9425:F9425"/>
    <mergeCell ref="E9426:F9426"/>
    <mergeCell ref="E9427:F9427"/>
    <mergeCell ref="E9428:F9428"/>
    <mergeCell ref="E9430:F9430"/>
    <mergeCell ref="E9434:F9434"/>
    <mergeCell ref="E9435:F9435"/>
    <mergeCell ref="E9436:F9436"/>
    <mergeCell ref="E9453:F9453"/>
    <mergeCell ref="E9547:F9547"/>
    <mergeCell ref="E9548:F9548"/>
    <mergeCell ref="E9549:F9549"/>
    <mergeCell ref="E9551:H9551"/>
    <mergeCell ref="E9552:H9552"/>
    <mergeCell ref="E9553:H9553"/>
    <mergeCell ref="E9554:H9554"/>
    <mergeCell ref="E9555:H9555"/>
    <mergeCell ref="E9556:H9556"/>
    <mergeCell ref="E9557:H9557"/>
    <mergeCell ref="E9563:F9563"/>
    <mergeCell ref="E9564:F9564"/>
    <mergeCell ref="E9565:F9565"/>
    <mergeCell ref="E3886:F3886"/>
    <mergeCell ref="E3887:F3887"/>
    <mergeCell ref="E3888:F3888"/>
    <mergeCell ref="E3702:F3702"/>
    <mergeCell ref="E3703:F3703"/>
    <mergeCell ref="E3838:F3838"/>
    <mergeCell ref="E3639:F3639"/>
    <mergeCell ref="E9014:F9014"/>
    <mergeCell ref="E9021:H9021"/>
    <mergeCell ref="E9097:F9097"/>
    <mergeCell ref="E9098:F9098"/>
    <mergeCell ref="E9099:F9099"/>
    <mergeCell ref="E9100:F9100"/>
    <mergeCell ref="E9060:F9060"/>
    <mergeCell ref="E9073:H9073"/>
    <mergeCell ref="E9074:H9074"/>
    <mergeCell ref="E9075:H9075"/>
    <mergeCell ref="E9058:F9058"/>
    <mergeCell ref="E9059:F9059"/>
    <mergeCell ref="E9082:F9082"/>
    <mergeCell ref="E9066:F9066"/>
    <mergeCell ref="E8999:F8999"/>
    <mergeCell ref="E9000:F9000"/>
    <mergeCell ref="E9001:F9001"/>
    <mergeCell ref="E9006:H9006"/>
    <mergeCell ref="E9007:H9007"/>
    <mergeCell ref="E9017:F9017"/>
    <mergeCell ref="E8240:F8240"/>
    <mergeCell ref="E5268:H5268"/>
    <mergeCell ref="E5292:H5292"/>
    <mergeCell ref="E5316:H5316"/>
    <mergeCell ref="E5377:H5377"/>
    <mergeCell ref="E5378:H5378"/>
    <mergeCell ref="E4139:F4139"/>
    <mergeCell ref="E4140:F4140"/>
    <mergeCell ref="E4141:F4141"/>
    <mergeCell ref="E4142:F4142"/>
    <mergeCell ref="E4145:F4145"/>
    <mergeCell ref="E4147:H4147"/>
    <mergeCell ref="E4296:H4296"/>
    <mergeCell ref="E5091:H5091"/>
    <mergeCell ref="E5106:F5106"/>
    <mergeCell ref="E5107:F5107"/>
    <mergeCell ref="E5108:F5108"/>
    <mergeCell ref="E5146:F5146"/>
    <mergeCell ref="E6161:F6161"/>
    <mergeCell ref="E6170:H6170"/>
    <mergeCell ref="E6178:F6178"/>
    <mergeCell ref="E6357:F6357"/>
    <mergeCell ref="E9013:H9013"/>
    <mergeCell ref="E9019:H9019"/>
    <mergeCell ref="E5413:F5413"/>
    <mergeCell ref="E5187:H5187"/>
    <mergeCell ref="E5190:H5190"/>
    <mergeCell ref="E5212:H5212"/>
    <mergeCell ref="E5236:H5236"/>
    <mergeCell ref="E5238:H5238"/>
    <mergeCell ref="E5264:H5264"/>
    <mergeCell ref="E5266:H5266"/>
    <mergeCell ref="E6051:F6051"/>
    <mergeCell ref="E6052:F6052"/>
    <mergeCell ref="E6065:F6065"/>
    <mergeCell ref="E6066:F6066"/>
    <mergeCell ref="E6067:F6067"/>
    <mergeCell ref="E8197:F8197"/>
    <mergeCell ref="E8202:H8202"/>
    <mergeCell ref="E8175:F8175"/>
    <mergeCell ref="E8176:F8176"/>
    <mergeCell ref="E8251:F8251"/>
    <mergeCell ref="E3885:F3885"/>
    <mergeCell ref="E749:H749"/>
    <mergeCell ref="E750:H750"/>
    <mergeCell ref="E751:H751"/>
    <mergeCell ref="E752:H752"/>
    <mergeCell ref="E755:F755"/>
    <mergeCell ref="E732:H732"/>
    <mergeCell ref="E733:H733"/>
    <mergeCell ref="E734:H734"/>
    <mergeCell ref="E736:F736"/>
    <mergeCell ref="E737:F737"/>
    <mergeCell ref="E738:F738"/>
    <mergeCell ref="E739:F739"/>
    <mergeCell ref="E740:F740"/>
    <mergeCell ref="E741:F741"/>
    <mergeCell ref="E742:F742"/>
    <mergeCell ref="E743:F743"/>
    <mergeCell ref="E726:F726"/>
    <mergeCell ref="E707:F707"/>
    <mergeCell ref="E708:F708"/>
    <mergeCell ref="E712:H712"/>
    <mergeCell ref="E713:H713"/>
    <mergeCell ref="E714:H714"/>
    <mergeCell ref="E715:H715"/>
    <mergeCell ref="E717:F717"/>
    <mergeCell ref="E718:F718"/>
    <mergeCell ref="E719:F719"/>
    <mergeCell ref="E721:F721"/>
    <mergeCell ref="E722:F722"/>
    <mergeCell ref="E723:F723"/>
    <mergeCell ref="E727:H727"/>
    <mergeCell ref="E728:H728"/>
    <mergeCell ref="E9770:H9770"/>
    <mergeCell ref="E9771:H9771"/>
    <mergeCell ref="E9706:F9706"/>
    <mergeCell ref="E9756:F9756"/>
    <mergeCell ref="E9766:H9766"/>
    <mergeCell ref="E9767:H9767"/>
    <mergeCell ref="E9768:H9768"/>
    <mergeCell ref="E9769:H9769"/>
    <mergeCell ref="E9707:F9707"/>
    <mergeCell ref="E9689:F9689"/>
    <mergeCell ref="E9765:H9765"/>
    <mergeCell ref="E9662:H9662"/>
    <mergeCell ref="E9678:F9678"/>
    <mergeCell ref="E9679:F9679"/>
    <mergeCell ref="E9682:F9682"/>
    <mergeCell ref="E9683:F9683"/>
    <mergeCell ref="E9692:H9692"/>
    <mergeCell ref="E9693:H9693"/>
    <mergeCell ref="E9694:H9694"/>
    <mergeCell ref="E9695:H9695"/>
    <mergeCell ref="E9699:F9699"/>
    <mergeCell ref="E9723:H9723"/>
    <mergeCell ref="E9724:H9724"/>
    <mergeCell ref="E9729:F9729"/>
    <mergeCell ref="E9736:F9736"/>
    <mergeCell ref="E9737:F9737"/>
    <mergeCell ref="E9738:F9738"/>
    <mergeCell ref="E9739:F9739"/>
    <mergeCell ref="E9740:F9740"/>
    <mergeCell ref="E9680:F9680"/>
    <mergeCell ref="E9681:F9681"/>
    <mergeCell ref="E3679:F3679"/>
    <mergeCell ref="E3589:F3589"/>
    <mergeCell ref="E668:H668"/>
    <mergeCell ref="E669:H669"/>
    <mergeCell ref="E665:H665"/>
    <mergeCell ref="E666:H666"/>
    <mergeCell ref="E667:H667"/>
    <mergeCell ref="E586:F586"/>
    <mergeCell ref="E587:F587"/>
    <mergeCell ref="E588:F588"/>
    <mergeCell ref="E589:F589"/>
    <mergeCell ref="E590:H590"/>
    <mergeCell ref="E2436:H2436"/>
    <mergeCell ref="E2437:H2437"/>
    <mergeCell ref="E1574:F1574"/>
    <mergeCell ref="E1575:F1575"/>
    <mergeCell ref="E1584:H1584"/>
    <mergeCell ref="E1585:H1585"/>
    <mergeCell ref="E1592:F1592"/>
    <mergeCell ref="E1593:F1593"/>
    <mergeCell ref="E1615:H1615"/>
    <mergeCell ref="E1616:H1616"/>
    <mergeCell ref="E1586:H1586"/>
    <mergeCell ref="E1587:H1587"/>
    <mergeCell ref="E1588:H1588"/>
    <mergeCell ref="E1580:F1580"/>
    <mergeCell ref="E2428:F2428"/>
    <mergeCell ref="E2399:F2399"/>
    <mergeCell ref="E2411:H2411"/>
    <mergeCell ref="E2432:H2432"/>
    <mergeCell ref="E2433:H2433"/>
    <mergeCell ref="E2738:F2738"/>
    <mergeCell ref="E2739:F2739"/>
    <mergeCell ref="E2678:F2678"/>
    <mergeCell ref="E2679:F2679"/>
    <mergeCell ref="E1008:F1008"/>
    <mergeCell ref="E1030:F1030"/>
    <mergeCell ref="E1060:F1060"/>
    <mergeCell ref="E1080:F1080"/>
    <mergeCell ref="E1147:F1147"/>
    <mergeCell ref="E753:F753"/>
    <mergeCell ref="E756:F756"/>
    <mergeCell ref="E694:H694"/>
    <mergeCell ref="E695:H695"/>
    <mergeCell ref="E697:H697"/>
    <mergeCell ref="E690:H690"/>
    <mergeCell ref="E691:H691"/>
    <mergeCell ref="E692:H692"/>
    <mergeCell ref="E693:H693"/>
    <mergeCell ref="E682:F682"/>
    <mergeCell ref="E683:F683"/>
    <mergeCell ref="E684:F684"/>
    <mergeCell ref="E685:F685"/>
    <mergeCell ref="E686:F686"/>
    <mergeCell ref="E687:F687"/>
    <mergeCell ref="E679:F679"/>
    <mergeCell ref="E680:F680"/>
    <mergeCell ref="E681:F681"/>
    <mergeCell ref="E670:H670"/>
    <mergeCell ref="E671:H671"/>
    <mergeCell ref="E672:H672"/>
    <mergeCell ref="E673:H673"/>
    <mergeCell ref="E664:F664"/>
    <mergeCell ref="E745:H745"/>
    <mergeCell ref="E747:H747"/>
    <mergeCell ref="E748:H748"/>
    <mergeCell ref="E2845:F2845"/>
    <mergeCell ref="E2847:F2847"/>
    <mergeCell ref="E2848:F2848"/>
    <mergeCell ref="E2850:F2850"/>
    <mergeCell ref="E2851:F2851"/>
    <mergeCell ref="E2858:H2858"/>
    <mergeCell ref="E2859:H2859"/>
    <mergeCell ref="E2860:H2860"/>
    <mergeCell ref="E2861:H2861"/>
    <mergeCell ref="E2874:F2874"/>
    <mergeCell ref="E2875:F2875"/>
    <mergeCell ref="E3672:H3672"/>
    <mergeCell ref="E3673:H3673"/>
    <mergeCell ref="E3662:F3662"/>
    <mergeCell ref="E3663:F3663"/>
    <mergeCell ref="E3664:F3664"/>
    <mergeCell ref="E3665:F3665"/>
    <mergeCell ref="E3666:F3666"/>
    <mergeCell ref="E3657:F3657"/>
    <mergeCell ref="E3658:F3658"/>
    <mergeCell ref="E3659:F3659"/>
    <mergeCell ref="E3660:F3660"/>
    <mergeCell ref="E3661:F3661"/>
    <mergeCell ref="E3640:F3640"/>
    <mergeCell ref="E3641:F3641"/>
    <mergeCell ref="E3642:F3642"/>
    <mergeCell ref="E3643:F3643"/>
    <mergeCell ref="E3634:F3634"/>
    <mergeCell ref="E3635:F3635"/>
    <mergeCell ref="E3636:F3636"/>
    <mergeCell ref="E3637:F3637"/>
    <mergeCell ref="E3626:H3626"/>
    <mergeCell ref="E3627:H3627"/>
    <mergeCell ref="E3628:H3628"/>
    <mergeCell ref="E3629:H3629"/>
    <mergeCell ref="E3614:F3614"/>
    <mergeCell ref="E3615:F3615"/>
    <mergeCell ref="E3616:F3616"/>
    <mergeCell ref="E3617:F3617"/>
    <mergeCell ref="E3618:F3618"/>
    <mergeCell ref="E3586:F3586"/>
    <mergeCell ref="E3598:H3598"/>
    <mergeCell ref="E3599:H3599"/>
    <mergeCell ref="E3600:H3600"/>
    <mergeCell ref="E3601:H3601"/>
    <mergeCell ref="E3607:F3607"/>
    <mergeCell ref="E3647:H3647"/>
    <mergeCell ref="E3648:H3648"/>
    <mergeCell ref="E3655:F3655"/>
    <mergeCell ref="E3656:F3656"/>
    <mergeCell ref="E3670:H3670"/>
    <mergeCell ref="E3671:H3671"/>
    <mergeCell ref="E3608:F3608"/>
    <mergeCell ref="E3604:H3604"/>
    <mergeCell ref="E3605:H3605"/>
    <mergeCell ref="E3606:F3606"/>
    <mergeCell ref="E3609:F3609"/>
    <mergeCell ref="E3669:H3669"/>
    <mergeCell ref="E3612:F3612"/>
    <mergeCell ref="E3650:H3650"/>
    <mergeCell ref="E3651:H3651"/>
    <mergeCell ref="E3652:H3652"/>
    <mergeCell ref="E3653:H3653"/>
    <mergeCell ref="E3649:H3649"/>
    <mergeCell ref="E3843:F3843"/>
    <mergeCell ref="E3844:F3844"/>
    <mergeCell ref="E3845:F3845"/>
    <mergeCell ref="E3846:F3846"/>
    <mergeCell ref="E3847:F3847"/>
    <mergeCell ref="E5150:F5150"/>
    <mergeCell ref="E5151:F5151"/>
    <mergeCell ref="E5100:H5100"/>
    <mergeCell ref="E5101:H5101"/>
    <mergeCell ref="E5112:F5112"/>
    <mergeCell ref="E5113:F5113"/>
    <mergeCell ref="E5114:F5114"/>
    <mergeCell ref="E5109:F5109"/>
    <mergeCell ref="E5145:F5145"/>
    <mergeCell ref="E5149:F5149"/>
    <mergeCell ref="E5099:H5099"/>
    <mergeCell ref="E5104:F5104"/>
    <mergeCell ref="E5105:F5105"/>
    <mergeCell ref="E5116:H5116"/>
    <mergeCell ref="E5117:H5117"/>
    <mergeCell ref="E5118:H5118"/>
    <mergeCell ref="E5119:H5119"/>
    <mergeCell ref="E5120:H5120"/>
    <mergeCell ref="E5121:H5121"/>
    <mergeCell ref="E5122:H5122"/>
    <mergeCell ref="E5124:F5124"/>
    <mergeCell ref="E5126:F5126"/>
    <mergeCell ref="E5127:F5127"/>
    <mergeCell ref="E5134:F5134"/>
    <mergeCell ref="E5135:F5135"/>
    <mergeCell ref="E5141:H5141"/>
    <mergeCell ref="E5144:F5144"/>
    <mergeCell ref="E5147:F5147"/>
    <mergeCell ref="E4898:F4898"/>
    <mergeCell ref="E4899:F4899"/>
    <mergeCell ref="E4832:H4832"/>
    <mergeCell ref="E4662:H4662"/>
    <mergeCell ref="E4674:H4674"/>
    <mergeCell ref="E4985:H4985"/>
    <mergeCell ref="E4148:H4148"/>
    <mergeCell ref="E4149:H4149"/>
    <mergeCell ref="E4150:H4150"/>
    <mergeCell ref="E4151:H4151"/>
    <mergeCell ref="E4133:H4133"/>
    <mergeCell ref="E4134:H4134"/>
    <mergeCell ref="E4135:H4135"/>
    <mergeCell ref="E3981:F3981"/>
    <mergeCell ref="E4066:H4066"/>
    <mergeCell ref="E4067:H4067"/>
    <mergeCell ref="E4075:F4075"/>
    <mergeCell ref="E3998:H3998"/>
    <mergeCell ref="E3995:H3995"/>
    <mergeCell ref="E3988:F3988"/>
    <mergeCell ref="E3990:F3990"/>
    <mergeCell ref="E3992:H3992"/>
    <mergeCell ref="E3999:F3999"/>
    <mergeCell ref="E4004:H4004"/>
    <mergeCell ref="E4005:H4005"/>
    <mergeCell ref="E4013:F4013"/>
    <mergeCell ref="E4031:F4031"/>
    <mergeCell ref="E4032:F4032"/>
    <mergeCell ref="E4046:F4046"/>
    <mergeCell ref="E4055:F4055"/>
    <mergeCell ref="E4058:F4058"/>
    <mergeCell ref="E7366:F7366"/>
    <mergeCell ref="E7328:F7328"/>
    <mergeCell ref="E7342:F7342"/>
    <mergeCell ref="E7361:F7361"/>
    <mergeCell ref="E7363:F7363"/>
    <mergeCell ref="E7364:F7364"/>
    <mergeCell ref="E7365:F7365"/>
    <mergeCell ref="E7289:F7289"/>
    <mergeCell ref="E7534:F7534"/>
    <mergeCell ref="E7062:F7062"/>
    <mergeCell ref="E7064:F7064"/>
    <mergeCell ref="E7068:F7068"/>
    <mergeCell ref="E7423:F7423"/>
    <mergeCell ref="E7396:F7396"/>
    <mergeCell ref="E7397:F7397"/>
    <mergeCell ref="E8006:F8006"/>
    <mergeCell ref="E8007:F8007"/>
    <mergeCell ref="E8008:F8008"/>
    <mergeCell ref="E6468:H6468"/>
    <mergeCell ref="E6469:H6469"/>
    <mergeCell ref="E6490:H6490"/>
    <mergeCell ref="E6365:H6365"/>
    <mergeCell ref="E6366:H6366"/>
    <mergeCell ref="E6441:F6441"/>
    <mergeCell ref="E6442:F6442"/>
    <mergeCell ref="E6443:F6443"/>
    <mergeCell ref="E6358:F6358"/>
    <mergeCell ref="E6349:F6349"/>
    <mergeCell ref="E6391:F6391"/>
    <mergeCell ref="E6392:F6392"/>
    <mergeCell ref="E6445:H6445"/>
    <mergeCell ref="E6440:F6440"/>
    <mergeCell ref="E6446:H6446"/>
    <mergeCell ref="E6447:H6447"/>
    <mergeCell ref="E6448:H6448"/>
    <mergeCell ref="E6449:H6449"/>
    <mergeCell ref="E6452:F6452"/>
    <mergeCell ref="E6453:F6453"/>
    <mergeCell ref="E6454:F6454"/>
    <mergeCell ref="E6455:F6455"/>
    <mergeCell ref="E6456:F6456"/>
    <mergeCell ref="E6457:F6457"/>
    <mergeCell ref="E6465:H6465"/>
    <mergeCell ref="E6371:F6371"/>
    <mergeCell ref="E6374:F6374"/>
    <mergeCell ref="E6375:F6375"/>
    <mergeCell ref="E6376:F6376"/>
    <mergeCell ref="E6377:F6377"/>
    <mergeCell ref="E6378:F6378"/>
    <mergeCell ref="E6380:F6380"/>
    <mergeCell ref="E6381:F6381"/>
    <mergeCell ref="E6364:H6364"/>
    <mergeCell ref="E6367:F6367"/>
    <mergeCell ref="E6386:H6386"/>
    <mergeCell ref="E6387:H6387"/>
    <mergeCell ref="E6372:F6372"/>
    <mergeCell ref="E6373:F6373"/>
    <mergeCell ref="E6461:F6461"/>
    <mergeCell ref="E6462:F6462"/>
    <mergeCell ref="E6463:F6463"/>
    <mergeCell ref="E6350:F6350"/>
    <mergeCell ref="E7076:H7076"/>
    <mergeCell ref="E7060:F7060"/>
    <mergeCell ref="E7061:F7061"/>
    <mergeCell ref="E9569:F9569"/>
    <mergeCell ref="E9570:F9570"/>
    <mergeCell ref="E9571:F9571"/>
    <mergeCell ref="E9572:F9572"/>
    <mergeCell ref="E9817:F9817"/>
    <mergeCell ref="E9686:F9686"/>
    <mergeCell ref="E9691:H9691"/>
    <mergeCell ref="E9675:F9675"/>
    <mergeCell ref="E9690:F9690"/>
    <mergeCell ref="E9687:F9687"/>
    <mergeCell ref="E9696:H9696"/>
    <mergeCell ref="E9697:H9697"/>
    <mergeCell ref="E9698:H9698"/>
    <mergeCell ref="E9704:F9704"/>
    <mergeCell ref="E9700:F9700"/>
    <mergeCell ref="E9701:F9701"/>
    <mergeCell ref="E9702:F9702"/>
    <mergeCell ref="E9703:F9703"/>
    <mergeCell ref="E9705:F9705"/>
    <mergeCell ref="E9708:F9708"/>
    <mergeCell ref="E6665:H6665"/>
    <mergeCell ref="E6666:H6666"/>
    <mergeCell ref="E6668:F6668"/>
    <mergeCell ref="E6669:F6669"/>
    <mergeCell ref="E6670:F6670"/>
    <mergeCell ref="E6370:F6370"/>
    <mergeCell ref="E6493:F6493"/>
    <mergeCell ref="E6495:H6495"/>
    <mergeCell ref="E6496:H6496"/>
    <mergeCell ref="E6500:H6500"/>
    <mergeCell ref="E6501:H6501"/>
    <mergeCell ref="E6502:H6502"/>
    <mergeCell ref="E6506:F6506"/>
    <mergeCell ref="E6510:H6510"/>
    <mergeCell ref="E6515:H6515"/>
    <mergeCell ref="E6516:H6516"/>
    <mergeCell ref="E6517:H6517"/>
    <mergeCell ref="E6518:H6518"/>
    <mergeCell ref="E6519:H6519"/>
    <mergeCell ref="E6520:H6520"/>
    <mergeCell ref="E6511:F6511"/>
    <mergeCell ref="E6512:F6512"/>
    <mergeCell ref="E6513:F6513"/>
    <mergeCell ref="E6667:F6667"/>
    <mergeCell ref="E6993:F6993"/>
    <mergeCell ref="E6994:F6994"/>
    <mergeCell ref="E8004:H8004"/>
    <mergeCell ref="E8054:F8054"/>
    <mergeCell ref="E8148:F8148"/>
    <mergeCell ref="E8149:F8149"/>
    <mergeCell ref="E8136:F8136"/>
    <mergeCell ref="E8137:F8137"/>
    <mergeCell ref="E8138:F8138"/>
    <mergeCell ref="E8145:H8145"/>
    <mergeCell ref="E8079:F8079"/>
    <mergeCell ref="E8081:F8081"/>
    <mergeCell ref="E8103:F8103"/>
    <mergeCell ref="E8104:F8104"/>
    <mergeCell ref="E8105:F8105"/>
    <mergeCell ref="E8106:F8106"/>
    <mergeCell ref="E8040:F8040"/>
    <mergeCell ref="E7633:F7633"/>
    <mergeCell ref="E7634:F7634"/>
    <mergeCell ref="E7254:F7254"/>
    <mergeCell ref="E9599:H9599"/>
    <mergeCell ref="E9600:H9600"/>
    <mergeCell ref="E9601:H9601"/>
    <mergeCell ref="E9602:H9602"/>
    <mergeCell ref="E9611:H9611"/>
    <mergeCell ref="E9614:F9614"/>
    <mergeCell ref="E9615:F9615"/>
    <mergeCell ref="E9638:H9638"/>
    <mergeCell ref="E9751:F9751"/>
    <mergeCell ref="E9752:F9752"/>
    <mergeCell ref="E9902:H9902"/>
    <mergeCell ref="E9910:F9910"/>
    <mergeCell ref="E9617:F9617"/>
    <mergeCell ref="E9618:F9618"/>
    <mergeCell ref="E9645:F9645"/>
    <mergeCell ref="E9646:F9646"/>
    <mergeCell ref="E9657:H9657"/>
    <mergeCell ref="E9660:H9660"/>
    <mergeCell ref="E9661:H9661"/>
    <mergeCell ref="E9604:F9604"/>
    <mergeCell ref="E9628:F9628"/>
    <mergeCell ref="E9607:F9607"/>
    <mergeCell ref="E9631:F9631"/>
    <mergeCell ref="E9639:H9639"/>
    <mergeCell ref="E9640:H9640"/>
    <mergeCell ref="E9647:F9647"/>
    <mergeCell ref="E9648:F9648"/>
    <mergeCell ref="E9797:F9797"/>
    <mergeCell ref="E9772:H9772"/>
    <mergeCell ref="E9779:F9779"/>
    <mergeCell ref="E9786:F9786"/>
    <mergeCell ref="E9776:F9776"/>
    <mergeCell ref="E9777:F9777"/>
    <mergeCell ref="E9778:F9778"/>
    <mergeCell ref="E9721:H9721"/>
    <mergeCell ref="E9722:H9722"/>
    <mergeCell ref="E10341:F10341"/>
    <mergeCell ref="E10342:F10342"/>
    <mergeCell ref="E10343:F10343"/>
    <mergeCell ref="E10344:F10344"/>
    <mergeCell ref="E8995:H8995"/>
    <mergeCell ref="E9520:F9520"/>
    <mergeCell ref="E9521:F9521"/>
    <mergeCell ref="E9518:F9518"/>
    <mergeCell ref="E9519:F9519"/>
    <mergeCell ref="E9513:F9513"/>
    <mergeCell ref="E9514:F9514"/>
    <mergeCell ref="E9515:F9515"/>
    <mergeCell ref="E9516:F9516"/>
    <mergeCell ref="E9517:F9517"/>
    <mergeCell ref="E9528:H9528"/>
    <mergeCell ref="E9529:H9529"/>
    <mergeCell ref="E9530:H9530"/>
    <mergeCell ref="E9531:H9531"/>
    <mergeCell ref="E9532:H9532"/>
    <mergeCell ref="E9533:H9533"/>
    <mergeCell ref="E9535:F9535"/>
    <mergeCell ref="E9541:F9541"/>
    <mergeCell ref="E9538:F9538"/>
    <mergeCell ref="E9537:F9537"/>
    <mergeCell ref="E9540:F9540"/>
    <mergeCell ref="E9327:F9327"/>
    <mergeCell ref="E9523:F9523"/>
    <mergeCell ref="E9527:H9527"/>
    <mergeCell ref="E9214:F9214"/>
    <mergeCell ref="E9534:F9534"/>
    <mergeCell ref="E9566:F9566"/>
    <mergeCell ref="E9567:F9567"/>
    <mergeCell ref="E9587:F9587"/>
    <mergeCell ref="E9588:F9588"/>
    <mergeCell ref="E9589:F9589"/>
    <mergeCell ref="E9591:F9591"/>
    <mergeCell ref="E9592:F9592"/>
    <mergeCell ref="E9470:H9470"/>
    <mergeCell ref="E9471:H9471"/>
    <mergeCell ref="E9472:H9472"/>
    <mergeCell ref="E9473:H9473"/>
    <mergeCell ref="E9474:H9474"/>
    <mergeCell ref="E9467:H9467"/>
    <mergeCell ref="E9446:F9446"/>
    <mergeCell ref="E9461:F9461"/>
    <mergeCell ref="E9437:F9437"/>
    <mergeCell ref="E9438:F9438"/>
    <mergeCell ref="E9439:F9439"/>
    <mergeCell ref="E9440:F9440"/>
    <mergeCell ref="E9613:F9613"/>
    <mergeCell ref="E9674:F9674"/>
    <mergeCell ref="E9684:F9684"/>
    <mergeCell ref="E9685:F9685"/>
    <mergeCell ref="E9663:H9663"/>
    <mergeCell ref="E9845:F9845"/>
    <mergeCell ref="E10289:F10289"/>
    <mergeCell ref="E10265:F10265"/>
    <mergeCell ref="E10266:F10266"/>
    <mergeCell ref="E9542:F9542"/>
    <mergeCell ref="E9578:H9578"/>
    <mergeCell ref="E9579:H9579"/>
    <mergeCell ref="E9580:H9580"/>
    <mergeCell ref="E9586:F9586"/>
    <mergeCell ref="E9582:F9582"/>
    <mergeCell ref="E9558:F9558"/>
    <mergeCell ref="E9559:F9559"/>
    <mergeCell ref="E9560:F9560"/>
    <mergeCell ref="E9655:F9655"/>
    <mergeCell ref="E9583:F9583"/>
    <mergeCell ref="E9671:H9671"/>
    <mergeCell ref="E9584:F9584"/>
    <mergeCell ref="E9585:F9585"/>
    <mergeCell ref="E9688:F9688"/>
    <mergeCell ref="E9714:F9714"/>
    <mergeCell ref="E9715:F9715"/>
    <mergeCell ref="E9730:F9730"/>
    <mergeCell ref="E9544:F9544"/>
    <mergeCell ref="E9743:H9743"/>
    <mergeCell ref="E9744:H9744"/>
    <mergeCell ref="E8903:H8903"/>
    <mergeCell ref="E8910:F8910"/>
    <mergeCell ref="E8911:F8911"/>
    <mergeCell ref="E8912:F8912"/>
    <mergeCell ref="E8913:F8913"/>
    <mergeCell ref="E8953:H8953"/>
    <mergeCell ref="E8960:H8960"/>
    <mergeCell ref="E8996:H8996"/>
    <mergeCell ref="E9002:F9002"/>
    <mergeCell ref="E9003:F9003"/>
    <mergeCell ref="E9004:F9004"/>
    <mergeCell ref="E9005:F9005"/>
    <mergeCell ref="E9008:H9008"/>
    <mergeCell ref="E9009:H9009"/>
    <mergeCell ref="E9010:H9010"/>
    <mergeCell ref="E9011:H9011"/>
    <mergeCell ref="E9012:H9012"/>
    <mergeCell ref="E9441:F9441"/>
    <mergeCell ref="E9442:F9442"/>
    <mergeCell ref="E9443:F9443"/>
    <mergeCell ref="E9445:F9445"/>
    <mergeCell ref="E9448:H9448"/>
    <mergeCell ref="E9449:H9449"/>
    <mergeCell ref="E9020:H9020"/>
    <mergeCell ref="E9025:F9025"/>
    <mergeCell ref="E9026:F9026"/>
    <mergeCell ref="E9027:F9027"/>
    <mergeCell ref="E9028:F9028"/>
    <mergeCell ref="E9030:F9030"/>
    <mergeCell ref="E9031:F9031"/>
    <mergeCell ref="E9032:F9032"/>
    <mergeCell ref="E9033:F9033"/>
    <mergeCell ref="E9034:F9034"/>
    <mergeCell ref="E9035:F9035"/>
    <mergeCell ref="E9036:F9036"/>
    <mergeCell ref="E9037:F9037"/>
    <mergeCell ref="E9593:F9593"/>
    <mergeCell ref="E9594:F9594"/>
    <mergeCell ref="E9596:H9596"/>
    <mergeCell ref="E9597:H9597"/>
    <mergeCell ref="E9024:F9024"/>
    <mergeCell ref="E9016:F9016"/>
    <mergeCell ref="E9040:F9040"/>
    <mergeCell ref="E9041:F9041"/>
    <mergeCell ref="E9042:F9042"/>
    <mergeCell ref="E9065:F9065"/>
    <mergeCell ref="E9043:F9043"/>
    <mergeCell ref="E8994:H8994"/>
    <mergeCell ref="E9568:F9568"/>
    <mergeCell ref="E10278:F10278"/>
    <mergeCell ref="E10255:F10255"/>
    <mergeCell ref="E12791:F12791"/>
    <mergeCell ref="E12792:F12792"/>
    <mergeCell ref="E12793:F12793"/>
    <mergeCell ref="E12794:F12794"/>
    <mergeCell ref="E12804:H12804"/>
    <mergeCell ref="E12801:H12801"/>
    <mergeCell ref="E12939:F12939"/>
    <mergeCell ref="E10763:F10763"/>
    <mergeCell ref="E10764:F10764"/>
    <mergeCell ref="E10768:H10768"/>
    <mergeCell ref="E10769:H10769"/>
    <mergeCell ref="E10770:H10770"/>
    <mergeCell ref="E10771:H10771"/>
    <mergeCell ref="E10772:H10772"/>
    <mergeCell ref="E10773:H10773"/>
    <mergeCell ref="E10786:H10786"/>
    <mergeCell ref="E10787:F10787"/>
    <mergeCell ref="E10790:F10790"/>
    <mergeCell ref="E10791:F10791"/>
    <mergeCell ref="E10792:F10792"/>
    <mergeCell ref="E10793:F10793"/>
    <mergeCell ref="E10537:F10537"/>
    <mergeCell ref="E10540:F10540"/>
    <mergeCell ref="E10541:F10541"/>
    <mergeCell ref="E10556:F10556"/>
    <mergeCell ref="E10557:F10557"/>
    <mergeCell ref="E10616:F10616"/>
    <mergeCell ref="E10562:F10562"/>
    <mergeCell ref="E10603:F10603"/>
    <mergeCell ref="E10604:F10604"/>
    <mergeCell ref="E10605:F10605"/>
    <mergeCell ref="E10607:F10607"/>
    <mergeCell ref="E10548:H10548"/>
    <mergeCell ref="E10549:H10549"/>
    <mergeCell ref="E11617:F11617"/>
    <mergeCell ref="E11755:H11755"/>
    <mergeCell ref="E11706:F11706"/>
    <mergeCell ref="E11707:F11707"/>
    <mergeCell ref="E11708:F11708"/>
    <mergeCell ref="E11709:F11709"/>
    <mergeCell ref="E11710:F11710"/>
    <mergeCell ref="E11711:F11711"/>
    <mergeCell ref="E11738:F11738"/>
    <mergeCell ref="E11739:F11739"/>
    <mergeCell ref="E11740:F11740"/>
    <mergeCell ref="E11754:H11754"/>
    <mergeCell ref="E11757:H11757"/>
    <mergeCell ref="E11827:F11827"/>
    <mergeCell ref="E11829:F11829"/>
    <mergeCell ref="E11825:F11825"/>
    <mergeCell ref="E11788:H11788"/>
    <mergeCell ref="E11796:F11796"/>
    <mergeCell ref="E11797:F11797"/>
    <mergeCell ref="E11798:F11798"/>
    <mergeCell ref="E11972:F11972"/>
    <mergeCell ref="E11914:F11914"/>
    <mergeCell ref="E11936:F11936"/>
    <mergeCell ref="E11937:F11937"/>
    <mergeCell ref="E11884:H11884"/>
    <mergeCell ref="E11828:F11828"/>
    <mergeCell ref="E11965:H11965"/>
    <mergeCell ref="E11960:F11960"/>
    <mergeCell ref="E11869:F11869"/>
    <mergeCell ref="E11871:F11871"/>
    <mergeCell ref="E12393:F12393"/>
    <mergeCell ref="E12389:F12389"/>
    <mergeCell ref="E12391:F12391"/>
    <mergeCell ref="E10277:F10277"/>
    <mergeCell ref="E10345:F10345"/>
    <mergeCell ref="E10408:F10408"/>
    <mergeCell ref="E10409:F10409"/>
    <mergeCell ref="E10430:F10430"/>
    <mergeCell ref="E10431:F10431"/>
    <mergeCell ref="E10441:H10441"/>
    <mergeCell ref="E10407:F10407"/>
    <mergeCell ref="E10425:F10425"/>
    <mergeCell ref="E10426:F10426"/>
    <mergeCell ref="E10427:F10427"/>
    <mergeCell ref="E10428:F10428"/>
    <mergeCell ref="E10429:F10429"/>
    <mergeCell ref="E10439:H10439"/>
    <mergeCell ref="E10440:H10440"/>
    <mergeCell ref="E10346:H10346"/>
    <mergeCell ref="E10347:H10347"/>
    <mergeCell ref="E10348:H10348"/>
    <mergeCell ref="E12385:F12385"/>
    <mergeCell ref="E12386:F12386"/>
    <mergeCell ref="E11221:H11221"/>
    <mergeCell ref="E11231:F11231"/>
    <mergeCell ref="E11232:F11232"/>
    <mergeCell ref="E11233:F11233"/>
    <mergeCell ref="E11255:F11255"/>
    <mergeCell ref="E11256:F11256"/>
    <mergeCell ref="E11227:H11227"/>
    <mergeCell ref="E11234:F11234"/>
    <mergeCell ref="E10794:F10794"/>
    <mergeCell ref="E10795:F10795"/>
    <mergeCell ref="E10800:H10800"/>
    <mergeCell ref="E10801:H10801"/>
    <mergeCell ref="E10802:H10802"/>
    <mergeCell ref="E10737:F10737"/>
    <mergeCell ref="E10738:F10738"/>
    <mergeCell ref="E10739:F10739"/>
    <mergeCell ref="E10718:H10718"/>
    <mergeCell ref="E11158:F11158"/>
    <mergeCell ref="E10661:F10661"/>
    <mergeCell ref="E10662:F10662"/>
    <mergeCell ref="E10672:H10672"/>
    <mergeCell ref="E10673:H10673"/>
    <mergeCell ref="E10674:H10674"/>
    <mergeCell ref="E10675:H10675"/>
    <mergeCell ref="E10740:F10740"/>
    <mergeCell ref="E11964:H11964"/>
    <mergeCell ref="E10502:F10502"/>
    <mergeCell ref="E10503:F10503"/>
    <mergeCell ref="E10504:F10504"/>
    <mergeCell ref="E10505:F10505"/>
    <mergeCell ref="E12158:F12158"/>
    <mergeCell ref="E12160:F12160"/>
    <mergeCell ref="E12161:F12161"/>
    <mergeCell ref="E12153:F12153"/>
    <mergeCell ref="E10530:F10530"/>
    <mergeCell ref="E10533:F10533"/>
    <mergeCell ref="E10290:F10290"/>
    <mergeCell ref="E10532:F10532"/>
    <mergeCell ref="E10536:F10536"/>
    <mergeCell ref="E13599:H13599"/>
    <mergeCell ref="E13600:H13600"/>
    <mergeCell ref="E13601:H13601"/>
    <mergeCell ref="E13602:H13602"/>
    <mergeCell ref="E13603:F13603"/>
    <mergeCell ref="E13604:F13604"/>
    <mergeCell ref="E13605:F13605"/>
    <mergeCell ref="E13606:F13606"/>
    <mergeCell ref="E13607:F13607"/>
    <mergeCell ref="E13608:F13608"/>
    <mergeCell ref="E13609:F13609"/>
    <mergeCell ref="E13623:H13623"/>
    <mergeCell ref="E13629:F13629"/>
    <mergeCell ref="E12684:H12684"/>
    <mergeCell ref="E12943:F12943"/>
    <mergeCell ref="E12959:F12959"/>
    <mergeCell ref="E12920:F12920"/>
    <mergeCell ref="E12921:F12921"/>
    <mergeCell ref="E12824:H12824"/>
    <mergeCell ref="E12826:H12826"/>
    <mergeCell ref="E12827:H12827"/>
    <mergeCell ref="E12828:H12828"/>
    <mergeCell ref="E12829:H12829"/>
    <mergeCell ref="E12830:F12830"/>
    <mergeCell ref="E12838:H12838"/>
    <mergeCell ref="E12843:H12843"/>
    <mergeCell ref="E12846:F12846"/>
    <mergeCell ref="E12848:H12848"/>
    <mergeCell ref="E12795:F12795"/>
    <mergeCell ref="E12783:H12783"/>
    <mergeCell ref="E12773:F12773"/>
    <mergeCell ref="E12774:F12774"/>
    <mergeCell ref="E12782:H12782"/>
    <mergeCell ref="E12784:H12784"/>
    <mergeCell ref="E12785:H12785"/>
    <mergeCell ref="E12772:F12772"/>
    <mergeCell ref="E12789:F12789"/>
    <mergeCell ref="E12790:F12790"/>
    <mergeCell ref="E13179:F13179"/>
    <mergeCell ref="E13180:F13180"/>
    <mergeCell ref="E13181:F13181"/>
    <mergeCell ref="E13182:F13182"/>
    <mergeCell ref="E13212:H13212"/>
    <mergeCell ref="E13213:H13213"/>
    <mergeCell ref="E13214:H13214"/>
    <mergeCell ref="E13215:H13215"/>
    <mergeCell ref="E13216:H13216"/>
    <mergeCell ref="E13222:F13222"/>
    <mergeCell ref="E13223:F13223"/>
    <mergeCell ref="E13224:F13224"/>
    <mergeCell ref="E13225:F13225"/>
    <mergeCell ref="E13226:F13226"/>
    <mergeCell ref="E13227:F13227"/>
    <mergeCell ref="E13051:F13051"/>
    <mergeCell ref="E13052:F13052"/>
    <mergeCell ref="E13053:F13053"/>
    <mergeCell ref="E13054:F13054"/>
    <mergeCell ref="E13055:F13055"/>
    <mergeCell ref="E13056:F13056"/>
    <mergeCell ref="E13058:F13058"/>
    <mergeCell ref="E13061:H13061"/>
    <mergeCell ref="E13062:H13062"/>
    <mergeCell ref="E13063:H13063"/>
    <mergeCell ref="E13064:H13064"/>
    <mergeCell ref="E13630:F13630"/>
    <mergeCell ref="E13631:F13631"/>
    <mergeCell ref="E13632:F13632"/>
    <mergeCell ref="E13590:F13590"/>
    <mergeCell ref="E13591:F13591"/>
    <mergeCell ref="E13592:F13592"/>
    <mergeCell ref="E13594:F13594"/>
    <mergeCell ref="E13595:H13595"/>
    <mergeCell ref="E13596:H13596"/>
    <mergeCell ref="E13597:H13597"/>
    <mergeCell ref="E13610:F13610"/>
    <mergeCell ref="E13171:H13171"/>
    <mergeCell ref="E13173:H13173"/>
    <mergeCell ref="E13183:F13183"/>
    <mergeCell ref="E13184:F13184"/>
    <mergeCell ref="E13185:F13185"/>
    <mergeCell ref="E13128:F13128"/>
    <mergeCell ref="E13147:F13147"/>
    <mergeCell ref="E12788:F12788"/>
    <mergeCell ref="E12797:F12797"/>
    <mergeCell ref="E12798:F12798"/>
    <mergeCell ref="E12799:F12799"/>
    <mergeCell ref="E12807:H12807"/>
    <mergeCell ref="E12808:H12808"/>
    <mergeCell ref="E12817:H12817"/>
    <mergeCell ref="E12821:F12821"/>
    <mergeCell ref="E12796:H12796"/>
    <mergeCell ref="E12800:F12800"/>
    <mergeCell ref="E12802:H12802"/>
    <mergeCell ref="E12803:H12803"/>
    <mergeCell ref="E12809:F12809"/>
    <mergeCell ref="E12810:F12810"/>
    <mergeCell ref="E12811:F12811"/>
    <mergeCell ref="E12812:F12812"/>
    <mergeCell ref="E12813:F12813"/>
    <mergeCell ref="E12814:F12814"/>
    <mergeCell ref="E12815:F12815"/>
    <mergeCell ref="E12816:F12816"/>
    <mergeCell ref="E13009:H13009"/>
    <mergeCell ref="E12922:F12922"/>
    <mergeCell ref="E12923:F12923"/>
    <mergeCell ref="E12931:H12931"/>
    <mergeCell ref="E12941:F12941"/>
    <mergeCell ref="E12965:H12965"/>
    <mergeCell ref="E12966:H12966"/>
    <mergeCell ref="E13248:F13248"/>
    <mergeCell ref="E12897:F12897"/>
    <mergeCell ref="E12899:H12899"/>
    <mergeCell ref="E12900:H12900"/>
    <mergeCell ref="E12901:H12901"/>
    <mergeCell ref="E12902:H12902"/>
    <mergeCell ref="E12903:H12903"/>
    <mergeCell ref="E12904:H12904"/>
    <mergeCell ref="E12905:H12905"/>
    <mergeCell ref="E12906:H12906"/>
    <mergeCell ref="E12907:H12907"/>
    <mergeCell ref="E12908:H12908"/>
    <mergeCell ref="E12909:H12909"/>
    <mergeCell ref="E12910:H12910"/>
    <mergeCell ref="E13174:H13174"/>
    <mergeCell ref="E13175:H13175"/>
    <mergeCell ref="E13176:H13176"/>
    <mergeCell ref="E13177:H13177"/>
    <mergeCell ref="E13178:F13178"/>
    <mergeCell ref="E15515:H15515"/>
    <mergeCell ref="E15516:H15516"/>
    <mergeCell ref="E15517:H15517"/>
    <mergeCell ref="E15518:H15518"/>
    <mergeCell ref="E15519:H15519"/>
    <mergeCell ref="E15520:H15520"/>
    <mergeCell ref="E15521:H15521"/>
    <mergeCell ref="E15522:H15522"/>
    <mergeCell ref="E15523:H15523"/>
    <mergeCell ref="E15524:H15524"/>
    <mergeCell ref="E15525:H15525"/>
    <mergeCell ref="E15526:H15526"/>
    <mergeCell ref="E15527:H15527"/>
    <mergeCell ref="E15528:F15528"/>
    <mergeCell ref="E15530:F15530"/>
    <mergeCell ref="E15531:F15531"/>
    <mergeCell ref="E15532:F15532"/>
    <mergeCell ref="E15533:F15533"/>
    <mergeCell ref="E15534:F15534"/>
    <mergeCell ref="E15535:F15535"/>
    <mergeCell ref="E15536:F15536"/>
    <mergeCell ref="E15537:F15537"/>
    <mergeCell ref="E15538:F15538"/>
    <mergeCell ref="E15539:F15539"/>
    <mergeCell ref="E15540:F15540"/>
    <mergeCell ref="E15541:F15541"/>
    <mergeCell ref="E15542:F15542"/>
    <mergeCell ref="E15543:H15543"/>
    <mergeCell ref="E15544:H15544"/>
    <mergeCell ref="E15545:H15545"/>
    <mergeCell ref="E15546:H15546"/>
    <mergeCell ref="E15547:H15547"/>
    <mergeCell ref="E15548:H15548"/>
    <mergeCell ref="E15549:H15549"/>
    <mergeCell ref="E15550:H15550"/>
    <mergeCell ref="E15551:F15551"/>
    <mergeCell ref="E15553:F15553"/>
    <mergeCell ref="E15554:F15554"/>
    <mergeCell ref="E15555:F15555"/>
    <mergeCell ref="E15556:F15556"/>
    <mergeCell ref="E15557:F15557"/>
    <mergeCell ref="E15558:F15558"/>
    <mergeCell ref="E15559:F15559"/>
    <mergeCell ref="E15560:F15560"/>
    <mergeCell ref="E15561:F15561"/>
    <mergeCell ref="E15562:F15562"/>
    <mergeCell ref="E15563:F15563"/>
    <mergeCell ref="E15564:F15564"/>
    <mergeCell ref="E15565:F15565"/>
    <mergeCell ref="E15566:H15566"/>
    <mergeCell ref="E15567:H15567"/>
    <mergeCell ref="E15568:H15568"/>
    <mergeCell ref="E15569:H15569"/>
    <mergeCell ref="E15570:H15570"/>
    <mergeCell ref="E15571:H15571"/>
    <mergeCell ref="E15572:H15572"/>
    <mergeCell ref="E15573:H15573"/>
    <mergeCell ref="E15574:F15574"/>
    <mergeCell ref="E15575:F15575"/>
    <mergeCell ref="E15576:F15576"/>
    <mergeCell ref="E15577:F15577"/>
    <mergeCell ref="E15578:F15578"/>
    <mergeCell ref="E15579:F15579"/>
    <mergeCell ref="E15580:F15580"/>
    <mergeCell ref="E15581:F15581"/>
    <mergeCell ref="E15582:F15582"/>
    <mergeCell ref="E15583:F15583"/>
    <mergeCell ref="E15584:F15584"/>
    <mergeCell ref="E15585:F15585"/>
    <mergeCell ref="E15586:F15586"/>
    <mergeCell ref="E15587:F15587"/>
    <mergeCell ref="E15588:H15588"/>
    <mergeCell ref="E15589:H15589"/>
    <mergeCell ref="E15590:H15590"/>
    <mergeCell ref="E15591:H15591"/>
    <mergeCell ref="E15592:H15592"/>
    <mergeCell ref="E15593:H15593"/>
    <mergeCell ref="E15594:H15594"/>
    <mergeCell ref="E15595:H15595"/>
    <mergeCell ref="E15596:F15596"/>
    <mergeCell ref="E15597:F15597"/>
    <mergeCell ref="E15598:F15598"/>
    <mergeCell ref="E15599:F15599"/>
    <mergeCell ref="E15600:F15600"/>
    <mergeCell ref="E15601:F15601"/>
    <mergeCell ref="E15602:F15602"/>
    <mergeCell ref="E15603:F15603"/>
    <mergeCell ref="E15604:F15604"/>
    <mergeCell ref="E15605:F15605"/>
    <mergeCell ref="E15606:F15606"/>
    <mergeCell ref="E15607:F15607"/>
    <mergeCell ref="E15608:F15608"/>
    <mergeCell ref="E15609:H15609"/>
    <mergeCell ref="E15610:H15610"/>
    <mergeCell ref="E15611:H15611"/>
    <mergeCell ref="E15612:H15612"/>
    <mergeCell ref="E15613:H15613"/>
    <mergeCell ref="E15614:H15614"/>
    <mergeCell ref="E15615:H15615"/>
    <mergeCell ref="E15616:H15616"/>
    <mergeCell ref="E15617:F15617"/>
    <mergeCell ref="E15618:F15618"/>
    <mergeCell ref="E15619:F15619"/>
    <mergeCell ref="E15620:F15620"/>
    <mergeCell ref="E15621:F15621"/>
    <mergeCell ref="E15622:F15622"/>
    <mergeCell ref="E15623:F15623"/>
    <mergeCell ref="E15624:F15624"/>
    <mergeCell ref="E15625:F15625"/>
    <mergeCell ref="E15626:F15626"/>
    <mergeCell ref="E15627:F15627"/>
    <mergeCell ref="E15628:F15628"/>
    <mergeCell ref="E15629:F15629"/>
    <mergeCell ref="E15630:F15630"/>
    <mergeCell ref="E15631:H15631"/>
    <mergeCell ref="E15632:H15632"/>
    <mergeCell ref="E15633:H15633"/>
    <mergeCell ref="E15634:H15634"/>
    <mergeCell ref="E15635:H15635"/>
    <mergeCell ref="E15636:H15636"/>
    <mergeCell ref="E15637:H15637"/>
    <mergeCell ref="E15638:H15638"/>
    <mergeCell ref="E15639:F15639"/>
    <mergeCell ref="E15641:F15641"/>
    <mergeCell ref="E15642:F15642"/>
    <mergeCell ref="E15644:H15644"/>
    <mergeCell ref="E15645:H15645"/>
    <mergeCell ref="E15646:H15646"/>
    <mergeCell ref="E15648:F15648"/>
    <mergeCell ref="E15649:F15649"/>
    <mergeCell ref="E15650:F15650"/>
    <mergeCell ref="E15651:F15651"/>
    <mergeCell ref="E15688:F15688"/>
    <mergeCell ref="E15689:F15689"/>
    <mergeCell ref="E15690:F15690"/>
    <mergeCell ref="E15691:F15691"/>
    <mergeCell ref="E15692:F15692"/>
    <mergeCell ref="E15693:F15693"/>
    <mergeCell ref="E15694:F15694"/>
    <mergeCell ref="E15695:F15695"/>
    <mergeCell ref="E15696:F15696"/>
    <mergeCell ref="E15698:H15698"/>
    <mergeCell ref="E15699:F15699"/>
    <mergeCell ref="E15700:F15700"/>
    <mergeCell ref="E15652:F15652"/>
    <mergeCell ref="E15653:F15653"/>
    <mergeCell ref="E15654:F15654"/>
    <mergeCell ref="E15655:F15655"/>
    <mergeCell ref="E15656:F15656"/>
    <mergeCell ref="E15657:F15657"/>
    <mergeCell ref="E15658:F15658"/>
    <mergeCell ref="E15660:F15660"/>
    <mergeCell ref="E15661:F15661"/>
    <mergeCell ref="E15662:F15662"/>
    <mergeCell ref="E15663:F15663"/>
    <mergeCell ref="E15664:F15664"/>
    <mergeCell ref="E15665:F15665"/>
    <mergeCell ref="E15666:F15666"/>
    <mergeCell ref="E15667:F15667"/>
    <mergeCell ref="E15668:F15668"/>
    <mergeCell ref="E15669:F15669"/>
    <mergeCell ref="E15671:F15671"/>
    <mergeCell ref="E15672:F15672"/>
    <mergeCell ref="E15673:F15673"/>
    <mergeCell ref="E15674:F15674"/>
    <mergeCell ref="E15675:F15675"/>
    <mergeCell ref="E15676:F15676"/>
    <mergeCell ref="E15677:F15677"/>
    <mergeCell ref="E15679:H15679"/>
    <mergeCell ref="E15680:H15680"/>
    <mergeCell ref="E15681:H15681"/>
    <mergeCell ref="E15682:H15682"/>
    <mergeCell ref="E15683:H15683"/>
    <mergeCell ref="E15684:F15684"/>
    <mergeCell ref="E15685:F15685"/>
    <mergeCell ref="E15686:F15686"/>
    <mergeCell ref="E15687:F15687"/>
  </mergeCells>
  <pageMargins left="0.7" right="0.7" top="0.75" bottom="0.75" header="0.3" footer="0.3"/>
  <pageSetup scale="43"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Y320"/>
  <sheetViews>
    <sheetView topLeftCell="A19" workbookViewId="0">
      <selection sqref="A1:A57"/>
    </sheetView>
  </sheetViews>
  <sheetFormatPr defaultRowHeight="15" x14ac:dyDescent="0.25"/>
  <cols>
    <col min="1" max="1" width="105.7109375" style="22" bestFit="1" customWidth="1"/>
    <col min="2" max="8" width="9.140625" style="22"/>
    <col min="9" max="9" width="132.140625" style="22" bestFit="1" customWidth="1"/>
    <col min="10" max="10" width="9.140625" style="22"/>
    <col min="11" max="11" width="2.28515625" style="22" customWidth="1"/>
    <col min="12" max="12" width="59.140625" style="22" hidden="1" customWidth="1"/>
    <col min="13" max="13" width="0" style="22" hidden="1" customWidth="1"/>
    <col min="14" max="14" width="9.140625" style="22"/>
    <col min="15" max="15" width="110" style="22" bestFit="1" customWidth="1"/>
    <col min="16" max="25" width="9.140625" style="22"/>
    <col min="26" max="27" width="83" style="22" bestFit="1" customWidth="1"/>
    <col min="28" max="28" width="9.140625" style="22"/>
    <col min="29" max="29" width="63.85546875" style="23" customWidth="1"/>
    <col min="30" max="30" width="9.140625" style="22"/>
    <col min="31" max="31" width="14.85546875" style="22" customWidth="1"/>
    <col min="32" max="33" width="9.140625" style="22"/>
    <col min="34" max="34" width="56.42578125" style="22" customWidth="1"/>
    <col min="35" max="16384" width="9.140625" style="22"/>
  </cols>
  <sheetData>
    <row r="1" spans="1:77" x14ac:dyDescent="0.25">
      <c r="A1" s="841" t="s">
        <v>618</v>
      </c>
      <c r="B1" s="22" t="s">
        <v>8</v>
      </c>
      <c r="C1" s="22">
        <f>COUNTA(B1:B17)</f>
        <v>4</v>
      </c>
      <c r="I1" s="22" t="s">
        <v>468</v>
      </c>
      <c r="L1" s="639" t="s">
        <v>16</v>
      </c>
      <c r="N1" s="639" t="s">
        <v>15</v>
      </c>
      <c r="O1" s="640" t="s">
        <v>88</v>
      </c>
      <c r="P1" s="641" t="s">
        <v>143</v>
      </c>
      <c r="Z1" s="22" t="s">
        <v>162</v>
      </c>
      <c r="AA1" s="22" t="s">
        <v>162</v>
      </c>
      <c r="AC1" s="642" t="s">
        <v>248</v>
      </c>
      <c r="AD1" s="22" t="s">
        <v>159</v>
      </c>
      <c r="AH1" s="46" t="s">
        <v>160</v>
      </c>
      <c r="AI1" s="48"/>
      <c r="AJ1" s="48"/>
      <c r="AK1" s="636"/>
      <c r="AL1" s="48"/>
      <c r="AM1" s="48"/>
      <c r="AN1" s="2198"/>
      <c r="AO1" s="2198"/>
      <c r="AP1" s="636"/>
      <c r="AQ1" s="45"/>
      <c r="AR1" s="45"/>
      <c r="AS1" s="49"/>
      <c r="BQ1" s="643"/>
      <c r="BR1" s="644"/>
    </row>
    <row r="2" spans="1:77" s="23" customFormat="1" x14ac:dyDescent="0.25">
      <c r="A2" s="841" t="s">
        <v>2931</v>
      </c>
      <c r="B2" s="22" t="s">
        <v>7</v>
      </c>
      <c r="C2" s="22"/>
      <c r="D2" s="22"/>
      <c r="E2" s="22"/>
      <c r="F2" s="22"/>
      <c r="G2" s="22"/>
      <c r="H2" s="22"/>
      <c r="I2" s="22" t="s">
        <v>84</v>
      </c>
      <c r="K2" s="22"/>
      <c r="L2" s="641" t="s">
        <v>144</v>
      </c>
      <c r="M2" s="22"/>
      <c r="N2" s="22" t="s">
        <v>23</v>
      </c>
      <c r="O2" s="640" t="s">
        <v>58</v>
      </c>
      <c r="P2" s="641" t="s">
        <v>144</v>
      </c>
      <c r="Q2" s="645"/>
      <c r="R2" s="645"/>
      <c r="S2" s="645"/>
      <c r="T2" s="645"/>
      <c r="U2" s="645"/>
      <c r="V2" s="645"/>
      <c r="W2" s="645"/>
      <c r="X2" s="645"/>
      <c r="Y2" s="645"/>
      <c r="Z2" s="22" t="s">
        <v>199</v>
      </c>
      <c r="AA2" s="22" t="s">
        <v>199</v>
      </c>
      <c r="AB2" s="645"/>
      <c r="AC2" s="646" t="s">
        <v>249</v>
      </c>
      <c r="AD2" s="22" t="s">
        <v>159</v>
      </c>
      <c r="AG2" s="645"/>
      <c r="AH2" s="19" t="s">
        <v>154</v>
      </c>
      <c r="AI2" s="9"/>
      <c r="AJ2" s="13"/>
      <c r="AK2" s="635">
        <f>AI2*AJ2</f>
        <v>0</v>
      </c>
      <c r="AL2" s="9">
        <f t="shared" ref="AL2:AM4" si="0">AI2</f>
        <v>0</v>
      </c>
      <c r="AM2" s="12">
        <f t="shared" si="0"/>
        <v>0</v>
      </c>
      <c r="AN2" s="2197">
        <f>AL2*AM2</f>
        <v>0</v>
      </c>
      <c r="AO2" s="2197"/>
      <c r="AP2" s="638">
        <f>AN2-AK2</f>
        <v>0</v>
      </c>
      <c r="AQ2" s="10" t="e">
        <f>AP2/AK2</f>
        <v>#DIV/0!</v>
      </c>
      <c r="AR2" s="10"/>
      <c r="AS2" s="50"/>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22"/>
      <c r="BR2" s="644"/>
      <c r="BS2" s="645"/>
      <c r="BT2" s="645"/>
      <c r="BU2" s="645"/>
      <c r="BV2" s="645"/>
      <c r="BW2" s="645"/>
      <c r="BX2" s="645"/>
      <c r="BY2" s="645"/>
    </row>
    <row r="3" spans="1:77" x14ac:dyDescent="0.25">
      <c r="A3" s="841" t="s">
        <v>2932</v>
      </c>
      <c r="B3" s="22" t="s">
        <v>5</v>
      </c>
      <c r="I3" s="22" t="s">
        <v>371</v>
      </c>
      <c r="L3" s="641" t="s">
        <v>20</v>
      </c>
      <c r="N3" s="22" t="s">
        <v>24</v>
      </c>
      <c r="O3" s="640" t="s">
        <v>96</v>
      </c>
      <c r="P3" s="641" t="s">
        <v>20</v>
      </c>
      <c r="Z3" s="22" t="s">
        <v>174</v>
      </c>
      <c r="AA3" s="22" t="s">
        <v>174</v>
      </c>
      <c r="AC3" s="642" t="s">
        <v>249</v>
      </c>
      <c r="AD3" s="22" t="s">
        <v>159</v>
      </c>
      <c r="AH3" s="19" t="s">
        <v>439</v>
      </c>
      <c r="AI3" s="9"/>
      <c r="AJ3" s="13"/>
      <c r="AK3" s="635">
        <f>AI3*AJ3</f>
        <v>0</v>
      </c>
      <c r="AL3" s="9">
        <f t="shared" si="0"/>
        <v>0</v>
      </c>
      <c r="AM3" s="12">
        <f t="shared" si="0"/>
        <v>0</v>
      </c>
      <c r="AN3" s="2197">
        <f>AL3*AM3</f>
        <v>0</v>
      </c>
      <c r="AO3" s="2197"/>
      <c r="AP3" s="638">
        <f>AN3-AK3</f>
        <v>0</v>
      </c>
      <c r="AQ3" s="10" t="e">
        <f>AP3/AK3</f>
        <v>#DIV/0!</v>
      </c>
      <c r="AR3" s="10"/>
      <c r="AS3" s="50"/>
      <c r="BQ3" s="643"/>
      <c r="BR3" s="644"/>
    </row>
    <row r="4" spans="1:77" x14ac:dyDescent="0.25">
      <c r="A4" s="841" t="s">
        <v>2358</v>
      </c>
      <c r="B4" s="22" t="s">
        <v>6</v>
      </c>
      <c r="I4" s="22" t="s">
        <v>372</v>
      </c>
      <c r="L4" s="641" t="s">
        <v>17</v>
      </c>
      <c r="N4" s="22" t="s">
        <v>33</v>
      </c>
      <c r="O4" s="640" t="s">
        <v>59</v>
      </c>
      <c r="P4" s="641" t="s">
        <v>17</v>
      </c>
      <c r="Z4" s="22" t="s">
        <v>236</v>
      </c>
      <c r="AA4" s="22" t="s">
        <v>236</v>
      </c>
      <c r="AC4" s="642" t="s">
        <v>250</v>
      </c>
      <c r="AD4" s="22" t="s">
        <v>158</v>
      </c>
      <c r="AH4" s="19" t="s">
        <v>155</v>
      </c>
      <c r="AI4" s="11"/>
      <c r="AJ4" s="9"/>
      <c r="AK4" s="635">
        <f>AI4*AJ4</f>
        <v>0</v>
      </c>
      <c r="AL4" s="11">
        <f t="shared" si="0"/>
        <v>0</v>
      </c>
      <c r="AM4" s="14">
        <f t="shared" si="0"/>
        <v>0</v>
      </c>
      <c r="AN4" s="2197">
        <f>AL4*AM4</f>
        <v>0</v>
      </c>
      <c r="AO4" s="2197"/>
      <c r="AP4" s="638">
        <f>AN4-AK4</f>
        <v>0</v>
      </c>
      <c r="AQ4" s="10" t="e">
        <f>AP4/AK4</f>
        <v>#DIV/0!</v>
      </c>
      <c r="AR4" s="10"/>
      <c r="AS4" s="50"/>
      <c r="BR4" s="644"/>
    </row>
    <row r="5" spans="1:77" x14ac:dyDescent="0.25">
      <c r="A5" s="841" t="s">
        <v>615</v>
      </c>
      <c r="I5" s="22" t="s">
        <v>469</v>
      </c>
      <c r="L5" s="641" t="s">
        <v>142</v>
      </c>
      <c r="N5" s="22" t="s">
        <v>25</v>
      </c>
      <c r="O5" s="640" t="s">
        <v>117</v>
      </c>
      <c r="P5" s="641" t="s">
        <v>142</v>
      </c>
      <c r="Z5" s="22" t="s">
        <v>237</v>
      </c>
      <c r="AA5" s="22" t="s">
        <v>237</v>
      </c>
      <c r="AC5" s="642" t="s">
        <v>251</v>
      </c>
      <c r="AD5" s="22" t="s">
        <v>158</v>
      </c>
      <c r="AH5" s="46" t="s">
        <v>161</v>
      </c>
      <c r="AI5" s="48"/>
      <c r="AJ5" s="48"/>
      <c r="AK5" s="636">
        <f>SUM(AK2:AK4)</f>
        <v>0</v>
      </c>
      <c r="AL5" s="48"/>
      <c r="AM5" s="48"/>
      <c r="AN5" s="2198">
        <f>SUM(AN2:AO4)</f>
        <v>0</v>
      </c>
      <c r="AO5" s="2198"/>
      <c r="AP5" s="636">
        <f>AN5-AK5</f>
        <v>0</v>
      </c>
      <c r="AQ5" s="47" t="e">
        <f>AP5/AK5</f>
        <v>#DIV/0!</v>
      </c>
      <c r="AR5" s="45"/>
      <c r="AS5" s="49"/>
      <c r="BR5" s="644"/>
    </row>
    <row r="6" spans="1:77" x14ac:dyDescent="0.25">
      <c r="A6" s="841" t="s">
        <v>616</v>
      </c>
      <c r="I6" s="22" t="s">
        <v>470</v>
      </c>
      <c r="L6" s="641" t="s">
        <v>21</v>
      </c>
      <c r="O6" s="640" t="s">
        <v>118</v>
      </c>
      <c r="P6" s="641" t="s">
        <v>21</v>
      </c>
      <c r="Z6" s="22" t="s">
        <v>173</v>
      </c>
      <c r="AA6" s="22" t="s">
        <v>173</v>
      </c>
      <c r="AC6" s="642" t="s">
        <v>252</v>
      </c>
      <c r="AD6" s="22" t="s">
        <v>159</v>
      </c>
      <c r="AH6" s="20" t="s">
        <v>151</v>
      </c>
      <c r="AI6" s="9"/>
      <c r="AJ6" s="15"/>
      <c r="AK6" s="635">
        <f>AI6*AJ6</f>
        <v>0</v>
      </c>
      <c r="AL6" s="9">
        <f>AI6</f>
        <v>0</v>
      </c>
      <c r="AM6" s="12">
        <f>AJ6</f>
        <v>0</v>
      </c>
      <c r="AN6" s="2202">
        <f>AL6*AM6</f>
        <v>0</v>
      </c>
      <c r="AO6" s="2202"/>
      <c r="AP6" s="638">
        <f>AN6-AK6</f>
        <v>0</v>
      </c>
      <c r="AQ6" s="10" t="e">
        <f>AP6/AK6</f>
        <v>#DIV/0!</v>
      </c>
      <c r="AR6" s="39"/>
      <c r="AS6" s="51"/>
      <c r="BR6" s="644"/>
    </row>
    <row r="7" spans="1:77" x14ac:dyDescent="0.25">
      <c r="A7" s="841" t="s">
        <v>3214</v>
      </c>
      <c r="I7" s="22" t="s">
        <v>471</v>
      </c>
      <c r="L7" s="647"/>
      <c r="O7" s="640"/>
      <c r="Z7" s="22" t="s">
        <v>238</v>
      </c>
      <c r="AA7" s="22" t="s">
        <v>238</v>
      </c>
      <c r="AC7" s="642" t="s">
        <v>253</v>
      </c>
      <c r="AD7" s="22" t="s">
        <v>159</v>
      </c>
      <c r="AH7" s="34"/>
      <c r="AI7" s="35"/>
      <c r="AJ7" s="35"/>
      <c r="AK7" s="36"/>
      <c r="AL7" s="35"/>
      <c r="AM7" s="35"/>
      <c r="AN7" s="2195"/>
      <c r="AO7" s="2196"/>
      <c r="AP7" s="37"/>
      <c r="AQ7" s="38"/>
      <c r="AR7" s="54"/>
      <c r="AS7" s="52"/>
      <c r="BQ7" s="643"/>
      <c r="BR7" s="644"/>
    </row>
    <row r="8" spans="1:77" x14ac:dyDescent="0.25">
      <c r="A8" s="841" t="s">
        <v>438</v>
      </c>
      <c r="I8" s="22" t="s">
        <v>472</v>
      </c>
      <c r="L8" s="641" t="s">
        <v>22</v>
      </c>
      <c r="O8" s="640" t="s">
        <v>114</v>
      </c>
      <c r="P8" s="641" t="s">
        <v>22</v>
      </c>
      <c r="Z8" s="22" t="s">
        <v>424</v>
      </c>
      <c r="AA8" s="22" t="s">
        <v>424</v>
      </c>
      <c r="AC8" s="642" t="s">
        <v>254</v>
      </c>
      <c r="AD8" s="22" t="s">
        <v>159</v>
      </c>
      <c r="AH8" s="20" t="s">
        <v>231</v>
      </c>
      <c r="AI8" s="18"/>
      <c r="AJ8" s="18"/>
      <c r="AK8" s="638"/>
      <c r="AL8" s="56"/>
      <c r="AM8" s="56"/>
      <c r="AN8" s="2201"/>
      <c r="AO8" s="2201"/>
      <c r="AP8" s="638">
        <f>AN8-AK8</f>
        <v>0</v>
      </c>
      <c r="AQ8" s="10"/>
      <c r="AR8" s="10"/>
      <c r="AS8" s="50"/>
      <c r="BR8" s="644"/>
    </row>
    <row r="9" spans="1:77" x14ac:dyDescent="0.25">
      <c r="A9" s="841" t="s">
        <v>3219</v>
      </c>
      <c r="I9" s="22" t="s">
        <v>473</v>
      </c>
      <c r="L9" s="647" t="s">
        <v>26</v>
      </c>
      <c r="O9" s="640" t="s">
        <v>137</v>
      </c>
      <c r="Z9" s="22" t="s">
        <v>175</v>
      </c>
      <c r="AA9" s="22" t="s">
        <v>175</v>
      </c>
      <c r="AC9" s="642" t="s">
        <v>257</v>
      </c>
      <c r="AD9" s="22" t="s">
        <v>159</v>
      </c>
      <c r="AH9" s="33" t="s">
        <v>152</v>
      </c>
      <c r="AI9" s="16"/>
      <c r="AJ9" s="17"/>
      <c r="AK9" s="638">
        <f>AJ9*AK8</f>
        <v>0</v>
      </c>
      <c r="AL9" s="16"/>
      <c r="AM9" s="17">
        <f>AJ9</f>
        <v>0</v>
      </c>
      <c r="AN9" s="2201">
        <f>AM9*AN8</f>
        <v>0</v>
      </c>
      <c r="AO9" s="2201"/>
      <c r="AP9" s="638">
        <f>AN9-AK9</f>
        <v>0</v>
      </c>
      <c r="AQ9" s="10" t="e">
        <f>AP9/AK9</f>
        <v>#DIV/0!</v>
      </c>
      <c r="AR9" s="10"/>
      <c r="AS9" s="50"/>
      <c r="BQ9" s="643"/>
      <c r="BR9" s="644"/>
    </row>
    <row r="10" spans="1:77" x14ac:dyDescent="0.25">
      <c r="A10" s="841" t="s">
        <v>3216</v>
      </c>
      <c r="I10" s="22" t="s">
        <v>474</v>
      </c>
      <c r="L10" s="647" t="s">
        <v>27</v>
      </c>
      <c r="O10" s="640" t="s">
        <v>99</v>
      </c>
      <c r="Z10" s="22" t="s">
        <v>623</v>
      </c>
      <c r="AA10" s="22" t="s">
        <v>623</v>
      </c>
      <c r="AC10" s="642" t="s">
        <v>255</v>
      </c>
      <c r="AD10" s="22" t="s">
        <v>159</v>
      </c>
      <c r="AH10" s="33" t="s">
        <v>232</v>
      </c>
      <c r="AI10" s="40"/>
      <c r="AJ10" s="40"/>
      <c r="AK10" s="638">
        <f>AK9+AK8</f>
        <v>0</v>
      </c>
      <c r="AL10" s="40"/>
      <c r="AM10" s="40"/>
      <c r="AN10" s="2201">
        <f>AN9+AN8</f>
        <v>0</v>
      </c>
      <c r="AO10" s="2201"/>
      <c r="AP10" s="638">
        <f>AN10-AK10</f>
        <v>0</v>
      </c>
      <c r="AQ10" s="10" t="e">
        <f>AP10/AK10</f>
        <v>#DIV/0!</v>
      </c>
      <c r="AR10" s="10"/>
      <c r="AS10" s="50"/>
      <c r="BR10" s="644"/>
    </row>
    <row r="11" spans="1:77" x14ac:dyDescent="0.25">
      <c r="A11" s="841" t="s">
        <v>621</v>
      </c>
      <c r="I11" s="22" t="s">
        <v>475</v>
      </c>
      <c r="L11" s="647" t="s">
        <v>28</v>
      </c>
      <c r="O11" s="640" t="s">
        <v>89</v>
      </c>
      <c r="Z11" s="22" t="s">
        <v>176</v>
      </c>
      <c r="AA11" s="22" t="s">
        <v>176</v>
      </c>
      <c r="AC11" s="642" t="s">
        <v>256</v>
      </c>
      <c r="AD11" s="22" t="s">
        <v>159</v>
      </c>
      <c r="AH11" s="33" t="s">
        <v>153</v>
      </c>
      <c r="AI11" s="18"/>
      <c r="AJ11" s="21"/>
      <c r="AK11" s="57">
        <f>-0.1*AK10</f>
        <v>0</v>
      </c>
      <c r="AL11" s="56"/>
      <c r="AM11" s="58">
        <f>AJ11</f>
        <v>0</v>
      </c>
      <c r="AN11" s="2200">
        <f>-0.1*AN10</f>
        <v>0</v>
      </c>
      <c r="AO11" s="2200"/>
      <c r="AP11" s="638">
        <f>AN11-AK11</f>
        <v>0</v>
      </c>
      <c r="AQ11" s="10" t="e">
        <f>AP11/AK11</f>
        <v>#DIV/0!</v>
      </c>
      <c r="AR11" s="10"/>
      <c r="AS11" s="50"/>
      <c r="BR11" s="644"/>
    </row>
    <row r="12" spans="1:77" ht="15.75" thickBot="1" x14ac:dyDescent="0.3">
      <c r="A12" s="841" t="s">
        <v>629</v>
      </c>
      <c r="I12" s="22" t="s">
        <v>476</v>
      </c>
      <c r="L12" s="647" t="s">
        <v>29</v>
      </c>
      <c r="O12" s="640" t="s">
        <v>126</v>
      </c>
      <c r="Z12" s="22" t="s">
        <v>177</v>
      </c>
      <c r="AA12" s="22" t="s">
        <v>177</v>
      </c>
      <c r="AC12" s="642" t="s">
        <v>258</v>
      </c>
      <c r="AD12" s="22" t="s">
        <v>159</v>
      </c>
      <c r="AH12" s="41" t="s">
        <v>233</v>
      </c>
      <c r="AI12" s="42"/>
      <c r="AJ12" s="42"/>
      <c r="AK12" s="637">
        <f>AK10+AK11</f>
        <v>0</v>
      </c>
      <c r="AL12" s="42"/>
      <c r="AM12" s="42"/>
      <c r="AN12" s="2199">
        <f>AN10+AN11</f>
        <v>0</v>
      </c>
      <c r="AO12" s="2199"/>
      <c r="AP12" s="43">
        <f>AN12-AK12</f>
        <v>0</v>
      </c>
      <c r="AQ12" s="44" t="e">
        <f>AP12/AK12</f>
        <v>#DIV/0!</v>
      </c>
      <c r="AR12" s="55"/>
      <c r="AS12" s="53"/>
      <c r="BQ12" s="643"/>
      <c r="BR12" s="644"/>
    </row>
    <row r="13" spans="1:77" x14ac:dyDescent="0.25">
      <c r="A13" s="841" t="s">
        <v>617</v>
      </c>
      <c r="C13" s="25"/>
      <c r="I13" s="22" t="s">
        <v>373</v>
      </c>
      <c r="L13" s="647"/>
      <c r="O13" s="640"/>
      <c r="Z13" s="22" t="s">
        <v>178</v>
      </c>
      <c r="AA13" s="22" t="s">
        <v>178</v>
      </c>
      <c r="AC13" s="642" t="s">
        <v>259</v>
      </c>
      <c r="AD13" s="22" t="s">
        <v>159</v>
      </c>
      <c r="AH13" s="34"/>
      <c r="AI13" s="35"/>
      <c r="AJ13" s="35"/>
      <c r="AK13" s="36"/>
      <c r="AL13" s="35"/>
      <c r="AM13" s="35"/>
      <c r="AN13" s="2195"/>
      <c r="AO13" s="2196"/>
      <c r="AP13" s="37"/>
      <c r="AQ13" s="38"/>
      <c r="AR13" s="54"/>
      <c r="AS13" s="52"/>
      <c r="BQ13" s="643"/>
      <c r="BR13" s="644"/>
    </row>
    <row r="14" spans="1:77" x14ac:dyDescent="0.25">
      <c r="A14" s="841" t="s">
        <v>622</v>
      </c>
      <c r="I14" s="22" t="s">
        <v>374</v>
      </c>
      <c r="L14" s="647" t="s">
        <v>30</v>
      </c>
      <c r="O14" s="640" t="s">
        <v>125</v>
      </c>
      <c r="Z14" s="22" t="s">
        <v>425</v>
      </c>
      <c r="AA14" s="22" t="s">
        <v>425</v>
      </c>
      <c r="AC14" s="642" t="s">
        <v>263</v>
      </c>
      <c r="AD14" s="22" t="s">
        <v>159</v>
      </c>
      <c r="AH14" s="20" t="s">
        <v>234</v>
      </c>
      <c r="AI14" s="18"/>
      <c r="AJ14" s="18"/>
      <c r="AK14" s="638"/>
      <c r="AL14" s="56"/>
      <c r="AM14" s="56"/>
      <c r="AN14" s="2201"/>
      <c r="AO14" s="2201"/>
      <c r="AP14" s="638">
        <f>AN14-AK14</f>
        <v>0</v>
      </c>
      <c r="AQ14" s="10"/>
      <c r="AR14" s="10"/>
      <c r="AS14" s="50"/>
      <c r="BR14" s="644"/>
    </row>
    <row r="15" spans="1:77" x14ac:dyDescent="0.25">
      <c r="A15" s="841" t="s">
        <v>631</v>
      </c>
      <c r="I15" s="22" t="s">
        <v>375</v>
      </c>
      <c r="L15" s="641" t="s">
        <v>143</v>
      </c>
      <c r="O15" s="640" t="s">
        <v>115</v>
      </c>
      <c r="Z15" s="22" t="s">
        <v>624</v>
      </c>
      <c r="AA15" s="22" t="s">
        <v>624</v>
      </c>
      <c r="AC15" s="642" t="s">
        <v>260</v>
      </c>
      <c r="AD15" s="22" t="s">
        <v>159</v>
      </c>
      <c r="AH15" s="33" t="s">
        <v>152</v>
      </c>
      <c r="AI15" s="16"/>
      <c r="AJ15" s="17"/>
      <c r="AK15" s="638">
        <f>AJ15*AK14</f>
        <v>0</v>
      </c>
      <c r="AL15" s="16"/>
      <c r="AM15" s="17">
        <f>AJ15</f>
        <v>0</v>
      </c>
      <c r="AN15" s="2201">
        <f>AM15*AN14</f>
        <v>0</v>
      </c>
      <c r="AO15" s="2201"/>
      <c r="AP15" s="638">
        <f>AN15-AK15</f>
        <v>0</v>
      </c>
      <c r="AQ15" s="10" t="e">
        <f>AP15/AK15</f>
        <v>#DIV/0!</v>
      </c>
      <c r="AR15" s="10"/>
      <c r="AS15" s="50"/>
      <c r="BR15" s="644"/>
    </row>
    <row r="16" spans="1:77" ht="30" x14ac:dyDescent="0.25">
      <c r="A16" s="841" t="s">
        <v>1710</v>
      </c>
      <c r="I16" s="634" t="s">
        <v>538</v>
      </c>
      <c r="O16" s="640" t="s">
        <v>127</v>
      </c>
      <c r="Z16" s="22" t="s">
        <v>239</v>
      </c>
      <c r="AA16" s="22" t="s">
        <v>239</v>
      </c>
      <c r="AC16" s="642" t="s">
        <v>261</v>
      </c>
      <c r="AD16" s="22" t="s">
        <v>159</v>
      </c>
      <c r="AH16" s="33" t="s">
        <v>232</v>
      </c>
      <c r="AI16" s="40"/>
      <c r="AJ16" s="40"/>
      <c r="AK16" s="638">
        <f>AK15+AK14</f>
        <v>0</v>
      </c>
      <c r="AL16" s="40"/>
      <c r="AM16" s="40"/>
      <c r="AN16" s="2201">
        <f>AN15+AN14</f>
        <v>0</v>
      </c>
      <c r="AO16" s="2201"/>
      <c r="AP16" s="638">
        <f>AN16-AK16</f>
        <v>0</v>
      </c>
      <c r="AQ16" s="10" t="e">
        <f>AP16/AK16</f>
        <v>#DIV/0!</v>
      </c>
      <c r="AR16" s="10"/>
      <c r="AS16" s="50"/>
      <c r="BR16" s="644"/>
    </row>
    <row r="17" spans="1:70" x14ac:dyDescent="0.25">
      <c r="A17" s="841" t="s">
        <v>640</v>
      </c>
      <c r="I17" s="22" t="s">
        <v>433</v>
      </c>
      <c r="O17" s="640" t="s">
        <v>130</v>
      </c>
      <c r="Z17" s="22" t="s">
        <v>179</v>
      </c>
      <c r="AA17" s="22" t="s">
        <v>179</v>
      </c>
      <c r="AC17" s="642" t="s">
        <v>262</v>
      </c>
      <c r="AD17" s="22" t="s">
        <v>159</v>
      </c>
      <c r="AH17" s="33" t="s">
        <v>153</v>
      </c>
      <c r="AI17" s="18"/>
      <c r="AJ17" s="21"/>
      <c r="AK17" s="57">
        <f>-0.1*AK16</f>
        <v>0</v>
      </c>
      <c r="AL17" s="56"/>
      <c r="AM17" s="58">
        <f>AJ17</f>
        <v>0</v>
      </c>
      <c r="AN17" s="2200">
        <f>-0.1*AN16</f>
        <v>0</v>
      </c>
      <c r="AO17" s="2200"/>
      <c r="AP17" s="638">
        <f>AN17-AK17</f>
        <v>0</v>
      </c>
      <c r="AQ17" s="10" t="e">
        <f>AP17/AK17</f>
        <v>#DIV/0!</v>
      </c>
      <c r="AR17" s="10"/>
      <c r="AS17" s="50"/>
      <c r="BQ17" s="643"/>
      <c r="BR17" s="644"/>
    </row>
    <row r="18" spans="1:70" ht="15.75" thickBot="1" x14ac:dyDescent="0.3">
      <c r="A18" s="841" t="s">
        <v>641</v>
      </c>
      <c r="I18" s="22" t="s">
        <v>376</v>
      </c>
      <c r="O18" s="640" t="s">
        <v>129</v>
      </c>
      <c r="Z18" s="22" t="s">
        <v>180</v>
      </c>
      <c r="AA18" s="22" t="s">
        <v>180</v>
      </c>
      <c r="AC18" s="642" t="s">
        <v>266</v>
      </c>
      <c r="AD18" s="22" t="s">
        <v>159</v>
      </c>
      <c r="AH18" s="41" t="s">
        <v>235</v>
      </c>
      <c r="AI18" s="42"/>
      <c r="AJ18" s="42"/>
      <c r="AK18" s="637">
        <f>AK16+AK17</f>
        <v>0</v>
      </c>
      <c r="AL18" s="42"/>
      <c r="AM18" s="42"/>
      <c r="AN18" s="2199">
        <f>AN16+AN17</f>
        <v>0</v>
      </c>
      <c r="AO18" s="2199"/>
      <c r="AP18" s="43">
        <f>AN18-AK18</f>
        <v>0</v>
      </c>
      <c r="AQ18" s="44" t="e">
        <f>AP18/AK18</f>
        <v>#DIV/0!</v>
      </c>
      <c r="AR18" s="55"/>
      <c r="AS18" s="53"/>
      <c r="BR18" s="644"/>
    </row>
    <row r="19" spans="1:70" x14ac:dyDescent="0.25">
      <c r="A19" s="841" t="s">
        <v>639</v>
      </c>
      <c r="I19" s="22" t="s">
        <v>477</v>
      </c>
      <c r="O19" s="640" t="s">
        <v>132</v>
      </c>
      <c r="Z19" s="22" t="s">
        <v>181</v>
      </c>
      <c r="AA19" s="22" t="s">
        <v>181</v>
      </c>
      <c r="AC19" s="642" t="s">
        <v>264</v>
      </c>
      <c r="AD19" s="22" t="s">
        <v>159</v>
      </c>
      <c r="BR19" s="644"/>
    </row>
    <row r="20" spans="1:70" x14ac:dyDescent="0.25">
      <c r="A20" s="841" t="s">
        <v>1709</v>
      </c>
      <c r="I20" s="22" t="s">
        <v>478</v>
      </c>
      <c r="O20" s="640" t="s">
        <v>131</v>
      </c>
      <c r="Z20" s="22" t="s">
        <v>164</v>
      </c>
      <c r="AA20" s="22" t="s">
        <v>164</v>
      </c>
      <c r="AC20" s="642" t="s">
        <v>265</v>
      </c>
      <c r="AD20" s="22" t="s">
        <v>159</v>
      </c>
      <c r="BR20" s="644"/>
    </row>
    <row r="21" spans="1:70" x14ac:dyDescent="0.25">
      <c r="A21" s="841" t="s">
        <v>1713</v>
      </c>
      <c r="I21" s="22" t="s">
        <v>145</v>
      </c>
      <c r="O21" s="640" t="s">
        <v>103</v>
      </c>
      <c r="Z21" s="22" t="s">
        <v>202</v>
      </c>
      <c r="AA21" s="22" t="s">
        <v>202</v>
      </c>
      <c r="AC21" s="642" t="s">
        <v>268</v>
      </c>
      <c r="AD21" s="22" t="s">
        <v>159</v>
      </c>
      <c r="BQ21" s="643"/>
      <c r="BR21" s="644"/>
    </row>
    <row r="22" spans="1:70" x14ac:dyDescent="0.25">
      <c r="A22" s="841" t="s">
        <v>3898</v>
      </c>
      <c r="I22" s="22" t="s">
        <v>18</v>
      </c>
      <c r="O22" s="640" t="s">
        <v>108</v>
      </c>
      <c r="Z22" s="22" t="s">
        <v>203</v>
      </c>
      <c r="AA22" s="22" t="s">
        <v>203</v>
      </c>
      <c r="AC22" s="642" t="s">
        <v>267</v>
      </c>
      <c r="AD22" s="22" t="s">
        <v>159</v>
      </c>
      <c r="BR22" s="644"/>
    </row>
    <row r="23" spans="1:70" x14ac:dyDescent="0.25">
      <c r="A23" s="841" t="s">
        <v>1714</v>
      </c>
      <c r="I23" s="22" t="s">
        <v>19</v>
      </c>
      <c r="O23" s="640" t="s">
        <v>102</v>
      </c>
      <c r="Z23" s="22" t="s">
        <v>2277</v>
      </c>
      <c r="AA23" s="22" t="s">
        <v>2277</v>
      </c>
      <c r="AC23" s="642" t="s">
        <v>269</v>
      </c>
      <c r="AD23" s="22" t="s">
        <v>159</v>
      </c>
      <c r="BR23" s="644"/>
    </row>
    <row r="24" spans="1:70" x14ac:dyDescent="0.25">
      <c r="A24" s="841" t="s">
        <v>5082</v>
      </c>
      <c r="I24" s="22" t="s">
        <v>479</v>
      </c>
      <c r="O24" s="640" t="s">
        <v>107</v>
      </c>
      <c r="Z24" s="22" t="s">
        <v>165</v>
      </c>
      <c r="AA24" s="22" t="s">
        <v>165</v>
      </c>
      <c r="AC24" s="642" t="s">
        <v>272</v>
      </c>
      <c r="AD24" s="22" t="s">
        <v>159</v>
      </c>
      <c r="BR24" s="644"/>
    </row>
    <row r="25" spans="1:70" x14ac:dyDescent="0.25">
      <c r="A25" s="841" t="s">
        <v>5083</v>
      </c>
      <c r="I25" s="22" t="s">
        <v>377</v>
      </c>
      <c r="O25" s="640" t="s">
        <v>110</v>
      </c>
      <c r="Z25" s="22" t="s">
        <v>204</v>
      </c>
      <c r="AA25" s="22" t="s">
        <v>204</v>
      </c>
      <c r="AC25" s="642" t="s">
        <v>270</v>
      </c>
      <c r="AD25" s="22" t="s">
        <v>159</v>
      </c>
      <c r="BQ25" s="643"/>
      <c r="BR25" s="644"/>
    </row>
    <row r="26" spans="1:70" x14ac:dyDescent="0.25">
      <c r="A26" s="841" t="s">
        <v>5084</v>
      </c>
      <c r="B26" s="22" t="s">
        <v>34</v>
      </c>
      <c r="I26" s="22" t="s">
        <v>378</v>
      </c>
      <c r="O26" s="640" t="s">
        <v>109</v>
      </c>
      <c r="Z26" s="22" t="s">
        <v>183</v>
      </c>
      <c r="AA26" s="22" t="s">
        <v>183</v>
      </c>
      <c r="AC26" s="642" t="s">
        <v>271</v>
      </c>
      <c r="AD26" s="22" t="s">
        <v>159</v>
      </c>
      <c r="BR26" s="644"/>
    </row>
    <row r="27" spans="1:70" x14ac:dyDescent="0.25">
      <c r="A27" s="841" t="s">
        <v>5085</v>
      </c>
      <c r="B27" s="22" t="s">
        <v>35</v>
      </c>
      <c r="I27" s="22" t="s">
        <v>379</v>
      </c>
      <c r="O27" s="640" t="s">
        <v>57</v>
      </c>
      <c r="Z27" s="22" t="s">
        <v>166</v>
      </c>
      <c r="AA27" s="22" t="s">
        <v>166</v>
      </c>
      <c r="AC27" s="642" t="s">
        <v>277</v>
      </c>
      <c r="AD27" s="22" t="s">
        <v>159</v>
      </c>
      <c r="BR27" s="644"/>
    </row>
    <row r="28" spans="1:70" x14ac:dyDescent="0.25">
      <c r="A28" s="841" t="s">
        <v>5086</v>
      </c>
      <c r="B28" s="22" t="s">
        <v>36</v>
      </c>
      <c r="I28" s="22" t="s">
        <v>380</v>
      </c>
      <c r="O28" s="640" t="s">
        <v>56</v>
      </c>
      <c r="Z28" s="22" t="s">
        <v>2359</v>
      </c>
      <c r="AA28" s="22" t="s">
        <v>2359</v>
      </c>
      <c r="AC28" s="642" t="s">
        <v>273</v>
      </c>
      <c r="AD28" s="22" t="s">
        <v>159</v>
      </c>
      <c r="BR28" s="644"/>
    </row>
    <row r="29" spans="1:70" x14ac:dyDescent="0.25">
      <c r="A29" s="841" t="s">
        <v>5087</v>
      </c>
      <c r="B29" s="22" t="s">
        <v>37</v>
      </c>
      <c r="I29" s="22" t="s">
        <v>381</v>
      </c>
      <c r="O29" s="640" t="s">
        <v>60</v>
      </c>
      <c r="Z29" s="22" t="s">
        <v>2362</v>
      </c>
      <c r="AA29" s="22" t="s">
        <v>2362</v>
      </c>
      <c r="AC29" s="642" t="s">
        <v>274</v>
      </c>
      <c r="AD29" s="22" t="s">
        <v>159</v>
      </c>
      <c r="BQ29" s="643"/>
      <c r="BR29" s="644"/>
    </row>
    <row r="30" spans="1:70" x14ac:dyDescent="0.25">
      <c r="A30" s="841" t="s">
        <v>5088</v>
      </c>
      <c r="B30" s="22" t="s">
        <v>38</v>
      </c>
      <c r="I30" s="22" t="s">
        <v>480</v>
      </c>
      <c r="O30" s="640" t="s">
        <v>90</v>
      </c>
      <c r="Z30" s="22" t="s">
        <v>2361</v>
      </c>
      <c r="AA30" s="22" t="s">
        <v>2361</v>
      </c>
      <c r="AC30" s="642" t="s">
        <v>275</v>
      </c>
      <c r="AD30" s="22" t="s">
        <v>159</v>
      </c>
      <c r="BR30" s="644"/>
    </row>
    <row r="31" spans="1:70" x14ac:dyDescent="0.25">
      <c r="A31" s="841" t="s">
        <v>5089</v>
      </c>
      <c r="B31" s="22" t="s">
        <v>39</v>
      </c>
      <c r="I31" s="22" t="s">
        <v>481</v>
      </c>
      <c r="O31" s="640" t="s">
        <v>128</v>
      </c>
      <c r="Z31" s="22" t="s">
        <v>626</v>
      </c>
      <c r="AA31" s="22" t="s">
        <v>626</v>
      </c>
      <c r="AC31" s="642" t="s">
        <v>276</v>
      </c>
      <c r="AD31" s="22" t="s">
        <v>159</v>
      </c>
      <c r="BR31" s="644"/>
    </row>
    <row r="32" spans="1:70" x14ac:dyDescent="0.25">
      <c r="A32" s="841" t="s">
        <v>5090</v>
      </c>
      <c r="B32" s="22" t="s">
        <v>40</v>
      </c>
      <c r="I32" s="22" t="s">
        <v>482</v>
      </c>
      <c r="O32" s="640" t="s">
        <v>116</v>
      </c>
      <c r="Z32" s="22" t="s">
        <v>205</v>
      </c>
      <c r="AA32" s="22" t="s">
        <v>205</v>
      </c>
      <c r="AC32" s="642" t="s">
        <v>278</v>
      </c>
      <c r="AD32" s="22" t="s">
        <v>159</v>
      </c>
      <c r="BR32" s="644"/>
    </row>
    <row r="33" spans="1:70" x14ac:dyDescent="0.25">
      <c r="A33" s="841" t="s">
        <v>5091</v>
      </c>
      <c r="B33" s="22" t="s">
        <v>41</v>
      </c>
      <c r="I33" s="22" t="s">
        <v>483</v>
      </c>
      <c r="O33" s="640" t="s">
        <v>61</v>
      </c>
      <c r="Z33" s="22" t="s">
        <v>2278</v>
      </c>
      <c r="AA33" s="22" t="s">
        <v>2278</v>
      </c>
      <c r="AC33" s="642" t="s">
        <v>279</v>
      </c>
      <c r="AD33" s="22" t="s">
        <v>159</v>
      </c>
      <c r="BQ33" s="643"/>
      <c r="BR33" s="644"/>
    </row>
    <row r="34" spans="1:70" x14ac:dyDescent="0.25">
      <c r="A34" s="841" t="s">
        <v>5092</v>
      </c>
      <c r="B34" s="22" t="s">
        <v>42</v>
      </c>
      <c r="I34" s="22" t="s">
        <v>484</v>
      </c>
      <c r="O34" s="640" t="s">
        <v>100</v>
      </c>
      <c r="Z34" s="22" t="s">
        <v>167</v>
      </c>
      <c r="AA34" s="22" t="s">
        <v>167</v>
      </c>
      <c r="AC34" s="642" t="s">
        <v>281</v>
      </c>
      <c r="AD34" s="22" t="s">
        <v>159</v>
      </c>
      <c r="BR34" s="644"/>
    </row>
    <row r="35" spans="1:70" x14ac:dyDescent="0.25">
      <c r="A35" s="841" t="s">
        <v>2446</v>
      </c>
      <c r="B35" s="22" t="s">
        <v>43</v>
      </c>
      <c r="I35" s="22" t="s">
        <v>382</v>
      </c>
      <c r="O35" s="640" t="s">
        <v>91</v>
      </c>
      <c r="Z35" s="22" t="s">
        <v>163</v>
      </c>
      <c r="AA35" s="22" t="s">
        <v>163</v>
      </c>
      <c r="AC35" s="642" t="s">
        <v>280</v>
      </c>
      <c r="AD35" s="22" t="s">
        <v>159</v>
      </c>
      <c r="BR35" s="644"/>
    </row>
    <row r="36" spans="1:70" x14ac:dyDescent="0.25">
      <c r="A36" s="841" t="s">
        <v>2464</v>
      </c>
      <c r="B36" s="22" t="s">
        <v>44</v>
      </c>
      <c r="I36" s="22" t="s">
        <v>485</v>
      </c>
      <c r="O36" s="640" t="s">
        <v>136</v>
      </c>
      <c r="Z36" s="22" t="s">
        <v>184</v>
      </c>
      <c r="AA36" s="22" t="s">
        <v>184</v>
      </c>
      <c r="AC36" s="642" t="s">
        <v>282</v>
      </c>
      <c r="AD36" s="22" t="s">
        <v>159</v>
      </c>
      <c r="BR36" s="644"/>
    </row>
    <row r="37" spans="1:70" x14ac:dyDescent="0.25">
      <c r="A37" s="841" t="s">
        <v>5093</v>
      </c>
      <c r="B37" s="22" t="s">
        <v>45</v>
      </c>
      <c r="I37" s="22" t="s">
        <v>383</v>
      </c>
      <c r="O37" s="640" t="s">
        <v>135</v>
      </c>
      <c r="Z37" s="22" t="s">
        <v>206</v>
      </c>
      <c r="AA37" s="22" t="s">
        <v>206</v>
      </c>
      <c r="AC37" s="642" t="s">
        <v>283</v>
      </c>
      <c r="AD37" s="22" t="s">
        <v>159</v>
      </c>
      <c r="BQ37" s="643"/>
      <c r="BR37" s="644"/>
    </row>
    <row r="38" spans="1:70" x14ac:dyDescent="0.25">
      <c r="A38" s="841" t="s">
        <v>5094</v>
      </c>
      <c r="I38" s="22" t="s">
        <v>384</v>
      </c>
      <c r="O38" s="640" t="s">
        <v>62</v>
      </c>
      <c r="Z38" s="22" t="s">
        <v>185</v>
      </c>
      <c r="AA38" s="22" t="s">
        <v>185</v>
      </c>
      <c r="AC38" s="642" t="s">
        <v>284</v>
      </c>
      <c r="AD38" s="22" t="s">
        <v>159</v>
      </c>
      <c r="BR38" s="644"/>
    </row>
    <row r="39" spans="1:70" x14ac:dyDescent="0.25">
      <c r="A39" s="841" t="s">
        <v>638</v>
      </c>
      <c r="I39" s="22" t="s">
        <v>486</v>
      </c>
      <c r="O39" s="640" t="s">
        <v>92</v>
      </c>
      <c r="Z39" s="22" t="s">
        <v>186</v>
      </c>
      <c r="AA39" s="22" t="s">
        <v>186</v>
      </c>
      <c r="AC39" s="642" t="s">
        <v>285</v>
      </c>
      <c r="AD39" s="22" t="s">
        <v>158</v>
      </c>
      <c r="BR39" s="644"/>
    </row>
    <row r="40" spans="1:70" x14ac:dyDescent="0.25">
      <c r="A40" s="841" t="s">
        <v>637</v>
      </c>
      <c r="I40" s="22" t="s">
        <v>436</v>
      </c>
      <c r="O40" s="640" t="s">
        <v>101</v>
      </c>
      <c r="Z40" s="22" t="s">
        <v>187</v>
      </c>
      <c r="AA40" s="22" t="s">
        <v>187</v>
      </c>
      <c r="AC40" s="642" t="s">
        <v>286</v>
      </c>
      <c r="AD40" s="22" t="s">
        <v>158</v>
      </c>
      <c r="BR40" s="644"/>
    </row>
    <row r="41" spans="1:70" x14ac:dyDescent="0.25">
      <c r="A41" s="841" t="s">
        <v>630</v>
      </c>
      <c r="I41" s="22" t="s">
        <v>487</v>
      </c>
      <c r="O41" s="640" t="s">
        <v>63</v>
      </c>
      <c r="Z41" s="22" t="s">
        <v>426</v>
      </c>
      <c r="AA41" s="22" t="s">
        <v>426</v>
      </c>
      <c r="AC41" s="642" t="s">
        <v>288</v>
      </c>
      <c r="AD41" s="22" t="s">
        <v>159</v>
      </c>
      <c r="BQ41" s="643"/>
      <c r="BR41" s="644"/>
    </row>
    <row r="42" spans="1:70" x14ac:dyDescent="0.25">
      <c r="A42" s="841" t="s">
        <v>2360</v>
      </c>
      <c r="I42" s="22" t="s">
        <v>488</v>
      </c>
      <c r="O42" s="640" t="s">
        <v>97</v>
      </c>
      <c r="Z42" s="22" t="s">
        <v>427</v>
      </c>
      <c r="AA42" s="22" t="s">
        <v>427</v>
      </c>
      <c r="AC42" s="642" t="s">
        <v>287</v>
      </c>
      <c r="AD42" s="22" t="s">
        <v>159</v>
      </c>
      <c r="BR42" s="644"/>
    </row>
    <row r="43" spans="1:70" x14ac:dyDescent="0.25">
      <c r="A43" s="841" t="s">
        <v>5095</v>
      </c>
      <c r="I43" s="22" t="s">
        <v>385</v>
      </c>
      <c r="O43" s="640" t="s">
        <v>64</v>
      </c>
      <c r="Z43" s="22" t="s">
        <v>188</v>
      </c>
      <c r="AA43" s="22" t="s">
        <v>188</v>
      </c>
      <c r="AC43" s="642" t="s">
        <v>289</v>
      </c>
      <c r="AD43" s="22" t="s">
        <v>159</v>
      </c>
      <c r="BR43" s="644"/>
    </row>
    <row r="44" spans="1:70" ht="30" x14ac:dyDescent="0.25">
      <c r="A44" s="841" t="s">
        <v>3624</v>
      </c>
      <c r="I44" s="634" t="s">
        <v>539</v>
      </c>
      <c r="O44" s="640" t="s">
        <v>65</v>
      </c>
      <c r="Z44" s="22" t="s">
        <v>189</v>
      </c>
      <c r="AA44" s="22" t="s">
        <v>189</v>
      </c>
      <c r="AC44" s="642" t="s">
        <v>466</v>
      </c>
      <c r="AD44" s="22" t="s">
        <v>159</v>
      </c>
      <c r="BR44" s="644"/>
    </row>
    <row r="45" spans="1:70" x14ac:dyDescent="0.25">
      <c r="A45" s="841" t="s">
        <v>643</v>
      </c>
      <c r="I45" s="22" t="s">
        <v>434</v>
      </c>
      <c r="O45" s="640" t="s">
        <v>111</v>
      </c>
      <c r="Z45" s="22" t="s">
        <v>190</v>
      </c>
      <c r="AA45" s="22" t="s">
        <v>190</v>
      </c>
      <c r="AC45" s="642" t="s">
        <v>290</v>
      </c>
      <c r="AD45" s="22" t="s">
        <v>159</v>
      </c>
      <c r="BQ45" s="643"/>
      <c r="BR45" s="644"/>
    </row>
    <row r="46" spans="1:70" x14ac:dyDescent="0.25">
      <c r="A46" s="841" t="s">
        <v>644</v>
      </c>
      <c r="I46" s="22" t="s">
        <v>386</v>
      </c>
      <c r="O46" s="640" t="s">
        <v>98</v>
      </c>
      <c r="Z46" s="22" t="s">
        <v>242</v>
      </c>
      <c r="AA46" s="22" t="s">
        <v>242</v>
      </c>
      <c r="AC46" s="642" t="s">
        <v>291</v>
      </c>
      <c r="AD46" s="22" t="s">
        <v>159</v>
      </c>
      <c r="BR46" s="644"/>
    </row>
    <row r="47" spans="1:70" x14ac:dyDescent="0.25">
      <c r="A47" s="841" t="s">
        <v>5096</v>
      </c>
      <c r="I47" s="22" t="s">
        <v>387</v>
      </c>
      <c r="O47" s="640" t="s">
        <v>123</v>
      </c>
      <c r="Z47" s="22" t="s">
        <v>146</v>
      </c>
      <c r="AA47" s="22" t="s">
        <v>146</v>
      </c>
      <c r="AC47" s="642" t="s">
        <v>292</v>
      </c>
      <c r="AD47" s="22" t="s">
        <v>159</v>
      </c>
      <c r="BR47" s="644"/>
    </row>
    <row r="48" spans="1:70" x14ac:dyDescent="0.25">
      <c r="A48" s="841" t="s">
        <v>645</v>
      </c>
      <c r="I48" s="22" t="s">
        <v>388</v>
      </c>
      <c r="O48" s="640" t="s">
        <v>66</v>
      </c>
      <c r="Z48" s="22" t="s">
        <v>243</v>
      </c>
      <c r="AA48" s="22" t="s">
        <v>243</v>
      </c>
      <c r="AC48" s="642" t="s">
        <v>297</v>
      </c>
      <c r="AD48" s="22" t="s">
        <v>158</v>
      </c>
      <c r="BR48" s="644"/>
    </row>
    <row r="49" spans="1:70" x14ac:dyDescent="0.25">
      <c r="A49" s="841" t="s">
        <v>3626</v>
      </c>
      <c r="I49" s="22" t="s">
        <v>389</v>
      </c>
      <c r="O49" s="640" t="s">
        <v>67</v>
      </c>
      <c r="Z49" s="22" t="s">
        <v>207</v>
      </c>
      <c r="AA49" s="22" t="s">
        <v>207</v>
      </c>
      <c r="AC49" s="642" t="s">
        <v>293</v>
      </c>
      <c r="AD49" s="22" t="s">
        <v>158</v>
      </c>
      <c r="BQ49" s="643"/>
      <c r="BR49" s="644"/>
    </row>
    <row r="50" spans="1:70" x14ac:dyDescent="0.25">
      <c r="A50" s="841" t="s">
        <v>1711</v>
      </c>
      <c r="I50" s="22" t="s">
        <v>390</v>
      </c>
      <c r="O50" s="640" t="s">
        <v>68</v>
      </c>
      <c r="Z50" s="22" t="s">
        <v>244</v>
      </c>
      <c r="AA50" s="22" t="s">
        <v>244</v>
      </c>
      <c r="AC50" s="642" t="s">
        <v>294</v>
      </c>
      <c r="AD50" s="22" t="s">
        <v>158</v>
      </c>
      <c r="BQ50" s="643"/>
      <c r="BR50" s="644"/>
    </row>
    <row r="51" spans="1:70" x14ac:dyDescent="0.25">
      <c r="A51" s="841" t="s">
        <v>1712</v>
      </c>
      <c r="I51" s="22" t="s">
        <v>489</v>
      </c>
      <c r="O51" s="640" t="s">
        <v>119</v>
      </c>
      <c r="Z51" s="22" t="s">
        <v>192</v>
      </c>
      <c r="AA51" s="22" t="s">
        <v>192</v>
      </c>
      <c r="AC51" s="642" t="s">
        <v>295</v>
      </c>
      <c r="AD51" s="22" t="s">
        <v>158</v>
      </c>
      <c r="BR51" s="644"/>
    </row>
    <row r="52" spans="1:70" x14ac:dyDescent="0.25">
      <c r="A52" s="841" t="s">
        <v>1708</v>
      </c>
      <c r="I52" s="22" t="s">
        <v>391</v>
      </c>
      <c r="O52" s="640" t="s">
        <v>138</v>
      </c>
      <c r="Z52" s="22" t="s">
        <v>194</v>
      </c>
      <c r="AA52" s="22" t="s">
        <v>194</v>
      </c>
      <c r="AC52" s="642" t="s">
        <v>296</v>
      </c>
      <c r="AD52" s="22" t="s">
        <v>158</v>
      </c>
      <c r="BR52" s="644"/>
    </row>
    <row r="53" spans="1:70" ht="30" x14ac:dyDescent="0.25">
      <c r="A53" s="841" t="s">
        <v>646</v>
      </c>
      <c r="I53" s="634" t="s">
        <v>540</v>
      </c>
      <c r="O53" s="640" t="s">
        <v>105</v>
      </c>
      <c r="Z53" s="22" t="s">
        <v>168</v>
      </c>
      <c r="AA53" s="22" t="s">
        <v>168</v>
      </c>
      <c r="AC53" s="642" t="s">
        <v>298</v>
      </c>
      <c r="AD53" s="22" t="s">
        <v>159</v>
      </c>
      <c r="BQ53" s="643"/>
      <c r="BR53" s="644"/>
    </row>
    <row r="54" spans="1:70" ht="30" x14ac:dyDescent="0.25">
      <c r="A54" s="841" t="s">
        <v>1715</v>
      </c>
      <c r="I54" s="634" t="s">
        <v>541</v>
      </c>
      <c r="O54" s="640" t="s">
        <v>104</v>
      </c>
      <c r="Z54" s="22" t="s">
        <v>245</v>
      </c>
      <c r="AA54" s="22" t="s">
        <v>245</v>
      </c>
      <c r="AC54" s="642" t="s">
        <v>299</v>
      </c>
      <c r="AD54" s="22" t="s">
        <v>159</v>
      </c>
      <c r="BR54" s="644"/>
    </row>
    <row r="55" spans="1:70" x14ac:dyDescent="0.25">
      <c r="A55" s="841" t="s">
        <v>3942</v>
      </c>
      <c r="I55" s="22" t="s">
        <v>490</v>
      </c>
      <c r="O55" s="640" t="s">
        <v>113</v>
      </c>
      <c r="Z55" s="22" t="s">
        <v>195</v>
      </c>
      <c r="AA55" s="22" t="s">
        <v>195</v>
      </c>
      <c r="AC55" s="642" t="s">
        <v>300</v>
      </c>
      <c r="AD55" s="22" t="s">
        <v>159</v>
      </c>
      <c r="BR55" s="648"/>
    </row>
    <row r="56" spans="1:70" x14ac:dyDescent="0.25">
      <c r="A56" s="841" t="s">
        <v>2276</v>
      </c>
      <c r="I56" s="22" t="s">
        <v>392</v>
      </c>
      <c r="O56" s="640" t="s">
        <v>69</v>
      </c>
      <c r="Z56" s="22" t="s">
        <v>169</v>
      </c>
      <c r="AA56" s="22" t="s">
        <v>169</v>
      </c>
      <c r="AC56" s="642" t="s">
        <v>301</v>
      </c>
      <c r="AD56" s="22" t="s">
        <v>159</v>
      </c>
      <c r="BQ56" s="643"/>
      <c r="BR56" s="644"/>
    </row>
    <row r="57" spans="1:70" ht="30" x14ac:dyDescent="0.25">
      <c r="A57" s="841" t="s">
        <v>2447</v>
      </c>
      <c r="I57" s="634" t="s">
        <v>542</v>
      </c>
      <c r="O57" s="640" t="s">
        <v>70</v>
      </c>
      <c r="Z57" s="22" t="s">
        <v>209</v>
      </c>
      <c r="AA57" s="22" t="s">
        <v>209</v>
      </c>
      <c r="AC57" s="642" t="s">
        <v>306</v>
      </c>
      <c r="AD57" s="22" t="s">
        <v>159</v>
      </c>
      <c r="BR57" s="644"/>
    </row>
    <row r="58" spans="1:70" x14ac:dyDescent="0.25">
      <c r="I58" s="22" t="s">
        <v>393</v>
      </c>
      <c r="O58" s="640" t="s">
        <v>93</v>
      </c>
      <c r="Z58" s="22" t="s">
        <v>170</v>
      </c>
      <c r="AA58" s="22" t="s">
        <v>170</v>
      </c>
      <c r="AC58" s="642" t="s">
        <v>302</v>
      </c>
      <c r="AD58" s="22" t="s">
        <v>159</v>
      </c>
      <c r="BQ58" s="643"/>
      <c r="BR58" s="644"/>
    </row>
    <row r="59" spans="1:70" x14ac:dyDescent="0.25">
      <c r="I59" s="22" t="s">
        <v>394</v>
      </c>
      <c r="O59" s="640" t="s">
        <v>94</v>
      </c>
      <c r="Z59" s="22" t="s">
        <v>171</v>
      </c>
      <c r="AA59" s="22" t="s">
        <v>171</v>
      </c>
      <c r="AC59" s="642" t="s">
        <v>303</v>
      </c>
      <c r="AD59" s="22" t="s">
        <v>159</v>
      </c>
      <c r="BR59" s="644"/>
    </row>
    <row r="60" spans="1:70" ht="30" x14ac:dyDescent="0.25">
      <c r="I60" s="634" t="s">
        <v>543</v>
      </c>
      <c r="O60" s="640" t="s">
        <v>112</v>
      </c>
      <c r="Z60" s="22" t="s">
        <v>246</v>
      </c>
      <c r="AA60" s="22" t="s">
        <v>246</v>
      </c>
      <c r="AC60" s="642" t="s">
        <v>304</v>
      </c>
      <c r="AD60" s="22" t="s">
        <v>159</v>
      </c>
      <c r="BR60" s="644"/>
    </row>
    <row r="61" spans="1:70" x14ac:dyDescent="0.25">
      <c r="I61" s="22" t="s">
        <v>395</v>
      </c>
      <c r="O61" s="640" t="s">
        <v>106</v>
      </c>
      <c r="Z61" s="22" t="s">
        <v>210</v>
      </c>
      <c r="AA61" s="22" t="s">
        <v>210</v>
      </c>
      <c r="AC61" s="642" t="s">
        <v>305</v>
      </c>
      <c r="AD61" s="22" t="s">
        <v>159</v>
      </c>
      <c r="BQ61" s="643"/>
      <c r="BR61" s="644"/>
    </row>
    <row r="62" spans="1:70" x14ac:dyDescent="0.25">
      <c r="I62" s="22" t="s">
        <v>491</v>
      </c>
      <c r="O62" s="640" t="s">
        <v>71</v>
      </c>
      <c r="Z62" s="22" t="s">
        <v>196</v>
      </c>
      <c r="AA62" s="22" t="s">
        <v>196</v>
      </c>
      <c r="AC62" s="642" t="s">
        <v>307</v>
      </c>
      <c r="AD62" s="22" t="s">
        <v>23</v>
      </c>
      <c r="BR62" s="644"/>
    </row>
    <row r="63" spans="1:70" x14ac:dyDescent="0.25">
      <c r="I63" s="22" t="s">
        <v>492</v>
      </c>
      <c r="O63" s="640" t="s">
        <v>120</v>
      </c>
      <c r="Z63" s="22" t="s">
        <v>197</v>
      </c>
      <c r="AA63" s="22" t="s">
        <v>197</v>
      </c>
      <c r="AC63" s="642" t="s">
        <v>316</v>
      </c>
      <c r="AD63" s="22" t="s">
        <v>158</v>
      </c>
      <c r="BQ63" s="643"/>
    </row>
    <row r="64" spans="1:70" x14ac:dyDescent="0.25">
      <c r="I64" s="22" t="s">
        <v>493</v>
      </c>
      <c r="O64" s="640" t="s">
        <v>122</v>
      </c>
      <c r="Z64" s="22" t="s">
        <v>198</v>
      </c>
      <c r="AA64" s="22" t="s">
        <v>198</v>
      </c>
      <c r="AC64" s="642" t="s">
        <v>308</v>
      </c>
      <c r="AD64" s="22" t="s">
        <v>158</v>
      </c>
      <c r="BQ64" s="643"/>
    </row>
    <row r="65" spans="9:70" x14ac:dyDescent="0.25">
      <c r="I65" s="22" t="s">
        <v>613</v>
      </c>
      <c r="O65" s="640" t="s">
        <v>121</v>
      </c>
      <c r="Z65" s="22" t="s">
        <v>2359</v>
      </c>
      <c r="AA65" s="22" t="s">
        <v>2359</v>
      </c>
      <c r="AC65" s="642" t="s">
        <v>309</v>
      </c>
      <c r="AD65" s="22" t="s">
        <v>158</v>
      </c>
      <c r="BR65" s="644"/>
    </row>
    <row r="66" spans="9:70" x14ac:dyDescent="0.25">
      <c r="I66" s="22" t="s">
        <v>396</v>
      </c>
      <c r="O66" s="640" t="s">
        <v>124</v>
      </c>
      <c r="Z66" s="22" t="s">
        <v>2362</v>
      </c>
      <c r="AA66" s="22" t="s">
        <v>2362</v>
      </c>
      <c r="AC66" s="642" t="s">
        <v>310</v>
      </c>
      <c r="AD66" s="22" t="s">
        <v>158</v>
      </c>
      <c r="BQ66" s="643"/>
      <c r="BR66" s="644"/>
    </row>
    <row r="67" spans="9:70" x14ac:dyDescent="0.25">
      <c r="I67" s="22" t="s">
        <v>397</v>
      </c>
      <c r="O67" s="640" t="s">
        <v>134</v>
      </c>
      <c r="Z67" s="22" t="s">
        <v>2361</v>
      </c>
      <c r="AA67" s="22" t="s">
        <v>2361</v>
      </c>
      <c r="AC67" s="642" t="s">
        <v>311</v>
      </c>
      <c r="AD67" s="22" t="s">
        <v>158</v>
      </c>
      <c r="BQ67" s="643"/>
      <c r="BR67" s="644"/>
    </row>
    <row r="68" spans="9:70" x14ac:dyDescent="0.25">
      <c r="I68" s="22" t="s">
        <v>494</v>
      </c>
      <c r="O68" s="640" t="s">
        <v>133</v>
      </c>
      <c r="Z68" s="22" t="s">
        <v>191</v>
      </c>
      <c r="AA68" s="22" t="s">
        <v>191</v>
      </c>
      <c r="AC68" s="642" t="s">
        <v>312</v>
      </c>
      <c r="AD68" s="22" t="s">
        <v>158</v>
      </c>
      <c r="BR68" s="644"/>
    </row>
    <row r="69" spans="9:70" ht="30" x14ac:dyDescent="0.25">
      <c r="I69" s="634" t="s">
        <v>544</v>
      </c>
      <c r="O69" s="640" t="s">
        <v>139</v>
      </c>
      <c r="AC69" s="642" t="s">
        <v>313</v>
      </c>
      <c r="AD69" s="22" t="s">
        <v>158</v>
      </c>
      <c r="BQ69" s="643"/>
      <c r="BR69" s="644"/>
    </row>
    <row r="70" spans="9:70" ht="30" x14ac:dyDescent="0.25">
      <c r="I70" s="634" t="s">
        <v>545</v>
      </c>
      <c r="O70" s="640" t="s">
        <v>141</v>
      </c>
      <c r="AC70" s="642" t="s">
        <v>314</v>
      </c>
      <c r="AD70" s="22" t="s">
        <v>158</v>
      </c>
      <c r="BQ70" s="643"/>
      <c r="BR70" s="644"/>
    </row>
    <row r="71" spans="9:70" ht="30" x14ac:dyDescent="0.25">
      <c r="I71" s="634" t="s">
        <v>546</v>
      </c>
      <c r="O71" s="640" t="s">
        <v>140</v>
      </c>
      <c r="AC71" s="642" t="s">
        <v>315</v>
      </c>
      <c r="AD71" s="22" t="s">
        <v>158</v>
      </c>
      <c r="BR71" s="644"/>
    </row>
    <row r="72" spans="9:70" ht="30" x14ac:dyDescent="0.25">
      <c r="I72" s="634" t="s">
        <v>547</v>
      </c>
      <c r="AC72" s="642" t="s">
        <v>318</v>
      </c>
      <c r="AD72" s="22" t="s">
        <v>158</v>
      </c>
      <c r="BQ72" s="643"/>
      <c r="BR72" s="644"/>
    </row>
    <row r="73" spans="9:70" ht="30" x14ac:dyDescent="0.25">
      <c r="I73" s="634" t="s">
        <v>548</v>
      </c>
      <c r="AC73" s="642" t="s">
        <v>317</v>
      </c>
      <c r="AD73" s="22" t="s">
        <v>158</v>
      </c>
      <c r="BQ73" s="643"/>
      <c r="BR73" s="644"/>
    </row>
    <row r="74" spans="9:70" ht="30" x14ac:dyDescent="0.25">
      <c r="I74" s="634" t="s">
        <v>549</v>
      </c>
      <c r="AC74" s="642" t="s">
        <v>319</v>
      </c>
      <c r="AD74" s="22" t="s">
        <v>158</v>
      </c>
      <c r="BR74" s="644"/>
    </row>
    <row r="75" spans="9:70" ht="30" x14ac:dyDescent="0.25">
      <c r="I75" s="634" t="s">
        <v>550</v>
      </c>
      <c r="AC75" s="642" t="s">
        <v>320</v>
      </c>
      <c r="AD75" s="22" t="s">
        <v>158</v>
      </c>
      <c r="BQ75" s="643"/>
      <c r="BR75" s="644"/>
    </row>
    <row r="76" spans="9:70" ht="30" x14ac:dyDescent="0.25">
      <c r="I76" s="634" t="s">
        <v>551</v>
      </c>
      <c r="Z76" s="634"/>
      <c r="AA76" s="634"/>
      <c r="AC76" s="642" t="s">
        <v>321</v>
      </c>
      <c r="AD76" s="22" t="s">
        <v>158</v>
      </c>
      <c r="BQ76" s="643"/>
    </row>
    <row r="77" spans="9:70" ht="30" x14ac:dyDescent="0.25">
      <c r="I77" s="634" t="s">
        <v>552</v>
      </c>
      <c r="AC77" s="642" t="s">
        <v>324</v>
      </c>
      <c r="AD77" s="22" t="s">
        <v>158</v>
      </c>
      <c r="BR77" s="644"/>
    </row>
    <row r="78" spans="9:70" ht="30" x14ac:dyDescent="0.25">
      <c r="I78" s="634" t="s">
        <v>553</v>
      </c>
      <c r="Z78" s="649"/>
      <c r="AA78" s="601"/>
      <c r="AC78" s="642" t="s">
        <v>322</v>
      </c>
      <c r="AD78" s="22" t="s">
        <v>158</v>
      </c>
      <c r="BQ78" s="643"/>
      <c r="BR78" s="644"/>
    </row>
    <row r="79" spans="9:70" ht="30" x14ac:dyDescent="0.25">
      <c r="I79" s="634" t="s">
        <v>554</v>
      </c>
      <c r="Z79" s="649"/>
      <c r="AA79" s="650"/>
      <c r="AC79" s="642" t="s">
        <v>323</v>
      </c>
      <c r="AD79" s="22" t="s">
        <v>158</v>
      </c>
      <c r="BQ79" s="643"/>
    </row>
    <row r="80" spans="9:70" ht="30" x14ac:dyDescent="0.25">
      <c r="I80" s="634" t="s">
        <v>555</v>
      </c>
      <c r="Z80" s="649"/>
      <c r="AA80" s="650"/>
      <c r="AC80" s="642" t="s">
        <v>325</v>
      </c>
      <c r="AD80" s="22" t="s">
        <v>159</v>
      </c>
    </row>
    <row r="81" spans="9:70" ht="30" x14ac:dyDescent="0.25">
      <c r="I81" s="634" t="s">
        <v>556</v>
      </c>
      <c r="Z81" s="651"/>
      <c r="AA81" s="650"/>
      <c r="AC81" s="642" t="s">
        <v>326</v>
      </c>
      <c r="AD81" s="22" t="s">
        <v>158</v>
      </c>
      <c r="BQ81" s="643"/>
    </row>
    <row r="82" spans="9:70" ht="30" x14ac:dyDescent="0.25">
      <c r="I82" s="634" t="s">
        <v>557</v>
      </c>
      <c r="Z82" s="651"/>
      <c r="AA82" s="650"/>
      <c r="AC82" s="642" t="s">
        <v>327</v>
      </c>
      <c r="AD82" s="22" t="s">
        <v>158</v>
      </c>
      <c r="BQ82" s="643"/>
    </row>
    <row r="83" spans="9:70" ht="30" x14ac:dyDescent="0.25">
      <c r="I83" s="634" t="s">
        <v>558</v>
      </c>
      <c r="Z83" s="652"/>
      <c r="AA83" s="650"/>
      <c r="AC83" s="642" t="s">
        <v>328</v>
      </c>
      <c r="AD83" s="22" t="s">
        <v>158</v>
      </c>
      <c r="BR83" s="644"/>
    </row>
    <row r="84" spans="9:70" ht="30" x14ac:dyDescent="0.25">
      <c r="I84" s="634" t="s">
        <v>559</v>
      </c>
      <c r="Z84" s="649"/>
      <c r="AA84" s="649"/>
      <c r="AC84" s="642" t="s">
        <v>329</v>
      </c>
      <c r="AD84" s="22" t="s">
        <v>158</v>
      </c>
      <c r="BQ84" s="643"/>
      <c r="BR84" s="644"/>
    </row>
    <row r="85" spans="9:70" ht="30" x14ac:dyDescent="0.25">
      <c r="I85" s="634" t="s">
        <v>560</v>
      </c>
      <c r="Z85" s="649"/>
      <c r="AA85" s="649"/>
      <c r="AC85" s="642" t="s">
        <v>467</v>
      </c>
      <c r="AD85" s="22" t="s">
        <v>158</v>
      </c>
      <c r="BQ85" s="643"/>
      <c r="BR85" s="644"/>
    </row>
    <row r="86" spans="9:70" ht="30" x14ac:dyDescent="0.25">
      <c r="I86" s="634" t="s">
        <v>561</v>
      </c>
      <c r="Z86" s="649"/>
      <c r="AA86" s="649"/>
      <c r="AC86" s="642" t="s">
        <v>330</v>
      </c>
      <c r="AD86" s="22" t="s">
        <v>158</v>
      </c>
      <c r="BR86" s="644"/>
    </row>
    <row r="87" spans="9:70" ht="30" x14ac:dyDescent="0.25">
      <c r="I87" s="634" t="s">
        <v>562</v>
      </c>
      <c r="Z87" s="649"/>
      <c r="AA87" s="649"/>
      <c r="AC87" s="642" t="s">
        <v>331</v>
      </c>
      <c r="AD87" s="22" t="s">
        <v>158</v>
      </c>
      <c r="BQ87" s="643"/>
      <c r="BR87" s="644"/>
    </row>
    <row r="88" spans="9:70" ht="30" x14ac:dyDescent="0.25">
      <c r="I88" s="634" t="s">
        <v>563</v>
      </c>
      <c r="Z88" s="649"/>
      <c r="AA88" s="649"/>
      <c r="AC88" s="642" t="s">
        <v>332</v>
      </c>
      <c r="AD88" s="22" t="s">
        <v>159</v>
      </c>
      <c r="BQ88" s="643"/>
      <c r="BR88" s="644"/>
    </row>
    <row r="89" spans="9:70" ht="30" x14ac:dyDescent="0.25">
      <c r="I89" s="634" t="s">
        <v>564</v>
      </c>
      <c r="AC89" s="642" t="s">
        <v>333</v>
      </c>
      <c r="AD89" s="22" t="s">
        <v>159</v>
      </c>
      <c r="BR89" s="644"/>
    </row>
    <row r="90" spans="9:70" ht="30" x14ac:dyDescent="0.25">
      <c r="I90" s="634" t="s">
        <v>565</v>
      </c>
      <c r="AC90" s="642" t="s">
        <v>334</v>
      </c>
      <c r="AD90" s="22" t="s">
        <v>159</v>
      </c>
      <c r="BQ90" s="643"/>
      <c r="BR90" s="644"/>
    </row>
    <row r="91" spans="9:70" ht="30" x14ac:dyDescent="0.25">
      <c r="I91" s="634" t="s">
        <v>566</v>
      </c>
      <c r="AC91" s="642" t="s">
        <v>335</v>
      </c>
      <c r="AD91" s="22" t="s">
        <v>159</v>
      </c>
      <c r="BQ91" s="643"/>
      <c r="BR91" s="644"/>
    </row>
    <row r="92" spans="9:70" ht="30" x14ac:dyDescent="0.25">
      <c r="I92" s="634" t="s">
        <v>567</v>
      </c>
      <c r="AC92" s="642" t="s">
        <v>340</v>
      </c>
      <c r="AD92" s="22" t="s">
        <v>159</v>
      </c>
      <c r="BR92" s="644"/>
    </row>
    <row r="93" spans="9:70" ht="30" x14ac:dyDescent="0.25">
      <c r="I93" s="634" t="s">
        <v>568</v>
      </c>
      <c r="AC93" s="642" t="s">
        <v>336</v>
      </c>
      <c r="AD93" s="22" t="s">
        <v>159</v>
      </c>
      <c r="BQ93" s="643"/>
      <c r="BR93" s="644"/>
    </row>
    <row r="94" spans="9:70" ht="30" x14ac:dyDescent="0.25">
      <c r="I94" s="634" t="s">
        <v>612</v>
      </c>
      <c r="AC94" s="642" t="s">
        <v>337</v>
      </c>
      <c r="AD94" s="22" t="s">
        <v>159</v>
      </c>
      <c r="BQ94" s="643"/>
    </row>
    <row r="95" spans="9:70" x14ac:dyDescent="0.25">
      <c r="I95" s="22" t="s">
        <v>398</v>
      </c>
      <c r="AC95" s="642" t="s">
        <v>338</v>
      </c>
      <c r="AD95" s="22" t="s">
        <v>159</v>
      </c>
    </row>
    <row r="96" spans="9:70" x14ac:dyDescent="0.25">
      <c r="I96" s="22" t="s">
        <v>399</v>
      </c>
      <c r="AC96" s="642" t="s">
        <v>339</v>
      </c>
      <c r="AD96" s="22" t="s">
        <v>159</v>
      </c>
    </row>
    <row r="97" spans="9:30" x14ac:dyDescent="0.25">
      <c r="I97" s="22" t="s">
        <v>495</v>
      </c>
      <c r="AC97" s="642" t="s">
        <v>341</v>
      </c>
      <c r="AD97" s="22" t="s">
        <v>159</v>
      </c>
    </row>
    <row r="98" spans="9:30" x14ac:dyDescent="0.25">
      <c r="I98" s="22" t="s">
        <v>400</v>
      </c>
      <c r="AC98" s="642" t="s">
        <v>342</v>
      </c>
      <c r="AD98" s="22" t="s">
        <v>159</v>
      </c>
    </row>
    <row r="99" spans="9:30" x14ac:dyDescent="0.25">
      <c r="I99" s="22" t="s">
        <v>401</v>
      </c>
      <c r="AC99" s="642" t="s">
        <v>343</v>
      </c>
      <c r="AD99" s="22" t="s">
        <v>158</v>
      </c>
    </row>
    <row r="100" spans="9:30" x14ac:dyDescent="0.25">
      <c r="I100" s="22" t="s">
        <v>496</v>
      </c>
      <c r="AC100" s="642" t="s">
        <v>344</v>
      </c>
      <c r="AD100" s="22" t="s">
        <v>159</v>
      </c>
    </row>
    <row r="101" spans="9:30" x14ac:dyDescent="0.25">
      <c r="I101" s="22" t="s">
        <v>402</v>
      </c>
      <c r="AC101" s="642" t="s">
        <v>345</v>
      </c>
      <c r="AD101" s="22" t="s">
        <v>158</v>
      </c>
    </row>
    <row r="102" spans="9:30" x14ac:dyDescent="0.25">
      <c r="I102" s="22" t="s">
        <v>403</v>
      </c>
      <c r="AC102" s="23" t="s">
        <v>346</v>
      </c>
      <c r="AD102" s="22" t="s">
        <v>159</v>
      </c>
    </row>
    <row r="103" spans="9:30" x14ac:dyDescent="0.25">
      <c r="I103" s="22" t="s">
        <v>497</v>
      </c>
      <c r="AC103" s="23" t="s">
        <v>347</v>
      </c>
      <c r="AD103" s="22" t="s">
        <v>158</v>
      </c>
    </row>
    <row r="104" spans="9:30" x14ac:dyDescent="0.25">
      <c r="I104" s="22" t="s">
        <v>404</v>
      </c>
    </row>
    <row r="105" spans="9:30" x14ac:dyDescent="0.25">
      <c r="I105" s="22" t="s">
        <v>498</v>
      </c>
    </row>
    <row r="106" spans="9:30" x14ac:dyDescent="0.25">
      <c r="I106" s="22" t="s">
        <v>499</v>
      </c>
    </row>
    <row r="107" spans="9:30" x14ac:dyDescent="0.25">
      <c r="I107" s="22" t="s">
        <v>405</v>
      </c>
    </row>
    <row r="108" spans="9:30" ht="30" x14ac:dyDescent="0.25">
      <c r="I108" s="634" t="s">
        <v>569</v>
      </c>
    </row>
    <row r="109" spans="9:30" ht="30" x14ac:dyDescent="0.25">
      <c r="I109" s="634" t="s">
        <v>570</v>
      </c>
      <c r="AC109" s="22"/>
    </row>
    <row r="110" spans="9:30" ht="30" x14ac:dyDescent="0.25">
      <c r="I110" s="634" t="s">
        <v>571</v>
      </c>
      <c r="AC110" s="22"/>
    </row>
    <row r="111" spans="9:30" ht="30" x14ac:dyDescent="0.25">
      <c r="I111" s="634" t="s">
        <v>572</v>
      </c>
      <c r="AC111" s="22"/>
    </row>
    <row r="112" spans="9:30" x14ac:dyDescent="0.25">
      <c r="I112" s="22" t="s">
        <v>500</v>
      </c>
      <c r="AC112" s="22"/>
    </row>
    <row r="113" spans="9:29" x14ac:dyDescent="0.25">
      <c r="I113" s="22" t="s">
        <v>406</v>
      </c>
      <c r="AC113" s="22"/>
    </row>
    <row r="114" spans="9:29" x14ac:dyDescent="0.25">
      <c r="I114" s="22" t="s">
        <v>501</v>
      </c>
      <c r="AC114" s="22"/>
    </row>
    <row r="115" spans="9:29" ht="30" x14ac:dyDescent="0.25">
      <c r="I115" s="634" t="s">
        <v>573</v>
      </c>
      <c r="AC115" s="22"/>
    </row>
    <row r="116" spans="9:29" ht="30" x14ac:dyDescent="0.25">
      <c r="I116" s="634" t="s">
        <v>575</v>
      </c>
      <c r="AC116" s="22"/>
    </row>
    <row r="117" spans="9:29" ht="30" x14ac:dyDescent="0.25">
      <c r="I117" s="634" t="s">
        <v>576</v>
      </c>
      <c r="AC117" s="22"/>
    </row>
    <row r="118" spans="9:29" ht="30" x14ac:dyDescent="0.25">
      <c r="I118" s="634" t="s">
        <v>577</v>
      </c>
      <c r="AC118" s="22"/>
    </row>
    <row r="119" spans="9:29" ht="30" x14ac:dyDescent="0.25">
      <c r="I119" s="634" t="s">
        <v>578</v>
      </c>
      <c r="AC119" s="22"/>
    </row>
    <row r="120" spans="9:29" ht="30" x14ac:dyDescent="0.25">
      <c r="I120" s="634" t="s">
        <v>579</v>
      </c>
      <c r="AC120" s="22"/>
    </row>
    <row r="121" spans="9:29" ht="30" x14ac:dyDescent="0.25">
      <c r="I121" s="634" t="s">
        <v>574</v>
      </c>
      <c r="AC121" s="22"/>
    </row>
    <row r="122" spans="9:29" x14ac:dyDescent="0.25">
      <c r="I122" s="22" t="s">
        <v>502</v>
      </c>
      <c r="AC122" s="22"/>
    </row>
    <row r="123" spans="9:29" x14ac:dyDescent="0.25">
      <c r="I123" s="22" t="s">
        <v>503</v>
      </c>
      <c r="AC123" s="22"/>
    </row>
    <row r="124" spans="9:29" x14ac:dyDescent="0.25">
      <c r="I124" s="22" t="s">
        <v>407</v>
      </c>
      <c r="AC124" s="22"/>
    </row>
    <row r="125" spans="9:29" ht="30" x14ac:dyDescent="0.25">
      <c r="I125" s="634" t="s">
        <v>580</v>
      </c>
      <c r="AC125" s="22"/>
    </row>
    <row r="126" spans="9:29" x14ac:dyDescent="0.25">
      <c r="I126" s="22" t="s">
        <v>504</v>
      </c>
      <c r="AC126" s="22"/>
    </row>
    <row r="127" spans="9:29" x14ac:dyDescent="0.25">
      <c r="I127" s="22" t="s">
        <v>505</v>
      </c>
      <c r="AC127" s="22"/>
    </row>
    <row r="128" spans="9:29" x14ac:dyDescent="0.25">
      <c r="I128" s="22" t="s">
        <v>506</v>
      </c>
      <c r="AC128" s="22"/>
    </row>
    <row r="129" spans="9:29" x14ac:dyDescent="0.25">
      <c r="I129" s="22" t="s">
        <v>507</v>
      </c>
      <c r="AC129" s="22"/>
    </row>
    <row r="130" spans="9:29" x14ac:dyDescent="0.25">
      <c r="I130" s="22" t="s">
        <v>508</v>
      </c>
      <c r="AC130" s="22"/>
    </row>
    <row r="131" spans="9:29" x14ac:dyDescent="0.25">
      <c r="I131" s="22" t="s">
        <v>509</v>
      </c>
      <c r="AC131" s="22"/>
    </row>
    <row r="132" spans="9:29" ht="30" x14ac:dyDescent="0.25">
      <c r="I132" s="634" t="s">
        <v>581</v>
      </c>
      <c r="AC132" s="22"/>
    </row>
    <row r="133" spans="9:29" ht="30" x14ac:dyDescent="0.25">
      <c r="I133" s="634" t="s">
        <v>581</v>
      </c>
      <c r="AC133" s="22"/>
    </row>
    <row r="134" spans="9:29" ht="30" x14ac:dyDescent="0.25">
      <c r="I134" s="634" t="s">
        <v>582</v>
      </c>
      <c r="AC134" s="22"/>
    </row>
    <row r="135" spans="9:29" ht="30" x14ac:dyDescent="0.25">
      <c r="I135" s="634" t="s">
        <v>583</v>
      </c>
      <c r="AC135" s="22"/>
    </row>
    <row r="136" spans="9:29" x14ac:dyDescent="0.25">
      <c r="I136" s="22" t="s">
        <v>14</v>
      </c>
      <c r="AC136" s="22"/>
    </row>
    <row r="137" spans="9:29" x14ac:dyDescent="0.25">
      <c r="I137" s="22" t="s">
        <v>408</v>
      </c>
      <c r="AC137" s="22"/>
    </row>
    <row r="138" spans="9:29" ht="30" x14ac:dyDescent="0.25">
      <c r="I138" s="634" t="s">
        <v>611</v>
      </c>
      <c r="AC138" s="22"/>
    </row>
    <row r="139" spans="9:29" ht="30" x14ac:dyDescent="0.25">
      <c r="I139" s="634" t="s">
        <v>611</v>
      </c>
      <c r="AC139" s="22"/>
    </row>
    <row r="140" spans="9:29" ht="30" x14ac:dyDescent="0.25">
      <c r="I140" s="634" t="s">
        <v>584</v>
      </c>
      <c r="AC140" s="22"/>
    </row>
    <row r="141" spans="9:29" ht="30" x14ac:dyDescent="0.25">
      <c r="I141" s="634" t="s">
        <v>585</v>
      </c>
      <c r="AC141" s="22"/>
    </row>
    <row r="142" spans="9:29" x14ac:dyDescent="0.25">
      <c r="I142" s="22" t="s">
        <v>409</v>
      </c>
      <c r="AC142" s="22"/>
    </row>
    <row r="143" spans="9:29" ht="30" x14ac:dyDescent="0.25">
      <c r="I143" s="634" t="s">
        <v>586</v>
      </c>
      <c r="AC143" s="22"/>
    </row>
    <row r="144" spans="9:29" ht="30" x14ac:dyDescent="0.25">
      <c r="I144" s="634" t="s">
        <v>587</v>
      </c>
      <c r="AC144" s="22"/>
    </row>
    <row r="145" spans="9:29" x14ac:dyDescent="0.25">
      <c r="I145" s="22" t="s">
        <v>410</v>
      </c>
      <c r="AC145" s="22"/>
    </row>
    <row r="146" spans="9:29" ht="45" x14ac:dyDescent="0.25">
      <c r="I146" s="634" t="s">
        <v>614</v>
      </c>
      <c r="AC146" s="22"/>
    </row>
    <row r="147" spans="9:29" ht="30" x14ac:dyDescent="0.25">
      <c r="I147" s="634" t="s">
        <v>588</v>
      </c>
      <c r="AC147" s="22"/>
    </row>
    <row r="148" spans="9:29" ht="30" x14ac:dyDescent="0.25">
      <c r="I148" s="634" t="s">
        <v>589</v>
      </c>
      <c r="AC148" s="22"/>
    </row>
    <row r="149" spans="9:29" ht="30" x14ac:dyDescent="0.25">
      <c r="I149" s="634" t="s">
        <v>590</v>
      </c>
      <c r="AC149" s="22"/>
    </row>
    <row r="150" spans="9:29" ht="30" x14ac:dyDescent="0.25">
      <c r="I150" s="634" t="s">
        <v>411</v>
      </c>
      <c r="AC150" s="22"/>
    </row>
    <row r="151" spans="9:29" ht="30" x14ac:dyDescent="0.25">
      <c r="I151" s="634" t="s">
        <v>591</v>
      </c>
      <c r="AC151" s="22"/>
    </row>
    <row r="152" spans="9:29" ht="30" x14ac:dyDescent="0.25">
      <c r="I152" s="634" t="s">
        <v>592</v>
      </c>
      <c r="AC152" s="22"/>
    </row>
    <row r="153" spans="9:29" ht="30" x14ac:dyDescent="0.25">
      <c r="I153" s="634" t="s">
        <v>593</v>
      </c>
      <c r="AC153" s="22"/>
    </row>
    <row r="154" spans="9:29" ht="30" x14ac:dyDescent="0.25">
      <c r="I154" s="634" t="s">
        <v>594</v>
      </c>
      <c r="AC154" s="22"/>
    </row>
    <row r="155" spans="9:29" x14ac:dyDescent="0.25">
      <c r="I155" s="22" t="s">
        <v>412</v>
      </c>
      <c r="AC155" s="22"/>
    </row>
    <row r="156" spans="9:29" ht="30" x14ac:dyDescent="0.25">
      <c r="I156" s="634" t="s">
        <v>595</v>
      </c>
      <c r="AC156" s="22"/>
    </row>
    <row r="157" spans="9:29" ht="30" x14ac:dyDescent="0.25">
      <c r="I157" s="634" t="s">
        <v>596</v>
      </c>
      <c r="AC157" s="22"/>
    </row>
    <row r="158" spans="9:29" ht="30" x14ac:dyDescent="0.25">
      <c r="I158" s="634" t="s">
        <v>597</v>
      </c>
      <c r="AC158" s="22"/>
    </row>
    <row r="159" spans="9:29" ht="30" x14ac:dyDescent="0.25">
      <c r="I159" s="634" t="s">
        <v>598</v>
      </c>
      <c r="AC159" s="22"/>
    </row>
    <row r="160" spans="9:29" ht="30" x14ac:dyDescent="0.25">
      <c r="I160" s="26" t="s">
        <v>599</v>
      </c>
      <c r="AC160" s="22"/>
    </row>
    <row r="161" spans="1:29" x14ac:dyDescent="0.25">
      <c r="I161" s="22" t="s">
        <v>413</v>
      </c>
      <c r="AC161" s="22"/>
    </row>
    <row r="162" spans="1:29" x14ac:dyDescent="0.25">
      <c r="I162" s="22" t="s">
        <v>510</v>
      </c>
      <c r="AC162" s="22"/>
    </row>
    <row r="163" spans="1:29" x14ac:dyDescent="0.25">
      <c r="I163" s="22" t="s">
        <v>414</v>
      </c>
      <c r="AC163" s="22"/>
    </row>
    <row r="164" spans="1:29" x14ac:dyDescent="0.25">
      <c r="I164" s="22" t="s">
        <v>415</v>
      </c>
      <c r="AC164" s="22"/>
    </row>
    <row r="165" spans="1:29" x14ac:dyDescent="0.25">
      <c r="I165" s="22" t="s">
        <v>429</v>
      </c>
      <c r="AC165" s="22"/>
    </row>
    <row r="166" spans="1:29" x14ac:dyDescent="0.25">
      <c r="A166" s="843"/>
      <c r="I166" s="22" t="s">
        <v>416</v>
      </c>
      <c r="AC166" s="22"/>
    </row>
    <row r="167" spans="1:29" x14ac:dyDescent="0.25">
      <c r="A167" s="843"/>
      <c r="I167" s="22" t="s">
        <v>511</v>
      </c>
      <c r="AC167" s="22"/>
    </row>
    <row r="168" spans="1:29" x14ac:dyDescent="0.25">
      <c r="A168" s="843"/>
      <c r="I168" s="22" t="s">
        <v>417</v>
      </c>
      <c r="AC168" s="22"/>
    </row>
    <row r="169" spans="1:29" x14ac:dyDescent="0.25">
      <c r="A169" s="843"/>
      <c r="I169" s="22" t="s">
        <v>512</v>
      </c>
      <c r="AC169" s="22"/>
    </row>
    <row r="170" spans="1:29" x14ac:dyDescent="0.25">
      <c r="A170" s="843"/>
      <c r="I170" s="22" t="s">
        <v>418</v>
      </c>
      <c r="AC170" s="22"/>
    </row>
    <row r="171" spans="1:29" x14ac:dyDescent="0.25">
      <c r="A171" s="843"/>
      <c r="I171" s="22" t="s">
        <v>419</v>
      </c>
      <c r="AC171" s="22"/>
    </row>
    <row r="172" spans="1:29" x14ac:dyDescent="0.25">
      <c r="I172" s="22" t="s">
        <v>420</v>
      </c>
      <c r="AC172" s="22"/>
    </row>
    <row r="173" spans="1:29" x14ac:dyDescent="0.25">
      <c r="I173" s="22" t="s">
        <v>421</v>
      </c>
      <c r="AC173" s="22"/>
    </row>
    <row r="174" spans="1:29" x14ac:dyDescent="0.25">
      <c r="I174" s="22" t="s">
        <v>513</v>
      </c>
      <c r="AC174" s="22"/>
    </row>
    <row r="175" spans="1:29" x14ac:dyDescent="0.25">
      <c r="I175" s="22" t="s">
        <v>422</v>
      </c>
      <c r="AC175" s="22"/>
    </row>
    <row r="176" spans="1:29" x14ac:dyDescent="0.25">
      <c r="I176" s="22" t="s">
        <v>514</v>
      </c>
      <c r="AC176" s="22"/>
    </row>
    <row r="177" spans="9:29" ht="30" x14ac:dyDescent="0.25">
      <c r="I177" s="634" t="s">
        <v>600</v>
      </c>
      <c r="AC177" s="22"/>
    </row>
    <row r="178" spans="9:29" x14ac:dyDescent="0.25">
      <c r="I178" s="22" t="s">
        <v>423</v>
      </c>
      <c r="AC178" s="22"/>
    </row>
    <row r="179" spans="9:29" x14ac:dyDescent="0.25">
      <c r="I179" s="22" t="s">
        <v>515</v>
      </c>
      <c r="AC179" s="22"/>
    </row>
    <row r="180" spans="9:29" x14ac:dyDescent="0.25">
      <c r="I180" s="22" t="s">
        <v>516</v>
      </c>
      <c r="AC180" s="22"/>
    </row>
    <row r="181" spans="9:29" x14ac:dyDescent="0.25">
      <c r="I181" s="22" t="s">
        <v>517</v>
      </c>
      <c r="AC181" s="22"/>
    </row>
    <row r="182" spans="9:29" x14ac:dyDescent="0.25">
      <c r="I182" s="22" t="s">
        <v>518</v>
      </c>
      <c r="AC182" s="22"/>
    </row>
    <row r="183" spans="9:29" x14ac:dyDescent="0.25">
      <c r="I183" s="22" t="s">
        <v>217</v>
      </c>
      <c r="AC183" s="22"/>
    </row>
    <row r="184" spans="9:29" x14ac:dyDescent="0.25">
      <c r="I184" s="22" t="s">
        <v>218</v>
      </c>
      <c r="AC184" s="22"/>
    </row>
    <row r="185" spans="9:29" x14ac:dyDescent="0.25">
      <c r="I185" s="22" t="s">
        <v>219</v>
      </c>
      <c r="AC185" s="22"/>
    </row>
    <row r="186" spans="9:29" ht="30" x14ac:dyDescent="0.25">
      <c r="I186" s="634" t="s">
        <v>601</v>
      </c>
      <c r="AC186" s="22"/>
    </row>
    <row r="187" spans="9:29" ht="30" x14ac:dyDescent="0.25">
      <c r="I187" s="634" t="s">
        <v>602</v>
      </c>
      <c r="AC187" s="22"/>
    </row>
    <row r="188" spans="9:29" ht="30" x14ac:dyDescent="0.25">
      <c r="I188" s="634" t="s">
        <v>603</v>
      </c>
      <c r="AC188" s="22"/>
    </row>
    <row r="189" spans="9:29" ht="30" x14ac:dyDescent="0.25">
      <c r="I189" s="634" t="s">
        <v>605</v>
      </c>
      <c r="AC189" s="22"/>
    </row>
    <row r="190" spans="9:29" ht="30" x14ac:dyDescent="0.25">
      <c r="I190" s="634" t="s">
        <v>604</v>
      </c>
      <c r="AC190" s="22"/>
    </row>
    <row r="191" spans="9:29" x14ac:dyDescent="0.25">
      <c r="I191" s="22" t="s">
        <v>220</v>
      </c>
      <c r="AC191" s="22"/>
    </row>
    <row r="192" spans="9:29" x14ac:dyDescent="0.25">
      <c r="I192" s="22" t="s">
        <v>221</v>
      </c>
      <c r="AC192" s="22"/>
    </row>
    <row r="193" spans="9:29" x14ac:dyDescent="0.25">
      <c r="I193" s="22" t="s">
        <v>222</v>
      </c>
      <c r="AC193" s="22"/>
    </row>
    <row r="194" spans="9:29" x14ac:dyDescent="0.25">
      <c r="I194" s="22" t="s">
        <v>223</v>
      </c>
      <c r="AC194" s="22"/>
    </row>
    <row r="195" spans="9:29" x14ac:dyDescent="0.25">
      <c r="I195" s="22" t="s">
        <v>224</v>
      </c>
      <c r="AC195" s="22"/>
    </row>
    <row r="196" spans="9:29" x14ac:dyDescent="0.25">
      <c r="I196" s="22" t="s">
        <v>225</v>
      </c>
      <c r="AC196" s="22"/>
    </row>
    <row r="197" spans="9:29" x14ac:dyDescent="0.25">
      <c r="I197" s="22" t="s">
        <v>226</v>
      </c>
      <c r="AC197" s="22"/>
    </row>
    <row r="198" spans="9:29" ht="14.25" customHeight="1" x14ac:dyDescent="0.25">
      <c r="I198" s="22" t="s">
        <v>227</v>
      </c>
      <c r="AC198" s="22"/>
    </row>
    <row r="199" spans="9:29" ht="30" x14ac:dyDescent="0.25">
      <c r="I199" s="634" t="s">
        <v>606</v>
      </c>
      <c r="AC199" s="22"/>
    </row>
    <row r="200" spans="9:29" x14ac:dyDescent="0.25">
      <c r="I200" s="22" t="s">
        <v>439</v>
      </c>
      <c r="AC200" s="22"/>
    </row>
    <row r="201" spans="9:29" ht="45" x14ac:dyDescent="0.25">
      <c r="I201" s="634" t="s">
        <v>607</v>
      </c>
      <c r="AC201" s="22"/>
    </row>
    <row r="202" spans="9:29" x14ac:dyDescent="0.25">
      <c r="I202" s="22" t="s">
        <v>11</v>
      </c>
      <c r="AC202" s="22"/>
    </row>
    <row r="203" spans="9:29" x14ac:dyDescent="0.25">
      <c r="I203" s="22" t="s">
        <v>12</v>
      </c>
      <c r="AC203" s="22"/>
    </row>
    <row r="204" spans="9:29" x14ac:dyDescent="0.25">
      <c r="I204" s="22" t="s">
        <v>13</v>
      </c>
      <c r="AC204" s="22"/>
    </row>
    <row r="205" spans="9:29" x14ac:dyDescent="0.25">
      <c r="I205" s="22" t="s">
        <v>435</v>
      </c>
      <c r="AC205" s="22"/>
    </row>
    <row r="206" spans="9:29" x14ac:dyDescent="0.25">
      <c r="I206" s="22" t="s">
        <v>519</v>
      </c>
      <c r="AC206" s="22"/>
    </row>
    <row r="207" spans="9:29" x14ac:dyDescent="0.25">
      <c r="I207" s="22" t="s">
        <v>520</v>
      </c>
      <c r="AC207" s="22"/>
    </row>
    <row r="208" spans="9:29" x14ac:dyDescent="0.25">
      <c r="I208" s="22" t="s">
        <v>359</v>
      </c>
      <c r="AC208" s="22"/>
    </row>
    <row r="209" spans="9:29" x14ac:dyDescent="0.25">
      <c r="I209" s="22" t="s">
        <v>521</v>
      </c>
      <c r="AC209" s="22"/>
    </row>
    <row r="210" spans="9:29" x14ac:dyDescent="0.25">
      <c r="I210" s="115" t="s">
        <v>32</v>
      </c>
      <c r="AC210" s="22"/>
    </row>
    <row r="211" spans="9:29" ht="45" x14ac:dyDescent="0.25">
      <c r="I211" s="634" t="s">
        <v>608</v>
      </c>
      <c r="AC211" s="22"/>
    </row>
    <row r="212" spans="9:29" ht="45" x14ac:dyDescent="0.25">
      <c r="I212" s="634" t="s">
        <v>609</v>
      </c>
      <c r="AC212" s="22"/>
    </row>
    <row r="213" spans="9:29" ht="30" x14ac:dyDescent="0.25">
      <c r="I213" s="634" t="s">
        <v>610</v>
      </c>
      <c r="AC213" s="22"/>
    </row>
    <row r="214" spans="9:29" x14ac:dyDescent="0.25">
      <c r="I214" s="22" t="s">
        <v>31</v>
      </c>
      <c r="AC214" s="22"/>
    </row>
    <row r="215" spans="9:29" x14ac:dyDescent="0.25">
      <c r="I215" s="30"/>
      <c r="AC215" s="22"/>
    </row>
    <row r="216" spans="9:29" x14ac:dyDescent="0.25">
      <c r="I216" s="30"/>
      <c r="AC216" s="22"/>
    </row>
    <row r="217" spans="9:29" x14ac:dyDescent="0.25">
      <c r="I217" s="653"/>
      <c r="AC217" s="22"/>
    </row>
    <row r="218" spans="9:29" x14ac:dyDescent="0.25">
      <c r="I218" s="654"/>
      <c r="AC218" s="22"/>
    </row>
    <row r="219" spans="9:29" x14ac:dyDescent="0.25">
      <c r="I219" s="30"/>
      <c r="AC219" s="22"/>
    </row>
    <row r="220" spans="9:29" x14ac:dyDescent="0.25">
      <c r="I220" s="30"/>
      <c r="AC220" s="22"/>
    </row>
    <row r="221" spans="9:29" x14ac:dyDescent="0.25">
      <c r="I221" s="30"/>
      <c r="AC221" s="22"/>
    </row>
    <row r="222" spans="9:29" x14ac:dyDescent="0.25">
      <c r="I222" s="30"/>
      <c r="AC222" s="22"/>
    </row>
    <row r="223" spans="9:29" x14ac:dyDescent="0.25">
      <c r="I223" s="654"/>
      <c r="AC223" s="22"/>
    </row>
    <row r="224" spans="9:29" x14ac:dyDescent="0.25">
      <c r="I224" s="654"/>
      <c r="AC224" s="22"/>
    </row>
    <row r="225" spans="9:29" x14ac:dyDescent="0.25">
      <c r="I225" s="30"/>
      <c r="AC225" s="22"/>
    </row>
    <row r="226" spans="9:29" x14ac:dyDescent="0.25">
      <c r="I226" s="654"/>
      <c r="AC226" s="22"/>
    </row>
    <row r="227" spans="9:29" x14ac:dyDescent="0.25">
      <c r="I227" s="647"/>
      <c r="AC227" s="22"/>
    </row>
    <row r="228" spans="9:29" x14ac:dyDescent="0.25">
      <c r="I228" s="647"/>
      <c r="AC228" s="22"/>
    </row>
    <row r="229" spans="9:29" x14ac:dyDescent="0.25">
      <c r="I229" s="647"/>
      <c r="AC229" s="22"/>
    </row>
    <row r="230" spans="9:29" x14ac:dyDescent="0.25">
      <c r="I230" s="647"/>
      <c r="AC230" s="22"/>
    </row>
    <row r="231" spans="9:29" x14ac:dyDescent="0.25">
      <c r="I231" s="647"/>
      <c r="AC231" s="22"/>
    </row>
    <row r="232" spans="9:29" x14ac:dyDescent="0.25">
      <c r="I232" s="647"/>
      <c r="AC232" s="22"/>
    </row>
    <row r="233" spans="9:29" x14ac:dyDescent="0.25">
      <c r="I233" s="647"/>
      <c r="AC233" s="22"/>
    </row>
    <row r="234" spans="9:29" x14ac:dyDescent="0.25">
      <c r="I234" s="647"/>
      <c r="AC234" s="22"/>
    </row>
    <row r="235" spans="9:29" x14ac:dyDescent="0.25">
      <c r="I235" s="647"/>
      <c r="AC235" s="22"/>
    </row>
    <row r="236" spans="9:29" x14ac:dyDescent="0.25">
      <c r="I236" s="647"/>
      <c r="AC236" s="22"/>
    </row>
    <row r="237" spans="9:29" x14ac:dyDescent="0.25">
      <c r="I237" s="647"/>
      <c r="AC237" s="22"/>
    </row>
    <row r="238" spans="9:29" x14ac:dyDescent="0.25">
      <c r="I238" s="647"/>
      <c r="AC238" s="22"/>
    </row>
    <row r="239" spans="9:29" x14ac:dyDescent="0.25">
      <c r="I239" s="647"/>
      <c r="AC239" s="22"/>
    </row>
    <row r="240" spans="9:29" x14ac:dyDescent="0.25">
      <c r="I240" s="647"/>
      <c r="AC240" s="22"/>
    </row>
    <row r="241" spans="9:29" x14ac:dyDescent="0.25">
      <c r="I241" s="647"/>
      <c r="AC241" s="22"/>
    </row>
    <row r="242" spans="9:29" x14ac:dyDescent="0.25">
      <c r="I242" s="647"/>
      <c r="AC242" s="22"/>
    </row>
    <row r="243" spans="9:29" x14ac:dyDescent="0.25">
      <c r="I243" s="647"/>
      <c r="AC243" s="22"/>
    </row>
    <row r="244" spans="9:29" x14ac:dyDescent="0.25">
      <c r="I244" s="647"/>
      <c r="AC244" s="22"/>
    </row>
    <row r="245" spans="9:29" x14ac:dyDescent="0.25">
      <c r="AC245" s="22"/>
    </row>
    <row r="246" spans="9:29" x14ac:dyDescent="0.25">
      <c r="AC246" s="22"/>
    </row>
    <row r="247" spans="9:29" x14ac:dyDescent="0.25">
      <c r="AC247" s="22"/>
    </row>
    <row r="248" spans="9:29" x14ac:dyDescent="0.25">
      <c r="AC248" s="22"/>
    </row>
    <row r="249" spans="9:29" x14ac:dyDescent="0.25">
      <c r="AC249" s="22"/>
    </row>
    <row r="250" spans="9:29" x14ac:dyDescent="0.25">
      <c r="AC250" s="22"/>
    </row>
    <row r="251" spans="9:29" x14ac:dyDescent="0.25">
      <c r="AC251" s="22"/>
    </row>
    <row r="252" spans="9:29" x14ac:dyDescent="0.25">
      <c r="AC252" s="22"/>
    </row>
    <row r="253" spans="9:29" x14ac:dyDescent="0.25">
      <c r="AC253" s="22"/>
    </row>
    <row r="254" spans="9:29" x14ac:dyDescent="0.25">
      <c r="AC254" s="22"/>
    </row>
    <row r="255" spans="9:29" x14ac:dyDescent="0.25">
      <c r="AC255" s="22"/>
    </row>
    <row r="256" spans="9:29" x14ac:dyDescent="0.25">
      <c r="AC256" s="22"/>
    </row>
    <row r="257" spans="29:29" x14ac:dyDescent="0.25">
      <c r="AC257" s="22"/>
    </row>
    <row r="258" spans="29:29" x14ac:dyDescent="0.25">
      <c r="AC258" s="22"/>
    </row>
    <row r="259" spans="29:29" x14ac:dyDescent="0.25">
      <c r="AC259" s="22"/>
    </row>
    <row r="260" spans="29:29" x14ac:dyDescent="0.25">
      <c r="AC260" s="22"/>
    </row>
    <row r="261" spans="29:29" x14ac:dyDescent="0.25">
      <c r="AC261" s="22"/>
    </row>
    <row r="262" spans="29:29" x14ac:dyDescent="0.25">
      <c r="AC262" s="22"/>
    </row>
    <row r="263" spans="29:29" x14ac:dyDescent="0.25">
      <c r="AC263" s="22"/>
    </row>
    <row r="264" spans="29:29" x14ac:dyDescent="0.25">
      <c r="AC264" s="22"/>
    </row>
    <row r="265" spans="29:29" x14ac:dyDescent="0.25">
      <c r="AC265" s="22"/>
    </row>
    <row r="266" spans="29:29" x14ac:dyDescent="0.25">
      <c r="AC266" s="22"/>
    </row>
    <row r="267" spans="29:29" x14ac:dyDescent="0.25">
      <c r="AC267" s="22"/>
    </row>
    <row r="268" spans="29:29" x14ac:dyDescent="0.25">
      <c r="AC268" s="22"/>
    </row>
    <row r="269" spans="29:29" x14ac:dyDescent="0.25">
      <c r="AC269" s="22"/>
    </row>
    <row r="270" spans="29:29" x14ac:dyDescent="0.25">
      <c r="AC270" s="22"/>
    </row>
    <row r="271" spans="29:29" x14ac:dyDescent="0.25">
      <c r="AC271" s="22"/>
    </row>
    <row r="272" spans="29:29" x14ac:dyDescent="0.25">
      <c r="AC272" s="22"/>
    </row>
    <row r="273" spans="29:29" x14ac:dyDescent="0.25">
      <c r="AC273" s="22"/>
    </row>
    <row r="274" spans="29:29" x14ac:dyDescent="0.25">
      <c r="AC274" s="22"/>
    </row>
    <row r="275" spans="29:29" x14ac:dyDescent="0.25">
      <c r="AC275" s="22"/>
    </row>
    <row r="276" spans="29:29" x14ac:dyDescent="0.25">
      <c r="AC276" s="22"/>
    </row>
    <row r="277" spans="29:29" x14ac:dyDescent="0.25">
      <c r="AC277" s="22"/>
    </row>
    <row r="278" spans="29:29" x14ac:dyDescent="0.25">
      <c r="AC278" s="22"/>
    </row>
    <row r="279" spans="29:29" x14ac:dyDescent="0.25">
      <c r="AC279" s="22"/>
    </row>
    <row r="280" spans="29:29" x14ac:dyDescent="0.25">
      <c r="AC280" s="22"/>
    </row>
    <row r="281" spans="29:29" x14ac:dyDescent="0.25">
      <c r="AC281" s="22"/>
    </row>
    <row r="282" spans="29:29" x14ac:dyDescent="0.25">
      <c r="AC282" s="22"/>
    </row>
    <row r="283" spans="29:29" x14ac:dyDescent="0.25">
      <c r="AC283" s="22"/>
    </row>
    <row r="284" spans="29:29" x14ac:dyDescent="0.25">
      <c r="AC284" s="22"/>
    </row>
    <row r="285" spans="29:29" x14ac:dyDescent="0.25">
      <c r="AC285" s="22"/>
    </row>
    <row r="286" spans="29:29" x14ac:dyDescent="0.25">
      <c r="AC286" s="22"/>
    </row>
    <row r="287" spans="29:29" x14ac:dyDescent="0.25">
      <c r="AC287" s="22"/>
    </row>
    <row r="288" spans="29:29" x14ac:dyDescent="0.25">
      <c r="AC288" s="22"/>
    </row>
    <row r="289" spans="29:29" x14ac:dyDescent="0.25">
      <c r="AC289" s="22"/>
    </row>
    <row r="290" spans="29:29" x14ac:dyDescent="0.25">
      <c r="AC290" s="22"/>
    </row>
    <row r="291" spans="29:29" x14ac:dyDescent="0.25">
      <c r="AC291" s="22"/>
    </row>
    <row r="292" spans="29:29" x14ac:dyDescent="0.25">
      <c r="AC292" s="22"/>
    </row>
    <row r="293" spans="29:29" x14ac:dyDescent="0.25">
      <c r="AC293" s="22"/>
    </row>
    <row r="294" spans="29:29" x14ac:dyDescent="0.25">
      <c r="AC294" s="22"/>
    </row>
    <row r="295" spans="29:29" x14ac:dyDescent="0.25">
      <c r="AC295" s="22"/>
    </row>
    <row r="296" spans="29:29" x14ac:dyDescent="0.25">
      <c r="AC296" s="22"/>
    </row>
    <row r="297" spans="29:29" x14ac:dyDescent="0.25">
      <c r="AC297" s="22"/>
    </row>
    <row r="298" spans="29:29" x14ac:dyDescent="0.25">
      <c r="AC298" s="655"/>
    </row>
    <row r="299" spans="29:29" x14ac:dyDescent="0.25">
      <c r="AC299" s="655"/>
    </row>
    <row r="300" spans="29:29" x14ac:dyDescent="0.25">
      <c r="AC300" s="22"/>
    </row>
    <row r="301" spans="29:29" x14ac:dyDescent="0.25">
      <c r="AC301" s="22"/>
    </row>
    <row r="302" spans="29:29" x14ac:dyDescent="0.25">
      <c r="AC302" s="22"/>
    </row>
    <row r="303" spans="29:29" x14ac:dyDescent="0.25">
      <c r="AC303" s="655"/>
    </row>
    <row r="304" spans="29:29" x14ac:dyDescent="0.25">
      <c r="AC304" s="655"/>
    </row>
    <row r="305" spans="29:29" x14ac:dyDescent="0.25">
      <c r="AC305" s="22"/>
    </row>
    <row r="306" spans="29:29" x14ac:dyDescent="0.25">
      <c r="AC306" s="655"/>
    </row>
    <row r="307" spans="29:29" x14ac:dyDescent="0.25">
      <c r="AC307" s="656"/>
    </row>
    <row r="308" spans="29:29" x14ac:dyDescent="0.25">
      <c r="AC308" s="22"/>
    </row>
    <row r="309" spans="29:29" x14ac:dyDescent="0.25">
      <c r="AC309" s="22"/>
    </row>
    <row r="310" spans="29:29" x14ac:dyDescent="0.25">
      <c r="AC310" s="22"/>
    </row>
    <row r="311" spans="29:29" x14ac:dyDescent="0.25">
      <c r="AC311" s="22"/>
    </row>
    <row r="312" spans="29:29" x14ac:dyDescent="0.25">
      <c r="AC312" s="22"/>
    </row>
    <row r="313" spans="29:29" x14ac:dyDescent="0.25">
      <c r="AC313" s="22"/>
    </row>
    <row r="314" spans="29:29" x14ac:dyDescent="0.25">
      <c r="AC314" s="22"/>
    </row>
    <row r="315" spans="29:29" x14ac:dyDescent="0.25">
      <c r="AC315" s="22"/>
    </row>
    <row r="316" spans="29:29" x14ac:dyDescent="0.25">
      <c r="AC316" s="22"/>
    </row>
    <row r="317" spans="29:29" x14ac:dyDescent="0.25">
      <c r="AC317" s="22"/>
    </row>
    <row r="318" spans="29:29" x14ac:dyDescent="0.25">
      <c r="AC318" s="22"/>
    </row>
    <row r="319" spans="29:29" x14ac:dyDescent="0.25">
      <c r="AC319" s="22"/>
    </row>
    <row r="320" spans="29:29" x14ac:dyDescent="0.25">
      <c r="AC320" s="22"/>
    </row>
  </sheetData>
  <sheetProtection algorithmName="SHA-512" hashValue="RVEnaluTRiSwGwehYKAjWYAOY0hUhU61iy6cwfqdtG9kIlEQxy6KAhGu1iPk5EMi3a8YzQwkrbbNfDexKmJNsQ==" saltValue="xO++Y6Z/pZqp10hOlUh/UQ==" spinCount="100000" sheet="1" objects="1" scenarios="1"/>
  <sortState ref="I2:I214">
    <sortCondition ref="I1"/>
  </sortState>
  <mergeCells count="18">
    <mergeCell ref="AN14:AO14"/>
    <mergeCell ref="AN15:AO15"/>
    <mergeCell ref="AN16:AO16"/>
    <mergeCell ref="AN17:AO17"/>
    <mergeCell ref="AN18:AO18"/>
    <mergeCell ref="AN13:AO13"/>
    <mergeCell ref="AN2:AO2"/>
    <mergeCell ref="AN1:AO1"/>
    <mergeCell ref="AN12:AO12"/>
    <mergeCell ref="AN11:AO11"/>
    <mergeCell ref="AN10:AO10"/>
    <mergeCell ref="AN9:AO9"/>
    <mergeCell ref="AN8:AO8"/>
    <mergeCell ref="AN6:AO6"/>
    <mergeCell ref="AN5:AO5"/>
    <mergeCell ref="AN4:AO4"/>
    <mergeCell ref="AN3:AO3"/>
    <mergeCell ref="AN7:AO7"/>
  </mergeCells>
  <dataValidations count="1">
    <dataValidation allowBlank="1" showInputMessage="1" showErrorMessage="1" sqref="I67"/>
  </dataValidation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73"/>
  <sheetViews>
    <sheetView topLeftCell="A40" workbookViewId="0">
      <selection activeCell="H13" sqref="H13"/>
    </sheetView>
  </sheetViews>
  <sheetFormatPr defaultRowHeight="15" x14ac:dyDescent="0.25"/>
  <sheetData>
    <row r="1" spans="1:14" x14ac:dyDescent="0.25">
      <c r="A1" t="s">
        <v>162</v>
      </c>
      <c r="H1" t="s">
        <v>199</v>
      </c>
      <c r="N1" t="str">
        <f>VLOOKUP(H1,A:A,1,0)</f>
        <v>Atikokan Hydro Inc.</v>
      </c>
    </row>
    <row r="2" spans="1:14" x14ac:dyDescent="0.25">
      <c r="A2" t="s">
        <v>199</v>
      </c>
      <c r="H2" t="s">
        <v>236</v>
      </c>
      <c r="N2" t="str">
        <f t="shared" ref="N2:N60" si="0">VLOOKUP(H2,A:A,1,0)</f>
        <v>Bluewater Power Distribution Corporation</v>
      </c>
    </row>
    <row r="3" spans="1:14" x14ac:dyDescent="0.25">
      <c r="A3" t="s">
        <v>236</v>
      </c>
      <c r="H3" t="s">
        <v>237</v>
      </c>
      <c r="N3" t="str">
        <f t="shared" si="0"/>
        <v>Brant County Power Inc.</v>
      </c>
    </row>
    <row r="4" spans="1:14" x14ac:dyDescent="0.25">
      <c r="A4" t="s">
        <v>237</v>
      </c>
      <c r="H4" t="s">
        <v>173</v>
      </c>
      <c r="N4" t="str">
        <f t="shared" si="0"/>
        <v>Brantford Power Inc.</v>
      </c>
    </row>
    <row r="5" spans="1:14" x14ac:dyDescent="0.25">
      <c r="A5" t="s">
        <v>173</v>
      </c>
      <c r="H5" t="s">
        <v>174</v>
      </c>
      <c r="N5" t="str">
        <f t="shared" si="0"/>
        <v>Burlington Hydro Inc.</v>
      </c>
    </row>
    <row r="6" spans="1:14" x14ac:dyDescent="0.25">
      <c r="A6" t="s">
        <v>174</v>
      </c>
      <c r="H6" t="s">
        <v>238</v>
      </c>
      <c r="N6" t="str">
        <f t="shared" si="0"/>
        <v>Cambridge and North Dumfries Hydro Inc.</v>
      </c>
    </row>
    <row r="7" spans="1:14" x14ac:dyDescent="0.25">
      <c r="A7" t="s">
        <v>238</v>
      </c>
      <c r="H7" t="s">
        <v>424</v>
      </c>
      <c r="N7" t="str">
        <f t="shared" si="0"/>
        <v>Canadian Niagara Power Inc.</v>
      </c>
    </row>
    <row r="8" spans="1:14" x14ac:dyDescent="0.25">
      <c r="A8" t="s">
        <v>424</v>
      </c>
      <c r="H8" t="s">
        <v>175</v>
      </c>
      <c r="N8" t="str">
        <f t="shared" si="0"/>
        <v>Centre Wellington Hydro Ltd.</v>
      </c>
    </row>
    <row r="9" spans="1:14" x14ac:dyDescent="0.25">
      <c r="A9" t="s">
        <v>175</v>
      </c>
      <c r="H9" t="s">
        <v>200</v>
      </c>
      <c r="N9" t="str">
        <f t="shared" si="0"/>
        <v>Chapleau Public Utilities Corporation</v>
      </c>
    </row>
    <row r="10" spans="1:14" x14ac:dyDescent="0.25">
      <c r="A10" t="s">
        <v>200</v>
      </c>
      <c r="H10" t="s">
        <v>623</v>
      </c>
      <c r="N10" t="str">
        <f t="shared" si="0"/>
        <v>Collus PowerStream Corp.</v>
      </c>
    </row>
    <row r="11" spans="1:14" x14ac:dyDescent="0.25">
      <c r="A11" t="s">
        <v>623</v>
      </c>
      <c r="H11" t="s">
        <v>176</v>
      </c>
      <c r="N11" t="str">
        <f t="shared" si="0"/>
        <v>Cooperative Hydro Embrun Inc.</v>
      </c>
    </row>
    <row r="12" spans="1:14" x14ac:dyDescent="0.25">
      <c r="A12" t="s">
        <v>176</v>
      </c>
      <c r="H12" t="s">
        <v>177</v>
      </c>
      <c r="N12" t="str">
        <f t="shared" si="0"/>
        <v>E.L.K. Energy Inc.</v>
      </c>
    </row>
    <row r="13" spans="1:14" x14ac:dyDescent="0.25">
      <c r="A13" t="s">
        <v>177</v>
      </c>
      <c r="H13" t="s">
        <v>178</v>
      </c>
      <c r="N13" t="str">
        <f t="shared" si="0"/>
        <v>Enersource Hydro Mississauga Inc.</v>
      </c>
    </row>
    <row r="14" spans="1:14" x14ac:dyDescent="0.25">
      <c r="A14" t="s">
        <v>178</v>
      </c>
      <c r="H14" t="s">
        <v>425</v>
      </c>
      <c r="N14" t="str">
        <f t="shared" si="0"/>
        <v>Entegrus Powerlines Inc.</v>
      </c>
    </row>
    <row r="15" spans="1:14" x14ac:dyDescent="0.25">
      <c r="A15" t="s">
        <v>425</v>
      </c>
      <c r="H15" t="s">
        <v>624</v>
      </c>
      <c r="N15" t="str">
        <f t="shared" si="0"/>
        <v>EnWin Utilities Ltd.</v>
      </c>
    </row>
    <row r="16" spans="1:14" x14ac:dyDescent="0.25">
      <c r="A16" t="s">
        <v>624</v>
      </c>
      <c r="H16" t="s">
        <v>239</v>
      </c>
      <c r="N16" t="str">
        <f t="shared" si="0"/>
        <v>Erie Thames Powerlines Corporation</v>
      </c>
    </row>
    <row r="17" spans="1:14" x14ac:dyDescent="0.25">
      <c r="A17" t="s">
        <v>239</v>
      </c>
      <c r="H17" t="s">
        <v>201</v>
      </c>
      <c r="N17" t="str">
        <f t="shared" si="0"/>
        <v>Espanola Regional Hydro Distribution Corporation</v>
      </c>
    </row>
    <row r="18" spans="1:14" x14ac:dyDescent="0.25">
      <c r="A18" t="s">
        <v>201</v>
      </c>
      <c r="H18" t="s">
        <v>179</v>
      </c>
      <c r="N18" t="str">
        <f t="shared" si="0"/>
        <v>Essex Powerlines Corporation</v>
      </c>
    </row>
    <row r="19" spans="1:14" x14ac:dyDescent="0.25">
      <c r="A19" t="s">
        <v>179</v>
      </c>
      <c r="H19" t="s">
        <v>180</v>
      </c>
      <c r="N19" t="str">
        <f t="shared" si="0"/>
        <v>Festival Hydro Inc.</v>
      </c>
    </row>
    <row r="20" spans="1:14" x14ac:dyDescent="0.25">
      <c r="A20" t="s">
        <v>180</v>
      </c>
      <c r="H20" t="s">
        <v>181</v>
      </c>
      <c r="N20" t="str">
        <f t="shared" si="0"/>
        <v>Fort Frances Power Corporation</v>
      </c>
    </row>
    <row r="21" spans="1:14" x14ac:dyDescent="0.25">
      <c r="A21" t="s">
        <v>181</v>
      </c>
      <c r="H21" t="s">
        <v>164</v>
      </c>
      <c r="N21" t="str">
        <f t="shared" si="0"/>
        <v>Greater Sudbury Hydro Inc.</v>
      </c>
    </row>
    <row r="22" spans="1:14" x14ac:dyDescent="0.25">
      <c r="A22" t="s">
        <v>164</v>
      </c>
      <c r="H22" t="s">
        <v>625</v>
      </c>
      <c r="N22" t="str">
        <f t="shared" si="0"/>
        <v>Grimsby Power Incorporated</v>
      </c>
    </row>
    <row r="23" spans="1:14" x14ac:dyDescent="0.25">
      <c r="A23" t="s">
        <v>625</v>
      </c>
      <c r="H23" t="s">
        <v>202</v>
      </c>
      <c r="N23" t="str">
        <f t="shared" si="0"/>
        <v>Guelph Hydro Electric Systems Inc.</v>
      </c>
    </row>
    <row r="24" spans="1:14" x14ac:dyDescent="0.25">
      <c r="A24" t="s">
        <v>202</v>
      </c>
      <c r="H24" t="s">
        <v>203</v>
      </c>
      <c r="N24" t="str">
        <f t="shared" si="0"/>
        <v>Halton Hills Hydro Inc.</v>
      </c>
    </row>
    <row r="25" spans="1:14" x14ac:dyDescent="0.25">
      <c r="A25" t="s">
        <v>182</v>
      </c>
      <c r="H25" t="s">
        <v>204</v>
      </c>
      <c r="N25" t="str">
        <f t="shared" si="0"/>
        <v>Hydro 2000 Inc.</v>
      </c>
    </row>
    <row r="26" spans="1:14" x14ac:dyDescent="0.25">
      <c r="A26" t="s">
        <v>203</v>
      </c>
      <c r="H26" t="s">
        <v>183</v>
      </c>
      <c r="N26" t="str">
        <f t="shared" si="0"/>
        <v>Hydro Hawkesbury Inc.</v>
      </c>
    </row>
    <row r="27" spans="1:14" x14ac:dyDescent="0.25">
      <c r="A27" t="s">
        <v>240</v>
      </c>
      <c r="H27" t="s">
        <v>166</v>
      </c>
      <c r="N27" t="str">
        <f t="shared" si="0"/>
        <v>Hydro One Brampton Networks Inc.</v>
      </c>
    </row>
    <row r="28" spans="1:14" x14ac:dyDescent="0.25">
      <c r="A28" t="s">
        <v>165</v>
      </c>
      <c r="H28" t="s">
        <v>626</v>
      </c>
      <c r="N28" t="str">
        <f t="shared" si="0"/>
        <v>Hydro One Remote Communities Inc.</v>
      </c>
    </row>
    <row r="29" spans="1:14" x14ac:dyDescent="0.25">
      <c r="A29" t="s">
        <v>204</v>
      </c>
      <c r="H29" t="s">
        <v>205</v>
      </c>
      <c r="N29" t="str">
        <f t="shared" si="0"/>
        <v>Hydro Ottawa Limited</v>
      </c>
    </row>
    <row r="30" spans="1:14" x14ac:dyDescent="0.25">
      <c r="A30" t="s">
        <v>183</v>
      </c>
      <c r="H30" t="s">
        <v>627</v>
      </c>
      <c r="N30" t="str">
        <f t="shared" si="0"/>
        <v>Innpower Corporation</v>
      </c>
    </row>
    <row r="31" spans="1:14" x14ac:dyDescent="0.25">
      <c r="A31" t="s">
        <v>166</v>
      </c>
      <c r="H31" t="s">
        <v>167</v>
      </c>
      <c r="N31" t="str">
        <f t="shared" si="0"/>
        <v>Kenora Hydro Electric Corporation Ltd.</v>
      </c>
    </row>
    <row r="32" spans="1:14" x14ac:dyDescent="0.25">
      <c r="A32" t="s">
        <v>211</v>
      </c>
      <c r="H32" t="s">
        <v>163</v>
      </c>
      <c r="N32" t="str">
        <f t="shared" si="0"/>
        <v>Kingston Hydro Corporation</v>
      </c>
    </row>
    <row r="33" spans="1:14" x14ac:dyDescent="0.25">
      <c r="A33" t="s">
        <v>626</v>
      </c>
      <c r="H33" t="s">
        <v>184</v>
      </c>
      <c r="N33" t="str">
        <f t="shared" si="0"/>
        <v>Kitchener-Wilmot Hydro Inc.</v>
      </c>
    </row>
    <row r="34" spans="1:14" x14ac:dyDescent="0.25">
      <c r="A34" t="s">
        <v>205</v>
      </c>
      <c r="H34" t="s">
        <v>206</v>
      </c>
      <c r="N34" t="str">
        <f t="shared" si="0"/>
        <v>Lakefront Utilities Inc.</v>
      </c>
    </row>
    <row r="35" spans="1:14" x14ac:dyDescent="0.25">
      <c r="A35" t="s">
        <v>627</v>
      </c>
      <c r="H35" t="s">
        <v>185</v>
      </c>
      <c r="N35" t="str">
        <f t="shared" si="0"/>
        <v>Lakeland Power Distribution Ltd.</v>
      </c>
    </row>
    <row r="36" spans="1:14" x14ac:dyDescent="0.25">
      <c r="A36" t="s">
        <v>167</v>
      </c>
      <c r="H36" t="s">
        <v>186</v>
      </c>
      <c r="N36" t="str">
        <f t="shared" si="0"/>
        <v>London Hydro Inc.</v>
      </c>
    </row>
    <row r="37" spans="1:14" x14ac:dyDescent="0.25">
      <c r="A37" t="s">
        <v>163</v>
      </c>
      <c r="H37" t="s">
        <v>187</v>
      </c>
      <c r="N37" t="str">
        <f t="shared" si="0"/>
        <v>Midland Power Utility Corporation</v>
      </c>
    </row>
    <row r="38" spans="1:14" x14ac:dyDescent="0.25">
      <c r="A38" t="s">
        <v>184</v>
      </c>
      <c r="H38" t="s">
        <v>440</v>
      </c>
      <c r="N38" t="str">
        <f t="shared" si="0"/>
        <v>Milton Hydro Distribution Inc.</v>
      </c>
    </row>
    <row r="39" spans="1:14" x14ac:dyDescent="0.25">
      <c r="A39" t="s">
        <v>206</v>
      </c>
      <c r="H39" t="s">
        <v>188</v>
      </c>
      <c r="N39" t="str">
        <f t="shared" si="0"/>
        <v>Niagara-on-the-Lake Hydro Inc.</v>
      </c>
    </row>
    <row r="40" spans="1:14" x14ac:dyDescent="0.25">
      <c r="A40" t="s">
        <v>185</v>
      </c>
      <c r="H40" t="s">
        <v>427</v>
      </c>
      <c r="N40" t="str">
        <f t="shared" si="0"/>
        <v>Niagara Peninsula Energy Inc.</v>
      </c>
    </row>
    <row r="41" spans="1:14" x14ac:dyDescent="0.25">
      <c r="A41" t="s">
        <v>186</v>
      </c>
      <c r="H41" t="s">
        <v>190</v>
      </c>
      <c r="N41" t="str">
        <f t="shared" si="0"/>
        <v>Northern Ontario Wires Inc.</v>
      </c>
    </row>
    <row r="42" spans="1:14" x14ac:dyDescent="0.25">
      <c r="A42" t="s">
        <v>187</v>
      </c>
      <c r="H42" t="s">
        <v>242</v>
      </c>
      <c r="N42" t="str">
        <f t="shared" si="0"/>
        <v>Oakville Hydro Electricity Distribution Inc.</v>
      </c>
    </row>
    <row r="43" spans="1:14" x14ac:dyDescent="0.25">
      <c r="A43" t="s">
        <v>440</v>
      </c>
      <c r="H43" t="s">
        <v>146</v>
      </c>
      <c r="N43" t="str">
        <f t="shared" si="0"/>
        <v>Orangeville Hydro Limited</v>
      </c>
    </row>
    <row r="44" spans="1:14" x14ac:dyDescent="0.25">
      <c r="A44" t="s">
        <v>647</v>
      </c>
      <c r="H44" t="s">
        <v>243</v>
      </c>
      <c r="N44" t="str">
        <f t="shared" si="0"/>
        <v>Orillia Power Distribution Corporation</v>
      </c>
    </row>
    <row r="45" spans="1:14" x14ac:dyDescent="0.25">
      <c r="A45" t="s">
        <v>427</v>
      </c>
      <c r="H45" t="s">
        <v>244</v>
      </c>
      <c r="N45" t="str">
        <f t="shared" si="0"/>
        <v>Peterborough Distribution Incorporated</v>
      </c>
    </row>
    <row r="46" spans="1:14" x14ac:dyDescent="0.25">
      <c r="A46" t="s">
        <v>188</v>
      </c>
      <c r="H46" t="s">
        <v>428</v>
      </c>
      <c r="N46" t="str">
        <f t="shared" si="0"/>
        <v>PowerStream Inc.</v>
      </c>
    </row>
    <row r="47" spans="1:14" x14ac:dyDescent="0.25">
      <c r="A47" t="s">
        <v>241</v>
      </c>
      <c r="H47" t="s">
        <v>192</v>
      </c>
      <c r="N47" t="str">
        <f t="shared" si="0"/>
        <v>PUC Distribution Inc.</v>
      </c>
    </row>
    <row r="48" spans="1:14" x14ac:dyDescent="0.25">
      <c r="A48" t="s">
        <v>189</v>
      </c>
      <c r="H48" t="s">
        <v>193</v>
      </c>
      <c r="N48" t="str">
        <f t="shared" si="0"/>
        <v>Renfrew Hydro Inc.</v>
      </c>
    </row>
    <row r="49" spans="1:14" x14ac:dyDescent="0.25">
      <c r="A49" t="s">
        <v>190</v>
      </c>
      <c r="H49" t="s">
        <v>208</v>
      </c>
      <c r="N49" t="str">
        <f t="shared" si="0"/>
        <v>Rideau St. Lawrence Distribution Inc.</v>
      </c>
    </row>
    <row r="50" spans="1:14" x14ac:dyDescent="0.25">
      <c r="A50" t="s">
        <v>242</v>
      </c>
      <c r="H50" t="s">
        <v>194</v>
      </c>
      <c r="N50" t="str">
        <f t="shared" si="0"/>
        <v>Sioux Lookout Hydro Inc.</v>
      </c>
    </row>
    <row r="51" spans="1:14" x14ac:dyDescent="0.25">
      <c r="A51" t="s">
        <v>146</v>
      </c>
      <c r="H51" t="s">
        <v>245</v>
      </c>
      <c r="N51" t="str">
        <f t="shared" si="0"/>
        <v>Thunder Bay Hydro Electricity Distribution Inc.</v>
      </c>
    </row>
    <row r="52" spans="1:14" x14ac:dyDescent="0.25">
      <c r="A52" t="s">
        <v>243</v>
      </c>
      <c r="H52" t="s">
        <v>195</v>
      </c>
      <c r="N52" t="str">
        <f t="shared" si="0"/>
        <v>Tillsonburg Hydro Inc.</v>
      </c>
    </row>
    <row r="53" spans="1:14" x14ac:dyDescent="0.25">
      <c r="A53" t="s">
        <v>207</v>
      </c>
      <c r="H53" t="s">
        <v>209</v>
      </c>
      <c r="N53" t="str">
        <f t="shared" si="0"/>
        <v>Veridian Connections Inc.</v>
      </c>
    </row>
    <row r="54" spans="1:14" x14ac:dyDescent="0.25">
      <c r="A54" t="s">
        <v>191</v>
      </c>
      <c r="H54" t="s">
        <v>170</v>
      </c>
      <c r="N54" t="str">
        <f t="shared" si="0"/>
        <v>Wasaga Distribution Inc.</v>
      </c>
    </row>
    <row r="55" spans="1:14" x14ac:dyDescent="0.25">
      <c r="A55" t="s">
        <v>244</v>
      </c>
      <c r="H55" t="s">
        <v>171</v>
      </c>
      <c r="N55" t="str">
        <f t="shared" si="0"/>
        <v>Waterloo North Hydro Inc.</v>
      </c>
    </row>
    <row r="56" spans="1:14" x14ac:dyDescent="0.25">
      <c r="A56" t="s">
        <v>428</v>
      </c>
      <c r="H56" t="s">
        <v>246</v>
      </c>
      <c r="N56" t="str">
        <f t="shared" si="0"/>
        <v>Welland Hydro-Electric System Corp.</v>
      </c>
    </row>
    <row r="57" spans="1:14" x14ac:dyDescent="0.25">
      <c r="A57" t="s">
        <v>192</v>
      </c>
      <c r="H57" t="s">
        <v>210</v>
      </c>
      <c r="N57" t="str">
        <f t="shared" si="0"/>
        <v>Wellington North Power Inc.</v>
      </c>
    </row>
    <row r="58" spans="1:14" x14ac:dyDescent="0.25">
      <c r="A58" t="s">
        <v>193</v>
      </c>
      <c r="H58" t="s">
        <v>196</v>
      </c>
      <c r="N58" t="str">
        <f t="shared" si="0"/>
        <v>West Coast Huron Energy Inc.</v>
      </c>
    </row>
    <row r="59" spans="1:14" x14ac:dyDescent="0.25">
      <c r="A59" t="s">
        <v>208</v>
      </c>
      <c r="H59" t="s">
        <v>197</v>
      </c>
      <c r="N59" t="str">
        <f t="shared" si="0"/>
        <v>Westario Power Inc.</v>
      </c>
    </row>
    <row r="60" spans="1:14" x14ac:dyDescent="0.25">
      <c r="A60" t="s">
        <v>194</v>
      </c>
      <c r="H60" t="s">
        <v>198</v>
      </c>
      <c r="N60" t="str">
        <f t="shared" si="0"/>
        <v>Whitby Hydro Electric Corporation</v>
      </c>
    </row>
    <row r="61" spans="1:14" x14ac:dyDescent="0.25">
      <c r="A61" t="s">
        <v>168</v>
      </c>
    </row>
    <row r="62" spans="1:14" x14ac:dyDescent="0.25">
      <c r="A62" t="s">
        <v>245</v>
      </c>
    </row>
    <row r="63" spans="1:14" x14ac:dyDescent="0.25">
      <c r="A63" t="s">
        <v>195</v>
      </c>
    </row>
    <row r="64" spans="1:14" x14ac:dyDescent="0.25">
      <c r="A64" t="s">
        <v>169</v>
      </c>
    </row>
    <row r="65" spans="1:1" x14ac:dyDescent="0.25">
      <c r="A65" t="s">
        <v>209</v>
      </c>
    </row>
    <row r="66" spans="1:1" x14ac:dyDescent="0.25">
      <c r="A66" t="s">
        <v>170</v>
      </c>
    </row>
    <row r="67" spans="1:1" x14ac:dyDescent="0.25">
      <c r="A67" t="s">
        <v>171</v>
      </c>
    </row>
    <row r="68" spans="1:1" x14ac:dyDescent="0.25">
      <c r="A68" t="s">
        <v>246</v>
      </c>
    </row>
    <row r="69" spans="1:1" x14ac:dyDescent="0.25">
      <c r="A69" t="s">
        <v>210</v>
      </c>
    </row>
    <row r="70" spans="1:1" x14ac:dyDescent="0.25">
      <c r="A70" t="s">
        <v>196</v>
      </c>
    </row>
    <row r="71" spans="1:1" x14ac:dyDescent="0.25">
      <c r="A71" t="s">
        <v>197</v>
      </c>
    </row>
    <row r="72" spans="1:1" x14ac:dyDescent="0.25">
      <c r="A72" t="s">
        <v>198</v>
      </c>
    </row>
    <row r="73" spans="1:1" x14ac:dyDescent="0.25">
      <c r="A73" t="s">
        <v>172</v>
      </c>
    </row>
  </sheetData>
  <sheetProtection algorithmName="SHA-512" hashValue="yUULUFFPgKQsA7adRZpSP6wdmF/izEUlPBfjhyEmMqgy8VVK9kGqppjqHJjSx/s8Zb4HrxmpGJdFFpcwb6+wPA==" saltValue="ox4ov5GKFR12rD73dHicGg=="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69"/>
  <sheetViews>
    <sheetView topLeftCell="A58" workbookViewId="0">
      <selection activeCell="C17" sqref="C17"/>
    </sheetView>
  </sheetViews>
  <sheetFormatPr defaultRowHeight="15" x14ac:dyDescent="0.25"/>
  <cols>
    <col min="1" max="1" width="54.85546875" customWidth="1"/>
    <col min="2" max="2" width="59.28515625" customWidth="1"/>
    <col min="3" max="3" width="54.28515625" customWidth="1"/>
  </cols>
  <sheetData>
    <row r="1" spans="1:3" x14ac:dyDescent="0.25">
      <c r="A1" s="1" t="s">
        <v>162</v>
      </c>
      <c r="B1" s="432" t="s">
        <v>162</v>
      </c>
      <c r="C1" t="s">
        <v>2388</v>
      </c>
    </row>
    <row r="2" spans="1:3" x14ac:dyDescent="0.25">
      <c r="A2" s="1" t="s">
        <v>199</v>
      </c>
      <c r="B2" s="432" t="s">
        <v>199</v>
      </c>
      <c r="C2" t="s">
        <v>2388</v>
      </c>
    </row>
    <row r="3" spans="1:3" x14ac:dyDescent="0.25">
      <c r="A3" s="1" t="s">
        <v>236</v>
      </c>
      <c r="B3" s="432" t="s">
        <v>174</v>
      </c>
      <c r="C3" t="s">
        <v>2388</v>
      </c>
    </row>
    <row r="4" spans="1:3" x14ac:dyDescent="0.25">
      <c r="A4" s="1" t="s">
        <v>237</v>
      </c>
      <c r="B4" s="432" t="s">
        <v>236</v>
      </c>
      <c r="C4" t="s">
        <v>2388</v>
      </c>
    </row>
    <row r="5" spans="1:3" x14ac:dyDescent="0.25">
      <c r="A5" s="1" t="s">
        <v>173</v>
      </c>
      <c r="B5" s="432" t="s">
        <v>237</v>
      </c>
      <c r="C5" t="s">
        <v>2388</v>
      </c>
    </row>
    <row r="6" spans="1:3" x14ac:dyDescent="0.25">
      <c r="A6" s="1" t="s">
        <v>174</v>
      </c>
      <c r="B6" s="432" t="s">
        <v>173</v>
      </c>
      <c r="C6" t="s">
        <v>2388</v>
      </c>
    </row>
    <row r="7" spans="1:3" x14ac:dyDescent="0.25">
      <c r="A7" s="1" t="s">
        <v>238</v>
      </c>
      <c r="B7" s="432" t="s">
        <v>238</v>
      </c>
      <c r="C7" t="s">
        <v>2388</v>
      </c>
    </row>
    <row r="8" spans="1:3" x14ac:dyDescent="0.25">
      <c r="A8" s="1" t="s">
        <v>424</v>
      </c>
      <c r="B8" s="432" t="s">
        <v>424</v>
      </c>
      <c r="C8" t="s">
        <v>2388</v>
      </c>
    </row>
    <row r="9" spans="1:3" x14ac:dyDescent="0.25">
      <c r="A9" s="1" t="s">
        <v>175</v>
      </c>
      <c r="B9" s="432" t="s">
        <v>175</v>
      </c>
      <c r="C9" t="s">
        <v>2388</v>
      </c>
    </row>
    <row r="10" spans="1:3" x14ac:dyDescent="0.25">
      <c r="A10" s="1" t="s">
        <v>200</v>
      </c>
      <c r="B10" s="432" t="s">
        <v>623</v>
      </c>
      <c r="C10" t="s">
        <v>2388</v>
      </c>
    </row>
    <row r="11" spans="1:3" x14ac:dyDescent="0.25">
      <c r="A11" s="1" t="s">
        <v>623</v>
      </c>
      <c r="B11" s="432" t="s">
        <v>176</v>
      </c>
      <c r="C11" t="s">
        <v>2388</v>
      </c>
    </row>
    <row r="12" spans="1:3" x14ac:dyDescent="0.25">
      <c r="A12" s="1" t="s">
        <v>176</v>
      </c>
      <c r="B12" s="432" t="s">
        <v>177</v>
      </c>
      <c r="C12" t="s">
        <v>2388</v>
      </c>
    </row>
    <row r="13" spans="1:3" x14ac:dyDescent="0.25">
      <c r="A13" s="1" t="s">
        <v>177</v>
      </c>
      <c r="B13" s="432" t="s">
        <v>178</v>
      </c>
      <c r="C13" t="s">
        <v>2388</v>
      </c>
    </row>
    <row r="14" spans="1:3" x14ac:dyDescent="0.25">
      <c r="A14" s="1" t="s">
        <v>178</v>
      </c>
      <c r="B14" s="432" t="s">
        <v>425</v>
      </c>
      <c r="C14" t="s">
        <v>2388</v>
      </c>
    </row>
    <row r="15" spans="1:3" x14ac:dyDescent="0.25">
      <c r="A15" s="1" t="s">
        <v>425</v>
      </c>
      <c r="B15" s="432" t="s">
        <v>624</v>
      </c>
      <c r="C15" t="s">
        <v>2388</v>
      </c>
    </row>
    <row r="16" spans="1:3" x14ac:dyDescent="0.25">
      <c r="A16" s="1" t="s">
        <v>624</v>
      </c>
      <c r="B16" s="432" t="s">
        <v>239</v>
      </c>
      <c r="C16" t="s">
        <v>2388</v>
      </c>
    </row>
    <row r="17" spans="1:3" x14ac:dyDescent="0.25">
      <c r="A17" s="1" t="s">
        <v>239</v>
      </c>
      <c r="B17" s="432" t="s">
        <v>179</v>
      </c>
      <c r="C17" t="s">
        <v>2388</v>
      </c>
    </row>
    <row r="18" spans="1:3" x14ac:dyDescent="0.25">
      <c r="A18" s="1" t="s">
        <v>201</v>
      </c>
      <c r="B18" s="432" t="s">
        <v>180</v>
      </c>
      <c r="C18" t="s">
        <v>2388</v>
      </c>
    </row>
    <row r="19" spans="1:3" x14ac:dyDescent="0.25">
      <c r="A19" s="1" t="s">
        <v>179</v>
      </c>
      <c r="B19" s="432" t="s">
        <v>181</v>
      </c>
      <c r="C19" t="s">
        <v>2388</v>
      </c>
    </row>
    <row r="20" spans="1:3" x14ac:dyDescent="0.25">
      <c r="A20" s="1" t="s">
        <v>180</v>
      </c>
      <c r="B20" s="432" t="s">
        <v>164</v>
      </c>
      <c r="C20" t="s">
        <v>2388</v>
      </c>
    </row>
    <row r="21" spans="1:3" x14ac:dyDescent="0.25">
      <c r="A21" s="1" t="s">
        <v>181</v>
      </c>
      <c r="B21" s="432" t="s">
        <v>202</v>
      </c>
      <c r="C21" t="s">
        <v>2388</v>
      </c>
    </row>
    <row r="22" spans="1:3" x14ac:dyDescent="0.25">
      <c r="A22" s="1" t="s">
        <v>164</v>
      </c>
      <c r="B22" s="432" t="s">
        <v>203</v>
      </c>
      <c r="C22" t="s">
        <v>2388</v>
      </c>
    </row>
    <row r="23" spans="1:3" x14ac:dyDescent="0.25">
      <c r="A23" s="1" t="s">
        <v>625</v>
      </c>
      <c r="B23" s="432" t="s">
        <v>2277</v>
      </c>
      <c r="C23" t="s">
        <v>2388</v>
      </c>
    </row>
    <row r="24" spans="1:3" x14ac:dyDescent="0.25">
      <c r="A24" s="1" t="s">
        <v>202</v>
      </c>
      <c r="B24" s="432" t="s">
        <v>165</v>
      </c>
      <c r="C24" t="s">
        <v>2388</v>
      </c>
    </row>
    <row r="25" spans="1:3" x14ac:dyDescent="0.25">
      <c r="A25" s="1" t="s">
        <v>203</v>
      </c>
      <c r="B25" s="432" t="s">
        <v>204</v>
      </c>
      <c r="C25" t="s">
        <v>2388</v>
      </c>
    </row>
    <row r="26" spans="1:3" x14ac:dyDescent="0.25">
      <c r="A26" s="1" t="s">
        <v>2277</v>
      </c>
      <c r="B26" s="432" t="s">
        <v>183</v>
      </c>
      <c r="C26" t="s">
        <v>2388</v>
      </c>
    </row>
    <row r="27" spans="1:3" x14ac:dyDescent="0.25">
      <c r="A27" s="1" t="s">
        <v>165</v>
      </c>
      <c r="B27" s="432" t="s">
        <v>166</v>
      </c>
      <c r="C27" t="s">
        <v>2388</v>
      </c>
    </row>
    <row r="28" spans="1:3" x14ac:dyDescent="0.25">
      <c r="A28" s="1" t="s">
        <v>204</v>
      </c>
      <c r="B28" s="432" t="s">
        <v>2359</v>
      </c>
    </row>
    <row r="29" spans="1:3" x14ac:dyDescent="0.25">
      <c r="A29" s="1" t="s">
        <v>183</v>
      </c>
      <c r="B29" s="432" t="s">
        <v>2362</v>
      </c>
    </row>
    <row r="30" spans="1:3" x14ac:dyDescent="0.25">
      <c r="A30" s="1" t="s">
        <v>166</v>
      </c>
      <c r="B30" s="432" t="s">
        <v>2361</v>
      </c>
    </row>
    <row r="31" spans="1:3" x14ac:dyDescent="0.25">
      <c r="A31" s="1" t="s">
        <v>626</v>
      </c>
      <c r="B31" s="432" t="s">
        <v>626</v>
      </c>
      <c r="C31" t="s">
        <v>2388</v>
      </c>
    </row>
    <row r="32" spans="1:3" x14ac:dyDescent="0.25">
      <c r="A32" s="1" t="s">
        <v>205</v>
      </c>
      <c r="B32" s="432" t="s">
        <v>205</v>
      </c>
      <c r="C32" t="s">
        <v>2388</v>
      </c>
    </row>
    <row r="33" spans="1:3" x14ac:dyDescent="0.25">
      <c r="A33" s="1" t="s">
        <v>627</v>
      </c>
      <c r="B33" s="432" t="s">
        <v>2278</v>
      </c>
      <c r="C33" t="s">
        <v>2388</v>
      </c>
    </row>
    <row r="34" spans="1:3" x14ac:dyDescent="0.25">
      <c r="A34" s="1" t="s">
        <v>167</v>
      </c>
      <c r="B34" s="432" t="s">
        <v>167</v>
      </c>
      <c r="C34" t="s">
        <v>2388</v>
      </c>
    </row>
    <row r="35" spans="1:3" x14ac:dyDescent="0.25">
      <c r="A35" s="1" t="s">
        <v>163</v>
      </c>
      <c r="B35" s="432" t="s">
        <v>163</v>
      </c>
      <c r="C35" t="s">
        <v>2388</v>
      </c>
    </row>
    <row r="36" spans="1:3" x14ac:dyDescent="0.25">
      <c r="A36" s="1" t="s">
        <v>184</v>
      </c>
      <c r="B36" s="432" t="s">
        <v>184</v>
      </c>
      <c r="C36" t="s">
        <v>2388</v>
      </c>
    </row>
    <row r="37" spans="1:3" x14ac:dyDescent="0.25">
      <c r="A37" s="1" t="s">
        <v>206</v>
      </c>
      <c r="B37" s="432" t="s">
        <v>206</v>
      </c>
      <c r="C37" t="s">
        <v>2388</v>
      </c>
    </row>
    <row r="38" spans="1:3" x14ac:dyDescent="0.25">
      <c r="A38" s="1" t="s">
        <v>185</v>
      </c>
      <c r="B38" s="432" t="s">
        <v>185</v>
      </c>
      <c r="C38" t="s">
        <v>2388</v>
      </c>
    </row>
    <row r="39" spans="1:3" x14ac:dyDescent="0.25">
      <c r="A39" s="1" t="s">
        <v>186</v>
      </c>
      <c r="B39" s="432" t="s">
        <v>186</v>
      </c>
      <c r="C39" t="s">
        <v>2388</v>
      </c>
    </row>
    <row r="40" spans="1:3" x14ac:dyDescent="0.25">
      <c r="A40" s="1" t="s">
        <v>187</v>
      </c>
      <c r="B40" s="432" t="s">
        <v>187</v>
      </c>
      <c r="C40" t="s">
        <v>2388</v>
      </c>
    </row>
    <row r="41" spans="1:3" x14ac:dyDescent="0.25">
      <c r="A41" s="1" t="s">
        <v>440</v>
      </c>
      <c r="B41" s="432" t="s">
        <v>426</v>
      </c>
      <c r="C41" t="s">
        <v>2388</v>
      </c>
    </row>
    <row r="42" spans="1:3" x14ac:dyDescent="0.25">
      <c r="A42" s="1" t="s">
        <v>426</v>
      </c>
      <c r="B42" s="432" t="s">
        <v>427</v>
      </c>
      <c r="C42" t="s">
        <v>2388</v>
      </c>
    </row>
    <row r="43" spans="1:3" x14ac:dyDescent="0.25">
      <c r="A43" s="1" t="s">
        <v>427</v>
      </c>
      <c r="B43" s="432" t="s">
        <v>188</v>
      </c>
      <c r="C43" t="s">
        <v>2388</v>
      </c>
    </row>
    <row r="44" spans="1:3" x14ac:dyDescent="0.25">
      <c r="A44" s="1" t="s">
        <v>188</v>
      </c>
      <c r="B44" s="432" t="s">
        <v>189</v>
      </c>
      <c r="C44" t="s">
        <v>2388</v>
      </c>
    </row>
    <row r="45" spans="1:3" x14ac:dyDescent="0.25">
      <c r="A45" s="595" t="s">
        <v>189</v>
      </c>
      <c r="B45" s="432" t="s">
        <v>190</v>
      </c>
      <c r="C45" t="s">
        <v>2388</v>
      </c>
    </row>
    <row r="46" spans="1:3" x14ac:dyDescent="0.25">
      <c r="A46" s="1" t="s">
        <v>190</v>
      </c>
      <c r="B46" s="432" t="s">
        <v>242</v>
      </c>
      <c r="C46" t="s">
        <v>2388</v>
      </c>
    </row>
    <row r="47" spans="1:3" x14ac:dyDescent="0.25">
      <c r="A47" s="1" t="s">
        <v>242</v>
      </c>
      <c r="B47" s="432" t="s">
        <v>146</v>
      </c>
      <c r="C47" t="s">
        <v>2388</v>
      </c>
    </row>
    <row r="48" spans="1:3" x14ac:dyDescent="0.25">
      <c r="A48" s="1" t="s">
        <v>146</v>
      </c>
      <c r="B48" s="432" t="s">
        <v>243</v>
      </c>
      <c r="C48" t="s">
        <v>2388</v>
      </c>
    </row>
    <row r="49" spans="1:3" x14ac:dyDescent="0.25">
      <c r="A49" s="1" t="s">
        <v>243</v>
      </c>
      <c r="B49" s="432" t="s">
        <v>207</v>
      </c>
      <c r="C49" t="s">
        <v>2388</v>
      </c>
    </row>
    <row r="50" spans="1:3" x14ac:dyDescent="0.25">
      <c r="A50" s="1" t="s">
        <v>207</v>
      </c>
      <c r="B50" s="432" t="s">
        <v>244</v>
      </c>
      <c r="C50" t="s">
        <v>2388</v>
      </c>
    </row>
    <row r="51" spans="1:3" x14ac:dyDescent="0.25">
      <c r="A51" s="595" t="s">
        <v>191</v>
      </c>
      <c r="B51" s="432" t="s">
        <v>192</v>
      </c>
      <c r="C51" t="s">
        <v>2388</v>
      </c>
    </row>
    <row r="52" spans="1:3" x14ac:dyDescent="0.25">
      <c r="A52" s="1" t="s">
        <v>244</v>
      </c>
      <c r="B52" s="432" t="s">
        <v>194</v>
      </c>
      <c r="C52" t="s">
        <v>2388</v>
      </c>
    </row>
    <row r="53" spans="1:3" x14ac:dyDescent="0.25">
      <c r="A53" s="1" t="s">
        <v>428</v>
      </c>
      <c r="B53" s="432" t="s">
        <v>168</v>
      </c>
      <c r="C53" t="s">
        <v>2388</v>
      </c>
    </row>
    <row r="54" spans="1:3" x14ac:dyDescent="0.25">
      <c r="A54" s="1" t="s">
        <v>192</v>
      </c>
      <c r="B54" s="432" t="s">
        <v>245</v>
      </c>
      <c r="C54" t="s">
        <v>2388</v>
      </c>
    </row>
    <row r="55" spans="1:3" x14ac:dyDescent="0.25">
      <c r="A55" s="1" t="s">
        <v>193</v>
      </c>
      <c r="B55" s="432" t="s">
        <v>195</v>
      </c>
      <c r="C55" t="s">
        <v>2388</v>
      </c>
    </row>
    <row r="56" spans="1:3" x14ac:dyDescent="0.25">
      <c r="A56" s="1" t="s">
        <v>208</v>
      </c>
      <c r="B56" s="432" t="s">
        <v>169</v>
      </c>
      <c r="C56" t="s">
        <v>2388</v>
      </c>
    </row>
    <row r="57" spans="1:3" x14ac:dyDescent="0.25">
      <c r="A57" s="1" t="s">
        <v>194</v>
      </c>
      <c r="B57" s="432" t="s">
        <v>209</v>
      </c>
      <c r="C57" t="s">
        <v>2388</v>
      </c>
    </row>
    <row r="58" spans="1:3" x14ac:dyDescent="0.25">
      <c r="A58" s="1" t="s">
        <v>168</v>
      </c>
      <c r="B58" s="432" t="s">
        <v>170</v>
      </c>
      <c r="C58" t="s">
        <v>2388</v>
      </c>
    </row>
    <row r="59" spans="1:3" x14ac:dyDescent="0.25">
      <c r="A59" s="1" t="s">
        <v>245</v>
      </c>
      <c r="B59" s="432" t="s">
        <v>171</v>
      </c>
      <c r="C59" t="s">
        <v>2388</v>
      </c>
    </row>
    <row r="60" spans="1:3" x14ac:dyDescent="0.25">
      <c r="A60" s="1" t="s">
        <v>195</v>
      </c>
      <c r="B60" s="432" t="s">
        <v>246</v>
      </c>
      <c r="C60" t="s">
        <v>2388</v>
      </c>
    </row>
    <row r="61" spans="1:3" x14ac:dyDescent="0.25">
      <c r="A61" s="1" t="s">
        <v>169</v>
      </c>
      <c r="B61" s="432" t="s">
        <v>210</v>
      </c>
      <c r="C61" t="s">
        <v>2388</v>
      </c>
    </row>
    <row r="62" spans="1:3" x14ac:dyDescent="0.25">
      <c r="A62" s="1" t="s">
        <v>209</v>
      </c>
      <c r="B62" s="432" t="s">
        <v>196</v>
      </c>
      <c r="C62" t="s">
        <v>2388</v>
      </c>
    </row>
    <row r="63" spans="1:3" x14ac:dyDescent="0.25">
      <c r="A63" s="1" t="s">
        <v>170</v>
      </c>
      <c r="B63" s="432" t="s">
        <v>197</v>
      </c>
      <c r="C63" t="s">
        <v>2388</v>
      </c>
    </row>
    <row r="64" spans="1:3" x14ac:dyDescent="0.25">
      <c r="A64" s="1" t="s">
        <v>171</v>
      </c>
      <c r="B64" s="432" t="s">
        <v>198</v>
      </c>
      <c r="C64" t="s">
        <v>2388</v>
      </c>
    </row>
    <row r="65" spans="1:1" x14ac:dyDescent="0.25">
      <c r="A65" s="1" t="s">
        <v>246</v>
      </c>
    </row>
    <row r="66" spans="1:1" x14ac:dyDescent="0.25">
      <c r="A66" s="1" t="s">
        <v>210</v>
      </c>
    </row>
    <row r="67" spans="1:1" x14ac:dyDescent="0.25">
      <c r="A67" s="1" t="s">
        <v>196</v>
      </c>
    </row>
    <row r="68" spans="1:1" x14ac:dyDescent="0.25">
      <c r="A68" s="1" t="s">
        <v>197</v>
      </c>
    </row>
    <row r="69" spans="1:1" x14ac:dyDescent="0.25">
      <c r="A69" s="1" t="s">
        <v>198</v>
      </c>
    </row>
  </sheetData>
  <sheetProtection algorithmName="SHA-512" hashValue="MGi7QWAuG6PHuBXyOmMNIuY8M7tntf2nFQCm82RELB5EGeMyPw3LywfErP9eaPpqu0isWwsg1y+ItGv0DpsXhg==" saltValue="SRdOr8UU4NOmsfpreysPN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AZ574"/>
  <sheetViews>
    <sheetView showGridLines="0" zoomScale="120" zoomScaleNormal="120" zoomScaleSheetLayoutView="115" workbookViewId="0">
      <selection activeCell="B12" sqref="B12:E12"/>
    </sheetView>
  </sheetViews>
  <sheetFormatPr defaultRowHeight="15" x14ac:dyDescent="0.25"/>
  <cols>
    <col min="1" max="1" width="3.85546875" customWidth="1"/>
    <col min="2" max="2" width="58.28515625" customWidth="1"/>
    <col min="3" max="3" width="16.42578125" customWidth="1"/>
    <col min="4" max="4" width="6.140625" customWidth="1"/>
    <col min="5" max="5" width="10.42578125" customWidth="1"/>
    <col min="6" max="6" width="9.140625" hidden="1" customWidth="1"/>
    <col min="7" max="7" width="16.5703125" hidden="1" customWidth="1"/>
    <col min="8" max="8" width="47.85546875" hidden="1" customWidth="1"/>
    <col min="9" max="9" width="14" hidden="1" customWidth="1"/>
    <col min="10" max="10" width="10" hidden="1" customWidth="1"/>
    <col min="11" max="11" width="29.7109375" hidden="1" customWidth="1"/>
    <col min="12" max="13" width="18.140625" hidden="1" customWidth="1"/>
    <col min="14" max="15" width="9.140625" hidden="1" customWidth="1"/>
    <col min="16" max="16" width="26.85546875" hidden="1" customWidth="1"/>
    <col min="17" max="17" width="34.140625" hidden="1" customWidth="1"/>
    <col min="18" max="24" width="9.140625" hidden="1" customWidth="1"/>
    <col min="25" max="25" width="58.28515625" hidden="1" customWidth="1"/>
    <col min="26" max="26" width="75.42578125" hidden="1" customWidth="1"/>
    <col min="27" max="27" width="87.5703125" hidden="1" customWidth="1"/>
    <col min="28" max="52" width="9.140625" hidden="1" customWidth="1"/>
    <col min="53" max="53" width="9.140625" customWidth="1"/>
    <col min="54" max="54" width="8.85546875" customWidth="1"/>
    <col min="55" max="74" width="9.140625" customWidth="1"/>
  </cols>
  <sheetData>
    <row r="1" spans="2:52" ht="18" customHeight="1" x14ac:dyDescent="0.25">
      <c r="G1" s="1530"/>
      <c r="AZ1" s="844" t="b">
        <v>1</v>
      </c>
    </row>
    <row r="2" spans="2:52" x14ac:dyDescent="0.25">
      <c r="G2" s="1530"/>
    </row>
    <row r="3" spans="2:52" x14ac:dyDescent="0.25">
      <c r="B3" t="s">
        <v>6906</v>
      </c>
      <c r="G3" s="1530"/>
    </row>
    <row r="4" spans="2:52" x14ac:dyDescent="0.25">
      <c r="G4" s="1530"/>
    </row>
    <row r="5" spans="2:52" x14ac:dyDescent="0.25">
      <c r="G5" s="1530"/>
    </row>
    <row r="6" spans="2:52" x14ac:dyDescent="0.25">
      <c r="G6" s="1530"/>
    </row>
    <row r="7" spans="2:52" x14ac:dyDescent="0.25">
      <c r="G7" s="1530"/>
    </row>
    <row r="8" spans="2:52" x14ac:dyDescent="0.25">
      <c r="G8" s="1530"/>
    </row>
    <row r="9" spans="2:52" x14ac:dyDescent="0.25">
      <c r="G9" s="1530"/>
    </row>
    <row r="10" spans="2:52" x14ac:dyDescent="0.25">
      <c r="G10" s="1530"/>
    </row>
    <row r="11" spans="2:52" x14ac:dyDescent="0.25">
      <c r="G11" s="1530"/>
    </row>
    <row r="12" spans="2:52" ht="23.25" x14ac:dyDescent="0.25">
      <c r="B12" s="1699" t="s">
        <v>208</v>
      </c>
      <c r="C12" s="1699"/>
      <c r="D12" s="1699"/>
      <c r="E12" s="1699"/>
      <c r="F12" s="841" t="s">
        <v>628</v>
      </c>
      <c r="G12" s="1530" t="s">
        <v>4807</v>
      </c>
      <c r="H12" s="841" t="s">
        <v>208</v>
      </c>
      <c r="I12" s="841"/>
      <c r="J12" s="1357">
        <v>7</v>
      </c>
      <c r="K12" s="841"/>
      <c r="L12" s="841"/>
      <c r="M12" s="841"/>
      <c r="N12" s="1357"/>
      <c r="O12" s="841"/>
      <c r="P12" s="1420"/>
      <c r="Q12" s="1420"/>
      <c r="AA12" s="1069" t="s">
        <v>208</v>
      </c>
    </row>
    <row r="13" spans="2:52" ht="18" x14ac:dyDescent="0.25">
      <c r="B13" s="1700" t="s">
        <v>3053</v>
      </c>
      <c r="C13" s="1700"/>
      <c r="D13" s="1700"/>
      <c r="E13" s="1700"/>
      <c r="F13" s="841"/>
      <c r="G13" s="1530"/>
      <c r="H13" s="841"/>
      <c r="I13" s="841"/>
      <c r="J13" s="1357"/>
      <c r="K13" s="841"/>
      <c r="L13" s="841"/>
      <c r="M13" s="841"/>
      <c r="N13" s="1357"/>
      <c r="O13" s="841"/>
      <c r="P13" s="1420"/>
      <c r="Q13" s="1420"/>
      <c r="AA13" s="1071" t="s">
        <v>3053</v>
      </c>
    </row>
    <row r="14" spans="2:52" ht="15.75" x14ac:dyDescent="0.25">
      <c r="B14" s="1701" t="s">
        <v>5107</v>
      </c>
      <c r="C14" s="1701"/>
      <c r="D14" s="1701"/>
      <c r="E14" s="1701"/>
      <c r="F14" s="841"/>
      <c r="G14" s="1530"/>
      <c r="H14" s="841"/>
      <c r="I14" s="841"/>
      <c r="J14" s="1357"/>
      <c r="K14" s="841"/>
      <c r="L14" s="841"/>
      <c r="M14" s="841"/>
      <c r="N14" s="1357"/>
      <c r="O14" s="841"/>
      <c r="P14" s="1420">
        <v>43221</v>
      </c>
      <c r="Q14" s="1420"/>
      <c r="AA14" s="1072" t="s">
        <v>5107</v>
      </c>
    </row>
    <row r="15" spans="2:52" ht="11.25" customHeight="1" x14ac:dyDescent="0.25">
      <c r="B15" s="1702" t="s">
        <v>3056</v>
      </c>
      <c r="C15" s="1702"/>
      <c r="D15" s="1702"/>
      <c r="E15" s="1702"/>
      <c r="F15" s="841"/>
      <c r="G15" s="1530"/>
      <c r="H15" s="841"/>
      <c r="I15" s="841"/>
      <c r="J15" s="1357"/>
      <c r="K15" s="841"/>
      <c r="L15" s="841"/>
      <c r="M15" s="841"/>
      <c r="N15" s="1357"/>
      <c r="O15" s="841"/>
      <c r="P15" s="1420"/>
      <c r="Q15" s="1420"/>
      <c r="AA15" s="1073" t="s">
        <v>3056</v>
      </c>
    </row>
    <row r="16" spans="2:52" ht="11.25" customHeight="1" x14ac:dyDescent="0.25">
      <c r="B16" s="1702" t="s">
        <v>3057</v>
      </c>
      <c r="C16" s="1702"/>
      <c r="D16" s="1702"/>
      <c r="E16" s="1702"/>
      <c r="F16" s="841"/>
      <c r="G16" s="1530"/>
      <c r="H16" s="841"/>
      <c r="I16" s="841"/>
      <c r="J16" s="1357"/>
      <c r="K16" s="841"/>
      <c r="L16" s="841"/>
      <c r="M16" s="841"/>
      <c r="N16" s="1357"/>
      <c r="O16" s="841"/>
      <c r="P16" s="1420"/>
      <c r="Q16" s="1420"/>
      <c r="AA16" s="1073" t="s">
        <v>3057</v>
      </c>
    </row>
    <row r="17" spans="2:45" ht="11.25" customHeight="1" x14ac:dyDescent="0.25">
      <c r="B17" s="1703" t="s">
        <v>5726</v>
      </c>
      <c r="C17" s="1703"/>
      <c r="D17" s="1703"/>
      <c r="E17" s="1703"/>
      <c r="F17" s="841"/>
      <c r="G17" s="1530"/>
      <c r="H17" s="841" t="s">
        <v>5726</v>
      </c>
      <c r="I17" s="841"/>
      <c r="J17" s="1357"/>
      <c r="K17" s="841"/>
      <c r="L17" s="841"/>
      <c r="M17" s="841"/>
      <c r="N17" s="1357"/>
      <c r="O17" s="841"/>
      <c r="P17" s="1420"/>
      <c r="Q17" s="1420"/>
      <c r="AA17" s="1534" t="s">
        <v>5726</v>
      </c>
      <c r="AS17" t="s">
        <v>628</v>
      </c>
    </row>
    <row r="18" spans="2:45" ht="18" x14ac:dyDescent="0.25">
      <c r="B18" s="1695" t="s">
        <v>438</v>
      </c>
      <c r="C18" s="1698"/>
      <c r="D18" s="1698"/>
      <c r="E18" s="1698"/>
      <c r="F18" s="841"/>
      <c r="G18" s="1530"/>
      <c r="H18" s="841" t="s">
        <v>3197</v>
      </c>
      <c r="I18" s="841"/>
      <c r="J18" s="1357"/>
      <c r="K18" s="841"/>
      <c r="L18" s="841"/>
      <c r="M18" s="841"/>
      <c r="N18" s="1357"/>
      <c r="O18" s="841"/>
      <c r="P18" s="1420"/>
      <c r="Q18" s="1420"/>
      <c r="AA18" s="1071" t="s">
        <v>438</v>
      </c>
    </row>
    <row r="19" spans="2:45" ht="48" x14ac:dyDescent="0.25">
      <c r="B19" s="1689" t="s">
        <v>4808</v>
      </c>
      <c r="C19" s="1689"/>
      <c r="D19" s="1689"/>
      <c r="E19" s="1689"/>
      <c r="F19" s="841"/>
      <c r="G19" s="1530"/>
      <c r="H19" s="841" t="s">
        <v>3197</v>
      </c>
      <c r="I19" s="841"/>
      <c r="J19" s="1357"/>
      <c r="K19" s="841"/>
      <c r="L19" s="841"/>
      <c r="M19" s="841"/>
      <c r="N19" s="1357"/>
      <c r="O19" s="841"/>
      <c r="P19" s="1420"/>
      <c r="Q19" s="1420"/>
      <c r="AA19" s="1532" t="s">
        <v>4808</v>
      </c>
    </row>
    <row r="20" spans="2:45" ht="36" x14ac:dyDescent="0.25">
      <c r="B20" s="1689" t="s">
        <v>4809</v>
      </c>
      <c r="C20" s="1689"/>
      <c r="D20" s="1689"/>
      <c r="E20" s="1689"/>
      <c r="F20" s="841"/>
      <c r="G20" s="1530"/>
      <c r="H20" s="841" t="s">
        <v>3197</v>
      </c>
      <c r="I20" s="841"/>
      <c r="J20" s="1357"/>
      <c r="K20" s="841"/>
      <c r="L20" s="841"/>
      <c r="M20" s="841"/>
      <c r="N20" s="1357"/>
      <c r="O20" s="841"/>
      <c r="P20" s="1420"/>
      <c r="Q20" s="1420"/>
      <c r="AA20" s="1532" t="s">
        <v>4809</v>
      </c>
    </row>
    <row r="21" spans="2:45" s="841" customFormat="1" ht="6.75" customHeight="1" x14ac:dyDescent="0.25">
      <c r="B21" s="1514"/>
      <c r="C21" s="1514"/>
      <c r="D21" s="1514"/>
      <c r="E21" s="1514"/>
      <c r="G21" s="1530"/>
      <c r="J21" s="1357"/>
      <c r="N21" s="1357"/>
      <c r="P21" s="1420"/>
      <c r="Q21" s="1420"/>
    </row>
    <row r="22" spans="2:45" ht="11.25" customHeight="1" x14ac:dyDescent="0.25">
      <c r="B22" s="1696" t="s">
        <v>3061</v>
      </c>
      <c r="C22" s="1697"/>
      <c r="D22" s="1697"/>
      <c r="E22" s="1697"/>
      <c r="F22" s="841"/>
      <c r="G22" s="1530"/>
      <c r="H22" s="841" t="s">
        <v>3062</v>
      </c>
      <c r="I22" s="841"/>
      <c r="J22" s="1357"/>
      <c r="K22" s="841"/>
      <c r="L22" s="841"/>
      <c r="M22" s="841"/>
      <c r="N22" s="1357"/>
      <c r="O22" s="841"/>
      <c r="P22" s="1420"/>
      <c r="Q22" s="1420"/>
      <c r="AA22" s="1073" t="s">
        <v>3061</v>
      </c>
    </row>
    <row r="23" spans="2:45" s="841" customFormat="1" ht="6.75" customHeight="1" x14ac:dyDescent="0.25">
      <c r="B23" s="1518"/>
      <c r="C23" s="1519"/>
      <c r="D23" s="1519"/>
      <c r="E23" s="1519"/>
      <c r="G23" s="1530"/>
      <c r="J23" s="1357"/>
      <c r="N23" s="1357"/>
      <c r="P23" s="1420"/>
      <c r="Q23" s="1420"/>
    </row>
    <row r="24" spans="2:45" ht="36" x14ac:dyDescent="0.25">
      <c r="B24" s="1689" t="s">
        <v>3063</v>
      </c>
      <c r="C24" s="1689"/>
      <c r="D24" s="1689"/>
      <c r="E24" s="1689"/>
      <c r="F24" s="841"/>
      <c r="G24" s="1530"/>
      <c r="H24" s="841" t="s">
        <v>3197</v>
      </c>
      <c r="I24" s="841"/>
      <c r="J24" s="1357"/>
      <c r="K24" s="841"/>
      <c r="L24" s="841"/>
      <c r="M24" s="841"/>
      <c r="N24" s="1357"/>
      <c r="O24" s="841"/>
      <c r="P24" s="1420"/>
      <c r="Q24" s="1420"/>
      <c r="AA24" s="1532" t="s">
        <v>3063</v>
      </c>
    </row>
    <row r="25" spans="2:45" s="841" customFormat="1" ht="6.75" customHeight="1" x14ac:dyDescent="0.25">
      <c r="B25" s="1514"/>
      <c r="C25" s="1514"/>
      <c r="D25" s="1514"/>
      <c r="E25" s="1514"/>
      <c r="G25" s="1530"/>
      <c r="J25" s="1357"/>
      <c r="N25" s="1357"/>
      <c r="P25" s="1420"/>
      <c r="Q25" s="1420"/>
    </row>
    <row r="26" spans="2:45" ht="48" x14ac:dyDescent="0.25">
      <c r="B26" s="1689" t="s">
        <v>3064</v>
      </c>
      <c r="C26" s="1689"/>
      <c r="D26" s="1689"/>
      <c r="E26" s="1689"/>
      <c r="F26" s="841"/>
      <c r="G26" s="1530"/>
      <c r="H26" s="841" t="s">
        <v>3197</v>
      </c>
      <c r="I26" s="841"/>
      <c r="J26" s="1357"/>
      <c r="K26" s="841"/>
      <c r="L26" s="841"/>
      <c r="M26" s="841"/>
      <c r="N26" s="1357"/>
      <c r="O26" s="841"/>
      <c r="P26" s="1420"/>
      <c r="Q26" s="1420"/>
      <c r="AA26" s="1532" t="s">
        <v>3064</v>
      </c>
    </row>
    <row r="27" spans="2:45" s="841" customFormat="1" ht="6.75" customHeight="1" x14ac:dyDescent="0.25">
      <c r="B27" s="1514"/>
      <c r="C27" s="1514"/>
      <c r="D27" s="1514"/>
      <c r="E27" s="1514"/>
      <c r="G27" s="1530"/>
      <c r="J27" s="1357"/>
      <c r="N27" s="1357"/>
      <c r="P27" s="1420"/>
      <c r="Q27" s="1420"/>
    </row>
    <row r="28" spans="2:45" ht="48" x14ac:dyDescent="0.25">
      <c r="B28" s="1689" t="s">
        <v>3199</v>
      </c>
      <c r="C28" s="1689"/>
      <c r="D28" s="1689"/>
      <c r="E28" s="1689"/>
      <c r="F28" s="841"/>
      <c r="G28" s="1530"/>
      <c r="H28" s="841" t="s">
        <v>3197</v>
      </c>
      <c r="I28" s="841"/>
      <c r="J28" s="1357"/>
      <c r="K28" s="841"/>
      <c r="L28" s="841"/>
      <c r="M28" s="841"/>
      <c r="N28" s="1357"/>
      <c r="O28" s="841"/>
      <c r="P28" s="1420"/>
      <c r="Q28" s="1420"/>
      <c r="AA28" s="1532" t="s">
        <v>3199</v>
      </c>
    </row>
    <row r="29" spans="2:45" s="841" customFormat="1" ht="6.75" customHeight="1" x14ac:dyDescent="0.25">
      <c r="B29" s="1514"/>
      <c r="C29" s="1514"/>
      <c r="D29" s="1514"/>
      <c r="E29" s="1514"/>
      <c r="G29" s="1530"/>
      <c r="J29" s="1357"/>
      <c r="N29" s="1357"/>
      <c r="P29" s="1420"/>
      <c r="Q29" s="1420"/>
    </row>
    <row r="30" spans="2:45" ht="36" x14ac:dyDescent="0.25">
      <c r="B30" s="1689" t="s">
        <v>3066</v>
      </c>
      <c r="C30" s="1689"/>
      <c r="D30" s="1689"/>
      <c r="E30" s="1689"/>
      <c r="F30" s="841"/>
      <c r="G30" s="1530"/>
      <c r="H30" s="841" t="s">
        <v>3197</v>
      </c>
      <c r="I30" s="841"/>
      <c r="J30" s="1357"/>
      <c r="K30" s="841"/>
      <c r="L30" s="841"/>
      <c r="M30" s="841"/>
      <c r="N30" s="1357"/>
      <c r="O30" s="841"/>
      <c r="P30" s="1420"/>
      <c r="Q30" s="1420"/>
      <c r="AA30" s="1532" t="s">
        <v>3066</v>
      </c>
    </row>
    <row r="31" spans="2:45" s="841" customFormat="1" ht="6.75" customHeight="1" x14ac:dyDescent="0.25">
      <c r="B31" s="1514"/>
      <c r="C31" s="1514"/>
      <c r="D31" s="1514"/>
      <c r="E31" s="1514"/>
      <c r="G31" s="1530"/>
      <c r="J31" s="1357"/>
      <c r="N31" s="1357"/>
      <c r="P31" s="1420"/>
      <c r="Q31" s="1420"/>
    </row>
    <row r="32" spans="2:45" ht="11.25" customHeight="1" x14ac:dyDescent="0.25">
      <c r="B32" s="1692" t="s">
        <v>3067</v>
      </c>
      <c r="C32" s="1693"/>
      <c r="D32" s="1693"/>
      <c r="E32" s="1693"/>
      <c r="F32" s="841"/>
      <c r="G32" s="1530"/>
      <c r="H32" s="841" t="s">
        <v>3068</v>
      </c>
      <c r="I32" s="841"/>
      <c r="J32" s="1357"/>
      <c r="K32" s="841"/>
      <c r="L32" s="841"/>
      <c r="M32" s="841"/>
      <c r="N32" s="1357"/>
      <c r="O32" s="841"/>
      <c r="P32" s="1420"/>
      <c r="Q32" s="1420"/>
      <c r="AA32" s="1073" t="s">
        <v>3067</v>
      </c>
    </row>
    <row r="33" spans="2:26" s="841" customFormat="1" ht="6.75" customHeight="1" x14ac:dyDescent="0.25">
      <c r="B33" s="1515"/>
      <c r="C33" s="1516"/>
      <c r="D33" s="1516"/>
      <c r="E33" s="1516"/>
      <c r="G33" s="1530"/>
      <c r="J33" s="1357"/>
      <c r="N33" s="1357"/>
      <c r="P33" s="1420"/>
      <c r="Q33" s="1420"/>
    </row>
    <row r="34" spans="2:26" ht="11.25" customHeight="1" x14ac:dyDescent="0.25">
      <c r="B34" s="1690" t="s">
        <v>4810</v>
      </c>
      <c r="C34" s="1690"/>
      <c r="D34" s="1533" t="s">
        <v>23</v>
      </c>
      <c r="E34" s="391">
        <v>19.920000000000002</v>
      </c>
      <c r="F34" s="841"/>
      <c r="G34" s="1530"/>
      <c r="H34" s="841" t="s">
        <v>3197</v>
      </c>
      <c r="I34" s="841" t="s">
        <v>442</v>
      </c>
      <c r="J34" s="1357"/>
      <c r="K34" s="841"/>
      <c r="L34" s="841"/>
      <c r="M34" s="841" t="s">
        <v>3201</v>
      </c>
      <c r="N34" s="1357"/>
      <c r="O34" s="841"/>
      <c r="P34" s="1420"/>
      <c r="Q34" s="1420"/>
      <c r="Z34" s="1534" t="s">
        <v>4810</v>
      </c>
    </row>
    <row r="35" spans="2:26" ht="22.5" x14ac:dyDescent="0.25">
      <c r="B35" s="1690" t="s">
        <v>5727</v>
      </c>
      <c r="C35" s="1690"/>
      <c r="D35" s="1533" t="s">
        <v>23</v>
      </c>
      <c r="E35" s="391">
        <v>0.52</v>
      </c>
      <c r="F35" s="841"/>
      <c r="G35" s="1530"/>
      <c r="H35" s="841" t="s">
        <v>3197</v>
      </c>
      <c r="I35" s="841" t="s">
        <v>442</v>
      </c>
      <c r="J35" s="1357"/>
      <c r="K35" s="841"/>
      <c r="L35" s="841"/>
      <c r="M35" s="841" t="s">
        <v>6394</v>
      </c>
      <c r="N35" s="1357"/>
      <c r="O35" s="841"/>
      <c r="P35" s="1420"/>
      <c r="Q35" s="1420"/>
      <c r="Z35" s="1534" t="s">
        <v>5727</v>
      </c>
    </row>
    <row r="36" spans="2:26" ht="11.25" customHeight="1" x14ac:dyDescent="0.25">
      <c r="B36" s="1690" t="s">
        <v>5109</v>
      </c>
      <c r="C36" s="1690"/>
      <c r="D36" s="1533" t="s">
        <v>23</v>
      </c>
      <c r="E36" s="391">
        <v>0.56999999999999995</v>
      </c>
      <c r="F36" s="841"/>
      <c r="G36" s="1530"/>
      <c r="H36" s="841" t="s">
        <v>3197</v>
      </c>
      <c r="I36" s="841" t="s">
        <v>443</v>
      </c>
      <c r="J36" s="1357"/>
      <c r="K36" s="841"/>
      <c r="L36" s="841"/>
      <c r="M36" s="841" t="s">
        <v>3202</v>
      </c>
      <c r="N36" s="1357"/>
      <c r="O36" s="841"/>
      <c r="P36" s="1420"/>
      <c r="Q36" s="1420">
        <v>44926</v>
      </c>
      <c r="Z36" s="1534" t="s">
        <v>5109</v>
      </c>
    </row>
    <row r="37" spans="2:26" ht="11.25" customHeight="1" x14ac:dyDescent="0.25">
      <c r="B37" s="1690" t="s">
        <v>4811</v>
      </c>
      <c r="C37" s="1690"/>
      <c r="D37" s="1533" t="s">
        <v>23</v>
      </c>
      <c r="E37" s="391">
        <v>0.04</v>
      </c>
      <c r="F37" s="841"/>
      <c r="G37" s="1530"/>
      <c r="H37" s="841" t="s">
        <v>3197</v>
      </c>
      <c r="I37" s="841" t="s">
        <v>442</v>
      </c>
      <c r="J37" s="1357"/>
      <c r="K37" s="841"/>
      <c r="L37" s="841"/>
      <c r="M37" s="841" t="s">
        <v>3207</v>
      </c>
      <c r="N37" s="1357"/>
      <c r="O37" s="841"/>
      <c r="P37" s="1420"/>
      <c r="Q37" s="1420">
        <v>43281</v>
      </c>
      <c r="R37" t="s">
        <v>628</v>
      </c>
      <c r="Z37" s="1534" t="s">
        <v>4811</v>
      </c>
    </row>
    <row r="38" spans="2:26" ht="11.25" customHeight="1" x14ac:dyDescent="0.25">
      <c r="B38" s="1690" t="s">
        <v>4812</v>
      </c>
      <c r="C38" s="1690"/>
      <c r="D38" s="1533" t="s">
        <v>23</v>
      </c>
      <c r="E38" s="391">
        <v>0.66</v>
      </c>
      <c r="F38" s="841"/>
      <c r="G38" s="1530"/>
      <c r="H38" s="841" t="s">
        <v>3197</v>
      </c>
      <c r="I38" s="841" t="s">
        <v>442</v>
      </c>
      <c r="J38" s="1357"/>
      <c r="K38" s="841"/>
      <c r="L38" s="841"/>
      <c r="M38" s="841" t="s">
        <v>6395</v>
      </c>
      <c r="N38" s="1357"/>
      <c r="O38" s="841"/>
      <c r="P38" s="1420"/>
      <c r="Q38" s="1420">
        <v>43281</v>
      </c>
      <c r="R38" t="s">
        <v>628</v>
      </c>
      <c r="Z38" s="1534" t="s">
        <v>4812</v>
      </c>
    </row>
    <row r="39" spans="2:26" ht="11.25" customHeight="1" x14ac:dyDescent="0.25">
      <c r="B39" s="1690" t="s">
        <v>3109</v>
      </c>
      <c r="C39" s="1690"/>
      <c r="D39" s="1533" t="s">
        <v>24</v>
      </c>
      <c r="E39" s="393">
        <v>8.2000000000000007E-3</v>
      </c>
      <c r="F39" s="841"/>
      <c r="G39" s="1530"/>
      <c r="H39" s="841" t="s">
        <v>3197</v>
      </c>
      <c r="I39" s="841" t="s">
        <v>442</v>
      </c>
      <c r="J39" s="1357"/>
      <c r="K39" s="841"/>
      <c r="L39" s="841"/>
      <c r="M39" s="841" t="s">
        <v>3203</v>
      </c>
      <c r="N39" s="1357"/>
      <c r="O39" s="841"/>
      <c r="P39" s="1420"/>
      <c r="Q39" s="1420"/>
      <c r="Z39" s="1534" t="s">
        <v>3109</v>
      </c>
    </row>
    <row r="40" spans="2:26" ht="11.25" customHeight="1" x14ac:dyDescent="0.25">
      <c r="B40" s="1690" t="s">
        <v>4813</v>
      </c>
      <c r="C40" s="1690"/>
      <c r="D40" s="1533" t="s">
        <v>24</v>
      </c>
      <c r="E40" s="393">
        <v>4.8999999999999998E-3</v>
      </c>
      <c r="F40" s="841"/>
      <c r="G40" s="1530"/>
      <c r="H40" s="841" t="s">
        <v>3197</v>
      </c>
      <c r="I40" s="841" t="s">
        <v>443</v>
      </c>
      <c r="J40" s="1357"/>
      <c r="K40" s="841"/>
      <c r="L40" s="841"/>
      <c r="M40" s="841" t="s">
        <v>3204</v>
      </c>
      <c r="N40" s="1357"/>
      <c r="O40" s="841"/>
      <c r="P40" s="1420"/>
      <c r="Q40" s="1420"/>
      <c r="Z40" s="1534" t="s">
        <v>4813</v>
      </c>
    </row>
    <row r="41" spans="2:26" ht="11.25" customHeight="1" x14ac:dyDescent="0.25">
      <c r="B41" s="1690" t="s">
        <v>4814</v>
      </c>
      <c r="C41" s="1690"/>
      <c r="D41" s="1533" t="s">
        <v>24</v>
      </c>
      <c r="E41" s="393">
        <v>-5.0000000000000001E-3</v>
      </c>
      <c r="F41" s="841"/>
      <c r="G41" s="1530"/>
      <c r="H41" s="841" t="s">
        <v>3197</v>
      </c>
      <c r="I41" s="841" t="s">
        <v>443</v>
      </c>
      <c r="J41" s="1357"/>
      <c r="K41" s="841"/>
      <c r="L41" s="841"/>
      <c r="M41" s="841" t="s">
        <v>3207</v>
      </c>
      <c r="N41" s="1357"/>
      <c r="O41" s="841"/>
      <c r="P41" s="1420"/>
      <c r="Q41" s="1420">
        <v>43281</v>
      </c>
      <c r="R41" t="s">
        <v>628</v>
      </c>
      <c r="Z41" s="1534" t="s">
        <v>4814</v>
      </c>
    </row>
    <row r="42" spans="2:26" ht="11.25" customHeight="1" x14ac:dyDescent="0.25">
      <c r="B42" s="1690" t="s">
        <v>5130</v>
      </c>
      <c r="C42" s="1690"/>
      <c r="D42" s="1533" t="s">
        <v>24</v>
      </c>
      <c r="E42" s="393">
        <v>-2.0999999999999999E-3</v>
      </c>
      <c r="F42" s="841"/>
      <c r="G42" s="1530"/>
      <c r="H42" s="841" t="s">
        <v>3197</v>
      </c>
      <c r="I42" s="841" t="s">
        <v>443</v>
      </c>
      <c r="J42" s="1357"/>
      <c r="K42" s="841"/>
      <c r="L42" s="841"/>
      <c r="M42" s="841" t="s">
        <v>3207</v>
      </c>
      <c r="N42" s="1357"/>
      <c r="O42" s="841"/>
      <c r="P42" s="1420"/>
      <c r="Q42" s="1420">
        <v>43585</v>
      </c>
      <c r="R42" t="s">
        <v>628</v>
      </c>
      <c r="Z42" s="1534" t="s">
        <v>5130</v>
      </c>
    </row>
    <row r="43" spans="2:26" ht="22.5" x14ac:dyDescent="0.25">
      <c r="B43" s="1690" t="s">
        <v>5728</v>
      </c>
      <c r="C43" s="1690"/>
      <c r="D43" s="1533" t="s">
        <v>24</v>
      </c>
      <c r="E43" s="393">
        <v>6.0000000000000001E-3</v>
      </c>
      <c r="F43" s="841"/>
      <c r="G43" s="1530"/>
      <c r="H43" s="841" t="s">
        <v>3197</v>
      </c>
      <c r="I43" s="841" t="s">
        <v>443</v>
      </c>
      <c r="J43" s="1357"/>
      <c r="K43" s="841"/>
      <c r="L43" s="841"/>
      <c r="M43" s="841" t="s">
        <v>3205</v>
      </c>
      <c r="N43" s="1357"/>
      <c r="O43" s="841"/>
      <c r="P43" s="1420"/>
      <c r="Q43" s="1420">
        <v>43281</v>
      </c>
      <c r="R43" t="s">
        <v>628</v>
      </c>
      <c r="Z43" s="1534" t="s">
        <v>5728</v>
      </c>
    </row>
    <row r="44" spans="2:26" ht="22.5" x14ac:dyDescent="0.25">
      <c r="B44" s="1690" t="s">
        <v>5384</v>
      </c>
      <c r="C44" s="1690"/>
      <c r="D44" s="1533" t="s">
        <v>24</v>
      </c>
      <c r="E44" s="393">
        <v>6.9999999999999999E-4</v>
      </c>
      <c r="F44" s="841"/>
      <c r="G44" s="1530"/>
      <c r="H44" s="841" t="s">
        <v>3197</v>
      </c>
      <c r="I44" s="841" t="s">
        <v>443</v>
      </c>
      <c r="J44" s="1357"/>
      <c r="K44" s="841"/>
      <c r="L44" s="841"/>
      <c r="M44" s="841" t="s">
        <v>3205</v>
      </c>
      <c r="N44" s="1357"/>
      <c r="O44" s="841"/>
      <c r="P44" s="1420"/>
      <c r="Q44" s="1420">
        <v>43585</v>
      </c>
      <c r="R44" t="s">
        <v>628</v>
      </c>
      <c r="Z44" s="1534" t="s">
        <v>5384</v>
      </c>
    </row>
    <row r="45" spans="2:26" ht="22.5" x14ac:dyDescent="0.25">
      <c r="B45" s="1690" t="s">
        <v>5729</v>
      </c>
      <c r="C45" s="1690"/>
      <c r="D45" s="1533" t="s">
        <v>24</v>
      </c>
      <c r="E45" s="393">
        <v>2.0000000000000001E-4</v>
      </c>
      <c r="F45" s="841"/>
      <c r="G45" s="1530"/>
      <c r="H45" s="841" t="s">
        <v>3197</v>
      </c>
      <c r="I45" s="841" t="s">
        <v>442</v>
      </c>
      <c r="J45" s="1357"/>
      <c r="K45" s="841"/>
      <c r="L45" s="841"/>
      <c r="M45" s="841" t="s">
        <v>3206</v>
      </c>
      <c r="N45" s="1357"/>
      <c r="O45" s="841"/>
      <c r="P45" s="1420"/>
      <c r="Q45" s="1420">
        <v>43585</v>
      </c>
      <c r="R45" t="s">
        <v>628</v>
      </c>
      <c r="Z45" s="1534" t="s">
        <v>5729</v>
      </c>
    </row>
    <row r="46" spans="2:26" ht="11.25" customHeight="1" x14ac:dyDescent="0.25">
      <c r="B46" s="1690" t="s">
        <v>4815</v>
      </c>
      <c r="C46" s="1690"/>
      <c r="D46" s="1533" t="s">
        <v>24</v>
      </c>
      <c r="E46" s="393">
        <v>6.3E-3</v>
      </c>
      <c r="F46" s="841"/>
      <c r="G46" s="1530"/>
      <c r="H46" s="841" t="s">
        <v>3197</v>
      </c>
      <c r="I46" s="841" t="s">
        <v>444</v>
      </c>
      <c r="J46" s="1357"/>
      <c r="K46" s="841"/>
      <c r="L46" s="841"/>
      <c r="M46" s="841" t="s">
        <v>4816</v>
      </c>
      <c r="N46" s="1357"/>
      <c r="O46" s="841"/>
      <c r="P46" s="1420"/>
      <c r="Q46" s="1420"/>
      <c r="Z46" s="1534" t="s">
        <v>4815</v>
      </c>
    </row>
    <row r="47" spans="2:26" ht="11.25" customHeight="1" x14ac:dyDescent="0.25">
      <c r="B47" s="1690" t="s">
        <v>3628</v>
      </c>
      <c r="C47" s="1690"/>
      <c r="D47" s="1533" t="s">
        <v>24</v>
      </c>
      <c r="E47" s="393">
        <v>5.1000000000000004E-3</v>
      </c>
      <c r="F47" s="841"/>
      <c r="G47" s="1530"/>
      <c r="H47" s="841" t="s">
        <v>3197</v>
      </c>
      <c r="I47" s="841" t="s">
        <v>444</v>
      </c>
      <c r="J47" s="1357"/>
      <c r="K47" s="841"/>
      <c r="L47" s="841"/>
      <c r="M47" s="841" t="s">
        <v>4817</v>
      </c>
      <c r="N47" s="1357"/>
      <c r="O47" s="841"/>
      <c r="P47" s="1420"/>
      <c r="Q47" s="1420"/>
      <c r="Z47" s="1534" t="s">
        <v>3628</v>
      </c>
    </row>
    <row r="48" spans="2:26" s="841" customFormat="1" ht="6.75" customHeight="1" x14ac:dyDescent="0.25">
      <c r="B48" s="1517"/>
      <c r="C48" s="1517"/>
      <c r="D48" s="1533"/>
      <c r="E48" s="393"/>
      <c r="G48" s="1530"/>
      <c r="J48" s="1357"/>
      <c r="N48" s="1357"/>
      <c r="P48" s="1420"/>
      <c r="Q48" s="1420"/>
    </row>
    <row r="49" spans="2:45" ht="11.25" customHeight="1" x14ac:dyDescent="0.25">
      <c r="B49" s="1694" t="s">
        <v>3079</v>
      </c>
      <c r="C49" s="1690"/>
      <c r="D49" s="1533"/>
      <c r="E49" s="1187"/>
      <c r="F49" s="841"/>
      <c r="G49" s="1530"/>
      <c r="H49" s="841" t="s">
        <v>3080</v>
      </c>
      <c r="I49" s="841"/>
      <c r="J49" s="1357"/>
      <c r="K49" s="841"/>
      <c r="L49" s="841"/>
      <c r="M49" s="841"/>
      <c r="N49" s="1357"/>
      <c r="O49" s="841"/>
      <c r="P49" s="1420"/>
      <c r="Q49" s="1420"/>
      <c r="Z49" s="1073" t="s">
        <v>3079</v>
      </c>
    </row>
    <row r="50" spans="2:45" s="841" customFormat="1" ht="6.75" customHeight="1" x14ac:dyDescent="0.25">
      <c r="B50" s="1520"/>
      <c r="C50" s="1517"/>
      <c r="D50" s="1533"/>
      <c r="E50" s="1187"/>
      <c r="G50" s="1530"/>
      <c r="J50" s="1357"/>
      <c r="N50" s="1357"/>
      <c r="P50" s="1420"/>
      <c r="Q50" s="1420"/>
    </row>
    <row r="51" spans="2:45" ht="11.25" customHeight="1" x14ac:dyDescent="0.25">
      <c r="B51" s="1690" t="s">
        <v>2449</v>
      </c>
      <c r="C51" s="1690"/>
      <c r="D51" s="1533" t="s">
        <v>24</v>
      </c>
      <c r="E51" s="393">
        <v>3.2000000000000002E-3</v>
      </c>
      <c r="F51" s="841"/>
      <c r="G51" s="1530"/>
      <c r="H51" s="841" t="s">
        <v>3197</v>
      </c>
      <c r="I51" s="841" t="s">
        <v>3046</v>
      </c>
      <c r="J51" s="1357"/>
      <c r="K51" s="841"/>
      <c r="L51" s="841"/>
      <c r="M51" s="841" t="s">
        <v>3210</v>
      </c>
      <c r="N51" s="1357"/>
      <c r="O51" s="841"/>
      <c r="P51" s="1420"/>
      <c r="Q51" s="1420"/>
      <c r="Z51" s="1534" t="s">
        <v>2449</v>
      </c>
    </row>
    <row r="52" spans="2:45" ht="11.25" customHeight="1" x14ac:dyDescent="0.25">
      <c r="B52" s="1690" t="s">
        <v>2450</v>
      </c>
      <c r="C52" s="1690"/>
      <c r="D52" s="1533" t="s">
        <v>24</v>
      </c>
      <c r="E52" s="393">
        <v>4.0000000000000002E-4</v>
      </c>
      <c r="F52" s="841"/>
      <c r="G52" s="1530"/>
      <c r="H52" s="841" t="s">
        <v>3197</v>
      </c>
      <c r="I52" s="841" t="s">
        <v>3046</v>
      </c>
      <c r="J52" s="1357"/>
      <c r="K52" s="841"/>
      <c r="L52" s="841"/>
      <c r="M52" s="841" t="s">
        <v>3210</v>
      </c>
      <c r="N52" s="1357"/>
      <c r="O52" s="841"/>
      <c r="P52" s="1420"/>
      <c r="Q52" s="1420"/>
      <c r="Z52" s="1534" t="s">
        <v>2450</v>
      </c>
    </row>
    <row r="53" spans="2:45" ht="11.25" customHeight="1" x14ac:dyDescent="0.25">
      <c r="B53" s="1690" t="s">
        <v>439</v>
      </c>
      <c r="C53" s="1690"/>
      <c r="D53" s="1533" t="s">
        <v>24</v>
      </c>
      <c r="E53" s="393">
        <v>2.9999999999999997E-4</v>
      </c>
      <c r="F53" s="841"/>
      <c r="G53" s="1530"/>
      <c r="H53" s="841" t="s">
        <v>3197</v>
      </c>
      <c r="I53" s="841" t="s">
        <v>3046</v>
      </c>
      <c r="J53" s="1357"/>
      <c r="K53" s="841"/>
      <c r="L53" s="841"/>
      <c r="M53" s="841" t="s">
        <v>3212</v>
      </c>
      <c r="N53" s="1357"/>
      <c r="O53" s="841"/>
      <c r="P53" s="1420"/>
      <c r="Q53" s="1420"/>
      <c r="Z53" s="1534" t="s">
        <v>439</v>
      </c>
    </row>
    <row r="54" spans="2:45" ht="11.25" customHeight="1" x14ac:dyDescent="0.25">
      <c r="B54" s="1690" t="s">
        <v>32</v>
      </c>
      <c r="C54" s="1690"/>
      <c r="D54" s="1533" t="s">
        <v>23</v>
      </c>
      <c r="E54" s="391">
        <v>0.25</v>
      </c>
      <c r="F54" s="841"/>
      <c r="G54" s="1530"/>
      <c r="H54" s="841" t="s">
        <v>3197</v>
      </c>
      <c r="I54" s="841" t="s">
        <v>3046</v>
      </c>
      <c r="J54" s="1357"/>
      <c r="K54" s="841"/>
      <c r="L54" s="841"/>
      <c r="M54" s="841" t="s">
        <v>3213</v>
      </c>
      <c r="N54" s="1357"/>
      <c r="O54" s="841"/>
      <c r="P54" s="1420"/>
      <c r="Q54" s="1420"/>
      <c r="Z54" s="1534" t="s">
        <v>32</v>
      </c>
      <c r="AS54" t="s">
        <v>628</v>
      </c>
    </row>
    <row r="55" spans="2:45" s="1070" customFormat="1" ht="18" customHeight="1" x14ac:dyDescent="0.3">
      <c r="B55" s="1695" t="s">
        <v>3214</v>
      </c>
      <c r="C55" s="1695"/>
      <c r="D55" s="1695"/>
      <c r="E55" s="1695"/>
      <c r="G55" s="1347"/>
      <c r="H55" s="1070" t="s">
        <v>5110</v>
      </c>
      <c r="J55" s="1447"/>
      <c r="N55" s="1447"/>
      <c r="P55" s="1448"/>
      <c r="Q55" s="1448"/>
      <c r="AA55" s="1071" t="s">
        <v>3214</v>
      </c>
    </row>
    <row r="56" spans="2:45" ht="48" x14ac:dyDescent="0.25">
      <c r="B56" s="1689" t="s">
        <v>5730</v>
      </c>
      <c r="C56" s="1689"/>
      <c r="D56" s="1689"/>
      <c r="E56" s="1689"/>
      <c r="F56" s="841"/>
      <c r="G56" s="1530"/>
      <c r="H56" s="841" t="s">
        <v>5110</v>
      </c>
      <c r="I56" s="841"/>
      <c r="J56" s="1357"/>
      <c r="K56" s="841"/>
      <c r="L56" s="841"/>
      <c r="M56" s="841"/>
      <c r="N56" s="1357"/>
      <c r="O56" s="841"/>
      <c r="P56" s="1420"/>
      <c r="Q56" s="1420"/>
      <c r="AA56" s="1532" t="s">
        <v>5730</v>
      </c>
    </row>
    <row r="57" spans="2:45" s="841" customFormat="1" ht="6.75" customHeight="1" x14ac:dyDescent="0.25">
      <c r="B57" s="1514"/>
      <c r="C57" s="1514"/>
      <c r="D57" s="1514"/>
      <c r="E57" s="1514"/>
      <c r="G57" s="1530"/>
      <c r="J57" s="1357"/>
      <c r="N57" s="1357"/>
      <c r="P57" s="1420"/>
      <c r="Q57" s="1420"/>
    </row>
    <row r="58" spans="2:45" ht="11.25" customHeight="1" x14ac:dyDescent="0.25">
      <c r="B58" s="1696" t="s">
        <v>3061</v>
      </c>
      <c r="C58" s="1697"/>
      <c r="D58" s="1697"/>
      <c r="E58" s="1697"/>
      <c r="F58" s="841"/>
      <c r="G58" s="1530"/>
      <c r="H58" s="841" t="s">
        <v>3086</v>
      </c>
      <c r="I58" s="841"/>
      <c r="J58" s="1357"/>
      <c r="K58" s="841"/>
      <c r="L58" s="841"/>
      <c r="M58" s="841"/>
      <c r="N58" s="1357"/>
      <c r="O58" s="841"/>
      <c r="P58" s="1420"/>
      <c r="Q58" s="1420"/>
      <c r="AA58" s="1073" t="s">
        <v>3061</v>
      </c>
    </row>
    <row r="59" spans="2:45" s="841" customFormat="1" ht="6.75" customHeight="1" x14ac:dyDescent="0.25">
      <c r="B59" s="1518"/>
      <c r="C59" s="1519"/>
      <c r="D59" s="1519"/>
      <c r="E59" s="1519"/>
      <c r="G59" s="1530"/>
      <c r="J59" s="1357"/>
      <c r="N59" s="1357"/>
      <c r="P59" s="1420"/>
      <c r="Q59" s="1420"/>
    </row>
    <row r="60" spans="2:45" ht="36" x14ac:dyDescent="0.25">
      <c r="B60" s="1689" t="s">
        <v>3063</v>
      </c>
      <c r="C60" s="1689"/>
      <c r="D60" s="1689"/>
      <c r="E60" s="1689"/>
      <c r="F60" s="841"/>
      <c r="G60" s="1530"/>
      <c r="H60" s="841" t="s">
        <v>5110</v>
      </c>
      <c r="I60" s="841"/>
      <c r="J60" s="1357"/>
      <c r="K60" s="841"/>
      <c r="L60" s="841"/>
      <c r="M60" s="841"/>
      <c r="N60" s="1357"/>
      <c r="O60" s="841"/>
      <c r="P60" s="1420"/>
      <c r="Q60" s="1420"/>
      <c r="AA60" s="1532" t="s">
        <v>3063</v>
      </c>
    </row>
    <row r="61" spans="2:45" s="841" customFormat="1" ht="6.75" customHeight="1" x14ac:dyDescent="0.25">
      <c r="B61" s="1514"/>
      <c r="C61" s="1514"/>
      <c r="D61" s="1514"/>
      <c r="E61" s="1514"/>
      <c r="G61" s="1530"/>
      <c r="J61" s="1357"/>
      <c r="N61" s="1357"/>
      <c r="P61" s="1420"/>
      <c r="Q61" s="1420"/>
    </row>
    <row r="62" spans="2:45" ht="48" x14ac:dyDescent="0.25">
      <c r="B62" s="1689" t="s">
        <v>3064</v>
      </c>
      <c r="C62" s="1689"/>
      <c r="D62" s="1689"/>
      <c r="E62" s="1689"/>
      <c r="F62" s="841"/>
      <c r="G62" s="1530"/>
      <c r="H62" s="841" t="s">
        <v>5110</v>
      </c>
      <c r="I62" s="841"/>
      <c r="J62" s="1357"/>
      <c r="K62" s="841"/>
      <c r="L62" s="841"/>
      <c r="M62" s="841"/>
      <c r="N62" s="1357"/>
      <c r="O62" s="841"/>
      <c r="P62" s="1420"/>
      <c r="Q62" s="1420"/>
      <c r="AA62" s="1532" t="s">
        <v>3064</v>
      </c>
    </row>
    <row r="63" spans="2:45" s="841" customFormat="1" ht="6.75" customHeight="1" x14ac:dyDescent="0.25">
      <c r="B63" s="1514"/>
      <c r="C63" s="1514"/>
      <c r="D63" s="1514"/>
      <c r="E63" s="1514"/>
      <c r="G63" s="1530"/>
      <c r="J63" s="1357"/>
      <c r="N63" s="1357"/>
      <c r="P63" s="1420"/>
      <c r="Q63" s="1420"/>
    </row>
    <row r="64" spans="2:45" ht="48" x14ac:dyDescent="0.25">
      <c r="B64" s="1689" t="s">
        <v>3199</v>
      </c>
      <c r="C64" s="1689"/>
      <c r="D64" s="1689"/>
      <c r="E64" s="1689"/>
      <c r="F64" s="841"/>
      <c r="G64" s="1530"/>
      <c r="H64" s="841" t="s">
        <v>5110</v>
      </c>
      <c r="I64" s="841"/>
      <c r="J64" s="1357"/>
      <c r="K64" s="841"/>
      <c r="L64" s="841"/>
      <c r="M64" s="841"/>
      <c r="N64" s="1357"/>
      <c r="O64" s="841"/>
      <c r="P64" s="1420"/>
      <c r="Q64" s="1420"/>
      <c r="AA64" s="1532" t="s">
        <v>3199</v>
      </c>
    </row>
    <row r="65" spans="2:27" s="841" customFormat="1" ht="6.75" customHeight="1" x14ac:dyDescent="0.25">
      <c r="B65" s="1514"/>
      <c r="C65" s="1514"/>
      <c r="D65" s="1514"/>
      <c r="E65" s="1514"/>
      <c r="G65" s="1530"/>
      <c r="J65" s="1357"/>
      <c r="N65" s="1357"/>
      <c r="P65" s="1420"/>
      <c r="Q65" s="1420"/>
    </row>
    <row r="66" spans="2:27" ht="36" x14ac:dyDescent="0.25">
      <c r="B66" s="1689" t="s">
        <v>3066</v>
      </c>
      <c r="C66" s="1689"/>
      <c r="D66" s="1689"/>
      <c r="E66" s="1689"/>
      <c r="F66" s="841"/>
      <c r="G66" s="1530"/>
      <c r="H66" s="841" t="s">
        <v>5110</v>
      </c>
      <c r="I66" s="841"/>
      <c r="J66" s="1357"/>
      <c r="K66" s="841"/>
      <c r="L66" s="841"/>
      <c r="M66" s="841"/>
      <c r="N66" s="1357"/>
      <c r="O66" s="841"/>
      <c r="P66" s="1420"/>
      <c r="Q66" s="1420"/>
      <c r="AA66" s="1532" t="s">
        <v>3066</v>
      </c>
    </row>
    <row r="67" spans="2:27" s="841" customFormat="1" ht="6.75" customHeight="1" x14ac:dyDescent="0.25">
      <c r="B67" s="1514"/>
      <c r="C67" s="1514"/>
      <c r="D67" s="1514"/>
      <c r="E67" s="1514"/>
      <c r="G67" s="1530"/>
      <c r="J67" s="1357"/>
      <c r="N67" s="1357"/>
      <c r="P67" s="1420"/>
      <c r="Q67" s="1420"/>
    </row>
    <row r="68" spans="2:27" ht="11.25" customHeight="1" x14ac:dyDescent="0.25">
      <c r="B68" s="1692" t="s">
        <v>3067</v>
      </c>
      <c r="C68" s="1693"/>
      <c r="D68" s="1693"/>
      <c r="E68" s="1693"/>
      <c r="F68" s="841"/>
      <c r="G68" s="1530"/>
      <c r="H68" s="841" t="s">
        <v>3087</v>
      </c>
      <c r="I68" s="841"/>
      <c r="J68" s="1357"/>
      <c r="K68" s="841"/>
      <c r="L68" s="841"/>
      <c r="M68" s="841"/>
      <c r="N68" s="1357"/>
      <c r="O68" s="841"/>
      <c r="P68" s="1420"/>
      <c r="Q68" s="1420"/>
      <c r="AA68" s="1073" t="s">
        <v>3067</v>
      </c>
    </row>
    <row r="69" spans="2:27" s="841" customFormat="1" ht="6.75" customHeight="1" x14ac:dyDescent="0.25">
      <c r="B69" s="1515"/>
      <c r="C69" s="1516"/>
      <c r="D69" s="1516"/>
      <c r="E69" s="1516"/>
      <c r="G69" s="1530"/>
      <c r="J69" s="1357"/>
      <c r="N69" s="1357"/>
      <c r="P69" s="1420"/>
      <c r="Q69" s="1420"/>
    </row>
    <row r="70" spans="2:27" ht="11.25" customHeight="1" x14ac:dyDescent="0.25">
      <c r="B70" s="1690" t="s">
        <v>4810</v>
      </c>
      <c r="C70" s="1690"/>
      <c r="D70" s="1533" t="s">
        <v>23</v>
      </c>
      <c r="E70" s="391">
        <v>30.79</v>
      </c>
      <c r="F70" s="841"/>
      <c r="G70" s="1530"/>
      <c r="H70" s="841" t="s">
        <v>5110</v>
      </c>
      <c r="I70" s="841" t="s">
        <v>442</v>
      </c>
      <c r="J70" s="1357"/>
      <c r="K70" s="841"/>
      <c r="L70" s="841"/>
      <c r="M70" s="841" t="s">
        <v>5111</v>
      </c>
      <c r="N70" s="1357"/>
      <c r="O70" s="841"/>
      <c r="P70" s="1420"/>
      <c r="Q70" s="1420"/>
      <c r="Z70" s="1534" t="s">
        <v>4810</v>
      </c>
    </row>
    <row r="71" spans="2:27" ht="22.5" x14ac:dyDescent="0.25">
      <c r="B71" s="1690" t="s">
        <v>5727</v>
      </c>
      <c r="C71" s="1690"/>
      <c r="D71" s="1533" t="s">
        <v>23</v>
      </c>
      <c r="E71" s="391">
        <v>1.1399999999999999</v>
      </c>
      <c r="F71" s="841"/>
      <c r="G71" s="1530"/>
      <c r="H71" s="841" t="s">
        <v>5110</v>
      </c>
      <c r="I71" s="841" t="s">
        <v>442</v>
      </c>
      <c r="J71" s="1357"/>
      <c r="K71" s="841"/>
      <c r="L71" s="841"/>
      <c r="M71" s="841" t="s">
        <v>6396</v>
      </c>
      <c r="N71" s="1357"/>
      <c r="O71" s="841"/>
      <c r="P71" s="1420"/>
      <c r="Q71" s="1420"/>
      <c r="Z71" s="1534" t="s">
        <v>5727</v>
      </c>
    </row>
    <row r="72" spans="2:27" ht="11.25" customHeight="1" x14ac:dyDescent="0.25">
      <c r="B72" s="1690" t="s">
        <v>5109</v>
      </c>
      <c r="C72" s="1690"/>
      <c r="D72" s="1533" t="s">
        <v>23</v>
      </c>
      <c r="E72" s="391">
        <v>0.56999999999999995</v>
      </c>
      <c r="F72" s="841"/>
      <c r="G72" s="1530"/>
      <c r="H72" s="841" t="s">
        <v>5110</v>
      </c>
      <c r="I72" s="841" t="s">
        <v>443</v>
      </c>
      <c r="J72" s="1357"/>
      <c r="K72" s="841"/>
      <c r="L72" s="841"/>
      <c r="M72" s="841" t="s">
        <v>5112</v>
      </c>
      <c r="N72" s="1357"/>
      <c r="O72" s="841"/>
      <c r="P72" s="1420"/>
      <c r="Q72" s="1420">
        <v>44926</v>
      </c>
      <c r="Z72" s="1534" t="s">
        <v>5109</v>
      </c>
    </row>
    <row r="73" spans="2:27" ht="11.25" customHeight="1" x14ac:dyDescent="0.25">
      <c r="B73" s="1690" t="s">
        <v>4812</v>
      </c>
      <c r="C73" s="1690"/>
      <c r="D73" s="1533" t="s">
        <v>23</v>
      </c>
      <c r="E73" s="391">
        <v>0.68</v>
      </c>
      <c r="F73" s="841"/>
      <c r="G73" s="1530"/>
      <c r="H73" s="841" t="s">
        <v>5110</v>
      </c>
      <c r="I73" s="841" t="s">
        <v>442</v>
      </c>
      <c r="J73" s="1357"/>
      <c r="K73" s="841"/>
      <c r="L73" s="841"/>
      <c r="M73" s="841" t="s">
        <v>6397</v>
      </c>
      <c r="N73" s="1357"/>
      <c r="O73" s="841"/>
      <c r="P73" s="1420"/>
      <c r="Q73" s="1420">
        <v>43281</v>
      </c>
      <c r="R73" t="s">
        <v>628</v>
      </c>
      <c r="Z73" s="1534" t="s">
        <v>4812</v>
      </c>
    </row>
    <row r="74" spans="2:27" ht="11.25" customHeight="1" x14ac:dyDescent="0.25">
      <c r="B74" s="1690" t="s">
        <v>3109</v>
      </c>
      <c r="C74" s="1690"/>
      <c r="D74" s="1533" t="s">
        <v>24</v>
      </c>
      <c r="E74" s="393">
        <v>1.11E-2</v>
      </c>
      <c r="F74" s="841"/>
      <c r="G74" s="1530"/>
      <c r="H74" s="841" t="s">
        <v>5110</v>
      </c>
      <c r="I74" s="841" t="s">
        <v>442</v>
      </c>
      <c r="J74" s="1357"/>
      <c r="K74" s="841"/>
      <c r="L74" s="841"/>
      <c r="M74" s="841" t="s">
        <v>5113</v>
      </c>
      <c r="N74" s="1357"/>
      <c r="O74" s="841"/>
      <c r="P74" s="1420"/>
      <c r="Q74" s="1420"/>
      <c r="Z74" s="1534" t="s">
        <v>3109</v>
      </c>
    </row>
    <row r="75" spans="2:27" ht="11.25" customHeight="1" x14ac:dyDescent="0.25">
      <c r="B75" s="1690" t="s">
        <v>4813</v>
      </c>
      <c r="C75" s="1690"/>
      <c r="D75" s="1533" t="s">
        <v>24</v>
      </c>
      <c r="E75" s="393">
        <v>4.4999999999999997E-3</v>
      </c>
      <c r="F75" s="841"/>
      <c r="G75" s="1530"/>
      <c r="H75" s="841" t="s">
        <v>5110</v>
      </c>
      <c r="I75" s="841" t="s">
        <v>443</v>
      </c>
      <c r="J75" s="1357"/>
      <c r="K75" s="841"/>
      <c r="L75" s="841"/>
      <c r="M75" s="841" t="s">
        <v>5114</v>
      </c>
      <c r="N75" s="1357"/>
      <c r="O75" s="841"/>
      <c r="P75" s="1420"/>
      <c r="Q75" s="1420"/>
      <c r="Z75" s="1534" t="s">
        <v>4813</v>
      </c>
    </row>
    <row r="76" spans="2:27" ht="11.25" customHeight="1" x14ac:dyDescent="0.25">
      <c r="B76" s="1690" t="s">
        <v>4814</v>
      </c>
      <c r="C76" s="1690"/>
      <c r="D76" s="1533" t="s">
        <v>24</v>
      </c>
      <c r="E76" s="393">
        <v>-5.0000000000000001E-3</v>
      </c>
      <c r="F76" s="841"/>
      <c r="G76" s="1530"/>
      <c r="H76" s="841" t="s">
        <v>5110</v>
      </c>
      <c r="I76" s="841" t="s">
        <v>443</v>
      </c>
      <c r="J76" s="1357"/>
      <c r="K76" s="841"/>
      <c r="L76" s="841"/>
      <c r="M76" s="841" t="s">
        <v>5124</v>
      </c>
      <c r="N76" s="1357"/>
      <c r="O76" s="841"/>
      <c r="P76" s="1420"/>
      <c r="Q76" s="1420">
        <v>43281</v>
      </c>
      <c r="R76" t="s">
        <v>628</v>
      </c>
      <c r="Z76" s="1534" t="s">
        <v>4814</v>
      </c>
    </row>
    <row r="77" spans="2:27" ht="11.25" customHeight="1" x14ac:dyDescent="0.25">
      <c r="B77" s="1690" t="s">
        <v>5130</v>
      </c>
      <c r="C77" s="1690"/>
      <c r="D77" s="1533" t="s">
        <v>24</v>
      </c>
      <c r="E77" s="393">
        <v>-2.0999999999999999E-3</v>
      </c>
      <c r="F77" s="841"/>
      <c r="G77" s="1530"/>
      <c r="H77" s="841" t="s">
        <v>5110</v>
      </c>
      <c r="I77" s="841" t="s">
        <v>443</v>
      </c>
      <c r="J77" s="1357"/>
      <c r="K77" s="841"/>
      <c r="L77" s="841"/>
      <c r="M77" s="841" t="s">
        <v>5124</v>
      </c>
      <c r="N77" s="1357"/>
      <c r="O77" s="841"/>
      <c r="P77" s="1420"/>
      <c r="Q77" s="1420">
        <v>43585</v>
      </c>
      <c r="R77" t="s">
        <v>628</v>
      </c>
      <c r="Z77" s="1534" t="s">
        <v>5130</v>
      </c>
    </row>
    <row r="78" spans="2:27" ht="22.5" x14ac:dyDescent="0.25">
      <c r="B78" s="1690" t="s">
        <v>5728</v>
      </c>
      <c r="C78" s="1690"/>
      <c r="D78" s="1533" t="s">
        <v>24</v>
      </c>
      <c r="E78" s="393">
        <v>6.0000000000000001E-3</v>
      </c>
      <c r="F78" s="841"/>
      <c r="G78" s="1530"/>
      <c r="H78" s="841" t="s">
        <v>5110</v>
      </c>
      <c r="I78" s="841" t="s">
        <v>443</v>
      </c>
      <c r="J78" s="1357"/>
      <c r="K78" s="841"/>
      <c r="L78" s="841"/>
      <c r="M78" s="841" t="s">
        <v>4818</v>
      </c>
      <c r="N78" s="1357"/>
      <c r="O78" s="841"/>
      <c r="P78" s="1420"/>
      <c r="Q78" s="1420">
        <v>43281</v>
      </c>
      <c r="R78" t="s">
        <v>628</v>
      </c>
      <c r="Z78" s="1534" t="s">
        <v>5728</v>
      </c>
    </row>
    <row r="79" spans="2:27" ht="22.5" x14ac:dyDescent="0.25">
      <c r="B79" s="1690" t="s">
        <v>5384</v>
      </c>
      <c r="C79" s="1690"/>
      <c r="D79" s="1533" t="s">
        <v>24</v>
      </c>
      <c r="E79" s="393">
        <v>6.9999999999999999E-4</v>
      </c>
      <c r="F79" s="841"/>
      <c r="G79" s="1530"/>
      <c r="H79" s="841" t="s">
        <v>5110</v>
      </c>
      <c r="I79" s="841" t="s">
        <v>443</v>
      </c>
      <c r="J79" s="1357"/>
      <c r="K79" s="841"/>
      <c r="L79" s="841"/>
      <c r="M79" s="841" t="s">
        <v>4818</v>
      </c>
      <c r="N79" s="1357"/>
      <c r="O79" s="841"/>
      <c r="P79" s="1420"/>
      <c r="Q79" s="1420">
        <v>43585</v>
      </c>
      <c r="R79" t="s">
        <v>628</v>
      </c>
      <c r="Z79" s="1534" t="s">
        <v>5384</v>
      </c>
    </row>
    <row r="80" spans="2:27" ht="22.5" x14ac:dyDescent="0.25">
      <c r="B80" s="1690" t="s">
        <v>5731</v>
      </c>
      <c r="C80" s="1690"/>
      <c r="D80" s="1533" t="s">
        <v>24</v>
      </c>
      <c r="E80" s="393">
        <v>1E-3</v>
      </c>
      <c r="F80" s="841"/>
      <c r="G80" s="1530"/>
      <c r="H80" s="841" t="s">
        <v>5110</v>
      </c>
      <c r="I80" s="841" t="s">
        <v>442</v>
      </c>
      <c r="J80" s="1357"/>
      <c r="K80" s="841"/>
      <c r="L80" s="841"/>
      <c r="M80" s="841" t="s">
        <v>5285</v>
      </c>
      <c r="N80" s="1357"/>
      <c r="O80" s="841"/>
      <c r="P80" s="1420"/>
      <c r="Q80" s="1420">
        <v>43281</v>
      </c>
      <c r="R80" t="s">
        <v>628</v>
      </c>
      <c r="Z80" s="1534" t="s">
        <v>5731</v>
      </c>
    </row>
    <row r="81" spans="2:45" ht="22.5" x14ac:dyDescent="0.25">
      <c r="B81" s="1690" t="s">
        <v>5729</v>
      </c>
      <c r="C81" s="1690"/>
      <c r="D81" s="1533" t="s">
        <v>24</v>
      </c>
      <c r="E81" s="393">
        <v>5.0000000000000001E-4</v>
      </c>
      <c r="F81" s="841"/>
      <c r="G81" s="1530"/>
      <c r="H81" s="841" t="s">
        <v>5110</v>
      </c>
      <c r="I81" s="841" t="s">
        <v>442</v>
      </c>
      <c r="J81" s="1357"/>
      <c r="K81" s="841"/>
      <c r="L81" s="841"/>
      <c r="M81" s="841" t="s">
        <v>5285</v>
      </c>
      <c r="N81" s="1357"/>
      <c r="O81" s="841"/>
      <c r="P81" s="1420"/>
      <c r="Q81" s="1420">
        <v>43585</v>
      </c>
      <c r="R81" t="s">
        <v>628</v>
      </c>
      <c r="Z81" s="1534" t="s">
        <v>5729</v>
      </c>
    </row>
    <row r="82" spans="2:45" ht="11.25" customHeight="1" x14ac:dyDescent="0.25">
      <c r="B82" s="1690" t="s">
        <v>4815</v>
      </c>
      <c r="C82" s="1690"/>
      <c r="D82" s="1533" t="s">
        <v>24</v>
      </c>
      <c r="E82" s="393">
        <v>5.7999999999999996E-3</v>
      </c>
      <c r="F82" s="841"/>
      <c r="G82" s="1530"/>
      <c r="H82" s="841" t="s">
        <v>5110</v>
      </c>
      <c r="I82" s="841" t="s">
        <v>444</v>
      </c>
      <c r="J82" s="1357"/>
      <c r="K82" s="841"/>
      <c r="L82" s="841"/>
      <c r="M82" s="841" t="s">
        <v>5732</v>
      </c>
      <c r="N82" s="1357"/>
      <c r="O82" s="841"/>
      <c r="P82" s="1420"/>
      <c r="Q82" s="1420"/>
      <c r="Z82" s="1534" t="s">
        <v>4815</v>
      </c>
    </row>
    <row r="83" spans="2:45" ht="11.25" customHeight="1" x14ac:dyDescent="0.25">
      <c r="B83" s="1690" t="s">
        <v>3628</v>
      </c>
      <c r="C83" s="1690"/>
      <c r="D83" s="1533" t="s">
        <v>24</v>
      </c>
      <c r="E83" s="393">
        <v>4.7000000000000002E-3</v>
      </c>
      <c r="F83" s="841"/>
      <c r="G83" s="1530"/>
      <c r="H83" s="841" t="s">
        <v>5110</v>
      </c>
      <c r="I83" s="841" t="s">
        <v>444</v>
      </c>
      <c r="J83" s="1357"/>
      <c r="K83" s="841"/>
      <c r="L83" s="841"/>
      <c r="M83" s="841" t="s">
        <v>5733</v>
      </c>
      <c r="N83" s="1357"/>
      <c r="O83" s="841"/>
      <c r="P83" s="1420"/>
      <c r="Q83" s="1420"/>
      <c r="Z83" s="1534" t="s">
        <v>3628</v>
      </c>
    </row>
    <row r="84" spans="2:45" s="841" customFormat="1" ht="6.75" customHeight="1" x14ac:dyDescent="0.25">
      <c r="B84" s="1517"/>
      <c r="C84" s="1517"/>
      <c r="D84" s="1533"/>
      <c r="E84" s="393"/>
      <c r="G84" s="1530"/>
      <c r="J84" s="1357"/>
      <c r="N84" s="1357"/>
      <c r="P84" s="1420"/>
      <c r="Q84" s="1420"/>
    </row>
    <row r="85" spans="2:45" ht="11.25" customHeight="1" x14ac:dyDescent="0.25">
      <c r="B85" s="1694" t="s">
        <v>3079</v>
      </c>
      <c r="C85" s="1690"/>
      <c r="D85" s="1533"/>
      <c r="E85" s="1517"/>
      <c r="F85" s="841"/>
      <c r="G85" s="1530"/>
      <c r="H85" s="841" t="s">
        <v>3093</v>
      </c>
      <c r="I85" s="841"/>
      <c r="J85" s="1357"/>
      <c r="K85" s="841"/>
      <c r="L85" s="841"/>
      <c r="M85" s="841"/>
      <c r="N85" s="1357"/>
      <c r="O85" s="841"/>
      <c r="P85" s="1420"/>
      <c r="Q85" s="1420"/>
      <c r="Z85" s="1073" t="s">
        <v>3079</v>
      </c>
    </row>
    <row r="86" spans="2:45" s="841" customFormat="1" ht="6.75" customHeight="1" x14ac:dyDescent="0.25">
      <c r="B86" s="1520"/>
      <c r="C86" s="1517"/>
      <c r="D86" s="1533"/>
      <c r="E86" s="1517"/>
      <c r="G86" s="1530"/>
      <c r="J86" s="1357"/>
      <c r="N86" s="1357"/>
      <c r="P86" s="1420"/>
      <c r="Q86" s="1420"/>
    </row>
    <row r="87" spans="2:45" ht="11.25" customHeight="1" x14ac:dyDescent="0.25">
      <c r="B87" s="1690" t="s">
        <v>2449</v>
      </c>
      <c r="C87" s="1690"/>
      <c r="D87" s="1533" t="s">
        <v>24</v>
      </c>
      <c r="E87" s="393">
        <v>3.2000000000000002E-3</v>
      </c>
      <c r="F87" s="841"/>
      <c r="G87" s="1530"/>
      <c r="H87" s="841" t="s">
        <v>5110</v>
      </c>
      <c r="I87" s="841" t="s">
        <v>3046</v>
      </c>
      <c r="J87" s="1357"/>
      <c r="K87" s="841"/>
      <c r="L87" s="841"/>
      <c r="M87" s="841" t="s">
        <v>5117</v>
      </c>
      <c r="N87" s="1357"/>
      <c r="O87" s="841"/>
      <c r="P87" s="1420"/>
      <c r="Q87" s="1420"/>
      <c r="Z87" s="1534" t="s">
        <v>2449</v>
      </c>
    </row>
    <row r="88" spans="2:45" ht="11.25" customHeight="1" x14ac:dyDescent="0.25">
      <c r="B88" s="1690" t="s">
        <v>2450</v>
      </c>
      <c r="C88" s="1690"/>
      <c r="D88" s="1533" t="s">
        <v>24</v>
      </c>
      <c r="E88" s="393">
        <v>4.0000000000000002E-4</v>
      </c>
      <c r="F88" s="841"/>
      <c r="G88" s="1530"/>
      <c r="H88" s="841" t="s">
        <v>5110</v>
      </c>
      <c r="I88" s="841" t="s">
        <v>3046</v>
      </c>
      <c r="J88" s="1357"/>
      <c r="K88" s="841"/>
      <c r="L88" s="841"/>
      <c r="M88" s="841" t="s">
        <v>5117</v>
      </c>
      <c r="N88" s="1357"/>
      <c r="O88" s="841"/>
      <c r="P88" s="1420"/>
      <c r="Q88" s="1420"/>
      <c r="Z88" s="1534" t="s">
        <v>2450</v>
      </c>
    </row>
    <row r="89" spans="2:45" ht="11.25" customHeight="1" x14ac:dyDescent="0.25">
      <c r="B89" s="1690" t="s">
        <v>439</v>
      </c>
      <c r="C89" s="1690"/>
      <c r="D89" s="1533" t="s">
        <v>24</v>
      </c>
      <c r="E89" s="393">
        <v>2.9999999999999997E-4</v>
      </c>
      <c r="F89" s="841"/>
      <c r="G89" s="1530"/>
      <c r="H89" s="841" t="s">
        <v>5110</v>
      </c>
      <c r="I89" s="841" t="s">
        <v>3046</v>
      </c>
      <c r="J89" s="1357"/>
      <c r="K89" s="841"/>
      <c r="L89" s="841"/>
      <c r="M89" s="841" t="s">
        <v>5118</v>
      </c>
      <c r="N89" s="1357"/>
      <c r="O89" s="841"/>
      <c r="P89" s="1420"/>
      <c r="Q89" s="1420"/>
      <c r="Z89" s="1534" t="s">
        <v>439</v>
      </c>
    </row>
    <row r="90" spans="2:45" ht="11.25" customHeight="1" x14ac:dyDescent="0.25">
      <c r="B90" s="1690" t="s">
        <v>32</v>
      </c>
      <c r="C90" s="1690"/>
      <c r="D90" s="1533" t="s">
        <v>23</v>
      </c>
      <c r="E90" s="391">
        <v>0.25</v>
      </c>
      <c r="F90" s="841"/>
      <c r="G90" s="1530"/>
      <c r="H90" s="841" t="s">
        <v>5110</v>
      </c>
      <c r="I90" s="841" t="s">
        <v>3046</v>
      </c>
      <c r="J90" s="1357"/>
      <c r="K90" s="841"/>
      <c r="L90" s="841"/>
      <c r="M90" s="841" t="s">
        <v>5119</v>
      </c>
      <c r="N90" s="1357"/>
      <c r="O90" s="841"/>
      <c r="P90" s="1420"/>
      <c r="Q90" s="1420"/>
      <c r="Z90" s="1534" t="s">
        <v>32</v>
      </c>
      <c r="AS90" t="s">
        <v>628</v>
      </c>
    </row>
    <row r="91" spans="2:45" s="1070" customFormat="1" ht="18" customHeight="1" x14ac:dyDescent="0.3">
      <c r="B91" s="1695" t="s">
        <v>616</v>
      </c>
      <c r="C91" s="1695"/>
      <c r="D91" s="1695"/>
      <c r="E91" s="1695"/>
      <c r="G91" s="1347"/>
      <c r="H91" s="1070" t="s">
        <v>6095</v>
      </c>
      <c r="J91" s="1447"/>
      <c r="N91" s="1447"/>
      <c r="P91" s="1448"/>
      <c r="Q91" s="1448"/>
      <c r="AA91" s="1071" t="s">
        <v>616</v>
      </c>
    </row>
    <row r="92" spans="2:45" ht="48" x14ac:dyDescent="0.25">
      <c r="B92" s="1689" t="s">
        <v>4820</v>
      </c>
      <c r="C92" s="1689"/>
      <c r="D92" s="1689"/>
      <c r="E92" s="1689"/>
      <c r="F92" s="841"/>
      <c r="G92" s="1530"/>
      <c r="H92" s="841" t="s">
        <v>6095</v>
      </c>
      <c r="I92" s="841"/>
      <c r="J92" s="1357"/>
      <c r="K92" s="841"/>
      <c r="L92" s="841"/>
      <c r="M92" s="841"/>
      <c r="N92" s="1357"/>
      <c r="O92" s="841"/>
      <c r="P92" s="1420"/>
      <c r="Q92" s="1420"/>
      <c r="AA92" s="1532" t="s">
        <v>4820</v>
      </c>
    </row>
    <row r="93" spans="2:45" s="841" customFormat="1" ht="6.75" customHeight="1" x14ac:dyDescent="0.25">
      <c r="B93" s="1514"/>
      <c r="C93" s="1514"/>
      <c r="D93" s="1514"/>
      <c r="E93" s="1514"/>
      <c r="G93" s="1530"/>
      <c r="J93" s="1357"/>
      <c r="N93" s="1357"/>
      <c r="P93" s="1420"/>
      <c r="Q93" s="1420"/>
    </row>
    <row r="94" spans="2:45" ht="11.25" customHeight="1" x14ac:dyDescent="0.25">
      <c r="B94" s="1696" t="s">
        <v>3061</v>
      </c>
      <c r="C94" s="1697"/>
      <c r="D94" s="1697"/>
      <c r="E94" s="1697"/>
      <c r="F94" s="841"/>
      <c r="G94" s="1530"/>
      <c r="H94" s="841" t="s">
        <v>3098</v>
      </c>
      <c r="I94" s="841"/>
      <c r="J94" s="1357"/>
      <c r="K94" s="841"/>
      <c r="L94" s="841"/>
      <c r="M94" s="841"/>
      <c r="N94" s="1357"/>
      <c r="O94" s="841"/>
      <c r="P94" s="1420"/>
      <c r="Q94" s="1420"/>
      <c r="AA94" s="1073" t="s">
        <v>3061</v>
      </c>
    </row>
    <row r="95" spans="2:45" s="841" customFormat="1" ht="6.75" customHeight="1" x14ac:dyDescent="0.25">
      <c r="B95" s="1518"/>
      <c r="C95" s="1519"/>
      <c r="D95" s="1519"/>
      <c r="E95" s="1519"/>
      <c r="G95" s="1530"/>
      <c r="J95" s="1357"/>
      <c r="N95" s="1357"/>
      <c r="P95" s="1420"/>
      <c r="Q95" s="1420"/>
    </row>
    <row r="96" spans="2:45" ht="36" x14ac:dyDescent="0.25">
      <c r="B96" s="1689" t="s">
        <v>3063</v>
      </c>
      <c r="C96" s="1689"/>
      <c r="D96" s="1689"/>
      <c r="E96" s="1689"/>
      <c r="F96" s="841"/>
      <c r="G96" s="1530"/>
      <c r="H96" s="841" t="s">
        <v>6095</v>
      </c>
      <c r="I96" s="841"/>
      <c r="J96" s="1357"/>
      <c r="K96" s="841"/>
      <c r="L96" s="841"/>
      <c r="M96" s="841"/>
      <c r="N96" s="1357"/>
      <c r="O96" s="841"/>
      <c r="P96" s="1420"/>
      <c r="Q96" s="1420"/>
      <c r="AA96" s="1532" t="s">
        <v>3063</v>
      </c>
    </row>
    <row r="97" spans="2:27" s="841" customFormat="1" ht="6.75" customHeight="1" x14ac:dyDescent="0.25">
      <c r="B97" s="1514"/>
      <c r="C97" s="1514"/>
      <c r="D97" s="1514"/>
      <c r="E97" s="1514"/>
      <c r="G97" s="1530"/>
      <c r="J97" s="1357"/>
      <c r="N97" s="1357"/>
      <c r="P97" s="1420"/>
      <c r="Q97" s="1420"/>
    </row>
    <row r="98" spans="2:27" ht="48" x14ac:dyDescent="0.25">
      <c r="B98" s="1689" t="s">
        <v>3064</v>
      </c>
      <c r="C98" s="1689"/>
      <c r="D98" s="1689"/>
      <c r="E98" s="1689"/>
      <c r="F98" s="841"/>
      <c r="G98" s="1530"/>
      <c r="H98" s="841" t="s">
        <v>6095</v>
      </c>
      <c r="I98" s="841"/>
      <c r="J98" s="1357"/>
      <c r="K98" s="841"/>
      <c r="L98" s="841"/>
      <c r="M98" s="841"/>
      <c r="N98" s="1357"/>
      <c r="O98" s="841"/>
      <c r="P98" s="1420"/>
      <c r="Q98" s="1420"/>
      <c r="AA98" s="1532" t="s">
        <v>3064</v>
      </c>
    </row>
    <row r="99" spans="2:27" s="841" customFormat="1" ht="6.75" customHeight="1" x14ac:dyDescent="0.25">
      <c r="B99" s="1514"/>
      <c r="C99" s="1514"/>
      <c r="D99" s="1514"/>
      <c r="E99" s="1514"/>
      <c r="G99" s="1530"/>
      <c r="J99" s="1357"/>
      <c r="N99" s="1357"/>
      <c r="P99" s="1420"/>
      <c r="Q99" s="1420"/>
    </row>
    <row r="100" spans="2:27" ht="48" x14ac:dyDescent="0.25">
      <c r="B100" s="1689" t="s">
        <v>3199</v>
      </c>
      <c r="C100" s="1689"/>
      <c r="D100" s="1689"/>
      <c r="E100" s="1689"/>
      <c r="F100" s="841"/>
      <c r="G100" s="1530"/>
      <c r="H100" s="841" t="s">
        <v>6095</v>
      </c>
      <c r="I100" s="841"/>
      <c r="J100" s="1357"/>
      <c r="K100" s="841"/>
      <c r="L100" s="841"/>
      <c r="M100" s="841"/>
      <c r="N100" s="1357"/>
      <c r="O100" s="841"/>
      <c r="P100" s="1420"/>
      <c r="Q100" s="1420"/>
      <c r="AA100" s="1532" t="s">
        <v>3199</v>
      </c>
    </row>
    <row r="101" spans="2:27" s="841" customFormat="1" ht="6.75" customHeight="1" x14ac:dyDescent="0.25">
      <c r="B101" s="1514"/>
      <c r="C101" s="1514"/>
      <c r="D101" s="1514"/>
      <c r="E101" s="1514"/>
      <c r="G101" s="1530"/>
      <c r="J101" s="1357"/>
      <c r="N101" s="1357"/>
      <c r="P101" s="1420"/>
      <c r="Q101" s="1420"/>
    </row>
    <row r="102" spans="2:27" ht="84" x14ac:dyDescent="0.25">
      <c r="B102" s="1689" t="s">
        <v>5132</v>
      </c>
      <c r="C102" s="1689"/>
      <c r="D102" s="1689"/>
      <c r="E102" s="1689"/>
      <c r="F102" s="841"/>
      <c r="G102" s="1530"/>
      <c r="H102" s="841" t="s">
        <v>6095</v>
      </c>
      <c r="I102" s="841"/>
      <c r="J102" s="1357"/>
      <c r="K102" s="841"/>
      <c r="L102" s="841"/>
      <c r="M102" s="841"/>
      <c r="N102" s="1357"/>
      <c r="O102" s="841"/>
      <c r="P102" s="1420"/>
      <c r="Q102" s="1420"/>
      <c r="AA102" s="1532" t="s">
        <v>5132</v>
      </c>
    </row>
    <row r="103" spans="2:27" ht="36" x14ac:dyDescent="0.25">
      <c r="B103" s="1689" t="s">
        <v>3066</v>
      </c>
      <c r="C103" s="1689"/>
      <c r="D103" s="1689"/>
      <c r="E103" s="1689"/>
      <c r="F103" s="841"/>
      <c r="G103" s="1530"/>
      <c r="H103" s="841" t="s">
        <v>6095</v>
      </c>
      <c r="I103" s="841"/>
      <c r="J103" s="1357"/>
      <c r="K103" s="841"/>
      <c r="L103" s="841"/>
      <c r="M103" s="841"/>
      <c r="N103" s="1357"/>
      <c r="O103" s="841"/>
      <c r="P103" s="1420"/>
      <c r="Q103" s="1420"/>
      <c r="AA103" s="1532" t="s">
        <v>3066</v>
      </c>
    </row>
    <row r="104" spans="2:27" s="841" customFormat="1" ht="6.75" customHeight="1" x14ac:dyDescent="0.25">
      <c r="B104" s="1514"/>
      <c r="C104" s="1514"/>
      <c r="D104" s="1514"/>
      <c r="E104" s="1514"/>
      <c r="G104" s="1530"/>
      <c r="J104" s="1357"/>
      <c r="N104" s="1357"/>
      <c r="P104" s="1420"/>
      <c r="Q104" s="1420"/>
    </row>
    <row r="105" spans="2:27" ht="11.25" customHeight="1" x14ac:dyDescent="0.25">
      <c r="B105" s="1692" t="s">
        <v>3067</v>
      </c>
      <c r="C105" s="1693"/>
      <c r="D105" s="1693"/>
      <c r="E105" s="1693"/>
      <c r="F105" s="841"/>
      <c r="G105" s="1530"/>
      <c r="H105" s="841" t="s">
        <v>3099</v>
      </c>
      <c r="I105" s="841"/>
      <c r="J105" s="1357"/>
      <c r="K105" s="841"/>
      <c r="L105" s="841"/>
      <c r="M105" s="841"/>
      <c r="N105" s="1357"/>
      <c r="O105" s="841"/>
      <c r="P105" s="1420"/>
      <c r="Q105" s="1420"/>
      <c r="AA105" s="1073" t="s">
        <v>3067</v>
      </c>
    </row>
    <row r="106" spans="2:27" s="841" customFormat="1" ht="6.75" customHeight="1" x14ac:dyDescent="0.25">
      <c r="B106" s="1515"/>
      <c r="C106" s="1516"/>
      <c r="D106" s="1516"/>
      <c r="E106" s="1516"/>
      <c r="G106" s="1530"/>
      <c r="J106" s="1357"/>
      <c r="N106" s="1357"/>
      <c r="P106" s="1420"/>
      <c r="Q106" s="1420"/>
    </row>
    <row r="107" spans="2:27" ht="11.25" customHeight="1" x14ac:dyDescent="0.25">
      <c r="B107" s="1690" t="s">
        <v>4810</v>
      </c>
      <c r="C107" s="1690"/>
      <c r="D107" s="1533" t="s">
        <v>23</v>
      </c>
      <c r="E107" s="391">
        <v>293.47000000000003</v>
      </c>
      <c r="F107" s="841"/>
      <c r="G107" s="1530"/>
      <c r="H107" s="841" t="s">
        <v>6095</v>
      </c>
      <c r="I107" s="841" t="s">
        <v>442</v>
      </c>
      <c r="J107" s="1357"/>
      <c r="K107" s="841"/>
      <c r="L107" s="841"/>
      <c r="M107" s="841" t="s">
        <v>6096</v>
      </c>
      <c r="N107" s="1357"/>
      <c r="O107" s="841"/>
      <c r="P107" s="1420"/>
      <c r="Q107" s="1420"/>
      <c r="Z107" s="1534" t="s">
        <v>4810</v>
      </c>
    </row>
    <row r="108" spans="2:27" ht="22.5" x14ac:dyDescent="0.25">
      <c r="B108" s="1690" t="s">
        <v>5727</v>
      </c>
      <c r="C108" s="1690"/>
      <c r="D108" s="1533" t="s">
        <v>23</v>
      </c>
      <c r="E108" s="391">
        <v>12.86</v>
      </c>
      <c r="F108" s="841"/>
      <c r="G108" s="1530"/>
      <c r="H108" s="841" t="s">
        <v>6095</v>
      </c>
      <c r="I108" s="841" t="s">
        <v>442</v>
      </c>
      <c r="J108" s="1357"/>
      <c r="K108" s="841"/>
      <c r="L108" s="841"/>
      <c r="M108" s="841" t="s">
        <v>6398</v>
      </c>
      <c r="N108" s="1357"/>
      <c r="O108" s="841"/>
      <c r="P108" s="1420"/>
      <c r="Q108" s="1420"/>
      <c r="Z108" s="1534" t="s">
        <v>5727</v>
      </c>
    </row>
    <row r="109" spans="2:27" ht="11.25" customHeight="1" x14ac:dyDescent="0.25">
      <c r="B109" s="1690" t="s">
        <v>3109</v>
      </c>
      <c r="C109" s="1690"/>
      <c r="D109" s="1533" t="s">
        <v>33</v>
      </c>
      <c r="E109" s="393">
        <v>2.2595999999999998</v>
      </c>
      <c r="F109" s="841"/>
      <c r="G109" s="1530"/>
      <c r="H109" s="841" t="s">
        <v>6095</v>
      </c>
      <c r="I109" s="841" t="s">
        <v>442</v>
      </c>
      <c r="J109" s="1357"/>
      <c r="K109" s="841"/>
      <c r="L109" s="841"/>
      <c r="M109" s="841" t="s">
        <v>6097</v>
      </c>
      <c r="N109" s="1357"/>
      <c r="O109" s="841"/>
      <c r="P109" s="1420"/>
      <c r="Q109" s="1420"/>
      <c r="Z109" s="1534" t="s">
        <v>3109</v>
      </c>
    </row>
    <row r="110" spans="2:27" ht="11.25" customHeight="1" x14ac:dyDescent="0.25">
      <c r="B110" s="1690" t="s">
        <v>4813</v>
      </c>
      <c r="C110" s="1690"/>
      <c r="D110" s="1533" t="s">
        <v>33</v>
      </c>
      <c r="E110" s="393">
        <v>1.6712</v>
      </c>
      <c r="F110" s="841"/>
      <c r="G110" s="1530"/>
      <c r="H110" s="841" t="s">
        <v>6095</v>
      </c>
      <c r="I110" s="841" t="s">
        <v>443</v>
      </c>
      <c r="J110" s="1357"/>
      <c r="K110" s="841"/>
      <c r="L110" s="841"/>
      <c r="M110" s="841" t="s">
        <v>6098</v>
      </c>
      <c r="N110" s="1357"/>
      <c r="O110" s="841"/>
      <c r="P110" s="1420"/>
      <c r="Q110" s="1420"/>
      <c r="Z110" s="1534" t="s">
        <v>4813</v>
      </c>
    </row>
    <row r="111" spans="2:27" ht="11.25" customHeight="1" x14ac:dyDescent="0.25">
      <c r="B111" s="1690" t="s">
        <v>4811</v>
      </c>
      <c r="C111" s="1690"/>
      <c r="D111" s="1533" t="s">
        <v>33</v>
      </c>
      <c r="E111" s="604">
        <v>-1.1999999999999999E-3</v>
      </c>
      <c r="F111" s="841"/>
      <c r="G111" s="1530"/>
      <c r="H111" s="841" t="s">
        <v>6095</v>
      </c>
      <c r="I111" s="841" t="s">
        <v>442</v>
      </c>
      <c r="J111" s="1357"/>
      <c r="K111" s="841"/>
      <c r="L111" s="841"/>
      <c r="M111" s="841" t="s">
        <v>6105</v>
      </c>
      <c r="N111" s="1357"/>
      <c r="O111" s="841"/>
      <c r="P111" s="1420"/>
      <c r="Q111" s="1420">
        <v>43281</v>
      </c>
      <c r="R111" t="s">
        <v>628</v>
      </c>
      <c r="Z111" s="1534" t="s">
        <v>4811</v>
      </c>
    </row>
    <row r="112" spans="2:27" ht="11.25" customHeight="1" x14ac:dyDescent="0.25">
      <c r="B112" s="1690" t="s">
        <v>4814</v>
      </c>
      <c r="C112" s="1690"/>
      <c r="D112" s="1533" t="s">
        <v>33</v>
      </c>
      <c r="E112" s="604">
        <v>-1.7126999999999999</v>
      </c>
      <c r="F112" s="841"/>
      <c r="G112" s="1530"/>
      <c r="H112" s="841" t="s">
        <v>6095</v>
      </c>
      <c r="I112" s="841" t="s">
        <v>443</v>
      </c>
      <c r="J112" s="1357"/>
      <c r="K112" s="841"/>
      <c r="L112" s="841"/>
      <c r="M112" s="841" t="s">
        <v>6105</v>
      </c>
      <c r="N112" s="1357"/>
      <c r="O112" s="841"/>
      <c r="P112" s="1420"/>
      <c r="Q112" s="1420">
        <v>43281</v>
      </c>
      <c r="R112" t="s">
        <v>628</v>
      </c>
      <c r="Z112" s="1534" t="s">
        <v>4814</v>
      </c>
    </row>
    <row r="113" spans="2:45" ht="11.25" customHeight="1" x14ac:dyDescent="0.25">
      <c r="B113" s="1690" t="s">
        <v>5130</v>
      </c>
      <c r="C113" s="1690"/>
      <c r="D113" s="1533" t="s">
        <v>33</v>
      </c>
      <c r="E113" s="604">
        <v>-0.71609999999999996</v>
      </c>
      <c r="F113" s="841"/>
      <c r="G113" s="1530"/>
      <c r="H113" s="841" t="s">
        <v>6095</v>
      </c>
      <c r="I113" s="841" t="s">
        <v>443</v>
      </c>
      <c r="J113" s="1357"/>
      <c r="K113" s="841"/>
      <c r="L113" s="841"/>
      <c r="M113" s="841" t="s">
        <v>6105</v>
      </c>
      <c r="N113" s="1357"/>
      <c r="O113" s="841"/>
      <c r="P113" s="1420"/>
      <c r="Q113" s="1420">
        <v>43585</v>
      </c>
      <c r="R113" t="s">
        <v>628</v>
      </c>
      <c r="Z113" s="1534" t="s">
        <v>5130</v>
      </c>
    </row>
    <row r="114" spans="2:45" ht="22.5" x14ac:dyDescent="0.25">
      <c r="B114" s="1690" t="s">
        <v>5734</v>
      </c>
      <c r="C114" s="1690"/>
      <c r="D114" s="1533" t="s">
        <v>24</v>
      </c>
      <c r="E114" s="393">
        <v>6.0000000000000001E-3</v>
      </c>
      <c r="F114" s="841"/>
      <c r="G114" s="1530"/>
      <c r="H114" s="841" t="s">
        <v>6095</v>
      </c>
      <c r="I114" s="841" t="s">
        <v>443</v>
      </c>
      <c r="J114" s="1357"/>
      <c r="K114" s="841"/>
      <c r="L114" s="841"/>
      <c r="M114" s="841" t="s">
        <v>6104</v>
      </c>
      <c r="N114" s="1357"/>
      <c r="O114" s="841"/>
      <c r="P114" s="1420"/>
      <c r="Q114" s="1420">
        <v>43281</v>
      </c>
      <c r="R114" t="s">
        <v>628</v>
      </c>
      <c r="Z114" s="1534" t="s">
        <v>5734</v>
      </c>
    </row>
    <row r="115" spans="2:45" ht="22.5" x14ac:dyDescent="0.25">
      <c r="B115" s="1690" t="s">
        <v>5384</v>
      </c>
      <c r="C115" s="1690"/>
      <c r="D115" s="1533" t="s">
        <v>24</v>
      </c>
      <c r="E115" s="393">
        <v>6.9999999999999999E-4</v>
      </c>
      <c r="F115" s="841"/>
      <c r="G115" s="1530"/>
      <c r="H115" s="841" t="s">
        <v>6095</v>
      </c>
      <c r="I115" s="841" t="s">
        <v>443</v>
      </c>
      <c r="J115" s="1357"/>
      <c r="K115" s="841"/>
      <c r="L115" s="841"/>
      <c r="M115" s="841" t="s">
        <v>6104</v>
      </c>
      <c r="N115" s="1357"/>
      <c r="O115" s="841"/>
      <c r="P115" s="1420"/>
      <c r="Q115" s="1420">
        <v>43585</v>
      </c>
      <c r="R115" t="s">
        <v>628</v>
      </c>
      <c r="Z115" s="1534" t="s">
        <v>5384</v>
      </c>
    </row>
    <row r="116" spans="2:45" ht="22.5" x14ac:dyDescent="0.25">
      <c r="B116" s="1690" t="s">
        <v>5731</v>
      </c>
      <c r="C116" s="1690"/>
      <c r="D116" s="1533" t="s">
        <v>33</v>
      </c>
      <c r="E116" s="393">
        <v>5.5800000000000002E-2</v>
      </c>
      <c r="F116" s="841"/>
      <c r="G116" s="1530"/>
      <c r="H116" s="841" t="s">
        <v>6095</v>
      </c>
      <c r="I116" s="841" t="s">
        <v>442</v>
      </c>
      <c r="J116" s="1357"/>
      <c r="K116" s="841"/>
      <c r="L116" s="841"/>
      <c r="M116" s="841" t="s">
        <v>6111</v>
      </c>
      <c r="N116" s="1357"/>
      <c r="O116" s="841"/>
      <c r="P116" s="1420"/>
      <c r="Q116" s="1420">
        <v>43281</v>
      </c>
      <c r="R116" t="s">
        <v>628</v>
      </c>
      <c r="Z116" s="1534" t="s">
        <v>5731</v>
      </c>
    </row>
    <row r="117" spans="2:45" ht="22.5" x14ac:dyDescent="0.25">
      <c r="B117" s="1690" t="s">
        <v>5729</v>
      </c>
      <c r="C117" s="1690"/>
      <c r="D117" s="1533" t="s">
        <v>33</v>
      </c>
      <c r="E117" s="393">
        <v>3.8300000000000001E-2</v>
      </c>
      <c r="F117" s="841"/>
      <c r="G117" s="1530"/>
      <c r="H117" s="841" t="s">
        <v>6095</v>
      </c>
      <c r="I117" s="841" t="s">
        <v>442</v>
      </c>
      <c r="J117" s="1357"/>
      <c r="K117" s="841"/>
      <c r="L117" s="841"/>
      <c r="M117" s="841" t="s">
        <v>6111</v>
      </c>
      <c r="N117" s="1357"/>
      <c r="O117" s="841"/>
      <c r="P117" s="1420"/>
      <c r="Q117" s="1420">
        <v>43585</v>
      </c>
      <c r="R117" t="s">
        <v>628</v>
      </c>
      <c r="Z117" s="1534" t="s">
        <v>5729</v>
      </c>
    </row>
    <row r="118" spans="2:45" ht="11.25" customHeight="1" x14ac:dyDescent="0.25">
      <c r="B118" s="1690" t="s">
        <v>4815</v>
      </c>
      <c r="C118" s="1690"/>
      <c r="D118" s="1533" t="s">
        <v>33</v>
      </c>
      <c r="E118" s="393">
        <v>2.4327000000000001</v>
      </c>
      <c r="F118" s="841"/>
      <c r="G118" s="1530"/>
      <c r="H118" s="841" t="s">
        <v>6095</v>
      </c>
      <c r="I118" s="841" t="s">
        <v>444</v>
      </c>
      <c r="J118" s="1357"/>
      <c r="K118" s="841"/>
      <c r="L118" s="841"/>
      <c r="M118" s="841" t="s">
        <v>6399</v>
      </c>
      <c r="N118" s="1357"/>
      <c r="O118" s="841"/>
      <c r="P118" s="1420"/>
      <c r="Q118" s="1420"/>
      <c r="Z118" s="1534" t="s">
        <v>4815</v>
      </c>
    </row>
    <row r="119" spans="2:45" ht="11.25" customHeight="1" x14ac:dyDescent="0.25">
      <c r="B119" s="1690" t="s">
        <v>217</v>
      </c>
      <c r="C119" s="1690"/>
      <c r="D119" s="1533" t="s">
        <v>33</v>
      </c>
      <c r="E119" s="393">
        <v>1.8726</v>
      </c>
      <c r="F119" s="841"/>
      <c r="G119" s="1530"/>
      <c r="H119" s="841" t="s">
        <v>6095</v>
      </c>
      <c r="I119" s="841" t="s">
        <v>444</v>
      </c>
      <c r="J119" s="1357"/>
      <c r="K119" s="841"/>
      <c r="L119" s="841"/>
      <c r="M119" s="841" t="s">
        <v>6100</v>
      </c>
      <c r="N119" s="1357"/>
      <c r="O119" s="841"/>
      <c r="P119" s="1420"/>
      <c r="Q119" s="1420"/>
      <c r="Z119" s="1534" t="s">
        <v>217</v>
      </c>
    </row>
    <row r="120" spans="2:45" ht="11.25" customHeight="1" x14ac:dyDescent="0.25">
      <c r="B120" s="1690" t="s">
        <v>4821</v>
      </c>
      <c r="C120" s="1690"/>
      <c r="D120" s="1533" t="s">
        <v>33</v>
      </c>
      <c r="E120" s="393">
        <v>2.7179000000000002</v>
      </c>
      <c r="F120" s="841"/>
      <c r="G120" s="1530"/>
      <c r="H120" s="841" t="s">
        <v>6095</v>
      </c>
      <c r="I120" s="841" t="s">
        <v>444</v>
      </c>
      <c r="J120" s="1357"/>
      <c r="K120" s="841"/>
      <c r="L120" s="841"/>
      <c r="M120" s="841" t="s">
        <v>6400</v>
      </c>
      <c r="N120" s="1357"/>
      <c r="O120" s="841"/>
      <c r="P120" s="1420"/>
      <c r="Q120" s="1420"/>
      <c r="Z120" s="1534" t="s">
        <v>4821</v>
      </c>
    </row>
    <row r="121" spans="2:45" ht="11.25" customHeight="1" x14ac:dyDescent="0.25">
      <c r="B121" s="1690" t="s">
        <v>219</v>
      </c>
      <c r="C121" s="1690"/>
      <c r="D121" s="1533" t="s">
        <v>33</v>
      </c>
      <c r="E121" s="393">
        <v>2.0872999999999999</v>
      </c>
      <c r="F121" s="841"/>
      <c r="G121" s="1530"/>
      <c r="H121" s="841" t="s">
        <v>6095</v>
      </c>
      <c r="I121" s="841" t="s">
        <v>444</v>
      </c>
      <c r="J121" s="1357"/>
      <c r="K121" s="841"/>
      <c r="L121" s="841"/>
      <c r="M121" s="841" t="s">
        <v>6108</v>
      </c>
      <c r="N121" s="1357"/>
      <c r="O121" s="841"/>
      <c r="P121" s="1420"/>
      <c r="Q121" s="1420"/>
      <c r="Z121" s="1534" t="s">
        <v>219</v>
      </c>
    </row>
    <row r="122" spans="2:45" s="841" customFormat="1" ht="6.75" customHeight="1" x14ac:dyDescent="0.25">
      <c r="B122" s="1517"/>
      <c r="C122" s="1517"/>
      <c r="D122" s="1533"/>
      <c r="E122" s="393"/>
      <c r="G122" s="1530"/>
      <c r="J122" s="1357"/>
      <c r="N122" s="1357"/>
      <c r="P122" s="1420"/>
      <c r="Q122" s="1420"/>
    </row>
    <row r="123" spans="2:45" ht="11.25" customHeight="1" x14ac:dyDescent="0.25">
      <c r="B123" s="1694" t="s">
        <v>3079</v>
      </c>
      <c r="C123" s="1690"/>
      <c r="D123" s="1533"/>
      <c r="E123" s="1310"/>
      <c r="F123" s="841"/>
      <c r="G123" s="1530"/>
      <c r="H123" s="841" t="s">
        <v>3218</v>
      </c>
      <c r="I123" s="841"/>
      <c r="J123" s="1357"/>
      <c r="K123" s="841"/>
      <c r="L123" s="841"/>
      <c r="M123" s="841"/>
      <c r="N123" s="1357"/>
      <c r="O123" s="841"/>
      <c r="P123" s="1420"/>
      <c r="Q123" s="1420"/>
      <c r="Z123" s="1073" t="s">
        <v>3079</v>
      </c>
    </row>
    <row r="124" spans="2:45" s="841" customFormat="1" ht="6.75" customHeight="1" x14ac:dyDescent="0.25">
      <c r="B124" s="1520"/>
      <c r="C124" s="1517"/>
      <c r="D124" s="1533"/>
      <c r="E124" s="1310"/>
      <c r="G124" s="1530"/>
      <c r="J124" s="1357"/>
      <c r="N124" s="1357"/>
      <c r="P124" s="1420"/>
      <c r="Q124" s="1420"/>
    </row>
    <row r="125" spans="2:45" ht="11.25" customHeight="1" x14ac:dyDescent="0.25">
      <c r="B125" s="1690" t="s">
        <v>2449</v>
      </c>
      <c r="C125" s="1690"/>
      <c r="D125" s="1533" t="s">
        <v>24</v>
      </c>
      <c r="E125" s="393">
        <v>3.2000000000000002E-3</v>
      </c>
      <c r="F125" s="841"/>
      <c r="G125" s="1530"/>
      <c r="H125" s="841" t="s">
        <v>6095</v>
      </c>
      <c r="I125" s="841" t="s">
        <v>3046</v>
      </c>
      <c r="J125" s="1357"/>
      <c r="K125" s="841"/>
      <c r="L125" s="841"/>
      <c r="M125" s="841" t="s">
        <v>6101</v>
      </c>
      <c r="N125" s="1357"/>
      <c r="O125" s="841"/>
      <c r="P125" s="1420"/>
      <c r="Q125" s="1420"/>
      <c r="Z125" s="1534" t="s">
        <v>2449</v>
      </c>
    </row>
    <row r="126" spans="2:45" ht="11.25" customHeight="1" x14ac:dyDescent="0.25">
      <c r="B126" s="1690" t="s">
        <v>2450</v>
      </c>
      <c r="C126" s="1690"/>
      <c r="D126" s="1533" t="s">
        <v>24</v>
      </c>
      <c r="E126" s="393">
        <v>4.0000000000000002E-4</v>
      </c>
      <c r="F126" s="841"/>
      <c r="G126" s="1530"/>
      <c r="H126" s="841" t="s">
        <v>6095</v>
      </c>
      <c r="I126" s="841" t="s">
        <v>3046</v>
      </c>
      <c r="J126" s="1357"/>
      <c r="K126" s="841"/>
      <c r="L126" s="841"/>
      <c r="M126" s="841" t="s">
        <v>6101</v>
      </c>
      <c r="N126" s="1357"/>
      <c r="O126" s="841"/>
      <c r="P126" s="1420"/>
      <c r="Q126" s="1420"/>
      <c r="Z126" s="1534" t="s">
        <v>2450</v>
      </c>
    </row>
    <row r="127" spans="2:45" ht="11.25" customHeight="1" x14ac:dyDescent="0.25">
      <c r="B127" s="1690" t="s">
        <v>439</v>
      </c>
      <c r="C127" s="1690"/>
      <c r="D127" s="1533" t="s">
        <v>24</v>
      </c>
      <c r="E127" s="393">
        <v>2.9999999999999997E-4</v>
      </c>
      <c r="F127" s="841"/>
      <c r="G127" s="1530"/>
      <c r="H127" s="841" t="s">
        <v>6095</v>
      </c>
      <c r="I127" s="841" t="s">
        <v>3046</v>
      </c>
      <c r="J127" s="1357"/>
      <c r="K127" s="841"/>
      <c r="L127" s="841"/>
      <c r="M127" s="841" t="s">
        <v>6102</v>
      </c>
      <c r="N127" s="1357"/>
      <c r="O127" s="841"/>
      <c r="P127" s="1420"/>
      <c r="Q127" s="1420"/>
      <c r="Z127" s="1534" t="s">
        <v>439</v>
      </c>
    </row>
    <row r="128" spans="2:45" ht="11.25" customHeight="1" x14ac:dyDescent="0.25">
      <c r="B128" s="1690" t="s">
        <v>32</v>
      </c>
      <c r="C128" s="1690"/>
      <c r="D128" s="1533" t="s">
        <v>23</v>
      </c>
      <c r="E128" s="391">
        <v>0.25</v>
      </c>
      <c r="F128" s="841"/>
      <c r="G128" s="1530"/>
      <c r="H128" s="841" t="s">
        <v>6095</v>
      </c>
      <c r="I128" s="841" t="s">
        <v>3046</v>
      </c>
      <c r="J128" s="1357"/>
      <c r="K128" s="841"/>
      <c r="L128" s="841"/>
      <c r="M128" s="841" t="s">
        <v>6103</v>
      </c>
      <c r="N128" s="1357"/>
      <c r="O128" s="841"/>
      <c r="P128" s="1420"/>
      <c r="Q128" s="1420"/>
      <c r="Z128" s="1534" t="s">
        <v>32</v>
      </c>
      <c r="AS128" t="s">
        <v>628</v>
      </c>
    </row>
    <row r="129" spans="2:27" s="1070" customFormat="1" ht="18" customHeight="1" x14ac:dyDescent="0.3">
      <c r="B129" s="1695" t="s">
        <v>617</v>
      </c>
      <c r="C129" s="1695"/>
      <c r="D129" s="1695"/>
      <c r="E129" s="1695"/>
      <c r="G129" s="1347"/>
      <c r="H129" s="1070" t="s">
        <v>3406</v>
      </c>
      <c r="J129" s="1447"/>
      <c r="N129" s="1447"/>
      <c r="P129" s="1448"/>
      <c r="Q129" s="1448"/>
      <c r="AA129" s="1071" t="s">
        <v>617</v>
      </c>
    </row>
    <row r="130" spans="2:27" ht="84" x14ac:dyDescent="0.25">
      <c r="B130" s="1689" t="s">
        <v>4252</v>
      </c>
      <c r="C130" s="1689"/>
      <c r="D130" s="1689"/>
      <c r="E130" s="1689"/>
      <c r="F130" s="841"/>
      <c r="G130" s="1530"/>
      <c r="H130" s="841" t="s">
        <v>3406</v>
      </c>
      <c r="I130" s="841"/>
      <c r="J130" s="1357"/>
      <c r="K130" s="841"/>
      <c r="L130" s="841"/>
      <c r="M130" s="841"/>
      <c r="N130" s="1357"/>
      <c r="O130" s="841"/>
      <c r="P130" s="1420"/>
      <c r="Q130" s="1420"/>
      <c r="AA130" s="1532" t="s">
        <v>4252</v>
      </c>
    </row>
    <row r="131" spans="2:27" s="841" customFormat="1" ht="6.75" customHeight="1" x14ac:dyDescent="0.25">
      <c r="B131" s="1514"/>
      <c r="C131" s="1514"/>
      <c r="D131" s="1514"/>
      <c r="E131" s="1514"/>
      <c r="G131" s="1530"/>
      <c r="J131" s="1357"/>
      <c r="N131" s="1357"/>
      <c r="P131" s="1420"/>
      <c r="Q131" s="1420"/>
    </row>
    <row r="132" spans="2:27" ht="11.25" customHeight="1" x14ac:dyDescent="0.25">
      <c r="B132" s="1696" t="s">
        <v>3061</v>
      </c>
      <c r="C132" s="1697"/>
      <c r="D132" s="1697"/>
      <c r="E132" s="1697"/>
      <c r="F132" s="841"/>
      <c r="G132" s="1530"/>
      <c r="H132" s="841" t="s">
        <v>3221</v>
      </c>
      <c r="I132" s="841"/>
      <c r="J132" s="1357"/>
      <c r="K132" s="841"/>
      <c r="L132" s="841"/>
      <c r="M132" s="841"/>
      <c r="N132" s="1357"/>
      <c r="O132" s="841"/>
      <c r="P132" s="1420"/>
      <c r="Q132" s="1420"/>
      <c r="AA132" s="1073" t="s">
        <v>3061</v>
      </c>
    </row>
    <row r="133" spans="2:27" s="841" customFormat="1" ht="6.75" customHeight="1" x14ac:dyDescent="0.25">
      <c r="B133" s="1518"/>
      <c r="C133" s="1519"/>
      <c r="D133" s="1519"/>
      <c r="E133" s="1519"/>
      <c r="G133" s="1530"/>
      <c r="J133" s="1357"/>
      <c r="N133" s="1357"/>
      <c r="P133" s="1420"/>
      <c r="Q133" s="1420"/>
    </row>
    <row r="134" spans="2:27" ht="36" x14ac:dyDescent="0.25">
      <c r="B134" s="1689" t="s">
        <v>3063</v>
      </c>
      <c r="C134" s="1689"/>
      <c r="D134" s="1689"/>
      <c r="E134" s="1689"/>
      <c r="F134" s="841"/>
      <c r="G134" s="1530"/>
      <c r="H134" s="841" t="s">
        <v>3406</v>
      </c>
      <c r="I134" s="841"/>
      <c r="J134" s="1357"/>
      <c r="K134" s="841"/>
      <c r="L134" s="841"/>
      <c r="M134" s="841"/>
      <c r="N134" s="1357"/>
      <c r="O134" s="841"/>
      <c r="P134" s="1420"/>
      <c r="Q134" s="1420"/>
      <c r="AA134" s="1532" t="s">
        <v>3063</v>
      </c>
    </row>
    <row r="135" spans="2:27" s="841" customFormat="1" ht="6.75" customHeight="1" x14ac:dyDescent="0.25">
      <c r="B135" s="1514"/>
      <c r="C135" s="1514"/>
      <c r="D135" s="1514"/>
      <c r="E135" s="1514"/>
      <c r="G135" s="1530"/>
      <c r="J135" s="1357"/>
      <c r="N135" s="1357"/>
      <c r="P135" s="1420"/>
      <c r="Q135" s="1420"/>
    </row>
    <row r="136" spans="2:27" ht="48" x14ac:dyDescent="0.25">
      <c r="B136" s="1689" t="s">
        <v>3064</v>
      </c>
      <c r="C136" s="1689"/>
      <c r="D136" s="1689"/>
      <c r="E136" s="1689"/>
      <c r="F136" s="841"/>
      <c r="G136" s="1530"/>
      <c r="H136" s="841" t="s">
        <v>3406</v>
      </c>
      <c r="I136" s="841"/>
      <c r="J136" s="1357"/>
      <c r="K136" s="841"/>
      <c r="L136" s="841"/>
      <c r="M136" s="841"/>
      <c r="N136" s="1357"/>
      <c r="O136" s="841"/>
      <c r="P136" s="1420"/>
      <c r="Q136" s="1420"/>
      <c r="AA136" s="1532" t="s">
        <v>3064</v>
      </c>
    </row>
    <row r="137" spans="2:27" s="841" customFormat="1" ht="6.75" customHeight="1" x14ac:dyDescent="0.25">
      <c r="B137" s="1514"/>
      <c r="C137" s="1514"/>
      <c r="D137" s="1514"/>
      <c r="E137" s="1514"/>
      <c r="G137" s="1530"/>
      <c r="J137" s="1357"/>
      <c r="N137" s="1357"/>
      <c r="P137" s="1420"/>
      <c r="Q137" s="1420"/>
    </row>
    <row r="138" spans="2:27" ht="48" x14ac:dyDescent="0.25">
      <c r="B138" s="1689" t="s">
        <v>3199</v>
      </c>
      <c r="C138" s="1689"/>
      <c r="D138" s="1689"/>
      <c r="E138" s="1689"/>
      <c r="F138" s="841"/>
      <c r="G138" s="1530"/>
      <c r="H138" s="841" t="s">
        <v>3406</v>
      </c>
      <c r="I138" s="841"/>
      <c r="J138" s="1357"/>
      <c r="K138" s="841"/>
      <c r="L138" s="841"/>
      <c r="M138" s="841"/>
      <c r="N138" s="1357"/>
      <c r="O138" s="841"/>
      <c r="P138" s="1420"/>
      <c r="Q138" s="1420"/>
      <c r="AA138" s="1532" t="s">
        <v>3199</v>
      </c>
    </row>
    <row r="139" spans="2:27" s="841" customFormat="1" ht="6.75" customHeight="1" x14ac:dyDescent="0.25">
      <c r="B139" s="1514"/>
      <c r="C139" s="1514"/>
      <c r="D139" s="1514"/>
      <c r="E139" s="1514"/>
      <c r="G139" s="1530"/>
      <c r="J139" s="1357"/>
      <c r="N139" s="1357"/>
      <c r="P139" s="1420"/>
      <c r="Q139" s="1420"/>
    </row>
    <row r="140" spans="2:27" ht="36" x14ac:dyDescent="0.25">
      <c r="B140" s="1689" t="s">
        <v>3066</v>
      </c>
      <c r="C140" s="1689"/>
      <c r="D140" s="1689"/>
      <c r="E140" s="1689"/>
      <c r="F140" s="841"/>
      <c r="G140" s="1530"/>
      <c r="H140" s="841" t="s">
        <v>3406</v>
      </c>
      <c r="I140" s="841"/>
      <c r="J140" s="1357"/>
      <c r="K140" s="841"/>
      <c r="L140" s="841"/>
      <c r="M140" s="841"/>
      <c r="N140" s="1357"/>
      <c r="O140" s="841"/>
      <c r="P140" s="1420"/>
      <c r="Q140" s="1420"/>
      <c r="AA140" s="1532" t="s">
        <v>3066</v>
      </c>
    </row>
    <row r="141" spans="2:27" s="841" customFormat="1" ht="6.75" customHeight="1" x14ac:dyDescent="0.25">
      <c r="B141" s="1514"/>
      <c r="C141" s="1514"/>
      <c r="D141" s="1514"/>
      <c r="E141" s="1514"/>
      <c r="G141" s="1530"/>
      <c r="J141" s="1357"/>
      <c r="N141" s="1357"/>
      <c r="P141" s="1420"/>
      <c r="Q141" s="1420"/>
    </row>
    <row r="142" spans="2:27" ht="11.25" customHeight="1" x14ac:dyDescent="0.25">
      <c r="B142" s="1692" t="s">
        <v>3067</v>
      </c>
      <c r="C142" s="1693"/>
      <c r="D142" s="1693"/>
      <c r="E142" s="1693"/>
      <c r="F142" s="841"/>
      <c r="G142" s="1530"/>
      <c r="H142" s="841" t="s">
        <v>3224</v>
      </c>
      <c r="I142" s="841"/>
      <c r="J142" s="1357"/>
      <c r="K142" s="841"/>
      <c r="L142" s="841"/>
      <c r="M142" s="841"/>
      <c r="N142" s="1357"/>
      <c r="O142" s="841"/>
      <c r="P142" s="1420"/>
      <c r="Q142" s="1420"/>
      <c r="AA142" s="1073" t="s">
        <v>3067</v>
      </c>
    </row>
    <row r="143" spans="2:27" s="841" customFormat="1" ht="6.75" customHeight="1" x14ac:dyDescent="0.25">
      <c r="B143" s="1515"/>
      <c r="C143" s="1516"/>
      <c r="D143" s="1516"/>
      <c r="E143" s="1516"/>
      <c r="G143" s="1530"/>
      <c r="J143" s="1357"/>
      <c r="N143" s="1357"/>
      <c r="P143" s="1420"/>
      <c r="Q143" s="1420"/>
    </row>
    <row r="144" spans="2:27" ht="11.25" customHeight="1" x14ac:dyDescent="0.25">
      <c r="B144" s="1690" t="s">
        <v>4823</v>
      </c>
      <c r="C144" s="1690"/>
      <c r="D144" s="1533" t="s">
        <v>23</v>
      </c>
      <c r="E144" s="391">
        <v>4.3499999999999996</v>
      </c>
      <c r="F144" s="841"/>
      <c r="G144" s="1530"/>
      <c r="H144" s="841" t="s">
        <v>3406</v>
      </c>
      <c r="I144" s="841" t="s">
        <v>442</v>
      </c>
      <c r="J144" s="1357"/>
      <c r="K144" s="841"/>
      <c r="L144" s="841"/>
      <c r="M144" s="841" t="s">
        <v>3408</v>
      </c>
      <c r="N144" s="1357"/>
      <c r="O144" s="841"/>
      <c r="P144" s="1420"/>
      <c r="Q144" s="1420"/>
      <c r="Z144" s="1534" t="s">
        <v>4823</v>
      </c>
    </row>
    <row r="145" spans="2:26" ht="22.5" x14ac:dyDescent="0.25">
      <c r="B145" s="1690" t="s">
        <v>5727</v>
      </c>
      <c r="C145" s="1690"/>
      <c r="D145" s="1533" t="s">
        <v>23</v>
      </c>
      <c r="E145" s="391">
        <v>0.41</v>
      </c>
      <c r="F145" s="841"/>
      <c r="G145" s="1530"/>
      <c r="H145" s="841" t="s">
        <v>3406</v>
      </c>
      <c r="I145" s="841" t="s">
        <v>442</v>
      </c>
      <c r="J145" s="1357"/>
      <c r="K145" s="841"/>
      <c r="L145" s="841"/>
      <c r="M145" s="841" t="s">
        <v>6401</v>
      </c>
      <c r="N145" s="1357"/>
      <c r="O145" s="841"/>
      <c r="P145" s="1420"/>
      <c r="Q145" s="1420"/>
      <c r="Z145" s="1534" t="s">
        <v>5727</v>
      </c>
    </row>
    <row r="146" spans="2:26" ht="11.25" customHeight="1" x14ac:dyDescent="0.25">
      <c r="B146" s="1690" t="s">
        <v>84</v>
      </c>
      <c r="C146" s="1690"/>
      <c r="D146" s="1533" t="s">
        <v>24</v>
      </c>
      <c r="E146" s="393">
        <v>1.9900000000000001E-2</v>
      </c>
      <c r="F146" s="841"/>
      <c r="G146" s="1530"/>
      <c r="H146" s="841" t="s">
        <v>3406</v>
      </c>
      <c r="I146" s="841" t="s">
        <v>442</v>
      </c>
      <c r="J146" s="1357"/>
      <c r="K146" s="841"/>
      <c r="L146" s="841"/>
      <c r="M146" s="841" t="s">
        <v>3409</v>
      </c>
      <c r="N146" s="1357"/>
      <c r="O146" s="841"/>
      <c r="P146" s="1420"/>
      <c r="Q146" s="1420"/>
      <c r="Z146" s="1534" t="s">
        <v>84</v>
      </c>
    </row>
    <row r="147" spans="2:26" ht="11.25" customHeight="1" x14ac:dyDescent="0.25">
      <c r="B147" s="1690" t="s">
        <v>18</v>
      </c>
      <c r="C147" s="1690"/>
      <c r="D147" s="1533" t="s">
        <v>24</v>
      </c>
      <c r="E147" s="393">
        <v>4.4999999999999997E-3</v>
      </c>
      <c r="F147" s="841"/>
      <c r="G147" s="1530"/>
      <c r="H147" s="841" t="s">
        <v>3406</v>
      </c>
      <c r="I147" s="841" t="s">
        <v>443</v>
      </c>
      <c r="J147" s="1357"/>
      <c r="K147" s="841"/>
      <c r="L147" s="841"/>
      <c r="M147" s="841" t="s">
        <v>3549</v>
      </c>
      <c r="N147" s="1357"/>
      <c r="O147" s="841"/>
      <c r="P147" s="1420"/>
      <c r="Q147" s="1420"/>
      <c r="Z147" s="1534" t="s">
        <v>18</v>
      </c>
    </row>
    <row r="148" spans="2:26" ht="11.25" customHeight="1" x14ac:dyDescent="0.25">
      <c r="B148" s="1690" t="s">
        <v>4811</v>
      </c>
      <c r="C148" s="1690"/>
      <c r="D148" s="1533" t="s">
        <v>24</v>
      </c>
      <c r="E148" s="393">
        <v>1E-4</v>
      </c>
      <c r="F148" s="841"/>
      <c r="G148" s="1530"/>
      <c r="H148" s="841" t="s">
        <v>3406</v>
      </c>
      <c r="I148" s="841" t="s">
        <v>442</v>
      </c>
      <c r="J148" s="1357"/>
      <c r="K148" s="841"/>
      <c r="L148" s="841"/>
      <c r="M148" s="841" t="s">
        <v>3411</v>
      </c>
      <c r="N148" s="1357"/>
      <c r="O148" s="841"/>
      <c r="P148" s="1420"/>
      <c r="Q148" s="1420">
        <v>43281</v>
      </c>
      <c r="R148" t="s">
        <v>628</v>
      </c>
      <c r="Z148" s="1534" t="s">
        <v>4811</v>
      </c>
    </row>
    <row r="149" spans="2:26" ht="11.25" customHeight="1" x14ac:dyDescent="0.25">
      <c r="B149" s="1690" t="s">
        <v>4824</v>
      </c>
      <c r="C149" s="1690"/>
      <c r="D149" s="1533" t="s">
        <v>24</v>
      </c>
      <c r="E149" s="604">
        <v>-5.0000000000000001E-3</v>
      </c>
      <c r="F149" s="841"/>
      <c r="G149" s="1530"/>
      <c r="H149" s="841" t="s">
        <v>3406</v>
      </c>
      <c r="I149" s="841" t="s">
        <v>443</v>
      </c>
      <c r="J149" s="1357"/>
      <c r="K149" s="841"/>
      <c r="L149" s="841"/>
      <c r="M149" s="841" t="s">
        <v>3411</v>
      </c>
      <c r="N149" s="1357"/>
      <c r="O149" s="841"/>
      <c r="P149" s="1420"/>
      <c r="Q149" s="1420">
        <v>43281</v>
      </c>
      <c r="R149" t="s">
        <v>628</v>
      </c>
      <c r="Z149" s="1534" t="s">
        <v>4824</v>
      </c>
    </row>
    <row r="150" spans="2:26" ht="11.25" customHeight="1" x14ac:dyDescent="0.25">
      <c r="B150" s="1690" t="s">
        <v>5130</v>
      </c>
      <c r="C150" s="1690"/>
      <c r="D150" s="1533" t="s">
        <v>24</v>
      </c>
      <c r="E150" s="604">
        <v>-2.0999999999999999E-3</v>
      </c>
      <c r="F150" s="841"/>
      <c r="G150" s="1530"/>
      <c r="H150" s="841" t="s">
        <v>3406</v>
      </c>
      <c r="I150" s="841" t="s">
        <v>443</v>
      </c>
      <c r="J150" s="1357"/>
      <c r="K150" s="841"/>
      <c r="L150" s="841"/>
      <c r="M150" s="841" t="s">
        <v>3411</v>
      </c>
      <c r="N150" s="1357"/>
      <c r="O150" s="841"/>
      <c r="P150" s="1420"/>
      <c r="Q150" s="1420">
        <v>43585</v>
      </c>
      <c r="R150" t="s">
        <v>628</v>
      </c>
      <c r="Z150" s="1534" t="s">
        <v>5130</v>
      </c>
    </row>
    <row r="151" spans="2:26" ht="22.5" x14ac:dyDescent="0.25">
      <c r="B151" s="1690" t="s">
        <v>5728</v>
      </c>
      <c r="C151" s="1690"/>
      <c r="D151" s="1533" t="s">
        <v>24</v>
      </c>
      <c r="E151" s="393">
        <v>6.0000000000000001E-3</v>
      </c>
      <c r="F151" s="841"/>
      <c r="G151" s="1530"/>
      <c r="H151" s="841" t="s">
        <v>3406</v>
      </c>
      <c r="I151" s="841" t="s">
        <v>443</v>
      </c>
      <c r="J151" s="1357"/>
      <c r="K151" s="841"/>
      <c r="L151" s="841"/>
      <c r="M151" s="841" t="s">
        <v>3550</v>
      </c>
      <c r="N151" s="1357"/>
      <c r="O151" s="841"/>
      <c r="P151" s="1420"/>
      <c r="Q151" s="1420">
        <v>43281</v>
      </c>
      <c r="R151" t="s">
        <v>628</v>
      </c>
      <c r="Z151" s="1534" t="s">
        <v>5728</v>
      </c>
    </row>
    <row r="152" spans="2:26" ht="22.5" x14ac:dyDescent="0.25">
      <c r="B152" s="1690" t="s">
        <v>5384</v>
      </c>
      <c r="C152" s="1690"/>
      <c r="D152" s="1533" t="s">
        <v>24</v>
      </c>
      <c r="E152" s="627">
        <v>8.0000000000000004E-4</v>
      </c>
      <c r="F152" s="841"/>
      <c r="G152" s="1530"/>
      <c r="H152" s="841" t="s">
        <v>3406</v>
      </c>
      <c r="I152" s="841" t="s">
        <v>443</v>
      </c>
      <c r="J152" s="1357"/>
      <c r="K152" s="841"/>
      <c r="L152" s="841"/>
      <c r="M152" s="841" t="s">
        <v>3550</v>
      </c>
      <c r="N152" s="1357"/>
      <c r="O152" s="841"/>
      <c r="P152" s="1420"/>
      <c r="Q152" s="1420">
        <v>43585</v>
      </c>
      <c r="R152" t="s">
        <v>628</v>
      </c>
      <c r="Z152" s="1534" t="s">
        <v>5384</v>
      </c>
    </row>
    <row r="153" spans="2:26" ht="11.25" customHeight="1" x14ac:dyDescent="0.25">
      <c r="B153" s="1690" t="s">
        <v>4815</v>
      </c>
      <c r="C153" s="1690"/>
      <c r="D153" s="1533" t="s">
        <v>24</v>
      </c>
      <c r="E153" s="393">
        <v>5.7999999999999996E-3</v>
      </c>
      <c r="F153" s="841"/>
      <c r="G153" s="1530"/>
      <c r="H153" s="841" t="s">
        <v>3406</v>
      </c>
      <c r="I153" s="841" t="s">
        <v>444</v>
      </c>
      <c r="J153" s="1357"/>
      <c r="K153" s="841"/>
      <c r="L153" s="841"/>
      <c r="M153" s="841" t="s">
        <v>4825</v>
      </c>
      <c r="N153" s="1357"/>
      <c r="O153" s="841"/>
      <c r="P153" s="1420"/>
      <c r="Q153" s="1420"/>
      <c r="Z153" s="1534" t="s">
        <v>4815</v>
      </c>
    </row>
    <row r="154" spans="2:26" ht="11.25" customHeight="1" x14ac:dyDescent="0.25">
      <c r="B154" s="1690" t="s">
        <v>3628</v>
      </c>
      <c r="C154" s="1690"/>
      <c r="D154" s="1533" t="s">
        <v>24</v>
      </c>
      <c r="E154" s="393">
        <v>4.7000000000000002E-3</v>
      </c>
      <c r="F154" s="841"/>
      <c r="G154" s="1530"/>
      <c r="H154" s="841" t="s">
        <v>3406</v>
      </c>
      <c r="I154" s="841" t="s">
        <v>444</v>
      </c>
      <c r="J154" s="1357"/>
      <c r="K154" s="841"/>
      <c r="L154" s="841"/>
      <c r="M154" s="841" t="s">
        <v>4826</v>
      </c>
      <c r="N154" s="1357"/>
      <c r="O154" s="841"/>
      <c r="P154" s="1420"/>
      <c r="Q154" s="1420"/>
      <c r="Z154" s="1534" t="s">
        <v>3628</v>
      </c>
    </row>
    <row r="155" spans="2:26" s="841" customFormat="1" ht="6.75" customHeight="1" x14ac:dyDescent="0.25">
      <c r="B155" s="1517"/>
      <c r="C155" s="1517"/>
      <c r="D155" s="1533"/>
      <c r="E155" s="393"/>
      <c r="G155" s="1530"/>
      <c r="J155" s="1357"/>
      <c r="N155" s="1357"/>
      <c r="P155" s="1420"/>
      <c r="Q155" s="1420"/>
    </row>
    <row r="156" spans="2:26" ht="11.25" customHeight="1" x14ac:dyDescent="0.25">
      <c r="B156" s="1694" t="s">
        <v>3079</v>
      </c>
      <c r="C156" s="1690"/>
      <c r="D156" s="1533"/>
      <c r="E156" s="1533"/>
      <c r="F156" s="841"/>
      <c r="G156" s="1530"/>
      <c r="H156" s="841" t="s">
        <v>3225</v>
      </c>
      <c r="I156" s="841"/>
      <c r="J156" s="1357"/>
      <c r="K156" s="841"/>
      <c r="L156" s="841"/>
      <c r="M156" s="841"/>
      <c r="N156" s="1357"/>
      <c r="O156" s="841"/>
      <c r="P156" s="1420"/>
      <c r="Q156" s="1420"/>
      <c r="Z156" s="1073" t="s">
        <v>3079</v>
      </c>
    </row>
    <row r="157" spans="2:26" s="841" customFormat="1" ht="6.75" customHeight="1" x14ac:dyDescent="0.25">
      <c r="B157" s="1520"/>
      <c r="C157" s="1517"/>
      <c r="D157" s="1533"/>
      <c r="E157" s="1533"/>
      <c r="G157" s="1530"/>
      <c r="J157" s="1357"/>
      <c r="N157" s="1357"/>
      <c r="P157" s="1420"/>
      <c r="Q157" s="1420"/>
    </row>
    <row r="158" spans="2:26" ht="11.25" customHeight="1" x14ac:dyDescent="0.25">
      <c r="B158" s="1690" t="s">
        <v>2449</v>
      </c>
      <c r="C158" s="1690"/>
      <c r="D158" s="1533" t="s">
        <v>24</v>
      </c>
      <c r="E158" s="393">
        <v>3.2000000000000002E-3</v>
      </c>
      <c r="F158" s="841"/>
      <c r="G158" s="1530"/>
      <c r="H158" s="841" t="s">
        <v>3406</v>
      </c>
      <c r="I158" s="841" t="s">
        <v>3046</v>
      </c>
      <c r="J158" s="1357"/>
      <c r="K158" s="841"/>
      <c r="L158" s="841"/>
      <c r="M158" s="841" t="s">
        <v>3414</v>
      </c>
      <c r="N158" s="1357"/>
      <c r="O158" s="841"/>
      <c r="P158" s="1420"/>
      <c r="Q158" s="1420"/>
      <c r="Z158" s="1534" t="s">
        <v>2449</v>
      </c>
    </row>
    <row r="159" spans="2:26" ht="11.25" customHeight="1" x14ac:dyDescent="0.25">
      <c r="B159" s="1690" t="s">
        <v>2450</v>
      </c>
      <c r="C159" s="1690"/>
      <c r="D159" s="1533" t="s">
        <v>24</v>
      </c>
      <c r="E159" s="393">
        <v>4.0000000000000002E-4</v>
      </c>
      <c r="F159" s="841"/>
      <c r="G159" s="1530"/>
      <c r="H159" s="841" t="s">
        <v>3406</v>
      </c>
      <c r="I159" s="841" t="s">
        <v>3046</v>
      </c>
      <c r="J159" s="1357"/>
      <c r="K159" s="841"/>
      <c r="L159" s="841"/>
      <c r="M159" s="841" t="s">
        <v>3414</v>
      </c>
      <c r="N159" s="1357"/>
      <c r="O159" s="841"/>
      <c r="P159" s="1420"/>
      <c r="Q159" s="1420"/>
      <c r="Z159" s="1534" t="s">
        <v>2450</v>
      </c>
    </row>
    <row r="160" spans="2:26" ht="11.25" customHeight="1" x14ac:dyDescent="0.25">
      <c r="B160" s="1690" t="s">
        <v>439</v>
      </c>
      <c r="C160" s="1690"/>
      <c r="D160" s="1533" t="s">
        <v>24</v>
      </c>
      <c r="E160" s="393">
        <v>2.9999999999999997E-4</v>
      </c>
      <c r="F160" s="841"/>
      <c r="G160" s="1530"/>
      <c r="H160" s="841" t="s">
        <v>3406</v>
      </c>
      <c r="I160" s="841" t="s">
        <v>3046</v>
      </c>
      <c r="J160" s="1357"/>
      <c r="K160" s="841"/>
      <c r="L160" s="841"/>
      <c r="M160" s="841" t="s">
        <v>3415</v>
      </c>
      <c r="N160" s="1357"/>
      <c r="O160" s="841"/>
      <c r="P160" s="1420"/>
      <c r="Q160" s="1420"/>
      <c r="Z160" s="1534" t="s">
        <v>439</v>
      </c>
    </row>
    <row r="161" spans="2:45" ht="11.25" customHeight="1" x14ac:dyDescent="0.25">
      <c r="B161" s="1690" t="s">
        <v>32</v>
      </c>
      <c r="C161" s="1690"/>
      <c r="D161" s="1533" t="s">
        <v>23</v>
      </c>
      <c r="E161" s="391">
        <v>0.25</v>
      </c>
      <c r="F161" s="841"/>
      <c r="G161" s="1530"/>
      <c r="H161" s="841" t="s">
        <v>3406</v>
      </c>
      <c r="I161" s="841" t="s">
        <v>3046</v>
      </c>
      <c r="J161" s="1357"/>
      <c r="K161" s="841"/>
      <c r="L161" s="841"/>
      <c r="M161" s="841" t="s">
        <v>3416</v>
      </c>
      <c r="N161" s="1357"/>
      <c r="O161" s="841"/>
      <c r="P161" s="1420"/>
      <c r="Q161" s="1420"/>
      <c r="Z161" s="1534" t="s">
        <v>32</v>
      </c>
      <c r="AS161" t="s">
        <v>628</v>
      </c>
    </row>
    <row r="162" spans="2:45" s="1070" customFormat="1" ht="18" customHeight="1" x14ac:dyDescent="0.3">
      <c r="B162" s="1695" t="s">
        <v>629</v>
      </c>
      <c r="C162" s="1695"/>
      <c r="D162" s="1695"/>
      <c r="E162" s="1695"/>
      <c r="G162" s="1347"/>
      <c r="H162" s="1070" t="s">
        <v>3571</v>
      </c>
      <c r="J162" s="1447"/>
      <c r="N162" s="1447"/>
      <c r="P162" s="1448"/>
      <c r="Q162" s="1448"/>
      <c r="AA162" s="1071" t="s">
        <v>629</v>
      </c>
    </row>
    <row r="163" spans="2:45" ht="36" x14ac:dyDescent="0.25">
      <c r="B163" s="1689" t="s">
        <v>3251</v>
      </c>
      <c r="C163" s="1689"/>
      <c r="D163" s="1689"/>
      <c r="E163" s="1689"/>
      <c r="F163" s="841"/>
      <c r="G163" s="1530"/>
      <c r="H163" s="841" t="s">
        <v>3571</v>
      </c>
      <c r="I163" s="841"/>
      <c r="J163" s="1357"/>
      <c r="K163" s="841"/>
      <c r="L163" s="841"/>
      <c r="M163" s="841"/>
      <c r="N163" s="1357"/>
      <c r="O163" s="841"/>
      <c r="P163" s="1420"/>
      <c r="Q163" s="1420"/>
      <c r="AA163" s="1532" t="s">
        <v>3251</v>
      </c>
    </row>
    <row r="164" spans="2:45" s="841" customFormat="1" ht="6.75" customHeight="1" x14ac:dyDescent="0.25">
      <c r="B164" s="1514"/>
      <c r="C164" s="1514"/>
      <c r="D164" s="1514"/>
      <c r="E164" s="1514"/>
      <c r="G164" s="1530"/>
      <c r="J164" s="1357"/>
      <c r="N164" s="1357"/>
      <c r="P164" s="1420"/>
      <c r="Q164" s="1420"/>
    </row>
    <row r="165" spans="2:45" ht="11.25" customHeight="1" x14ac:dyDescent="0.25">
      <c r="B165" s="1696" t="s">
        <v>3061</v>
      </c>
      <c r="C165" s="1697"/>
      <c r="D165" s="1697"/>
      <c r="E165" s="1697"/>
      <c r="F165" s="841"/>
      <c r="G165" s="1530"/>
      <c r="H165" s="841" t="s">
        <v>3107</v>
      </c>
      <c r="I165" s="841"/>
      <c r="J165" s="1357"/>
      <c r="K165" s="841"/>
      <c r="L165" s="841"/>
      <c r="M165" s="841"/>
      <c r="N165" s="1357"/>
      <c r="O165" s="841"/>
      <c r="P165" s="1420"/>
      <c r="Q165" s="1420"/>
      <c r="AA165" s="1073" t="s">
        <v>3061</v>
      </c>
    </row>
    <row r="166" spans="2:45" s="841" customFormat="1" ht="6.75" customHeight="1" x14ac:dyDescent="0.25">
      <c r="B166" s="1518"/>
      <c r="C166" s="1519"/>
      <c r="D166" s="1519"/>
      <c r="E166" s="1519"/>
      <c r="G166" s="1530"/>
      <c r="J166" s="1357"/>
      <c r="N166" s="1357"/>
      <c r="P166" s="1420"/>
      <c r="Q166" s="1420"/>
    </row>
    <row r="167" spans="2:45" ht="36" x14ac:dyDescent="0.25">
      <c r="B167" s="1689" t="s">
        <v>3063</v>
      </c>
      <c r="C167" s="1689"/>
      <c r="D167" s="1689"/>
      <c r="E167" s="1689"/>
      <c r="F167" s="841"/>
      <c r="G167" s="1530"/>
      <c r="H167" s="841" t="s">
        <v>3571</v>
      </c>
      <c r="I167" s="841"/>
      <c r="J167" s="1357"/>
      <c r="K167" s="841"/>
      <c r="L167" s="841"/>
      <c r="M167" s="841"/>
      <c r="N167" s="1357"/>
      <c r="O167" s="841"/>
      <c r="P167" s="1420"/>
      <c r="Q167" s="1420"/>
      <c r="AA167" s="1532" t="s">
        <v>3063</v>
      </c>
    </row>
    <row r="168" spans="2:45" s="841" customFormat="1" ht="6.75" customHeight="1" x14ac:dyDescent="0.25">
      <c r="B168" s="1514"/>
      <c r="C168" s="1514"/>
      <c r="D168" s="1514"/>
      <c r="E168" s="1514"/>
      <c r="G168" s="1530"/>
      <c r="J168" s="1357"/>
      <c r="N168" s="1357"/>
      <c r="P168" s="1420"/>
      <c r="Q168" s="1420"/>
    </row>
    <row r="169" spans="2:45" ht="48" x14ac:dyDescent="0.25">
      <c r="B169" s="1689" t="s">
        <v>3064</v>
      </c>
      <c r="C169" s="1689"/>
      <c r="D169" s="1689"/>
      <c r="E169" s="1689"/>
      <c r="F169" s="841"/>
      <c r="G169" s="1530"/>
      <c r="H169" s="841" t="s">
        <v>3571</v>
      </c>
      <c r="I169" s="841"/>
      <c r="J169" s="1357"/>
      <c r="K169" s="841"/>
      <c r="L169" s="841"/>
      <c r="M169" s="841"/>
      <c r="N169" s="1357"/>
      <c r="O169" s="841"/>
      <c r="P169" s="1420"/>
      <c r="Q169" s="1420"/>
      <c r="AA169" s="1532" t="s">
        <v>3064</v>
      </c>
    </row>
    <row r="170" spans="2:45" s="841" customFormat="1" ht="6.75" customHeight="1" x14ac:dyDescent="0.25">
      <c r="B170" s="1514"/>
      <c r="C170" s="1514"/>
      <c r="D170" s="1514"/>
      <c r="E170" s="1514"/>
      <c r="G170" s="1530"/>
      <c r="J170" s="1357"/>
      <c r="N170" s="1357"/>
      <c r="P170" s="1420"/>
      <c r="Q170" s="1420"/>
    </row>
    <row r="171" spans="2:45" ht="48" x14ac:dyDescent="0.25">
      <c r="B171" s="1689" t="s">
        <v>3199</v>
      </c>
      <c r="C171" s="1689"/>
      <c r="D171" s="1689"/>
      <c r="E171" s="1689"/>
      <c r="F171" s="841"/>
      <c r="G171" s="1530"/>
      <c r="H171" s="841" t="s">
        <v>3571</v>
      </c>
      <c r="I171" s="841"/>
      <c r="J171" s="1357"/>
      <c r="K171" s="841"/>
      <c r="L171" s="841"/>
      <c r="M171" s="841"/>
      <c r="N171" s="1357"/>
      <c r="O171" s="841"/>
      <c r="P171" s="1420"/>
      <c r="Q171" s="1420"/>
      <c r="AA171" s="1532" t="s">
        <v>3199</v>
      </c>
    </row>
    <row r="172" spans="2:45" s="841" customFormat="1" ht="6.75" customHeight="1" x14ac:dyDescent="0.25">
      <c r="B172" s="1514"/>
      <c r="C172" s="1514"/>
      <c r="D172" s="1514"/>
      <c r="E172" s="1514"/>
      <c r="G172" s="1530"/>
      <c r="J172" s="1357"/>
      <c r="N172" s="1357"/>
      <c r="P172" s="1420"/>
      <c r="Q172" s="1420"/>
    </row>
    <row r="173" spans="2:45" ht="36" x14ac:dyDescent="0.25">
      <c r="B173" s="1689" t="s">
        <v>3066</v>
      </c>
      <c r="C173" s="1689"/>
      <c r="D173" s="1689"/>
      <c r="E173" s="1689"/>
      <c r="F173" s="841"/>
      <c r="G173" s="1530"/>
      <c r="H173" s="841" t="s">
        <v>3571</v>
      </c>
      <c r="I173" s="841"/>
      <c r="J173" s="1357"/>
      <c r="K173" s="841"/>
      <c r="L173" s="841"/>
      <c r="M173" s="841"/>
      <c r="N173" s="1357"/>
      <c r="O173" s="841"/>
      <c r="P173" s="1420"/>
      <c r="Q173" s="1420"/>
      <c r="AA173" s="1532" t="s">
        <v>3066</v>
      </c>
    </row>
    <row r="174" spans="2:45" s="841" customFormat="1" ht="6.75" customHeight="1" x14ac:dyDescent="0.25">
      <c r="B174" s="1514"/>
      <c r="C174" s="1514"/>
      <c r="D174" s="1514"/>
      <c r="E174" s="1514"/>
      <c r="G174" s="1530"/>
      <c r="J174" s="1357"/>
      <c r="N174" s="1357"/>
      <c r="P174" s="1420"/>
      <c r="Q174" s="1420"/>
    </row>
    <row r="175" spans="2:45" ht="11.25" customHeight="1" x14ac:dyDescent="0.25">
      <c r="B175" s="1692" t="s">
        <v>3067</v>
      </c>
      <c r="C175" s="1693"/>
      <c r="D175" s="1693"/>
      <c r="E175" s="1693"/>
      <c r="F175" s="841"/>
      <c r="G175" s="1530"/>
      <c r="H175" s="841" t="s">
        <v>3108</v>
      </c>
      <c r="I175" s="841"/>
      <c r="J175" s="1357"/>
      <c r="K175" s="841"/>
      <c r="L175" s="841"/>
      <c r="M175" s="841"/>
      <c r="N175" s="1357"/>
      <c r="O175" s="841"/>
      <c r="P175" s="1420"/>
      <c r="Q175" s="1420"/>
      <c r="AA175" s="1073" t="s">
        <v>3067</v>
      </c>
    </row>
    <row r="176" spans="2:45" s="841" customFormat="1" ht="6.75" customHeight="1" x14ac:dyDescent="0.25">
      <c r="B176" s="1515"/>
      <c r="C176" s="1516"/>
      <c r="D176" s="1516"/>
      <c r="E176" s="1516"/>
      <c r="G176" s="1530"/>
      <c r="J176" s="1357"/>
      <c r="N176" s="1357"/>
      <c r="P176" s="1420"/>
      <c r="Q176" s="1420"/>
    </row>
    <row r="177" spans="2:26" ht="11.25" customHeight="1" x14ac:dyDescent="0.25">
      <c r="B177" s="1690" t="s">
        <v>4827</v>
      </c>
      <c r="C177" s="1690"/>
      <c r="D177" s="1533" t="s">
        <v>23</v>
      </c>
      <c r="E177" s="391">
        <v>2.69</v>
      </c>
      <c r="F177" s="841"/>
      <c r="G177" s="1530"/>
      <c r="H177" s="841" t="s">
        <v>3571</v>
      </c>
      <c r="I177" s="841" t="s">
        <v>442</v>
      </c>
      <c r="J177" s="1357"/>
      <c r="K177" s="841"/>
      <c r="L177" s="841"/>
      <c r="M177" s="841" t="s">
        <v>3573</v>
      </c>
      <c r="N177" s="1357"/>
      <c r="O177" s="841"/>
      <c r="P177" s="1420"/>
      <c r="Q177" s="1420"/>
      <c r="Z177" s="1534" t="s">
        <v>4827</v>
      </c>
    </row>
    <row r="178" spans="2:26" ht="22.5" x14ac:dyDescent="0.25">
      <c r="B178" s="1690" t="s">
        <v>5727</v>
      </c>
      <c r="C178" s="1690"/>
      <c r="D178" s="1533" t="s">
        <v>23</v>
      </c>
      <c r="E178" s="391">
        <v>0.19</v>
      </c>
      <c r="F178" s="841"/>
      <c r="G178" s="1530"/>
      <c r="H178" s="841" t="s">
        <v>3571</v>
      </c>
      <c r="I178" s="841" t="s">
        <v>442</v>
      </c>
      <c r="J178" s="1357"/>
      <c r="K178" s="841"/>
      <c r="L178" s="841"/>
      <c r="M178" s="841" t="s">
        <v>6402</v>
      </c>
      <c r="N178" s="1357"/>
      <c r="O178" s="841"/>
      <c r="P178" s="1420"/>
      <c r="Q178" s="1420"/>
      <c r="Z178" s="1534" t="s">
        <v>5727</v>
      </c>
    </row>
    <row r="179" spans="2:26" ht="11.25" customHeight="1" x14ac:dyDescent="0.25">
      <c r="B179" s="1690" t="s">
        <v>3109</v>
      </c>
      <c r="C179" s="1690"/>
      <c r="D179" s="1533" t="s">
        <v>33</v>
      </c>
      <c r="E179" s="393">
        <v>19.6568</v>
      </c>
      <c r="F179" s="841"/>
      <c r="G179" s="1530"/>
      <c r="H179" s="841" t="s">
        <v>3571</v>
      </c>
      <c r="I179" s="841" t="s">
        <v>442</v>
      </c>
      <c r="J179" s="1357"/>
      <c r="K179" s="841"/>
      <c r="L179" s="841"/>
      <c r="M179" s="841" t="s">
        <v>3574</v>
      </c>
      <c r="N179" s="1357"/>
      <c r="O179" s="841"/>
      <c r="P179" s="1420"/>
      <c r="Q179" s="1420"/>
      <c r="Z179" s="1534" t="s">
        <v>3109</v>
      </c>
    </row>
    <row r="180" spans="2:26" ht="11.25" customHeight="1" x14ac:dyDescent="0.25">
      <c r="B180" s="1690" t="s">
        <v>4813</v>
      </c>
      <c r="C180" s="1690"/>
      <c r="D180" s="1533" t="s">
        <v>33</v>
      </c>
      <c r="E180" s="393">
        <v>1.3055000000000001</v>
      </c>
      <c r="F180" s="841"/>
      <c r="G180" s="1530"/>
      <c r="H180" s="841" t="s">
        <v>3571</v>
      </c>
      <c r="I180" s="841" t="s">
        <v>443</v>
      </c>
      <c r="J180" s="1357"/>
      <c r="K180" s="841"/>
      <c r="L180" s="841"/>
      <c r="M180" s="841" t="s">
        <v>3575</v>
      </c>
      <c r="N180" s="1357"/>
      <c r="O180" s="841"/>
      <c r="P180" s="1420"/>
      <c r="Q180" s="1420"/>
      <c r="Z180" s="1534" t="s">
        <v>4813</v>
      </c>
    </row>
    <row r="181" spans="2:26" ht="11.25" customHeight="1" x14ac:dyDescent="0.25">
      <c r="B181" s="1690" t="s">
        <v>4811</v>
      </c>
      <c r="C181" s="1690"/>
      <c r="D181" s="1533" t="s">
        <v>33</v>
      </c>
      <c r="E181" s="393">
        <v>0.1384</v>
      </c>
      <c r="F181" s="841"/>
      <c r="G181" s="1530"/>
      <c r="H181" s="841" t="s">
        <v>3571</v>
      </c>
      <c r="I181" s="841" t="s">
        <v>442</v>
      </c>
      <c r="J181" s="1357"/>
      <c r="K181" s="841"/>
      <c r="L181" s="841"/>
      <c r="M181" s="841" t="s">
        <v>3718</v>
      </c>
      <c r="N181" s="1357"/>
      <c r="O181" s="841"/>
      <c r="P181" s="1420"/>
      <c r="Q181" s="1420">
        <v>43281</v>
      </c>
      <c r="R181" t="s">
        <v>628</v>
      </c>
      <c r="Z181" s="1534" t="s">
        <v>4811</v>
      </c>
    </row>
    <row r="182" spans="2:26" ht="11.25" customHeight="1" x14ac:dyDescent="0.25">
      <c r="B182" s="1690" t="s">
        <v>4824</v>
      </c>
      <c r="C182" s="1690"/>
      <c r="D182" s="1533" t="s">
        <v>33</v>
      </c>
      <c r="E182" s="604">
        <v>-1.7750999999999999</v>
      </c>
      <c r="F182" s="841"/>
      <c r="G182" s="1530"/>
      <c r="H182" s="841" t="s">
        <v>3571</v>
      </c>
      <c r="I182" s="841" t="s">
        <v>443</v>
      </c>
      <c r="J182" s="1357"/>
      <c r="K182" s="841"/>
      <c r="L182" s="841"/>
      <c r="M182" s="841" t="s">
        <v>3718</v>
      </c>
      <c r="N182" s="1357"/>
      <c r="O182" s="841"/>
      <c r="P182" s="1420"/>
      <c r="Q182" s="1420">
        <v>43281</v>
      </c>
      <c r="R182" t="s">
        <v>628</v>
      </c>
      <c r="Z182" s="1534" t="s">
        <v>4824</v>
      </c>
    </row>
    <row r="183" spans="2:26" ht="11.25" customHeight="1" x14ac:dyDescent="0.25">
      <c r="B183" s="1690" t="s">
        <v>5130</v>
      </c>
      <c r="C183" s="1690"/>
      <c r="D183" s="1533" t="s">
        <v>33</v>
      </c>
      <c r="E183" s="604">
        <v>-0.7419</v>
      </c>
      <c r="F183" s="841"/>
      <c r="G183" s="1530"/>
      <c r="H183" s="841" t="s">
        <v>3571</v>
      </c>
      <c r="I183" s="841" t="s">
        <v>443</v>
      </c>
      <c r="J183" s="1357"/>
      <c r="K183" s="841"/>
      <c r="L183" s="841"/>
      <c r="M183" s="841" t="s">
        <v>3718</v>
      </c>
      <c r="N183" s="1357"/>
      <c r="O183" s="841"/>
      <c r="P183" s="1420"/>
      <c r="Q183" s="1420">
        <v>43585</v>
      </c>
      <c r="R183" t="s">
        <v>628</v>
      </c>
      <c r="Z183" s="1534" t="s">
        <v>5130</v>
      </c>
    </row>
    <row r="184" spans="2:26" ht="22.5" x14ac:dyDescent="0.25">
      <c r="B184" s="1690" t="s">
        <v>5728</v>
      </c>
      <c r="C184" s="1690"/>
      <c r="D184" s="1533" t="s">
        <v>24</v>
      </c>
      <c r="E184" s="393">
        <v>6.0000000000000001E-3</v>
      </c>
      <c r="F184" s="841"/>
      <c r="G184" s="1530"/>
      <c r="H184" s="841" t="s">
        <v>3571</v>
      </c>
      <c r="I184" s="841" t="s">
        <v>443</v>
      </c>
      <c r="J184" s="1357"/>
      <c r="K184" s="841"/>
      <c r="L184" s="841"/>
      <c r="M184" s="841" t="s">
        <v>3717</v>
      </c>
      <c r="N184" s="1357"/>
      <c r="O184" s="841"/>
      <c r="P184" s="1420"/>
      <c r="Q184" s="1420">
        <v>43281</v>
      </c>
      <c r="R184" t="s">
        <v>628</v>
      </c>
      <c r="Z184" s="1534" t="s">
        <v>5728</v>
      </c>
    </row>
    <row r="185" spans="2:26" ht="22.5" x14ac:dyDescent="0.25">
      <c r="B185" s="1690" t="s">
        <v>5384</v>
      </c>
      <c r="C185" s="1690"/>
      <c r="D185" s="1533" t="s">
        <v>24</v>
      </c>
      <c r="E185" s="627">
        <v>8.0000000000000004E-4</v>
      </c>
      <c r="F185" s="841"/>
      <c r="G185" s="1530"/>
      <c r="H185" s="841" t="s">
        <v>3571</v>
      </c>
      <c r="I185" s="841" t="s">
        <v>443</v>
      </c>
      <c r="J185" s="1357"/>
      <c r="K185" s="841"/>
      <c r="L185" s="841"/>
      <c r="M185" s="841" t="s">
        <v>3717</v>
      </c>
      <c r="N185" s="1357"/>
      <c r="O185" s="841"/>
      <c r="P185" s="1420"/>
      <c r="Q185" s="1420">
        <v>43585</v>
      </c>
      <c r="R185" t="s">
        <v>628</v>
      </c>
      <c r="Z185" s="1534" t="s">
        <v>5384</v>
      </c>
    </row>
    <row r="186" spans="2:26" ht="11.25" customHeight="1" x14ac:dyDescent="0.25">
      <c r="B186" s="1690" t="s">
        <v>221</v>
      </c>
      <c r="C186" s="1690"/>
      <c r="D186" s="1533" t="s">
        <v>33</v>
      </c>
      <c r="E186" s="393">
        <v>1.8439000000000001</v>
      </c>
      <c r="F186" s="841"/>
      <c r="G186" s="1530"/>
      <c r="H186" s="841" t="s">
        <v>3571</v>
      </c>
      <c r="I186" s="841" t="s">
        <v>444</v>
      </c>
      <c r="J186" s="1357"/>
      <c r="K186" s="841"/>
      <c r="L186" s="841"/>
      <c r="M186" s="841" t="s">
        <v>3576</v>
      </c>
      <c r="N186" s="1357"/>
      <c r="O186" s="841"/>
      <c r="P186" s="1420"/>
      <c r="Q186" s="1420"/>
      <c r="Z186" s="1534" t="s">
        <v>221</v>
      </c>
    </row>
    <row r="187" spans="2:26" ht="11.25" customHeight="1" x14ac:dyDescent="0.25">
      <c r="B187" s="1690" t="s">
        <v>3628</v>
      </c>
      <c r="C187" s="1690"/>
      <c r="D187" s="1533" t="s">
        <v>33</v>
      </c>
      <c r="E187" s="393">
        <v>1.4779</v>
      </c>
      <c r="F187" s="841"/>
      <c r="G187" s="1530"/>
      <c r="H187" s="841" t="s">
        <v>3571</v>
      </c>
      <c r="I187" s="841" t="s">
        <v>444</v>
      </c>
      <c r="J187" s="1357"/>
      <c r="K187" s="841"/>
      <c r="L187" s="841"/>
      <c r="M187" s="841" t="s">
        <v>4828</v>
      </c>
      <c r="N187" s="1357"/>
      <c r="O187" s="841"/>
      <c r="P187" s="1420"/>
      <c r="Q187" s="1420"/>
      <c r="Z187" s="1534" t="s">
        <v>3628</v>
      </c>
    </row>
    <row r="188" spans="2:26" s="841" customFormat="1" ht="6.75" customHeight="1" x14ac:dyDescent="0.25">
      <c r="B188" s="1517"/>
      <c r="C188" s="1517"/>
      <c r="D188" s="1533"/>
      <c r="E188" s="393"/>
      <c r="G188" s="1530"/>
      <c r="J188" s="1357"/>
      <c r="N188" s="1357"/>
      <c r="P188" s="1420"/>
      <c r="Q188" s="1420"/>
    </row>
    <row r="189" spans="2:26" ht="11.25" customHeight="1" x14ac:dyDescent="0.25">
      <c r="B189" s="1694" t="s">
        <v>3079</v>
      </c>
      <c r="C189" s="1690"/>
      <c r="D189" s="1533"/>
      <c r="E189" s="1533"/>
      <c r="F189" s="841"/>
      <c r="G189" s="1530"/>
      <c r="H189" s="841" t="s">
        <v>3111</v>
      </c>
      <c r="I189" s="841"/>
      <c r="J189" s="1357"/>
      <c r="K189" s="841"/>
      <c r="L189" s="841"/>
      <c r="M189" s="841"/>
      <c r="N189" s="1357"/>
      <c r="O189" s="841"/>
      <c r="P189" s="1420"/>
      <c r="Q189" s="1420"/>
      <c r="Z189" s="1073" t="s">
        <v>3079</v>
      </c>
    </row>
    <row r="190" spans="2:26" s="841" customFormat="1" ht="6.75" customHeight="1" x14ac:dyDescent="0.25">
      <c r="B190" s="1520"/>
      <c r="C190" s="1517"/>
      <c r="D190" s="1533"/>
      <c r="E190" s="1533"/>
      <c r="G190" s="1530"/>
      <c r="J190" s="1357"/>
      <c r="N190" s="1357"/>
      <c r="P190" s="1420"/>
      <c r="Q190" s="1420"/>
    </row>
    <row r="191" spans="2:26" ht="11.25" customHeight="1" x14ac:dyDescent="0.25">
      <c r="B191" s="1690" t="s">
        <v>2449</v>
      </c>
      <c r="C191" s="1690"/>
      <c r="D191" s="1533" t="s">
        <v>24</v>
      </c>
      <c r="E191" s="393">
        <v>3.2000000000000002E-3</v>
      </c>
      <c r="F191" s="841"/>
      <c r="G191" s="1530"/>
      <c r="H191" s="841" t="s">
        <v>3571</v>
      </c>
      <c r="I191" s="841" t="s">
        <v>3046</v>
      </c>
      <c r="J191" s="1357"/>
      <c r="K191" s="841"/>
      <c r="L191" s="841"/>
      <c r="M191" s="841" t="s">
        <v>3578</v>
      </c>
      <c r="N191" s="1357"/>
      <c r="O191" s="841"/>
      <c r="P191" s="1420"/>
      <c r="Q191" s="1420"/>
      <c r="Z191" s="1534" t="s">
        <v>2449</v>
      </c>
    </row>
    <row r="192" spans="2:26" ht="11.25" customHeight="1" x14ac:dyDescent="0.25">
      <c r="B192" s="1690" t="s">
        <v>2450</v>
      </c>
      <c r="C192" s="1690"/>
      <c r="D192" s="1533" t="s">
        <v>24</v>
      </c>
      <c r="E192" s="393">
        <v>4.0000000000000002E-4</v>
      </c>
      <c r="F192" s="841"/>
      <c r="G192" s="1530"/>
      <c r="H192" s="841" t="s">
        <v>3571</v>
      </c>
      <c r="I192" s="841" t="s">
        <v>3046</v>
      </c>
      <c r="J192" s="1357"/>
      <c r="K192" s="841"/>
      <c r="L192" s="841"/>
      <c r="M192" s="841" t="s">
        <v>3578</v>
      </c>
      <c r="N192" s="1357"/>
      <c r="O192" s="841"/>
      <c r="P192" s="1420"/>
      <c r="Q192" s="1420"/>
      <c r="Z192" s="1534" t="s">
        <v>2450</v>
      </c>
    </row>
    <row r="193" spans="2:45" ht="11.25" customHeight="1" x14ac:dyDescent="0.25">
      <c r="B193" s="1690" t="s">
        <v>439</v>
      </c>
      <c r="C193" s="1690"/>
      <c r="D193" s="1533" t="s">
        <v>24</v>
      </c>
      <c r="E193" s="393">
        <v>2.9999999999999997E-4</v>
      </c>
      <c r="F193" s="841"/>
      <c r="G193" s="1530"/>
      <c r="H193" s="841" t="s">
        <v>3571</v>
      </c>
      <c r="I193" s="841" t="s">
        <v>3046</v>
      </c>
      <c r="J193" s="1357"/>
      <c r="K193" s="841"/>
      <c r="L193" s="841"/>
      <c r="M193" s="841" t="s">
        <v>3579</v>
      </c>
      <c r="N193" s="1357"/>
      <c r="O193" s="841"/>
      <c r="P193" s="1420"/>
      <c r="Q193" s="1420"/>
      <c r="Z193" s="1534" t="s">
        <v>439</v>
      </c>
    </row>
    <row r="194" spans="2:45" ht="11.25" customHeight="1" x14ac:dyDescent="0.25">
      <c r="B194" s="1690" t="s">
        <v>32</v>
      </c>
      <c r="C194" s="1690"/>
      <c r="D194" s="1533" t="s">
        <v>23</v>
      </c>
      <c r="E194" s="391">
        <v>0.25</v>
      </c>
      <c r="F194" s="841"/>
      <c r="G194" s="1530"/>
      <c r="H194" s="841" t="s">
        <v>3571</v>
      </c>
      <c r="I194" s="841" t="s">
        <v>3046</v>
      </c>
      <c r="J194" s="1357"/>
      <c r="K194" s="841"/>
      <c r="L194" s="841"/>
      <c r="M194" s="841" t="s">
        <v>3580</v>
      </c>
      <c r="N194" s="1357"/>
      <c r="O194" s="841"/>
      <c r="P194" s="1420"/>
      <c r="Q194" s="1420"/>
      <c r="Z194" s="1534" t="s">
        <v>32</v>
      </c>
      <c r="AS194" t="s">
        <v>628</v>
      </c>
    </row>
    <row r="195" spans="2:45" s="1070" customFormat="1" ht="18" customHeight="1" x14ac:dyDescent="0.3">
      <c r="B195" s="1695" t="s">
        <v>615</v>
      </c>
      <c r="C195" s="1695"/>
      <c r="D195" s="1695"/>
      <c r="E195" s="1695"/>
      <c r="G195" s="1347"/>
      <c r="H195" s="1070" t="s">
        <v>3112</v>
      </c>
      <c r="J195" s="1447"/>
      <c r="N195" s="1447"/>
      <c r="P195" s="1448"/>
      <c r="Q195" s="1448"/>
      <c r="AA195" s="1071" t="s">
        <v>615</v>
      </c>
    </row>
    <row r="196" spans="2:45" ht="72" x14ac:dyDescent="0.25">
      <c r="B196" s="1689" t="s">
        <v>4064</v>
      </c>
      <c r="C196" s="1689"/>
      <c r="D196" s="1689"/>
      <c r="E196" s="1689"/>
      <c r="F196" s="841"/>
      <c r="G196" s="1530"/>
      <c r="H196" s="841" t="s">
        <v>3112</v>
      </c>
      <c r="I196" s="841"/>
      <c r="J196" s="1357"/>
      <c r="K196" s="841"/>
      <c r="L196" s="841"/>
      <c r="M196" s="841"/>
      <c r="N196" s="1357"/>
      <c r="O196" s="841"/>
      <c r="P196" s="1420"/>
      <c r="Q196" s="1420"/>
      <c r="AA196" s="1532" t="s">
        <v>4064</v>
      </c>
    </row>
    <row r="197" spans="2:45" s="841" customFormat="1" ht="6.75" customHeight="1" x14ac:dyDescent="0.25">
      <c r="B197" s="1514"/>
      <c r="C197" s="1514"/>
      <c r="D197" s="1514"/>
      <c r="E197" s="1514"/>
      <c r="G197" s="1530"/>
      <c r="J197" s="1357"/>
      <c r="N197" s="1357"/>
      <c r="P197" s="1420"/>
      <c r="Q197" s="1420"/>
    </row>
    <row r="198" spans="2:45" ht="11.25" customHeight="1" x14ac:dyDescent="0.25">
      <c r="B198" s="1696" t="s">
        <v>3061</v>
      </c>
      <c r="C198" s="1697"/>
      <c r="D198" s="1697"/>
      <c r="E198" s="1697"/>
      <c r="F198" s="841"/>
      <c r="G198" s="1530"/>
      <c r="H198" s="841" t="s">
        <v>3114</v>
      </c>
      <c r="I198" s="841"/>
      <c r="J198" s="1357"/>
      <c r="K198" s="841"/>
      <c r="L198" s="841"/>
      <c r="M198" s="841"/>
      <c r="N198" s="1357"/>
      <c r="O198" s="841"/>
      <c r="P198" s="1420"/>
      <c r="Q198" s="1420"/>
      <c r="AA198" s="1073" t="s">
        <v>3061</v>
      </c>
    </row>
    <row r="199" spans="2:45" s="841" customFormat="1" ht="6.75" customHeight="1" x14ac:dyDescent="0.25">
      <c r="B199" s="1518"/>
      <c r="C199" s="1519"/>
      <c r="D199" s="1519"/>
      <c r="E199" s="1519"/>
      <c r="G199" s="1530"/>
      <c r="J199" s="1357"/>
      <c r="N199" s="1357"/>
      <c r="P199" s="1420"/>
      <c r="Q199" s="1420"/>
    </row>
    <row r="200" spans="2:45" ht="36" x14ac:dyDescent="0.25">
      <c r="B200" s="1689" t="s">
        <v>3063</v>
      </c>
      <c r="C200" s="1689"/>
      <c r="D200" s="1689"/>
      <c r="E200" s="1689"/>
      <c r="F200" s="841"/>
      <c r="G200" s="1530"/>
      <c r="H200" s="841" t="s">
        <v>3112</v>
      </c>
      <c r="I200" s="841"/>
      <c r="J200" s="1357"/>
      <c r="K200" s="841"/>
      <c r="L200" s="841"/>
      <c r="M200" s="841"/>
      <c r="N200" s="1357"/>
      <c r="O200" s="841"/>
      <c r="P200" s="1420"/>
      <c r="Q200" s="1420"/>
      <c r="AA200" s="1532" t="s">
        <v>3063</v>
      </c>
    </row>
    <row r="201" spans="2:45" s="841" customFormat="1" ht="6.75" customHeight="1" x14ac:dyDescent="0.25">
      <c r="B201" s="1514"/>
      <c r="C201" s="1514"/>
      <c r="D201" s="1514"/>
      <c r="E201" s="1514"/>
      <c r="G201" s="1530"/>
      <c r="J201" s="1357"/>
      <c r="N201" s="1357"/>
      <c r="P201" s="1420"/>
      <c r="Q201" s="1420"/>
    </row>
    <row r="202" spans="2:45" ht="48" x14ac:dyDescent="0.25">
      <c r="B202" s="1689" t="s">
        <v>3064</v>
      </c>
      <c r="C202" s="1689"/>
      <c r="D202" s="1689"/>
      <c r="E202" s="1689"/>
      <c r="F202" s="841"/>
      <c r="G202" s="1530"/>
      <c r="H202" s="841" t="s">
        <v>3112</v>
      </c>
      <c r="I202" s="841"/>
      <c r="J202" s="1357"/>
      <c r="K202" s="841"/>
      <c r="L202" s="841"/>
      <c r="M202" s="841"/>
      <c r="N202" s="1357"/>
      <c r="O202" s="841"/>
      <c r="P202" s="1420"/>
      <c r="Q202" s="1420"/>
      <c r="AA202" s="1532" t="s">
        <v>3064</v>
      </c>
    </row>
    <row r="203" spans="2:45" s="841" customFormat="1" ht="6.75" customHeight="1" x14ac:dyDescent="0.25">
      <c r="B203" s="1514"/>
      <c r="C203" s="1514"/>
      <c r="D203" s="1514"/>
      <c r="E203" s="1514"/>
      <c r="G203" s="1530"/>
      <c r="J203" s="1357"/>
      <c r="N203" s="1357"/>
      <c r="P203" s="1420"/>
      <c r="Q203" s="1420"/>
    </row>
    <row r="204" spans="2:45" ht="48" x14ac:dyDescent="0.25">
      <c r="B204" s="1689" t="s">
        <v>3199</v>
      </c>
      <c r="C204" s="1689"/>
      <c r="D204" s="1689"/>
      <c r="E204" s="1689"/>
      <c r="F204" s="841"/>
      <c r="G204" s="1530"/>
      <c r="H204" s="841" t="s">
        <v>3112</v>
      </c>
      <c r="I204" s="841"/>
      <c r="J204" s="1357"/>
      <c r="K204" s="841"/>
      <c r="L204" s="841"/>
      <c r="M204" s="841"/>
      <c r="N204" s="1357"/>
      <c r="O204" s="841"/>
      <c r="P204" s="1420"/>
      <c r="Q204" s="1420"/>
      <c r="AA204" s="1532" t="s">
        <v>3199</v>
      </c>
    </row>
    <row r="205" spans="2:45" s="841" customFormat="1" ht="6.75" customHeight="1" x14ac:dyDescent="0.25">
      <c r="B205" s="1514"/>
      <c r="C205" s="1514"/>
      <c r="D205" s="1514"/>
      <c r="E205" s="1514"/>
      <c r="G205" s="1530"/>
      <c r="J205" s="1357"/>
      <c r="N205" s="1357"/>
      <c r="P205" s="1420"/>
      <c r="Q205" s="1420"/>
    </row>
    <row r="206" spans="2:45" ht="36" x14ac:dyDescent="0.25">
      <c r="B206" s="1689" t="s">
        <v>3066</v>
      </c>
      <c r="C206" s="1689"/>
      <c r="D206" s="1689"/>
      <c r="E206" s="1689"/>
      <c r="F206" s="841"/>
      <c r="G206" s="1530"/>
      <c r="H206" s="841" t="s">
        <v>3112</v>
      </c>
      <c r="I206" s="841"/>
      <c r="J206" s="1357"/>
      <c r="K206" s="841"/>
      <c r="L206" s="841"/>
      <c r="M206" s="841"/>
      <c r="N206" s="1357"/>
      <c r="O206" s="841"/>
      <c r="P206" s="1420"/>
      <c r="Q206" s="1420"/>
      <c r="AA206" s="1532" t="s">
        <v>3066</v>
      </c>
    </row>
    <row r="207" spans="2:45" s="841" customFormat="1" ht="6.75" customHeight="1" x14ac:dyDescent="0.25">
      <c r="B207" s="1514"/>
      <c r="C207" s="1514"/>
      <c r="D207" s="1514"/>
      <c r="E207" s="1514"/>
      <c r="G207" s="1530"/>
      <c r="J207" s="1357"/>
      <c r="N207" s="1357"/>
      <c r="P207" s="1420"/>
      <c r="Q207" s="1420"/>
    </row>
    <row r="208" spans="2:45" ht="11.25" customHeight="1" x14ac:dyDescent="0.25">
      <c r="B208" s="1692" t="s">
        <v>3067</v>
      </c>
      <c r="C208" s="1693"/>
      <c r="D208" s="1693"/>
      <c r="E208" s="1693"/>
      <c r="F208" s="841"/>
      <c r="G208" s="1530"/>
      <c r="H208" s="841" t="s">
        <v>3115</v>
      </c>
      <c r="I208" s="841"/>
      <c r="J208" s="1357"/>
      <c r="K208" s="841"/>
      <c r="L208" s="841"/>
      <c r="M208" s="841"/>
      <c r="N208" s="1357"/>
      <c r="O208" s="841"/>
      <c r="P208" s="1420"/>
      <c r="Q208" s="1420"/>
      <c r="AA208" s="1073" t="s">
        <v>3067</v>
      </c>
    </row>
    <row r="209" spans="2:26" s="841" customFormat="1" ht="6.75" customHeight="1" x14ac:dyDescent="0.25">
      <c r="B209" s="1515"/>
      <c r="C209" s="1516"/>
      <c r="D209" s="1516"/>
      <c r="E209" s="1516"/>
      <c r="G209" s="1530"/>
      <c r="J209" s="1357"/>
      <c r="N209" s="1357"/>
      <c r="P209" s="1420"/>
      <c r="Q209" s="1420"/>
    </row>
    <row r="210" spans="2:26" ht="11.25" customHeight="1" x14ac:dyDescent="0.25">
      <c r="B210" s="1690" t="s">
        <v>4827</v>
      </c>
      <c r="C210" s="1690"/>
      <c r="D210" s="1533" t="s">
        <v>23</v>
      </c>
      <c r="E210" s="391">
        <v>3.37</v>
      </c>
      <c r="F210" s="841"/>
      <c r="G210" s="1530"/>
      <c r="H210" s="841" t="s">
        <v>3112</v>
      </c>
      <c r="I210" s="841" t="s">
        <v>442</v>
      </c>
      <c r="J210" s="1357"/>
      <c r="K210" s="841"/>
      <c r="L210" s="841"/>
      <c r="M210" s="841" t="s">
        <v>3116</v>
      </c>
      <c r="N210" s="1357"/>
      <c r="O210" s="841"/>
      <c r="P210" s="1420"/>
      <c r="Q210" s="1420"/>
      <c r="Z210" s="1534" t="s">
        <v>4827</v>
      </c>
    </row>
    <row r="211" spans="2:26" ht="22.5" x14ac:dyDescent="0.25">
      <c r="B211" s="1690" t="s">
        <v>5727</v>
      </c>
      <c r="C211" s="1690"/>
      <c r="D211" s="1533" t="s">
        <v>23</v>
      </c>
      <c r="E211" s="391">
        <v>0.09</v>
      </c>
      <c r="F211" s="841"/>
      <c r="G211" s="1530"/>
      <c r="H211" s="841" t="s">
        <v>3112</v>
      </c>
      <c r="I211" s="841" t="s">
        <v>442</v>
      </c>
      <c r="J211" s="1357"/>
      <c r="K211" s="841"/>
      <c r="L211" s="841"/>
      <c r="M211" s="841" t="s">
        <v>6403</v>
      </c>
      <c r="N211" s="1357"/>
      <c r="O211" s="841"/>
      <c r="P211" s="1420"/>
      <c r="Q211" s="1420"/>
      <c r="Z211" s="1534" t="s">
        <v>5727</v>
      </c>
    </row>
    <row r="212" spans="2:26" ht="11.25" customHeight="1" x14ac:dyDescent="0.25">
      <c r="B212" s="1690" t="s">
        <v>84</v>
      </c>
      <c r="C212" s="1690"/>
      <c r="D212" s="1533" t="s">
        <v>33</v>
      </c>
      <c r="E212" s="393">
        <v>12.857799999999999</v>
      </c>
      <c r="F212" s="841"/>
      <c r="G212" s="1530"/>
      <c r="H212" s="841" t="s">
        <v>3112</v>
      </c>
      <c r="I212" s="841" t="s">
        <v>442</v>
      </c>
      <c r="J212" s="1357"/>
      <c r="K212" s="841"/>
      <c r="L212" s="841"/>
      <c r="M212" s="841" t="s">
        <v>3117</v>
      </c>
      <c r="N212" s="1357"/>
      <c r="O212" s="841"/>
      <c r="P212" s="1420"/>
      <c r="Q212" s="1420"/>
      <c r="Z212" s="1534" t="s">
        <v>84</v>
      </c>
    </row>
    <row r="213" spans="2:26" ht="11.25" customHeight="1" x14ac:dyDescent="0.25">
      <c r="B213" s="1690" t="s">
        <v>4813</v>
      </c>
      <c r="C213" s="1690"/>
      <c r="D213" s="1533" t="s">
        <v>33</v>
      </c>
      <c r="E213" s="393">
        <v>1.2789999999999999</v>
      </c>
      <c r="F213" s="841"/>
      <c r="G213" s="1530"/>
      <c r="H213" s="841" t="s">
        <v>3112</v>
      </c>
      <c r="I213" s="841" t="s">
        <v>443</v>
      </c>
      <c r="J213" s="1357"/>
      <c r="K213" s="841"/>
      <c r="L213" s="841"/>
      <c r="M213" s="841" t="s">
        <v>3497</v>
      </c>
      <c r="N213" s="1357"/>
      <c r="O213" s="841"/>
      <c r="P213" s="1420"/>
      <c r="Q213" s="1420"/>
      <c r="Z213" s="1534" t="s">
        <v>4813</v>
      </c>
    </row>
    <row r="214" spans="2:26" ht="11.25" customHeight="1" x14ac:dyDescent="0.25">
      <c r="B214" s="1690" t="s">
        <v>4811</v>
      </c>
      <c r="C214" s="1690"/>
      <c r="D214" s="1533" t="s">
        <v>33</v>
      </c>
      <c r="E214" s="393">
        <v>0.4798</v>
      </c>
      <c r="F214" s="841"/>
      <c r="G214" s="1530"/>
      <c r="H214" s="841" t="s">
        <v>3112</v>
      </c>
      <c r="I214" s="841" t="s">
        <v>442</v>
      </c>
      <c r="J214" s="1357"/>
      <c r="K214" s="841"/>
      <c r="L214" s="841"/>
      <c r="M214" s="841" t="s">
        <v>3118</v>
      </c>
      <c r="N214" s="1357"/>
      <c r="O214" s="841"/>
      <c r="P214" s="1420"/>
      <c r="Q214" s="1420">
        <v>43281</v>
      </c>
      <c r="R214" t="s">
        <v>628</v>
      </c>
      <c r="Z214" s="1534" t="s">
        <v>4811</v>
      </c>
    </row>
    <row r="215" spans="2:26" ht="11.25" customHeight="1" x14ac:dyDescent="0.25">
      <c r="B215" s="1690" t="s">
        <v>4814</v>
      </c>
      <c r="C215" s="1690"/>
      <c r="D215" s="1533" t="s">
        <v>33</v>
      </c>
      <c r="E215" s="604">
        <v>-1.8512999999999999</v>
      </c>
      <c r="F215" s="841"/>
      <c r="G215" s="1530"/>
      <c r="H215" s="841" t="s">
        <v>3112</v>
      </c>
      <c r="I215" s="841" t="s">
        <v>443</v>
      </c>
      <c r="J215" s="1357"/>
      <c r="K215" s="841"/>
      <c r="L215" s="841"/>
      <c r="M215" s="841" t="s">
        <v>3118</v>
      </c>
      <c r="N215" s="1357"/>
      <c r="O215" s="841"/>
      <c r="P215" s="1420"/>
      <c r="Q215" s="1420">
        <v>43281</v>
      </c>
      <c r="R215" t="s">
        <v>628</v>
      </c>
      <c r="Z215" s="1534" t="s">
        <v>4814</v>
      </c>
    </row>
    <row r="216" spans="2:26" ht="11.25" customHeight="1" x14ac:dyDescent="0.25">
      <c r="B216" s="1690" t="s">
        <v>5130</v>
      </c>
      <c r="C216" s="1690"/>
      <c r="D216" s="1533" t="s">
        <v>33</v>
      </c>
      <c r="E216" s="604">
        <v>-0.78249999999999997</v>
      </c>
      <c r="F216" s="841"/>
      <c r="G216" s="1530"/>
      <c r="H216" s="841" t="s">
        <v>3112</v>
      </c>
      <c r="I216" s="841" t="s">
        <v>443</v>
      </c>
      <c r="J216" s="1357"/>
      <c r="K216" s="841"/>
      <c r="L216" s="841"/>
      <c r="M216" s="841" t="s">
        <v>3118</v>
      </c>
      <c r="N216" s="1357"/>
      <c r="O216" s="841"/>
      <c r="P216" s="1420"/>
      <c r="Q216" s="1420">
        <v>43585</v>
      </c>
      <c r="R216" t="s">
        <v>628</v>
      </c>
      <c r="Z216" s="1534" t="s">
        <v>5130</v>
      </c>
    </row>
    <row r="217" spans="2:26" ht="22.5" x14ac:dyDescent="0.25">
      <c r="B217" s="1690" t="s">
        <v>5735</v>
      </c>
      <c r="C217" s="1690"/>
      <c r="D217" s="1533" t="s">
        <v>24</v>
      </c>
      <c r="E217" s="393">
        <v>6.0000000000000001E-3</v>
      </c>
      <c r="F217" s="841"/>
      <c r="G217" s="1530"/>
      <c r="H217" s="841" t="s">
        <v>3112</v>
      </c>
      <c r="I217" s="841" t="s">
        <v>443</v>
      </c>
      <c r="J217" s="1357"/>
      <c r="K217" s="841"/>
      <c r="L217" s="841"/>
      <c r="M217" s="841" t="s">
        <v>3119</v>
      </c>
      <c r="N217" s="1357"/>
      <c r="O217" s="841"/>
      <c r="P217" s="1420"/>
      <c r="Q217" s="1420">
        <v>43281</v>
      </c>
      <c r="R217" t="s">
        <v>628</v>
      </c>
      <c r="Z217" s="1534" t="s">
        <v>5735</v>
      </c>
    </row>
    <row r="218" spans="2:26" ht="22.5" x14ac:dyDescent="0.25">
      <c r="B218" s="1690" t="s">
        <v>5384</v>
      </c>
      <c r="C218" s="1690"/>
      <c r="D218" s="1533" t="s">
        <v>24</v>
      </c>
      <c r="E218" s="393">
        <v>6.9999999999999999E-4</v>
      </c>
      <c r="F218" s="841"/>
      <c r="G218" s="1530"/>
      <c r="H218" s="841" t="s">
        <v>3112</v>
      </c>
      <c r="I218" s="841" t="s">
        <v>443</v>
      </c>
      <c r="J218" s="1357"/>
      <c r="K218" s="841"/>
      <c r="L218" s="841"/>
      <c r="M218" s="841" t="s">
        <v>3119</v>
      </c>
      <c r="N218" s="1357"/>
      <c r="O218" s="841"/>
      <c r="P218" s="1420"/>
      <c r="Q218" s="1420">
        <v>43585</v>
      </c>
      <c r="R218" t="s">
        <v>628</v>
      </c>
      <c r="Z218" s="1534" t="s">
        <v>5384</v>
      </c>
    </row>
    <row r="219" spans="2:26" ht="22.5" x14ac:dyDescent="0.25">
      <c r="B219" s="1690" t="s">
        <v>5736</v>
      </c>
      <c r="C219" s="1690"/>
      <c r="D219" s="1533" t="s">
        <v>33</v>
      </c>
      <c r="E219" s="627">
        <v>5.0308000000000002</v>
      </c>
      <c r="F219" s="841"/>
      <c r="G219" s="1530"/>
      <c r="H219" s="841" t="s">
        <v>3112</v>
      </c>
      <c r="I219" s="841" t="s">
        <v>442</v>
      </c>
      <c r="J219" s="1357"/>
      <c r="K219" s="841"/>
      <c r="L219" s="841"/>
      <c r="M219" s="841" t="s">
        <v>4294</v>
      </c>
      <c r="N219" s="1357"/>
      <c r="O219" s="841"/>
      <c r="P219" s="1420"/>
      <c r="Q219" s="1420">
        <v>43585</v>
      </c>
      <c r="R219" t="s">
        <v>628</v>
      </c>
      <c r="Z219" s="1534" t="s">
        <v>5736</v>
      </c>
    </row>
    <row r="220" spans="2:26" ht="11.25" customHeight="1" x14ac:dyDescent="0.25">
      <c r="B220" s="1690" t="s">
        <v>4815</v>
      </c>
      <c r="C220" s="1690"/>
      <c r="D220" s="1533" t="s">
        <v>33</v>
      </c>
      <c r="E220" s="393">
        <v>1.8346</v>
      </c>
      <c r="F220" s="841"/>
      <c r="G220" s="1530"/>
      <c r="H220" s="841" t="s">
        <v>3112</v>
      </c>
      <c r="I220" s="841" t="s">
        <v>444</v>
      </c>
      <c r="J220" s="1357"/>
      <c r="K220" s="841"/>
      <c r="L220" s="841"/>
      <c r="M220" s="841" t="s">
        <v>4829</v>
      </c>
      <c r="N220" s="1357"/>
      <c r="O220" s="841"/>
      <c r="P220" s="1420"/>
      <c r="Q220" s="1420"/>
      <c r="Z220" s="1534" t="s">
        <v>4815</v>
      </c>
    </row>
    <row r="221" spans="2:26" ht="11.25" customHeight="1" x14ac:dyDescent="0.25">
      <c r="B221" s="1690" t="s">
        <v>3628</v>
      </c>
      <c r="C221" s="1690"/>
      <c r="D221" s="1533" t="s">
        <v>33</v>
      </c>
      <c r="E221" s="393">
        <v>1.4479</v>
      </c>
      <c r="F221" s="841"/>
      <c r="G221" s="1530"/>
      <c r="H221" s="841" t="s">
        <v>3112</v>
      </c>
      <c r="I221" s="841" t="s">
        <v>444</v>
      </c>
      <c r="J221" s="1357"/>
      <c r="K221" s="841"/>
      <c r="L221" s="841"/>
      <c r="M221" s="841" t="s">
        <v>4830</v>
      </c>
      <c r="N221" s="1357"/>
      <c r="O221" s="841"/>
      <c r="P221" s="1420"/>
      <c r="Q221" s="1420"/>
      <c r="Z221" s="1534" t="s">
        <v>3628</v>
      </c>
    </row>
    <row r="222" spans="2:26" s="841" customFormat="1" ht="6.75" customHeight="1" x14ac:dyDescent="0.25">
      <c r="B222" s="1517"/>
      <c r="C222" s="1517"/>
      <c r="D222" s="1533"/>
      <c r="E222" s="393"/>
      <c r="G222" s="1530"/>
      <c r="J222" s="1357"/>
      <c r="N222" s="1357"/>
      <c r="P222" s="1420"/>
      <c r="Q222" s="1420"/>
    </row>
    <row r="223" spans="2:26" ht="11.25" customHeight="1" x14ac:dyDescent="0.25">
      <c r="B223" s="1694" t="s">
        <v>3079</v>
      </c>
      <c r="C223" s="1690"/>
      <c r="D223" s="1533"/>
      <c r="E223" s="1533"/>
      <c r="F223" s="841"/>
      <c r="G223" s="1530"/>
      <c r="H223" s="841" t="s">
        <v>3122</v>
      </c>
      <c r="I223" s="841"/>
      <c r="J223" s="1357"/>
      <c r="K223" s="841"/>
      <c r="L223" s="841"/>
      <c r="M223" s="841"/>
      <c r="N223" s="1357"/>
      <c r="O223" s="841"/>
      <c r="P223" s="1420"/>
      <c r="Q223" s="1420"/>
      <c r="Z223" s="1073" t="s">
        <v>3079</v>
      </c>
    </row>
    <row r="224" spans="2:26" s="841" customFormat="1" ht="6.75" customHeight="1" x14ac:dyDescent="0.25">
      <c r="B224" s="1520"/>
      <c r="C224" s="1517"/>
      <c r="D224" s="1533"/>
      <c r="E224" s="1533"/>
      <c r="G224" s="1530"/>
      <c r="J224" s="1357"/>
      <c r="N224" s="1357"/>
      <c r="P224" s="1420"/>
      <c r="Q224" s="1420"/>
    </row>
    <row r="225" spans="2:45" ht="11.25" customHeight="1" x14ac:dyDescent="0.25">
      <c r="B225" s="1690" t="s">
        <v>2449</v>
      </c>
      <c r="C225" s="1690"/>
      <c r="D225" s="1533" t="s">
        <v>24</v>
      </c>
      <c r="E225" s="393">
        <v>3.2000000000000002E-3</v>
      </c>
      <c r="F225" s="841"/>
      <c r="G225" s="1530"/>
      <c r="H225" s="841" t="s">
        <v>3112</v>
      </c>
      <c r="I225" s="841" t="s">
        <v>3046</v>
      </c>
      <c r="J225" s="1357"/>
      <c r="K225" s="841"/>
      <c r="L225" s="841"/>
      <c r="M225" s="841" t="s">
        <v>3123</v>
      </c>
      <c r="N225" s="1357"/>
      <c r="O225" s="841"/>
      <c r="P225" s="1420"/>
      <c r="Q225" s="1420"/>
      <c r="Z225" s="1534" t="s">
        <v>2449</v>
      </c>
    </row>
    <row r="226" spans="2:45" ht="11.25" customHeight="1" x14ac:dyDescent="0.25">
      <c r="B226" s="1690" t="s">
        <v>2450</v>
      </c>
      <c r="C226" s="1690"/>
      <c r="D226" s="1533" t="s">
        <v>24</v>
      </c>
      <c r="E226" s="393">
        <v>4.0000000000000002E-4</v>
      </c>
      <c r="F226" s="841"/>
      <c r="G226" s="1530"/>
      <c r="H226" s="841" t="s">
        <v>3112</v>
      </c>
      <c r="I226" s="841" t="s">
        <v>3046</v>
      </c>
      <c r="J226" s="1357"/>
      <c r="K226" s="841"/>
      <c r="L226" s="841"/>
      <c r="M226" s="841" t="s">
        <v>3123</v>
      </c>
      <c r="N226" s="1357"/>
      <c r="O226" s="841"/>
      <c r="P226" s="1420"/>
      <c r="Q226" s="1420"/>
      <c r="Z226" s="1534" t="s">
        <v>2450</v>
      </c>
    </row>
    <row r="227" spans="2:45" ht="11.25" customHeight="1" x14ac:dyDescent="0.25">
      <c r="B227" s="1690" t="s">
        <v>439</v>
      </c>
      <c r="C227" s="1690"/>
      <c r="D227" s="1533" t="s">
        <v>24</v>
      </c>
      <c r="E227" s="393">
        <v>2.9999999999999997E-4</v>
      </c>
      <c r="F227" s="841"/>
      <c r="G227" s="1530"/>
      <c r="H227" s="841" t="s">
        <v>3112</v>
      </c>
      <c r="I227" s="841" t="s">
        <v>3046</v>
      </c>
      <c r="J227" s="1357"/>
      <c r="K227" s="841"/>
      <c r="L227" s="841"/>
      <c r="M227" s="841" t="s">
        <v>3124</v>
      </c>
      <c r="N227" s="1357"/>
      <c r="O227" s="841"/>
      <c r="P227" s="1420"/>
      <c r="Q227" s="1420"/>
      <c r="Z227" s="1534" t="s">
        <v>439</v>
      </c>
    </row>
    <row r="228" spans="2:45" ht="11.25" customHeight="1" x14ac:dyDescent="0.25">
      <c r="B228" s="1690" t="s">
        <v>32</v>
      </c>
      <c r="C228" s="1690"/>
      <c r="D228" s="1533" t="s">
        <v>23</v>
      </c>
      <c r="E228" s="391">
        <v>0.25</v>
      </c>
      <c r="F228" s="841"/>
      <c r="G228" s="1530"/>
      <c r="H228" s="841" t="s">
        <v>3112</v>
      </c>
      <c r="I228" s="841" t="s">
        <v>3046</v>
      </c>
      <c r="J228" s="1357"/>
      <c r="K228" s="841"/>
      <c r="L228" s="841"/>
      <c r="M228" s="841" t="s">
        <v>3125</v>
      </c>
      <c r="N228" s="1357"/>
      <c r="O228" s="841"/>
      <c r="P228" s="1420"/>
      <c r="Q228" s="1420"/>
      <c r="Z228" s="1534" t="s">
        <v>32</v>
      </c>
      <c r="AS228" t="s">
        <v>628</v>
      </c>
    </row>
    <row r="229" spans="2:45" s="1070" customFormat="1" ht="18" customHeight="1" x14ac:dyDescent="0.3">
      <c r="B229" s="1695" t="s">
        <v>618</v>
      </c>
      <c r="C229" s="1695"/>
      <c r="D229" s="1695"/>
      <c r="E229" s="1695"/>
      <c r="G229" s="1347"/>
      <c r="H229" s="1070" t="s">
        <v>3126</v>
      </c>
      <c r="J229" s="1447"/>
      <c r="N229" s="1447"/>
      <c r="P229" s="1448"/>
      <c r="Q229" s="1448"/>
      <c r="AA229" s="1071" t="s">
        <v>618</v>
      </c>
    </row>
    <row r="230" spans="2:45" ht="36" x14ac:dyDescent="0.25">
      <c r="B230" s="1689" t="s">
        <v>3372</v>
      </c>
      <c r="C230" s="1689"/>
      <c r="D230" s="1689"/>
      <c r="E230" s="1689"/>
      <c r="F230" s="841"/>
      <c r="G230" s="1530"/>
      <c r="H230" s="841" t="s">
        <v>3126</v>
      </c>
      <c r="I230" s="841"/>
      <c r="J230" s="1357"/>
      <c r="K230" s="841"/>
      <c r="L230" s="841"/>
      <c r="M230" s="841"/>
      <c r="N230" s="1357"/>
      <c r="O230" s="841"/>
      <c r="P230" s="1420"/>
      <c r="Q230" s="1420"/>
      <c r="AA230" s="1532" t="s">
        <v>3372</v>
      </c>
    </row>
    <row r="231" spans="2:45" s="841" customFormat="1" ht="6.75" customHeight="1" x14ac:dyDescent="0.25">
      <c r="B231" s="1514"/>
      <c r="C231" s="1514"/>
      <c r="D231" s="1514"/>
      <c r="E231" s="1514"/>
      <c r="G231" s="1530"/>
      <c r="J231" s="1357"/>
      <c r="N231" s="1357"/>
      <c r="P231" s="1420"/>
      <c r="Q231" s="1420"/>
    </row>
    <row r="232" spans="2:45" ht="11.25" customHeight="1" x14ac:dyDescent="0.25">
      <c r="B232" s="1696" t="s">
        <v>3061</v>
      </c>
      <c r="C232" s="1697"/>
      <c r="D232" s="1697"/>
      <c r="E232" s="1697"/>
      <c r="F232" s="841"/>
      <c r="G232" s="1530"/>
      <c r="H232" s="841" t="s">
        <v>3128</v>
      </c>
      <c r="I232" s="841"/>
      <c r="J232" s="1357"/>
      <c r="K232" s="841"/>
      <c r="L232" s="841"/>
      <c r="M232" s="841"/>
      <c r="N232" s="1357"/>
      <c r="O232" s="841"/>
      <c r="P232" s="1420"/>
      <c r="Q232" s="1420"/>
      <c r="AA232" s="1073" t="s">
        <v>3061</v>
      </c>
    </row>
    <row r="233" spans="2:45" s="841" customFormat="1" ht="6.75" customHeight="1" x14ac:dyDescent="0.25">
      <c r="B233" s="1518"/>
      <c r="C233" s="1519"/>
      <c r="D233" s="1519"/>
      <c r="E233" s="1519"/>
      <c r="G233" s="1530"/>
      <c r="J233" s="1357"/>
      <c r="N233" s="1357"/>
      <c r="P233" s="1420"/>
      <c r="Q233" s="1420"/>
    </row>
    <row r="234" spans="2:45" ht="36" x14ac:dyDescent="0.25">
      <c r="B234" s="1689" t="s">
        <v>3063</v>
      </c>
      <c r="C234" s="1689"/>
      <c r="D234" s="1689"/>
      <c r="E234" s="1689"/>
      <c r="F234" s="841"/>
      <c r="G234" s="1530"/>
      <c r="H234" s="841" t="s">
        <v>3126</v>
      </c>
      <c r="I234" s="841"/>
      <c r="J234" s="1357"/>
      <c r="K234" s="841"/>
      <c r="L234" s="841"/>
      <c r="M234" s="841"/>
      <c r="N234" s="1357"/>
      <c r="O234" s="841"/>
      <c r="P234" s="1420"/>
      <c r="Q234" s="1420"/>
      <c r="AA234" s="1532" t="s">
        <v>3063</v>
      </c>
    </row>
    <row r="235" spans="2:45" s="841" customFormat="1" ht="6.75" customHeight="1" x14ac:dyDescent="0.25">
      <c r="B235" s="1514"/>
      <c r="C235" s="1514"/>
      <c r="D235" s="1514"/>
      <c r="E235" s="1514"/>
      <c r="G235" s="1530"/>
      <c r="J235" s="1357"/>
      <c r="N235" s="1357"/>
      <c r="P235" s="1420"/>
      <c r="Q235" s="1420"/>
    </row>
    <row r="236" spans="2:45" ht="48" x14ac:dyDescent="0.25">
      <c r="B236" s="1689" t="s">
        <v>3064</v>
      </c>
      <c r="C236" s="1689"/>
      <c r="D236" s="1689"/>
      <c r="E236" s="1689"/>
      <c r="F236" s="841"/>
      <c r="G236" s="1530"/>
      <c r="H236" s="841" t="s">
        <v>3126</v>
      </c>
      <c r="I236" s="841"/>
      <c r="J236" s="1357"/>
      <c r="K236" s="841"/>
      <c r="L236" s="841"/>
      <c r="M236" s="841"/>
      <c r="N236" s="1357"/>
      <c r="O236" s="841"/>
      <c r="P236" s="1420"/>
      <c r="Q236" s="1420"/>
      <c r="AA236" s="1532" t="s">
        <v>3064</v>
      </c>
    </row>
    <row r="237" spans="2:45" s="841" customFormat="1" ht="6.75" customHeight="1" x14ac:dyDescent="0.25">
      <c r="B237" s="1514"/>
      <c r="C237" s="1514"/>
      <c r="D237" s="1514"/>
      <c r="E237" s="1514"/>
      <c r="G237" s="1530"/>
      <c r="J237" s="1357"/>
      <c r="N237" s="1357"/>
      <c r="P237" s="1420"/>
      <c r="Q237" s="1420"/>
    </row>
    <row r="238" spans="2:45" ht="24" x14ac:dyDescent="0.25">
      <c r="B238" s="1689" t="s">
        <v>3129</v>
      </c>
      <c r="C238" s="1689"/>
      <c r="D238" s="1689"/>
      <c r="E238" s="1689"/>
      <c r="F238" s="841"/>
      <c r="G238" s="1530"/>
      <c r="H238" s="841" t="s">
        <v>3126</v>
      </c>
      <c r="I238" s="841"/>
      <c r="J238" s="1357"/>
      <c r="K238" s="841"/>
      <c r="L238" s="841"/>
      <c r="M238" s="841"/>
      <c r="N238" s="1357"/>
      <c r="O238" s="841"/>
      <c r="P238" s="1420"/>
      <c r="Q238" s="1420"/>
      <c r="AA238" s="1532" t="s">
        <v>3129</v>
      </c>
    </row>
    <row r="239" spans="2:45" s="841" customFormat="1" ht="6.75" customHeight="1" x14ac:dyDescent="0.25">
      <c r="B239" s="1514"/>
      <c r="C239" s="1514"/>
      <c r="D239" s="1514"/>
      <c r="E239" s="1514"/>
      <c r="G239" s="1530"/>
      <c r="J239" s="1357"/>
      <c r="N239" s="1357"/>
      <c r="P239" s="1420"/>
      <c r="Q239" s="1420"/>
    </row>
    <row r="240" spans="2:45" ht="36" x14ac:dyDescent="0.25">
      <c r="B240" s="1689" t="s">
        <v>3066</v>
      </c>
      <c r="C240" s="1689"/>
      <c r="D240" s="1689"/>
      <c r="E240" s="1689"/>
      <c r="F240" s="841"/>
      <c r="G240" s="1530"/>
      <c r="H240" s="841" t="s">
        <v>3126</v>
      </c>
      <c r="I240" s="841"/>
      <c r="J240" s="1357"/>
      <c r="K240" s="841"/>
      <c r="L240" s="841"/>
      <c r="M240" s="841"/>
      <c r="N240" s="1357"/>
      <c r="O240" s="841"/>
      <c r="P240" s="1420"/>
      <c r="Q240" s="1420"/>
      <c r="AA240" s="1532" t="s">
        <v>3066</v>
      </c>
    </row>
    <row r="241" spans="2:27" s="841" customFormat="1" ht="6.75" customHeight="1" x14ac:dyDescent="0.25">
      <c r="B241" s="1514"/>
      <c r="C241" s="1514"/>
      <c r="D241" s="1514"/>
      <c r="E241" s="1514"/>
      <c r="G241" s="1530"/>
      <c r="J241" s="1357"/>
      <c r="N241" s="1357"/>
      <c r="P241" s="1420"/>
      <c r="Q241" s="1420"/>
    </row>
    <row r="242" spans="2:27" ht="11.25" customHeight="1" x14ac:dyDescent="0.25">
      <c r="B242" s="1692" t="s">
        <v>3067</v>
      </c>
      <c r="C242" s="1693"/>
      <c r="D242" s="1693"/>
      <c r="E242" s="1693"/>
      <c r="F242" s="841"/>
      <c r="G242" s="1530"/>
      <c r="H242" s="841" t="s">
        <v>3130</v>
      </c>
      <c r="I242" s="841"/>
      <c r="J242" s="1357"/>
      <c r="K242" s="841"/>
      <c r="L242" s="841"/>
      <c r="M242" s="841"/>
      <c r="N242" s="1357"/>
      <c r="O242" s="841"/>
      <c r="P242" s="1420"/>
      <c r="Q242" s="1420"/>
      <c r="AA242" s="1073" t="s">
        <v>3067</v>
      </c>
    </row>
    <row r="243" spans="2:27" s="841" customFormat="1" ht="6.75" customHeight="1" x14ac:dyDescent="0.25">
      <c r="B243" s="1515"/>
      <c r="C243" s="1516"/>
      <c r="D243" s="1516"/>
      <c r="E243" s="1516"/>
      <c r="G243" s="1530"/>
      <c r="J243" s="1357"/>
      <c r="N243" s="1357"/>
      <c r="P243" s="1420"/>
      <c r="Q243" s="1420"/>
    </row>
    <row r="244" spans="2:27" ht="11.25" customHeight="1" x14ac:dyDescent="0.25">
      <c r="B244" s="1690" t="s">
        <v>4810</v>
      </c>
      <c r="C244" s="1690"/>
      <c r="D244" s="695" t="s">
        <v>23</v>
      </c>
      <c r="E244" s="391">
        <v>17.2</v>
      </c>
      <c r="F244" s="841"/>
      <c r="G244" s="1530"/>
      <c r="H244" s="841" t="s">
        <v>3126</v>
      </c>
      <c r="I244" s="841" t="s">
        <v>442</v>
      </c>
      <c r="J244" s="1357"/>
      <c r="K244" s="841"/>
      <c r="L244" s="841"/>
      <c r="M244" s="841" t="s">
        <v>3131</v>
      </c>
      <c r="N244" s="1357"/>
      <c r="O244" s="841"/>
      <c r="P244" s="1420"/>
      <c r="Q244" s="1420"/>
      <c r="Z244" s="1534" t="s">
        <v>4810</v>
      </c>
    </row>
    <row r="245" spans="2:27" s="841" customFormat="1" ht="6.75" customHeight="1" x14ac:dyDescent="0.25">
      <c r="B245" s="1531"/>
      <c r="C245" s="1517"/>
      <c r="D245" s="695"/>
      <c r="E245" s="391"/>
      <c r="G245" s="1530"/>
      <c r="J245" s="1357"/>
      <c r="N245" s="1357"/>
      <c r="P245" s="1420"/>
      <c r="Q245" s="1420"/>
    </row>
    <row r="246" spans="2:27" ht="18" x14ac:dyDescent="0.25">
      <c r="B246" s="1687" t="s">
        <v>85</v>
      </c>
      <c r="C246" s="1687"/>
      <c r="D246" s="1687"/>
      <c r="E246" s="1687"/>
      <c r="F246" s="841"/>
      <c r="G246" s="1530"/>
      <c r="H246" s="841" t="s">
        <v>4831</v>
      </c>
      <c r="I246" s="841"/>
      <c r="J246" s="1357"/>
      <c r="K246" s="841"/>
      <c r="L246" s="841"/>
      <c r="M246" s="841"/>
      <c r="N246" s="1357"/>
      <c r="O246" s="841"/>
      <c r="P246" s="1420"/>
      <c r="Q246" s="1420"/>
      <c r="AA246" s="1071" t="s">
        <v>85</v>
      </c>
    </row>
    <row r="247" spans="2:27" ht="11.25" customHeight="1" x14ac:dyDescent="0.25">
      <c r="B247" s="1690" t="s">
        <v>4832</v>
      </c>
      <c r="C247" s="1690"/>
      <c r="D247" s="1533" t="s">
        <v>33</v>
      </c>
      <c r="E247" s="391">
        <v>-0.6</v>
      </c>
      <c r="F247" s="841"/>
      <c r="G247" s="1530"/>
      <c r="H247" s="841"/>
      <c r="I247" s="841"/>
      <c r="J247" s="1357"/>
      <c r="K247" s="841"/>
      <c r="L247" s="841"/>
      <c r="M247" s="841"/>
      <c r="N247" s="1357"/>
      <c r="O247" s="841"/>
      <c r="P247" s="1420"/>
      <c r="Q247" s="1420"/>
      <c r="Z247" s="1534" t="s">
        <v>4832</v>
      </c>
    </row>
    <row r="248" spans="2:27" ht="11.25" customHeight="1" x14ac:dyDescent="0.25">
      <c r="B248" s="1690" t="s">
        <v>3134</v>
      </c>
      <c r="C248" s="1690"/>
      <c r="D248" s="1533" t="s">
        <v>86</v>
      </c>
      <c r="E248" s="391">
        <v>-1</v>
      </c>
      <c r="F248" s="841"/>
      <c r="G248" s="1530"/>
      <c r="H248" s="841"/>
      <c r="I248" s="841"/>
      <c r="J248" s="1357"/>
      <c r="K248" s="841"/>
      <c r="L248" s="841"/>
      <c r="M248" s="841"/>
      <c r="N248" s="1357"/>
      <c r="O248" s="841"/>
      <c r="P248" s="1420"/>
      <c r="Q248" s="1420"/>
      <c r="Z248" s="1534" t="s">
        <v>3134</v>
      </c>
    </row>
    <row r="249" spans="2:27" ht="18" x14ac:dyDescent="0.25">
      <c r="B249" s="1687" t="s">
        <v>87</v>
      </c>
      <c r="C249" s="1687"/>
      <c r="D249" s="1687"/>
      <c r="E249" s="1687"/>
      <c r="F249" s="841"/>
      <c r="G249" s="1530"/>
      <c r="H249" s="841" t="s">
        <v>4833</v>
      </c>
      <c r="I249" s="841"/>
      <c r="J249" s="1357"/>
      <c r="K249" s="841"/>
      <c r="L249" s="841"/>
      <c r="M249" s="841"/>
      <c r="N249" s="1357"/>
      <c r="O249" s="841"/>
      <c r="P249" s="1420"/>
      <c r="Q249" s="1420"/>
      <c r="AA249" s="1071" t="s">
        <v>87</v>
      </c>
    </row>
    <row r="250" spans="2:27" ht="36" x14ac:dyDescent="0.25">
      <c r="B250" s="1689" t="s">
        <v>3063</v>
      </c>
      <c r="C250" s="1689"/>
      <c r="D250" s="1689"/>
      <c r="E250" s="1689"/>
      <c r="F250" s="841"/>
      <c r="G250" s="1530"/>
      <c r="H250" s="841"/>
      <c r="I250" s="841"/>
      <c r="J250" s="1357"/>
      <c r="K250" s="841"/>
      <c r="L250" s="841"/>
      <c r="M250" s="841"/>
      <c r="N250" s="1357"/>
      <c r="O250" s="841"/>
      <c r="P250" s="1420"/>
      <c r="Q250" s="1420"/>
      <c r="AA250" s="1532" t="s">
        <v>3063</v>
      </c>
    </row>
    <row r="251" spans="2:27" s="841" customFormat="1" ht="6.75" customHeight="1" x14ac:dyDescent="0.25">
      <c r="B251" s="1514"/>
      <c r="C251" s="1514"/>
      <c r="D251" s="1514"/>
      <c r="E251" s="1514"/>
      <c r="G251" s="1530"/>
      <c r="J251" s="1357"/>
      <c r="N251" s="1357"/>
      <c r="P251" s="1420"/>
      <c r="Q251" s="1420"/>
    </row>
    <row r="252" spans="2:27" ht="48" x14ac:dyDescent="0.25">
      <c r="B252" s="1689" t="s">
        <v>3136</v>
      </c>
      <c r="C252" s="1689"/>
      <c r="D252" s="1689"/>
      <c r="E252" s="1689"/>
      <c r="F252" s="841"/>
      <c r="G252" s="1530"/>
      <c r="H252" s="841"/>
      <c r="I252" s="841"/>
      <c r="J252" s="1357"/>
      <c r="K252" s="841"/>
      <c r="L252" s="841"/>
      <c r="M252" s="841"/>
      <c r="N252" s="1357"/>
      <c r="O252" s="841"/>
      <c r="P252" s="1420"/>
      <c r="Q252" s="1420"/>
      <c r="AA252" s="1532" t="s">
        <v>3136</v>
      </c>
    </row>
    <row r="253" spans="2:27" s="841" customFormat="1" ht="6.75" customHeight="1" x14ac:dyDescent="0.25">
      <c r="B253" s="1514"/>
      <c r="C253" s="1514"/>
      <c r="D253" s="1514"/>
      <c r="E253" s="1514"/>
      <c r="G253" s="1530"/>
      <c r="J253" s="1357"/>
      <c r="N253" s="1357"/>
      <c r="P253" s="1420"/>
      <c r="Q253" s="1420"/>
    </row>
    <row r="254" spans="2:27" ht="36" x14ac:dyDescent="0.25">
      <c r="B254" s="1689" t="s">
        <v>3066</v>
      </c>
      <c r="C254" s="1689"/>
      <c r="D254" s="1689"/>
      <c r="E254" s="1689"/>
      <c r="F254" s="841"/>
      <c r="G254" s="1530"/>
      <c r="H254" s="841"/>
      <c r="I254" s="841"/>
      <c r="J254" s="1357"/>
      <c r="K254" s="841"/>
      <c r="L254" s="841"/>
      <c r="M254" s="841"/>
      <c r="N254" s="1357"/>
      <c r="O254" s="841"/>
      <c r="P254" s="1420"/>
      <c r="Q254" s="1420"/>
      <c r="AA254" s="1532" t="s">
        <v>3066</v>
      </c>
    </row>
    <row r="255" spans="2:27" s="841" customFormat="1" ht="6.75" customHeight="1" x14ac:dyDescent="0.25">
      <c r="B255" s="1514"/>
      <c r="C255" s="1514"/>
      <c r="D255" s="1514"/>
      <c r="E255" s="1514"/>
      <c r="G255" s="1530"/>
      <c r="J255" s="1357"/>
      <c r="N255" s="1357"/>
      <c r="P255" s="1420"/>
      <c r="Q255" s="1420"/>
    </row>
    <row r="256" spans="2:27" x14ac:dyDescent="0.25">
      <c r="B256" s="1515" t="s">
        <v>3137</v>
      </c>
      <c r="C256" s="3"/>
      <c r="D256" s="3"/>
      <c r="E256" s="500"/>
      <c r="F256" s="841"/>
      <c r="G256" s="1530"/>
      <c r="H256" s="841" t="s">
        <v>4834</v>
      </c>
      <c r="I256" s="841"/>
      <c r="J256" s="1357"/>
      <c r="K256" s="841"/>
      <c r="L256" s="841"/>
      <c r="M256" s="841"/>
      <c r="N256" s="1357"/>
      <c r="O256" s="841"/>
      <c r="P256" s="1420"/>
      <c r="Q256" s="1420"/>
    </row>
    <row r="257" spans="2:26" ht="11.25" customHeight="1" x14ac:dyDescent="0.25">
      <c r="B257" s="1688" t="s">
        <v>5737</v>
      </c>
      <c r="C257" s="1688"/>
      <c r="D257" s="1533" t="s">
        <v>23</v>
      </c>
      <c r="E257" s="391">
        <v>15</v>
      </c>
      <c r="F257" s="841"/>
      <c r="G257" s="1530"/>
      <c r="H257" s="841"/>
      <c r="I257" s="841"/>
      <c r="J257" s="1357"/>
      <c r="K257" s="841"/>
      <c r="L257" s="841"/>
      <c r="M257" s="841"/>
      <c r="N257" s="1357"/>
      <c r="O257" s="841"/>
      <c r="P257" s="1420"/>
      <c r="Q257" s="1420"/>
      <c r="Z257" s="1534" t="s">
        <v>5737</v>
      </c>
    </row>
    <row r="258" spans="2:26" ht="11.25" customHeight="1" x14ac:dyDescent="0.25">
      <c r="B258" s="1688" t="s">
        <v>4835</v>
      </c>
      <c r="C258" s="1688"/>
      <c r="D258" s="1533" t="s">
        <v>23</v>
      </c>
      <c r="E258" s="391">
        <v>15</v>
      </c>
      <c r="F258" s="841"/>
      <c r="G258" s="1530"/>
      <c r="H258" s="841"/>
      <c r="I258" s="841"/>
      <c r="J258" s="1357"/>
      <c r="K258" s="841"/>
      <c r="L258" s="841"/>
      <c r="M258" s="841"/>
      <c r="N258" s="1357"/>
      <c r="O258" s="841"/>
      <c r="P258" s="1420"/>
      <c r="Q258" s="1420"/>
      <c r="Z258" s="1534" t="s">
        <v>4835</v>
      </c>
    </row>
    <row r="259" spans="2:26" ht="11.25" customHeight="1" x14ac:dyDescent="0.25">
      <c r="B259" s="1688" t="s">
        <v>4836</v>
      </c>
      <c r="C259" s="1688"/>
      <c r="D259" s="1533" t="s">
        <v>23</v>
      </c>
      <c r="E259" s="391">
        <v>15</v>
      </c>
      <c r="F259" s="841"/>
      <c r="G259" s="1530"/>
      <c r="H259" s="841"/>
      <c r="I259" s="841"/>
      <c r="J259" s="1357"/>
      <c r="K259" s="841"/>
      <c r="L259" s="841"/>
      <c r="M259" s="841"/>
      <c r="N259" s="1357"/>
      <c r="O259" s="841"/>
      <c r="P259" s="1420"/>
      <c r="Q259" s="1420"/>
      <c r="Z259" s="1534" t="s">
        <v>4836</v>
      </c>
    </row>
    <row r="260" spans="2:26" ht="11.25" customHeight="1" x14ac:dyDescent="0.25">
      <c r="B260" s="1688" t="s">
        <v>4837</v>
      </c>
      <c r="C260" s="1688"/>
      <c r="D260" s="1533" t="s">
        <v>23</v>
      </c>
      <c r="E260" s="391">
        <v>15</v>
      </c>
      <c r="F260" s="841"/>
      <c r="G260" s="1530"/>
      <c r="H260" s="841"/>
      <c r="I260" s="841"/>
      <c r="J260" s="1357"/>
      <c r="K260" s="841"/>
      <c r="L260" s="841"/>
      <c r="M260" s="841"/>
      <c r="N260" s="1357"/>
      <c r="O260" s="841"/>
      <c r="P260" s="1420"/>
      <c r="Q260" s="1420"/>
      <c r="Z260" s="1534" t="s">
        <v>4837</v>
      </c>
    </row>
    <row r="261" spans="2:26" ht="11.25" customHeight="1" x14ac:dyDescent="0.25">
      <c r="B261" s="1688" t="s">
        <v>4838</v>
      </c>
      <c r="C261" s="1688"/>
      <c r="D261" s="1533" t="s">
        <v>23</v>
      </c>
      <c r="E261" s="391">
        <v>15</v>
      </c>
      <c r="F261" s="841"/>
      <c r="G261" s="1530"/>
      <c r="H261" s="841"/>
      <c r="I261" s="841"/>
      <c r="J261" s="1357"/>
      <c r="K261" s="841"/>
      <c r="L261" s="841"/>
      <c r="M261" s="841"/>
      <c r="N261" s="1357"/>
      <c r="O261" s="841"/>
      <c r="P261" s="1420"/>
      <c r="Q261" s="1420"/>
      <c r="Z261" s="1534" t="s">
        <v>4838</v>
      </c>
    </row>
    <row r="262" spans="2:26" ht="11.25" customHeight="1" x14ac:dyDescent="0.25">
      <c r="B262" s="1688" t="s">
        <v>4839</v>
      </c>
      <c r="C262" s="1688"/>
      <c r="D262" s="1533" t="s">
        <v>23</v>
      </c>
      <c r="E262" s="391">
        <v>15</v>
      </c>
      <c r="F262" s="841"/>
      <c r="G262" s="1530"/>
      <c r="H262" s="841"/>
      <c r="I262" s="841"/>
      <c r="J262" s="1357"/>
      <c r="K262" s="841"/>
      <c r="L262" s="841"/>
      <c r="M262" s="841"/>
      <c r="N262" s="1357"/>
      <c r="O262" s="841"/>
      <c r="P262" s="1420"/>
      <c r="Q262" s="1420"/>
      <c r="Z262" s="1534" t="s">
        <v>4839</v>
      </c>
    </row>
    <row r="263" spans="2:26" ht="11.25" customHeight="1" x14ac:dyDescent="0.25">
      <c r="B263" s="1688" t="s">
        <v>4840</v>
      </c>
      <c r="C263" s="1688"/>
      <c r="D263" s="1533" t="s">
        <v>23</v>
      </c>
      <c r="E263" s="391">
        <v>15</v>
      </c>
      <c r="F263" s="841"/>
      <c r="G263" s="1530"/>
      <c r="H263" s="841"/>
      <c r="I263" s="841"/>
      <c r="J263" s="1357"/>
      <c r="K263" s="841"/>
      <c r="L263" s="841"/>
      <c r="M263" s="841"/>
      <c r="N263" s="1357"/>
      <c r="O263" s="841"/>
      <c r="P263" s="1420"/>
      <c r="Q263" s="1420"/>
      <c r="Z263" s="1534" t="s">
        <v>4840</v>
      </c>
    </row>
    <row r="264" spans="2:26" ht="11.25" customHeight="1" x14ac:dyDescent="0.25">
      <c r="B264" s="1688" t="s">
        <v>4841</v>
      </c>
      <c r="C264" s="1688"/>
      <c r="D264" s="1533" t="s">
        <v>23</v>
      </c>
      <c r="E264" s="391">
        <v>15</v>
      </c>
      <c r="F264" s="841"/>
      <c r="G264" s="1530"/>
      <c r="H264" s="841"/>
      <c r="I264" s="841"/>
      <c r="J264" s="1357"/>
      <c r="K264" s="841"/>
      <c r="L264" s="841"/>
      <c r="M264" s="841"/>
      <c r="N264" s="1357"/>
      <c r="O264" s="841"/>
      <c r="P264" s="1420"/>
      <c r="Q264" s="1420"/>
      <c r="Z264" s="1534" t="s">
        <v>4841</v>
      </c>
    </row>
    <row r="265" spans="2:26" ht="11.25" customHeight="1" x14ac:dyDescent="0.25">
      <c r="B265" s="1688" t="s">
        <v>4842</v>
      </c>
      <c r="C265" s="1688"/>
      <c r="D265" s="1533" t="s">
        <v>23</v>
      </c>
      <c r="E265" s="391">
        <v>15</v>
      </c>
      <c r="F265" s="841"/>
      <c r="G265" s="1530"/>
      <c r="H265" s="841"/>
      <c r="I265" s="841"/>
      <c r="J265" s="1357"/>
      <c r="K265" s="841"/>
      <c r="L265" s="841"/>
      <c r="M265" s="841"/>
      <c r="N265" s="1357"/>
      <c r="O265" s="841"/>
      <c r="P265" s="1420"/>
      <c r="Q265" s="1420"/>
      <c r="Z265" s="1534" t="s">
        <v>4842</v>
      </c>
    </row>
    <row r="266" spans="2:26" ht="11.25" customHeight="1" x14ac:dyDescent="0.25">
      <c r="B266" s="1688" t="s">
        <v>4843</v>
      </c>
      <c r="C266" s="1688"/>
      <c r="D266" s="1533" t="s">
        <v>23</v>
      </c>
      <c r="E266" s="391">
        <v>15</v>
      </c>
      <c r="F266" s="841"/>
      <c r="G266" s="1530"/>
      <c r="H266" s="841"/>
      <c r="I266" s="841"/>
      <c r="J266" s="1357"/>
      <c r="K266" s="841"/>
      <c r="L266" s="841"/>
      <c r="M266" s="841"/>
      <c r="N266" s="1357"/>
      <c r="O266" s="841"/>
      <c r="P266" s="1420"/>
      <c r="Q266" s="1420"/>
      <c r="Z266" s="1534" t="s">
        <v>4843</v>
      </c>
    </row>
    <row r="267" spans="2:26" ht="11.25" customHeight="1" x14ac:dyDescent="0.25">
      <c r="B267" s="1688" t="s">
        <v>4844</v>
      </c>
      <c r="C267" s="1688"/>
      <c r="D267" s="1533" t="s">
        <v>23</v>
      </c>
      <c r="E267" s="391">
        <v>15</v>
      </c>
      <c r="F267" s="841"/>
      <c r="G267" s="1530"/>
      <c r="H267" s="841"/>
      <c r="I267" s="841"/>
      <c r="J267" s="1357"/>
      <c r="K267" s="841"/>
      <c r="L267" s="841"/>
      <c r="M267" s="841"/>
      <c r="N267" s="1357"/>
      <c r="O267" s="841"/>
      <c r="P267" s="1420"/>
      <c r="Q267" s="1420"/>
      <c r="Z267" s="1534" t="s">
        <v>4844</v>
      </c>
    </row>
    <row r="268" spans="2:26" ht="11.25" customHeight="1" x14ac:dyDescent="0.25">
      <c r="B268" s="1688" t="s">
        <v>4845</v>
      </c>
      <c r="C268" s="1688"/>
      <c r="D268" s="1533" t="s">
        <v>23</v>
      </c>
      <c r="E268" s="391">
        <v>15</v>
      </c>
      <c r="F268" s="841"/>
      <c r="G268" s="1530"/>
      <c r="H268" s="841"/>
      <c r="I268" s="841"/>
      <c r="J268" s="1357"/>
      <c r="K268" s="841"/>
      <c r="L268" s="841"/>
      <c r="M268" s="841"/>
      <c r="N268" s="1357"/>
      <c r="O268" s="841"/>
      <c r="P268" s="1420"/>
      <c r="Q268" s="1420"/>
      <c r="Z268" s="1534" t="s">
        <v>4845</v>
      </c>
    </row>
    <row r="269" spans="2:26" ht="11.25" customHeight="1" x14ac:dyDescent="0.25">
      <c r="B269" s="1688" t="s">
        <v>5738</v>
      </c>
      <c r="C269" s="1688"/>
      <c r="D269" s="1533" t="s">
        <v>23</v>
      </c>
      <c r="E269" s="391">
        <v>15</v>
      </c>
      <c r="F269" s="841"/>
      <c r="G269" s="1530"/>
      <c r="H269" s="841"/>
      <c r="I269" s="841"/>
      <c r="J269" s="1357"/>
      <c r="K269" s="841"/>
      <c r="L269" s="841"/>
      <c r="M269" s="841"/>
      <c r="N269" s="1357"/>
      <c r="O269" s="841"/>
      <c r="P269" s="1420"/>
      <c r="Q269" s="1420"/>
      <c r="Z269" s="1534" t="s">
        <v>5738</v>
      </c>
    </row>
    <row r="270" spans="2:26" ht="11.25" customHeight="1" x14ac:dyDescent="0.25">
      <c r="B270" s="1688" t="s">
        <v>4846</v>
      </c>
      <c r="C270" s="1688"/>
      <c r="D270" s="1533" t="s">
        <v>23</v>
      </c>
      <c r="E270" s="391">
        <v>30</v>
      </c>
      <c r="F270" s="841"/>
      <c r="G270" s="1530"/>
      <c r="H270" s="841"/>
      <c r="I270" s="841"/>
      <c r="J270" s="1357"/>
      <c r="K270" s="841"/>
      <c r="L270" s="841"/>
      <c r="M270" s="841"/>
      <c r="N270" s="1357"/>
      <c r="O270" s="841"/>
      <c r="P270" s="1420"/>
      <c r="Q270" s="1420"/>
      <c r="Z270" s="1534" t="s">
        <v>4846</v>
      </c>
    </row>
    <row r="271" spans="2:26" ht="11.25" customHeight="1" x14ac:dyDescent="0.25">
      <c r="B271" s="1688" t="s">
        <v>4847</v>
      </c>
      <c r="C271" s="1688"/>
      <c r="D271" s="1533" t="s">
        <v>23</v>
      </c>
      <c r="E271" s="391">
        <v>30</v>
      </c>
      <c r="F271" s="841"/>
      <c r="G271" s="1530"/>
      <c r="H271" s="841"/>
      <c r="I271" s="841"/>
      <c r="J271" s="1357"/>
      <c r="K271" s="841"/>
      <c r="L271" s="841"/>
      <c r="M271" s="841"/>
      <c r="N271" s="1357"/>
      <c r="O271" s="841"/>
      <c r="P271" s="1420"/>
      <c r="Q271" s="1420"/>
      <c r="Z271" s="1534" t="s">
        <v>4847</v>
      </c>
    </row>
    <row r="272" spans="2:26" ht="11.25" customHeight="1" x14ac:dyDescent="0.25">
      <c r="B272" s="1688" t="s">
        <v>4848</v>
      </c>
      <c r="C272" s="1688"/>
      <c r="D272" s="1533" t="s">
        <v>23</v>
      </c>
      <c r="E272" s="391">
        <v>30</v>
      </c>
      <c r="F272" s="841"/>
      <c r="G272" s="1530"/>
      <c r="H272" s="841"/>
      <c r="I272" s="841"/>
      <c r="J272" s="1357"/>
      <c r="K272" s="841"/>
      <c r="L272" s="841"/>
      <c r="M272" s="841"/>
      <c r="N272" s="1357"/>
      <c r="O272" s="841"/>
      <c r="P272" s="1420"/>
      <c r="Q272" s="1420"/>
      <c r="Z272" s="1534" t="s">
        <v>4848</v>
      </c>
    </row>
    <row r="273" spans="2:26" s="841" customFormat="1" ht="6.75" customHeight="1" x14ac:dyDescent="0.25">
      <c r="B273" s="1522"/>
      <c r="C273" s="1522"/>
      <c r="D273" s="1533"/>
      <c r="E273" s="391"/>
      <c r="G273" s="1530"/>
      <c r="J273" s="1357"/>
      <c r="N273" s="1357"/>
      <c r="P273" s="1420"/>
      <c r="Q273" s="1420"/>
    </row>
    <row r="274" spans="2:26" x14ac:dyDescent="0.25">
      <c r="B274" s="1515" t="s">
        <v>3152</v>
      </c>
      <c r="C274" s="500"/>
      <c r="D274" s="397"/>
      <c r="E274" s="1311"/>
      <c r="F274" s="841"/>
      <c r="G274" s="1530"/>
      <c r="H274" s="841" t="s">
        <v>4849</v>
      </c>
      <c r="I274" s="841"/>
      <c r="J274" s="1357"/>
      <c r="K274" s="841"/>
      <c r="L274" s="841"/>
      <c r="M274" s="841"/>
      <c r="N274" s="1357"/>
      <c r="O274" s="841"/>
      <c r="P274" s="1420"/>
      <c r="Q274" s="1420"/>
    </row>
    <row r="275" spans="2:26" ht="11.25" customHeight="1" x14ac:dyDescent="0.25">
      <c r="B275" s="1688" t="s">
        <v>5137</v>
      </c>
      <c r="C275" s="1688"/>
      <c r="D275" s="1533" t="s">
        <v>86</v>
      </c>
      <c r="E275" s="391">
        <v>1.5</v>
      </c>
      <c r="F275" s="841"/>
      <c r="G275" s="1530"/>
      <c r="H275" s="841"/>
      <c r="I275" s="841"/>
      <c r="J275" s="1357"/>
      <c r="K275" s="841"/>
      <c r="L275" s="841"/>
      <c r="M275" s="841"/>
      <c r="N275" s="1357"/>
      <c r="O275" s="841"/>
      <c r="P275" s="1420"/>
      <c r="Q275" s="1420"/>
      <c r="Z275" s="1534" t="s">
        <v>5137</v>
      </c>
    </row>
    <row r="276" spans="2:26" ht="11.25" customHeight="1" x14ac:dyDescent="0.25">
      <c r="B276" s="1688" t="s">
        <v>4850</v>
      </c>
      <c r="C276" s="1688"/>
      <c r="D276" s="1533" t="s">
        <v>86</v>
      </c>
      <c r="E276" s="391">
        <v>19.559999999999999</v>
      </c>
      <c r="F276" s="841"/>
      <c r="G276" s="1530"/>
      <c r="H276" s="841"/>
      <c r="I276" s="841"/>
      <c r="J276" s="1357"/>
      <c r="K276" s="841"/>
      <c r="L276" s="841"/>
      <c r="M276" s="841"/>
      <c r="N276" s="1357"/>
      <c r="O276" s="841"/>
      <c r="P276" s="1420"/>
      <c r="Q276" s="1420"/>
      <c r="Z276" s="1534" t="s">
        <v>4850</v>
      </c>
    </row>
    <row r="277" spans="2:26" ht="11.25" customHeight="1" x14ac:dyDescent="0.25">
      <c r="B277" s="1688" t="s">
        <v>4851</v>
      </c>
      <c r="C277" s="1688"/>
      <c r="D277" s="1533" t="s">
        <v>23</v>
      </c>
      <c r="E277" s="391">
        <v>30</v>
      </c>
      <c r="F277" s="841"/>
      <c r="G277" s="1530"/>
      <c r="H277" s="841"/>
      <c r="I277" s="841"/>
      <c r="J277" s="1357"/>
      <c r="K277" s="841"/>
      <c r="L277" s="841"/>
      <c r="M277" s="841"/>
      <c r="N277" s="1357"/>
      <c r="O277" s="841"/>
      <c r="P277" s="1420"/>
      <c r="Q277" s="1420"/>
      <c r="Z277" s="1534" t="s">
        <v>4851</v>
      </c>
    </row>
    <row r="278" spans="2:26" ht="11.25" customHeight="1" x14ac:dyDescent="0.25">
      <c r="B278" s="1688" t="s">
        <v>4852</v>
      </c>
      <c r="C278" s="1688"/>
      <c r="D278" s="1533" t="s">
        <v>23</v>
      </c>
      <c r="E278" s="391">
        <v>165</v>
      </c>
      <c r="F278" s="841"/>
      <c r="G278" s="1530"/>
      <c r="H278" s="841"/>
      <c r="I278" s="841"/>
      <c r="J278" s="1357"/>
      <c r="K278" s="841"/>
      <c r="L278" s="841"/>
      <c r="M278" s="841"/>
      <c r="N278" s="1357"/>
      <c r="O278" s="841"/>
      <c r="P278" s="1420"/>
      <c r="Q278" s="1420"/>
      <c r="Z278" s="1534" t="s">
        <v>4852</v>
      </c>
    </row>
    <row r="279" spans="2:26" ht="11.25" customHeight="1" x14ac:dyDescent="0.25">
      <c r="B279" s="1688" t="s">
        <v>5739</v>
      </c>
      <c r="C279" s="1688"/>
      <c r="D279" s="1533" t="s">
        <v>23</v>
      </c>
      <c r="E279" s="391">
        <v>65</v>
      </c>
      <c r="F279" s="841"/>
      <c r="G279" s="1530"/>
      <c r="H279" s="841"/>
      <c r="I279" s="841"/>
      <c r="J279" s="1357"/>
      <c r="K279" s="841"/>
      <c r="L279" s="841"/>
      <c r="M279" s="841"/>
      <c r="N279" s="1357"/>
      <c r="O279" s="841"/>
      <c r="P279" s="1420"/>
      <c r="Q279" s="1420"/>
      <c r="Z279" s="1534" t="s">
        <v>5739</v>
      </c>
    </row>
    <row r="280" spans="2:26" ht="11.25" customHeight="1" x14ac:dyDescent="0.25">
      <c r="B280" s="1688" t="s">
        <v>5740</v>
      </c>
      <c r="C280" s="1688"/>
      <c r="D280" s="1533" t="s">
        <v>23</v>
      </c>
      <c r="E280" s="391">
        <v>185</v>
      </c>
      <c r="F280" s="841"/>
      <c r="G280" s="1530"/>
      <c r="H280" s="841"/>
      <c r="I280" s="841"/>
      <c r="J280" s="1357"/>
      <c r="K280" s="841"/>
      <c r="L280" s="841"/>
      <c r="M280" s="841"/>
      <c r="N280" s="1357"/>
      <c r="O280" s="841"/>
      <c r="P280" s="1420"/>
      <c r="Q280" s="1420"/>
      <c r="Z280" s="1534" t="s">
        <v>5740</v>
      </c>
    </row>
    <row r="281" spans="2:26" ht="11.25" customHeight="1" x14ac:dyDescent="0.25">
      <c r="B281" s="1688" t="s">
        <v>3918</v>
      </c>
      <c r="C281" s="1688"/>
      <c r="D281" s="1533" t="s">
        <v>23</v>
      </c>
      <c r="E281" s="391">
        <v>185</v>
      </c>
      <c r="F281" s="841"/>
      <c r="G281" s="1530"/>
      <c r="H281" s="841"/>
      <c r="I281" s="841"/>
      <c r="J281" s="1357"/>
      <c r="K281" s="841"/>
      <c r="L281" s="841"/>
      <c r="M281" s="841"/>
      <c r="N281" s="1357"/>
      <c r="O281" s="841"/>
      <c r="P281" s="1420"/>
      <c r="Q281" s="1420"/>
      <c r="Z281" s="1534" t="s">
        <v>3918</v>
      </c>
    </row>
    <row r="282" spans="2:26" ht="11.25" customHeight="1" x14ac:dyDescent="0.25">
      <c r="B282" s="1688" t="s">
        <v>5741</v>
      </c>
      <c r="C282" s="1688"/>
      <c r="D282" s="1533" t="s">
        <v>23</v>
      </c>
      <c r="E282" s="391">
        <v>415</v>
      </c>
      <c r="F282" s="841"/>
      <c r="G282" s="1530"/>
      <c r="H282" s="841"/>
      <c r="I282" s="841"/>
      <c r="J282" s="1357"/>
      <c r="K282" s="841"/>
      <c r="L282" s="841"/>
      <c r="M282" s="841"/>
      <c r="N282" s="1357"/>
      <c r="O282" s="841"/>
      <c r="P282" s="1420"/>
      <c r="Q282" s="1420"/>
      <c r="Z282" s="1534" t="s">
        <v>5741</v>
      </c>
    </row>
    <row r="283" spans="2:26" ht="11.25" customHeight="1" x14ac:dyDescent="0.25">
      <c r="B283" s="1688" t="s">
        <v>5742</v>
      </c>
      <c r="C283" s="1688"/>
      <c r="D283" s="1533" t="s">
        <v>23</v>
      </c>
      <c r="E283" s="391">
        <v>65</v>
      </c>
      <c r="F283" s="841"/>
      <c r="G283" s="1530"/>
      <c r="H283" s="841"/>
      <c r="I283" s="841"/>
      <c r="J283" s="1357"/>
      <c r="K283" s="841"/>
      <c r="L283" s="841"/>
      <c r="M283" s="841"/>
      <c r="N283" s="1357"/>
      <c r="O283" s="841"/>
      <c r="P283" s="1420"/>
      <c r="Q283" s="1420"/>
      <c r="Z283" s="1534" t="s">
        <v>5742</v>
      </c>
    </row>
    <row r="284" spans="2:26" ht="11.25" customHeight="1" x14ac:dyDescent="0.25">
      <c r="B284" s="1688" t="s">
        <v>5743</v>
      </c>
      <c r="C284" s="1688"/>
      <c r="D284" s="1533" t="s">
        <v>23</v>
      </c>
      <c r="E284" s="391">
        <v>185</v>
      </c>
      <c r="F284" s="841"/>
      <c r="G284" s="1530"/>
      <c r="H284" s="841"/>
      <c r="I284" s="841"/>
      <c r="J284" s="1357"/>
      <c r="K284" s="841"/>
      <c r="L284" s="841"/>
      <c r="M284" s="841"/>
      <c r="N284" s="1357"/>
      <c r="O284" s="841"/>
      <c r="P284" s="1420"/>
      <c r="Q284" s="1420"/>
      <c r="Z284" s="1534" t="s">
        <v>5743</v>
      </c>
    </row>
    <row r="285" spans="2:26" s="841" customFormat="1" ht="6.75" customHeight="1" x14ac:dyDescent="0.25">
      <c r="B285" s="1522"/>
      <c r="C285" s="1522"/>
      <c r="D285" s="1533"/>
      <c r="E285" s="391"/>
      <c r="G285" s="1530"/>
      <c r="J285" s="1357"/>
      <c r="N285" s="1357"/>
      <c r="P285" s="1420"/>
      <c r="Q285" s="1420"/>
    </row>
    <row r="286" spans="2:26" x14ac:dyDescent="0.25">
      <c r="B286" s="1515" t="s">
        <v>3164</v>
      </c>
      <c r="C286" s="3"/>
      <c r="D286" s="397"/>
      <c r="E286" s="1311"/>
      <c r="F286" s="841"/>
      <c r="G286" s="1530"/>
      <c r="H286" s="841"/>
      <c r="I286" s="841"/>
      <c r="J286" s="1357"/>
      <c r="K286" s="841"/>
      <c r="L286" s="841"/>
      <c r="M286" s="841"/>
      <c r="N286" s="1357"/>
      <c r="O286" s="841"/>
      <c r="P286" s="1420"/>
      <c r="Q286" s="1420"/>
    </row>
    <row r="287" spans="2:26" ht="11.25" customHeight="1" x14ac:dyDescent="0.25">
      <c r="B287" s="1688" t="s">
        <v>4853</v>
      </c>
      <c r="C287" s="1688"/>
      <c r="D287" s="1533" t="s">
        <v>23</v>
      </c>
      <c r="E287" s="391">
        <v>30</v>
      </c>
      <c r="F287" s="841"/>
      <c r="G287" s="1530"/>
      <c r="H287" s="841"/>
      <c r="I287" s="841"/>
      <c r="J287" s="1357"/>
      <c r="K287" s="841"/>
      <c r="L287" s="841"/>
      <c r="M287" s="841"/>
      <c r="N287" s="1357"/>
      <c r="O287" s="841"/>
      <c r="P287" s="1420"/>
      <c r="Q287" s="1420"/>
      <c r="Z287" s="1534" t="s">
        <v>4853</v>
      </c>
    </row>
    <row r="288" spans="2:26" ht="11.25" customHeight="1" x14ac:dyDescent="0.25">
      <c r="B288" s="1688" t="s">
        <v>4854</v>
      </c>
      <c r="C288" s="1688"/>
      <c r="D288" s="1533" t="s">
        <v>23</v>
      </c>
      <c r="E288" s="391">
        <v>165</v>
      </c>
      <c r="F288" s="841"/>
      <c r="G288" s="1530"/>
      <c r="H288" s="841"/>
      <c r="I288" s="841"/>
      <c r="J288" s="1357"/>
      <c r="K288" s="841"/>
      <c r="L288" s="841"/>
      <c r="M288" s="841"/>
      <c r="N288" s="1357"/>
      <c r="O288" s="841"/>
      <c r="P288" s="1420"/>
      <c r="Q288" s="1420"/>
      <c r="Z288" s="1534" t="s">
        <v>4854</v>
      </c>
    </row>
    <row r="289" spans="2:27" ht="11.25" customHeight="1" x14ac:dyDescent="0.25">
      <c r="B289" s="1688" t="s">
        <v>3920</v>
      </c>
      <c r="C289" s="1688"/>
      <c r="D289" s="1533" t="s">
        <v>23</v>
      </c>
      <c r="E289" s="391">
        <v>500</v>
      </c>
      <c r="F289" s="841"/>
      <c r="G289" s="1530"/>
      <c r="H289" s="841"/>
      <c r="I289" s="841"/>
      <c r="J289" s="1357"/>
      <c r="K289" s="841"/>
      <c r="L289" s="841"/>
      <c r="M289" s="841"/>
      <c r="N289" s="1357"/>
      <c r="O289" s="841"/>
      <c r="P289" s="1420"/>
      <c r="Q289" s="1420"/>
      <c r="Z289" s="1534" t="s">
        <v>3920</v>
      </c>
    </row>
    <row r="290" spans="2:27" ht="11.25" customHeight="1" x14ac:dyDescent="0.25">
      <c r="B290" s="1688" t="s">
        <v>4855</v>
      </c>
      <c r="C290" s="1688"/>
      <c r="D290" s="1533" t="s">
        <v>23</v>
      </c>
      <c r="E290" s="391">
        <v>300</v>
      </c>
      <c r="F290" s="841"/>
      <c r="G290" s="1530"/>
      <c r="H290" s="841"/>
      <c r="I290" s="841"/>
      <c r="J290" s="1357"/>
      <c r="K290" s="841"/>
      <c r="L290" s="841"/>
      <c r="M290" s="841"/>
      <c r="N290" s="1357"/>
      <c r="O290" s="841"/>
      <c r="P290" s="1420"/>
      <c r="Q290" s="1420"/>
      <c r="Z290" s="1534" t="s">
        <v>4855</v>
      </c>
    </row>
    <row r="291" spans="2:27" ht="11.25" customHeight="1" x14ac:dyDescent="0.25">
      <c r="B291" s="1688" t="s">
        <v>4856</v>
      </c>
      <c r="C291" s="1688"/>
      <c r="D291" s="1533" t="s">
        <v>23</v>
      </c>
      <c r="E291" s="391">
        <v>1000</v>
      </c>
      <c r="F291" s="841"/>
      <c r="G291" s="1530"/>
      <c r="H291" s="841"/>
      <c r="I291" s="841"/>
      <c r="J291" s="1357"/>
      <c r="K291" s="841"/>
      <c r="L291" s="841"/>
      <c r="M291" s="841"/>
      <c r="N291" s="1357"/>
      <c r="O291" s="841"/>
      <c r="P291" s="1420"/>
      <c r="Q291" s="1420"/>
      <c r="Z291" s="1534" t="s">
        <v>4856</v>
      </c>
    </row>
    <row r="292" spans="2:27" ht="22.5" x14ac:dyDescent="0.25">
      <c r="B292" s="1688" t="s">
        <v>5744</v>
      </c>
      <c r="C292" s="1688"/>
      <c r="D292" s="1533" t="s">
        <v>23</v>
      </c>
      <c r="E292" s="391">
        <v>22.35</v>
      </c>
      <c r="F292" s="841"/>
      <c r="G292" s="1530"/>
      <c r="H292" s="841"/>
      <c r="I292" s="841"/>
      <c r="J292" s="1357"/>
      <c r="K292" s="841"/>
      <c r="L292" s="841"/>
      <c r="M292" s="841"/>
      <c r="N292" s="1357"/>
      <c r="O292" s="841"/>
      <c r="P292" s="1420"/>
      <c r="Q292" s="1420"/>
      <c r="Z292" s="1534" t="s">
        <v>5744</v>
      </c>
    </row>
    <row r="293" spans="2:27" ht="18" x14ac:dyDescent="0.25">
      <c r="B293" s="1687" t="s">
        <v>77</v>
      </c>
      <c r="C293" s="1687"/>
      <c r="D293" s="1687"/>
      <c r="E293" s="1687"/>
      <c r="F293" s="841"/>
      <c r="G293" s="1530"/>
      <c r="H293" s="841" t="s">
        <v>4857</v>
      </c>
      <c r="I293" s="841"/>
      <c r="J293" s="1357"/>
      <c r="K293" s="841"/>
      <c r="L293" s="841"/>
      <c r="M293" s="841"/>
      <c r="N293" s="1357"/>
      <c r="O293" s="841"/>
      <c r="P293" s="1420"/>
      <c r="Q293" s="1420"/>
      <c r="AA293" s="1071" t="s">
        <v>77</v>
      </c>
    </row>
    <row r="294" spans="2:27" s="841" customFormat="1" ht="6.75" customHeight="1" x14ac:dyDescent="0.25">
      <c r="B294" s="1521"/>
      <c r="C294" s="1521"/>
      <c r="D294" s="1521"/>
      <c r="E294" s="1521"/>
      <c r="G294" s="1530"/>
      <c r="J294" s="1357"/>
      <c r="N294" s="1357"/>
      <c r="P294" s="1420"/>
      <c r="Q294" s="1420"/>
    </row>
    <row r="295" spans="2:27" ht="36" x14ac:dyDescent="0.25">
      <c r="B295" s="1689" t="s">
        <v>3063</v>
      </c>
      <c r="C295" s="1689"/>
      <c r="D295" s="1689"/>
      <c r="E295" s="1689"/>
      <c r="F295" s="841"/>
      <c r="G295" s="1530"/>
      <c r="H295" s="841"/>
      <c r="I295" s="841"/>
      <c r="J295" s="1357"/>
      <c r="K295" s="841"/>
      <c r="L295" s="841"/>
      <c r="M295" s="841"/>
      <c r="N295" s="1357"/>
      <c r="O295" s="841"/>
      <c r="P295" s="1420"/>
      <c r="Q295" s="1420"/>
      <c r="AA295" s="1532" t="s">
        <v>3063</v>
      </c>
    </row>
    <row r="296" spans="2:27" s="841" customFormat="1" ht="6.75" customHeight="1" x14ac:dyDescent="0.25">
      <c r="B296" s="1514"/>
      <c r="C296" s="1514"/>
      <c r="D296" s="1514"/>
      <c r="E296" s="1514"/>
      <c r="G296" s="1530"/>
      <c r="J296" s="1357"/>
      <c r="N296" s="1357"/>
      <c r="P296" s="1420"/>
      <c r="Q296" s="1420"/>
    </row>
    <row r="297" spans="2:27" ht="48" x14ac:dyDescent="0.25">
      <c r="B297" s="1689" t="s">
        <v>3064</v>
      </c>
      <c r="C297" s="1689"/>
      <c r="D297" s="1689"/>
      <c r="E297" s="1689"/>
      <c r="F297" s="841"/>
      <c r="G297" s="1530"/>
      <c r="H297" s="841"/>
      <c r="I297" s="841"/>
      <c r="J297" s="1357"/>
      <c r="K297" s="841"/>
      <c r="L297" s="841"/>
      <c r="M297" s="841"/>
      <c r="N297" s="1357"/>
      <c r="O297" s="841"/>
      <c r="P297" s="1420"/>
      <c r="Q297" s="1420"/>
      <c r="AA297" s="1532" t="s">
        <v>3064</v>
      </c>
    </row>
    <row r="298" spans="2:27" s="841" customFormat="1" ht="6.75" customHeight="1" x14ac:dyDescent="0.25">
      <c r="B298" s="1514"/>
      <c r="C298" s="1514"/>
      <c r="D298" s="1514"/>
      <c r="E298" s="1514"/>
      <c r="G298" s="1530"/>
      <c r="J298" s="1357"/>
      <c r="N298" s="1357"/>
      <c r="P298" s="1420"/>
      <c r="Q298" s="1420"/>
    </row>
    <row r="299" spans="2:27" ht="24" x14ac:dyDescent="0.25">
      <c r="B299" s="1689" t="s">
        <v>3129</v>
      </c>
      <c r="C299" s="1689"/>
      <c r="D299" s="1689"/>
      <c r="E299" s="1689"/>
      <c r="F299" s="841"/>
      <c r="G299" s="1530"/>
      <c r="H299" s="841"/>
      <c r="I299" s="841"/>
      <c r="J299" s="1357"/>
      <c r="K299" s="841"/>
      <c r="L299" s="841"/>
      <c r="M299" s="841"/>
      <c r="N299" s="1357"/>
      <c r="O299" s="841"/>
      <c r="P299" s="1420"/>
      <c r="Q299" s="1420"/>
      <c r="AA299" s="1532" t="s">
        <v>3129</v>
      </c>
    </row>
    <row r="300" spans="2:27" s="841" customFormat="1" ht="6.75" customHeight="1" x14ac:dyDescent="0.25">
      <c r="B300" s="1514"/>
      <c r="C300" s="1514"/>
      <c r="D300" s="1514"/>
      <c r="E300" s="1514"/>
      <c r="G300" s="1530"/>
      <c r="J300" s="1357"/>
      <c r="N300" s="1357"/>
      <c r="P300" s="1420"/>
      <c r="Q300" s="1420"/>
    </row>
    <row r="301" spans="2:27" ht="36" x14ac:dyDescent="0.25">
      <c r="B301" s="1689" t="s">
        <v>3066</v>
      </c>
      <c r="C301" s="1689"/>
      <c r="D301" s="1689"/>
      <c r="E301" s="1689"/>
      <c r="F301" s="841"/>
      <c r="G301" s="1530"/>
      <c r="H301" s="841"/>
      <c r="I301" s="841"/>
      <c r="J301" s="1357"/>
      <c r="K301" s="841"/>
      <c r="L301" s="841"/>
      <c r="M301" s="841"/>
      <c r="N301" s="1357"/>
      <c r="O301" s="841"/>
      <c r="P301" s="1420"/>
      <c r="Q301" s="1420"/>
      <c r="AA301" s="1532" t="s">
        <v>3066</v>
      </c>
    </row>
    <row r="302" spans="2:27" s="841" customFormat="1" ht="6.75" customHeight="1" x14ac:dyDescent="0.25">
      <c r="B302" s="1514"/>
      <c r="C302" s="1514"/>
      <c r="D302" s="1514"/>
      <c r="E302" s="1514"/>
      <c r="G302" s="1530"/>
      <c r="J302" s="1357"/>
      <c r="N302" s="1357"/>
      <c r="P302" s="1420"/>
      <c r="Q302" s="1420"/>
    </row>
    <row r="303" spans="2:27" ht="24" x14ac:dyDescent="0.25">
      <c r="B303" s="1689" t="s">
        <v>3559</v>
      </c>
      <c r="C303" s="1689"/>
      <c r="D303" s="1689"/>
      <c r="E303" s="1689"/>
      <c r="F303" s="841"/>
      <c r="G303" s="1530"/>
      <c r="H303" s="841"/>
      <c r="I303" s="841"/>
      <c r="J303" s="1357"/>
      <c r="K303" s="841"/>
      <c r="L303" s="841"/>
      <c r="M303" s="841"/>
      <c r="N303" s="1357"/>
      <c r="O303" s="841"/>
      <c r="P303" s="1420"/>
      <c r="Q303" s="1420"/>
      <c r="AA303" s="1532" t="s">
        <v>3559</v>
      </c>
    </row>
    <row r="304" spans="2:27" ht="11.25" customHeight="1" x14ac:dyDescent="0.25">
      <c r="B304" s="1690" t="s">
        <v>4858</v>
      </c>
      <c r="C304" s="1690"/>
      <c r="D304" s="397" t="s">
        <v>23</v>
      </c>
      <c r="E304" s="1312">
        <v>100</v>
      </c>
      <c r="F304" s="841"/>
      <c r="G304" s="1530"/>
      <c r="H304" s="841"/>
      <c r="I304" s="841"/>
      <c r="J304" s="1357"/>
      <c r="K304" s="841"/>
      <c r="L304" s="841"/>
      <c r="M304" s="841"/>
      <c r="N304" s="1357"/>
      <c r="O304" s="841"/>
      <c r="P304" s="1420"/>
      <c r="Q304" s="1420"/>
      <c r="Z304" s="1534" t="s">
        <v>4858</v>
      </c>
    </row>
    <row r="305" spans="2:27" ht="11.25" customHeight="1" x14ac:dyDescent="0.25">
      <c r="B305" s="1690" t="s">
        <v>5745</v>
      </c>
      <c r="C305" s="1690"/>
      <c r="D305" s="397" t="s">
        <v>23</v>
      </c>
      <c r="E305" s="1312">
        <v>20</v>
      </c>
      <c r="F305" s="841"/>
      <c r="G305" s="1530"/>
      <c r="H305" s="841"/>
      <c r="I305" s="841"/>
      <c r="J305" s="1357"/>
      <c r="K305" s="841"/>
      <c r="L305" s="841"/>
      <c r="M305" s="841"/>
      <c r="N305" s="1357"/>
      <c r="O305" s="841"/>
      <c r="P305" s="1420"/>
      <c r="Q305" s="1420"/>
      <c r="Z305" s="1534" t="s">
        <v>5745</v>
      </c>
    </row>
    <row r="306" spans="2:27" ht="11.25" customHeight="1" x14ac:dyDescent="0.25">
      <c r="B306" s="1690" t="s">
        <v>5746</v>
      </c>
      <c r="C306" s="1690"/>
      <c r="D306" s="397" t="s">
        <v>3179</v>
      </c>
      <c r="E306" s="1312">
        <v>0.5</v>
      </c>
      <c r="F306" s="841"/>
      <c r="G306" s="1530"/>
      <c r="H306" s="841"/>
      <c r="I306" s="841"/>
      <c r="J306" s="1357"/>
      <c r="K306" s="841"/>
      <c r="L306" s="841"/>
      <c r="M306" s="841"/>
      <c r="N306" s="1357"/>
      <c r="O306" s="841"/>
      <c r="P306" s="1420"/>
      <c r="Q306" s="1420"/>
      <c r="Z306" s="1534" t="s">
        <v>5746</v>
      </c>
    </row>
    <row r="307" spans="2:27" ht="11.25" customHeight="1" x14ac:dyDescent="0.25">
      <c r="B307" s="1690" t="s">
        <v>4859</v>
      </c>
      <c r="C307" s="1690"/>
      <c r="D307" s="397" t="s">
        <v>3179</v>
      </c>
      <c r="E307" s="1312">
        <v>0.3</v>
      </c>
      <c r="F307" s="841"/>
      <c r="G307" s="1530"/>
      <c r="H307" s="841"/>
      <c r="I307" s="841"/>
      <c r="J307" s="1357"/>
      <c r="K307" s="841"/>
      <c r="L307" s="841"/>
      <c r="M307" s="841"/>
      <c r="N307" s="1357"/>
      <c r="O307" s="841"/>
      <c r="P307" s="1420"/>
      <c r="Q307" s="1420"/>
      <c r="Z307" s="1534" t="s">
        <v>4859</v>
      </c>
    </row>
    <row r="308" spans="2:27" ht="11.25" customHeight="1" x14ac:dyDescent="0.25">
      <c r="B308" s="1690" t="s">
        <v>4860</v>
      </c>
      <c r="C308" s="1690"/>
      <c r="D308" s="397" t="s">
        <v>3179</v>
      </c>
      <c r="E308" s="1312">
        <v>-0.3</v>
      </c>
      <c r="F308" s="841"/>
      <c r="G308" s="1530"/>
      <c r="H308" s="841"/>
      <c r="I308" s="841"/>
      <c r="J308" s="1357"/>
      <c r="K308" s="841"/>
      <c r="L308" s="841"/>
      <c r="M308" s="841"/>
      <c r="N308" s="1357"/>
      <c r="O308" s="841"/>
      <c r="P308" s="1420"/>
      <c r="Q308" s="1420"/>
      <c r="Z308" s="1534" t="s">
        <v>4860</v>
      </c>
    </row>
    <row r="309" spans="2:27" ht="11.25" customHeight="1" x14ac:dyDescent="0.25">
      <c r="B309" s="1690" t="s">
        <v>3292</v>
      </c>
      <c r="C309" s="1690"/>
      <c r="D309" s="3"/>
      <c r="E309" s="1313"/>
      <c r="F309" s="841"/>
      <c r="G309" s="1530"/>
      <c r="H309" s="841"/>
      <c r="I309" s="841"/>
      <c r="J309" s="1357"/>
      <c r="K309" s="841"/>
      <c r="L309" s="841"/>
      <c r="M309" s="841"/>
      <c r="N309" s="1357"/>
      <c r="O309" s="841"/>
      <c r="P309" s="1420"/>
      <c r="Q309" s="1420"/>
      <c r="Z309" s="1534" t="s">
        <v>3292</v>
      </c>
    </row>
    <row r="310" spans="2:27" ht="11.25" customHeight="1" x14ac:dyDescent="0.25">
      <c r="B310" s="1691" t="s">
        <v>4861</v>
      </c>
      <c r="C310" s="1691"/>
      <c r="D310" s="718" t="s">
        <v>23</v>
      </c>
      <c r="E310" s="1006">
        <v>0.25</v>
      </c>
      <c r="F310" s="841"/>
      <c r="G310" s="1530"/>
      <c r="H310" s="841"/>
      <c r="I310" s="841"/>
      <c r="J310" s="1357"/>
      <c r="K310" s="841"/>
      <c r="L310" s="841"/>
      <c r="M310" s="841"/>
      <c r="N310" s="1357"/>
      <c r="O310" s="841"/>
      <c r="P310" s="1420"/>
      <c r="Q310" s="1420"/>
      <c r="Z310" s="1534" t="s">
        <v>4861</v>
      </c>
    </row>
    <row r="311" spans="2:27" ht="11.25" customHeight="1" x14ac:dyDescent="0.25">
      <c r="B311" s="1691" t="s">
        <v>4862</v>
      </c>
      <c r="C311" s="1691"/>
      <c r="D311" s="718" t="s">
        <v>23</v>
      </c>
      <c r="E311" s="1006">
        <v>0.5</v>
      </c>
      <c r="F311" s="841"/>
      <c r="G311" s="1530"/>
      <c r="H311" s="841"/>
      <c r="I311" s="841"/>
      <c r="J311" s="1357"/>
      <c r="K311" s="841"/>
      <c r="L311" s="841"/>
      <c r="M311" s="841"/>
      <c r="N311" s="1357"/>
      <c r="O311" s="841"/>
      <c r="P311" s="1420"/>
      <c r="Q311" s="1420"/>
      <c r="Z311" s="1534" t="s">
        <v>4862</v>
      </c>
    </row>
    <row r="312" spans="2:27" ht="11.25" customHeight="1" x14ac:dyDescent="0.25">
      <c r="B312" s="1690" t="s">
        <v>3185</v>
      </c>
      <c r="C312" s="1690"/>
      <c r="D312" s="396"/>
      <c r="E312" s="500"/>
      <c r="F312" s="841"/>
      <c r="G312" s="1530"/>
      <c r="H312" s="841"/>
      <c r="I312" s="841"/>
      <c r="J312" s="1357"/>
      <c r="K312" s="841"/>
      <c r="L312" s="841"/>
      <c r="M312" s="841"/>
      <c r="N312" s="1357"/>
      <c r="O312" s="841"/>
      <c r="P312" s="1420"/>
      <c r="Q312" s="1420"/>
      <c r="Z312" s="1534" t="s">
        <v>3185</v>
      </c>
    </row>
    <row r="313" spans="2:27" ht="11.25" customHeight="1" x14ac:dyDescent="0.25">
      <c r="B313" s="1690" t="s">
        <v>3186</v>
      </c>
      <c r="C313" s="1690"/>
      <c r="D313" s="396"/>
      <c r="E313" s="500"/>
      <c r="F313" s="841"/>
      <c r="G313" s="1530"/>
      <c r="H313" s="841"/>
      <c r="I313" s="841"/>
      <c r="J313" s="1357"/>
      <c r="K313" s="841"/>
      <c r="L313" s="841"/>
      <c r="M313" s="841"/>
      <c r="N313" s="1357"/>
      <c r="O313" s="841"/>
      <c r="P313" s="1420"/>
      <c r="Q313" s="1420"/>
      <c r="Z313" s="1534" t="s">
        <v>3186</v>
      </c>
    </row>
    <row r="314" spans="2:27" ht="11.25" customHeight="1" x14ac:dyDescent="0.25">
      <c r="B314" s="1690" t="s">
        <v>3293</v>
      </c>
      <c r="C314" s="1690"/>
      <c r="D314" s="396"/>
      <c r="E314" s="500"/>
      <c r="F314" s="841"/>
      <c r="G314" s="1530"/>
      <c r="H314" s="841"/>
      <c r="I314" s="841"/>
      <c r="J314" s="1357"/>
      <c r="K314" s="841"/>
      <c r="L314" s="841"/>
      <c r="M314" s="841"/>
      <c r="N314" s="1357"/>
      <c r="O314" s="841"/>
      <c r="P314" s="1420"/>
      <c r="Q314" s="1420"/>
      <c r="Z314" s="1534" t="s">
        <v>3293</v>
      </c>
    </row>
    <row r="315" spans="2:27" ht="11.25" customHeight="1" x14ac:dyDescent="0.25">
      <c r="B315" s="1691" t="s">
        <v>4863</v>
      </c>
      <c r="C315" s="1691"/>
      <c r="D315" s="718" t="s">
        <v>23</v>
      </c>
      <c r="E315" s="720" t="s">
        <v>3189</v>
      </c>
      <c r="F315" s="841"/>
      <c r="G315" s="1530"/>
      <c r="H315" s="841"/>
      <c r="I315" s="841"/>
      <c r="J315" s="1357"/>
      <c r="K315" s="841"/>
      <c r="L315" s="841"/>
      <c r="M315" s="841"/>
      <c r="N315" s="1357"/>
      <c r="O315" s="841"/>
      <c r="P315" s="1420"/>
      <c r="Q315" s="1420"/>
      <c r="Z315" s="1534" t="s">
        <v>4863</v>
      </c>
    </row>
    <row r="316" spans="2:27" ht="11.25" customHeight="1" x14ac:dyDescent="0.25">
      <c r="B316" s="1691" t="s">
        <v>4864</v>
      </c>
      <c r="C316" s="1691"/>
      <c r="D316" s="718" t="s">
        <v>23</v>
      </c>
      <c r="E316" s="1006">
        <v>2</v>
      </c>
      <c r="F316" s="841"/>
      <c r="G316" s="1530"/>
      <c r="H316" s="841"/>
      <c r="I316" s="841"/>
      <c r="J316" s="1357"/>
      <c r="K316" s="841"/>
      <c r="L316" s="841"/>
      <c r="M316" s="841"/>
      <c r="N316" s="1357"/>
      <c r="O316" s="841"/>
      <c r="P316" s="1420"/>
      <c r="Q316" s="1420"/>
      <c r="Z316" s="1534" t="s">
        <v>4864</v>
      </c>
    </row>
    <row r="317" spans="2:27" s="841" customFormat="1" ht="6.75" customHeight="1" x14ac:dyDescent="0.25">
      <c r="B317" s="1523"/>
      <c r="C317" s="1523"/>
      <c r="D317" s="718"/>
      <c r="E317" s="1006"/>
      <c r="G317" s="1530"/>
      <c r="J317" s="1357"/>
      <c r="N317" s="1357"/>
      <c r="P317" s="1420"/>
      <c r="Q317" s="1420"/>
    </row>
    <row r="318" spans="2:27" ht="18" x14ac:dyDescent="0.25">
      <c r="B318" s="1687" t="s">
        <v>147</v>
      </c>
      <c r="C318" s="1687"/>
      <c r="D318" s="1687"/>
      <c r="E318" s="1687"/>
      <c r="F318" s="841"/>
      <c r="G318" s="1530"/>
      <c r="H318" s="841" t="s">
        <v>4865</v>
      </c>
      <c r="I318" s="841"/>
      <c r="J318" s="1357"/>
      <c r="K318" s="841"/>
      <c r="L318" s="841"/>
      <c r="M318" s="841"/>
      <c r="N318" s="1357"/>
      <c r="O318" s="841"/>
      <c r="P318" s="1420"/>
      <c r="Q318" s="1420"/>
      <c r="AA318" s="1071" t="s">
        <v>147</v>
      </c>
    </row>
    <row r="319" spans="2:27" s="841" customFormat="1" ht="6.75" customHeight="1" x14ac:dyDescent="0.25">
      <c r="B319" s="1521"/>
      <c r="C319" s="1521"/>
      <c r="D319" s="1521"/>
      <c r="E319" s="1521"/>
      <c r="G319" s="1530"/>
      <c r="J319" s="1357"/>
      <c r="N319" s="1357"/>
      <c r="P319" s="1420"/>
      <c r="Q319" s="1420"/>
    </row>
    <row r="320" spans="2:27" ht="22.5" x14ac:dyDescent="0.25">
      <c r="B320" s="1704" t="s">
        <v>3192</v>
      </c>
      <c r="C320" s="1704"/>
      <c r="D320" s="1704"/>
      <c r="E320" s="1704"/>
      <c r="F320" s="841"/>
      <c r="G320" s="1530"/>
      <c r="H320" s="841"/>
      <c r="I320" s="841"/>
      <c r="J320" s="1357"/>
      <c r="K320" s="841"/>
      <c r="L320" s="841"/>
      <c r="M320" s="841"/>
      <c r="N320" s="1357"/>
      <c r="O320" s="841"/>
      <c r="P320" s="1420"/>
      <c r="Q320" s="1420"/>
      <c r="AA320" s="1534" t="s">
        <v>3192</v>
      </c>
    </row>
    <row r="321" spans="2:26" ht="11.25" customHeight="1" x14ac:dyDescent="0.25">
      <c r="B321" s="1690" t="s">
        <v>3295</v>
      </c>
      <c r="C321" s="1690"/>
      <c r="D321" s="1533"/>
      <c r="E321" s="1413">
        <v>1.0819000000000001</v>
      </c>
      <c r="F321" s="841"/>
      <c r="G321" s="1530"/>
      <c r="H321" s="841"/>
      <c r="I321" s="841"/>
      <c r="J321" s="1357"/>
      <c r="K321" s="841"/>
      <c r="L321" s="841"/>
      <c r="M321" s="841"/>
      <c r="N321" s="1357"/>
      <c r="O321" s="841"/>
      <c r="P321" s="1420"/>
      <c r="Q321" s="1420"/>
      <c r="Z321" s="1534" t="s">
        <v>3295</v>
      </c>
    </row>
    <row r="322" spans="2:26" ht="11.25" customHeight="1" x14ac:dyDescent="0.25">
      <c r="B322" s="1690" t="s">
        <v>3297</v>
      </c>
      <c r="C322" s="1690"/>
      <c r="D322" s="1533"/>
      <c r="E322" s="1413">
        <v>1.0710999999999999</v>
      </c>
      <c r="F322" s="841"/>
      <c r="G322" s="1530" t="s">
        <v>4866</v>
      </c>
      <c r="H322" s="841"/>
      <c r="I322" s="841"/>
      <c r="J322" s="1357"/>
      <c r="K322" s="841"/>
      <c r="L322" s="841"/>
      <c r="M322" s="841"/>
      <c r="N322" s="1357"/>
      <c r="O322" s="841"/>
      <c r="P322" s="1420"/>
      <c r="Q322" s="1420"/>
      <c r="Z322" s="1534" t="s">
        <v>3297</v>
      </c>
    </row>
    <row r="323" spans="2:26" x14ac:dyDescent="0.25">
      <c r="G323" s="1530"/>
    </row>
    <row r="324" spans="2:26" x14ac:dyDescent="0.25">
      <c r="G324" s="1530"/>
    </row>
    <row r="325" spans="2:26" x14ac:dyDescent="0.25">
      <c r="G325" s="1530"/>
    </row>
    <row r="326" spans="2:26" x14ac:dyDescent="0.25">
      <c r="G326" s="1530"/>
    </row>
    <row r="327" spans="2:26" x14ac:dyDescent="0.25">
      <c r="G327" s="1530"/>
    </row>
    <row r="328" spans="2:26" x14ac:dyDescent="0.25">
      <c r="G328" s="1530"/>
    </row>
    <row r="329" spans="2:26" x14ac:dyDescent="0.25">
      <c r="G329" s="1530"/>
    </row>
    <row r="330" spans="2:26" x14ac:dyDescent="0.25">
      <c r="G330" s="1530"/>
    </row>
    <row r="331" spans="2:26" x14ac:dyDescent="0.25">
      <c r="G331" s="1530"/>
    </row>
    <row r="332" spans="2:26" x14ac:dyDescent="0.25">
      <c r="G332" s="1530"/>
    </row>
    <row r="333" spans="2:26" x14ac:dyDescent="0.25">
      <c r="G333" s="1530"/>
    </row>
    <row r="334" spans="2:26" x14ac:dyDescent="0.25">
      <c r="G334" s="1530"/>
    </row>
    <row r="335" spans="2:26" x14ac:dyDescent="0.25">
      <c r="G335" s="1530"/>
    </row>
    <row r="336" spans="2:26" x14ac:dyDescent="0.25">
      <c r="G336" s="1530"/>
    </row>
    <row r="337" spans="7:7" x14ac:dyDescent="0.25">
      <c r="G337" s="1530"/>
    </row>
    <row r="338" spans="7:7" x14ac:dyDescent="0.25">
      <c r="G338" s="1530"/>
    </row>
    <row r="339" spans="7:7" x14ac:dyDescent="0.25">
      <c r="G339" s="1530"/>
    </row>
    <row r="340" spans="7:7" x14ac:dyDescent="0.25">
      <c r="G340" s="1530"/>
    </row>
    <row r="341" spans="7:7" x14ac:dyDescent="0.25">
      <c r="G341" s="1530"/>
    </row>
    <row r="342" spans="7:7" x14ac:dyDescent="0.25">
      <c r="G342" s="1530"/>
    </row>
    <row r="343" spans="7:7" x14ac:dyDescent="0.25">
      <c r="G343" s="1530"/>
    </row>
    <row r="344" spans="7:7" x14ac:dyDescent="0.25">
      <c r="G344" s="1530"/>
    </row>
    <row r="345" spans="7:7" x14ac:dyDescent="0.25">
      <c r="G345" s="1530"/>
    </row>
    <row r="346" spans="7:7" x14ac:dyDescent="0.25">
      <c r="G346" s="1530"/>
    </row>
    <row r="347" spans="7:7" x14ac:dyDescent="0.25">
      <c r="G347" s="1530"/>
    </row>
    <row r="348" spans="7:7" x14ac:dyDescent="0.25">
      <c r="G348" s="1530"/>
    </row>
    <row r="349" spans="7:7" x14ac:dyDescent="0.25">
      <c r="G349" s="1530"/>
    </row>
    <row r="350" spans="7:7" x14ac:dyDescent="0.25">
      <c r="G350" s="1530"/>
    </row>
    <row r="351" spans="7:7" x14ac:dyDescent="0.25">
      <c r="G351" s="1530"/>
    </row>
    <row r="352" spans="7:7" x14ac:dyDescent="0.25">
      <c r="G352" s="1530"/>
    </row>
    <row r="353" spans="7:7" x14ac:dyDescent="0.25">
      <c r="G353" s="1530"/>
    </row>
    <row r="354" spans="7:7" x14ac:dyDescent="0.25">
      <c r="G354" s="1530"/>
    </row>
    <row r="355" spans="7:7" x14ac:dyDescent="0.25">
      <c r="G355" s="1530"/>
    </row>
    <row r="356" spans="7:7" x14ac:dyDescent="0.25">
      <c r="G356" s="1530"/>
    </row>
    <row r="357" spans="7:7" x14ac:dyDescent="0.25">
      <c r="G357" s="1530"/>
    </row>
    <row r="358" spans="7:7" x14ac:dyDescent="0.25">
      <c r="G358" s="1530"/>
    </row>
    <row r="359" spans="7:7" x14ac:dyDescent="0.25">
      <c r="G359" s="1530"/>
    </row>
    <row r="360" spans="7:7" x14ac:dyDescent="0.25">
      <c r="G360" s="1530"/>
    </row>
    <row r="361" spans="7:7" x14ac:dyDescent="0.25">
      <c r="G361" s="1530"/>
    </row>
    <row r="362" spans="7:7" x14ac:dyDescent="0.25">
      <c r="G362" s="1530"/>
    </row>
    <row r="363" spans="7:7" x14ac:dyDescent="0.25">
      <c r="G363" s="1530"/>
    </row>
    <row r="364" spans="7:7" x14ac:dyDescent="0.25">
      <c r="G364" s="1530"/>
    </row>
    <row r="365" spans="7:7" x14ac:dyDescent="0.25">
      <c r="G365" s="1530"/>
    </row>
    <row r="366" spans="7:7" x14ac:dyDescent="0.25">
      <c r="G366" s="1530"/>
    </row>
    <row r="367" spans="7:7" x14ac:dyDescent="0.25">
      <c r="G367" s="1530"/>
    </row>
    <row r="368" spans="7:7" x14ac:dyDescent="0.25">
      <c r="G368" s="1530"/>
    </row>
    <row r="369" spans="7:7" x14ac:dyDescent="0.25">
      <c r="G369" s="1530"/>
    </row>
    <row r="370" spans="7:7" x14ac:dyDescent="0.25">
      <c r="G370" s="1530"/>
    </row>
    <row r="371" spans="7:7" x14ac:dyDescent="0.25">
      <c r="G371" s="1530"/>
    </row>
    <row r="372" spans="7:7" x14ac:dyDescent="0.25">
      <c r="G372" s="1530"/>
    </row>
    <row r="373" spans="7:7" x14ac:dyDescent="0.25">
      <c r="G373" s="1530"/>
    </row>
    <row r="374" spans="7:7" x14ac:dyDescent="0.25">
      <c r="G374" s="1530"/>
    </row>
    <row r="375" spans="7:7" x14ac:dyDescent="0.25">
      <c r="G375" s="1530"/>
    </row>
    <row r="376" spans="7:7" x14ac:dyDescent="0.25">
      <c r="G376" s="1530"/>
    </row>
    <row r="377" spans="7:7" x14ac:dyDescent="0.25">
      <c r="G377" s="1530"/>
    </row>
    <row r="378" spans="7:7" x14ac:dyDescent="0.25">
      <c r="G378" s="1530"/>
    </row>
    <row r="379" spans="7:7" x14ac:dyDescent="0.25">
      <c r="G379" s="1530"/>
    </row>
    <row r="380" spans="7:7" x14ac:dyDescent="0.25">
      <c r="G380" s="1530"/>
    </row>
    <row r="381" spans="7:7" x14ac:dyDescent="0.25">
      <c r="G381" s="1530"/>
    </row>
    <row r="382" spans="7:7" x14ac:dyDescent="0.25">
      <c r="G382" s="1530"/>
    </row>
    <row r="383" spans="7:7" x14ac:dyDescent="0.25">
      <c r="G383" s="1530"/>
    </row>
    <row r="384" spans="7:7" x14ac:dyDescent="0.25">
      <c r="G384" s="1530"/>
    </row>
    <row r="385" spans="7:7" x14ac:dyDescent="0.25">
      <c r="G385" s="1530"/>
    </row>
    <row r="386" spans="7:7" x14ac:dyDescent="0.25">
      <c r="G386" s="1530"/>
    </row>
    <row r="387" spans="7:7" x14ac:dyDescent="0.25">
      <c r="G387" s="1530"/>
    </row>
    <row r="388" spans="7:7" x14ac:dyDescent="0.25">
      <c r="G388" s="1530"/>
    </row>
    <row r="389" spans="7:7" x14ac:dyDescent="0.25">
      <c r="G389" s="1530"/>
    </row>
    <row r="390" spans="7:7" x14ac:dyDescent="0.25">
      <c r="G390" s="1530"/>
    </row>
    <row r="391" spans="7:7" x14ac:dyDescent="0.25">
      <c r="G391" s="1530"/>
    </row>
    <row r="392" spans="7:7" x14ac:dyDescent="0.25">
      <c r="G392" s="1530"/>
    </row>
    <row r="393" spans="7:7" x14ac:dyDescent="0.25">
      <c r="G393" s="1530"/>
    </row>
    <row r="394" spans="7:7" x14ac:dyDescent="0.25">
      <c r="G394" s="1530"/>
    </row>
    <row r="395" spans="7:7" x14ac:dyDescent="0.25">
      <c r="G395" s="1530"/>
    </row>
    <row r="396" spans="7:7" x14ac:dyDescent="0.25">
      <c r="G396" s="1530"/>
    </row>
    <row r="397" spans="7:7" x14ac:dyDescent="0.25">
      <c r="G397" s="1530"/>
    </row>
    <row r="398" spans="7:7" x14ac:dyDescent="0.25">
      <c r="G398" s="1530"/>
    </row>
    <row r="399" spans="7:7" x14ac:dyDescent="0.25">
      <c r="G399" s="1530"/>
    </row>
    <row r="400" spans="7:7" x14ac:dyDescent="0.25">
      <c r="G400" s="1530"/>
    </row>
    <row r="401" spans="7:7" x14ac:dyDescent="0.25">
      <c r="G401" s="1530"/>
    </row>
    <row r="402" spans="7:7" x14ac:dyDescent="0.25">
      <c r="G402" s="1530"/>
    </row>
    <row r="403" spans="7:7" x14ac:dyDescent="0.25">
      <c r="G403" s="1530"/>
    </row>
    <row r="404" spans="7:7" x14ac:dyDescent="0.25">
      <c r="G404" s="1530"/>
    </row>
    <row r="405" spans="7:7" x14ac:dyDescent="0.25">
      <c r="G405" s="1530"/>
    </row>
    <row r="406" spans="7:7" x14ac:dyDescent="0.25">
      <c r="G406" s="1530"/>
    </row>
    <row r="407" spans="7:7" x14ac:dyDescent="0.25">
      <c r="G407" s="1530"/>
    </row>
    <row r="408" spans="7:7" x14ac:dyDescent="0.25">
      <c r="G408" s="1530"/>
    </row>
    <row r="409" spans="7:7" x14ac:dyDescent="0.25">
      <c r="G409" s="1530"/>
    </row>
    <row r="410" spans="7:7" x14ac:dyDescent="0.25">
      <c r="G410" s="1530"/>
    </row>
    <row r="411" spans="7:7" x14ac:dyDescent="0.25">
      <c r="G411" s="1530"/>
    </row>
    <row r="412" spans="7:7" x14ac:dyDescent="0.25">
      <c r="G412" s="1530"/>
    </row>
    <row r="413" spans="7:7" x14ac:dyDescent="0.25">
      <c r="G413" s="1530"/>
    </row>
    <row r="414" spans="7:7" x14ac:dyDescent="0.25">
      <c r="G414" s="1530"/>
    </row>
    <row r="415" spans="7:7" x14ac:dyDescent="0.25">
      <c r="G415" s="1530"/>
    </row>
    <row r="416" spans="7:7" x14ac:dyDescent="0.25">
      <c r="G416" s="1530"/>
    </row>
    <row r="417" spans="7:7" x14ac:dyDescent="0.25">
      <c r="G417" s="1530"/>
    </row>
    <row r="418" spans="7:7" x14ac:dyDescent="0.25">
      <c r="G418" s="1530"/>
    </row>
    <row r="419" spans="7:7" x14ac:dyDescent="0.25">
      <c r="G419" s="1530"/>
    </row>
    <row r="420" spans="7:7" x14ac:dyDescent="0.25">
      <c r="G420" s="1530"/>
    </row>
    <row r="421" spans="7:7" x14ac:dyDescent="0.25">
      <c r="G421" s="1530"/>
    </row>
    <row r="422" spans="7:7" x14ac:dyDescent="0.25">
      <c r="G422" s="1530"/>
    </row>
    <row r="423" spans="7:7" x14ac:dyDescent="0.25">
      <c r="G423" s="1530"/>
    </row>
    <row r="424" spans="7:7" x14ac:dyDescent="0.25">
      <c r="G424" s="1530"/>
    </row>
    <row r="425" spans="7:7" x14ac:dyDescent="0.25">
      <c r="G425" s="1530"/>
    </row>
    <row r="426" spans="7:7" x14ac:dyDescent="0.25">
      <c r="G426" s="1530"/>
    </row>
    <row r="427" spans="7:7" x14ac:dyDescent="0.25">
      <c r="G427" s="1530"/>
    </row>
    <row r="428" spans="7:7" x14ac:dyDescent="0.25">
      <c r="G428" s="1530"/>
    </row>
    <row r="429" spans="7:7" x14ac:dyDescent="0.25">
      <c r="G429" s="1530"/>
    </row>
    <row r="430" spans="7:7" x14ac:dyDescent="0.25">
      <c r="G430" s="1530"/>
    </row>
    <row r="431" spans="7:7" x14ac:dyDescent="0.25">
      <c r="G431" s="1530"/>
    </row>
    <row r="432" spans="7:7" x14ac:dyDescent="0.25">
      <c r="G432" s="1530"/>
    </row>
    <row r="433" spans="7:7" x14ac:dyDescent="0.25">
      <c r="G433" s="1530"/>
    </row>
    <row r="434" spans="7:7" x14ac:dyDescent="0.25">
      <c r="G434" s="1530"/>
    </row>
    <row r="435" spans="7:7" x14ac:dyDescent="0.25">
      <c r="G435" s="1530"/>
    </row>
    <row r="436" spans="7:7" x14ac:dyDescent="0.25">
      <c r="G436" s="1530"/>
    </row>
    <row r="437" spans="7:7" x14ac:dyDescent="0.25">
      <c r="G437" s="1530"/>
    </row>
    <row r="438" spans="7:7" x14ac:dyDescent="0.25">
      <c r="G438" s="1530"/>
    </row>
    <row r="439" spans="7:7" x14ac:dyDescent="0.25">
      <c r="G439" s="1530"/>
    </row>
    <row r="440" spans="7:7" x14ac:dyDescent="0.25">
      <c r="G440" s="1530"/>
    </row>
    <row r="441" spans="7:7" x14ac:dyDescent="0.25">
      <c r="G441" s="1530"/>
    </row>
    <row r="442" spans="7:7" x14ac:dyDescent="0.25">
      <c r="G442" s="1530"/>
    </row>
    <row r="443" spans="7:7" x14ac:dyDescent="0.25">
      <c r="G443" s="1530"/>
    </row>
    <row r="444" spans="7:7" x14ac:dyDescent="0.25">
      <c r="G444" s="1530"/>
    </row>
    <row r="445" spans="7:7" x14ac:dyDescent="0.25">
      <c r="G445" s="1530"/>
    </row>
    <row r="446" spans="7:7" x14ac:dyDescent="0.25">
      <c r="G446" s="1530"/>
    </row>
    <row r="447" spans="7:7" x14ac:dyDescent="0.25">
      <c r="G447" s="1530"/>
    </row>
    <row r="448" spans="7:7" x14ac:dyDescent="0.25">
      <c r="G448" s="1530"/>
    </row>
    <row r="449" spans="7:7" x14ac:dyDescent="0.25">
      <c r="G449" s="1530"/>
    </row>
    <row r="450" spans="7:7" x14ac:dyDescent="0.25">
      <c r="G450" s="1530"/>
    </row>
    <row r="451" spans="7:7" x14ac:dyDescent="0.25">
      <c r="G451" s="1530"/>
    </row>
    <row r="452" spans="7:7" x14ac:dyDescent="0.25">
      <c r="G452" s="1530"/>
    </row>
    <row r="453" spans="7:7" x14ac:dyDescent="0.25">
      <c r="G453" s="1530"/>
    </row>
    <row r="454" spans="7:7" x14ac:dyDescent="0.25">
      <c r="G454" s="1530"/>
    </row>
    <row r="455" spans="7:7" x14ac:dyDescent="0.25">
      <c r="G455" s="1530"/>
    </row>
    <row r="456" spans="7:7" x14ac:dyDescent="0.25">
      <c r="G456" s="1530"/>
    </row>
    <row r="457" spans="7:7" x14ac:dyDescent="0.25">
      <c r="G457" s="1530"/>
    </row>
    <row r="458" spans="7:7" x14ac:dyDescent="0.25">
      <c r="G458" s="1530"/>
    </row>
    <row r="459" spans="7:7" x14ac:dyDescent="0.25">
      <c r="G459" s="1530"/>
    </row>
    <row r="460" spans="7:7" x14ac:dyDescent="0.25">
      <c r="G460" s="1530"/>
    </row>
    <row r="461" spans="7:7" x14ac:dyDescent="0.25">
      <c r="G461" s="1530"/>
    </row>
    <row r="462" spans="7:7" x14ac:dyDescent="0.25">
      <c r="G462" s="1530"/>
    </row>
    <row r="463" spans="7:7" x14ac:dyDescent="0.25">
      <c r="G463" s="1530"/>
    </row>
    <row r="464" spans="7:7" x14ac:dyDescent="0.25">
      <c r="G464" s="1530"/>
    </row>
    <row r="465" spans="7:7" x14ac:dyDescent="0.25">
      <c r="G465" s="1530"/>
    </row>
    <row r="466" spans="7:7" x14ac:dyDescent="0.25">
      <c r="G466" s="1530"/>
    </row>
    <row r="467" spans="7:7" x14ac:dyDescent="0.25">
      <c r="G467" s="1530"/>
    </row>
    <row r="468" spans="7:7" x14ac:dyDescent="0.25">
      <c r="G468" s="1530"/>
    </row>
    <row r="469" spans="7:7" x14ac:dyDescent="0.25">
      <c r="G469" s="1530"/>
    </row>
    <row r="470" spans="7:7" x14ac:dyDescent="0.25">
      <c r="G470" s="1530"/>
    </row>
    <row r="471" spans="7:7" x14ac:dyDescent="0.25">
      <c r="G471" s="1530"/>
    </row>
    <row r="472" spans="7:7" x14ac:dyDescent="0.25">
      <c r="G472" s="1530"/>
    </row>
    <row r="473" spans="7:7" x14ac:dyDescent="0.25">
      <c r="G473" s="1530"/>
    </row>
    <row r="474" spans="7:7" x14ac:dyDescent="0.25">
      <c r="G474" s="1530"/>
    </row>
    <row r="475" spans="7:7" x14ac:dyDescent="0.25">
      <c r="G475" s="1530"/>
    </row>
    <row r="476" spans="7:7" x14ac:dyDescent="0.25">
      <c r="G476" s="1530"/>
    </row>
    <row r="477" spans="7:7" x14ac:dyDescent="0.25">
      <c r="G477" s="1530"/>
    </row>
    <row r="478" spans="7:7" x14ac:dyDescent="0.25">
      <c r="G478" s="1530"/>
    </row>
    <row r="479" spans="7:7" x14ac:dyDescent="0.25">
      <c r="G479" s="1530"/>
    </row>
    <row r="480" spans="7:7" x14ac:dyDescent="0.25">
      <c r="G480" s="1530"/>
    </row>
    <row r="481" spans="7:7" x14ac:dyDescent="0.25">
      <c r="G481" s="1530"/>
    </row>
    <row r="482" spans="7:7" x14ac:dyDescent="0.25">
      <c r="G482" s="1530"/>
    </row>
    <row r="483" spans="7:7" x14ac:dyDescent="0.25">
      <c r="G483" s="1530"/>
    </row>
    <row r="484" spans="7:7" x14ac:dyDescent="0.25">
      <c r="G484" s="1530"/>
    </row>
    <row r="485" spans="7:7" x14ac:dyDescent="0.25">
      <c r="G485" s="1530"/>
    </row>
    <row r="486" spans="7:7" x14ac:dyDescent="0.25">
      <c r="G486" s="1530"/>
    </row>
    <row r="487" spans="7:7" x14ac:dyDescent="0.25">
      <c r="G487" s="1530"/>
    </row>
    <row r="488" spans="7:7" x14ac:dyDescent="0.25">
      <c r="G488" s="1530"/>
    </row>
    <row r="489" spans="7:7" x14ac:dyDescent="0.25">
      <c r="G489" s="1530"/>
    </row>
    <row r="490" spans="7:7" x14ac:dyDescent="0.25">
      <c r="G490" s="1530"/>
    </row>
    <row r="491" spans="7:7" x14ac:dyDescent="0.25">
      <c r="G491" s="1530"/>
    </row>
    <row r="492" spans="7:7" x14ac:dyDescent="0.25">
      <c r="G492" s="1530"/>
    </row>
    <row r="493" spans="7:7" x14ac:dyDescent="0.25">
      <c r="G493" s="1530"/>
    </row>
    <row r="494" spans="7:7" x14ac:dyDescent="0.25">
      <c r="G494" s="1530"/>
    </row>
    <row r="495" spans="7:7" x14ac:dyDescent="0.25">
      <c r="G495" s="1530"/>
    </row>
    <row r="496" spans="7:7" x14ac:dyDescent="0.25">
      <c r="G496" s="1530"/>
    </row>
    <row r="497" spans="7:7" x14ac:dyDescent="0.25">
      <c r="G497" s="1530"/>
    </row>
    <row r="498" spans="7:7" x14ac:dyDescent="0.25">
      <c r="G498" s="1530"/>
    </row>
    <row r="499" spans="7:7" x14ac:dyDescent="0.25">
      <c r="G499" s="1530"/>
    </row>
    <row r="500" spans="7:7" x14ac:dyDescent="0.25">
      <c r="G500" s="1530"/>
    </row>
    <row r="501" spans="7:7" x14ac:dyDescent="0.25">
      <c r="G501" s="1530"/>
    </row>
    <row r="502" spans="7:7" x14ac:dyDescent="0.25">
      <c r="G502" s="1530"/>
    </row>
    <row r="503" spans="7:7" x14ac:dyDescent="0.25">
      <c r="G503" s="1530"/>
    </row>
    <row r="504" spans="7:7" x14ac:dyDescent="0.25">
      <c r="G504" s="1530"/>
    </row>
    <row r="505" spans="7:7" x14ac:dyDescent="0.25">
      <c r="G505" s="1530"/>
    </row>
    <row r="506" spans="7:7" x14ac:dyDescent="0.25">
      <c r="G506" s="1530"/>
    </row>
    <row r="507" spans="7:7" x14ac:dyDescent="0.25">
      <c r="G507" s="1530"/>
    </row>
    <row r="508" spans="7:7" x14ac:dyDescent="0.25">
      <c r="G508" s="1530"/>
    </row>
    <row r="509" spans="7:7" x14ac:dyDescent="0.25">
      <c r="G509" s="1530"/>
    </row>
    <row r="510" spans="7:7" x14ac:dyDescent="0.25">
      <c r="G510" s="1530"/>
    </row>
    <row r="511" spans="7:7" x14ac:dyDescent="0.25">
      <c r="G511" s="1530"/>
    </row>
    <row r="512" spans="7:7" x14ac:dyDescent="0.25">
      <c r="G512" s="1530"/>
    </row>
    <row r="513" spans="7:7" x14ac:dyDescent="0.25">
      <c r="G513" s="1530"/>
    </row>
    <row r="514" spans="7:7" x14ac:dyDescent="0.25">
      <c r="G514" s="1530"/>
    </row>
    <row r="515" spans="7:7" x14ac:dyDescent="0.25">
      <c r="G515" s="1530"/>
    </row>
    <row r="516" spans="7:7" x14ac:dyDescent="0.25">
      <c r="G516" s="1530"/>
    </row>
    <row r="517" spans="7:7" x14ac:dyDescent="0.25">
      <c r="G517" s="1530"/>
    </row>
    <row r="518" spans="7:7" x14ac:dyDescent="0.25">
      <c r="G518" s="1530"/>
    </row>
    <row r="519" spans="7:7" x14ac:dyDescent="0.25">
      <c r="G519" s="1530"/>
    </row>
    <row r="520" spans="7:7" x14ac:dyDescent="0.25">
      <c r="G520" s="1530"/>
    </row>
    <row r="521" spans="7:7" x14ac:dyDescent="0.25">
      <c r="G521" s="1530"/>
    </row>
    <row r="522" spans="7:7" x14ac:dyDescent="0.25">
      <c r="G522" s="1530"/>
    </row>
    <row r="523" spans="7:7" x14ac:dyDescent="0.25">
      <c r="G523" s="1530"/>
    </row>
    <row r="524" spans="7:7" x14ac:dyDescent="0.25">
      <c r="G524" s="1530"/>
    </row>
    <row r="525" spans="7:7" x14ac:dyDescent="0.25">
      <c r="G525" s="1530"/>
    </row>
    <row r="526" spans="7:7" x14ac:dyDescent="0.25">
      <c r="G526" s="1530"/>
    </row>
    <row r="527" spans="7:7" x14ac:dyDescent="0.25">
      <c r="G527" s="1530"/>
    </row>
    <row r="528" spans="7:7" x14ac:dyDescent="0.25">
      <c r="G528" s="1530"/>
    </row>
    <row r="529" spans="7:7" x14ac:dyDescent="0.25">
      <c r="G529" s="1530"/>
    </row>
    <row r="530" spans="7:7" x14ac:dyDescent="0.25">
      <c r="G530" s="1530"/>
    </row>
    <row r="531" spans="7:7" x14ac:dyDescent="0.25">
      <c r="G531" s="1530"/>
    </row>
    <row r="532" spans="7:7" x14ac:dyDescent="0.25">
      <c r="G532" s="1530"/>
    </row>
    <row r="533" spans="7:7" x14ac:dyDescent="0.25">
      <c r="G533" s="1530"/>
    </row>
    <row r="534" spans="7:7" x14ac:dyDescent="0.25">
      <c r="G534" s="1530"/>
    </row>
    <row r="535" spans="7:7" x14ac:dyDescent="0.25">
      <c r="G535" s="1530"/>
    </row>
    <row r="536" spans="7:7" x14ac:dyDescent="0.25">
      <c r="G536" s="1530"/>
    </row>
    <row r="537" spans="7:7" x14ac:dyDescent="0.25">
      <c r="G537" s="1530"/>
    </row>
    <row r="538" spans="7:7" x14ac:dyDescent="0.25">
      <c r="G538" s="1530"/>
    </row>
    <row r="539" spans="7:7" x14ac:dyDescent="0.25">
      <c r="G539" s="1530"/>
    </row>
    <row r="540" spans="7:7" x14ac:dyDescent="0.25">
      <c r="G540" s="1530"/>
    </row>
    <row r="541" spans="7:7" x14ac:dyDescent="0.25">
      <c r="G541" s="1530"/>
    </row>
    <row r="542" spans="7:7" x14ac:dyDescent="0.25">
      <c r="G542" s="1530"/>
    </row>
    <row r="543" spans="7:7" x14ac:dyDescent="0.25">
      <c r="G543" s="1530"/>
    </row>
    <row r="544" spans="7:7" x14ac:dyDescent="0.25">
      <c r="G544" s="1530"/>
    </row>
    <row r="545" spans="7:7" x14ac:dyDescent="0.25">
      <c r="G545" s="1530"/>
    </row>
    <row r="546" spans="7:7" x14ac:dyDescent="0.25">
      <c r="G546" s="1530"/>
    </row>
    <row r="547" spans="7:7" x14ac:dyDescent="0.25">
      <c r="G547" s="1530"/>
    </row>
    <row r="548" spans="7:7" x14ac:dyDescent="0.25">
      <c r="G548" s="1530"/>
    </row>
    <row r="549" spans="7:7" x14ac:dyDescent="0.25">
      <c r="G549" s="1530"/>
    </row>
    <row r="550" spans="7:7" x14ac:dyDescent="0.25">
      <c r="G550" s="1530"/>
    </row>
    <row r="551" spans="7:7" x14ac:dyDescent="0.25">
      <c r="G551" s="1530"/>
    </row>
    <row r="552" spans="7:7" x14ac:dyDescent="0.25">
      <c r="G552" s="1530"/>
    </row>
    <row r="553" spans="7:7" x14ac:dyDescent="0.25">
      <c r="G553" s="1530"/>
    </row>
    <row r="554" spans="7:7" x14ac:dyDescent="0.25">
      <c r="G554" s="1530"/>
    </row>
    <row r="555" spans="7:7" x14ac:dyDescent="0.25">
      <c r="G555" s="1530"/>
    </row>
    <row r="556" spans="7:7" x14ac:dyDescent="0.25">
      <c r="G556" s="1530"/>
    </row>
    <row r="557" spans="7:7" x14ac:dyDescent="0.25">
      <c r="G557" s="1530"/>
    </row>
    <row r="558" spans="7:7" x14ac:dyDescent="0.25">
      <c r="G558" s="1530"/>
    </row>
    <row r="559" spans="7:7" x14ac:dyDescent="0.25">
      <c r="G559" s="1530"/>
    </row>
    <row r="560" spans="7:7" x14ac:dyDescent="0.25">
      <c r="G560" s="1530"/>
    </row>
    <row r="561" spans="7:7" x14ac:dyDescent="0.25">
      <c r="G561" s="1530"/>
    </row>
    <row r="562" spans="7:7" x14ac:dyDescent="0.25">
      <c r="G562" s="1530"/>
    </row>
    <row r="563" spans="7:7" x14ac:dyDescent="0.25">
      <c r="G563" s="1530"/>
    </row>
    <row r="564" spans="7:7" x14ac:dyDescent="0.25">
      <c r="G564" s="1530"/>
    </row>
    <row r="565" spans="7:7" x14ac:dyDescent="0.25">
      <c r="G565" s="1530"/>
    </row>
    <row r="566" spans="7:7" x14ac:dyDescent="0.25">
      <c r="G566" s="1530"/>
    </row>
    <row r="567" spans="7:7" x14ac:dyDescent="0.25">
      <c r="G567" s="1530"/>
    </row>
    <row r="568" spans="7:7" x14ac:dyDescent="0.25">
      <c r="G568" s="1530"/>
    </row>
    <row r="569" spans="7:7" x14ac:dyDescent="0.25">
      <c r="G569" s="1530"/>
    </row>
    <row r="570" spans="7:7" x14ac:dyDescent="0.25">
      <c r="G570" s="1530"/>
    </row>
    <row r="571" spans="7:7" x14ac:dyDescent="0.25">
      <c r="G571" s="1530"/>
    </row>
    <row r="572" spans="7:7" x14ac:dyDescent="0.25">
      <c r="G572" s="1530"/>
    </row>
    <row r="573" spans="7:7" x14ac:dyDescent="0.25">
      <c r="G573" s="1530"/>
    </row>
    <row r="574" spans="7:7" x14ac:dyDescent="0.25">
      <c r="G574" s="1530"/>
    </row>
  </sheetData>
  <sheetProtection algorithmName="SHA-512" hashValue="0sRl3HgXhfb7fNIRRaewbxM2upGvp125gtT/CITBT++saMGs0IkTtK9bXa9yBfFbW8YZDa0zsWCHRC5tPBIz3A==" saltValue="WUYkWHD3zYWPKax6LVBkzw==" spinCount="100000" sheet="1" objects="1" scenarios="1"/>
  <mergeCells count="234">
    <mergeCell ref="B265:C265"/>
    <mergeCell ref="B266:C266"/>
    <mergeCell ref="B267:C267"/>
    <mergeCell ref="B268:C268"/>
    <mergeCell ref="B269:C269"/>
    <mergeCell ref="B270:C270"/>
    <mergeCell ref="B271:C271"/>
    <mergeCell ref="B272:C272"/>
    <mergeCell ref="B230:E230"/>
    <mergeCell ref="B232:E232"/>
    <mergeCell ref="B234:E234"/>
    <mergeCell ref="B248:C248"/>
    <mergeCell ref="B260:C260"/>
    <mergeCell ref="B261:C261"/>
    <mergeCell ref="B262:C262"/>
    <mergeCell ref="B263:C263"/>
    <mergeCell ref="B264:C264"/>
    <mergeCell ref="B258:C258"/>
    <mergeCell ref="B259:C259"/>
    <mergeCell ref="B254:E254"/>
    <mergeCell ref="B257:C257"/>
    <mergeCell ref="B250:E250"/>
    <mergeCell ref="B252:E252"/>
    <mergeCell ref="B121:C121"/>
    <mergeCell ref="B123:C123"/>
    <mergeCell ref="B125:C125"/>
    <mergeCell ref="B129:E129"/>
    <mergeCell ref="B130:E130"/>
    <mergeCell ref="B134:E134"/>
    <mergeCell ref="B145:C145"/>
    <mergeCell ref="B150:C150"/>
    <mergeCell ref="B151:C151"/>
    <mergeCell ref="B126:C126"/>
    <mergeCell ref="B127:C127"/>
    <mergeCell ref="B128:C128"/>
    <mergeCell ref="B132:E132"/>
    <mergeCell ref="B136:E136"/>
    <mergeCell ref="B138:E138"/>
    <mergeCell ref="B140:E140"/>
    <mergeCell ref="B142:E142"/>
    <mergeCell ref="B321:C321"/>
    <mergeCell ref="B322:C322"/>
    <mergeCell ref="B24:E24"/>
    <mergeCell ref="B32:E32"/>
    <mergeCell ref="B41:C41"/>
    <mergeCell ref="B42:C42"/>
    <mergeCell ref="B43:C43"/>
    <mergeCell ref="B44:C44"/>
    <mergeCell ref="B45:C45"/>
    <mergeCell ref="B46:C46"/>
    <mergeCell ref="B89:C89"/>
    <mergeCell ref="B90:C90"/>
    <mergeCell ref="B78:C78"/>
    <mergeCell ref="B79:C79"/>
    <mergeCell ref="B80:C80"/>
    <mergeCell ref="B81:C81"/>
    <mergeCell ref="B82:C82"/>
    <mergeCell ref="B83:C83"/>
    <mergeCell ref="B85:C85"/>
    <mergeCell ref="B87:C87"/>
    <mergeCell ref="B107:C107"/>
    <mergeCell ref="B108:C108"/>
    <mergeCell ref="B110:C110"/>
    <mergeCell ref="B112:C112"/>
    <mergeCell ref="B320:E320"/>
    <mergeCell ref="B213:C213"/>
    <mergeCell ref="B244:C244"/>
    <mergeCell ref="B247:C247"/>
    <mergeCell ref="B292:C292"/>
    <mergeCell ref="B277:C277"/>
    <mergeCell ref="B279:C279"/>
    <mergeCell ref="B276:C276"/>
    <mergeCell ref="B278:C278"/>
    <mergeCell ref="B280:C280"/>
    <mergeCell ref="B281:C281"/>
    <mergeCell ref="B282:C282"/>
    <mergeCell ref="B283:C283"/>
    <mergeCell ref="B284:C284"/>
    <mergeCell ref="B299:E299"/>
    <mergeCell ref="B316:C316"/>
    <mergeCell ref="B301:E301"/>
    <mergeCell ref="B306:C306"/>
    <mergeCell ref="B307:C307"/>
    <mergeCell ref="B308:C308"/>
    <mergeCell ref="B309:C309"/>
    <mergeCell ref="B310:C310"/>
    <mergeCell ref="B311:C311"/>
    <mergeCell ref="B218:C218"/>
    <mergeCell ref="B70:C70"/>
    <mergeCell ref="B189:C189"/>
    <mergeCell ref="B28:E28"/>
    <mergeCell ref="B49:C49"/>
    <mergeCell ref="B51:C51"/>
    <mergeCell ref="B52:C52"/>
    <mergeCell ref="B53:C53"/>
    <mergeCell ref="B54:C54"/>
    <mergeCell ref="B47:C47"/>
    <mergeCell ref="B62:E62"/>
    <mergeCell ref="B64:E64"/>
    <mergeCell ref="B66:E66"/>
    <mergeCell ref="B68:E68"/>
    <mergeCell ref="B71:C71"/>
    <mergeCell ref="B72:C72"/>
    <mergeCell ref="B73:C73"/>
    <mergeCell ref="B74:C74"/>
    <mergeCell ref="B75:C75"/>
    <mergeCell ref="B76:C76"/>
    <mergeCell ref="B77:C77"/>
    <mergeCell ref="B167:E167"/>
    <mergeCell ref="B169:E169"/>
    <mergeCell ref="B153:C153"/>
    <mergeCell ref="B154:C154"/>
    <mergeCell ref="B88:C88"/>
    <mergeCell ref="B148:C148"/>
    <mergeCell ref="B149:C149"/>
    <mergeCell ref="B144:C144"/>
    <mergeCell ref="B146:C146"/>
    <mergeCell ref="B147:C147"/>
    <mergeCell ref="B91:E91"/>
    <mergeCell ref="B92:E92"/>
    <mergeCell ref="B94:E94"/>
    <mergeCell ref="B96:E96"/>
    <mergeCell ref="B98:E98"/>
    <mergeCell ref="B100:E100"/>
    <mergeCell ref="B102:E102"/>
    <mergeCell ref="B103:E103"/>
    <mergeCell ref="B105:E105"/>
    <mergeCell ref="B109:C109"/>
    <mergeCell ref="B111:C111"/>
    <mergeCell ref="B116:C116"/>
    <mergeCell ref="B117:C117"/>
    <mergeCell ref="B118:C118"/>
    <mergeCell ref="B114:C114"/>
    <mergeCell ref="B115:C115"/>
    <mergeCell ref="B119:C119"/>
    <mergeCell ref="B120:C120"/>
    <mergeCell ref="B215:C215"/>
    <mergeCell ref="B216:C216"/>
    <mergeCell ref="B217:C217"/>
    <mergeCell ref="B219:C219"/>
    <mergeCell ref="B220:C220"/>
    <mergeCell ref="B192:C192"/>
    <mergeCell ref="B193:C193"/>
    <mergeCell ref="B194:C194"/>
    <mergeCell ref="B195:E195"/>
    <mergeCell ref="B196:E196"/>
    <mergeCell ref="B198:E198"/>
    <mergeCell ref="B200:E200"/>
    <mergeCell ref="B202:E202"/>
    <mergeCell ref="B204:E204"/>
    <mergeCell ref="B18:E18"/>
    <mergeCell ref="B19:E19"/>
    <mergeCell ref="B20:E20"/>
    <mergeCell ref="B113:C113"/>
    <mergeCell ref="B12:E12"/>
    <mergeCell ref="B13:E13"/>
    <mergeCell ref="B14:E14"/>
    <mergeCell ref="B15:E15"/>
    <mergeCell ref="B16:E16"/>
    <mergeCell ref="B17:E17"/>
    <mergeCell ref="B22:E22"/>
    <mergeCell ref="B26:E26"/>
    <mergeCell ref="B30:E30"/>
    <mergeCell ref="B34:C34"/>
    <mergeCell ref="B35:C35"/>
    <mergeCell ref="B36:C36"/>
    <mergeCell ref="B37:C37"/>
    <mergeCell ref="B38:C38"/>
    <mergeCell ref="B39:C39"/>
    <mergeCell ref="B40:C40"/>
    <mergeCell ref="B55:E55"/>
    <mergeCell ref="B56:E56"/>
    <mergeCell ref="B58:E58"/>
    <mergeCell ref="B60:E60"/>
    <mergeCell ref="B158:C158"/>
    <mergeCell ref="B156:C156"/>
    <mergeCell ref="B152:C152"/>
    <mergeCell ref="B178:C178"/>
    <mergeCell ref="B179:C179"/>
    <mergeCell ref="B180:C180"/>
    <mergeCell ref="B181:C181"/>
    <mergeCell ref="B182:C182"/>
    <mergeCell ref="B183:C183"/>
    <mergeCell ref="B159:C159"/>
    <mergeCell ref="B161:C161"/>
    <mergeCell ref="B173:E173"/>
    <mergeCell ref="B160:C160"/>
    <mergeCell ref="B162:E162"/>
    <mergeCell ref="B163:E163"/>
    <mergeCell ref="B165:E165"/>
    <mergeCell ref="B171:E171"/>
    <mergeCell ref="B175:E175"/>
    <mergeCell ref="B177:C177"/>
    <mergeCell ref="B184:C184"/>
    <mergeCell ref="B185:C185"/>
    <mergeCell ref="B186:C186"/>
    <mergeCell ref="B236:E236"/>
    <mergeCell ref="B238:E238"/>
    <mergeCell ref="B240:E240"/>
    <mergeCell ref="B242:E242"/>
    <mergeCell ref="B246:E246"/>
    <mergeCell ref="B249:E249"/>
    <mergeCell ref="B187:C187"/>
    <mergeCell ref="B191:C191"/>
    <mergeCell ref="B221:C221"/>
    <mergeCell ref="B223:C223"/>
    <mergeCell ref="B225:C225"/>
    <mergeCell ref="B226:C226"/>
    <mergeCell ref="B227:C227"/>
    <mergeCell ref="B228:C228"/>
    <mergeCell ref="B206:E206"/>
    <mergeCell ref="B208:E208"/>
    <mergeCell ref="B214:C214"/>
    <mergeCell ref="B211:C211"/>
    <mergeCell ref="B210:C210"/>
    <mergeCell ref="B212:C212"/>
    <mergeCell ref="B229:E229"/>
    <mergeCell ref="B318:E318"/>
    <mergeCell ref="B275:C275"/>
    <mergeCell ref="B289:C289"/>
    <mergeCell ref="B291:C291"/>
    <mergeCell ref="B293:E293"/>
    <mergeCell ref="B295:E295"/>
    <mergeCell ref="B297:E297"/>
    <mergeCell ref="B303:E303"/>
    <mergeCell ref="B304:C304"/>
    <mergeCell ref="B305:C305"/>
    <mergeCell ref="B287:C287"/>
    <mergeCell ref="B288:C288"/>
    <mergeCell ref="B290:C290"/>
    <mergeCell ref="B312:C312"/>
    <mergeCell ref="B313:C313"/>
    <mergeCell ref="B314:C314"/>
    <mergeCell ref="B315:C315"/>
  </mergeCells>
  <pageMargins left="0.74803149606299202" right="0.74803149606299202" top="0.39370078740157699" bottom="0.39370078740157699" header="0.511811023622047" footer="0.511811023622047"/>
  <pageSetup orientation="portrait" r:id="rId1"/>
  <headerFooter alignWithMargins="0">
    <oddHeader>&amp;RPage  &amp;P of  &amp;N</oddHeader>
    <oddFooter>&amp;C&amp;A&amp;R&amp;9Issued  Month day, Year</oddFooter>
  </headerFooter>
  <rowBreaks count="7" manualBreakCount="7">
    <brk id="54" max="16383" man="1"/>
    <brk id="90" max="16383" man="1"/>
    <brk id="128" max="16383" man="1"/>
    <brk id="161" max="16383" man="1"/>
    <brk id="194" max="16383" man="1"/>
    <brk id="228" max="16383" man="1"/>
    <brk id="32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print="0" autoFill="0" autoLine="0" autoPict="0" altText="">
                <anchor>
                  <from>
                    <xdr:col>54</xdr:col>
                    <xdr:colOff>581025</xdr:colOff>
                    <xdr:row>5</xdr:row>
                    <xdr:rowOff>104775</xdr:rowOff>
                  </from>
                  <to>
                    <xdr:col>55</xdr:col>
                    <xdr:colOff>295275</xdr:colOff>
                    <xdr:row>6</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CA60"/>
  <sheetViews>
    <sheetView showGridLines="0" zoomScale="90" zoomScaleNormal="90" zoomScaleSheetLayoutView="25" workbookViewId="0">
      <pane xSplit="4" topLeftCell="E1" activePane="topRight" state="frozenSplit"/>
      <selection activeCell="F18" sqref="F18:H18"/>
      <selection pane="topRight" activeCell="C12" sqref="C12:D15"/>
    </sheetView>
  </sheetViews>
  <sheetFormatPr defaultColWidth="9.140625" defaultRowHeight="15" x14ac:dyDescent="0.25"/>
  <cols>
    <col min="1" max="1" width="9.140625" style="6" hidden="1" customWidth="1"/>
    <col min="2" max="2" width="2.85546875" style="6" bestFit="1" customWidth="1"/>
    <col min="3" max="3" width="87.140625" style="6" customWidth="1"/>
    <col min="4" max="4" width="16.5703125" style="6" customWidth="1"/>
    <col min="5" max="5" width="16.140625" style="399" customWidth="1"/>
    <col min="6" max="6" width="23.140625" style="399" customWidth="1"/>
    <col min="7" max="8" width="18.42578125" style="399" customWidth="1"/>
    <col min="9" max="9" width="14.7109375" style="399" customWidth="1"/>
    <col min="10" max="10" width="14.140625" style="399" customWidth="1"/>
    <col min="11" max="13" width="14.85546875" style="399" customWidth="1"/>
    <col min="14" max="14" width="15.42578125" style="399" customWidth="1"/>
    <col min="15" max="15" width="16.140625" style="399" customWidth="1"/>
    <col min="16" max="16" width="23.140625" style="399" customWidth="1"/>
    <col min="17" max="18" width="18.42578125" style="399" customWidth="1"/>
    <col min="19" max="19" width="14.7109375" style="399" customWidth="1"/>
    <col min="20" max="20" width="14.140625" style="399" customWidth="1"/>
    <col min="21" max="23" width="14.85546875" style="399" customWidth="1"/>
    <col min="24" max="24" width="15.42578125" style="399" customWidth="1"/>
    <col min="25" max="25" width="16.140625" style="399" customWidth="1"/>
    <col min="26" max="26" width="23.140625" style="399" customWidth="1"/>
    <col min="27" max="28" width="18.42578125" style="399" customWidth="1"/>
    <col min="29" max="29" width="14.7109375" style="399" customWidth="1"/>
    <col min="30" max="30" width="14.140625" style="399" customWidth="1"/>
    <col min="31" max="33" width="14.85546875" style="399" customWidth="1"/>
    <col min="34" max="34" width="15.42578125" style="399" customWidth="1"/>
    <col min="35" max="35" width="16.140625" style="399" customWidth="1"/>
    <col min="36" max="36" width="23.140625" style="399" customWidth="1"/>
    <col min="37" max="38" width="18.42578125" style="399" customWidth="1"/>
    <col min="39" max="39" width="14.7109375" style="399" customWidth="1"/>
    <col min="40" max="40" width="14.140625" style="399" customWidth="1"/>
    <col min="41" max="43" width="14.85546875" style="399" customWidth="1"/>
    <col min="44" max="44" width="15.42578125" style="399" customWidth="1"/>
    <col min="45" max="45" width="16.140625" style="399" customWidth="1"/>
    <col min="46" max="46" width="23.140625" style="399" customWidth="1"/>
    <col min="47" max="48" width="18.42578125" style="399" customWidth="1"/>
    <col min="49" max="49" width="14.7109375" style="399" customWidth="1"/>
    <col min="50" max="50" width="14.140625" style="399" customWidth="1"/>
    <col min="51" max="53" width="14.85546875" style="399" customWidth="1"/>
    <col min="54" max="54" width="15.42578125" style="399" customWidth="1"/>
    <col min="55" max="55" width="16.140625" style="399" customWidth="1"/>
    <col min="56" max="56" width="23.140625" style="399" customWidth="1"/>
    <col min="57" max="58" width="18.42578125" style="399" customWidth="1"/>
    <col min="59" max="59" width="14.7109375" style="399" customWidth="1"/>
    <col min="60" max="60" width="14.140625" style="399" customWidth="1"/>
    <col min="61" max="63" width="14.85546875" style="399" customWidth="1"/>
    <col min="64" max="64" width="15.42578125" style="399" customWidth="1"/>
    <col min="65" max="66" width="14.85546875" style="399" customWidth="1"/>
    <col min="67" max="67" width="16.85546875" style="399" customWidth="1"/>
    <col min="68" max="68" width="17.28515625" style="399" customWidth="1"/>
    <col min="69" max="71" width="26.85546875" style="399" customWidth="1"/>
    <col min="72" max="72" width="36.5703125" style="399" customWidth="1"/>
    <col min="73" max="73" width="22.42578125" style="399" bestFit="1" customWidth="1"/>
    <col min="74" max="74" width="19.85546875" style="399" customWidth="1"/>
    <col min="75" max="16384" width="9.140625" style="6"/>
  </cols>
  <sheetData>
    <row r="1" spans="3:79" ht="12.75" customHeight="1" x14ac:dyDescent="0.25">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289"/>
      <c r="BX1" s="289"/>
      <c r="BY1" s="289"/>
      <c r="BZ1" s="289"/>
      <c r="CA1" s="884" t="b">
        <v>0</v>
      </c>
    </row>
    <row r="2" spans="3:79" ht="12.75" customHeight="1" x14ac:dyDescent="0.25">
      <c r="C2" s="1032" t="b">
        <v>1</v>
      </c>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6"/>
      <c r="BT2" s="556"/>
      <c r="BU2" s="556"/>
      <c r="BV2" s="556"/>
      <c r="BW2" s="289"/>
      <c r="BX2" s="289"/>
      <c r="BY2" s="289"/>
      <c r="BZ2" s="289"/>
      <c r="CA2" s="884" t="b">
        <v>1</v>
      </c>
    </row>
    <row r="3" spans="3:79" ht="12.75" customHeight="1" x14ac:dyDescent="0.25">
      <c r="C3" s="842" t="b">
        <v>1</v>
      </c>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6"/>
      <c r="BM3" s="556"/>
      <c r="BN3" s="556"/>
      <c r="BO3" s="556"/>
      <c r="BP3" s="556"/>
      <c r="BQ3" s="556"/>
      <c r="BR3" s="556"/>
      <c r="BS3" s="556"/>
      <c r="BT3" s="556"/>
      <c r="BU3" s="556"/>
      <c r="BV3" s="556"/>
      <c r="BW3" s="289"/>
      <c r="BX3" s="289"/>
      <c r="BY3" s="289"/>
      <c r="BZ3" s="289"/>
      <c r="CA3" s="884" t="b">
        <v>0</v>
      </c>
    </row>
    <row r="4" spans="3:79" ht="12.75" customHeight="1" x14ac:dyDescent="0.25">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6"/>
      <c r="BU4" s="556"/>
      <c r="BV4" s="556"/>
      <c r="BW4" s="289"/>
      <c r="BX4" s="289"/>
      <c r="BY4" s="289"/>
      <c r="BZ4" s="289"/>
      <c r="CA4" s="884" t="b">
        <v>0</v>
      </c>
    </row>
    <row r="5" spans="3:79" ht="12.75" customHeight="1" x14ac:dyDescent="0.25">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556"/>
      <c r="BN5" s="556"/>
      <c r="BO5" s="556"/>
      <c r="BP5" s="556"/>
      <c r="BQ5" s="556"/>
      <c r="BR5" s="556"/>
      <c r="BS5" s="556"/>
      <c r="BT5" s="556"/>
      <c r="BU5" s="556"/>
      <c r="BV5" s="556"/>
      <c r="BW5" s="289"/>
      <c r="BX5" s="289"/>
      <c r="BY5" s="289"/>
      <c r="BZ5" s="289"/>
      <c r="CA5" s="884" t="b">
        <v>0</v>
      </c>
    </row>
    <row r="6" spans="3:79" ht="12.75" customHeight="1" x14ac:dyDescent="0.25">
      <c r="E6" s="556"/>
      <c r="F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6"/>
      <c r="BT6" s="556"/>
      <c r="BU6" s="556"/>
      <c r="BV6" s="556"/>
      <c r="BW6" s="289"/>
      <c r="BX6" s="289"/>
      <c r="BY6" s="289"/>
      <c r="BZ6" s="289"/>
      <c r="CA6" s="884" t="b">
        <v>1</v>
      </c>
    </row>
    <row r="7" spans="3:79" x14ac:dyDescent="0.25">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6"/>
      <c r="BQ7" s="556"/>
      <c r="BR7" s="556"/>
      <c r="BS7" s="556"/>
      <c r="BT7" s="556"/>
      <c r="BU7" s="556"/>
      <c r="BV7" s="556"/>
      <c r="BW7" s="289"/>
      <c r="BX7" s="289"/>
      <c r="BY7" s="289"/>
      <c r="BZ7" s="289"/>
      <c r="CA7" s="884" t="b">
        <v>0</v>
      </c>
    </row>
    <row r="8" spans="3:79" x14ac:dyDescent="0.25">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289"/>
      <c r="BX8" s="289"/>
      <c r="BY8" s="289"/>
      <c r="BZ8" s="289"/>
      <c r="CA8" s="884" t="b">
        <v>0</v>
      </c>
    </row>
    <row r="9" spans="3:79" x14ac:dyDescent="0.25">
      <c r="E9" s="556"/>
      <c r="F9" s="556"/>
      <c r="G9" s="556"/>
      <c r="H9" s="556"/>
      <c r="I9" s="556"/>
      <c r="J9" s="556"/>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c r="AQ9" s="556"/>
      <c r="AR9" s="556"/>
      <c r="AS9" s="556"/>
      <c r="AT9" s="556"/>
      <c r="AU9" s="556"/>
      <c r="AV9" s="556"/>
      <c r="AW9" s="556"/>
      <c r="AX9" s="556"/>
      <c r="AY9" s="556"/>
      <c r="AZ9" s="556"/>
      <c r="BA9" s="556"/>
      <c r="BB9" s="556"/>
      <c r="BC9" s="556"/>
      <c r="BD9" s="556"/>
      <c r="BE9" s="556"/>
      <c r="BF9" s="556"/>
      <c r="BG9" s="556"/>
      <c r="BH9" s="556"/>
      <c r="BI9" s="556"/>
      <c r="BJ9" s="556"/>
      <c r="BK9" s="556"/>
      <c r="BL9" s="556"/>
      <c r="BM9" s="556"/>
      <c r="BN9" s="556"/>
      <c r="BO9" s="556"/>
      <c r="BP9" s="556"/>
      <c r="BQ9" s="556"/>
      <c r="BR9" s="556"/>
      <c r="BS9" s="556"/>
      <c r="BT9" s="556"/>
      <c r="BU9" s="556"/>
      <c r="BV9" s="556"/>
      <c r="BW9" s="289"/>
      <c r="BX9" s="289"/>
      <c r="BY9" s="289"/>
      <c r="BZ9" s="289"/>
      <c r="CA9" s="884" t="b">
        <v>0</v>
      </c>
    </row>
    <row r="10" spans="3:79" x14ac:dyDescent="0.25">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c r="AQ10" s="556"/>
      <c r="AR10" s="556"/>
      <c r="AS10" s="556"/>
      <c r="AT10" s="556"/>
      <c r="AU10" s="556"/>
      <c r="AV10" s="556"/>
      <c r="AW10" s="556"/>
      <c r="AX10" s="556"/>
      <c r="AY10" s="556"/>
      <c r="AZ10" s="556"/>
      <c r="BA10" s="556"/>
      <c r="BB10" s="556"/>
      <c r="BC10" s="556"/>
      <c r="BD10" s="556"/>
      <c r="BE10" s="556"/>
      <c r="BF10" s="556"/>
      <c r="BG10" s="556"/>
      <c r="BH10" s="556"/>
      <c r="BI10" s="556"/>
      <c r="BJ10" s="556"/>
      <c r="BK10" s="556"/>
      <c r="BL10" s="556"/>
      <c r="BM10" s="556"/>
      <c r="BN10" s="556"/>
      <c r="BO10" s="556"/>
      <c r="BP10" s="556"/>
      <c r="BQ10" s="556"/>
      <c r="BR10" s="556"/>
      <c r="BS10" s="556"/>
      <c r="BT10" s="556"/>
      <c r="BU10" s="556"/>
      <c r="BV10" s="556"/>
      <c r="BW10" s="289"/>
      <c r="BX10" s="289"/>
      <c r="BY10" s="289"/>
      <c r="BZ10" s="289"/>
      <c r="CA10" s="884" t="b">
        <v>1</v>
      </c>
    </row>
    <row r="11" spans="3:79" x14ac:dyDescent="0.25">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c r="AQ11" s="556"/>
      <c r="AR11" s="556"/>
      <c r="AS11" s="556"/>
      <c r="AT11" s="556"/>
      <c r="AU11" s="556"/>
      <c r="AV11" s="556"/>
      <c r="AW11" s="556"/>
      <c r="AX11" s="556"/>
      <c r="AY11" s="556"/>
      <c r="AZ11" s="556"/>
      <c r="BA11" s="556"/>
      <c r="BB11" s="556"/>
      <c r="BC11" s="556"/>
      <c r="BD11" s="556"/>
      <c r="BE11" s="556"/>
      <c r="BF11" s="556"/>
      <c r="BG11" s="556"/>
      <c r="BH11" s="556"/>
      <c r="BI11" s="556"/>
      <c r="BJ11" s="556"/>
      <c r="BK11" s="556"/>
      <c r="BL11" s="556"/>
      <c r="BM11" s="556"/>
      <c r="BN11" s="556"/>
      <c r="BO11" s="556"/>
      <c r="BP11" s="556"/>
      <c r="BQ11" s="556"/>
      <c r="BR11" s="556"/>
      <c r="BS11" s="556"/>
      <c r="BT11" s="556"/>
      <c r="BU11" s="556"/>
      <c r="BV11" s="556"/>
      <c r="BW11" s="289"/>
      <c r="BX11" s="289"/>
      <c r="BY11" s="289"/>
      <c r="BZ11" s="289"/>
      <c r="CA11" s="884" t="b">
        <v>1</v>
      </c>
    </row>
    <row r="12" spans="3:79" ht="63" customHeight="1" x14ac:dyDescent="0.25">
      <c r="C12" s="1745" t="s">
        <v>6063</v>
      </c>
      <c r="D12" s="1745"/>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c r="AQ12" s="556"/>
      <c r="AR12" s="556"/>
      <c r="AS12" s="556"/>
      <c r="AT12" s="556"/>
      <c r="AU12" s="556"/>
      <c r="AV12" s="556"/>
      <c r="AW12" s="556"/>
      <c r="AX12" s="556"/>
      <c r="AY12" s="556"/>
      <c r="AZ12" s="556"/>
      <c r="BA12" s="556"/>
      <c r="BB12" s="556"/>
      <c r="BC12" s="556"/>
      <c r="BD12" s="556"/>
      <c r="BE12" s="556"/>
      <c r="BF12" s="556"/>
      <c r="BG12" s="556"/>
      <c r="BH12" s="556"/>
      <c r="BI12" s="556"/>
      <c r="BJ12" s="556"/>
      <c r="BK12" s="556"/>
      <c r="BL12" s="556"/>
      <c r="BM12" s="556"/>
      <c r="BN12" s="556"/>
      <c r="BO12" s="556"/>
      <c r="BP12" s="556"/>
      <c r="BQ12" s="556"/>
      <c r="BR12" s="556"/>
      <c r="BS12" s="556"/>
      <c r="BT12" s="556"/>
      <c r="BU12" s="556"/>
      <c r="BV12" s="556"/>
      <c r="BW12" s="289"/>
      <c r="BX12" s="289"/>
      <c r="BY12" s="289"/>
      <c r="BZ12" s="289"/>
      <c r="CA12" s="289"/>
    </row>
    <row r="13" spans="3:79" ht="51.75" customHeight="1" x14ac:dyDescent="0.25">
      <c r="C13" s="1745"/>
      <c r="D13" s="1745"/>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c r="AQ13" s="556"/>
      <c r="AR13" s="556"/>
      <c r="AS13" s="556"/>
      <c r="AT13" s="556"/>
      <c r="AU13" s="556"/>
      <c r="AV13" s="556"/>
      <c r="AW13" s="556"/>
      <c r="AX13" s="556"/>
      <c r="AY13" s="556"/>
      <c r="AZ13" s="556"/>
      <c r="BA13" s="556"/>
      <c r="BB13" s="556"/>
      <c r="BC13" s="556"/>
      <c r="BD13" s="556"/>
      <c r="BE13" s="556"/>
      <c r="BF13" s="556"/>
      <c r="BG13" s="556"/>
      <c r="BH13" s="556"/>
      <c r="BI13" s="556"/>
      <c r="BJ13" s="556"/>
      <c r="BK13" s="556"/>
      <c r="BL13" s="556"/>
      <c r="BM13" s="556"/>
      <c r="BN13" s="556"/>
      <c r="BO13" s="556"/>
      <c r="BP13" s="556"/>
      <c r="BQ13" s="556"/>
      <c r="BR13" s="556"/>
      <c r="BS13" s="556"/>
      <c r="BT13" s="556"/>
      <c r="BU13" s="556"/>
      <c r="BV13" s="556"/>
      <c r="BW13" s="289"/>
      <c r="BX13" s="289"/>
      <c r="BY13" s="289"/>
      <c r="BZ13" s="289"/>
      <c r="CA13" s="289"/>
    </row>
    <row r="14" spans="3:79" ht="44.25" customHeight="1" x14ac:dyDescent="0.25">
      <c r="C14" s="1745"/>
      <c r="D14" s="1745"/>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6"/>
      <c r="BR14" s="556"/>
      <c r="BS14" s="556"/>
      <c r="BT14" s="556"/>
      <c r="BU14" s="557"/>
      <c r="BV14" s="556"/>
      <c r="BW14" s="289"/>
      <c r="BX14" s="289"/>
      <c r="BY14" s="289"/>
      <c r="BZ14" s="289"/>
      <c r="CA14" s="289"/>
    </row>
    <row r="15" spans="3:79" ht="101.25" customHeight="1" thickBot="1" x14ac:dyDescent="0.3">
      <c r="C15" s="1745"/>
      <c r="D15" s="1745"/>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8"/>
      <c r="BU15" s="559"/>
      <c r="BV15" s="556"/>
      <c r="BW15" s="289"/>
      <c r="BX15" s="289"/>
      <c r="BY15" s="289"/>
      <c r="BZ15" s="289"/>
      <c r="CA15" s="289"/>
    </row>
    <row r="16" spans="3:79" ht="29.25" thickBot="1" x14ac:dyDescent="0.5">
      <c r="C16" s="885"/>
      <c r="D16" s="400"/>
      <c r="E16" s="1739">
        <v>2012</v>
      </c>
      <c r="F16" s="1740"/>
      <c r="G16" s="1740"/>
      <c r="H16" s="1740"/>
      <c r="I16" s="1740"/>
      <c r="J16" s="1740"/>
      <c r="K16" s="1740"/>
      <c r="L16" s="1740"/>
      <c r="M16" s="1740"/>
      <c r="N16" s="1744"/>
      <c r="O16" s="1739">
        <v>2013</v>
      </c>
      <c r="P16" s="1740"/>
      <c r="Q16" s="1740"/>
      <c r="R16" s="1740"/>
      <c r="S16" s="1740"/>
      <c r="T16" s="1740"/>
      <c r="U16" s="1740"/>
      <c r="V16" s="1740"/>
      <c r="W16" s="1740"/>
      <c r="X16" s="1744"/>
      <c r="Y16" s="1739">
        <v>2014</v>
      </c>
      <c r="Z16" s="1740"/>
      <c r="AA16" s="1740"/>
      <c r="AB16" s="1740"/>
      <c r="AC16" s="1740"/>
      <c r="AD16" s="1740"/>
      <c r="AE16" s="1740"/>
      <c r="AF16" s="1740"/>
      <c r="AG16" s="1740"/>
      <c r="AH16" s="1744"/>
      <c r="AI16" s="1739">
        <v>2015</v>
      </c>
      <c r="AJ16" s="1740"/>
      <c r="AK16" s="1740"/>
      <c r="AL16" s="1740"/>
      <c r="AM16" s="1740"/>
      <c r="AN16" s="1740"/>
      <c r="AO16" s="1740"/>
      <c r="AP16" s="1740"/>
      <c r="AQ16" s="1740"/>
      <c r="AR16" s="1744"/>
      <c r="AS16" s="1739">
        <v>2016</v>
      </c>
      <c r="AT16" s="1740"/>
      <c r="AU16" s="1740"/>
      <c r="AV16" s="1740"/>
      <c r="AW16" s="1740"/>
      <c r="AX16" s="1740"/>
      <c r="AY16" s="1740"/>
      <c r="AZ16" s="1740"/>
      <c r="BA16" s="1740"/>
      <c r="BB16" s="1740"/>
      <c r="BC16" s="1739">
        <v>2017</v>
      </c>
      <c r="BD16" s="1740"/>
      <c r="BE16" s="1740"/>
      <c r="BF16" s="1740"/>
      <c r="BG16" s="1740"/>
      <c r="BH16" s="1740"/>
      <c r="BI16" s="1740"/>
      <c r="BJ16" s="1740"/>
      <c r="BK16" s="1740"/>
      <c r="BL16" s="1744"/>
      <c r="BM16" s="1739">
        <v>2018</v>
      </c>
      <c r="BN16" s="1740"/>
      <c r="BO16" s="1740"/>
      <c r="BP16" s="1740"/>
      <c r="BQ16" s="1728" t="s">
        <v>5973</v>
      </c>
      <c r="BR16" s="1729"/>
      <c r="BS16" s="1729"/>
      <c r="BT16" s="1730"/>
      <c r="BU16" s="485" t="s">
        <v>1809</v>
      </c>
      <c r="BV16" s="401"/>
    </row>
    <row r="17" spans="3:79" ht="12.75" customHeight="1" x14ac:dyDescent="0.2">
      <c r="C17" s="1731" t="s">
        <v>1835</v>
      </c>
      <c r="D17" s="1733" t="s">
        <v>1836</v>
      </c>
      <c r="E17" s="1717" t="s">
        <v>1865</v>
      </c>
      <c r="F17" s="1720" t="s">
        <v>5952</v>
      </c>
      <c r="G17" s="1736" t="s">
        <v>1861</v>
      </c>
      <c r="H17" s="1736" t="s">
        <v>5953</v>
      </c>
      <c r="I17" s="1736" t="s">
        <v>1864</v>
      </c>
      <c r="J17" s="1736" t="s">
        <v>1863</v>
      </c>
      <c r="K17" s="1736" t="s">
        <v>1862</v>
      </c>
      <c r="L17" s="1736" t="s">
        <v>1861</v>
      </c>
      <c r="M17" s="1736" t="s">
        <v>2886</v>
      </c>
      <c r="N17" s="1741" t="s">
        <v>1860</v>
      </c>
      <c r="O17" s="1748" t="s">
        <v>1859</v>
      </c>
      <c r="P17" s="1705" t="s">
        <v>5954</v>
      </c>
      <c r="Q17" s="1705" t="s">
        <v>1855</v>
      </c>
      <c r="R17" s="1705" t="s">
        <v>2887</v>
      </c>
      <c r="S17" s="1705" t="s">
        <v>1858</v>
      </c>
      <c r="T17" s="1705" t="s">
        <v>1857</v>
      </c>
      <c r="U17" s="1705" t="s">
        <v>1856</v>
      </c>
      <c r="V17" s="1705" t="s">
        <v>1855</v>
      </c>
      <c r="W17" s="1708" t="s">
        <v>2888</v>
      </c>
      <c r="X17" s="1711" t="s">
        <v>1854</v>
      </c>
      <c r="Y17" s="1717" t="s">
        <v>1853</v>
      </c>
      <c r="Z17" s="1708" t="s">
        <v>5955</v>
      </c>
      <c r="AA17" s="1720" t="s">
        <v>1850</v>
      </c>
      <c r="AB17" s="1720" t="s">
        <v>2889</v>
      </c>
      <c r="AC17" s="1720" t="s">
        <v>1852</v>
      </c>
      <c r="AD17" s="1720" t="s">
        <v>1851</v>
      </c>
      <c r="AE17" s="1720" t="s">
        <v>2587</v>
      </c>
      <c r="AF17" s="1720" t="s">
        <v>1850</v>
      </c>
      <c r="AG17" s="1720" t="s">
        <v>2890</v>
      </c>
      <c r="AH17" s="1711" t="s">
        <v>1849</v>
      </c>
      <c r="AI17" s="1717" t="s">
        <v>1848</v>
      </c>
      <c r="AJ17" s="1720" t="s">
        <v>5956</v>
      </c>
      <c r="AK17" s="1720" t="s">
        <v>1847</v>
      </c>
      <c r="AL17" s="1720" t="s">
        <v>2891</v>
      </c>
      <c r="AM17" s="1720" t="s">
        <v>2588</v>
      </c>
      <c r="AN17" s="1720" t="s">
        <v>2589</v>
      </c>
      <c r="AO17" s="1720" t="s">
        <v>5957</v>
      </c>
      <c r="AP17" s="1720" t="s">
        <v>1847</v>
      </c>
      <c r="AQ17" s="1720" t="s">
        <v>5958</v>
      </c>
      <c r="AR17" s="1711" t="s">
        <v>2590</v>
      </c>
      <c r="AS17" s="1717" t="s">
        <v>2591</v>
      </c>
      <c r="AT17" s="1720" t="s">
        <v>5959</v>
      </c>
      <c r="AU17" s="1720" t="s">
        <v>2592</v>
      </c>
      <c r="AV17" s="1720" t="s">
        <v>5960</v>
      </c>
      <c r="AW17" s="1720" t="s">
        <v>2593</v>
      </c>
      <c r="AX17" s="1720" t="s">
        <v>2594</v>
      </c>
      <c r="AY17" s="1720" t="s">
        <v>2595</v>
      </c>
      <c r="AZ17" s="1720" t="s">
        <v>2592</v>
      </c>
      <c r="BA17" s="1720" t="s">
        <v>5961</v>
      </c>
      <c r="BB17" s="1708" t="s">
        <v>2596</v>
      </c>
      <c r="BC17" s="1717" t="s">
        <v>5962</v>
      </c>
      <c r="BD17" s="1708" t="s">
        <v>5963</v>
      </c>
      <c r="BE17" s="1708" t="s">
        <v>5964</v>
      </c>
      <c r="BF17" s="1708" t="s">
        <v>5965</v>
      </c>
      <c r="BG17" s="1708" t="s">
        <v>5966</v>
      </c>
      <c r="BH17" s="1708" t="s">
        <v>5967</v>
      </c>
      <c r="BI17" s="1708" t="s">
        <v>5968</v>
      </c>
      <c r="BJ17" s="1708" t="s">
        <v>5964</v>
      </c>
      <c r="BK17" s="1708" t="s">
        <v>5969</v>
      </c>
      <c r="BL17" s="1711" t="s">
        <v>5970</v>
      </c>
      <c r="BM17" s="1717" t="s">
        <v>5971</v>
      </c>
      <c r="BN17" s="1720" t="s">
        <v>5972</v>
      </c>
      <c r="BO17" s="1723" t="s">
        <v>5979</v>
      </c>
      <c r="BP17" s="1723" t="s">
        <v>5976</v>
      </c>
      <c r="BQ17" s="1717" t="s">
        <v>5977</v>
      </c>
      <c r="BR17" s="1708" t="s">
        <v>5978</v>
      </c>
      <c r="BS17" s="1708" t="s">
        <v>1845</v>
      </c>
      <c r="BT17" s="1708" t="s">
        <v>1837</v>
      </c>
      <c r="BU17" s="1711" t="s">
        <v>5974</v>
      </c>
      <c r="BV17" s="1711" t="s">
        <v>5975</v>
      </c>
    </row>
    <row r="18" spans="3:79" ht="30.75" customHeight="1" x14ac:dyDescent="0.2">
      <c r="C18" s="1732"/>
      <c r="D18" s="1734"/>
      <c r="E18" s="1726"/>
      <c r="F18" s="1709"/>
      <c r="G18" s="1737"/>
      <c r="H18" s="1706"/>
      <c r="I18" s="1737"/>
      <c r="J18" s="1706"/>
      <c r="K18" s="1737"/>
      <c r="L18" s="1737"/>
      <c r="M18" s="1706"/>
      <c r="N18" s="1742"/>
      <c r="O18" s="1749"/>
      <c r="P18" s="1706"/>
      <c r="Q18" s="1706"/>
      <c r="R18" s="1706"/>
      <c r="S18" s="1706"/>
      <c r="T18" s="1706"/>
      <c r="U18" s="1706"/>
      <c r="V18" s="1706"/>
      <c r="W18" s="1709"/>
      <c r="X18" s="1712"/>
      <c r="Y18" s="1726"/>
      <c r="Z18" s="1709"/>
      <c r="AA18" s="1721"/>
      <c r="AB18" s="1721"/>
      <c r="AC18" s="1721"/>
      <c r="AD18" s="1709"/>
      <c r="AE18" s="1721"/>
      <c r="AF18" s="1721"/>
      <c r="AG18" s="1721"/>
      <c r="AH18" s="1746"/>
      <c r="AI18" s="1726"/>
      <c r="AJ18" s="1709"/>
      <c r="AK18" s="1721"/>
      <c r="AL18" s="1721"/>
      <c r="AM18" s="1721"/>
      <c r="AN18" s="1709"/>
      <c r="AO18" s="1721"/>
      <c r="AP18" s="1721"/>
      <c r="AQ18" s="1721"/>
      <c r="AR18" s="1746"/>
      <c r="AS18" s="1726"/>
      <c r="AT18" s="1709"/>
      <c r="AU18" s="1721"/>
      <c r="AV18" s="1721"/>
      <c r="AW18" s="1721"/>
      <c r="AX18" s="1709"/>
      <c r="AY18" s="1721"/>
      <c r="AZ18" s="1721"/>
      <c r="BA18" s="1721"/>
      <c r="BB18" s="1709"/>
      <c r="BC18" s="1726"/>
      <c r="BD18" s="1709"/>
      <c r="BE18" s="1721"/>
      <c r="BF18" s="1721"/>
      <c r="BG18" s="1721"/>
      <c r="BH18" s="1709"/>
      <c r="BI18" s="1721"/>
      <c r="BJ18" s="1721"/>
      <c r="BK18" s="1721"/>
      <c r="BL18" s="1712"/>
      <c r="BM18" s="1718"/>
      <c r="BN18" s="1721"/>
      <c r="BO18" s="1724"/>
      <c r="BP18" s="1724"/>
      <c r="BQ18" s="1726"/>
      <c r="BR18" s="1709"/>
      <c r="BS18" s="1709"/>
      <c r="BT18" s="1709"/>
      <c r="BU18" s="1712"/>
      <c r="BV18" s="1712"/>
    </row>
    <row r="19" spans="3:79" ht="38.25" customHeight="1" thickBot="1" x14ac:dyDescent="0.25">
      <c r="C19" s="1732"/>
      <c r="D19" s="1735"/>
      <c r="E19" s="1727"/>
      <c r="F19" s="1710"/>
      <c r="G19" s="1738"/>
      <c r="H19" s="1707"/>
      <c r="I19" s="1738"/>
      <c r="J19" s="1707"/>
      <c r="K19" s="1738"/>
      <c r="L19" s="1738"/>
      <c r="M19" s="1707"/>
      <c r="N19" s="1743"/>
      <c r="O19" s="1750"/>
      <c r="P19" s="1707"/>
      <c r="Q19" s="1707"/>
      <c r="R19" s="1707"/>
      <c r="S19" s="1707"/>
      <c r="T19" s="1707"/>
      <c r="U19" s="1707"/>
      <c r="V19" s="1707"/>
      <c r="W19" s="1710"/>
      <c r="X19" s="1713"/>
      <c r="Y19" s="1747"/>
      <c r="Z19" s="1714"/>
      <c r="AA19" s="1722"/>
      <c r="AB19" s="1722"/>
      <c r="AC19" s="1722"/>
      <c r="AD19" s="1710"/>
      <c r="AE19" s="1722"/>
      <c r="AF19" s="1722"/>
      <c r="AG19" s="1722"/>
      <c r="AH19" s="1713"/>
      <c r="AI19" s="1727"/>
      <c r="AJ19" s="1710"/>
      <c r="AK19" s="1722"/>
      <c r="AL19" s="1722"/>
      <c r="AM19" s="1722"/>
      <c r="AN19" s="1710"/>
      <c r="AO19" s="1722"/>
      <c r="AP19" s="1722"/>
      <c r="AQ19" s="1722"/>
      <c r="AR19" s="1713"/>
      <c r="AS19" s="1727"/>
      <c r="AT19" s="1710"/>
      <c r="AU19" s="1722"/>
      <c r="AV19" s="1722"/>
      <c r="AW19" s="1722"/>
      <c r="AX19" s="1710"/>
      <c r="AY19" s="1722"/>
      <c r="AZ19" s="1722"/>
      <c r="BA19" s="1722"/>
      <c r="BB19" s="1710"/>
      <c r="BC19" s="1727"/>
      <c r="BD19" s="1710"/>
      <c r="BE19" s="1722"/>
      <c r="BF19" s="1722"/>
      <c r="BG19" s="1722"/>
      <c r="BH19" s="1710"/>
      <c r="BI19" s="1722"/>
      <c r="BJ19" s="1722"/>
      <c r="BK19" s="1722"/>
      <c r="BL19" s="1713"/>
      <c r="BM19" s="1719"/>
      <c r="BN19" s="1722"/>
      <c r="BO19" s="1725"/>
      <c r="BP19" s="1725"/>
      <c r="BQ19" s="1727"/>
      <c r="BR19" s="1710"/>
      <c r="BS19" s="1714"/>
      <c r="BT19" s="1714" t="s">
        <v>1838</v>
      </c>
      <c r="BU19" s="1715"/>
      <c r="BV19" s="1713"/>
    </row>
    <row r="20" spans="3:79" ht="24" thickBot="1" x14ac:dyDescent="0.3">
      <c r="C20" s="458" t="s">
        <v>1839</v>
      </c>
      <c r="D20" s="459"/>
      <c r="E20" s="457"/>
      <c r="F20" s="410"/>
      <c r="G20" s="443"/>
      <c r="H20" s="443"/>
      <c r="I20" s="443"/>
      <c r="J20" s="443"/>
      <c r="K20" s="443"/>
      <c r="L20" s="443"/>
      <c r="M20" s="443"/>
      <c r="N20" s="444"/>
      <c r="O20" s="445"/>
      <c r="P20" s="446"/>
      <c r="Q20" s="443"/>
      <c r="R20" s="443"/>
      <c r="S20" s="443"/>
      <c r="T20" s="443"/>
      <c r="U20" s="443"/>
      <c r="V20" s="443"/>
      <c r="W20" s="411"/>
      <c r="X20" s="412"/>
      <c r="Y20" s="413"/>
      <c r="Z20" s="414"/>
      <c r="AA20" s="411"/>
      <c r="AB20" s="411"/>
      <c r="AC20" s="411"/>
      <c r="AD20" s="411"/>
      <c r="AE20" s="411"/>
      <c r="AF20" s="411"/>
      <c r="AG20" s="411"/>
      <c r="AH20" s="412"/>
      <c r="AI20" s="413"/>
      <c r="AJ20" s="410"/>
      <c r="AK20" s="411"/>
      <c r="AL20" s="411"/>
      <c r="AM20" s="411"/>
      <c r="AN20" s="411"/>
      <c r="AO20" s="411"/>
      <c r="AP20" s="411"/>
      <c r="AQ20" s="411"/>
      <c r="AR20" s="412"/>
      <c r="AS20" s="413"/>
      <c r="AT20" s="410"/>
      <c r="AU20" s="411"/>
      <c r="AV20" s="411"/>
      <c r="AW20" s="411"/>
      <c r="AX20" s="411"/>
      <c r="AY20" s="411"/>
      <c r="AZ20" s="411"/>
      <c r="BA20" s="411"/>
      <c r="BB20" s="476"/>
      <c r="BC20" s="413"/>
      <c r="BD20" s="410"/>
      <c r="BE20" s="411"/>
      <c r="BF20" s="411"/>
      <c r="BG20" s="411"/>
      <c r="BH20" s="411"/>
      <c r="BI20" s="411"/>
      <c r="BJ20" s="411"/>
      <c r="BK20" s="411"/>
      <c r="BL20" s="477"/>
      <c r="BM20" s="415"/>
      <c r="BN20" s="416"/>
      <c r="BO20" s="411"/>
      <c r="BP20" s="416"/>
      <c r="BQ20" s="486"/>
      <c r="BR20" s="417"/>
      <c r="BS20" s="417"/>
      <c r="BT20" s="417"/>
      <c r="BU20" s="490"/>
      <c r="BV20" s="418"/>
    </row>
    <row r="21" spans="3:79" thickBot="1" x14ac:dyDescent="0.25">
      <c r="C21" s="460" t="s">
        <v>49</v>
      </c>
      <c r="D21" s="461">
        <v>1550</v>
      </c>
      <c r="E21" s="521"/>
      <c r="F21" s="522"/>
      <c r="G21" s="522"/>
      <c r="H21" s="522"/>
      <c r="I21" s="448">
        <f>E21+F21-G21+H21</f>
        <v>0</v>
      </c>
      <c r="J21" s="522"/>
      <c r="K21" s="522"/>
      <c r="L21" s="522"/>
      <c r="M21" s="522"/>
      <c r="N21" s="448">
        <f>J21+K21-L21+M21</f>
        <v>0</v>
      </c>
      <c r="O21" s="487">
        <f>I21</f>
        <v>0</v>
      </c>
      <c r="P21" s="522"/>
      <c r="Q21" s="522"/>
      <c r="R21" s="522"/>
      <c r="S21" s="448">
        <f t="shared" ref="S21:S31" si="0">O21+P21-Q21+SUM(R21:R21)</f>
        <v>0</v>
      </c>
      <c r="T21" s="448">
        <f t="shared" ref="T21:T37" si="1">N21</f>
        <v>0</v>
      </c>
      <c r="U21" s="522"/>
      <c r="V21" s="522"/>
      <c r="W21" s="522"/>
      <c r="X21" s="563">
        <f>T21+U21-V21+W21</f>
        <v>0</v>
      </c>
      <c r="Y21" s="564">
        <f t="shared" ref="Y21:Y37" si="2">S21</f>
        <v>0</v>
      </c>
      <c r="Z21" s="522"/>
      <c r="AA21" s="522"/>
      <c r="AB21" s="522"/>
      <c r="AC21" s="448">
        <f>Y21+Z21-AA21+SUM(AB21:AB21)</f>
        <v>0</v>
      </c>
      <c r="AD21" s="456">
        <f t="shared" ref="AD21:AD31" si="3">X21</f>
        <v>0</v>
      </c>
      <c r="AE21" s="522"/>
      <c r="AF21" s="522"/>
      <c r="AG21" s="522"/>
      <c r="AH21" s="451">
        <f>AD21+AE21-AF21+AG21</f>
        <v>0</v>
      </c>
      <c r="AI21" s="455">
        <f t="shared" ref="AI21:AI37" si="4">AC21</f>
        <v>0</v>
      </c>
      <c r="AJ21" s="522"/>
      <c r="AK21" s="522"/>
      <c r="AL21" s="587">
        <v>87785.270000000048</v>
      </c>
      <c r="AM21" s="448">
        <f t="shared" ref="AM21:AM37" si="5">AI21+AJ21-AK21+SUM(AL21:AL21)</f>
        <v>87785.270000000048</v>
      </c>
      <c r="AN21" s="456">
        <f t="shared" ref="AN21:AN37" si="6">AH21</f>
        <v>0</v>
      </c>
      <c r="AO21" s="522"/>
      <c r="AP21" s="522"/>
      <c r="AQ21" s="587">
        <v>-831.34999999999991</v>
      </c>
      <c r="AR21" s="451">
        <f>AN21+AO21-AP21+AQ21</f>
        <v>-831.34999999999991</v>
      </c>
      <c r="AS21" s="455">
        <f t="shared" ref="AS21:AS37" si="7">AM21</f>
        <v>87785.270000000048</v>
      </c>
      <c r="AT21" s="591">
        <v>185764.11</v>
      </c>
      <c r="AU21" s="522"/>
      <c r="AV21" s="522"/>
      <c r="AW21" s="448">
        <f t="shared" ref="AW21:AW37" si="8">AS21+AT21-AU21+SUM(AV21:AV21)</f>
        <v>273549.38</v>
      </c>
      <c r="AX21" s="456">
        <f t="shared" ref="AX21:AX37" si="9">AR21</f>
        <v>-831.34999999999991</v>
      </c>
      <c r="AY21" s="591">
        <v>1926.0400000000002</v>
      </c>
      <c r="AZ21" s="522"/>
      <c r="BA21" s="522"/>
      <c r="BB21" s="448">
        <f>AX21+AY21-AZ21+BA21</f>
        <v>1094.6900000000003</v>
      </c>
      <c r="BC21" s="455">
        <f t="shared" ref="BC21:BC37" si="10">AW21</f>
        <v>273549.38</v>
      </c>
      <c r="BD21" s="523">
        <v>60802.410000000047</v>
      </c>
      <c r="BE21" s="522">
        <v>87785</v>
      </c>
      <c r="BF21" s="522"/>
      <c r="BG21" s="448">
        <f t="shared" ref="BG21:BG37" si="11">BC21+BD21-BE21+SUM(BF21:BF21)</f>
        <v>246566.79000000004</v>
      </c>
      <c r="BH21" s="456">
        <f t="shared" ref="BH21:BH37" si="12">BB21</f>
        <v>1094.6900000000003</v>
      </c>
      <c r="BI21" s="523">
        <v>3587.0600000000004</v>
      </c>
      <c r="BJ21" s="522">
        <v>-510</v>
      </c>
      <c r="BK21" s="522"/>
      <c r="BL21" s="478">
        <f>BH21+BI21-BJ21+BK21</f>
        <v>5191.7500000000009</v>
      </c>
      <c r="BM21" s="523">
        <v>185763.9</v>
      </c>
      <c r="BN21" s="523">
        <v>4762.62</v>
      </c>
      <c r="BO21" s="456">
        <f>BG21-BM21</f>
        <v>60802.890000000043</v>
      </c>
      <c r="BP21" s="484">
        <f>BL21-BN21</f>
        <v>429.13000000000102</v>
      </c>
      <c r="BQ21" s="772">
        <f>ROUND(BO21*(0.015/12*3+0.0189/12*6+0.0217/12*3),2)</f>
        <v>1132.45</v>
      </c>
      <c r="BR21" s="772">
        <f>ROUND(BO21*0.0217/12*4,2)</f>
        <v>439.81</v>
      </c>
      <c r="BS21" s="519">
        <f>BP21+BQ21+BR21</f>
        <v>2001.390000000001</v>
      </c>
      <c r="BT21" s="632">
        <f>SUM(BO21:BR21)</f>
        <v>62804.280000000042</v>
      </c>
      <c r="BU21" s="491">
        <v>251758.54</v>
      </c>
      <c r="BV21" s="454">
        <f>BU21-SUM(BG21,BL21)</f>
        <v>0</v>
      </c>
      <c r="BW21" s="289"/>
      <c r="BX21" s="289"/>
      <c r="BY21" s="289"/>
      <c r="BZ21" s="289"/>
      <c r="CA21" s="289"/>
    </row>
    <row r="22" spans="3:79" thickBot="1" x14ac:dyDescent="0.25">
      <c r="C22" s="460" t="s">
        <v>658</v>
      </c>
      <c r="D22" s="461">
        <v>1551</v>
      </c>
      <c r="E22" s="521"/>
      <c r="F22" s="522"/>
      <c r="G22" s="522"/>
      <c r="H22" s="522"/>
      <c r="I22" s="448">
        <f>E22+F22-G22+H22</f>
        <v>0</v>
      </c>
      <c r="J22" s="522"/>
      <c r="K22" s="522"/>
      <c r="L22" s="522"/>
      <c r="M22" s="522"/>
      <c r="N22" s="448">
        <f>J22+K22-L22+M22</f>
        <v>0</v>
      </c>
      <c r="O22" s="487">
        <f>I22</f>
        <v>0</v>
      </c>
      <c r="P22" s="522"/>
      <c r="Q22" s="522"/>
      <c r="R22" s="522"/>
      <c r="S22" s="448">
        <f t="shared" si="0"/>
        <v>0</v>
      </c>
      <c r="T22" s="448">
        <f t="shared" si="1"/>
        <v>0</v>
      </c>
      <c r="U22" s="522"/>
      <c r="V22" s="522"/>
      <c r="W22" s="522"/>
      <c r="X22" s="451">
        <f>T22+U22-V22+W22</f>
        <v>0</v>
      </c>
      <c r="Y22" s="455">
        <f t="shared" si="2"/>
        <v>0</v>
      </c>
      <c r="Z22" s="522"/>
      <c r="AA22" s="522"/>
      <c r="AB22" s="522"/>
      <c r="AC22" s="448">
        <f>Y22+Z22-AA22+SUM(AB22:AB22)</f>
        <v>0</v>
      </c>
      <c r="AD22" s="456">
        <f>X22</f>
        <v>0</v>
      </c>
      <c r="AE22" s="522"/>
      <c r="AF22" s="526"/>
      <c r="AG22" s="527"/>
      <c r="AH22" s="451">
        <f>AD22+AE22-AF22+AG22</f>
        <v>0</v>
      </c>
      <c r="AI22" s="455">
        <f t="shared" si="4"/>
        <v>0</v>
      </c>
      <c r="AJ22" s="522"/>
      <c r="AK22" s="522"/>
      <c r="AL22" s="607">
        <v>-142.62</v>
      </c>
      <c r="AM22" s="448">
        <f t="shared" si="5"/>
        <v>-142.62</v>
      </c>
      <c r="AN22" s="456">
        <f t="shared" si="6"/>
        <v>0</v>
      </c>
      <c r="AO22" s="522"/>
      <c r="AP22" s="526"/>
      <c r="AQ22" s="607">
        <v>8.3900000000000361</v>
      </c>
      <c r="AR22" s="451">
        <f>AN22+AO22-AP22+AQ22</f>
        <v>8.3900000000000361</v>
      </c>
      <c r="AS22" s="455">
        <f t="shared" si="7"/>
        <v>-142.62</v>
      </c>
      <c r="AT22" s="523">
        <v>-400.31</v>
      </c>
      <c r="AU22" s="522"/>
      <c r="AV22" s="522"/>
      <c r="AW22" s="448">
        <f t="shared" si="8"/>
        <v>-542.93000000000006</v>
      </c>
      <c r="AX22" s="456">
        <f t="shared" si="9"/>
        <v>8.3900000000000361</v>
      </c>
      <c r="AY22" s="523">
        <v>-2.8099999999999996</v>
      </c>
      <c r="AZ22" s="526"/>
      <c r="BA22" s="527"/>
      <c r="BB22" s="448">
        <f>AX22+AY22-AZ22+BA22</f>
        <v>5.5800000000000365</v>
      </c>
      <c r="BC22" s="455">
        <f t="shared" si="10"/>
        <v>-542.93000000000006</v>
      </c>
      <c r="BD22" s="523">
        <v>-87.13</v>
      </c>
      <c r="BE22" s="522">
        <v>-143</v>
      </c>
      <c r="BF22" s="522"/>
      <c r="BG22" s="448">
        <f t="shared" si="11"/>
        <v>-487.06000000000006</v>
      </c>
      <c r="BH22" s="456">
        <f t="shared" si="12"/>
        <v>5.5800000000000365</v>
      </c>
      <c r="BI22" s="523">
        <v>-6.9</v>
      </c>
      <c r="BJ22" s="526">
        <v>8</v>
      </c>
      <c r="BK22" s="527"/>
      <c r="BL22" s="478">
        <f>BH22+BI22-BJ22+BK22</f>
        <v>-9.3199999999999648</v>
      </c>
      <c r="BM22" s="523">
        <v>-399.93</v>
      </c>
      <c r="BN22" s="523">
        <v>-9.2200000000000006</v>
      </c>
      <c r="BO22" s="456">
        <f t="shared" ref="BO22:BO37" si="13">BG22-BM22</f>
        <v>-87.130000000000052</v>
      </c>
      <c r="BP22" s="484">
        <f t="shared" ref="BP22:BP37" si="14">BL22-BN22</f>
        <v>-9.9999999999964118E-2</v>
      </c>
      <c r="BQ22" s="772">
        <f t="shared" ref="BQ22:BQ31" si="15">ROUND(BO22*(0.015/12*3+0.0189/12*6+0.0217/12*3),2)</f>
        <v>-1.62</v>
      </c>
      <c r="BR22" s="772">
        <f t="shared" ref="BR22:BR31" si="16">ROUND(BO22*0.0217/12*4,2)</f>
        <v>-0.63</v>
      </c>
      <c r="BS22" s="519">
        <f t="shared" ref="BS22:BS37" si="17">BP22+BQ22+BR22</f>
        <v>-2.3499999999999641</v>
      </c>
      <c r="BT22" s="632">
        <f>SUM(BO22:BR22)</f>
        <v>-89.480000000000018</v>
      </c>
      <c r="BU22" s="491">
        <v>-496.38</v>
      </c>
      <c r="BV22" s="454">
        <f>BU22-SUM(BG22,BL22)</f>
        <v>0</v>
      </c>
      <c r="BW22" s="289"/>
      <c r="BX22" s="289"/>
      <c r="BY22" s="289"/>
      <c r="BZ22" s="289"/>
      <c r="CA22" s="289"/>
    </row>
    <row r="23" spans="3:79" ht="17.25" thickBot="1" x14ac:dyDescent="0.25">
      <c r="C23" s="462" t="s">
        <v>3019</v>
      </c>
      <c r="D23" s="461">
        <v>1580</v>
      </c>
      <c r="E23" s="521"/>
      <c r="F23" s="522"/>
      <c r="G23" s="522"/>
      <c r="H23" s="522"/>
      <c r="I23" s="448">
        <f t="shared" ref="I23:I37" si="18">E23+F23-G23+H23</f>
        <v>0</v>
      </c>
      <c r="J23" s="522"/>
      <c r="K23" s="522"/>
      <c r="L23" s="522"/>
      <c r="M23" s="522"/>
      <c r="N23" s="448">
        <f t="shared" ref="N23:N37" si="19">J23+K23-L23+M23</f>
        <v>0</v>
      </c>
      <c r="O23" s="487">
        <f t="shared" ref="O23:O37" si="20">I23</f>
        <v>0</v>
      </c>
      <c r="P23" s="522"/>
      <c r="Q23" s="522"/>
      <c r="R23" s="522"/>
      <c r="S23" s="448">
        <f t="shared" si="0"/>
        <v>0</v>
      </c>
      <c r="T23" s="448">
        <f t="shared" si="1"/>
        <v>0</v>
      </c>
      <c r="U23" s="522"/>
      <c r="V23" s="522"/>
      <c r="W23" s="522"/>
      <c r="X23" s="451">
        <f t="shared" ref="X23:X37" si="21">T23+U23-V23+W23</f>
        <v>0</v>
      </c>
      <c r="Y23" s="455">
        <f t="shared" si="2"/>
        <v>0</v>
      </c>
      <c r="Z23" s="522"/>
      <c r="AA23" s="522"/>
      <c r="AB23" s="522"/>
      <c r="AC23" s="448">
        <f t="shared" ref="AC23:AC31" si="22">Y23+Z23-AA23+SUM(AB23:AB23)</f>
        <v>0</v>
      </c>
      <c r="AD23" s="456">
        <f t="shared" si="3"/>
        <v>0</v>
      </c>
      <c r="AE23" s="522"/>
      <c r="AF23" s="522"/>
      <c r="AG23" s="522"/>
      <c r="AH23" s="451">
        <f t="shared" ref="AH23:AH37" si="23">AD23+AE23-AF23+AG23</f>
        <v>0</v>
      </c>
      <c r="AI23" s="455">
        <f t="shared" si="4"/>
        <v>0</v>
      </c>
      <c r="AJ23" s="522"/>
      <c r="AK23" s="522"/>
      <c r="AL23" s="588">
        <v>-195298.36999999994</v>
      </c>
      <c r="AM23" s="448">
        <f t="shared" si="5"/>
        <v>-195298.36999999994</v>
      </c>
      <c r="AN23" s="456">
        <f t="shared" si="6"/>
        <v>0</v>
      </c>
      <c r="AO23" s="522"/>
      <c r="AP23" s="522"/>
      <c r="AQ23" s="588">
        <v>-591.28000000000088</v>
      </c>
      <c r="AR23" s="451">
        <f t="shared" ref="AR23:AR37" si="24">AN23+AO23-AP23+AQ23</f>
        <v>-591.28000000000088</v>
      </c>
      <c r="AS23" s="455">
        <f t="shared" si="7"/>
        <v>-195298.36999999994</v>
      </c>
      <c r="AT23" s="591">
        <v>-110564.45413173984</v>
      </c>
      <c r="AU23" s="522"/>
      <c r="AV23" s="522">
        <v>4908.9399999999996</v>
      </c>
      <c r="AW23" s="448">
        <f t="shared" si="8"/>
        <v>-300953.88413173979</v>
      </c>
      <c r="AX23" s="456">
        <f t="shared" si="9"/>
        <v>-591.28000000000088</v>
      </c>
      <c r="AY23" s="591">
        <v>-2777.8541350000005</v>
      </c>
      <c r="AZ23" s="522"/>
      <c r="BA23" s="522">
        <v>44.12</v>
      </c>
      <c r="BB23" s="448">
        <f t="shared" ref="BB23:BB37" si="25">AX23+AY23-AZ23+BA23</f>
        <v>-3325.0141350000013</v>
      </c>
      <c r="BC23" s="455">
        <f t="shared" si="10"/>
        <v>-300953.88413173979</v>
      </c>
      <c r="BD23" s="523">
        <v>-100534.11964912279</v>
      </c>
      <c r="BE23" s="522">
        <v>-195298</v>
      </c>
      <c r="BF23" s="522"/>
      <c r="BG23" s="448">
        <f t="shared" si="11"/>
        <v>-206190.00378086255</v>
      </c>
      <c r="BH23" s="456">
        <f t="shared" si="12"/>
        <v>-3325.0141350000013</v>
      </c>
      <c r="BI23" s="523">
        <v>-2964.81</v>
      </c>
      <c r="BJ23" s="522">
        <v>-1307</v>
      </c>
      <c r="BK23" s="522"/>
      <c r="BL23" s="478">
        <f t="shared" ref="BL23:BL37" si="26">BH23+BI23-BJ23+BK23</f>
        <v>-4982.8241350000008</v>
      </c>
      <c r="BM23" s="523">
        <v>-105655.88</v>
      </c>
      <c r="BN23" s="523">
        <v>-3814.17</v>
      </c>
      <c r="BO23" s="456">
        <f t="shared" si="13"/>
        <v>-100534.12378086254</v>
      </c>
      <c r="BP23" s="484">
        <f t="shared" si="14"/>
        <v>-1168.6541350000007</v>
      </c>
      <c r="BQ23" s="772">
        <f t="shared" si="15"/>
        <v>-1872.45</v>
      </c>
      <c r="BR23" s="772">
        <f t="shared" si="16"/>
        <v>-727.2</v>
      </c>
      <c r="BS23" s="519">
        <f t="shared" si="17"/>
        <v>-3768.3041350000003</v>
      </c>
      <c r="BT23" s="632">
        <f>SUM(BO23:BR23)</f>
        <v>-104302.42791586254</v>
      </c>
      <c r="BU23" s="491">
        <v>-217826.31</v>
      </c>
      <c r="BV23" s="454">
        <f>BU23-SUM(BG23,BL23)</f>
        <v>-6653.4820841374458</v>
      </c>
      <c r="BW23" s="289" t="s">
        <v>6919</v>
      </c>
      <c r="BX23" s="289"/>
      <c r="BY23" s="289"/>
      <c r="BZ23" s="289"/>
      <c r="CA23" s="289"/>
    </row>
    <row r="24" spans="3:79" ht="17.25" thickBot="1" x14ac:dyDescent="0.25">
      <c r="C24" s="462" t="s">
        <v>3020</v>
      </c>
      <c r="D24" s="461">
        <v>1580</v>
      </c>
      <c r="E24" s="521"/>
      <c r="F24" s="522"/>
      <c r="G24" s="522"/>
      <c r="H24" s="522"/>
      <c r="I24" s="448">
        <f t="shared" si="18"/>
        <v>0</v>
      </c>
      <c r="J24" s="522"/>
      <c r="K24" s="522"/>
      <c r="L24" s="522"/>
      <c r="M24" s="522"/>
      <c r="N24" s="448">
        <f t="shared" si="19"/>
        <v>0</v>
      </c>
      <c r="O24" s="487">
        <f t="shared" si="20"/>
        <v>0</v>
      </c>
      <c r="P24" s="522"/>
      <c r="Q24" s="522"/>
      <c r="R24" s="522"/>
      <c r="S24" s="448">
        <f t="shared" si="0"/>
        <v>0</v>
      </c>
      <c r="T24" s="448">
        <f t="shared" si="1"/>
        <v>0</v>
      </c>
      <c r="U24" s="522"/>
      <c r="V24" s="522"/>
      <c r="W24" s="522"/>
      <c r="X24" s="451">
        <f t="shared" si="21"/>
        <v>0</v>
      </c>
      <c r="Y24" s="455">
        <f t="shared" si="2"/>
        <v>0</v>
      </c>
      <c r="Z24" s="522"/>
      <c r="AA24" s="522"/>
      <c r="AB24" s="522"/>
      <c r="AC24" s="448">
        <f t="shared" si="22"/>
        <v>0</v>
      </c>
      <c r="AD24" s="456">
        <f t="shared" si="3"/>
        <v>0</v>
      </c>
      <c r="AE24" s="522"/>
      <c r="AF24" s="522"/>
      <c r="AG24" s="522"/>
      <c r="AH24" s="451">
        <f t="shared" si="23"/>
        <v>0</v>
      </c>
      <c r="AI24" s="455">
        <f t="shared" si="4"/>
        <v>0</v>
      </c>
      <c r="AJ24" s="522"/>
      <c r="AK24" s="522"/>
      <c r="AL24" s="522"/>
      <c r="AM24" s="448">
        <f t="shared" si="5"/>
        <v>0</v>
      </c>
      <c r="AN24" s="456">
        <f t="shared" si="6"/>
        <v>0</v>
      </c>
      <c r="AO24" s="522"/>
      <c r="AP24" s="522"/>
      <c r="AQ24" s="522"/>
      <c r="AR24" s="451">
        <f t="shared" si="24"/>
        <v>0</v>
      </c>
      <c r="AS24" s="455">
        <f t="shared" si="7"/>
        <v>0</v>
      </c>
      <c r="AT24" s="522"/>
      <c r="AU24" s="522"/>
      <c r="AV24" s="522"/>
      <c r="AW24" s="448">
        <f t="shared" si="8"/>
        <v>0</v>
      </c>
      <c r="AX24" s="456">
        <f t="shared" si="9"/>
        <v>0</v>
      </c>
      <c r="AY24" s="522"/>
      <c r="AZ24" s="522"/>
      <c r="BA24" s="522"/>
      <c r="BB24" s="448">
        <f t="shared" si="25"/>
        <v>0</v>
      </c>
      <c r="BC24" s="455">
        <f t="shared" si="10"/>
        <v>0</v>
      </c>
      <c r="BD24" s="522"/>
      <c r="BE24" s="522"/>
      <c r="BF24" s="522"/>
      <c r="BG24" s="448">
        <f>BC24+BD24-BE24+SUM(BF24:BF24)</f>
        <v>0</v>
      </c>
      <c r="BH24" s="456">
        <f t="shared" si="12"/>
        <v>0</v>
      </c>
      <c r="BI24" s="522"/>
      <c r="BJ24" s="522"/>
      <c r="BK24" s="522"/>
      <c r="BL24" s="478">
        <f t="shared" si="26"/>
        <v>0</v>
      </c>
      <c r="BM24" s="524"/>
      <c r="BN24" s="522"/>
      <c r="BO24" s="456">
        <f t="shared" si="13"/>
        <v>0</v>
      </c>
      <c r="BP24" s="484">
        <f t="shared" si="14"/>
        <v>0</v>
      </c>
      <c r="BQ24" s="772">
        <f t="shared" si="15"/>
        <v>0</v>
      </c>
      <c r="BR24" s="772">
        <f t="shared" si="16"/>
        <v>0</v>
      </c>
      <c r="BS24" s="519">
        <f t="shared" si="17"/>
        <v>0</v>
      </c>
      <c r="BT24" s="780">
        <f>IF(CA5=TRUE, 0, 0)</f>
        <v>0</v>
      </c>
      <c r="BU24" s="491">
        <v>0</v>
      </c>
      <c r="BV24" s="454">
        <f>BU24-SUM(BG24,BL24)</f>
        <v>0</v>
      </c>
      <c r="BW24" s="289"/>
      <c r="BX24" s="289"/>
      <c r="BY24" s="289"/>
      <c r="BZ24" s="289"/>
      <c r="CA24" s="289"/>
    </row>
    <row r="25" spans="3:79" ht="17.25" thickBot="1" x14ac:dyDescent="0.25">
      <c r="C25" s="462" t="s">
        <v>3021</v>
      </c>
      <c r="D25" s="461">
        <v>1580</v>
      </c>
      <c r="E25" s="521"/>
      <c r="F25" s="522"/>
      <c r="G25" s="522"/>
      <c r="H25" s="522"/>
      <c r="I25" s="448">
        <f t="shared" si="18"/>
        <v>0</v>
      </c>
      <c r="J25" s="522"/>
      <c r="K25" s="522"/>
      <c r="L25" s="522"/>
      <c r="M25" s="522"/>
      <c r="N25" s="448">
        <f t="shared" si="19"/>
        <v>0</v>
      </c>
      <c r="O25" s="487">
        <f t="shared" si="20"/>
        <v>0</v>
      </c>
      <c r="P25" s="522"/>
      <c r="Q25" s="522"/>
      <c r="R25" s="522"/>
      <c r="S25" s="448">
        <f t="shared" si="0"/>
        <v>0</v>
      </c>
      <c r="T25" s="448">
        <f t="shared" si="1"/>
        <v>0</v>
      </c>
      <c r="U25" s="522"/>
      <c r="V25" s="522"/>
      <c r="W25" s="522"/>
      <c r="X25" s="451">
        <f t="shared" si="21"/>
        <v>0</v>
      </c>
      <c r="Y25" s="455">
        <f t="shared" si="2"/>
        <v>0</v>
      </c>
      <c r="Z25" s="522"/>
      <c r="AA25" s="522"/>
      <c r="AB25" s="522"/>
      <c r="AC25" s="448">
        <f t="shared" si="22"/>
        <v>0</v>
      </c>
      <c r="AD25" s="456">
        <f t="shared" si="3"/>
        <v>0</v>
      </c>
      <c r="AE25" s="522"/>
      <c r="AF25" s="522"/>
      <c r="AG25" s="522"/>
      <c r="AH25" s="451">
        <f t="shared" si="23"/>
        <v>0</v>
      </c>
      <c r="AI25" s="455">
        <f t="shared" si="4"/>
        <v>0</v>
      </c>
      <c r="AJ25" s="522"/>
      <c r="AK25" s="522"/>
      <c r="AL25" s="522"/>
      <c r="AM25" s="448">
        <f t="shared" si="5"/>
        <v>0</v>
      </c>
      <c r="AN25" s="456">
        <f t="shared" si="6"/>
        <v>0</v>
      </c>
      <c r="AO25" s="522"/>
      <c r="AP25" s="522"/>
      <c r="AQ25" s="522"/>
      <c r="AR25" s="451">
        <f t="shared" si="24"/>
        <v>0</v>
      </c>
      <c r="AS25" s="455">
        <f t="shared" si="7"/>
        <v>0</v>
      </c>
      <c r="AT25" s="522"/>
      <c r="AU25" s="522"/>
      <c r="AV25" s="522">
        <v>-4908.9399999999996</v>
      </c>
      <c r="AW25" s="448">
        <f t="shared" si="8"/>
        <v>-4908.9399999999996</v>
      </c>
      <c r="AX25" s="456">
        <f t="shared" si="9"/>
        <v>0</v>
      </c>
      <c r="AY25" s="522"/>
      <c r="AZ25" s="522"/>
      <c r="BA25" s="522">
        <v>-44.12</v>
      </c>
      <c r="BB25" s="448">
        <f t="shared" si="25"/>
        <v>-44.12</v>
      </c>
      <c r="BC25" s="455">
        <f t="shared" si="10"/>
        <v>-4908.9399999999996</v>
      </c>
      <c r="BD25" s="522">
        <v>-1711.5303508771913</v>
      </c>
      <c r="BE25" s="522"/>
      <c r="BF25" s="522"/>
      <c r="BG25" s="448">
        <f t="shared" si="11"/>
        <v>-6620.4703508771909</v>
      </c>
      <c r="BH25" s="456">
        <f t="shared" si="12"/>
        <v>-44.12</v>
      </c>
      <c r="BI25" s="522">
        <v>11.1</v>
      </c>
      <c r="BJ25" s="522"/>
      <c r="BK25" s="522"/>
      <c r="BL25" s="478">
        <f t="shared" si="26"/>
        <v>-33.019999999999996</v>
      </c>
      <c r="BM25" s="524">
        <v>-4908.9399999999996</v>
      </c>
      <c r="BN25" s="522">
        <v>-127.57</v>
      </c>
      <c r="BO25" s="456">
        <f t="shared" si="13"/>
        <v>-1711.5303508771913</v>
      </c>
      <c r="BP25" s="484">
        <f t="shared" si="14"/>
        <v>94.55</v>
      </c>
      <c r="BQ25" s="772">
        <f t="shared" si="15"/>
        <v>-31.88</v>
      </c>
      <c r="BR25" s="772">
        <f t="shared" si="16"/>
        <v>-12.38</v>
      </c>
      <c r="BS25" s="519">
        <f t="shared" si="17"/>
        <v>50.29</v>
      </c>
      <c r="BT25" s="632">
        <f>SUM(BO25:BR25)</f>
        <v>-1661.2403508771915</v>
      </c>
      <c r="BU25" s="491">
        <v>-1700.43</v>
      </c>
      <c r="BV25" s="454">
        <f>BU25-SUM(BG25,BL25)</f>
        <v>4953.060350877191</v>
      </c>
      <c r="BW25" s="289" t="s">
        <v>6918</v>
      </c>
      <c r="BX25" s="289"/>
      <c r="BY25" s="289"/>
      <c r="BZ25" s="289"/>
      <c r="CA25" s="289"/>
    </row>
    <row r="26" spans="3:79" thickBot="1" x14ac:dyDescent="0.25">
      <c r="C26" s="462" t="s">
        <v>47</v>
      </c>
      <c r="D26" s="461">
        <v>1584</v>
      </c>
      <c r="E26" s="521"/>
      <c r="F26" s="522"/>
      <c r="G26" s="522"/>
      <c r="H26" s="522"/>
      <c r="I26" s="448">
        <f t="shared" si="18"/>
        <v>0</v>
      </c>
      <c r="J26" s="522"/>
      <c r="K26" s="522"/>
      <c r="L26" s="522"/>
      <c r="M26" s="522"/>
      <c r="N26" s="448">
        <f t="shared" si="19"/>
        <v>0</v>
      </c>
      <c r="O26" s="487">
        <f t="shared" si="20"/>
        <v>0</v>
      </c>
      <c r="P26" s="522"/>
      <c r="Q26" s="522"/>
      <c r="R26" s="522"/>
      <c r="S26" s="448">
        <f t="shared" si="0"/>
        <v>0</v>
      </c>
      <c r="T26" s="448">
        <f t="shared" si="1"/>
        <v>0</v>
      </c>
      <c r="U26" s="522"/>
      <c r="V26" s="522"/>
      <c r="W26" s="522"/>
      <c r="X26" s="451">
        <f t="shared" si="21"/>
        <v>0</v>
      </c>
      <c r="Y26" s="455">
        <f t="shared" si="2"/>
        <v>0</v>
      </c>
      <c r="Z26" s="522"/>
      <c r="AA26" s="522"/>
      <c r="AB26" s="522"/>
      <c r="AC26" s="448">
        <f t="shared" si="22"/>
        <v>0</v>
      </c>
      <c r="AD26" s="456">
        <f t="shared" si="3"/>
        <v>0</v>
      </c>
      <c r="AE26" s="522"/>
      <c r="AF26" s="522"/>
      <c r="AG26" s="522"/>
      <c r="AH26" s="451">
        <f t="shared" si="23"/>
        <v>0</v>
      </c>
      <c r="AI26" s="455">
        <f t="shared" si="4"/>
        <v>0</v>
      </c>
      <c r="AJ26" s="522"/>
      <c r="AK26" s="522"/>
      <c r="AL26" s="589">
        <v>-220489.89</v>
      </c>
      <c r="AM26" s="448">
        <f t="shared" si="5"/>
        <v>-220489.89</v>
      </c>
      <c r="AN26" s="456">
        <f t="shared" si="6"/>
        <v>0</v>
      </c>
      <c r="AO26" s="522"/>
      <c r="AP26" s="522"/>
      <c r="AQ26" s="589">
        <v>-2741.2636666666667</v>
      </c>
      <c r="AR26" s="451">
        <f t="shared" si="24"/>
        <v>-2741.2636666666667</v>
      </c>
      <c r="AS26" s="455">
        <f t="shared" si="7"/>
        <v>-220489.89</v>
      </c>
      <c r="AT26" s="592">
        <v>-164977.01999999996</v>
      </c>
      <c r="AU26" s="522"/>
      <c r="AV26" s="522"/>
      <c r="AW26" s="448">
        <f t="shared" si="8"/>
        <v>-385466.91</v>
      </c>
      <c r="AX26" s="456">
        <f t="shared" si="9"/>
        <v>-2741.2636666666667</v>
      </c>
      <c r="AY26" s="592">
        <v>-3325.71</v>
      </c>
      <c r="AZ26" s="522"/>
      <c r="BA26" s="522"/>
      <c r="BB26" s="448">
        <f t="shared" si="25"/>
        <v>-6066.9736666666668</v>
      </c>
      <c r="BC26" s="455">
        <f t="shared" si="10"/>
        <v>-385466.91</v>
      </c>
      <c r="BD26" s="523">
        <v>-144787.40876479997</v>
      </c>
      <c r="BE26" s="522">
        <v>-220491</v>
      </c>
      <c r="BF26" s="522"/>
      <c r="BG26" s="448">
        <f t="shared" si="11"/>
        <v>-309763.31876479997</v>
      </c>
      <c r="BH26" s="456">
        <f t="shared" si="12"/>
        <v>-6066.9736666666668</v>
      </c>
      <c r="BI26" s="523">
        <v>-4129.4399999999996</v>
      </c>
      <c r="BJ26" s="522">
        <v>-3549</v>
      </c>
      <c r="BK26" s="522"/>
      <c r="BL26" s="478">
        <f t="shared" si="26"/>
        <v>-6647.4136666666673</v>
      </c>
      <c r="BM26" s="523">
        <v>-164977.12</v>
      </c>
      <c r="BN26" s="523">
        <v>-5321.46</v>
      </c>
      <c r="BO26" s="456">
        <f t="shared" si="13"/>
        <v>-144786.19876479998</v>
      </c>
      <c r="BP26" s="484">
        <f t="shared" si="14"/>
        <v>-1325.9536666666672</v>
      </c>
      <c r="BQ26" s="772">
        <f t="shared" si="15"/>
        <v>-2696.64</v>
      </c>
      <c r="BR26" s="772">
        <f t="shared" si="16"/>
        <v>-1047.29</v>
      </c>
      <c r="BS26" s="519">
        <f t="shared" si="17"/>
        <v>-5069.8836666666666</v>
      </c>
      <c r="BT26" s="632">
        <f>SUM(BO26:BR26)</f>
        <v>-149856.08243146667</v>
      </c>
      <c r="BU26" s="491">
        <v>-316410.73</v>
      </c>
      <c r="BV26" s="454">
        <f t="shared" ref="BV26:BV37" si="27">BU26-SUM(BG26,BL26)</f>
        <v>2.4314666516147554E-3</v>
      </c>
      <c r="BW26" s="289"/>
      <c r="BX26" s="289"/>
      <c r="BY26" s="289"/>
      <c r="BZ26" s="289"/>
      <c r="CA26" s="289"/>
    </row>
    <row r="27" spans="3:79" thickBot="1" x14ac:dyDescent="0.25">
      <c r="C27" s="463" t="s">
        <v>48</v>
      </c>
      <c r="D27" s="461">
        <v>1586</v>
      </c>
      <c r="E27" s="521"/>
      <c r="F27" s="522"/>
      <c r="G27" s="522"/>
      <c r="H27" s="522"/>
      <c r="I27" s="448">
        <f t="shared" si="18"/>
        <v>0</v>
      </c>
      <c r="J27" s="522"/>
      <c r="K27" s="522"/>
      <c r="L27" s="522"/>
      <c r="M27" s="522"/>
      <c r="N27" s="448">
        <f t="shared" si="19"/>
        <v>0</v>
      </c>
      <c r="O27" s="455">
        <f t="shared" si="20"/>
        <v>0</v>
      </c>
      <c r="P27" s="522"/>
      <c r="Q27" s="522"/>
      <c r="R27" s="522"/>
      <c r="S27" s="448">
        <f t="shared" si="0"/>
        <v>0</v>
      </c>
      <c r="T27" s="448">
        <f t="shared" si="1"/>
        <v>0</v>
      </c>
      <c r="U27" s="522"/>
      <c r="V27" s="522"/>
      <c r="W27" s="522"/>
      <c r="X27" s="451">
        <f t="shared" si="21"/>
        <v>0</v>
      </c>
      <c r="Y27" s="455">
        <f t="shared" si="2"/>
        <v>0</v>
      </c>
      <c r="Z27" s="522"/>
      <c r="AA27" s="522"/>
      <c r="AB27" s="522"/>
      <c r="AC27" s="448">
        <f t="shared" si="22"/>
        <v>0</v>
      </c>
      <c r="AD27" s="456">
        <f t="shared" si="3"/>
        <v>0</v>
      </c>
      <c r="AE27" s="522"/>
      <c r="AF27" s="522"/>
      <c r="AG27" s="522"/>
      <c r="AH27" s="451">
        <f t="shared" si="23"/>
        <v>0</v>
      </c>
      <c r="AI27" s="455">
        <f t="shared" si="4"/>
        <v>0</v>
      </c>
      <c r="AJ27" s="522"/>
      <c r="AK27" s="522"/>
      <c r="AL27" s="589">
        <v>62663.87</v>
      </c>
      <c r="AM27" s="448">
        <f t="shared" si="5"/>
        <v>62663.87</v>
      </c>
      <c r="AN27" s="456">
        <f t="shared" si="6"/>
        <v>0</v>
      </c>
      <c r="AO27" s="522"/>
      <c r="AP27" s="522"/>
      <c r="AQ27" s="589">
        <v>462.67</v>
      </c>
      <c r="AR27" s="451">
        <f t="shared" si="24"/>
        <v>462.67</v>
      </c>
      <c r="AS27" s="455">
        <f t="shared" si="7"/>
        <v>62663.87</v>
      </c>
      <c r="AT27" s="523">
        <v>-74569.433698007095</v>
      </c>
      <c r="AU27" s="522"/>
      <c r="AV27" s="522"/>
      <c r="AW27" s="448">
        <f t="shared" si="8"/>
        <v>-11905.563698007092</v>
      </c>
      <c r="AX27" s="456">
        <f t="shared" si="9"/>
        <v>462.67</v>
      </c>
      <c r="AY27" s="523">
        <v>289.36000000000007</v>
      </c>
      <c r="AZ27" s="522"/>
      <c r="BA27" s="522"/>
      <c r="BB27" s="448">
        <f t="shared" si="25"/>
        <v>752.03000000000009</v>
      </c>
      <c r="BC27" s="455">
        <f t="shared" si="10"/>
        <v>-11905.563698007092</v>
      </c>
      <c r="BD27" s="523">
        <v>-89892.384117123962</v>
      </c>
      <c r="BE27" s="522">
        <v>62663</v>
      </c>
      <c r="BF27" s="522"/>
      <c r="BG27" s="448">
        <f t="shared" si="11"/>
        <v>-164460.94781513105</v>
      </c>
      <c r="BH27" s="456">
        <f t="shared" si="12"/>
        <v>752.03000000000009</v>
      </c>
      <c r="BI27" s="523">
        <v>-962.01</v>
      </c>
      <c r="BJ27" s="522">
        <v>693</v>
      </c>
      <c r="BK27" s="522"/>
      <c r="BL27" s="478">
        <f t="shared" si="26"/>
        <v>-902.9799999999999</v>
      </c>
      <c r="BM27" s="523">
        <v>-74569.23</v>
      </c>
      <c r="BN27" s="523">
        <v>-1208.2</v>
      </c>
      <c r="BO27" s="456">
        <f t="shared" si="13"/>
        <v>-89891.717815131051</v>
      </c>
      <c r="BP27" s="484">
        <f t="shared" si="14"/>
        <v>305.22000000000014</v>
      </c>
      <c r="BQ27" s="772">
        <f t="shared" si="15"/>
        <v>-1674.23</v>
      </c>
      <c r="BR27" s="772">
        <f t="shared" si="16"/>
        <v>-650.22</v>
      </c>
      <c r="BS27" s="519">
        <f t="shared" si="17"/>
        <v>-2019.2299999999998</v>
      </c>
      <c r="BT27" s="632">
        <f>SUM(BO27:BR27)</f>
        <v>-91910.947815131047</v>
      </c>
      <c r="BU27" s="491">
        <v>-165363.92000000001</v>
      </c>
      <c r="BV27" s="454">
        <f t="shared" si="27"/>
        <v>7.8151310444809496E-3</v>
      </c>
      <c r="BW27" s="289"/>
      <c r="BX27" s="289"/>
      <c r="BY27" s="289"/>
      <c r="BZ27" s="289"/>
      <c r="CA27" s="289"/>
    </row>
    <row r="28" spans="3:79" ht="17.25" thickBot="1" x14ac:dyDescent="0.25">
      <c r="C28" s="778" t="s">
        <v>3022</v>
      </c>
      <c r="D28" s="461">
        <v>1588</v>
      </c>
      <c r="E28" s="521"/>
      <c r="F28" s="522"/>
      <c r="G28" s="522"/>
      <c r="H28" s="522"/>
      <c r="I28" s="448">
        <f t="shared" si="18"/>
        <v>0</v>
      </c>
      <c r="J28" s="522"/>
      <c r="K28" s="522"/>
      <c r="L28" s="522"/>
      <c r="M28" s="522"/>
      <c r="N28" s="448">
        <f t="shared" si="19"/>
        <v>0</v>
      </c>
      <c r="O28" s="455">
        <f t="shared" si="20"/>
        <v>0</v>
      </c>
      <c r="P28" s="522"/>
      <c r="Q28" s="522"/>
      <c r="R28" s="522"/>
      <c r="S28" s="448">
        <f t="shared" si="0"/>
        <v>0</v>
      </c>
      <c r="T28" s="448">
        <f t="shared" si="1"/>
        <v>0</v>
      </c>
      <c r="U28" s="522"/>
      <c r="V28" s="522"/>
      <c r="W28" s="522"/>
      <c r="X28" s="451">
        <f t="shared" si="21"/>
        <v>0</v>
      </c>
      <c r="Y28" s="455">
        <f t="shared" si="2"/>
        <v>0</v>
      </c>
      <c r="Z28" s="522"/>
      <c r="AA28" s="522"/>
      <c r="AB28" s="522"/>
      <c r="AC28" s="448">
        <f t="shared" si="22"/>
        <v>0</v>
      </c>
      <c r="AD28" s="456">
        <f t="shared" si="3"/>
        <v>0</v>
      </c>
      <c r="AE28" s="522"/>
      <c r="AF28" s="522"/>
      <c r="AG28" s="522"/>
      <c r="AH28" s="451">
        <f t="shared" si="23"/>
        <v>0</v>
      </c>
      <c r="AI28" s="455">
        <f t="shared" si="4"/>
        <v>0</v>
      </c>
      <c r="AJ28" s="522"/>
      <c r="AK28" s="522"/>
      <c r="AL28" s="589">
        <v>-240706.38</v>
      </c>
      <c r="AM28" s="448">
        <f t="shared" si="5"/>
        <v>-240706.38</v>
      </c>
      <c r="AN28" s="456">
        <f t="shared" si="6"/>
        <v>0</v>
      </c>
      <c r="AO28" s="522"/>
      <c r="AP28" s="522"/>
      <c r="AQ28" s="589">
        <v>-3180.7299999999987</v>
      </c>
      <c r="AR28" s="451">
        <f t="shared" si="24"/>
        <v>-3180.7299999999987</v>
      </c>
      <c r="AS28" s="455">
        <f t="shared" si="7"/>
        <v>-240706.38</v>
      </c>
      <c r="AT28" s="523">
        <v>-40898.400000000001</v>
      </c>
      <c r="AU28" s="522"/>
      <c r="AV28" s="522"/>
      <c r="AW28" s="448">
        <f t="shared" si="8"/>
        <v>-281604.78000000003</v>
      </c>
      <c r="AX28" s="456">
        <f t="shared" si="9"/>
        <v>-3180.7299999999987</v>
      </c>
      <c r="AY28" s="523">
        <v>-2392.64</v>
      </c>
      <c r="AZ28" s="522"/>
      <c r="BA28" s="522"/>
      <c r="BB28" s="448">
        <f t="shared" si="25"/>
        <v>-5573.369999999999</v>
      </c>
      <c r="BC28" s="455">
        <f t="shared" si="10"/>
        <v>-281604.78000000003</v>
      </c>
      <c r="BD28" s="523">
        <v>92039.51</v>
      </c>
      <c r="BE28" s="522">
        <v>-240706</v>
      </c>
      <c r="BF28" s="522">
        <v>-36177</v>
      </c>
      <c r="BG28" s="448">
        <f t="shared" si="11"/>
        <v>14963.729999999981</v>
      </c>
      <c r="BH28" s="456">
        <f t="shared" si="12"/>
        <v>-5573.369999999999</v>
      </c>
      <c r="BI28" s="523">
        <v>-1185.2399999999996</v>
      </c>
      <c r="BJ28" s="522">
        <v>-4064</v>
      </c>
      <c r="BK28" s="522"/>
      <c r="BL28" s="478">
        <f t="shared" si="26"/>
        <v>-2694.6099999999988</v>
      </c>
      <c r="BM28" s="523">
        <v>-40898.65</v>
      </c>
      <c r="BN28" s="523">
        <v>-2205.08</v>
      </c>
      <c r="BO28" s="456">
        <f t="shared" si="13"/>
        <v>55862.379999999983</v>
      </c>
      <c r="BP28" s="484">
        <f t="shared" si="14"/>
        <v>-489.52999999999884</v>
      </c>
      <c r="BQ28" s="772">
        <f t="shared" si="15"/>
        <v>1040.44</v>
      </c>
      <c r="BR28" s="772">
        <f t="shared" si="16"/>
        <v>404.07</v>
      </c>
      <c r="BS28" s="519">
        <f t="shared" si="17"/>
        <v>954.98000000000116</v>
      </c>
      <c r="BT28" s="632">
        <f>SUM(BO28:BR28)</f>
        <v>56817.359999999986</v>
      </c>
      <c r="BU28" s="491">
        <v>48446.12</v>
      </c>
      <c r="BV28" s="454">
        <f t="shared" si="27"/>
        <v>36177.000000000022</v>
      </c>
      <c r="BW28" s="289"/>
      <c r="BX28" s="289"/>
      <c r="BY28" s="289"/>
      <c r="BZ28" s="289"/>
      <c r="CA28" s="289"/>
    </row>
    <row r="29" spans="3:79" ht="17.25" thickBot="1" x14ac:dyDescent="0.25">
      <c r="C29" s="778" t="s">
        <v>3023</v>
      </c>
      <c r="D29" s="461">
        <v>1589</v>
      </c>
      <c r="E29" s="521"/>
      <c r="F29" s="522"/>
      <c r="G29" s="522"/>
      <c r="H29" s="522"/>
      <c r="I29" s="448">
        <f t="shared" si="18"/>
        <v>0</v>
      </c>
      <c r="J29" s="522"/>
      <c r="K29" s="522"/>
      <c r="L29" s="522"/>
      <c r="M29" s="522"/>
      <c r="N29" s="448">
        <f t="shared" si="19"/>
        <v>0</v>
      </c>
      <c r="O29" s="455">
        <f t="shared" si="20"/>
        <v>0</v>
      </c>
      <c r="P29" s="522"/>
      <c r="Q29" s="522"/>
      <c r="R29" s="522"/>
      <c r="S29" s="448">
        <f t="shared" si="0"/>
        <v>0</v>
      </c>
      <c r="T29" s="448">
        <f t="shared" si="1"/>
        <v>0</v>
      </c>
      <c r="U29" s="522"/>
      <c r="V29" s="522"/>
      <c r="W29" s="522"/>
      <c r="X29" s="451">
        <f t="shared" si="21"/>
        <v>0</v>
      </c>
      <c r="Y29" s="455">
        <f t="shared" si="2"/>
        <v>0</v>
      </c>
      <c r="Z29" s="522"/>
      <c r="AA29" s="522"/>
      <c r="AB29" s="522"/>
      <c r="AC29" s="448">
        <f t="shared" si="22"/>
        <v>0</v>
      </c>
      <c r="AD29" s="456">
        <f t="shared" si="3"/>
        <v>0</v>
      </c>
      <c r="AE29" s="522"/>
      <c r="AF29" s="522"/>
      <c r="AG29" s="522"/>
      <c r="AH29" s="451">
        <f t="shared" si="23"/>
        <v>0</v>
      </c>
      <c r="AI29" s="455">
        <f t="shared" si="4"/>
        <v>0</v>
      </c>
      <c r="AJ29" s="522"/>
      <c r="AK29" s="522"/>
      <c r="AL29" s="589">
        <v>257402.45</v>
      </c>
      <c r="AM29" s="448">
        <f t="shared" si="5"/>
        <v>257402.45</v>
      </c>
      <c r="AN29" s="456">
        <f t="shared" si="6"/>
        <v>0</v>
      </c>
      <c r="AO29" s="522"/>
      <c r="AP29" s="522"/>
      <c r="AQ29" s="589">
        <v>-90.909999999999684</v>
      </c>
      <c r="AR29" s="451">
        <f t="shared" si="24"/>
        <v>-90.909999999999684</v>
      </c>
      <c r="AS29" s="455">
        <f t="shared" si="7"/>
        <v>257402.45</v>
      </c>
      <c r="AT29" s="523">
        <v>30213.01</v>
      </c>
      <c r="AU29" s="522"/>
      <c r="AV29" s="522"/>
      <c r="AW29" s="448">
        <f t="shared" si="8"/>
        <v>287615.46000000002</v>
      </c>
      <c r="AX29" s="456">
        <f t="shared" si="9"/>
        <v>-90.909999999999684</v>
      </c>
      <c r="AY29" s="523">
        <v>2411.31</v>
      </c>
      <c r="AZ29" s="522"/>
      <c r="BA29" s="522"/>
      <c r="BB29" s="448">
        <f t="shared" si="25"/>
        <v>2320.4</v>
      </c>
      <c r="BC29" s="455">
        <f t="shared" si="10"/>
        <v>287615.46000000002</v>
      </c>
      <c r="BD29" s="523">
        <v>37632.61</v>
      </c>
      <c r="BE29" s="522">
        <v>257401</v>
      </c>
      <c r="BF29" s="522">
        <v>36177</v>
      </c>
      <c r="BG29" s="448">
        <f t="shared" si="11"/>
        <v>104024.07</v>
      </c>
      <c r="BH29" s="456">
        <f t="shared" si="12"/>
        <v>2320.4</v>
      </c>
      <c r="BI29" s="523">
        <v>1640.0700000000002</v>
      </c>
      <c r="BJ29" s="522">
        <v>853</v>
      </c>
      <c r="BK29" s="522"/>
      <c r="BL29" s="478">
        <f t="shared" si="26"/>
        <v>3107.4700000000003</v>
      </c>
      <c r="BM29" s="523">
        <v>30213.4</v>
      </c>
      <c r="BN29" s="523">
        <v>1980.6977999999999</v>
      </c>
      <c r="BO29" s="456">
        <f t="shared" si="13"/>
        <v>73810.670000000013</v>
      </c>
      <c r="BP29" s="484">
        <f t="shared" si="14"/>
        <v>1126.7722000000003</v>
      </c>
      <c r="BQ29" s="772">
        <f t="shared" si="15"/>
        <v>1374.72</v>
      </c>
      <c r="BR29" s="772">
        <f t="shared" si="16"/>
        <v>533.9</v>
      </c>
      <c r="BS29" s="519">
        <f t="shared" si="17"/>
        <v>3035.3922000000007</v>
      </c>
      <c r="BT29" s="632">
        <f>SUM(BO29:BR29)</f>
        <v>76846.062200000015</v>
      </c>
      <c r="BU29" s="491">
        <v>70954.539999999994</v>
      </c>
      <c r="BV29" s="454">
        <f t="shared" si="27"/>
        <v>-36177.000000000015</v>
      </c>
      <c r="BW29" s="289"/>
      <c r="BX29" s="289"/>
      <c r="BY29" s="289"/>
      <c r="BZ29" s="289"/>
      <c r="CA29" s="289"/>
    </row>
    <row r="30" spans="3:79" ht="17.25" hidden="1" thickBot="1" x14ac:dyDescent="0.25">
      <c r="C30" s="464" t="s">
        <v>3024</v>
      </c>
      <c r="D30" s="461">
        <v>1595</v>
      </c>
      <c r="E30" s="521"/>
      <c r="F30" s="522"/>
      <c r="G30" s="522"/>
      <c r="H30" s="522"/>
      <c r="I30" s="448">
        <f t="shared" si="18"/>
        <v>0</v>
      </c>
      <c r="J30" s="522"/>
      <c r="K30" s="522"/>
      <c r="L30" s="522"/>
      <c r="M30" s="522"/>
      <c r="N30" s="448">
        <f t="shared" si="19"/>
        <v>0</v>
      </c>
      <c r="O30" s="455">
        <f t="shared" si="20"/>
        <v>0</v>
      </c>
      <c r="P30" s="522"/>
      <c r="Q30" s="522"/>
      <c r="R30" s="522"/>
      <c r="S30" s="448">
        <f t="shared" si="0"/>
        <v>0</v>
      </c>
      <c r="T30" s="448">
        <f t="shared" si="1"/>
        <v>0</v>
      </c>
      <c r="U30" s="522"/>
      <c r="V30" s="522"/>
      <c r="W30" s="522"/>
      <c r="X30" s="451">
        <f t="shared" si="21"/>
        <v>0</v>
      </c>
      <c r="Y30" s="455">
        <f t="shared" si="2"/>
        <v>0</v>
      </c>
      <c r="Z30" s="522"/>
      <c r="AA30" s="522"/>
      <c r="AB30" s="522"/>
      <c r="AC30" s="448">
        <f t="shared" si="22"/>
        <v>0</v>
      </c>
      <c r="AD30" s="456">
        <f t="shared" si="3"/>
        <v>0</v>
      </c>
      <c r="AE30" s="522"/>
      <c r="AF30" s="522"/>
      <c r="AG30" s="522"/>
      <c r="AH30" s="451">
        <f t="shared" si="23"/>
        <v>0</v>
      </c>
      <c r="AI30" s="455">
        <f t="shared" si="4"/>
        <v>0</v>
      </c>
      <c r="AJ30" s="522"/>
      <c r="AK30" s="522"/>
      <c r="AL30" s="589"/>
      <c r="AM30" s="448">
        <f t="shared" si="5"/>
        <v>0</v>
      </c>
      <c r="AN30" s="456">
        <f t="shared" si="6"/>
        <v>0</v>
      </c>
      <c r="AO30" s="522"/>
      <c r="AP30" s="522"/>
      <c r="AQ30" s="589"/>
      <c r="AR30" s="451">
        <f t="shared" si="24"/>
        <v>0</v>
      </c>
      <c r="AS30" s="455">
        <f t="shared" si="7"/>
        <v>0</v>
      </c>
      <c r="AT30" s="523"/>
      <c r="AU30" s="522"/>
      <c r="AV30" s="522"/>
      <c r="AW30" s="448">
        <f t="shared" si="8"/>
        <v>0</v>
      </c>
      <c r="AX30" s="456">
        <f t="shared" si="9"/>
        <v>0</v>
      </c>
      <c r="AY30" s="523"/>
      <c r="AZ30" s="522"/>
      <c r="BA30" s="522"/>
      <c r="BB30" s="448">
        <f t="shared" si="25"/>
        <v>0</v>
      </c>
      <c r="BC30" s="455">
        <f t="shared" si="10"/>
        <v>0</v>
      </c>
      <c r="BD30" s="523"/>
      <c r="BE30" s="522"/>
      <c r="BF30" s="522"/>
      <c r="BG30" s="448">
        <f t="shared" si="11"/>
        <v>0</v>
      </c>
      <c r="BH30" s="456">
        <f t="shared" si="12"/>
        <v>0</v>
      </c>
      <c r="BI30" s="523"/>
      <c r="BJ30" s="522"/>
      <c r="BK30" s="522"/>
      <c r="BL30" s="478">
        <f t="shared" si="26"/>
        <v>0</v>
      </c>
      <c r="BM30" s="523"/>
      <c r="BN30" s="523"/>
      <c r="BO30" s="456">
        <f t="shared" si="13"/>
        <v>0</v>
      </c>
      <c r="BP30" s="484">
        <f t="shared" si="14"/>
        <v>0</v>
      </c>
      <c r="BQ30" s="772">
        <f t="shared" si="15"/>
        <v>0</v>
      </c>
      <c r="BR30" s="772">
        <f t="shared" si="16"/>
        <v>0</v>
      </c>
      <c r="BS30" s="519">
        <f t="shared" si="17"/>
        <v>0</v>
      </c>
      <c r="BT30" s="632">
        <f>IF(CA7=TRUE, SUM(BO30:BR30), 0)</f>
        <v>0</v>
      </c>
      <c r="BU30" s="491"/>
      <c r="BV30" s="454"/>
      <c r="BW30" s="289"/>
      <c r="BX30" s="289"/>
      <c r="BY30" s="289"/>
      <c r="BZ30" s="289"/>
      <c r="CA30" s="289"/>
    </row>
    <row r="31" spans="3:79" ht="17.25" thickBot="1" x14ac:dyDescent="0.25">
      <c r="C31" s="464" t="s">
        <v>3025</v>
      </c>
      <c r="D31" s="461">
        <v>1595</v>
      </c>
      <c r="E31" s="521"/>
      <c r="F31" s="522">
        <v>-429339</v>
      </c>
      <c r="G31" s="522">
        <v>-252524</v>
      </c>
      <c r="H31" s="522"/>
      <c r="I31" s="448">
        <f t="shared" si="18"/>
        <v>-176815</v>
      </c>
      <c r="J31" s="522"/>
      <c r="K31" s="522">
        <v>-861</v>
      </c>
      <c r="L31" s="522">
        <v>477</v>
      </c>
      <c r="M31" s="522"/>
      <c r="N31" s="448">
        <f t="shared" si="19"/>
        <v>-1338</v>
      </c>
      <c r="O31" s="455">
        <f t="shared" si="20"/>
        <v>-176815</v>
      </c>
      <c r="P31" s="522">
        <v>160724.73000000001</v>
      </c>
      <c r="Q31" s="522">
        <v>-15542.58</v>
      </c>
      <c r="R31" s="522"/>
      <c r="S31" s="448">
        <f t="shared" si="0"/>
        <v>-547.6899999999896</v>
      </c>
      <c r="T31" s="448">
        <f t="shared" si="1"/>
        <v>-1338</v>
      </c>
      <c r="U31" s="522">
        <v>-984.6</v>
      </c>
      <c r="V31" s="522"/>
      <c r="W31" s="522"/>
      <c r="X31" s="451">
        <f t="shared" si="21"/>
        <v>-2322.6</v>
      </c>
      <c r="Y31" s="455">
        <f t="shared" si="2"/>
        <v>-547.6899999999896</v>
      </c>
      <c r="Z31" s="522">
        <v>4.25</v>
      </c>
      <c r="AA31" s="522"/>
      <c r="AB31" s="522"/>
      <c r="AC31" s="448">
        <f t="shared" si="22"/>
        <v>-543.4399999999896</v>
      </c>
      <c r="AD31" s="456">
        <f t="shared" si="3"/>
        <v>-2322.6</v>
      </c>
      <c r="AE31" s="522">
        <v>11.6</v>
      </c>
      <c r="AF31" s="522"/>
      <c r="AG31" s="522"/>
      <c r="AH31" s="451">
        <f t="shared" si="23"/>
        <v>-2311</v>
      </c>
      <c r="AI31" s="455">
        <f t="shared" si="4"/>
        <v>-543.4399999999896</v>
      </c>
      <c r="AJ31" s="522">
        <v>-1234.42</v>
      </c>
      <c r="AK31" s="522">
        <v>-548</v>
      </c>
      <c r="AL31" s="589"/>
      <c r="AM31" s="448">
        <f t="shared" si="5"/>
        <v>-1229.8599999999897</v>
      </c>
      <c r="AN31" s="456">
        <f t="shared" si="6"/>
        <v>-2311</v>
      </c>
      <c r="AO31" s="522">
        <v>4.3499999999999996</v>
      </c>
      <c r="AP31" s="522">
        <v>-2332</v>
      </c>
      <c r="AQ31" s="589"/>
      <c r="AR31" s="451">
        <f t="shared" si="24"/>
        <v>25.349999999999909</v>
      </c>
      <c r="AS31" s="455">
        <f t="shared" si="7"/>
        <v>-1229.8599999999897</v>
      </c>
      <c r="AT31" s="523">
        <v>-4.3099999999999996</v>
      </c>
      <c r="AU31" s="522"/>
      <c r="AV31" s="522"/>
      <c r="AW31" s="448">
        <f t="shared" si="8"/>
        <v>-1234.1699999999896</v>
      </c>
      <c r="AX31" s="456">
        <f t="shared" si="9"/>
        <v>25.349999999999909</v>
      </c>
      <c r="AY31" s="523">
        <v>-13.559999999999995</v>
      </c>
      <c r="AZ31" s="522"/>
      <c r="BA31" s="522"/>
      <c r="BB31" s="448">
        <f t="shared" si="25"/>
        <v>11.789999999999914</v>
      </c>
      <c r="BC31" s="455">
        <f t="shared" si="10"/>
        <v>-1234.1699999999896</v>
      </c>
      <c r="BD31" s="523"/>
      <c r="BE31" s="522">
        <v>-1230</v>
      </c>
      <c r="BF31" s="522"/>
      <c r="BG31" s="448">
        <f t="shared" si="11"/>
        <v>-4.1699999999896136</v>
      </c>
      <c r="BH31" s="456">
        <f t="shared" si="12"/>
        <v>11.789999999999914</v>
      </c>
      <c r="BI31" s="523">
        <v>-2.4700000000000002</v>
      </c>
      <c r="BJ31" s="522">
        <v>21</v>
      </c>
      <c r="BK31" s="522"/>
      <c r="BL31" s="478">
        <f t="shared" si="26"/>
        <v>-11.680000000000087</v>
      </c>
      <c r="BM31" s="523"/>
      <c r="BN31" s="523"/>
      <c r="BO31" s="456">
        <f t="shared" si="13"/>
        <v>-4.1699999999896136</v>
      </c>
      <c r="BP31" s="484">
        <f t="shared" si="14"/>
        <v>-11.680000000000087</v>
      </c>
      <c r="BQ31" s="772">
        <f t="shared" si="15"/>
        <v>-0.08</v>
      </c>
      <c r="BR31" s="772">
        <f t="shared" si="16"/>
        <v>-0.03</v>
      </c>
      <c r="BS31" s="519">
        <f t="shared" si="17"/>
        <v>-11.790000000000086</v>
      </c>
      <c r="BT31" s="632">
        <f>IF(CA8=TRUE, SUM(BO31:BR31), 0)</f>
        <v>0</v>
      </c>
      <c r="BU31" s="491">
        <v>-15.82</v>
      </c>
      <c r="BV31" s="454">
        <f t="shared" si="27"/>
        <v>2.9999999989700044E-2</v>
      </c>
      <c r="BW31" s="289"/>
      <c r="BX31" s="289"/>
      <c r="BY31" s="289"/>
      <c r="BZ31" s="289"/>
      <c r="CA31" s="289"/>
    </row>
    <row r="32" spans="3:79" ht="17.25" thickBot="1" x14ac:dyDescent="0.25">
      <c r="C32" s="464" t="s">
        <v>3026</v>
      </c>
      <c r="D32" s="461">
        <v>1595</v>
      </c>
      <c r="E32" s="521"/>
      <c r="F32" s="522"/>
      <c r="G32" s="522"/>
      <c r="H32" s="522"/>
      <c r="I32" s="448">
        <f t="shared" si="18"/>
        <v>0</v>
      </c>
      <c r="J32" s="522"/>
      <c r="K32" s="522"/>
      <c r="L32" s="522"/>
      <c r="M32" s="522"/>
      <c r="N32" s="448">
        <f t="shared" si="19"/>
        <v>0</v>
      </c>
      <c r="O32" s="455">
        <f t="shared" si="20"/>
        <v>0</v>
      </c>
      <c r="P32" s="522"/>
      <c r="Q32" s="522"/>
      <c r="R32" s="522"/>
      <c r="S32" s="448">
        <f t="shared" ref="S32:S37" si="28">O32+P32-Q32+SUM(R32:R32)</f>
        <v>0</v>
      </c>
      <c r="T32" s="448">
        <f t="shared" si="1"/>
        <v>0</v>
      </c>
      <c r="U32" s="522"/>
      <c r="V32" s="522"/>
      <c r="W32" s="522"/>
      <c r="X32" s="451">
        <f t="shared" si="21"/>
        <v>0</v>
      </c>
      <c r="Y32" s="455">
        <f t="shared" si="2"/>
        <v>0</v>
      </c>
      <c r="Z32" s="522"/>
      <c r="AA32" s="522"/>
      <c r="AB32" s="522"/>
      <c r="AC32" s="448">
        <f t="shared" ref="AC32:AC37" si="29">Y32+Z32-AA32+SUM(AB32:AB32)</f>
        <v>0</v>
      </c>
      <c r="AD32" s="456">
        <f t="shared" ref="AD32:AD37" si="30">X32</f>
        <v>0</v>
      </c>
      <c r="AE32" s="522"/>
      <c r="AF32" s="522"/>
      <c r="AG32" s="522"/>
      <c r="AH32" s="451">
        <f t="shared" si="23"/>
        <v>0</v>
      </c>
      <c r="AI32" s="455">
        <f t="shared" si="4"/>
        <v>0</v>
      </c>
      <c r="AJ32" s="522"/>
      <c r="AK32" s="522"/>
      <c r="AL32" s="589"/>
      <c r="AM32" s="448">
        <f t="shared" si="5"/>
        <v>0</v>
      </c>
      <c r="AN32" s="456">
        <f t="shared" si="6"/>
        <v>0</v>
      </c>
      <c r="AO32" s="522"/>
      <c r="AP32" s="522"/>
      <c r="AQ32" s="589"/>
      <c r="AR32" s="451">
        <f t="shared" si="24"/>
        <v>0</v>
      </c>
      <c r="AS32" s="455">
        <f t="shared" si="7"/>
        <v>0</v>
      </c>
      <c r="AT32" s="523"/>
      <c r="AU32" s="522"/>
      <c r="AV32" s="522"/>
      <c r="AW32" s="448">
        <f t="shared" si="8"/>
        <v>0</v>
      </c>
      <c r="AX32" s="456">
        <f t="shared" si="9"/>
        <v>0</v>
      </c>
      <c r="AY32" s="523"/>
      <c r="AZ32" s="522"/>
      <c r="BA32" s="522"/>
      <c r="BB32" s="448">
        <f t="shared" si="25"/>
        <v>0</v>
      </c>
      <c r="BC32" s="455">
        <f t="shared" si="10"/>
        <v>0</v>
      </c>
      <c r="BD32" s="523"/>
      <c r="BE32" s="522"/>
      <c r="BF32" s="522"/>
      <c r="BG32" s="448">
        <f t="shared" si="11"/>
        <v>0</v>
      </c>
      <c r="BH32" s="456">
        <f t="shared" si="12"/>
        <v>0</v>
      </c>
      <c r="BI32" s="523"/>
      <c r="BJ32" s="522"/>
      <c r="BK32" s="522"/>
      <c r="BL32" s="478">
        <f t="shared" si="26"/>
        <v>0</v>
      </c>
      <c r="BM32" s="523"/>
      <c r="BN32" s="523"/>
      <c r="BO32" s="456">
        <f t="shared" si="13"/>
        <v>0</v>
      </c>
      <c r="BP32" s="484">
        <f t="shared" si="14"/>
        <v>0</v>
      </c>
      <c r="BQ32" s="772">
        <f>ROUND(BO32*(0.015/12*3+0.0189/12*6+0.0217/12*3),2)</f>
        <v>0</v>
      </c>
      <c r="BR32" s="772">
        <f>ROUND(BO32*0.0217/12*4,2)</f>
        <v>0</v>
      </c>
      <c r="BS32" s="519">
        <f t="shared" si="17"/>
        <v>0</v>
      </c>
      <c r="BT32" s="632">
        <f>IF(CA9=TRUE, SUM(BO32:BR32), 0)</f>
        <v>0</v>
      </c>
      <c r="BU32" s="491">
        <v>0</v>
      </c>
      <c r="BV32" s="454">
        <f t="shared" si="27"/>
        <v>0</v>
      </c>
      <c r="BW32" s="289"/>
      <c r="BX32" s="289"/>
      <c r="BY32" s="289"/>
      <c r="BZ32" s="289"/>
      <c r="CA32" s="289"/>
    </row>
    <row r="33" spans="1:79" ht="17.25" thickBot="1" x14ac:dyDescent="0.25">
      <c r="C33" s="464" t="s">
        <v>3027</v>
      </c>
      <c r="D33" s="461">
        <v>1595</v>
      </c>
      <c r="E33" s="521"/>
      <c r="F33" s="522"/>
      <c r="G33" s="522"/>
      <c r="H33" s="522"/>
      <c r="I33" s="448">
        <f t="shared" si="18"/>
        <v>0</v>
      </c>
      <c r="J33" s="522"/>
      <c r="K33" s="522"/>
      <c r="L33" s="522"/>
      <c r="M33" s="522"/>
      <c r="N33" s="448">
        <f t="shared" si="19"/>
        <v>0</v>
      </c>
      <c r="O33" s="455">
        <f t="shared" si="20"/>
        <v>0</v>
      </c>
      <c r="P33" s="522"/>
      <c r="Q33" s="522"/>
      <c r="R33" s="522"/>
      <c r="S33" s="448">
        <f t="shared" si="28"/>
        <v>0</v>
      </c>
      <c r="T33" s="448">
        <f t="shared" si="1"/>
        <v>0</v>
      </c>
      <c r="U33" s="522"/>
      <c r="V33" s="522"/>
      <c r="W33" s="522"/>
      <c r="X33" s="451">
        <f t="shared" si="21"/>
        <v>0</v>
      </c>
      <c r="Y33" s="455">
        <f t="shared" si="2"/>
        <v>0</v>
      </c>
      <c r="Z33" s="522">
        <v>217496.92999999996</v>
      </c>
      <c r="AA33" s="522">
        <v>267430</v>
      </c>
      <c r="AB33" s="522"/>
      <c r="AC33" s="448">
        <f t="shared" si="29"/>
        <v>-49933.070000000036</v>
      </c>
      <c r="AD33" s="456">
        <f t="shared" si="30"/>
        <v>0</v>
      </c>
      <c r="AE33" s="522">
        <v>-1961</v>
      </c>
      <c r="AF33" s="522">
        <v>66545</v>
      </c>
      <c r="AG33" s="522"/>
      <c r="AH33" s="451">
        <f t="shared" si="23"/>
        <v>-68506</v>
      </c>
      <c r="AI33" s="455">
        <f t="shared" si="4"/>
        <v>-49933.070000000036</v>
      </c>
      <c r="AJ33" s="522">
        <v>49933.07</v>
      </c>
      <c r="AK33" s="522"/>
      <c r="AL33" s="589"/>
      <c r="AM33" s="448">
        <f t="shared" si="5"/>
        <v>-3.637978807091713E-11</v>
      </c>
      <c r="AN33" s="456">
        <f t="shared" si="6"/>
        <v>-68506</v>
      </c>
      <c r="AO33" s="522">
        <v>-89</v>
      </c>
      <c r="AP33" s="522"/>
      <c r="AQ33" s="589">
        <v>70798.36</v>
      </c>
      <c r="AR33" s="451">
        <f t="shared" si="24"/>
        <v>2203.3600000000006</v>
      </c>
      <c r="AS33" s="455">
        <f t="shared" si="7"/>
        <v>-3.637978807091713E-11</v>
      </c>
      <c r="AT33" s="523"/>
      <c r="AU33" s="522"/>
      <c r="AV33" s="522"/>
      <c r="AW33" s="448">
        <f t="shared" si="8"/>
        <v>-3.637978807091713E-11</v>
      </c>
      <c r="AX33" s="456">
        <f t="shared" si="9"/>
        <v>2203.3600000000006</v>
      </c>
      <c r="AY33" s="523"/>
      <c r="AZ33" s="522"/>
      <c r="BA33" s="522">
        <v>-291.78999999999996</v>
      </c>
      <c r="BB33" s="448">
        <f t="shared" si="25"/>
        <v>1911.5700000000006</v>
      </c>
      <c r="BC33" s="455">
        <f t="shared" si="10"/>
        <v>-3.637978807091713E-11</v>
      </c>
      <c r="BD33" s="523"/>
      <c r="BE33" s="522"/>
      <c r="BF33" s="522"/>
      <c r="BG33" s="448">
        <f t="shared" si="11"/>
        <v>-3.637978807091713E-11</v>
      </c>
      <c r="BH33" s="456">
        <f t="shared" si="12"/>
        <v>1911.5700000000006</v>
      </c>
      <c r="BI33" s="523"/>
      <c r="BJ33" s="522">
        <v>2203</v>
      </c>
      <c r="BK33" s="522"/>
      <c r="BL33" s="478">
        <f t="shared" si="26"/>
        <v>-291.42999999999938</v>
      </c>
      <c r="BM33" s="523"/>
      <c r="BN33" s="523"/>
      <c r="BO33" s="456">
        <f t="shared" si="13"/>
        <v>-3.637978807091713E-11</v>
      </c>
      <c r="BP33" s="484">
        <f t="shared" si="14"/>
        <v>-291.42999999999938</v>
      </c>
      <c r="BQ33" s="772">
        <f>ROUND(BO33*(0.015/12*3+0.0189/12*6+0.0217/12*3),2)</f>
        <v>0</v>
      </c>
      <c r="BR33" s="772">
        <f>ROUND(BO33*0.0217/12*4,2)</f>
        <v>0</v>
      </c>
      <c r="BS33" s="519">
        <f t="shared" si="17"/>
        <v>-291.42999999999938</v>
      </c>
      <c r="BT33" s="632">
        <f>IF(CA1=TRUE, SUM(BO33:BR33), 0)</f>
        <v>0</v>
      </c>
      <c r="BU33" s="491">
        <v>-291.79000000000002</v>
      </c>
      <c r="BV33" s="454">
        <f t="shared" si="27"/>
        <v>-0.35999999996425913</v>
      </c>
      <c r="BW33" s="289"/>
      <c r="BX33" s="289"/>
      <c r="BY33" s="289"/>
      <c r="BZ33" s="289"/>
      <c r="CA33" s="289"/>
    </row>
    <row r="34" spans="1:79" ht="17.25" thickBot="1" x14ac:dyDescent="0.25">
      <c r="C34" s="464" t="s">
        <v>3028</v>
      </c>
      <c r="D34" s="461">
        <v>1595</v>
      </c>
      <c r="E34" s="521"/>
      <c r="F34" s="522"/>
      <c r="G34" s="522"/>
      <c r="H34" s="522"/>
      <c r="I34" s="448">
        <f t="shared" si="18"/>
        <v>0</v>
      </c>
      <c r="J34" s="522"/>
      <c r="K34" s="522"/>
      <c r="L34" s="522"/>
      <c r="M34" s="522"/>
      <c r="N34" s="448">
        <f t="shared" si="19"/>
        <v>0</v>
      </c>
      <c r="O34" s="455">
        <f t="shared" si="20"/>
        <v>0</v>
      </c>
      <c r="P34" s="522"/>
      <c r="Q34" s="522"/>
      <c r="R34" s="522"/>
      <c r="S34" s="448">
        <f t="shared" si="28"/>
        <v>0</v>
      </c>
      <c r="T34" s="448">
        <f t="shared" si="1"/>
        <v>0</v>
      </c>
      <c r="U34" s="522"/>
      <c r="V34" s="522"/>
      <c r="W34" s="522"/>
      <c r="X34" s="451">
        <f t="shared" si="21"/>
        <v>0</v>
      </c>
      <c r="Y34" s="455">
        <f t="shared" si="2"/>
        <v>0</v>
      </c>
      <c r="Z34" s="522"/>
      <c r="AA34" s="522"/>
      <c r="AB34" s="522"/>
      <c r="AC34" s="448">
        <f t="shared" si="29"/>
        <v>0</v>
      </c>
      <c r="AD34" s="456">
        <f t="shared" si="30"/>
        <v>0</v>
      </c>
      <c r="AE34" s="522"/>
      <c r="AF34" s="522"/>
      <c r="AG34" s="522"/>
      <c r="AH34" s="451">
        <f t="shared" si="23"/>
        <v>0</v>
      </c>
      <c r="AI34" s="455">
        <f t="shared" si="4"/>
        <v>0</v>
      </c>
      <c r="AJ34" s="522">
        <v>-203103.84999999998</v>
      </c>
      <c r="AK34" s="522">
        <v>-649025</v>
      </c>
      <c r="AL34" s="589"/>
      <c r="AM34" s="448">
        <f t="shared" si="5"/>
        <v>445921.15</v>
      </c>
      <c r="AN34" s="456">
        <f t="shared" si="6"/>
        <v>0</v>
      </c>
      <c r="AO34" s="522">
        <v>3764</v>
      </c>
      <c r="AP34" s="522">
        <v>-9352</v>
      </c>
      <c r="AQ34" s="589"/>
      <c r="AR34" s="451">
        <f t="shared" si="24"/>
        <v>13116</v>
      </c>
      <c r="AS34" s="455">
        <f t="shared" si="7"/>
        <v>445921.15</v>
      </c>
      <c r="AT34" s="523">
        <v>-307961.18</v>
      </c>
      <c r="AU34" s="522"/>
      <c r="AV34" s="522"/>
      <c r="AW34" s="448">
        <f t="shared" si="8"/>
        <v>137959.97000000003</v>
      </c>
      <c r="AX34" s="456">
        <f t="shared" si="9"/>
        <v>13116</v>
      </c>
      <c r="AY34" s="523">
        <v>3326.45</v>
      </c>
      <c r="AZ34" s="522"/>
      <c r="BA34" s="522"/>
      <c r="BB34" s="448">
        <f t="shared" si="25"/>
        <v>16442.45</v>
      </c>
      <c r="BC34" s="455">
        <f t="shared" si="10"/>
        <v>137959.97000000003</v>
      </c>
      <c r="BD34" s="523">
        <v>-104162.04</v>
      </c>
      <c r="BE34" s="522"/>
      <c r="BF34" s="522"/>
      <c r="BG34" s="448">
        <f t="shared" si="11"/>
        <v>33797.930000000037</v>
      </c>
      <c r="BH34" s="456">
        <f t="shared" si="12"/>
        <v>16442.45</v>
      </c>
      <c r="BI34" s="523">
        <v>642</v>
      </c>
      <c r="BJ34" s="522"/>
      <c r="BK34" s="522">
        <v>-1086.29</v>
      </c>
      <c r="BL34" s="478">
        <f t="shared" si="26"/>
        <v>15998.16</v>
      </c>
      <c r="BM34" s="523"/>
      <c r="BN34" s="523"/>
      <c r="BO34" s="456">
        <f t="shared" si="13"/>
        <v>33797.930000000037</v>
      </c>
      <c r="BP34" s="484">
        <f t="shared" si="14"/>
        <v>15998.16</v>
      </c>
      <c r="BQ34" s="772">
        <f>ROUND(BO34*(0.015/12*3+0.0189/12*6+0.0217/12*3),2)</f>
        <v>629.49</v>
      </c>
      <c r="BR34" s="772">
        <f>ROUND(BO34*0.0217/12*4,2)</f>
        <v>244.47</v>
      </c>
      <c r="BS34" s="519">
        <f t="shared" si="17"/>
        <v>16872.120000000003</v>
      </c>
      <c r="BT34" s="632">
        <f>IF(CA2=TRUE, SUM(BO34:BR34), 0)</f>
        <v>50670.050000000039</v>
      </c>
      <c r="BU34" s="491">
        <v>49796.09</v>
      </c>
      <c r="BV34" s="454">
        <f t="shared" si="27"/>
        <v>0</v>
      </c>
      <c r="BW34" s="289"/>
      <c r="BX34" s="289"/>
      <c r="BY34" s="289"/>
      <c r="BZ34" s="289"/>
      <c r="CA34" s="289"/>
    </row>
    <row r="35" spans="1:79" ht="17.25" thickBot="1" x14ac:dyDescent="0.25">
      <c r="C35" s="464" t="s">
        <v>5943</v>
      </c>
      <c r="D35" s="461">
        <v>1595</v>
      </c>
      <c r="E35" s="521"/>
      <c r="F35" s="522"/>
      <c r="G35" s="522"/>
      <c r="H35" s="522"/>
      <c r="I35" s="448">
        <f t="shared" si="18"/>
        <v>0</v>
      </c>
      <c r="J35" s="522"/>
      <c r="K35" s="522"/>
      <c r="L35" s="522"/>
      <c r="M35" s="522"/>
      <c r="N35" s="448">
        <f t="shared" si="19"/>
        <v>0</v>
      </c>
      <c r="O35" s="455">
        <f t="shared" si="20"/>
        <v>0</v>
      </c>
      <c r="P35" s="522"/>
      <c r="Q35" s="522"/>
      <c r="R35" s="522"/>
      <c r="S35" s="448">
        <f t="shared" si="28"/>
        <v>0</v>
      </c>
      <c r="T35" s="448">
        <f t="shared" si="1"/>
        <v>0</v>
      </c>
      <c r="U35" s="522"/>
      <c r="V35" s="522"/>
      <c r="W35" s="522"/>
      <c r="X35" s="451">
        <f t="shared" si="21"/>
        <v>0</v>
      </c>
      <c r="Y35" s="455">
        <f t="shared" si="2"/>
        <v>0</v>
      </c>
      <c r="Z35" s="522"/>
      <c r="AA35" s="522"/>
      <c r="AB35" s="522"/>
      <c r="AC35" s="448">
        <f t="shared" si="29"/>
        <v>0</v>
      </c>
      <c r="AD35" s="456">
        <f t="shared" si="30"/>
        <v>0</v>
      </c>
      <c r="AE35" s="522"/>
      <c r="AF35" s="522"/>
      <c r="AG35" s="522"/>
      <c r="AH35" s="451">
        <f t="shared" si="23"/>
        <v>0</v>
      </c>
      <c r="AI35" s="455">
        <f t="shared" si="4"/>
        <v>0</v>
      </c>
      <c r="AJ35" s="522"/>
      <c r="AK35" s="522"/>
      <c r="AL35" s="589"/>
      <c r="AM35" s="448">
        <f t="shared" si="5"/>
        <v>0</v>
      </c>
      <c r="AN35" s="456">
        <f t="shared" si="6"/>
        <v>0</v>
      </c>
      <c r="AO35" s="522"/>
      <c r="AP35" s="522"/>
      <c r="AQ35" s="523"/>
      <c r="AR35" s="451">
        <f t="shared" si="24"/>
        <v>0</v>
      </c>
      <c r="AS35" s="455">
        <f t="shared" si="7"/>
        <v>0</v>
      </c>
      <c r="AT35" s="523"/>
      <c r="AU35" s="522"/>
      <c r="AV35" s="522"/>
      <c r="AW35" s="448">
        <f t="shared" si="8"/>
        <v>0</v>
      </c>
      <c r="AX35" s="456">
        <f t="shared" si="9"/>
        <v>0</v>
      </c>
      <c r="AY35" s="523"/>
      <c r="AZ35" s="522"/>
      <c r="BA35" s="522"/>
      <c r="BB35" s="448">
        <f t="shared" si="25"/>
        <v>0</v>
      </c>
      <c r="BC35" s="455">
        <f t="shared" si="10"/>
        <v>0</v>
      </c>
      <c r="BD35" s="523"/>
      <c r="BE35" s="522"/>
      <c r="BF35" s="522"/>
      <c r="BG35" s="448">
        <f t="shared" si="11"/>
        <v>0</v>
      </c>
      <c r="BH35" s="456">
        <f t="shared" si="12"/>
        <v>0</v>
      </c>
      <c r="BI35" s="523"/>
      <c r="BJ35" s="522"/>
      <c r="BK35" s="522"/>
      <c r="BL35" s="478">
        <f t="shared" si="26"/>
        <v>0</v>
      </c>
      <c r="BM35" s="523"/>
      <c r="BN35" s="523"/>
      <c r="BO35" s="456">
        <f t="shared" si="13"/>
        <v>0</v>
      </c>
      <c r="BP35" s="484">
        <f t="shared" si="14"/>
        <v>0</v>
      </c>
      <c r="BQ35" s="772">
        <f>ROUND(BO35*(0.015/12*3+0.0189/12*6+0.0217/12*3),2)</f>
        <v>0</v>
      </c>
      <c r="BR35" s="772">
        <f>ROUND(BO35*0.0217/12*4,2)</f>
        <v>0</v>
      </c>
      <c r="BS35" s="519">
        <f t="shared" si="17"/>
        <v>0</v>
      </c>
      <c r="BT35" s="632">
        <f>IF(CA3=TRUE, SUM(BO35:BR35), 0)</f>
        <v>0</v>
      </c>
      <c r="BU35" s="491">
        <v>0</v>
      </c>
      <c r="BV35" s="454">
        <f t="shared" si="27"/>
        <v>0</v>
      </c>
      <c r="BW35" s="289"/>
      <c r="BX35" s="289"/>
      <c r="BY35" s="289"/>
      <c r="BZ35" s="289"/>
      <c r="CA35" s="289"/>
    </row>
    <row r="36" spans="1:79" s="765" customFormat="1" ht="17.25" thickBot="1" x14ac:dyDescent="0.25">
      <c r="C36" s="778" t="s">
        <v>5944</v>
      </c>
      <c r="D36" s="461">
        <v>1595</v>
      </c>
      <c r="E36" s="767"/>
      <c r="F36" s="768"/>
      <c r="G36" s="768"/>
      <c r="H36" s="768"/>
      <c r="I36" s="769">
        <f t="shared" si="18"/>
        <v>0</v>
      </c>
      <c r="J36" s="768"/>
      <c r="K36" s="768"/>
      <c r="L36" s="768"/>
      <c r="M36" s="768"/>
      <c r="N36" s="769">
        <f t="shared" si="19"/>
        <v>0</v>
      </c>
      <c r="O36" s="771">
        <f t="shared" si="20"/>
        <v>0</v>
      </c>
      <c r="P36" s="768"/>
      <c r="Q36" s="768"/>
      <c r="R36" s="768"/>
      <c r="S36" s="769">
        <f t="shared" si="28"/>
        <v>0</v>
      </c>
      <c r="T36" s="769">
        <f>N36</f>
        <v>0</v>
      </c>
      <c r="U36" s="768"/>
      <c r="V36" s="768"/>
      <c r="W36" s="768"/>
      <c r="X36" s="451">
        <f t="shared" si="21"/>
        <v>0</v>
      </c>
      <c r="Y36" s="771">
        <f t="shared" si="2"/>
        <v>0</v>
      </c>
      <c r="Z36" s="768"/>
      <c r="AA36" s="768"/>
      <c r="AB36" s="768"/>
      <c r="AC36" s="769">
        <f t="shared" si="29"/>
        <v>0</v>
      </c>
      <c r="AD36" s="770">
        <f t="shared" si="30"/>
        <v>0</v>
      </c>
      <c r="AE36" s="768"/>
      <c r="AF36" s="768"/>
      <c r="AG36" s="768"/>
      <c r="AH36" s="451">
        <f t="shared" si="23"/>
        <v>0</v>
      </c>
      <c r="AI36" s="771">
        <f t="shared" si="4"/>
        <v>0</v>
      </c>
      <c r="AJ36" s="768"/>
      <c r="AK36" s="768"/>
      <c r="AL36" s="777"/>
      <c r="AM36" s="769">
        <f t="shared" si="5"/>
        <v>0</v>
      </c>
      <c r="AN36" s="770">
        <f t="shared" si="6"/>
        <v>0</v>
      </c>
      <c r="AO36" s="768"/>
      <c r="AP36" s="768"/>
      <c r="AQ36" s="772"/>
      <c r="AR36" s="451">
        <f t="shared" si="24"/>
        <v>0</v>
      </c>
      <c r="AS36" s="771">
        <f t="shared" si="7"/>
        <v>0</v>
      </c>
      <c r="AT36" s="772"/>
      <c r="AU36" s="768"/>
      <c r="AV36" s="768"/>
      <c r="AW36" s="769">
        <f t="shared" si="8"/>
        <v>0</v>
      </c>
      <c r="AX36" s="770">
        <f t="shared" si="9"/>
        <v>0</v>
      </c>
      <c r="AY36" s="772"/>
      <c r="AZ36" s="768"/>
      <c r="BA36" s="768"/>
      <c r="BB36" s="769">
        <f t="shared" si="25"/>
        <v>0</v>
      </c>
      <c r="BC36" s="771">
        <f t="shared" si="10"/>
        <v>0</v>
      </c>
      <c r="BD36" s="772">
        <v>110218.24999999999</v>
      </c>
      <c r="BE36" s="768">
        <v>220832.86</v>
      </c>
      <c r="BF36" s="768"/>
      <c r="BG36" s="769">
        <f t="shared" si="11"/>
        <v>-110614.61</v>
      </c>
      <c r="BH36" s="770">
        <f t="shared" si="12"/>
        <v>0</v>
      </c>
      <c r="BI36" s="772">
        <v>-1191.68</v>
      </c>
      <c r="BJ36" s="768">
        <v>3020.72</v>
      </c>
      <c r="BK36" s="768"/>
      <c r="BL36" s="478">
        <f t="shared" si="26"/>
        <v>-4212.3999999999996</v>
      </c>
      <c r="BM36" s="772"/>
      <c r="BN36" s="772"/>
      <c r="BO36" s="770">
        <f t="shared" si="13"/>
        <v>-110614.61</v>
      </c>
      <c r="BP36" s="773">
        <f t="shared" si="14"/>
        <v>-4212.3999999999996</v>
      </c>
      <c r="BQ36" s="772">
        <f>ROUND(BO36*(0.015/12*3+0.0189/12*6+0.0217/12*3),2)</f>
        <v>-2060.1999999999998</v>
      </c>
      <c r="BR36" s="772">
        <f>ROUND(BO36*0.0217/12*4,2)</f>
        <v>-800.11</v>
      </c>
      <c r="BS36" s="774">
        <f t="shared" si="17"/>
        <v>-7072.7099999999991</v>
      </c>
      <c r="BT36" s="775">
        <f>IF(CA4=TRUE, SUM(BO36:BR36), 0)</f>
        <v>0</v>
      </c>
      <c r="BU36" s="776">
        <v>-114827.01</v>
      </c>
      <c r="BV36" s="454">
        <f t="shared" si="27"/>
        <v>0</v>
      </c>
      <c r="BW36" s="766"/>
      <c r="BX36" s="766"/>
      <c r="BY36" s="766"/>
      <c r="BZ36" s="766"/>
      <c r="CA36" s="766"/>
    </row>
    <row r="37" spans="1:79" ht="45.75" thickBot="1" x14ac:dyDescent="0.25">
      <c r="C37" s="465" t="s">
        <v>5945</v>
      </c>
      <c r="D37" s="461">
        <v>1595</v>
      </c>
      <c r="E37" s="521"/>
      <c r="F37" s="522"/>
      <c r="G37" s="522"/>
      <c r="H37" s="522"/>
      <c r="I37" s="448">
        <f t="shared" si="18"/>
        <v>0</v>
      </c>
      <c r="J37" s="522"/>
      <c r="K37" s="522"/>
      <c r="L37" s="522"/>
      <c r="M37" s="522"/>
      <c r="N37" s="448">
        <f t="shared" si="19"/>
        <v>0</v>
      </c>
      <c r="O37" s="455">
        <f t="shared" si="20"/>
        <v>0</v>
      </c>
      <c r="P37" s="522"/>
      <c r="Q37" s="522"/>
      <c r="R37" s="522"/>
      <c r="S37" s="448">
        <f t="shared" si="28"/>
        <v>0</v>
      </c>
      <c r="T37" s="448">
        <f t="shared" si="1"/>
        <v>0</v>
      </c>
      <c r="U37" s="522"/>
      <c r="V37" s="522"/>
      <c r="W37" s="522"/>
      <c r="X37" s="451">
        <f t="shared" si="21"/>
        <v>0</v>
      </c>
      <c r="Y37" s="455">
        <f t="shared" si="2"/>
        <v>0</v>
      </c>
      <c r="Z37" s="522"/>
      <c r="AA37" s="522"/>
      <c r="AB37" s="522"/>
      <c r="AC37" s="448">
        <f t="shared" si="29"/>
        <v>0</v>
      </c>
      <c r="AD37" s="456">
        <f t="shared" si="30"/>
        <v>0</v>
      </c>
      <c r="AE37" s="522"/>
      <c r="AF37" s="522"/>
      <c r="AG37" s="522"/>
      <c r="AH37" s="451">
        <f t="shared" si="23"/>
        <v>0</v>
      </c>
      <c r="AI37" s="455">
        <f t="shared" si="4"/>
        <v>0</v>
      </c>
      <c r="AJ37" s="522"/>
      <c r="AK37" s="522"/>
      <c r="AL37" s="589"/>
      <c r="AM37" s="448">
        <f t="shared" si="5"/>
        <v>0</v>
      </c>
      <c r="AN37" s="456">
        <f t="shared" si="6"/>
        <v>0</v>
      </c>
      <c r="AO37" s="522"/>
      <c r="AP37" s="522"/>
      <c r="AQ37" s="523"/>
      <c r="AR37" s="451">
        <f t="shared" si="24"/>
        <v>0</v>
      </c>
      <c r="AS37" s="455">
        <f t="shared" si="7"/>
        <v>0</v>
      </c>
      <c r="AT37" s="523"/>
      <c r="AU37" s="522"/>
      <c r="AV37" s="522"/>
      <c r="AW37" s="448">
        <f t="shared" si="8"/>
        <v>0</v>
      </c>
      <c r="AX37" s="456">
        <f t="shared" si="9"/>
        <v>0</v>
      </c>
      <c r="AY37" s="523"/>
      <c r="AZ37" s="522"/>
      <c r="BA37" s="522"/>
      <c r="BB37" s="448">
        <f t="shared" si="25"/>
        <v>0</v>
      </c>
      <c r="BC37" s="455">
        <f t="shared" si="10"/>
        <v>0</v>
      </c>
      <c r="BD37" s="523"/>
      <c r="BE37" s="522"/>
      <c r="BF37" s="522"/>
      <c r="BG37" s="448">
        <f t="shared" si="11"/>
        <v>0</v>
      </c>
      <c r="BH37" s="456">
        <f t="shared" si="12"/>
        <v>0</v>
      </c>
      <c r="BI37" s="523"/>
      <c r="BJ37" s="522"/>
      <c r="BK37" s="522"/>
      <c r="BL37" s="478">
        <f t="shared" si="26"/>
        <v>0</v>
      </c>
      <c r="BM37" s="523"/>
      <c r="BN37" s="523"/>
      <c r="BO37" s="456">
        <f t="shared" si="13"/>
        <v>0</v>
      </c>
      <c r="BP37" s="484">
        <f t="shared" si="14"/>
        <v>0</v>
      </c>
      <c r="BQ37" s="525"/>
      <c r="BR37" s="772"/>
      <c r="BS37" s="519">
        <f t="shared" si="17"/>
        <v>0</v>
      </c>
      <c r="BT37" s="632">
        <f>IF(CA5=TRUE, SUM(BO37:BR37), 0)</f>
        <v>0</v>
      </c>
      <c r="BU37" s="491"/>
      <c r="BV37" s="454">
        <f t="shared" si="27"/>
        <v>0</v>
      </c>
      <c r="BW37" s="289"/>
      <c r="BX37" s="289"/>
      <c r="BY37" s="289"/>
      <c r="BZ37" s="289"/>
      <c r="CA37" s="289"/>
    </row>
    <row r="38" spans="1:79" x14ac:dyDescent="0.25">
      <c r="C38" s="464"/>
      <c r="D38" s="461"/>
      <c r="E38" s="560"/>
      <c r="F38" s="560"/>
      <c r="G38" s="560"/>
      <c r="H38" s="560"/>
      <c r="I38" s="560"/>
      <c r="J38" s="560"/>
      <c r="K38" s="560"/>
      <c r="L38" s="560"/>
      <c r="M38" s="560"/>
      <c r="N38" s="568"/>
      <c r="O38" s="569"/>
      <c r="P38" s="560"/>
      <c r="Q38" s="560"/>
      <c r="R38" s="560"/>
      <c r="S38" s="560"/>
      <c r="T38" s="560"/>
      <c r="U38" s="560"/>
      <c r="V38" s="560"/>
      <c r="W38" s="560"/>
      <c r="X38" s="568"/>
      <c r="Y38" s="569"/>
      <c r="Z38" s="560"/>
      <c r="AA38" s="560"/>
      <c r="AB38" s="560"/>
      <c r="AC38" s="560"/>
      <c r="AD38" s="560"/>
      <c r="AE38" s="560"/>
      <c r="AF38" s="560"/>
      <c r="AG38" s="560"/>
      <c r="AH38" s="568"/>
      <c r="AI38" s="570"/>
      <c r="AJ38" s="562"/>
      <c r="AK38" s="562"/>
      <c r="AL38" s="562"/>
      <c r="AM38" s="562"/>
      <c r="AN38" s="562"/>
      <c r="AO38" s="562"/>
      <c r="AP38" s="562"/>
      <c r="AQ38" s="562"/>
      <c r="AR38" s="563"/>
      <c r="AS38" s="570"/>
      <c r="AT38" s="562"/>
      <c r="AU38" s="562"/>
      <c r="AV38" s="562"/>
      <c r="AW38" s="562"/>
      <c r="AX38" s="562"/>
      <c r="AY38" s="562"/>
      <c r="AZ38" s="562"/>
      <c r="BA38" s="562"/>
      <c r="BB38" s="562"/>
      <c r="BC38" s="570"/>
      <c r="BD38" s="562"/>
      <c r="BE38" s="562"/>
      <c r="BF38" s="562"/>
      <c r="BG38" s="562"/>
      <c r="BH38" s="562"/>
      <c r="BI38" s="562"/>
      <c r="BJ38" s="562"/>
      <c r="BK38" s="562"/>
      <c r="BL38" s="565"/>
      <c r="BM38" s="570"/>
      <c r="BN38" s="562"/>
      <c r="BO38" s="448"/>
      <c r="BP38" s="448"/>
      <c r="BQ38" s="561"/>
      <c r="BR38" s="520"/>
      <c r="BS38" s="417"/>
      <c r="BT38" s="633"/>
      <c r="BU38" s="492"/>
      <c r="BV38" s="454"/>
      <c r="BW38" s="289"/>
      <c r="BX38" s="289"/>
      <c r="BY38" s="289"/>
      <c r="BZ38" s="289"/>
      <c r="CA38" s="289"/>
    </row>
    <row r="39" spans="1:79" ht="15.75" thickBot="1" x14ac:dyDescent="0.3">
      <c r="C39" s="466" t="s">
        <v>348</v>
      </c>
      <c r="D39" s="467">
        <v>1589</v>
      </c>
      <c r="E39" s="448">
        <f t="shared" ref="E39:AJ39" si="31">E29</f>
        <v>0</v>
      </c>
      <c r="F39" s="448">
        <f t="shared" si="31"/>
        <v>0</v>
      </c>
      <c r="G39" s="448">
        <f t="shared" si="31"/>
        <v>0</v>
      </c>
      <c r="H39" s="448">
        <f t="shared" si="31"/>
        <v>0</v>
      </c>
      <c r="I39" s="448">
        <f t="shared" si="31"/>
        <v>0</v>
      </c>
      <c r="J39" s="448">
        <f t="shared" si="31"/>
        <v>0</v>
      </c>
      <c r="K39" s="448">
        <f t="shared" si="31"/>
        <v>0</v>
      </c>
      <c r="L39" s="448">
        <f t="shared" si="31"/>
        <v>0</v>
      </c>
      <c r="M39" s="448">
        <f t="shared" si="31"/>
        <v>0</v>
      </c>
      <c r="N39" s="448">
        <f t="shared" si="31"/>
        <v>0</v>
      </c>
      <c r="O39" s="452">
        <f t="shared" si="31"/>
        <v>0</v>
      </c>
      <c r="P39" s="448">
        <f t="shared" si="31"/>
        <v>0</v>
      </c>
      <c r="Q39" s="448">
        <f t="shared" si="31"/>
        <v>0</v>
      </c>
      <c r="R39" s="448">
        <f t="shared" si="31"/>
        <v>0</v>
      </c>
      <c r="S39" s="448">
        <f t="shared" si="31"/>
        <v>0</v>
      </c>
      <c r="T39" s="448">
        <f t="shared" si="31"/>
        <v>0</v>
      </c>
      <c r="U39" s="448">
        <f t="shared" si="31"/>
        <v>0</v>
      </c>
      <c r="V39" s="448">
        <f t="shared" si="31"/>
        <v>0</v>
      </c>
      <c r="W39" s="448">
        <f t="shared" si="31"/>
        <v>0</v>
      </c>
      <c r="X39" s="451">
        <f t="shared" si="31"/>
        <v>0</v>
      </c>
      <c r="Y39" s="452">
        <f t="shared" si="31"/>
        <v>0</v>
      </c>
      <c r="Z39" s="448">
        <f t="shared" si="31"/>
        <v>0</v>
      </c>
      <c r="AA39" s="448">
        <f t="shared" si="31"/>
        <v>0</v>
      </c>
      <c r="AB39" s="448">
        <f t="shared" si="31"/>
        <v>0</v>
      </c>
      <c r="AC39" s="448">
        <f t="shared" si="31"/>
        <v>0</v>
      </c>
      <c r="AD39" s="448">
        <f t="shared" si="31"/>
        <v>0</v>
      </c>
      <c r="AE39" s="448">
        <f t="shared" si="31"/>
        <v>0</v>
      </c>
      <c r="AF39" s="448">
        <f t="shared" si="31"/>
        <v>0</v>
      </c>
      <c r="AG39" s="448">
        <f t="shared" si="31"/>
        <v>0</v>
      </c>
      <c r="AH39" s="451">
        <f t="shared" si="31"/>
        <v>0</v>
      </c>
      <c r="AI39" s="452">
        <f t="shared" si="31"/>
        <v>0</v>
      </c>
      <c r="AJ39" s="448">
        <f t="shared" si="31"/>
        <v>0</v>
      </c>
      <c r="AK39" s="448">
        <f t="shared" ref="AK39:BT39" si="32">AK29</f>
        <v>0</v>
      </c>
      <c r="AL39" s="448">
        <f t="shared" si="32"/>
        <v>257402.45</v>
      </c>
      <c r="AM39" s="448">
        <f t="shared" si="32"/>
        <v>257402.45</v>
      </c>
      <c r="AN39" s="448">
        <f t="shared" si="32"/>
        <v>0</v>
      </c>
      <c r="AO39" s="448">
        <f t="shared" si="32"/>
        <v>0</v>
      </c>
      <c r="AP39" s="448">
        <f t="shared" si="32"/>
        <v>0</v>
      </c>
      <c r="AQ39" s="448">
        <f t="shared" si="32"/>
        <v>-90.909999999999684</v>
      </c>
      <c r="AR39" s="451">
        <f t="shared" si="32"/>
        <v>-90.909999999999684</v>
      </c>
      <c r="AS39" s="452">
        <f t="shared" si="32"/>
        <v>257402.45</v>
      </c>
      <c r="AT39" s="448">
        <f t="shared" si="32"/>
        <v>30213.01</v>
      </c>
      <c r="AU39" s="448">
        <f t="shared" si="32"/>
        <v>0</v>
      </c>
      <c r="AV39" s="448">
        <f t="shared" si="32"/>
        <v>0</v>
      </c>
      <c r="AW39" s="448">
        <f t="shared" si="32"/>
        <v>287615.46000000002</v>
      </c>
      <c r="AX39" s="448">
        <f t="shared" si="32"/>
        <v>-90.909999999999684</v>
      </c>
      <c r="AY39" s="448">
        <f t="shared" si="32"/>
        <v>2411.31</v>
      </c>
      <c r="AZ39" s="448">
        <f t="shared" si="32"/>
        <v>0</v>
      </c>
      <c r="BA39" s="448">
        <f t="shared" si="32"/>
        <v>0</v>
      </c>
      <c r="BB39" s="448">
        <f t="shared" si="32"/>
        <v>2320.4</v>
      </c>
      <c r="BC39" s="452">
        <f t="shared" si="32"/>
        <v>287615.46000000002</v>
      </c>
      <c r="BD39" s="448">
        <f t="shared" si="32"/>
        <v>37632.61</v>
      </c>
      <c r="BE39" s="448">
        <f t="shared" si="32"/>
        <v>257401</v>
      </c>
      <c r="BF39" s="448">
        <f t="shared" si="32"/>
        <v>36177</v>
      </c>
      <c r="BG39" s="448">
        <f t="shared" si="32"/>
        <v>104024.07</v>
      </c>
      <c r="BH39" s="448">
        <f t="shared" si="32"/>
        <v>2320.4</v>
      </c>
      <c r="BI39" s="448">
        <f t="shared" si="32"/>
        <v>1640.0700000000002</v>
      </c>
      <c r="BJ39" s="448">
        <f t="shared" si="32"/>
        <v>853</v>
      </c>
      <c r="BK39" s="448">
        <f t="shared" si="32"/>
        <v>0</v>
      </c>
      <c r="BL39" s="478">
        <f t="shared" si="32"/>
        <v>3107.4700000000003</v>
      </c>
      <c r="BM39" s="452">
        <f t="shared" si="32"/>
        <v>30213.4</v>
      </c>
      <c r="BN39" s="448">
        <f t="shared" si="32"/>
        <v>1980.6977999999999</v>
      </c>
      <c r="BO39" s="448">
        <f t="shared" si="32"/>
        <v>73810.670000000013</v>
      </c>
      <c r="BP39" s="448">
        <f t="shared" si="32"/>
        <v>1126.7722000000003</v>
      </c>
      <c r="BQ39" s="452">
        <f t="shared" si="32"/>
        <v>1374.72</v>
      </c>
      <c r="BR39" s="448">
        <f t="shared" si="32"/>
        <v>533.9</v>
      </c>
      <c r="BS39" s="448">
        <f t="shared" si="32"/>
        <v>3035.3922000000007</v>
      </c>
      <c r="BT39" s="632">
        <f t="shared" si="32"/>
        <v>76846.062200000015</v>
      </c>
      <c r="BU39" s="493">
        <f>BU29</f>
        <v>70954.539999999994</v>
      </c>
      <c r="BV39" s="454">
        <f>BU39-SUM(BG39,BL39)</f>
        <v>-36177.000000000015</v>
      </c>
      <c r="BW39" s="289"/>
      <c r="BX39" s="289"/>
      <c r="BY39" s="289"/>
      <c r="BZ39" s="289"/>
      <c r="CA39" s="289"/>
    </row>
    <row r="40" spans="1:79" s="419" customFormat="1" ht="15.75" thickBot="1" x14ac:dyDescent="0.3">
      <c r="A40" s="22"/>
      <c r="B40" s="22"/>
      <c r="C40" s="468" t="s">
        <v>1840</v>
      </c>
      <c r="D40" s="469"/>
      <c r="E40" s="448">
        <f t="shared" ref="E40:AJ40" si="33">SUM(E21:E37)-E29</f>
        <v>0</v>
      </c>
      <c r="F40" s="448">
        <f t="shared" si="33"/>
        <v>-429339</v>
      </c>
      <c r="G40" s="448">
        <f t="shared" si="33"/>
        <v>-252524</v>
      </c>
      <c r="H40" s="448">
        <f t="shared" si="33"/>
        <v>0</v>
      </c>
      <c r="I40" s="448">
        <f t="shared" si="33"/>
        <v>-176815</v>
      </c>
      <c r="J40" s="448">
        <f t="shared" si="33"/>
        <v>0</v>
      </c>
      <c r="K40" s="448">
        <f t="shared" si="33"/>
        <v>-861</v>
      </c>
      <c r="L40" s="448">
        <f t="shared" si="33"/>
        <v>477</v>
      </c>
      <c r="M40" s="448">
        <f t="shared" si="33"/>
        <v>0</v>
      </c>
      <c r="N40" s="448">
        <f t="shared" si="33"/>
        <v>-1338</v>
      </c>
      <c r="O40" s="452">
        <f t="shared" si="33"/>
        <v>-176815</v>
      </c>
      <c r="P40" s="448">
        <f t="shared" si="33"/>
        <v>160724.73000000001</v>
      </c>
      <c r="Q40" s="448">
        <f t="shared" si="33"/>
        <v>-15542.58</v>
      </c>
      <c r="R40" s="448">
        <f t="shared" si="33"/>
        <v>0</v>
      </c>
      <c r="S40" s="448">
        <f t="shared" si="33"/>
        <v>-547.6899999999896</v>
      </c>
      <c r="T40" s="448">
        <f t="shared" si="33"/>
        <v>-1338</v>
      </c>
      <c r="U40" s="448">
        <f t="shared" si="33"/>
        <v>-984.6</v>
      </c>
      <c r="V40" s="448">
        <f t="shared" si="33"/>
        <v>0</v>
      </c>
      <c r="W40" s="448">
        <f t="shared" si="33"/>
        <v>0</v>
      </c>
      <c r="X40" s="448">
        <f t="shared" si="33"/>
        <v>-2322.6</v>
      </c>
      <c r="Y40" s="452">
        <f t="shared" si="33"/>
        <v>-547.6899999999896</v>
      </c>
      <c r="Z40" s="448">
        <f t="shared" si="33"/>
        <v>217501.17999999996</v>
      </c>
      <c r="AA40" s="448">
        <f t="shared" si="33"/>
        <v>267430</v>
      </c>
      <c r="AB40" s="448">
        <f t="shared" si="33"/>
        <v>0</v>
      </c>
      <c r="AC40" s="448">
        <f t="shared" si="33"/>
        <v>-50476.510000000024</v>
      </c>
      <c r="AD40" s="448">
        <f t="shared" si="33"/>
        <v>-2322.6</v>
      </c>
      <c r="AE40" s="448">
        <f t="shared" si="33"/>
        <v>-1949.4</v>
      </c>
      <c r="AF40" s="448">
        <f t="shared" si="33"/>
        <v>66545</v>
      </c>
      <c r="AG40" s="448">
        <f t="shared" si="33"/>
        <v>0</v>
      </c>
      <c r="AH40" s="448">
        <f t="shared" si="33"/>
        <v>-70817</v>
      </c>
      <c r="AI40" s="452">
        <f t="shared" si="33"/>
        <v>-50476.510000000024</v>
      </c>
      <c r="AJ40" s="448">
        <f t="shared" si="33"/>
        <v>-154405.19999999998</v>
      </c>
      <c r="AK40" s="448">
        <f t="shared" ref="AK40:BT40" si="34">SUM(AK21:AK37)-AK29</f>
        <v>-649573</v>
      </c>
      <c r="AL40" s="448">
        <f t="shared" si="34"/>
        <v>-506188.11999999988</v>
      </c>
      <c r="AM40" s="448">
        <f t="shared" si="34"/>
        <v>-61496.829999999871</v>
      </c>
      <c r="AN40" s="448">
        <f t="shared" si="34"/>
        <v>-70817</v>
      </c>
      <c r="AO40" s="448">
        <f t="shared" si="34"/>
        <v>3679.35</v>
      </c>
      <c r="AP40" s="448">
        <f t="shared" si="34"/>
        <v>-11684</v>
      </c>
      <c r="AQ40" s="448">
        <f t="shared" si="34"/>
        <v>63924.796333333332</v>
      </c>
      <c r="AR40" s="448">
        <f t="shared" si="34"/>
        <v>8471.146333333334</v>
      </c>
      <c r="AS40" s="455">
        <f t="shared" si="34"/>
        <v>-61496.829999999871</v>
      </c>
      <c r="AT40" s="448">
        <f t="shared" si="34"/>
        <v>-513610.99782974692</v>
      </c>
      <c r="AU40" s="448">
        <f t="shared" si="34"/>
        <v>0</v>
      </c>
      <c r="AV40" s="448">
        <f t="shared" si="34"/>
        <v>0</v>
      </c>
      <c r="AW40" s="448">
        <f t="shared" si="34"/>
        <v>-575107.82782974676</v>
      </c>
      <c r="AX40" s="448">
        <f t="shared" si="34"/>
        <v>8471.146333333334</v>
      </c>
      <c r="AY40" s="448">
        <f t="shared" si="34"/>
        <v>-2970.7241349999999</v>
      </c>
      <c r="AZ40" s="448">
        <f t="shared" si="34"/>
        <v>0</v>
      </c>
      <c r="BA40" s="448">
        <f t="shared" si="34"/>
        <v>-291.78999999999996</v>
      </c>
      <c r="BB40" s="448">
        <f t="shared" si="34"/>
        <v>5208.632198333331</v>
      </c>
      <c r="BC40" s="452">
        <f t="shared" si="34"/>
        <v>-575107.82782974676</v>
      </c>
      <c r="BD40" s="448">
        <f t="shared" si="34"/>
        <v>-178114.44288192381</v>
      </c>
      <c r="BE40" s="448">
        <f t="shared" si="34"/>
        <v>-286587.14</v>
      </c>
      <c r="BF40" s="448">
        <f t="shared" si="34"/>
        <v>-36177</v>
      </c>
      <c r="BG40" s="448">
        <f t="shared" si="34"/>
        <v>-502812.13071167073</v>
      </c>
      <c r="BH40" s="448">
        <f t="shared" si="34"/>
        <v>5208.632198333331</v>
      </c>
      <c r="BI40" s="448">
        <f t="shared" si="34"/>
        <v>-6202.3899999999994</v>
      </c>
      <c r="BJ40" s="448">
        <f t="shared" si="34"/>
        <v>-3484.28</v>
      </c>
      <c r="BK40" s="448">
        <f t="shared" si="34"/>
        <v>-1086.29</v>
      </c>
      <c r="BL40" s="478">
        <f t="shared" si="34"/>
        <v>1404.2321983333359</v>
      </c>
      <c r="BM40" s="452">
        <f t="shared" si="34"/>
        <v>-205645.85</v>
      </c>
      <c r="BN40" s="448">
        <f t="shared" si="34"/>
        <v>-7923.08</v>
      </c>
      <c r="BO40" s="448">
        <f t="shared" si="34"/>
        <v>-297166.28071167076</v>
      </c>
      <c r="BP40" s="448">
        <f t="shared" si="34"/>
        <v>9327.3121983333367</v>
      </c>
      <c r="BQ40" s="452">
        <f t="shared" si="34"/>
        <v>-5534.72</v>
      </c>
      <c r="BR40" s="448">
        <f t="shared" si="34"/>
        <v>-2149.5100000000002</v>
      </c>
      <c r="BS40" s="448">
        <f t="shared" si="34"/>
        <v>1643.0821983333385</v>
      </c>
      <c r="BT40" s="448">
        <f t="shared" si="34"/>
        <v>-177528.48851333739</v>
      </c>
      <c r="BU40" s="493">
        <f>SUM(BU21:BU37)-BU29-BU24-BU25</f>
        <v>-465231.20999999996</v>
      </c>
      <c r="BV40" s="454">
        <f>BU40-SUM(BG40,BL40)</f>
        <v>36176.68851333746</v>
      </c>
      <c r="BW40" s="528"/>
      <c r="BX40" s="528"/>
      <c r="BY40" s="528"/>
      <c r="BZ40" s="528"/>
      <c r="CA40" s="528"/>
    </row>
    <row r="41" spans="1:79" s="419" customFormat="1" ht="15.75" thickBot="1" x14ac:dyDescent="0.3">
      <c r="A41" s="22"/>
      <c r="B41" s="22"/>
      <c r="C41" s="468" t="s">
        <v>1841</v>
      </c>
      <c r="D41" s="469"/>
      <c r="E41" s="448">
        <f>SUM(E39,E40)</f>
        <v>0</v>
      </c>
      <c r="F41" s="448">
        <f t="shared" ref="F41:O41" si="35">SUM(F39,F40)</f>
        <v>-429339</v>
      </c>
      <c r="G41" s="448">
        <f t="shared" si="35"/>
        <v>-252524</v>
      </c>
      <c r="H41" s="448">
        <f t="shared" si="35"/>
        <v>0</v>
      </c>
      <c r="I41" s="448">
        <f t="shared" si="35"/>
        <v>-176815</v>
      </c>
      <c r="J41" s="448">
        <f t="shared" si="35"/>
        <v>0</v>
      </c>
      <c r="K41" s="448">
        <f t="shared" si="35"/>
        <v>-861</v>
      </c>
      <c r="L41" s="448">
        <f t="shared" si="35"/>
        <v>477</v>
      </c>
      <c r="M41" s="448">
        <f t="shared" si="35"/>
        <v>0</v>
      </c>
      <c r="N41" s="448">
        <f t="shared" si="35"/>
        <v>-1338</v>
      </c>
      <c r="O41" s="452">
        <f t="shared" si="35"/>
        <v>-176815</v>
      </c>
      <c r="P41" s="448">
        <f>SUM(P39,P40)</f>
        <v>160724.73000000001</v>
      </c>
      <c r="Q41" s="448">
        <f t="shared" ref="Q41:BS41" si="36">SUM(Q39,Q40)</f>
        <v>-15542.58</v>
      </c>
      <c r="R41" s="448">
        <f t="shared" si="36"/>
        <v>0</v>
      </c>
      <c r="S41" s="448">
        <f t="shared" si="36"/>
        <v>-547.6899999999896</v>
      </c>
      <c r="T41" s="448">
        <f t="shared" si="36"/>
        <v>-1338</v>
      </c>
      <c r="U41" s="448">
        <f t="shared" si="36"/>
        <v>-984.6</v>
      </c>
      <c r="V41" s="448">
        <f t="shared" si="36"/>
        <v>0</v>
      </c>
      <c r="W41" s="448">
        <f t="shared" si="36"/>
        <v>0</v>
      </c>
      <c r="X41" s="451">
        <f t="shared" si="36"/>
        <v>-2322.6</v>
      </c>
      <c r="Y41" s="448">
        <f t="shared" si="36"/>
        <v>-547.6899999999896</v>
      </c>
      <c r="Z41" s="448">
        <f t="shared" si="36"/>
        <v>217501.17999999996</v>
      </c>
      <c r="AA41" s="448">
        <f t="shared" si="36"/>
        <v>267430</v>
      </c>
      <c r="AB41" s="448">
        <f t="shared" si="36"/>
        <v>0</v>
      </c>
      <c r="AC41" s="448">
        <f t="shared" si="36"/>
        <v>-50476.510000000024</v>
      </c>
      <c r="AD41" s="448">
        <f t="shared" si="36"/>
        <v>-2322.6</v>
      </c>
      <c r="AE41" s="448">
        <f t="shared" si="36"/>
        <v>-1949.4</v>
      </c>
      <c r="AF41" s="448">
        <f t="shared" si="36"/>
        <v>66545</v>
      </c>
      <c r="AG41" s="448">
        <f t="shared" si="36"/>
        <v>0</v>
      </c>
      <c r="AH41" s="451">
        <f t="shared" si="36"/>
        <v>-70817</v>
      </c>
      <c r="AI41" s="448">
        <f t="shared" si="36"/>
        <v>-50476.510000000024</v>
      </c>
      <c r="AJ41" s="448">
        <f t="shared" si="36"/>
        <v>-154405.19999999998</v>
      </c>
      <c r="AK41" s="448">
        <f t="shared" si="36"/>
        <v>-649573</v>
      </c>
      <c r="AL41" s="448">
        <f t="shared" si="36"/>
        <v>-248785.66999999987</v>
      </c>
      <c r="AM41" s="448">
        <f t="shared" si="36"/>
        <v>195905.62000000014</v>
      </c>
      <c r="AN41" s="448">
        <f t="shared" si="36"/>
        <v>-70817</v>
      </c>
      <c r="AO41" s="448">
        <f t="shared" si="36"/>
        <v>3679.35</v>
      </c>
      <c r="AP41" s="448">
        <f t="shared" si="36"/>
        <v>-11684</v>
      </c>
      <c r="AQ41" s="448">
        <f t="shared" si="36"/>
        <v>63833.886333333336</v>
      </c>
      <c r="AR41" s="448">
        <f t="shared" si="36"/>
        <v>8380.2363333333342</v>
      </c>
      <c r="AS41" s="455">
        <f t="shared" si="36"/>
        <v>195905.62000000014</v>
      </c>
      <c r="AT41" s="448">
        <f t="shared" si="36"/>
        <v>-483397.98782974691</v>
      </c>
      <c r="AU41" s="448">
        <f t="shared" si="36"/>
        <v>0</v>
      </c>
      <c r="AV41" s="448">
        <f t="shared" si="36"/>
        <v>0</v>
      </c>
      <c r="AW41" s="448">
        <f t="shared" si="36"/>
        <v>-287492.36782974674</v>
      </c>
      <c r="AX41" s="448">
        <f t="shared" si="36"/>
        <v>8380.2363333333342</v>
      </c>
      <c r="AY41" s="448">
        <f t="shared" si="36"/>
        <v>-559.41413499999999</v>
      </c>
      <c r="AZ41" s="448">
        <f t="shared" si="36"/>
        <v>0</v>
      </c>
      <c r="BA41" s="448">
        <f t="shared" si="36"/>
        <v>-291.78999999999996</v>
      </c>
      <c r="BB41" s="448">
        <f t="shared" si="36"/>
        <v>7529.0321983333306</v>
      </c>
      <c r="BC41" s="452">
        <f t="shared" si="36"/>
        <v>-287492.36782974674</v>
      </c>
      <c r="BD41" s="448">
        <f t="shared" si="36"/>
        <v>-140481.83288192382</v>
      </c>
      <c r="BE41" s="448">
        <f t="shared" si="36"/>
        <v>-29186.140000000014</v>
      </c>
      <c r="BF41" s="448">
        <f t="shared" si="36"/>
        <v>0</v>
      </c>
      <c r="BG41" s="448">
        <f t="shared" si="36"/>
        <v>-398788.06071167073</v>
      </c>
      <c r="BH41" s="448">
        <f t="shared" si="36"/>
        <v>7529.0321983333306</v>
      </c>
      <c r="BI41" s="448">
        <f t="shared" si="36"/>
        <v>-4562.32</v>
      </c>
      <c r="BJ41" s="448">
        <f t="shared" si="36"/>
        <v>-2631.28</v>
      </c>
      <c r="BK41" s="448">
        <f t="shared" si="36"/>
        <v>-1086.29</v>
      </c>
      <c r="BL41" s="478">
        <f t="shared" si="36"/>
        <v>4511.7021983333361</v>
      </c>
      <c r="BM41" s="452">
        <f t="shared" si="36"/>
        <v>-175432.45</v>
      </c>
      <c r="BN41" s="448">
        <f t="shared" si="36"/>
        <v>-5942.3822</v>
      </c>
      <c r="BO41" s="448">
        <f t="shared" si="36"/>
        <v>-223355.61071167074</v>
      </c>
      <c r="BP41" s="448">
        <f t="shared" si="36"/>
        <v>10454.084398333336</v>
      </c>
      <c r="BQ41" s="452">
        <f t="shared" si="36"/>
        <v>-4160</v>
      </c>
      <c r="BR41" s="448">
        <f t="shared" si="36"/>
        <v>-1615.6100000000001</v>
      </c>
      <c r="BS41" s="448">
        <f t="shared" si="36"/>
        <v>4678.4743983333392</v>
      </c>
      <c r="BT41" s="448">
        <f>SUM(BT39,BT40)</f>
        <v>-100682.42631333738</v>
      </c>
      <c r="BU41" s="493">
        <f>SUM(BU39,BU40)</f>
        <v>-394276.67</v>
      </c>
      <c r="BV41" s="478">
        <f>SUM(BV39,BV40)</f>
        <v>-0.31148666255467106</v>
      </c>
      <c r="BW41" s="528"/>
      <c r="BX41" s="528"/>
      <c r="BY41" s="528"/>
      <c r="BZ41" s="528"/>
      <c r="CA41" s="528"/>
    </row>
    <row r="42" spans="1:79" s="419" customFormat="1" ht="15.75" thickBot="1" x14ac:dyDescent="0.3">
      <c r="A42" s="22"/>
      <c r="B42" s="22"/>
      <c r="C42" s="470"/>
      <c r="D42" s="471"/>
      <c r="E42" s="571"/>
      <c r="F42" s="571"/>
      <c r="G42" s="571"/>
      <c r="H42" s="571"/>
      <c r="I42" s="571"/>
      <c r="J42" s="571"/>
      <c r="K42" s="571"/>
      <c r="L42" s="571"/>
      <c r="M42" s="571"/>
      <c r="N42" s="572"/>
      <c r="O42" s="573"/>
      <c r="P42" s="574"/>
      <c r="Q42" s="574"/>
      <c r="R42" s="574"/>
      <c r="S42" s="574"/>
      <c r="T42" s="574"/>
      <c r="U42" s="574"/>
      <c r="V42" s="574"/>
      <c r="W42" s="574"/>
      <c r="X42" s="575"/>
      <c r="Y42" s="574"/>
      <c r="Z42" s="574"/>
      <c r="AA42" s="574"/>
      <c r="AB42" s="574"/>
      <c r="AC42" s="574"/>
      <c r="AD42" s="574"/>
      <c r="AE42" s="574"/>
      <c r="AF42" s="574"/>
      <c r="AG42" s="574"/>
      <c r="AH42" s="575"/>
      <c r="AI42" s="574"/>
      <c r="AJ42" s="574"/>
      <c r="AK42" s="574"/>
      <c r="AL42" s="574"/>
      <c r="AM42" s="574"/>
      <c r="AN42" s="574"/>
      <c r="AO42" s="574"/>
      <c r="AP42" s="574"/>
      <c r="AQ42" s="574"/>
      <c r="AR42" s="576"/>
      <c r="AS42" s="570"/>
      <c r="AT42" s="574"/>
      <c r="AU42" s="574"/>
      <c r="AV42" s="574"/>
      <c r="AW42" s="574"/>
      <c r="AX42" s="574"/>
      <c r="AY42" s="574"/>
      <c r="AZ42" s="574"/>
      <c r="BA42" s="574"/>
      <c r="BB42" s="574"/>
      <c r="BC42" s="577"/>
      <c r="BD42" s="566"/>
      <c r="BE42" s="566"/>
      <c r="BF42" s="566"/>
      <c r="BG42" s="566"/>
      <c r="BH42" s="566"/>
      <c r="BI42" s="566"/>
      <c r="BJ42" s="566"/>
      <c r="BK42" s="566"/>
      <c r="BL42" s="567"/>
      <c r="BM42" s="578"/>
      <c r="BN42" s="579"/>
      <c r="BO42" s="482"/>
      <c r="BP42" s="482"/>
      <c r="BQ42" s="578"/>
      <c r="BR42" s="579"/>
      <c r="BS42" s="414"/>
      <c r="BT42" s="632"/>
      <c r="BU42" s="492"/>
      <c r="BV42" s="447"/>
      <c r="BW42" s="528"/>
      <c r="BX42" s="528"/>
      <c r="BY42" s="528"/>
      <c r="BZ42" s="528"/>
      <c r="CA42" s="528"/>
    </row>
    <row r="43" spans="1:79" s="419" customFormat="1" ht="15.75" thickBot="1" x14ac:dyDescent="0.3">
      <c r="A43" s="22">
        <v>29</v>
      </c>
      <c r="B43" s="22"/>
      <c r="C43" s="472" t="s">
        <v>1842</v>
      </c>
      <c r="D43" s="473">
        <v>1568</v>
      </c>
      <c r="E43" s="580"/>
      <c r="F43" s="580"/>
      <c r="G43" s="580"/>
      <c r="H43" s="580"/>
      <c r="I43" s="580"/>
      <c r="J43" s="580"/>
      <c r="K43" s="580"/>
      <c r="L43" s="580"/>
      <c r="M43" s="580"/>
      <c r="N43" s="581"/>
      <c r="O43" s="529"/>
      <c r="P43" s="530"/>
      <c r="Q43" s="530"/>
      <c r="R43" s="530"/>
      <c r="S43" s="562">
        <f>O43+P43-Q43+SUM(R43:R43)</f>
        <v>0</v>
      </c>
      <c r="T43" s="530"/>
      <c r="U43" s="530"/>
      <c r="V43" s="530"/>
      <c r="W43" s="530"/>
      <c r="X43" s="563">
        <f>T43+U43-V43+W43</f>
        <v>0</v>
      </c>
      <c r="Y43" s="582">
        <f>S43</f>
        <v>0</v>
      </c>
      <c r="Z43" s="530"/>
      <c r="AA43" s="530"/>
      <c r="AB43" s="530"/>
      <c r="AC43" s="562">
        <f>Y43+Z43-AA43+SUM(AB43:AB43)</f>
        <v>0</v>
      </c>
      <c r="AD43" s="562">
        <f>X43</f>
        <v>0</v>
      </c>
      <c r="AE43" s="530"/>
      <c r="AF43" s="530"/>
      <c r="AG43" s="522"/>
      <c r="AH43" s="563">
        <f>AD43+AE43-AF43+AG43</f>
        <v>0</v>
      </c>
      <c r="AI43" s="564">
        <f>AC43</f>
        <v>0</v>
      </c>
      <c r="AJ43" s="530"/>
      <c r="AK43" s="530"/>
      <c r="AL43" s="590">
        <v>7484.66</v>
      </c>
      <c r="AM43" s="562">
        <f>AI43+AJ43-AK43+SUM(AL43:AL43)</f>
        <v>7484.66</v>
      </c>
      <c r="AN43" s="562">
        <f>AH43</f>
        <v>0</v>
      </c>
      <c r="AO43" s="530"/>
      <c r="AP43" s="530"/>
      <c r="AQ43" s="590">
        <v>-317.14999999999998</v>
      </c>
      <c r="AR43" s="563">
        <f>AN43+AO43-AP43+AQ43</f>
        <v>-317.14999999999998</v>
      </c>
      <c r="AS43" s="564">
        <f>AM43</f>
        <v>7484.66</v>
      </c>
      <c r="AT43" s="530">
        <v>25258.989999999998</v>
      </c>
      <c r="AU43" s="530"/>
      <c r="AV43" s="530"/>
      <c r="AW43" s="562">
        <f>AS43+AT43-AU43+SUM(AV43:AV43)</f>
        <v>32743.649999999998</v>
      </c>
      <c r="AX43" s="562">
        <f>AR43</f>
        <v>-317.14999999999998</v>
      </c>
      <c r="AY43" s="523">
        <v>168.11999999999998</v>
      </c>
      <c r="AZ43" s="530"/>
      <c r="BA43" s="530"/>
      <c r="BB43" s="562">
        <f>AX43+AY43-AZ43+BA43</f>
        <v>-149.03</v>
      </c>
      <c r="BC43" s="564">
        <f>AW43</f>
        <v>32743.649999999998</v>
      </c>
      <c r="BD43" s="523">
        <f>65072.91+8130.03</f>
        <v>73202.94</v>
      </c>
      <c r="BE43" s="523">
        <v>24124</v>
      </c>
      <c r="BF43" s="772">
        <v>-6016.88</v>
      </c>
      <c r="BG43" s="562">
        <f>BC43+BD43-BE43+SUM(BF43:BF43)</f>
        <v>75805.709999999992</v>
      </c>
      <c r="BH43" s="562">
        <f>BB43</f>
        <v>-149.03</v>
      </c>
      <c r="BI43" s="772">
        <f>281.54+668.39</f>
        <v>949.93000000000006</v>
      </c>
      <c r="BJ43" s="530">
        <v>578</v>
      </c>
      <c r="BK43" s="530">
        <v>1567.6</v>
      </c>
      <c r="BL43" s="565">
        <f>BH43+BI43-BJ43+BK43</f>
        <v>1790.5</v>
      </c>
      <c r="BM43" s="772">
        <v>31015.38</v>
      </c>
      <c r="BN43" s="772">
        <v>1027.19</v>
      </c>
      <c r="BO43" s="456">
        <f>BG43-BM43</f>
        <v>44790.329999999987</v>
      </c>
      <c r="BP43" s="484">
        <f>BL43-BN43</f>
        <v>763.31</v>
      </c>
      <c r="BQ43" s="772">
        <f>ROUND(BO43*(0.015/12*3+0.0189/12*6+0.0217/12*3),2)</f>
        <v>834.22</v>
      </c>
      <c r="BR43" s="772">
        <f>ROUND(BO43*0.0217/12*4,2)</f>
        <v>323.98</v>
      </c>
      <c r="BS43" s="448">
        <f>BP43+BQ43+BR43</f>
        <v>1921.51</v>
      </c>
      <c r="BT43" s="632">
        <f>SUM(BO43:BR43)</f>
        <v>46711.839999999989</v>
      </c>
      <c r="BU43" s="493">
        <v>82045.490000000005</v>
      </c>
      <c r="BV43" s="454">
        <f>BU43-SUM(BG43,BL43)</f>
        <v>4449.2800000000134</v>
      </c>
      <c r="BW43" s="528"/>
      <c r="BX43" s="528"/>
      <c r="BY43" s="528"/>
      <c r="BZ43" s="528"/>
      <c r="CA43" s="528"/>
    </row>
    <row r="44" spans="1:79" s="419" customFormat="1" x14ac:dyDescent="0.25">
      <c r="A44" s="22"/>
      <c r="B44" s="22"/>
      <c r="C44" s="472"/>
      <c r="D44" s="473"/>
      <c r="E44" s="571"/>
      <c r="F44" s="571"/>
      <c r="G44" s="571"/>
      <c r="H44" s="571"/>
      <c r="I44" s="571"/>
      <c r="J44" s="571"/>
      <c r="K44" s="571"/>
      <c r="L44" s="571"/>
      <c r="M44" s="571"/>
      <c r="N44" s="583"/>
      <c r="O44" s="573"/>
      <c r="P44" s="574"/>
      <c r="Q44" s="574"/>
      <c r="R44" s="574"/>
      <c r="S44" s="574"/>
      <c r="T44" s="574"/>
      <c r="U44" s="574"/>
      <c r="V44" s="574"/>
      <c r="W44" s="574"/>
      <c r="X44" s="567"/>
      <c r="Y44" s="574"/>
      <c r="Z44" s="574"/>
      <c r="AA44" s="574"/>
      <c r="AB44" s="574"/>
      <c r="AC44" s="574"/>
      <c r="AD44" s="574"/>
      <c r="AE44" s="574"/>
      <c r="AF44" s="574"/>
      <c r="AG44" s="574"/>
      <c r="AH44" s="567"/>
      <c r="AI44" s="574"/>
      <c r="AJ44" s="574"/>
      <c r="AK44" s="574"/>
      <c r="AL44" s="574"/>
      <c r="AM44" s="574"/>
      <c r="AN44" s="574"/>
      <c r="AO44" s="574"/>
      <c r="AP44" s="574"/>
      <c r="AQ44" s="574"/>
      <c r="AR44" s="574"/>
      <c r="AS44" s="570"/>
      <c r="AT44" s="574"/>
      <c r="AU44" s="574"/>
      <c r="AV44" s="574"/>
      <c r="AW44" s="574"/>
      <c r="AX44" s="574"/>
      <c r="AY44" s="574"/>
      <c r="AZ44" s="574"/>
      <c r="BA44" s="574"/>
      <c r="BB44" s="574"/>
      <c r="BC44" s="577"/>
      <c r="BD44" s="566"/>
      <c r="BE44" s="566"/>
      <c r="BF44" s="566"/>
      <c r="BG44" s="566"/>
      <c r="BH44" s="566"/>
      <c r="BI44" s="566"/>
      <c r="BJ44" s="566"/>
      <c r="BK44" s="566"/>
      <c r="BL44" s="567"/>
      <c r="BM44" s="578"/>
      <c r="BN44" s="579"/>
      <c r="BO44" s="482"/>
      <c r="BP44" s="482"/>
      <c r="BQ44" s="578"/>
      <c r="BR44" s="579"/>
      <c r="BS44" s="482"/>
      <c r="BT44" s="632"/>
      <c r="BU44" s="492"/>
      <c r="BV44" s="447"/>
      <c r="BW44" s="528"/>
      <c r="BX44" s="528"/>
      <c r="BY44" s="528"/>
      <c r="BZ44" s="528"/>
      <c r="CA44" s="528"/>
    </row>
    <row r="45" spans="1:79" s="422" customFormat="1" ht="15.75" thickBot="1" x14ac:dyDescent="0.3">
      <c r="A45" s="421"/>
      <c r="B45" s="421"/>
      <c r="C45" s="474" t="s">
        <v>1843</v>
      </c>
      <c r="D45" s="475"/>
      <c r="E45" s="449">
        <f>SUM(E41,E43)</f>
        <v>0</v>
      </c>
      <c r="F45" s="449">
        <f t="shared" ref="F45:BQ45" si="37">SUM(F41,F43)</f>
        <v>-429339</v>
      </c>
      <c r="G45" s="449">
        <f t="shared" si="37"/>
        <v>-252524</v>
      </c>
      <c r="H45" s="449">
        <f t="shared" si="37"/>
        <v>0</v>
      </c>
      <c r="I45" s="449">
        <f t="shared" si="37"/>
        <v>-176815</v>
      </c>
      <c r="J45" s="449">
        <f t="shared" si="37"/>
        <v>0</v>
      </c>
      <c r="K45" s="449">
        <f t="shared" si="37"/>
        <v>-861</v>
      </c>
      <c r="L45" s="449">
        <f t="shared" si="37"/>
        <v>477</v>
      </c>
      <c r="M45" s="449">
        <f t="shared" si="37"/>
        <v>0</v>
      </c>
      <c r="N45" s="450">
        <f t="shared" si="37"/>
        <v>-1338</v>
      </c>
      <c r="O45" s="453">
        <f t="shared" si="37"/>
        <v>-176815</v>
      </c>
      <c r="P45" s="449">
        <f t="shared" si="37"/>
        <v>160724.73000000001</v>
      </c>
      <c r="Q45" s="449">
        <f t="shared" si="37"/>
        <v>-15542.58</v>
      </c>
      <c r="R45" s="449">
        <f t="shared" si="37"/>
        <v>0</v>
      </c>
      <c r="S45" s="449">
        <f t="shared" si="37"/>
        <v>-547.6899999999896</v>
      </c>
      <c r="T45" s="449">
        <f t="shared" si="37"/>
        <v>-1338</v>
      </c>
      <c r="U45" s="449">
        <f t="shared" si="37"/>
        <v>-984.6</v>
      </c>
      <c r="V45" s="449">
        <f t="shared" si="37"/>
        <v>0</v>
      </c>
      <c r="W45" s="449">
        <f t="shared" si="37"/>
        <v>0</v>
      </c>
      <c r="X45" s="449">
        <f t="shared" si="37"/>
        <v>-2322.6</v>
      </c>
      <c r="Y45" s="453">
        <f t="shared" si="37"/>
        <v>-547.6899999999896</v>
      </c>
      <c r="Z45" s="449">
        <f t="shared" si="37"/>
        <v>217501.17999999996</v>
      </c>
      <c r="AA45" s="449">
        <f t="shared" si="37"/>
        <v>267430</v>
      </c>
      <c r="AB45" s="449">
        <f t="shared" si="37"/>
        <v>0</v>
      </c>
      <c r="AC45" s="449">
        <f t="shared" si="37"/>
        <v>-50476.510000000024</v>
      </c>
      <c r="AD45" s="449">
        <f t="shared" si="37"/>
        <v>-2322.6</v>
      </c>
      <c r="AE45" s="449">
        <f t="shared" si="37"/>
        <v>-1949.4</v>
      </c>
      <c r="AF45" s="449">
        <f t="shared" si="37"/>
        <v>66545</v>
      </c>
      <c r="AG45" s="449">
        <f t="shared" si="37"/>
        <v>0</v>
      </c>
      <c r="AH45" s="449">
        <f t="shared" si="37"/>
        <v>-70817</v>
      </c>
      <c r="AI45" s="453">
        <f t="shared" si="37"/>
        <v>-50476.510000000024</v>
      </c>
      <c r="AJ45" s="449">
        <f t="shared" si="37"/>
        <v>-154405.19999999998</v>
      </c>
      <c r="AK45" s="449">
        <f t="shared" si="37"/>
        <v>-649573</v>
      </c>
      <c r="AL45" s="449">
        <f t="shared" si="37"/>
        <v>-241301.00999999986</v>
      </c>
      <c r="AM45" s="449">
        <f t="shared" si="37"/>
        <v>203390.28000000014</v>
      </c>
      <c r="AN45" s="449">
        <f t="shared" si="37"/>
        <v>-70817</v>
      </c>
      <c r="AO45" s="449">
        <f t="shared" si="37"/>
        <v>3679.35</v>
      </c>
      <c r="AP45" s="449">
        <f t="shared" si="37"/>
        <v>-11684</v>
      </c>
      <c r="AQ45" s="449">
        <f t="shared" si="37"/>
        <v>63516.736333333334</v>
      </c>
      <c r="AR45" s="449">
        <f t="shared" si="37"/>
        <v>8063.0863333333346</v>
      </c>
      <c r="AS45" s="453">
        <f t="shared" si="37"/>
        <v>203390.28000000014</v>
      </c>
      <c r="AT45" s="449">
        <f t="shared" si="37"/>
        <v>-458138.99782974692</v>
      </c>
      <c r="AU45" s="449">
        <f t="shared" si="37"/>
        <v>0</v>
      </c>
      <c r="AV45" s="449">
        <f t="shared" si="37"/>
        <v>0</v>
      </c>
      <c r="AW45" s="449">
        <f t="shared" si="37"/>
        <v>-254748.71782974675</v>
      </c>
      <c r="AX45" s="449">
        <f t="shared" si="37"/>
        <v>8063.0863333333346</v>
      </c>
      <c r="AY45" s="449">
        <f t="shared" si="37"/>
        <v>-391.29413499999998</v>
      </c>
      <c r="AZ45" s="449">
        <f t="shared" si="37"/>
        <v>0</v>
      </c>
      <c r="BA45" s="449">
        <f t="shared" si="37"/>
        <v>-291.78999999999996</v>
      </c>
      <c r="BB45" s="449">
        <f t="shared" si="37"/>
        <v>7380.0021983333309</v>
      </c>
      <c r="BC45" s="479">
        <f t="shared" si="37"/>
        <v>-254748.71782974675</v>
      </c>
      <c r="BD45" s="480">
        <f t="shared" si="37"/>
        <v>-67278.892881923821</v>
      </c>
      <c r="BE45" s="480">
        <f t="shared" si="37"/>
        <v>-5062.140000000014</v>
      </c>
      <c r="BF45" s="480">
        <f t="shared" si="37"/>
        <v>-6016.88</v>
      </c>
      <c r="BG45" s="480">
        <f t="shared" si="37"/>
        <v>-322982.3507116707</v>
      </c>
      <c r="BH45" s="480">
        <f t="shared" si="37"/>
        <v>7380.0021983333309</v>
      </c>
      <c r="BI45" s="480">
        <f t="shared" si="37"/>
        <v>-3612.3899999999994</v>
      </c>
      <c r="BJ45" s="480">
        <f t="shared" si="37"/>
        <v>-2053.2800000000002</v>
      </c>
      <c r="BK45" s="480">
        <f t="shared" si="37"/>
        <v>481.30999999999995</v>
      </c>
      <c r="BL45" s="481">
        <f t="shared" si="37"/>
        <v>6302.2021983333361</v>
      </c>
      <c r="BM45" s="480">
        <f t="shared" si="37"/>
        <v>-144417.07</v>
      </c>
      <c r="BN45" s="480">
        <f t="shared" si="37"/>
        <v>-4915.1921999999995</v>
      </c>
      <c r="BO45" s="480">
        <f t="shared" si="37"/>
        <v>-178565.28071167076</v>
      </c>
      <c r="BP45" s="480">
        <f t="shared" si="37"/>
        <v>11217.394398333336</v>
      </c>
      <c r="BQ45" s="479">
        <f t="shared" si="37"/>
        <v>-3325.7799999999997</v>
      </c>
      <c r="BR45" s="480">
        <f>SUM(BR41,BR43)</f>
        <v>-1291.6300000000001</v>
      </c>
      <c r="BS45" s="489">
        <f>SUM(BS41,BS43)</f>
        <v>6599.9843983333394</v>
      </c>
      <c r="BT45" s="489">
        <f>SUM(BT41,BT43)</f>
        <v>-53970.586313337386</v>
      </c>
      <c r="BU45" s="494">
        <f>SUM(BU41,BU43)</f>
        <v>-312231.18</v>
      </c>
      <c r="BV45" s="483">
        <f>SUM(BV41,BV43)</f>
        <v>4448.9685133374587</v>
      </c>
    </row>
    <row r="46" spans="1:79" s="417" customFormat="1" x14ac:dyDescent="0.25">
      <c r="A46" s="113"/>
      <c r="B46" s="113"/>
      <c r="C46" s="423"/>
      <c r="D46" s="420"/>
      <c r="E46" s="560"/>
      <c r="F46" s="560"/>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c r="BD46" s="560"/>
      <c r="BE46" s="560"/>
      <c r="BF46" s="560"/>
      <c r="BG46" s="560"/>
      <c r="BH46" s="560"/>
      <c r="BI46" s="560"/>
      <c r="BJ46" s="560"/>
      <c r="BK46" s="560"/>
      <c r="BL46" s="560"/>
      <c r="BM46" s="560"/>
      <c r="BN46" s="560"/>
      <c r="BO46" s="560"/>
      <c r="BP46" s="560"/>
      <c r="BQ46" s="520"/>
      <c r="BR46" s="520"/>
      <c r="BS46" s="520"/>
      <c r="BT46" s="520"/>
      <c r="BU46" s="520"/>
      <c r="BV46" s="520"/>
      <c r="BW46" s="520"/>
      <c r="BX46" s="520"/>
      <c r="BY46" s="520"/>
      <c r="BZ46" s="520"/>
      <c r="CA46" s="520"/>
    </row>
    <row r="47" spans="1:79" s="22" customFormat="1" x14ac:dyDescent="0.25">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6"/>
      <c r="AN47" s="556"/>
      <c r="AO47" s="556"/>
      <c r="AP47" s="556"/>
      <c r="AQ47" s="556"/>
      <c r="AR47" s="556"/>
      <c r="AS47" s="556"/>
      <c r="AT47" s="556"/>
      <c r="AU47" s="556"/>
      <c r="AV47" s="556"/>
      <c r="AW47" s="556"/>
      <c r="AX47" s="556"/>
      <c r="AY47" s="556"/>
      <c r="AZ47" s="556"/>
      <c r="BA47" s="556"/>
      <c r="BB47" s="556"/>
      <c r="BC47" s="556"/>
      <c r="BD47" s="556"/>
      <c r="BE47" s="556"/>
      <c r="BF47" s="556"/>
      <c r="BG47" s="556"/>
      <c r="BH47" s="556"/>
      <c r="BI47" s="556"/>
      <c r="BJ47" s="556"/>
      <c r="BK47" s="556"/>
      <c r="BL47" s="556"/>
      <c r="BM47" s="556"/>
      <c r="BN47" s="556"/>
      <c r="BO47" s="556"/>
      <c r="BP47" s="556"/>
      <c r="BQ47" s="556"/>
      <c r="BR47" s="556"/>
      <c r="BS47" s="556"/>
      <c r="BT47" s="556"/>
      <c r="BU47" s="556"/>
      <c r="BV47" s="556"/>
      <c r="BW47" s="25"/>
      <c r="BX47" s="25"/>
      <c r="BY47" s="25"/>
      <c r="BZ47" s="25"/>
      <c r="CA47" s="25"/>
    </row>
    <row r="48" spans="1:79" s="22" customFormat="1" x14ac:dyDescent="0.25">
      <c r="B48" s="5"/>
      <c r="C48" s="1716" t="s">
        <v>2202</v>
      </c>
      <c r="D48" s="171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556"/>
      <c r="AO48" s="556"/>
      <c r="AP48" s="556"/>
      <c r="AQ48" s="556"/>
      <c r="AR48" s="556"/>
      <c r="AS48" s="556"/>
      <c r="AT48" s="556"/>
      <c r="AU48" s="556"/>
      <c r="AV48" s="556"/>
      <c r="AW48" s="556"/>
      <c r="AX48" s="556"/>
      <c r="AY48" s="556"/>
      <c r="AZ48" s="556"/>
      <c r="BA48" s="556"/>
      <c r="BB48" s="556"/>
      <c r="BC48" s="556"/>
      <c r="BD48" s="556"/>
      <c r="BE48" s="556"/>
      <c r="BF48" s="556"/>
      <c r="BG48" s="556"/>
      <c r="BH48" s="556"/>
      <c r="BI48" s="556"/>
      <c r="BJ48" s="556"/>
      <c r="BK48" s="556"/>
      <c r="BL48" s="556"/>
      <c r="BM48" s="556"/>
      <c r="BN48" s="556"/>
      <c r="BO48" s="556"/>
      <c r="BP48" s="556"/>
      <c r="BQ48" s="556"/>
      <c r="BR48" s="556"/>
      <c r="BS48" s="556"/>
      <c r="BT48" s="556"/>
      <c r="BU48" s="556"/>
      <c r="BV48" s="556"/>
      <c r="BW48" s="25"/>
      <c r="BX48" s="25"/>
      <c r="BY48" s="25"/>
      <c r="BZ48" s="25"/>
      <c r="CA48" s="25"/>
    </row>
    <row r="49" spans="2:79" s="22" customFormat="1" ht="31.5" customHeight="1" x14ac:dyDescent="0.25">
      <c r="B49" s="424"/>
      <c r="C49" s="1716"/>
      <c r="D49" s="1716"/>
      <c r="E49" s="584"/>
      <c r="F49" s="584"/>
      <c r="G49" s="584"/>
      <c r="H49" s="584"/>
      <c r="I49" s="584"/>
      <c r="J49" s="556"/>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6"/>
      <c r="AO49" s="556"/>
      <c r="AP49" s="556"/>
      <c r="AQ49" s="556"/>
      <c r="AR49" s="556"/>
      <c r="AS49" s="556"/>
      <c r="AT49" s="556"/>
      <c r="AU49" s="556"/>
      <c r="AV49" s="556"/>
      <c r="AW49" s="556"/>
      <c r="AX49" s="556"/>
      <c r="AY49" s="556"/>
      <c r="AZ49" s="556"/>
      <c r="BA49" s="556"/>
      <c r="BB49" s="556"/>
      <c r="BC49" s="556"/>
      <c r="BD49" s="556"/>
      <c r="BE49" s="556"/>
      <c r="BF49" s="556"/>
      <c r="BG49" s="556"/>
      <c r="BH49" s="556"/>
      <c r="BI49" s="556"/>
      <c r="BJ49" s="556"/>
      <c r="BK49" s="556"/>
      <c r="BL49" s="556"/>
      <c r="BM49" s="556"/>
      <c r="BN49" s="556"/>
      <c r="BO49" s="556"/>
      <c r="BP49" s="556"/>
      <c r="BQ49" s="556"/>
      <c r="BR49" s="556"/>
      <c r="BS49" s="556"/>
      <c r="BT49" s="556"/>
      <c r="BU49" s="556"/>
      <c r="BV49" s="556"/>
      <c r="BW49" s="25"/>
      <c r="BX49" s="25"/>
      <c r="BY49" s="25"/>
      <c r="BZ49" s="25"/>
      <c r="CA49" s="25"/>
    </row>
    <row r="50" spans="2:79" s="22" customFormat="1" ht="17.25" x14ac:dyDescent="0.25">
      <c r="B50" s="425"/>
      <c r="C50" s="426"/>
      <c r="D50" s="6"/>
      <c r="E50" s="584"/>
      <c r="F50" s="584"/>
      <c r="G50" s="584"/>
      <c r="H50" s="584"/>
      <c r="I50" s="584"/>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O50" s="556"/>
      <c r="AP50" s="556"/>
      <c r="AQ50" s="556"/>
      <c r="AR50" s="556"/>
      <c r="AS50" s="556"/>
      <c r="AT50" s="556"/>
      <c r="AU50" s="556"/>
      <c r="AV50" s="556"/>
      <c r="AW50" s="556"/>
      <c r="AX50" s="556"/>
      <c r="AY50" s="556"/>
      <c r="AZ50" s="556"/>
      <c r="BA50" s="556"/>
      <c r="BB50" s="556"/>
      <c r="BC50" s="556"/>
      <c r="BD50" s="556"/>
      <c r="BE50" s="556"/>
      <c r="BF50" s="556"/>
      <c r="BG50" s="556"/>
      <c r="BH50" s="556"/>
      <c r="BI50" s="556"/>
      <c r="BJ50" s="556"/>
      <c r="BK50" s="556"/>
      <c r="BL50" s="556"/>
      <c r="BM50" s="556"/>
      <c r="BN50" s="556"/>
      <c r="BO50" s="556"/>
      <c r="BP50" s="556"/>
      <c r="BQ50" s="556"/>
      <c r="BR50" s="556"/>
      <c r="BS50" s="556"/>
      <c r="BT50" s="556"/>
      <c r="BU50" s="556"/>
      <c r="BV50" s="556"/>
      <c r="BW50" s="25"/>
      <c r="BX50" s="25"/>
      <c r="BY50" s="25"/>
      <c r="BZ50" s="25"/>
      <c r="CA50" s="25"/>
    </row>
    <row r="51" spans="2:79" s="22" customFormat="1" ht="26.25" customHeight="1" x14ac:dyDescent="0.25">
      <c r="B51" s="427">
        <v>1</v>
      </c>
      <c r="C51" s="428" t="s">
        <v>2203</v>
      </c>
      <c r="D51" s="6"/>
      <c r="E51" s="585"/>
      <c r="F51" s="585"/>
      <c r="G51" s="585"/>
      <c r="H51" s="585"/>
      <c r="I51" s="585"/>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O51" s="556"/>
      <c r="AP51" s="556"/>
      <c r="AQ51" s="556"/>
      <c r="AR51" s="556"/>
      <c r="AS51" s="556"/>
      <c r="AT51" s="556"/>
      <c r="AU51" s="556"/>
      <c r="AV51" s="556"/>
      <c r="AW51" s="556"/>
      <c r="AX51" s="556"/>
      <c r="AY51" s="556"/>
      <c r="AZ51" s="556"/>
      <c r="BA51" s="556"/>
      <c r="BB51" s="556"/>
      <c r="BC51" s="556"/>
      <c r="BD51" s="556"/>
      <c r="BE51" s="556"/>
      <c r="BF51" s="556"/>
      <c r="BG51" s="556"/>
      <c r="BH51" s="556"/>
      <c r="BI51" s="556"/>
      <c r="BJ51" s="556"/>
      <c r="BK51" s="556"/>
      <c r="BL51" s="556"/>
      <c r="BM51" s="556"/>
      <c r="BN51" s="556"/>
      <c r="BO51" s="556"/>
      <c r="BP51" s="556"/>
      <c r="BQ51" s="556"/>
      <c r="BR51" s="556"/>
      <c r="BS51" s="556"/>
      <c r="BT51" s="556"/>
      <c r="BU51" s="556"/>
      <c r="BV51" s="556"/>
      <c r="BW51" s="25"/>
      <c r="BX51" s="25"/>
      <c r="BY51" s="25"/>
      <c r="BZ51" s="25"/>
      <c r="CA51" s="25"/>
    </row>
    <row r="52" spans="2:79" s="22" customFormat="1" ht="64.5" customHeight="1" x14ac:dyDescent="0.25">
      <c r="B52" s="427">
        <v>2</v>
      </c>
      <c r="C52" s="428" t="s">
        <v>6064</v>
      </c>
      <c r="D52" s="429"/>
      <c r="E52" s="584"/>
      <c r="F52" s="584"/>
      <c r="G52" s="584"/>
      <c r="H52" s="584"/>
      <c r="I52" s="584"/>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6"/>
      <c r="BW52" s="25"/>
      <c r="BX52" s="25"/>
      <c r="BY52" s="25"/>
      <c r="BZ52" s="25"/>
      <c r="CA52" s="25"/>
    </row>
    <row r="53" spans="2:79" s="22" customFormat="1" ht="112.5" customHeight="1" x14ac:dyDescent="0.25">
      <c r="B53" s="427">
        <v>3</v>
      </c>
      <c r="C53" s="428" t="s">
        <v>3018</v>
      </c>
      <c r="D53" s="429"/>
      <c r="E53" s="586"/>
      <c r="F53" s="586"/>
      <c r="G53" s="586"/>
      <c r="H53" s="586"/>
      <c r="I53" s="58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O53" s="556"/>
      <c r="AP53" s="556"/>
      <c r="AQ53" s="556"/>
      <c r="AR53" s="556"/>
      <c r="AS53" s="556"/>
      <c r="AT53" s="556"/>
      <c r="AU53" s="556"/>
      <c r="AV53" s="556"/>
      <c r="AW53" s="556"/>
      <c r="AX53" s="556"/>
      <c r="AY53" s="556"/>
      <c r="AZ53" s="556"/>
      <c r="BA53" s="556"/>
      <c r="BB53" s="556"/>
      <c r="BC53" s="556"/>
      <c r="BD53" s="556"/>
      <c r="BE53" s="556"/>
      <c r="BF53" s="556"/>
      <c r="BG53" s="556"/>
      <c r="BH53" s="556"/>
      <c r="BI53" s="556"/>
      <c r="BJ53" s="556"/>
      <c r="BK53" s="556"/>
      <c r="BL53" s="556"/>
      <c r="BM53" s="556"/>
      <c r="BN53" s="556"/>
      <c r="BO53" s="556"/>
      <c r="BP53" s="556"/>
      <c r="BQ53" s="556"/>
      <c r="BR53" s="556"/>
      <c r="BS53" s="556"/>
      <c r="BT53" s="556"/>
      <c r="BU53" s="556"/>
      <c r="BV53" s="556"/>
      <c r="BW53" s="25"/>
      <c r="BX53" s="25"/>
      <c r="BY53" s="25"/>
      <c r="BZ53" s="25"/>
      <c r="CA53" s="25"/>
    </row>
    <row r="54" spans="2:79" ht="156" customHeight="1" x14ac:dyDescent="0.25">
      <c r="B54" s="763">
        <v>4</v>
      </c>
      <c r="C54" s="764" t="s">
        <v>6065</v>
      </c>
      <c r="E54" s="586"/>
      <c r="F54" s="586"/>
      <c r="G54" s="586"/>
      <c r="H54" s="586"/>
      <c r="I54" s="586"/>
      <c r="J54" s="556"/>
      <c r="K54" s="556"/>
      <c r="L54" s="556"/>
      <c r="M54" s="556"/>
      <c r="N54" s="556"/>
      <c r="O54" s="556"/>
      <c r="P54" s="556"/>
      <c r="Q54" s="556"/>
      <c r="R54" s="556"/>
      <c r="S54" s="556"/>
      <c r="T54" s="556"/>
      <c r="U54" s="556"/>
      <c r="V54" s="556"/>
      <c r="W54" s="556"/>
      <c r="X54" s="556"/>
      <c r="Y54" s="556"/>
      <c r="Z54" s="556"/>
      <c r="AA54" s="556"/>
      <c r="AB54" s="556"/>
      <c r="AC54" s="556"/>
      <c r="AD54" s="556"/>
      <c r="AE54" s="556"/>
      <c r="AF54" s="556"/>
      <c r="AG54" s="556"/>
      <c r="AH54" s="556"/>
      <c r="AI54" s="556"/>
      <c r="AJ54" s="556"/>
      <c r="AK54" s="556"/>
      <c r="AL54" s="556"/>
      <c r="AM54" s="556"/>
      <c r="AN54" s="556"/>
      <c r="AO54" s="556"/>
      <c r="AP54" s="556"/>
      <c r="AQ54" s="556"/>
      <c r="AR54" s="556"/>
      <c r="AS54" s="556"/>
      <c r="AT54" s="556"/>
      <c r="AU54" s="556"/>
      <c r="AV54" s="556"/>
      <c r="AW54" s="556"/>
      <c r="AX54" s="556"/>
      <c r="AY54" s="556"/>
      <c r="AZ54" s="556"/>
      <c r="BA54" s="556"/>
      <c r="BB54" s="556"/>
      <c r="BC54" s="556"/>
      <c r="BD54" s="556"/>
      <c r="BE54" s="556"/>
      <c r="BF54" s="556"/>
      <c r="BG54" s="556"/>
      <c r="BH54" s="556"/>
      <c r="BI54" s="556"/>
      <c r="BJ54" s="556"/>
      <c r="BK54" s="556"/>
      <c r="BL54" s="556"/>
      <c r="BM54" s="556"/>
      <c r="BN54" s="556"/>
      <c r="BO54" s="556"/>
      <c r="BP54" s="556"/>
      <c r="BQ54" s="556"/>
      <c r="BR54" s="556"/>
      <c r="BS54" s="556"/>
      <c r="BT54" s="556"/>
      <c r="BU54" s="556"/>
      <c r="BV54" s="556"/>
      <c r="BW54" s="289"/>
      <c r="BX54" s="289"/>
      <c r="BY54" s="289"/>
      <c r="BZ54" s="289"/>
      <c r="CA54" s="289"/>
    </row>
    <row r="55" spans="2:79" ht="60" x14ac:dyDescent="0.25">
      <c r="B55" s="763">
        <v>5</v>
      </c>
      <c r="C55" s="764" t="s">
        <v>6066</v>
      </c>
      <c r="E55" s="586"/>
      <c r="F55" s="586"/>
      <c r="G55" s="586"/>
      <c r="H55" s="586"/>
      <c r="I55" s="586"/>
      <c r="J55" s="556"/>
      <c r="K55" s="556"/>
      <c r="L55" s="556"/>
      <c r="M55" s="556"/>
      <c r="N55" s="556"/>
      <c r="O55" s="556"/>
      <c r="P55" s="556"/>
      <c r="Q55" s="556"/>
      <c r="R55" s="556"/>
      <c r="S55" s="556"/>
      <c r="T55" s="556"/>
      <c r="U55" s="556"/>
      <c r="V55" s="556"/>
      <c r="W55" s="556"/>
      <c r="X55" s="556"/>
      <c r="Y55" s="556"/>
      <c r="Z55" s="556"/>
      <c r="AA55" s="556"/>
      <c r="AB55" s="556"/>
      <c r="AC55" s="556"/>
      <c r="AD55" s="556"/>
      <c r="AE55" s="556"/>
      <c r="AF55" s="556"/>
      <c r="AG55" s="556"/>
      <c r="AH55" s="556"/>
      <c r="AI55" s="556"/>
      <c r="AJ55" s="556"/>
      <c r="AK55" s="556"/>
      <c r="AL55" s="556"/>
      <c r="AM55" s="556"/>
      <c r="AN55" s="556"/>
      <c r="AO55" s="556"/>
      <c r="AP55" s="556"/>
      <c r="AQ55" s="556"/>
      <c r="AR55" s="556"/>
      <c r="AS55" s="556"/>
      <c r="AT55" s="556"/>
      <c r="AU55" s="556"/>
      <c r="AV55" s="556"/>
      <c r="AW55" s="556"/>
      <c r="AX55" s="556"/>
      <c r="AY55" s="556"/>
      <c r="AZ55" s="556"/>
      <c r="BA55" s="556"/>
      <c r="BB55" s="556"/>
      <c r="BC55" s="556"/>
      <c r="BD55" s="556"/>
      <c r="BE55" s="556"/>
      <c r="BF55" s="556"/>
      <c r="BG55" s="556"/>
      <c r="BH55" s="556"/>
      <c r="BI55" s="556"/>
      <c r="BJ55" s="556"/>
      <c r="BK55" s="556"/>
      <c r="BL55" s="556"/>
      <c r="BM55" s="556"/>
      <c r="BN55" s="556"/>
      <c r="BO55" s="556"/>
      <c r="BP55" s="556"/>
      <c r="BQ55" s="556"/>
      <c r="BR55" s="556"/>
      <c r="BS55" s="556"/>
      <c r="BT55" s="556"/>
      <c r="BU55" s="556"/>
      <c r="BV55" s="556"/>
      <c r="BW55" s="289"/>
      <c r="BX55" s="289"/>
      <c r="BY55" s="289"/>
      <c r="BZ55" s="289"/>
      <c r="CA55" s="289"/>
    </row>
    <row r="56" spans="2:79" x14ac:dyDescent="0.25">
      <c r="E56" s="586"/>
      <c r="F56" s="586"/>
      <c r="G56" s="586"/>
      <c r="H56" s="586"/>
      <c r="I56" s="58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556"/>
      <c r="AP56" s="556"/>
      <c r="AQ56" s="556"/>
      <c r="AR56" s="556"/>
      <c r="AS56" s="556"/>
      <c r="AT56" s="556"/>
      <c r="AU56" s="556"/>
      <c r="AV56" s="556"/>
      <c r="AW56" s="556"/>
      <c r="AX56" s="556"/>
      <c r="AY56" s="556"/>
      <c r="AZ56" s="556"/>
      <c r="BA56" s="556"/>
      <c r="BB56" s="556"/>
      <c r="BC56" s="556"/>
      <c r="BD56" s="556"/>
      <c r="BE56" s="556"/>
      <c r="BF56" s="556"/>
      <c r="BG56" s="556"/>
      <c r="BH56" s="556"/>
      <c r="BI56" s="556"/>
      <c r="BJ56" s="556"/>
      <c r="BK56" s="556"/>
      <c r="BL56" s="556"/>
      <c r="BM56" s="556"/>
      <c r="BN56" s="556"/>
      <c r="BO56" s="556"/>
      <c r="BP56" s="556"/>
      <c r="BQ56" s="556"/>
      <c r="BR56" s="556"/>
      <c r="BS56" s="556"/>
      <c r="BT56" s="556"/>
      <c r="BU56" s="556"/>
      <c r="BV56" s="556"/>
      <c r="BW56" s="289"/>
      <c r="BX56" s="289"/>
      <c r="BY56" s="289"/>
      <c r="BZ56" s="289"/>
      <c r="CA56" s="289"/>
    </row>
    <row r="57" spans="2:79" x14ac:dyDescent="0.25">
      <c r="E57" s="586"/>
      <c r="F57" s="586"/>
      <c r="G57" s="586"/>
      <c r="H57" s="586"/>
      <c r="I57" s="586"/>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556"/>
      <c r="AJ57" s="556"/>
      <c r="AK57" s="556"/>
      <c r="AL57" s="556"/>
      <c r="AM57" s="556"/>
      <c r="AN57" s="556"/>
      <c r="AO57" s="556"/>
      <c r="AP57" s="556"/>
      <c r="AQ57" s="556"/>
      <c r="AR57" s="556"/>
      <c r="AS57" s="556"/>
      <c r="AT57" s="556"/>
      <c r="AU57" s="556"/>
      <c r="AV57" s="556"/>
      <c r="AW57" s="556"/>
      <c r="AX57" s="556"/>
      <c r="AY57" s="556"/>
      <c r="AZ57" s="556"/>
      <c r="BA57" s="556"/>
      <c r="BB57" s="556"/>
      <c r="BC57" s="556"/>
      <c r="BD57" s="556"/>
      <c r="BE57" s="556"/>
      <c r="BF57" s="556"/>
      <c r="BG57" s="556"/>
      <c r="BH57" s="556"/>
      <c r="BI57" s="556"/>
      <c r="BJ57" s="556"/>
      <c r="BK57" s="556"/>
      <c r="BL57" s="556"/>
      <c r="BM57" s="556"/>
      <c r="BN57" s="556"/>
      <c r="BO57" s="556"/>
      <c r="BP57" s="556"/>
      <c r="BQ57" s="556"/>
      <c r="BR57" s="556"/>
      <c r="BS57" s="556"/>
      <c r="BT57" s="556"/>
      <c r="BU57" s="556"/>
      <c r="BV57" s="556"/>
      <c r="BW57" s="289"/>
      <c r="BX57" s="289"/>
      <c r="BY57" s="289"/>
      <c r="BZ57" s="289"/>
      <c r="CA57" s="289"/>
    </row>
    <row r="58" spans="2:79" x14ac:dyDescent="0.25">
      <c r="E58" s="556"/>
      <c r="F58" s="556"/>
      <c r="G58" s="556"/>
      <c r="H58" s="556"/>
      <c r="I58" s="556"/>
      <c r="J58" s="556"/>
      <c r="K58" s="556"/>
      <c r="L58" s="556"/>
      <c r="M58" s="556"/>
      <c r="N58" s="556"/>
      <c r="O58" s="556"/>
      <c r="P58" s="556"/>
      <c r="Q58" s="556"/>
      <c r="R58" s="556"/>
      <c r="S58" s="556"/>
      <c r="T58" s="556"/>
      <c r="U58" s="556"/>
      <c r="V58" s="556"/>
      <c r="W58" s="556"/>
      <c r="X58" s="556"/>
      <c r="Y58" s="556"/>
      <c r="Z58" s="556"/>
      <c r="AA58" s="556"/>
      <c r="AB58" s="556"/>
      <c r="AC58" s="556"/>
      <c r="AD58" s="556"/>
      <c r="AE58" s="556"/>
      <c r="AF58" s="556"/>
      <c r="AG58" s="556"/>
      <c r="AH58" s="556"/>
      <c r="AI58" s="556"/>
      <c r="AJ58" s="556"/>
      <c r="AK58" s="556"/>
      <c r="AL58" s="556"/>
      <c r="AM58" s="556"/>
      <c r="AN58" s="556"/>
      <c r="AO58" s="556"/>
      <c r="AP58" s="556"/>
      <c r="AQ58" s="556"/>
      <c r="AR58" s="556"/>
      <c r="AS58" s="556"/>
      <c r="AT58" s="556"/>
      <c r="AU58" s="556"/>
      <c r="AV58" s="556"/>
      <c r="AW58" s="556"/>
      <c r="AX58" s="556"/>
      <c r="AY58" s="556"/>
      <c r="AZ58" s="556"/>
      <c r="BA58" s="556"/>
      <c r="BB58" s="556"/>
      <c r="BC58" s="556"/>
      <c r="BD58" s="556"/>
      <c r="BE58" s="556"/>
      <c r="BF58" s="556"/>
      <c r="BG58" s="556"/>
      <c r="BH58" s="556"/>
      <c r="BI58" s="556"/>
      <c r="BJ58" s="556"/>
      <c r="BK58" s="556"/>
      <c r="BL58" s="556"/>
      <c r="BM58" s="556"/>
      <c r="BN58" s="556"/>
      <c r="BO58" s="556"/>
      <c r="BP58" s="556"/>
      <c r="BQ58" s="556"/>
      <c r="BR58" s="556"/>
      <c r="BS58" s="556"/>
      <c r="BT58" s="556"/>
      <c r="BU58" s="556"/>
      <c r="BV58" s="556"/>
      <c r="BW58" s="289"/>
      <c r="BX58" s="289"/>
      <c r="BY58" s="289"/>
      <c r="BZ58" s="289"/>
      <c r="CA58" s="289"/>
    </row>
    <row r="59" spans="2:79" x14ac:dyDescent="0.25">
      <c r="E59" s="556"/>
      <c r="F59" s="556"/>
      <c r="G59" s="556"/>
      <c r="H59" s="556"/>
      <c r="I59" s="556"/>
      <c r="J59" s="556"/>
      <c r="K59" s="556"/>
      <c r="L59" s="556"/>
      <c r="M59" s="556"/>
      <c r="N59" s="556"/>
      <c r="O59" s="556"/>
      <c r="P59" s="556"/>
      <c r="Q59" s="556"/>
      <c r="R59" s="556"/>
      <c r="S59" s="556"/>
      <c r="T59" s="556"/>
      <c r="U59" s="556"/>
      <c r="V59" s="556"/>
      <c r="W59" s="556"/>
      <c r="X59" s="556"/>
      <c r="Y59" s="556"/>
      <c r="Z59" s="556"/>
      <c r="AA59" s="556"/>
      <c r="AB59" s="556"/>
      <c r="AC59" s="556"/>
      <c r="AD59" s="556"/>
      <c r="AE59" s="556"/>
      <c r="AF59" s="556"/>
      <c r="AG59" s="556"/>
      <c r="AH59" s="556"/>
      <c r="AI59" s="556"/>
      <c r="AJ59" s="556"/>
      <c r="AK59" s="556"/>
      <c r="AL59" s="556"/>
      <c r="AM59" s="556"/>
      <c r="AN59" s="556"/>
      <c r="AO59" s="556"/>
      <c r="AP59" s="556"/>
      <c r="AQ59" s="556"/>
      <c r="AR59" s="556"/>
      <c r="AS59" s="556"/>
      <c r="AT59" s="556"/>
      <c r="AU59" s="556"/>
      <c r="AV59" s="556"/>
      <c r="AW59" s="556"/>
      <c r="AX59" s="556"/>
      <c r="AY59" s="556"/>
      <c r="AZ59" s="556"/>
      <c r="BA59" s="556"/>
      <c r="BB59" s="556"/>
      <c r="BC59" s="556"/>
      <c r="BD59" s="556"/>
      <c r="BE59" s="556"/>
      <c r="BF59" s="556"/>
      <c r="BG59" s="556"/>
      <c r="BH59" s="556"/>
      <c r="BI59" s="556"/>
      <c r="BJ59" s="556"/>
      <c r="BK59" s="556"/>
      <c r="BL59" s="556"/>
      <c r="BM59" s="556"/>
      <c r="BN59" s="556"/>
      <c r="BO59" s="556"/>
      <c r="BP59" s="556"/>
      <c r="BQ59" s="556"/>
      <c r="BR59" s="556"/>
      <c r="BS59" s="556"/>
      <c r="BT59" s="556"/>
      <c r="BU59" s="556"/>
      <c r="BV59" s="556"/>
      <c r="BW59" s="289"/>
      <c r="BX59" s="289"/>
      <c r="BY59" s="289"/>
      <c r="BZ59" s="289"/>
      <c r="CA59" s="289"/>
    </row>
    <row r="60" spans="2:79" x14ac:dyDescent="0.25">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6"/>
      <c r="AE60" s="556"/>
      <c r="AF60" s="556"/>
      <c r="AG60" s="556"/>
      <c r="AH60" s="556"/>
      <c r="AI60" s="556"/>
      <c r="AJ60" s="556"/>
      <c r="AK60" s="556"/>
      <c r="AL60" s="556"/>
      <c r="AM60" s="556"/>
      <c r="AN60" s="556"/>
      <c r="AO60" s="556"/>
      <c r="AP60" s="556"/>
      <c r="AQ60" s="556"/>
      <c r="AR60" s="556"/>
      <c r="AS60" s="556"/>
      <c r="AT60" s="556"/>
      <c r="AU60" s="556"/>
      <c r="AV60" s="556"/>
      <c r="AW60" s="556"/>
      <c r="AX60" s="556"/>
      <c r="AY60" s="556"/>
      <c r="AZ60" s="556"/>
      <c r="BA60" s="556"/>
      <c r="BB60" s="556"/>
      <c r="BC60" s="556"/>
      <c r="BD60" s="556"/>
      <c r="BE60" s="556"/>
      <c r="BF60" s="556"/>
      <c r="BG60" s="556"/>
      <c r="BH60" s="556"/>
      <c r="BI60" s="556"/>
      <c r="BJ60" s="556"/>
      <c r="BK60" s="556"/>
      <c r="BL60" s="556"/>
      <c r="BM60" s="556"/>
      <c r="BN60" s="556"/>
      <c r="BO60" s="556"/>
      <c r="BP60" s="556"/>
      <c r="BQ60" s="556"/>
      <c r="BR60" s="556"/>
      <c r="BS60" s="556"/>
      <c r="BT60" s="556"/>
      <c r="BU60" s="556"/>
      <c r="BV60" s="556"/>
      <c r="BW60" s="289"/>
      <c r="BX60" s="289"/>
      <c r="BY60" s="289"/>
      <c r="BZ60" s="289"/>
      <c r="CA60" s="289"/>
    </row>
  </sheetData>
  <sheetProtection algorithmName="SHA-512" hashValue="x2fAGzNbqitOE+8akTabvxNvqw3vR7SqDX35tHTHU+8Pl9bAT7e80ydE3j7siryJj+Gougw8TKgtQ3EOMItfUQ==" saltValue="P/2gI93ou53fNIgAQTl95A==" spinCount="100000" sheet="1" objects="1" scenarios="1"/>
  <mergeCells count="82">
    <mergeCell ref="O16:X16"/>
    <mergeCell ref="Y17:Y19"/>
    <mergeCell ref="Z17:Z19"/>
    <mergeCell ref="BM16:BP16"/>
    <mergeCell ref="AY17:AY19"/>
    <mergeCell ref="BP17:BP19"/>
    <mergeCell ref="AS17:AS19"/>
    <mergeCell ref="AB17:AB19"/>
    <mergeCell ref="AC17:AC19"/>
    <mergeCell ref="AD17:AD19"/>
    <mergeCell ref="AE17:AE19"/>
    <mergeCell ref="AF17:AF19"/>
    <mergeCell ref="O17:O19"/>
    <mergeCell ref="P17:P19"/>
    <mergeCell ref="Q17:Q19"/>
    <mergeCell ref="R17:R19"/>
    <mergeCell ref="C12:D15"/>
    <mergeCell ref="E16:N16"/>
    <mergeCell ref="Y16:AH16"/>
    <mergeCell ref="AI16:AR16"/>
    <mergeCell ref="AR17:AR19"/>
    <mergeCell ref="AN17:AN19"/>
    <mergeCell ref="AO17:AO19"/>
    <mergeCell ref="AP17:AP19"/>
    <mergeCell ref="AQ17:AQ19"/>
    <mergeCell ref="AG17:AG19"/>
    <mergeCell ref="AH17:AH19"/>
    <mergeCell ref="AI17:AI19"/>
    <mergeCell ref="AJ17:AJ19"/>
    <mergeCell ref="AK17:AK19"/>
    <mergeCell ref="AA17:AA19"/>
    <mergeCell ref="AM17:AM19"/>
    <mergeCell ref="BQ16:BT16"/>
    <mergeCell ref="C17:C19"/>
    <mergeCell ref="D17:D19"/>
    <mergeCell ref="E17:E19"/>
    <mergeCell ref="F17:F19"/>
    <mergeCell ref="G17:G19"/>
    <mergeCell ref="H17:H19"/>
    <mergeCell ref="I17:I19"/>
    <mergeCell ref="AS16:BB16"/>
    <mergeCell ref="J17:J19"/>
    <mergeCell ref="K17:K19"/>
    <mergeCell ref="L17:L19"/>
    <mergeCell ref="M17:M19"/>
    <mergeCell ref="N17:N19"/>
    <mergeCell ref="BC16:BL16"/>
    <mergeCell ref="AL17:AL19"/>
    <mergeCell ref="BQ17:BQ19"/>
    <mergeCell ref="BF17:BF19"/>
    <mergeCell ref="BG17:BG19"/>
    <mergeCell ref="BH17:BH19"/>
    <mergeCell ref="BI17:BI19"/>
    <mergeCell ref="BJ17:BJ19"/>
    <mergeCell ref="BK17:BK19"/>
    <mergeCell ref="C48:D49"/>
    <mergeCell ref="BL17:BL19"/>
    <mergeCell ref="BM17:BM19"/>
    <mergeCell ref="BN17:BN19"/>
    <mergeCell ref="BO17:BO19"/>
    <mergeCell ref="AZ17:AZ19"/>
    <mergeCell ref="BA17:BA19"/>
    <mergeCell ref="BB17:BB19"/>
    <mergeCell ref="BC17:BC19"/>
    <mergeCell ref="BD17:BD19"/>
    <mergeCell ref="BE17:BE19"/>
    <mergeCell ref="AT17:AT19"/>
    <mergeCell ref="AU17:AU19"/>
    <mergeCell ref="AV17:AV19"/>
    <mergeCell ref="AW17:AW19"/>
    <mergeCell ref="AX17:AX19"/>
    <mergeCell ref="BR17:BR19"/>
    <mergeCell ref="BS17:BS19"/>
    <mergeCell ref="BT17:BT19"/>
    <mergeCell ref="BU17:BU19"/>
    <mergeCell ref="BV17:BV19"/>
    <mergeCell ref="S17:S19"/>
    <mergeCell ref="T17:T19"/>
    <mergeCell ref="U17:U19"/>
    <mergeCell ref="W17:W19"/>
    <mergeCell ref="X17:X19"/>
    <mergeCell ref="V17:V19"/>
  </mergeCells>
  <pageMargins left="0.23622047244094491" right="0.23622047244094491" top="0.74803149606299213" bottom="0.74803149606299213" header="0.31496062992125984" footer="0.31496062992125984"/>
  <pageSetup paperSize="5" scale="13" fitToHeight="0" orientation="landscape" verticalDpi="4" r:id="rId1"/>
  <headerFooter>
    <oddFooter>&amp;C&amp;A</oddFooter>
  </headerFooter>
  <colBreaks count="4" manualBreakCount="4">
    <brk id="4" max="1048575" man="1"/>
    <brk id="14" max="42" man="1"/>
    <brk id="24" max="1048575" man="1"/>
    <brk id="4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806" r:id="rId4" name="Check Box 6">
              <controlPr defaultSize="0" autoFill="0" autoLine="0" autoPict="0">
                <anchor>
                  <from>
                    <xdr:col>71</xdr:col>
                    <xdr:colOff>47625</xdr:colOff>
                    <xdr:row>32</xdr:row>
                    <xdr:rowOff>19050</xdr:rowOff>
                  </from>
                  <to>
                    <xdr:col>71</xdr:col>
                    <xdr:colOff>1581150</xdr:colOff>
                    <xdr:row>33</xdr:row>
                    <xdr:rowOff>9525</xdr:rowOff>
                  </to>
                </anchor>
              </controlPr>
            </control>
          </mc:Choice>
        </mc:AlternateContent>
        <mc:AlternateContent xmlns:mc="http://schemas.openxmlformats.org/markup-compatibility/2006">
          <mc:Choice Requires="x14">
            <control shapeId="76807" r:id="rId5" name="Check Box 7">
              <controlPr defaultSize="0" autoFill="0" autoLine="0" autoPict="0">
                <anchor>
                  <from>
                    <xdr:col>71</xdr:col>
                    <xdr:colOff>57150</xdr:colOff>
                    <xdr:row>34</xdr:row>
                    <xdr:rowOff>19050</xdr:rowOff>
                  </from>
                  <to>
                    <xdr:col>71</xdr:col>
                    <xdr:colOff>1600200</xdr:colOff>
                    <xdr:row>34</xdr:row>
                    <xdr:rowOff>209550</xdr:rowOff>
                  </to>
                </anchor>
              </controlPr>
            </control>
          </mc:Choice>
        </mc:AlternateContent>
        <mc:AlternateContent xmlns:mc="http://schemas.openxmlformats.org/markup-compatibility/2006">
          <mc:Choice Requires="x14">
            <control shapeId="76808" r:id="rId6" name="Check Box 8">
              <controlPr defaultSize="0" autoFill="0" autoLine="0" autoPict="0">
                <anchor>
                  <from>
                    <xdr:col>71</xdr:col>
                    <xdr:colOff>47625</xdr:colOff>
                    <xdr:row>33</xdr:row>
                    <xdr:rowOff>28575</xdr:rowOff>
                  </from>
                  <to>
                    <xdr:col>71</xdr:col>
                    <xdr:colOff>1581150</xdr:colOff>
                    <xdr:row>33</xdr:row>
                    <xdr:rowOff>209550</xdr:rowOff>
                  </to>
                </anchor>
              </controlPr>
            </control>
          </mc:Choice>
        </mc:AlternateContent>
        <mc:AlternateContent xmlns:mc="http://schemas.openxmlformats.org/markup-compatibility/2006">
          <mc:Choice Requires="x14">
            <control shapeId="76809" r:id="rId7" name="Check Box 9">
              <controlPr locked="0" defaultSize="0" autoFill="0" autoLine="0" autoPict="0">
                <anchor>
                  <from>
                    <xdr:col>71</xdr:col>
                    <xdr:colOff>76200</xdr:colOff>
                    <xdr:row>36</xdr:row>
                    <xdr:rowOff>419100</xdr:rowOff>
                  </from>
                  <to>
                    <xdr:col>71</xdr:col>
                    <xdr:colOff>1609725</xdr:colOff>
                    <xdr:row>37</xdr:row>
                    <xdr:rowOff>38100</xdr:rowOff>
                  </to>
                </anchor>
              </controlPr>
            </control>
          </mc:Choice>
        </mc:AlternateContent>
        <mc:AlternateContent xmlns:mc="http://schemas.openxmlformats.org/markup-compatibility/2006">
          <mc:Choice Requires="x14">
            <control shapeId="76810" r:id="rId8" name="Check Box 10">
              <controlPr defaultSize="0" autoFill="0" autoLine="0" autoPict="0">
                <anchor>
                  <from>
                    <xdr:col>71</xdr:col>
                    <xdr:colOff>28575</xdr:colOff>
                    <xdr:row>30</xdr:row>
                    <xdr:rowOff>28575</xdr:rowOff>
                  </from>
                  <to>
                    <xdr:col>71</xdr:col>
                    <xdr:colOff>1552575</xdr:colOff>
                    <xdr:row>31</xdr:row>
                    <xdr:rowOff>28575</xdr:rowOff>
                  </to>
                </anchor>
              </controlPr>
            </control>
          </mc:Choice>
        </mc:AlternateContent>
        <mc:AlternateContent xmlns:mc="http://schemas.openxmlformats.org/markup-compatibility/2006">
          <mc:Choice Requires="x14">
            <control shapeId="76811" r:id="rId9" name="Check Box 11">
              <controlPr defaultSize="0" autoFill="0" autoLine="0" autoPict="0">
                <anchor>
                  <from>
                    <xdr:col>71</xdr:col>
                    <xdr:colOff>38100</xdr:colOff>
                    <xdr:row>31</xdr:row>
                    <xdr:rowOff>9525</xdr:rowOff>
                  </from>
                  <to>
                    <xdr:col>71</xdr:col>
                    <xdr:colOff>1562100</xdr:colOff>
                    <xdr:row>32</xdr:row>
                    <xdr:rowOff>0</xdr:rowOff>
                  </to>
                </anchor>
              </controlPr>
            </control>
          </mc:Choice>
        </mc:AlternateContent>
        <mc:AlternateContent xmlns:mc="http://schemas.openxmlformats.org/markup-compatibility/2006">
          <mc:Choice Requires="x14">
            <control shapeId="76816" r:id="rId10" name="Check Box 16">
              <controlPr defaultSize="0" autoFill="0" autoLine="0" autoPict="0" macro="[0]!CheckBox16_Click">
                <anchor moveWithCells="1">
                  <from>
                    <xdr:col>70</xdr:col>
                    <xdr:colOff>1514475</xdr:colOff>
                    <xdr:row>12</xdr:row>
                    <xdr:rowOff>142875</xdr:rowOff>
                  </from>
                  <to>
                    <xdr:col>71</xdr:col>
                    <xdr:colOff>161925</xdr:colOff>
                    <xdr:row>12</xdr:row>
                    <xdr:rowOff>390525</xdr:rowOff>
                  </to>
                </anchor>
              </controlPr>
            </control>
          </mc:Choice>
        </mc:AlternateContent>
        <mc:AlternateContent xmlns:mc="http://schemas.openxmlformats.org/markup-compatibility/2006">
          <mc:Choice Requires="x14">
            <control shapeId="76817" r:id="rId11" name="Check Box 17">
              <controlPr defaultSize="0" autoFill="0" autoLine="0" autoPict="0">
                <anchor>
                  <from>
                    <xdr:col>71</xdr:col>
                    <xdr:colOff>66675</xdr:colOff>
                    <xdr:row>35</xdr:row>
                    <xdr:rowOff>47625</xdr:rowOff>
                  </from>
                  <to>
                    <xdr:col>71</xdr:col>
                    <xdr:colOff>1609725</xdr:colOff>
                    <xdr:row>36</xdr:row>
                    <xdr:rowOff>9525</xdr:rowOff>
                  </to>
                </anchor>
              </controlPr>
            </control>
          </mc:Choice>
        </mc:AlternateContent>
        <mc:AlternateContent xmlns:mc="http://schemas.openxmlformats.org/markup-compatibility/2006">
          <mc:Choice Requires="x14">
            <control shapeId="76818" r:id="rId12" name="Check Box 18">
              <controlPr defaultSize="0" disabled="1" autoFill="0" autoLine="0" autoPict="0" macro="[0]!CheckBox18_Click">
                <anchor moveWithCells="1">
                  <from>
                    <xdr:col>69</xdr:col>
                    <xdr:colOff>1104900</xdr:colOff>
                    <xdr:row>12</xdr:row>
                    <xdr:rowOff>76200</xdr:rowOff>
                  </from>
                  <to>
                    <xdr:col>69</xdr:col>
                    <xdr:colOff>1409700</xdr:colOff>
                    <xdr:row>12</xdr:row>
                    <xdr:rowOff>361950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A15516"/>
  <sheetViews>
    <sheetView workbookViewId="0">
      <selection activeCell="C22" sqref="C22"/>
    </sheetView>
  </sheetViews>
  <sheetFormatPr defaultRowHeight="15" x14ac:dyDescent="0.25"/>
  <cols>
    <col min="1" max="1" width="38.7109375" style="744" customWidth="1"/>
    <col min="2" max="2" width="11" bestFit="1" customWidth="1"/>
    <col min="3" max="3" width="49.42578125" customWidth="1"/>
    <col min="27" max="27" width="104.28515625" bestFit="1" customWidth="1"/>
  </cols>
  <sheetData>
    <row r="1" spans="1:27" x14ac:dyDescent="0.25">
      <c r="A1" s="841" t="s">
        <v>4874</v>
      </c>
      <c r="B1" t="s">
        <v>2389</v>
      </c>
      <c r="C1" s="841"/>
      <c r="D1" s="432"/>
      <c r="I1" t="s">
        <v>438</v>
      </c>
      <c r="Q1" t="s">
        <v>438</v>
      </c>
      <c r="X1">
        <v>7</v>
      </c>
      <c r="Y1">
        <v>0</v>
      </c>
    </row>
    <row r="2" spans="1:27" x14ac:dyDescent="0.25">
      <c r="A2" s="841" t="s">
        <v>162</v>
      </c>
      <c r="B2" t="s">
        <v>2390</v>
      </c>
      <c r="C2" s="841" t="s">
        <v>5097</v>
      </c>
      <c r="D2" t="s">
        <v>628</v>
      </c>
      <c r="I2" t="s">
        <v>3214</v>
      </c>
      <c r="Q2" t="s">
        <v>3214</v>
      </c>
      <c r="AA2" t="s">
        <v>217</v>
      </c>
    </row>
    <row r="3" spans="1:27" x14ac:dyDescent="0.25">
      <c r="A3" s="841" t="s">
        <v>199</v>
      </c>
      <c r="B3" t="s">
        <v>2391</v>
      </c>
      <c r="C3" s="841" t="s">
        <v>5098</v>
      </c>
      <c r="D3" t="s">
        <v>628</v>
      </c>
      <c r="I3" t="s">
        <v>4819</v>
      </c>
      <c r="Q3" t="s">
        <v>4819</v>
      </c>
      <c r="AA3" t="s">
        <v>635</v>
      </c>
    </row>
    <row r="4" spans="1:27" x14ac:dyDescent="0.25">
      <c r="A4" s="841" t="s">
        <v>236</v>
      </c>
      <c r="B4" t="s">
        <v>2392</v>
      </c>
      <c r="C4" s="841" t="s">
        <v>5099</v>
      </c>
      <c r="D4" t="s">
        <v>628</v>
      </c>
      <c r="I4" t="s">
        <v>617</v>
      </c>
      <c r="Q4" t="s">
        <v>617</v>
      </c>
      <c r="AA4" t="s">
        <v>219</v>
      </c>
    </row>
    <row r="5" spans="1:27" x14ac:dyDescent="0.25">
      <c r="A5" s="841" t="s">
        <v>173</v>
      </c>
      <c r="B5" t="s">
        <v>2393</v>
      </c>
      <c r="C5" s="841" t="s">
        <v>5100</v>
      </c>
      <c r="D5" t="s">
        <v>628</v>
      </c>
      <c r="I5" t="s">
        <v>629</v>
      </c>
      <c r="Q5" t="s">
        <v>629</v>
      </c>
      <c r="AA5" t="s">
        <v>620</v>
      </c>
    </row>
    <row r="6" spans="1:27" x14ac:dyDescent="0.25">
      <c r="A6" s="841" t="s">
        <v>174</v>
      </c>
      <c r="B6" t="s">
        <v>2394</v>
      </c>
      <c r="C6" s="1"/>
      <c r="D6" t="s">
        <v>628</v>
      </c>
      <c r="I6" t="s">
        <v>615</v>
      </c>
      <c r="Q6" t="s">
        <v>615</v>
      </c>
      <c r="AA6" t="s">
        <v>636</v>
      </c>
    </row>
    <row r="7" spans="1:27" x14ac:dyDescent="0.25">
      <c r="A7" s="841" t="s">
        <v>424</v>
      </c>
      <c r="B7" t="s">
        <v>2395</v>
      </c>
      <c r="C7" s="1"/>
      <c r="I7" t="s">
        <v>618</v>
      </c>
      <c r="AA7" t="s">
        <v>642</v>
      </c>
    </row>
    <row r="8" spans="1:27" x14ac:dyDescent="0.25">
      <c r="A8" s="841" t="s">
        <v>175</v>
      </c>
      <c r="B8" t="s">
        <v>2396</v>
      </c>
      <c r="C8" s="1"/>
      <c r="D8" t="s">
        <v>628</v>
      </c>
      <c r="AA8" t="s">
        <v>220</v>
      </c>
    </row>
    <row r="9" spans="1:27" x14ac:dyDescent="0.25">
      <c r="A9" s="744" t="s">
        <v>200</v>
      </c>
      <c r="B9" t="s">
        <v>2397</v>
      </c>
      <c r="AA9" t="s">
        <v>227</v>
      </c>
    </row>
    <row r="10" spans="1:27" x14ac:dyDescent="0.25">
      <c r="A10" s="841" t="s">
        <v>623</v>
      </c>
      <c r="B10" t="s">
        <v>2398</v>
      </c>
      <c r="C10" s="1"/>
      <c r="D10" t="s">
        <v>628</v>
      </c>
    </row>
    <row r="11" spans="1:27" s="841" customFormat="1" x14ac:dyDescent="0.25">
      <c r="A11" s="841" t="s">
        <v>176</v>
      </c>
      <c r="B11" s="841" t="s">
        <v>6871</v>
      </c>
      <c r="C11" s="1"/>
    </row>
    <row r="12" spans="1:27" x14ac:dyDescent="0.25">
      <c r="A12" s="841" t="s">
        <v>177</v>
      </c>
      <c r="B12" t="s">
        <v>2399</v>
      </c>
      <c r="C12" s="841"/>
    </row>
    <row r="13" spans="1:27" x14ac:dyDescent="0.25">
      <c r="A13" s="841" t="s">
        <v>2457</v>
      </c>
      <c r="B13" t="s">
        <v>2400</v>
      </c>
    </row>
    <row r="14" spans="1:27" x14ac:dyDescent="0.25">
      <c r="A14" s="841" t="s">
        <v>425</v>
      </c>
      <c r="B14" t="s">
        <v>2401</v>
      </c>
      <c r="C14" s="1" t="s">
        <v>2466</v>
      </c>
      <c r="D14" t="s">
        <v>628</v>
      </c>
    </row>
    <row r="15" spans="1:27" x14ac:dyDescent="0.25">
      <c r="A15" s="841" t="s">
        <v>624</v>
      </c>
      <c r="B15" t="s">
        <v>2402</v>
      </c>
      <c r="C15" s="1" t="s">
        <v>2465</v>
      </c>
      <c r="D15" t="s">
        <v>628</v>
      </c>
    </row>
    <row r="16" spans="1:27" x14ac:dyDescent="0.25">
      <c r="A16" s="744" t="s">
        <v>239</v>
      </c>
      <c r="B16" t="s">
        <v>2403</v>
      </c>
      <c r="D16" t="s">
        <v>628</v>
      </c>
    </row>
    <row r="17" spans="1:27" x14ac:dyDescent="0.25">
      <c r="A17" s="744" t="s">
        <v>201</v>
      </c>
      <c r="B17" t="s">
        <v>2404</v>
      </c>
      <c r="C17" t="s">
        <v>2458</v>
      </c>
    </row>
    <row r="18" spans="1:27" x14ac:dyDescent="0.25">
      <c r="A18" s="744" t="s">
        <v>179</v>
      </c>
      <c r="B18" t="s">
        <v>2405</v>
      </c>
      <c r="C18" t="s">
        <v>2459</v>
      </c>
      <c r="D18" t="s">
        <v>628</v>
      </c>
    </row>
    <row r="19" spans="1:27" x14ac:dyDescent="0.25">
      <c r="A19" s="841" t="s">
        <v>180</v>
      </c>
      <c r="B19" t="s">
        <v>2406</v>
      </c>
    </row>
    <row r="20" spans="1:27" x14ac:dyDescent="0.25">
      <c r="A20" s="841" t="s">
        <v>181</v>
      </c>
      <c r="B20" t="s">
        <v>2407</v>
      </c>
      <c r="D20" t="s">
        <v>628</v>
      </c>
    </row>
    <row r="21" spans="1:27" x14ac:dyDescent="0.25">
      <c r="A21" s="841" t="s">
        <v>164</v>
      </c>
      <c r="B21" t="s">
        <v>2408</v>
      </c>
      <c r="C21" t="s">
        <v>2460</v>
      </c>
      <c r="AA21" t="s">
        <v>221</v>
      </c>
    </row>
    <row r="22" spans="1:27" x14ac:dyDescent="0.25">
      <c r="A22" s="841" t="s">
        <v>625</v>
      </c>
      <c r="B22" t="s">
        <v>2409</v>
      </c>
      <c r="C22" t="s">
        <v>2462</v>
      </c>
      <c r="AA22" t="s">
        <v>633</v>
      </c>
    </row>
    <row r="23" spans="1:27" x14ac:dyDescent="0.25">
      <c r="A23" s="841" t="s">
        <v>202</v>
      </c>
      <c r="B23" t="s">
        <v>2410</v>
      </c>
      <c r="C23" t="s">
        <v>2463</v>
      </c>
      <c r="AA23" t="s">
        <v>223</v>
      </c>
    </row>
    <row r="24" spans="1:27" x14ac:dyDescent="0.25">
      <c r="A24" s="841" t="s">
        <v>203</v>
      </c>
      <c r="B24" t="s">
        <v>2411</v>
      </c>
      <c r="AA24" t="s">
        <v>224</v>
      </c>
    </row>
    <row r="25" spans="1:27" x14ac:dyDescent="0.25">
      <c r="A25" s="841" t="s">
        <v>2277</v>
      </c>
      <c r="B25" t="s">
        <v>2412</v>
      </c>
      <c r="D25" t="s">
        <v>628</v>
      </c>
      <c r="AA25" t="s">
        <v>634</v>
      </c>
    </row>
    <row r="26" spans="1:27" x14ac:dyDescent="0.25">
      <c r="A26" s="744" t="s">
        <v>204</v>
      </c>
      <c r="B26" t="s">
        <v>2413</v>
      </c>
    </row>
    <row r="27" spans="1:27" x14ac:dyDescent="0.25">
      <c r="A27" s="841" t="s">
        <v>183</v>
      </c>
      <c r="B27" t="s">
        <v>2349</v>
      </c>
      <c r="AA27" t="s">
        <v>226</v>
      </c>
    </row>
    <row r="28" spans="1:27" x14ac:dyDescent="0.25">
      <c r="A28" s="841" t="s">
        <v>211</v>
      </c>
      <c r="B28" t="s">
        <v>2350</v>
      </c>
    </row>
    <row r="29" spans="1:27" s="841" customFormat="1" x14ac:dyDescent="0.25">
      <c r="A29" s="841" t="s">
        <v>626</v>
      </c>
      <c r="B29" s="841" t="s">
        <v>6872</v>
      </c>
    </row>
    <row r="30" spans="1:27" x14ac:dyDescent="0.25">
      <c r="A30" s="841" t="s">
        <v>205</v>
      </c>
      <c r="B30" t="s">
        <v>2414</v>
      </c>
      <c r="D30" t="s">
        <v>628</v>
      </c>
    </row>
    <row r="31" spans="1:27" x14ac:dyDescent="0.25">
      <c r="A31" s="841" t="s">
        <v>2278</v>
      </c>
      <c r="B31" t="s">
        <v>2415</v>
      </c>
    </row>
    <row r="32" spans="1:27" x14ac:dyDescent="0.25">
      <c r="A32" s="841" t="s">
        <v>167</v>
      </c>
      <c r="B32" t="s">
        <v>2416</v>
      </c>
    </row>
    <row r="33" spans="1:4" x14ac:dyDescent="0.25">
      <c r="A33" s="841" t="s">
        <v>163</v>
      </c>
      <c r="B33" t="s">
        <v>2417</v>
      </c>
      <c r="D33" t="s">
        <v>628</v>
      </c>
    </row>
    <row r="34" spans="1:4" x14ac:dyDescent="0.25">
      <c r="A34" s="841" t="s">
        <v>184</v>
      </c>
      <c r="B34" t="s">
        <v>2418</v>
      </c>
    </row>
    <row r="35" spans="1:4" x14ac:dyDescent="0.25">
      <c r="A35" s="841" t="s">
        <v>206</v>
      </c>
      <c r="B35" t="s">
        <v>2419</v>
      </c>
      <c r="D35" t="s">
        <v>628</v>
      </c>
    </row>
    <row r="36" spans="1:4" x14ac:dyDescent="0.25">
      <c r="A36" s="841" t="s">
        <v>185</v>
      </c>
      <c r="B36" t="s">
        <v>2420</v>
      </c>
      <c r="D36" t="s">
        <v>628</v>
      </c>
    </row>
    <row r="37" spans="1:4" x14ac:dyDescent="0.25">
      <c r="A37" s="841" t="s">
        <v>186</v>
      </c>
      <c r="B37" t="s">
        <v>2421</v>
      </c>
    </row>
    <row r="38" spans="1:4" x14ac:dyDescent="0.25">
      <c r="A38" s="841" t="s">
        <v>187</v>
      </c>
      <c r="B38" t="s">
        <v>2422</v>
      </c>
    </row>
    <row r="39" spans="1:4" x14ac:dyDescent="0.25">
      <c r="A39" s="841" t="s">
        <v>440</v>
      </c>
      <c r="B39" t="s">
        <v>2423</v>
      </c>
      <c r="D39" t="s">
        <v>628</v>
      </c>
    </row>
    <row r="40" spans="1:4" x14ac:dyDescent="0.25">
      <c r="A40" s="841" t="s">
        <v>426</v>
      </c>
      <c r="B40" t="s">
        <v>2424</v>
      </c>
      <c r="D40" t="s">
        <v>628</v>
      </c>
    </row>
    <row r="41" spans="1:4" x14ac:dyDescent="0.25">
      <c r="A41" s="841" t="s">
        <v>427</v>
      </c>
      <c r="B41" t="s">
        <v>2425</v>
      </c>
    </row>
    <row r="42" spans="1:4" x14ac:dyDescent="0.25">
      <c r="A42" s="841" t="s">
        <v>188</v>
      </c>
      <c r="B42" t="s">
        <v>2426</v>
      </c>
    </row>
    <row r="43" spans="1:4" x14ac:dyDescent="0.25">
      <c r="A43" s="841" t="s">
        <v>189</v>
      </c>
      <c r="B43" t="s">
        <v>2427</v>
      </c>
    </row>
    <row r="44" spans="1:4" x14ac:dyDescent="0.25">
      <c r="A44" s="841" t="s">
        <v>190</v>
      </c>
      <c r="B44" t="s">
        <v>2428</v>
      </c>
    </row>
    <row r="45" spans="1:4" x14ac:dyDescent="0.25">
      <c r="A45" s="841" t="s">
        <v>242</v>
      </c>
      <c r="B45" t="s">
        <v>2429</v>
      </c>
    </row>
    <row r="46" spans="1:4" x14ac:dyDescent="0.25">
      <c r="A46" s="841" t="s">
        <v>146</v>
      </c>
      <c r="B46" t="s">
        <v>2430</v>
      </c>
      <c r="D46" t="s">
        <v>628</v>
      </c>
    </row>
    <row r="47" spans="1:4" x14ac:dyDescent="0.25">
      <c r="A47" s="841" t="s">
        <v>243</v>
      </c>
      <c r="B47" t="s">
        <v>2351</v>
      </c>
    </row>
    <row r="48" spans="1:4" x14ac:dyDescent="0.25">
      <c r="A48" s="841" t="s">
        <v>207</v>
      </c>
      <c r="B48" t="s">
        <v>2431</v>
      </c>
      <c r="D48" t="s">
        <v>628</v>
      </c>
    </row>
    <row r="49" spans="1:4" x14ac:dyDescent="0.25">
      <c r="A49" s="841" t="s">
        <v>191</v>
      </c>
      <c r="B49" t="s">
        <v>2432</v>
      </c>
      <c r="D49" t="s">
        <v>628</v>
      </c>
    </row>
    <row r="50" spans="1:4" x14ac:dyDescent="0.25">
      <c r="A50" s="841" t="s">
        <v>244</v>
      </c>
      <c r="B50" t="s">
        <v>2433</v>
      </c>
      <c r="D50" t="s">
        <v>628</v>
      </c>
    </row>
    <row r="51" spans="1:4" x14ac:dyDescent="0.25">
      <c r="A51" s="841" t="s">
        <v>192</v>
      </c>
      <c r="B51" t="s">
        <v>2434</v>
      </c>
    </row>
    <row r="52" spans="1:4" x14ac:dyDescent="0.25">
      <c r="A52" s="841" t="s">
        <v>193</v>
      </c>
      <c r="B52" t="s">
        <v>2352</v>
      </c>
    </row>
    <row r="53" spans="1:4" x14ac:dyDescent="0.25">
      <c r="A53" s="841" t="s">
        <v>208</v>
      </c>
      <c r="B53" t="s">
        <v>2353</v>
      </c>
      <c r="D53" t="s">
        <v>628</v>
      </c>
    </row>
    <row r="54" spans="1:4" x14ac:dyDescent="0.25">
      <c r="A54" s="744" t="s">
        <v>194</v>
      </c>
      <c r="B54" t="s">
        <v>2435</v>
      </c>
      <c r="D54" t="s">
        <v>628</v>
      </c>
    </row>
    <row r="55" spans="1:4" x14ac:dyDescent="0.25">
      <c r="A55" s="841" t="s">
        <v>168</v>
      </c>
      <c r="B55" t="s">
        <v>2436</v>
      </c>
    </row>
    <row r="56" spans="1:4" x14ac:dyDescent="0.25">
      <c r="A56" s="841" t="s">
        <v>245</v>
      </c>
      <c r="B56" t="s">
        <v>2437</v>
      </c>
    </row>
    <row r="57" spans="1:4" s="841" customFormat="1" x14ac:dyDescent="0.25">
      <c r="A57" s="841" t="s">
        <v>195</v>
      </c>
      <c r="B57" t="s">
        <v>2438</v>
      </c>
    </row>
    <row r="58" spans="1:4" x14ac:dyDescent="0.25">
      <c r="A58" s="841" t="s">
        <v>169</v>
      </c>
      <c r="B58" t="s">
        <v>6848</v>
      </c>
      <c r="D58" t="s">
        <v>628</v>
      </c>
    </row>
    <row r="59" spans="1:4" x14ac:dyDescent="0.25">
      <c r="A59" s="841" t="s">
        <v>209</v>
      </c>
      <c r="B59" t="s">
        <v>6849</v>
      </c>
      <c r="D59" t="s">
        <v>628</v>
      </c>
    </row>
    <row r="60" spans="1:4" x14ac:dyDescent="0.25">
      <c r="A60" s="841" t="s">
        <v>170</v>
      </c>
      <c r="B60" t="s">
        <v>6850</v>
      </c>
      <c r="D60" t="s">
        <v>628</v>
      </c>
    </row>
    <row r="61" spans="1:4" x14ac:dyDescent="0.25">
      <c r="A61" s="841" t="s">
        <v>171</v>
      </c>
      <c r="B61" t="s">
        <v>6851</v>
      </c>
    </row>
    <row r="62" spans="1:4" x14ac:dyDescent="0.25">
      <c r="A62" s="841" t="s">
        <v>246</v>
      </c>
      <c r="B62" t="s">
        <v>6852</v>
      </c>
      <c r="D62" t="s">
        <v>628</v>
      </c>
    </row>
    <row r="63" spans="1:4" x14ac:dyDescent="0.25">
      <c r="A63" s="841" t="s">
        <v>210</v>
      </c>
      <c r="B63" t="s">
        <v>6853</v>
      </c>
    </row>
    <row r="64" spans="1:4" x14ac:dyDescent="0.25">
      <c r="A64" s="841" t="s">
        <v>196</v>
      </c>
      <c r="B64" t="s">
        <v>6854</v>
      </c>
      <c r="D64" t="s">
        <v>628</v>
      </c>
    </row>
    <row r="65" spans="1:4" x14ac:dyDescent="0.25">
      <c r="A65" s="841" t="s">
        <v>197</v>
      </c>
      <c r="B65" t="s">
        <v>6855</v>
      </c>
      <c r="D65" t="s">
        <v>628</v>
      </c>
    </row>
    <row r="66" spans="1:4" x14ac:dyDescent="0.25">
      <c r="A66" s="841" t="s">
        <v>198</v>
      </c>
      <c r="B66" t="s">
        <v>6856</v>
      </c>
    </row>
    <row r="68" spans="1:4" x14ac:dyDescent="0.25">
      <c r="A68" s="841"/>
    </row>
    <row r="69" spans="1:4" x14ac:dyDescent="0.25">
      <c r="A69" s="841"/>
      <c r="D69" t="s">
        <v>628</v>
      </c>
    </row>
    <row r="70" spans="1:4" x14ac:dyDescent="0.25">
      <c r="A70" s="841"/>
    </row>
    <row r="71" spans="1:4" x14ac:dyDescent="0.25">
      <c r="A71" s="841"/>
      <c r="D71" t="s">
        <v>628</v>
      </c>
    </row>
    <row r="72" spans="1:4" x14ac:dyDescent="0.25">
      <c r="A72" s="841"/>
    </row>
    <row r="73" spans="1:4" x14ac:dyDescent="0.25">
      <c r="A73" s="841"/>
    </row>
    <row r="74" spans="1:4" x14ac:dyDescent="0.25">
      <c r="A74" s="841"/>
      <c r="D74" t="s">
        <v>628</v>
      </c>
    </row>
    <row r="75" spans="1:4" x14ac:dyDescent="0.25">
      <c r="A75" s="841"/>
      <c r="D75" t="s">
        <v>628</v>
      </c>
    </row>
    <row r="76" spans="1:4" x14ac:dyDescent="0.25">
      <c r="A76" s="841"/>
    </row>
    <row r="77" spans="1:4" x14ac:dyDescent="0.25">
      <c r="A77" s="841"/>
    </row>
    <row r="78" spans="1:4" x14ac:dyDescent="0.25">
      <c r="A78" s="841"/>
    </row>
    <row r="79" spans="1:4" x14ac:dyDescent="0.25">
      <c r="A79" s="841"/>
    </row>
    <row r="80" spans="1:4" x14ac:dyDescent="0.25">
      <c r="A80" s="841"/>
    </row>
    <row r="81" spans="1:1" x14ac:dyDescent="0.25">
      <c r="A81" s="841"/>
    </row>
    <row r="82" spans="1:1" x14ac:dyDescent="0.25">
      <c r="A82" s="841"/>
    </row>
    <row r="83" spans="1:1" x14ac:dyDescent="0.25">
      <c r="A83" s="841"/>
    </row>
    <row r="84" spans="1:1" x14ac:dyDescent="0.25">
      <c r="A84" s="841"/>
    </row>
    <row r="85" spans="1:1" x14ac:dyDescent="0.25">
      <c r="A85" s="841"/>
    </row>
    <row r="86" spans="1:1" x14ac:dyDescent="0.25">
      <c r="A86" s="841"/>
    </row>
    <row r="87" spans="1:1" x14ac:dyDescent="0.25">
      <c r="A87" s="841"/>
    </row>
    <row r="88" spans="1:1" x14ac:dyDescent="0.25">
      <c r="A88" s="841"/>
    </row>
    <row r="89" spans="1:1" x14ac:dyDescent="0.25">
      <c r="A89" s="841"/>
    </row>
    <row r="90" spans="1:1" x14ac:dyDescent="0.25">
      <c r="A90" s="841"/>
    </row>
    <row r="91" spans="1:1" x14ac:dyDescent="0.25">
      <c r="A91" s="841"/>
    </row>
    <row r="92" spans="1:1" x14ac:dyDescent="0.25">
      <c r="A92" s="841"/>
    </row>
    <row r="93" spans="1:1" x14ac:dyDescent="0.25">
      <c r="A93" s="841"/>
    </row>
    <row r="94" spans="1:1" x14ac:dyDescent="0.25">
      <c r="A94" s="841"/>
    </row>
    <row r="95" spans="1:1" x14ac:dyDescent="0.25">
      <c r="A95" s="841"/>
    </row>
    <row r="96" spans="1:1" x14ac:dyDescent="0.25">
      <c r="A96" s="841"/>
    </row>
    <row r="97" spans="1:1" x14ac:dyDescent="0.25">
      <c r="A97" s="841"/>
    </row>
    <row r="98" spans="1:1" x14ac:dyDescent="0.25">
      <c r="A98" s="841"/>
    </row>
    <row r="99" spans="1:1" x14ac:dyDescent="0.25">
      <c r="A99" s="841"/>
    </row>
    <row r="100" spans="1:1" x14ac:dyDescent="0.25">
      <c r="A100" s="841"/>
    </row>
    <row r="101" spans="1:1" x14ac:dyDescent="0.25">
      <c r="A101" s="841"/>
    </row>
    <row r="102" spans="1:1" x14ac:dyDescent="0.25">
      <c r="A102" s="841"/>
    </row>
    <row r="103" spans="1:1" x14ac:dyDescent="0.25">
      <c r="A103" s="841"/>
    </row>
    <row r="104" spans="1:1" x14ac:dyDescent="0.25">
      <c r="A104" s="841"/>
    </row>
    <row r="105" spans="1:1" x14ac:dyDescent="0.25">
      <c r="A105" s="841"/>
    </row>
    <row r="106" spans="1:1" x14ac:dyDescent="0.25">
      <c r="A106" s="841"/>
    </row>
    <row r="107" spans="1:1" x14ac:dyDescent="0.25">
      <c r="A107" s="841"/>
    </row>
    <row r="108" spans="1:1" x14ac:dyDescent="0.25">
      <c r="A108" s="841"/>
    </row>
    <row r="109" spans="1:1" x14ac:dyDescent="0.25">
      <c r="A109" s="841"/>
    </row>
    <row r="110" spans="1:1" x14ac:dyDescent="0.25">
      <c r="A110" s="841"/>
    </row>
    <row r="111" spans="1:1" x14ac:dyDescent="0.25">
      <c r="A111" s="841"/>
    </row>
    <row r="112" spans="1:1" x14ac:dyDescent="0.25">
      <c r="A112" s="841"/>
    </row>
    <row r="113" spans="1:1" x14ac:dyDescent="0.25">
      <c r="A113" s="841"/>
    </row>
    <row r="114" spans="1:1" x14ac:dyDescent="0.25">
      <c r="A114" s="841"/>
    </row>
    <row r="115" spans="1:1" x14ac:dyDescent="0.25">
      <c r="A115" s="841"/>
    </row>
    <row r="116" spans="1:1" x14ac:dyDescent="0.25">
      <c r="A116" s="841"/>
    </row>
    <row r="117" spans="1:1" x14ac:dyDescent="0.25">
      <c r="A117" s="841"/>
    </row>
    <row r="118" spans="1:1" x14ac:dyDescent="0.25">
      <c r="A118" s="841"/>
    </row>
    <row r="119" spans="1:1" x14ac:dyDescent="0.25">
      <c r="A119" s="841"/>
    </row>
    <row r="120" spans="1:1" x14ac:dyDescent="0.25">
      <c r="A120" s="841"/>
    </row>
    <row r="121" spans="1:1" x14ac:dyDescent="0.25">
      <c r="A121" s="841"/>
    </row>
    <row r="122" spans="1:1" x14ac:dyDescent="0.25">
      <c r="A122" s="841"/>
    </row>
    <row r="123" spans="1:1" x14ac:dyDescent="0.25">
      <c r="A123" s="841"/>
    </row>
    <row r="124" spans="1:1" x14ac:dyDescent="0.25">
      <c r="A124" s="841"/>
    </row>
    <row r="125" spans="1:1" x14ac:dyDescent="0.25">
      <c r="A125" s="841"/>
    </row>
    <row r="126" spans="1:1" x14ac:dyDescent="0.25">
      <c r="A126" s="841"/>
    </row>
    <row r="127" spans="1:1" x14ac:dyDescent="0.25">
      <c r="A127" s="841"/>
    </row>
    <row r="128" spans="1:1" x14ac:dyDescent="0.25">
      <c r="A128" s="841"/>
    </row>
    <row r="129" spans="1:1" x14ac:dyDescent="0.25">
      <c r="A129" s="841"/>
    </row>
    <row r="130" spans="1:1" x14ac:dyDescent="0.25">
      <c r="A130" s="841"/>
    </row>
    <row r="131" spans="1:1" x14ac:dyDescent="0.25">
      <c r="A131" s="841"/>
    </row>
    <row r="132" spans="1:1" x14ac:dyDescent="0.25">
      <c r="A132" s="841"/>
    </row>
    <row r="133" spans="1:1" x14ac:dyDescent="0.25">
      <c r="A133" s="841"/>
    </row>
    <row r="134" spans="1:1" x14ac:dyDescent="0.25">
      <c r="A134" s="841"/>
    </row>
    <row r="135" spans="1:1" x14ac:dyDescent="0.25">
      <c r="A135" s="841"/>
    </row>
    <row r="136" spans="1:1" x14ac:dyDescent="0.25">
      <c r="A136" s="841"/>
    </row>
    <row r="137" spans="1:1" x14ac:dyDescent="0.25">
      <c r="A137" s="841"/>
    </row>
    <row r="138" spans="1:1" x14ac:dyDescent="0.25">
      <c r="A138" s="841"/>
    </row>
    <row r="139" spans="1:1" x14ac:dyDescent="0.25">
      <c r="A139" s="841"/>
    </row>
    <row r="140" spans="1:1" x14ac:dyDescent="0.25">
      <c r="A140" s="841"/>
    </row>
    <row r="141" spans="1:1" x14ac:dyDescent="0.25">
      <c r="A141" s="841"/>
    </row>
    <row r="142" spans="1:1" x14ac:dyDescent="0.25">
      <c r="A142" s="841"/>
    </row>
    <row r="143" spans="1:1" x14ac:dyDescent="0.25">
      <c r="A143" s="841"/>
    </row>
    <row r="144" spans="1:1" x14ac:dyDescent="0.25">
      <c r="A144" s="841"/>
    </row>
    <row r="145" spans="1:1" x14ac:dyDescent="0.25">
      <c r="A145" s="841"/>
    </row>
    <row r="146" spans="1:1" x14ac:dyDescent="0.25">
      <c r="A146" s="841"/>
    </row>
    <row r="147" spans="1:1" x14ac:dyDescent="0.25">
      <c r="A147" s="841"/>
    </row>
    <row r="148" spans="1:1" x14ac:dyDescent="0.25">
      <c r="A148" s="841"/>
    </row>
    <row r="149" spans="1:1" x14ac:dyDescent="0.25">
      <c r="A149" s="841"/>
    </row>
    <row r="150" spans="1:1" x14ac:dyDescent="0.25">
      <c r="A150" s="841"/>
    </row>
    <row r="151" spans="1:1" x14ac:dyDescent="0.25">
      <c r="A151" s="841"/>
    </row>
    <row r="152" spans="1:1" x14ac:dyDescent="0.25">
      <c r="A152" s="841"/>
    </row>
    <row r="153" spans="1:1" x14ac:dyDescent="0.25">
      <c r="A153" s="841"/>
    </row>
    <row r="154" spans="1:1" x14ac:dyDescent="0.25">
      <c r="A154" s="841"/>
    </row>
    <row r="155" spans="1:1" x14ac:dyDescent="0.25">
      <c r="A155" s="841"/>
    </row>
    <row r="156" spans="1:1" x14ac:dyDescent="0.25">
      <c r="A156" s="841"/>
    </row>
    <row r="157" spans="1:1" x14ac:dyDescent="0.25">
      <c r="A157" s="841"/>
    </row>
    <row r="158" spans="1:1" x14ac:dyDescent="0.25">
      <c r="A158" s="841"/>
    </row>
    <row r="159" spans="1:1" x14ac:dyDescent="0.25">
      <c r="A159" s="841"/>
    </row>
    <row r="160" spans="1:1" x14ac:dyDescent="0.25">
      <c r="A160" s="841"/>
    </row>
    <row r="161" spans="1:1" x14ac:dyDescent="0.25">
      <c r="A161" s="841"/>
    </row>
    <row r="162" spans="1:1" x14ac:dyDescent="0.25">
      <c r="A162" s="841"/>
    </row>
    <row r="163" spans="1:1" x14ac:dyDescent="0.25">
      <c r="A163" s="841"/>
    </row>
    <row r="164" spans="1:1" x14ac:dyDescent="0.25">
      <c r="A164" s="841"/>
    </row>
    <row r="165" spans="1:1" x14ac:dyDescent="0.25">
      <c r="A165" s="841"/>
    </row>
    <row r="166" spans="1:1" x14ac:dyDescent="0.25">
      <c r="A166" s="841"/>
    </row>
    <row r="167" spans="1:1" x14ac:dyDescent="0.25">
      <c r="A167" s="841"/>
    </row>
    <row r="168" spans="1:1" x14ac:dyDescent="0.25">
      <c r="A168" s="841"/>
    </row>
    <row r="169" spans="1:1" x14ac:dyDescent="0.25">
      <c r="A169" s="841"/>
    </row>
    <row r="170" spans="1:1" x14ac:dyDescent="0.25">
      <c r="A170" s="841"/>
    </row>
    <row r="171" spans="1:1" x14ac:dyDescent="0.25">
      <c r="A171" s="841"/>
    </row>
    <row r="172" spans="1:1" x14ac:dyDescent="0.25">
      <c r="A172" s="841"/>
    </row>
    <row r="173" spans="1:1" x14ac:dyDescent="0.25">
      <c r="A173" s="841"/>
    </row>
    <row r="174" spans="1:1" x14ac:dyDescent="0.25">
      <c r="A174" s="841"/>
    </row>
    <row r="175" spans="1:1" x14ac:dyDescent="0.25">
      <c r="A175" s="841"/>
    </row>
    <row r="176" spans="1:1" x14ac:dyDescent="0.25">
      <c r="A176" s="841"/>
    </row>
    <row r="177" spans="1:1" x14ac:dyDescent="0.25">
      <c r="A177" s="841"/>
    </row>
    <row r="178" spans="1:1" x14ac:dyDescent="0.25">
      <c r="A178" s="841"/>
    </row>
    <row r="179" spans="1:1" x14ac:dyDescent="0.25">
      <c r="A179" s="841"/>
    </row>
    <row r="180" spans="1:1" x14ac:dyDescent="0.25">
      <c r="A180" s="841"/>
    </row>
    <row r="181" spans="1:1" x14ac:dyDescent="0.25">
      <c r="A181" s="841"/>
    </row>
    <row r="182" spans="1:1" x14ac:dyDescent="0.25">
      <c r="A182" s="841"/>
    </row>
    <row r="183" spans="1:1" x14ac:dyDescent="0.25">
      <c r="A183" s="841"/>
    </row>
    <row r="184" spans="1:1" x14ac:dyDescent="0.25">
      <c r="A184" s="841"/>
    </row>
    <row r="185" spans="1:1" x14ac:dyDescent="0.25">
      <c r="A185" s="841"/>
    </row>
    <row r="186" spans="1:1" x14ac:dyDescent="0.25">
      <c r="A186" s="841"/>
    </row>
    <row r="187" spans="1:1" x14ac:dyDescent="0.25">
      <c r="A187" s="841"/>
    </row>
    <row r="188" spans="1:1" x14ac:dyDescent="0.25">
      <c r="A188" s="841"/>
    </row>
    <row r="189" spans="1:1" x14ac:dyDescent="0.25">
      <c r="A189" s="841"/>
    </row>
    <row r="190" spans="1:1" x14ac:dyDescent="0.25">
      <c r="A190" s="841"/>
    </row>
    <row r="191" spans="1:1" x14ac:dyDescent="0.25">
      <c r="A191" s="841"/>
    </row>
    <row r="192" spans="1:1" x14ac:dyDescent="0.25">
      <c r="A192" s="841"/>
    </row>
    <row r="193" spans="1:1" x14ac:dyDescent="0.25">
      <c r="A193" s="841"/>
    </row>
    <row r="194" spans="1:1" x14ac:dyDescent="0.25">
      <c r="A194" s="841"/>
    </row>
    <row r="195" spans="1:1" x14ac:dyDescent="0.25">
      <c r="A195" s="841"/>
    </row>
    <row r="196" spans="1:1" x14ac:dyDescent="0.25">
      <c r="A196" s="841"/>
    </row>
    <row r="197" spans="1:1" x14ac:dyDescent="0.25">
      <c r="A197" s="841"/>
    </row>
    <row r="198" spans="1:1" x14ac:dyDescent="0.25">
      <c r="A198" s="841"/>
    </row>
    <row r="199" spans="1:1" x14ac:dyDescent="0.25">
      <c r="A199" s="841"/>
    </row>
    <row r="200" spans="1:1" x14ac:dyDescent="0.25">
      <c r="A200" s="841"/>
    </row>
    <row r="201" spans="1:1" x14ac:dyDescent="0.25">
      <c r="A201" s="841"/>
    </row>
    <row r="202" spans="1:1" x14ac:dyDescent="0.25">
      <c r="A202" s="841"/>
    </row>
    <row r="203" spans="1:1" x14ac:dyDescent="0.25">
      <c r="A203" s="841"/>
    </row>
    <row r="204" spans="1:1" x14ac:dyDescent="0.25">
      <c r="A204" s="841"/>
    </row>
    <row r="205" spans="1:1" x14ac:dyDescent="0.25">
      <c r="A205" s="841"/>
    </row>
    <row r="206" spans="1:1" x14ac:dyDescent="0.25">
      <c r="A206" s="841"/>
    </row>
    <row r="207" spans="1:1" x14ac:dyDescent="0.25">
      <c r="A207" s="841"/>
    </row>
    <row r="208" spans="1:1" x14ac:dyDescent="0.25">
      <c r="A208" s="841"/>
    </row>
    <row r="209" spans="1:1" x14ac:dyDescent="0.25">
      <c r="A209" s="841"/>
    </row>
    <row r="210" spans="1:1" x14ac:dyDescent="0.25">
      <c r="A210" s="841"/>
    </row>
    <row r="211" spans="1:1" x14ac:dyDescent="0.25">
      <c r="A211" s="841"/>
    </row>
    <row r="212" spans="1:1" x14ac:dyDescent="0.25">
      <c r="A212" s="841"/>
    </row>
    <row r="213" spans="1:1" x14ac:dyDescent="0.25">
      <c r="A213" s="841"/>
    </row>
    <row r="214" spans="1:1" x14ac:dyDescent="0.25">
      <c r="A214" s="841"/>
    </row>
    <row r="215" spans="1:1" x14ac:dyDescent="0.25">
      <c r="A215" s="841"/>
    </row>
    <row r="216" spans="1:1" x14ac:dyDescent="0.25">
      <c r="A216" s="841"/>
    </row>
    <row r="217" spans="1:1" x14ac:dyDescent="0.25">
      <c r="A217" s="841"/>
    </row>
    <row r="218" spans="1:1" x14ac:dyDescent="0.25">
      <c r="A218" s="841"/>
    </row>
    <row r="219" spans="1:1" x14ac:dyDescent="0.25">
      <c r="A219" s="841"/>
    </row>
    <row r="220" spans="1:1" x14ac:dyDescent="0.25">
      <c r="A220" s="841"/>
    </row>
    <row r="221" spans="1:1" x14ac:dyDescent="0.25">
      <c r="A221" s="841"/>
    </row>
    <row r="222" spans="1:1" x14ac:dyDescent="0.25">
      <c r="A222" s="841"/>
    </row>
    <row r="223" spans="1:1" x14ac:dyDescent="0.25">
      <c r="A223" s="841"/>
    </row>
    <row r="224" spans="1:1" x14ac:dyDescent="0.25">
      <c r="A224" s="841"/>
    </row>
    <row r="225" spans="1:1" x14ac:dyDescent="0.25">
      <c r="A225" s="841"/>
    </row>
    <row r="226" spans="1:1" x14ac:dyDescent="0.25">
      <c r="A226" s="841"/>
    </row>
    <row r="227" spans="1:1" x14ac:dyDescent="0.25">
      <c r="A227" s="841"/>
    </row>
    <row r="228" spans="1:1" x14ac:dyDescent="0.25">
      <c r="A228" s="841"/>
    </row>
    <row r="229" spans="1:1" x14ac:dyDescent="0.25">
      <c r="A229" s="841"/>
    </row>
    <row r="230" spans="1:1" x14ac:dyDescent="0.25">
      <c r="A230" s="841"/>
    </row>
    <row r="231" spans="1:1" x14ac:dyDescent="0.25">
      <c r="A231" s="841"/>
    </row>
    <row r="232" spans="1:1" x14ac:dyDescent="0.25">
      <c r="A232" s="841"/>
    </row>
    <row r="233" spans="1:1" x14ac:dyDescent="0.25">
      <c r="A233" s="841"/>
    </row>
    <row r="234" spans="1:1" x14ac:dyDescent="0.25">
      <c r="A234" s="841"/>
    </row>
    <row r="235" spans="1:1" x14ac:dyDescent="0.25">
      <c r="A235" s="841"/>
    </row>
    <row r="236" spans="1:1" x14ac:dyDescent="0.25">
      <c r="A236" s="841"/>
    </row>
    <row r="237" spans="1:1" x14ac:dyDescent="0.25">
      <c r="A237" s="841"/>
    </row>
    <row r="238" spans="1:1" x14ac:dyDescent="0.25">
      <c r="A238" s="841"/>
    </row>
    <row r="239" spans="1:1" x14ac:dyDescent="0.25">
      <c r="A239" s="841"/>
    </row>
    <row r="240" spans="1:1" x14ac:dyDescent="0.25">
      <c r="A240" s="841"/>
    </row>
    <row r="241" spans="1:1" x14ac:dyDescent="0.25">
      <c r="A241" s="841"/>
    </row>
    <row r="242" spans="1:1" x14ac:dyDescent="0.25">
      <c r="A242" s="841"/>
    </row>
    <row r="243" spans="1:1" x14ac:dyDescent="0.25">
      <c r="A243" s="841"/>
    </row>
    <row r="244" spans="1:1" x14ac:dyDescent="0.25">
      <c r="A244" s="841"/>
    </row>
    <row r="245" spans="1:1" x14ac:dyDescent="0.25">
      <c r="A245" s="841"/>
    </row>
    <row r="246" spans="1:1" x14ac:dyDescent="0.25">
      <c r="A246" s="841"/>
    </row>
    <row r="247" spans="1:1" x14ac:dyDescent="0.25">
      <c r="A247" s="841"/>
    </row>
    <row r="248" spans="1:1" x14ac:dyDescent="0.25">
      <c r="A248" s="841"/>
    </row>
    <row r="249" spans="1:1" x14ac:dyDescent="0.25">
      <c r="A249" s="841"/>
    </row>
    <row r="250" spans="1:1" x14ac:dyDescent="0.25">
      <c r="A250" s="841"/>
    </row>
    <row r="251" spans="1:1" x14ac:dyDescent="0.25">
      <c r="A251" s="841"/>
    </row>
    <row r="252" spans="1:1" x14ac:dyDescent="0.25">
      <c r="A252" s="841"/>
    </row>
    <row r="253" spans="1:1" x14ac:dyDescent="0.25">
      <c r="A253" s="841"/>
    </row>
    <row r="254" spans="1:1" x14ac:dyDescent="0.25">
      <c r="A254" s="841"/>
    </row>
    <row r="255" spans="1:1" x14ac:dyDescent="0.25">
      <c r="A255" s="841"/>
    </row>
    <row r="256" spans="1:1" x14ac:dyDescent="0.25">
      <c r="A256" s="841"/>
    </row>
    <row r="257" spans="1:1" x14ac:dyDescent="0.25">
      <c r="A257" s="841"/>
    </row>
    <row r="258" spans="1:1" x14ac:dyDescent="0.25">
      <c r="A258" s="841"/>
    </row>
    <row r="259" spans="1:1" x14ac:dyDescent="0.25">
      <c r="A259" s="841"/>
    </row>
    <row r="260" spans="1:1" x14ac:dyDescent="0.25">
      <c r="A260" s="841"/>
    </row>
    <row r="261" spans="1:1" x14ac:dyDescent="0.25">
      <c r="A261" s="841"/>
    </row>
    <row r="262" spans="1:1" x14ac:dyDescent="0.25">
      <c r="A262" s="841"/>
    </row>
    <row r="263" spans="1:1" x14ac:dyDescent="0.25">
      <c r="A263" s="841"/>
    </row>
    <row r="264" spans="1:1" x14ac:dyDescent="0.25">
      <c r="A264" s="841"/>
    </row>
    <row r="265" spans="1:1" x14ac:dyDescent="0.25">
      <c r="A265" s="841"/>
    </row>
    <row r="266" spans="1:1" x14ac:dyDescent="0.25">
      <c r="A266" s="841"/>
    </row>
    <row r="267" spans="1:1" x14ac:dyDescent="0.25">
      <c r="A267" s="841"/>
    </row>
    <row r="268" spans="1:1" x14ac:dyDescent="0.25">
      <c r="A268" s="841"/>
    </row>
    <row r="269" spans="1:1" x14ac:dyDescent="0.25">
      <c r="A269" s="841"/>
    </row>
    <row r="270" spans="1:1" x14ac:dyDescent="0.25">
      <c r="A270" s="841"/>
    </row>
    <row r="271" spans="1:1" x14ac:dyDescent="0.25">
      <c r="A271" s="841"/>
    </row>
    <row r="272" spans="1:1" x14ac:dyDescent="0.25">
      <c r="A272" s="841"/>
    </row>
    <row r="273" spans="1:1" x14ac:dyDescent="0.25">
      <c r="A273" s="841"/>
    </row>
    <row r="274" spans="1:1" x14ac:dyDescent="0.25">
      <c r="A274" s="841"/>
    </row>
    <row r="275" spans="1:1" x14ac:dyDescent="0.25">
      <c r="A275" s="841"/>
    </row>
    <row r="276" spans="1:1" x14ac:dyDescent="0.25">
      <c r="A276" s="841"/>
    </row>
    <row r="277" spans="1:1" x14ac:dyDescent="0.25">
      <c r="A277" s="841"/>
    </row>
    <row r="278" spans="1:1" x14ac:dyDescent="0.25">
      <c r="A278" s="841"/>
    </row>
    <row r="279" spans="1:1" x14ac:dyDescent="0.25">
      <c r="A279" s="841"/>
    </row>
    <row r="280" spans="1:1" x14ac:dyDescent="0.25">
      <c r="A280" s="841"/>
    </row>
    <row r="281" spans="1:1" x14ac:dyDescent="0.25">
      <c r="A281" s="841"/>
    </row>
    <row r="282" spans="1:1" x14ac:dyDescent="0.25">
      <c r="A282" s="841"/>
    </row>
    <row r="283" spans="1:1" x14ac:dyDescent="0.25">
      <c r="A283" s="841"/>
    </row>
    <row r="284" spans="1:1" x14ac:dyDescent="0.25">
      <c r="A284" s="841"/>
    </row>
    <row r="285" spans="1:1" x14ac:dyDescent="0.25">
      <c r="A285" s="841"/>
    </row>
    <row r="286" spans="1:1" x14ac:dyDescent="0.25">
      <c r="A286" s="841"/>
    </row>
    <row r="287" spans="1:1" x14ac:dyDescent="0.25">
      <c r="A287" s="841"/>
    </row>
    <row r="288" spans="1:1" x14ac:dyDescent="0.25">
      <c r="A288" s="841"/>
    </row>
    <row r="289" spans="1:1" x14ac:dyDescent="0.25">
      <c r="A289" s="841"/>
    </row>
    <row r="290" spans="1:1" x14ac:dyDescent="0.25">
      <c r="A290" s="841"/>
    </row>
    <row r="291" spans="1:1" x14ac:dyDescent="0.25">
      <c r="A291" s="841"/>
    </row>
    <row r="292" spans="1:1" x14ac:dyDescent="0.25">
      <c r="A292" s="841"/>
    </row>
    <row r="293" spans="1:1" x14ac:dyDescent="0.25">
      <c r="A293" s="841"/>
    </row>
    <row r="294" spans="1:1" x14ac:dyDescent="0.25">
      <c r="A294" s="841"/>
    </row>
    <row r="295" spans="1:1" x14ac:dyDescent="0.25">
      <c r="A295" s="841"/>
    </row>
    <row r="296" spans="1:1" x14ac:dyDescent="0.25">
      <c r="A296" s="841"/>
    </row>
    <row r="297" spans="1:1" x14ac:dyDescent="0.25">
      <c r="A297" s="841"/>
    </row>
    <row r="298" spans="1:1" x14ac:dyDescent="0.25">
      <c r="A298" s="841"/>
    </row>
    <row r="299" spans="1:1" x14ac:dyDescent="0.25">
      <c r="A299" s="841"/>
    </row>
    <row r="300" spans="1:1" x14ac:dyDescent="0.25">
      <c r="A300" s="841"/>
    </row>
    <row r="301" spans="1:1" x14ac:dyDescent="0.25">
      <c r="A301" s="841"/>
    </row>
    <row r="302" spans="1:1" x14ac:dyDescent="0.25">
      <c r="A302" s="841"/>
    </row>
    <row r="303" spans="1:1" x14ac:dyDescent="0.25">
      <c r="A303" s="841"/>
    </row>
    <row r="304" spans="1:1" x14ac:dyDescent="0.25">
      <c r="A304" s="841"/>
    </row>
    <row r="305" spans="1:1" x14ac:dyDescent="0.25">
      <c r="A305" s="841"/>
    </row>
    <row r="306" spans="1:1" x14ac:dyDescent="0.25">
      <c r="A306" s="841"/>
    </row>
    <row r="307" spans="1:1" x14ac:dyDescent="0.25">
      <c r="A307" s="841"/>
    </row>
    <row r="308" spans="1:1" x14ac:dyDescent="0.25">
      <c r="A308" s="841"/>
    </row>
    <row r="309" spans="1:1" x14ac:dyDescent="0.25">
      <c r="A309" s="841"/>
    </row>
    <row r="310" spans="1:1" x14ac:dyDescent="0.25">
      <c r="A310" s="841"/>
    </row>
    <row r="311" spans="1:1" x14ac:dyDescent="0.25">
      <c r="A311" s="841"/>
    </row>
    <row r="312" spans="1:1" x14ac:dyDescent="0.25">
      <c r="A312" s="841"/>
    </row>
    <row r="313" spans="1:1" x14ac:dyDescent="0.25">
      <c r="A313" s="841"/>
    </row>
    <row r="314" spans="1:1" x14ac:dyDescent="0.25">
      <c r="A314" s="841"/>
    </row>
    <row r="315" spans="1:1" x14ac:dyDescent="0.25">
      <c r="A315" s="841"/>
    </row>
    <row r="316" spans="1:1" x14ac:dyDescent="0.25">
      <c r="A316" s="841"/>
    </row>
    <row r="317" spans="1:1" x14ac:dyDescent="0.25">
      <c r="A317" s="841"/>
    </row>
    <row r="318" spans="1:1" x14ac:dyDescent="0.25">
      <c r="A318" s="841"/>
    </row>
    <row r="319" spans="1:1" x14ac:dyDescent="0.25">
      <c r="A319" s="841"/>
    </row>
    <row r="320" spans="1:1" x14ac:dyDescent="0.25">
      <c r="A320" s="841"/>
    </row>
    <row r="321" spans="1:1" x14ac:dyDescent="0.25">
      <c r="A321" s="841"/>
    </row>
    <row r="322" spans="1:1" x14ac:dyDescent="0.25">
      <c r="A322" s="841"/>
    </row>
    <row r="323" spans="1:1" x14ac:dyDescent="0.25">
      <c r="A323" s="841"/>
    </row>
    <row r="324" spans="1:1" x14ac:dyDescent="0.25">
      <c r="A324" s="841"/>
    </row>
    <row r="325" spans="1:1" x14ac:dyDescent="0.25">
      <c r="A325" s="841"/>
    </row>
    <row r="326" spans="1:1" x14ac:dyDescent="0.25">
      <c r="A326" s="841"/>
    </row>
    <row r="327" spans="1:1" x14ac:dyDescent="0.25">
      <c r="A327" s="841"/>
    </row>
    <row r="328" spans="1:1" x14ac:dyDescent="0.25">
      <c r="A328" s="841"/>
    </row>
    <row r="329" spans="1:1" x14ac:dyDescent="0.25">
      <c r="A329" s="841"/>
    </row>
    <row r="330" spans="1:1" x14ac:dyDescent="0.25">
      <c r="A330" s="841"/>
    </row>
    <row r="331" spans="1:1" x14ac:dyDescent="0.25">
      <c r="A331" s="841"/>
    </row>
    <row r="332" spans="1:1" x14ac:dyDescent="0.25">
      <c r="A332" s="841"/>
    </row>
    <row r="333" spans="1:1" x14ac:dyDescent="0.25">
      <c r="A333" s="841"/>
    </row>
    <row r="334" spans="1:1" x14ac:dyDescent="0.25">
      <c r="A334" s="841"/>
    </row>
    <row r="335" spans="1:1" x14ac:dyDescent="0.25">
      <c r="A335" s="841"/>
    </row>
    <row r="336" spans="1:1" x14ac:dyDescent="0.25">
      <c r="A336" s="841"/>
    </row>
    <row r="337" spans="1:1" x14ac:dyDescent="0.25">
      <c r="A337" s="841"/>
    </row>
    <row r="338" spans="1:1" x14ac:dyDescent="0.25">
      <c r="A338" s="841"/>
    </row>
    <row r="339" spans="1:1" x14ac:dyDescent="0.25">
      <c r="A339" s="841"/>
    </row>
    <row r="340" spans="1:1" x14ac:dyDescent="0.25">
      <c r="A340" s="841"/>
    </row>
    <row r="341" spans="1:1" x14ac:dyDescent="0.25">
      <c r="A341" s="841"/>
    </row>
    <row r="342" spans="1:1" x14ac:dyDescent="0.25">
      <c r="A342" s="841"/>
    </row>
    <row r="343" spans="1:1" x14ac:dyDescent="0.25">
      <c r="A343" s="841"/>
    </row>
    <row r="344" spans="1:1" x14ac:dyDescent="0.25">
      <c r="A344" s="841"/>
    </row>
    <row r="345" spans="1:1" x14ac:dyDescent="0.25">
      <c r="A345" s="841"/>
    </row>
    <row r="346" spans="1:1" x14ac:dyDescent="0.25">
      <c r="A346" s="841"/>
    </row>
    <row r="347" spans="1:1" x14ac:dyDescent="0.25">
      <c r="A347" s="841"/>
    </row>
    <row r="348" spans="1:1" x14ac:dyDescent="0.25">
      <c r="A348" s="841"/>
    </row>
    <row r="349" spans="1:1" x14ac:dyDescent="0.25">
      <c r="A349" s="841"/>
    </row>
    <row r="350" spans="1:1" x14ac:dyDescent="0.25">
      <c r="A350" s="841"/>
    </row>
    <row r="351" spans="1:1" x14ac:dyDescent="0.25">
      <c r="A351" s="841"/>
    </row>
    <row r="352" spans="1:1" x14ac:dyDescent="0.25">
      <c r="A352" s="841"/>
    </row>
    <row r="353" spans="1:1" x14ac:dyDescent="0.25">
      <c r="A353" s="841"/>
    </row>
    <row r="354" spans="1:1" x14ac:dyDescent="0.25">
      <c r="A354" s="841"/>
    </row>
    <row r="355" spans="1:1" x14ac:dyDescent="0.25">
      <c r="A355" s="841"/>
    </row>
    <row r="356" spans="1:1" x14ac:dyDescent="0.25">
      <c r="A356" s="841"/>
    </row>
    <row r="357" spans="1:1" x14ac:dyDescent="0.25">
      <c r="A357" s="841"/>
    </row>
    <row r="358" spans="1:1" x14ac:dyDescent="0.25">
      <c r="A358" s="841"/>
    </row>
    <row r="359" spans="1:1" x14ac:dyDescent="0.25">
      <c r="A359" s="841"/>
    </row>
    <row r="360" spans="1:1" x14ac:dyDescent="0.25">
      <c r="A360" s="841"/>
    </row>
    <row r="361" spans="1:1" x14ac:dyDescent="0.25">
      <c r="A361" s="841"/>
    </row>
    <row r="362" spans="1:1" x14ac:dyDescent="0.25">
      <c r="A362" s="841"/>
    </row>
    <row r="363" spans="1:1" x14ac:dyDescent="0.25">
      <c r="A363" s="841"/>
    </row>
    <row r="364" spans="1:1" x14ac:dyDescent="0.25">
      <c r="A364" s="841"/>
    </row>
    <row r="365" spans="1:1" x14ac:dyDescent="0.25">
      <c r="A365" s="841"/>
    </row>
    <row r="366" spans="1:1" x14ac:dyDescent="0.25">
      <c r="A366" s="841"/>
    </row>
    <row r="367" spans="1:1" x14ac:dyDescent="0.25">
      <c r="A367" s="841"/>
    </row>
    <row r="368" spans="1:1" x14ac:dyDescent="0.25">
      <c r="A368" s="841"/>
    </row>
    <row r="369" spans="1:1" x14ac:dyDescent="0.25">
      <c r="A369" s="841"/>
    </row>
    <row r="370" spans="1:1" x14ac:dyDescent="0.25">
      <c r="A370" s="841"/>
    </row>
    <row r="371" spans="1:1" x14ac:dyDescent="0.25">
      <c r="A371" s="841"/>
    </row>
    <row r="372" spans="1:1" x14ac:dyDescent="0.25">
      <c r="A372" s="841"/>
    </row>
    <row r="373" spans="1:1" x14ac:dyDescent="0.25">
      <c r="A373" s="841"/>
    </row>
    <row r="374" spans="1:1" x14ac:dyDescent="0.25">
      <c r="A374" s="841"/>
    </row>
    <row r="375" spans="1:1" x14ac:dyDescent="0.25">
      <c r="A375" s="841"/>
    </row>
    <row r="376" spans="1:1" x14ac:dyDescent="0.25">
      <c r="A376" s="841"/>
    </row>
    <row r="377" spans="1:1" x14ac:dyDescent="0.25">
      <c r="A377" s="841"/>
    </row>
    <row r="378" spans="1:1" x14ac:dyDescent="0.25">
      <c r="A378" s="841"/>
    </row>
    <row r="379" spans="1:1" x14ac:dyDescent="0.25">
      <c r="A379" s="841"/>
    </row>
    <row r="380" spans="1:1" x14ac:dyDescent="0.25">
      <c r="A380" s="841"/>
    </row>
    <row r="381" spans="1:1" x14ac:dyDescent="0.25">
      <c r="A381" s="841"/>
    </row>
    <row r="382" spans="1:1" x14ac:dyDescent="0.25">
      <c r="A382" s="841"/>
    </row>
    <row r="383" spans="1:1" x14ac:dyDescent="0.25">
      <c r="A383" s="841"/>
    </row>
    <row r="384" spans="1:1" x14ac:dyDescent="0.25">
      <c r="A384" s="841"/>
    </row>
    <row r="385" spans="1:1" x14ac:dyDescent="0.25">
      <c r="A385" s="841"/>
    </row>
    <row r="386" spans="1:1" x14ac:dyDescent="0.25">
      <c r="A386" s="841"/>
    </row>
    <row r="387" spans="1:1" x14ac:dyDescent="0.25">
      <c r="A387" s="841"/>
    </row>
    <row r="388" spans="1:1" x14ac:dyDescent="0.25">
      <c r="A388" s="841"/>
    </row>
    <row r="389" spans="1:1" x14ac:dyDescent="0.25">
      <c r="A389" s="841"/>
    </row>
    <row r="390" spans="1:1" x14ac:dyDescent="0.25">
      <c r="A390" s="841"/>
    </row>
    <row r="391" spans="1:1" x14ac:dyDescent="0.25">
      <c r="A391" s="841"/>
    </row>
    <row r="392" spans="1:1" x14ac:dyDescent="0.25">
      <c r="A392" s="841"/>
    </row>
    <row r="393" spans="1:1" x14ac:dyDescent="0.25">
      <c r="A393" s="841"/>
    </row>
    <row r="394" spans="1:1" x14ac:dyDescent="0.25">
      <c r="A394" s="841"/>
    </row>
    <row r="395" spans="1:1" x14ac:dyDescent="0.25">
      <c r="A395" s="841"/>
    </row>
    <row r="396" spans="1:1" x14ac:dyDescent="0.25">
      <c r="A396" s="841"/>
    </row>
    <row r="397" spans="1:1" x14ac:dyDescent="0.25">
      <c r="A397" s="841"/>
    </row>
    <row r="398" spans="1:1" x14ac:dyDescent="0.25">
      <c r="A398" s="841"/>
    </row>
    <row r="399" spans="1:1" x14ac:dyDescent="0.25">
      <c r="A399" s="841"/>
    </row>
    <row r="400" spans="1:1" x14ac:dyDescent="0.25">
      <c r="A400" s="841"/>
    </row>
    <row r="401" spans="1:1" x14ac:dyDescent="0.25">
      <c r="A401" s="841"/>
    </row>
    <row r="402" spans="1:1" x14ac:dyDescent="0.25">
      <c r="A402" s="841"/>
    </row>
    <row r="403" spans="1:1" x14ac:dyDescent="0.25">
      <c r="A403" s="841"/>
    </row>
    <row r="404" spans="1:1" x14ac:dyDescent="0.25">
      <c r="A404" s="841"/>
    </row>
    <row r="405" spans="1:1" x14ac:dyDescent="0.25">
      <c r="A405" s="841"/>
    </row>
    <row r="406" spans="1:1" x14ac:dyDescent="0.25">
      <c r="A406" s="841"/>
    </row>
    <row r="407" spans="1:1" x14ac:dyDescent="0.25">
      <c r="A407" s="841"/>
    </row>
    <row r="408" spans="1:1" x14ac:dyDescent="0.25">
      <c r="A408" s="841"/>
    </row>
    <row r="409" spans="1:1" x14ac:dyDescent="0.25">
      <c r="A409" s="841"/>
    </row>
    <row r="410" spans="1:1" x14ac:dyDescent="0.25">
      <c r="A410" s="841"/>
    </row>
    <row r="411" spans="1:1" x14ac:dyDescent="0.25">
      <c r="A411" s="841"/>
    </row>
    <row r="412" spans="1:1" x14ac:dyDescent="0.25">
      <c r="A412" s="841"/>
    </row>
    <row r="413" spans="1:1" x14ac:dyDescent="0.25">
      <c r="A413" s="841"/>
    </row>
    <row r="414" spans="1:1" x14ac:dyDescent="0.25">
      <c r="A414" s="841"/>
    </row>
    <row r="415" spans="1:1" x14ac:dyDescent="0.25">
      <c r="A415" s="841"/>
    </row>
    <row r="416" spans="1:1" x14ac:dyDescent="0.25">
      <c r="A416" s="841"/>
    </row>
    <row r="417" spans="1:1" x14ac:dyDescent="0.25">
      <c r="A417" s="841"/>
    </row>
    <row r="418" spans="1:1" x14ac:dyDescent="0.25">
      <c r="A418" s="841"/>
    </row>
    <row r="419" spans="1:1" x14ac:dyDescent="0.25">
      <c r="A419" s="841"/>
    </row>
    <row r="420" spans="1:1" x14ac:dyDescent="0.25">
      <c r="A420" s="841"/>
    </row>
    <row r="421" spans="1:1" x14ac:dyDescent="0.25">
      <c r="A421" s="841"/>
    </row>
    <row r="422" spans="1:1" x14ac:dyDescent="0.25">
      <c r="A422" s="841"/>
    </row>
    <row r="423" spans="1:1" x14ac:dyDescent="0.25">
      <c r="A423" s="841"/>
    </row>
    <row r="424" spans="1:1" x14ac:dyDescent="0.25">
      <c r="A424" s="841"/>
    </row>
    <row r="425" spans="1:1" x14ac:dyDescent="0.25">
      <c r="A425" s="841"/>
    </row>
    <row r="426" spans="1:1" x14ac:dyDescent="0.25">
      <c r="A426" s="841"/>
    </row>
    <row r="427" spans="1:1" x14ac:dyDescent="0.25">
      <c r="A427" s="841"/>
    </row>
    <row r="428" spans="1:1" x14ac:dyDescent="0.25">
      <c r="A428" s="841"/>
    </row>
    <row r="429" spans="1:1" x14ac:dyDescent="0.25">
      <c r="A429" s="841"/>
    </row>
    <row r="430" spans="1:1" x14ac:dyDescent="0.25">
      <c r="A430" s="841"/>
    </row>
    <row r="431" spans="1:1" x14ac:dyDescent="0.25">
      <c r="A431" s="841"/>
    </row>
    <row r="432" spans="1:1" x14ac:dyDescent="0.25">
      <c r="A432" s="841"/>
    </row>
    <row r="433" spans="1:1" x14ac:dyDescent="0.25">
      <c r="A433" s="841"/>
    </row>
    <row r="434" spans="1:1" x14ac:dyDescent="0.25">
      <c r="A434" s="841"/>
    </row>
    <row r="435" spans="1:1" x14ac:dyDescent="0.25">
      <c r="A435" s="841"/>
    </row>
    <row r="436" spans="1:1" x14ac:dyDescent="0.25">
      <c r="A436" s="841"/>
    </row>
    <row r="437" spans="1:1" x14ac:dyDescent="0.25">
      <c r="A437" s="841"/>
    </row>
    <row r="438" spans="1:1" x14ac:dyDescent="0.25">
      <c r="A438" s="841"/>
    </row>
    <row r="439" spans="1:1" x14ac:dyDescent="0.25">
      <c r="A439" s="841"/>
    </row>
    <row r="440" spans="1:1" x14ac:dyDescent="0.25">
      <c r="A440" s="841"/>
    </row>
    <row r="441" spans="1:1" x14ac:dyDescent="0.25">
      <c r="A441" s="841"/>
    </row>
    <row r="442" spans="1:1" x14ac:dyDescent="0.25">
      <c r="A442" s="841"/>
    </row>
    <row r="443" spans="1:1" x14ac:dyDescent="0.25">
      <c r="A443" s="841"/>
    </row>
    <row r="444" spans="1:1" x14ac:dyDescent="0.25">
      <c r="A444" s="841"/>
    </row>
    <row r="445" spans="1:1" x14ac:dyDescent="0.25">
      <c r="A445" s="841"/>
    </row>
    <row r="446" spans="1:1" x14ac:dyDescent="0.25">
      <c r="A446" s="841"/>
    </row>
    <row r="447" spans="1:1" x14ac:dyDescent="0.25">
      <c r="A447" s="841"/>
    </row>
    <row r="448" spans="1:1" x14ac:dyDescent="0.25">
      <c r="A448" s="841"/>
    </row>
    <row r="449" spans="1:1" x14ac:dyDescent="0.25">
      <c r="A449" s="841"/>
    </row>
    <row r="450" spans="1:1" x14ac:dyDescent="0.25">
      <c r="A450" s="841"/>
    </row>
    <row r="451" spans="1:1" x14ac:dyDescent="0.25">
      <c r="A451" s="841"/>
    </row>
    <row r="452" spans="1:1" x14ac:dyDescent="0.25">
      <c r="A452" s="841"/>
    </row>
    <row r="453" spans="1:1" x14ac:dyDescent="0.25">
      <c r="A453" s="841"/>
    </row>
    <row r="454" spans="1:1" x14ac:dyDescent="0.25">
      <c r="A454" s="841"/>
    </row>
    <row r="455" spans="1:1" x14ac:dyDescent="0.25">
      <c r="A455" s="841"/>
    </row>
    <row r="456" spans="1:1" x14ac:dyDescent="0.25">
      <c r="A456" s="841"/>
    </row>
    <row r="457" spans="1:1" x14ac:dyDescent="0.25">
      <c r="A457" s="841"/>
    </row>
    <row r="458" spans="1:1" x14ac:dyDescent="0.25">
      <c r="A458" s="841"/>
    </row>
    <row r="459" spans="1:1" x14ac:dyDescent="0.25">
      <c r="A459" s="841"/>
    </row>
    <row r="460" spans="1:1" x14ac:dyDescent="0.25">
      <c r="A460" s="841"/>
    </row>
    <row r="461" spans="1:1" x14ac:dyDescent="0.25">
      <c r="A461" s="841"/>
    </row>
    <row r="462" spans="1:1" x14ac:dyDescent="0.25">
      <c r="A462" s="841"/>
    </row>
    <row r="463" spans="1:1" x14ac:dyDescent="0.25">
      <c r="A463" s="841"/>
    </row>
    <row r="464" spans="1:1" x14ac:dyDescent="0.25">
      <c r="A464" s="841"/>
    </row>
    <row r="465" spans="1:1" x14ac:dyDescent="0.25">
      <c r="A465" s="841"/>
    </row>
    <row r="466" spans="1:1" x14ac:dyDescent="0.25">
      <c r="A466" s="841"/>
    </row>
    <row r="467" spans="1:1" x14ac:dyDescent="0.25">
      <c r="A467" s="841"/>
    </row>
    <row r="468" spans="1:1" x14ac:dyDescent="0.25">
      <c r="A468" s="841"/>
    </row>
    <row r="469" spans="1:1" x14ac:dyDescent="0.25">
      <c r="A469" s="841"/>
    </row>
    <row r="470" spans="1:1" x14ac:dyDescent="0.25">
      <c r="A470" s="841"/>
    </row>
    <row r="471" spans="1:1" x14ac:dyDescent="0.25">
      <c r="A471" s="841"/>
    </row>
    <row r="472" spans="1:1" x14ac:dyDescent="0.25">
      <c r="A472" s="841"/>
    </row>
    <row r="473" spans="1:1" x14ac:dyDescent="0.25">
      <c r="A473" s="841"/>
    </row>
    <row r="474" spans="1:1" x14ac:dyDescent="0.25">
      <c r="A474" s="841"/>
    </row>
    <row r="475" spans="1:1" x14ac:dyDescent="0.25">
      <c r="A475" s="841"/>
    </row>
    <row r="476" spans="1:1" x14ac:dyDescent="0.25">
      <c r="A476" s="841"/>
    </row>
    <row r="477" spans="1:1" x14ac:dyDescent="0.25">
      <c r="A477" s="841"/>
    </row>
    <row r="478" spans="1:1" x14ac:dyDescent="0.25">
      <c r="A478" s="841"/>
    </row>
    <row r="479" spans="1:1" x14ac:dyDescent="0.25">
      <c r="A479" s="841"/>
    </row>
    <row r="480" spans="1:1" x14ac:dyDescent="0.25">
      <c r="A480" s="841"/>
    </row>
    <row r="481" spans="1:1" x14ac:dyDescent="0.25">
      <c r="A481" s="841"/>
    </row>
    <row r="482" spans="1:1" x14ac:dyDescent="0.25">
      <c r="A482" s="841"/>
    </row>
    <row r="483" spans="1:1" x14ac:dyDescent="0.25">
      <c r="A483" s="841"/>
    </row>
    <row r="484" spans="1:1" x14ac:dyDescent="0.25">
      <c r="A484" s="841"/>
    </row>
    <row r="485" spans="1:1" x14ac:dyDescent="0.25">
      <c r="A485" s="841"/>
    </row>
    <row r="486" spans="1:1" x14ac:dyDescent="0.25">
      <c r="A486" s="841"/>
    </row>
    <row r="487" spans="1:1" x14ac:dyDescent="0.25">
      <c r="A487" s="841"/>
    </row>
    <row r="488" spans="1:1" x14ac:dyDescent="0.25">
      <c r="A488" s="841"/>
    </row>
    <row r="489" spans="1:1" x14ac:dyDescent="0.25">
      <c r="A489" s="841"/>
    </row>
    <row r="490" spans="1:1" x14ac:dyDescent="0.25">
      <c r="A490" s="841"/>
    </row>
    <row r="491" spans="1:1" x14ac:dyDescent="0.25">
      <c r="A491" s="841"/>
    </row>
    <row r="492" spans="1:1" x14ac:dyDescent="0.25">
      <c r="A492" s="841"/>
    </row>
    <row r="493" spans="1:1" x14ac:dyDescent="0.25">
      <c r="A493" s="841"/>
    </row>
    <row r="494" spans="1:1" x14ac:dyDescent="0.25">
      <c r="A494" s="841"/>
    </row>
    <row r="495" spans="1:1" x14ac:dyDescent="0.25">
      <c r="A495" s="841"/>
    </row>
    <row r="496" spans="1:1" x14ac:dyDescent="0.25">
      <c r="A496" s="841"/>
    </row>
    <row r="497" spans="1:1" x14ac:dyDescent="0.25">
      <c r="A497" s="841"/>
    </row>
    <row r="498" spans="1:1" x14ac:dyDescent="0.25">
      <c r="A498" s="841"/>
    </row>
    <row r="499" spans="1:1" x14ac:dyDescent="0.25">
      <c r="A499" s="841"/>
    </row>
    <row r="500" spans="1:1" x14ac:dyDescent="0.25">
      <c r="A500" s="841"/>
    </row>
    <row r="501" spans="1:1" x14ac:dyDescent="0.25">
      <c r="A501" s="841"/>
    </row>
    <row r="502" spans="1:1" x14ac:dyDescent="0.25">
      <c r="A502" s="841"/>
    </row>
    <row r="503" spans="1:1" x14ac:dyDescent="0.25">
      <c r="A503" s="841"/>
    </row>
    <row r="504" spans="1:1" x14ac:dyDescent="0.25">
      <c r="A504" s="841"/>
    </row>
    <row r="505" spans="1:1" x14ac:dyDescent="0.25">
      <c r="A505" s="841"/>
    </row>
    <row r="506" spans="1:1" x14ac:dyDescent="0.25">
      <c r="A506" s="841"/>
    </row>
    <row r="507" spans="1:1" x14ac:dyDescent="0.25">
      <c r="A507" s="841"/>
    </row>
    <row r="508" spans="1:1" x14ac:dyDescent="0.25">
      <c r="A508" s="841"/>
    </row>
    <row r="509" spans="1:1" x14ac:dyDescent="0.25">
      <c r="A509" s="841"/>
    </row>
    <row r="510" spans="1:1" x14ac:dyDescent="0.25">
      <c r="A510" s="841"/>
    </row>
    <row r="511" spans="1:1" x14ac:dyDescent="0.25">
      <c r="A511" s="841"/>
    </row>
    <row r="512" spans="1:1" x14ac:dyDescent="0.25">
      <c r="A512" s="841"/>
    </row>
    <row r="513" spans="1:1" x14ac:dyDescent="0.25">
      <c r="A513" s="841"/>
    </row>
    <row r="514" spans="1:1" x14ac:dyDescent="0.25">
      <c r="A514" s="841"/>
    </row>
    <row r="515" spans="1:1" x14ac:dyDescent="0.25">
      <c r="A515" s="841"/>
    </row>
    <row r="516" spans="1:1" x14ac:dyDescent="0.25">
      <c r="A516" s="841"/>
    </row>
    <row r="517" spans="1:1" x14ac:dyDescent="0.25">
      <c r="A517" s="841"/>
    </row>
    <row r="518" spans="1:1" x14ac:dyDescent="0.25">
      <c r="A518" s="841"/>
    </row>
    <row r="519" spans="1:1" x14ac:dyDescent="0.25">
      <c r="A519" s="841"/>
    </row>
    <row r="520" spans="1:1" x14ac:dyDescent="0.25">
      <c r="A520" s="841"/>
    </row>
    <row r="521" spans="1:1" x14ac:dyDescent="0.25">
      <c r="A521" s="841"/>
    </row>
    <row r="522" spans="1:1" x14ac:dyDescent="0.25">
      <c r="A522" s="841"/>
    </row>
    <row r="523" spans="1:1" x14ac:dyDescent="0.25">
      <c r="A523" s="841"/>
    </row>
    <row r="524" spans="1:1" x14ac:dyDescent="0.25">
      <c r="A524" s="841"/>
    </row>
    <row r="525" spans="1:1" x14ac:dyDescent="0.25">
      <c r="A525" s="841"/>
    </row>
    <row r="526" spans="1:1" x14ac:dyDescent="0.25">
      <c r="A526" s="841"/>
    </row>
    <row r="527" spans="1:1" x14ac:dyDescent="0.25">
      <c r="A527" s="841"/>
    </row>
    <row r="528" spans="1:1" x14ac:dyDescent="0.25">
      <c r="A528" s="841"/>
    </row>
    <row r="529" spans="1:1" x14ac:dyDescent="0.25">
      <c r="A529" s="841"/>
    </row>
    <row r="530" spans="1:1" x14ac:dyDescent="0.25">
      <c r="A530" s="841"/>
    </row>
    <row r="531" spans="1:1" x14ac:dyDescent="0.25">
      <c r="A531" s="841"/>
    </row>
    <row r="532" spans="1:1" x14ac:dyDescent="0.25">
      <c r="A532" s="841"/>
    </row>
    <row r="533" spans="1:1" x14ac:dyDescent="0.25">
      <c r="A533" s="841"/>
    </row>
    <row r="534" spans="1:1" x14ac:dyDescent="0.25">
      <c r="A534" s="841"/>
    </row>
    <row r="535" spans="1:1" x14ac:dyDescent="0.25">
      <c r="A535" s="841"/>
    </row>
    <row r="536" spans="1:1" x14ac:dyDescent="0.25">
      <c r="A536" s="841"/>
    </row>
    <row r="537" spans="1:1" x14ac:dyDescent="0.25">
      <c r="A537" s="841"/>
    </row>
    <row r="538" spans="1:1" x14ac:dyDescent="0.25">
      <c r="A538" s="841"/>
    </row>
    <row r="539" spans="1:1" x14ac:dyDescent="0.25">
      <c r="A539" s="841"/>
    </row>
    <row r="540" spans="1:1" x14ac:dyDescent="0.25">
      <c r="A540" s="841"/>
    </row>
    <row r="541" spans="1:1" x14ac:dyDescent="0.25">
      <c r="A541" s="841"/>
    </row>
    <row r="542" spans="1:1" x14ac:dyDescent="0.25">
      <c r="A542" s="841"/>
    </row>
    <row r="543" spans="1:1" x14ac:dyDescent="0.25">
      <c r="A543" s="841"/>
    </row>
    <row r="544" spans="1:1" x14ac:dyDescent="0.25">
      <c r="A544" s="841"/>
    </row>
    <row r="545" spans="1:1" x14ac:dyDescent="0.25">
      <c r="A545" s="841"/>
    </row>
    <row r="546" spans="1:1" x14ac:dyDescent="0.25">
      <c r="A546" s="841"/>
    </row>
    <row r="547" spans="1:1" x14ac:dyDescent="0.25">
      <c r="A547" s="841"/>
    </row>
    <row r="548" spans="1:1" x14ac:dyDescent="0.25">
      <c r="A548" s="841"/>
    </row>
    <row r="549" spans="1:1" x14ac:dyDescent="0.25">
      <c r="A549" s="841"/>
    </row>
    <row r="550" spans="1:1" x14ac:dyDescent="0.25">
      <c r="A550" s="841"/>
    </row>
    <row r="551" spans="1:1" x14ac:dyDescent="0.25">
      <c r="A551" s="841"/>
    </row>
    <row r="552" spans="1:1" x14ac:dyDescent="0.25">
      <c r="A552" s="841"/>
    </row>
    <row r="553" spans="1:1" x14ac:dyDescent="0.25">
      <c r="A553" s="841"/>
    </row>
    <row r="554" spans="1:1" x14ac:dyDescent="0.25">
      <c r="A554" s="841"/>
    </row>
    <row r="555" spans="1:1" x14ac:dyDescent="0.25">
      <c r="A555" s="841"/>
    </row>
    <row r="556" spans="1:1" x14ac:dyDescent="0.25">
      <c r="A556" s="841"/>
    </row>
    <row r="557" spans="1:1" x14ac:dyDescent="0.25">
      <c r="A557" s="841"/>
    </row>
    <row r="558" spans="1:1" x14ac:dyDescent="0.25">
      <c r="A558" s="841"/>
    </row>
    <row r="559" spans="1:1" x14ac:dyDescent="0.25">
      <c r="A559" s="841"/>
    </row>
    <row r="560" spans="1:1" x14ac:dyDescent="0.25">
      <c r="A560" s="841"/>
    </row>
    <row r="561" spans="1:1" x14ac:dyDescent="0.25">
      <c r="A561" s="841"/>
    </row>
    <row r="562" spans="1:1" x14ac:dyDescent="0.25">
      <c r="A562" s="841"/>
    </row>
    <row r="563" spans="1:1" x14ac:dyDescent="0.25">
      <c r="A563" s="841"/>
    </row>
    <row r="564" spans="1:1" x14ac:dyDescent="0.25">
      <c r="A564" s="841"/>
    </row>
    <row r="565" spans="1:1" x14ac:dyDescent="0.25">
      <c r="A565" s="841"/>
    </row>
    <row r="566" spans="1:1" x14ac:dyDescent="0.25">
      <c r="A566" s="841"/>
    </row>
    <row r="567" spans="1:1" x14ac:dyDescent="0.25">
      <c r="A567" s="841"/>
    </row>
    <row r="568" spans="1:1" x14ac:dyDescent="0.25">
      <c r="A568" s="841"/>
    </row>
    <row r="569" spans="1:1" x14ac:dyDescent="0.25">
      <c r="A569" s="841"/>
    </row>
    <row r="570" spans="1:1" x14ac:dyDescent="0.25">
      <c r="A570" s="841"/>
    </row>
    <row r="571" spans="1:1" x14ac:dyDescent="0.25">
      <c r="A571" s="841"/>
    </row>
    <row r="572" spans="1:1" x14ac:dyDescent="0.25">
      <c r="A572" s="841"/>
    </row>
    <row r="573" spans="1:1" x14ac:dyDescent="0.25">
      <c r="A573" s="841"/>
    </row>
    <row r="574" spans="1:1" x14ac:dyDescent="0.25">
      <c r="A574" s="841"/>
    </row>
    <row r="575" spans="1:1" x14ac:dyDescent="0.25">
      <c r="A575" s="841"/>
    </row>
    <row r="576" spans="1:1" x14ac:dyDescent="0.25">
      <c r="A576" s="841"/>
    </row>
    <row r="577" spans="1:1" x14ac:dyDescent="0.25">
      <c r="A577" s="841"/>
    </row>
    <row r="578" spans="1:1" x14ac:dyDescent="0.25">
      <c r="A578" s="841"/>
    </row>
    <row r="579" spans="1:1" x14ac:dyDescent="0.25">
      <c r="A579" s="841"/>
    </row>
    <row r="580" spans="1:1" x14ac:dyDescent="0.25">
      <c r="A580" s="841"/>
    </row>
    <row r="581" spans="1:1" x14ac:dyDescent="0.25">
      <c r="A581" s="841"/>
    </row>
    <row r="582" spans="1:1" x14ac:dyDescent="0.25">
      <c r="A582" s="841"/>
    </row>
    <row r="583" spans="1:1" x14ac:dyDescent="0.25">
      <c r="A583" s="841"/>
    </row>
    <row r="584" spans="1:1" x14ac:dyDescent="0.25">
      <c r="A584" s="841"/>
    </row>
    <row r="585" spans="1:1" x14ac:dyDescent="0.25">
      <c r="A585" s="841"/>
    </row>
    <row r="586" spans="1:1" x14ac:dyDescent="0.25">
      <c r="A586" s="841"/>
    </row>
    <row r="587" spans="1:1" x14ac:dyDescent="0.25">
      <c r="A587" s="841"/>
    </row>
    <row r="588" spans="1:1" x14ac:dyDescent="0.25">
      <c r="A588" s="841"/>
    </row>
    <row r="589" spans="1:1" x14ac:dyDescent="0.25">
      <c r="A589" s="841"/>
    </row>
    <row r="590" spans="1:1" x14ac:dyDescent="0.25">
      <c r="A590" s="841"/>
    </row>
    <row r="591" spans="1:1" x14ac:dyDescent="0.25">
      <c r="A591" s="841"/>
    </row>
    <row r="592" spans="1:1" x14ac:dyDescent="0.25">
      <c r="A592" s="841"/>
    </row>
    <row r="593" spans="1:1" x14ac:dyDescent="0.25">
      <c r="A593" s="841"/>
    </row>
    <row r="594" spans="1:1" x14ac:dyDescent="0.25">
      <c r="A594" s="841"/>
    </row>
    <row r="595" spans="1:1" x14ac:dyDescent="0.25">
      <c r="A595" s="841"/>
    </row>
    <row r="596" spans="1:1" x14ac:dyDescent="0.25">
      <c r="A596" s="841"/>
    </row>
    <row r="597" spans="1:1" x14ac:dyDescent="0.25">
      <c r="A597" s="841"/>
    </row>
    <row r="598" spans="1:1" x14ac:dyDescent="0.25">
      <c r="A598" s="841"/>
    </row>
    <row r="599" spans="1:1" x14ac:dyDescent="0.25">
      <c r="A599" s="841"/>
    </row>
    <row r="600" spans="1:1" x14ac:dyDescent="0.25">
      <c r="A600" s="841"/>
    </row>
    <row r="601" spans="1:1" x14ac:dyDescent="0.25">
      <c r="A601" s="841"/>
    </row>
    <row r="602" spans="1:1" x14ac:dyDescent="0.25">
      <c r="A602" s="841"/>
    </row>
    <row r="603" spans="1:1" x14ac:dyDescent="0.25">
      <c r="A603" s="841"/>
    </row>
    <row r="604" spans="1:1" x14ac:dyDescent="0.25">
      <c r="A604" s="841"/>
    </row>
    <row r="605" spans="1:1" x14ac:dyDescent="0.25">
      <c r="A605" s="841"/>
    </row>
    <row r="606" spans="1:1" x14ac:dyDescent="0.25">
      <c r="A606" s="841"/>
    </row>
    <row r="607" spans="1:1" x14ac:dyDescent="0.25">
      <c r="A607" s="841"/>
    </row>
    <row r="608" spans="1:1" x14ac:dyDescent="0.25">
      <c r="A608" s="841"/>
    </row>
    <row r="609" spans="1:1" x14ac:dyDescent="0.25">
      <c r="A609" s="841"/>
    </row>
    <row r="610" spans="1:1" x14ac:dyDescent="0.25">
      <c r="A610" s="841"/>
    </row>
    <row r="611" spans="1:1" x14ac:dyDescent="0.25">
      <c r="A611" s="841"/>
    </row>
    <row r="612" spans="1:1" x14ac:dyDescent="0.25">
      <c r="A612" s="841"/>
    </row>
    <row r="613" spans="1:1" x14ac:dyDescent="0.25">
      <c r="A613" s="841"/>
    </row>
    <row r="614" spans="1:1" x14ac:dyDescent="0.25">
      <c r="A614" s="841"/>
    </row>
    <row r="615" spans="1:1" x14ac:dyDescent="0.25">
      <c r="A615" s="841"/>
    </row>
    <row r="616" spans="1:1" x14ac:dyDescent="0.25">
      <c r="A616" s="841"/>
    </row>
    <row r="617" spans="1:1" x14ac:dyDescent="0.25">
      <c r="A617" s="841"/>
    </row>
    <row r="618" spans="1:1" x14ac:dyDescent="0.25">
      <c r="A618" s="841"/>
    </row>
    <row r="619" spans="1:1" x14ac:dyDescent="0.25">
      <c r="A619" s="841"/>
    </row>
    <row r="620" spans="1:1" x14ac:dyDescent="0.25">
      <c r="A620" s="841"/>
    </row>
    <row r="621" spans="1:1" x14ac:dyDescent="0.25">
      <c r="A621" s="841"/>
    </row>
    <row r="622" spans="1:1" x14ac:dyDescent="0.25">
      <c r="A622" s="841"/>
    </row>
    <row r="623" spans="1:1" x14ac:dyDescent="0.25">
      <c r="A623" s="841"/>
    </row>
    <row r="624" spans="1:1" x14ac:dyDescent="0.25">
      <c r="A624" s="841"/>
    </row>
    <row r="625" spans="1:1" x14ac:dyDescent="0.25">
      <c r="A625" s="841"/>
    </row>
    <row r="626" spans="1:1" x14ac:dyDescent="0.25">
      <c r="A626" s="841"/>
    </row>
    <row r="627" spans="1:1" x14ac:dyDescent="0.25">
      <c r="A627" s="841"/>
    </row>
    <row r="628" spans="1:1" x14ac:dyDescent="0.25">
      <c r="A628" s="841"/>
    </row>
    <row r="629" spans="1:1" x14ac:dyDescent="0.25">
      <c r="A629" s="841"/>
    </row>
    <row r="630" spans="1:1" x14ac:dyDescent="0.25">
      <c r="A630" s="841"/>
    </row>
    <row r="631" spans="1:1" x14ac:dyDescent="0.25">
      <c r="A631" s="841"/>
    </row>
    <row r="632" spans="1:1" x14ac:dyDescent="0.25">
      <c r="A632" s="841"/>
    </row>
    <row r="633" spans="1:1" x14ac:dyDescent="0.25">
      <c r="A633" s="841"/>
    </row>
    <row r="634" spans="1:1" x14ac:dyDescent="0.25">
      <c r="A634" s="841"/>
    </row>
    <row r="635" spans="1:1" x14ac:dyDescent="0.25">
      <c r="A635" s="841"/>
    </row>
    <row r="636" spans="1:1" x14ac:dyDescent="0.25">
      <c r="A636" s="841"/>
    </row>
    <row r="637" spans="1:1" x14ac:dyDescent="0.25">
      <c r="A637" s="841"/>
    </row>
    <row r="638" spans="1:1" x14ac:dyDescent="0.25">
      <c r="A638" s="841"/>
    </row>
    <row r="639" spans="1:1" x14ac:dyDescent="0.25">
      <c r="A639" s="841"/>
    </row>
    <row r="640" spans="1:1" x14ac:dyDescent="0.25">
      <c r="A640" s="841"/>
    </row>
    <row r="641" spans="1:1" x14ac:dyDescent="0.25">
      <c r="A641" s="841"/>
    </row>
    <row r="642" spans="1:1" x14ac:dyDescent="0.25">
      <c r="A642" s="841"/>
    </row>
    <row r="643" spans="1:1" x14ac:dyDescent="0.25">
      <c r="A643" s="841"/>
    </row>
    <row r="644" spans="1:1" x14ac:dyDescent="0.25">
      <c r="A644" s="841"/>
    </row>
    <row r="645" spans="1:1" x14ac:dyDescent="0.25">
      <c r="A645" s="841"/>
    </row>
    <row r="646" spans="1:1" x14ac:dyDescent="0.25">
      <c r="A646" s="841"/>
    </row>
    <row r="647" spans="1:1" x14ac:dyDescent="0.25">
      <c r="A647" s="841"/>
    </row>
    <row r="648" spans="1:1" x14ac:dyDescent="0.25">
      <c r="A648" s="841"/>
    </row>
    <row r="649" spans="1:1" x14ac:dyDescent="0.25">
      <c r="A649" s="841"/>
    </row>
    <row r="650" spans="1:1" x14ac:dyDescent="0.25">
      <c r="A650" s="841"/>
    </row>
    <row r="651" spans="1:1" x14ac:dyDescent="0.25">
      <c r="A651" s="841"/>
    </row>
    <row r="652" spans="1:1" x14ac:dyDescent="0.25">
      <c r="A652" s="841"/>
    </row>
    <row r="653" spans="1:1" x14ac:dyDescent="0.25">
      <c r="A653" s="841"/>
    </row>
    <row r="654" spans="1:1" x14ac:dyDescent="0.25">
      <c r="A654" s="841"/>
    </row>
    <row r="655" spans="1:1" x14ac:dyDescent="0.25">
      <c r="A655" s="841"/>
    </row>
    <row r="656" spans="1:1" x14ac:dyDescent="0.25">
      <c r="A656" s="841"/>
    </row>
    <row r="657" spans="1:1" x14ac:dyDescent="0.25">
      <c r="A657" s="841"/>
    </row>
    <row r="658" spans="1:1" x14ac:dyDescent="0.25">
      <c r="A658" s="841"/>
    </row>
    <row r="659" spans="1:1" x14ac:dyDescent="0.25">
      <c r="A659" s="841"/>
    </row>
    <row r="660" spans="1:1" x14ac:dyDescent="0.25">
      <c r="A660" s="841"/>
    </row>
    <row r="661" spans="1:1" x14ac:dyDescent="0.25">
      <c r="A661" s="841"/>
    </row>
    <row r="662" spans="1:1" x14ac:dyDescent="0.25">
      <c r="A662" s="841"/>
    </row>
    <row r="663" spans="1:1" x14ac:dyDescent="0.25">
      <c r="A663" s="841"/>
    </row>
    <row r="664" spans="1:1" x14ac:dyDescent="0.25">
      <c r="A664" s="841"/>
    </row>
    <row r="665" spans="1:1" x14ac:dyDescent="0.25">
      <c r="A665" s="841"/>
    </row>
    <row r="666" spans="1:1" x14ac:dyDescent="0.25">
      <c r="A666" s="841"/>
    </row>
    <row r="667" spans="1:1" x14ac:dyDescent="0.25">
      <c r="A667" s="841"/>
    </row>
    <row r="668" spans="1:1" x14ac:dyDescent="0.25">
      <c r="A668" s="841"/>
    </row>
    <row r="669" spans="1:1" x14ac:dyDescent="0.25">
      <c r="A669" s="841"/>
    </row>
    <row r="670" spans="1:1" x14ac:dyDescent="0.25">
      <c r="A670" s="841"/>
    </row>
    <row r="671" spans="1:1" x14ac:dyDescent="0.25">
      <c r="A671" s="841"/>
    </row>
    <row r="672" spans="1:1" x14ac:dyDescent="0.25">
      <c r="A672" s="841"/>
    </row>
    <row r="673" spans="1:1" x14ac:dyDescent="0.25">
      <c r="A673" s="841"/>
    </row>
    <row r="674" spans="1:1" x14ac:dyDescent="0.25">
      <c r="A674" s="841"/>
    </row>
    <row r="675" spans="1:1" x14ac:dyDescent="0.25">
      <c r="A675" s="841"/>
    </row>
    <row r="676" spans="1:1" x14ac:dyDescent="0.25">
      <c r="A676" s="841"/>
    </row>
    <row r="677" spans="1:1" x14ac:dyDescent="0.25">
      <c r="A677" s="841"/>
    </row>
    <row r="678" spans="1:1" x14ac:dyDescent="0.25">
      <c r="A678" s="841"/>
    </row>
    <row r="679" spans="1:1" x14ac:dyDescent="0.25">
      <c r="A679" s="841"/>
    </row>
    <row r="680" spans="1:1" x14ac:dyDescent="0.25">
      <c r="A680" s="841"/>
    </row>
    <row r="681" spans="1:1" x14ac:dyDescent="0.25">
      <c r="A681" s="841"/>
    </row>
    <row r="682" spans="1:1" x14ac:dyDescent="0.25">
      <c r="A682" s="841"/>
    </row>
    <row r="683" spans="1:1" x14ac:dyDescent="0.25">
      <c r="A683" s="841"/>
    </row>
    <row r="684" spans="1:1" x14ac:dyDescent="0.25">
      <c r="A684" s="841"/>
    </row>
    <row r="685" spans="1:1" x14ac:dyDescent="0.25">
      <c r="A685" s="841"/>
    </row>
    <row r="686" spans="1:1" x14ac:dyDescent="0.25">
      <c r="A686" s="841"/>
    </row>
    <row r="687" spans="1:1" x14ac:dyDescent="0.25">
      <c r="A687" s="841"/>
    </row>
    <row r="688" spans="1:1" x14ac:dyDescent="0.25">
      <c r="A688" s="841"/>
    </row>
    <row r="689" spans="1:1" x14ac:dyDescent="0.25">
      <c r="A689" s="841"/>
    </row>
    <row r="690" spans="1:1" x14ac:dyDescent="0.25">
      <c r="A690" s="841"/>
    </row>
    <row r="691" spans="1:1" x14ac:dyDescent="0.25">
      <c r="A691" s="841"/>
    </row>
    <row r="692" spans="1:1" x14ac:dyDescent="0.25">
      <c r="A692" s="841"/>
    </row>
    <row r="693" spans="1:1" x14ac:dyDescent="0.25">
      <c r="A693" s="841"/>
    </row>
    <row r="694" spans="1:1" x14ac:dyDescent="0.25">
      <c r="A694" s="841"/>
    </row>
    <row r="695" spans="1:1" x14ac:dyDescent="0.25">
      <c r="A695" s="841"/>
    </row>
    <row r="696" spans="1:1" x14ac:dyDescent="0.25">
      <c r="A696" s="841"/>
    </row>
    <row r="697" spans="1:1" x14ac:dyDescent="0.25">
      <c r="A697" s="841"/>
    </row>
    <row r="698" spans="1:1" x14ac:dyDescent="0.25">
      <c r="A698" s="841"/>
    </row>
    <row r="699" spans="1:1" x14ac:dyDescent="0.25">
      <c r="A699" s="841"/>
    </row>
    <row r="700" spans="1:1" x14ac:dyDescent="0.25">
      <c r="A700" s="841"/>
    </row>
    <row r="701" spans="1:1" x14ac:dyDescent="0.25">
      <c r="A701" s="841"/>
    </row>
    <row r="702" spans="1:1" x14ac:dyDescent="0.25">
      <c r="A702" s="841"/>
    </row>
    <row r="703" spans="1:1" x14ac:dyDescent="0.25">
      <c r="A703" s="841"/>
    </row>
    <row r="704" spans="1:1" x14ac:dyDescent="0.25">
      <c r="A704" s="841"/>
    </row>
    <row r="705" spans="1:1" x14ac:dyDescent="0.25">
      <c r="A705" s="841"/>
    </row>
    <row r="706" spans="1:1" x14ac:dyDescent="0.25">
      <c r="A706" s="841"/>
    </row>
    <row r="707" spans="1:1" x14ac:dyDescent="0.25">
      <c r="A707" s="841"/>
    </row>
    <row r="708" spans="1:1" x14ac:dyDescent="0.25">
      <c r="A708" s="841"/>
    </row>
    <row r="709" spans="1:1" x14ac:dyDescent="0.25">
      <c r="A709" s="841"/>
    </row>
    <row r="710" spans="1:1" x14ac:dyDescent="0.25">
      <c r="A710" s="841"/>
    </row>
    <row r="711" spans="1:1" x14ac:dyDescent="0.25">
      <c r="A711" s="841"/>
    </row>
    <row r="712" spans="1:1" x14ac:dyDescent="0.25">
      <c r="A712" s="841"/>
    </row>
    <row r="713" spans="1:1" x14ac:dyDescent="0.25">
      <c r="A713" s="841"/>
    </row>
    <row r="714" spans="1:1" x14ac:dyDescent="0.25">
      <c r="A714" s="841"/>
    </row>
    <row r="715" spans="1:1" x14ac:dyDescent="0.25">
      <c r="A715" s="841"/>
    </row>
    <row r="716" spans="1:1" x14ac:dyDescent="0.25">
      <c r="A716" s="841"/>
    </row>
    <row r="717" spans="1:1" x14ac:dyDescent="0.25">
      <c r="A717" s="841"/>
    </row>
    <row r="718" spans="1:1" x14ac:dyDescent="0.25">
      <c r="A718" s="841"/>
    </row>
    <row r="719" spans="1:1" x14ac:dyDescent="0.25">
      <c r="A719" s="841"/>
    </row>
    <row r="720" spans="1:1" x14ac:dyDescent="0.25">
      <c r="A720" s="841"/>
    </row>
    <row r="721" spans="1:1" x14ac:dyDescent="0.25">
      <c r="A721" s="841"/>
    </row>
    <row r="722" spans="1:1" x14ac:dyDescent="0.25">
      <c r="A722" s="841"/>
    </row>
    <row r="723" spans="1:1" x14ac:dyDescent="0.25">
      <c r="A723" s="841"/>
    </row>
    <row r="724" spans="1:1" x14ac:dyDescent="0.25">
      <c r="A724" s="841"/>
    </row>
    <row r="725" spans="1:1" x14ac:dyDescent="0.25">
      <c r="A725" s="841"/>
    </row>
    <row r="726" spans="1:1" x14ac:dyDescent="0.25">
      <c r="A726" s="841"/>
    </row>
    <row r="727" spans="1:1" x14ac:dyDescent="0.25">
      <c r="A727" s="841"/>
    </row>
    <row r="728" spans="1:1" x14ac:dyDescent="0.25">
      <c r="A728" s="841"/>
    </row>
    <row r="729" spans="1:1" x14ac:dyDescent="0.25">
      <c r="A729" s="841"/>
    </row>
    <row r="730" spans="1:1" x14ac:dyDescent="0.25">
      <c r="A730" s="841"/>
    </row>
    <row r="731" spans="1:1" x14ac:dyDescent="0.25">
      <c r="A731" s="841"/>
    </row>
    <row r="732" spans="1:1" x14ac:dyDescent="0.25">
      <c r="A732" s="841"/>
    </row>
    <row r="733" spans="1:1" x14ac:dyDescent="0.25">
      <c r="A733" s="841"/>
    </row>
    <row r="734" spans="1:1" x14ac:dyDescent="0.25">
      <c r="A734" s="841"/>
    </row>
    <row r="735" spans="1:1" x14ac:dyDescent="0.25">
      <c r="A735" s="841"/>
    </row>
    <row r="736" spans="1:1" x14ac:dyDescent="0.25">
      <c r="A736" s="841"/>
    </row>
    <row r="737" spans="1:1" x14ac:dyDescent="0.25">
      <c r="A737" s="841"/>
    </row>
    <row r="738" spans="1:1" x14ac:dyDescent="0.25">
      <c r="A738" s="841"/>
    </row>
    <row r="739" spans="1:1" x14ac:dyDescent="0.25">
      <c r="A739" s="841"/>
    </row>
    <row r="740" spans="1:1" x14ac:dyDescent="0.25">
      <c r="A740" s="841"/>
    </row>
    <row r="741" spans="1:1" x14ac:dyDescent="0.25">
      <c r="A741" s="841"/>
    </row>
    <row r="742" spans="1:1" x14ac:dyDescent="0.25">
      <c r="A742" s="841"/>
    </row>
    <row r="743" spans="1:1" x14ac:dyDescent="0.25">
      <c r="A743" s="841"/>
    </row>
    <row r="744" spans="1:1" x14ac:dyDescent="0.25">
      <c r="A744" s="841"/>
    </row>
    <row r="745" spans="1:1" x14ac:dyDescent="0.25">
      <c r="A745" s="841"/>
    </row>
    <row r="746" spans="1:1" x14ac:dyDescent="0.25">
      <c r="A746" s="841"/>
    </row>
    <row r="747" spans="1:1" x14ac:dyDescent="0.25">
      <c r="A747" s="841"/>
    </row>
    <row r="748" spans="1:1" x14ac:dyDescent="0.25">
      <c r="A748" s="841"/>
    </row>
    <row r="749" spans="1:1" x14ac:dyDescent="0.25">
      <c r="A749" s="841"/>
    </row>
    <row r="750" spans="1:1" x14ac:dyDescent="0.25">
      <c r="A750" s="841"/>
    </row>
    <row r="751" spans="1:1" x14ac:dyDescent="0.25">
      <c r="A751" s="841"/>
    </row>
    <row r="752" spans="1:1" x14ac:dyDescent="0.25">
      <c r="A752" s="841"/>
    </row>
    <row r="753" spans="1:1" x14ac:dyDescent="0.25">
      <c r="A753" s="841"/>
    </row>
    <row r="754" spans="1:1" x14ac:dyDescent="0.25">
      <c r="A754" s="841"/>
    </row>
    <row r="755" spans="1:1" x14ac:dyDescent="0.25">
      <c r="A755" s="841"/>
    </row>
    <row r="756" spans="1:1" x14ac:dyDescent="0.25">
      <c r="A756" s="841"/>
    </row>
    <row r="757" spans="1:1" x14ac:dyDescent="0.25">
      <c r="A757" s="841"/>
    </row>
    <row r="758" spans="1:1" x14ac:dyDescent="0.25">
      <c r="A758" s="841"/>
    </row>
    <row r="759" spans="1:1" x14ac:dyDescent="0.25">
      <c r="A759" s="841"/>
    </row>
    <row r="760" spans="1:1" x14ac:dyDescent="0.25">
      <c r="A760" s="841"/>
    </row>
    <row r="761" spans="1:1" x14ac:dyDescent="0.25">
      <c r="A761" s="841"/>
    </row>
    <row r="762" spans="1:1" x14ac:dyDescent="0.25">
      <c r="A762" s="841"/>
    </row>
    <row r="763" spans="1:1" x14ac:dyDescent="0.25">
      <c r="A763" s="841"/>
    </row>
    <row r="764" spans="1:1" x14ac:dyDescent="0.25">
      <c r="A764" s="841"/>
    </row>
    <row r="765" spans="1:1" x14ac:dyDescent="0.25">
      <c r="A765" s="841"/>
    </row>
    <row r="766" spans="1:1" x14ac:dyDescent="0.25">
      <c r="A766" s="841"/>
    </row>
    <row r="767" spans="1:1" x14ac:dyDescent="0.25">
      <c r="A767" s="841"/>
    </row>
    <row r="768" spans="1:1" x14ac:dyDescent="0.25">
      <c r="A768" s="841"/>
    </row>
    <row r="769" spans="1:1" x14ac:dyDescent="0.25">
      <c r="A769" s="841"/>
    </row>
    <row r="770" spans="1:1" x14ac:dyDescent="0.25">
      <c r="A770" s="841"/>
    </row>
    <row r="771" spans="1:1" x14ac:dyDescent="0.25">
      <c r="A771" s="841"/>
    </row>
    <row r="772" spans="1:1" x14ac:dyDescent="0.25">
      <c r="A772" s="841"/>
    </row>
    <row r="773" spans="1:1" x14ac:dyDescent="0.25">
      <c r="A773" s="841"/>
    </row>
    <row r="774" spans="1:1" x14ac:dyDescent="0.25">
      <c r="A774" s="841"/>
    </row>
    <row r="775" spans="1:1" x14ac:dyDescent="0.25">
      <c r="A775" s="841"/>
    </row>
    <row r="776" spans="1:1" x14ac:dyDescent="0.25">
      <c r="A776" s="841"/>
    </row>
    <row r="777" spans="1:1" x14ac:dyDescent="0.25">
      <c r="A777" s="841"/>
    </row>
    <row r="778" spans="1:1" x14ac:dyDescent="0.25">
      <c r="A778" s="841"/>
    </row>
    <row r="779" spans="1:1" x14ac:dyDescent="0.25">
      <c r="A779" s="841"/>
    </row>
    <row r="780" spans="1:1" x14ac:dyDescent="0.25">
      <c r="A780" s="841"/>
    </row>
    <row r="781" spans="1:1" x14ac:dyDescent="0.25">
      <c r="A781" s="841"/>
    </row>
    <row r="782" spans="1:1" x14ac:dyDescent="0.25">
      <c r="A782" s="841"/>
    </row>
    <row r="783" spans="1:1" x14ac:dyDescent="0.25">
      <c r="A783" s="841"/>
    </row>
    <row r="784" spans="1:1" x14ac:dyDescent="0.25">
      <c r="A784" s="841"/>
    </row>
    <row r="785" spans="1:1" x14ac:dyDescent="0.25">
      <c r="A785" s="841"/>
    </row>
    <row r="786" spans="1:1" x14ac:dyDescent="0.25">
      <c r="A786" s="841"/>
    </row>
    <row r="787" spans="1:1" x14ac:dyDescent="0.25">
      <c r="A787" s="841"/>
    </row>
    <row r="788" spans="1:1" x14ac:dyDescent="0.25">
      <c r="A788" s="841"/>
    </row>
    <row r="789" spans="1:1" x14ac:dyDescent="0.25">
      <c r="A789" s="841"/>
    </row>
    <row r="790" spans="1:1" x14ac:dyDescent="0.25">
      <c r="A790" s="841"/>
    </row>
    <row r="791" spans="1:1" x14ac:dyDescent="0.25">
      <c r="A791" s="841"/>
    </row>
    <row r="792" spans="1:1" x14ac:dyDescent="0.25">
      <c r="A792" s="841"/>
    </row>
    <row r="793" spans="1:1" x14ac:dyDescent="0.25">
      <c r="A793" s="841"/>
    </row>
    <row r="794" spans="1:1" x14ac:dyDescent="0.25">
      <c r="A794" s="841"/>
    </row>
    <row r="795" spans="1:1" x14ac:dyDescent="0.25">
      <c r="A795" s="841"/>
    </row>
    <row r="796" spans="1:1" x14ac:dyDescent="0.25">
      <c r="A796" s="841"/>
    </row>
    <row r="797" spans="1:1" x14ac:dyDescent="0.25">
      <c r="A797" s="841"/>
    </row>
    <row r="798" spans="1:1" x14ac:dyDescent="0.25">
      <c r="A798" s="841"/>
    </row>
    <row r="799" spans="1:1" x14ac:dyDescent="0.25">
      <c r="A799" s="841"/>
    </row>
    <row r="800" spans="1:1" x14ac:dyDescent="0.25">
      <c r="A800" s="841"/>
    </row>
    <row r="801" spans="1:1" x14ac:dyDescent="0.25">
      <c r="A801" s="841"/>
    </row>
    <row r="802" spans="1:1" x14ac:dyDescent="0.25">
      <c r="A802" s="841"/>
    </row>
    <row r="803" spans="1:1" x14ac:dyDescent="0.25">
      <c r="A803" s="841"/>
    </row>
    <row r="804" spans="1:1" x14ac:dyDescent="0.25">
      <c r="A804" s="841"/>
    </row>
    <row r="805" spans="1:1" x14ac:dyDescent="0.25">
      <c r="A805" s="841"/>
    </row>
    <row r="806" spans="1:1" x14ac:dyDescent="0.25">
      <c r="A806" s="841"/>
    </row>
    <row r="807" spans="1:1" x14ac:dyDescent="0.25">
      <c r="A807" s="841"/>
    </row>
    <row r="808" spans="1:1" x14ac:dyDescent="0.25">
      <c r="A808" s="841"/>
    </row>
    <row r="809" spans="1:1" x14ac:dyDescent="0.25">
      <c r="A809" s="841"/>
    </row>
    <row r="810" spans="1:1" x14ac:dyDescent="0.25">
      <c r="A810" s="841"/>
    </row>
    <row r="811" spans="1:1" x14ac:dyDescent="0.25">
      <c r="A811" s="841"/>
    </row>
    <row r="812" spans="1:1" x14ac:dyDescent="0.25">
      <c r="A812" s="841"/>
    </row>
    <row r="813" spans="1:1" x14ac:dyDescent="0.25">
      <c r="A813" s="841"/>
    </row>
    <row r="814" spans="1:1" x14ac:dyDescent="0.25">
      <c r="A814" s="841"/>
    </row>
    <row r="815" spans="1:1" x14ac:dyDescent="0.25">
      <c r="A815" s="841"/>
    </row>
    <row r="816" spans="1:1" x14ac:dyDescent="0.25">
      <c r="A816" s="841"/>
    </row>
    <row r="817" spans="1:1" x14ac:dyDescent="0.25">
      <c r="A817" s="841"/>
    </row>
    <row r="818" spans="1:1" x14ac:dyDescent="0.25">
      <c r="A818" s="841"/>
    </row>
    <row r="819" spans="1:1" x14ac:dyDescent="0.25">
      <c r="A819" s="841"/>
    </row>
    <row r="820" spans="1:1" x14ac:dyDescent="0.25">
      <c r="A820" s="841"/>
    </row>
    <row r="821" spans="1:1" x14ac:dyDescent="0.25">
      <c r="A821" s="841"/>
    </row>
    <row r="822" spans="1:1" x14ac:dyDescent="0.25">
      <c r="A822" s="841"/>
    </row>
    <row r="823" spans="1:1" x14ac:dyDescent="0.25">
      <c r="A823" s="841"/>
    </row>
    <row r="824" spans="1:1" x14ac:dyDescent="0.25">
      <c r="A824" s="841"/>
    </row>
    <row r="825" spans="1:1" x14ac:dyDescent="0.25">
      <c r="A825" s="841"/>
    </row>
    <row r="826" spans="1:1" x14ac:dyDescent="0.25">
      <c r="A826" s="841"/>
    </row>
    <row r="827" spans="1:1" x14ac:dyDescent="0.25">
      <c r="A827" s="841"/>
    </row>
    <row r="828" spans="1:1" x14ac:dyDescent="0.25">
      <c r="A828" s="841"/>
    </row>
    <row r="829" spans="1:1" x14ac:dyDescent="0.25">
      <c r="A829" s="841"/>
    </row>
    <row r="830" spans="1:1" x14ac:dyDescent="0.25">
      <c r="A830" s="841"/>
    </row>
    <row r="831" spans="1:1" x14ac:dyDescent="0.25">
      <c r="A831" s="841"/>
    </row>
    <row r="832" spans="1:1" x14ac:dyDescent="0.25">
      <c r="A832" s="841"/>
    </row>
    <row r="833" spans="1:1" x14ac:dyDescent="0.25">
      <c r="A833" s="841"/>
    </row>
    <row r="834" spans="1:1" x14ac:dyDescent="0.25">
      <c r="A834" s="841"/>
    </row>
    <row r="835" spans="1:1" x14ac:dyDescent="0.25">
      <c r="A835" s="841"/>
    </row>
    <row r="836" spans="1:1" x14ac:dyDescent="0.25">
      <c r="A836" s="841"/>
    </row>
    <row r="837" spans="1:1" x14ac:dyDescent="0.25">
      <c r="A837" s="841"/>
    </row>
    <row r="838" spans="1:1" x14ac:dyDescent="0.25">
      <c r="A838" s="841"/>
    </row>
    <row r="839" spans="1:1" x14ac:dyDescent="0.25">
      <c r="A839" s="841"/>
    </row>
    <row r="840" spans="1:1" x14ac:dyDescent="0.25">
      <c r="A840" s="841"/>
    </row>
    <row r="841" spans="1:1" x14ac:dyDescent="0.25">
      <c r="A841" s="841"/>
    </row>
    <row r="842" spans="1:1" x14ac:dyDescent="0.25">
      <c r="A842" s="841"/>
    </row>
    <row r="843" spans="1:1" x14ac:dyDescent="0.25">
      <c r="A843" s="841"/>
    </row>
    <row r="844" spans="1:1" x14ac:dyDescent="0.25">
      <c r="A844" s="841"/>
    </row>
    <row r="845" spans="1:1" x14ac:dyDescent="0.25">
      <c r="A845" s="841"/>
    </row>
    <row r="846" spans="1:1" x14ac:dyDescent="0.25">
      <c r="A846" s="841"/>
    </row>
    <row r="847" spans="1:1" x14ac:dyDescent="0.25">
      <c r="A847" s="841"/>
    </row>
    <row r="848" spans="1:1" x14ac:dyDescent="0.25">
      <c r="A848" s="841"/>
    </row>
    <row r="849" spans="1:1" x14ac:dyDescent="0.25">
      <c r="A849" s="841"/>
    </row>
    <row r="850" spans="1:1" x14ac:dyDescent="0.25">
      <c r="A850" s="841"/>
    </row>
    <row r="851" spans="1:1" x14ac:dyDescent="0.25">
      <c r="A851" s="841"/>
    </row>
    <row r="852" spans="1:1" x14ac:dyDescent="0.25">
      <c r="A852" s="841"/>
    </row>
    <row r="853" spans="1:1" x14ac:dyDescent="0.25">
      <c r="A853" s="841"/>
    </row>
    <row r="854" spans="1:1" x14ac:dyDescent="0.25">
      <c r="A854" s="841"/>
    </row>
    <row r="855" spans="1:1" x14ac:dyDescent="0.25">
      <c r="A855" s="841"/>
    </row>
    <row r="856" spans="1:1" x14ac:dyDescent="0.25">
      <c r="A856" s="841"/>
    </row>
    <row r="857" spans="1:1" x14ac:dyDescent="0.25">
      <c r="A857" s="841"/>
    </row>
    <row r="858" spans="1:1" x14ac:dyDescent="0.25">
      <c r="A858" s="841"/>
    </row>
    <row r="859" spans="1:1" x14ac:dyDescent="0.25">
      <c r="A859" s="841"/>
    </row>
    <row r="860" spans="1:1" x14ac:dyDescent="0.25">
      <c r="A860" s="841"/>
    </row>
    <row r="861" spans="1:1" x14ac:dyDescent="0.25">
      <c r="A861" s="841"/>
    </row>
    <row r="862" spans="1:1" x14ac:dyDescent="0.25">
      <c r="A862" s="841"/>
    </row>
    <row r="863" spans="1:1" x14ac:dyDescent="0.25">
      <c r="A863" s="841"/>
    </row>
    <row r="864" spans="1:1" x14ac:dyDescent="0.25">
      <c r="A864" s="841"/>
    </row>
    <row r="865" spans="1:1" x14ac:dyDescent="0.25">
      <c r="A865" s="841"/>
    </row>
    <row r="866" spans="1:1" x14ac:dyDescent="0.25">
      <c r="A866" s="841"/>
    </row>
    <row r="867" spans="1:1" x14ac:dyDescent="0.25">
      <c r="A867" s="841"/>
    </row>
    <row r="868" spans="1:1" x14ac:dyDescent="0.25">
      <c r="A868" s="841"/>
    </row>
    <row r="869" spans="1:1" x14ac:dyDescent="0.25">
      <c r="A869" s="841"/>
    </row>
    <row r="870" spans="1:1" x14ac:dyDescent="0.25">
      <c r="A870" s="841"/>
    </row>
    <row r="871" spans="1:1" x14ac:dyDescent="0.25">
      <c r="A871" s="841"/>
    </row>
    <row r="872" spans="1:1" x14ac:dyDescent="0.25">
      <c r="A872" s="841"/>
    </row>
    <row r="873" spans="1:1" x14ac:dyDescent="0.25">
      <c r="A873" s="841"/>
    </row>
    <row r="874" spans="1:1" x14ac:dyDescent="0.25">
      <c r="A874" s="841"/>
    </row>
    <row r="875" spans="1:1" x14ac:dyDescent="0.25">
      <c r="A875" s="841"/>
    </row>
    <row r="876" spans="1:1" x14ac:dyDescent="0.25">
      <c r="A876" s="841"/>
    </row>
    <row r="877" spans="1:1" x14ac:dyDescent="0.25">
      <c r="A877" s="841"/>
    </row>
    <row r="878" spans="1:1" x14ac:dyDescent="0.25">
      <c r="A878" s="841"/>
    </row>
    <row r="879" spans="1:1" x14ac:dyDescent="0.25">
      <c r="A879" s="841"/>
    </row>
    <row r="880" spans="1:1" x14ac:dyDescent="0.25">
      <c r="A880" s="841"/>
    </row>
    <row r="881" spans="1:1" x14ac:dyDescent="0.25">
      <c r="A881" s="841"/>
    </row>
    <row r="882" spans="1:1" x14ac:dyDescent="0.25">
      <c r="A882" s="841"/>
    </row>
    <row r="883" spans="1:1" x14ac:dyDescent="0.25">
      <c r="A883" s="841"/>
    </row>
    <row r="884" spans="1:1" x14ac:dyDescent="0.25">
      <c r="A884" s="841"/>
    </row>
    <row r="885" spans="1:1" x14ac:dyDescent="0.25">
      <c r="A885" s="841"/>
    </row>
    <row r="886" spans="1:1" x14ac:dyDescent="0.25">
      <c r="A886" s="841"/>
    </row>
    <row r="887" spans="1:1" x14ac:dyDescent="0.25">
      <c r="A887" s="841"/>
    </row>
    <row r="888" spans="1:1" x14ac:dyDescent="0.25">
      <c r="A888" s="841"/>
    </row>
    <row r="889" spans="1:1" x14ac:dyDescent="0.25">
      <c r="A889" s="841"/>
    </row>
    <row r="890" spans="1:1" x14ac:dyDescent="0.25">
      <c r="A890" s="841"/>
    </row>
    <row r="891" spans="1:1" x14ac:dyDescent="0.25">
      <c r="A891" s="841"/>
    </row>
    <row r="892" spans="1:1" x14ac:dyDescent="0.25">
      <c r="A892" s="841"/>
    </row>
    <row r="893" spans="1:1" x14ac:dyDescent="0.25">
      <c r="A893" s="841"/>
    </row>
    <row r="894" spans="1:1" x14ac:dyDescent="0.25">
      <c r="A894" s="841"/>
    </row>
    <row r="895" spans="1:1" x14ac:dyDescent="0.25">
      <c r="A895" s="841"/>
    </row>
    <row r="896" spans="1:1" x14ac:dyDescent="0.25">
      <c r="A896" s="841"/>
    </row>
    <row r="897" spans="1:1" x14ac:dyDescent="0.25">
      <c r="A897" s="841"/>
    </row>
    <row r="898" spans="1:1" x14ac:dyDescent="0.25">
      <c r="A898" s="841"/>
    </row>
    <row r="899" spans="1:1" x14ac:dyDescent="0.25">
      <c r="A899" s="841"/>
    </row>
    <row r="900" spans="1:1" x14ac:dyDescent="0.25">
      <c r="A900" s="841"/>
    </row>
    <row r="901" spans="1:1" x14ac:dyDescent="0.25">
      <c r="A901" s="841"/>
    </row>
    <row r="902" spans="1:1" x14ac:dyDescent="0.25">
      <c r="A902" s="841"/>
    </row>
    <row r="903" spans="1:1" x14ac:dyDescent="0.25">
      <c r="A903" s="841"/>
    </row>
    <row r="904" spans="1:1" x14ac:dyDescent="0.25">
      <c r="A904" s="841"/>
    </row>
    <row r="905" spans="1:1" x14ac:dyDescent="0.25">
      <c r="A905" s="841"/>
    </row>
    <row r="906" spans="1:1" x14ac:dyDescent="0.25">
      <c r="A906" s="841"/>
    </row>
    <row r="907" spans="1:1" x14ac:dyDescent="0.25">
      <c r="A907" s="841"/>
    </row>
    <row r="908" spans="1:1" x14ac:dyDescent="0.25">
      <c r="A908" s="841"/>
    </row>
    <row r="909" spans="1:1" x14ac:dyDescent="0.25">
      <c r="A909" s="841"/>
    </row>
    <row r="910" spans="1:1" x14ac:dyDescent="0.25">
      <c r="A910" s="841"/>
    </row>
    <row r="911" spans="1:1" x14ac:dyDescent="0.25">
      <c r="A911" s="841"/>
    </row>
    <row r="912" spans="1:1" x14ac:dyDescent="0.25">
      <c r="A912" s="841"/>
    </row>
    <row r="913" spans="1:1" x14ac:dyDescent="0.25">
      <c r="A913" s="841"/>
    </row>
    <row r="914" spans="1:1" x14ac:dyDescent="0.25">
      <c r="A914" s="841"/>
    </row>
    <row r="915" spans="1:1" x14ac:dyDescent="0.25">
      <c r="A915" s="841"/>
    </row>
    <row r="916" spans="1:1" x14ac:dyDescent="0.25">
      <c r="A916" s="841"/>
    </row>
    <row r="917" spans="1:1" x14ac:dyDescent="0.25">
      <c r="A917" s="841"/>
    </row>
    <row r="918" spans="1:1" x14ac:dyDescent="0.25">
      <c r="A918" s="841"/>
    </row>
    <row r="919" spans="1:1" x14ac:dyDescent="0.25">
      <c r="A919" s="841"/>
    </row>
    <row r="920" spans="1:1" x14ac:dyDescent="0.25">
      <c r="A920" s="841"/>
    </row>
    <row r="921" spans="1:1" x14ac:dyDescent="0.25">
      <c r="A921" s="841"/>
    </row>
    <row r="922" spans="1:1" x14ac:dyDescent="0.25">
      <c r="A922" s="841"/>
    </row>
    <row r="923" spans="1:1" x14ac:dyDescent="0.25">
      <c r="A923" s="841"/>
    </row>
    <row r="924" spans="1:1" x14ac:dyDescent="0.25">
      <c r="A924" s="841"/>
    </row>
    <row r="925" spans="1:1" x14ac:dyDescent="0.25">
      <c r="A925" s="841"/>
    </row>
    <row r="926" spans="1:1" x14ac:dyDescent="0.25">
      <c r="A926" s="841"/>
    </row>
    <row r="927" spans="1:1" x14ac:dyDescent="0.25">
      <c r="A927" s="841"/>
    </row>
    <row r="928" spans="1:1" x14ac:dyDescent="0.25">
      <c r="A928" s="841"/>
    </row>
    <row r="929" spans="1:1" x14ac:dyDescent="0.25">
      <c r="A929" s="841"/>
    </row>
    <row r="930" spans="1:1" x14ac:dyDescent="0.25">
      <c r="A930" s="841"/>
    </row>
    <row r="931" spans="1:1" x14ac:dyDescent="0.25">
      <c r="A931" s="841"/>
    </row>
    <row r="932" spans="1:1" x14ac:dyDescent="0.25">
      <c r="A932" s="841"/>
    </row>
    <row r="933" spans="1:1" x14ac:dyDescent="0.25">
      <c r="A933" s="841"/>
    </row>
    <row r="934" spans="1:1" x14ac:dyDescent="0.25">
      <c r="A934" s="841"/>
    </row>
    <row r="935" spans="1:1" x14ac:dyDescent="0.25">
      <c r="A935" s="841"/>
    </row>
    <row r="936" spans="1:1" x14ac:dyDescent="0.25">
      <c r="A936" s="841"/>
    </row>
    <row r="937" spans="1:1" x14ac:dyDescent="0.25">
      <c r="A937" s="841"/>
    </row>
    <row r="938" spans="1:1" x14ac:dyDescent="0.25">
      <c r="A938" s="841"/>
    </row>
    <row r="939" spans="1:1" x14ac:dyDescent="0.25">
      <c r="A939" s="841"/>
    </row>
    <row r="940" spans="1:1" x14ac:dyDescent="0.25">
      <c r="A940" s="841"/>
    </row>
    <row r="941" spans="1:1" x14ac:dyDescent="0.25">
      <c r="A941" s="841"/>
    </row>
    <row r="942" spans="1:1" x14ac:dyDescent="0.25">
      <c r="A942" s="841"/>
    </row>
    <row r="943" spans="1:1" x14ac:dyDescent="0.25">
      <c r="A943" s="841"/>
    </row>
    <row r="944" spans="1:1" x14ac:dyDescent="0.25">
      <c r="A944" s="841"/>
    </row>
    <row r="945" spans="1:1" x14ac:dyDescent="0.25">
      <c r="A945" s="841"/>
    </row>
    <row r="946" spans="1:1" x14ac:dyDescent="0.25">
      <c r="A946" s="841"/>
    </row>
    <row r="947" spans="1:1" x14ac:dyDescent="0.25">
      <c r="A947" s="841"/>
    </row>
    <row r="948" spans="1:1" x14ac:dyDescent="0.25">
      <c r="A948" s="841"/>
    </row>
    <row r="949" spans="1:1" x14ac:dyDescent="0.25">
      <c r="A949" s="841"/>
    </row>
    <row r="950" spans="1:1" x14ac:dyDescent="0.25">
      <c r="A950" s="841"/>
    </row>
    <row r="951" spans="1:1" x14ac:dyDescent="0.25">
      <c r="A951" s="841"/>
    </row>
    <row r="952" spans="1:1" x14ac:dyDescent="0.25">
      <c r="A952" s="841"/>
    </row>
    <row r="953" spans="1:1" x14ac:dyDescent="0.25">
      <c r="A953" s="841"/>
    </row>
    <row r="954" spans="1:1" x14ac:dyDescent="0.25">
      <c r="A954" s="841"/>
    </row>
    <row r="955" spans="1:1" x14ac:dyDescent="0.25">
      <c r="A955" s="841"/>
    </row>
    <row r="956" spans="1:1" x14ac:dyDescent="0.25">
      <c r="A956" s="841"/>
    </row>
    <row r="957" spans="1:1" x14ac:dyDescent="0.25">
      <c r="A957" s="841"/>
    </row>
    <row r="958" spans="1:1" x14ac:dyDescent="0.25">
      <c r="A958" s="841"/>
    </row>
    <row r="959" spans="1:1" x14ac:dyDescent="0.25">
      <c r="A959" s="841"/>
    </row>
    <row r="960" spans="1:1" x14ac:dyDescent="0.25">
      <c r="A960" s="841"/>
    </row>
    <row r="961" spans="1:1" x14ac:dyDescent="0.25">
      <c r="A961" s="841"/>
    </row>
    <row r="962" spans="1:1" x14ac:dyDescent="0.25">
      <c r="A962" s="841"/>
    </row>
    <row r="963" spans="1:1" x14ac:dyDescent="0.25">
      <c r="A963" s="841"/>
    </row>
    <row r="964" spans="1:1" x14ac:dyDescent="0.25">
      <c r="A964" s="841"/>
    </row>
    <row r="965" spans="1:1" x14ac:dyDescent="0.25">
      <c r="A965" s="841"/>
    </row>
    <row r="966" spans="1:1" x14ac:dyDescent="0.25">
      <c r="A966" s="841"/>
    </row>
    <row r="967" spans="1:1" x14ac:dyDescent="0.25">
      <c r="A967" s="841"/>
    </row>
    <row r="968" spans="1:1" x14ac:dyDescent="0.25">
      <c r="A968" s="841"/>
    </row>
    <row r="969" spans="1:1" x14ac:dyDescent="0.25">
      <c r="A969" s="841"/>
    </row>
    <row r="970" spans="1:1" x14ac:dyDescent="0.25">
      <c r="A970" s="841"/>
    </row>
    <row r="971" spans="1:1" x14ac:dyDescent="0.25">
      <c r="A971" s="841"/>
    </row>
    <row r="972" spans="1:1" x14ac:dyDescent="0.25">
      <c r="A972" s="841"/>
    </row>
    <row r="973" spans="1:1" x14ac:dyDescent="0.25">
      <c r="A973" s="841"/>
    </row>
    <row r="974" spans="1:1" x14ac:dyDescent="0.25">
      <c r="A974" s="841"/>
    </row>
    <row r="975" spans="1:1" x14ac:dyDescent="0.25">
      <c r="A975" s="841"/>
    </row>
    <row r="976" spans="1:1" x14ac:dyDescent="0.25">
      <c r="A976" s="841"/>
    </row>
    <row r="977" spans="1:1" x14ac:dyDescent="0.25">
      <c r="A977" s="841"/>
    </row>
    <row r="978" spans="1:1" x14ac:dyDescent="0.25">
      <c r="A978" s="841"/>
    </row>
    <row r="979" spans="1:1" x14ac:dyDescent="0.25">
      <c r="A979" s="841"/>
    </row>
    <row r="980" spans="1:1" x14ac:dyDescent="0.25">
      <c r="A980" s="841"/>
    </row>
    <row r="981" spans="1:1" x14ac:dyDescent="0.25">
      <c r="A981" s="841"/>
    </row>
    <row r="982" spans="1:1" x14ac:dyDescent="0.25">
      <c r="A982" s="841"/>
    </row>
    <row r="983" spans="1:1" x14ac:dyDescent="0.25">
      <c r="A983" s="841"/>
    </row>
    <row r="984" spans="1:1" x14ac:dyDescent="0.25">
      <c r="A984" s="841"/>
    </row>
    <row r="985" spans="1:1" x14ac:dyDescent="0.25">
      <c r="A985" s="841"/>
    </row>
    <row r="986" spans="1:1" x14ac:dyDescent="0.25">
      <c r="A986" s="841"/>
    </row>
    <row r="987" spans="1:1" x14ac:dyDescent="0.25">
      <c r="A987" s="841"/>
    </row>
    <row r="988" spans="1:1" x14ac:dyDescent="0.25">
      <c r="A988" s="841"/>
    </row>
    <row r="989" spans="1:1" x14ac:dyDescent="0.25">
      <c r="A989" s="841"/>
    </row>
    <row r="990" spans="1:1" x14ac:dyDescent="0.25">
      <c r="A990" s="841"/>
    </row>
    <row r="991" spans="1:1" x14ac:dyDescent="0.25">
      <c r="A991" s="841"/>
    </row>
    <row r="992" spans="1:1" x14ac:dyDescent="0.25">
      <c r="A992" s="841"/>
    </row>
    <row r="993" spans="1:1" x14ac:dyDescent="0.25">
      <c r="A993" s="841"/>
    </row>
    <row r="994" spans="1:1" x14ac:dyDescent="0.25">
      <c r="A994" s="841"/>
    </row>
    <row r="995" spans="1:1" x14ac:dyDescent="0.25">
      <c r="A995" s="841"/>
    </row>
    <row r="996" spans="1:1" x14ac:dyDescent="0.25">
      <c r="A996" s="841"/>
    </row>
    <row r="997" spans="1:1" x14ac:dyDescent="0.25">
      <c r="A997" s="841"/>
    </row>
    <row r="998" spans="1:1" x14ac:dyDescent="0.25">
      <c r="A998" s="841"/>
    </row>
    <row r="999" spans="1:1" x14ac:dyDescent="0.25">
      <c r="A999" s="841"/>
    </row>
    <row r="1000" spans="1:1" x14ac:dyDescent="0.25">
      <c r="A1000" s="841"/>
    </row>
    <row r="1001" spans="1:1" x14ac:dyDescent="0.25">
      <c r="A1001" s="841"/>
    </row>
    <row r="1002" spans="1:1" x14ac:dyDescent="0.25">
      <c r="A1002" s="841"/>
    </row>
    <row r="1003" spans="1:1" x14ac:dyDescent="0.25">
      <c r="A1003" s="841"/>
    </row>
    <row r="1004" spans="1:1" x14ac:dyDescent="0.25">
      <c r="A1004" s="841"/>
    </row>
    <row r="1005" spans="1:1" x14ac:dyDescent="0.25">
      <c r="A1005" s="841"/>
    </row>
    <row r="1006" spans="1:1" x14ac:dyDescent="0.25">
      <c r="A1006" s="841"/>
    </row>
    <row r="1007" spans="1:1" x14ac:dyDescent="0.25">
      <c r="A1007" s="841"/>
    </row>
    <row r="1008" spans="1:1" x14ac:dyDescent="0.25">
      <c r="A1008" s="841"/>
    </row>
    <row r="1009" spans="1:1" x14ac:dyDescent="0.25">
      <c r="A1009" s="841"/>
    </row>
    <row r="1010" spans="1:1" x14ac:dyDescent="0.25">
      <c r="A1010" s="841"/>
    </row>
    <row r="1011" spans="1:1" x14ac:dyDescent="0.25">
      <c r="A1011" s="841"/>
    </row>
    <row r="1012" spans="1:1" x14ac:dyDescent="0.25">
      <c r="A1012" s="841"/>
    </row>
    <row r="1013" spans="1:1" x14ac:dyDescent="0.25">
      <c r="A1013" s="841"/>
    </row>
    <row r="1014" spans="1:1" x14ac:dyDescent="0.25">
      <c r="A1014" s="841"/>
    </row>
    <row r="1015" spans="1:1" x14ac:dyDescent="0.25">
      <c r="A1015" s="841"/>
    </row>
    <row r="1016" spans="1:1" x14ac:dyDescent="0.25">
      <c r="A1016" s="841"/>
    </row>
    <row r="1017" spans="1:1" x14ac:dyDescent="0.25">
      <c r="A1017" s="841"/>
    </row>
    <row r="1018" spans="1:1" x14ac:dyDescent="0.25">
      <c r="A1018" s="841"/>
    </row>
    <row r="1019" spans="1:1" x14ac:dyDescent="0.25">
      <c r="A1019" s="841"/>
    </row>
    <row r="1020" spans="1:1" x14ac:dyDescent="0.25">
      <c r="A1020" s="841"/>
    </row>
    <row r="1021" spans="1:1" x14ac:dyDescent="0.25">
      <c r="A1021" s="841"/>
    </row>
    <row r="1022" spans="1:1" x14ac:dyDescent="0.25">
      <c r="A1022" s="841"/>
    </row>
    <row r="1023" spans="1:1" x14ac:dyDescent="0.25">
      <c r="A1023" s="841"/>
    </row>
    <row r="1024" spans="1:1" x14ac:dyDescent="0.25">
      <c r="A1024" s="841"/>
    </row>
    <row r="1025" spans="1:1" x14ac:dyDescent="0.25">
      <c r="A1025" s="841"/>
    </row>
    <row r="1026" spans="1:1" x14ac:dyDescent="0.25">
      <c r="A1026" s="841"/>
    </row>
    <row r="1027" spans="1:1" x14ac:dyDescent="0.25">
      <c r="A1027" s="841"/>
    </row>
    <row r="1028" spans="1:1" x14ac:dyDescent="0.25">
      <c r="A1028" s="841"/>
    </row>
    <row r="1029" spans="1:1" x14ac:dyDescent="0.25">
      <c r="A1029" s="841"/>
    </row>
    <row r="1030" spans="1:1" x14ac:dyDescent="0.25">
      <c r="A1030" s="841"/>
    </row>
    <row r="1031" spans="1:1" x14ac:dyDescent="0.25">
      <c r="A1031" s="841"/>
    </row>
    <row r="1032" spans="1:1" x14ac:dyDescent="0.25">
      <c r="A1032" s="841"/>
    </row>
    <row r="1033" spans="1:1" x14ac:dyDescent="0.25">
      <c r="A1033" s="841"/>
    </row>
    <row r="1034" spans="1:1" x14ac:dyDescent="0.25">
      <c r="A1034" s="841"/>
    </row>
    <row r="1035" spans="1:1" x14ac:dyDescent="0.25">
      <c r="A1035" s="841"/>
    </row>
    <row r="1036" spans="1:1" x14ac:dyDescent="0.25">
      <c r="A1036" s="841"/>
    </row>
    <row r="1037" spans="1:1" x14ac:dyDescent="0.25">
      <c r="A1037" s="841"/>
    </row>
    <row r="1038" spans="1:1" x14ac:dyDescent="0.25">
      <c r="A1038" s="841"/>
    </row>
    <row r="1039" spans="1:1" x14ac:dyDescent="0.25">
      <c r="A1039" s="841"/>
    </row>
    <row r="1040" spans="1:1" x14ac:dyDescent="0.25">
      <c r="A1040" s="841"/>
    </row>
    <row r="1041" spans="1:1" x14ac:dyDescent="0.25">
      <c r="A1041" s="841"/>
    </row>
    <row r="1042" spans="1:1" x14ac:dyDescent="0.25">
      <c r="A1042" s="841"/>
    </row>
    <row r="1043" spans="1:1" x14ac:dyDescent="0.25">
      <c r="A1043" s="841"/>
    </row>
    <row r="1044" spans="1:1" x14ac:dyDescent="0.25">
      <c r="A1044" s="841"/>
    </row>
    <row r="1045" spans="1:1" x14ac:dyDescent="0.25">
      <c r="A1045" s="841"/>
    </row>
    <row r="1046" spans="1:1" x14ac:dyDescent="0.25">
      <c r="A1046" s="841"/>
    </row>
    <row r="1047" spans="1:1" x14ac:dyDescent="0.25">
      <c r="A1047" s="841"/>
    </row>
    <row r="1048" spans="1:1" x14ac:dyDescent="0.25">
      <c r="A1048" s="841"/>
    </row>
    <row r="1049" spans="1:1" x14ac:dyDescent="0.25">
      <c r="A1049" s="841"/>
    </row>
    <row r="1050" spans="1:1" x14ac:dyDescent="0.25">
      <c r="A1050" s="841"/>
    </row>
    <row r="1051" spans="1:1" x14ac:dyDescent="0.25">
      <c r="A1051" s="841"/>
    </row>
    <row r="1052" spans="1:1" x14ac:dyDescent="0.25">
      <c r="A1052" s="841"/>
    </row>
    <row r="1053" spans="1:1" x14ac:dyDescent="0.25">
      <c r="A1053" s="841"/>
    </row>
    <row r="1054" spans="1:1" x14ac:dyDescent="0.25">
      <c r="A1054" s="841"/>
    </row>
    <row r="1055" spans="1:1" x14ac:dyDescent="0.25">
      <c r="A1055" s="841"/>
    </row>
    <row r="1056" spans="1:1" x14ac:dyDescent="0.25">
      <c r="A1056" s="841"/>
    </row>
    <row r="1057" spans="1:1" x14ac:dyDescent="0.25">
      <c r="A1057" s="841"/>
    </row>
    <row r="1058" spans="1:1" x14ac:dyDescent="0.25">
      <c r="A1058" s="841"/>
    </row>
    <row r="1059" spans="1:1" x14ac:dyDescent="0.25">
      <c r="A1059" s="841"/>
    </row>
    <row r="1060" spans="1:1" x14ac:dyDescent="0.25">
      <c r="A1060" s="841"/>
    </row>
    <row r="1061" spans="1:1" x14ac:dyDescent="0.25">
      <c r="A1061" s="841"/>
    </row>
    <row r="1062" spans="1:1" x14ac:dyDescent="0.25">
      <c r="A1062" s="841"/>
    </row>
    <row r="1063" spans="1:1" x14ac:dyDescent="0.25">
      <c r="A1063" s="841"/>
    </row>
    <row r="1064" spans="1:1" x14ac:dyDescent="0.25">
      <c r="A1064" s="841"/>
    </row>
    <row r="1065" spans="1:1" x14ac:dyDescent="0.25">
      <c r="A1065" s="841"/>
    </row>
    <row r="1066" spans="1:1" x14ac:dyDescent="0.25">
      <c r="A1066" s="841"/>
    </row>
    <row r="1067" spans="1:1" x14ac:dyDescent="0.25">
      <c r="A1067" s="841"/>
    </row>
    <row r="1068" spans="1:1" x14ac:dyDescent="0.25">
      <c r="A1068" s="841"/>
    </row>
    <row r="1069" spans="1:1" x14ac:dyDescent="0.25">
      <c r="A1069" s="841"/>
    </row>
    <row r="1070" spans="1:1" x14ac:dyDescent="0.25">
      <c r="A1070" s="841"/>
    </row>
    <row r="1071" spans="1:1" x14ac:dyDescent="0.25">
      <c r="A1071" s="841"/>
    </row>
    <row r="1072" spans="1:1" x14ac:dyDescent="0.25">
      <c r="A1072" s="841"/>
    </row>
    <row r="1073" spans="1:1" x14ac:dyDescent="0.25">
      <c r="A1073" s="841"/>
    </row>
    <row r="1074" spans="1:1" x14ac:dyDescent="0.25">
      <c r="A1074" s="841"/>
    </row>
    <row r="1075" spans="1:1" x14ac:dyDescent="0.25">
      <c r="A1075" s="841"/>
    </row>
    <row r="1076" spans="1:1" x14ac:dyDescent="0.25">
      <c r="A1076" s="841"/>
    </row>
    <row r="1077" spans="1:1" x14ac:dyDescent="0.25">
      <c r="A1077" s="841"/>
    </row>
    <row r="1078" spans="1:1" x14ac:dyDescent="0.25">
      <c r="A1078" s="841"/>
    </row>
    <row r="1079" spans="1:1" x14ac:dyDescent="0.25">
      <c r="A1079" s="841"/>
    </row>
    <row r="1080" spans="1:1" x14ac:dyDescent="0.25">
      <c r="A1080" s="841"/>
    </row>
    <row r="1081" spans="1:1" x14ac:dyDescent="0.25">
      <c r="A1081" s="841"/>
    </row>
    <row r="1082" spans="1:1" x14ac:dyDescent="0.25">
      <c r="A1082" s="841"/>
    </row>
    <row r="1083" spans="1:1" x14ac:dyDescent="0.25">
      <c r="A1083" s="841"/>
    </row>
    <row r="1084" spans="1:1" x14ac:dyDescent="0.25">
      <c r="A1084" s="841"/>
    </row>
    <row r="1085" spans="1:1" x14ac:dyDescent="0.25">
      <c r="A1085" s="841"/>
    </row>
    <row r="1086" spans="1:1" x14ac:dyDescent="0.25">
      <c r="A1086" s="841"/>
    </row>
    <row r="1087" spans="1:1" x14ac:dyDescent="0.25">
      <c r="A1087" s="841"/>
    </row>
    <row r="1088" spans="1:1" x14ac:dyDescent="0.25">
      <c r="A1088" s="841"/>
    </row>
    <row r="1089" spans="1:1" x14ac:dyDescent="0.25">
      <c r="A1089" s="841"/>
    </row>
    <row r="1090" spans="1:1" x14ac:dyDescent="0.25">
      <c r="A1090" s="841"/>
    </row>
    <row r="1091" spans="1:1" x14ac:dyDescent="0.25">
      <c r="A1091" s="841"/>
    </row>
    <row r="1092" spans="1:1" x14ac:dyDescent="0.25">
      <c r="A1092" s="841"/>
    </row>
    <row r="1093" spans="1:1" x14ac:dyDescent="0.25">
      <c r="A1093" s="841"/>
    </row>
    <row r="1094" spans="1:1" x14ac:dyDescent="0.25">
      <c r="A1094" s="841"/>
    </row>
    <row r="1095" spans="1:1" x14ac:dyDescent="0.25">
      <c r="A1095" s="841"/>
    </row>
    <row r="1096" spans="1:1" x14ac:dyDescent="0.25">
      <c r="A1096" s="841"/>
    </row>
    <row r="1097" spans="1:1" x14ac:dyDescent="0.25">
      <c r="A1097" s="841"/>
    </row>
    <row r="1098" spans="1:1" x14ac:dyDescent="0.25">
      <c r="A1098" s="841"/>
    </row>
    <row r="1099" spans="1:1" x14ac:dyDescent="0.25">
      <c r="A1099" s="841"/>
    </row>
    <row r="1100" spans="1:1" x14ac:dyDescent="0.25">
      <c r="A1100" s="841"/>
    </row>
    <row r="1101" spans="1:1" x14ac:dyDescent="0.25">
      <c r="A1101" s="841"/>
    </row>
    <row r="1102" spans="1:1" x14ac:dyDescent="0.25">
      <c r="A1102" s="841"/>
    </row>
    <row r="1103" spans="1:1" x14ac:dyDescent="0.25">
      <c r="A1103" s="841"/>
    </row>
    <row r="1104" spans="1:1" x14ac:dyDescent="0.25">
      <c r="A1104" s="841"/>
    </row>
    <row r="1105" spans="1:1" x14ac:dyDescent="0.25">
      <c r="A1105" s="841"/>
    </row>
    <row r="1106" spans="1:1" x14ac:dyDescent="0.25">
      <c r="A1106" s="841"/>
    </row>
    <row r="1107" spans="1:1" x14ac:dyDescent="0.25">
      <c r="A1107" s="841"/>
    </row>
    <row r="1108" spans="1:1" x14ac:dyDescent="0.25">
      <c r="A1108" s="841"/>
    </row>
    <row r="1109" spans="1:1" x14ac:dyDescent="0.25">
      <c r="A1109" s="841"/>
    </row>
    <row r="1110" spans="1:1" x14ac:dyDescent="0.25">
      <c r="A1110" s="841"/>
    </row>
    <row r="1111" spans="1:1" x14ac:dyDescent="0.25">
      <c r="A1111" s="841"/>
    </row>
    <row r="1112" spans="1:1" x14ac:dyDescent="0.25">
      <c r="A1112" s="841"/>
    </row>
    <row r="1113" spans="1:1" x14ac:dyDescent="0.25">
      <c r="A1113" s="841"/>
    </row>
    <row r="1114" spans="1:1" x14ac:dyDescent="0.25">
      <c r="A1114" s="841"/>
    </row>
    <row r="1115" spans="1:1" x14ac:dyDescent="0.25">
      <c r="A1115" s="841"/>
    </row>
    <row r="1116" spans="1:1" x14ac:dyDescent="0.25">
      <c r="A1116" s="841"/>
    </row>
    <row r="1117" spans="1:1" x14ac:dyDescent="0.25">
      <c r="A1117" s="841"/>
    </row>
    <row r="1118" spans="1:1" x14ac:dyDescent="0.25">
      <c r="A1118" s="841"/>
    </row>
    <row r="1119" spans="1:1" x14ac:dyDescent="0.25">
      <c r="A1119" s="841"/>
    </row>
    <row r="1120" spans="1:1" x14ac:dyDescent="0.25">
      <c r="A1120" s="841"/>
    </row>
    <row r="1121" spans="1:1" x14ac:dyDescent="0.25">
      <c r="A1121" s="841"/>
    </row>
    <row r="1122" spans="1:1" x14ac:dyDescent="0.25">
      <c r="A1122" s="841"/>
    </row>
    <row r="1123" spans="1:1" x14ac:dyDescent="0.25">
      <c r="A1123" s="841"/>
    </row>
    <row r="1124" spans="1:1" x14ac:dyDescent="0.25">
      <c r="A1124" s="841"/>
    </row>
    <row r="1125" spans="1:1" x14ac:dyDescent="0.25">
      <c r="A1125" s="841"/>
    </row>
    <row r="1126" spans="1:1" x14ac:dyDescent="0.25">
      <c r="A1126" s="841"/>
    </row>
    <row r="1127" spans="1:1" x14ac:dyDescent="0.25">
      <c r="A1127" s="841"/>
    </row>
    <row r="1128" spans="1:1" x14ac:dyDescent="0.25">
      <c r="A1128" s="841"/>
    </row>
    <row r="1129" spans="1:1" x14ac:dyDescent="0.25">
      <c r="A1129" s="841"/>
    </row>
    <row r="1130" spans="1:1" x14ac:dyDescent="0.25">
      <c r="A1130" s="841"/>
    </row>
    <row r="1131" spans="1:1" x14ac:dyDescent="0.25">
      <c r="A1131" s="841"/>
    </row>
    <row r="1132" spans="1:1" x14ac:dyDescent="0.25">
      <c r="A1132" s="841"/>
    </row>
    <row r="1133" spans="1:1" x14ac:dyDescent="0.25">
      <c r="A1133" s="841"/>
    </row>
    <row r="1134" spans="1:1" x14ac:dyDescent="0.25">
      <c r="A1134" s="841"/>
    </row>
    <row r="1135" spans="1:1" x14ac:dyDescent="0.25">
      <c r="A1135" s="841"/>
    </row>
    <row r="1136" spans="1:1" x14ac:dyDescent="0.25">
      <c r="A1136" s="841"/>
    </row>
    <row r="1137" spans="1:1" x14ac:dyDescent="0.25">
      <c r="A1137" s="841"/>
    </row>
    <row r="1138" spans="1:1" x14ac:dyDescent="0.25">
      <c r="A1138" s="841"/>
    </row>
    <row r="1139" spans="1:1" x14ac:dyDescent="0.25">
      <c r="A1139" s="841"/>
    </row>
    <row r="1140" spans="1:1" x14ac:dyDescent="0.25">
      <c r="A1140" s="841"/>
    </row>
    <row r="1141" spans="1:1" x14ac:dyDescent="0.25">
      <c r="A1141" s="841"/>
    </row>
    <row r="1142" spans="1:1" x14ac:dyDescent="0.25">
      <c r="A1142" s="841"/>
    </row>
    <row r="1143" spans="1:1" x14ac:dyDescent="0.25">
      <c r="A1143" s="841"/>
    </row>
    <row r="1144" spans="1:1" x14ac:dyDescent="0.25">
      <c r="A1144" s="841"/>
    </row>
    <row r="1145" spans="1:1" x14ac:dyDescent="0.25">
      <c r="A1145" s="841"/>
    </row>
    <row r="1146" spans="1:1" x14ac:dyDescent="0.25">
      <c r="A1146" s="841"/>
    </row>
    <row r="1147" spans="1:1" x14ac:dyDescent="0.25">
      <c r="A1147" s="841"/>
    </row>
    <row r="1148" spans="1:1" x14ac:dyDescent="0.25">
      <c r="A1148" s="841"/>
    </row>
    <row r="1149" spans="1:1" x14ac:dyDescent="0.25">
      <c r="A1149" s="841"/>
    </row>
    <row r="1150" spans="1:1" x14ac:dyDescent="0.25">
      <c r="A1150" s="841"/>
    </row>
    <row r="1151" spans="1:1" x14ac:dyDescent="0.25">
      <c r="A1151" s="841"/>
    </row>
    <row r="1152" spans="1:1" x14ac:dyDescent="0.25">
      <c r="A1152" s="841"/>
    </row>
    <row r="1153" spans="1:1" x14ac:dyDescent="0.25">
      <c r="A1153" s="841"/>
    </row>
    <row r="1154" spans="1:1" x14ac:dyDescent="0.25">
      <c r="A1154" s="841"/>
    </row>
    <row r="1155" spans="1:1" x14ac:dyDescent="0.25">
      <c r="A1155" s="841"/>
    </row>
    <row r="1156" spans="1:1" x14ac:dyDescent="0.25">
      <c r="A1156" s="841"/>
    </row>
    <row r="1157" spans="1:1" x14ac:dyDescent="0.25">
      <c r="A1157" s="841"/>
    </row>
    <row r="1158" spans="1:1" x14ac:dyDescent="0.25">
      <c r="A1158" s="841"/>
    </row>
    <row r="1159" spans="1:1" x14ac:dyDescent="0.25">
      <c r="A1159" s="841"/>
    </row>
    <row r="1160" spans="1:1" x14ac:dyDescent="0.25">
      <c r="A1160" s="841"/>
    </row>
    <row r="1161" spans="1:1" x14ac:dyDescent="0.25">
      <c r="A1161" s="841"/>
    </row>
    <row r="1162" spans="1:1" x14ac:dyDescent="0.25">
      <c r="A1162" s="841"/>
    </row>
    <row r="1163" spans="1:1" x14ac:dyDescent="0.25">
      <c r="A1163" s="841"/>
    </row>
    <row r="1164" spans="1:1" x14ac:dyDescent="0.25">
      <c r="A1164" s="841"/>
    </row>
    <row r="1165" spans="1:1" x14ac:dyDescent="0.25">
      <c r="A1165" s="841"/>
    </row>
    <row r="1166" spans="1:1" x14ac:dyDescent="0.25">
      <c r="A1166" s="841"/>
    </row>
    <row r="1167" spans="1:1" x14ac:dyDescent="0.25">
      <c r="A1167" s="841"/>
    </row>
    <row r="1168" spans="1:1" x14ac:dyDescent="0.25">
      <c r="A1168" s="841"/>
    </row>
    <row r="1169" spans="1:1" x14ac:dyDescent="0.25">
      <c r="A1169" s="841"/>
    </row>
    <row r="1170" spans="1:1" x14ac:dyDescent="0.25">
      <c r="A1170" s="841"/>
    </row>
    <row r="1171" spans="1:1" x14ac:dyDescent="0.25">
      <c r="A1171" s="841"/>
    </row>
    <row r="1172" spans="1:1" x14ac:dyDescent="0.25">
      <c r="A1172" s="841"/>
    </row>
    <row r="1173" spans="1:1" x14ac:dyDescent="0.25">
      <c r="A1173" s="841"/>
    </row>
    <row r="1174" spans="1:1" x14ac:dyDescent="0.25">
      <c r="A1174" s="841"/>
    </row>
    <row r="1175" spans="1:1" x14ac:dyDescent="0.25">
      <c r="A1175" s="841"/>
    </row>
    <row r="1176" spans="1:1" x14ac:dyDescent="0.25">
      <c r="A1176" s="841"/>
    </row>
    <row r="1177" spans="1:1" x14ac:dyDescent="0.25">
      <c r="A1177" s="841"/>
    </row>
    <row r="1178" spans="1:1" x14ac:dyDescent="0.25">
      <c r="A1178" s="841"/>
    </row>
    <row r="1179" spans="1:1" x14ac:dyDescent="0.25">
      <c r="A1179" s="841"/>
    </row>
    <row r="1180" spans="1:1" x14ac:dyDescent="0.25">
      <c r="A1180" s="841"/>
    </row>
    <row r="1181" spans="1:1" x14ac:dyDescent="0.25">
      <c r="A1181" s="841"/>
    </row>
    <row r="1182" spans="1:1" x14ac:dyDescent="0.25">
      <c r="A1182" s="841"/>
    </row>
    <row r="1183" spans="1:1" x14ac:dyDescent="0.25">
      <c r="A1183" s="841"/>
    </row>
    <row r="1184" spans="1:1" x14ac:dyDescent="0.25">
      <c r="A1184" s="841"/>
    </row>
    <row r="1185" spans="1:1" x14ac:dyDescent="0.25">
      <c r="A1185" s="841"/>
    </row>
    <row r="1186" spans="1:1" x14ac:dyDescent="0.25">
      <c r="A1186" s="841"/>
    </row>
    <row r="1187" spans="1:1" x14ac:dyDescent="0.25">
      <c r="A1187" s="841"/>
    </row>
    <row r="1188" spans="1:1" x14ac:dyDescent="0.25">
      <c r="A1188" s="841"/>
    </row>
    <row r="1189" spans="1:1" x14ac:dyDescent="0.25">
      <c r="A1189" s="841"/>
    </row>
    <row r="1190" spans="1:1" x14ac:dyDescent="0.25">
      <c r="A1190" s="841"/>
    </row>
    <row r="1191" spans="1:1" x14ac:dyDescent="0.25">
      <c r="A1191" s="841"/>
    </row>
    <row r="1192" spans="1:1" x14ac:dyDescent="0.25">
      <c r="A1192" s="841"/>
    </row>
    <row r="1193" spans="1:1" x14ac:dyDescent="0.25">
      <c r="A1193" s="841"/>
    </row>
    <row r="1194" spans="1:1" x14ac:dyDescent="0.25">
      <c r="A1194" s="841"/>
    </row>
    <row r="1195" spans="1:1" x14ac:dyDescent="0.25">
      <c r="A1195" s="841"/>
    </row>
    <row r="1196" spans="1:1" x14ac:dyDescent="0.25">
      <c r="A1196" s="841"/>
    </row>
    <row r="1197" spans="1:1" x14ac:dyDescent="0.25">
      <c r="A1197" s="841"/>
    </row>
    <row r="1198" spans="1:1" x14ac:dyDescent="0.25">
      <c r="A1198" s="841"/>
    </row>
    <row r="1199" spans="1:1" x14ac:dyDescent="0.25">
      <c r="A1199" s="841"/>
    </row>
    <row r="1200" spans="1:1" x14ac:dyDescent="0.25">
      <c r="A1200" s="841"/>
    </row>
    <row r="1201" spans="1:1" x14ac:dyDescent="0.25">
      <c r="A1201" s="841"/>
    </row>
    <row r="1202" spans="1:1" x14ac:dyDescent="0.25">
      <c r="A1202" s="841"/>
    </row>
    <row r="1203" spans="1:1" x14ac:dyDescent="0.25">
      <c r="A1203" s="841"/>
    </row>
    <row r="1204" spans="1:1" x14ac:dyDescent="0.25">
      <c r="A1204" s="841"/>
    </row>
    <row r="1205" spans="1:1" x14ac:dyDescent="0.25">
      <c r="A1205" s="841"/>
    </row>
    <row r="1206" spans="1:1" x14ac:dyDescent="0.25">
      <c r="A1206" s="841"/>
    </row>
    <row r="1207" spans="1:1" x14ac:dyDescent="0.25">
      <c r="A1207" s="841"/>
    </row>
    <row r="1208" spans="1:1" x14ac:dyDescent="0.25">
      <c r="A1208" s="841"/>
    </row>
    <row r="1209" spans="1:1" x14ac:dyDescent="0.25">
      <c r="A1209" s="841"/>
    </row>
    <row r="1210" spans="1:1" x14ac:dyDescent="0.25">
      <c r="A1210" s="841"/>
    </row>
    <row r="1211" spans="1:1" x14ac:dyDescent="0.25">
      <c r="A1211" s="841"/>
    </row>
    <row r="1212" spans="1:1" x14ac:dyDescent="0.25">
      <c r="A1212" s="841"/>
    </row>
    <row r="1213" spans="1:1" x14ac:dyDescent="0.25">
      <c r="A1213" s="841"/>
    </row>
    <row r="1214" spans="1:1" x14ac:dyDescent="0.25">
      <c r="A1214" s="841"/>
    </row>
    <row r="1215" spans="1:1" x14ac:dyDescent="0.25">
      <c r="A1215" s="841"/>
    </row>
    <row r="1216" spans="1:1" x14ac:dyDescent="0.25">
      <c r="A1216" s="841"/>
    </row>
    <row r="1217" spans="1:1" x14ac:dyDescent="0.25">
      <c r="A1217" s="841"/>
    </row>
    <row r="1218" spans="1:1" x14ac:dyDescent="0.25">
      <c r="A1218" s="841"/>
    </row>
    <row r="1219" spans="1:1" x14ac:dyDescent="0.25">
      <c r="A1219" s="841"/>
    </row>
    <row r="1220" spans="1:1" x14ac:dyDescent="0.25">
      <c r="A1220" s="841"/>
    </row>
    <row r="1221" spans="1:1" x14ac:dyDescent="0.25">
      <c r="A1221" s="841"/>
    </row>
    <row r="1222" spans="1:1" x14ac:dyDescent="0.25">
      <c r="A1222" s="841"/>
    </row>
    <row r="1223" spans="1:1" x14ac:dyDescent="0.25">
      <c r="A1223" s="841"/>
    </row>
    <row r="1224" spans="1:1" x14ac:dyDescent="0.25">
      <c r="A1224" s="841"/>
    </row>
    <row r="1225" spans="1:1" x14ac:dyDescent="0.25">
      <c r="A1225" s="841"/>
    </row>
    <row r="1226" spans="1:1" x14ac:dyDescent="0.25">
      <c r="A1226" s="841"/>
    </row>
    <row r="1227" spans="1:1" x14ac:dyDescent="0.25">
      <c r="A1227" s="841"/>
    </row>
    <row r="1228" spans="1:1" x14ac:dyDescent="0.25">
      <c r="A1228" s="841"/>
    </row>
    <row r="1229" spans="1:1" x14ac:dyDescent="0.25">
      <c r="A1229" s="841"/>
    </row>
    <row r="1230" spans="1:1" x14ac:dyDescent="0.25">
      <c r="A1230" s="841"/>
    </row>
    <row r="1231" spans="1:1" x14ac:dyDescent="0.25">
      <c r="A1231" s="841"/>
    </row>
    <row r="1232" spans="1:1" x14ac:dyDescent="0.25">
      <c r="A1232" s="841"/>
    </row>
    <row r="1233" spans="1:1" x14ac:dyDescent="0.25">
      <c r="A1233" s="841"/>
    </row>
    <row r="1234" spans="1:1" x14ac:dyDescent="0.25">
      <c r="A1234" s="841"/>
    </row>
    <row r="1235" spans="1:1" x14ac:dyDescent="0.25">
      <c r="A1235" s="841"/>
    </row>
    <row r="1236" spans="1:1" x14ac:dyDescent="0.25">
      <c r="A1236" s="841"/>
    </row>
    <row r="1237" spans="1:1" x14ac:dyDescent="0.25">
      <c r="A1237" s="841"/>
    </row>
    <row r="1238" spans="1:1" x14ac:dyDescent="0.25">
      <c r="A1238" s="841"/>
    </row>
    <row r="1239" spans="1:1" x14ac:dyDescent="0.25">
      <c r="A1239" s="841"/>
    </row>
    <row r="1240" spans="1:1" x14ac:dyDescent="0.25">
      <c r="A1240" s="841"/>
    </row>
    <row r="1241" spans="1:1" x14ac:dyDescent="0.25">
      <c r="A1241" s="841"/>
    </row>
    <row r="1242" spans="1:1" x14ac:dyDescent="0.25">
      <c r="A1242" s="841"/>
    </row>
    <row r="1243" spans="1:1" x14ac:dyDescent="0.25">
      <c r="A1243" s="841"/>
    </row>
    <row r="1244" spans="1:1" x14ac:dyDescent="0.25">
      <c r="A1244" s="841"/>
    </row>
    <row r="1245" spans="1:1" x14ac:dyDescent="0.25">
      <c r="A1245" s="841"/>
    </row>
    <row r="1246" spans="1:1" x14ac:dyDescent="0.25">
      <c r="A1246" s="841"/>
    </row>
    <row r="1247" spans="1:1" x14ac:dyDescent="0.25">
      <c r="A1247" s="841"/>
    </row>
    <row r="1248" spans="1:1" x14ac:dyDescent="0.25">
      <c r="A1248" s="841"/>
    </row>
    <row r="1249" spans="1:1" x14ac:dyDescent="0.25">
      <c r="A1249" s="841"/>
    </row>
    <row r="1250" spans="1:1" x14ac:dyDescent="0.25">
      <c r="A1250" s="841"/>
    </row>
    <row r="1251" spans="1:1" x14ac:dyDescent="0.25">
      <c r="A1251" s="841"/>
    </row>
    <row r="1252" spans="1:1" x14ac:dyDescent="0.25">
      <c r="A1252" s="841"/>
    </row>
    <row r="1253" spans="1:1" x14ac:dyDescent="0.25">
      <c r="A1253" s="841"/>
    </row>
    <row r="1254" spans="1:1" x14ac:dyDescent="0.25">
      <c r="A1254" s="841"/>
    </row>
    <row r="1255" spans="1:1" x14ac:dyDescent="0.25">
      <c r="A1255" s="841"/>
    </row>
    <row r="1256" spans="1:1" x14ac:dyDescent="0.25">
      <c r="A1256" s="841"/>
    </row>
    <row r="1257" spans="1:1" x14ac:dyDescent="0.25">
      <c r="A1257" s="841"/>
    </row>
    <row r="1258" spans="1:1" x14ac:dyDescent="0.25">
      <c r="A1258" s="841"/>
    </row>
    <row r="1259" spans="1:1" x14ac:dyDescent="0.25">
      <c r="A1259" s="841"/>
    </row>
    <row r="1260" spans="1:1" x14ac:dyDescent="0.25">
      <c r="A1260" s="841"/>
    </row>
    <row r="1261" spans="1:1" x14ac:dyDescent="0.25">
      <c r="A1261" s="841"/>
    </row>
    <row r="1262" spans="1:1" x14ac:dyDescent="0.25">
      <c r="A1262" s="841"/>
    </row>
    <row r="1263" spans="1:1" x14ac:dyDescent="0.25">
      <c r="A1263" s="841"/>
    </row>
    <row r="1264" spans="1:1" x14ac:dyDescent="0.25">
      <c r="A1264" s="841"/>
    </row>
    <row r="1265" spans="1:1" x14ac:dyDescent="0.25">
      <c r="A1265" s="841"/>
    </row>
    <row r="1266" spans="1:1" x14ac:dyDescent="0.25">
      <c r="A1266" s="841"/>
    </row>
    <row r="1267" spans="1:1" x14ac:dyDescent="0.25">
      <c r="A1267" s="841"/>
    </row>
    <row r="1268" spans="1:1" x14ac:dyDescent="0.25">
      <c r="A1268" s="841"/>
    </row>
    <row r="1269" spans="1:1" x14ac:dyDescent="0.25">
      <c r="A1269" s="841"/>
    </row>
    <row r="1270" spans="1:1" x14ac:dyDescent="0.25">
      <c r="A1270" s="841"/>
    </row>
    <row r="1271" spans="1:1" x14ac:dyDescent="0.25">
      <c r="A1271" s="841"/>
    </row>
    <row r="1272" spans="1:1" x14ac:dyDescent="0.25">
      <c r="A1272" s="841"/>
    </row>
    <row r="1273" spans="1:1" x14ac:dyDescent="0.25">
      <c r="A1273" s="841"/>
    </row>
    <row r="1274" spans="1:1" x14ac:dyDescent="0.25">
      <c r="A1274" s="841"/>
    </row>
    <row r="1275" spans="1:1" x14ac:dyDescent="0.25">
      <c r="A1275" s="841"/>
    </row>
    <row r="1276" spans="1:1" x14ac:dyDescent="0.25">
      <c r="A1276" s="841"/>
    </row>
    <row r="1277" spans="1:1" x14ac:dyDescent="0.25">
      <c r="A1277" s="841"/>
    </row>
    <row r="1278" spans="1:1" x14ac:dyDescent="0.25">
      <c r="A1278" s="841"/>
    </row>
    <row r="1279" spans="1:1" x14ac:dyDescent="0.25">
      <c r="A1279" s="841"/>
    </row>
    <row r="1280" spans="1:1" x14ac:dyDescent="0.25">
      <c r="A1280" s="841"/>
    </row>
    <row r="1281" spans="1:1" x14ac:dyDescent="0.25">
      <c r="A1281" s="841"/>
    </row>
    <row r="1282" spans="1:1" x14ac:dyDescent="0.25">
      <c r="A1282" s="841"/>
    </row>
    <row r="1283" spans="1:1" x14ac:dyDescent="0.25">
      <c r="A1283" s="841"/>
    </row>
    <row r="1284" spans="1:1" x14ac:dyDescent="0.25">
      <c r="A1284" s="841"/>
    </row>
    <row r="1285" spans="1:1" x14ac:dyDescent="0.25">
      <c r="A1285" s="841"/>
    </row>
    <row r="1286" spans="1:1" x14ac:dyDescent="0.25">
      <c r="A1286" s="841"/>
    </row>
    <row r="1287" spans="1:1" x14ac:dyDescent="0.25">
      <c r="A1287" s="841"/>
    </row>
    <row r="1288" spans="1:1" x14ac:dyDescent="0.25">
      <c r="A1288" s="841"/>
    </row>
    <row r="1289" spans="1:1" x14ac:dyDescent="0.25">
      <c r="A1289" s="841"/>
    </row>
    <row r="1290" spans="1:1" x14ac:dyDescent="0.25">
      <c r="A1290" s="841"/>
    </row>
    <row r="1291" spans="1:1" x14ac:dyDescent="0.25">
      <c r="A1291" s="841"/>
    </row>
    <row r="1292" spans="1:1" x14ac:dyDescent="0.25">
      <c r="A1292" s="841"/>
    </row>
    <row r="1293" spans="1:1" x14ac:dyDescent="0.25">
      <c r="A1293" s="841"/>
    </row>
    <row r="1294" spans="1:1" x14ac:dyDescent="0.25">
      <c r="A1294" s="841"/>
    </row>
    <row r="1295" spans="1:1" x14ac:dyDescent="0.25">
      <c r="A1295" s="841"/>
    </row>
    <row r="1296" spans="1:1" x14ac:dyDescent="0.25">
      <c r="A1296" s="841"/>
    </row>
    <row r="1297" spans="1:1" x14ac:dyDescent="0.25">
      <c r="A1297" s="841"/>
    </row>
    <row r="1298" spans="1:1" x14ac:dyDescent="0.25">
      <c r="A1298" s="841"/>
    </row>
    <row r="1299" spans="1:1" x14ac:dyDescent="0.25">
      <c r="A1299" s="841"/>
    </row>
    <row r="1300" spans="1:1" x14ac:dyDescent="0.25">
      <c r="A1300" s="841"/>
    </row>
    <row r="1301" spans="1:1" x14ac:dyDescent="0.25">
      <c r="A1301" s="841"/>
    </row>
    <row r="1302" spans="1:1" x14ac:dyDescent="0.25">
      <c r="A1302" s="841"/>
    </row>
    <row r="1303" spans="1:1" x14ac:dyDescent="0.25">
      <c r="A1303" s="841"/>
    </row>
    <row r="1304" spans="1:1" x14ac:dyDescent="0.25">
      <c r="A1304" s="841"/>
    </row>
    <row r="1305" spans="1:1" x14ac:dyDescent="0.25">
      <c r="A1305" s="841"/>
    </row>
    <row r="1306" spans="1:1" x14ac:dyDescent="0.25">
      <c r="A1306" s="841"/>
    </row>
    <row r="1307" spans="1:1" x14ac:dyDescent="0.25">
      <c r="A1307" s="841"/>
    </row>
    <row r="1308" spans="1:1" x14ac:dyDescent="0.25">
      <c r="A1308" s="841"/>
    </row>
    <row r="1309" spans="1:1" x14ac:dyDescent="0.25">
      <c r="A1309" s="841"/>
    </row>
    <row r="1310" spans="1:1" x14ac:dyDescent="0.25">
      <c r="A1310" s="841"/>
    </row>
    <row r="1311" spans="1:1" x14ac:dyDescent="0.25">
      <c r="A1311" s="841"/>
    </row>
    <row r="1312" spans="1:1" x14ac:dyDescent="0.25">
      <c r="A1312" s="841"/>
    </row>
    <row r="1313" spans="1:1" x14ac:dyDescent="0.25">
      <c r="A1313" s="841"/>
    </row>
    <row r="1314" spans="1:1" x14ac:dyDescent="0.25">
      <c r="A1314" s="841"/>
    </row>
    <row r="1315" spans="1:1" x14ac:dyDescent="0.25">
      <c r="A1315" s="841"/>
    </row>
    <row r="1316" spans="1:1" x14ac:dyDescent="0.25">
      <c r="A1316" s="841"/>
    </row>
    <row r="1317" spans="1:1" x14ac:dyDescent="0.25">
      <c r="A1317" s="841"/>
    </row>
    <row r="1318" spans="1:1" x14ac:dyDescent="0.25">
      <c r="A1318" s="841"/>
    </row>
    <row r="1319" spans="1:1" x14ac:dyDescent="0.25">
      <c r="A1319" s="841"/>
    </row>
    <row r="1320" spans="1:1" x14ac:dyDescent="0.25">
      <c r="A1320" s="841"/>
    </row>
    <row r="1321" spans="1:1" x14ac:dyDescent="0.25">
      <c r="A1321" s="841"/>
    </row>
    <row r="1322" spans="1:1" x14ac:dyDescent="0.25">
      <c r="A1322" s="841"/>
    </row>
    <row r="1323" spans="1:1" x14ac:dyDescent="0.25">
      <c r="A1323" s="841"/>
    </row>
    <row r="1324" spans="1:1" x14ac:dyDescent="0.25">
      <c r="A1324" s="841"/>
    </row>
    <row r="1325" spans="1:1" x14ac:dyDescent="0.25">
      <c r="A1325" s="841"/>
    </row>
    <row r="1326" spans="1:1" x14ac:dyDescent="0.25">
      <c r="A1326" s="841"/>
    </row>
    <row r="1327" spans="1:1" x14ac:dyDescent="0.25">
      <c r="A1327" s="841"/>
    </row>
    <row r="1328" spans="1:1" x14ac:dyDescent="0.25">
      <c r="A1328" s="841"/>
    </row>
    <row r="1329" spans="1:1" x14ac:dyDescent="0.25">
      <c r="A1329" s="841"/>
    </row>
    <row r="1330" spans="1:1" x14ac:dyDescent="0.25">
      <c r="A1330" s="841"/>
    </row>
    <row r="1331" spans="1:1" x14ac:dyDescent="0.25">
      <c r="A1331" s="841"/>
    </row>
    <row r="1332" spans="1:1" x14ac:dyDescent="0.25">
      <c r="A1332" s="841"/>
    </row>
    <row r="1333" spans="1:1" x14ac:dyDescent="0.25">
      <c r="A1333" s="841"/>
    </row>
    <row r="1334" spans="1:1" x14ac:dyDescent="0.25">
      <c r="A1334" s="841"/>
    </row>
    <row r="1335" spans="1:1" x14ac:dyDescent="0.25">
      <c r="A1335" s="841"/>
    </row>
    <row r="1336" spans="1:1" x14ac:dyDescent="0.25">
      <c r="A1336" s="841"/>
    </row>
    <row r="1337" spans="1:1" x14ac:dyDescent="0.25">
      <c r="A1337" s="841"/>
    </row>
    <row r="1338" spans="1:1" x14ac:dyDescent="0.25">
      <c r="A1338" s="841"/>
    </row>
    <row r="1339" spans="1:1" x14ac:dyDescent="0.25">
      <c r="A1339" s="841"/>
    </row>
    <row r="1340" spans="1:1" x14ac:dyDescent="0.25">
      <c r="A1340" s="841"/>
    </row>
    <row r="1341" spans="1:1" x14ac:dyDescent="0.25">
      <c r="A1341" s="841"/>
    </row>
    <row r="1342" spans="1:1" x14ac:dyDescent="0.25">
      <c r="A1342" s="841"/>
    </row>
    <row r="1343" spans="1:1" x14ac:dyDescent="0.25">
      <c r="A1343" s="841"/>
    </row>
    <row r="1344" spans="1:1" x14ac:dyDescent="0.25">
      <c r="A1344" s="841"/>
    </row>
    <row r="1345" spans="1:1" x14ac:dyDescent="0.25">
      <c r="A1345" s="841"/>
    </row>
    <row r="1346" spans="1:1" x14ac:dyDescent="0.25">
      <c r="A1346" s="841"/>
    </row>
    <row r="1347" spans="1:1" x14ac:dyDescent="0.25">
      <c r="A1347" s="841"/>
    </row>
    <row r="1348" spans="1:1" x14ac:dyDescent="0.25">
      <c r="A1348" s="841"/>
    </row>
    <row r="1349" spans="1:1" x14ac:dyDescent="0.25">
      <c r="A1349" s="841"/>
    </row>
    <row r="1350" spans="1:1" x14ac:dyDescent="0.25">
      <c r="A1350" s="841"/>
    </row>
    <row r="1351" spans="1:1" x14ac:dyDescent="0.25">
      <c r="A1351" s="841"/>
    </row>
    <row r="1352" spans="1:1" x14ac:dyDescent="0.25">
      <c r="A1352" s="841"/>
    </row>
    <row r="1353" spans="1:1" x14ac:dyDescent="0.25">
      <c r="A1353" s="841"/>
    </row>
    <row r="1354" spans="1:1" x14ac:dyDescent="0.25">
      <c r="A1354" s="841"/>
    </row>
    <row r="1355" spans="1:1" x14ac:dyDescent="0.25">
      <c r="A1355" s="841"/>
    </row>
    <row r="1356" spans="1:1" x14ac:dyDescent="0.25">
      <c r="A1356" s="841"/>
    </row>
    <row r="1357" spans="1:1" x14ac:dyDescent="0.25">
      <c r="A1357" s="841"/>
    </row>
    <row r="1358" spans="1:1" x14ac:dyDescent="0.25">
      <c r="A1358" s="841"/>
    </row>
    <row r="1359" spans="1:1" x14ac:dyDescent="0.25">
      <c r="A1359" s="841"/>
    </row>
    <row r="1360" spans="1:1" x14ac:dyDescent="0.25">
      <c r="A1360" s="841"/>
    </row>
    <row r="1361" spans="1:1" x14ac:dyDescent="0.25">
      <c r="A1361" s="841"/>
    </row>
    <row r="1362" spans="1:1" x14ac:dyDescent="0.25">
      <c r="A1362" s="841"/>
    </row>
    <row r="1363" spans="1:1" x14ac:dyDescent="0.25">
      <c r="A1363" s="841"/>
    </row>
    <row r="1364" spans="1:1" x14ac:dyDescent="0.25">
      <c r="A1364" s="841"/>
    </row>
    <row r="1365" spans="1:1" x14ac:dyDescent="0.25">
      <c r="A1365" s="841"/>
    </row>
    <row r="1366" spans="1:1" x14ac:dyDescent="0.25">
      <c r="A1366" s="841"/>
    </row>
    <row r="1367" spans="1:1" x14ac:dyDescent="0.25">
      <c r="A1367" s="841"/>
    </row>
    <row r="1368" spans="1:1" x14ac:dyDescent="0.25">
      <c r="A1368" s="841"/>
    </row>
    <row r="1369" spans="1:1" x14ac:dyDescent="0.25">
      <c r="A1369" s="841"/>
    </row>
    <row r="1370" spans="1:1" x14ac:dyDescent="0.25">
      <c r="A1370" s="841"/>
    </row>
    <row r="1371" spans="1:1" x14ac:dyDescent="0.25">
      <c r="A1371" s="841"/>
    </row>
    <row r="1372" spans="1:1" x14ac:dyDescent="0.25">
      <c r="A1372" s="841"/>
    </row>
    <row r="1373" spans="1:1" x14ac:dyDescent="0.25">
      <c r="A1373" s="841"/>
    </row>
    <row r="1374" spans="1:1" x14ac:dyDescent="0.25">
      <c r="A1374" s="841"/>
    </row>
    <row r="1375" spans="1:1" x14ac:dyDescent="0.25">
      <c r="A1375" s="841"/>
    </row>
    <row r="1376" spans="1:1" x14ac:dyDescent="0.25">
      <c r="A1376" s="841"/>
    </row>
    <row r="1377" spans="1:1" x14ac:dyDescent="0.25">
      <c r="A1377" s="841"/>
    </row>
    <row r="1378" spans="1:1" x14ac:dyDescent="0.25">
      <c r="A1378" s="841"/>
    </row>
    <row r="1379" spans="1:1" x14ac:dyDescent="0.25">
      <c r="A1379" s="841"/>
    </row>
    <row r="1380" spans="1:1" x14ac:dyDescent="0.25">
      <c r="A1380" s="841"/>
    </row>
    <row r="1381" spans="1:1" x14ac:dyDescent="0.25">
      <c r="A1381" s="841"/>
    </row>
    <row r="1382" spans="1:1" x14ac:dyDescent="0.25">
      <c r="A1382" s="841"/>
    </row>
    <row r="1383" spans="1:1" x14ac:dyDescent="0.25">
      <c r="A1383" s="841"/>
    </row>
    <row r="1384" spans="1:1" x14ac:dyDescent="0.25">
      <c r="A1384" s="841"/>
    </row>
    <row r="1385" spans="1:1" x14ac:dyDescent="0.25">
      <c r="A1385" s="841"/>
    </row>
    <row r="1386" spans="1:1" x14ac:dyDescent="0.25">
      <c r="A1386" s="841"/>
    </row>
    <row r="1387" spans="1:1" x14ac:dyDescent="0.25">
      <c r="A1387" s="841"/>
    </row>
    <row r="1388" spans="1:1" x14ac:dyDescent="0.25">
      <c r="A1388" s="841"/>
    </row>
    <row r="1389" spans="1:1" x14ac:dyDescent="0.25">
      <c r="A1389" s="841"/>
    </row>
    <row r="1390" spans="1:1" x14ac:dyDescent="0.25">
      <c r="A1390" s="841"/>
    </row>
    <row r="1391" spans="1:1" x14ac:dyDescent="0.25">
      <c r="A1391" s="841"/>
    </row>
    <row r="1392" spans="1:1" x14ac:dyDescent="0.25">
      <c r="A1392" s="841"/>
    </row>
    <row r="1393" spans="1:1" x14ac:dyDescent="0.25">
      <c r="A1393" s="841"/>
    </row>
    <row r="1394" spans="1:1" x14ac:dyDescent="0.25">
      <c r="A1394" s="841"/>
    </row>
    <row r="1395" spans="1:1" x14ac:dyDescent="0.25">
      <c r="A1395" s="841"/>
    </row>
    <row r="1396" spans="1:1" x14ac:dyDescent="0.25">
      <c r="A1396" s="841"/>
    </row>
    <row r="1397" spans="1:1" x14ac:dyDescent="0.25">
      <c r="A1397" s="841"/>
    </row>
    <row r="1398" spans="1:1" x14ac:dyDescent="0.25">
      <c r="A1398" s="841"/>
    </row>
    <row r="1399" spans="1:1" x14ac:dyDescent="0.25">
      <c r="A1399" s="841"/>
    </row>
    <row r="1400" spans="1:1" x14ac:dyDescent="0.25">
      <c r="A1400" s="841"/>
    </row>
    <row r="1401" spans="1:1" x14ac:dyDescent="0.25">
      <c r="A1401" s="841"/>
    </row>
    <row r="1402" spans="1:1" x14ac:dyDescent="0.25">
      <c r="A1402" s="841"/>
    </row>
    <row r="1403" spans="1:1" x14ac:dyDescent="0.25">
      <c r="A1403" s="841"/>
    </row>
    <row r="1404" spans="1:1" x14ac:dyDescent="0.25">
      <c r="A1404" s="841"/>
    </row>
    <row r="1405" spans="1:1" x14ac:dyDescent="0.25">
      <c r="A1405" s="841"/>
    </row>
    <row r="1406" spans="1:1" x14ac:dyDescent="0.25">
      <c r="A1406" s="841"/>
    </row>
    <row r="1407" spans="1:1" x14ac:dyDescent="0.25">
      <c r="A1407" s="841"/>
    </row>
    <row r="1408" spans="1:1" x14ac:dyDescent="0.25">
      <c r="A1408" s="841"/>
    </row>
    <row r="1409" spans="1:1" x14ac:dyDescent="0.25">
      <c r="A1409" s="841"/>
    </row>
    <row r="1410" spans="1:1" x14ac:dyDescent="0.25">
      <c r="A1410" s="841"/>
    </row>
    <row r="1411" spans="1:1" x14ac:dyDescent="0.25">
      <c r="A1411" s="841"/>
    </row>
    <row r="1412" spans="1:1" x14ac:dyDescent="0.25">
      <c r="A1412" s="841"/>
    </row>
    <row r="1413" spans="1:1" x14ac:dyDescent="0.25">
      <c r="A1413" s="841"/>
    </row>
    <row r="1414" spans="1:1" x14ac:dyDescent="0.25">
      <c r="A1414" s="841"/>
    </row>
    <row r="1415" spans="1:1" x14ac:dyDescent="0.25">
      <c r="A1415" s="841"/>
    </row>
    <row r="1416" spans="1:1" x14ac:dyDescent="0.25">
      <c r="A1416" s="841"/>
    </row>
    <row r="1417" spans="1:1" x14ac:dyDescent="0.25">
      <c r="A1417" s="841"/>
    </row>
    <row r="1418" spans="1:1" x14ac:dyDescent="0.25">
      <c r="A1418" s="841"/>
    </row>
    <row r="1419" spans="1:1" x14ac:dyDescent="0.25">
      <c r="A1419" s="841"/>
    </row>
    <row r="1420" spans="1:1" x14ac:dyDescent="0.25">
      <c r="A1420" s="841"/>
    </row>
    <row r="1421" spans="1:1" x14ac:dyDescent="0.25">
      <c r="A1421" s="841"/>
    </row>
    <row r="1422" spans="1:1" x14ac:dyDescent="0.25">
      <c r="A1422" s="841"/>
    </row>
    <row r="1423" spans="1:1" x14ac:dyDescent="0.25">
      <c r="A1423" s="841"/>
    </row>
    <row r="1424" spans="1:1" x14ac:dyDescent="0.25">
      <c r="A1424" s="841"/>
    </row>
    <row r="1425" spans="1:1" x14ac:dyDescent="0.25">
      <c r="A1425" s="841"/>
    </row>
    <row r="1426" spans="1:1" x14ac:dyDescent="0.25">
      <c r="A1426" s="841"/>
    </row>
    <row r="1427" spans="1:1" x14ac:dyDescent="0.25">
      <c r="A1427" s="841"/>
    </row>
    <row r="1428" spans="1:1" x14ac:dyDescent="0.25">
      <c r="A1428" s="841"/>
    </row>
    <row r="1429" spans="1:1" x14ac:dyDescent="0.25">
      <c r="A1429" s="841"/>
    </row>
    <row r="1430" spans="1:1" x14ac:dyDescent="0.25">
      <c r="A1430" s="841"/>
    </row>
    <row r="1431" spans="1:1" x14ac:dyDescent="0.25">
      <c r="A1431" s="841"/>
    </row>
    <row r="1432" spans="1:1" x14ac:dyDescent="0.25">
      <c r="A1432" s="841"/>
    </row>
    <row r="1433" spans="1:1" x14ac:dyDescent="0.25">
      <c r="A1433" s="841"/>
    </row>
    <row r="1434" spans="1:1" x14ac:dyDescent="0.25">
      <c r="A1434" s="841"/>
    </row>
    <row r="1435" spans="1:1" x14ac:dyDescent="0.25">
      <c r="A1435" s="841"/>
    </row>
    <row r="1436" spans="1:1" x14ac:dyDescent="0.25">
      <c r="A1436" s="841"/>
    </row>
    <row r="1437" spans="1:1" x14ac:dyDescent="0.25">
      <c r="A1437" s="841"/>
    </row>
    <row r="1438" spans="1:1" x14ac:dyDescent="0.25">
      <c r="A1438" s="841"/>
    </row>
    <row r="1439" spans="1:1" x14ac:dyDescent="0.25">
      <c r="A1439" s="841"/>
    </row>
    <row r="1440" spans="1:1" x14ac:dyDescent="0.25">
      <c r="A1440" s="841"/>
    </row>
    <row r="1441" spans="1:1" x14ac:dyDescent="0.25">
      <c r="A1441" s="841"/>
    </row>
    <row r="1442" spans="1:1" x14ac:dyDescent="0.25">
      <c r="A1442" s="841"/>
    </row>
    <row r="1443" spans="1:1" x14ac:dyDescent="0.25">
      <c r="A1443" s="841"/>
    </row>
    <row r="1444" spans="1:1" x14ac:dyDescent="0.25">
      <c r="A1444" s="841"/>
    </row>
    <row r="1445" spans="1:1" x14ac:dyDescent="0.25">
      <c r="A1445" s="841"/>
    </row>
    <row r="1446" spans="1:1" x14ac:dyDescent="0.25">
      <c r="A1446" s="841"/>
    </row>
    <row r="1447" spans="1:1" x14ac:dyDescent="0.25">
      <c r="A1447" s="841"/>
    </row>
    <row r="1448" spans="1:1" x14ac:dyDescent="0.25">
      <c r="A1448" s="841"/>
    </row>
    <row r="1449" spans="1:1" x14ac:dyDescent="0.25">
      <c r="A1449" s="841"/>
    </row>
    <row r="1450" spans="1:1" x14ac:dyDescent="0.25">
      <c r="A1450" s="841"/>
    </row>
    <row r="1451" spans="1:1" x14ac:dyDescent="0.25">
      <c r="A1451" s="841"/>
    </row>
    <row r="1452" spans="1:1" x14ac:dyDescent="0.25">
      <c r="A1452" s="841"/>
    </row>
    <row r="1453" spans="1:1" x14ac:dyDescent="0.25">
      <c r="A1453" s="841"/>
    </row>
    <row r="1454" spans="1:1" x14ac:dyDescent="0.25">
      <c r="A1454" s="841"/>
    </row>
    <row r="1455" spans="1:1" x14ac:dyDescent="0.25">
      <c r="A1455" s="841"/>
    </row>
    <row r="1456" spans="1:1" x14ac:dyDescent="0.25">
      <c r="A1456" s="841"/>
    </row>
    <row r="1457" spans="1:1" x14ac:dyDescent="0.25">
      <c r="A1457" s="841"/>
    </row>
    <row r="1458" spans="1:1" x14ac:dyDescent="0.25">
      <c r="A1458" s="841"/>
    </row>
    <row r="1459" spans="1:1" x14ac:dyDescent="0.25">
      <c r="A1459" s="841"/>
    </row>
    <row r="1460" spans="1:1" x14ac:dyDescent="0.25">
      <c r="A1460" s="841"/>
    </row>
    <row r="1461" spans="1:1" x14ac:dyDescent="0.25">
      <c r="A1461" s="841"/>
    </row>
    <row r="1462" spans="1:1" x14ac:dyDescent="0.25">
      <c r="A1462" s="841"/>
    </row>
    <row r="1463" spans="1:1" x14ac:dyDescent="0.25">
      <c r="A1463" s="841"/>
    </row>
    <row r="1464" spans="1:1" x14ac:dyDescent="0.25">
      <c r="A1464" s="841"/>
    </row>
    <row r="1465" spans="1:1" x14ac:dyDescent="0.25">
      <c r="A1465" s="841"/>
    </row>
    <row r="1466" spans="1:1" x14ac:dyDescent="0.25">
      <c r="A1466" s="841"/>
    </row>
    <row r="1467" spans="1:1" x14ac:dyDescent="0.25">
      <c r="A1467" s="841"/>
    </row>
    <row r="1468" spans="1:1" x14ac:dyDescent="0.25">
      <c r="A1468" s="841"/>
    </row>
    <row r="1469" spans="1:1" x14ac:dyDescent="0.25">
      <c r="A1469" s="841"/>
    </row>
    <row r="1470" spans="1:1" x14ac:dyDescent="0.25">
      <c r="A1470" s="841"/>
    </row>
    <row r="1471" spans="1:1" x14ac:dyDescent="0.25">
      <c r="A1471" s="841"/>
    </row>
    <row r="1472" spans="1:1" x14ac:dyDescent="0.25">
      <c r="A1472" s="841"/>
    </row>
    <row r="1473" spans="1:1" x14ac:dyDescent="0.25">
      <c r="A1473" s="841"/>
    </row>
    <row r="1474" spans="1:1" x14ac:dyDescent="0.25">
      <c r="A1474" s="841"/>
    </row>
    <row r="1475" spans="1:1" x14ac:dyDescent="0.25">
      <c r="A1475" s="841"/>
    </row>
    <row r="1476" spans="1:1" x14ac:dyDescent="0.25">
      <c r="A1476" s="841"/>
    </row>
    <row r="1477" spans="1:1" x14ac:dyDescent="0.25">
      <c r="A1477" s="841"/>
    </row>
    <row r="1478" spans="1:1" x14ac:dyDescent="0.25">
      <c r="A1478" s="841"/>
    </row>
    <row r="1479" spans="1:1" x14ac:dyDescent="0.25">
      <c r="A1479" s="841"/>
    </row>
    <row r="1480" spans="1:1" x14ac:dyDescent="0.25">
      <c r="A1480" s="841"/>
    </row>
    <row r="1481" spans="1:1" x14ac:dyDescent="0.25">
      <c r="A1481" s="841"/>
    </row>
    <row r="1482" spans="1:1" x14ac:dyDescent="0.25">
      <c r="A1482" s="841"/>
    </row>
    <row r="1483" spans="1:1" x14ac:dyDescent="0.25">
      <c r="A1483" s="841"/>
    </row>
    <row r="1484" spans="1:1" x14ac:dyDescent="0.25">
      <c r="A1484" s="841"/>
    </row>
    <row r="1485" spans="1:1" x14ac:dyDescent="0.25">
      <c r="A1485" s="841"/>
    </row>
    <row r="1486" spans="1:1" x14ac:dyDescent="0.25">
      <c r="A1486" s="841"/>
    </row>
    <row r="1487" spans="1:1" x14ac:dyDescent="0.25">
      <c r="A1487" s="841"/>
    </row>
    <row r="1488" spans="1:1" x14ac:dyDescent="0.25">
      <c r="A1488" s="841"/>
    </row>
    <row r="1489" spans="1:1" x14ac:dyDescent="0.25">
      <c r="A1489" s="841"/>
    </row>
    <row r="1490" spans="1:1" x14ac:dyDescent="0.25">
      <c r="A1490" s="841"/>
    </row>
    <row r="1491" spans="1:1" x14ac:dyDescent="0.25">
      <c r="A1491" s="841"/>
    </row>
    <row r="1492" spans="1:1" x14ac:dyDescent="0.25">
      <c r="A1492" s="841"/>
    </row>
    <row r="1493" spans="1:1" x14ac:dyDescent="0.25">
      <c r="A1493" s="841"/>
    </row>
    <row r="1494" spans="1:1" x14ac:dyDescent="0.25">
      <c r="A1494" s="841"/>
    </row>
    <row r="1495" spans="1:1" x14ac:dyDescent="0.25">
      <c r="A1495" s="841"/>
    </row>
    <row r="1496" spans="1:1" x14ac:dyDescent="0.25">
      <c r="A1496" s="841"/>
    </row>
    <row r="1497" spans="1:1" x14ac:dyDescent="0.25">
      <c r="A1497" s="841"/>
    </row>
    <row r="1498" spans="1:1" x14ac:dyDescent="0.25">
      <c r="A1498" s="841"/>
    </row>
    <row r="1499" spans="1:1" x14ac:dyDescent="0.25">
      <c r="A1499" s="841"/>
    </row>
    <row r="1500" spans="1:1" x14ac:dyDescent="0.25">
      <c r="A1500" s="841"/>
    </row>
    <row r="1501" spans="1:1" x14ac:dyDescent="0.25">
      <c r="A1501" s="841"/>
    </row>
    <row r="1502" spans="1:1" x14ac:dyDescent="0.25">
      <c r="A1502" s="841"/>
    </row>
    <row r="1503" spans="1:1" x14ac:dyDescent="0.25">
      <c r="A1503" s="841"/>
    </row>
    <row r="1504" spans="1:1" x14ac:dyDescent="0.25">
      <c r="A1504" s="841"/>
    </row>
    <row r="1505" spans="1:1" x14ac:dyDescent="0.25">
      <c r="A1505" s="841"/>
    </row>
    <row r="1506" spans="1:1" x14ac:dyDescent="0.25">
      <c r="A1506" s="841"/>
    </row>
    <row r="1507" spans="1:1" x14ac:dyDescent="0.25">
      <c r="A1507" s="841"/>
    </row>
    <row r="1508" spans="1:1" x14ac:dyDescent="0.25">
      <c r="A1508" s="841"/>
    </row>
    <row r="1509" spans="1:1" x14ac:dyDescent="0.25">
      <c r="A1509" s="841"/>
    </row>
    <row r="1510" spans="1:1" x14ac:dyDescent="0.25">
      <c r="A1510" s="841"/>
    </row>
    <row r="1511" spans="1:1" x14ac:dyDescent="0.25">
      <c r="A1511" s="841"/>
    </row>
    <row r="1512" spans="1:1" x14ac:dyDescent="0.25">
      <c r="A1512" s="841"/>
    </row>
    <row r="1513" spans="1:1" x14ac:dyDescent="0.25">
      <c r="A1513" s="841"/>
    </row>
    <row r="1514" spans="1:1" x14ac:dyDescent="0.25">
      <c r="A1514" s="841"/>
    </row>
    <row r="1515" spans="1:1" x14ac:dyDescent="0.25">
      <c r="A1515" s="841"/>
    </row>
    <row r="1516" spans="1:1" x14ac:dyDescent="0.25">
      <c r="A1516" s="841"/>
    </row>
    <row r="1517" spans="1:1" x14ac:dyDescent="0.25">
      <c r="A1517" s="841"/>
    </row>
    <row r="1518" spans="1:1" x14ac:dyDescent="0.25">
      <c r="A1518" s="841"/>
    </row>
    <row r="1519" spans="1:1" x14ac:dyDescent="0.25">
      <c r="A1519" s="841"/>
    </row>
    <row r="1520" spans="1:1" x14ac:dyDescent="0.25">
      <c r="A1520" s="841"/>
    </row>
    <row r="1521" spans="1:1" x14ac:dyDescent="0.25">
      <c r="A1521" s="841"/>
    </row>
    <row r="1522" spans="1:1" x14ac:dyDescent="0.25">
      <c r="A1522" s="841"/>
    </row>
    <row r="1523" spans="1:1" x14ac:dyDescent="0.25">
      <c r="A1523" s="841"/>
    </row>
    <row r="1524" spans="1:1" x14ac:dyDescent="0.25">
      <c r="A1524" s="841"/>
    </row>
    <row r="1525" spans="1:1" x14ac:dyDescent="0.25">
      <c r="A1525" s="841"/>
    </row>
    <row r="1526" spans="1:1" x14ac:dyDescent="0.25">
      <c r="A1526" s="841"/>
    </row>
    <row r="1527" spans="1:1" x14ac:dyDescent="0.25">
      <c r="A1527" s="841"/>
    </row>
    <row r="1528" spans="1:1" x14ac:dyDescent="0.25">
      <c r="A1528" s="841"/>
    </row>
    <row r="1529" spans="1:1" x14ac:dyDescent="0.25">
      <c r="A1529" s="841"/>
    </row>
    <row r="1530" spans="1:1" x14ac:dyDescent="0.25">
      <c r="A1530" s="841"/>
    </row>
    <row r="1531" spans="1:1" x14ac:dyDescent="0.25">
      <c r="A1531" s="841"/>
    </row>
    <row r="1532" spans="1:1" x14ac:dyDescent="0.25">
      <c r="A1532" s="841"/>
    </row>
    <row r="1533" spans="1:1" x14ac:dyDescent="0.25">
      <c r="A1533" s="841"/>
    </row>
    <row r="1534" spans="1:1" x14ac:dyDescent="0.25">
      <c r="A1534" s="841"/>
    </row>
    <row r="1535" spans="1:1" x14ac:dyDescent="0.25">
      <c r="A1535" s="841"/>
    </row>
    <row r="1536" spans="1:1" x14ac:dyDescent="0.25">
      <c r="A1536" s="841"/>
    </row>
    <row r="1537" spans="1:1" x14ac:dyDescent="0.25">
      <c r="A1537" s="841"/>
    </row>
    <row r="1538" spans="1:1" x14ac:dyDescent="0.25">
      <c r="A1538" s="841"/>
    </row>
    <row r="1539" spans="1:1" x14ac:dyDescent="0.25">
      <c r="A1539" s="841"/>
    </row>
    <row r="1540" spans="1:1" x14ac:dyDescent="0.25">
      <c r="A1540" s="841"/>
    </row>
    <row r="1541" spans="1:1" x14ac:dyDescent="0.25">
      <c r="A1541" s="841"/>
    </row>
    <row r="1542" spans="1:1" x14ac:dyDescent="0.25">
      <c r="A1542" s="841"/>
    </row>
    <row r="1543" spans="1:1" x14ac:dyDescent="0.25">
      <c r="A1543" s="841"/>
    </row>
    <row r="1544" spans="1:1" x14ac:dyDescent="0.25">
      <c r="A1544" s="841"/>
    </row>
    <row r="1545" spans="1:1" x14ac:dyDescent="0.25">
      <c r="A1545" s="841"/>
    </row>
    <row r="1546" spans="1:1" x14ac:dyDescent="0.25">
      <c r="A1546" s="841"/>
    </row>
    <row r="1547" spans="1:1" x14ac:dyDescent="0.25">
      <c r="A1547" s="841"/>
    </row>
    <row r="1548" spans="1:1" x14ac:dyDescent="0.25">
      <c r="A1548" s="841"/>
    </row>
    <row r="1549" spans="1:1" x14ac:dyDescent="0.25">
      <c r="A1549" s="841"/>
    </row>
    <row r="1550" spans="1:1" x14ac:dyDescent="0.25">
      <c r="A1550" s="841"/>
    </row>
    <row r="1551" spans="1:1" x14ac:dyDescent="0.25">
      <c r="A1551" s="841"/>
    </row>
    <row r="1552" spans="1:1" x14ac:dyDescent="0.25">
      <c r="A1552" s="841"/>
    </row>
    <row r="1553" spans="1:1" x14ac:dyDescent="0.25">
      <c r="A1553" s="841"/>
    </row>
    <row r="1554" spans="1:1" x14ac:dyDescent="0.25">
      <c r="A1554" s="841"/>
    </row>
    <row r="1555" spans="1:1" x14ac:dyDescent="0.25">
      <c r="A1555" s="841"/>
    </row>
    <row r="1556" spans="1:1" x14ac:dyDescent="0.25">
      <c r="A1556" s="841"/>
    </row>
    <row r="1557" spans="1:1" x14ac:dyDescent="0.25">
      <c r="A1557" s="841"/>
    </row>
    <row r="1558" spans="1:1" x14ac:dyDescent="0.25">
      <c r="A1558" s="841"/>
    </row>
    <row r="1559" spans="1:1" x14ac:dyDescent="0.25">
      <c r="A1559" s="841"/>
    </row>
    <row r="1560" spans="1:1" x14ac:dyDescent="0.25">
      <c r="A1560" s="841"/>
    </row>
    <row r="1561" spans="1:1" x14ac:dyDescent="0.25">
      <c r="A1561" s="841"/>
    </row>
    <row r="1562" spans="1:1" x14ac:dyDescent="0.25">
      <c r="A1562" s="841"/>
    </row>
    <row r="1563" spans="1:1" x14ac:dyDescent="0.25">
      <c r="A1563" s="841"/>
    </row>
    <row r="1564" spans="1:1" x14ac:dyDescent="0.25">
      <c r="A1564" s="841"/>
    </row>
    <row r="1565" spans="1:1" x14ac:dyDescent="0.25">
      <c r="A1565" s="841"/>
    </row>
    <row r="1566" spans="1:1" x14ac:dyDescent="0.25">
      <c r="A1566" s="841"/>
    </row>
    <row r="1567" spans="1:1" x14ac:dyDescent="0.25">
      <c r="A1567" s="841"/>
    </row>
    <row r="1568" spans="1:1" x14ac:dyDescent="0.25">
      <c r="A1568" s="841"/>
    </row>
    <row r="1569" spans="1:1" x14ac:dyDescent="0.25">
      <c r="A1569" s="841"/>
    </row>
    <row r="1570" spans="1:1" x14ac:dyDescent="0.25">
      <c r="A1570" s="841"/>
    </row>
    <row r="1571" spans="1:1" x14ac:dyDescent="0.25">
      <c r="A1571" s="841"/>
    </row>
    <row r="1572" spans="1:1" x14ac:dyDescent="0.25">
      <c r="A1572" s="841"/>
    </row>
    <row r="1573" spans="1:1" x14ac:dyDescent="0.25">
      <c r="A1573" s="841"/>
    </row>
    <row r="1574" spans="1:1" x14ac:dyDescent="0.25">
      <c r="A1574" s="841"/>
    </row>
    <row r="1575" spans="1:1" x14ac:dyDescent="0.25">
      <c r="A1575" s="841"/>
    </row>
    <row r="1576" spans="1:1" x14ac:dyDescent="0.25">
      <c r="A1576" s="841"/>
    </row>
    <row r="1577" spans="1:1" x14ac:dyDescent="0.25">
      <c r="A1577" s="841"/>
    </row>
    <row r="1578" spans="1:1" x14ac:dyDescent="0.25">
      <c r="A1578" s="841"/>
    </row>
    <row r="1579" spans="1:1" x14ac:dyDescent="0.25">
      <c r="A1579" s="841"/>
    </row>
    <row r="1580" spans="1:1" x14ac:dyDescent="0.25">
      <c r="A1580" s="841"/>
    </row>
    <row r="1581" spans="1:1" x14ac:dyDescent="0.25">
      <c r="A1581" s="841"/>
    </row>
    <row r="1582" spans="1:1" x14ac:dyDescent="0.25">
      <c r="A1582" s="841"/>
    </row>
    <row r="1583" spans="1:1" x14ac:dyDescent="0.25">
      <c r="A1583" s="841"/>
    </row>
    <row r="1584" spans="1:1" x14ac:dyDescent="0.25">
      <c r="A1584" s="841"/>
    </row>
    <row r="1585" spans="1:1" x14ac:dyDescent="0.25">
      <c r="A1585" s="841"/>
    </row>
    <row r="1586" spans="1:1" x14ac:dyDescent="0.25">
      <c r="A1586" s="841"/>
    </row>
    <row r="1587" spans="1:1" x14ac:dyDescent="0.25">
      <c r="A1587" s="841"/>
    </row>
    <row r="1588" spans="1:1" x14ac:dyDescent="0.25">
      <c r="A1588" s="841"/>
    </row>
    <row r="1589" spans="1:1" x14ac:dyDescent="0.25">
      <c r="A1589" s="841"/>
    </row>
    <row r="1590" spans="1:1" x14ac:dyDescent="0.25">
      <c r="A1590" s="841"/>
    </row>
    <row r="1591" spans="1:1" x14ac:dyDescent="0.25">
      <c r="A1591" s="841"/>
    </row>
    <row r="1592" spans="1:1" x14ac:dyDescent="0.25">
      <c r="A1592" s="841"/>
    </row>
    <row r="1593" spans="1:1" x14ac:dyDescent="0.25">
      <c r="A1593" s="841"/>
    </row>
    <row r="1594" spans="1:1" x14ac:dyDescent="0.25">
      <c r="A1594" s="841"/>
    </row>
    <row r="1595" spans="1:1" x14ac:dyDescent="0.25">
      <c r="A1595" s="841"/>
    </row>
    <row r="1596" spans="1:1" x14ac:dyDescent="0.25">
      <c r="A1596" s="841"/>
    </row>
    <row r="1597" spans="1:1" x14ac:dyDescent="0.25">
      <c r="A1597" s="841"/>
    </row>
    <row r="1598" spans="1:1" x14ac:dyDescent="0.25">
      <c r="A1598" s="841"/>
    </row>
    <row r="1599" spans="1:1" x14ac:dyDescent="0.25">
      <c r="A1599" s="841"/>
    </row>
    <row r="1600" spans="1:1" x14ac:dyDescent="0.25">
      <c r="A1600" s="841"/>
    </row>
    <row r="1601" spans="1:1" x14ac:dyDescent="0.25">
      <c r="A1601" s="841"/>
    </row>
    <row r="1602" spans="1:1" x14ac:dyDescent="0.25">
      <c r="A1602" s="841"/>
    </row>
    <row r="1603" spans="1:1" x14ac:dyDescent="0.25">
      <c r="A1603" s="841"/>
    </row>
    <row r="1604" spans="1:1" x14ac:dyDescent="0.25">
      <c r="A1604" s="841"/>
    </row>
    <row r="1605" spans="1:1" x14ac:dyDescent="0.25">
      <c r="A1605" s="841"/>
    </row>
    <row r="1606" spans="1:1" x14ac:dyDescent="0.25">
      <c r="A1606" s="841"/>
    </row>
    <row r="1607" spans="1:1" x14ac:dyDescent="0.25">
      <c r="A1607" s="841"/>
    </row>
    <row r="1608" spans="1:1" x14ac:dyDescent="0.25">
      <c r="A1608" s="841"/>
    </row>
    <row r="1609" spans="1:1" x14ac:dyDescent="0.25">
      <c r="A1609" s="841"/>
    </row>
    <row r="1610" spans="1:1" x14ac:dyDescent="0.25">
      <c r="A1610" s="841"/>
    </row>
    <row r="1611" spans="1:1" x14ac:dyDescent="0.25">
      <c r="A1611" s="841"/>
    </row>
    <row r="1612" spans="1:1" x14ac:dyDescent="0.25">
      <c r="A1612" s="841"/>
    </row>
    <row r="1613" spans="1:1" x14ac:dyDescent="0.25">
      <c r="A1613" s="841"/>
    </row>
    <row r="1614" spans="1:1" x14ac:dyDescent="0.25">
      <c r="A1614" s="841"/>
    </row>
    <row r="1615" spans="1:1" x14ac:dyDescent="0.25">
      <c r="A1615" s="841"/>
    </row>
    <row r="1616" spans="1:1" x14ac:dyDescent="0.25">
      <c r="A1616" s="841"/>
    </row>
    <row r="1617" spans="1:1" x14ac:dyDescent="0.25">
      <c r="A1617" s="841"/>
    </row>
    <row r="1618" spans="1:1" x14ac:dyDescent="0.25">
      <c r="A1618" s="841"/>
    </row>
    <row r="1619" spans="1:1" x14ac:dyDescent="0.25">
      <c r="A1619" s="841"/>
    </row>
    <row r="1620" spans="1:1" x14ac:dyDescent="0.25">
      <c r="A1620" s="841"/>
    </row>
    <row r="1621" spans="1:1" x14ac:dyDescent="0.25">
      <c r="A1621" s="841"/>
    </row>
    <row r="1622" spans="1:1" x14ac:dyDescent="0.25">
      <c r="A1622" s="841"/>
    </row>
    <row r="1623" spans="1:1" x14ac:dyDescent="0.25">
      <c r="A1623" s="841"/>
    </row>
    <row r="1624" spans="1:1" x14ac:dyDescent="0.25">
      <c r="A1624" s="841"/>
    </row>
    <row r="1625" spans="1:1" x14ac:dyDescent="0.25">
      <c r="A1625" s="841"/>
    </row>
    <row r="1626" spans="1:1" x14ac:dyDescent="0.25">
      <c r="A1626" s="841"/>
    </row>
    <row r="1627" spans="1:1" x14ac:dyDescent="0.25">
      <c r="A1627" s="841"/>
    </row>
    <row r="1628" spans="1:1" x14ac:dyDescent="0.25">
      <c r="A1628" s="841"/>
    </row>
    <row r="1629" spans="1:1" x14ac:dyDescent="0.25">
      <c r="A1629" s="841"/>
    </row>
    <row r="1630" spans="1:1" x14ac:dyDescent="0.25">
      <c r="A1630" s="841"/>
    </row>
    <row r="1631" spans="1:1" x14ac:dyDescent="0.25">
      <c r="A1631" s="841"/>
    </row>
    <row r="1632" spans="1:1" x14ac:dyDescent="0.25">
      <c r="A1632" s="841"/>
    </row>
    <row r="1633" spans="1:1" x14ac:dyDescent="0.25">
      <c r="A1633" s="841"/>
    </row>
    <row r="1634" spans="1:1" x14ac:dyDescent="0.25">
      <c r="A1634" s="841"/>
    </row>
    <row r="1635" spans="1:1" x14ac:dyDescent="0.25">
      <c r="A1635" s="841"/>
    </row>
    <row r="1636" spans="1:1" x14ac:dyDescent="0.25">
      <c r="A1636" s="841"/>
    </row>
    <row r="1637" spans="1:1" x14ac:dyDescent="0.25">
      <c r="A1637" s="841"/>
    </row>
    <row r="1638" spans="1:1" x14ac:dyDescent="0.25">
      <c r="A1638" s="841"/>
    </row>
    <row r="1639" spans="1:1" x14ac:dyDescent="0.25">
      <c r="A1639" s="841"/>
    </row>
    <row r="1640" spans="1:1" x14ac:dyDescent="0.25">
      <c r="A1640" s="841"/>
    </row>
    <row r="1641" spans="1:1" x14ac:dyDescent="0.25">
      <c r="A1641" s="841"/>
    </row>
    <row r="1642" spans="1:1" x14ac:dyDescent="0.25">
      <c r="A1642" s="841"/>
    </row>
    <row r="1643" spans="1:1" x14ac:dyDescent="0.25">
      <c r="A1643" s="841"/>
    </row>
    <row r="1644" spans="1:1" x14ac:dyDescent="0.25">
      <c r="A1644" s="841"/>
    </row>
    <row r="1645" spans="1:1" x14ac:dyDescent="0.25">
      <c r="A1645" s="841"/>
    </row>
    <row r="1646" spans="1:1" x14ac:dyDescent="0.25">
      <c r="A1646" s="841"/>
    </row>
    <row r="1647" spans="1:1" x14ac:dyDescent="0.25">
      <c r="A1647" s="841"/>
    </row>
    <row r="1648" spans="1:1" x14ac:dyDescent="0.25">
      <c r="A1648" s="841"/>
    </row>
    <row r="1649" spans="1:1" x14ac:dyDescent="0.25">
      <c r="A1649" s="841"/>
    </row>
    <row r="1650" spans="1:1" x14ac:dyDescent="0.25">
      <c r="A1650" s="841"/>
    </row>
    <row r="1651" spans="1:1" x14ac:dyDescent="0.25">
      <c r="A1651" s="841"/>
    </row>
    <row r="1652" spans="1:1" x14ac:dyDescent="0.25">
      <c r="A1652" s="841"/>
    </row>
    <row r="1653" spans="1:1" x14ac:dyDescent="0.25">
      <c r="A1653" s="841"/>
    </row>
    <row r="1654" spans="1:1" x14ac:dyDescent="0.25">
      <c r="A1654" s="841"/>
    </row>
    <row r="1655" spans="1:1" x14ac:dyDescent="0.25">
      <c r="A1655" s="841"/>
    </row>
    <row r="1656" spans="1:1" x14ac:dyDescent="0.25">
      <c r="A1656" s="841"/>
    </row>
    <row r="1657" spans="1:1" x14ac:dyDescent="0.25">
      <c r="A1657" s="841"/>
    </row>
    <row r="1658" spans="1:1" x14ac:dyDescent="0.25">
      <c r="A1658" s="841"/>
    </row>
    <row r="1659" spans="1:1" x14ac:dyDescent="0.25">
      <c r="A1659" s="841"/>
    </row>
    <row r="1660" spans="1:1" x14ac:dyDescent="0.25">
      <c r="A1660" s="841"/>
    </row>
    <row r="1661" spans="1:1" x14ac:dyDescent="0.25">
      <c r="A1661" s="841"/>
    </row>
    <row r="1662" spans="1:1" x14ac:dyDescent="0.25">
      <c r="A1662" s="841"/>
    </row>
    <row r="1663" spans="1:1" x14ac:dyDescent="0.25">
      <c r="A1663" s="841"/>
    </row>
    <row r="1664" spans="1:1" x14ac:dyDescent="0.25">
      <c r="A1664" s="841"/>
    </row>
    <row r="1665" spans="1:1" x14ac:dyDescent="0.25">
      <c r="A1665" s="841"/>
    </row>
    <row r="1666" spans="1:1" x14ac:dyDescent="0.25">
      <c r="A1666" s="841"/>
    </row>
    <row r="1667" spans="1:1" x14ac:dyDescent="0.25">
      <c r="A1667" s="841"/>
    </row>
    <row r="1668" spans="1:1" x14ac:dyDescent="0.25">
      <c r="A1668" s="841"/>
    </row>
    <row r="1669" spans="1:1" x14ac:dyDescent="0.25">
      <c r="A1669" s="841"/>
    </row>
    <row r="1670" spans="1:1" x14ac:dyDescent="0.25">
      <c r="A1670" s="841"/>
    </row>
    <row r="1671" spans="1:1" x14ac:dyDescent="0.25">
      <c r="A1671" s="841"/>
    </row>
    <row r="1672" spans="1:1" x14ac:dyDescent="0.25">
      <c r="A1672" s="841"/>
    </row>
    <row r="1673" spans="1:1" x14ac:dyDescent="0.25">
      <c r="A1673" s="841"/>
    </row>
    <row r="1674" spans="1:1" x14ac:dyDescent="0.25">
      <c r="A1674" s="841"/>
    </row>
    <row r="1675" spans="1:1" x14ac:dyDescent="0.25">
      <c r="A1675" s="841"/>
    </row>
    <row r="1676" spans="1:1" x14ac:dyDescent="0.25">
      <c r="A1676" s="841"/>
    </row>
    <row r="1677" spans="1:1" x14ac:dyDescent="0.25">
      <c r="A1677" s="841"/>
    </row>
    <row r="1678" spans="1:1" x14ac:dyDescent="0.25">
      <c r="A1678" s="841"/>
    </row>
    <row r="1679" spans="1:1" x14ac:dyDescent="0.25">
      <c r="A1679" s="841"/>
    </row>
    <row r="1680" spans="1:1" x14ac:dyDescent="0.25">
      <c r="A1680" s="841"/>
    </row>
    <row r="1681" spans="1:1" x14ac:dyDescent="0.25">
      <c r="A1681" s="841"/>
    </row>
    <row r="1682" spans="1:1" x14ac:dyDescent="0.25">
      <c r="A1682" s="841"/>
    </row>
    <row r="1683" spans="1:1" x14ac:dyDescent="0.25">
      <c r="A1683" s="841"/>
    </row>
    <row r="1684" spans="1:1" x14ac:dyDescent="0.25">
      <c r="A1684" s="841"/>
    </row>
    <row r="1685" spans="1:1" x14ac:dyDescent="0.25">
      <c r="A1685" s="841"/>
    </row>
    <row r="1686" spans="1:1" x14ac:dyDescent="0.25">
      <c r="A1686" s="841"/>
    </row>
    <row r="1687" spans="1:1" x14ac:dyDescent="0.25">
      <c r="A1687" s="841"/>
    </row>
    <row r="1688" spans="1:1" x14ac:dyDescent="0.25">
      <c r="A1688" s="841"/>
    </row>
    <row r="1689" spans="1:1" x14ac:dyDescent="0.25">
      <c r="A1689" s="841"/>
    </row>
    <row r="1690" spans="1:1" x14ac:dyDescent="0.25">
      <c r="A1690" s="841"/>
    </row>
    <row r="1691" spans="1:1" x14ac:dyDescent="0.25">
      <c r="A1691" s="841"/>
    </row>
    <row r="1692" spans="1:1" x14ac:dyDescent="0.25">
      <c r="A1692" s="841"/>
    </row>
    <row r="1693" spans="1:1" x14ac:dyDescent="0.25">
      <c r="A1693" s="841"/>
    </row>
    <row r="1694" spans="1:1" x14ac:dyDescent="0.25">
      <c r="A1694" s="841"/>
    </row>
    <row r="1695" spans="1:1" x14ac:dyDescent="0.25">
      <c r="A1695" s="841"/>
    </row>
    <row r="1696" spans="1:1" x14ac:dyDescent="0.25">
      <c r="A1696" s="841"/>
    </row>
    <row r="1697" spans="1:1" x14ac:dyDescent="0.25">
      <c r="A1697" s="841"/>
    </row>
    <row r="1698" spans="1:1" x14ac:dyDescent="0.25">
      <c r="A1698" s="841"/>
    </row>
    <row r="1699" spans="1:1" x14ac:dyDescent="0.25">
      <c r="A1699" s="841"/>
    </row>
    <row r="1700" spans="1:1" x14ac:dyDescent="0.25">
      <c r="A1700" s="841"/>
    </row>
    <row r="1701" spans="1:1" x14ac:dyDescent="0.25">
      <c r="A1701" s="841"/>
    </row>
    <row r="1702" spans="1:1" x14ac:dyDescent="0.25">
      <c r="A1702" s="841"/>
    </row>
    <row r="1703" spans="1:1" x14ac:dyDescent="0.25">
      <c r="A1703" s="841"/>
    </row>
    <row r="1704" spans="1:1" x14ac:dyDescent="0.25">
      <c r="A1704" s="841"/>
    </row>
    <row r="1705" spans="1:1" x14ac:dyDescent="0.25">
      <c r="A1705" s="841"/>
    </row>
    <row r="1706" spans="1:1" x14ac:dyDescent="0.25">
      <c r="A1706" s="841"/>
    </row>
    <row r="1707" spans="1:1" x14ac:dyDescent="0.25">
      <c r="A1707" s="841"/>
    </row>
    <row r="1708" spans="1:1" x14ac:dyDescent="0.25">
      <c r="A1708" s="841"/>
    </row>
    <row r="1709" spans="1:1" x14ac:dyDescent="0.25">
      <c r="A1709" s="841"/>
    </row>
    <row r="1710" spans="1:1" x14ac:dyDescent="0.25">
      <c r="A1710" s="841"/>
    </row>
    <row r="1711" spans="1:1" x14ac:dyDescent="0.25">
      <c r="A1711" s="841"/>
    </row>
    <row r="1712" spans="1:1" x14ac:dyDescent="0.25">
      <c r="A1712" s="841"/>
    </row>
    <row r="1713" spans="1:1" x14ac:dyDescent="0.25">
      <c r="A1713" s="841"/>
    </row>
    <row r="1714" spans="1:1" x14ac:dyDescent="0.25">
      <c r="A1714" s="841"/>
    </row>
    <row r="1715" spans="1:1" x14ac:dyDescent="0.25">
      <c r="A1715" s="841"/>
    </row>
    <row r="1716" spans="1:1" x14ac:dyDescent="0.25">
      <c r="A1716" s="841"/>
    </row>
    <row r="1717" spans="1:1" x14ac:dyDescent="0.25">
      <c r="A1717" s="841"/>
    </row>
    <row r="1718" spans="1:1" x14ac:dyDescent="0.25">
      <c r="A1718" s="841"/>
    </row>
    <row r="1719" spans="1:1" x14ac:dyDescent="0.25">
      <c r="A1719" s="841"/>
    </row>
    <row r="1720" spans="1:1" x14ac:dyDescent="0.25">
      <c r="A1720" s="841"/>
    </row>
    <row r="1721" spans="1:1" x14ac:dyDescent="0.25">
      <c r="A1721" s="841"/>
    </row>
    <row r="1722" spans="1:1" x14ac:dyDescent="0.25">
      <c r="A1722" s="841"/>
    </row>
    <row r="1723" spans="1:1" x14ac:dyDescent="0.25">
      <c r="A1723" s="841"/>
    </row>
    <row r="1724" spans="1:1" x14ac:dyDescent="0.25">
      <c r="A1724" s="841"/>
    </row>
    <row r="1725" spans="1:1" x14ac:dyDescent="0.25">
      <c r="A1725" s="841"/>
    </row>
    <row r="1726" spans="1:1" x14ac:dyDescent="0.25">
      <c r="A1726" s="841"/>
    </row>
    <row r="1727" spans="1:1" x14ac:dyDescent="0.25">
      <c r="A1727" s="841"/>
    </row>
    <row r="1728" spans="1:1" x14ac:dyDescent="0.25">
      <c r="A1728" s="841"/>
    </row>
    <row r="1729" spans="1:1" x14ac:dyDescent="0.25">
      <c r="A1729" s="841"/>
    </row>
    <row r="1730" spans="1:1" x14ac:dyDescent="0.25">
      <c r="A1730" s="841"/>
    </row>
    <row r="1731" spans="1:1" x14ac:dyDescent="0.25">
      <c r="A1731" s="841"/>
    </row>
    <row r="1732" spans="1:1" x14ac:dyDescent="0.25">
      <c r="A1732" s="841"/>
    </row>
    <row r="1733" spans="1:1" x14ac:dyDescent="0.25">
      <c r="A1733" s="841"/>
    </row>
    <row r="1734" spans="1:1" x14ac:dyDescent="0.25">
      <c r="A1734" s="841"/>
    </row>
    <row r="1735" spans="1:1" x14ac:dyDescent="0.25">
      <c r="A1735" s="841"/>
    </row>
    <row r="1736" spans="1:1" x14ac:dyDescent="0.25">
      <c r="A1736" s="841"/>
    </row>
    <row r="1737" spans="1:1" x14ac:dyDescent="0.25">
      <c r="A1737" s="841"/>
    </row>
    <row r="1738" spans="1:1" x14ac:dyDescent="0.25">
      <c r="A1738" s="841"/>
    </row>
    <row r="1739" spans="1:1" x14ac:dyDescent="0.25">
      <c r="A1739" s="841"/>
    </row>
    <row r="1740" spans="1:1" x14ac:dyDescent="0.25">
      <c r="A1740" s="841"/>
    </row>
    <row r="1741" spans="1:1" x14ac:dyDescent="0.25">
      <c r="A1741" s="841"/>
    </row>
    <row r="1742" spans="1:1" x14ac:dyDescent="0.25">
      <c r="A1742" s="841"/>
    </row>
    <row r="1743" spans="1:1" x14ac:dyDescent="0.25">
      <c r="A1743" s="841"/>
    </row>
    <row r="1744" spans="1:1" x14ac:dyDescent="0.25">
      <c r="A1744" s="841"/>
    </row>
    <row r="1745" spans="1:1" x14ac:dyDescent="0.25">
      <c r="A1745" s="841"/>
    </row>
    <row r="1746" spans="1:1" x14ac:dyDescent="0.25">
      <c r="A1746" s="841"/>
    </row>
    <row r="1747" spans="1:1" x14ac:dyDescent="0.25">
      <c r="A1747" s="841"/>
    </row>
    <row r="1748" spans="1:1" x14ac:dyDescent="0.25">
      <c r="A1748" s="841"/>
    </row>
    <row r="1749" spans="1:1" x14ac:dyDescent="0.25">
      <c r="A1749" s="841"/>
    </row>
    <row r="1750" spans="1:1" x14ac:dyDescent="0.25">
      <c r="A1750" s="841"/>
    </row>
    <row r="1751" spans="1:1" x14ac:dyDescent="0.25">
      <c r="A1751" s="841"/>
    </row>
    <row r="1752" spans="1:1" x14ac:dyDescent="0.25">
      <c r="A1752" s="841"/>
    </row>
    <row r="1753" spans="1:1" x14ac:dyDescent="0.25">
      <c r="A1753" s="841"/>
    </row>
    <row r="1754" spans="1:1" x14ac:dyDescent="0.25">
      <c r="A1754" s="841"/>
    </row>
    <row r="1755" spans="1:1" x14ac:dyDescent="0.25">
      <c r="A1755" s="841"/>
    </row>
    <row r="1756" spans="1:1" x14ac:dyDescent="0.25">
      <c r="A1756" s="841"/>
    </row>
    <row r="1757" spans="1:1" x14ac:dyDescent="0.25">
      <c r="A1757" s="841"/>
    </row>
    <row r="1758" spans="1:1" x14ac:dyDescent="0.25">
      <c r="A1758" s="841"/>
    </row>
    <row r="1759" spans="1:1" x14ac:dyDescent="0.25">
      <c r="A1759" s="841"/>
    </row>
    <row r="1760" spans="1:1" x14ac:dyDescent="0.25">
      <c r="A1760" s="841"/>
    </row>
    <row r="1761" spans="1:1" x14ac:dyDescent="0.25">
      <c r="A1761" s="841"/>
    </row>
    <row r="1762" spans="1:1" x14ac:dyDescent="0.25">
      <c r="A1762" s="841"/>
    </row>
    <row r="1763" spans="1:1" x14ac:dyDescent="0.25">
      <c r="A1763" s="841"/>
    </row>
    <row r="1764" spans="1:1" x14ac:dyDescent="0.25">
      <c r="A1764" s="841"/>
    </row>
    <row r="1765" spans="1:1" x14ac:dyDescent="0.25">
      <c r="A1765" s="841"/>
    </row>
    <row r="1766" spans="1:1" x14ac:dyDescent="0.25">
      <c r="A1766" s="841"/>
    </row>
    <row r="1767" spans="1:1" x14ac:dyDescent="0.25">
      <c r="A1767" s="841"/>
    </row>
    <row r="1768" spans="1:1" x14ac:dyDescent="0.25">
      <c r="A1768" s="841"/>
    </row>
    <row r="1769" spans="1:1" x14ac:dyDescent="0.25">
      <c r="A1769" s="841"/>
    </row>
    <row r="1770" spans="1:1" x14ac:dyDescent="0.25">
      <c r="A1770" s="841"/>
    </row>
    <row r="1771" spans="1:1" x14ac:dyDescent="0.25">
      <c r="A1771" s="841"/>
    </row>
    <row r="1772" spans="1:1" x14ac:dyDescent="0.25">
      <c r="A1772" s="841"/>
    </row>
    <row r="1773" spans="1:1" x14ac:dyDescent="0.25">
      <c r="A1773" s="841"/>
    </row>
    <row r="1774" spans="1:1" x14ac:dyDescent="0.25">
      <c r="A1774" s="841"/>
    </row>
    <row r="1775" spans="1:1" x14ac:dyDescent="0.25">
      <c r="A1775" s="841"/>
    </row>
    <row r="1776" spans="1:1" x14ac:dyDescent="0.25">
      <c r="A1776" s="841"/>
    </row>
    <row r="1777" spans="1:1" x14ac:dyDescent="0.25">
      <c r="A1777" s="841"/>
    </row>
    <row r="1778" spans="1:1" x14ac:dyDescent="0.25">
      <c r="A1778" s="841"/>
    </row>
    <row r="1779" spans="1:1" x14ac:dyDescent="0.25">
      <c r="A1779" s="841"/>
    </row>
    <row r="1780" spans="1:1" x14ac:dyDescent="0.25">
      <c r="A1780" s="841"/>
    </row>
    <row r="1781" spans="1:1" x14ac:dyDescent="0.25">
      <c r="A1781" s="841"/>
    </row>
    <row r="1782" spans="1:1" x14ac:dyDescent="0.25">
      <c r="A1782" s="841"/>
    </row>
    <row r="1783" spans="1:1" x14ac:dyDescent="0.25">
      <c r="A1783" s="841"/>
    </row>
    <row r="1784" spans="1:1" x14ac:dyDescent="0.25">
      <c r="A1784" s="841"/>
    </row>
    <row r="1785" spans="1:1" x14ac:dyDescent="0.25">
      <c r="A1785" s="841"/>
    </row>
    <row r="1786" spans="1:1" x14ac:dyDescent="0.25">
      <c r="A1786" s="841"/>
    </row>
    <row r="1787" spans="1:1" x14ac:dyDescent="0.25">
      <c r="A1787" s="841"/>
    </row>
    <row r="1788" spans="1:1" x14ac:dyDescent="0.25">
      <c r="A1788" s="841"/>
    </row>
    <row r="1789" spans="1:1" x14ac:dyDescent="0.25">
      <c r="A1789" s="841"/>
    </row>
    <row r="1790" spans="1:1" x14ac:dyDescent="0.25">
      <c r="A1790" s="841"/>
    </row>
    <row r="1791" spans="1:1" x14ac:dyDescent="0.25">
      <c r="A1791" s="841"/>
    </row>
    <row r="1792" spans="1:1" x14ac:dyDescent="0.25">
      <c r="A1792" s="841"/>
    </row>
    <row r="1793" spans="1:1" x14ac:dyDescent="0.25">
      <c r="A1793" s="841"/>
    </row>
    <row r="1794" spans="1:1" x14ac:dyDescent="0.25">
      <c r="A1794" s="841"/>
    </row>
    <row r="1795" spans="1:1" x14ac:dyDescent="0.25">
      <c r="A1795" s="841"/>
    </row>
    <row r="1796" spans="1:1" x14ac:dyDescent="0.25">
      <c r="A1796" s="841"/>
    </row>
    <row r="1797" spans="1:1" x14ac:dyDescent="0.25">
      <c r="A1797" s="841"/>
    </row>
    <row r="1798" spans="1:1" x14ac:dyDescent="0.25">
      <c r="A1798" s="841"/>
    </row>
    <row r="1799" spans="1:1" x14ac:dyDescent="0.25">
      <c r="A1799" s="841"/>
    </row>
    <row r="1800" spans="1:1" x14ac:dyDescent="0.25">
      <c r="A1800" s="841"/>
    </row>
    <row r="1801" spans="1:1" x14ac:dyDescent="0.25">
      <c r="A1801" s="841"/>
    </row>
    <row r="1802" spans="1:1" x14ac:dyDescent="0.25">
      <c r="A1802" s="841"/>
    </row>
    <row r="1803" spans="1:1" x14ac:dyDescent="0.25">
      <c r="A1803" s="841"/>
    </row>
    <row r="1804" spans="1:1" x14ac:dyDescent="0.25">
      <c r="A1804" s="841"/>
    </row>
    <row r="1805" spans="1:1" x14ac:dyDescent="0.25">
      <c r="A1805" s="841"/>
    </row>
    <row r="1806" spans="1:1" x14ac:dyDescent="0.25">
      <c r="A1806" s="841"/>
    </row>
    <row r="1807" spans="1:1" x14ac:dyDescent="0.25">
      <c r="A1807" s="841"/>
    </row>
    <row r="1808" spans="1:1" x14ac:dyDescent="0.25">
      <c r="A1808" s="841"/>
    </row>
    <row r="1809" spans="1:1" x14ac:dyDescent="0.25">
      <c r="A1809" s="841"/>
    </row>
    <row r="1810" spans="1:1" x14ac:dyDescent="0.25">
      <c r="A1810" s="841"/>
    </row>
    <row r="1811" spans="1:1" x14ac:dyDescent="0.25">
      <c r="A1811" s="841"/>
    </row>
    <row r="1812" spans="1:1" x14ac:dyDescent="0.25">
      <c r="A1812" s="841"/>
    </row>
    <row r="1813" spans="1:1" x14ac:dyDescent="0.25">
      <c r="A1813" s="841"/>
    </row>
    <row r="1814" spans="1:1" x14ac:dyDescent="0.25">
      <c r="A1814" s="841"/>
    </row>
    <row r="1815" spans="1:1" x14ac:dyDescent="0.25">
      <c r="A1815" s="841"/>
    </row>
    <row r="1816" spans="1:1" x14ac:dyDescent="0.25">
      <c r="A1816" s="841"/>
    </row>
    <row r="1817" spans="1:1" x14ac:dyDescent="0.25">
      <c r="A1817" s="841"/>
    </row>
    <row r="1818" spans="1:1" x14ac:dyDescent="0.25">
      <c r="A1818" s="841"/>
    </row>
    <row r="1819" spans="1:1" x14ac:dyDescent="0.25">
      <c r="A1819" s="841"/>
    </row>
    <row r="1820" spans="1:1" x14ac:dyDescent="0.25">
      <c r="A1820" s="841"/>
    </row>
    <row r="1821" spans="1:1" x14ac:dyDescent="0.25">
      <c r="A1821" s="841"/>
    </row>
    <row r="1822" spans="1:1" x14ac:dyDescent="0.25">
      <c r="A1822" s="841"/>
    </row>
    <row r="1823" spans="1:1" x14ac:dyDescent="0.25">
      <c r="A1823" s="841"/>
    </row>
    <row r="1824" spans="1:1" x14ac:dyDescent="0.25">
      <c r="A1824" s="841"/>
    </row>
    <row r="1825" spans="1:1" x14ac:dyDescent="0.25">
      <c r="A1825" s="841"/>
    </row>
    <row r="1826" spans="1:1" x14ac:dyDescent="0.25">
      <c r="A1826" s="841"/>
    </row>
    <row r="1827" spans="1:1" x14ac:dyDescent="0.25">
      <c r="A1827" s="841"/>
    </row>
    <row r="1828" spans="1:1" x14ac:dyDescent="0.25">
      <c r="A1828" s="841"/>
    </row>
    <row r="1829" spans="1:1" x14ac:dyDescent="0.25">
      <c r="A1829" s="841"/>
    </row>
    <row r="1830" spans="1:1" x14ac:dyDescent="0.25">
      <c r="A1830" s="841"/>
    </row>
    <row r="1831" spans="1:1" x14ac:dyDescent="0.25">
      <c r="A1831" s="841"/>
    </row>
    <row r="1832" spans="1:1" x14ac:dyDescent="0.25">
      <c r="A1832" s="841"/>
    </row>
    <row r="1833" spans="1:1" x14ac:dyDescent="0.25">
      <c r="A1833" s="841"/>
    </row>
    <row r="1834" spans="1:1" x14ac:dyDescent="0.25">
      <c r="A1834" s="841"/>
    </row>
    <row r="1835" spans="1:1" x14ac:dyDescent="0.25">
      <c r="A1835" s="841"/>
    </row>
    <row r="1836" spans="1:1" x14ac:dyDescent="0.25">
      <c r="A1836" s="841"/>
    </row>
    <row r="1837" spans="1:1" x14ac:dyDescent="0.25">
      <c r="A1837" s="841"/>
    </row>
    <row r="1838" spans="1:1" x14ac:dyDescent="0.25">
      <c r="A1838" s="841"/>
    </row>
    <row r="1839" spans="1:1" x14ac:dyDescent="0.25">
      <c r="A1839" s="841"/>
    </row>
    <row r="1840" spans="1:1" x14ac:dyDescent="0.25">
      <c r="A1840" s="841"/>
    </row>
    <row r="1841" spans="1:1" x14ac:dyDescent="0.25">
      <c r="A1841" s="841"/>
    </row>
    <row r="1842" spans="1:1" x14ac:dyDescent="0.25">
      <c r="A1842" s="841"/>
    </row>
    <row r="1843" spans="1:1" x14ac:dyDescent="0.25">
      <c r="A1843" s="841"/>
    </row>
    <row r="1844" spans="1:1" x14ac:dyDescent="0.25">
      <c r="A1844" s="841"/>
    </row>
    <row r="1845" spans="1:1" x14ac:dyDescent="0.25">
      <c r="A1845" s="841"/>
    </row>
    <row r="1846" spans="1:1" x14ac:dyDescent="0.25">
      <c r="A1846" s="841"/>
    </row>
    <row r="1847" spans="1:1" x14ac:dyDescent="0.25">
      <c r="A1847" s="841"/>
    </row>
    <row r="1848" spans="1:1" x14ac:dyDescent="0.25">
      <c r="A1848" s="841"/>
    </row>
    <row r="1849" spans="1:1" x14ac:dyDescent="0.25">
      <c r="A1849" s="841"/>
    </row>
    <row r="1850" spans="1:1" x14ac:dyDescent="0.25">
      <c r="A1850" s="841"/>
    </row>
    <row r="1851" spans="1:1" x14ac:dyDescent="0.25">
      <c r="A1851" s="841"/>
    </row>
    <row r="1852" spans="1:1" x14ac:dyDescent="0.25">
      <c r="A1852" s="841"/>
    </row>
    <row r="1853" spans="1:1" x14ac:dyDescent="0.25">
      <c r="A1853" s="841"/>
    </row>
    <row r="1854" spans="1:1" x14ac:dyDescent="0.25">
      <c r="A1854" s="841"/>
    </row>
    <row r="1855" spans="1:1" x14ac:dyDescent="0.25">
      <c r="A1855" s="841"/>
    </row>
    <row r="1856" spans="1:1" x14ac:dyDescent="0.25">
      <c r="A1856" s="841"/>
    </row>
    <row r="1857" spans="1:1" x14ac:dyDescent="0.25">
      <c r="A1857" s="841"/>
    </row>
    <row r="1858" spans="1:1" x14ac:dyDescent="0.25">
      <c r="A1858" s="841"/>
    </row>
    <row r="1859" spans="1:1" x14ac:dyDescent="0.25">
      <c r="A1859" s="841"/>
    </row>
    <row r="1860" spans="1:1" x14ac:dyDescent="0.25">
      <c r="A1860" s="841"/>
    </row>
    <row r="1861" spans="1:1" x14ac:dyDescent="0.25">
      <c r="A1861" s="841"/>
    </row>
    <row r="1862" spans="1:1" x14ac:dyDescent="0.25">
      <c r="A1862" s="841"/>
    </row>
    <row r="1863" spans="1:1" x14ac:dyDescent="0.25">
      <c r="A1863" s="841"/>
    </row>
    <row r="1864" spans="1:1" x14ac:dyDescent="0.25">
      <c r="A1864" s="841"/>
    </row>
    <row r="1865" spans="1:1" x14ac:dyDescent="0.25">
      <c r="A1865" s="841"/>
    </row>
    <row r="1866" spans="1:1" x14ac:dyDescent="0.25">
      <c r="A1866" s="841"/>
    </row>
    <row r="1867" spans="1:1" x14ac:dyDescent="0.25">
      <c r="A1867" s="841"/>
    </row>
    <row r="1868" spans="1:1" x14ac:dyDescent="0.25">
      <c r="A1868" s="841"/>
    </row>
    <row r="1869" spans="1:1" x14ac:dyDescent="0.25">
      <c r="A1869" s="841"/>
    </row>
    <row r="1870" spans="1:1" x14ac:dyDescent="0.25">
      <c r="A1870" s="841"/>
    </row>
    <row r="1871" spans="1:1" x14ac:dyDescent="0.25">
      <c r="A1871" s="841"/>
    </row>
    <row r="1872" spans="1:1" x14ac:dyDescent="0.25">
      <c r="A1872" s="841"/>
    </row>
    <row r="1873" spans="1:1" x14ac:dyDescent="0.25">
      <c r="A1873" s="841"/>
    </row>
    <row r="1874" spans="1:1" x14ac:dyDescent="0.25">
      <c r="A1874" s="841"/>
    </row>
    <row r="1875" spans="1:1" x14ac:dyDescent="0.25">
      <c r="A1875" s="841"/>
    </row>
    <row r="1876" spans="1:1" x14ac:dyDescent="0.25">
      <c r="A1876" s="841"/>
    </row>
    <row r="1877" spans="1:1" x14ac:dyDescent="0.25">
      <c r="A1877" s="841"/>
    </row>
    <row r="1878" spans="1:1" x14ac:dyDescent="0.25">
      <c r="A1878" s="841"/>
    </row>
    <row r="1879" spans="1:1" x14ac:dyDescent="0.25">
      <c r="A1879" s="841"/>
    </row>
    <row r="1880" spans="1:1" x14ac:dyDescent="0.25">
      <c r="A1880" s="841"/>
    </row>
    <row r="1881" spans="1:1" x14ac:dyDescent="0.25">
      <c r="A1881" s="841"/>
    </row>
    <row r="1882" spans="1:1" x14ac:dyDescent="0.25">
      <c r="A1882" s="841"/>
    </row>
    <row r="1883" spans="1:1" x14ac:dyDescent="0.25">
      <c r="A1883" s="841"/>
    </row>
    <row r="1884" spans="1:1" x14ac:dyDescent="0.25">
      <c r="A1884" s="841"/>
    </row>
    <row r="1885" spans="1:1" x14ac:dyDescent="0.25">
      <c r="A1885" s="841"/>
    </row>
    <row r="1886" spans="1:1" x14ac:dyDescent="0.25">
      <c r="A1886" s="841"/>
    </row>
    <row r="1887" spans="1:1" x14ac:dyDescent="0.25">
      <c r="A1887" s="841"/>
    </row>
    <row r="1888" spans="1:1" x14ac:dyDescent="0.25">
      <c r="A1888" s="841"/>
    </row>
    <row r="1889" spans="1:1" x14ac:dyDescent="0.25">
      <c r="A1889" s="841"/>
    </row>
    <row r="1890" spans="1:1" x14ac:dyDescent="0.25">
      <c r="A1890" s="841"/>
    </row>
    <row r="1891" spans="1:1" x14ac:dyDescent="0.25">
      <c r="A1891" s="841"/>
    </row>
    <row r="1892" spans="1:1" x14ac:dyDescent="0.25">
      <c r="A1892" s="841"/>
    </row>
    <row r="1893" spans="1:1" x14ac:dyDescent="0.25">
      <c r="A1893" s="841"/>
    </row>
    <row r="1894" spans="1:1" x14ac:dyDescent="0.25">
      <c r="A1894" s="841"/>
    </row>
    <row r="1895" spans="1:1" x14ac:dyDescent="0.25">
      <c r="A1895" s="841"/>
    </row>
    <row r="1896" spans="1:1" x14ac:dyDescent="0.25">
      <c r="A1896" s="841"/>
    </row>
    <row r="1897" spans="1:1" x14ac:dyDescent="0.25">
      <c r="A1897" s="841"/>
    </row>
    <row r="1898" spans="1:1" x14ac:dyDescent="0.25">
      <c r="A1898" s="841"/>
    </row>
    <row r="1899" spans="1:1" x14ac:dyDescent="0.25">
      <c r="A1899" s="841"/>
    </row>
    <row r="1900" spans="1:1" x14ac:dyDescent="0.25">
      <c r="A1900" s="841"/>
    </row>
    <row r="1901" spans="1:1" x14ac:dyDescent="0.25">
      <c r="A1901" s="841"/>
    </row>
    <row r="1902" spans="1:1" x14ac:dyDescent="0.25">
      <c r="A1902" s="841"/>
    </row>
    <row r="1903" spans="1:1" x14ac:dyDescent="0.25">
      <c r="A1903" s="841"/>
    </row>
    <row r="1904" spans="1:1" x14ac:dyDescent="0.25">
      <c r="A1904" s="841"/>
    </row>
    <row r="1905" spans="1:1" x14ac:dyDescent="0.25">
      <c r="A1905" s="841"/>
    </row>
    <row r="1906" spans="1:1" x14ac:dyDescent="0.25">
      <c r="A1906" s="841"/>
    </row>
    <row r="1907" spans="1:1" x14ac:dyDescent="0.25">
      <c r="A1907" s="841"/>
    </row>
    <row r="1908" spans="1:1" x14ac:dyDescent="0.25">
      <c r="A1908" s="841"/>
    </row>
    <row r="1909" spans="1:1" x14ac:dyDescent="0.25">
      <c r="A1909" s="841"/>
    </row>
    <row r="1910" spans="1:1" x14ac:dyDescent="0.25">
      <c r="A1910" s="841"/>
    </row>
    <row r="1911" spans="1:1" x14ac:dyDescent="0.25">
      <c r="A1911" s="841"/>
    </row>
    <row r="1912" spans="1:1" x14ac:dyDescent="0.25">
      <c r="A1912" s="841"/>
    </row>
    <row r="1913" spans="1:1" x14ac:dyDescent="0.25">
      <c r="A1913" s="841"/>
    </row>
    <row r="1914" spans="1:1" x14ac:dyDescent="0.25">
      <c r="A1914" s="841"/>
    </row>
    <row r="1915" spans="1:1" x14ac:dyDescent="0.25">
      <c r="A1915" s="841"/>
    </row>
    <row r="1916" spans="1:1" x14ac:dyDescent="0.25">
      <c r="A1916" s="841"/>
    </row>
    <row r="1917" spans="1:1" x14ac:dyDescent="0.25">
      <c r="A1917" s="841"/>
    </row>
    <row r="1918" spans="1:1" x14ac:dyDescent="0.25">
      <c r="A1918" s="841"/>
    </row>
    <row r="1919" spans="1:1" x14ac:dyDescent="0.25">
      <c r="A1919" s="841"/>
    </row>
    <row r="1920" spans="1:1" x14ac:dyDescent="0.25">
      <c r="A1920" s="841"/>
    </row>
    <row r="1921" spans="1:1" x14ac:dyDescent="0.25">
      <c r="A1921" s="841"/>
    </row>
    <row r="1922" spans="1:1" x14ac:dyDescent="0.25">
      <c r="A1922" s="841"/>
    </row>
    <row r="1923" spans="1:1" x14ac:dyDescent="0.25">
      <c r="A1923" s="841"/>
    </row>
    <row r="1924" spans="1:1" x14ac:dyDescent="0.25">
      <c r="A1924" s="841"/>
    </row>
    <row r="1925" spans="1:1" x14ac:dyDescent="0.25">
      <c r="A1925" s="841"/>
    </row>
    <row r="1926" spans="1:1" x14ac:dyDescent="0.25">
      <c r="A1926" s="841"/>
    </row>
    <row r="1927" spans="1:1" x14ac:dyDescent="0.25">
      <c r="A1927" s="841"/>
    </row>
    <row r="1928" spans="1:1" x14ac:dyDescent="0.25">
      <c r="A1928" s="841"/>
    </row>
    <row r="1929" spans="1:1" x14ac:dyDescent="0.25">
      <c r="A1929" s="841"/>
    </row>
    <row r="1930" spans="1:1" x14ac:dyDescent="0.25">
      <c r="A1930" s="841"/>
    </row>
    <row r="1931" spans="1:1" x14ac:dyDescent="0.25">
      <c r="A1931" s="841"/>
    </row>
    <row r="1932" spans="1:1" x14ac:dyDescent="0.25">
      <c r="A1932" s="841"/>
    </row>
    <row r="1933" spans="1:1" x14ac:dyDescent="0.25">
      <c r="A1933" s="841"/>
    </row>
    <row r="1934" spans="1:1" x14ac:dyDescent="0.25">
      <c r="A1934" s="841"/>
    </row>
    <row r="1935" spans="1:1" x14ac:dyDescent="0.25">
      <c r="A1935" s="841"/>
    </row>
    <row r="1936" spans="1:1" x14ac:dyDescent="0.25">
      <c r="A1936" s="841"/>
    </row>
    <row r="1937" spans="1:1" x14ac:dyDescent="0.25">
      <c r="A1937" s="841"/>
    </row>
    <row r="1938" spans="1:1" x14ac:dyDescent="0.25">
      <c r="A1938" s="841"/>
    </row>
    <row r="1939" spans="1:1" x14ac:dyDescent="0.25">
      <c r="A1939" s="841"/>
    </row>
    <row r="1940" spans="1:1" x14ac:dyDescent="0.25">
      <c r="A1940" s="841"/>
    </row>
    <row r="1941" spans="1:1" x14ac:dyDescent="0.25">
      <c r="A1941" s="841"/>
    </row>
    <row r="1942" spans="1:1" x14ac:dyDescent="0.25">
      <c r="A1942" s="841"/>
    </row>
    <row r="1943" spans="1:1" x14ac:dyDescent="0.25">
      <c r="A1943" s="841"/>
    </row>
    <row r="1944" spans="1:1" x14ac:dyDescent="0.25">
      <c r="A1944" s="841"/>
    </row>
    <row r="1945" spans="1:1" x14ac:dyDescent="0.25">
      <c r="A1945" s="841"/>
    </row>
    <row r="1946" spans="1:1" x14ac:dyDescent="0.25">
      <c r="A1946" s="841"/>
    </row>
    <row r="1947" spans="1:1" x14ac:dyDescent="0.25">
      <c r="A1947" s="841"/>
    </row>
    <row r="1948" spans="1:1" x14ac:dyDescent="0.25">
      <c r="A1948" s="841"/>
    </row>
    <row r="1949" spans="1:1" x14ac:dyDescent="0.25">
      <c r="A1949" s="841"/>
    </row>
    <row r="1950" spans="1:1" x14ac:dyDescent="0.25">
      <c r="A1950" s="841"/>
    </row>
    <row r="1951" spans="1:1" x14ac:dyDescent="0.25">
      <c r="A1951" s="841"/>
    </row>
    <row r="1952" spans="1:1" x14ac:dyDescent="0.25">
      <c r="A1952" s="841"/>
    </row>
    <row r="1953" spans="1:1" x14ac:dyDescent="0.25">
      <c r="A1953" s="841"/>
    </row>
    <row r="1954" spans="1:1" x14ac:dyDescent="0.25">
      <c r="A1954" s="841"/>
    </row>
    <row r="1955" spans="1:1" x14ac:dyDescent="0.25">
      <c r="A1955" s="841"/>
    </row>
    <row r="1956" spans="1:1" x14ac:dyDescent="0.25">
      <c r="A1956" s="841"/>
    </row>
    <row r="1957" spans="1:1" x14ac:dyDescent="0.25">
      <c r="A1957" s="841"/>
    </row>
    <row r="1958" spans="1:1" x14ac:dyDescent="0.25">
      <c r="A1958" s="841"/>
    </row>
    <row r="1959" spans="1:1" x14ac:dyDescent="0.25">
      <c r="A1959" s="841"/>
    </row>
    <row r="1960" spans="1:1" x14ac:dyDescent="0.25">
      <c r="A1960" s="841"/>
    </row>
    <row r="1961" spans="1:1" x14ac:dyDescent="0.25">
      <c r="A1961" s="841"/>
    </row>
    <row r="1962" spans="1:1" x14ac:dyDescent="0.25">
      <c r="A1962" s="841"/>
    </row>
    <row r="1963" spans="1:1" x14ac:dyDescent="0.25">
      <c r="A1963" s="841"/>
    </row>
    <row r="1964" spans="1:1" x14ac:dyDescent="0.25">
      <c r="A1964" s="841"/>
    </row>
    <row r="1965" spans="1:1" x14ac:dyDescent="0.25">
      <c r="A1965" s="841"/>
    </row>
    <row r="1966" spans="1:1" x14ac:dyDescent="0.25">
      <c r="A1966" s="841"/>
    </row>
    <row r="1967" spans="1:1" x14ac:dyDescent="0.25">
      <c r="A1967" s="841"/>
    </row>
    <row r="1968" spans="1:1" x14ac:dyDescent="0.25">
      <c r="A1968" s="841"/>
    </row>
    <row r="1969" spans="1:1" x14ac:dyDescent="0.25">
      <c r="A1969" s="841"/>
    </row>
    <row r="1970" spans="1:1" x14ac:dyDescent="0.25">
      <c r="A1970" s="841"/>
    </row>
    <row r="1971" spans="1:1" x14ac:dyDescent="0.25">
      <c r="A1971" s="841"/>
    </row>
    <row r="1972" spans="1:1" x14ac:dyDescent="0.25">
      <c r="A1972" s="841"/>
    </row>
    <row r="1973" spans="1:1" x14ac:dyDescent="0.25">
      <c r="A1973" s="841"/>
    </row>
    <row r="1974" spans="1:1" x14ac:dyDescent="0.25">
      <c r="A1974" s="841"/>
    </row>
    <row r="1975" spans="1:1" x14ac:dyDescent="0.25">
      <c r="A1975" s="841"/>
    </row>
    <row r="1976" spans="1:1" x14ac:dyDescent="0.25">
      <c r="A1976" s="841"/>
    </row>
    <row r="1977" spans="1:1" x14ac:dyDescent="0.25">
      <c r="A1977" s="841"/>
    </row>
    <row r="1978" spans="1:1" x14ac:dyDescent="0.25">
      <c r="A1978" s="841"/>
    </row>
    <row r="1979" spans="1:1" x14ac:dyDescent="0.25">
      <c r="A1979" s="841"/>
    </row>
    <row r="1980" spans="1:1" x14ac:dyDescent="0.25">
      <c r="A1980" s="841"/>
    </row>
    <row r="1981" spans="1:1" x14ac:dyDescent="0.25">
      <c r="A1981" s="841"/>
    </row>
    <row r="1982" spans="1:1" x14ac:dyDescent="0.25">
      <c r="A1982" s="841"/>
    </row>
    <row r="1983" spans="1:1" x14ac:dyDescent="0.25">
      <c r="A1983" s="841"/>
    </row>
    <row r="1984" spans="1:1" x14ac:dyDescent="0.25">
      <c r="A1984" s="841"/>
    </row>
    <row r="1985" spans="1:1" x14ac:dyDescent="0.25">
      <c r="A1985" s="841"/>
    </row>
    <row r="1986" spans="1:1" x14ac:dyDescent="0.25">
      <c r="A1986" s="841"/>
    </row>
    <row r="1987" spans="1:1" x14ac:dyDescent="0.25">
      <c r="A1987" s="841"/>
    </row>
    <row r="1988" spans="1:1" x14ac:dyDescent="0.25">
      <c r="A1988" s="841"/>
    </row>
    <row r="1989" spans="1:1" x14ac:dyDescent="0.25">
      <c r="A1989" s="841"/>
    </row>
    <row r="1990" spans="1:1" x14ac:dyDescent="0.25">
      <c r="A1990" s="841"/>
    </row>
    <row r="1991" spans="1:1" x14ac:dyDescent="0.25">
      <c r="A1991" s="841"/>
    </row>
    <row r="1992" spans="1:1" x14ac:dyDescent="0.25">
      <c r="A1992" s="841"/>
    </row>
    <row r="1993" spans="1:1" x14ac:dyDescent="0.25">
      <c r="A1993" s="841"/>
    </row>
    <row r="1994" spans="1:1" x14ac:dyDescent="0.25">
      <c r="A1994" s="841"/>
    </row>
    <row r="1995" spans="1:1" x14ac:dyDescent="0.25">
      <c r="A1995" s="841"/>
    </row>
    <row r="1996" spans="1:1" x14ac:dyDescent="0.25">
      <c r="A1996" s="841"/>
    </row>
    <row r="1997" spans="1:1" x14ac:dyDescent="0.25">
      <c r="A1997" s="841"/>
    </row>
    <row r="1998" spans="1:1" x14ac:dyDescent="0.25">
      <c r="A1998" s="841"/>
    </row>
    <row r="1999" spans="1:1" x14ac:dyDescent="0.25">
      <c r="A1999" s="841"/>
    </row>
    <row r="2000" spans="1:1" x14ac:dyDescent="0.25">
      <c r="A2000" s="841"/>
    </row>
    <row r="2001" spans="1:1" x14ac:dyDescent="0.25">
      <c r="A2001" s="841"/>
    </row>
    <row r="2002" spans="1:1" x14ac:dyDescent="0.25">
      <c r="A2002" s="841"/>
    </row>
    <row r="2003" spans="1:1" x14ac:dyDescent="0.25">
      <c r="A2003" s="841"/>
    </row>
    <row r="2004" spans="1:1" x14ac:dyDescent="0.25">
      <c r="A2004" s="841"/>
    </row>
    <row r="2005" spans="1:1" x14ac:dyDescent="0.25">
      <c r="A2005" s="841"/>
    </row>
    <row r="2006" spans="1:1" x14ac:dyDescent="0.25">
      <c r="A2006" s="841"/>
    </row>
    <row r="2007" spans="1:1" x14ac:dyDescent="0.25">
      <c r="A2007" s="841"/>
    </row>
    <row r="2008" spans="1:1" x14ac:dyDescent="0.25">
      <c r="A2008" s="841"/>
    </row>
    <row r="2009" spans="1:1" x14ac:dyDescent="0.25">
      <c r="A2009" s="841"/>
    </row>
    <row r="2010" spans="1:1" x14ac:dyDescent="0.25">
      <c r="A2010" s="841"/>
    </row>
    <row r="2011" spans="1:1" x14ac:dyDescent="0.25">
      <c r="A2011" s="841"/>
    </row>
    <row r="2012" spans="1:1" x14ac:dyDescent="0.25">
      <c r="A2012" s="841"/>
    </row>
    <row r="2013" spans="1:1" x14ac:dyDescent="0.25">
      <c r="A2013" s="841"/>
    </row>
    <row r="2014" spans="1:1" x14ac:dyDescent="0.25">
      <c r="A2014" s="841"/>
    </row>
    <row r="2015" spans="1:1" x14ac:dyDescent="0.25">
      <c r="A2015" s="841"/>
    </row>
    <row r="2016" spans="1:1" x14ac:dyDescent="0.25">
      <c r="A2016" s="841"/>
    </row>
    <row r="2017" spans="1:1" x14ac:dyDescent="0.25">
      <c r="A2017" s="841"/>
    </row>
    <row r="2018" spans="1:1" x14ac:dyDescent="0.25">
      <c r="A2018" s="841"/>
    </row>
    <row r="2019" spans="1:1" x14ac:dyDescent="0.25">
      <c r="A2019" s="841"/>
    </row>
    <row r="2020" spans="1:1" x14ac:dyDescent="0.25">
      <c r="A2020" s="841"/>
    </row>
    <row r="2021" spans="1:1" x14ac:dyDescent="0.25">
      <c r="A2021" s="841"/>
    </row>
    <row r="2022" spans="1:1" x14ac:dyDescent="0.25">
      <c r="A2022" s="841"/>
    </row>
    <row r="2023" spans="1:1" x14ac:dyDescent="0.25">
      <c r="A2023" s="841"/>
    </row>
    <row r="2024" spans="1:1" x14ac:dyDescent="0.25">
      <c r="A2024" s="841"/>
    </row>
    <row r="2025" spans="1:1" x14ac:dyDescent="0.25">
      <c r="A2025" s="841"/>
    </row>
    <row r="2026" spans="1:1" x14ac:dyDescent="0.25">
      <c r="A2026" s="841"/>
    </row>
    <row r="2027" spans="1:1" x14ac:dyDescent="0.25">
      <c r="A2027" s="841"/>
    </row>
    <row r="2028" spans="1:1" x14ac:dyDescent="0.25">
      <c r="A2028" s="841"/>
    </row>
    <row r="2029" spans="1:1" x14ac:dyDescent="0.25">
      <c r="A2029" s="841"/>
    </row>
    <row r="2030" spans="1:1" x14ac:dyDescent="0.25">
      <c r="A2030" s="841"/>
    </row>
    <row r="2031" spans="1:1" x14ac:dyDescent="0.25">
      <c r="A2031" s="841"/>
    </row>
    <row r="2032" spans="1:1" x14ac:dyDescent="0.25">
      <c r="A2032" s="841"/>
    </row>
    <row r="2033" spans="1:1" x14ac:dyDescent="0.25">
      <c r="A2033" s="841"/>
    </row>
    <row r="2034" spans="1:1" x14ac:dyDescent="0.25">
      <c r="A2034" s="841"/>
    </row>
    <row r="2035" spans="1:1" x14ac:dyDescent="0.25">
      <c r="A2035" s="841"/>
    </row>
    <row r="2036" spans="1:1" x14ac:dyDescent="0.25">
      <c r="A2036" s="841"/>
    </row>
    <row r="2037" spans="1:1" x14ac:dyDescent="0.25">
      <c r="A2037" s="841"/>
    </row>
    <row r="2038" spans="1:1" x14ac:dyDescent="0.25">
      <c r="A2038" s="841"/>
    </row>
    <row r="2039" spans="1:1" x14ac:dyDescent="0.25">
      <c r="A2039" s="841"/>
    </row>
    <row r="2040" spans="1:1" x14ac:dyDescent="0.25">
      <c r="A2040" s="841"/>
    </row>
    <row r="2041" spans="1:1" x14ac:dyDescent="0.25">
      <c r="A2041" s="841"/>
    </row>
    <row r="2042" spans="1:1" x14ac:dyDescent="0.25">
      <c r="A2042" s="841"/>
    </row>
    <row r="2043" spans="1:1" x14ac:dyDescent="0.25">
      <c r="A2043" s="841"/>
    </row>
    <row r="2044" spans="1:1" x14ac:dyDescent="0.25">
      <c r="A2044" s="841"/>
    </row>
    <row r="2045" spans="1:1" x14ac:dyDescent="0.25">
      <c r="A2045" s="841"/>
    </row>
    <row r="2046" spans="1:1" x14ac:dyDescent="0.25">
      <c r="A2046" s="841"/>
    </row>
    <row r="2047" spans="1:1" x14ac:dyDescent="0.25">
      <c r="A2047" s="841"/>
    </row>
    <row r="2048" spans="1:1" x14ac:dyDescent="0.25">
      <c r="A2048" s="841"/>
    </row>
    <row r="2049" spans="1:1" x14ac:dyDescent="0.25">
      <c r="A2049" s="841"/>
    </row>
    <row r="2050" spans="1:1" x14ac:dyDescent="0.25">
      <c r="A2050" s="841"/>
    </row>
    <row r="2051" spans="1:1" x14ac:dyDescent="0.25">
      <c r="A2051" s="841"/>
    </row>
    <row r="2052" spans="1:1" x14ac:dyDescent="0.25">
      <c r="A2052" s="841"/>
    </row>
    <row r="2053" spans="1:1" x14ac:dyDescent="0.25">
      <c r="A2053" s="841"/>
    </row>
    <row r="2054" spans="1:1" x14ac:dyDescent="0.25">
      <c r="A2054" s="841"/>
    </row>
    <row r="2055" spans="1:1" x14ac:dyDescent="0.25">
      <c r="A2055" s="841"/>
    </row>
    <row r="2056" spans="1:1" x14ac:dyDescent="0.25">
      <c r="A2056" s="841"/>
    </row>
    <row r="2057" spans="1:1" x14ac:dyDescent="0.25">
      <c r="A2057" s="841"/>
    </row>
    <row r="2058" spans="1:1" x14ac:dyDescent="0.25">
      <c r="A2058" s="841"/>
    </row>
    <row r="2059" spans="1:1" x14ac:dyDescent="0.25">
      <c r="A2059" s="841"/>
    </row>
    <row r="2060" spans="1:1" x14ac:dyDescent="0.25">
      <c r="A2060" s="841"/>
    </row>
    <row r="2061" spans="1:1" x14ac:dyDescent="0.25">
      <c r="A2061" s="841"/>
    </row>
    <row r="2062" spans="1:1" x14ac:dyDescent="0.25">
      <c r="A2062" s="841"/>
    </row>
    <row r="2063" spans="1:1" x14ac:dyDescent="0.25">
      <c r="A2063" s="841"/>
    </row>
    <row r="2064" spans="1:1" x14ac:dyDescent="0.25">
      <c r="A2064" s="841"/>
    </row>
    <row r="2065" spans="1:1" x14ac:dyDescent="0.25">
      <c r="A2065" s="841"/>
    </row>
    <row r="2066" spans="1:1" x14ac:dyDescent="0.25">
      <c r="A2066" s="841"/>
    </row>
    <row r="2067" spans="1:1" x14ac:dyDescent="0.25">
      <c r="A2067" s="841"/>
    </row>
    <row r="2068" spans="1:1" x14ac:dyDescent="0.25">
      <c r="A2068" s="841"/>
    </row>
    <row r="2069" spans="1:1" x14ac:dyDescent="0.25">
      <c r="A2069" s="841"/>
    </row>
    <row r="2070" spans="1:1" x14ac:dyDescent="0.25">
      <c r="A2070" s="841"/>
    </row>
    <row r="2071" spans="1:1" x14ac:dyDescent="0.25">
      <c r="A2071" s="841"/>
    </row>
    <row r="2072" spans="1:1" x14ac:dyDescent="0.25">
      <c r="A2072" s="841"/>
    </row>
    <row r="2073" spans="1:1" x14ac:dyDescent="0.25">
      <c r="A2073" s="841"/>
    </row>
    <row r="2074" spans="1:1" x14ac:dyDescent="0.25">
      <c r="A2074" s="841"/>
    </row>
    <row r="2075" spans="1:1" x14ac:dyDescent="0.25">
      <c r="A2075" s="841"/>
    </row>
    <row r="2076" spans="1:1" x14ac:dyDescent="0.25">
      <c r="A2076" s="841"/>
    </row>
    <row r="2077" spans="1:1" x14ac:dyDescent="0.25">
      <c r="A2077" s="841"/>
    </row>
    <row r="2078" spans="1:1" x14ac:dyDescent="0.25">
      <c r="A2078" s="841"/>
    </row>
    <row r="2079" spans="1:1" x14ac:dyDescent="0.25">
      <c r="A2079" s="841"/>
    </row>
    <row r="2080" spans="1:1" x14ac:dyDescent="0.25">
      <c r="A2080" s="841"/>
    </row>
    <row r="2081" spans="1:1" x14ac:dyDescent="0.25">
      <c r="A2081" s="841"/>
    </row>
    <row r="2082" spans="1:1" x14ac:dyDescent="0.25">
      <c r="A2082" s="841"/>
    </row>
    <row r="2083" spans="1:1" x14ac:dyDescent="0.25">
      <c r="A2083" s="841"/>
    </row>
    <row r="2084" spans="1:1" x14ac:dyDescent="0.25">
      <c r="A2084" s="841"/>
    </row>
    <row r="2085" spans="1:1" x14ac:dyDescent="0.25">
      <c r="A2085" s="841"/>
    </row>
    <row r="2086" spans="1:1" x14ac:dyDescent="0.25">
      <c r="A2086" s="841"/>
    </row>
    <row r="2087" spans="1:1" x14ac:dyDescent="0.25">
      <c r="A2087" s="841"/>
    </row>
    <row r="2088" spans="1:1" x14ac:dyDescent="0.25">
      <c r="A2088" s="841"/>
    </row>
    <row r="2089" spans="1:1" x14ac:dyDescent="0.25">
      <c r="A2089" s="841"/>
    </row>
    <row r="2090" spans="1:1" x14ac:dyDescent="0.25">
      <c r="A2090" s="841"/>
    </row>
    <row r="2091" spans="1:1" x14ac:dyDescent="0.25">
      <c r="A2091" s="841"/>
    </row>
    <row r="2092" spans="1:1" x14ac:dyDescent="0.25">
      <c r="A2092" s="841"/>
    </row>
    <row r="2093" spans="1:1" x14ac:dyDescent="0.25">
      <c r="A2093" s="841"/>
    </row>
    <row r="2094" spans="1:1" x14ac:dyDescent="0.25">
      <c r="A2094" s="841"/>
    </row>
    <row r="2095" spans="1:1" x14ac:dyDescent="0.25">
      <c r="A2095" s="841"/>
    </row>
    <row r="2096" spans="1:1" x14ac:dyDescent="0.25">
      <c r="A2096" s="841"/>
    </row>
    <row r="2097" spans="1:1" x14ac:dyDescent="0.25">
      <c r="A2097" s="841"/>
    </row>
    <row r="2098" spans="1:1" x14ac:dyDescent="0.25">
      <c r="A2098" s="841"/>
    </row>
    <row r="2099" spans="1:1" x14ac:dyDescent="0.25">
      <c r="A2099" s="841"/>
    </row>
    <row r="2100" spans="1:1" x14ac:dyDescent="0.25">
      <c r="A2100" s="841"/>
    </row>
    <row r="2101" spans="1:1" x14ac:dyDescent="0.25">
      <c r="A2101" s="841"/>
    </row>
    <row r="2102" spans="1:1" x14ac:dyDescent="0.25">
      <c r="A2102" s="841"/>
    </row>
    <row r="2103" spans="1:1" x14ac:dyDescent="0.25">
      <c r="A2103" s="841"/>
    </row>
    <row r="2104" spans="1:1" x14ac:dyDescent="0.25">
      <c r="A2104" s="841"/>
    </row>
    <row r="2105" spans="1:1" x14ac:dyDescent="0.25">
      <c r="A2105" s="841"/>
    </row>
    <row r="2106" spans="1:1" x14ac:dyDescent="0.25">
      <c r="A2106" s="841"/>
    </row>
    <row r="2107" spans="1:1" x14ac:dyDescent="0.25">
      <c r="A2107" s="841"/>
    </row>
    <row r="2108" spans="1:1" x14ac:dyDescent="0.25">
      <c r="A2108" s="841"/>
    </row>
    <row r="2109" spans="1:1" x14ac:dyDescent="0.25">
      <c r="A2109" s="841"/>
    </row>
    <row r="2110" spans="1:1" x14ac:dyDescent="0.25">
      <c r="A2110" s="841"/>
    </row>
    <row r="2111" spans="1:1" x14ac:dyDescent="0.25">
      <c r="A2111" s="841"/>
    </row>
    <row r="2112" spans="1:1" x14ac:dyDescent="0.25">
      <c r="A2112" s="841"/>
    </row>
    <row r="2113" spans="1:1" x14ac:dyDescent="0.25">
      <c r="A2113" s="841"/>
    </row>
    <row r="2114" spans="1:1" x14ac:dyDescent="0.25">
      <c r="A2114" s="841"/>
    </row>
    <row r="2115" spans="1:1" x14ac:dyDescent="0.25">
      <c r="A2115" s="841"/>
    </row>
    <row r="2116" spans="1:1" x14ac:dyDescent="0.25">
      <c r="A2116" s="841"/>
    </row>
    <row r="2117" spans="1:1" x14ac:dyDescent="0.25">
      <c r="A2117" s="841"/>
    </row>
    <row r="2118" spans="1:1" x14ac:dyDescent="0.25">
      <c r="A2118" s="841"/>
    </row>
    <row r="2119" spans="1:1" x14ac:dyDescent="0.25">
      <c r="A2119" s="841"/>
    </row>
    <row r="2120" spans="1:1" x14ac:dyDescent="0.25">
      <c r="A2120" s="841"/>
    </row>
    <row r="2121" spans="1:1" x14ac:dyDescent="0.25">
      <c r="A2121" s="841"/>
    </row>
    <row r="2122" spans="1:1" x14ac:dyDescent="0.25">
      <c r="A2122" s="841"/>
    </row>
    <row r="2123" spans="1:1" x14ac:dyDescent="0.25">
      <c r="A2123" s="841"/>
    </row>
    <row r="2124" spans="1:1" x14ac:dyDescent="0.25">
      <c r="A2124" s="841"/>
    </row>
    <row r="2125" spans="1:1" x14ac:dyDescent="0.25">
      <c r="A2125" s="841"/>
    </row>
    <row r="2126" spans="1:1" x14ac:dyDescent="0.25">
      <c r="A2126" s="841"/>
    </row>
    <row r="2127" spans="1:1" x14ac:dyDescent="0.25">
      <c r="A2127" s="841"/>
    </row>
    <row r="2128" spans="1:1" x14ac:dyDescent="0.25">
      <c r="A2128" s="841"/>
    </row>
    <row r="2129" spans="1:1" x14ac:dyDescent="0.25">
      <c r="A2129" s="841"/>
    </row>
    <row r="2130" spans="1:1" x14ac:dyDescent="0.25">
      <c r="A2130" s="841"/>
    </row>
    <row r="2131" spans="1:1" x14ac:dyDescent="0.25">
      <c r="A2131" s="841"/>
    </row>
    <row r="2132" spans="1:1" x14ac:dyDescent="0.25">
      <c r="A2132" s="841"/>
    </row>
    <row r="2133" spans="1:1" x14ac:dyDescent="0.25">
      <c r="A2133" s="841"/>
    </row>
    <row r="2134" spans="1:1" x14ac:dyDescent="0.25">
      <c r="A2134" s="841"/>
    </row>
    <row r="2135" spans="1:1" x14ac:dyDescent="0.25">
      <c r="A2135" s="841"/>
    </row>
    <row r="2136" spans="1:1" x14ac:dyDescent="0.25">
      <c r="A2136" s="841"/>
    </row>
    <row r="2137" spans="1:1" x14ac:dyDescent="0.25">
      <c r="A2137" s="841"/>
    </row>
    <row r="2138" spans="1:1" x14ac:dyDescent="0.25">
      <c r="A2138" s="841"/>
    </row>
    <row r="2139" spans="1:1" x14ac:dyDescent="0.25">
      <c r="A2139" s="841"/>
    </row>
    <row r="2140" spans="1:1" x14ac:dyDescent="0.25">
      <c r="A2140" s="841"/>
    </row>
    <row r="2141" spans="1:1" x14ac:dyDescent="0.25">
      <c r="A2141" s="841"/>
    </row>
    <row r="2142" spans="1:1" x14ac:dyDescent="0.25">
      <c r="A2142" s="841"/>
    </row>
    <row r="2143" spans="1:1" x14ac:dyDescent="0.25">
      <c r="A2143" s="841"/>
    </row>
    <row r="2144" spans="1:1" x14ac:dyDescent="0.25">
      <c r="A2144" s="841"/>
    </row>
    <row r="2145" spans="1:1" x14ac:dyDescent="0.25">
      <c r="A2145" s="841"/>
    </row>
    <row r="2146" spans="1:1" x14ac:dyDescent="0.25">
      <c r="A2146" s="841"/>
    </row>
    <row r="2147" spans="1:1" x14ac:dyDescent="0.25">
      <c r="A2147" s="841"/>
    </row>
    <row r="2148" spans="1:1" x14ac:dyDescent="0.25">
      <c r="A2148" s="841"/>
    </row>
    <row r="2149" spans="1:1" x14ac:dyDescent="0.25">
      <c r="A2149" s="841"/>
    </row>
    <row r="2150" spans="1:1" x14ac:dyDescent="0.25">
      <c r="A2150" s="841"/>
    </row>
    <row r="2151" spans="1:1" x14ac:dyDescent="0.25">
      <c r="A2151" s="841"/>
    </row>
    <row r="2152" spans="1:1" x14ac:dyDescent="0.25">
      <c r="A2152" s="841"/>
    </row>
    <row r="2153" spans="1:1" x14ac:dyDescent="0.25">
      <c r="A2153" s="841"/>
    </row>
    <row r="2154" spans="1:1" x14ac:dyDescent="0.25">
      <c r="A2154" s="841"/>
    </row>
    <row r="2155" spans="1:1" x14ac:dyDescent="0.25">
      <c r="A2155" s="841"/>
    </row>
    <row r="2156" spans="1:1" x14ac:dyDescent="0.25">
      <c r="A2156" s="841"/>
    </row>
    <row r="2157" spans="1:1" x14ac:dyDescent="0.25">
      <c r="A2157" s="841"/>
    </row>
    <row r="2158" spans="1:1" x14ac:dyDescent="0.25">
      <c r="A2158" s="841"/>
    </row>
    <row r="2159" spans="1:1" x14ac:dyDescent="0.25">
      <c r="A2159" s="841"/>
    </row>
    <row r="2160" spans="1:1" x14ac:dyDescent="0.25">
      <c r="A2160" s="841"/>
    </row>
    <row r="2161" spans="1:1" x14ac:dyDescent="0.25">
      <c r="A2161" s="841"/>
    </row>
    <row r="2162" spans="1:1" x14ac:dyDescent="0.25">
      <c r="A2162" s="841"/>
    </row>
    <row r="2163" spans="1:1" x14ac:dyDescent="0.25">
      <c r="A2163" s="841"/>
    </row>
    <row r="2164" spans="1:1" x14ac:dyDescent="0.25">
      <c r="A2164" s="841"/>
    </row>
    <row r="2165" spans="1:1" x14ac:dyDescent="0.25">
      <c r="A2165" s="841"/>
    </row>
    <row r="2166" spans="1:1" x14ac:dyDescent="0.25">
      <c r="A2166" s="841"/>
    </row>
    <row r="2167" spans="1:1" x14ac:dyDescent="0.25">
      <c r="A2167" s="841"/>
    </row>
    <row r="2168" spans="1:1" x14ac:dyDescent="0.25">
      <c r="A2168" s="841"/>
    </row>
    <row r="2169" spans="1:1" x14ac:dyDescent="0.25">
      <c r="A2169" s="841"/>
    </row>
    <row r="2170" spans="1:1" x14ac:dyDescent="0.25">
      <c r="A2170" s="841"/>
    </row>
    <row r="2171" spans="1:1" x14ac:dyDescent="0.25">
      <c r="A2171" s="841"/>
    </row>
    <row r="2172" spans="1:1" x14ac:dyDescent="0.25">
      <c r="A2172" s="841"/>
    </row>
    <row r="2173" spans="1:1" x14ac:dyDescent="0.25">
      <c r="A2173" s="841"/>
    </row>
    <row r="2174" spans="1:1" x14ac:dyDescent="0.25">
      <c r="A2174" s="841"/>
    </row>
    <row r="2175" spans="1:1" x14ac:dyDescent="0.25">
      <c r="A2175" s="841"/>
    </row>
    <row r="2176" spans="1:1" x14ac:dyDescent="0.25">
      <c r="A2176" s="841"/>
    </row>
    <row r="2177" spans="1:1" x14ac:dyDescent="0.25">
      <c r="A2177" s="841"/>
    </row>
    <row r="2178" spans="1:1" x14ac:dyDescent="0.25">
      <c r="A2178" s="841"/>
    </row>
    <row r="2179" spans="1:1" x14ac:dyDescent="0.25">
      <c r="A2179" s="841"/>
    </row>
    <row r="2180" spans="1:1" x14ac:dyDescent="0.25">
      <c r="A2180" s="841"/>
    </row>
    <row r="2181" spans="1:1" x14ac:dyDescent="0.25">
      <c r="A2181" s="841"/>
    </row>
    <row r="2182" spans="1:1" x14ac:dyDescent="0.25">
      <c r="A2182" s="841"/>
    </row>
    <row r="2183" spans="1:1" x14ac:dyDescent="0.25">
      <c r="A2183" s="841"/>
    </row>
    <row r="2184" spans="1:1" x14ac:dyDescent="0.25">
      <c r="A2184" s="841"/>
    </row>
    <row r="2185" spans="1:1" x14ac:dyDescent="0.25">
      <c r="A2185" s="841"/>
    </row>
    <row r="2186" spans="1:1" x14ac:dyDescent="0.25">
      <c r="A2186" s="841"/>
    </row>
    <row r="2187" spans="1:1" x14ac:dyDescent="0.25">
      <c r="A2187" s="841"/>
    </row>
    <row r="2188" spans="1:1" x14ac:dyDescent="0.25">
      <c r="A2188" s="841"/>
    </row>
    <row r="2189" spans="1:1" x14ac:dyDescent="0.25">
      <c r="A2189" s="841"/>
    </row>
    <row r="2190" spans="1:1" x14ac:dyDescent="0.25">
      <c r="A2190" s="841"/>
    </row>
    <row r="2191" spans="1:1" x14ac:dyDescent="0.25">
      <c r="A2191" s="841"/>
    </row>
    <row r="2192" spans="1:1" x14ac:dyDescent="0.25">
      <c r="A2192" s="841"/>
    </row>
    <row r="2193" spans="1:1" x14ac:dyDescent="0.25">
      <c r="A2193" s="841"/>
    </row>
    <row r="2194" spans="1:1" x14ac:dyDescent="0.25">
      <c r="A2194" s="841"/>
    </row>
    <row r="2195" spans="1:1" x14ac:dyDescent="0.25">
      <c r="A2195" s="841"/>
    </row>
    <row r="2196" spans="1:1" x14ac:dyDescent="0.25">
      <c r="A2196" s="841"/>
    </row>
    <row r="2197" spans="1:1" x14ac:dyDescent="0.25">
      <c r="A2197" s="841"/>
    </row>
    <row r="2198" spans="1:1" x14ac:dyDescent="0.25">
      <c r="A2198" s="841"/>
    </row>
    <row r="2199" spans="1:1" x14ac:dyDescent="0.25">
      <c r="A2199" s="841"/>
    </row>
    <row r="2200" spans="1:1" x14ac:dyDescent="0.25">
      <c r="A2200" s="841"/>
    </row>
    <row r="2201" spans="1:1" x14ac:dyDescent="0.25">
      <c r="A2201" s="841"/>
    </row>
    <row r="2202" spans="1:1" x14ac:dyDescent="0.25">
      <c r="A2202" s="841"/>
    </row>
    <row r="2203" spans="1:1" x14ac:dyDescent="0.25">
      <c r="A2203" s="841"/>
    </row>
    <row r="2204" spans="1:1" x14ac:dyDescent="0.25">
      <c r="A2204" s="841"/>
    </row>
    <row r="2205" spans="1:1" x14ac:dyDescent="0.25">
      <c r="A2205" s="841"/>
    </row>
    <row r="2206" spans="1:1" x14ac:dyDescent="0.25">
      <c r="A2206" s="841"/>
    </row>
    <row r="2207" spans="1:1" x14ac:dyDescent="0.25">
      <c r="A2207" s="841"/>
    </row>
    <row r="2208" spans="1:1" x14ac:dyDescent="0.25">
      <c r="A2208" s="841"/>
    </row>
    <row r="2209" spans="1:1" x14ac:dyDescent="0.25">
      <c r="A2209" s="841"/>
    </row>
    <row r="2210" spans="1:1" x14ac:dyDescent="0.25">
      <c r="A2210" s="841"/>
    </row>
    <row r="2211" spans="1:1" x14ac:dyDescent="0.25">
      <c r="A2211" s="841"/>
    </row>
    <row r="2212" spans="1:1" x14ac:dyDescent="0.25">
      <c r="A2212" s="841"/>
    </row>
    <row r="2213" spans="1:1" x14ac:dyDescent="0.25">
      <c r="A2213" s="841"/>
    </row>
    <row r="2214" spans="1:1" x14ac:dyDescent="0.25">
      <c r="A2214" s="841"/>
    </row>
    <row r="2215" spans="1:1" x14ac:dyDescent="0.25">
      <c r="A2215" s="841"/>
    </row>
    <row r="2216" spans="1:1" x14ac:dyDescent="0.25">
      <c r="A2216" s="841"/>
    </row>
    <row r="2217" spans="1:1" x14ac:dyDescent="0.25">
      <c r="A2217" s="841"/>
    </row>
    <row r="2218" spans="1:1" x14ac:dyDescent="0.25">
      <c r="A2218" s="841"/>
    </row>
    <row r="2219" spans="1:1" x14ac:dyDescent="0.25">
      <c r="A2219" s="841"/>
    </row>
    <row r="2220" spans="1:1" x14ac:dyDescent="0.25">
      <c r="A2220" s="841"/>
    </row>
    <row r="2221" spans="1:1" x14ac:dyDescent="0.25">
      <c r="A2221" s="841"/>
    </row>
    <row r="2222" spans="1:1" x14ac:dyDescent="0.25">
      <c r="A2222" s="841"/>
    </row>
    <row r="2223" spans="1:1" x14ac:dyDescent="0.25">
      <c r="A2223" s="841"/>
    </row>
    <row r="2224" spans="1:1" x14ac:dyDescent="0.25">
      <c r="A2224" s="841"/>
    </row>
    <row r="2225" spans="1:1" x14ac:dyDescent="0.25">
      <c r="A2225" s="841"/>
    </row>
    <row r="2226" spans="1:1" x14ac:dyDescent="0.25">
      <c r="A2226" s="841"/>
    </row>
    <row r="2227" spans="1:1" x14ac:dyDescent="0.25">
      <c r="A2227" s="841"/>
    </row>
    <row r="2228" spans="1:1" x14ac:dyDescent="0.25">
      <c r="A2228" s="841"/>
    </row>
    <row r="2229" spans="1:1" x14ac:dyDescent="0.25">
      <c r="A2229" s="841"/>
    </row>
    <row r="2230" spans="1:1" x14ac:dyDescent="0.25">
      <c r="A2230" s="841"/>
    </row>
    <row r="2231" spans="1:1" x14ac:dyDescent="0.25">
      <c r="A2231" s="841"/>
    </row>
    <row r="2232" spans="1:1" x14ac:dyDescent="0.25">
      <c r="A2232" s="841"/>
    </row>
    <row r="2233" spans="1:1" x14ac:dyDescent="0.25">
      <c r="A2233" s="841"/>
    </row>
    <row r="2234" spans="1:1" x14ac:dyDescent="0.25">
      <c r="A2234" s="841"/>
    </row>
    <row r="2235" spans="1:1" x14ac:dyDescent="0.25">
      <c r="A2235" s="841"/>
    </row>
    <row r="2236" spans="1:1" x14ac:dyDescent="0.25">
      <c r="A2236" s="841"/>
    </row>
    <row r="2237" spans="1:1" x14ac:dyDescent="0.25">
      <c r="A2237" s="841"/>
    </row>
    <row r="2238" spans="1:1" x14ac:dyDescent="0.25">
      <c r="A2238" s="841"/>
    </row>
    <row r="2239" spans="1:1" x14ac:dyDescent="0.25">
      <c r="A2239" s="841"/>
    </row>
    <row r="2240" spans="1:1" x14ac:dyDescent="0.25">
      <c r="A2240" s="841"/>
    </row>
    <row r="2241" spans="1:1" x14ac:dyDescent="0.25">
      <c r="A2241" s="841"/>
    </row>
    <row r="2242" spans="1:1" x14ac:dyDescent="0.25">
      <c r="A2242" s="841"/>
    </row>
    <row r="2243" spans="1:1" x14ac:dyDescent="0.25">
      <c r="A2243" s="841"/>
    </row>
    <row r="2244" spans="1:1" x14ac:dyDescent="0.25">
      <c r="A2244" s="841"/>
    </row>
    <row r="2245" spans="1:1" x14ac:dyDescent="0.25">
      <c r="A2245" s="841"/>
    </row>
    <row r="2246" spans="1:1" x14ac:dyDescent="0.25">
      <c r="A2246" s="841"/>
    </row>
    <row r="2247" spans="1:1" x14ac:dyDescent="0.25">
      <c r="A2247" s="841"/>
    </row>
    <row r="2248" spans="1:1" x14ac:dyDescent="0.25">
      <c r="A2248" s="841"/>
    </row>
    <row r="2249" spans="1:1" x14ac:dyDescent="0.25">
      <c r="A2249" s="841"/>
    </row>
    <row r="2250" spans="1:1" x14ac:dyDescent="0.25">
      <c r="A2250" s="841"/>
    </row>
    <row r="2251" spans="1:1" x14ac:dyDescent="0.25">
      <c r="A2251" s="841"/>
    </row>
    <row r="2252" spans="1:1" x14ac:dyDescent="0.25">
      <c r="A2252" s="841"/>
    </row>
    <row r="2253" spans="1:1" x14ac:dyDescent="0.25">
      <c r="A2253" s="841"/>
    </row>
    <row r="2254" spans="1:1" x14ac:dyDescent="0.25">
      <c r="A2254" s="841"/>
    </row>
    <row r="2255" spans="1:1" x14ac:dyDescent="0.25">
      <c r="A2255" s="841"/>
    </row>
    <row r="2256" spans="1:1" x14ac:dyDescent="0.25">
      <c r="A2256" s="841"/>
    </row>
    <row r="2257" spans="1:1" x14ac:dyDescent="0.25">
      <c r="A2257" s="841"/>
    </row>
    <row r="2258" spans="1:1" x14ac:dyDescent="0.25">
      <c r="A2258" s="841"/>
    </row>
    <row r="2259" spans="1:1" x14ac:dyDescent="0.25">
      <c r="A2259" s="841"/>
    </row>
    <row r="2260" spans="1:1" x14ac:dyDescent="0.25">
      <c r="A2260" s="841"/>
    </row>
    <row r="2261" spans="1:1" x14ac:dyDescent="0.25">
      <c r="A2261" s="841"/>
    </row>
    <row r="2262" spans="1:1" x14ac:dyDescent="0.25">
      <c r="A2262" s="841"/>
    </row>
    <row r="2263" spans="1:1" x14ac:dyDescent="0.25">
      <c r="A2263" s="841"/>
    </row>
    <row r="2264" spans="1:1" x14ac:dyDescent="0.25">
      <c r="A2264" s="841"/>
    </row>
    <row r="2265" spans="1:1" x14ac:dyDescent="0.25">
      <c r="A2265" s="841"/>
    </row>
    <row r="2266" spans="1:1" x14ac:dyDescent="0.25">
      <c r="A2266" s="841"/>
    </row>
    <row r="2267" spans="1:1" x14ac:dyDescent="0.25">
      <c r="A2267" s="841"/>
    </row>
    <row r="2268" spans="1:1" x14ac:dyDescent="0.25">
      <c r="A2268" s="841"/>
    </row>
    <row r="2269" spans="1:1" x14ac:dyDescent="0.25">
      <c r="A2269" s="841"/>
    </row>
    <row r="2270" spans="1:1" x14ac:dyDescent="0.25">
      <c r="A2270" s="841"/>
    </row>
    <row r="2271" spans="1:1" x14ac:dyDescent="0.25">
      <c r="A2271" s="841"/>
    </row>
    <row r="2272" spans="1:1" x14ac:dyDescent="0.25">
      <c r="A2272" s="841"/>
    </row>
    <row r="2273" spans="1:1" x14ac:dyDescent="0.25">
      <c r="A2273" s="841"/>
    </row>
    <row r="2274" spans="1:1" x14ac:dyDescent="0.25">
      <c r="A2274" s="841"/>
    </row>
    <row r="2275" spans="1:1" x14ac:dyDescent="0.25">
      <c r="A2275" s="841"/>
    </row>
    <row r="2276" spans="1:1" x14ac:dyDescent="0.25">
      <c r="A2276" s="841"/>
    </row>
    <row r="2277" spans="1:1" x14ac:dyDescent="0.25">
      <c r="A2277" s="841"/>
    </row>
    <row r="2278" spans="1:1" x14ac:dyDescent="0.25">
      <c r="A2278" s="841"/>
    </row>
    <row r="2279" spans="1:1" x14ac:dyDescent="0.25">
      <c r="A2279" s="841"/>
    </row>
    <row r="2280" spans="1:1" x14ac:dyDescent="0.25">
      <c r="A2280" s="841"/>
    </row>
    <row r="2281" spans="1:1" x14ac:dyDescent="0.25">
      <c r="A2281" s="841"/>
    </row>
    <row r="2282" spans="1:1" x14ac:dyDescent="0.25">
      <c r="A2282" s="841"/>
    </row>
    <row r="2283" spans="1:1" x14ac:dyDescent="0.25">
      <c r="A2283" s="841"/>
    </row>
    <row r="2284" spans="1:1" x14ac:dyDescent="0.25">
      <c r="A2284" s="841"/>
    </row>
    <row r="2285" spans="1:1" x14ac:dyDescent="0.25">
      <c r="A2285" s="841"/>
    </row>
    <row r="2286" spans="1:1" x14ac:dyDescent="0.25">
      <c r="A2286" s="841"/>
    </row>
    <row r="2287" spans="1:1" x14ac:dyDescent="0.25">
      <c r="A2287" s="841"/>
    </row>
    <row r="2288" spans="1:1" x14ac:dyDescent="0.25">
      <c r="A2288" s="841"/>
    </row>
    <row r="2289" spans="1:1" x14ac:dyDescent="0.25">
      <c r="A2289" s="841"/>
    </row>
    <row r="2290" spans="1:1" x14ac:dyDescent="0.25">
      <c r="A2290" s="841"/>
    </row>
    <row r="2291" spans="1:1" x14ac:dyDescent="0.25">
      <c r="A2291" s="841"/>
    </row>
    <row r="2292" spans="1:1" x14ac:dyDescent="0.25">
      <c r="A2292" s="841"/>
    </row>
    <row r="2293" spans="1:1" x14ac:dyDescent="0.25">
      <c r="A2293" s="841"/>
    </row>
    <row r="2294" spans="1:1" x14ac:dyDescent="0.25">
      <c r="A2294" s="841"/>
    </row>
    <row r="2295" spans="1:1" x14ac:dyDescent="0.25">
      <c r="A2295" s="841"/>
    </row>
    <row r="2296" spans="1:1" x14ac:dyDescent="0.25">
      <c r="A2296" s="841"/>
    </row>
    <row r="2297" spans="1:1" x14ac:dyDescent="0.25">
      <c r="A2297" s="841"/>
    </row>
    <row r="2298" spans="1:1" x14ac:dyDescent="0.25">
      <c r="A2298" s="841"/>
    </row>
    <row r="2299" spans="1:1" x14ac:dyDescent="0.25">
      <c r="A2299" s="841"/>
    </row>
    <row r="2300" spans="1:1" x14ac:dyDescent="0.25">
      <c r="A2300" s="841"/>
    </row>
    <row r="2301" spans="1:1" x14ac:dyDescent="0.25">
      <c r="A2301" s="841"/>
    </row>
    <row r="2302" spans="1:1" x14ac:dyDescent="0.25">
      <c r="A2302" s="841"/>
    </row>
    <row r="2303" spans="1:1" x14ac:dyDescent="0.25">
      <c r="A2303" s="841"/>
    </row>
    <row r="2304" spans="1:1" x14ac:dyDescent="0.25">
      <c r="A2304" s="841"/>
    </row>
    <row r="2305" spans="1:1" x14ac:dyDescent="0.25">
      <c r="A2305" s="841"/>
    </row>
    <row r="2306" spans="1:1" x14ac:dyDescent="0.25">
      <c r="A2306" s="841"/>
    </row>
    <row r="2307" spans="1:1" x14ac:dyDescent="0.25">
      <c r="A2307" s="841"/>
    </row>
    <row r="2308" spans="1:1" x14ac:dyDescent="0.25">
      <c r="A2308" s="841"/>
    </row>
    <row r="2309" spans="1:1" x14ac:dyDescent="0.25">
      <c r="A2309" s="841"/>
    </row>
    <row r="2310" spans="1:1" x14ac:dyDescent="0.25">
      <c r="A2310" s="841"/>
    </row>
    <row r="2311" spans="1:1" x14ac:dyDescent="0.25">
      <c r="A2311" s="841"/>
    </row>
    <row r="2312" spans="1:1" x14ac:dyDescent="0.25">
      <c r="A2312" s="841"/>
    </row>
    <row r="2313" spans="1:1" x14ac:dyDescent="0.25">
      <c r="A2313" s="841"/>
    </row>
    <row r="2314" spans="1:1" x14ac:dyDescent="0.25">
      <c r="A2314" s="841"/>
    </row>
    <row r="2315" spans="1:1" x14ac:dyDescent="0.25">
      <c r="A2315" s="841"/>
    </row>
    <row r="2316" spans="1:1" x14ac:dyDescent="0.25">
      <c r="A2316" s="841"/>
    </row>
    <row r="2317" spans="1:1" x14ac:dyDescent="0.25">
      <c r="A2317" s="841"/>
    </row>
    <row r="2318" spans="1:1" x14ac:dyDescent="0.25">
      <c r="A2318" s="841"/>
    </row>
    <row r="2319" spans="1:1" x14ac:dyDescent="0.25">
      <c r="A2319" s="841"/>
    </row>
    <row r="2320" spans="1:1" x14ac:dyDescent="0.25">
      <c r="A2320" s="841"/>
    </row>
    <row r="2321" spans="1:1" x14ac:dyDescent="0.25">
      <c r="A2321" s="841"/>
    </row>
    <row r="2322" spans="1:1" x14ac:dyDescent="0.25">
      <c r="A2322" s="841"/>
    </row>
    <row r="2323" spans="1:1" x14ac:dyDescent="0.25">
      <c r="A2323" s="841"/>
    </row>
    <row r="2324" spans="1:1" x14ac:dyDescent="0.25">
      <c r="A2324" s="841"/>
    </row>
    <row r="2325" spans="1:1" x14ac:dyDescent="0.25">
      <c r="A2325" s="841"/>
    </row>
    <row r="2326" spans="1:1" x14ac:dyDescent="0.25">
      <c r="A2326" s="841"/>
    </row>
    <row r="2327" spans="1:1" x14ac:dyDescent="0.25">
      <c r="A2327" s="841"/>
    </row>
    <row r="2328" spans="1:1" x14ac:dyDescent="0.25">
      <c r="A2328" s="841"/>
    </row>
    <row r="2329" spans="1:1" x14ac:dyDescent="0.25">
      <c r="A2329" s="841"/>
    </row>
    <row r="2330" spans="1:1" x14ac:dyDescent="0.25">
      <c r="A2330" s="841"/>
    </row>
    <row r="2331" spans="1:1" x14ac:dyDescent="0.25">
      <c r="A2331" s="841"/>
    </row>
    <row r="2332" spans="1:1" x14ac:dyDescent="0.25">
      <c r="A2332" s="841"/>
    </row>
    <row r="2333" spans="1:1" x14ac:dyDescent="0.25">
      <c r="A2333" s="841"/>
    </row>
    <row r="2334" spans="1:1" x14ac:dyDescent="0.25">
      <c r="A2334" s="841"/>
    </row>
    <row r="2335" spans="1:1" x14ac:dyDescent="0.25">
      <c r="A2335" s="841"/>
    </row>
    <row r="2336" spans="1:1" x14ac:dyDescent="0.25">
      <c r="A2336" s="841"/>
    </row>
    <row r="2337" spans="1:1" x14ac:dyDescent="0.25">
      <c r="A2337" s="841"/>
    </row>
    <row r="2338" spans="1:1" x14ac:dyDescent="0.25">
      <c r="A2338" s="841"/>
    </row>
    <row r="2339" spans="1:1" x14ac:dyDescent="0.25">
      <c r="A2339" s="841"/>
    </row>
    <row r="2340" spans="1:1" x14ac:dyDescent="0.25">
      <c r="A2340" s="841"/>
    </row>
    <row r="2341" spans="1:1" x14ac:dyDescent="0.25">
      <c r="A2341" s="841"/>
    </row>
    <row r="2342" spans="1:1" x14ac:dyDescent="0.25">
      <c r="A2342" s="841"/>
    </row>
    <row r="2343" spans="1:1" x14ac:dyDescent="0.25">
      <c r="A2343" s="841"/>
    </row>
    <row r="2344" spans="1:1" x14ac:dyDescent="0.25">
      <c r="A2344" s="841"/>
    </row>
    <row r="2345" spans="1:1" x14ac:dyDescent="0.25">
      <c r="A2345" s="841"/>
    </row>
    <row r="2346" spans="1:1" x14ac:dyDescent="0.25">
      <c r="A2346" s="841"/>
    </row>
    <row r="2347" spans="1:1" x14ac:dyDescent="0.25">
      <c r="A2347" s="841"/>
    </row>
    <row r="2348" spans="1:1" x14ac:dyDescent="0.25">
      <c r="A2348" s="841"/>
    </row>
    <row r="2349" spans="1:1" x14ac:dyDescent="0.25">
      <c r="A2349" s="841"/>
    </row>
    <row r="2350" spans="1:1" x14ac:dyDescent="0.25">
      <c r="A2350" s="841"/>
    </row>
    <row r="2351" spans="1:1" x14ac:dyDescent="0.25">
      <c r="A2351" s="841"/>
    </row>
    <row r="2352" spans="1:1" x14ac:dyDescent="0.25">
      <c r="A2352" s="841"/>
    </row>
    <row r="2353" spans="1:1" x14ac:dyDescent="0.25">
      <c r="A2353" s="841"/>
    </row>
    <row r="2354" spans="1:1" x14ac:dyDescent="0.25">
      <c r="A2354" s="841"/>
    </row>
    <row r="2355" spans="1:1" x14ac:dyDescent="0.25">
      <c r="A2355" s="841"/>
    </row>
    <row r="2356" spans="1:1" x14ac:dyDescent="0.25">
      <c r="A2356" s="841"/>
    </row>
    <row r="2357" spans="1:1" x14ac:dyDescent="0.25">
      <c r="A2357" s="841"/>
    </row>
    <row r="2358" spans="1:1" x14ac:dyDescent="0.25">
      <c r="A2358" s="841"/>
    </row>
    <row r="2359" spans="1:1" x14ac:dyDescent="0.25">
      <c r="A2359" s="841"/>
    </row>
    <row r="2360" spans="1:1" x14ac:dyDescent="0.25">
      <c r="A2360" s="841"/>
    </row>
    <row r="2361" spans="1:1" x14ac:dyDescent="0.25">
      <c r="A2361" s="841"/>
    </row>
    <row r="2362" spans="1:1" x14ac:dyDescent="0.25">
      <c r="A2362" s="841"/>
    </row>
    <row r="2363" spans="1:1" x14ac:dyDescent="0.25">
      <c r="A2363" s="841"/>
    </row>
    <row r="2364" spans="1:1" x14ac:dyDescent="0.25">
      <c r="A2364" s="841"/>
    </row>
    <row r="2365" spans="1:1" x14ac:dyDescent="0.25">
      <c r="A2365" s="841"/>
    </row>
    <row r="2366" spans="1:1" x14ac:dyDescent="0.25">
      <c r="A2366" s="841"/>
    </row>
    <row r="2367" spans="1:1" x14ac:dyDescent="0.25">
      <c r="A2367" s="841"/>
    </row>
    <row r="2368" spans="1:1" x14ac:dyDescent="0.25">
      <c r="A2368" s="841"/>
    </row>
    <row r="2369" spans="1:1" x14ac:dyDescent="0.25">
      <c r="A2369" s="841"/>
    </row>
    <row r="2370" spans="1:1" x14ac:dyDescent="0.25">
      <c r="A2370" s="841"/>
    </row>
    <row r="2371" spans="1:1" x14ac:dyDescent="0.25">
      <c r="A2371" s="841"/>
    </row>
    <row r="2372" spans="1:1" x14ac:dyDescent="0.25">
      <c r="A2372" s="841"/>
    </row>
    <row r="2373" spans="1:1" x14ac:dyDescent="0.25">
      <c r="A2373" s="841"/>
    </row>
    <row r="2374" spans="1:1" x14ac:dyDescent="0.25">
      <c r="A2374" s="841"/>
    </row>
    <row r="2375" spans="1:1" x14ac:dyDescent="0.25">
      <c r="A2375" s="841"/>
    </row>
    <row r="2376" spans="1:1" x14ac:dyDescent="0.25">
      <c r="A2376" s="841"/>
    </row>
    <row r="2377" spans="1:1" x14ac:dyDescent="0.25">
      <c r="A2377" s="841"/>
    </row>
    <row r="2378" spans="1:1" x14ac:dyDescent="0.25">
      <c r="A2378" s="841"/>
    </row>
    <row r="2379" spans="1:1" x14ac:dyDescent="0.25">
      <c r="A2379" s="841"/>
    </row>
    <row r="2380" spans="1:1" x14ac:dyDescent="0.25">
      <c r="A2380" s="841"/>
    </row>
    <row r="2381" spans="1:1" x14ac:dyDescent="0.25">
      <c r="A2381" s="841"/>
    </row>
    <row r="2382" spans="1:1" x14ac:dyDescent="0.25">
      <c r="A2382" s="841"/>
    </row>
    <row r="2383" spans="1:1" x14ac:dyDescent="0.25">
      <c r="A2383" s="841"/>
    </row>
    <row r="2384" spans="1:1" x14ac:dyDescent="0.25">
      <c r="A2384" s="841"/>
    </row>
    <row r="2385" spans="1:1" x14ac:dyDescent="0.25">
      <c r="A2385" s="841"/>
    </row>
    <row r="2386" spans="1:1" x14ac:dyDescent="0.25">
      <c r="A2386" s="841"/>
    </row>
    <row r="2387" spans="1:1" x14ac:dyDescent="0.25">
      <c r="A2387" s="841"/>
    </row>
    <row r="2388" spans="1:1" x14ac:dyDescent="0.25">
      <c r="A2388" s="841"/>
    </row>
    <row r="2389" spans="1:1" x14ac:dyDescent="0.25">
      <c r="A2389" s="841"/>
    </row>
    <row r="2390" spans="1:1" x14ac:dyDescent="0.25">
      <c r="A2390" s="841"/>
    </row>
    <row r="2391" spans="1:1" x14ac:dyDescent="0.25">
      <c r="A2391" s="841"/>
    </row>
    <row r="2392" spans="1:1" x14ac:dyDescent="0.25">
      <c r="A2392" s="841"/>
    </row>
    <row r="2393" spans="1:1" x14ac:dyDescent="0.25">
      <c r="A2393" s="841"/>
    </row>
    <row r="2394" spans="1:1" x14ac:dyDescent="0.25">
      <c r="A2394" s="841"/>
    </row>
    <row r="2395" spans="1:1" x14ac:dyDescent="0.25">
      <c r="A2395" s="841"/>
    </row>
    <row r="2396" spans="1:1" x14ac:dyDescent="0.25">
      <c r="A2396" s="841"/>
    </row>
    <row r="2397" spans="1:1" x14ac:dyDescent="0.25">
      <c r="A2397" s="841"/>
    </row>
    <row r="2398" spans="1:1" x14ac:dyDescent="0.25">
      <c r="A2398" s="841"/>
    </row>
    <row r="2399" spans="1:1" x14ac:dyDescent="0.25">
      <c r="A2399" s="841"/>
    </row>
    <row r="2400" spans="1:1" x14ac:dyDescent="0.25">
      <c r="A2400" s="841"/>
    </row>
    <row r="2401" spans="1:1" x14ac:dyDescent="0.25">
      <c r="A2401" s="841"/>
    </row>
    <row r="2402" spans="1:1" x14ac:dyDescent="0.25">
      <c r="A2402" s="841"/>
    </row>
    <row r="2403" spans="1:1" x14ac:dyDescent="0.25">
      <c r="A2403" s="841"/>
    </row>
    <row r="2404" spans="1:1" x14ac:dyDescent="0.25">
      <c r="A2404" s="841"/>
    </row>
    <row r="2405" spans="1:1" x14ac:dyDescent="0.25">
      <c r="A2405" s="841"/>
    </row>
    <row r="2406" spans="1:1" x14ac:dyDescent="0.25">
      <c r="A2406" s="841"/>
    </row>
    <row r="2407" spans="1:1" x14ac:dyDescent="0.25">
      <c r="A2407" s="841"/>
    </row>
    <row r="2408" spans="1:1" x14ac:dyDescent="0.25">
      <c r="A2408" s="841"/>
    </row>
    <row r="2409" spans="1:1" x14ac:dyDescent="0.25">
      <c r="A2409" s="841"/>
    </row>
    <row r="2410" spans="1:1" x14ac:dyDescent="0.25">
      <c r="A2410" s="841"/>
    </row>
    <row r="2411" spans="1:1" x14ac:dyDescent="0.25">
      <c r="A2411" s="841"/>
    </row>
    <row r="2412" spans="1:1" x14ac:dyDescent="0.25">
      <c r="A2412" s="841"/>
    </row>
    <row r="2413" spans="1:1" x14ac:dyDescent="0.25">
      <c r="A2413" s="841"/>
    </row>
    <row r="2414" spans="1:1" x14ac:dyDescent="0.25">
      <c r="A2414" s="841"/>
    </row>
    <row r="2415" spans="1:1" x14ac:dyDescent="0.25">
      <c r="A2415" s="841"/>
    </row>
    <row r="2416" spans="1:1" x14ac:dyDescent="0.25">
      <c r="A2416" s="841"/>
    </row>
    <row r="2417" spans="1:1" x14ac:dyDescent="0.25">
      <c r="A2417" s="841"/>
    </row>
    <row r="2418" spans="1:1" x14ac:dyDescent="0.25">
      <c r="A2418" s="841"/>
    </row>
    <row r="2419" spans="1:1" x14ac:dyDescent="0.25">
      <c r="A2419" s="841"/>
    </row>
    <row r="2420" spans="1:1" x14ac:dyDescent="0.25">
      <c r="A2420" s="841"/>
    </row>
    <row r="2421" spans="1:1" x14ac:dyDescent="0.25">
      <c r="A2421" s="841"/>
    </row>
    <row r="2422" spans="1:1" x14ac:dyDescent="0.25">
      <c r="A2422" s="841"/>
    </row>
    <row r="2423" spans="1:1" x14ac:dyDescent="0.25">
      <c r="A2423" s="841"/>
    </row>
    <row r="2424" spans="1:1" x14ac:dyDescent="0.25">
      <c r="A2424" s="841"/>
    </row>
    <row r="2425" spans="1:1" x14ac:dyDescent="0.25">
      <c r="A2425" s="841"/>
    </row>
    <row r="2426" spans="1:1" x14ac:dyDescent="0.25">
      <c r="A2426" s="841"/>
    </row>
    <row r="2427" spans="1:1" x14ac:dyDescent="0.25">
      <c r="A2427" s="841"/>
    </row>
    <row r="2428" spans="1:1" x14ac:dyDescent="0.25">
      <c r="A2428" s="841"/>
    </row>
    <row r="2429" spans="1:1" x14ac:dyDescent="0.25">
      <c r="A2429" s="841"/>
    </row>
    <row r="2430" spans="1:1" x14ac:dyDescent="0.25">
      <c r="A2430" s="841"/>
    </row>
    <row r="2431" spans="1:1" x14ac:dyDescent="0.25">
      <c r="A2431" s="841"/>
    </row>
    <row r="2432" spans="1:1" x14ac:dyDescent="0.25">
      <c r="A2432" s="841"/>
    </row>
    <row r="2433" spans="1:1" x14ac:dyDescent="0.25">
      <c r="A2433" s="841"/>
    </row>
    <row r="2434" spans="1:1" x14ac:dyDescent="0.25">
      <c r="A2434" s="841"/>
    </row>
    <row r="2435" spans="1:1" x14ac:dyDescent="0.25">
      <c r="A2435" s="841"/>
    </row>
    <row r="2436" spans="1:1" x14ac:dyDescent="0.25">
      <c r="A2436" s="841"/>
    </row>
    <row r="2437" spans="1:1" x14ac:dyDescent="0.25">
      <c r="A2437" s="841"/>
    </row>
    <row r="2438" spans="1:1" x14ac:dyDescent="0.25">
      <c r="A2438" s="841"/>
    </row>
    <row r="2439" spans="1:1" x14ac:dyDescent="0.25">
      <c r="A2439" s="841"/>
    </row>
    <row r="2440" spans="1:1" x14ac:dyDescent="0.25">
      <c r="A2440" s="841"/>
    </row>
    <row r="2441" spans="1:1" x14ac:dyDescent="0.25">
      <c r="A2441" s="841"/>
    </row>
    <row r="2442" spans="1:1" x14ac:dyDescent="0.25">
      <c r="A2442" s="841"/>
    </row>
    <row r="2443" spans="1:1" x14ac:dyDescent="0.25">
      <c r="A2443" s="841"/>
    </row>
    <row r="2444" spans="1:1" x14ac:dyDescent="0.25">
      <c r="A2444" s="841"/>
    </row>
    <row r="2445" spans="1:1" x14ac:dyDescent="0.25">
      <c r="A2445" s="841"/>
    </row>
    <row r="2446" spans="1:1" x14ac:dyDescent="0.25">
      <c r="A2446" s="841"/>
    </row>
    <row r="2447" spans="1:1" x14ac:dyDescent="0.25">
      <c r="A2447" s="841"/>
    </row>
    <row r="2448" spans="1:1" x14ac:dyDescent="0.25">
      <c r="A2448" s="841"/>
    </row>
    <row r="2449" spans="1:1" x14ac:dyDescent="0.25">
      <c r="A2449" s="841"/>
    </row>
    <row r="2450" spans="1:1" x14ac:dyDescent="0.25">
      <c r="A2450" s="841"/>
    </row>
    <row r="2451" spans="1:1" x14ac:dyDescent="0.25">
      <c r="A2451" s="841"/>
    </row>
    <row r="2452" spans="1:1" x14ac:dyDescent="0.25">
      <c r="A2452" s="841"/>
    </row>
    <row r="2453" spans="1:1" x14ac:dyDescent="0.25">
      <c r="A2453" s="841"/>
    </row>
    <row r="2454" spans="1:1" x14ac:dyDescent="0.25">
      <c r="A2454" s="841"/>
    </row>
    <row r="2455" spans="1:1" x14ac:dyDescent="0.25">
      <c r="A2455" s="841"/>
    </row>
    <row r="2456" spans="1:1" x14ac:dyDescent="0.25">
      <c r="A2456" s="841"/>
    </row>
    <row r="2457" spans="1:1" x14ac:dyDescent="0.25">
      <c r="A2457" s="841"/>
    </row>
    <row r="2458" spans="1:1" x14ac:dyDescent="0.25">
      <c r="A2458" s="841"/>
    </row>
    <row r="2459" spans="1:1" x14ac:dyDescent="0.25">
      <c r="A2459" s="841"/>
    </row>
    <row r="2460" spans="1:1" x14ac:dyDescent="0.25">
      <c r="A2460" s="841"/>
    </row>
    <row r="2461" spans="1:1" x14ac:dyDescent="0.25">
      <c r="A2461" s="841"/>
    </row>
    <row r="2462" spans="1:1" x14ac:dyDescent="0.25">
      <c r="A2462" s="841"/>
    </row>
    <row r="2463" spans="1:1" x14ac:dyDescent="0.25">
      <c r="A2463" s="841"/>
    </row>
    <row r="2464" spans="1:1" x14ac:dyDescent="0.25">
      <c r="A2464" s="841"/>
    </row>
    <row r="2465" spans="1:1" x14ac:dyDescent="0.25">
      <c r="A2465" s="841"/>
    </row>
    <row r="2466" spans="1:1" x14ac:dyDescent="0.25">
      <c r="A2466" s="841"/>
    </row>
    <row r="2467" spans="1:1" x14ac:dyDescent="0.25">
      <c r="A2467" s="841"/>
    </row>
    <row r="2468" spans="1:1" x14ac:dyDescent="0.25">
      <c r="A2468" s="841"/>
    </row>
    <row r="2469" spans="1:1" x14ac:dyDescent="0.25">
      <c r="A2469" s="841"/>
    </row>
    <row r="2470" spans="1:1" x14ac:dyDescent="0.25">
      <c r="A2470" s="841"/>
    </row>
    <row r="2471" spans="1:1" x14ac:dyDescent="0.25">
      <c r="A2471" s="841"/>
    </row>
    <row r="2472" spans="1:1" x14ac:dyDescent="0.25">
      <c r="A2472" s="841"/>
    </row>
    <row r="2473" spans="1:1" x14ac:dyDescent="0.25">
      <c r="A2473" s="841"/>
    </row>
    <row r="2474" spans="1:1" x14ac:dyDescent="0.25">
      <c r="A2474" s="841"/>
    </row>
    <row r="2475" spans="1:1" x14ac:dyDescent="0.25">
      <c r="A2475" s="841"/>
    </row>
    <row r="2476" spans="1:1" x14ac:dyDescent="0.25">
      <c r="A2476" s="841"/>
    </row>
    <row r="2477" spans="1:1" x14ac:dyDescent="0.25">
      <c r="A2477" s="841"/>
    </row>
    <row r="2478" spans="1:1" x14ac:dyDescent="0.25">
      <c r="A2478" s="841"/>
    </row>
    <row r="2479" spans="1:1" x14ac:dyDescent="0.25">
      <c r="A2479" s="841"/>
    </row>
    <row r="2480" spans="1:1" x14ac:dyDescent="0.25">
      <c r="A2480" s="841"/>
    </row>
    <row r="2481" spans="1:1" x14ac:dyDescent="0.25">
      <c r="A2481" s="841"/>
    </row>
    <row r="2482" spans="1:1" x14ac:dyDescent="0.25">
      <c r="A2482" s="841"/>
    </row>
    <row r="2483" spans="1:1" x14ac:dyDescent="0.25">
      <c r="A2483" s="841"/>
    </row>
    <row r="2484" spans="1:1" x14ac:dyDescent="0.25">
      <c r="A2484" s="841"/>
    </row>
    <row r="2485" spans="1:1" x14ac:dyDescent="0.25">
      <c r="A2485" s="841"/>
    </row>
    <row r="2486" spans="1:1" x14ac:dyDescent="0.25">
      <c r="A2486" s="841"/>
    </row>
    <row r="2487" spans="1:1" x14ac:dyDescent="0.25">
      <c r="A2487" s="841"/>
    </row>
    <row r="2488" spans="1:1" x14ac:dyDescent="0.25">
      <c r="A2488" s="841"/>
    </row>
    <row r="2489" spans="1:1" x14ac:dyDescent="0.25">
      <c r="A2489" s="841"/>
    </row>
    <row r="2490" spans="1:1" x14ac:dyDescent="0.25">
      <c r="A2490" s="841"/>
    </row>
    <row r="2491" spans="1:1" x14ac:dyDescent="0.25">
      <c r="A2491" s="841"/>
    </row>
    <row r="2492" spans="1:1" x14ac:dyDescent="0.25">
      <c r="A2492" s="841"/>
    </row>
    <row r="2493" spans="1:1" x14ac:dyDescent="0.25">
      <c r="A2493" s="841"/>
    </row>
    <row r="2494" spans="1:1" x14ac:dyDescent="0.25">
      <c r="A2494" s="841"/>
    </row>
    <row r="2495" spans="1:1" x14ac:dyDescent="0.25">
      <c r="A2495" s="841"/>
    </row>
    <row r="2496" spans="1:1" x14ac:dyDescent="0.25">
      <c r="A2496" s="841"/>
    </row>
    <row r="2497" spans="1:1" x14ac:dyDescent="0.25">
      <c r="A2497" s="841"/>
    </row>
    <row r="2498" spans="1:1" x14ac:dyDescent="0.25">
      <c r="A2498" s="841"/>
    </row>
    <row r="2499" spans="1:1" x14ac:dyDescent="0.25">
      <c r="A2499" s="841"/>
    </row>
    <row r="2500" spans="1:1" x14ac:dyDescent="0.25">
      <c r="A2500" s="841"/>
    </row>
    <row r="2501" spans="1:1" x14ac:dyDescent="0.25">
      <c r="A2501" s="841"/>
    </row>
    <row r="2502" spans="1:1" x14ac:dyDescent="0.25">
      <c r="A2502" s="841"/>
    </row>
    <row r="2503" spans="1:1" x14ac:dyDescent="0.25">
      <c r="A2503" s="841"/>
    </row>
    <row r="2504" spans="1:1" x14ac:dyDescent="0.25">
      <c r="A2504" s="841"/>
    </row>
    <row r="2505" spans="1:1" x14ac:dyDescent="0.25">
      <c r="A2505" s="841"/>
    </row>
    <row r="2506" spans="1:1" x14ac:dyDescent="0.25">
      <c r="A2506" s="841"/>
    </row>
    <row r="2507" spans="1:1" x14ac:dyDescent="0.25">
      <c r="A2507" s="841"/>
    </row>
    <row r="2508" spans="1:1" x14ac:dyDescent="0.25">
      <c r="A2508" s="841"/>
    </row>
    <row r="2509" spans="1:1" x14ac:dyDescent="0.25">
      <c r="A2509" s="841"/>
    </row>
    <row r="2510" spans="1:1" x14ac:dyDescent="0.25">
      <c r="A2510" s="841"/>
    </row>
    <row r="2511" spans="1:1" x14ac:dyDescent="0.25">
      <c r="A2511" s="841"/>
    </row>
    <row r="2512" spans="1:1" x14ac:dyDescent="0.25">
      <c r="A2512" s="841"/>
    </row>
    <row r="2513" spans="1:1" x14ac:dyDescent="0.25">
      <c r="A2513" s="841"/>
    </row>
    <row r="2514" spans="1:1" x14ac:dyDescent="0.25">
      <c r="A2514" s="841"/>
    </row>
    <row r="2515" spans="1:1" x14ac:dyDescent="0.25">
      <c r="A2515" s="841"/>
    </row>
    <row r="2516" spans="1:1" x14ac:dyDescent="0.25">
      <c r="A2516" s="841"/>
    </row>
    <row r="2517" spans="1:1" x14ac:dyDescent="0.25">
      <c r="A2517" s="841"/>
    </row>
    <row r="2518" spans="1:1" x14ac:dyDescent="0.25">
      <c r="A2518" s="841"/>
    </row>
    <row r="2519" spans="1:1" x14ac:dyDescent="0.25">
      <c r="A2519" s="841"/>
    </row>
    <row r="2520" spans="1:1" x14ac:dyDescent="0.25">
      <c r="A2520" s="841"/>
    </row>
    <row r="2521" spans="1:1" x14ac:dyDescent="0.25">
      <c r="A2521" s="841"/>
    </row>
    <row r="2522" spans="1:1" x14ac:dyDescent="0.25">
      <c r="A2522" s="841"/>
    </row>
    <row r="2523" spans="1:1" x14ac:dyDescent="0.25">
      <c r="A2523" s="841"/>
    </row>
    <row r="2524" spans="1:1" x14ac:dyDescent="0.25">
      <c r="A2524" s="841"/>
    </row>
    <row r="2525" spans="1:1" x14ac:dyDescent="0.25">
      <c r="A2525" s="841"/>
    </row>
    <row r="2526" spans="1:1" x14ac:dyDescent="0.25">
      <c r="A2526" s="841"/>
    </row>
    <row r="2527" spans="1:1" x14ac:dyDescent="0.25">
      <c r="A2527" s="841"/>
    </row>
    <row r="2528" spans="1:1" x14ac:dyDescent="0.25">
      <c r="A2528" s="841"/>
    </row>
    <row r="2529" spans="1:1" x14ac:dyDescent="0.25">
      <c r="A2529" s="841"/>
    </row>
    <row r="2530" spans="1:1" x14ac:dyDescent="0.25">
      <c r="A2530" s="841"/>
    </row>
    <row r="2531" spans="1:1" x14ac:dyDescent="0.25">
      <c r="A2531" s="841"/>
    </row>
    <row r="2532" spans="1:1" x14ac:dyDescent="0.25">
      <c r="A2532" s="841"/>
    </row>
    <row r="2533" spans="1:1" x14ac:dyDescent="0.25">
      <c r="A2533" s="841"/>
    </row>
    <row r="2534" spans="1:1" x14ac:dyDescent="0.25">
      <c r="A2534" s="841"/>
    </row>
    <row r="2535" spans="1:1" x14ac:dyDescent="0.25">
      <c r="A2535" s="841"/>
    </row>
    <row r="2536" spans="1:1" x14ac:dyDescent="0.25">
      <c r="A2536" s="841"/>
    </row>
    <row r="2537" spans="1:1" x14ac:dyDescent="0.25">
      <c r="A2537" s="841"/>
    </row>
    <row r="2538" spans="1:1" x14ac:dyDescent="0.25">
      <c r="A2538" s="841"/>
    </row>
    <row r="2539" spans="1:1" x14ac:dyDescent="0.25">
      <c r="A2539" s="841"/>
    </row>
    <row r="2540" spans="1:1" x14ac:dyDescent="0.25">
      <c r="A2540" s="841"/>
    </row>
    <row r="2541" spans="1:1" x14ac:dyDescent="0.25">
      <c r="A2541" s="841"/>
    </row>
    <row r="2542" spans="1:1" x14ac:dyDescent="0.25">
      <c r="A2542" s="841"/>
    </row>
    <row r="2543" spans="1:1" x14ac:dyDescent="0.25">
      <c r="A2543" s="841"/>
    </row>
    <row r="2544" spans="1:1" x14ac:dyDescent="0.25">
      <c r="A2544" s="841"/>
    </row>
    <row r="2545" spans="1:1" x14ac:dyDescent="0.25">
      <c r="A2545" s="841"/>
    </row>
    <row r="2546" spans="1:1" x14ac:dyDescent="0.25">
      <c r="A2546" s="841"/>
    </row>
    <row r="2547" spans="1:1" x14ac:dyDescent="0.25">
      <c r="A2547" s="841"/>
    </row>
    <row r="2548" spans="1:1" x14ac:dyDescent="0.25">
      <c r="A2548" s="841"/>
    </row>
    <row r="2549" spans="1:1" x14ac:dyDescent="0.25">
      <c r="A2549" s="841"/>
    </row>
    <row r="2550" spans="1:1" x14ac:dyDescent="0.25">
      <c r="A2550" s="841"/>
    </row>
    <row r="2551" spans="1:1" x14ac:dyDescent="0.25">
      <c r="A2551" s="841"/>
    </row>
    <row r="2552" spans="1:1" x14ac:dyDescent="0.25">
      <c r="A2552" s="841"/>
    </row>
    <row r="2553" spans="1:1" x14ac:dyDescent="0.25">
      <c r="A2553" s="841"/>
    </row>
    <row r="2554" spans="1:1" x14ac:dyDescent="0.25">
      <c r="A2554" s="841"/>
    </row>
    <row r="2555" spans="1:1" x14ac:dyDescent="0.25">
      <c r="A2555" s="841"/>
    </row>
    <row r="2556" spans="1:1" x14ac:dyDescent="0.25">
      <c r="A2556" s="841"/>
    </row>
    <row r="2557" spans="1:1" x14ac:dyDescent="0.25">
      <c r="A2557" s="841"/>
    </row>
    <row r="2558" spans="1:1" x14ac:dyDescent="0.25">
      <c r="A2558" s="841"/>
    </row>
    <row r="2559" spans="1:1" x14ac:dyDescent="0.25">
      <c r="A2559" s="841"/>
    </row>
    <row r="2560" spans="1:1" x14ac:dyDescent="0.25">
      <c r="A2560" s="841"/>
    </row>
    <row r="2561" spans="1:1" x14ac:dyDescent="0.25">
      <c r="A2561" s="841"/>
    </row>
    <row r="2562" spans="1:1" x14ac:dyDescent="0.25">
      <c r="A2562" s="841"/>
    </row>
    <row r="2563" spans="1:1" x14ac:dyDescent="0.25">
      <c r="A2563" s="841"/>
    </row>
    <row r="2564" spans="1:1" x14ac:dyDescent="0.25">
      <c r="A2564" s="841"/>
    </row>
    <row r="2565" spans="1:1" x14ac:dyDescent="0.25">
      <c r="A2565" s="841"/>
    </row>
    <row r="2566" spans="1:1" x14ac:dyDescent="0.25">
      <c r="A2566" s="841"/>
    </row>
    <row r="2567" spans="1:1" x14ac:dyDescent="0.25">
      <c r="A2567" s="841"/>
    </row>
    <row r="2568" spans="1:1" x14ac:dyDescent="0.25">
      <c r="A2568" s="841"/>
    </row>
    <row r="2569" spans="1:1" x14ac:dyDescent="0.25">
      <c r="A2569" s="841"/>
    </row>
    <row r="2570" spans="1:1" x14ac:dyDescent="0.25">
      <c r="A2570" s="841"/>
    </row>
    <row r="2571" spans="1:1" x14ac:dyDescent="0.25">
      <c r="A2571" s="841"/>
    </row>
    <row r="2572" spans="1:1" x14ac:dyDescent="0.25">
      <c r="A2572" s="841"/>
    </row>
    <row r="2573" spans="1:1" x14ac:dyDescent="0.25">
      <c r="A2573" s="841"/>
    </row>
    <row r="2574" spans="1:1" x14ac:dyDescent="0.25">
      <c r="A2574" s="841"/>
    </row>
    <row r="2575" spans="1:1" x14ac:dyDescent="0.25">
      <c r="A2575" s="841"/>
    </row>
    <row r="2576" spans="1:1" x14ac:dyDescent="0.25">
      <c r="A2576" s="841"/>
    </row>
    <row r="2577" spans="1:1" x14ac:dyDescent="0.25">
      <c r="A2577" s="841"/>
    </row>
    <row r="2578" spans="1:1" x14ac:dyDescent="0.25">
      <c r="A2578" s="841"/>
    </row>
    <row r="2579" spans="1:1" x14ac:dyDescent="0.25">
      <c r="A2579" s="841"/>
    </row>
    <row r="2580" spans="1:1" x14ac:dyDescent="0.25">
      <c r="A2580" s="841"/>
    </row>
    <row r="2581" spans="1:1" x14ac:dyDescent="0.25">
      <c r="A2581" s="841"/>
    </row>
    <row r="2582" spans="1:1" x14ac:dyDescent="0.25">
      <c r="A2582" s="841"/>
    </row>
    <row r="2583" spans="1:1" x14ac:dyDescent="0.25">
      <c r="A2583" s="841"/>
    </row>
    <row r="2584" spans="1:1" x14ac:dyDescent="0.25">
      <c r="A2584" s="841"/>
    </row>
    <row r="2585" spans="1:1" x14ac:dyDescent="0.25">
      <c r="A2585" s="841"/>
    </row>
    <row r="2586" spans="1:1" x14ac:dyDescent="0.25">
      <c r="A2586" s="841"/>
    </row>
    <row r="2587" spans="1:1" x14ac:dyDescent="0.25">
      <c r="A2587" s="841"/>
    </row>
    <row r="2588" spans="1:1" x14ac:dyDescent="0.25">
      <c r="A2588" s="841"/>
    </row>
    <row r="2589" spans="1:1" x14ac:dyDescent="0.25">
      <c r="A2589" s="841"/>
    </row>
    <row r="2590" spans="1:1" x14ac:dyDescent="0.25">
      <c r="A2590" s="841"/>
    </row>
    <row r="2591" spans="1:1" x14ac:dyDescent="0.25">
      <c r="A2591" s="841"/>
    </row>
    <row r="2592" spans="1:1" x14ac:dyDescent="0.25">
      <c r="A2592" s="841"/>
    </row>
    <row r="2593" spans="1:1" x14ac:dyDescent="0.25">
      <c r="A2593" s="841"/>
    </row>
    <row r="2594" spans="1:1" x14ac:dyDescent="0.25">
      <c r="A2594" s="841"/>
    </row>
    <row r="2595" spans="1:1" x14ac:dyDescent="0.25">
      <c r="A2595" s="841"/>
    </row>
    <row r="2596" spans="1:1" x14ac:dyDescent="0.25">
      <c r="A2596" s="841"/>
    </row>
    <row r="2597" spans="1:1" x14ac:dyDescent="0.25">
      <c r="A2597" s="841"/>
    </row>
    <row r="2598" spans="1:1" x14ac:dyDescent="0.25">
      <c r="A2598" s="841"/>
    </row>
    <row r="2599" spans="1:1" x14ac:dyDescent="0.25">
      <c r="A2599" s="841"/>
    </row>
    <row r="2600" spans="1:1" x14ac:dyDescent="0.25">
      <c r="A2600" s="841"/>
    </row>
    <row r="2601" spans="1:1" x14ac:dyDescent="0.25">
      <c r="A2601" s="841"/>
    </row>
    <row r="2602" spans="1:1" x14ac:dyDescent="0.25">
      <c r="A2602" s="841"/>
    </row>
    <row r="2603" spans="1:1" x14ac:dyDescent="0.25">
      <c r="A2603" s="841"/>
    </row>
    <row r="2604" spans="1:1" x14ac:dyDescent="0.25">
      <c r="A2604" s="841"/>
    </row>
    <row r="2605" spans="1:1" x14ac:dyDescent="0.25">
      <c r="A2605" s="841"/>
    </row>
    <row r="2606" spans="1:1" x14ac:dyDescent="0.25">
      <c r="A2606" s="841"/>
    </row>
    <row r="2607" spans="1:1" x14ac:dyDescent="0.25">
      <c r="A2607" s="841"/>
    </row>
    <row r="2608" spans="1:1" x14ac:dyDescent="0.25">
      <c r="A2608" s="841"/>
    </row>
    <row r="2609" spans="1:1" x14ac:dyDescent="0.25">
      <c r="A2609" s="841"/>
    </row>
    <row r="2610" spans="1:1" x14ac:dyDescent="0.25">
      <c r="A2610" s="841"/>
    </row>
    <row r="2611" spans="1:1" x14ac:dyDescent="0.25">
      <c r="A2611" s="841"/>
    </row>
    <row r="2612" spans="1:1" x14ac:dyDescent="0.25">
      <c r="A2612" s="841"/>
    </row>
    <row r="2613" spans="1:1" x14ac:dyDescent="0.25">
      <c r="A2613" s="841"/>
    </row>
    <row r="2614" spans="1:1" x14ac:dyDescent="0.25">
      <c r="A2614" s="841"/>
    </row>
    <row r="2615" spans="1:1" x14ac:dyDescent="0.25">
      <c r="A2615" s="841"/>
    </row>
    <row r="2616" spans="1:1" x14ac:dyDescent="0.25">
      <c r="A2616" s="841"/>
    </row>
    <row r="2617" spans="1:1" x14ac:dyDescent="0.25">
      <c r="A2617" s="841"/>
    </row>
    <row r="2618" spans="1:1" x14ac:dyDescent="0.25">
      <c r="A2618" s="841"/>
    </row>
    <row r="2619" spans="1:1" x14ac:dyDescent="0.25">
      <c r="A2619" s="841"/>
    </row>
    <row r="2620" spans="1:1" x14ac:dyDescent="0.25">
      <c r="A2620" s="841"/>
    </row>
    <row r="2621" spans="1:1" x14ac:dyDescent="0.25">
      <c r="A2621" s="841"/>
    </row>
    <row r="2622" spans="1:1" x14ac:dyDescent="0.25">
      <c r="A2622" s="841"/>
    </row>
    <row r="2623" spans="1:1" x14ac:dyDescent="0.25">
      <c r="A2623" s="841"/>
    </row>
    <row r="2624" spans="1:1" x14ac:dyDescent="0.25">
      <c r="A2624" s="841"/>
    </row>
    <row r="2625" spans="1:1" x14ac:dyDescent="0.25">
      <c r="A2625" s="841"/>
    </row>
    <row r="2626" spans="1:1" x14ac:dyDescent="0.25">
      <c r="A2626" s="841"/>
    </row>
    <row r="2627" spans="1:1" x14ac:dyDescent="0.25">
      <c r="A2627" s="841"/>
    </row>
    <row r="2628" spans="1:1" x14ac:dyDescent="0.25">
      <c r="A2628" s="841"/>
    </row>
    <row r="2629" spans="1:1" x14ac:dyDescent="0.25">
      <c r="A2629" s="841"/>
    </row>
    <row r="2630" spans="1:1" x14ac:dyDescent="0.25">
      <c r="A2630" s="841"/>
    </row>
    <row r="2631" spans="1:1" x14ac:dyDescent="0.25">
      <c r="A2631" s="841"/>
    </row>
    <row r="2632" spans="1:1" x14ac:dyDescent="0.25">
      <c r="A2632" s="841"/>
    </row>
    <row r="2633" spans="1:1" x14ac:dyDescent="0.25">
      <c r="A2633" s="841"/>
    </row>
    <row r="2634" spans="1:1" x14ac:dyDescent="0.25">
      <c r="A2634" s="841"/>
    </row>
    <row r="2635" spans="1:1" x14ac:dyDescent="0.25">
      <c r="A2635" s="841"/>
    </row>
    <row r="2636" spans="1:1" x14ac:dyDescent="0.25">
      <c r="A2636" s="841"/>
    </row>
    <row r="2637" spans="1:1" x14ac:dyDescent="0.25">
      <c r="A2637" s="841"/>
    </row>
    <row r="2638" spans="1:1" x14ac:dyDescent="0.25">
      <c r="A2638" s="841"/>
    </row>
    <row r="2639" spans="1:1" x14ac:dyDescent="0.25">
      <c r="A2639" s="841"/>
    </row>
    <row r="2640" spans="1:1" x14ac:dyDescent="0.25">
      <c r="A2640" s="841"/>
    </row>
    <row r="2641" spans="1:1" x14ac:dyDescent="0.25">
      <c r="A2641" s="841"/>
    </row>
    <row r="2642" spans="1:1" x14ac:dyDescent="0.25">
      <c r="A2642" s="841"/>
    </row>
    <row r="2643" spans="1:1" x14ac:dyDescent="0.25">
      <c r="A2643" s="841"/>
    </row>
    <row r="2644" spans="1:1" x14ac:dyDescent="0.25">
      <c r="A2644" s="841"/>
    </row>
    <row r="2645" spans="1:1" x14ac:dyDescent="0.25">
      <c r="A2645" s="841"/>
    </row>
    <row r="2646" spans="1:1" x14ac:dyDescent="0.25">
      <c r="A2646" s="841"/>
    </row>
    <row r="2647" spans="1:1" x14ac:dyDescent="0.25">
      <c r="A2647" s="841"/>
    </row>
    <row r="2648" spans="1:1" x14ac:dyDescent="0.25">
      <c r="A2648" s="841"/>
    </row>
    <row r="2649" spans="1:1" x14ac:dyDescent="0.25">
      <c r="A2649" s="841"/>
    </row>
    <row r="2650" spans="1:1" x14ac:dyDescent="0.25">
      <c r="A2650" s="841"/>
    </row>
    <row r="2651" spans="1:1" x14ac:dyDescent="0.25">
      <c r="A2651" s="841"/>
    </row>
    <row r="2652" spans="1:1" x14ac:dyDescent="0.25">
      <c r="A2652" s="841"/>
    </row>
    <row r="2653" spans="1:1" x14ac:dyDescent="0.25">
      <c r="A2653" s="841"/>
    </row>
    <row r="2654" spans="1:1" x14ac:dyDescent="0.25">
      <c r="A2654" s="841"/>
    </row>
    <row r="2655" spans="1:1" x14ac:dyDescent="0.25">
      <c r="A2655" s="841"/>
    </row>
    <row r="2656" spans="1:1" x14ac:dyDescent="0.25">
      <c r="A2656" s="841"/>
    </row>
    <row r="2657" spans="1:1" x14ac:dyDescent="0.25">
      <c r="A2657" s="841"/>
    </row>
    <row r="2658" spans="1:1" x14ac:dyDescent="0.25">
      <c r="A2658" s="841"/>
    </row>
    <row r="2659" spans="1:1" x14ac:dyDescent="0.25">
      <c r="A2659" s="841"/>
    </row>
    <row r="2660" spans="1:1" x14ac:dyDescent="0.25">
      <c r="A2660" s="841"/>
    </row>
    <row r="2661" spans="1:1" x14ac:dyDescent="0.25">
      <c r="A2661" s="841"/>
    </row>
    <row r="2662" spans="1:1" x14ac:dyDescent="0.25">
      <c r="A2662" s="841"/>
    </row>
    <row r="2663" spans="1:1" x14ac:dyDescent="0.25">
      <c r="A2663" s="841"/>
    </row>
    <row r="2664" spans="1:1" x14ac:dyDescent="0.25">
      <c r="A2664" s="841"/>
    </row>
    <row r="2665" spans="1:1" x14ac:dyDescent="0.25">
      <c r="A2665" s="841"/>
    </row>
    <row r="2666" spans="1:1" x14ac:dyDescent="0.25">
      <c r="A2666" s="841"/>
    </row>
    <row r="2667" spans="1:1" x14ac:dyDescent="0.25">
      <c r="A2667" s="841"/>
    </row>
    <row r="2668" spans="1:1" x14ac:dyDescent="0.25">
      <c r="A2668" s="841"/>
    </row>
    <row r="2669" spans="1:1" x14ac:dyDescent="0.25">
      <c r="A2669" s="841"/>
    </row>
    <row r="2670" spans="1:1" x14ac:dyDescent="0.25">
      <c r="A2670" s="841"/>
    </row>
    <row r="2671" spans="1:1" x14ac:dyDescent="0.25">
      <c r="A2671" s="841"/>
    </row>
    <row r="2672" spans="1:1" x14ac:dyDescent="0.25">
      <c r="A2672" s="841"/>
    </row>
    <row r="2673" spans="1:1" x14ac:dyDescent="0.25">
      <c r="A2673" s="841"/>
    </row>
    <row r="2674" spans="1:1" x14ac:dyDescent="0.25">
      <c r="A2674" s="841"/>
    </row>
    <row r="2675" spans="1:1" x14ac:dyDescent="0.25">
      <c r="A2675" s="841"/>
    </row>
    <row r="2676" spans="1:1" x14ac:dyDescent="0.25">
      <c r="A2676" s="841"/>
    </row>
    <row r="2677" spans="1:1" x14ac:dyDescent="0.25">
      <c r="A2677" s="841"/>
    </row>
    <row r="2678" spans="1:1" x14ac:dyDescent="0.25">
      <c r="A2678" s="841"/>
    </row>
    <row r="2679" spans="1:1" x14ac:dyDescent="0.25">
      <c r="A2679" s="841"/>
    </row>
    <row r="2680" spans="1:1" x14ac:dyDescent="0.25">
      <c r="A2680" s="841"/>
    </row>
    <row r="2681" spans="1:1" x14ac:dyDescent="0.25">
      <c r="A2681" s="841"/>
    </row>
    <row r="2682" spans="1:1" x14ac:dyDescent="0.25">
      <c r="A2682" s="841"/>
    </row>
    <row r="2683" spans="1:1" x14ac:dyDescent="0.25">
      <c r="A2683" s="841"/>
    </row>
    <row r="2684" spans="1:1" x14ac:dyDescent="0.25">
      <c r="A2684" s="841"/>
    </row>
    <row r="2685" spans="1:1" x14ac:dyDescent="0.25">
      <c r="A2685" s="841"/>
    </row>
    <row r="2686" spans="1:1" x14ac:dyDescent="0.25">
      <c r="A2686" s="841"/>
    </row>
    <row r="2687" spans="1:1" x14ac:dyDescent="0.25">
      <c r="A2687" s="841"/>
    </row>
    <row r="2688" spans="1:1" x14ac:dyDescent="0.25">
      <c r="A2688" s="841"/>
    </row>
    <row r="2689" spans="1:1" x14ac:dyDescent="0.25">
      <c r="A2689" s="841"/>
    </row>
    <row r="2690" spans="1:1" x14ac:dyDescent="0.25">
      <c r="A2690" s="841"/>
    </row>
    <row r="2691" spans="1:1" x14ac:dyDescent="0.25">
      <c r="A2691" s="841"/>
    </row>
    <row r="2692" spans="1:1" x14ac:dyDescent="0.25">
      <c r="A2692" s="841"/>
    </row>
    <row r="2693" spans="1:1" x14ac:dyDescent="0.25">
      <c r="A2693" s="841"/>
    </row>
    <row r="2694" spans="1:1" x14ac:dyDescent="0.25">
      <c r="A2694" s="841"/>
    </row>
    <row r="2695" spans="1:1" x14ac:dyDescent="0.25">
      <c r="A2695" s="841"/>
    </row>
    <row r="2696" spans="1:1" x14ac:dyDescent="0.25">
      <c r="A2696" s="841"/>
    </row>
    <row r="2697" spans="1:1" x14ac:dyDescent="0.25">
      <c r="A2697" s="841"/>
    </row>
    <row r="2698" spans="1:1" x14ac:dyDescent="0.25">
      <c r="A2698" s="841"/>
    </row>
    <row r="2699" spans="1:1" x14ac:dyDescent="0.25">
      <c r="A2699" s="841"/>
    </row>
    <row r="2700" spans="1:1" x14ac:dyDescent="0.25">
      <c r="A2700" s="841"/>
    </row>
    <row r="2701" spans="1:1" x14ac:dyDescent="0.25">
      <c r="A2701" s="841"/>
    </row>
    <row r="2702" spans="1:1" x14ac:dyDescent="0.25">
      <c r="A2702" s="841"/>
    </row>
    <row r="2703" spans="1:1" x14ac:dyDescent="0.25">
      <c r="A2703" s="841"/>
    </row>
    <row r="2704" spans="1:1" x14ac:dyDescent="0.25">
      <c r="A2704" s="841"/>
    </row>
    <row r="2705" spans="1:1" x14ac:dyDescent="0.25">
      <c r="A2705" s="841"/>
    </row>
    <row r="2706" spans="1:1" x14ac:dyDescent="0.25">
      <c r="A2706" s="841"/>
    </row>
    <row r="2707" spans="1:1" x14ac:dyDescent="0.25">
      <c r="A2707" s="841"/>
    </row>
    <row r="2708" spans="1:1" x14ac:dyDescent="0.25">
      <c r="A2708" s="841"/>
    </row>
    <row r="2709" spans="1:1" x14ac:dyDescent="0.25">
      <c r="A2709" s="841"/>
    </row>
    <row r="2710" spans="1:1" x14ac:dyDescent="0.25">
      <c r="A2710" s="841"/>
    </row>
    <row r="2711" spans="1:1" x14ac:dyDescent="0.25">
      <c r="A2711" s="841"/>
    </row>
    <row r="2712" spans="1:1" x14ac:dyDescent="0.25">
      <c r="A2712" s="841"/>
    </row>
    <row r="2713" spans="1:1" x14ac:dyDescent="0.25">
      <c r="A2713" s="841"/>
    </row>
    <row r="2714" spans="1:1" x14ac:dyDescent="0.25">
      <c r="A2714" s="841"/>
    </row>
    <row r="2715" spans="1:1" x14ac:dyDescent="0.25">
      <c r="A2715" s="841"/>
    </row>
    <row r="2716" spans="1:1" x14ac:dyDescent="0.25">
      <c r="A2716" s="841"/>
    </row>
    <row r="2717" spans="1:1" x14ac:dyDescent="0.25">
      <c r="A2717" s="841"/>
    </row>
    <row r="2718" spans="1:1" x14ac:dyDescent="0.25">
      <c r="A2718" s="841"/>
    </row>
    <row r="2719" spans="1:1" x14ac:dyDescent="0.25">
      <c r="A2719" s="841"/>
    </row>
    <row r="2720" spans="1:1" x14ac:dyDescent="0.25">
      <c r="A2720" s="841"/>
    </row>
    <row r="2721" spans="1:1" x14ac:dyDescent="0.25">
      <c r="A2721" s="841"/>
    </row>
    <row r="2722" spans="1:1" x14ac:dyDescent="0.25">
      <c r="A2722" s="841"/>
    </row>
    <row r="2723" spans="1:1" x14ac:dyDescent="0.25">
      <c r="A2723" s="841"/>
    </row>
    <row r="2724" spans="1:1" x14ac:dyDescent="0.25">
      <c r="A2724" s="841"/>
    </row>
    <row r="2725" spans="1:1" x14ac:dyDescent="0.25">
      <c r="A2725" s="841"/>
    </row>
    <row r="2726" spans="1:1" x14ac:dyDescent="0.25">
      <c r="A2726" s="841"/>
    </row>
    <row r="2727" spans="1:1" x14ac:dyDescent="0.25">
      <c r="A2727" s="841"/>
    </row>
    <row r="2728" spans="1:1" x14ac:dyDescent="0.25">
      <c r="A2728" s="841"/>
    </row>
    <row r="2729" spans="1:1" x14ac:dyDescent="0.25">
      <c r="A2729" s="841"/>
    </row>
    <row r="2730" spans="1:1" x14ac:dyDescent="0.25">
      <c r="A2730" s="841"/>
    </row>
    <row r="2731" spans="1:1" x14ac:dyDescent="0.25">
      <c r="A2731" s="841"/>
    </row>
    <row r="2732" spans="1:1" x14ac:dyDescent="0.25">
      <c r="A2732" s="841"/>
    </row>
    <row r="2733" spans="1:1" x14ac:dyDescent="0.25">
      <c r="A2733" s="841"/>
    </row>
    <row r="2734" spans="1:1" x14ac:dyDescent="0.25">
      <c r="A2734" s="841"/>
    </row>
    <row r="2735" spans="1:1" x14ac:dyDescent="0.25">
      <c r="A2735" s="841"/>
    </row>
    <row r="2736" spans="1:1" x14ac:dyDescent="0.25">
      <c r="A2736" s="841"/>
    </row>
    <row r="2737" spans="1:1" x14ac:dyDescent="0.25">
      <c r="A2737" s="841"/>
    </row>
    <row r="2738" spans="1:1" x14ac:dyDescent="0.25">
      <c r="A2738" s="841"/>
    </row>
    <row r="2739" spans="1:1" x14ac:dyDescent="0.25">
      <c r="A2739" s="841"/>
    </row>
    <row r="2740" spans="1:1" x14ac:dyDescent="0.25">
      <c r="A2740" s="841"/>
    </row>
    <row r="2741" spans="1:1" x14ac:dyDescent="0.25">
      <c r="A2741" s="841"/>
    </row>
    <row r="2742" spans="1:1" x14ac:dyDescent="0.25">
      <c r="A2742" s="841"/>
    </row>
    <row r="2743" spans="1:1" x14ac:dyDescent="0.25">
      <c r="A2743" s="841"/>
    </row>
    <row r="2744" spans="1:1" x14ac:dyDescent="0.25">
      <c r="A2744" s="841"/>
    </row>
    <row r="2745" spans="1:1" x14ac:dyDescent="0.25">
      <c r="A2745" s="841"/>
    </row>
    <row r="2746" spans="1:1" x14ac:dyDescent="0.25">
      <c r="A2746" s="841"/>
    </row>
    <row r="2747" spans="1:1" x14ac:dyDescent="0.25">
      <c r="A2747" s="841"/>
    </row>
    <row r="2748" spans="1:1" x14ac:dyDescent="0.25">
      <c r="A2748" s="841"/>
    </row>
    <row r="2749" spans="1:1" x14ac:dyDescent="0.25">
      <c r="A2749" s="841"/>
    </row>
    <row r="2750" spans="1:1" x14ac:dyDescent="0.25">
      <c r="A2750" s="841"/>
    </row>
    <row r="2751" spans="1:1" x14ac:dyDescent="0.25">
      <c r="A2751" s="841"/>
    </row>
    <row r="2752" spans="1:1" x14ac:dyDescent="0.25">
      <c r="A2752" s="841"/>
    </row>
    <row r="2753" spans="1:1" x14ac:dyDescent="0.25">
      <c r="A2753" s="841"/>
    </row>
    <row r="2754" spans="1:1" x14ac:dyDescent="0.25">
      <c r="A2754" s="841"/>
    </row>
    <row r="2755" spans="1:1" x14ac:dyDescent="0.25">
      <c r="A2755" s="841"/>
    </row>
    <row r="2756" spans="1:1" x14ac:dyDescent="0.25">
      <c r="A2756" s="841"/>
    </row>
    <row r="2757" spans="1:1" x14ac:dyDescent="0.25">
      <c r="A2757" s="841"/>
    </row>
    <row r="2758" spans="1:1" x14ac:dyDescent="0.25">
      <c r="A2758" s="841"/>
    </row>
    <row r="2759" spans="1:1" x14ac:dyDescent="0.25">
      <c r="A2759" s="841"/>
    </row>
    <row r="2760" spans="1:1" x14ac:dyDescent="0.25">
      <c r="A2760" s="841"/>
    </row>
    <row r="2761" spans="1:1" x14ac:dyDescent="0.25">
      <c r="A2761" s="841"/>
    </row>
    <row r="2762" spans="1:1" x14ac:dyDescent="0.25">
      <c r="A2762" s="841"/>
    </row>
    <row r="2763" spans="1:1" x14ac:dyDescent="0.25">
      <c r="A2763" s="841"/>
    </row>
    <row r="2764" spans="1:1" x14ac:dyDescent="0.25">
      <c r="A2764" s="841"/>
    </row>
    <row r="2765" spans="1:1" x14ac:dyDescent="0.25">
      <c r="A2765" s="841"/>
    </row>
    <row r="2766" spans="1:1" x14ac:dyDescent="0.25">
      <c r="A2766" s="841"/>
    </row>
    <row r="2767" spans="1:1" x14ac:dyDescent="0.25">
      <c r="A2767" s="841"/>
    </row>
    <row r="2768" spans="1:1" x14ac:dyDescent="0.25">
      <c r="A2768" s="841"/>
    </row>
    <row r="2769" spans="1:1" x14ac:dyDescent="0.25">
      <c r="A2769" s="841"/>
    </row>
    <row r="2770" spans="1:1" x14ac:dyDescent="0.25">
      <c r="A2770" s="841"/>
    </row>
    <row r="2771" spans="1:1" x14ac:dyDescent="0.25">
      <c r="A2771" s="841"/>
    </row>
    <row r="2772" spans="1:1" x14ac:dyDescent="0.25">
      <c r="A2772" s="841"/>
    </row>
    <row r="2773" spans="1:1" x14ac:dyDescent="0.25">
      <c r="A2773" s="841"/>
    </row>
    <row r="2774" spans="1:1" x14ac:dyDescent="0.25">
      <c r="A2774" s="841"/>
    </row>
    <row r="2775" spans="1:1" x14ac:dyDescent="0.25">
      <c r="A2775" s="841"/>
    </row>
    <row r="2776" spans="1:1" x14ac:dyDescent="0.25">
      <c r="A2776" s="841"/>
    </row>
    <row r="2777" spans="1:1" x14ac:dyDescent="0.25">
      <c r="A2777" s="841"/>
    </row>
    <row r="2778" spans="1:1" x14ac:dyDescent="0.25">
      <c r="A2778" s="841"/>
    </row>
    <row r="2779" spans="1:1" x14ac:dyDescent="0.25">
      <c r="A2779" s="841"/>
    </row>
    <row r="2780" spans="1:1" x14ac:dyDescent="0.25">
      <c r="A2780" s="841"/>
    </row>
    <row r="2781" spans="1:1" x14ac:dyDescent="0.25">
      <c r="A2781" s="841"/>
    </row>
    <row r="2782" spans="1:1" x14ac:dyDescent="0.25">
      <c r="A2782" s="841"/>
    </row>
    <row r="2783" spans="1:1" x14ac:dyDescent="0.25">
      <c r="A2783" s="841"/>
    </row>
    <row r="2784" spans="1:1" x14ac:dyDescent="0.25">
      <c r="A2784" s="841"/>
    </row>
    <row r="2785" spans="1:1" x14ac:dyDescent="0.25">
      <c r="A2785" s="841"/>
    </row>
    <row r="2786" spans="1:1" x14ac:dyDescent="0.25">
      <c r="A2786" s="841"/>
    </row>
    <row r="2787" spans="1:1" x14ac:dyDescent="0.25">
      <c r="A2787" s="841"/>
    </row>
    <row r="2788" spans="1:1" x14ac:dyDescent="0.25">
      <c r="A2788" s="841"/>
    </row>
    <row r="2789" spans="1:1" x14ac:dyDescent="0.25">
      <c r="A2789" s="841"/>
    </row>
    <row r="2790" spans="1:1" x14ac:dyDescent="0.25">
      <c r="A2790" s="841"/>
    </row>
    <row r="2791" spans="1:1" x14ac:dyDescent="0.25">
      <c r="A2791" s="841"/>
    </row>
    <row r="2792" spans="1:1" x14ac:dyDescent="0.25">
      <c r="A2792" s="841"/>
    </row>
    <row r="2793" spans="1:1" x14ac:dyDescent="0.25">
      <c r="A2793" s="841"/>
    </row>
    <row r="2794" spans="1:1" x14ac:dyDescent="0.25">
      <c r="A2794" s="841"/>
    </row>
    <row r="2795" spans="1:1" x14ac:dyDescent="0.25">
      <c r="A2795" s="841"/>
    </row>
    <row r="2796" spans="1:1" x14ac:dyDescent="0.25">
      <c r="A2796" s="841"/>
    </row>
    <row r="2797" spans="1:1" x14ac:dyDescent="0.25">
      <c r="A2797" s="841"/>
    </row>
    <row r="2798" spans="1:1" x14ac:dyDescent="0.25">
      <c r="A2798" s="841"/>
    </row>
    <row r="2799" spans="1:1" x14ac:dyDescent="0.25">
      <c r="A2799" s="841"/>
    </row>
    <row r="2800" spans="1:1" x14ac:dyDescent="0.25">
      <c r="A2800" s="841"/>
    </row>
    <row r="2801" spans="1:1" x14ac:dyDescent="0.25">
      <c r="A2801" s="841"/>
    </row>
    <row r="2802" spans="1:1" x14ac:dyDescent="0.25">
      <c r="A2802" s="841"/>
    </row>
    <row r="2803" spans="1:1" x14ac:dyDescent="0.25">
      <c r="A2803" s="841"/>
    </row>
    <row r="2804" spans="1:1" x14ac:dyDescent="0.25">
      <c r="A2804" s="841"/>
    </row>
    <row r="2805" spans="1:1" x14ac:dyDescent="0.25">
      <c r="A2805" s="841"/>
    </row>
    <row r="2806" spans="1:1" x14ac:dyDescent="0.25">
      <c r="A2806" s="841"/>
    </row>
    <row r="2807" spans="1:1" x14ac:dyDescent="0.25">
      <c r="A2807" s="841"/>
    </row>
    <row r="2808" spans="1:1" x14ac:dyDescent="0.25">
      <c r="A2808" s="841"/>
    </row>
    <row r="2809" spans="1:1" x14ac:dyDescent="0.25">
      <c r="A2809" s="841"/>
    </row>
    <row r="2810" spans="1:1" x14ac:dyDescent="0.25">
      <c r="A2810" s="841"/>
    </row>
    <row r="2811" spans="1:1" x14ac:dyDescent="0.25">
      <c r="A2811" s="841"/>
    </row>
    <row r="2812" spans="1:1" x14ac:dyDescent="0.25">
      <c r="A2812" s="841"/>
    </row>
    <row r="2813" spans="1:1" x14ac:dyDescent="0.25">
      <c r="A2813" s="841"/>
    </row>
    <row r="2814" spans="1:1" x14ac:dyDescent="0.25">
      <c r="A2814" s="841"/>
    </row>
    <row r="2815" spans="1:1" x14ac:dyDescent="0.25">
      <c r="A2815" s="841"/>
    </row>
    <row r="2816" spans="1:1" x14ac:dyDescent="0.25">
      <c r="A2816" s="841"/>
    </row>
    <row r="2817" spans="1:1" x14ac:dyDescent="0.25">
      <c r="A2817" s="841"/>
    </row>
    <row r="2818" spans="1:1" x14ac:dyDescent="0.25">
      <c r="A2818" s="841"/>
    </row>
    <row r="2819" spans="1:1" x14ac:dyDescent="0.25">
      <c r="A2819" s="841"/>
    </row>
    <row r="2820" spans="1:1" x14ac:dyDescent="0.25">
      <c r="A2820" s="841"/>
    </row>
    <row r="2821" spans="1:1" x14ac:dyDescent="0.25">
      <c r="A2821" s="841"/>
    </row>
    <row r="2822" spans="1:1" x14ac:dyDescent="0.25">
      <c r="A2822" s="841"/>
    </row>
    <row r="2823" spans="1:1" x14ac:dyDescent="0.25">
      <c r="A2823" s="841"/>
    </row>
    <row r="2824" spans="1:1" x14ac:dyDescent="0.25">
      <c r="A2824" s="841"/>
    </row>
    <row r="2825" spans="1:1" x14ac:dyDescent="0.25">
      <c r="A2825" s="841"/>
    </row>
    <row r="2826" spans="1:1" x14ac:dyDescent="0.25">
      <c r="A2826" s="841"/>
    </row>
    <row r="2827" spans="1:1" x14ac:dyDescent="0.25">
      <c r="A2827" s="841"/>
    </row>
    <row r="2828" spans="1:1" x14ac:dyDescent="0.25">
      <c r="A2828" s="841"/>
    </row>
    <row r="2829" spans="1:1" x14ac:dyDescent="0.25">
      <c r="A2829" s="841"/>
    </row>
    <row r="2830" spans="1:1" x14ac:dyDescent="0.25">
      <c r="A2830" s="841"/>
    </row>
    <row r="2831" spans="1:1" x14ac:dyDescent="0.25">
      <c r="A2831" s="841"/>
    </row>
    <row r="2832" spans="1:1" x14ac:dyDescent="0.25">
      <c r="A2832" s="841"/>
    </row>
    <row r="2833" spans="1:1" x14ac:dyDescent="0.25">
      <c r="A2833" s="841"/>
    </row>
    <row r="2834" spans="1:1" x14ac:dyDescent="0.25">
      <c r="A2834" s="841"/>
    </row>
    <row r="2835" spans="1:1" x14ac:dyDescent="0.25">
      <c r="A2835" s="841"/>
    </row>
    <row r="2836" spans="1:1" x14ac:dyDescent="0.25">
      <c r="A2836" s="841"/>
    </row>
    <row r="2837" spans="1:1" x14ac:dyDescent="0.25">
      <c r="A2837" s="841"/>
    </row>
    <row r="2838" spans="1:1" x14ac:dyDescent="0.25">
      <c r="A2838" s="841"/>
    </row>
    <row r="2839" spans="1:1" x14ac:dyDescent="0.25">
      <c r="A2839" s="841"/>
    </row>
    <row r="2840" spans="1:1" x14ac:dyDescent="0.25">
      <c r="A2840" s="841"/>
    </row>
    <row r="2841" spans="1:1" x14ac:dyDescent="0.25">
      <c r="A2841" s="841"/>
    </row>
    <row r="2842" spans="1:1" x14ac:dyDescent="0.25">
      <c r="A2842" s="841"/>
    </row>
    <row r="2843" spans="1:1" x14ac:dyDescent="0.25">
      <c r="A2843" s="841"/>
    </row>
    <row r="2844" spans="1:1" x14ac:dyDescent="0.25">
      <c r="A2844" s="841"/>
    </row>
    <row r="2845" spans="1:1" x14ac:dyDescent="0.25">
      <c r="A2845" s="841"/>
    </row>
    <row r="2846" spans="1:1" x14ac:dyDescent="0.25">
      <c r="A2846" s="841"/>
    </row>
    <row r="2847" spans="1:1" x14ac:dyDescent="0.25">
      <c r="A2847" s="841"/>
    </row>
    <row r="2848" spans="1:1" x14ac:dyDescent="0.25">
      <c r="A2848" s="841"/>
    </row>
    <row r="2849" spans="1:1" x14ac:dyDescent="0.25">
      <c r="A2849" s="841"/>
    </row>
    <row r="2850" spans="1:1" x14ac:dyDescent="0.25">
      <c r="A2850" s="841"/>
    </row>
    <row r="2851" spans="1:1" x14ac:dyDescent="0.25">
      <c r="A2851" s="841"/>
    </row>
    <row r="2852" spans="1:1" x14ac:dyDescent="0.25">
      <c r="A2852" s="841"/>
    </row>
    <row r="2853" spans="1:1" x14ac:dyDescent="0.25">
      <c r="A2853" s="841"/>
    </row>
    <row r="2854" spans="1:1" x14ac:dyDescent="0.25">
      <c r="A2854" s="841"/>
    </row>
    <row r="2855" spans="1:1" x14ac:dyDescent="0.25">
      <c r="A2855" s="841"/>
    </row>
    <row r="2856" spans="1:1" x14ac:dyDescent="0.25">
      <c r="A2856" s="841"/>
    </row>
    <row r="2857" spans="1:1" x14ac:dyDescent="0.25">
      <c r="A2857" s="841"/>
    </row>
    <row r="2858" spans="1:1" x14ac:dyDescent="0.25">
      <c r="A2858" s="841"/>
    </row>
    <row r="2859" spans="1:1" x14ac:dyDescent="0.25">
      <c r="A2859" s="841"/>
    </row>
    <row r="2860" spans="1:1" x14ac:dyDescent="0.25">
      <c r="A2860" s="841"/>
    </row>
    <row r="2861" spans="1:1" x14ac:dyDescent="0.25">
      <c r="A2861" s="841"/>
    </row>
    <row r="2862" spans="1:1" x14ac:dyDescent="0.25">
      <c r="A2862" s="841"/>
    </row>
    <row r="2863" spans="1:1" x14ac:dyDescent="0.25">
      <c r="A2863" s="841"/>
    </row>
    <row r="2864" spans="1:1" x14ac:dyDescent="0.25">
      <c r="A2864" s="841"/>
    </row>
    <row r="2865" spans="1:1" x14ac:dyDescent="0.25">
      <c r="A2865" s="841"/>
    </row>
    <row r="2866" spans="1:1" x14ac:dyDescent="0.25">
      <c r="A2866" s="841"/>
    </row>
    <row r="2867" spans="1:1" x14ac:dyDescent="0.25">
      <c r="A2867" s="841"/>
    </row>
    <row r="2868" spans="1:1" x14ac:dyDescent="0.25">
      <c r="A2868" s="841"/>
    </row>
    <row r="2869" spans="1:1" x14ac:dyDescent="0.25">
      <c r="A2869" s="841"/>
    </row>
    <row r="2870" spans="1:1" x14ac:dyDescent="0.25">
      <c r="A2870" s="841"/>
    </row>
    <row r="2871" spans="1:1" x14ac:dyDescent="0.25">
      <c r="A2871" s="841"/>
    </row>
    <row r="2872" spans="1:1" x14ac:dyDescent="0.25">
      <c r="A2872" s="841"/>
    </row>
    <row r="2873" spans="1:1" x14ac:dyDescent="0.25">
      <c r="A2873" s="841"/>
    </row>
    <row r="2874" spans="1:1" x14ac:dyDescent="0.25">
      <c r="A2874" s="841"/>
    </row>
    <row r="2875" spans="1:1" x14ac:dyDescent="0.25">
      <c r="A2875" s="841"/>
    </row>
    <row r="2876" spans="1:1" x14ac:dyDescent="0.25">
      <c r="A2876" s="841"/>
    </row>
    <row r="2877" spans="1:1" x14ac:dyDescent="0.25">
      <c r="A2877" s="841"/>
    </row>
    <row r="2878" spans="1:1" x14ac:dyDescent="0.25">
      <c r="A2878" s="841"/>
    </row>
    <row r="2879" spans="1:1" x14ac:dyDescent="0.25">
      <c r="A2879" s="841"/>
    </row>
    <row r="2880" spans="1:1" x14ac:dyDescent="0.25">
      <c r="A2880" s="841"/>
    </row>
    <row r="2881" spans="1:1" x14ac:dyDescent="0.25">
      <c r="A2881" s="841"/>
    </row>
    <row r="2882" spans="1:1" x14ac:dyDescent="0.25">
      <c r="A2882" s="841"/>
    </row>
    <row r="2883" spans="1:1" x14ac:dyDescent="0.25">
      <c r="A2883" s="841"/>
    </row>
    <row r="2884" spans="1:1" x14ac:dyDescent="0.25">
      <c r="A2884" s="841"/>
    </row>
    <row r="2885" spans="1:1" x14ac:dyDescent="0.25">
      <c r="A2885" s="841"/>
    </row>
    <row r="2886" spans="1:1" x14ac:dyDescent="0.25">
      <c r="A2886" s="841"/>
    </row>
    <row r="2887" spans="1:1" x14ac:dyDescent="0.25">
      <c r="A2887" s="841"/>
    </row>
    <row r="2888" spans="1:1" x14ac:dyDescent="0.25">
      <c r="A2888" s="841"/>
    </row>
    <row r="2889" spans="1:1" x14ac:dyDescent="0.25">
      <c r="A2889" s="841"/>
    </row>
    <row r="2890" spans="1:1" x14ac:dyDescent="0.25">
      <c r="A2890" s="841"/>
    </row>
    <row r="2891" spans="1:1" x14ac:dyDescent="0.25">
      <c r="A2891" s="841"/>
    </row>
    <row r="2892" spans="1:1" x14ac:dyDescent="0.25">
      <c r="A2892" s="841"/>
    </row>
    <row r="2893" spans="1:1" x14ac:dyDescent="0.25">
      <c r="A2893" s="841"/>
    </row>
    <row r="2894" spans="1:1" x14ac:dyDescent="0.25">
      <c r="A2894" s="841"/>
    </row>
    <row r="2895" spans="1:1" x14ac:dyDescent="0.25">
      <c r="A2895" s="841"/>
    </row>
    <row r="2896" spans="1:1" x14ac:dyDescent="0.25">
      <c r="A2896" s="841"/>
    </row>
    <row r="2897" spans="1:1" x14ac:dyDescent="0.25">
      <c r="A2897" s="841"/>
    </row>
    <row r="2898" spans="1:1" x14ac:dyDescent="0.25">
      <c r="A2898" s="841"/>
    </row>
    <row r="2899" spans="1:1" x14ac:dyDescent="0.25">
      <c r="A2899" s="841"/>
    </row>
    <row r="2900" spans="1:1" x14ac:dyDescent="0.25">
      <c r="A2900" s="841"/>
    </row>
    <row r="2901" spans="1:1" x14ac:dyDescent="0.25">
      <c r="A2901" s="841"/>
    </row>
    <row r="2902" spans="1:1" x14ac:dyDescent="0.25">
      <c r="A2902" s="841"/>
    </row>
    <row r="2903" spans="1:1" x14ac:dyDescent="0.25">
      <c r="A2903" s="841"/>
    </row>
    <row r="2904" spans="1:1" x14ac:dyDescent="0.25">
      <c r="A2904" s="841"/>
    </row>
    <row r="2905" spans="1:1" x14ac:dyDescent="0.25">
      <c r="A2905" s="841"/>
    </row>
    <row r="2906" spans="1:1" x14ac:dyDescent="0.25">
      <c r="A2906" s="841"/>
    </row>
    <row r="2907" spans="1:1" x14ac:dyDescent="0.25">
      <c r="A2907" s="841"/>
    </row>
    <row r="2908" spans="1:1" x14ac:dyDescent="0.25">
      <c r="A2908" s="841"/>
    </row>
    <row r="2909" spans="1:1" x14ac:dyDescent="0.25">
      <c r="A2909" s="841"/>
    </row>
    <row r="2910" spans="1:1" x14ac:dyDescent="0.25">
      <c r="A2910" s="841"/>
    </row>
    <row r="2911" spans="1:1" x14ac:dyDescent="0.25">
      <c r="A2911" s="841"/>
    </row>
    <row r="2912" spans="1:1" x14ac:dyDescent="0.25">
      <c r="A2912" s="841"/>
    </row>
    <row r="2913" spans="1:1" x14ac:dyDescent="0.25">
      <c r="A2913" s="841"/>
    </row>
    <row r="2914" spans="1:1" x14ac:dyDescent="0.25">
      <c r="A2914" s="841"/>
    </row>
    <row r="2915" spans="1:1" x14ac:dyDescent="0.25">
      <c r="A2915" s="841"/>
    </row>
    <row r="2916" spans="1:1" x14ac:dyDescent="0.25">
      <c r="A2916" s="841"/>
    </row>
    <row r="2917" spans="1:1" x14ac:dyDescent="0.25">
      <c r="A2917" s="841"/>
    </row>
    <row r="2918" spans="1:1" x14ac:dyDescent="0.25">
      <c r="A2918" s="841"/>
    </row>
    <row r="2919" spans="1:1" x14ac:dyDescent="0.25">
      <c r="A2919" s="841"/>
    </row>
    <row r="2920" spans="1:1" x14ac:dyDescent="0.25">
      <c r="A2920" s="841"/>
    </row>
    <row r="2921" spans="1:1" x14ac:dyDescent="0.25">
      <c r="A2921" s="841"/>
    </row>
    <row r="2922" spans="1:1" x14ac:dyDescent="0.25">
      <c r="A2922" s="841"/>
    </row>
    <row r="2923" spans="1:1" x14ac:dyDescent="0.25">
      <c r="A2923" s="841"/>
    </row>
    <row r="2924" spans="1:1" x14ac:dyDescent="0.25">
      <c r="A2924" s="841"/>
    </row>
    <row r="2925" spans="1:1" x14ac:dyDescent="0.25">
      <c r="A2925" s="841"/>
    </row>
    <row r="2926" spans="1:1" x14ac:dyDescent="0.25">
      <c r="A2926" s="841"/>
    </row>
    <row r="2927" spans="1:1" x14ac:dyDescent="0.25">
      <c r="A2927" s="841"/>
    </row>
    <row r="2928" spans="1:1" x14ac:dyDescent="0.25">
      <c r="A2928" s="841"/>
    </row>
    <row r="2929" spans="1:1" x14ac:dyDescent="0.25">
      <c r="A2929" s="841"/>
    </row>
    <row r="2930" spans="1:1" x14ac:dyDescent="0.25">
      <c r="A2930" s="841"/>
    </row>
    <row r="2931" spans="1:1" x14ac:dyDescent="0.25">
      <c r="A2931" s="841"/>
    </row>
    <row r="2932" spans="1:1" x14ac:dyDescent="0.25">
      <c r="A2932" s="841"/>
    </row>
    <row r="2933" spans="1:1" x14ac:dyDescent="0.25">
      <c r="A2933" s="841"/>
    </row>
    <row r="2934" spans="1:1" x14ac:dyDescent="0.25">
      <c r="A2934" s="841"/>
    </row>
    <row r="2935" spans="1:1" x14ac:dyDescent="0.25">
      <c r="A2935" s="841"/>
    </row>
    <row r="2936" spans="1:1" x14ac:dyDescent="0.25">
      <c r="A2936" s="841"/>
    </row>
    <row r="2937" spans="1:1" x14ac:dyDescent="0.25">
      <c r="A2937" s="841"/>
    </row>
    <row r="2938" spans="1:1" x14ac:dyDescent="0.25">
      <c r="A2938" s="841"/>
    </row>
    <row r="2939" spans="1:1" x14ac:dyDescent="0.25">
      <c r="A2939" s="841"/>
    </row>
    <row r="2940" spans="1:1" x14ac:dyDescent="0.25">
      <c r="A2940" s="841"/>
    </row>
    <row r="2941" spans="1:1" x14ac:dyDescent="0.25">
      <c r="A2941" s="841"/>
    </row>
    <row r="2942" spans="1:1" x14ac:dyDescent="0.25">
      <c r="A2942" s="841"/>
    </row>
    <row r="2943" spans="1:1" x14ac:dyDescent="0.25">
      <c r="A2943" s="841"/>
    </row>
    <row r="2944" spans="1:1" x14ac:dyDescent="0.25">
      <c r="A2944" s="841"/>
    </row>
    <row r="2945" spans="1:1" x14ac:dyDescent="0.25">
      <c r="A2945" s="841"/>
    </row>
    <row r="2946" spans="1:1" x14ac:dyDescent="0.25">
      <c r="A2946" s="841"/>
    </row>
    <row r="2947" spans="1:1" x14ac:dyDescent="0.25">
      <c r="A2947" s="841"/>
    </row>
    <row r="2948" spans="1:1" x14ac:dyDescent="0.25">
      <c r="A2948" s="841"/>
    </row>
    <row r="2949" spans="1:1" x14ac:dyDescent="0.25">
      <c r="A2949" s="841"/>
    </row>
    <row r="2950" spans="1:1" x14ac:dyDescent="0.25">
      <c r="A2950" s="841"/>
    </row>
    <row r="2951" spans="1:1" x14ac:dyDescent="0.25">
      <c r="A2951" s="841"/>
    </row>
    <row r="2952" spans="1:1" x14ac:dyDescent="0.25">
      <c r="A2952" s="841"/>
    </row>
    <row r="2953" spans="1:1" x14ac:dyDescent="0.25">
      <c r="A2953" s="841"/>
    </row>
    <row r="2954" spans="1:1" x14ac:dyDescent="0.25">
      <c r="A2954" s="841"/>
    </row>
    <row r="2955" spans="1:1" x14ac:dyDescent="0.25">
      <c r="A2955" s="841"/>
    </row>
    <row r="2956" spans="1:1" x14ac:dyDescent="0.25">
      <c r="A2956" s="841"/>
    </row>
    <row r="2957" spans="1:1" x14ac:dyDescent="0.25">
      <c r="A2957" s="841"/>
    </row>
    <row r="2958" spans="1:1" x14ac:dyDescent="0.25">
      <c r="A2958" s="841"/>
    </row>
    <row r="2959" spans="1:1" x14ac:dyDescent="0.25">
      <c r="A2959" s="841"/>
    </row>
    <row r="2960" spans="1:1" x14ac:dyDescent="0.25">
      <c r="A2960" s="841"/>
    </row>
    <row r="2961" spans="1:1" x14ac:dyDescent="0.25">
      <c r="A2961" s="841"/>
    </row>
    <row r="2962" spans="1:1" x14ac:dyDescent="0.25">
      <c r="A2962" s="841"/>
    </row>
    <row r="2963" spans="1:1" x14ac:dyDescent="0.25">
      <c r="A2963" s="841"/>
    </row>
    <row r="2964" spans="1:1" x14ac:dyDescent="0.25">
      <c r="A2964" s="841"/>
    </row>
    <row r="2965" spans="1:1" x14ac:dyDescent="0.25">
      <c r="A2965" s="841"/>
    </row>
    <row r="2966" spans="1:1" x14ac:dyDescent="0.25">
      <c r="A2966" s="841"/>
    </row>
    <row r="2967" spans="1:1" x14ac:dyDescent="0.25">
      <c r="A2967" s="841"/>
    </row>
    <row r="2968" spans="1:1" x14ac:dyDescent="0.25">
      <c r="A2968" s="841"/>
    </row>
    <row r="2969" spans="1:1" x14ac:dyDescent="0.25">
      <c r="A2969" s="841"/>
    </row>
    <row r="2970" spans="1:1" x14ac:dyDescent="0.25">
      <c r="A2970" s="841"/>
    </row>
    <row r="2971" spans="1:1" x14ac:dyDescent="0.25">
      <c r="A2971" s="841"/>
    </row>
    <row r="2972" spans="1:1" x14ac:dyDescent="0.25">
      <c r="A2972" s="841"/>
    </row>
    <row r="2973" spans="1:1" x14ac:dyDescent="0.25">
      <c r="A2973" s="841"/>
    </row>
    <row r="2974" spans="1:1" x14ac:dyDescent="0.25">
      <c r="A2974" s="841"/>
    </row>
    <row r="2975" spans="1:1" x14ac:dyDescent="0.25">
      <c r="A2975" s="841"/>
    </row>
    <row r="2976" spans="1:1" x14ac:dyDescent="0.25">
      <c r="A2976" s="841"/>
    </row>
    <row r="2977" spans="1:1" x14ac:dyDescent="0.25">
      <c r="A2977" s="841"/>
    </row>
    <row r="2978" spans="1:1" x14ac:dyDescent="0.25">
      <c r="A2978" s="841"/>
    </row>
    <row r="2979" spans="1:1" x14ac:dyDescent="0.25">
      <c r="A2979" s="841"/>
    </row>
    <row r="2980" spans="1:1" x14ac:dyDescent="0.25">
      <c r="A2980" s="841"/>
    </row>
    <row r="2981" spans="1:1" x14ac:dyDescent="0.25">
      <c r="A2981" s="841"/>
    </row>
    <row r="2982" spans="1:1" x14ac:dyDescent="0.25">
      <c r="A2982" s="841"/>
    </row>
    <row r="2983" spans="1:1" x14ac:dyDescent="0.25">
      <c r="A2983" s="841"/>
    </row>
    <row r="2984" spans="1:1" x14ac:dyDescent="0.25">
      <c r="A2984" s="841"/>
    </row>
    <row r="2985" spans="1:1" x14ac:dyDescent="0.25">
      <c r="A2985" s="841"/>
    </row>
    <row r="2986" spans="1:1" x14ac:dyDescent="0.25">
      <c r="A2986" s="841"/>
    </row>
    <row r="2987" spans="1:1" x14ac:dyDescent="0.25">
      <c r="A2987" s="841"/>
    </row>
    <row r="2988" spans="1:1" x14ac:dyDescent="0.25">
      <c r="A2988" s="841"/>
    </row>
    <row r="2989" spans="1:1" x14ac:dyDescent="0.25">
      <c r="A2989" s="841"/>
    </row>
    <row r="2990" spans="1:1" x14ac:dyDescent="0.25">
      <c r="A2990" s="841"/>
    </row>
    <row r="2991" spans="1:1" x14ac:dyDescent="0.25">
      <c r="A2991" s="841"/>
    </row>
    <row r="2992" spans="1:1" x14ac:dyDescent="0.25">
      <c r="A2992" s="841"/>
    </row>
    <row r="2993" spans="1:1" x14ac:dyDescent="0.25">
      <c r="A2993" s="841"/>
    </row>
    <row r="2994" spans="1:1" x14ac:dyDescent="0.25">
      <c r="A2994" s="841"/>
    </row>
    <row r="2995" spans="1:1" x14ac:dyDescent="0.25">
      <c r="A2995" s="841"/>
    </row>
    <row r="2996" spans="1:1" x14ac:dyDescent="0.25">
      <c r="A2996" s="841"/>
    </row>
    <row r="2997" spans="1:1" x14ac:dyDescent="0.25">
      <c r="A2997" s="841"/>
    </row>
    <row r="2998" spans="1:1" x14ac:dyDescent="0.25">
      <c r="A2998" s="841"/>
    </row>
    <row r="2999" spans="1:1" x14ac:dyDescent="0.25">
      <c r="A2999" s="841"/>
    </row>
    <row r="3000" spans="1:1" x14ac:dyDescent="0.25">
      <c r="A3000" s="841"/>
    </row>
    <row r="3001" spans="1:1" x14ac:dyDescent="0.25">
      <c r="A3001" s="841"/>
    </row>
    <row r="3002" spans="1:1" x14ac:dyDescent="0.25">
      <c r="A3002" s="841"/>
    </row>
    <row r="3003" spans="1:1" x14ac:dyDescent="0.25">
      <c r="A3003" s="841"/>
    </row>
    <row r="3004" spans="1:1" x14ac:dyDescent="0.25">
      <c r="A3004" s="841"/>
    </row>
    <row r="3005" spans="1:1" x14ac:dyDescent="0.25">
      <c r="A3005" s="841"/>
    </row>
    <row r="3006" spans="1:1" x14ac:dyDescent="0.25">
      <c r="A3006" s="841"/>
    </row>
    <row r="3007" spans="1:1" x14ac:dyDescent="0.25">
      <c r="A3007" s="841"/>
    </row>
    <row r="3008" spans="1:1" x14ac:dyDescent="0.25">
      <c r="A3008" s="841"/>
    </row>
    <row r="3009" spans="1:1" x14ac:dyDescent="0.25">
      <c r="A3009" s="841"/>
    </row>
    <row r="3010" spans="1:1" x14ac:dyDescent="0.25">
      <c r="A3010" s="841"/>
    </row>
    <row r="3011" spans="1:1" x14ac:dyDescent="0.25">
      <c r="A3011" s="841"/>
    </row>
    <row r="3012" spans="1:1" x14ac:dyDescent="0.25">
      <c r="A3012" s="841"/>
    </row>
    <row r="3013" spans="1:1" x14ac:dyDescent="0.25">
      <c r="A3013" s="841"/>
    </row>
    <row r="3014" spans="1:1" x14ac:dyDescent="0.25">
      <c r="A3014" s="841"/>
    </row>
    <row r="3015" spans="1:1" x14ac:dyDescent="0.25">
      <c r="A3015" s="841"/>
    </row>
    <row r="3016" spans="1:1" x14ac:dyDescent="0.25">
      <c r="A3016" s="841"/>
    </row>
    <row r="3017" spans="1:1" x14ac:dyDescent="0.25">
      <c r="A3017" s="841"/>
    </row>
    <row r="3018" spans="1:1" x14ac:dyDescent="0.25">
      <c r="A3018" s="841"/>
    </row>
    <row r="3019" spans="1:1" x14ac:dyDescent="0.25">
      <c r="A3019" s="841"/>
    </row>
    <row r="3020" spans="1:1" x14ac:dyDescent="0.25">
      <c r="A3020" s="841"/>
    </row>
    <row r="3021" spans="1:1" x14ac:dyDescent="0.25">
      <c r="A3021" s="841"/>
    </row>
    <row r="3022" spans="1:1" x14ac:dyDescent="0.25">
      <c r="A3022" s="841"/>
    </row>
    <row r="3023" spans="1:1" x14ac:dyDescent="0.25">
      <c r="A3023" s="841"/>
    </row>
    <row r="3024" spans="1:1" x14ac:dyDescent="0.25">
      <c r="A3024" s="841"/>
    </row>
    <row r="3025" spans="1:1" x14ac:dyDescent="0.25">
      <c r="A3025" s="841"/>
    </row>
    <row r="3026" spans="1:1" x14ac:dyDescent="0.25">
      <c r="A3026" s="841"/>
    </row>
    <row r="3027" spans="1:1" x14ac:dyDescent="0.25">
      <c r="A3027" s="841"/>
    </row>
    <row r="3028" spans="1:1" x14ac:dyDescent="0.25">
      <c r="A3028" s="841"/>
    </row>
    <row r="3029" spans="1:1" x14ac:dyDescent="0.25">
      <c r="A3029" s="841"/>
    </row>
    <row r="3030" spans="1:1" x14ac:dyDescent="0.25">
      <c r="A3030" s="841"/>
    </row>
    <row r="3031" spans="1:1" x14ac:dyDescent="0.25">
      <c r="A3031" s="841"/>
    </row>
    <row r="3032" spans="1:1" x14ac:dyDescent="0.25">
      <c r="A3032" s="841"/>
    </row>
    <row r="3033" spans="1:1" x14ac:dyDescent="0.25">
      <c r="A3033" s="841"/>
    </row>
    <row r="3034" spans="1:1" x14ac:dyDescent="0.25">
      <c r="A3034" s="841"/>
    </row>
    <row r="3035" spans="1:1" x14ac:dyDescent="0.25">
      <c r="A3035" s="841"/>
    </row>
    <row r="3036" spans="1:1" x14ac:dyDescent="0.25">
      <c r="A3036" s="841"/>
    </row>
    <row r="3037" spans="1:1" x14ac:dyDescent="0.25">
      <c r="A3037" s="841"/>
    </row>
    <row r="3038" spans="1:1" x14ac:dyDescent="0.25">
      <c r="A3038" s="841"/>
    </row>
    <row r="3039" spans="1:1" x14ac:dyDescent="0.25">
      <c r="A3039" s="841"/>
    </row>
    <row r="3040" spans="1:1" x14ac:dyDescent="0.25">
      <c r="A3040" s="841"/>
    </row>
    <row r="3041" spans="1:1" x14ac:dyDescent="0.25">
      <c r="A3041" s="841"/>
    </row>
    <row r="3042" spans="1:1" x14ac:dyDescent="0.25">
      <c r="A3042" s="841"/>
    </row>
    <row r="3043" spans="1:1" x14ac:dyDescent="0.25">
      <c r="A3043" s="841"/>
    </row>
    <row r="3044" spans="1:1" x14ac:dyDescent="0.25">
      <c r="A3044" s="841"/>
    </row>
    <row r="3045" spans="1:1" x14ac:dyDescent="0.25">
      <c r="A3045" s="841"/>
    </row>
    <row r="3046" spans="1:1" x14ac:dyDescent="0.25">
      <c r="A3046" s="841"/>
    </row>
    <row r="3047" spans="1:1" x14ac:dyDescent="0.25">
      <c r="A3047" s="841"/>
    </row>
    <row r="3048" spans="1:1" x14ac:dyDescent="0.25">
      <c r="A3048" s="841"/>
    </row>
    <row r="3049" spans="1:1" x14ac:dyDescent="0.25">
      <c r="A3049" s="841"/>
    </row>
    <row r="3050" spans="1:1" x14ac:dyDescent="0.25">
      <c r="A3050" s="841"/>
    </row>
    <row r="3051" spans="1:1" x14ac:dyDescent="0.25">
      <c r="A3051" s="841"/>
    </row>
    <row r="3052" spans="1:1" x14ac:dyDescent="0.25">
      <c r="A3052" s="841"/>
    </row>
    <row r="3053" spans="1:1" x14ac:dyDescent="0.25">
      <c r="A3053" s="841"/>
    </row>
    <row r="3054" spans="1:1" x14ac:dyDescent="0.25">
      <c r="A3054" s="841"/>
    </row>
    <row r="3055" spans="1:1" x14ac:dyDescent="0.25">
      <c r="A3055" s="841"/>
    </row>
    <row r="3056" spans="1:1" x14ac:dyDescent="0.25">
      <c r="A3056" s="841"/>
    </row>
    <row r="3057" spans="1:1" x14ac:dyDescent="0.25">
      <c r="A3057" s="841"/>
    </row>
    <row r="3058" spans="1:1" x14ac:dyDescent="0.25">
      <c r="A3058" s="841"/>
    </row>
    <row r="3059" spans="1:1" x14ac:dyDescent="0.25">
      <c r="A3059" s="841"/>
    </row>
    <row r="3060" spans="1:1" x14ac:dyDescent="0.25">
      <c r="A3060" s="841"/>
    </row>
    <row r="3061" spans="1:1" x14ac:dyDescent="0.25">
      <c r="A3061" s="841"/>
    </row>
    <row r="3062" spans="1:1" x14ac:dyDescent="0.25">
      <c r="A3062" s="841"/>
    </row>
    <row r="3063" spans="1:1" x14ac:dyDescent="0.25">
      <c r="A3063" s="841"/>
    </row>
    <row r="3064" spans="1:1" x14ac:dyDescent="0.25">
      <c r="A3064" s="841"/>
    </row>
    <row r="3065" spans="1:1" x14ac:dyDescent="0.25">
      <c r="A3065" s="841"/>
    </row>
    <row r="3066" spans="1:1" x14ac:dyDescent="0.25">
      <c r="A3066" s="841"/>
    </row>
    <row r="3067" spans="1:1" x14ac:dyDescent="0.25">
      <c r="A3067" s="841"/>
    </row>
    <row r="3068" spans="1:1" x14ac:dyDescent="0.25">
      <c r="A3068" s="841"/>
    </row>
    <row r="3069" spans="1:1" x14ac:dyDescent="0.25">
      <c r="A3069" s="841"/>
    </row>
    <row r="3070" spans="1:1" x14ac:dyDescent="0.25">
      <c r="A3070" s="841"/>
    </row>
    <row r="3071" spans="1:1" x14ac:dyDescent="0.25">
      <c r="A3071" s="841"/>
    </row>
    <row r="3072" spans="1:1" x14ac:dyDescent="0.25">
      <c r="A3072" s="841"/>
    </row>
    <row r="3073" spans="1:1" x14ac:dyDescent="0.25">
      <c r="A3073" s="841"/>
    </row>
    <row r="3074" spans="1:1" x14ac:dyDescent="0.25">
      <c r="A3074" s="841"/>
    </row>
    <row r="3075" spans="1:1" x14ac:dyDescent="0.25">
      <c r="A3075" s="841"/>
    </row>
    <row r="3076" spans="1:1" x14ac:dyDescent="0.25">
      <c r="A3076" s="841"/>
    </row>
    <row r="3077" spans="1:1" x14ac:dyDescent="0.25">
      <c r="A3077" s="841"/>
    </row>
    <row r="3078" spans="1:1" x14ac:dyDescent="0.25">
      <c r="A3078" s="841"/>
    </row>
    <row r="3079" spans="1:1" x14ac:dyDescent="0.25">
      <c r="A3079" s="841"/>
    </row>
    <row r="3080" spans="1:1" x14ac:dyDescent="0.25">
      <c r="A3080" s="841"/>
    </row>
    <row r="3081" spans="1:1" x14ac:dyDescent="0.25">
      <c r="A3081" s="841"/>
    </row>
    <row r="3082" spans="1:1" x14ac:dyDescent="0.25">
      <c r="A3082" s="841"/>
    </row>
    <row r="3083" spans="1:1" x14ac:dyDescent="0.25">
      <c r="A3083" s="841"/>
    </row>
    <row r="3084" spans="1:1" x14ac:dyDescent="0.25">
      <c r="A3084" s="841"/>
    </row>
    <row r="3085" spans="1:1" x14ac:dyDescent="0.25">
      <c r="A3085" s="841"/>
    </row>
    <row r="3086" spans="1:1" x14ac:dyDescent="0.25">
      <c r="A3086" s="841"/>
    </row>
    <row r="3087" spans="1:1" x14ac:dyDescent="0.25">
      <c r="A3087" s="841"/>
    </row>
    <row r="3088" spans="1:1" x14ac:dyDescent="0.25">
      <c r="A3088" s="841"/>
    </row>
    <row r="3089" spans="1:1" x14ac:dyDescent="0.25">
      <c r="A3089" s="841"/>
    </row>
    <row r="3090" spans="1:1" x14ac:dyDescent="0.25">
      <c r="A3090" s="841"/>
    </row>
    <row r="3091" spans="1:1" x14ac:dyDescent="0.25">
      <c r="A3091" s="841"/>
    </row>
    <row r="3092" spans="1:1" x14ac:dyDescent="0.25">
      <c r="A3092" s="841"/>
    </row>
    <row r="3093" spans="1:1" x14ac:dyDescent="0.25">
      <c r="A3093" s="841"/>
    </row>
    <row r="3094" spans="1:1" x14ac:dyDescent="0.25">
      <c r="A3094" s="841"/>
    </row>
    <row r="3095" spans="1:1" x14ac:dyDescent="0.25">
      <c r="A3095" s="841"/>
    </row>
    <row r="3096" spans="1:1" x14ac:dyDescent="0.25">
      <c r="A3096" s="841"/>
    </row>
    <row r="3097" spans="1:1" x14ac:dyDescent="0.25">
      <c r="A3097" s="841"/>
    </row>
    <row r="3098" spans="1:1" x14ac:dyDescent="0.25">
      <c r="A3098" s="841"/>
    </row>
    <row r="3099" spans="1:1" x14ac:dyDescent="0.25">
      <c r="A3099" s="841"/>
    </row>
    <row r="3100" spans="1:1" x14ac:dyDescent="0.25">
      <c r="A3100" s="841"/>
    </row>
    <row r="3101" spans="1:1" x14ac:dyDescent="0.25">
      <c r="A3101" s="841"/>
    </row>
    <row r="3102" spans="1:1" x14ac:dyDescent="0.25">
      <c r="A3102" s="841"/>
    </row>
    <row r="3103" spans="1:1" x14ac:dyDescent="0.25">
      <c r="A3103" s="841"/>
    </row>
    <row r="3104" spans="1:1" x14ac:dyDescent="0.25">
      <c r="A3104" s="841"/>
    </row>
    <row r="3105" spans="1:1" x14ac:dyDescent="0.25">
      <c r="A3105" s="841"/>
    </row>
    <row r="3106" spans="1:1" x14ac:dyDescent="0.25">
      <c r="A3106" s="841"/>
    </row>
    <row r="3107" spans="1:1" x14ac:dyDescent="0.25">
      <c r="A3107" s="841"/>
    </row>
    <row r="3108" spans="1:1" x14ac:dyDescent="0.25">
      <c r="A3108" s="841"/>
    </row>
    <row r="3109" spans="1:1" x14ac:dyDescent="0.25">
      <c r="A3109" s="841"/>
    </row>
    <row r="3110" spans="1:1" x14ac:dyDescent="0.25">
      <c r="A3110" s="841"/>
    </row>
    <row r="3111" spans="1:1" x14ac:dyDescent="0.25">
      <c r="A3111" s="841"/>
    </row>
    <row r="3112" spans="1:1" x14ac:dyDescent="0.25">
      <c r="A3112" s="841"/>
    </row>
    <row r="3113" spans="1:1" x14ac:dyDescent="0.25">
      <c r="A3113" s="841"/>
    </row>
    <row r="3114" spans="1:1" x14ac:dyDescent="0.25">
      <c r="A3114" s="841"/>
    </row>
    <row r="3115" spans="1:1" x14ac:dyDescent="0.25">
      <c r="A3115" s="841"/>
    </row>
    <row r="3116" spans="1:1" x14ac:dyDescent="0.25">
      <c r="A3116" s="841"/>
    </row>
    <row r="3117" spans="1:1" x14ac:dyDescent="0.25">
      <c r="A3117" s="841"/>
    </row>
    <row r="3118" spans="1:1" x14ac:dyDescent="0.25">
      <c r="A3118" s="841"/>
    </row>
    <row r="3119" spans="1:1" x14ac:dyDescent="0.25">
      <c r="A3119" s="841"/>
    </row>
    <row r="3120" spans="1:1" x14ac:dyDescent="0.25">
      <c r="A3120" s="841"/>
    </row>
    <row r="3121" spans="1:1" x14ac:dyDescent="0.25">
      <c r="A3121" s="841"/>
    </row>
    <row r="3122" spans="1:1" x14ac:dyDescent="0.25">
      <c r="A3122" s="841"/>
    </row>
    <row r="3123" spans="1:1" x14ac:dyDescent="0.25">
      <c r="A3123" s="841"/>
    </row>
    <row r="3124" spans="1:1" x14ac:dyDescent="0.25">
      <c r="A3124" s="841"/>
    </row>
    <row r="3125" spans="1:1" x14ac:dyDescent="0.25">
      <c r="A3125" s="841"/>
    </row>
    <row r="3126" spans="1:1" x14ac:dyDescent="0.25">
      <c r="A3126" s="841"/>
    </row>
    <row r="3127" spans="1:1" x14ac:dyDescent="0.25">
      <c r="A3127" s="841"/>
    </row>
    <row r="3128" spans="1:1" x14ac:dyDescent="0.25">
      <c r="A3128" s="841"/>
    </row>
    <row r="3129" spans="1:1" x14ac:dyDescent="0.25">
      <c r="A3129" s="841"/>
    </row>
    <row r="3130" spans="1:1" x14ac:dyDescent="0.25">
      <c r="A3130" s="841"/>
    </row>
    <row r="3131" spans="1:1" x14ac:dyDescent="0.25">
      <c r="A3131" s="841"/>
    </row>
    <row r="3132" spans="1:1" x14ac:dyDescent="0.25">
      <c r="A3132" s="841"/>
    </row>
    <row r="3133" spans="1:1" x14ac:dyDescent="0.25">
      <c r="A3133" s="841"/>
    </row>
    <row r="3134" spans="1:1" x14ac:dyDescent="0.25">
      <c r="A3134" s="841"/>
    </row>
    <row r="3135" spans="1:1" x14ac:dyDescent="0.25">
      <c r="A3135" s="841"/>
    </row>
    <row r="3136" spans="1:1" x14ac:dyDescent="0.25">
      <c r="A3136" s="841"/>
    </row>
    <row r="3137" spans="1:1" x14ac:dyDescent="0.25">
      <c r="A3137" s="841"/>
    </row>
    <row r="3138" spans="1:1" x14ac:dyDescent="0.25">
      <c r="A3138" s="841"/>
    </row>
    <row r="3139" spans="1:1" x14ac:dyDescent="0.25">
      <c r="A3139" s="841"/>
    </row>
    <row r="3140" spans="1:1" x14ac:dyDescent="0.25">
      <c r="A3140" s="841"/>
    </row>
    <row r="3141" spans="1:1" x14ac:dyDescent="0.25">
      <c r="A3141" s="841"/>
    </row>
    <row r="3142" spans="1:1" x14ac:dyDescent="0.25">
      <c r="A3142" s="841"/>
    </row>
    <row r="3143" spans="1:1" x14ac:dyDescent="0.25">
      <c r="A3143" s="841"/>
    </row>
    <row r="3144" spans="1:1" x14ac:dyDescent="0.25">
      <c r="A3144" s="841"/>
    </row>
    <row r="3145" spans="1:1" x14ac:dyDescent="0.25">
      <c r="A3145" s="841"/>
    </row>
    <row r="3146" spans="1:1" x14ac:dyDescent="0.25">
      <c r="A3146" s="841"/>
    </row>
    <row r="3147" spans="1:1" x14ac:dyDescent="0.25">
      <c r="A3147" s="841"/>
    </row>
    <row r="3148" spans="1:1" x14ac:dyDescent="0.25">
      <c r="A3148" s="841"/>
    </row>
    <row r="3149" spans="1:1" x14ac:dyDescent="0.25">
      <c r="A3149" s="841"/>
    </row>
    <row r="3150" spans="1:1" x14ac:dyDescent="0.25">
      <c r="A3150" s="841"/>
    </row>
    <row r="3151" spans="1:1" x14ac:dyDescent="0.25">
      <c r="A3151" s="841"/>
    </row>
    <row r="3152" spans="1:1" x14ac:dyDescent="0.25">
      <c r="A3152" s="841"/>
    </row>
    <row r="3153" spans="1:1" x14ac:dyDescent="0.25">
      <c r="A3153" s="841"/>
    </row>
    <row r="3154" spans="1:1" x14ac:dyDescent="0.25">
      <c r="A3154" s="841"/>
    </row>
    <row r="3155" spans="1:1" x14ac:dyDescent="0.25">
      <c r="A3155" s="841"/>
    </row>
    <row r="3156" spans="1:1" x14ac:dyDescent="0.25">
      <c r="A3156" s="841"/>
    </row>
    <row r="3157" spans="1:1" x14ac:dyDescent="0.25">
      <c r="A3157" s="841"/>
    </row>
    <row r="3158" spans="1:1" x14ac:dyDescent="0.25">
      <c r="A3158" s="841"/>
    </row>
    <row r="3159" spans="1:1" x14ac:dyDescent="0.25">
      <c r="A3159" s="841"/>
    </row>
    <row r="3160" spans="1:1" x14ac:dyDescent="0.25">
      <c r="A3160" s="841"/>
    </row>
    <row r="3161" spans="1:1" x14ac:dyDescent="0.25">
      <c r="A3161" s="841"/>
    </row>
    <row r="3162" spans="1:1" x14ac:dyDescent="0.25">
      <c r="A3162" s="841"/>
    </row>
    <row r="3163" spans="1:1" x14ac:dyDescent="0.25">
      <c r="A3163" s="841"/>
    </row>
    <row r="3164" spans="1:1" x14ac:dyDescent="0.25">
      <c r="A3164" s="841"/>
    </row>
    <row r="3165" spans="1:1" x14ac:dyDescent="0.25">
      <c r="A3165" s="841"/>
    </row>
    <row r="3166" spans="1:1" x14ac:dyDescent="0.25">
      <c r="A3166" s="841"/>
    </row>
    <row r="3167" spans="1:1" x14ac:dyDescent="0.25">
      <c r="A3167" s="841"/>
    </row>
    <row r="3168" spans="1:1" x14ac:dyDescent="0.25">
      <c r="A3168" s="841"/>
    </row>
    <row r="3169" spans="1:1" x14ac:dyDescent="0.25">
      <c r="A3169" s="841"/>
    </row>
    <row r="3170" spans="1:1" x14ac:dyDescent="0.25">
      <c r="A3170" s="841"/>
    </row>
    <row r="3171" spans="1:1" x14ac:dyDescent="0.25">
      <c r="A3171" s="841"/>
    </row>
    <row r="3172" spans="1:1" x14ac:dyDescent="0.25">
      <c r="A3172" s="841"/>
    </row>
    <row r="3173" spans="1:1" x14ac:dyDescent="0.25">
      <c r="A3173" s="841"/>
    </row>
    <row r="3174" spans="1:1" x14ac:dyDescent="0.25">
      <c r="A3174" s="841"/>
    </row>
    <row r="3175" spans="1:1" x14ac:dyDescent="0.25">
      <c r="A3175" s="841"/>
    </row>
    <row r="3176" spans="1:1" x14ac:dyDescent="0.25">
      <c r="A3176" s="841"/>
    </row>
    <row r="3177" spans="1:1" x14ac:dyDescent="0.25">
      <c r="A3177" s="841"/>
    </row>
    <row r="3178" spans="1:1" x14ac:dyDescent="0.25">
      <c r="A3178" s="841"/>
    </row>
    <row r="3179" spans="1:1" x14ac:dyDescent="0.25">
      <c r="A3179" s="841"/>
    </row>
    <row r="3180" spans="1:1" x14ac:dyDescent="0.25">
      <c r="A3180" s="841"/>
    </row>
    <row r="3181" spans="1:1" x14ac:dyDescent="0.25">
      <c r="A3181" s="841"/>
    </row>
    <row r="3182" spans="1:1" x14ac:dyDescent="0.25">
      <c r="A3182" s="841"/>
    </row>
    <row r="3183" spans="1:1" x14ac:dyDescent="0.25">
      <c r="A3183" s="841"/>
    </row>
    <row r="3184" spans="1:1" x14ac:dyDescent="0.25">
      <c r="A3184" s="841"/>
    </row>
    <row r="3185" spans="1:1" x14ac:dyDescent="0.25">
      <c r="A3185" s="841"/>
    </row>
    <row r="3186" spans="1:1" x14ac:dyDescent="0.25">
      <c r="A3186" s="841"/>
    </row>
    <row r="3187" spans="1:1" x14ac:dyDescent="0.25">
      <c r="A3187" s="841"/>
    </row>
    <row r="3188" spans="1:1" x14ac:dyDescent="0.25">
      <c r="A3188" s="841"/>
    </row>
    <row r="3189" spans="1:1" x14ac:dyDescent="0.25">
      <c r="A3189" s="841"/>
    </row>
    <row r="3190" spans="1:1" x14ac:dyDescent="0.25">
      <c r="A3190" s="841"/>
    </row>
    <row r="3191" spans="1:1" x14ac:dyDescent="0.25">
      <c r="A3191" s="841"/>
    </row>
    <row r="3192" spans="1:1" x14ac:dyDescent="0.25">
      <c r="A3192" s="841"/>
    </row>
    <row r="3193" spans="1:1" x14ac:dyDescent="0.25">
      <c r="A3193" s="841"/>
    </row>
    <row r="3194" spans="1:1" x14ac:dyDescent="0.25">
      <c r="A3194" s="841"/>
    </row>
    <row r="3195" spans="1:1" x14ac:dyDescent="0.25">
      <c r="A3195" s="841"/>
    </row>
    <row r="3196" spans="1:1" x14ac:dyDescent="0.25">
      <c r="A3196" s="841"/>
    </row>
    <row r="3197" spans="1:1" x14ac:dyDescent="0.25">
      <c r="A3197" s="841"/>
    </row>
    <row r="3198" spans="1:1" x14ac:dyDescent="0.25">
      <c r="A3198" s="841"/>
    </row>
    <row r="3199" spans="1:1" x14ac:dyDescent="0.25">
      <c r="A3199" s="841"/>
    </row>
    <row r="3200" spans="1:1" x14ac:dyDescent="0.25">
      <c r="A3200" s="841"/>
    </row>
    <row r="3201" spans="1:1" x14ac:dyDescent="0.25">
      <c r="A3201" s="841"/>
    </row>
    <row r="3202" spans="1:1" x14ac:dyDescent="0.25">
      <c r="A3202" s="841"/>
    </row>
    <row r="3203" spans="1:1" x14ac:dyDescent="0.25">
      <c r="A3203" s="841"/>
    </row>
    <row r="3204" spans="1:1" x14ac:dyDescent="0.25">
      <c r="A3204" s="841"/>
    </row>
    <row r="3205" spans="1:1" x14ac:dyDescent="0.25">
      <c r="A3205" s="841"/>
    </row>
    <row r="3206" spans="1:1" x14ac:dyDescent="0.25">
      <c r="A3206" s="841"/>
    </row>
    <row r="3207" spans="1:1" x14ac:dyDescent="0.25">
      <c r="A3207" s="841"/>
    </row>
    <row r="3208" spans="1:1" x14ac:dyDescent="0.25">
      <c r="A3208" s="841"/>
    </row>
    <row r="3209" spans="1:1" x14ac:dyDescent="0.25">
      <c r="A3209" s="841"/>
    </row>
    <row r="3210" spans="1:1" x14ac:dyDescent="0.25">
      <c r="A3210" s="841"/>
    </row>
    <row r="3211" spans="1:1" x14ac:dyDescent="0.25">
      <c r="A3211" s="841"/>
    </row>
    <row r="3212" spans="1:1" x14ac:dyDescent="0.25">
      <c r="A3212" s="841"/>
    </row>
    <row r="3213" spans="1:1" x14ac:dyDescent="0.25">
      <c r="A3213" s="841"/>
    </row>
    <row r="3214" spans="1:1" x14ac:dyDescent="0.25">
      <c r="A3214" s="841"/>
    </row>
    <row r="3215" spans="1:1" x14ac:dyDescent="0.25">
      <c r="A3215" s="841"/>
    </row>
    <row r="3216" spans="1:1" x14ac:dyDescent="0.25">
      <c r="A3216" s="841"/>
    </row>
    <row r="3217" spans="1:1" x14ac:dyDescent="0.25">
      <c r="A3217" s="841"/>
    </row>
    <row r="3218" spans="1:1" x14ac:dyDescent="0.25">
      <c r="A3218" s="841"/>
    </row>
    <row r="3219" spans="1:1" x14ac:dyDescent="0.25">
      <c r="A3219" s="841"/>
    </row>
    <row r="3220" spans="1:1" x14ac:dyDescent="0.25">
      <c r="A3220" s="841"/>
    </row>
    <row r="3221" spans="1:1" x14ac:dyDescent="0.25">
      <c r="A3221" s="841"/>
    </row>
    <row r="3222" spans="1:1" x14ac:dyDescent="0.25">
      <c r="A3222" s="841"/>
    </row>
    <row r="3223" spans="1:1" x14ac:dyDescent="0.25">
      <c r="A3223" s="841"/>
    </row>
    <row r="3224" spans="1:1" x14ac:dyDescent="0.25">
      <c r="A3224" s="841"/>
    </row>
    <row r="3225" spans="1:1" x14ac:dyDescent="0.25">
      <c r="A3225" s="841"/>
    </row>
    <row r="3226" spans="1:1" x14ac:dyDescent="0.25">
      <c r="A3226" s="841"/>
    </row>
    <row r="3227" spans="1:1" x14ac:dyDescent="0.25">
      <c r="A3227" s="841"/>
    </row>
    <row r="3228" spans="1:1" x14ac:dyDescent="0.25">
      <c r="A3228" s="841"/>
    </row>
    <row r="3229" spans="1:1" x14ac:dyDescent="0.25">
      <c r="A3229" s="841"/>
    </row>
    <row r="3230" spans="1:1" x14ac:dyDescent="0.25">
      <c r="A3230" s="841"/>
    </row>
    <row r="3231" spans="1:1" x14ac:dyDescent="0.25">
      <c r="A3231" s="841"/>
    </row>
    <row r="3232" spans="1:1" x14ac:dyDescent="0.25">
      <c r="A3232" s="841"/>
    </row>
    <row r="3233" spans="1:1" x14ac:dyDescent="0.25">
      <c r="A3233" s="841"/>
    </row>
    <row r="3234" spans="1:1" x14ac:dyDescent="0.25">
      <c r="A3234" s="841"/>
    </row>
    <row r="3235" spans="1:1" x14ac:dyDescent="0.25">
      <c r="A3235" s="841"/>
    </row>
    <row r="3236" spans="1:1" x14ac:dyDescent="0.25">
      <c r="A3236" s="841"/>
    </row>
    <row r="3237" spans="1:1" x14ac:dyDescent="0.25">
      <c r="A3237" s="841"/>
    </row>
    <row r="3238" spans="1:1" x14ac:dyDescent="0.25">
      <c r="A3238" s="841"/>
    </row>
    <row r="3239" spans="1:1" x14ac:dyDescent="0.25">
      <c r="A3239" s="841"/>
    </row>
    <row r="3240" spans="1:1" x14ac:dyDescent="0.25">
      <c r="A3240" s="841"/>
    </row>
    <row r="3241" spans="1:1" x14ac:dyDescent="0.25">
      <c r="A3241" s="841"/>
    </row>
    <row r="3242" spans="1:1" x14ac:dyDescent="0.25">
      <c r="A3242" s="841"/>
    </row>
    <row r="3243" spans="1:1" x14ac:dyDescent="0.25">
      <c r="A3243" s="841"/>
    </row>
    <row r="3244" spans="1:1" x14ac:dyDescent="0.25">
      <c r="A3244" s="841"/>
    </row>
    <row r="3245" spans="1:1" x14ac:dyDescent="0.25">
      <c r="A3245" s="841"/>
    </row>
    <row r="3246" spans="1:1" x14ac:dyDescent="0.25">
      <c r="A3246" s="841"/>
    </row>
    <row r="3247" spans="1:1" x14ac:dyDescent="0.25">
      <c r="A3247" s="841"/>
    </row>
    <row r="3248" spans="1:1" x14ac:dyDescent="0.25">
      <c r="A3248" s="841"/>
    </row>
    <row r="3249" spans="1:1" x14ac:dyDescent="0.25">
      <c r="A3249" s="841"/>
    </row>
    <row r="3250" spans="1:1" x14ac:dyDescent="0.25">
      <c r="A3250" s="841"/>
    </row>
    <row r="3251" spans="1:1" x14ac:dyDescent="0.25">
      <c r="A3251" s="841"/>
    </row>
    <row r="3252" spans="1:1" x14ac:dyDescent="0.25">
      <c r="A3252" s="841"/>
    </row>
    <row r="3253" spans="1:1" x14ac:dyDescent="0.25">
      <c r="A3253" s="841"/>
    </row>
    <row r="3254" spans="1:1" x14ac:dyDescent="0.25">
      <c r="A3254" s="841"/>
    </row>
    <row r="3255" spans="1:1" x14ac:dyDescent="0.25">
      <c r="A3255" s="841"/>
    </row>
    <row r="3256" spans="1:1" x14ac:dyDescent="0.25">
      <c r="A3256" s="841"/>
    </row>
    <row r="3257" spans="1:1" x14ac:dyDescent="0.25">
      <c r="A3257" s="841"/>
    </row>
    <row r="3258" spans="1:1" x14ac:dyDescent="0.25">
      <c r="A3258" s="841"/>
    </row>
    <row r="3259" spans="1:1" x14ac:dyDescent="0.25">
      <c r="A3259" s="841"/>
    </row>
    <row r="3260" spans="1:1" x14ac:dyDescent="0.25">
      <c r="A3260" s="841"/>
    </row>
    <row r="3261" spans="1:1" x14ac:dyDescent="0.25">
      <c r="A3261" s="841"/>
    </row>
    <row r="3262" spans="1:1" x14ac:dyDescent="0.25">
      <c r="A3262" s="841"/>
    </row>
    <row r="3263" spans="1:1" x14ac:dyDescent="0.25">
      <c r="A3263" s="841"/>
    </row>
    <row r="3264" spans="1:1" x14ac:dyDescent="0.25">
      <c r="A3264" s="841"/>
    </row>
    <row r="3265" spans="1:1" x14ac:dyDescent="0.25">
      <c r="A3265" s="841"/>
    </row>
    <row r="3266" spans="1:1" x14ac:dyDescent="0.25">
      <c r="A3266" s="841"/>
    </row>
    <row r="3267" spans="1:1" x14ac:dyDescent="0.25">
      <c r="A3267" s="841"/>
    </row>
    <row r="3268" spans="1:1" x14ac:dyDescent="0.25">
      <c r="A3268" s="841"/>
    </row>
    <row r="3269" spans="1:1" x14ac:dyDescent="0.25">
      <c r="A3269" s="841"/>
    </row>
    <row r="3270" spans="1:1" x14ac:dyDescent="0.25">
      <c r="A3270" s="841"/>
    </row>
    <row r="3271" spans="1:1" x14ac:dyDescent="0.25">
      <c r="A3271" s="841"/>
    </row>
    <row r="3272" spans="1:1" x14ac:dyDescent="0.25">
      <c r="A3272" s="841"/>
    </row>
    <row r="3273" spans="1:1" x14ac:dyDescent="0.25">
      <c r="A3273" s="841"/>
    </row>
    <row r="3274" spans="1:1" x14ac:dyDescent="0.25">
      <c r="A3274" s="841"/>
    </row>
    <row r="3275" spans="1:1" x14ac:dyDescent="0.25">
      <c r="A3275" s="841"/>
    </row>
    <row r="3276" spans="1:1" x14ac:dyDescent="0.25">
      <c r="A3276" s="841"/>
    </row>
    <row r="3277" spans="1:1" x14ac:dyDescent="0.25">
      <c r="A3277" s="841"/>
    </row>
    <row r="3278" spans="1:1" x14ac:dyDescent="0.25">
      <c r="A3278" s="841"/>
    </row>
    <row r="3279" spans="1:1" x14ac:dyDescent="0.25">
      <c r="A3279" s="841"/>
    </row>
    <row r="3280" spans="1:1" x14ac:dyDescent="0.25">
      <c r="A3280" s="841"/>
    </row>
    <row r="3281" spans="1:1" x14ac:dyDescent="0.25">
      <c r="A3281" s="841"/>
    </row>
    <row r="3282" spans="1:1" x14ac:dyDescent="0.25">
      <c r="A3282" s="841"/>
    </row>
    <row r="3283" spans="1:1" x14ac:dyDescent="0.25">
      <c r="A3283" s="841"/>
    </row>
    <row r="3284" spans="1:1" x14ac:dyDescent="0.25">
      <c r="A3284" s="841"/>
    </row>
    <row r="3285" spans="1:1" x14ac:dyDescent="0.25">
      <c r="A3285" s="841"/>
    </row>
    <row r="3286" spans="1:1" x14ac:dyDescent="0.25">
      <c r="A3286" s="841"/>
    </row>
    <row r="3287" spans="1:1" x14ac:dyDescent="0.25">
      <c r="A3287" s="841"/>
    </row>
    <row r="3288" spans="1:1" x14ac:dyDescent="0.25">
      <c r="A3288" s="841"/>
    </row>
    <row r="3289" spans="1:1" x14ac:dyDescent="0.25">
      <c r="A3289" s="841"/>
    </row>
    <row r="3290" spans="1:1" x14ac:dyDescent="0.25">
      <c r="A3290" s="841"/>
    </row>
    <row r="3291" spans="1:1" x14ac:dyDescent="0.25">
      <c r="A3291" s="841"/>
    </row>
    <row r="3292" spans="1:1" x14ac:dyDescent="0.25">
      <c r="A3292" s="841"/>
    </row>
    <row r="3293" spans="1:1" x14ac:dyDescent="0.25">
      <c r="A3293" s="841"/>
    </row>
    <row r="3294" spans="1:1" x14ac:dyDescent="0.25">
      <c r="A3294" s="841"/>
    </row>
    <row r="3295" spans="1:1" x14ac:dyDescent="0.25">
      <c r="A3295" s="841"/>
    </row>
    <row r="3296" spans="1:1" x14ac:dyDescent="0.25">
      <c r="A3296" s="841"/>
    </row>
    <row r="3297" spans="1:1" x14ac:dyDescent="0.25">
      <c r="A3297" s="841"/>
    </row>
    <row r="3298" spans="1:1" x14ac:dyDescent="0.25">
      <c r="A3298" s="841"/>
    </row>
    <row r="3299" spans="1:1" x14ac:dyDescent="0.25">
      <c r="A3299" s="841"/>
    </row>
    <row r="3300" spans="1:1" x14ac:dyDescent="0.25">
      <c r="A3300" s="841"/>
    </row>
    <row r="3301" spans="1:1" x14ac:dyDescent="0.25">
      <c r="A3301" s="841"/>
    </row>
    <row r="3302" spans="1:1" x14ac:dyDescent="0.25">
      <c r="A3302" s="841"/>
    </row>
    <row r="3303" spans="1:1" x14ac:dyDescent="0.25">
      <c r="A3303" s="841"/>
    </row>
    <row r="3304" spans="1:1" x14ac:dyDescent="0.25">
      <c r="A3304" s="841"/>
    </row>
    <row r="3305" spans="1:1" x14ac:dyDescent="0.25">
      <c r="A3305" s="841"/>
    </row>
    <row r="3306" spans="1:1" x14ac:dyDescent="0.25">
      <c r="A3306" s="841"/>
    </row>
    <row r="3307" spans="1:1" x14ac:dyDescent="0.25">
      <c r="A3307" s="841"/>
    </row>
    <row r="3308" spans="1:1" x14ac:dyDescent="0.25">
      <c r="A3308" s="841"/>
    </row>
    <row r="3309" spans="1:1" x14ac:dyDescent="0.25">
      <c r="A3309" s="841"/>
    </row>
    <row r="3310" spans="1:1" x14ac:dyDescent="0.25">
      <c r="A3310" s="841"/>
    </row>
    <row r="3311" spans="1:1" x14ac:dyDescent="0.25">
      <c r="A3311" s="841"/>
    </row>
    <row r="3312" spans="1:1" x14ac:dyDescent="0.25">
      <c r="A3312" s="841"/>
    </row>
    <row r="3313" spans="1:1" x14ac:dyDescent="0.25">
      <c r="A3313" s="841"/>
    </row>
    <row r="3314" spans="1:1" x14ac:dyDescent="0.25">
      <c r="A3314" s="841"/>
    </row>
    <row r="3315" spans="1:1" x14ac:dyDescent="0.25">
      <c r="A3315" s="841"/>
    </row>
    <row r="3316" spans="1:1" x14ac:dyDescent="0.25">
      <c r="A3316" s="841"/>
    </row>
    <row r="3317" spans="1:1" x14ac:dyDescent="0.25">
      <c r="A3317" s="841"/>
    </row>
    <row r="3318" spans="1:1" x14ac:dyDescent="0.25">
      <c r="A3318" s="841"/>
    </row>
    <row r="3319" spans="1:1" x14ac:dyDescent="0.25">
      <c r="A3319" s="841"/>
    </row>
    <row r="3320" spans="1:1" x14ac:dyDescent="0.25">
      <c r="A3320" s="841"/>
    </row>
    <row r="3321" spans="1:1" x14ac:dyDescent="0.25">
      <c r="A3321" s="841"/>
    </row>
    <row r="3322" spans="1:1" x14ac:dyDescent="0.25">
      <c r="A3322" s="841"/>
    </row>
    <row r="3323" spans="1:1" x14ac:dyDescent="0.25">
      <c r="A3323" s="841"/>
    </row>
    <row r="3324" spans="1:1" x14ac:dyDescent="0.25">
      <c r="A3324" s="841"/>
    </row>
    <row r="3325" spans="1:1" x14ac:dyDescent="0.25">
      <c r="A3325" s="841"/>
    </row>
    <row r="3326" spans="1:1" x14ac:dyDescent="0.25">
      <c r="A3326" s="841"/>
    </row>
    <row r="3327" spans="1:1" x14ac:dyDescent="0.25">
      <c r="A3327" s="841"/>
    </row>
    <row r="3328" spans="1:1" x14ac:dyDescent="0.25">
      <c r="A3328" s="841"/>
    </row>
    <row r="3329" spans="1:1" x14ac:dyDescent="0.25">
      <c r="A3329" s="841"/>
    </row>
    <row r="3330" spans="1:1" x14ac:dyDescent="0.25">
      <c r="A3330" s="841"/>
    </row>
    <row r="3331" spans="1:1" x14ac:dyDescent="0.25">
      <c r="A3331" s="841"/>
    </row>
    <row r="3332" spans="1:1" x14ac:dyDescent="0.25">
      <c r="A3332" s="841"/>
    </row>
    <row r="3333" spans="1:1" x14ac:dyDescent="0.25">
      <c r="A3333" s="841"/>
    </row>
    <row r="3334" spans="1:1" x14ac:dyDescent="0.25">
      <c r="A3334" s="841"/>
    </row>
    <row r="3335" spans="1:1" x14ac:dyDescent="0.25">
      <c r="A3335" s="841"/>
    </row>
    <row r="3336" spans="1:1" x14ac:dyDescent="0.25">
      <c r="A3336" s="841"/>
    </row>
    <row r="3337" spans="1:1" x14ac:dyDescent="0.25">
      <c r="A3337" s="841"/>
    </row>
    <row r="3338" spans="1:1" x14ac:dyDescent="0.25">
      <c r="A3338" s="841"/>
    </row>
    <row r="3339" spans="1:1" x14ac:dyDescent="0.25">
      <c r="A3339" s="841"/>
    </row>
    <row r="3340" spans="1:1" x14ac:dyDescent="0.25">
      <c r="A3340" s="841"/>
    </row>
    <row r="3341" spans="1:1" x14ac:dyDescent="0.25">
      <c r="A3341" s="841"/>
    </row>
    <row r="3342" spans="1:1" x14ac:dyDescent="0.25">
      <c r="A3342" s="841"/>
    </row>
    <row r="3343" spans="1:1" x14ac:dyDescent="0.25">
      <c r="A3343" s="841"/>
    </row>
    <row r="3344" spans="1:1" x14ac:dyDescent="0.25">
      <c r="A3344" s="841"/>
    </row>
    <row r="3345" spans="1:1" x14ac:dyDescent="0.25">
      <c r="A3345" s="841"/>
    </row>
    <row r="3346" spans="1:1" x14ac:dyDescent="0.25">
      <c r="A3346" s="841"/>
    </row>
    <row r="3347" spans="1:1" x14ac:dyDescent="0.25">
      <c r="A3347" s="841"/>
    </row>
    <row r="3348" spans="1:1" x14ac:dyDescent="0.25">
      <c r="A3348" s="841"/>
    </row>
    <row r="3349" spans="1:1" x14ac:dyDescent="0.25">
      <c r="A3349" s="841"/>
    </row>
    <row r="3350" spans="1:1" x14ac:dyDescent="0.25">
      <c r="A3350" s="841"/>
    </row>
    <row r="3351" spans="1:1" x14ac:dyDescent="0.25">
      <c r="A3351" s="841"/>
    </row>
    <row r="3352" spans="1:1" x14ac:dyDescent="0.25">
      <c r="A3352" s="841"/>
    </row>
    <row r="3353" spans="1:1" x14ac:dyDescent="0.25">
      <c r="A3353" s="841"/>
    </row>
    <row r="3354" spans="1:1" x14ac:dyDescent="0.25">
      <c r="A3354" s="841"/>
    </row>
    <row r="3355" spans="1:1" x14ac:dyDescent="0.25">
      <c r="A3355" s="841"/>
    </row>
    <row r="3356" spans="1:1" x14ac:dyDescent="0.25">
      <c r="A3356" s="841"/>
    </row>
    <row r="3357" spans="1:1" x14ac:dyDescent="0.25">
      <c r="A3357" s="841"/>
    </row>
    <row r="3358" spans="1:1" x14ac:dyDescent="0.25">
      <c r="A3358" s="841"/>
    </row>
    <row r="3359" spans="1:1" x14ac:dyDescent="0.25">
      <c r="A3359" s="841"/>
    </row>
    <row r="3360" spans="1:1" x14ac:dyDescent="0.25">
      <c r="A3360" s="841"/>
    </row>
    <row r="3361" spans="1:1" x14ac:dyDescent="0.25">
      <c r="A3361" s="841"/>
    </row>
    <row r="3362" spans="1:1" x14ac:dyDescent="0.25">
      <c r="A3362" s="841"/>
    </row>
    <row r="3363" spans="1:1" x14ac:dyDescent="0.25">
      <c r="A3363" s="841"/>
    </row>
    <row r="3364" spans="1:1" x14ac:dyDescent="0.25">
      <c r="A3364" s="841"/>
    </row>
    <row r="3365" spans="1:1" x14ac:dyDescent="0.25">
      <c r="A3365" s="841"/>
    </row>
    <row r="3366" spans="1:1" x14ac:dyDescent="0.25">
      <c r="A3366" s="841"/>
    </row>
    <row r="3367" spans="1:1" x14ac:dyDescent="0.25">
      <c r="A3367" s="841"/>
    </row>
    <row r="3368" spans="1:1" x14ac:dyDescent="0.25">
      <c r="A3368" s="841"/>
    </row>
    <row r="3369" spans="1:1" x14ac:dyDescent="0.25">
      <c r="A3369" s="841"/>
    </row>
    <row r="3370" spans="1:1" x14ac:dyDescent="0.25">
      <c r="A3370" s="841"/>
    </row>
    <row r="3371" spans="1:1" x14ac:dyDescent="0.25">
      <c r="A3371" s="841"/>
    </row>
    <row r="3372" spans="1:1" x14ac:dyDescent="0.25">
      <c r="A3372" s="841"/>
    </row>
    <row r="3373" spans="1:1" x14ac:dyDescent="0.25">
      <c r="A3373" s="841"/>
    </row>
    <row r="3374" spans="1:1" x14ac:dyDescent="0.25">
      <c r="A3374" s="841"/>
    </row>
    <row r="3375" spans="1:1" x14ac:dyDescent="0.25">
      <c r="A3375" s="841"/>
    </row>
    <row r="3376" spans="1:1" x14ac:dyDescent="0.25">
      <c r="A3376" s="841"/>
    </row>
    <row r="3377" spans="1:1" x14ac:dyDescent="0.25">
      <c r="A3377" s="841"/>
    </row>
    <row r="3378" spans="1:1" x14ac:dyDescent="0.25">
      <c r="A3378" s="841"/>
    </row>
    <row r="3379" spans="1:1" x14ac:dyDescent="0.25">
      <c r="A3379" s="841"/>
    </row>
    <row r="3380" spans="1:1" x14ac:dyDescent="0.25">
      <c r="A3380" s="841"/>
    </row>
    <row r="3381" spans="1:1" x14ac:dyDescent="0.25">
      <c r="A3381" s="841"/>
    </row>
    <row r="3382" spans="1:1" x14ac:dyDescent="0.25">
      <c r="A3382" s="841"/>
    </row>
    <row r="3383" spans="1:1" x14ac:dyDescent="0.25">
      <c r="A3383" s="841"/>
    </row>
    <row r="3384" spans="1:1" x14ac:dyDescent="0.25">
      <c r="A3384" s="841"/>
    </row>
    <row r="3385" spans="1:1" x14ac:dyDescent="0.25">
      <c r="A3385" s="841"/>
    </row>
    <row r="3386" spans="1:1" x14ac:dyDescent="0.25">
      <c r="A3386" s="841"/>
    </row>
    <row r="3387" spans="1:1" x14ac:dyDescent="0.25">
      <c r="A3387" s="841"/>
    </row>
    <row r="3388" spans="1:1" x14ac:dyDescent="0.25">
      <c r="A3388" s="841"/>
    </row>
    <row r="3389" spans="1:1" x14ac:dyDescent="0.25">
      <c r="A3389" s="841"/>
    </row>
    <row r="3390" spans="1:1" x14ac:dyDescent="0.25">
      <c r="A3390" s="841"/>
    </row>
    <row r="3391" spans="1:1" x14ac:dyDescent="0.25">
      <c r="A3391" s="841"/>
    </row>
    <row r="3392" spans="1:1" x14ac:dyDescent="0.25">
      <c r="A3392" s="841"/>
    </row>
    <row r="3393" spans="1:1" x14ac:dyDescent="0.25">
      <c r="A3393" s="841"/>
    </row>
    <row r="3394" spans="1:1" x14ac:dyDescent="0.25">
      <c r="A3394" s="841"/>
    </row>
    <row r="3395" spans="1:1" x14ac:dyDescent="0.25">
      <c r="A3395" s="841"/>
    </row>
    <row r="3396" spans="1:1" x14ac:dyDescent="0.25">
      <c r="A3396" s="841"/>
    </row>
    <row r="3397" spans="1:1" x14ac:dyDescent="0.25">
      <c r="A3397" s="841"/>
    </row>
    <row r="3398" spans="1:1" x14ac:dyDescent="0.25">
      <c r="A3398" s="841"/>
    </row>
    <row r="3399" spans="1:1" x14ac:dyDescent="0.25">
      <c r="A3399" s="841"/>
    </row>
    <row r="3400" spans="1:1" x14ac:dyDescent="0.25">
      <c r="A3400" s="841"/>
    </row>
    <row r="3401" spans="1:1" x14ac:dyDescent="0.25">
      <c r="A3401" s="841"/>
    </row>
    <row r="3402" spans="1:1" x14ac:dyDescent="0.25">
      <c r="A3402" s="841"/>
    </row>
    <row r="3403" spans="1:1" x14ac:dyDescent="0.25">
      <c r="A3403" s="841"/>
    </row>
    <row r="3404" spans="1:1" x14ac:dyDescent="0.25">
      <c r="A3404" s="841"/>
    </row>
    <row r="3405" spans="1:1" x14ac:dyDescent="0.25">
      <c r="A3405" s="841"/>
    </row>
    <row r="3406" spans="1:1" x14ac:dyDescent="0.25">
      <c r="A3406" s="841"/>
    </row>
    <row r="3407" spans="1:1" x14ac:dyDescent="0.25">
      <c r="A3407" s="841"/>
    </row>
    <row r="3408" spans="1:1" x14ac:dyDescent="0.25">
      <c r="A3408" s="841"/>
    </row>
    <row r="3409" spans="1:1" x14ac:dyDescent="0.25">
      <c r="A3409" s="841"/>
    </row>
    <row r="3410" spans="1:1" x14ac:dyDescent="0.25">
      <c r="A3410" s="841"/>
    </row>
    <row r="3411" spans="1:1" x14ac:dyDescent="0.25">
      <c r="A3411" s="841"/>
    </row>
    <row r="3412" spans="1:1" x14ac:dyDescent="0.25">
      <c r="A3412" s="841"/>
    </row>
    <row r="3413" spans="1:1" x14ac:dyDescent="0.25">
      <c r="A3413" s="841"/>
    </row>
    <row r="3414" spans="1:1" x14ac:dyDescent="0.25">
      <c r="A3414" s="841"/>
    </row>
    <row r="3415" spans="1:1" x14ac:dyDescent="0.25">
      <c r="A3415" s="841"/>
    </row>
    <row r="3416" spans="1:1" x14ac:dyDescent="0.25">
      <c r="A3416" s="841"/>
    </row>
    <row r="3417" spans="1:1" x14ac:dyDescent="0.25">
      <c r="A3417" s="841"/>
    </row>
    <row r="3418" spans="1:1" x14ac:dyDescent="0.25">
      <c r="A3418" s="841"/>
    </row>
    <row r="3419" spans="1:1" x14ac:dyDescent="0.25">
      <c r="A3419" s="841"/>
    </row>
    <row r="3420" spans="1:1" x14ac:dyDescent="0.25">
      <c r="A3420" s="841"/>
    </row>
    <row r="3421" spans="1:1" x14ac:dyDescent="0.25">
      <c r="A3421" s="841"/>
    </row>
    <row r="3422" spans="1:1" x14ac:dyDescent="0.25">
      <c r="A3422" s="841"/>
    </row>
    <row r="3423" spans="1:1" x14ac:dyDescent="0.25">
      <c r="A3423" s="841"/>
    </row>
    <row r="3424" spans="1:1" x14ac:dyDescent="0.25">
      <c r="A3424" s="841"/>
    </row>
    <row r="3425" spans="1:1" x14ac:dyDescent="0.25">
      <c r="A3425" s="841"/>
    </row>
    <row r="3426" spans="1:1" x14ac:dyDescent="0.25">
      <c r="A3426" s="841"/>
    </row>
    <row r="3427" spans="1:1" x14ac:dyDescent="0.25">
      <c r="A3427" s="841"/>
    </row>
    <row r="3428" spans="1:1" x14ac:dyDescent="0.25">
      <c r="A3428" s="841"/>
    </row>
    <row r="3429" spans="1:1" x14ac:dyDescent="0.25">
      <c r="A3429" s="841"/>
    </row>
    <row r="3430" spans="1:1" x14ac:dyDescent="0.25">
      <c r="A3430" s="841"/>
    </row>
    <row r="3431" spans="1:1" x14ac:dyDescent="0.25">
      <c r="A3431" s="841"/>
    </row>
    <row r="3432" spans="1:1" x14ac:dyDescent="0.25">
      <c r="A3432" s="841"/>
    </row>
    <row r="3433" spans="1:1" x14ac:dyDescent="0.25">
      <c r="A3433" s="841"/>
    </row>
    <row r="3434" spans="1:1" x14ac:dyDescent="0.25">
      <c r="A3434" s="841"/>
    </row>
    <row r="3435" spans="1:1" x14ac:dyDescent="0.25">
      <c r="A3435" s="841"/>
    </row>
    <row r="3436" spans="1:1" x14ac:dyDescent="0.25">
      <c r="A3436" s="841"/>
    </row>
    <row r="3437" spans="1:1" x14ac:dyDescent="0.25">
      <c r="A3437" s="841"/>
    </row>
    <row r="3438" spans="1:1" x14ac:dyDescent="0.25">
      <c r="A3438" s="841"/>
    </row>
    <row r="3439" spans="1:1" x14ac:dyDescent="0.25">
      <c r="A3439" s="841"/>
    </row>
    <row r="3440" spans="1:1" x14ac:dyDescent="0.25">
      <c r="A3440" s="841"/>
    </row>
    <row r="3441" spans="1:1" x14ac:dyDescent="0.25">
      <c r="A3441" s="841"/>
    </row>
    <row r="3442" spans="1:1" x14ac:dyDescent="0.25">
      <c r="A3442" s="841"/>
    </row>
    <row r="3443" spans="1:1" x14ac:dyDescent="0.25">
      <c r="A3443" s="841"/>
    </row>
    <row r="3444" spans="1:1" x14ac:dyDescent="0.25">
      <c r="A3444" s="841"/>
    </row>
    <row r="3445" spans="1:1" x14ac:dyDescent="0.25">
      <c r="A3445" s="841"/>
    </row>
    <row r="3446" spans="1:1" x14ac:dyDescent="0.25">
      <c r="A3446" s="841"/>
    </row>
    <row r="3447" spans="1:1" x14ac:dyDescent="0.25">
      <c r="A3447" s="841"/>
    </row>
    <row r="3448" spans="1:1" x14ac:dyDescent="0.25">
      <c r="A3448" s="841"/>
    </row>
    <row r="3449" spans="1:1" x14ac:dyDescent="0.25">
      <c r="A3449" s="841"/>
    </row>
    <row r="3450" spans="1:1" x14ac:dyDescent="0.25">
      <c r="A3450" s="841"/>
    </row>
    <row r="3451" spans="1:1" x14ac:dyDescent="0.25">
      <c r="A3451" s="841"/>
    </row>
    <row r="3452" spans="1:1" x14ac:dyDescent="0.25">
      <c r="A3452" s="841"/>
    </row>
    <row r="3453" spans="1:1" x14ac:dyDescent="0.25">
      <c r="A3453" s="841"/>
    </row>
    <row r="3454" spans="1:1" x14ac:dyDescent="0.25">
      <c r="A3454" s="841"/>
    </row>
    <row r="3455" spans="1:1" x14ac:dyDescent="0.25">
      <c r="A3455" s="841"/>
    </row>
    <row r="3456" spans="1:1" x14ac:dyDescent="0.25">
      <c r="A3456" s="841"/>
    </row>
    <row r="3457" spans="1:1" x14ac:dyDescent="0.25">
      <c r="A3457" s="841"/>
    </row>
    <row r="3458" spans="1:1" x14ac:dyDescent="0.25">
      <c r="A3458" s="841"/>
    </row>
    <row r="3459" spans="1:1" x14ac:dyDescent="0.25">
      <c r="A3459" s="841"/>
    </row>
    <row r="3460" spans="1:1" x14ac:dyDescent="0.25">
      <c r="A3460" s="841"/>
    </row>
    <row r="3461" spans="1:1" x14ac:dyDescent="0.25">
      <c r="A3461" s="841"/>
    </row>
    <row r="3462" spans="1:1" x14ac:dyDescent="0.25">
      <c r="A3462" s="841"/>
    </row>
    <row r="3463" spans="1:1" x14ac:dyDescent="0.25">
      <c r="A3463" s="841"/>
    </row>
    <row r="3464" spans="1:1" x14ac:dyDescent="0.25">
      <c r="A3464" s="841"/>
    </row>
    <row r="3465" spans="1:1" x14ac:dyDescent="0.25">
      <c r="A3465" s="841"/>
    </row>
    <row r="3466" spans="1:1" x14ac:dyDescent="0.25">
      <c r="A3466" s="841"/>
    </row>
    <row r="3467" spans="1:1" x14ac:dyDescent="0.25">
      <c r="A3467" s="841"/>
    </row>
    <row r="3468" spans="1:1" x14ac:dyDescent="0.25">
      <c r="A3468" s="841"/>
    </row>
    <row r="3469" spans="1:1" x14ac:dyDescent="0.25">
      <c r="A3469" s="841"/>
    </row>
    <row r="3470" spans="1:1" x14ac:dyDescent="0.25">
      <c r="A3470" s="841"/>
    </row>
    <row r="3471" spans="1:1" x14ac:dyDescent="0.25">
      <c r="A3471" s="841"/>
    </row>
    <row r="3472" spans="1:1" x14ac:dyDescent="0.25">
      <c r="A3472" s="841"/>
    </row>
    <row r="3473" spans="1:1" x14ac:dyDescent="0.25">
      <c r="A3473" s="841"/>
    </row>
    <row r="3474" spans="1:1" x14ac:dyDescent="0.25">
      <c r="A3474" s="841"/>
    </row>
    <row r="3475" spans="1:1" x14ac:dyDescent="0.25">
      <c r="A3475" s="841"/>
    </row>
    <row r="3476" spans="1:1" x14ac:dyDescent="0.25">
      <c r="A3476" s="841"/>
    </row>
    <row r="3477" spans="1:1" x14ac:dyDescent="0.25">
      <c r="A3477" s="841"/>
    </row>
    <row r="3478" spans="1:1" x14ac:dyDescent="0.25">
      <c r="A3478" s="841"/>
    </row>
    <row r="3479" spans="1:1" x14ac:dyDescent="0.25">
      <c r="A3479" s="841"/>
    </row>
    <row r="3480" spans="1:1" x14ac:dyDescent="0.25">
      <c r="A3480" s="841"/>
    </row>
    <row r="3481" spans="1:1" x14ac:dyDescent="0.25">
      <c r="A3481" s="841"/>
    </row>
    <row r="3482" spans="1:1" x14ac:dyDescent="0.25">
      <c r="A3482" s="841"/>
    </row>
    <row r="3483" spans="1:1" x14ac:dyDescent="0.25">
      <c r="A3483" s="841"/>
    </row>
    <row r="3484" spans="1:1" x14ac:dyDescent="0.25">
      <c r="A3484" s="841"/>
    </row>
    <row r="3485" spans="1:1" x14ac:dyDescent="0.25">
      <c r="A3485" s="841"/>
    </row>
    <row r="3486" spans="1:1" x14ac:dyDescent="0.25">
      <c r="A3486" s="841"/>
    </row>
    <row r="3487" spans="1:1" x14ac:dyDescent="0.25">
      <c r="A3487" s="841"/>
    </row>
    <row r="3488" spans="1:1" x14ac:dyDescent="0.25">
      <c r="A3488" s="841"/>
    </row>
    <row r="3489" spans="1:1" x14ac:dyDescent="0.25">
      <c r="A3489" s="841"/>
    </row>
    <row r="3490" spans="1:1" x14ac:dyDescent="0.25">
      <c r="A3490" s="841"/>
    </row>
    <row r="3491" spans="1:1" x14ac:dyDescent="0.25">
      <c r="A3491" s="841"/>
    </row>
    <row r="3492" spans="1:1" x14ac:dyDescent="0.25">
      <c r="A3492" s="841"/>
    </row>
    <row r="3493" spans="1:1" x14ac:dyDescent="0.25">
      <c r="A3493" s="841"/>
    </row>
    <row r="3494" spans="1:1" x14ac:dyDescent="0.25">
      <c r="A3494" s="841"/>
    </row>
    <row r="3495" spans="1:1" x14ac:dyDescent="0.25">
      <c r="A3495" s="841"/>
    </row>
    <row r="3496" spans="1:1" x14ac:dyDescent="0.25">
      <c r="A3496" s="841"/>
    </row>
    <row r="3497" spans="1:1" x14ac:dyDescent="0.25">
      <c r="A3497" s="841"/>
    </row>
    <row r="3498" spans="1:1" x14ac:dyDescent="0.25">
      <c r="A3498" s="841"/>
    </row>
    <row r="3499" spans="1:1" x14ac:dyDescent="0.25">
      <c r="A3499" s="841"/>
    </row>
    <row r="3500" spans="1:1" x14ac:dyDescent="0.25">
      <c r="A3500" s="841"/>
    </row>
    <row r="3501" spans="1:1" x14ac:dyDescent="0.25">
      <c r="A3501" s="841"/>
    </row>
    <row r="3502" spans="1:1" x14ac:dyDescent="0.25">
      <c r="A3502" s="841"/>
    </row>
    <row r="3503" spans="1:1" x14ac:dyDescent="0.25">
      <c r="A3503" s="841"/>
    </row>
    <row r="3504" spans="1:1" x14ac:dyDescent="0.25">
      <c r="A3504" s="841"/>
    </row>
    <row r="3505" spans="1:1" x14ac:dyDescent="0.25">
      <c r="A3505" s="841"/>
    </row>
    <row r="3506" spans="1:1" x14ac:dyDescent="0.25">
      <c r="A3506" s="841"/>
    </row>
    <row r="3507" spans="1:1" x14ac:dyDescent="0.25">
      <c r="A3507" s="841"/>
    </row>
    <row r="3508" spans="1:1" x14ac:dyDescent="0.25">
      <c r="A3508" s="841"/>
    </row>
    <row r="3509" spans="1:1" x14ac:dyDescent="0.25">
      <c r="A3509" s="841"/>
    </row>
    <row r="3510" spans="1:1" x14ac:dyDescent="0.25">
      <c r="A3510" s="841"/>
    </row>
    <row r="3511" spans="1:1" x14ac:dyDescent="0.25">
      <c r="A3511" s="841"/>
    </row>
    <row r="3512" spans="1:1" x14ac:dyDescent="0.25">
      <c r="A3512" s="841"/>
    </row>
    <row r="3513" spans="1:1" x14ac:dyDescent="0.25">
      <c r="A3513" s="841"/>
    </row>
    <row r="3514" spans="1:1" x14ac:dyDescent="0.25">
      <c r="A3514" s="841"/>
    </row>
    <row r="3515" spans="1:1" x14ac:dyDescent="0.25">
      <c r="A3515" s="841"/>
    </row>
    <row r="3516" spans="1:1" x14ac:dyDescent="0.25">
      <c r="A3516" s="841"/>
    </row>
    <row r="3517" spans="1:1" x14ac:dyDescent="0.25">
      <c r="A3517" s="841"/>
    </row>
    <row r="3518" spans="1:1" x14ac:dyDescent="0.25">
      <c r="A3518" s="841"/>
    </row>
    <row r="3519" spans="1:1" x14ac:dyDescent="0.25">
      <c r="A3519" s="841"/>
    </row>
    <row r="3520" spans="1:1" x14ac:dyDescent="0.25">
      <c r="A3520" s="841"/>
    </row>
    <row r="3521" spans="1:1" x14ac:dyDescent="0.25">
      <c r="A3521" s="841"/>
    </row>
    <row r="3522" spans="1:1" x14ac:dyDescent="0.25">
      <c r="A3522" s="841"/>
    </row>
    <row r="3523" spans="1:1" x14ac:dyDescent="0.25">
      <c r="A3523" s="841"/>
    </row>
    <row r="3524" spans="1:1" x14ac:dyDescent="0.25">
      <c r="A3524" s="841"/>
    </row>
    <row r="3525" spans="1:1" x14ac:dyDescent="0.25">
      <c r="A3525" s="841"/>
    </row>
    <row r="3526" spans="1:1" x14ac:dyDescent="0.25">
      <c r="A3526" s="841"/>
    </row>
    <row r="3527" spans="1:1" x14ac:dyDescent="0.25">
      <c r="A3527" s="841"/>
    </row>
    <row r="3528" spans="1:1" x14ac:dyDescent="0.25">
      <c r="A3528" s="841"/>
    </row>
    <row r="3529" spans="1:1" x14ac:dyDescent="0.25">
      <c r="A3529" s="841"/>
    </row>
    <row r="3530" spans="1:1" x14ac:dyDescent="0.25">
      <c r="A3530" s="841"/>
    </row>
    <row r="3531" spans="1:1" x14ac:dyDescent="0.25">
      <c r="A3531" s="841"/>
    </row>
    <row r="3532" spans="1:1" x14ac:dyDescent="0.25">
      <c r="A3532" s="841"/>
    </row>
    <row r="3533" spans="1:1" x14ac:dyDescent="0.25">
      <c r="A3533" s="841"/>
    </row>
    <row r="3534" spans="1:1" x14ac:dyDescent="0.25">
      <c r="A3534" s="841"/>
    </row>
    <row r="3535" spans="1:1" x14ac:dyDescent="0.25">
      <c r="A3535" s="841"/>
    </row>
    <row r="3536" spans="1:1" x14ac:dyDescent="0.25">
      <c r="A3536" s="841"/>
    </row>
    <row r="3537" spans="1:1" x14ac:dyDescent="0.25">
      <c r="A3537" s="841"/>
    </row>
    <row r="3538" spans="1:1" x14ac:dyDescent="0.25">
      <c r="A3538" s="841"/>
    </row>
    <row r="3539" spans="1:1" x14ac:dyDescent="0.25">
      <c r="A3539" s="841"/>
    </row>
    <row r="3540" spans="1:1" x14ac:dyDescent="0.25">
      <c r="A3540" s="841"/>
    </row>
    <row r="3541" spans="1:1" x14ac:dyDescent="0.25">
      <c r="A3541" s="841"/>
    </row>
    <row r="3542" spans="1:1" x14ac:dyDescent="0.25">
      <c r="A3542" s="841"/>
    </row>
    <row r="3543" spans="1:1" x14ac:dyDescent="0.25">
      <c r="A3543" s="841"/>
    </row>
    <row r="3544" spans="1:1" x14ac:dyDescent="0.25">
      <c r="A3544" s="841"/>
    </row>
    <row r="3545" spans="1:1" x14ac:dyDescent="0.25">
      <c r="A3545" s="841"/>
    </row>
    <row r="3546" spans="1:1" x14ac:dyDescent="0.25">
      <c r="A3546" s="841"/>
    </row>
    <row r="3547" spans="1:1" x14ac:dyDescent="0.25">
      <c r="A3547" s="841"/>
    </row>
    <row r="3548" spans="1:1" x14ac:dyDescent="0.25">
      <c r="A3548" s="841"/>
    </row>
    <row r="3549" spans="1:1" x14ac:dyDescent="0.25">
      <c r="A3549" s="841"/>
    </row>
    <row r="3550" spans="1:1" x14ac:dyDescent="0.25">
      <c r="A3550" s="841"/>
    </row>
    <row r="3551" spans="1:1" x14ac:dyDescent="0.25">
      <c r="A3551" s="841"/>
    </row>
    <row r="3552" spans="1:1" x14ac:dyDescent="0.25">
      <c r="A3552" s="841"/>
    </row>
    <row r="3553" spans="1:1" x14ac:dyDescent="0.25">
      <c r="A3553" s="841"/>
    </row>
    <row r="3554" spans="1:1" x14ac:dyDescent="0.25">
      <c r="A3554" s="841"/>
    </row>
    <row r="3555" spans="1:1" x14ac:dyDescent="0.25">
      <c r="A3555" s="841"/>
    </row>
    <row r="3556" spans="1:1" x14ac:dyDescent="0.25">
      <c r="A3556" s="841"/>
    </row>
    <row r="3557" spans="1:1" x14ac:dyDescent="0.25">
      <c r="A3557" s="841"/>
    </row>
    <row r="3558" spans="1:1" x14ac:dyDescent="0.25">
      <c r="A3558" s="841"/>
    </row>
    <row r="3559" spans="1:1" x14ac:dyDescent="0.25">
      <c r="A3559" s="841"/>
    </row>
    <row r="3560" spans="1:1" x14ac:dyDescent="0.25">
      <c r="A3560" s="841"/>
    </row>
    <row r="3561" spans="1:1" x14ac:dyDescent="0.25">
      <c r="A3561" s="841"/>
    </row>
    <row r="3562" spans="1:1" x14ac:dyDescent="0.25">
      <c r="A3562" s="841"/>
    </row>
    <row r="3563" spans="1:1" x14ac:dyDescent="0.25">
      <c r="A3563" s="841"/>
    </row>
    <row r="3564" spans="1:1" x14ac:dyDescent="0.25">
      <c r="A3564" s="841"/>
    </row>
    <row r="3565" spans="1:1" x14ac:dyDescent="0.25">
      <c r="A3565" s="841"/>
    </row>
    <row r="3566" spans="1:1" x14ac:dyDescent="0.25">
      <c r="A3566" s="841"/>
    </row>
    <row r="3567" spans="1:1" x14ac:dyDescent="0.25">
      <c r="A3567" s="841"/>
    </row>
    <row r="3568" spans="1:1" x14ac:dyDescent="0.25">
      <c r="A3568" s="841"/>
    </row>
    <row r="3569" spans="1:1" x14ac:dyDescent="0.25">
      <c r="A3569" s="841"/>
    </row>
    <row r="3570" spans="1:1" x14ac:dyDescent="0.25">
      <c r="A3570" s="841"/>
    </row>
    <row r="3571" spans="1:1" x14ac:dyDescent="0.25">
      <c r="A3571" s="841"/>
    </row>
    <row r="3572" spans="1:1" x14ac:dyDescent="0.25">
      <c r="A3572" s="841"/>
    </row>
    <row r="3573" spans="1:1" x14ac:dyDescent="0.25">
      <c r="A3573" s="841"/>
    </row>
    <row r="3574" spans="1:1" x14ac:dyDescent="0.25">
      <c r="A3574" s="841"/>
    </row>
    <row r="3575" spans="1:1" x14ac:dyDescent="0.25">
      <c r="A3575" s="841"/>
    </row>
    <row r="3576" spans="1:1" x14ac:dyDescent="0.25">
      <c r="A3576" s="841"/>
    </row>
    <row r="3577" spans="1:1" x14ac:dyDescent="0.25">
      <c r="A3577" s="841"/>
    </row>
    <row r="3578" spans="1:1" x14ac:dyDescent="0.25">
      <c r="A3578" s="841"/>
    </row>
    <row r="3579" spans="1:1" x14ac:dyDescent="0.25">
      <c r="A3579" s="841"/>
    </row>
    <row r="3580" spans="1:1" x14ac:dyDescent="0.25">
      <c r="A3580" s="841"/>
    </row>
    <row r="3581" spans="1:1" x14ac:dyDescent="0.25">
      <c r="A3581" s="841"/>
    </row>
    <row r="3582" spans="1:1" x14ac:dyDescent="0.25">
      <c r="A3582" s="841"/>
    </row>
    <row r="3583" spans="1:1" x14ac:dyDescent="0.25">
      <c r="A3583" s="841"/>
    </row>
    <row r="3584" spans="1:1" x14ac:dyDescent="0.25">
      <c r="A3584" s="841"/>
    </row>
    <row r="3585" spans="1:1" x14ac:dyDescent="0.25">
      <c r="A3585" s="841"/>
    </row>
    <row r="3586" spans="1:1" x14ac:dyDescent="0.25">
      <c r="A3586" s="841"/>
    </row>
    <row r="3587" spans="1:1" x14ac:dyDescent="0.25">
      <c r="A3587" s="841"/>
    </row>
    <row r="3588" spans="1:1" x14ac:dyDescent="0.25">
      <c r="A3588" s="841"/>
    </row>
    <row r="3589" spans="1:1" x14ac:dyDescent="0.25">
      <c r="A3589" s="841"/>
    </row>
    <row r="3590" spans="1:1" x14ac:dyDescent="0.25">
      <c r="A3590" s="841"/>
    </row>
    <row r="3591" spans="1:1" x14ac:dyDescent="0.25">
      <c r="A3591" s="841"/>
    </row>
    <row r="3592" spans="1:1" x14ac:dyDescent="0.25">
      <c r="A3592" s="841"/>
    </row>
    <row r="3593" spans="1:1" x14ac:dyDescent="0.25">
      <c r="A3593" s="841"/>
    </row>
    <row r="3594" spans="1:1" x14ac:dyDescent="0.25">
      <c r="A3594" s="841"/>
    </row>
    <row r="3595" spans="1:1" x14ac:dyDescent="0.25">
      <c r="A3595" s="841"/>
    </row>
    <row r="3596" spans="1:1" x14ac:dyDescent="0.25">
      <c r="A3596" s="841"/>
    </row>
    <row r="3597" spans="1:1" x14ac:dyDescent="0.25">
      <c r="A3597" s="841"/>
    </row>
    <row r="3598" spans="1:1" x14ac:dyDescent="0.25">
      <c r="A3598" s="841"/>
    </row>
    <row r="3599" spans="1:1" x14ac:dyDescent="0.25">
      <c r="A3599" s="841"/>
    </row>
    <row r="3600" spans="1:1" x14ac:dyDescent="0.25">
      <c r="A3600" s="841"/>
    </row>
    <row r="3601" spans="1:1" x14ac:dyDescent="0.25">
      <c r="A3601" s="841"/>
    </row>
    <row r="3602" spans="1:1" x14ac:dyDescent="0.25">
      <c r="A3602" s="841"/>
    </row>
    <row r="3603" spans="1:1" x14ac:dyDescent="0.25">
      <c r="A3603" s="841"/>
    </row>
    <row r="3604" spans="1:1" x14ac:dyDescent="0.25">
      <c r="A3604" s="841"/>
    </row>
    <row r="3605" spans="1:1" x14ac:dyDescent="0.25">
      <c r="A3605" s="841"/>
    </row>
    <row r="3606" spans="1:1" x14ac:dyDescent="0.25">
      <c r="A3606" s="841"/>
    </row>
    <row r="3607" spans="1:1" x14ac:dyDescent="0.25">
      <c r="A3607" s="841"/>
    </row>
    <row r="3608" spans="1:1" x14ac:dyDescent="0.25">
      <c r="A3608" s="841"/>
    </row>
    <row r="3609" spans="1:1" x14ac:dyDescent="0.25">
      <c r="A3609" s="841"/>
    </row>
    <row r="3610" spans="1:1" x14ac:dyDescent="0.25">
      <c r="A3610" s="841"/>
    </row>
    <row r="3611" spans="1:1" x14ac:dyDescent="0.25">
      <c r="A3611" s="841"/>
    </row>
    <row r="3612" spans="1:1" x14ac:dyDescent="0.25">
      <c r="A3612" s="841"/>
    </row>
    <row r="3613" spans="1:1" x14ac:dyDescent="0.25">
      <c r="A3613" s="841"/>
    </row>
    <row r="3614" spans="1:1" x14ac:dyDescent="0.25">
      <c r="A3614" s="841"/>
    </row>
    <row r="3615" spans="1:1" x14ac:dyDescent="0.25">
      <c r="A3615" s="841"/>
    </row>
    <row r="3616" spans="1:1" x14ac:dyDescent="0.25">
      <c r="A3616" s="841"/>
    </row>
    <row r="3617" spans="1:1" x14ac:dyDescent="0.25">
      <c r="A3617" s="841"/>
    </row>
    <row r="3618" spans="1:1" x14ac:dyDescent="0.25">
      <c r="A3618" s="841"/>
    </row>
    <row r="3619" spans="1:1" x14ac:dyDescent="0.25">
      <c r="A3619" s="841"/>
    </row>
    <row r="3620" spans="1:1" x14ac:dyDescent="0.25">
      <c r="A3620" s="841"/>
    </row>
    <row r="3621" spans="1:1" x14ac:dyDescent="0.25">
      <c r="A3621" s="841"/>
    </row>
    <row r="3622" spans="1:1" x14ac:dyDescent="0.25">
      <c r="A3622" s="841"/>
    </row>
    <row r="3623" spans="1:1" x14ac:dyDescent="0.25">
      <c r="A3623" s="841"/>
    </row>
    <row r="3624" spans="1:1" x14ac:dyDescent="0.25">
      <c r="A3624" s="841"/>
    </row>
    <row r="3625" spans="1:1" x14ac:dyDescent="0.25">
      <c r="A3625" s="841"/>
    </row>
    <row r="3626" spans="1:1" x14ac:dyDescent="0.25">
      <c r="A3626" s="841"/>
    </row>
    <row r="3627" spans="1:1" x14ac:dyDescent="0.25">
      <c r="A3627" s="841"/>
    </row>
    <row r="3628" spans="1:1" x14ac:dyDescent="0.25">
      <c r="A3628" s="841"/>
    </row>
    <row r="3629" spans="1:1" x14ac:dyDescent="0.25">
      <c r="A3629" s="841"/>
    </row>
    <row r="3630" spans="1:1" x14ac:dyDescent="0.25">
      <c r="A3630" s="841"/>
    </row>
    <row r="3631" spans="1:1" x14ac:dyDescent="0.25">
      <c r="A3631" s="841"/>
    </row>
    <row r="3632" spans="1:1" x14ac:dyDescent="0.25">
      <c r="A3632" s="841"/>
    </row>
    <row r="3633" spans="1:1" x14ac:dyDescent="0.25">
      <c r="A3633" s="841"/>
    </row>
    <row r="3634" spans="1:1" x14ac:dyDescent="0.25">
      <c r="A3634" s="841"/>
    </row>
    <row r="3635" spans="1:1" x14ac:dyDescent="0.25">
      <c r="A3635" s="841"/>
    </row>
    <row r="3636" spans="1:1" x14ac:dyDescent="0.25">
      <c r="A3636" s="841"/>
    </row>
    <row r="3637" spans="1:1" x14ac:dyDescent="0.25">
      <c r="A3637" s="841"/>
    </row>
    <row r="3638" spans="1:1" x14ac:dyDescent="0.25">
      <c r="A3638" s="841"/>
    </row>
    <row r="3639" spans="1:1" x14ac:dyDescent="0.25">
      <c r="A3639" s="841"/>
    </row>
    <row r="3640" spans="1:1" x14ac:dyDescent="0.25">
      <c r="A3640" s="841"/>
    </row>
    <row r="3641" spans="1:1" x14ac:dyDescent="0.25">
      <c r="A3641" s="841"/>
    </row>
    <row r="3642" spans="1:1" x14ac:dyDescent="0.25">
      <c r="A3642" s="841"/>
    </row>
    <row r="3643" spans="1:1" x14ac:dyDescent="0.25">
      <c r="A3643" s="841"/>
    </row>
    <row r="3644" spans="1:1" x14ac:dyDescent="0.25">
      <c r="A3644" s="841"/>
    </row>
    <row r="3645" spans="1:1" x14ac:dyDescent="0.25">
      <c r="A3645" s="841"/>
    </row>
    <row r="3646" spans="1:1" x14ac:dyDescent="0.25">
      <c r="A3646" s="841"/>
    </row>
    <row r="3647" spans="1:1" x14ac:dyDescent="0.25">
      <c r="A3647" s="841"/>
    </row>
    <row r="3648" spans="1:1" x14ac:dyDescent="0.25">
      <c r="A3648" s="841"/>
    </row>
    <row r="3649" spans="1:1" x14ac:dyDescent="0.25">
      <c r="A3649" s="841"/>
    </row>
    <row r="3650" spans="1:1" x14ac:dyDescent="0.25">
      <c r="A3650" s="841"/>
    </row>
    <row r="3651" spans="1:1" x14ac:dyDescent="0.25">
      <c r="A3651" s="841"/>
    </row>
    <row r="3652" spans="1:1" x14ac:dyDescent="0.25">
      <c r="A3652" s="841"/>
    </row>
    <row r="3653" spans="1:1" x14ac:dyDescent="0.25">
      <c r="A3653" s="841"/>
    </row>
    <row r="3654" spans="1:1" x14ac:dyDescent="0.25">
      <c r="A3654" s="841"/>
    </row>
    <row r="3655" spans="1:1" x14ac:dyDescent="0.25">
      <c r="A3655" s="841"/>
    </row>
    <row r="3656" spans="1:1" x14ac:dyDescent="0.25">
      <c r="A3656" s="841"/>
    </row>
    <row r="3657" spans="1:1" x14ac:dyDescent="0.25">
      <c r="A3657" s="841"/>
    </row>
    <row r="3658" spans="1:1" x14ac:dyDescent="0.25">
      <c r="A3658" s="841"/>
    </row>
    <row r="3659" spans="1:1" x14ac:dyDescent="0.25">
      <c r="A3659" s="841"/>
    </row>
    <row r="3660" spans="1:1" x14ac:dyDescent="0.25">
      <c r="A3660" s="841"/>
    </row>
    <row r="3661" spans="1:1" x14ac:dyDescent="0.25">
      <c r="A3661" s="841"/>
    </row>
    <row r="3662" spans="1:1" x14ac:dyDescent="0.25">
      <c r="A3662" s="841"/>
    </row>
    <row r="3663" spans="1:1" x14ac:dyDescent="0.25">
      <c r="A3663" s="841"/>
    </row>
    <row r="3664" spans="1:1" x14ac:dyDescent="0.25">
      <c r="A3664" s="841"/>
    </row>
    <row r="3665" spans="1:1" x14ac:dyDescent="0.25">
      <c r="A3665" s="841"/>
    </row>
    <row r="3666" spans="1:1" x14ac:dyDescent="0.25">
      <c r="A3666" s="841"/>
    </row>
    <row r="3667" spans="1:1" x14ac:dyDescent="0.25">
      <c r="A3667" s="841"/>
    </row>
    <row r="3668" spans="1:1" x14ac:dyDescent="0.25">
      <c r="A3668" s="841"/>
    </row>
    <row r="3669" spans="1:1" x14ac:dyDescent="0.25">
      <c r="A3669" s="841"/>
    </row>
    <row r="3670" spans="1:1" x14ac:dyDescent="0.25">
      <c r="A3670" s="841"/>
    </row>
    <row r="3671" spans="1:1" x14ac:dyDescent="0.25">
      <c r="A3671" s="841"/>
    </row>
    <row r="3672" spans="1:1" x14ac:dyDescent="0.25">
      <c r="A3672" s="841"/>
    </row>
    <row r="3673" spans="1:1" x14ac:dyDescent="0.25">
      <c r="A3673" s="841"/>
    </row>
    <row r="3674" spans="1:1" x14ac:dyDescent="0.25">
      <c r="A3674" s="841"/>
    </row>
    <row r="3675" spans="1:1" x14ac:dyDescent="0.25">
      <c r="A3675" s="841"/>
    </row>
    <row r="3676" spans="1:1" x14ac:dyDescent="0.25">
      <c r="A3676" s="841"/>
    </row>
    <row r="3677" spans="1:1" x14ac:dyDescent="0.25">
      <c r="A3677" s="841"/>
    </row>
    <row r="3678" spans="1:1" x14ac:dyDescent="0.25">
      <c r="A3678" s="841"/>
    </row>
    <row r="3679" spans="1:1" x14ac:dyDescent="0.25">
      <c r="A3679" s="841"/>
    </row>
    <row r="3680" spans="1:1" x14ac:dyDescent="0.25">
      <c r="A3680" s="841"/>
    </row>
    <row r="3681" spans="1:1" x14ac:dyDescent="0.25">
      <c r="A3681" s="841"/>
    </row>
    <row r="3682" spans="1:1" x14ac:dyDescent="0.25">
      <c r="A3682" s="841"/>
    </row>
    <row r="3683" spans="1:1" x14ac:dyDescent="0.25">
      <c r="A3683" s="841"/>
    </row>
    <row r="3684" spans="1:1" x14ac:dyDescent="0.25">
      <c r="A3684" s="841"/>
    </row>
    <row r="3685" spans="1:1" x14ac:dyDescent="0.25">
      <c r="A3685" s="841"/>
    </row>
    <row r="3686" spans="1:1" x14ac:dyDescent="0.25">
      <c r="A3686" s="841"/>
    </row>
    <row r="3687" spans="1:1" x14ac:dyDescent="0.25">
      <c r="A3687" s="841"/>
    </row>
    <row r="3688" spans="1:1" x14ac:dyDescent="0.25">
      <c r="A3688" s="841"/>
    </row>
    <row r="3689" spans="1:1" x14ac:dyDescent="0.25">
      <c r="A3689" s="841"/>
    </row>
    <row r="3690" spans="1:1" x14ac:dyDescent="0.25">
      <c r="A3690" s="841"/>
    </row>
    <row r="3691" spans="1:1" x14ac:dyDescent="0.25">
      <c r="A3691" s="841"/>
    </row>
    <row r="3692" spans="1:1" x14ac:dyDescent="0.25">
      <c r="A3692" s="841"/>
    </row>
    <row r="3693" spans="1:1" x14ac:dyDescent="0.25">
      <c r="A3693" s="841"/>
    </row>
    <row r="3694" spans="1:1" x14ac:dyDescent="0.25">
      <c r="A3694" s="841"/>
    </row>
    <row r="3695" spans="1:1" x14ac:dyDescent="0.25">
      <c r="A3695" s="841"/>
    </row>
    <row r="3696" spans="1:1" x14ac:dyDescent="0.25">
      <c r="A3696" s="841"/>
    </row>
    <row r="3697" spans="1:1" x14ac:dyDescent="0.25">
      <c r="A3697" s="841"/>
    </row>
    <row r="3698" spans="1:1" x14ac:dyDescent="0.25">
      <c r="A3698" s="841"/>
    </row>
    <row r="3699" spans="1:1" x14ac:dyDescent="0.25">
      <c r="A3699" s="841"/>
    </row>
    <row r="3700" spans="1:1" x14ac:dyDescent="0.25">
      <c r="A3700" s="841"/>
    </row>
    <row r="3701" spans="1:1" x14ac:dyDescent="0.25">
      <c r="A3701" s="841"/>
    </row>
    <row r="3702" spans="1:1" x14ac:dyDescent="0.25">
      <c r="A3702" s="841"/>
    </row>
    <row r="3703" spans="1:1" x14ac:dyDescent="0.25">
      <c r="A3703" s="841"/>
    </row>
    <row r="3704" spans="1:1" x14ac:dyDescent="0.25">
      <c r="A3704" s="841"/>
    </row>
    <row r="3705" spans="1:1" x14ac:dyDescent="0.25">
      <c r="A3705" s="841"/>
    </row>
    <row r="3706" spans="1:1" x14ac:dyDescent="0.25">
      <c r="A3706" s="841"/>
    </row>
    <row r="3707" spans="1:1" x14ac:dyDescent="0.25">
      <c r="A3707" s="841"/>
    </row>
    <row r="3708" spans="1:1" x14ac:dyDescent="0.25">
      <c r="A3708" s="841"/>
    </row>
    <row r="3709" spans="1:1" x14ac:dyDescent="0.25">
      <c r="A3709" s="841"/>
    </row>
    <row r="3710" spans="1:1" x14ac:dyDescent="0.25">
      <c r="A3710" s="841"/>
    </row>
    <row r="3711" spans="1:1" x14ac:dyDescent="0.25">
      <c r="A3711" s="841"/>
    </row>
    <row r="3712" spans="1:1" x14ac:dyDescent="0.25">
      <c r="A3712" s="841"/>
    </row>
    <row r="3713" spans="1:1" x14ac:dyDescent="0.25">
      <c r="A3713" s="841"/>
    </row>
    <row r="3714" spans="1:1" x14ac:dyDescent="0.25">
      <c r="A3714" s="841"/>
    </row>
    <row r="3715" spans="1:1" x14ac:dyDescent="0.25">
      <c r="A3715" s="841"/>
    </row>
    <row r="3716" spans="1:1" x14ac:dyDescent="0.25">
      <c r="A3716" s="841"/>
    </row>
    <row r="3717" spans="1:1" x14ac:dyDescent="0.25">
      <c r="A3717" s="841"/>
    </row>
    <row r="3718" spans="1:1" x14ac:dyDescent="0.25">
      <c r="A3718" s="841"/>
    </row>
    <row r="3719" spans="1:1" x14ac:dyDescent="0.25">
      <c r="A3719" s="841"/>
    </row>
    <row r="3720" spans="1:1" x14ac:dyDescent="0.25">
      <c r="A3720" s="841"/>
    </row>
    <row r="3721" spans="1:1" x14ac:dyDescent="0.25">
      <c r="A3721" s="841"/>
    </row>
    <row r="3722" spans="1:1" x14ac:dyDescent="0.25">
      <c r="A3722" s="841"/>
    </row>
    <row r="3723" spans="1:1" x14ac:dyDescent="0.25">
      <c r="A3723" s="841"/>
    </row>
    <row r="3724" spans="1:1" x14ac:dyDescent="0.25">
      <c r="A3724" s="841"/>
    </row>
    <row r="3725" spans="1:1" x14ac:dyDescent="0.25">
      <c r="A3725" s="841"/>
    </row>
    <row r="3726" spans="1:1" x14ac:dyDescent="0.25">
      <c r="A3726" s="841"/>
    </row>
    <row r="3727" spans="1:1" x14ac:dyDescent="0.25">
      <c r="A3727" s="841"/>
    </row>
    <row r="3728" spans="1:1" x14ac:dyDescent="0.25">
      <c r="A3728" s="841"/>
    </row>
    <row r="3729" spans="1:1" x14ac:dyDescent="0.25">
      <c r="A3729" s="841"/>
    </row>
    <row r="3730" spans="1:1" x14ac:dyDescent="0.25">
      <c r="A3730" s="841"/>
    </row>
    <row r="3731" spans="1:1" x14ac:dyDescent="0.25">
      <c r="A3731" s="841"/>
    </row>
    <row r="3732" spans="1:1" x14ac:dyDescent="0.25">
      <c r="A3732" s="841"/>
    </row>
    <row r="3733" spans="1:1" x14ac:dyDescent="0.25">
      <c r="A3733" s="841"/>
    </row>
    <row r="3734" spans="1:1" x14ac:dyDescent="0.25">
      <c r="A3734" s="841"/>
    </row>
    <row r="3735" spans="1:1" x14ac:dyDescent="0.25">
      <c r="A3735" s="841"/>
    </row>
    <row r="3736" spans="1:1" x14ac:dyDescent="0.25">
      <c r="A3736" s="841"/>
    </row>
    <row r="3737" spans="1:1" x14ac:dyDescent="0.25">
      <c r="A3737" s="841"/>
    </row>
    <row r="3738" spans="1:1" x14ac:dyDescent="0.25">
      <c r="A3738" s="841"/>
    </row>
    <row r="3739" spans="1:1" x14ac:dyDescent="0.25">
      <c r="A3739" s="841"/>
    </row>
    <row r="3740" spans="1:1" x14ac:dyDescent="0.25">
      <c r="A3740" s="841"/>
    </row>
    <row r="3741" spans="1:1" x14ac:dyDescent="0.25">
      <c r="A3741" s="841"/>
    </row>
    <row r="3742" spans="1:1" x14ac:dyDescent="0.25">
      <c r="A3742" s="841"/>
    </row>
    <row r="3743" spans="1:1" x14ac:dyDescent="0.25">
      <c r="A3743" s="841"/>
    </row>
    <row r="3744" spans="1:1" x14ac:dyDescent="0.25">
      <c r="A3744" s="841"/>
    </row>
    <row r="3745" spans="1:1" x14ac:dyDescent="0.25">
      <c r="A3745" s="841"/>
    </row>
    <row r="3746" spans="1:1" x14ac:dyDescent="0.25">
      <c r="A3746" s="841"/>
    </row>
    <row r="3747" spans="1:1" x14ac:dyDescent="0.25">
      <c r="A3747" s="841"/>
    </row>
    <row r="3748" spans="1:1" x14ac:dyDescent="0.25">
      <c r="A3748" s="841"/>
    </row>
    <row r="3749" spans="1:1" x14ac:dyDescent="0.25">
      <c r="A3749" s="841"/>
    </row>
    <row r="3750" spans="1:1" x14ac:dyDescent="0.25">
      <c r="A3750" s="841"/>
    </row>
    <row r="3751" spans="1:1" x14ac:dyDescent="0.25">
      <c r="A3751" s="841"/>
    </row>
    <row r="3752" spans="1:1" x14ac:dyDescent="0.25">
      <c r="A3752" s="841"/>
    </row>
    <row r="3753" spans="1:1" x14ac:dyDescent="0.25">
      <c r="A3753" s="841"/>
    </row>
    <row r="3754" spans="1:1" x14ac:dyDescent="0.25">
      <c r="A3754" s="841"/>
    </row>
    <row r="3755" spans="1:1" x14ac:dyDescent="0.25">
      <c r="A3755" s="841"/>
    </row>
    <row r="3756" spans="1:1" x14ac:dyDescent="0.25">
      <c r="A3756" s="841"/>
    </row>
    <row r="3757" spans="1:1" x14ac:dyDescent="0.25">
      <c r="A3757" s="841"/>
    </row>
    <row r="3758" spans="1:1" x14ac:dyDescent="0.25">
      <c r="A3758" s="841"/>
    </row>
    <row r="3759" spans="1:1" x14ac:dyDescent="0.25">
      <c r="A3759" s="841"/>
    </row>
    <row r="3760" spans="1:1" x14ac:dyDescent="0.25">
      <c r="A3760" s="841"/>
    </row>
    <row r="3761" spans="1:1" x14ac:dyDescent="0.25">
      <c r="A3761" s="841"/>
    </row>
    <row r="3762" spans="1:1" x14ac:dyDescent="0.25">
      <c r="A3762" s="841"/>
    </row>
    <row r="3763" spans="1:1" x14ac:dyDescent="0.25">
      <c r="A3763" s="841"/>
    </row>
    <row r="3764" spans="1:1" x14ac:dyDescent="0.25">
      <c r="A3764" s="841"/>
    </row>
    <row r="3765" spans="1:1" x14ac:dyDescent="0.25">
      <c r="A3765" s="841"/>
    </row>
    <row r="3766" spans="1:1" x14ac:dyDescent="0.25">
      <c r="A3766" s="841"/>
    </row>
    <row r="3767" spans="1:1" x14ac:dyDescent="0.25">
      <c r="A3767" s="841"/>
    </row>
    <row r="3768" spans="1:1" x14ac:dyDescent="0.25">
      <c r="A3768" s="841"/>
    </row>
    <row r="3769" spans="1:1" x14ac:dyDescent="0.25">
      <c r="A3769" s="841"/>
    </row>
    <row r="3770" spans="1:1" x14ac:dyDescent="0.25">
      <c r="A3770" s="841"/>
    </row>
    <row r="3771" spans="1:1" x14ac:dyDescent="0.25">
      <c r="A3771" s="841"/>
    </row>
    <row r="3772" spans="1:1" x14ac:dyDescent="0.25">
      <c r="A3772" s="841"/>
    </row>
    <row r="3773" spans="1:1" x14ac:dyDescent="0.25">
      <c r="A3773" s="841"/>
    </row>
    <row r="3774" spans="1:1" x14ac:dyDescent="0.25">
      <c r="A3774" s="841"/>
    </row>
    <row r="3775" spans="1:1" x14ac:dyDescent="0.25">
      <c r="A3775" s="841"/>
    </row>
    <row r="3776" spans="1:1" x14ac:dyDescent="0.25">
      <c r="A3776" s="841"/>
    </row>
    <row r="3777" spans="1:1" x14ac:dyDescent="0.25">
      <c r="A3777" s="841"/>
    </row>
    <row r="3778" spans="1:1" x14ac:dyDescent="0.25">
      <c r="A3778" s="841"/>
    </row>
    <row r="3779" spans="1:1" x14ac:dyDescent="0.25">
      <c r="A3779" s="841"/>
    </row>
    <row r="3780" spans="1:1" x14ac:dyDescent="0.25">
      <c r="A3780" s="841"/>
    </row>
    <row r="3781" spans="1:1" x14ac:dyDescent="0.25">
      <c r="A3781" s="841"/>
    </row>
    <row r="3782" spans="1:1" x14ac:dyDescent="0.25">
      <c r="A3782" s="841"/>
    </row>
    <row r="3783" spans="1:1" x14ac:dyDescent="0.25">
      <c r="A3783" s="841"/>
    </row>
    <row r="3784" spans="1:1" x14ac:dyDescent="0.25">
      <c r="A3784" s="841"/>
    </row>
    <row r="3785" spans="1:1" x14ac:dyDescent="0.25">
      <c r="A3785" s="841"/>
    </row>
    <row r="3786" spans="1:1" x14ac:dyDescent="0.25">
      <c r="A3786" s="841"/>
    </row>
    <row r="3787" spans="1:1" x14ac:dyDescent="0.25">
      <c r="A3787" s="841"/>
    </row>
    <row r="3788" spans="1:1" x14ac:dyDescent="0.25">
      <c r="A3788" s="841"/>
    </row>
    <row r="3789" spans="1:1" x14ac:dyDescent="0.25">
      <c r="A3789" s="841"/>
    </row>
    <row r="3790" spans="1:1" x14ac:dyDescent="0.25">
      <c r="A3790" s="841"/>
    </row>
    <row r="3791" spans="1:1" x14ac:dyDescent="0.25">
      <c r="A3791" s="841"/>
    </row>
    <row r="3792" spans="1:1" x14ac:dyDescent="0.25">
      <c r="A3792" s="841"/>
    </row>
    <row r="3793" spans="1:1" x14ac:dyDescent="0.25">
      <c r="A3793" s="841"/>
    </row>
    <row r="3794" spans="1:1" x14ac:dyDescent="0.25">
      <c r="A3794" s="841"/>
    </row>
    <row r="3795" spans="1:1" x14ac:dyDescent="0.25">
      <c r="A3795" s="841"/>
    </row>
    <row r="3796" spans="1:1" x14ac:dyDescent="0.25">
      <c r="A3796" s="841"/>
    </row>
    <row r="3797" spans="1:1" x14ac:dyDescent="0.25">
      <c r="A3797" s="841"/>
    </row>
    <row r="3798" spans="1:1" x14ac:dyDescent="0.25">
      <c r="A3798" s="841"/>
    </row>
    <row r="3799" spans="1:1" x14ac:dyDescent="0.25">
      <c r="A3799" s="841"/>
    </row>
    <row r="3800" spans="1:1" x14ac:dyDescent="0.25">
      <c r="A3800" s="841"/>
    </row>
    <row r="3801" spans="1:1" x14ac:dyDescent="0.25">
      <c r="A3801" s="841"/>
    </row>
    <row r="3802" spans="1:1" x14ac:dyDescent="0.25">
      <c r="A3802" s="841"/>
    </row>
    <row r="3803" spans="1:1" x14ac:dyDescent="0.25">
      <c r="A3803" s="841"/>
    </row>
    <row r="3804" spans="1:1" x14ac:dyDescent="0.25">
      <c r="A3804" s="841"/>
    </row>
    <row r="3805" spans="1:1" x14ac:dyDescent="0.25">
      <c r="A3805" s="841"/>
    </row>
    <row r="3806" spans="1:1" x14ac:dyDescent="0.25">
      <c r="A3806" s="841"/>
    </row>
    <row r="3807" spans="1:1" x14ac:dyDescent="0.25">
      <c r="A3807" s="841"/>
    </row>
    <row r="3808" spans="1:1" x14ac:dyDescent="0.25">
      <c r="A3808" s="841"/>
    </row>
    <row r="3809" spans="1:1" x14ac:dyDescent="0.25">
      <c r="A3809" s="841"/>
    </row>
    <row r="3810" spans="1:1" x14ac:dyDescent="0.25">
      <c r="A3810" s="841"/>
    </row>
    <row r="3811" spans="1:1" x14ac:dyDescent="0.25">
      <c r="A3811" s="841"/>
    </row>
    <row r="3812" spans="1:1" x14ac:dyDescent="0.25">
      <c r="A3812" s="841"/>
    </row>
    <row r="3813" spans="1:1" x14ac:dyDescent="0.25">
      <c r="A3813" s="841"/>
    </row>
    <row r="3814" spans="1:1" x14ac:dyDescent="0.25">
      <c r="A3814" s="841"/>
    </row>
    <row r="3815" spans="1:1" x14ac:dyDescent="0.25">
      <c r="A3815" s="841"/>
    </row>
    <row r="3816" spans="1:1" x14ac:dyDescent="0.25">
      <c r="A3816" s="841"/>
    </row>
    <row r="3817" spans="1:1" x14ac:dyDescent="0.25">
      <c r="A3817" s="841"/>
    </row>
    <row r="3818" spans="1:1" x14ac:dyDescent="0.25">
      <c r="A3818" s="841"/>
    </row>
    <row r="3819" spans="1:1" x14ac:dyDescent="0.25">
      <c r="A3819" s="841"/>
    </row>
    <row r="3820" spans="1:1" x14ac:dyDescent="0.25">
      <c r="A3820" s="841"/>
    </row>
    <row r="3821" spans="1:1" x14ac:dyDescent="0.25">
      <c r="A3821" s="841"/>
    </row>
    <row r="3822" spans="1:1" x14ac:dyDescent="0.25">
      <c r="A3822" s="841"/>
    </row>
    <row r="3823" spans="1:1" x14ac:dyDescent="0.25">
      <c r="A3823" s="841"/>
    </row>
    <row r="3824" spans="1:1" x14ac:dyDescent="0.25">
      <c r="A3824" s="841"/>
    </row>
    <row r="3825" spans="1:1" x14ac:dyDescent="0.25">
      <c r="A3825" s="841"/>
    </row>
    <row r="3826" spans="1:1" x14ac:dyDescent="0.25">
      <c r="A3826" s="841"/>
    </row>
    <row r="3827" spans="1:1" x14ac:dyDescent="0.25">
      <c r="A3827" s="841"/>
    </row>
    <row r="3828" spans="1:1" x14ac:dyDescent="0.25">
      <c r="A3828" s="841"/>
    </row>
    <row r="3829" spans="1:1" x14ac:dyDescent="0.25">
      <c r="A3829" s="841"/>
    </row>
    <row r="3830" spans="1:1" x14ac:dyDescent="0.25">
      <c r="A3830" s="841"/>
    </row>
    <row r="3831" spans="1:1" x14ac:dyDescent="0.25">
      <c r="A3831" s="841"/>
    </row>
    <row r="3832" spans="1:1" x14ac:dyDescent="0.25">
      <c r="A3832" s="841"/>
    </row>
    <row r="3833" spans="1:1" x14ac:dyDescent="0.25">
      <c r="A3833" s="841"/>
    </row>
    <row r="3834" spans="1:1" x14ac:dyDescent="0.25">
      <c r="A3834" s="841"/>
    </row>
    <row r="3835" spans="1:1" x14ac:dyDescent="0.25">
      <c r="A3835" s="841"/>
    </row>
    <row r="3836" spans="1:1" x14ac:dyDescent="0.25">
      <c r="A3836" s="841"/>
    </row>
    <row r="3837" spans="1:1" x14ac:dyDescent="0.25">
      <c r="A3837" s="841"/>
    </row>
    <row r="3838" spans="1:1" x14ac:dyDescent="0.25">
      <c r="A3838" s="841"/>
    </row>
    <row r="3839" spans="1:1" x14ac:dyDescent="0.25">
      <c r="A3839" s="841"/>
    </row>
    <row r="3840" spans="1:1" x14ac:dyDescent="0.25">
      <c r="A3840" s="841"/>
    </row>
    <row r="3841" spans="1:1" x14ac:dyDescent="0.25">
      <c r="A3841" s="841"/>
    </row>
    <row r="3842" spans="1:1" x14ac:dyDescent="0.25">
      <c r="A3842" s="841"/>
    </row>
    <row r="3843" spans="1:1" x14ac:dyDescent="0.25">
      <c r="A3843" s="841"/>
    </row>
    <row r="3844" spans="1:1" x14ac:dyDescent="0.25">
      <c r="A3844" s="841"/>
    </row>
    <row r="3845" spans="1:1" x14ac:dyDescent="0.25">
      <c r="A3845" s="841"/>
    </row>
    <row r="3846" spans="1:1" x14ac:dyDescent="0.25">
      <c r="A3846" s="841"/>
    </row>
    <row r="3847" spans="1:1" x14ac:dyDescent="0.25">
      <c r="A3847" s="841"/>
    </row>
    <row r="3848" spans="1:1" x14ac:dyDescent="0.25">
      <c r="A3848" s="841"/>
    </row>
    <row r="3849" spans="1:1" x14ac:dyDescent="0.25">
      <c r="A3849" s="841"/>
    </row>
    <row r="3850" spans="1:1" x14ac:dyDescent="0.25">
      <c r="A3850" s="841"/>
    </row>
    <row r="3851" spans="1:1" x14ac:dyDescent="0.25">
      <c r="A3851" s="841"/>
    </row>
    <row r="3852" spans="1:1" x14ac:dyDescent="0.25">
      <c r="A3852" s="841"/>
    </row>
    <row r="3853" spans="1:1" x14ac:dyDescent="0.25">
      <c r="A3853" s="841"/>
    </row>
    <row r="3854" spans="1:1" x14ac:dyDescent="0.25">
      <c r="A3854" s="841"/>
    </row>
    <row r="3855" spans="1:1" x14ac:dyDescent="0.25">
      <c r="A3855" s="841"/>
    </row>
    <row r="3856" spans="1:1" x14ac:dyDescent="0.25">
      <c r="A3856" s="841"/>
    </row>
    <row r="3857" spans="1:1" x14ac:dyDescent="0.25">
      <c r="A3857" s="841"/>
    </row>
    <row r="3858" spans="1:1" x14ac:dyDescent="0.25">
      <c r="A3858" s="841"/>
    </row>
    <row r="3859" spans="1:1" x14ac:dyDescent="0.25">
      <c r="A3859" s="841"/>
    </row>
    <row r="3860" spans="1:1" x14ac:dyDescent="0.25">
      <c r="A3860" s="841"/>
    </row>
    <row r="3861" spans="1:1" x14ac:dyDescent="0.25">
      <c r="A3861" s="841"/>
    </row>
    <row r="3862" spans="1:1" x14ac:dyDescent="0.25">
      <c r="A3862" s="841"/>
    </row>
    <row r="3863" spans="1:1" x14ac:dyDescent="0.25">
      <c r="A3863" s="841"/>
    </row>
    <row r="3864" spans="1:1" x14ac:dyDescent="0.25">
      <c r="A3864" s="841"/>
    </row>
    <row r="3865" spans="1:1" x14ac:dyDescent="0.25">
      <c r="A3865" s="841"/>
    </row>
    <row r="3866" spans="1:1" x14ac:dyDescent="0.25">
      <c r="A3866" s="841"/>
    </row>
    <row r="3867" spans="1:1" x14ac:dyDescent="0.25">
      <c r="A3867" s="841"/>
    </row>
    <row r="3868" spans="1:1" x14ac:dyDescent="0.25">
      <c r="A3868" s="841"/>
    </row>
    <row r="3869" spans="1:1" x14ac:dyDescent="0.25">
      <c r="A3869" s="841"/>
    </row>
    <row r="3870" spans="1:1" x14ac:dyDescent="0.25">
      <c r="A3870" s="841"/>
    </row>
    <row r="3871" spans="1:1" x14ac:dyDescent="0.25">
      <c r="A3871" s="841"/>
    </row>
    <row r="3872" spans="1:1" x14ac:dyDescent="0.25">
      <c r="A3872" s="841"/>
    </row>
    <row r="3873" spans="1:1" x14ac:dyDescent="0.25">
      <c r="A3873" s="841"/>
    </row>
    <row r="3874" spans="1:1" x14ac:dyDescent="0.25">
      <c r="A3874" s="841"/>
    </row>
    <row r="3875" spans="1:1" x14ac:dyDescent="0.25">
      <c r="A3875" s="841"/>
    </row>
    <row r="3876" spans="1:1" x14ac:dyDescent="0.25">
      <c r="A3876" s="841"/>
    </row>
    <row r="3877" spans="1:1" x14ac:dyDescent="0.25">
      <c r="A3877" s="841"/>
    </row>
    <row r="3878" spans="1:1" x14ac:dyDescent="0.25">
      <c r="A3878" s="841"/>
    </row>
    <row r="3879" spans="1:1" x14ac:dyDescent="0.25">
      <c r="A3879" s="841"/>
    </row>
    <row r="3880" spans="1:1" x14ac:dyDescent="0.25">
      <c r="A3880" s="841"/>
    </row>
    <row r="3881" spans="1:1" x14ac:dyDescent="0.25">
      <c r="A3881" s="841"/>
    </row>
    <row r="3882" spans="1:1" x14ac:dyDescent="0.25">
      <c r="A3882" s="841"/>
    </row>
    <row r="3883" spans="1:1" x14ac:dyDescent="0.25">
      <c r="A3883" s="841"/>
    </row>
    <row r="3884" spans="1:1" x14ac:dyDescent="0.25">
      <c r="A3884" s="841"/>
    </row>
    <row r="3885" spans="1:1" x14ac:dyDescent="0.25">
      <c r="A3885" s="841"/>
    </row>
    <row r="3886" spans="1:1" x14ac:dyDescent="0.25">
      <c r="A3886" s="841"/>
    </row>
    <row r="3887" spans="1:1" x14ac:dyDescent="0.25">
      <c r="A3887" s="841"/>
    </row>
    <row r="3888" spans="1:1" x14ac:dyDescent="0.25">
      <c r="A3888" s="841"/>
    </row>
    <row r="3889" spans="1:1" x14ac:dyDescent="0.25">
      <c r="A3889" s="841"/>
    </row>
    <row r="3890" spans="1:1" x14ac:dyDescent="0.25">
      <c r="A3890" s="841"/>
    </row>
    <row r="3891" spans="1:1" x14ac:dyDescent="0.25">
      <c r="A3891" s="841"/>
    </row>
    <row r="3892" spans="1:1" x14ac:dyDescent="0.25">
      <c r="A3892" s="841"/>
    </row>
    <row r="3893" spans="1:1" x14ac:dyDescent="0.25">
      <c r="A3893" s="841"/>
    </row>
    <row r="3894" spans="1:1" x14ac:dyDescent="0.25">
      <c r="A3894" s="841"/>
    </row>
    <row r="3895" spans="1:1" x14ac:dyDescent="0.25">
      <c r="A3895" s="841"/>
    </row>
    <row r="3896" spans="1:1" x14ac:dyDescent="0.25">
      <c r="A3896" s="841"/>
    </row>
    <row r="3897" spans="1:1" x14ac:dyDescent="0.25">
      <c r="A3897" s="841"/>
    </row>
    <row r="3898" spans="1:1" x14ac:dyDescent="0.25">
      <c r="A3898" s="841"/>
    </row>
    <row r="3899" spans="1:1" x14ac:dyDescent="0.25">
      <c r="A3899" s="841"/>
    </row>
    <row r="3900" spans="1:1" x14ac:dyDescent="0.25">
      <c r="A3900" s="841"/>
    </row>
    <row r="3901" spans="1:1" x14ac:dyDescent="0.25">
      <c r="A3901" s="841"/>
    </row>
    <row r="3902" spans="1:1" x14ac:dyDescent="0.25">
      <c r="A3902" s="841"/>
    </row>
    <row r="3903" spans="1:1" x14ac:dyDescent="0.25">
      <c r="A3903" s="841"/>
    </row>
    <row r="3904" spans="1:1" x14ac:dyDescent="0.25">
      <c r="A3904" s="841"/>
    </row>
    <row r="3905" spans="1:1" x14ac:dyDescent="0.25">
      <c r="A3905" s="841"/>
    </row>
    <row r="3906" spans="1:1" x14ac:dyDescent="0.25">
      <c r="A3906" s="841"/>
    </row>
    <row r="3907" spans="1:1" x14ac:dyDescent="0.25">
      <c r="A3907" s="841"/>
    </row>
    <row r="3908" spans="1:1" x14ac:dyDescent="0.25">
      <c r="A3908" s="841"/>
    </row>
    <row r="3909" spans="1:1" x14ac:dyDescent="0.25">
      <c r="A3909" s="841"/>
    </row>
    <row r="3910" spans="1:1" x14ac:dyDescent="0.25">
      <c r="A3910" s="841"/>
    </row>
    <row r="3911" spans="1:1" x14ac:dyDescent="0.25">
      <c r="A3911" s="841"/>
    </row>
    <row r="3912" spans="1:1" x14ac:dyDescent="0.25">
      <c r="A3912" s="841"/>
    </row>
    <row r="3913" spans="1:1" x14ac:dyDescent="0.25">
      <c r="A3913" s="841"/>
    </row>
    <row r="3914" spans="1:1" x14ac:dyDescent="0.25">
      <c r="A3914" s="841"/>
    </row>
    <row r="3915" spans="1:1" x14ac:dyDescent="0.25">
      <c r="A3915" s="841"/>
    </row>
    <row r="3916" spans="1:1" x14ac:dyDescent="0.25">
      <c r="A3916" s="841"/>
    </row>
    <row r="3917" spans="1:1" x14ac:dyDescent="0.25">
      <c r="A3917" s="841"/>
    </row>
    <row r="3918" spans="1:1" x14ac:dyDescent="0.25">
      <c r="A3918" s="841"/>
    </row>
    <row r="3919" spans="1:1" x14ac:dyDescent="0.25">
      <c r="A3919" s="841"/>
    </row>
    <row r="3920" spans="1:1" x14ac:dyDescent="0.25">
      <c r="A3920" s="841"/>
    </row>
    <row r="3921" spans="1:1" x14ac:dyDescent="0.25">
      <c r="A3921" s="841"/>
    </row>
    <row r="3922" spans="1:1" x14ac:dyDescent="0.25">
      <c r="A3922" s="841"/>
    </row>
    <row r="3923" spans="1:1" x14ac:dyDescent="0.25">
      <c r="A3923" s="841"/>
    </row>
    <row r="3924" spans="1:1" x14ac:dyDescent="0.25">
      <c r="A3924" s="841"/>
    </row>
    <row r="3925" spans="1:1" x14ac:dyDescent="0.25">
      <c r="A3925" s="841"/>
    </row>
    <row r="3926" spans="1:1" x14ac:dyDescent="0.25">
      <c r="A3926" s="841"/>
    </row>
    <row r="3927" spans="1:1" x14ac:dyDescent="0.25">
      <c r="A3927" s="841"/>
    </row>
    <row r="3928" spans="1:1" x14ac:dyDescent="0.25">
      <c r="A3928" s="841"/>
    </row>
    <row r="3929" spans="1:1" x14ac:dyDescent="0.25">
      <c r="A3929" s="841"/>
    </row>
    <row r="3930" spans="1:1" x14ac:dyDescent="0.25">
      <c r="A3930" s="841"/>
    </row>
    <row r="3931" spans="1:1" x14ac:dyDescent="0.25">
      <c r="A3931" s="841"/>
    </row>
    <row r="3932" spans="1:1" x14ac:dyDescent="0.25">
      <c r="A3932" s="841"/>
    </row>
    <row r="3933" spans="1:1" x14ac:dyDescent="0.25">
      <c r="A3933" s="841"/>
    </row>
    <row r="3934" spans="1:1" x14ac:dyDescent="0.25">
      <c r="A3934" s="841"/>
    </row>
    <row r="3935" spans="1:1" x14ac:dyDescent="0.25">
      <c r="A3935" s="841"/>
    </row>
    <row r="3936" spans="1:1" x14ac:dyDescent="0.25">
      <c r="A3936" s="841"/>
    </row>
    <row r="3937" spans="1:1" x14ac:dyDescent="0.25">
      <c r="A3937" s="841"/>
    </row>
    <row r="3938" spans="1:1" x14ac:dyDescent="0.25">
      <c r="A3938" s="841"/>
    </row>
    <row r="3939" spans="1:1" x14ac:dyDescent="0.25">
      <c r="A3939" s="841"/>
    </row>
    <row r="3940" spans="1:1" x14ac:dyDescent="0.25">
      <c r="A3940" s="841"/>
    </row>
    <row r="3941" spans="1:1" x14ac:dyDescent="0.25">
      <c r="A3941" s="841"/>
    </row>
    <row r="3942" spans="1:1" x14ac:dyDescent="0.25">
      <c r="A3942" s="841"/>
    </row>
    <row r="3943" spans="1:1" x14ac:dyDescent="0.25">
      <c r="A3943" s="841"/>
    </row>
    <row r="3944" spans="1:1" x14ac:dyDescent="0.25">
      <c r="A3944" s="841"/>
    </row>
    <row r="3945" spans="1:1" x14ac:dyDescent="0.25">
      <c r="A3945" s="841"/>
    </row>
    <row r="3946" spans="1:1" x14ac:dyDescent="0.25">
      <c r="A3946" s="841"/>
    </row>
    <row r="3947" spans="1:1" x14ac:dyDescent="0.25">
      <c r="A3947" s="841"/>
    </row>
    <row r="3948" spans="1:1" x14ac:dyDescent="0.25">
      <c r="A3948" s="841"/>
    </row>
    <row r="3949" spans="1:1" x14ac:dyDescent="0.25">
      <c r="A3949" s="841"/>
    </row>
    <row r="3950" spans="1:1" x14ac:dyDescent="0.25">
      <c r="A3950" s="841"/>
    </row>
    <row r="3951" spans="1:1" x14ac:dyDescent="0.25">
      <c r="A3951" s="841"/>
    </row>
    <row r="3952" spans="1:1" x14ac:dyDescent="0.25">
      <c r="A3952" s="841"/>
    </row>
    <row r="3953" spans="1:1" x14ac:dyDescent="0.25">
      <c r="A3953" s="841"/>
    </row>
    <row r="3954" spans="1:1" x14ac:dyDescent="0.25">
      <c r="A3954" s="841"/>
    </row>
    <row r="3955" spans="1:1" x14ac:dyDescent="0.25">
      <c r="A3955" s="841"/>
    </row>
    <row r="3956" spans="1:1" x14ac:dyDescent="0.25">
      <c r="A3956" s="841"/>
    </row>
    <row r="3957" spans="1:1" x14ac:dyDescent="0.25">
      <c r="A3957" s="841"/>
    </row>
    <row r="3958" spans="1:1" x14ac:dyDescent="0.25">
      <c r="A3958" s="841"/>
    </row>
    <row r="3959" spans="1:1" x14ac:dyDescent="0.25">
      <c r="A3959" s="841"/>
    </row>
    <row r="3960" spans="1:1" x14ac:dyDescent="0.25">
      <c r="A3960" s="841"/>
    </row>
    <row r="3961" spans="1:1" x14ac:dyDescent="0.25">
      <c r="A3961" s="841"/>
    </row>
    <row r="3962" spans="1:1" x14ac:dyDescent="0.25">
      <c r="A3962" s="841"/>
    </row>
    <row r="3963" spans="1:1" x14ac:dyDescent="0.25">
      <c r="A3963" s="841"/>
    </row>
    <row r="3964" spans="1:1" x14ac:dyDescent="0.25">
      <c r="A3964" s="841"/>
    </row>
    <row r="3965" spans="1:1" x14ac:dyDescent="0.25">
      <c r="A3965" s="841"/>
    </row>
    <row r="3966" spans="1:1" x14ac:dyDescent="0.25">
      <c r="A3966" s="841"/>
    </row>
    <row r="3967" spans="1:1" x14ac:dyDescent="0.25">
      <c r="A3967" s="841"/>
    </row>
    <row r="3968" spans="1:1" x14ac:dyDescent="0.25">
      <c r="A3968" s="841"/>
    </row>
    <row r="3969" spans="1:1" x14ac:dyDescent="0.25">
      <c r="A3969" s="841"/>
    </row>
    <row r="3970" spans="1:1" x14ac:dyDescent="0.25">
      <c r="A3970" s="841"/>
    </row>
    <row r="3971" spans="1:1" x14ac:dyDescent="0.25">
      <c r="A3971" s="841"/>
    </row>
    <row r="3972" spans="1:1" x14ac:dyDescent="0.25">
      <c r="A3972" s="841"/>
    </row>
    <row r="3973" spans="1:1" x14ac:dyDescent="0.25">
      <c r="A3973" s="841"/>
    </row>
    <row r="3974" spans="1:1" x14ac:dyDescent="0.25">
      <c r="A3974" s="841"/>
    </row>
    <row r="3975" spans="1:1" x14ac:dyDescent="0.25">
      <c r="A3975" s="841"/>
    </row>
    <row r="3976" spans="1:1" x14ac:dyDescent="0.25">
      <c r="A3976" s="841"/>
    </row>
    <row r="3977" spans="1:1" x14ac:dyDescent="0.25">
      <c r="A3977" s="841"/>
    </row>
    <row r="3978" spans="1:1" x14ac:dyDescent="0.25">
      <c r="A3978" s="841"/>
    </row>
    <row r="3979" spans="1:1" x14ac:dyDescent="0.25">
      <c r="A3979" s="841"/>
    </row>
    <row r="3980" spans="1:1" x14ac:dyDescent="0.25">
      <c r="A3980" s="841"/>
    </row>
    <row r="3981" spans="1:1" x14ac:dyDescent="0.25">
      <c r="A3981" s="841"/>
    </row>
    <row r="3982" spans="1:1" x14ac:dyDescent="0.25">
      <c r="A3982" s="841"/>
    </row>
    <row r="3983" spans="1:1" x14ac:dyDescent="0.25">
      <c r="A3983" s="841"/>
    </row>
    <row r="3984" spans="1:1" x14ac:dyDescent="0.25">
      <c r="A3984" s="841"/>
    </row>
    <row r="3985" spans="1:1" x14ac:dyDescent="0.25">
      <c r="A3985" s="841"/>
    </row>
    <row r="3986" spans="1:1" x14ac:dyDescent="0.25">
      <c r="A3986" s="841"/>
    </row>
    <row r="3987" spans="1:1" x14ac:dyDescent="0.25">
      <c r="A3987" s="841"/>
    </row>
    <row r="3988" spans="1:1" x14ac:dyDescent="0.25">
      <c r="A3988" s="841"/>
    </row>
    <row r="3989" spans="1:1" x14ac:dyDescent="0.25">
      <c r="A3989" s="841"/>
    </row>
    <row r="3990" spans="1:1" x14ac:dyDescent="0.25">
      <c r="A3990" s="841"/>
    </row>
    <row r="3991" spans="1:1" x14ac:dyDescent="0.25">
      <c r="A3991" s="841"/>
    </row>
    <row r="3992" spans="1:1" x14ac:dyDescent="0.25">
      <c r="A3992" s="841"/>
    </row>
    <row r="3993" spans="1:1" x14ac:dyDescent="0.25">
      <c r="A3993" s="841"/>
    </row>
    <row r="3994" spans="1:1" x14ac:dyDescent="0.25">
      <c r="A3994" s="841"/>
    </row>
    <row r="3995" spans="1:1" x14ac:dyDescent="0.25">
      <c r="A3995" s="841"/>
    </row>
    <row r="3996" spans="1:1" x14ac:dyDescent="0.25">
      <c r="A3996" s="841"/>
    </row>
    <row r="3997" spans="1:1" x14ac:dyDescent="0.25">
      <c r="A3997" s="841"/>
    </row>
    <row r="3998" spans="1:1" x14ac:dyDescent="0.25">
      <c r="A3998" s="841"/>
    </row>
    <row r="3999" spans="1:1" x14ac:dyDescent="0.25">
      <c r="A3999" s="841"/>
    </row>
    <row r="4000" spans="1:1" x14ac:dyDescent="0.25">
      <c r="A4000" s="841"/>
    </row>
    <row r="4001" spans="1:1" x14ac:dyDescent="0.25">
      <c r="A4001" s="841"/>
    </row>
    <row r="4002" spans="1:1" x14ac:dyDescent="0.25">
      <c r="A4002" s="841"/>
    </row>
    <row r="4003" spans="1:1" x14ac:dyDescent="0.25">
      <c r="A4003" s="841"/>
    </row>
    <row r="4004" spans="1:1" x14ac:dyDescent="0.25">
      <c r="A4004" s="841"/>
    </row>
    <row r="4005" spans="1:1" x14ac:dyDescent="0.25">
      <c r="A4005" s="841"/>
    </row>
    <row r="4006" spans="1:1" x14ac:dyDescent="0.25">
      <c r="A4006" s="841"/>
    </row>
    <row r="4007" spans="1:1" x14ac:dyDescent="0.25">
      <c r="A4007" s="841"/>
    </row>
    <row r="4008" spans="1:1" x14ac:dyDescent="0.25">
      <c r="A4008" s="841"/>
    </row>
    <row r="4009" spans="1:1" x14ac:dyDescent="0.25">
      <c r="A4009" s="841"/>
    </row>
    <row r="4010" spans="1:1" x14ac:dyDescent="0.25">
      <c r="A4010" s="841"/>
    </row>
    <row r="4011" spans="1:1" x14ac:dyDescent="0.25">
      <c r="A4011" s="841"/>
    </row>
    <row r="4012" spans="1:1" x14ac:dyDescent="0.25">
      <c r="A4012" s="841"/>
    </row>
    <row r="4013" spans="1:1" x14ac:dyDescent="0.25">
      <c r="A4013" s="841"/>
    </row>
    <row r="4014" spans="1:1" x14ac:dyDescent="0.25">
      <c r="A4014" s="841"/>
    </row>
    <row r="4015" spans="1:1" x14ac:dyDescent="0.25">
      <c r="A4015" s="841"/>
    </row>
    <row r="4016" spans="1:1" x14ac:dyDescent="0.25">
      <c r="A4016" s="841"/>
    </row>
    <row r="4017" spans="1:1" x14ac:dyDescent="0.25">
      <c r="A4017" s="841"/>
    </row>
    <row r="4018" spans="1:1" x14ac:dyDescent="0.25">
      <c r="A4018" s="841"/>
    </row>
    <row r="4019" spans="1:1" x14ac:dyDescent="0.25">
      <c r="A4019" s="841"/>
    </row>
    <row r="4020" spans="1:1" x14ac:dyDescent="0.25">
      <c r="A4020" s="841"/>
    </row>
    <row r="4021" spans="1:1" x14ac:dyDescent="0.25">
      <c r="A4021" s="841"/>
    </row>
    <row r="4022" spans="1:1" x14ac:dyDescent="0.25">
      <c r="A4022" s="841"/>
    </row>
    <row r="4023" spans="1:1" x14ac:dyDescent="0.25">
      <c r="A4023" s="841"/>
    </row>
    <row r="4024" spans="1:1" x14ac:dyDescent="0.25">
      <c r="A4024" s="841"/>
    </row>
    <row r="4025" spans="1:1" x14ac:dyDescent="0.25">
      <c r="A4025" s="841"/>
    </row>
    <row r="4026" spans="1:1" x14ac:dyDescent="0.25">
      <c r="A4026" s="841"/>
    </row>
    <row r="4027" spans="1:1" x14ac:dyDescent="0.25">
      <c r="A4027" s="841"/>
    </row>
    <row r="4028" spans="1:1" x14ac:dyDescent="0.25">
      <c r="A4028" s="841"/>
    </row>
    <row r="4029" spans="1:1" x14ac:dyDescent="0.25">
      <c r="A4029" s="841"/>
    </row>
    <row r="4030" spans="1:1" x14ac:dyDescent="0.25">
      <c r="A4030" s="841"/>
    </row>
    <row r="4031" spans="1:1" x14ac:dyDescent="0.25">
      <c r="A4031" s="841"/>
    </row>
    <row r="4032" spans="1:1" x14ac:dyDescent="0.25">
      <c r="A4032" s="841"/>
    </row>
    <row r="4033" spans="1:1" x14ac:dyDescent="0.25">
      <c r="A4033" s="841"/>
    </row>
    <row r="4034" spans="1:1" x14ac:dyDescent="0.25">
      <c r="A4034" s="841"/>
    </row>
    <row r="4035" spans="1:1" x14ac:dyDescent="0.25">
      <c r="A4035" s="841"/>
    </row>
    <row r="4036" spans="1:1" x14ac:dyDescent="0.25">
      <c r="A4036" s="841"/>
    </row>
    <row r="4037" spans="1:1" x14ac:dyDescent="0.25">
      <c r="A4037" s="841"/>
    </row>
    <row r="4038" spans="1:1" x14ac:dyDescent="0.25">
      <c r="A4038" s="841"/>
    </row>
    <row r="4039" spans="1:1" x14ac:dyDescent="0.25">
      <c r="A4039" s="841"/>
    </row>
    <row r="4040" spans="1:1" x14ac:dyDescent="0.25">
      <c r="A4040" s="841"/>
    </row>
    <row r="4041" spans="1:1" x14ac:dyDescent="0.25">
      <c r="A4041" s="841"/>
    </row>
    <row r="4042" spans="1:1" x14ac:dyDescent="0.25">
      <c r="A4042" s="841"/>
    </row>
    <row r="4043" spans="1:1" x14ac:dyDescent="0.25">
      <c r="A4043" s="841"/>
    </row>
    <row r="4044" spans="1:1" x14ac:dyDescent="0.25">
      <c r="A4044" s="841"/>
    </row>
    <row r="4045" spans="1:1" x14ac:dyDescent="0.25">
      <c r="A4045" s="841"/>
    </row>
    <row r="4046" spans="1:1" x14ac:dyDescent="0.25">
      <c r="A4046" s="841"/>
    </row>
    <row r="4047" spans="1:1" x14ac:dyDescent="0.25">
      <c r="A4047" s="841"/>
    </row>
    <row r="4048" spans="1:1" x14ac:dyDescent="0.25">
      <c r="A4048" s="841"/>
    </row>
    <row r="4049" spans="1:1" x14ac:dyDescent="0.25">
      <c r="A4049" s="841"/>
    </row>
    <row r="4050" spans="1:1" x14ac:dyDescent="0.25">
      <c r="A4050" s="841"/>
    </row>
    <row r="4051" spans="1:1" x14ac:dyDescent="0.25">
      <c r="A4051" s="841"/>
    </row>
    <row r="4052" spans="1:1" x14ac:dyDescent="0.25">
      <c r="A4052" s="841"/>
    </row>
    <row r="4053" spans="1:1" x14ac:dyDescent="0.25">
      <c r="A4053" s="841"/>
    </row>
    <row r="4054" spans="1:1" x14ac:dyDescent="0.25">
      <c r="A4054" s="841"/>
    </row>
    <row r="4055" spans="1:1" x14ac:dyDescent="0.25">
      <c r="A4055" s="841"/>
    </row>
    <row r="4056" spans="1:1" x14ac:dyDescent="0.25">
      <c r="A4056" s="841"/>
    </row>
    <row r="4057" spans="1:1" x14ac:dyDescent="0.25">
      <c r="A4057" s="841"/>
    </row>
    <row r="4058" spans="1:1" x14ac:dyDescent="0.25">
      <c r="A4058" s="841"/>
    </row>
    <row r="4059" spans="1:1" x14ac:dyDescent="0.25">
      <c r="A4059" s="841"/>
    </row>
    <row r="4060" spans="1:1" x14ac:dyDescent="0.25">
      <c r="A4060" s="841"/>
    </row>
    <row r="4061" spans="1:1" x14ac:dyDescent="0.25">
      <c r="A4061" s="841"/>
    </row>
    <row r="4062" spans="1:1" x14ac:dyDescent="0.25">
      <c r="A4062" s="841"/>
    </row>
    <row r="4063" spans="1:1" x14ac:dyDescent="0.25">
      <c r="A4063" s="841"/>
    </row>
    <row r="4064" spans="1:1" x14ac:dyDescent="0.25">
      <c r="A4064" s="841"/>
    </row>
    <row r="4065" spans="1:1" x14ac:dyDescent="0.25">
      <c r="A4065" s="841"/>
    </row>
    <row r="4066" spans="1:1" x14ac:dyDescent="0.25">
      <c r="A4066" s="841"/>
    </row>
    <row r="4067" spans="1:1" x14ac:dyDescent="0.25">
      <c r="A4067" s="841"/>
    </row>
    <row r="4068" spans="1:1" x14ac:dyDescent="0.25">
      <c r="A4068" s="841"/>
    </row>
    <row r="4069" spans="1:1" x14ac:dyDescent="0.25">
      <c r="A4069" s="841"/>
    </row>
    <row r="4070" spans="1:1" x14ac:dyDescent="0.25">
      <c r="A4070" s="841"/>
    </row>
    <row r="4071" spans="1:1" x14ac:dyDescent="0.25">
      <c r="A4071" s="841"/>
    </row>
    <row r="4072" spans="1:1" x14ac:dyDescent="0.25">
      <c r="A4072" s="841"/>
    </row>
    <row r="4073" spans="1:1" x14ac:dyDescent="0.25">
      <c r="A4073" s="841"/>
    </row>
    <row r="4074" spans="1:1" x14ac:dyDescent="0.25">
      <c r="A4074" s="841"/>
    </row>
    <row r="4075" spans="1:1" x14ac:dyDescent="0.25">
      <c r="A4075" s="841"/>
    </row>
    <row r="4076" spans="1:1" x14ac:dyDescent="0.25">
      <c r="A4076" s="841"/>
    </row>
    <row r="4077" spans="1:1" x14ac:dyDescent="0.25">
      <c r="A4077" s="841"/>
    </row>
    <row r="4078" spans="1:1" x14ac:dyDescent="0.25">
      <c r="A4078" s="841"/>
    </row>
    <row r="4079" spans="1:1" x14ac:dyDescent="0.25">
      <c r="A4079" s="841"/>
    </row>
    <row r="4080" spans="1:1" x14ac:dyDescent="0.25">
      <c r="A4080" s="841"/>
    </row>
    <row r="4081" spans="1:1" x14ac:dyDescent="0.25">
      <c r="A4081" s="841"/>
    </row>
    <row r="4082" spans="1:1" x14ac:dyDescent="0.25">
      <c r="A4082" s="841"/>
    </row>
    <row r="4083" spans="1:1" x14ac:dyDescent="0.25">
      <c r="A4083" s="841"/>
    </row>
    <row r="4084" spans="1:1" x14ac:dyDescent="0.25">
      <c r="A4084" s="841"/>
    </row>
    <row r="4085" spans="1:1" x14ac:dyDescent="0.25">
      <c r="A4085" s="841"/>
    </row>
    <row r="4086" spans="1:1" x14ac:dyDescent="0.25">
      <c r="A4086" s="841"/>
    </row>
    <row r="4087" spans="1:1" x14ac:dyDescent="0.25">
      <c r="A4087" s="841"/>
    </row>
    <row r="4088" spans="1:1" x14ac:dyDescent="0.25">
      <c r="A4088" s="841"/>
    </row>
    <row r="4089" spans="1:1" x14ac:dyDescent="0.25">
      <c r="A4089" s="841"/>
    </row>
    <row r="4090" spans="1:1" x14ac:dyDescent="0.25">
      <c r="A4090" s="841"/>
    </row>
    <row r="4091" spans="1:1" x14ac:dyDescent="0.25">
      <c r="A4091" s="841"/>
    </row>
    <row r="4092" spans="1:1" x14ac:dyDescent="0.25">
      <c r="A4092" s="841"/>
    </row>
    <row r="4093" spans="1:1" x14ac:dyDescent="0.25">
      <c r="A4093" s="841"/>
    </row>
    <row r="4094" spans="1:1" x14ac:dyDescent="0.25">
      <c r="A4094" s="841"/>
    </row>
    <row r="4095" spans="1:1" x14ac:dyDescent="0.25">
      <c r="A4095" s="841"/>
    </row>
    <row r="4096" spans="1:1" x14ac:dyDescent="0.25">
      <c r="A4096" s="841"/>
    </row>
    <row r="4097" spans="1:1" x14ac:dyDescent="0.25">
      <c r="A4097" s="841"/>
    </row>
    <row r="4098" spans="1:1" x14ac:dyDescent="0.25">
      <c r="A4098" s="841"/>
    </row>
    <row r="4099" spans="1:1" x14ac:dyDescent="0.25">
      <c r="A4099" s="841"/>
    </row>
    <row r="4100" spans="1:1" x14ac:dyDescent="0.25">
      <c r="A4100" s="841"/>
    </row>
    <row r="4101" spans="1:1" x14ac:dyDescent="0.25">
      <c r="A4101" s="841"/>
    </row>
    <row r="4102" spans="1:1" x14ac:dyDescent="0.25">
      <c r="A4102" s="841"/>
    </row>
    <row r="4103" spans="1:1" x14ac:dyDescent="0.25">
      <c r="A4103" s="841"/>
    </row>
    <row r="4104" spans="1:1" x14ac:dyDescent="0.25">
      <c r="A4104" s="841"/>
    </row>
    <row r="4105" spans="1:1" x14ac:dyDescent="0.25">
      <c r="A4105" s="841"/>
    </row>
    <row r="4106" spans="1:1" x14ac:dyDescent="0.25">
      <c r="A4106" s="841"/>
    </row>
    <row r="4107" spans="1:1" x14ac:dyDescent="0.25">
      <c r="A4107" s="841"/>
    </row>
    <row r="4108" spans="1:1" x14ac:dyDescent="0.25">
      <c r="A4108" s="841"/>
    </row>
    <row r="4109" spans="1:1" x14ac:dyDescent="0.25">
      <c r="A4109" s="841"/>
    </row>
    <row r="4110" spans="1:1" x14ac:dyDescent="0.25">
      <c r="A4110" s="841"/>
    </row>
    <row r="4111" spans="1:1" x14ac:dyDescent="0.25">
      <c r="A4111" s="841"/>
    </row>
    <row r="4112" spans="1:1" x14ac:dyDescent="0.25">
      <c r="A4112" s="841"/>
    </row>
    <row r="4113" spans="1:1" x14ac:dyDescent="0.25">
      <c r="A4113" s="841"/>
    </row>
    <row r="4114" spans="1:1" x14ac:dyDescent="0.25">
      <c r="A4114" s="841"/>
    </row>
    <row r="4115" spans="1:1" x14ac:dyDescent="0.25">
      <c r="A4115" s="841"/>
    </row>
    <row r="4116" spans="1:1" x14ac:dyDescent="0.25">
      <c r="A4116" s="841"/>
    </row>
    <row r="4117" spans="1:1" x14ac:dyDescent="0.25">
      <c r="A4117" s="841"/>
    </row>
    <row r="4118" spans="1:1" x14ac:dyDescent="0.25">
      <c r="A4118" s="841"/>
    </row>
    <row r="4119" spans="1:1" x14ac:dyDescent="0.25">
      <c r="A4119" s="841"/>
    </row>
    <row r="4120" spans="1:1" x14ac:dyDescent="0.25">
      <c r="A4120" s="841"/>
    </row>
    <row r="4121" spans="1:1" x14ac:dyDescent="0.25">
      <c r="A4121" s="841"/>
    </row>
    <row r="4122" spans="1:1" x14ac:dyDescent="0.25">
      <c r="A4122" s="841"/>
    </row>
    <row r="4123" spans="1:1" x14ac:dyDescent="0.25">
      <c r="A4123" s="841"/>
    </row>
    <row r="4124" spans="1:1" x14ac:dyDescent="0.25">
      <c r="A4124" s="841"/>
    </row>
    <row r="4125" spans="1:1" x14ac:dyDescent="0.25">
      <c r="A4125" s="841"/>
    </row>
    <row r="4126" spans="1:1" x14ac:dyDescent="0.25">
      <c r="A4126" s="841"/>
    </row>
    <row r="4127" spans="1:1" x14ac:dyDescent="0.25">
      <c r="A4127" s="841"/>
    </row>
    <row r="4128" spans="1:1" x14ac:dyDescent="0.25">
      <c r="A4128" s="841"/>
    </row>
    <row r="4129" spans="1:1" x14ac:dyDescent="0.25">
      <c r="A4129" s="841"/>
    </row>
    <row r="4130" spans="1:1" x14ac:dyDescent="0.25">
      <c r="A4130" s="841"/>
    </row>
    <row r="4131" spans="1:1" x14ac:dyDescent="0.25">
      <c r="A4131" s="841"/>
    </row>
    <row r="4132" spans="1:1" x14ac:dyDescent="0.25">
      <c r="A4132" s="841"/>
    </row>
    <row r="4133" spans="1:1" x14ac:dyDescent="0.25">
      <c r="A4133" s="841"/>
    </row>
    <row r="4134" spans="1:1" x14ac:dyDescent="0.25">
      <c r="A4134" s="841"/>
    </row>
    <row r="4135" spans="1:1" x14ac:dyDescent="0.25">
      <c r="A4135" s="841"/>
    </row>
    <row r="4136" spans="1:1" x14ac:dyDescent="0.25">
      <c r="A4136" s="841"/>
    </row>
    <row r="4137" spans="1:1" x14ac:dyDescent="0.25">
      <c r="A4137" s="841"/>
    </row>
    <row r="4138" spans="1:1" x14ac:dyDescent="0.25">
      <c r="A4138" s="841"/>
    </row>
    <row r="4139" spans="1:1" x14ac:dyDescent="0.25">
      <c r="A4139" s="841"/>
    </row>
    <row r="4140" spans="1:1" x14ac:dyDescent="0.25">
      <c r="A4140" s="841"/>
    </row>
    <row r="4141" spans="1:1" x14ac:dyDescent="0.25">
      <c r="A4141" s="841"/>
    </row>
    <row r="4142" spans="1:1" x14ac:dyDescent="0.25">
      <c r="A4142" s="841"/>
    </row>
    <row r="4143" spans="1:1" x14ac:dyDescent="0.25">
      <c r="A4143" s="841"/>
    </row>
    <row r="4144" spans="1:1" x14ac:dyDescent="0.25">
      <c r="A4144" s="841"/>
    </row>
    <row r="4145" spans="1:1" x14ac:dyDescent="0.25">
      <c r="A4145" s="841"/>
    </row>
    <row r="4146" spans="1:1" x14ac:dyDescent="0.25">
      <c r="A4146" s="841"/>
    </row>
    <row r="4147" spans="1:1" x14ac:dyDescent="0.25">
      <c r="A4147" s="841"/>
    </row>
    <row r="4148" spans="1:1" x14ac:dyDescent="0.25">
      <c r="A4148" s="841"/>
    </row>
    <row r="4149" spans="1:1" x14ac:dyDescent="0.25">
      <c r="A4149" s="841"/>
    </row>
    <row r="4150" spans="1:1" x14ac:dyDescent="0.25">
      <c r="A4150" s="841"/>
    </row>
    <row r="4151" spans="1:1" x14ac:dyDescent="0.25">
      <c r="A4151" s="841"/>
    </row>
    <row r="4152" spans="1:1" x14ac:dyDescent="0.25">
      <c r="A4152" s="841"/>
    </row>
    <row r="4153" spans="1:1" x14ac:dyDescent="0.25">
      <c r="A4153" s="841"/>
    </row>
    <row r="4154" spans="1:1" x14ac:dyDescent="0.25">
      <c r="A4154" s="841"/>
    </row>
    <row r="4155" spans="1:1" x14ac:dyDescent="0.25">
      <c r="A4155" s="841"/>
    </row>
    <row r="4156" spans="1:1" x14ac:dyDescent="0.25">
      <c r="A4156" s="841"/>
    </row>
    <row r="4157" spans="1:1" x14ac:dyDescent="0.25">
      <c r="A4157" s="841"/>
    </row>
    <row r="4158" spans="1:1" x14ac:dyDescent="0.25">
      <c r="A4158" s="841"/>
    </row>
    <row r="4159" spans="1:1" x14ac:dyDescent="0.25">
      <c r="A4159" s="841"/>
    </row>
    <row r="4160" spans="1:1" x14ac:dyDescent="0.25">
      <c r="A4160" s="841"/>
    </row>
    <row r="4161" spans="1:1" x14ac:dyDescent="0.25">
      <c r="A4161" s="841"/>
    </row>
    <row r="4162" spans="1:1" x14ac:dyDescent="0.25">
      <c r="A4162" s="841"/>
    </row>
    <row r="4163" spans="1:1" x14ac:dyDescent="0.25">
      <c r="A4163" s="841"/>
    </row>
    <row r="4164" spans="1:1" x14ac:dyDescent="0.25">
      <c r="A4164" s="841"/>
    </row>
    <row r="4165" spans="1:1" x14ac:dyDescent="0.25">
      <c r="A4165" s="841"/>
    </row>
    <row r="4166" spans="1:1" x14ac:dyDescent="0.25">
      <c r="A4166" s="841"/>
    </row>
    <row r="4167" spans="1:1" x14ac:dyDescent="0.25">
      <c r="A4167" s="841"/>
    </row>
    <row r="4168" spans="1:1" x14ac:dyDescent="0.25">
      <c r="A4168" s="841"/>
    </row>
    <row r="4169" spans="1:1" x14ac:dyDescent="0.25">
      <c r="A4169" s="841"/>
    </row>
    <row r="4170" spans="1:1" x14ac:dyDescent="0.25">
      <c r="A4170" s="841"/>
    </row>
    <row r="4171" spans="1:1" x14ac:dyDescent="0.25">
      <c r="A4171" s="841"/>
    </row>
    <row r="4172" spans="1:1" x14ac:dyDescent="0.25">
      <c r="A4172" s="841"/>
    </row>
    <row r="4173" spans="1:1" x14ac:dyDescent="0.25">
      <c r="A4173" s="841"/>
    </row>
    <row r="4174" spans="1:1" x14ac:dyDescent="0.25">
      <c r="A4174" s="841"/>
    </row>
    <row r="4175" spans="1:1" x14ac:dyDescent="0.25">
      <c r="A4175" s="841"/>
    </row>
    <row r="4176" spans="1:1" x14ac:dyDescent="0.25">
      <c r="A4176" s="841"/>
    </row>
    <row r="4177" spans="1:1" x14ac:dyDescent="0.25">
      <c r="A4177" s="841"/>
    </row>
    <row r="4178" spans="1:1" x14ac:dyDescent="0.25">
      <c r="A4178" s="841"/>
    </row>
    <row r="4179" spans="1:1" x14ac:dyDescent="0.25">
      <c r="A4179" s="841"/>
    </row>
    <row r="4180" spans="1:1" x14ac:dyDescent="0.25">
      <c r="A4180" s="841"/>
    </row>
    <row r="4181" spans="1:1" x14ac:dyDescent="0.25">
      <c r="A4181" s="841"/>
    </row>
    <row r="4182" spans="1:1" x14ac:dyDescent="0.25">
      <c r="A4182" s="841"/>
    </row>
    <row r="4183" spans="1:1" x14ac:dyDescent="0.25">
      <c r="A4183" s="841"/>
    </row>
    <row r="4184" spans="1:1" x14ac:dyDescent="0.25">
      <c r="A4184" s="841"/>
    </row>
    <row r="4185" spans="1:1" x14ac:dyDescent="0.25">
      <c r="A4185" s="841"/>
    </row>
    <row r="4186" spans="1:1" x14ac:dyDescent="0.25">
      <c r="A4186" s="841"/>
    </row>
    <row r="4187" spans="1:1" x14ac:dyDescent="0.25">
      <c r="A4187" s="841"/>
    </row>
    <row r="4188" spans="1:1" x14ac:dyDescent="0.25">
      <c r="A4188" s="841"/>
    </row>
    <row r="4189" spans="1:1" x14ac:dyDescent="0.25">
      <c r="A4189" s="841"/>
    </row>
    <row r="4190" spans="1:1" x14ac:dyDescent="0.25">
      <c r="A4190" s="841"/>
    </row>
    <row r="4191" spans="1:1" x14ac:dyDescent="0.25">
      <c r="A4191" s="841"/>
    </row>
    <row r="4192" spans="1:1" x14ac:dyDescent="0.25">
      <c r="A4192" s="841"/>
    </row>
    <row r="4193" spans="1:1" x14ac:dyDescent="0.25">
      <c r="A4193" s="841"/>
    </row>
    <row r="4194" spans="1:1" x14ac:dyDescent="0.25">
      <c r="A4194" s="841"/>
    </row>
    <row r="4195" spans="1:1" x14ac:dyDescent="0.25">
      <c r="A4195" s="841"/>
    </row>
    <row r="4196" spans="1:1" x14ac:dyDescent="0.25">
      <c r="A4196" s="841"/>
    </row>
    <row r="4197" spans="1:1" x14ac:dyDescent="0.25">
      <c r="A4197" s="841"/>
    </row>
    <row r="4198" spans="1:1" x14ac:dyDescent="0.25">
      <c r="A4198" s="841"/>
    </row>
    <row r="4199" spans="1:1" x14ac:dyDescent="0.25">
      <c r="A4199" s="841"/>
    </row>
    <row r="4200" spans="1:1" x14ac:dyDescent="0.25">
      <c r="A4200" s="841"/>
    </row>
    <row r="4201" spans="1:1" x14ac:dyDescent="0.25">
      <c r="A4201" s="841"/>
    </row>
    <row r="4202" spans="1:1" x14ac:dyDescent="0.25">
      <c r="A4202" s="841"/>
    </row>
    <row r="4203" spans="1:1" x14ac:dyDescent="0.25">
      <c r="A4203" s="841"/>
    </row>
    <row r="4204" spans="1:1" x14ac:dyDescent="0.25">
      <c r="A4204" s="841"/>
    </row>
    <row r="4205" spans="1:1" x14ac:dyDescent="0.25">
      <c r="A4205" s="841"/>
    </row>
    <row r="4206" spans="1:1" x14ac:dyDescent="0.25">
      <c r="A4206" s="841"/>
    </row>
    <row r="4207" spans="1:1" x14ac:dyDescent="0.25">
      <c r="A4207" s="841"/>
    </row>
    <row r="4208" spans="1:1" x14ac:dyDescent="0.25">
      <c r="A4208" s="841"/>
    </row>
    <row r="4209" spans="1:1" x14ac:dyDescent="0.25">
      <c r="A4209" s="841"/>
    </row>
    <row r="4210" spans="1:1" x14ac:dyDescent="0.25">
      <c r="A4210" s="841"/>
    </row>
    <row r="4211" spans="1:1" x14ac:dyDescent="0.25">
      <c r="A4211" s="841"/>
    </row>
    <row r="4212" spans="1:1" x14ac:dyDescent="0.25">
      <c r="A4212" s="841"/>
    </row>
    <row r="4213" spans="1:1" x14ac:dyDescent="0.25">
      <c r="A4213" s="841"/>
    </row>
    <row r="4214" spans="1:1" x14ac:dyDescent="0.25">
      <c r="A4214" s="841"/>
    </row>
    <row r="4215" spans="1:1" x14ac:dyDescent="0.25">
      <c r="A4215" s="841"/>
    </row>
    <row r="4216" spans="1:1" x14ac:dyDescent="0.25">
      <c r="A4216" s="841"/>
    </row>
    <row r="4217" spans="1:1" x14ac:dyDescent="0.25">
      <c r="A4217" s="841"/>
    </row>
    <row r="4218" spans="1:1" x14ac:dyDescent="0.25">
      <c r="A4218" s="841"/>
    </row>
    <row r="4219" spans="1:1" x14ac:dyDescent="0.25">
      <c r="A4219" s="841"/>
    </row>
    <row r="4220" spans="1:1" x14ac:dyDescent="0.25">
      <c r="A4220" s="841"/>
    </row>
    <row r="4221" spans="1:1" x14ac:dyDescent="0.25">
      <c r="A4221" s="841"/>
    </row>
    <row r="4222" spans="1:1" x14ac:dyDescent="0.25">
      <c r="A4222" s="841"/>
    </row>
    <row r="4223" spans="1:1" x14ac:dyDescent="0.25">
      <c r="A4223" s="841"/>
    </row>
    <row r="4224" spans="1:1" x14ac:dyDescent="0.25">
      <c r="A4224" s="841"/>
    </row>
    <row r="4225" spans="1:1" x14ac:dyDescent="0.25">
      <c r="A4225" s="841"/>
    </row>
    <row r="4226" spans="1:1" x14ac:dyDescent="0.25">
      <c r="A4226" s="841"/>
    </row>
    <row r="4227" spans="1:1" x14ac:dyDescent="0.25">
      <c r="A4227" s="841"/>
    </row>
    <row r="4228" spans="1:1" x14ac:dyDescent="0.25">
      <c r="A4228" s="841"/>
    </row>
    <row r="4229" spans="1:1" x14ac:dyDescent="0.25">
      <c r="A4229" s="841"/>
    </row>
    <row r="4230" spans="1:1" x14ac:dyDescent="0.25">
      <c r="A4230" s="841"/>
    </row>
    <row r="4231" spans="1:1" x14ac:dyDescent="0.25">
      <c r="A4231" s="841"/>
    </row>
    <row r="4232" spans="1:1" x14ac:dyDescent="0.25">
      <c r="A4232" s="841"/>
    </row>
    <row r="4233" spans="1:1" x14ac:dyDescent="0.25">
      <c r="A4233" s="841"/>
    </row>
    <row r="4234" spans="1:1" x14ac:dyDescent="0.25">
      <c r="A4234" s="841"/>
    </row>
    <row r="4235" spans="1:1" x14ac:dyDescent="0.25">
      <c r="A4235" s="841"/>
    </row>
    <row r="4236" spans="1:1" x14ac:dyDescent="0.25">
      <c r="A4236" s="841"/>
    </row>
    <row r="4237" spans="1:1" x14ac:dyDescent="0.25">
      <c r="A4237" s="841"/>
    </row>
    <row r="4238" spans="1:1" x14ac:dyDescent="0.25">
      <c r="A4238" s="841"/>
    </row>
    <row r="4239" spans="1:1" x14ac:dyDescent="0.25">
      <c r="A4239" s="841"/>
    </row>
    <row r="4240" spans="1:1" x14ac:dyDescent="0.25">
      <c r="A4240" s="841"/>
    </row>
    <row r="4241" spans="1:1" x14ac:dyDescent="0.25">
      <c r="A4241" s="841"/>
    </row>
    <row r="4242" spans="1:1" x14ac:dyDescent="0.25">
      <c r="A4242" s="841"/>
    </row>
    <row r="4243" spans="1:1" x14ac:dyDescent="0.25">
      <c r="A4243" s="841"/>
    </row>
    <row r="4244" spans="1:1" x14ac:dyDescent="0.25">
      <c r="A4244" s="841"/>
    </row>
    <row r="4245" spans="1:1" x14ac:dyDescent="0.25">
      <c r="A4245" s="841"/>
    </row>
    <row r="4246" spans="1:1" x14ac:dyDescent="0.25">
      <c r="A4246" s="841"/>
    </row>
    <row r="4247" spans="1:1" x14ac:dyDescent="0.25">
      <c r="A4247" s="841"/>
    </row>
    <row r="4248" spans="1:1" x14ac:dyDescent="0.25">
      <c r="A4248" s="841"/>
    </row>
    <row r="4249" spans="1:1" x14ac:dyDescent="0.25">
      <c r="A4249" s="841"/>
    </row>
    <row r="4250" spans="1:1" x14ac:dyDescent="0.25">
      <c r="A4250" s="841"/>
    </row>
    <row r="4251" spans="1:1" x14ac:dyDescent="0.25">
      <c r="A4251" s="841"/>
    </row>
    <row r="4252" spans="1:1" x14ac:dyDescent="0.25">
      <c r="A4252" s="841"/>
    </row>
    <row r="4253" spans="1:1" x14ac:dyDescent="0.25">
      <c r="A4253" s="841"/>
    </row>
    <row r="4254" spans="1:1" x14ac:dyDescent="0.25">
      <c r="A4254" s="841"/>
    </row>
    <row r="4255" spans="1:1" x14ac:dyDescent="0.25">
      <c r="A4255" s="841"/>
    </row>
    <row r="4256" spans="1:1" x14ac:dyDescent="0.25">
      <c r="A4256" s="841"/>
    </row>
    <row r="4257" spans="1:1" x14ac:dyDescent="0.25">
      <c r="A4257" s="841"/>
    </row>
    <row r="4258" spans="1:1" x14ac:dyDescent="0.25">
      <c r="A4258" s="841"/>
    </row>
    <row r="4259" spans="1:1" x14ac:dyDescent="0.25">
      <c r="A4259" s="841"/>
    </row>
    <row r="4260" spans="1:1" x14ac:dyDescent="0.25">
      <c r="A4260" s="841"/>
    </row>
    <row r="4261" spans="1:1" x14ac:dyDescent="0.25">
      <c r="A4261" s="841"/>
    </row>
    <row r="4262" spans="1:1" x14ac:dyDescent="0.25">
      <c r="A4262" s="841"/>
    </row>
    <row r="4263" spans="1:1" x14ac:dyDescent="0.25">
      <c r="A4263" s="841"/>
    </row>
    <row r="4264" spans="1:1" x14ac:dyDescent="0.25">
      <c r="A4264" s="841"/>
    </row>
    <row r="4265" spans="1:1" x14ac:dyDescent="0.25">
      <c r="A4265" s="841"/>
    </row>
    <row r="4266" spans="1:1" x14ac:dyDescent="0.25">
      <c r="A4266" s="841"/>
    </row>
    <row r="4267" spans="1:1" x14ac:dyDescent="0.25">
      <c r="A4267" s="841"/>
    </row>
    <row r="4268" spans="1:1" x14ac:dyDescent="0.25">
      <c r="A4268" s="841"/>
    </row>
    <row r="4269" spans="1:1" x14ac:dyDescent="0.25">
      <c r="A4269" s="841"/>
    </row>
    <row r="4270" spans="1:1" x14ac:dyDescent="0.25">
      <c r="A4270" s="841"/>
    </row>
    <row r="4271" spans="1:1" x14ac:dyDescent="0.25">
      <c r="A4271" s="841"/>
    </row>
    <row r="4272" spans="1:1" x14ac:dyDescent="0.25">
      <c r="A4272" s="841"/>
    </row>
    <row r="4273" spans="1:1" x14ac:dyDescent="0.25">
      <c r="A4273" s="841"/>
    </row>
    <row r="4274" spans="1:1" x14ac:dyDescent="0.25">
      <c r="A4274" s="841"/>
    </row>
    <row r="4275" spans="1:1" x14ac:dyDescent="0.25">
      <c r="A4275" s="841"/>
    </row>
    <row r="4276" spans="1:1" x14ac:dyDescent="0.25">
      <c r="A4276" s="841"/>
    </row>
    <row r="4277" spans="1:1" x14ac:dyDescent="0.25">
      <c r="A4277" s="841"/>
    </row>
    <row r="4278" spans="1:1" x14ac:dyDescent="0.25">
      <c r="A4278" s="841"/>
    </row>
    <row r="4279" spans="1:1" x14ac:dyDescent="0.25">
      <c r="A4279" s="841"/>
    </row>
    <row r="4280" spans="1:1" x14ac:dyDescent="0.25">
      <c r="A4280" s="841"/>
    </row>
    <row r="4281" spans="1:1" x14ac:dyDescent="0.25">
      <c r="A4281" s="841"/>
    </row>
    <row r="4282" spans="1:1" x14ac:dyDescent="0.25">
      <c r="A4282" s="841"/>
    </row>
    <row r="4283" spans="1:1" x14ac:dyDescent="0.25">
      <c r="A4283" s="841"/>
    </row>
    <row r="4284" spans="1:1" x14ac:dyDescent="0.25">
      <c r="A4284" s="841"/>
    </row>
    <row r="4285" spans="1:1" x14ac:dyDescent="0.25">
      <c r="A4285" s="841"/>
    </row>
    <row r="4286" spans="1:1" x14ac:dyDescent="0.25">
      <c r="A4286" s="841"/>
    </row>
    <row r="4287" spans="1:1" x14ac:dyDescent="0.25">
      <c r="A4287" s="841"/>
    </row>
    <row r="4288" spans="1:1" x14ac:dyDescent="0.25">
      <c r="A4288" s="841"/>
    </row>
    <row r="4289" spans="1:1" x14ac:dyDescent="0.25">
      <c r="A4289" s="841"/>
    </row>
    <row r="4290" spans="1:1" x14ac:dyDescent="0.25">
      <c r="A4290" s="841"/>
    </row>
    <row r="4291" spans="1:1" x14ac:dyDescent="0.25">
      <c r="A4291" s="841"/>
    </row>
    <row r="4292" spans="1:1" x14ac:dyDescent="0.25">
      <c r="A4292" s="841"/>
    </row>
    <row r="4293" spans="1:1" x14ac:dyDescent="0.25">
      <c r="A4293" s="841"/>
    </row>
    <row r="4294" spans="1:1" x14ac:dyDescent="0.25">
      <c r="A4294" s="841"/>
    </row>
    <row r="4295" spans="1:1" x14ac:dyDescent="0.25">
      <c r="A4295" s="841"/>
    </row>
    <row r="4296" spans="1:1" x14ac:dyDescent="0.25">
      <c r="A4296" s="841"/>
    </row>
    <row r="4297" spans="1:1" x14ac:dyDescent="0.25">
      <c r="A4297" s="841"/>
    </row>
    <row r="4298" spans="1:1" x14ac:dyDescent="0.25">
      <c r="A4298" s="841"/>
    </row>
    <row r="4299" spans="1:1" x14ac:dyDescent="0.25">
      <c r="A4299" s="841"/>
    </row>
    <row r="4300" spans="1:1" x14ac:dyDescent="0.25">
      <c r="A4300" s="841"/>
    </row>
    <row r="4301" spans="1:1" x14ac:dyDescent="0.25">
      <c r="A4301" s="841"/>
    </row>
    <row r="4302" spans="1:1" x14ac:dyDescent="0.25">
      <c r="A4302" s="841"/>
    </row>
    <row r="4303" spans="1:1" x14ac:dyDescent="0.25">
      <c r="A4303" s="841"/>
    </row>
    <row r="4304" spans="1:1" x14ac:dyDescent="0.25">
      <c r="A4304" s="841"/>
    </row>
    <row r="4305" spans="1:1" x14ac:dyDescent="0.25">
      <c r="A4305" s="841"/>
    </row>
    <row r="4306" spans="1:1" x14ac:dyDescent="0.25">
      <c r="A4306" s="841"/>
    </row>
    <row r="4307" spans="1:1" x14ac:dyDescent="0.25">
      <c r="A4307" s="841"/>
    </row>
    <row r="4308" spans="1:1" x14ac:dyDescent="0.25">
      <c r="A4308" s="841"/>
    </row>
    <row r="4309" spans="1:1" x14ac:dyDescent="0.25">
      <c r="A4309" s="841"/>
    </row>
    <row r="4310" spans="1:1" x14ac:dyDescent="0.25">
      <c r="A4310" s="841"/>
    </row>
    <row r="4311" spans="1:1" x14ac:dyDescent="0.25">
      <c r="A4311" s="841"/>
    </row>
    <row r="4312" spans="1:1" x14ac:dyDescent="0.25">
      <c r="A4312" s="841"/>
    </row>
    <row r="4313" spans="1:1" x14ac:dyDescent="0.25">
      <c r="A4313" s="841"/>
    </row>
    <row r="4314" spans="1:1" x14ac:dyDescent="0.25">
      <c r="A4314" s="841"/>
    </row>
    <row r="4315" spans="1:1" x14ac:dyDescent="0.25">
      <c r="A4315" s="841"/>
    </row>
    <row r="4316" spans="1:1" x14ac:dyDescent="0.25">
      <c r="A4316" s="841"/>
    </row>
    <row r="4317" spans="1:1" x14ac:dyDescent="0.25">
      <c r="A4317" s="841"/>
    </row>
    <row r="4318" spans="1:1" x14ac:dyDescent="0.25">
      <c r="A4318" s="841"/>
    </row>
    <row r="4319" spans="1:1" x14ac:dyDescent="0.25">
      <c r="A4319" s="841"/>
    </row>
    <row r="4320" spans="1:1" x14ac:dyDescent="0.25">
      <c r="A4320" s="841"/>
    </row>
    <row r="4321" spans="1:1" x14ac:dyDescent="0.25">
      <c r="A4321" s="841"/>
    </row>
    <row r="4322" spans="1:1" x14ac:dyDescent="0.25">
      <c r="A4322" s="841"/>
    </row>
    <row r="4323" spans="1:1" x14ac:dyDescent="0.25">
      <c r="A4323" s="841"/>
    </row>
    <row r="4324" spans="1:1" x14ac:dyDescent="0.25">
      <c r="A4324" s="841"/>
    </row>
    <row r="4325" spans="1:1" x14ac:dyDescent="0.25">
      <c r="A4325" s="841"/>
    </row>
    <row r="4326" spans="1:1" x14ac:dyDescent="0.25">
      <c r="A4326" s="841"/>
    </row>
    <row r="4327" spans="1:1" x14ac:dyDescent="0.25">
      <c r="A4327" s="841"/>
    </row>
    <row r="4328" spans="1:1" x14ac:dyDescent="0.25">
      <c r="A4328" s="841"/>
    </row>
    <row r="4329" spans="1:1" x14ac:dyDescent="0.25">
      <c r="A4329" s="841"/>
    </row>
    <row r="4330" spans="1:1" x14ac:dyDescent="0.25">
      <c r="A4330" s="841"/>
    </row>
    <row r="4331" spans="1:1" x14ac:dyDescent="0.25">
      <c r="A4331" s="841"/>
    </row>
    <row r="4332" spans="1:1" x14ac:dyDescent="0.25">
      <c r="A4332" s="841"/>
    </row>
    <row r="4333" spans="1:1" x14ac:dyDescent="0.25">
      <c r="A4333" s="841"/>
    </row>
    <row r="4334" spans="1:1" x14ac:dyDescent="0.25">
      <c r="A4334" s="841"/>
    </row>
    <row r="4335" spans="1:1" x14ac:dyDescent="0.25">
      <c r="A4335" s="841"/>
    </row>
    <row r="4336" spans="1:1" x14ac:dyDescent="0.25">
      <c r="A4336" s="841"/>
    </row>
    <row r="4337" spans="1:1" x14ac:dyDescent="0.25">
      <c r="A4337" s="841"/>
    </row>
    <row r="4338" spans="1:1" x14ac:dyDescent="0.25">
      <c r="A4338" s="841"/>
    </row>
    <row r="4339" spans="1:1" x14ac:dyDescent="0.25">
      <c r="A4339" s="841"/>
    </row>
    <row r="4340" spans="1:1" x14ac:dyDescent="0.25">
      <c r="A4340" s="841"/>
    </row>
    <row r="4341" spans="1:1" x14ac:dyDescent="0.25">
      <c r="A4341" s="841"/>
    </row>
    <row r="4342" spans="1:1" x14ac:dyDescent="0.25">
      <c r="A4342" s="841"/>
    </row>
    <row r="4343" spans="1:1" x14ac:dyDescent="0.25">
      <c r="A4343" s="841"/>
    </row>
    <row r="4344" spans="1:1" x14ac:dyDescent="0.25">
      <c r="A4344" s="841"/>
    </row>
    <row r="4345" spans="1:1" x14ac:dyDescent="0.25">
      <c r="A4345" s="841"/>
    </row>
    <row r="4346" spans="1:1" x14ac:dyDescent="0.25">
      <c r="A4346" s="841"/>
    </row>
    <row r="4347" spans="1:1" x14ac:dyDescent="0.25">
      <c r="A4347" s="841"/>
    </row>
    <row r="4348" spans="1:1" x14ac:dyDescent="0.25">
      <c r="A4348" s="841"/>
    </row>
    <row r="4349" spans="1:1" x14ac:dyDescent="0.25">
      <c r="A4349" s="841"/>
    </row>
    <row r="4350" spans="1:1" x14ac:dyDescent="0.25">
      <c r="A4350" s="841"/>
    </row>
    <row r="4351" spans="1:1" x14ac:dyDescent="0.25">
      <c r="A4351" s="841"/>
    </row>
    <row r="4352" spans="1:1" x14ac:dyDescent="0.25">
      <c r="A4352" s="841"/>
    </row>
    <row r="4353" spans="1:1" x14ac:dyDescent="0.25">
      <c r="A4353" s="841"/>
    </row>
    <row r="4354" spans="1:1" x14ac:dyDescent="0.25">
      <c r="A4354" s="841"/>
    </row>
    <row r="4355" spans="1:1" x14ac:dyDescent="0.25">
      <c r="A4355" s="841"/>
    </row>
    <row r="4356" spans="1:1" x14ac:dyDescent="0.25">
      <c r="A4356" s="841"/>
    </row>
    <row r="4357" spans="1:1" x14ac:dyDescent="0.25">
      <c r="A4357" s="841"/>
    </row>
    <row r="4358" spans="1:1" x14ac:dyDescent="0.25">
      <c r="A4358" s="841"/>
    </row>
    <row r="4359" spans="1:1" x14ac:dyDescent="0.25">
      <c r="A4359" s="841"/>
    </row>
    <row r="4360" spans="1:1" x14ac:dyDescent="0.25">
      <c r="A4360" s="841"/>
    </row>
    <row r="4361" spans="1:1" x14ac:dyDescent="0.25">
      <c r="A4361" s="841"/>
    </row>
    <row r="4362" spans="1:1" x14ac:dyDescent="0.25">
      <c r="A4362" s="841"/>
    </row>
    <row r="4363" spans="1:1" x14ac:dyDescent="0.25">
      <c r="A4363" s="841"/>
    </row>
    <row r="4364" spans="1:1" x14ac:dyDescent="0.25">
      <c r="A4364" s="841"/>
    </row>
    <row r="4365" spans="1:1" x14ac:dyDescent="0.25">
      <c r="A4365" s="841"/>
    </row>
    <row r="4366" spans="1:1" x14ac:dyDescent="0.25">
      <c r="A4366" s="841"/>
    </row>
    <row r="4367" spans="1:1" x14ac:dyDescent="0.25">
      <c r="A4367" s="841"/>
    </row>
    <row r="4368" spans="1:1" x14ac:dyDescent="0.25">
      <c r="A4368" s="841"/>
    </row>
    <row r="4369" spans="1:1" x14ac:dyDescent="0.25">
      <c r="A4369" s="841"/>
    </row>
    <row r="4370" spans="1:1" x14ac:dyDescent="0.25">
      <c r="A4370" s="841"/>
    </row>
    <row r="4371" spans="1:1" x14ac:dyDescent="0.25">
      <c r="A4371" s="841"/>
    </row>
    <row r="4372" spans="1:1" x14ac:dyDescent="0.25">
      <c r="A4372" s="841"/>
    </row>
    <row r="4373" spans="1:1" x14ac:dyDescent="0.25">
      <c r="A4373" s="841"/>
    </row>
    <row r="4374" spans="1:1" x14ac:dyDescent="0.25">
      <c r="A4374" s="841"/>
    </row>
    <row r="4375" spans="1:1" x14ac:dyDescent="0.25">
      <c r="A4375" s="841"/>
    </row>
    <row r="4376" spans="1:1" x14ac:dyDescent="0.25">
      <c r="A4376" s="841"/>
    </row>
    <row r="4377" spans="1:1" x14ac:dyDescent="0.25">
      <c r="A4377" s="841"/>
    </row>
    <row r="4378" spans="1:1" x14ac:dyDescent="0.25">
      <c r="A4378" s="841"/>
    </row>
    <row r="4379" spans="1:1" x14ac:dyDescent="0.25">
      <c r="A4379" s="841"/>
    </row>
    <row r="4380" spans="1:1" x14ac:dyDescent="0.25">
      <c r="A4380" s="841"/>
    </row>
    <row r="4381" spans="1:1" x14ac:dyDescent="0.25">
      <c r="A4381" s="841"/>
    </row>
    <row r="4382" spans="1:1" x14ac:dyDescent="0.25">
      <c r="A4382" s="841"/>
    </row>
    <row r="4383" spans="1:1" x14ac:dyDescent="0.25">
      <c r="A4383" s="841"/>
    </row>
    <row r="4384" spans="1:1" x14ac:dyDescent="0.25">
      <c r="A4384" s="841"/>
    </row>
    <row r="4385" spans="1:1" x14ac:dyDescent="0.25">
      <c r="A4385" s="841"/>
    </row>
    <row r="4386" spans="1:1" x14ac:dyDescent="0.25">
      <c r="A4386" s="841"/>
    </row>
    <row r="4387" spans="1:1" x14ac:dyDescent="0.25">
      <c r="A4387" s="841"/>
    </row>
    <row r="4388" spans="1:1" x14ac:dyDescent="0.25">
      <c r="A4388" s="841"/>
    </row>
    <row r="4389" spans="1:1" x14ac:dyDescent="0.25">
      <c r="A4389" s="841"/>
    </row>
    <row r="4390" spans="1:1" x14ac:dyDescent="0.25">
      <c r="A4390" s="841"/>
    </row>
    <row r="4391" spans="1:1" x14ac:dyDescent="0.25">
      <c r="A4391" s="841"/>
    </row>
    <row r="4392" spans="1:1" x14ac:dyDescent="0.25">
      <c r="A4392" s="841"/>
    </row>
    <row r="4393" spans="1:1" x14ac:dyDescent="0.25">
      <c r="A4393" s="841"/>
    </row>
    <row r="4394" spans="1:1" x14ac:dyDescent="0.25">
      <c r="A4394" s="841"/>
    </row>
    <row r="4395" spans="1:1" x14ac:dyDescent="0.25">
      <c r="A4395" s="841"/>
    </row>
    <row r="4396" spans="1:1" x14ac:dyDescent="0.25">
      <c r="A4396" s="841"/>
    </row>
    <row r="4397" spans="1:1" x14ac:dyDescent="0.25">
      <c r="A4397" s="841"/>
    </row>
    <row r="4398" spans="1:1" x14ac:dyDescent="0.25">
      <c r="A4398" s="841"/>
    </row>
    <row r="4399" spans="1:1" x14ac:dyDescent="0.25">
      <c r="A4399" s="841"/>
    </row>
    <row r="4400" spans="1:1" x14ac:dyDescent="0.25">
      <c r="A4400" s="841"/>
    </row>
    <row r="4401" spans="1:1" x14ac:dyDescent="0.25">
      <c r="A4401" s="841"/>
    </row>
    <row r="4402" spans="1:1" x14ac:dyDescent="0.25">
      <c r="A4402" s="841"/>
    </row>
    <row r="4403" spans="1:1" x14ac:dyDescent="0.25">
      <c r="A4403" s="841"/>
    </row>
    <row r="4404" spans="1:1" x14ac:dyDescent="0.25">
      <c r="A4404" s="841"/>
    </row>
    <row r="4405" spans="1:1" x14ac:dyDescent="0.25">
      <c r="A4405" s="841"/>
    </row>
    <row r="4406" spans="1:1" x14ac:dyDescent="0.25">
      <c r="A4406" s="841"/>
    </row>
    <row r="4407" spans="1:1" x14ac:dyDescent="0.25">
      <c r="A4407" s="841"/>
    </row>
    <row r="4408" spans="1:1" x14ac:dyDescent="0.25">
      <c r="A4408" s="841"/>
    </row>
    <row r="4409" spans="1:1" x14ac:dyDescent="0.25">
      <c r="A4409" s="841"/>
    </row>
    <row r="4410" spans="1:1" x14ac:dyDescent="0.25">
      <c r="A4410" s="841"/>
    </row>
    <row r="4411" spans="1:1" x14ac:dyDescent="0.25">
      <c r="A4411" s="841"/>
    </row>
    <row r="4412" spans="1:1" x14ac:dyDescent="0.25">
      <c r="A4412" s="841"/>
    </row>
    <row r="4413" spans="1:1" x14ac:dyDescent="0.25">
      <c r="A4413" s="841"/>
    </row>
    <row r="4414" spans="1:1" x14ac:dyDescent="0.25">
      <c r="A4414" s="841"/>
    </row>
    <row r="4415" spans="1:1" x14ac:dyDescent="0.25">
      <c r="A4415" s="841"/>
    </row>
    <row r="4416" spans="1:1" x14ac:dyDescent="0.25">
      <c r="A4416" s="841"/>
    </row>
    <row r="4417" spans="1:1" x14ac:dyDescent="0.25">
      <c r="A4417" s="841"/>
    </row>
    <row r="4418" spans="1:1" x14ac:dyDescent="0.25">
      <c r="A4418" s="841"/>
    </row>
    <row r="4419" spans="1:1" x14ac:dyDescent="0.25">
      <c r="A4419" s="841"/>
    </row>
    <row r="4420" spans="1:1" x14ac:dyDescent="0.25">
      <c r="A4420" s="841"/>
    </row>
    <row r="4421" spans="1:1" x14ac:dyDescent="0.25">
      <c r="A4421" s="841"/>
    </row>
    <row r="4422" spans="1:1" x14ac:dyDescent="0.25">
      <c r="A4422" s="841"/>
    </row>
    <row r="4423" spans="1:1" x14ac:dyDescent="0.25">
      <c r="A4423" s="841"/>
    </row>
    <row r="4424" spans="1:1" x14ac:dyDescent="0.25">
      <c r="A4424" s="841"/>
    </row>
    <row r="4425" spans="1:1" x14ac:dyDescent="0.25">
      <c r="A4425" s="841"/>
    </row>
    <row r="4426" spans="1:1" x14ac:dyDescent="0.25">
      <c r="A4426" s="841"/>
    </row>
    <row r="4427" spans="1:1" x14ac:dyDescent="0.25">
      <c r="A4427" s="841"/>
    </row>
    <row r="4428" spans="1:1" x14ac:dyDescent="0.25">
      <c r="A4428" s="841"/>
    </row>
    <row r="4429" spans="1:1" x14ac:dyDescent="0.25">
      <c r="A4429" s="841"/>
    </row>
    <row r="4430" spans="1:1" x14ac:dyDescent="0.25">
      <c r="A4430" s="841"/>
    </row>
    <row r="4431" spans="1:1" x14ac:dyDescent="0.25">
      <c r="A4431" s="841"/>
    </row>
    <row r="4432" spans="1:1" x14ac:dyDescent="0.25">
      <c r="A4432" s="841"/>
    </row>
    <row r="4433" spans="1:1" x14ac:dyDescent="0.25">
      <c r="A4433" s="841"/>
    </row>
    <row r="4434" spans="1:1" x14ac:dyDescent="0.25">
      <c r="A4434" s="841"/>
    </row>
    <row r="4435" spans="1:1" x14ac:dyDescent="0.25">
      <c r="A4435" s="841"/>
    </row>
    <row r="4436" spans="1:1" x14ac:dyDescent="0.25">
      <c r="A4436" s="841"/>
    </row>
    <row r="4437" spans="1:1" x14ac:dyDescent="0.25">
      <c r="A4437" s="841"/>
    </row>
    <row r="4438" spans="1:1" x14ac:dyDescent="0.25">
      <c r="A4438" s="841"/>
    </row>
    <row r="4439" spans="1:1" x14ac:dyDescent="0.25">
      <c r="A4439" s="841"/>
    </row>
    <row r="4440" spans="1:1" x14ac:dyDescent="0.25">
      <c r="A4440" s="841"/>
    </row>
    <row r="4441" spans="1:1" x14ac:dyDescent="0.25">
      <c r="A4441" s="841"/>
    </row>
    <row r="4442" spans="1:1" x14ac:dyDescent="0.25">
      <c r="A4442" s="841"/>
    </row>
    <row r="4443" spans="1:1" x14ac:dyDescent="0.25">
      <c r="A4443" s="841"/>
    </row>
    <row r="4444" spans="1:1" x14ac:dyDescent="0.25">
      <c r="A4444" s="841"/>
    </row>
    <row r="4445" spans="1:1" x14ac:dyDescent="0.25">
      <c r="A4445" s="841"/>
    </row>
    <row r="4446" spans="1:1" x14ac:dyDescent="0.25">
      <c r="A4446" s="841"/>
    </row>
    <row r="4447" spans="1:1" x14ac:dyDescent="0.25">
      <c r="A4447" s="841"/>
    </row>
    <row r="4448" spans="1:1" x14ac:dyDescent="0.25">
      <c r="A4448" s="841"/>
    </row>
    <row r="4449" spans="1:1" x14ac:dyDescent="0.25">
      <c r="A4449" s="841"/>
    </row>
    <row r="4450" spans="1:1" x14ac:dyDescent="0.25">
      <c r="A4450" s="841"/>
    </row>
    <row r="4451" spans="1:1" x14ac:dyDescent="0.25">
      <c r="A4451" s="841"/>
    </row>
    <row r="4452" spans="1:1" x14ac:dyDescent="0.25">
      <c r="A4452" s="841"/>
    </row>
    <row r="4453" spans="1:1" x14ac:dyDescent="0.25">
      <c r="A4453" s="841"/>
    </row>
    <row r="4454" spans="1:1" x14ac:dyDescent="0.25">
      <c r="A4454" s="841"/>
    </row>
    <row r="4455" spans="1:1" x14ac:dyDescent="0.25">
      <c r="A4455" s="841"/>
    </row>
    <row r="4456" spans="1:1" x14ac:dyDescent="0.25">
      <c r="A4456" s="841"/>
    </row>
    <row r="4457" spans="1:1" x14ac:dyDescent="0.25">
      <c r="A4457" s="841"/>
    </row>
    <row r="4458" spans="1:1" x14ac:dyDescent="0.25">
      <c r="A4458" s="841"/>
    </row>
    <row r="4459" spans="1:1" x14ac:dyDescent="0.25">
      <c r="A4459" s="841"/>
    </row>
    <row r="4460" spans="1:1" x14ac:dyDescent="0.25">
      <c r="A4460" s="841"/>
    </row>
    <row r="4461" spans="1:1" x14ac:dyDescent="0.25">
      <c r="A4461" s="841"/>
    </row>
    <row r="4462" spans="1:1" x14ac:dyDescent="0.25">
      <c r="A4462" s="841"/>
    </row>
    <row r="4463" spans="1:1" x14ac:dyDescent="0.25">
      <c r="A4463" s="841"/>
    </row>
    <row r="4464" spans="1:1" x14ac:dyDescent="0.25">
      <c r="A4464" s="841"/>
    </row>
    <row r="4465" spans="1:1" x14ac:dyDescent="0.25">
      <c r="A4465" s="841"/>
    </row>
    <row r="4466" spans="1:1" x14ac:dyDescent="0.25">
      <c r="A4466" s="841"/>
    </row>
    <row r="4467" spans="1:1" x14ac:dyDescent="0.25">
      <c r="A4467" s="841"/>
    </row>
    <row r="4468" spans="1:1" x14ac:dyDescent="0.25">
      <c r="A4468" s="841"/>
    </row>
    <row r="4469" spans="1:1" x14ac:dyDescent="0.25">
      <c r="A4469" s="841"/>
    </row>
    <row r="4470" spans="1:1" x14ac:dyDescent="0.25">
      <c r="A4470" s="841"/>
    </row>
    <row r="4471" spans="1:1" x14ac:dyDescent="0.25">
      <c r="A4471" s="841"/>
    </row>
    <row r="4472" spans="1:1" x14ac:dyDescent="0.25">
      <c r="A4472" s="841"/>
    </row>
    <row r="4473" spans="1:1" x14ac:dyDescent="0.25">
      <c r="A4473" s="841"/>
    </row>
    <row r="4474" spans="1:1" x14ac:dyDescent="0.25">
      <c r="A4474" s="841"/>
    </row>
    <row r="4475" spans="1:1" x14ac:dyDescent="0.25">
      <c r="A4475" s="841"/>
    </row>
    <row r="4476" spans="1:1" x14ac:dyDescent="0.25">
      <c r="A4476" s="841"/>
    </row>
    <row r="4477" spans="1:1" x14ac:dyDescent="0.25">
      <c r="A4477" s="841"/>
    </row>
    <row r="4478" spans="1:1" x14ac:dyDescent="0.25">
      <c r="A4478" s="841"/>
    </row>
    <row r="4479" spans="1:1" x14ac:dyDescent="0.25">
      <c r="A4479" s="841"/>
    </row>
    <row r="4480" spans="1:1" x14ac:dyDescent="0.25">
      <c r="A4480" s="841"/>
    </row>
    <row r="4481" spans="1:1" x14ac:dyDescent="0.25">
      <c r="A4481" s="841"/>
    </row>
    <row r="4482" spans="1:1" x14ac:dyDescent="0.25">
      <c r="A4482" s="841"/>
    </row>
    <row r="4483" spans="1:1" x14ac:dyDescent="0.25">
      <c r="A4483" s="841"/>
    </row>
    <row r="4484" spans="1:1" x14ac:dyDescent="0.25">
      <c r="A4484" s="841"/>
    </row>
    <row r="4485" spans="1:1" x14ac:dyDescent="0.25">
      <c r="A4485" s="841"/>
    </row>
    <row r="4486" spans="1:1" x14ac:dyDescent="0.25">
      <c r="A4486" s="841"/>
    </row>
    <row r="4487" spans="1:1" x14ac:dyDescent="0.25">
      <c r="A4487" s="841"/>
    </row>
    <row r="4488" spans="1:1" x14ac:dyDescent="0.25">
      <c r="A4488" s="841"/>
    </row>
    <row r="4489" spans="1:1" x14ac:dyDescent="0.25">
      <c r="A4489" s="841"/>
    </row>
    <row r="4490" spans="1:1" x14ac:dyDescent="0.25">
      <c r="A4490" s="841"/>
    </row>
    <row r="4491" spans="1:1" x14ac:dyDescent="0.25">
      <c r="A4491" s="841"/>
    </row>
    <row r="4492" spans="1:1" x14ac:dyDescent="0.25">
      <c r="A4492" s="841"/>
    </row>
    <row r="4493" spans="1:1" x14ac:dyDescent="0.25">
      <c r="A4493" s="841"/>
    </row>
    <row r="4494" spans="1:1" x14ac:dyDescent="0.25">
      <c r="A4494" s="841"/>
    </row>
    <row r="4495" spans="1:1" x14ac:dyDescent="0.25">
      <c r="A4495" s="841"/>
    </row>
    <row r="4496" spans="1:1" x14ac:dyDescent="0.25">
      <c r="A4496" s="841"/>
    </row>
    <row r="4497" spans="1:1" x14ac:dyDescent="0.25">
      <c r="A4497" s="841"/>
    </row>
    <row r="4498" spans="1:1" x14ac:dyDescent="0.25">
      <c r="A4498" s="841"/>
    </row>
    <row r="4499" spans="1:1" x14ac:dyDescent="0.25">
      <c r="A4499" s="841"/>
    </row>
    <row r="4500" spans="1:1" x14ac:dyDescent="0.25">
      <c r="A4500" s="841"/>
    </row>
    <row r="4501" spans="1:1" x14ac:dyDescent="0.25">
      <c r="A4501" s="841"/>
    </row>
    <row r="4502" spans="1:1" x14ac:dyDescent="0.25">
      <c r="A4502" s="841"/>
    </row>
    <row r="4503" spans="1:1" x14ac:dyDescent="0.25">
      <c r="A4503" s="841"/>
    </row>
    <row r="4504" spans="1:1" x14ac:dyDescent="0.25">
      <c r="A4504" s="841"/>
    </row>
    <row r="4505" spans="1:1" x14ac:dyDescent="0.25">
      <c r="A4505" s="841"/>
    </row>
    <row r="4506" spans="1:1" x14ac:dyDescent="0.25">
      <c r="A4506" s="841"/>
    </row>
    <row r="4507" spans="1:1" x14ac:dyDescent="0.25">
      <c r="A4507" s="841"/>
    </row>
    <row r="4508" spans="1:1" x14ac:dyDescent="0.25">
      <c r="A4508" s="841"/>
    </row>
    <row r="4509" spans="1:1" x14ac:dyDescent="0.25">
      <c r="A4509" s="841"/>
    </row>
    <row r="4510" spans="1:1" x14ac:dyDescent="0.25">
      <c r="A4510" s="841"/>
    </row>
    <row r="4511" spans="1:1" x14ac:dyDescent="0.25">
      <c r="A4511" s="841"/>
    </row>
    <row r="4512" spans="1:1" x14ac:dyDescent="0.25">
      <c r="A4512" s="841"/>
    </row>
    <row r="4513" spans="1:1" x14ac:dyDescent="0.25">
      <c r="A4513" s="841"/>
    </row>
    <row r="4514" spans="1:1" x14ac:dyDescent="0.25">
      <c r="A4514" s="841"/>
    </row>
    <row r="4515" spans="1:1" x14ac:dyDescent="0.25">
      <c r="A4515" s="841"/>
    </row>
    <row r="4516" spans="1:1" x14ac:dyDescent="0.25">
      <c r="A4516" s="841"/>
    </row>
    <row r="4517" spans="1:1" x14ac:dyDescent="0.25">
      <c r="A4517" s="841"/>
    </row>
    <row r="4518" spans="1:1" x14ac:dyDescent="0.25">
      <c r="A4518" s="841"/>
    </row>
    <row r="4519" spans="1:1" x14ac:dyDescent="0.25">
      <c r="A4519" s="841"/>
    </row>
    <row r="4520" spans="1:1" x14ac:dyDescent="0.25">
      <c r="A4520" s="841"/>
    </row>
    <row r="4521" spans="1:1" x14ac:dyDescent="0.25">
      <c r="A4521" s="841"/>
    </row>
    <row r="4522" spans="1:1" x14ac:dyDescent="0.25">
      <c r="A4522" s="841"/>
    </row>
    <row r="4523" spans="1:1" x14ac:dyDescent="0.25">
      <c r="A4523" s="841"/>
    </row>
    <row r="4524" spans="1:1" x14ac:dyDescent="0.25">
      <c r="A4524" s="841"/>
    </row>
    <row r="4525" spans="1:1" x14ac:dyDescent="0.25">
      <c r="A4525" s="841"/>
    </row>
    <row r="4526" spans="1:1" x14ac:dyDescent="0.25">
      <c r="A4526" s="841"/>
    </row>
    <row r="4527" spans="1:1" x14ac:dyDescent="0.25">
      <c r="A4527" s="841"/>
    </row>
    <row r="4528" spans="1:1" x14ac:dyDescent="0.25">
      <c r="A4528" s="841"/>
    </row>
    <row r="4529" spans="1:1" x14ac:dyDescent="0.25">
      <c r="A4529" s="841"/>
    </row>
    <row r="4530" spans="1:1" x14ac:dyDescent="0.25">
      <c r="A4530" s="841"/>
    </row>
    <row r="4531" spans="1:1" x14ac:dyDescent="0.25">
      <c r="A4531" s="841"/>
    </row>
    <row r="4532" spans="1:1" x14ac:dyDescent="0.25">
      <c r="A4532" s="841"/>
    </row>
    <row r="4533" spans="1:1" x14ac:dyDescent="0.25">
      <c r="A4533" s="841"/>
    </row>
    <row r="4534" spans="1:1" x14ac:dyDescent="0.25">
      <c r="A4534" s="841"/>
    </row>
    <row r="4535" spans="1:1" x14ac:dyDescent="0.25">
      <c r="A4535" s="841"/>
    </row>
    <row r="4536" spans="1:1" x14ac:dyDescent="0.25">
      <c r="A4536" s="841"/>
    </row>
    <row r="4537" spans="1:1" x14ac:dyDescent="0.25">
      <c r="A4537" s="841"/>
    </row>
    <row r="4538" spans="1:1" x14ac:dyDescent="0.25">
      <c r="A4538" s="841"/>
    </row>
    <row r="4539" spans="1:1" x14ac:dyDescent="0.25">
      <c r="A4539" s="841"/>
    </row>
    <row r="4540" spans="1:1" x14ac:dyDescent="0.25">
      <c r="A4540" s="841"/>
    </row>
    <row r="4541" spans="1:1" x14ac:dyDescent="0.25">
      <c r="A4541" s="841"/>
    </row>
    <row r="4542" spans="1:1" x14ac:dyDescent="0.25">
      <c r="A4542" s="841"/>
    </row>
    <row r="4543" spans="1:1" x14ac:dyDescent="0.25">
      <c r="A4543" s="841"/>
    </row>
    <row r="4544" spans="1:1" x14ac:dyDescent="0.25">
      <c r="A4544" s="841"/>
    </row>
    <row r="4545" spans="1:1" x14ac:dyDescent="0.25">
      <c r="A4545" s="841"/>
    </row>
    <row r="4546" spans="1:1" x14ac:dyDescent="0.25">
      <c r="A4546" s="841"/>
    </row>
    <row r="4547" spans="1:1" x14ac:dyDescent="0.25">
      <c r="A4547" s="841"/>
    </row>
    <row r="4548" spans="1:1" x14ac:dyDescent="0.25">
      <c r="A4548" s="841"/>
    </row>
    <row r="4549" spans="1:1" x14ac:dyDescent="0.25">
      <c r="A4549" s="841"/>
    </row>
    <row r="4550" spans="1:1" x14ac:dyDescent="0.25">
      <c r="A4550" s="841"/>
    </row>
    <row r="4551" spans="1:1" x14ac:dyDescent="0.25">
      <c r="A4551" s="841"/>
    </row>
    <row r="4552" spans="1:1" x14ac:dyDescent="0.25">
      <c r="A4552" s="841"/>
    </row>
    <row r="4553" spans="1:1" x14ac:dyDescent="0.25">
      <c r="A4553" s="841"/>
    </row>
    <row r="4554" spans="1:1" x14ac:dyDescent="0.25">
      <c r="A4554" s="841"/>
    </row>
    <row r="4555" spans="1:1" x14ac:dyDescent="0.25">
      <c r="A4555" s="841"/>
    </row>
    <row r="4556" spans="1:1" x14ac:dyDescent="0.25">
      <c r="A4556" s="841"/>
    </row>
    <row r="4557" spans="1:1" x14ac:dyDescent="0.25">
      <c r="A4557" s="841"/>
    </row>
    <row r="4558" spans="1:1" x14ac:dyDescent="0.25">
      <c r="A4558" s="841"/>
    </row>
    <row r="4559" spans="1:1" x14ac:dyDescent="0.25">
      <c r="A4559" s="841"/>
    </row>
    <row r="4560" spans="1:1" x14ac:dyDescent="0.25">
      <c r="A4560" s="841"/>
    </row>
    <row r="4561" spans="1:1" x14ac:dyDescent="0.25">
      <c r="A4561" s="841"/>
    </row>
    <row r="4562" spans="1:1" x14ac:dyDescent="0.25">
      <c r="A4562" s="841"/>
    </row>
    <row r="4563" spans="1:1" x14ac:dyDescent="0.25">
      <c r="A4563" s="841"/>
    </row>
    <row r="4564" spans="1:1" x14ac:dyDescent="0.25">
      <c r="A4564" s="841"/>
    </row>
    <row r="4565" spans="1:1" x14ac:dyDescent="0.25">
      <c r="A4565" s="841"/>
    </row>
    <row r="4566" spans="1:1" x14ac:dyDescent="0.25">
      <c r="A4566" s="841"/>
    </row>
    <row r="4567" spans="1:1" x14ac:dyDescent="0.25">
      <c r="A4567" s="841"/>
    </row>
    <row r="4568" spans="1:1" x14ac:dyDescent="0.25">
      <c r="A4568" s="841"/>
    </row>
    <row r="4569" spans="1:1" x14ac:dyDescent="0.25">
      <c r="A4569" s="841"/>
    </row>
    <row r="4570" spans="1:1" x14ac:dyDescent="0.25">
      <c r="A4570" s="841"/>
    </row>
    <row r="4571" spans="1:1" x14ac:dyDescent="0.25">
      <c r="A4571" s="841"/>
    </row>
    <row r="4572" spans="1:1" x14ac:dyDescent="0.25">
      <c r="A4572" s="841"/>
    </row>
    <row r="4573" spans="1:1" x14ac:dyDescent="0.25">
      <c r="A4573" s="841"/>
    </row>
    <row r="4574" spans="1:1" x14ac:dyDescent="0.25">
      <c r="A4574" s="841"/>
    </row>
    <row r="4575" spans="1:1" x14ac:dyDescent="0.25">
      <c r="A4575" s="841"/>
    </row>
    <row r="4576" spans="1:1" x14ac:dyDescent="0.25">
      <c r="A4576" s="841"/>
    </row>
    <row r="4577" spans="1:1" x14ac:dyDescent="0.25">
      <c r="A4577" s="841"/>
    </row>
    <row r="4578" spans="1:1" x14ac:dyDescent="0.25">
      <c r="A4578" s="841"/>
    </row>
    <row r="4579" spans="1:1" x14ac:dyDescent="0.25">
      <c r="A4579" s="841"/>
    </row>
    <row r="4580" spans="1:1" x14ac:dyDescent="0.25">
      <c r="A4580" s="841"/>
    </row>
    <row r="4581" spans="1:1" x14ac:dyDescent="0.25">
      <c r="A4581" s="841"/>
    </row>
    <row r="4582" spans="1:1" x14ac:dyDescent="0.25">
      <c r="A4582" s="841"/>
    </row>
    <row r="4583" spans="1:1" x14ac:dyDescent="0.25">
      <c r="A4583" s="841"/>
    </row>
    <row r="4584" spans="1:1" x14ac:dyDescent="0.25">
      <c r="A4584" s="841"/>
    </row>
    <row r="4585" spans="1:1" x14ac:dyDescent="0.25">
      <c r="A4585" s="841"/>
    </row>
    <row r="4586" spans="1:1" x14ac:dyDescent="0.25">
      <c r="A4586" s="841"/>
    </row>
    <row r="4587" spans="1:1" x14ac:dyDescent="0.25">
      <c r="A4587" s="841"/>
    </row>
    <row r="4588" spans="1:1" x14ac:dyDescent="0.25">
      <c r="A4588" s="841"/>
    </row>
    <row r="4589" spans="1:1" x14ac:dyDescent="0.25">
      <c r="A4589" s="841"/>
    </row>
    <row r="4590" spans="1:1" x14ac:dyDescent="0.25">
      <c r="A4590" s="841"/>
    </row>
    <row r="4591" spans="1:1" x14ac:dyDescent="0.25">
      <c r="A4591" s="841"/>
    </row>
    <row r="4592" spans="1:1" x14ac:dyDescent="0.25">
      <c r="A4592" s="841"/>
    </row>
    <row r="4593" spans="1:1" x14ac:dyDescent="0.25">
      <c r="A4593" s="841"/>
    </row>
    <row r="4594" spans="1:1" x14ac:dyDescent="0.25">
      <c r="A4594" s="841"/>
    </row>
    <row r="4595" spans="1:1" x14ac:dyDescent="0.25">
      <c r="A4595" s="841"/>
    </row>
    <row r="4596" spans="1:1" x14ac:dyDescent="0.25">
      <c r="A4596" s="841"/>
    </row>
    <row r="4597" spans="1:1" x14ac:dyDescent="0.25">
      <c r="A4597" s="841"/>
    </row>
    <row r="4598" spans="1:1" x14ac:dyDescent="0.25">
      <c r="A4598" s="841"/>
    </row>
    <row r="4599" spans="1:1" x14ac:dyDescent="0.25">
      <c r="A4599" s="841"/>
    </row>
    <row r="4600" spans="1:1" x14ac:dyDescent="0.25">
      <c r="A4600" s="841"/>
    </row>
    <row r="4601" spans="1:1" x14ac:dyDescent="0.25">
      <c r="A4601" s="841"/>
    </row>
    <row r="4602" spans="1:1" x14ac:dyDescent="0.25">
      <c r="A4602" s="841"/>
    </row>
    <row r="4603" spans="1:1" x14ac:dyDescent="0.25">
      <c r="A4603" s="841"/>
    </row>
    <row r="4604" spans="1:1" x14ac:dyDescent="0.25">
      <c r="A4604" s="841"/>
    </row>
    <row r="4605" spans="1:1" x14ac:dyDescent="0.25">
      <c r="A4605" s="841"/>
    </row>
    <row r="4606" spans="1:1" x14ac:dyDescent="0.25">
      <c r="A4606" s="841"/>
    </row>
    <row r="4607" spans="1:1" x14ac:dyDescent="0.25">
      <c r="A4607" s="841"/>
    </row>
    <row r="4608" spans="1:1" x14ac:dyDescent="0.25">
      <c r="A4608" s="841"/>
    </row>
    <row r="4609" spans="1:1" x14ac:dyDescent="0.25">
      <c r="A4609" s="841"/>
    </row>
    <row r="4610" spans="1:1" x14ac:dyDescent="0.25">
      <c r="A4610" s="841"/>
    </row>
    <row r="4611" spans="1:1" x14ac:dyDescent="0.25">
      <c r="A4611" s="841"/>
    </row>
    <row r="4612" spans="1:1" x14ac:dyDescent="0.25">
      <c r="A4612" s="841"/>
    </row>
    <row r="4613" spans="1:1" x14ac:dyDescent="0.25">
      <c r="A4613" s="841"/>
    </row>
    <row r="4614" spans="1:1" x14ac:dyDescent="0.25">
      <c r="A4614" s="841"/>
    </row>
    <row r="4615" spans="1:1" x14ac:dyDescent="0.25">
      <c r="A4615" s="841"/>
    </row>
    <row r="4616" spans="1:1" x14ac:dyDescent="0.25">
      <c r="A4616" s="841"/>
    </row>
    <row r="4617" spans="1:1" x14ac:dyDescent="0.25">
      <c r="A4617" s="841"/>
    </row>
    <row r="4618" spans="1:1" x14ac:dyDescent="0.25">
      <c r="A4618" s="841"/>
    </row>
    <row r="4619" spans="1:1" x14ac:dyDescent="0.25">
      <c r="A4619" s="841"/>
    </row>
    <row r="4620" spans="1:1" x14ac:dyDescent="0.25">
      <c r="A4620" s="841"/>
    </row>
    <row r="4621" spans="1:1" x14ac:dyDescent="0.25">
      <c r="A4621" s="841"/>
    </row>
    <row r="4622" spans="1:1" x14ac:dyDescent="0.25">
      <c r="A4622" s="841"/>
    </row>
    <row r="4623" spans="1:1" x14ac:dyDescent="0.25">
      <c r="A4623" s="841"/>
    </row>
    <row r="4624" spans="1:1" x14ac:dyDescent="0.25">
      <c r="A4624" s="841"/>
    </row>
    <row r="4625" spans="1:1" x14ac:dyDescent="0.25">
      <c r="A4625" s="841"/>
    </row>
    <row r="4626" spans="1:1" x14ac:dyDescent="0.25">
      <c r="A4626" s="841"/>
    </row>
    <row r="4627" spans="1:1" x14ac:dyDescent="0.25">
      <c r="A4627" s="841"/>
    </row>
    <row r="4628" spans="1:1" x14ac:dyDescent="0.25">
      <c r="A4628" s="841"/>
    </row>
    <row r="4629" spans="1:1" x14ac:dyDescent="0.25">
      <c r="A4629" s="841"/>
    </row>
    <row r="4630" spans="1:1" x14ac:dyDescent="0.25">
      <c r="A4630" s="841"/>
    </row>
    <row r="4631" spans="1:1" x14ac:dyDescent="0.25">
      <c r="A4631" s="841"/>
    </row>
    <row r="4632" spans="1:1" x14ac:dyDescent="0.25">
      <c r="A4632" s="841"/>
    </row>
    <row r="4633" spans="1:1" x14ac:dyDescent="0.25">
      <c r="A4633" s="841"/>
    </row>
    <row r="4634" spans="1:1" x14ac:dyDescent="0.25">
      <c r="A4634" s="841"/>
    </row>
    <row r="4635" spans="1:1" x14ac:dyDescent="0.25">
      <c r="A4635" s="841"/>
    </row>
    <row r="4636" spans="1:1" x14ac:dyDescent="0.25">
      <c r="A4636" s="841"/>
    </row>
    <row r="4637" spans="1:1" x14ac:dyDescent="0.25">
      <c r="A4637" s="841"/>
    </row>
    <row r="4638" spans="1:1" x14ac:dyDescent="0.25">
      <c r="A4638" s="841"/>
    </row>
    <row r="4639" spans="1:1" x14ac:dyDescent="0.25">
      <c r="A4639" s="841"/>
    </row>
    <row r="4640" spans="1:1" x14ac:dyDescent="0.25">
      <c r="A4640" s="841"/>
    </row>
    <row r="4641" spans="1:1" x14ac:dyDescent="0.25">
      <c r="A4641" s="841"/>
    </row>
    <row r="4642" spans="1:1" x14ac:dyDescent="0.25">
      <c r="A4642" s="841"/>
    </row>
    <row r="4643" spans="1:1" x14ac:dyDescent="0.25">
      <c r="A4643" s="841"/>
    </row>
    <row r="4644" spans="1:1" x14ac:dyDescent="0.25">
      <c r="A4644" s="841"/>
    </row>
    <row r="4645" spans="1:1" x14ac:dyDescent="0.25">
      <c r="A4645" s="841"/>
    </row>
    <row r="4646" spans="1:1" x14ac:dyDescent="0.25">
      <c r="A4646" s="841"/>
    </row>
    <row r="4647" spans="1:1" x14ac:dyDescent="0.25">
      <c r="A4647" s="841"/>
    </row>
    <row r="4648" spans="1:1" x14ac:dyDescent="0.25">
      <c r="A4648" s="841"/>
    </row>
    <row r="4649" spans="1:1" x14ac:dyDescent="0.25">
      <c r="A4649" s="841"/>
    </row>
    <row r="4650" spans="1:1" x14ac:dyDescent="0.25">
      <c r="A4650" s="841"/>
    </row>
    <row r="4651" spans="1:1" x14ac:dyDescent="0.25">
      <c r="A4651" s="841"/>
    </row>
    <row r="4652" spans="1:1" x14ac:dyDescent="0.25">
      <c r="A4652" s="841"/>
    </row>
    <row r="4653" spans="1:1" x14ac:dyDescent="0.25">
      <c r="A4653" s="841"/>
    </row>
    <row r="4654" spans="1:1" x14ac:dyDescent="0.25">
      <c r="A4654" s="841"/>
    </row>
    <row r="4655" spans="1:1" x14ac:dyDescent="0.25">
      <c r="A4655" s="841"/>
    </row>
    <row r="4656" spans="1:1" x14ac:dyDescent="0.25">
      <c r="A4656" s="841"/>
    </row>
    <row r="4657" spans="1:1" x14ac:dyDescent="0.25">
      <c r="A4657" s="841"/>
    </row>
    <row r="4658" spans="1:1" x14ac:dyDescent="0.25">
      <c r="A4658" s="841"/>
    </row>
    <row r="4659" spans="1:1" x14ac:dyDescent="0.25">
      <c r="A4659" s="841"/>
    </row>
    <row r="4660" spans="1:1" x14ac:dyDescent="0.25">
      <c r="A4660" s="841"/>
    </row>
    <row r="4661" spans="1:1" x14ac:dyDescent="0.25">
      <c r="A4661" s="841"/>
    </row>
    <row r="4662" spans="1:1" x14ac:dyDescent="0.25">
      <c r="A4662" s="841"/>
    </row>
    <row r="4663" spans="1:1" x14ac:dyDescent="0.25">
      <c r="A4663" s="841"/>
    </row>
    <row r="4664" spans="1:1" x14ac:dyDescent="0.25">
      <c r="A4664" s="841"/>
    </row>
    <row r="4665" spans="1:1" x14ac:dyDescent="0.25">
      <c r="A4665" s="841"/>
    </row>
    <row r="4666" spans="1:1" x14ac:dyDescent="0.25">
      <c r="A4666" s="841"/>
    </row>
    <row r="4667" spans="1:1" x14ac:dyDescent="0.25">
      <c r="A4667" s="841"/>
    </row>
    <row r="4668" spans="1:1" x14ac:dyDescent="0.25">
      <c r="A4668" s="841"/>
    </row>
    <row r="4669" spans="1:1" x14ac:dyDescent="0.25">
      <c r="A4669" s="841"/>
    </row>
    <row r="4670" spans="1:1" x14ac:dyDescent="0.25">
      <c r="A4670" s="841"/>
    </row>
    <row r="4671" spans="1:1" x14ac:dyDescent="0.25">
      <c r="A4671" s="841"/>
    </row>
    <row r="4672" spans="1:1" x14ac:dyDescent="0.25">
      <c r="A4672" s="841"/>
    </row>
    <row r="4673" spans="1:1" x14ac:dyDescent="0.25">
      <c r="A4673" s="841"/>
    </row>
    <row r="4674" spans="1:1" x14ac:dyDescent="0.25">
      <c r="A4674" s="841"/>
    </row>
    <row r="4675" spans="1:1" x14ac:dyDescent="0.25">
      <c r="A4675" s="841"/>
    </row>
    <row r="4676" spans="1:1" x14ac:dyDescent="0.25">
      <c r="A4676" s="841"/>
    </row>
    <row r="4677" spans="1:1" x14ac:dyDescent="0.25">
      <c r="A4677" s="841"/>
    </row>
    <row r="4678" spans="1:1" x14ac:dyDescent="0.25">
      <c r="A4678" s="841"/>
    </row>
    <row r="4679" spans="1:1" x14ac:dyDescent="0.25">
      <c r="A4679" s="841"/>
    </row>
    <row r="4680" spans="1:1" x14ac:dyDescent="0.25">
      <c r="A4680" s="841"/>
    </row>
    <row r="4681" spans="1:1" x14ac:dyDescent="0.25">
      <c r="A4681" s="841"/>
    </row>
    <row r="4682" spans="1:1" x14ac:dyDescent="0.25">
      <c r="A4682" s="841"/>
    </row>
    <row r="4683" spans="1:1" x14ac:dyDescent="0.25">
      <c r="A4683" s="841"/>
    </row>
    <row r="4684" spans="1:1" x14ac:dyDescent="0.25">
      <c r="A4684" s="841"/>
    </row>
    <row r="4685" spans="1:1" x14ac:dyDescent="0.25">
      <c r="A4685" s="841"/>
    </row>
    <row r="4686" spans="1:1" x14ac:dyDescent="0.25">
      <c r="A4686" s="841"/>
    </row>
    <row r="4687" spans="1:1" x14ac:dyDescent="0.25">
      <c r="A4687" s="841"/>
    </row>
    <row r="4688" spans="1:1" x14ac:dyDescent="0.25">
      <c r="A4688" s="841"/>
    </row>
    <row r="4689" spans="1:1" x14ac:dyDescent="0.25">
      <c r="A4689" s="841"/>
    </row>
    <row r="4690" spans="1:1" x14ac:dyDescent="0.25">
      <c r="A4690" s="841"/>
    </row>
    <row r="4691" spans="1:1" x14ac:dyDescent="0.25">
      <c r="A4691" s="841"/>
    </row>
    <row r="4692" spans="1:1" x14ac:dyDescent="0.25">
      <c r="A4692" s="841"/>
    </row>
    <row r="4693" spans="1:1" x14ac:dyDescent="0.25">
      <c r="A4693" s="841"/>
    </row>
    <row r="4694" spans="1:1" x14ac:dyDescent="0.25">
      <c r="A4694" s="841"/>
    </row>
    <row r="4695" spans="1:1" x14ac:dyDescent="0.25">
      <c r="A4695" s="841"/>
    </row>
    <row r="4696" spans="1:1" x14ac:dyDescent="0.25">
      <c r="A4696" s="841"/>
    </row>
    <row r="4697" spans="1:1" x14ac:dyDescent="0.25">
      <c r="A4697" s="841"/>
    </row>
    <row r="4698" spans="1:1" x14ac:dyDescent="0.25">
      <c r="A4698" s="841"/>
    </row>
    <row r="4699" spans="1:1" x14ac:dyDescent="0.25">
      <c r="A4699" s="841"/>
    </row>
    <row r="4700" spans="1:1" x14ac:dyDescent="0.25">
      <c r="A4700" s="841"/>
    </row>
    <row r="4701" spans="1:1" x14ac:dyDescent="0.25">
      <c r="A4701" s="841"/>
    </row>
    <row r="4702" spans="1:1" x14ac:dyDescent="0.25">
      <c r="A4702" s="841"/>
    </row>
    <row r="4703" spans="1:1" x14ac:dyDescent="0.25">
      <c r="A4703" s="841"/>
    </row>
    <row r="4704" spans="1:1" x14ac:dyDescent="0.25">
      <c r="A4704" s="841"/>
    </row>
    <row r="4705" spans="1:1" x14ac:dyDescent="0.25">
      <c r="A4705" s="841"/>
    </row>
    <row r="4706" spans="1:1" x14ac:dyDescent="0.25">
      <c r="A4706" s="841"/>
    </row>
    <row r="4707" spans="1:1" x14ac:dyDescent="0.25">
      <c r="A4707" s="841"/>
    </row>
    <row r="4708" spans="1:1" x14ac:dyDescent="0.25">
      <c r="A4708" s="841"/>
    </row>
    <row r="4709" spans="1:1" x14ac:dyDescent="0.25">
      <c r="A4709" s="841"/>
    </row>
    <row r="4710" spans="1:1" x14ac:dyDescent="0.25">
      <c r="A4710" s="841"/>
    </row>
    <row r="4711" spans="1:1" x14ac:dyDescent="0.25">
      <c r="A4711" s="841"/>
    </row>
    <row r="4712" spans="1:1" x14ac:dyDescent="0.25">
      <c r="A4712" s="841"/>
    </row>
    <row r="4713" spans="1:1" x14ac:dyDescent="0.25">
      <c r="A4713" s="841"/>
    </row>
    <row r="4714" spans="1:1" x14ac:dyDescent="0.25">
      <c r="A4714" s="841"/>
    </row>
    <row r="4715" spans="1:1" x14ac:dyDescent="0.25">
      <c r="A4715" s="841"/>
    </row>
    <row r="4716" spans="1:1" x14ac:dyDescent="0.25">
      <c r="A4716" s="841"/>
    </row>
    <row r="4717" spans="1:1" x14ac:dyDescent="0.25">
      <c r="A4717" s="841"/>
    </row>
    <row r="4718" spans="1:1" x14ac:dyDescent="0.25">
      <c r="A4718" s="841"/>
    </row>
    <row r="4719" spans="1:1" x14ac:dyDescent="0.25">
      <c r="A4719" s="841"/>
    </row>
    <row r="4720" spans="1:1" x14ac:dyDescent="0.25">
      <c r="A4720" s="841"/>
    </row>
    <row r="4721" spans="1:1" x14ac:dyDescent="0.25">
      <c r="A4721" s="841"/>
    </row>
    <row r="4722" spans="1:1" x14ac:dyDescent="0.25">
      <c r="A4722" s="841"/>
    </row>
    <row r="4723" spans="1:1" x14ac:dyDescent="0.25">
      <c r="A4723" s="841"/>
    </row>
    <row r="4724" spans="1:1" x14ac:dyDescent="0.25">
      <c r="A4724" s="841"/>
    </row>
    <row r="4725" spans="1:1" x14ac:dyDescent="0.25">
      <c r="A4725" s="841"/>
    </row>
    <row r="4726" spans="1:1" x14ac:dyDescent="0.25">
      <c r="A4726" s="841"/>
    </row>
    <row r="4727" spans="1:1" x14ac:dyDescent="0.25">
      <c r="A4727" s="841"/>
    </row>
    <row r="4728" spans="1:1" x14ac:dyDescent="0.25">
      <c r="A4728" s="841"/>
    </row>
    <row r="4729" spans="1:1" x14ac:dyDescent="0.25">
      <c r="A4729" s="841"/>
    </row>
    <row r="4730" spans="1:1" x14ac:dyDescent="0.25">
      <c r="A4730" s="841"/>
    </row>
    <row r="4731" spans="1:1" x14ac:dyDescent="0.25">
      <c r="A4731" s="841"/>
    </row>
    <row r="4732" spans="1:1" x14ac:dyDescent="0.25">
      <c r="A4732" s="841"/>
    </row>
    <row r="4733" spans="1:1" x14ac:dyDescent="0.25">
      <c r="A4733" s="841"/>
    </row>
    <row r="4734" spans="1:1" x14ac:dyDescent="0.25">
      <c r="A4734" s="841"/>
    </row>
    <row r="4735" spans="1:1" x14ac:dyDescent="0.25">
      <c r="A4735" s="841"/>
    </row>
    <row r="4736" spans="1:1" x14ac:dyDescent="0.25">
      <c r="A4736" s="841"/>
    </row>
    <row r="4737" spans="1:1" x14ac:dyDescent="0.25">
      <c r="A4737" s="841"/>
    </row>
    <row r="4738" spans="1:1" x14ac:dyDescent="0.25">
      <c r="A4738" s="841"/>
    </row>
    <row r="4739" spans="1:1" x14ac:dyDescent="0.25">
      <c r="A4739" s="841"/>
    </row>
    <row r="4740" spans="1:1" x14ac:dyDescent="0.25">
      <c r="A4740" s="841"/>
    </row>
    <row r="4741" spans="1:1" x14ac:dyDescent="0.25">
      <c r="A4741" s="841"/>
    </row>
    <row r="4742" spans="1:1" x14ac:dyDescent="0.25">
      <c r="A4742" s="841"/>
    </row>
    <row r="4743" spans="1:1" x14ac:dyDescent="0.25">
      <c r="A4743" s="841"/>
    </row>
    <row r="4744" spans="1:1" x14ac:dyDescent="0.25">
      <c r="A4744" s="841"/>
    </row>
    <row r="4745" spans="1:1" x14ac:dyDescent="0.25">
      <c r="A4745" s="841"/>
    </row>
    <row r="4746" spans="1:1" x14ac:dyDescent="0.25">
      <c r="A4746" s="841"/>
    </row>
    <row r="4747" spans="1:1" x14ac:dyDescent="0.25">
      <c r="A4747" s="841"/>
    </row>
    <row r="4748" spans="1:1" x14ac:dyDescent="0.25">
      <c r="A4748" s="841"/>
    </row>
    <row r="4749" spans="1:1" x14ac:dyDescent="0.25">
      <c r="A4749" s="841"/>
    </row>
    <row r="4750" spans="1:1" x14ac:dyDescent="0.25">
      <c r="A4750" s="841"/>
    </row>
    <row r="4751" spans="1:1" x14ac:dyDescent="0.25">
      <c r="A4751" s="841"/>
    </row>
    <row r="4752" spans="1:1" x14ac:dyDescent="0.25">
      <c r="A4752" s="841"/>
    </row>
    <row r="4753" spans="1:1" x14ac:dyDescent="0.25">
      <c r="A4753" s="841"/>
    </row>
    <row r="4754" spans="1:1" x14ac:dyDescent="0.25">
      <c r="A4754" s="841"/>
    </row>
    <row r="4755" spans="1:1" x14ac:dyDescent="0.25">
      <c r="A4755" s="841"/>
    </row>
    <row r="4756" spans="1:1" x14ac:dyDescent="0.25">
      <c r="A4756" s="841"/>
    </row>
    <row r="4757" spans="1:1" x14ac:dyDescent="0.25">
      <c r="A4757" s="841"/>
    </row>
    <row r="4758" spans="1:1" x14ac:dyDescent="0.25">
      <c r="A4758" s="841"/>
    </row>
    <row r="4759" spans="1:1" x14ac:dyDescent="0.25">
      <c r="A4759" s="841"/>
    </row>
    <row r="4760" spans="1:1" x14ac:dyDescent="0.25">
      <c r="A4760" s="841"/>
    </row>
    <row r="4761" spans="1:1" x14ac:dyDescent="0.25">
      <c r="A4761" s="841"/>
    </row>
    <row r="4762" spans="1:1" x14ac:dyDescent="0.25">
      <c r="A4762" s="841"/>
    </row>
    <row r="4763" spans="1:1" x14ac:dyDescent="0.25">
      <c r="A4763" s="841"/>
    </row>
    <row r="4764" spans="1:1" x14ac:dyDescent="0.25">
      <c r="A4764" s="841"/>
    </row>
    <row r="4765" spans="1:1" x14ac:dyDescent="0.25">
      <c r="A4765" s="841"/>
    </row>
    <row r="4766" spans="1:1" x14ac:dyDescent="0.25">
      <c r="A4766" s="841"/>
    </row>
    <row r="4767" spans="1:1" x14ac:dyDescent="0.25">
      <c r="A4767" s="841"/>
    </row>
    <row r="4768" spans="1:1" x14ac:dyDescent="0.25">
      <c r="A4768" s="841"/>
    </row>
    <row r="4769" spans="1:1" x14ac:dyDescent="0.25">
      <c r="A4769" s="841"/>
    </row>
    <row r="4770" spans="1:1" x14ac:dyDescent="0.25">
      <c r="A4770" s="841"/>
    </row>
    <row r="4771" spans="1:1" x14ac:dyDescent="0.25">
      <c r="A4771" s="841"/>
    </row>
    <row r="4772" spans="1:1" x14ac:dyDescent="0.25">
      <c r="A4772" s="841"/>
    </row>
    <row r="4773" spans="1:1" x14ac:dyDescent="0.25">
      <c r="A4773" s="841"/>
    </row>
    <row r="4774" spans="1:1" x14ac:dyDescent="0.25">
      <c r="A4774" s="841"/>
    </row>
    <row r="4775" spans="1:1" x14ac:dyDescent="0.25">
      <c r="A4775" s="841"/>
    </row>
    <row r="4776" spans="1:1" x14ac:dyDescent="0.25">
      <c r="A4776" s="841"/>
    </row>
    <row r="4777" spans="1:1" x14ac:dyDescent="0.25">
      <c r="A4777" s="841"/>
    </row>
    <row r="4778" spans="1:1" x14ac:dyDescent="0.25">
      <c r="A4778" s="841"/>
    </row>
    <row r="4779" spans="1:1" x14ac:dyDescent="0.25">
      <c r="A4779" s="841"/>
    </row>
    <row r="4780" spans="1:1" x14ac:dyDescent="0.25">
      <c r="A4780" s="841"/>
    </row>
    <row r="4781" spans="1:1" x14ac:dyDescent="0.25">
      <c r="A4781" s="841"/>
    </row>
    <row r="4782" spans="1:1" x14ac:dyDescent="0.25">
      <c r="A4782" s="841"/>
    </row>
    <row r="4783" spans="1:1" x14ac:dyDescent="0.25">
      <c r="A4783" s="841"/>
    </row>
    <row r="4784" spans="1:1" x14ac:dyDescent="0.25">
      <c r="A4784" s="841"/>
    </row>
    <row r="4785" spans="1:1" x14ac:dyDescent="0.25">
      <c r="A4785" s="841"/>
    </row>
    <row r="4786" spans="1:1" x14ac:dyDescent="0.25">
      <c r="A4786" s="841"/>
    </row>
    <row r="4787" spans="1:1" x14ac:dyDescent="0.25">
      <c r="A4787" s="841"/>
    </row>
    <row r="4788" spans="1:1" x14ac:dyDescent="0.25">
      <c r="A4788" s="841"/>
    </row>
    <row r="4789" spans="1:1" x14ac:dyDescent="0.25">
      <c r="A4789" s="841"/>
    </row>
    <row r="4790" spans="1:1" x14ac:dyDescent="0.25">
      <c r="A4790" s="841"/>
    </row>
    <row r="4791" spans="1:1" x14ac:dyDescent="0.25">
      <c r="A4791" s="841"/>
    </row>
    <row r="4792" spans="1:1" x14ac:dyDescent="0.25">
      <c r="A4792" s="841"/>
    </row>
    <row r="4793" spans="1:1" x14ac:dyDescent="0.25">
      <c r="A4793" s="841"/>
    </row>
    <row r="4794" spans="1:1" x14ac:dyDescent="0.25">
      <c r="A4794" s="841"/>
    </row>
    <row r="4795" spans="1:1" x14ac:dyDescent="0.25">
      <c r="A4795" s="841"/>
    </row>
    <row r="4796" spans="1:1" x14ac:dyDescent="0.25">
      <c r="A4796" s="841"/>
    </row>
    <row r="4797" spans="1:1" x14ac:dyDescent="0.25">
      <c r="A4797" s="841"/>
    </row>
    <row r="4798" spans="1:1" x14ac:dyDescent="0.25">
      <c r="A4798" s="841"/>
    </row>
    <row r="4799" spans="1:1" x14ac:dyDescent="0.25">
      <c r="A4799" s="841"/>
    </row>
    <row r="4800" spans="1:1" x14ac:dyDescent="0.25">
      <c r="A4800" s="841"/>
    </row>
    <row r="4801" spans="1:1" x14ac:dyDescent="0.25">
      <c r="A4801" s="841"/>
    </row>
    <row r="4802" spans="1:1" x14ac:dyDescent="0.25">
      <c r="A4802" s="841"/>
    </row>
    <row r="4803" spans="1:1" x14ac:dyDescent="0.25">
      <c r="A4803" s="841"/>
    </row>
    <row r="4804" spans="1:1" x14ac:dyDescent="0.25">
      <c r="A4804" s="841"/>
    </row>
    <row r="4805" spans="1:1" x14ac:dyDescent="0.25">
      <c r="A4805" s="841"/>
    </row>
    <row r="4806" spans="1:1" x14ac:dyDescent="0.25">
      <c r="A4806" s="841"/>
    </row>
    <row r="4807" spans="1:1" x14ac:dyDescent="0.25">
      <c r="A4807" s="841"/>
    </row>
    <row r="4808" spans="1:1" x14ac:dyDescent="0.25">
      <c r="A4808" s="841"/>
    </row>
    <row r="4809" spans="1:1" x14ac:dyDescent="0.25">
      <c r="A4809" s="841"/>
    </row>
    <row r="4810" spans="1:1" x14ac:dyDescent="0.25">
      <c r="A4810" s="841"/>
    </row>
    <row r="4811" spans="1:1" x14ac:dyDescent="0.25">
      <c r="A4811" s="841"/>
    </row>
    <row r="4812" spans="1:1" x14ac:dyDescent="0.25">
      <c r="A4812" s="841"/>
    </row>
    <row r="4813" spans="1:1" x14ac:dyDescent="0.25">
      <c r="A4813" s="841"/>
    </row>
    <row r="4814" spans="1:1" x14ac:dyDescent="0.25">
      <c r="A4814" s="841"/>
    </row>
    <row r="4815" spans="1:1" x14ac:dyDescent="0.25">
      <c r="A4815" s="841"/>
    </row>
    <row r="4816" spans="1:1" x14ac:dyDescent="0.25">
      <c r="A4816" s="841"/>
    </row>
    <row r="4817" spans="1:1" x14ac:dyDescent="0.25">
      <c r="A4817" s="841"/>
    </row>
    <row r="4818" spans="1:1" x14ac:dyDescent="0.25">
      <c r="A4818" s="841"/>
    </row>
    <row r="4819" spans="1:1" x14ac:dyDescent="0.25">
      <c r="A4819" s="841"/>
    </row>
    <row r="4820" spans="1:1" x14ac:dyDescent="0.25">
      <c r="A4820" s="841"/>
    </row>
    <row r="4821" spans="1:1" x14ac:dyDescent="0.25">
      <c r="A4821" s="841"/>
    </row>
    <row r="4822" spans="1:1" x14ac:dyDescent="0.25">
      <c r="A4822" s="841"/>
    </row>
    <row r="4823" spans="1:1" x14ac:dyDescent="0.25">
      <c r="A4823" s="841"/>
    </row>
    <row r="4824" spans="1:1" x14ac:dyDescent="0.25">
      <c r="A4824" s="841"/>
    </row>
    <row r="4825" spans="1:1" x14ac:dyDescent="0.25">
      <c r="A4825" s="841"/>
    </row>
    <row r="4826" spans="1:1" x14ac:dyDescent="0.25">
      <c r="A4826" s="841"/>
    </row>
    <row r="4827" spans="1:1" x14ac:dyDescent="0.25">
      <c r="A4827" s="841"/>
    </row>
    <row r="4828" spans="1:1" x14ac:dyDescent="0.25">
      <c r="A4828" s="841"/>
    </row>
    <row r="4829" spans="1:1" x14ac:dyDescent="0.25">
      <c r="A4829" s="841"/>
    </row>
    <row r="4830" spans="1:1" x14ac:dyDescent="0.25">
      <c r="A4830" s="841"/>
    </row>
    <row r="4831" spans="1:1" x14ac:dyDescent="0.25">
      <c r="A4831" s="841"/>
    </row>
    <row r="4832" spans="1:1" x14ac:dyDescent="0.25">
      <c r="A4832" s="841"/>
    </row>
    <row r="4833" spans="1:1" x14ac:dyDescent="0.25">
      <c r="A4833" s="841"/>
    </row>
    <row r="4834" spans="1:1" x14ac:dyDescent="0.25">
      <c r="A4834" s="841"/>
    </row>
    <row r="4835" spans="1:1" x14ac:dyDescent="0.25">
      <c r="A4835" s="841"/>
    </row>
    <row r="4836" spans="1:1" x14ac:dyDescent="0.25">
      <c r="A4836" s="841"/>
    </row>
    <row r="4837" spans="1:1" x14ac:dyDescent="0.25">
      <c r="A4837" s="841"/>
    </row>
    <row r="4838" spans="1:1" x14ac:dyDescent="0.25">
      <c r="A4838" s="841"/>
    </row>
    <row r="4839" spans="1:1" x14ac:dyDescent="0.25">
      <c r="A4839" s="841"/>
    </row>
    <row r="4840" spans="1:1" x14ac:dyDescent="0.25">
      <c r="A4840" s="841"/>
    </row>
    <row r="4841" spans="1:1" x14ac:dyDescent="0.25">
      <c r="A4841" s="841"/>
    </row>
    <row r="4842" spans="1:1" x14ac:dyDescent="0.25">
      <c r="A4842" s="841"/>
    </row>
    <row r="4843" spans="1:1" x14ac:dyDescent="0.25">
      <c r="A4843" s="841"/>
    </row>
    <row r="4844" spans="1:1" x14ac:dyDescent="0.25">
      <c r="A4844" s="841"/>
    </row>
    <row r="4845" spans="1:1" x14ac:dyDescent="0.25">
      <c r="A4845" s="841"/>
    </row>
    <row r="4846" spans="1:1" x14ac:dyDescent="0.25">
      <c r="A4846" s="841"/>
    </row>
    <row r="4847" spans="1:1" x14ac:dyDescent="0.25">
      <c r="A4847" s="841"/>
    </row>
    <row r="4848" spans="1:1" x14ac:dyDescent="0.25">
      <c r="A4848" s="841"/>
    </row>
    <row r="4849" spans="1:1" x14ac:dyDescent="0.25">
      <c r="A4849" s="841"/>
    </row>
    <row r="4850" spans="1:1" x14ac:dyDescent="0.25">
      <c r="A4850" s="841"/>
    </row>
    <row r="4851" spans="1:1" x14ac:dyDescent="0.25">
      <c r="A4851" s="841"/>
    </row>
    <row r="4852" spans="1:1" x14ac:dyDescent="0.25">
      <c r="A4852" s="841"/>
    </row>
    <row r="4853" spans="1:1" x14ac:dyDescent="0.25">
      <c r="A4853" s="841"/>
    </row>
    <row r="4854" spans="1:1" x14ac:dyDescent="0.25">
      <c r="A4854" s="841"/>
    </row>
    <row r="4855" spans="1:1" x14ac:dyDescent="0.25">
      <c r="A4855" s="841"/>
    </row>
    <row r="4856" spans="1:1" x14ac:dyDescent="0.25">
      <c r="A4856" s="841"/>
    </row>
    <row r="4857" spans="1:1" x14ac:dyDescent="0.25">
      <c r="A4857" s="841"/>
    </row>
    <row r="4858" spans="1:1" x14ac:dyDescent="0.25">
      <c r="A4858" s="841"/>
    </row>
    <row r="4859" spans="1:1" x14ac:dyDescent="0.25">
      <c r="A4859" s="841"/>
    </row>
    <row r="4860" spans="1:1" x14ac:dyDescent="0.25">
      <c r="A4860" s="841"/>
    </row>
    <row r="4861" spans="1:1" x14ac:dyDescent="0.25">
      <c r="A4861" s="841"/>
    </row>
    <row r="4862" spans="1:1" x14ac:dyDescent="0.25">
      <c r="A4862" s="841"/>
    </row>
    <row r="4863" spans="1:1" x14ac:dyDescent="0.25">
      <c r="A4863" s="841"/>
    </row>
    <row r="4864" spans="1:1" x14ac:dyDescent="0.25">
      <c r="A4864" s="841"/>
    </row>
    <row r="4865" spans="1:1" x14ac:dyDescent="0.25">
      <c r="A4865" s="841"/>
    </row>
    <row r="4866" spans="1:1" x14ac:dyDescent="0.25">
      <c r="A4866" s="841"/>
    </row>
    <row r="4867" spans="1:1" x14ac:dyDescent="0.25">
      <c r="A4867" s="841"/>
    </row>
    <row r="4868" spans="1:1" x14ac:dyDescent="0.25">
      <c r="A4868" s="841"/>
    </row>
    <row r="4869" spans="1:1" x14ac:dyDescent="0.25">
      <c r="A4869" s="841"/>
    </row>
    <row r="4870" spans="1:1" x14ac:dyDescent="0.25">
      <c r="A4870" s="841"/>
    </row>
    <row r="4871" spans="1:1" x14ac:dyDescent="0.25">
      <c r="A4871" s="841"/>
    </row>
    <row r="4872" spans="1:1" x14ac:dyDescent="0.25">
      <c r="A4872" s="841"/>
    </row>
    <row r="4873" spans="1:1" x14ac:dyDescent="0.25">
      <c r="A4873" s="841"/>
    </row>
    <row r="4874" spans="1:1" x14ac:dyDescent="0.25">
      <c r="A4874" s="841"/>
    </row>
    <row r="4875" spans="1:1" x14ac:dyDescent="0.25">
      <c r="A4875" s="841"/>
    </row>
    <row r="4876" spans="1:1" x14ac:dyDescent="0.25">
      <c r="A4876" s="841"/>
    </row>
    <row r="4877" spans="1:1" x14ac:dyDescent="0.25">
      <c r="A4877" s="841"/>
    </row>
    <row r="4878" spans="1:1" x14ac:dyDescent="0.25">
      <c r="A4878" s="841"/>
    </row>
    <row r="4879" spans="1:1" x14ac:dyDescent="0.25">
      <c r="A4879" s="841"/>
    </row>
    <row r="4880" spans="1:1" x14ac:dyDescent="0.25">
      <c r="A4880" s="841"/>
    </row>
    <row r="4881" spans="1:1" x14ac:dyDescent="0.25">
      <c r="A4881" s="841"/>
    </row>
    <row r="4882" spans="1:1" x14ac:dyDescent="0.25">
      <c r="A4882" s="841"/>
    </row>
    <row r="4883" spans="1:1" x14ac:dyDescent="0.25">
      <c r="A4883" s="841"/>
    </row>
    <row r="4884" spans="1:1" x14ac:dyDescent="0.25">
      <c r="A4884" s="841"/>
    </row>
    <row r="4885" spans="1:1" x14ac:dyDescent="0.25">
      <c r="A4885" s="841"/>
    </row>
    <row r="4886" spans="1:1" x14ac:dyDescent="0.25">
      <c r="A4886" s="841"/>
    </row>
    <row r="4887" spans="1:1" x14ac:dyDescent="0.25">
      <c r="A4887" s="841"/>
    </row>
    <row r="4888" spans="1:1" x14ac:dyDescent="0.25">
      <c r="A4888" s="841"/>
    </row>
    <row r="4889" spans="1:1" x14ac:dyDescent="0.25">
      <c r="A4889" s="841"/>
    </row>
    <row r="4890" spans="1:1" x14ac:dyDescent="0.25">
      <c r="A4890" s="841"/>
    </row>
    <row r="4891" spans="1:1" x14ac:dyDescent="0.25">
      <c r="A4891" s="841"/>
    </row>
    <row r="4892" spans="1:1" x14ac:dyDescent="0.25">
      <c r="A4892" s="841"/>
    </row>
    <row r="4893" spans="1:1" x14ac:dyDescent="0.25">
      <c r="A4893" s="841"/>
    </row>
    <row r="4894" spans="1:1" x14ac:dyDescent="0.25">
      <c r="A4894" s="841"/>
    </row>
    <row r="4895" spans="1:1" x14ac:dyDescent="0.25">
      <c r="A4895" s="841"/>
    </row>
    <row r="4896" spans="1:1" x14ac:dyDescent="0.25">
      <c r="A4896" s="841"/>
    </row>
    <row r="4897" spans="1:1" x14ac:dyDescent="0.25">
      <c r="A4897" s="841"/>
    </row>
    <row r="4898" spans="1:1" x14ac:dyDescent="0.25">
      <c r="A4898" s="841"/>
    </row>
    <row r="4899" spans="1:1" x14ac:dyDescent="0.25">
      <c r="A4899" s="841"/>
    </row>
    <row r="4900" spans="1:1" x14ac:dyDescent="0.25">
      <c r="A4900" s="841"/>
    </row>
    <row r="4901" spans="1:1" x14ac:dyDescent="0.25">
      <c r="A4901" s="841"/>
    </row>
    <row r="4902" spans="1:1" x14ac:dyDescent="0.25">
      <c r="A4902" s="841"/>
    </row>
    <row r="4903" spans="1:1" x14ac:dyDescent="0.25">
      <c r="A4903" s="841"/>
    </row>
    <row r="4904" spans="1:1" x14ac:dyDescent="0.25">
      <c r="A4904" s="841"/>
    </row>
    <row r="4905" spans="1:1" x14ac:dyDescent="0.25">
      <c r="A4905" s="841"/>
    </row>
    <row r="4906" spans="1:1" x14ac:dyDescent="0.25">
      <c r="A4906" s="841"/>
    </row>
    <row r="4907" spans="1:1" x14ac:dyDescent="0.25">
      <c r="A4907" s="841"/>
    </row>
    <row r="4908" spans="1:1" x14ac:dyDescent="0.25">
      <c r="A4908" s="841"/>
    </row>
    <row r="4909" spans="1:1" x14ac:dyDescent="0.25">
      <c r="A4909" s="841"/>
    </row>
    <row r="4910" spans="1:1" x14ac:dyDescent="0.25">
      <c r="A4910" s="841"/>
    </row>
    <row r="4911" spans="1:1" x14ac:dyDescent="0.25">
      <c r="A4911" s="841"/>
    </row>
    <row r="4912" spans="1:1" x14ac:dyDescent="0.25">
      <c r="A4912" s="841"/>
    </row>
    <row r="4913" spans="1:1" x14ac:dyDescent="0.25">
      <c r="A4913" s="841"/>
    </row>
    <row r="4914" spans="1:1" x14ac:dyDescent="0.25">
      <c r="A4914" s="841"/>
    </row>
    <row r="4915" spans="1:1" x14ac:dyDescent="0.25">
      <c r="A4915" s="841"/>
    </row>
    <row r="4916" spans="1:1" x14ac:dyDescent="0.25">
      <c r="A4916" s="841"/>
    </row>
    <row r="4917" spans="1:1" x14ac:dyDescent="0.25">
      <c r="A4917" s="841"/>
    </row>
    <row r="4918" spans="1:1" x14ac:dyDescent="0.25">
      <c r="A4918" s="841"/>
    </row>
    <row r="4919" spans="1:1" x14ac:dyDescent="0.25">
      <c r="A4919" s="841"/>
    </row>
    <row r="4920" spans="1:1" x14ac:dyDescent="0.25">
      <c r="A4920" s="841"/>
    </row>
    <row r="4921" spans="1:1" x14ac:dyDescent="0.25">
      <c r="A4921" s="841"/>
    </row>
    <row r="4922" spans="1:1" x14ac:dyDescent="0.25">
      <c r="A4922" s="841"/>
    </row>
    <row r="4923" spans="1:1" x14ac:dyDescent="0.25">
      <c r="A4923" s="841"/>
    </row>
    <row r="4924" spans="1:1" x14ac:dyDescent="0.25">
      <c r="A4924" s="841"/>
    </row>
    <row r="4925" spans="1:1" x14ac:dyDescent="0.25">
      <c r="A4925" s="841"/>
    </row>
    <row r="4926" spans="1:1" x14ac:dyDescent="0.25">
      <c r="A4926" s="841"/>
    </row>
    <row r="4927" spans="1:1" x14ac:dyDescent="0.25">
      <c r="A4927" s="841"/>
    </row>
    <row r="4928" spans="1:1" x14ac:dyDescent="0.25">
      <c r="A4928" s="841"/>
    </row>
    <row r="4929" spans="1:1" x14ac:dyDescent="0.25">
      <c r="A4929" s="841"/>
    </row>
    <row r="4930" spans="1:1" x14ac:dyDescent="0.25">
      <c r="A4930" s="841"/>
    </row>
    <row r="4931" spans="1:1" x14ac:dyDescent="0.25">
      <c r="A4931" s="841"/>
    </row>
    <row r="4932" spans="1:1" x14ac:dyDescent="0.25">
      <c r="A4932" s="841"/>
    </row>
    <row r="4933" spans="1:1" x14ac:dyDescent="0.25">
      <c r="A4933" s="841"/>
    </row>
    <row r="4934" spans="1:1" x14ac:dyDescent="0.25">
      <c r="A4934" s="841"/>
    </row>
    <row r="4935" spans="1:1" x14ac:dyDescent="0.25">
      <c r="A4935" s="841"/>
    </row>
    <row r="4936" spans="1:1" x14ac:dyDescent="0.25">
      <c r="A4936" s="841"/>
    </row>
    <row r="4937" spans="1:1" x14ac:dyDescent="0.25">
      <c r="A4937" s="841"/>
    </row>
    <row r="4938" spans="1:1" x14ac:dyDescent="0.25">
      <c r="A4938" s="841"/>
    </row>
    <row r="4939" spans="1:1" x14ac:dyDescent="0.25">
      <c r="A4939" s="841"/>
    </row>
    <row r="4940" spans="1:1" x14ac:dyDescent="0.25">
      <c r="A4940" s="841"/>
    </row>
    <row r="4941" spans="1:1" x14ac:dyDescent="0.25">
      <c r="A4941" s="841"/>
    </row>
    <row r="4942" spans="1:1" x14ac:dyDescent="0.25">
      <c r="A4942" s="841"/>
    </row>
    <row r="4943" spans="1:1" x14ac:dyDescent="0.25">
      <c r="A4943" s="841"/>
    </row>
    <row r="4944" spans="1:1" x14ac:dyDescent="0.25">
      <c r="A4944" s="841"/>
    </row>
    <row r="4945" spans="1:1" x14ac:dyDescent="0.25">
      <c r="A4945" s="841"/>
    </row>
    <row r="4946" spans="1:1" x14ac:dyDescent="0.25">
      <c r="A4946" s="841"/>
    </row>
    <row r="4947" spans="1:1" x14ac:dyDescent="0.25">
      <c r="A4947" s="841"/>
    </row>
    <row r="4948" spans="1:1" x14ac:dyDescent="0.25">
      <c r="A4948" s="841"/>
    </row>
    <row r="4949" spans="1:1" x14ac:dyDescent="0.25">
      <c r="A4949" s="841"/>
    </row>
    <row r="4950" spans="1:1" x14ac:dyDescent="0.25">
      <c r="A4950" s="841"/>
    </row>
    <row r="4951" spans="1:1" x14ac:dyDescent="0.25">
      <c r="A4951" s="841"/>
    </row>
    <row r="4952" spans="1:1" x14ac:dyDescent="0.25">
      <c r="A4952" s="841"/>
    </row>
    <row r="4953" spans="1:1" x14ac:dyDescent="0.25">
      <c r="A4953" s="841"/>
    </row>
    <row r="4954" spans="1:1" x14ac:dyDescent="0.25">
      <c r="A4954" s="841"/>
    </row>
    <row r="4955" spans="1:1" x14ac:dyDescent="0.25">
      <c r="A4955" s="841"/>
    </row>
    <row r="4956" spans="1:1" x14ac:dyDescent="0.25">
      <c r="A4956" s="841"/>
    </row>
    <row r="4957" spans="1:1" x14ac:dyDescent="0.25">
      <c r="A4957" s="841"/>
    </row>
    <row r="4958" spans="1:1" x14ac:dyDescent="0.25">
      <c r="A4958" s="841"/>
    </row>
    <row r="4959" spans="1:1" x14ac:dyDescent="0.25">
      <c r="A4959" s="841"/>
    </row>
    <row r="4960" spans="1:1" x14ac:dyDescent="0.25">
      <c r="A4960" s="841"/>
    </row>
    <row r="4961" spans="1:1" x14ac:dyDescent="0.25">
      <c r="A4961" s="841"/>
    </row>
    <row r="4962" spans="1:1" x14ac:dyDescent="0.25">
      <c r="A4962" s="841"/>
    </row>
    <row r="4963" spans="1:1" x14ac:dyDescent="0.25">
      <c r="A4963" s="841"/>
    </row>
    <row r="4964" spans="1:1" x14ac:dyDescent="0.25">
      <c r="A4964" s="841"/>
    </row>
    <row r="4965" spans="1:1" x14ac:dyDescent="0.25">
      <c r="A4965" s="841"/>
    </row>
    <row r="4966" spans="1:1" x14ac:dyDescent="0.25">
      <c r="A4966" s="841"/>
    </row>
    <row r="4967" spans="1:1" x14ac:dyDescent="0.25">
      <c r="A4967" s="841"/>
    </row>
    <row r="4968" spans="1:1" x14ac:dyDescent="0.25">
      <c r="A4968" s="841"/>
    </row>
    <row r="4969" spans="1:1" x14ac:dyDescent="0.25">
      <c r="A4969" s="841"/>
    </row>
    <row r="4970" spans="1:1" x14ac:dyDescent="0.25">
      <c r="A4970" s="841"/>
    </row>
    <row r="4971" spans="1:1" x14ac:dyDescent="0.25">
      <c r="A4971" s="841"/>
    </row>
    <row r="4972" spans="1:1" x14ac:dyDescent="0.25">
      <c r="A4972" s="841"/>
    </row>
    <row r="4973" spans="1:1" x14ac:dyDescent="0.25">
      <c r="A4973" s="841"/>
    </row>
    <row r="4974" spans="1:1" x14ac:dyDescent="0.25">
      <c r="A4974" s="841"/>
    </row>
    <row r="4975" spans="1:1" x14ac:dyDescent="0.25">
      <c r="A4975" s="841"/>
    </row>
    <row r="4976" spans="1:1" x14ac:dyDescent="0.25">
      <c r="A4976" s="841"/>
    </row>
    <row r="4977" spans="1:1" x14ac:dyDescent="0.25">
      <c r="A4977" s="841"/>
    </row>
    <row r="4978" spans="1:1" x14ac:dyDescent="0.25">
      <c r="A4978" s="841"/>
    </row>
    <row r="4979" spans="1:1" x14ac:dyDescent="0.25">
      <c r="A4979" s="841"/>
    </row>
    <row r="4980" spans="1:1" x14ac:dyDescent="0.25">
      <c r="A4980" s="841"/>
    </row>
    <row r="4981" spans="1:1" x14ac:dyDescent="0.25">
      <c r="A4981" s="841"/>
    </row>
    <row r="4982" spans="1:1" x14ac:dyDescent="0.25">
      <c r="A4982" s="841"/>
    </row>
    <row r="4983" spans="1:1" x14ac:dyDescent="0.25">
      <c r="A4983" s="841"/>
    </row>
    <row r="4984" spans="1:1" x14ac:dyDescent="0.25">
      <c r="A4984" s="841"/>
    </row>
    <row r="4985" spans="1:1" x14ac:dyDescent="0.25">
      <c r="A4985" s="841"/>
    </row>
    <row r="4986" spans="1:1" x14ac:dyDescent="0.25">
      <c r="A4986" s="841"/>
    </row>
    <row r="4987" spans="1:1" x14ac:dyDescent="0.25">
      <c r="A4987" s="841"/>
    </row>
    <row r="4988" spans="1:1" x14ac:dyDescent="0.25">
      <c r="A4988" s="841"/>
    </row>
    <row r="4989" spans="1:1" x14ac:dyDescent="0.25">
      <c r="A4989" s="841"/>
    </row>
    <row r="4990" spans="1:1" x14ac:dyDescent="0.25">
      <c r="A4990" s="841"/>
    </row>
    <row r="4991" spans="1:1" x14ac:dyDescent="0.25">
      <c r="A4991" s="841"/>
    </row>
    <row r="4992" spans="1:1" x14ac:dyDescent="0.25">
      <c r="A4992" s="841"/>
    </row>
    <row r="4993" spans="1:1" x14ac:dyDescent="0.25">
      <c r="A4993" s="841"/>
    </row>
    <row r="4994" spans="1:1" x14ac:dyDescent="0.25">
      <c r="A4994" s="841"/>
    </row>
    <row r="4995" spans="1:1" x14ac:dyDescent="0.25">
      <c r="A4995" s="841"/>
    </row>
    <row r="4996" spans="1:1" x14ac:dyDescent="0.25">
      <c r="A4996" s="841"/>
    </row>
    <row r="4997" spans="1:1" x14ac:dyDescent="0.25">
      <c r="A4997" s="841"/>
    </row>
    <row r="4998" spans="1:1" x14ac:dyDescent="0.25">
      <c r="A4998" s="841"/>
    </row>
    <row r="4999" spans="1:1" x14ac:dyDescent="0.25">
      <c r="A4999" s="841"/>
    </row>
    <row r="5000" spans="1:1" x14ac:dyDescent="0.25">
      <c r="A5000" s="841"/>
    </row>
    <row r="5001" spans="1:1" x14ac:dyDescent="0.25">
      <c r="A5001" s="841"/>
    </row>
    <row r="5002" spans="1:1" x14ac:dyDescent="0.25">
      <c r="A5002" s="841"/>
    </row>
    <row r="5003" spans="1:1" x14ac:dyDescent="0.25">
      <c r="A5003" s="841"/>
    </row>
    <row r="5004" spans="1:1" x14ac:dyDescent="0.25">
      <c r="A5004" s="841"/>
    </row>
    <row r="5005" spans="1:1" x14ac:dyDescent="0.25">
      <c r="A5005" s="841"/>
    </row>
    <row r="5006" spans="1:1" x14ac:dyDescent="0.25">
      <c r="A5006" s="841"/>
    </row>
    <row r="5007" spans="1:1" x14ac:dyDescent="0.25">
      <c r="A5007" s="841"/>
    </row>
    <row r="5008" spans="1:1" x14ac:dyDescent="0.25">
      <c r="A5008" s="841"/>
    </row>
    <row r="5009" spans="1:1" x14ac:dyDescent="0.25">
      <c r="A5009" s="841"/>
    </row>
    <row r="5010" spans="1:1" x14ac:dyDescent="0.25">
      <c r="A5010" s="841"/>
    </row>
    <row r="5011" spans="1:1" x14ac:dyDescent="0.25">
      <c r="A5011" s="841"/>
    </row>
    <row r="5012" spans="1:1" x14ac:dyDescent="0.25">
      <c r="A5012" s="841"/>
    </row>
    <row r="5013" spans="1:1" x14ac:dyDescent="0.25">
      <c r="A5013" s="841"/>
    </row>
    <row r="5014" spans="1:1" x14ac:dyDescent="0.25">
      <c r="A5014" s="841"/>
    </row>
    <row r="5015" spans="1:1" x14ac:dyDescent="0.25">
      <c r="A5015" s="841"/>
    </row>
    <row r="5016" spans="1:1" x14ac:dyDescent="0.25">
      <c r="A5016" s="841"/>
    </row>
    <row r="5017" spans="1:1" x14ac:dyDescent="0.25">
      <c r="A5017" s="841"/>
    </row>
    <row r="5018" spans="1:1" x14ac:dyDescent="0.25">
      <c r="A5018" s="841"/>
    </row>
    <row r="5019" spans="1:1" x14ac:dyDescent="0.25">
      <c r="A5019" s="841"/>
    </row>
    <row r="5020" spans="1:1" x14ac:dyDescent="0.25">
      <c r="A5020" s="841"/>
    </row>
    <row r="5021" spans="1:1" x14ac:dyDescent="0.25">
      <c r="A5021" s="841"/>
    </row>
    <row r="5022" spans="1:1" x14ac:dyDescent="0.25">
      <c r="A5022" s="841"/>
    </row>
    <row r="5023" spans="1:1" x14ac:dyDescent="0.25">
      <c r="A5023" s="841"/>
    </row>
    <row r="5024" spans="1:1" x14ac:dyDescent="0.25">
      <c r="A5024" s="841"/>
    </row>
    <row r="5025" spans="1:1" x14ac:dyDescent="0.25">
      <c r="A5025" s="841"/>
    </row>
    <row r="5026" spans="1:1" x14ac:dyDescent="0.25">
      <c r="A5026" s="841"/>
    </row>
    <row r="5027" spans="1:1" x14ac:dyDescent="0.25">
      <c r="A5027" s="841"/>
    </row>
    <row r="5028" spans="1:1" x14ac:dyDescent="0.25">
      <c r="A5028" s="841"/>
    </row>
    <row r="5029" spans="1:1" x14ac:dyDescent="0.25">
      <c r="A5029" s="841"/>
    </row>
    <row r="5030" spans="1:1" x14ac:dyDescent="0.25">
      <c r="A5030" s="841"/>
    </row>
    <row r="5031" spans="1:1" x14ac:dyDescent="0.25">
      <c r="A5031" s="841"/>
    </row>
    <row r="5032" spans="1:1" x14ac:dyDescent="0.25">
      <c r="A5032" s="841"/>
    </row>
    <row r="5033" spans="1:1" x14ac:dyDescent="0.25">
      <c r="A5033" s="841"/>
    </row>
    <row r="5034" spans="1:1" x14ac:dyDescent="0.25">
      <c r="A5034" s="841"/>
    </row>
    <row r="5035" spans="1:1" x14ac:dyDescent="0.25">
      <c r="A5035" s="841"/>
    </row>
    <row r="5036" spans="1:1" x14ac:dyDescent="0.25">
      <c r="A5036" s="841"/>
    </row>
    <row r="5037" spans="1:1" x14ac:dyDescent="0.25">
      <c r="A5037" s="841"/>
    </row>
    <row r="5038" spans="1:1" x14ac:dyDescent="0.25">
      <c r="A5038" s="841"/>
    </row>
    <row r="5039" spans="1:1" x14ac:dyDescent="0.25">
      <c r="A5039" s="841"/>
    </row>
    <row r="5040" spans="1:1" x14ac:dyDescent="0.25">
      <c r="A5040" s="841"/>
    </row>
    <row r="5041" spans="1:1" x14ac:dyDescent="0.25">
      <c r="A5041" s="841"/>
    </row>
    <row r="5042" spans="1:1" x14ac:dyDescent="0.25">
      <c r="A5042" s="841"/>
    </row>
    <row r="5043" spans="1:1" x14ac:dyDescent="0.25">
      <c r="A5043" s="841"/>
    </row>
    <row r="5044" spans="1:1" x14ac:dyDescent="0.25">
      <c r="A5044" s="841"/>
    </row>
    <row r="5045" spans="1:1" x14ac:dyDescent="0.25">
      <c r="A5045" s="841"/>
    </row>
    <row r="5046" spans="1:1" x14ac:dyDescent="0.25">
      <c r="A5046" s="841"/>
    </row>
    <row r="5047" spans="1:1" x14ac:dyDescent="0.25">
      <c r="A5047" s="841"/>
    </row>
    <row r="5048" spans="1:1" x14ac:dyDescent="0.25">
      <c r="A5048" s="841"/>
    </row>
    <row r="5049" spans="1:1" x14ac:dyDescent="0.25">
      <c r="A5049" s="841"/>
    </row>
    <row r="5050" spans="1:1" x14ac:dyDescent="0.25">
      <c r="A5050" s="841"/>
    </row>
    <row r="5051" spans="1:1" x14ac:dyDescent="0.25">
      <c r="A5051" s="841"/>
    </row>
    <row r="5052" spans="1:1" x14ac:dyDescent="0.25">
      <c r="A5052" s="841"/>
    </row>
    <row r="5053" spans="1:1" x14ac:dyDescent="0.25">
      <c r="A5053" s="841"/>
    </row>
    <row r="5054" spans="1:1" x14ac:dyDescent="0.25">
      <c r="A5054" s="841"/>
    </row>
    <row r="5055" spans="1:1" x14ac:dyDescent="0.25">
      <c r="A5055" s="841"/>
    </row>
    <row r="5056" spans="1:1" x14ac:dyDescent="0.25">
      <c r="A5056" s="841"/>
    </row>
    <row r="5057" spans="1:1" x14ac:dyDescent="0.25">
      <c r="A5057" s="841"/>
    </row>
    <row r="5058" spans="1:1" x14ac:dyDescent="0.25">
      <c r="A5058" s="841"/>
    </row>
    <row r="5059" spans="1:1" x14ac:dyDescent="0.25">
      <c r="A5059" s="841"/>
    </row>
    <row r="5060" spans="1:1" x14ac:dyDescent="0.25">
      <c r="A5060" s="841"/>
    </row>
    <row r="5061" spans="1:1" x14ac:dyDescent="0.25">
      <c r="A5061" s="841"/>
    </row>
    <row r="5062" spans="1:1" x14ac:dyDescent="0.25">
      <c r="A5062" s="841"/>
    </row>
    <row r="5063" spans="1:1" x14ac:dyDescent="0.25">
      <c r="A5063" s="841"/>
    </row>
    <row r="5064" spans="1:1" x14ac:dyDescent="0.25">
      <c r="A5064" s="841"/>
    </row>
    <row r="5065" spans="1:1" x14ac:dyDescent="0.25">
      <c r="A5065" s="841"/>
    </row>
    <row r="5066" spans="1:1" x14ac:dyDescent="0.25">
      <c r="A5066" s="841"/>
    </row>
    <row r="5067" spans="1:1" x14ac:dyDescent="0.25">
      <c r="A5067" s="841"/>
    </row>
    <row r="5068" spans="1:1" x14ac:dyDescent="0.25">
      <c r="A5068" s="841"/>
    </row>
    <row r="5069" spans="1:1" x14ac:dyDescent="0.25">
      <c r="A5069" s="841"/>
    </row>
    <row r="5070" spans="1:1" x14ac:dyDescent="0.25">
      <c r="A5070" s="841"/>
    </row>
    <row r="5071" spans="1:1" x14ac:dyDescent="0.25">
      <c r="A5071" s="841"/>
    </row>
    <row r="5072" spans="1:1" x14ac:dyDescent="0.25">
      <c r="A5072" s="841"/>
    </row>
    <row r="5073" spans="1:1" x14ac:dyDescent="0.25">
      <c r="A5073" s="841"/>
    </row>
    <row r="5074" spans="1:1" x14ac:dyDescent="0.25">
      <c r="A5074" s="841"/>
    </row>
    <row r="5075" spans="1:1" x14ac:dyDescent="0.25">
      <c r="A5075" s="841"/>
    </row>
    <row r="5076" spans="1:1" x14ac:dyDescent="0.25">
      <c r="A5076" s="841"/>
    </row>
    <row r="5077" spans="1:1" x14ac:dyDescent="0.25">
      <c r="A5077" s="841"/>
    </row>
    <row r="5078" spans="1:1" x14ac:dyDescent="0.25">
      <c r="A5078" s="841"/>
    </row>
    <row r="5079" spans="1:1" x14ac:dyDescent="0.25">
      <c r="A5079" s="841"/>
    </row>
    <row r="5080" spans="1:1" x14ac:dyDescent="0.25">
      <c r="A5080" s="841"/>
    </row>
    <row r="5081" spans="1:1" x14ac:dyDescent="0.25">
      <c r="A5081" s="841"/>
    </row>
    <row r="5082" spans="1:1" x14ac:dyDescent="0.25">
      <c r="A5082" s="841"/>
    </row>
    <row r="5083" spans="1:1" x14ac:dyDescent="0.25">
      <c r="A5083" s="841"/>
    </row>
    <row r="5084" spans="1:1" x14ac:dyDescent="0.25">
      <c r="A5084" s="841"/>
    </row>
    <row r="5085" spans="1:1" x14ac:dyDescent="0.25">
      <c r="A5085" s="841"/>
    </row>
    <row r="5086" spans="1:1" x14ac:dyDescent="0.25">
      <c r="A5086" s="841"/>
    </row>
    <row r="5087" spans="1:1" x14ac:dyDescent="0.25">
      <c r="A5087" s="841"/>
    </row>
    <row r="5088" spans="1:1" x14ac:dyDescent="0.25">
      <c r="A5088" s="841"/>
    </row>
    <row r="5089" spans="1:1" x14ac:dyDescent="0.25">
      <c r="A5089" s="841"/>
    </row>
    <row r="5090" spans="1:1" x14ac:dyDescent="0.25">
      <c r="A5090" s="841"/>
    </row>
    <row r="5091" spans="1:1" x14ac:dyDescent="0.25">
      <c r="A5091" s="841"/>
    </row>
    <row r="5092" spans="1:1" x14ac:dyDescent="0.25">
      <c r="A5092" s="841"/>
    </row>
    <row r="5093" spans="1:1" x14ac:dyDescent="0.25">
      <c r="A5093" s="841"/>
    </row>
    <row r="5094" spans="1:1" x14ac:dyDescent="0.25">
      <c r="A5094" s="841"/>
    </row>
    <row r="5095" spans="1:1" x14ac:dyDescent="0.25">
      <c r="A5095" s="841"/>
    </row>
    <row r="5096" spans="1:1" x14ac:dyDescent="0.25">
      <c r="A5096" s="841"/>
    </row>
    <row r="5097" spans="1:1" x14ac:dyDescent="0.25">
      <c r="A5097" s="841"/>
    </row>
    <row r="5098" spans="1:1" x14ac:dyDescent="0.25">
      <c r="A5098" s="841"/>
    </row>
    <row r="5099" spans="1:1" x14ac:dyDescent="0.25">
      <c r="A5099" s="841"/>
    </row>
    <row r="5100" spans="1:1" x14ac:dyDescent="0.25">
      <c r="A5100" s="841"/>
    </row>
    <row r="5101" spans="1:1" x14ac:dyDescent="0.25">
      <c r="A5101" s="841"/>
    </row>
    <row r="5102" spans="1:1" x14ac:dyDescent="0.25">
      <c r="A5102" s="841"/>
    </row>
    <row r="5103" spans="1:1" x14ac:dyDescent="0.25">
      <c r="A5103" s="841"/>
    </row>
    <row r="5104" spans="1:1" x14ac:dyDescent="0.25">
      <c r="A5104" s="841"/>
    </row>
    <row r="5105" spans="1:1" x14ac:dyDescent="0.25">
      <c r="A5105" s="841"/>
    </row>
    <row r="5106" spans="1:1" x14ac:dyDescent="0.25">
      <c r="A5106" s="841"/>
    </row>
    <row r="5107" spans="1:1" x14ac:dyDescent="0.25">
      <c r="A5107" s="841"/>
    </row>
    <row r="5108" spans="1:1" x14ac:dyDescent="0.25">
      <c r="A5108" s="841"/>
    </row>
    <row r="5109" spans="1:1" x14ac:dyDescent="0.25">
      <c r="A5109" s="841"/>
    </row>
    <row r="5110" spans="1:1" x14ac:dyDescent="0.25">
      <c r="A5110" s="841"/>
    </row>
    <row r="5111" spans="1:1" x14ac:dyDescent="0.25">
      <c r="A5111" s="841"/>
    </row>
    <row r="5112" spans="1:1" x14ac:dyDescent="0.25">
      <c r="A5112" s="841"/>
    </row>
    <row r="5113" spans="1:1" x14ac:dyDescent="0.25">
      <c r="A5113" s="841"/>
    </row>
    <row r="5114" spans="1:1" x14ac:dyDescent="0.25">
      <c r="A5114" s="841"/>
    </row>
    <row r="5115" spans="1:1" x14ac:dyDescent="0.25">
      <c r="A5115" s="841"/>
    </row>
    <row r="5116" spans="1:1" x14ac:dyDescent="0.25">
      <c r="A5116" s="841"/>
    </row>
    <row r="5117" spans="1:1" x14ac:dyDescent="0.25">
      <c r="A5117" s="841"/>
    </row>
    <row r="5118" spans="1:1" x14ac:dyDescent="0.25">
      <c r="A5118" s="841"/>
    </row>
    <row r="5119" spans="1:1" x14ac:dyDescent="0.25">
      <c r="A5119" s="841"/>
    </row>
    <row r="5120" spans="1:1" x14ac:dyDescent="0.25">
      <c r="A5120" s="841"/>
    </row>
    <row r="5121" spans="1:1" x14ac:dyDescent="0.25">
      <c r="A5121" s="841"/>
    </row>
    <row r="5122" spans="1:1" x14ac:dyDescent="0.25">
      <c r="A5122" s="841"/>
    </row>
    <row r="5123" spans="1:1" x14ac:dyDescent="0.25">
      <c r="A5123" s="841"/>
    </row>
    <row r="5124" spans="1:1" x14ac:dyDescent="0.25">
      <c r="A5124" s="841"/>
    </row>
    <row r="5125" spans="1:1" x14ac:dyDescent="0.25">
      <c r="A5125" s="841"/>
    </row>
    <row r="5126" spans="1:1" x14ac:dyDescent="0.25">
      <c r="A5126" s="841"/>
    </row>
    <row r="5127" spans="1:1" x14ac:dyDescent="0.25">
      <c r="A5127" s="841"/>
    </row>
    <row r="5128" spans="1:1" x14ac:dyDescent="0.25">
      <c r="A5128" s="841"/>
    </row>
    <row r="5129" spans="1:1" x14ac:dyDescent="0.25">
      <c r="A5129" s="841"/>
    </row>
    <row r="5130" spans="1:1" x14ac:dyDescent="0.25">
      <c r="A5130" s="841"/>
    </row>
    <row r="5131" spans="1:1" x14ac:dyDescent="0.25">
      <c r="A5131" s="841"/>
    </row>
    <row r="5132" spans="1:1" x14ac:dyDescent="0.25">
      <c r="A5132" s="841"/>
    </row>
    <row r="5133" spans="1:1" x14ac:dyDescent="0.25">
      <c r="A5133" s="841"/>
    </row>
    <row r="5134" spans="1:1" x14ac:dyDescent="0.25">
      <c r="A5134" s="841"/>
    </row>
    <row r="5135" spans="1:1" x14ac:dyDescent="0.25">
      <c r="A5135" s="841"/>
    </row>
    <row r="5136" spans="1:1" x14ac:dyDescent="0.25">
      <c r="A5136" s="841"/>
    </row>
    <row r="5137" spans="1:1" x14ac:dyDescent="0.25">
      <c r="A5137" s="841"/>
    </row>
    <row r="5138" spans="1:1" x14ac:dyDescent="0.25">
      <c r="A5138" s="841"/>
    </row>
    <row r="5139" spans="1:1" x14ac:dyDescent="0.25">
      <c r="A5139" s="841"/>
    </row>
    <row r="5140" spans="1:1" x14ac:dyDescent="0.25">
      <c r="A5140" s="841"/>
    </row>
    <row r="5141" spans="1:1" x14ac:dyDescent="0.25">
      <c r="A5141" s="841"/>
    </row>
    <row r="5142" spans="1:1" x14ac:dyDescent="0.25">
      <c r="A5142" s="841"/>
    </row>
    <row r="5143" spans="1:1" x14ac:dyDescent="0.25">
      <c r="A5143" s="841"/>
    </row>
    <row r="5144" spans="1:1" x14ac:dyDescent="0.25">
      <c r="A5144" s="841"/>
    </row>
    <row r="5145" spans="1:1" x14ac:dyDescent="0.25">
      <c r="A5145" s="841"/>
    </row>
    <row r="5146" spans="1:1" x14ac:dyDescent="0.25">
      <c r="A5146" s="841"/>
    </row>
    <row r="5147" spans="1:1" x14ac:dyDescent="0.25">
      <c r="A5147" s="841"/>
    </row>
    <row r="5148" spans="1:1" x14ac:dyDescent="0.25">
      <c r="A5148" s="841"/>
    </row>
    <row r="5149" spans="1:1" x14ac:dyDescent="0.25">
      <c r="A5149" s="841"/>
    </row>
    <row r="5150" spans="1:1" x14ac:dyDescent="0.25">
      <c r="A5150" s="841"/>
    </row>
    <row r="5151" spans="1:1" x14ac:dyDescent="0.25">
      <c r="A5151" s="841"/>
    </row>
    <row r="5152" spans="1:1" x14ac:dyDescent="0.25">
      <c r="A5152" s="841"/>
    </row>
    <row r="5153" spans="1:1" x14ac:dyDescent="0.25">
      <c r="A5153" s="841"/>
    </row>
    <row r="5154" spans="1:1" x14ac:dyDescent="0.25">
      <c r="A5154" s="841"/>
    </row>
    <row r="5155" spans="1:1" x14ac:dyDescent="0.25">
      <c r="A5155" s="841"/>
    </row>
    <row r="5156" spans="1:1" x14ac:dyDescent="0.25">
      <c r="A5156" s="841"/>
    </row>
    <row r="5157" spans="1:1" x14ac:dyDescent="0.25">
      <c r="A5157" s="841"/>
    </row>
    <row r="5158" spans="1:1" x14ac:dyDescent="0.25">
      <c r="A5158" s="841"/>
    </row>
    <row r="5159" spans="1:1" x14ac:dyDescent="0.25">
      <c r="A5159" s="841"/>
    </row>
    <row r="5160" spans="1:1" x14ac:dyDescent="0.25">
      <c r="A5160" s="841"/>
    </row>
    <row r="5161" spans="1:1" x14ac:dyDescent="0.25">
      <c r="A5161" s="841"/>
    </row>
    <row r="5162" spans="1:1" x14ac:dyDescent="0.25">
      <c r="A5162" s="841"/>
    </row>
    <row r="5163" spans="1:1" x14ac:dyDescent="0.25">
      <c r="A5163" s="841"/>
    </row>
    <row r="5164" spans="1:1" x14ac:dyDescent="0.25">
      <c r="A5164" s="841"/>
    </row>
    <row r="5165" spans="1:1" x14ac:dyDescent="0.25">
      <c r="A5165" s="841"/>
    </row>
    <row r="5166" spans="1:1" x14ac:dyDescent="0.25">
      <c r="A5166" s="841"/>
    </row>
    <row r="5167" spans="1:1" x14ac:dyDescent="0.25">
      <c r="A5167" s="841"/>
    </row>
    <row r="5168" spans="1:1" x14ac:dyDescent="0.25">
      <c r="A5168" s="841"/>
    </row>
    <row r="5169" spans="1:1" x14ac:dyDescent="0.25">
      <c r="A5169" s="841"/>
    </row>
    <row r="5170" spans="1:1" x14ac:dyDescent="0.25">
      <c r="A5170" s="841"/>
    </row>
    <row r="5171" spans="1:1" x14ac:dyDescent="0.25">
      <c r="A5171" s="841"/>
    </row>
    <row r="5172" spans="1:1" x14ac:dyDescent="0.25">
      <c r="A5172" s="841"/>
    </row>
    <row r="5173" spans="1:1" x14ac:dyDescent="0.25">
      <c r="A5173" s="841"/>
    </row>
    <row r="5174" spans="1:1" x14ac:dyDescent="0.25">
      <c r="A5174" s="841"/>
    </row>
    <row r="5175" spans="1:1" x14ac:dyDescent="0.25">
      <c r="A5175" s="841"/>
    </row>
    <row r="5176" spans="1:1" x14ac:dyDescent="0.25">
      <c r="A5176" s="841"/>
    </row>
    <row r="5177" spans="1:1" x14ac:dyDescent="0.25">
      <c r="A5177" s="841"/>
    </row>
    <row r="5178" spans="1:1" x14ac:dyDescent="0.25">
      <c r="A5178" s="841"/>
    </row>
    <row r="5179" spans="1:1" x14ac:dyDescent="0.25">
      <c r="A5179" s="841"/>
    </row>
    <row r="5180" spans="1:1" x14ac:dyDescent="0.25">
      <c r="A5180" s="841"/>
    </row>
    <row r="5181" spans="1:1" x14ac:dyDescent="0.25">
      <c r="A5181" s="841"/>
    </row>
    <row r="5182" spans="1:1" x14ac:dyDescent="0.25">
      <c r="A5182" s="841"/>
    </row>
    <row r="5183" spans="1:1" x14ac:dyDescent="0.25">
      <c r="A5183" s="841"/>
    </row>
    <row r="5184" spans="1:1" x14ac:dyDescent="0.25">
      <c r="A5184" s="841"/>
    </row>
    <row r="5185" spans="1:1" x14ac:dyDescent="0.25">
      <c r="A5185" s="841"/>
    </row>
    <row r="5186" spans="1:1" x14ac:dyDescent="0.25">
      <c r="A5186" s="841"/>
    </row>
    <row r="5187" spans="1:1" x14ac:dyDescent="0.25">
      <c r="A5187" s="841"/>
    </row>
    <row r="5188" spans="1:1" x14ac:dyDescent="0.25">
      <c r="A5188" s="841"/>
    </row>
    <row r="5189" spans="1:1" x14ac:dyDescent="0.25">
      <c r="A5189" s="841"/>
    </row>
    <row r="5190" spans="1:1" x14ac:dyDescent="0.25">
      <c r="A5190" s="841"/>
    </row>
    <row r="5191" spans="1:1" x14ac:dyDescent="0.25">
      <c r="A5191" s="841"/>
    </row>
    <row r="5192" spans="1:1" x14ac:dyDescent="0.25">
      <c r="A5192" s="841"/>
    </row>
    <row r="5193" spans="1:1" x14ac:dyDescent="0.25">
      <c r="A5193" s="841"/>
    </row>
    <row r="5194" spans="1:1" x14ac:dyDescent="0.25">
      <c r="A5194" s="841"/>
    </row>
    <row r="5195" spans="1:1" x14ac:dyDescent="0.25">
      <c r="A5195" s="841"/>
    </row>
    <row r="5196" spans="1:1" x14ac:dyDescent="0.25">
      <c r="A5196" s="841"/>
    </row>
    <row r="5197" spans="1:1" x14ac:dyDescent="0.25">
      <c r="A5197" s="841"/>
    </row>
    <row r="5198" spans="1:1" x14ac:dyDescent="0.25">
      <c r="A5198" s="841"/>
    </row>
    <row r="5199" spans="1:1" x14ac:dyDescent="0.25">
      <c r="A5199" s="841"/>
    </row>
    <row r="5200" spans="1:1" x14ac:dyDescent="0.25">
      <c r="A5200" s="841"/>
    </row>
    <row r="5201" spans="1:1" x14ac:dyDescent="0.25">
      <c r="A5201" s="841"/>
    </row>
    <row r="5202" spans="1:1" x14ac:dyDescent="0.25">
      <c r="A5202" s="841"/>
    </row>
    <row r="5203" spans="1:1" x14ac:dyDescent="0.25">
      <c r="A5203" s="841"/>
    </row>
    <row r="5204" spans="1:1" x14ac:dyDescent="0.25">
      <c r="A5204" s="841"/>
    </row>
    <row r="5205" spans="1:1" x14ac:dyDescent="0.25">
      <c r="A5205" s="841"/>
    </row>
    <row r="5206" spans="1:1" x14ac:dyDescent="0.25">
      <c r="A5206" s="841"/>
    </row>
    <row r="5207" spans="1:1" x14ac:dyDescent="0.25">
      <c r="A5207" s="841"/>
    </row>
    <row r="5208" spans="1:1" x14ac:dyDescent="0.25">
      <c r="A5208" s="841"/>
    </row>
    <row r="5209" spans="1:1" x14ac:dyDescent="0.25">
      <c r="A5209" s="841"/>
    </row>
    <row r="5210" spans="1:1" x14ac:dyDescent="0.25">
      <c r="A5210" s="841"/>
    </row>
    <row r="5211" spans="1:1" x14ac:dyDescent="0.25">
      <c r="A5211" s="841"/>
    </row>
    <row r="5212" spans="1:1" x14ac:dyDescent="0.25">
      <c r="A5212" s="841"/>
    </row>
    <row r="5213" spans="1:1" x14ac:dyDescent="0.25">
      <c r="A5213" s="841"/>
    </row>
    <row r="5214" spans="1:1" x14ac:dyDescent="0.25">
      <c r="A5214" s="841"/>
    </row>
    <row r="5215" spans="1:1" x14ac:dyDescent="0.25">
      <c r="A5215" s="841"/>
    </row>
    <row r="5216" spans="1:1" x14ac:dyDescent="0.25">
      <c r="A5216" s="841"/>
    </row>
    <row r="5217" spans="1:1" x14ac:dyDescent="0.25">
      <c r="A5217" s="841"/>
    </row>
    <row r="5218" spans="1:1" x14ac:dyDescent="0.25">
      <c r="A5218" s="841"/>
    </row>
    <row r="5219" spans="1:1" x14ac:dyDescent="0.25">
      <c r="A5219" s="841"/>
    </row>
    <row r="5220" spans="1:1" x14ac:dyDescent="0.25">
      <c r="A5220" s="841"/>
    </row>
    <row r="5221" spans="1:1" x14ac:dyDescent="0.25">
      <c r="A5221" s="841"/>
    </row>
    <row r="5222" spans="1:1" x14ac:dyDescent="0.25">
      <c r="A5222" s="841"/>
    </row>
    <row r="5223" spans="1:1" x14ac:dyDescent="0.25">
      <c r="A5223" s="841"/>
    </row>
    <row r="5224" spans="1:1" x14ac:dyDescent="0.25">
      <c r="A5224" s="841"/>
    </row>
    <row r="5225" spans="1:1" x14ac:dyDescent="0.25">
      <c r="A5225" s="841"/>
    </row>
    <row r="5226" spans="1:1" x14ac:dyDescent="0.25">
      <c r="A5226" s="841"/>
    </row>
    <row r="5227" spans="1:1" x14ac:dyDescent="0.25">
      <c r="A5227" s="841"/>
    </row>
    <row r="5228" spans="1:1" x14ac:dyDescent="0.25">
      <c r="A5228" s="841"/>
    </row>
    <row r="5229" spans="1:1" x14ac:dyDescent="0.25">
      <c r="A5229" s="841"/>
    </row>
    <row r="5230" spans="1:1" x14ac:dyDescent="0.25">
      <c r="A5230" s="841"/>
    </row>
    <row r="5231" spans="1:1" x14ac:dyDescent="0.25">
      <c r="A5231" s="841"/>
    </row>
    <row r="5232" spans="1:1" x14ac:dyDescent="0.25">
      <c r="A5232" s="841"/>
    </row>
    <row r="5233" spans="1:1" x14ac:dyDescent="0.25">
      <c r="A5233" s="841"/>
    </row>
    <row r="5234" spans="1:1" x14ac:dyDescent="0.25">
      <c r="A5234" s="841"/>
    </row>
    <row r="5235" spans="1:1" x14ac:dyDescent="0.25">
      <c r="A5235" s="841"/>
    </row>
    <row r="5236" spans="1:1" x14ac:dyDescent="0.25">
      <c r="A5236" s="841"/>
    </row>
    <row r="5237" spans="1:1" x14ac:dyDescent="0.25">
      <c r="A5237" s="841"/>
    </row>
    <row r="5238" spans="1:1" x14ac:dyDescent="0.25">
      <c r="A5238" s="841"/>
    </row>
    <row r="5239" spans="1:1" x14ac:dyDescent="0.25">
      <c r="A5239" s="841"/>
    </row>
    <row r="5240" spans="1:1" x14ac:dyDescent="0.25">
      <c r="A5240" s="841"/>
    </row>
    <row r="5241" spans="1:1" x14ac:dyDescent="0.25">
      <c r="A5241" s="841"/>
    </row>
    <row r="5242" spans="1:1" x14ac:dyDescent="0.25">
      <c r="A5242" s="841"/>
    </row>
    <row r="5243" spans="1:1" x14ac:dyDescent="0.25">
      <c r="A5243" s="841"/>
    </row>
    <row r="5244" spans="1:1" x14ac:dyDescent="0.25">
      <c r="A5244" s="841"/>
    </row>
    <row r="5245" spans="1:1" x14ac:dyDescent="0.25">
      <c r="A5245" s="841"/>
    </row>
    <row r="5246" spans="1:1" x14ac:dyDescent="0.25">
      <c r="A5246" s="841"/>
    </row>
    <row r="5247" spans="1:1" x14ac:dyDescent="0.25">
      <c r="A5247" s="841"/>
    </row>
    <row r="5248" spans="1:1" x14ac:dyDescent="0.25">
      <c r="A5248" s="841"/>
    </row>
    <row r="5249" spans="1:1" x14ac:dyDescent="0.25">
      <c r="A5249" s="841"/>
    </row>
    <row r="5250" spans="1:1" x14ac:dyDescent="0.25">
      <c r="A5250" s="841"/>
    </row>
    <row r="5251" spans="1:1" x14ac:dyDescent="0.25">
      <c r="A5251" s="841"/>
    </row>
    <row r="5252" spans="1:1" x14ac:dyDescent="0.25">
      <c r="A5252" s="841"/>
    </row>
    <row r="5253" spans="1:1" x14ac:dyDescent="0.25">
      <c r="A5253" s="841"/>
    </row>
    <row r="5254" spans="1:1" x14ac:dyDescent="0.25">
      <c r="A5254" s="841"/>
    </row>
    <row r="5255" spans="1:1" x14ac:dyDescent="0.25">
      <c r="A5255" s="841"/>
    </row>
    <row r="5256" spans="1:1" x14ac:dyDescent="0.25">
      <c r="A5256" s="841"/>
    </row>
    <row r="5257" spans="1:1" x14ac:dyDescent="0.25">
      <c r="A5257" s="841"/>
    </row>
    <row r="5258" spans="1:1" x14ac:dyDescent="0.25">
      <c r="A5258" s="841"/>
    </row>
    <row r="5259" spans="1:1" x14ac:dyDescent="0.25">
      <c r="A5259" s="841"/>
    </row>
    <row r="5260" spans="1:1" x14ac:dyDescent="0.25">
      <c r="A5260" s="841"/>
    </row>
    <row r="5261" spans="1:1" x14ac:dyDescent="0.25">
      <c r="A5261" s="841"/>
    </row>
    <row r="5262" spans="1:1" x14ac:dyDescent="0.25">
      <c r="A5262" s="841"/>
    </row>
    <row r="5263" spans="1:1" x14ac:dyDescent="0.25">
      <c r="A5263" s="841"/>
    </row>
    <row r="5264" spans="1:1" x14ac:dyDescent="0.25">
      <c r="A5264" s="841"/>
    </row>
    <row r="5265" spans="1:1" x14ac:dyDescent="0.25">
      <c r="A5265" s="841"/>
    </row>
    <row r="5266" spans="1:1" x14ac:dyDescent="0.25">
      <c r="A5266" s="841"/>
    </row>
    <row r="5267" spans="1:1" x14ac:dyDescent="0.25">
      <c r="A5267" s="841"/>
    </row>
    <row r="5268" spans="1:1" x14ac:dyDescent="0.25">
      <c r="A5268" s="841"/>
    </row>
    <row r="5269" spans="1:1" x14ac:dyDescent="0.25">
      <c r="A5269" s="841"/>
    </row>
    <row r="5270" spans="1:1" x14ac:dyDescent="0.25">
      <c r="A5270" s="841"/>
    </row>
    <row r="5271" spans="1:1" x14ac:dyDescent="0.25">
      <c r="A5271" s="841"/>
    </row>
    <row r="5272" spans="1:1" x14ac:dyDescent="0.25">
      <c r="A5272" s="841"/>
    </row>
    <row r="5273" spans="1:1" x14ac:dyDescent="0.25">
      <c r="A5273" s="841"/>
    </row>
    <row r="5274" spans="1:1" x14ac:dyDescent="0.25">
      <c r="A5274" s="841"/>
    </row>
    <row r="5275" spans="1:1" x14ac:dyDescent="0.25">
      <c r="A5275" s="841"/>
    </row>
    <row r="5276" spans="1:1" x14ac:dyDescent="0.25">
      <c r="A5276" s="841"/>
    </row>
    <row r="5277" spans="1:1" x14ac:dyDescent="0.25">
      <c r="A5277" s="841"/>
    </row>
    <row r="5278" spans="1:1" x14ac:dyDescent="0.25">
      <c r="A5278" s="841"/>
    </row>
    <row r="5279" spans="1:1" x14ac:dyDescent="0.25">
      <c r="A5279" s="841"/>
    </row>
    <row r="5280" spans="1:1" x14ac:dyDescent="0.25">
      <c r="A5280" s="841"/>
    </row>
    <row r="5281" spans="1:1" x14ac:dyDescent="0.25">
      <c r="A5281" s="841"/>
    </row>
    <row r="5282" spans="1:1" x14ac:dyDescent="0.25">
      <c r="A5282" s="841"/>
    </row>
    <row r="5283" spans="1:1" x14ac:dyDescent="0.25">
      <c r="A5283" s="841"/>
    </row>
    <row r="5284" spans="1:1" x14ac:dyDescent="0.25">
      <c r="A5284" s="841"/>
    </row>
    <row r="5285" spans="1:1" x14ac:dyDescent="0.25">
      <c r="A5285" s="841"/>
    </row>
    <row r="5286" spans="1:1" x14ac:dyDescent="0.25">
      <c r="A5286" s="841"/>
    </row>
    <row r="5287" spans="1:1" x14ac:dyDescent="0.25">
      <c r="A5287" s="841"/>
    </row>
    <row r="5288" spans="1:1" x14ac:dyDescent="0.25">
      <c r="A5288" s="841"/>
    </row>
    <row r="5289" spans="1:1" x14ac:dyDescent="0.25">
      <c r="A5289" s="841"/>
    </row>
    <row r="5290" spans="1:1" x14ac:dyDescent="0.25">
      <c r="A5290" s="841"/>
    </row>
    <row r="5291" spans="1:1" x14ac:dyDescent="0.25">
      <c r="A5291" s="841"/>
    </row>
    <row r="5292" spans="1:1" x14ac:dyDescent="0.25">
      <c r="A5292" s="841"/>
    </row>
    <row r="5293" spans="1:1" x14ac:dyDescent="0.25">
      <c r="A5293" s="841"/>
    </row>
    <row r="5294" spans="1:1" x14ac:dyDescent="0.25">
      <c r="A5294" s="841"/>
    </row>
    <row r="5295" spans="1:1" x14ac:dyDescent="0.25">
      <c r="A5295" s="841"/>
    </row>
    <row r="5296" spans="1:1" x14ac:dyDescent="0.25">
      <c r="A5296" s="841"/>
    </row>
    <row r="5297" spans="1:1" x14ac:dyDescent="0.25">
      <c r="A5297" s="841"/>
    </row>
    <row r="5298" spans="1:1" x14ac:dyDescent="0.25">
      <c r="A5298" s="841"/>
    </row>
    <row r="5299" spans="1:1" x14ac:dyDescent="0.25">
      <c r="A5299" s="841"/>
    </row>
    <row r="5300" spans="1:1" x14ac:dyDescent="0.25">
      <c r="A5300" s="841"/>
    </row>
    <row r="5301" spans="1:1" x14ac:dyDescent="0.25">
      <c r="A5301" s="841"/>
    </row>
    <row r="5302" spans="1:1" x14ac:dyDescent="0.25">
      <c r="A5302" s="841"/>
    </row>
    <row r="5303" spans="1:1" x14ac:dyDescent="0.25">
      <c r="A5303" s="841"/>
    </row>
    <row r="5304" spans="1:1" x14ac:dyDescent="0.25">
      <c r="A5304" s="841"/>
    </row>
    <row r="5305" spans="1:1" x14ac:dyDescent="0.25">
      <c r="A5305" s="841"/>
    </row>
    <row r="5306" spans="1:1" x14ac:dyDescent="0.25">
      <c r="A5306" s="841"/>
    </row>
    <row r="5307" spans="1:1" x14ac:dyDescent="0.25">
      <c r="A5307" s="841"/>
    </row>
    <row r="5308" spans="1:1" x14ac:dyDescent="0.25">
      <c r="A5308" s="841"/>
    </row>
    <row r="5309" spans="1:1" x14ac:dyDescent="0.25">
      <c r="A5309" s="841"/>
    </row>
    <row r="5310" spans="1:1" x14ac:dyDescent="0.25">
      <c r="A5310" s="841"/>
    </row>
    <row r="5311" spans="1:1" x14ac:dyDescent="0.25">
      <c r="A5311" s="841"/>
    </row>
    <row r="5312" spans="1:1" x14ac:dyDescent="0.25">
      <c r="A5312" s="841"/>
    </row>
    <row r="5313" spans="1:1" x14ac:dyDescent="0.25">
      <c r="A5313" s="841"/>
    </row>
    <row r="5314" spans="1:1" x14ac:dyDescent="0.25">
      <c r="A5314" s="841"/>
    </row>
    <row r="5315" spans="1:1" x14ac:dyDescent="0.25">
      <c r="A5315" s="841"/>
    </row>
    <row r="5316" spans="1:1" x14ac:dyDescent="0.25">
      <c r="A5316" s="841"/>
    </row>
    <row r="5317" spans="1:1" x14ac:dyDescent="0.25">
      <c r="A5317" s="841"/>
    </row>
    <row r="5318" spans="1:1" x14ac:dyDescent="0.25">
      <c r="A5318" s="841"/>
    </row>
    <row r="5319" spans="1:1" x14ac:dyDescent="0.25">
      <c r="A5319" s="841"/>
    </row>
    <row r="5320" spans="1:1" x14ac:dyDescent="0.25">
      <c r="A5320" s="841"/>
    </row>
    <row r="5321" spans="1:1" x14ac:dyDescent="0.25">
      <c r="A5321" s="841"/>
    </row>
    <row r="5322" spans="1:1" x14ac:dyDescent="0.25">
      <c r="A5322" s="841"/>
    </row>
    <row r="5323" spans="1:1" x14ac:dyDescent="0.25">
      <c r="A5323" s="841"/>
    </row>
    <row r="5324" spans="1:1" x14ac:dyDescent="0.25">
      <c r="A5324" s="841"/>
    </row>
    <row r="5325" spans="1:1" x14ac:dyDescent="0.25">
      <c r="A5325" s="841"/>
    </row>
    <row r="5326" spans="1:1" x14ac:dyDescent="0.25">
      <c r="A5326" s="841"/>
    </row>
    <row r="5327" spans="1:1" x14ac:dyDescent="0.25">
      <c r="A5327" s="841"/>
    </row>
    <row r="5328" spans="1:1" x14ac:dyDescent="0.25">
      <c r="A5328" s="841"/>
    </row>
    <row r="5329" spans="1:1" x14ac:dyDescent="0.25">
      <c r="A5329" s="841"/>
    </row>
    <row r="5330" spans="1:1" x14ac:dyDescent="0.25">
      <c r="A5330" s="841"/>
    </row>
    <row r="5331" spans="1:1" x14ac:dyDescent="0.25">
      <c r="A5331" s="841"/>
    </row>
    <row r="5332" spans="1:1" x14ac:dyDescent="0.25">
      <c r="A5332" s="841"/>
    </row>
    <row r="5333" spans="1:1" x14ac:dyDescent="0.25">
      <c r="A5333" s="841"/>
    </row>
    <row r="5334" spans="1:1" x14ac:dyDescent="0.25">
      <c r="A5334" s="841"/>
    </row>
    <row r="5335" spans="1:1" x14ac:dyDescent="0.25">
      <c r="A5335" s="841"/>
    </row>
    <row r="5336" spans="1:1" x14ac:dyDescent="0.25">
      <c r="A5336" s="841"/>
    </row>
    <row r="5337" spans="1:1" x14ac:dyDescent="0.25">
      <c r="A5337" s="841"/>
    </row>
    <row r="5338" spans="1:1" x14ac:dyDescent="0.25">
      <c r="A5338" s="841"/>
    </row>
    <row r="5339" spans="1:1" x14ac:dyDescent="0.25">
      <c r="A5339" s="841"/>
    </row>
    <row r="5340" spans="1:1" x14ac:dyDescent="0.25">
      <c r="A5340" s="841"/>
    </row>
    <row r="5341" spans="1:1" x14ac:dyDescent="0.25">
      <c r="A5341" s="841"/>
    </row>
    <row r="5342" spans="1:1" x14ac:dyDescent="0.25">
      <c r="A5342" s="841"/>
    </row>
    <row r="5343" spans="1:1" x14ac:dyDescent="0.25">
      <c r="A5343" s="841"/>
    </row>
    <row r="5344" spans="1:1" x14ac:dyDescent="0.25">
      <c r="A5344" s="841"/>
    </row>
    <row r="5345" spans="1:1" x14ac:dyDescent="0.25">
      <c r="A5345" s="841"/>
    </row>
    <row r="5346" spans="1:1" x14ac:dyDescent="0.25">
      <c r="A5346" s="841"/>
    </row>
    <row r="5347" spans="1:1" x14ac:dyDescent="0.25">
      <c r="A5347" s="841"/>
    </row>
    <row r="5348" spans="1:1" x14ac:dyDescent="0.25">
      <c r="A5348" s="841"/>
    </row>
    <row r="5349" spans="1:1" x14ac:dyDescent="0.25">
      <c r="A5349" s="841"/>
    </row>
    <row r="5350" spans="1:1" x14ac:dyDescent="0.25">
      <c r="A5350" s="841"/>
    </row>
    <row r="5351" spans="1:1" x14ac:dyDescent="0.25">
      <c r="A5351" s="841"/>
    </row>
    <row r="5352" spans="1:1" x14ac:dyDescent="0.25">
      <c r="A5352" s="841"/>
    </row>
    <row r="5353" spans="1:1" x14ac:dyDescent="0.25">
      <c r="A5353" s="841"/>
    </row>
    <row r="5354" spans="1:1" x14ac:dyDescent="0.25">
      <c r="A5354" s="841"/>
    </row>
    <row r="5355" spans="1:1" x14ac:dyDescent="0.25">
      <c r="A5355" s="841"/>
    </row>
    <row r="5356" spans="1:1" x14ac:dyDescent="0.25">
      <c r="A5356" s="841"/>
    </row>
    <row r="5357" spans="1:1" x14ac:dyDescent="0.25">
      <c r="A5357" s="841"/>
    </row>
    <row r="5358" spans="1:1" x14ac:dyDescent="0.25">
      <c r="A5358" s="841"/>
    </row>
    <row r="5359" spans="1:1" x14ac:dyDescent="0.25">
      <c r="A5359" s="841"/>
    </row>
    <row r="5360" spans="1:1" x14ac:dyDescent="0.25">
      <c r="A5360" s="841"/>
    </row>
    <row r="5361" spans="1:1" x14ac:dyDescent="0.25">
      <c r="A5361" s="841"/>
    </row>
    <row r="5362" spans="1:1" x14ac:dyDescent="0.25">
      <c r="A5362" s="841"/>
    </row>
    <row r="5363" spans="1:1" x14ac:dyDescent="0.25">
      <c r="A5363" s="841"/>
    </row>
    <row r="5364" spans="1:1" x14ac:dyDescent="0.25">
      <c r="A5364" s="841"/>
    </row>
    <row r="5365" spans="1:1" x14ac:dyDescent="0.25">
      <c r="A5365" s="841"/>
    </row>
    <row r="5366" spans="1:1" x14ac:dyDescent="0.25">
      <c r="A5366" s="841"/>
    </row>
    <row r="5367" spans="1:1" x14ac:dyDescent="0.25">
      <c r="A5367" s="841"/>
    </row>
    <row r="5368" spans="1:1" x14ac:dyDescent="0.25">
      <c r="A5368" s="841"/>
    </row>
    <row r="5369" spans="1:1" x14ac:dyDescent="0.25">
      <c r="A5369" s="841"/>
    </row>
    <row r="5370" spans="1:1" x14ac:dyDescent="0.25">
      <c r="A5370" s="841"/>
    </row>
    <row r="5371" spans="1:1" x14ac:dyDescent="0.25">
      <c r="A5371" s="841"/>
    </row>
    <row r="5372" spans="1:1" x14ac:dyDescent="0.25">
      <c r="A5372" s="841"/>
    </row>
    <row r="5373" spans="1:1" x14ac:dyDescent="0.25">
      <c r="A5373" s="841"/>
    </row>
    <row r="5374" spans="1:1" x14ac:dyDescent="0.25">
      <c r="A5374" s="841"/>
    </row>
    <row r="5375" spans="1:1" x14ac:dyDescent="0.25">
      <c r="A5375" s="841"/>
    </row>
    <row r="5376" spans="1:1" x14ac:dyDescent="0.25">
      <c r="A5376" s="841"/>
    </row>
    <row r="5377" spans="1:1" x14ac:dyDescent="0.25">
      <c r="A5377" s="841"/>
    </row>
    <row r="5378" spans="1:1" x14ac:dyDescent="0.25">
      <c r="A5378" s="841"/>
    </row>
    <row r="5379" spans="1:1" x14ac:dyDescent="0.25">
      <c r="A5379" s="841"/>
    </row>
    <row r="5380" spans="1:1" x14ac:dyDescent="0.25">
      <c r="A5380" s="841"/>
    </row>
    <row r="5381" spans="1:1" x14ac:dyDescent="0.25">
      <c r="A5381" s="841"/>
    </row>
    <row r="5382" spans="1:1" x14ac:dyDescent="0.25">
      <c r="A5382" s="841"/>
    </row>
    <row r="5383" spans="1:1" x14ac:dyDescent="0.25">
      <c r="A5383" s="841"/>
    </row>
    <row r="5384" spans="1:1" x14ac:dyDescent="0.25">
      <c r="A5384" s="841"/>
    </row>
    <row r="5385" spans="1:1" x14ac:dyDescent="0.25">
      <c r="A5385" s="841"/>
    </row>
    <row r="5386" spans="1:1" x14ac:dyDescent="0.25">
      <c r="A5386" s="841"/>
    </row>
    <row r="5387" spans="1:1" x14ac:dyDescent="0.25">
      <c r="A5387" s="841"/>
    </row>
    <row r="5388" spans="1:1" x14ac:dyDescent="0.25">
      <c r="A5388" s="841"/>
    </row>
    <row r="5389" spans="1:1" x14ac:dyDescent="0.25">
      <c r="A5389" s="841"/>
    </row>
    <row r="5390" spans="1:1" x14ac:dyDescent="0.25">
      <c r="A5390" s="841"/>
    </row>
    <row r="5391" spans="1:1" x14ac:dyDescent="0.25">
      <c r="A5391" s="841"/>
    </row>
    <row r="5392" spans="1:1" x14ac:dyDescent="0.25">
      <c r="A5392" s="841"/>
    </row>
    <row r="5393" spans="1:1" x14ac:dyDescent="0.25">
      <c r="A5393" s="841"/>
    </row>
    <row r="5394" spans="1:1" x14ac:dyDescent="0.25">
      <c r="A5394" s="841"/>
    </row>
    <row r="5395" spans="1:1" x14ac:dyDescent="0.25">
      <c r="A5395" s="841"/>
    </row>
    <row r="5396" spans="1:1" x14ac:dyDescent="0.25">
      <c r="A5396" s="841"/>
    </row>
    <row r="5397" spans="1:1" x14ac:dyDescent="0.25">
      <c r="A5397" s="841"/>
    </row>
    <row r="5398" spans="1:1" x14ac:dyDescent="0.25">
      <c r="A5398" s="841"/>
    </row>
    <row r="5399" spans="1:1" x14ac:dyDescent="0.25">
      <c r="A5399" s="841"/>
    </row>
    <row r="5400" spans="1:1" x14ac:dyDescent="0.25">
      <c r="A5400" s="841"/>
    </row>
    <row r="5401" spans="1:1" x14ac:dyDescent="0.25">
      <c r="A5401" s="841"/>
    </row>
    <row r="5402" spans="1:1" x14ac:dyDescent="0.25">
      <c r="A5402" s="841"/>
    </row>
    <row r="5403" spans="1:1" x14ac:dyDescent="0.25">
      <c r="A5403" s="841"/>
    </row>
    <row r="5404" spans="1:1" x14ac:dyDescent="0.25">
      <c r="A5404" s="841"/>
    </row>
    <row r="5405" spans="1:1" x14ac:dyDescent="0.25">
      <c r="A5405" s="841"/>
    </row>
    <row r="5406" spans="1:1" x14ac:dyDescent="0.25">
      <c r="A5406" s="841"/>
    </row>
    <row r="5407" spans="1:1" x14ac:dyDescent="0.25">
      <c r="A5407" s="841"/>
    </row>
    <row r="5408" spans="1:1" x14ac:dyDescent="0.25">
      <c r="A5408" s="841"/>
    </row>
    <row r="5409" spans="1:1" x14ac:dyDescent="0.25">
      <c r="A5409" s="841"/>
    </row>
    <row r="5410" spans="1:1" x14ac:dyDescent="0.25">
      <c r="A5410" s="841"/>
    </row>
    <row r="5411" spans="1:1" x14ac:dyDescent="0.25">
      <c r="A5411" s="841"/>
    </row>
    <row r="5412" spans="1:1" x14ac:dyDescent="0.25">
      <c r="A5412" s="841"/>
    </row>
    <row r="5413" spans="1:1" x14ac:dyDescent="0.25">
      <c r="A5413" s="841"/>
    </row>
    <row r="5414" spans="1:1" x14ac:dyDescent="0.25">
      <c r="A5414" s="841"/>
    </row>
    <row r="5415" spans="1:1" x14ac:dyDescent="0.25">
      <c r="A5415" s="841"/>
    </row>
    <row r="5416" spans="1:1" x14ac:dyDescent="0.25">
      <c r="A5416" s="841"/>
    </row>
    <row r="5417" spans="1:1" x14ac:dyDescent="0.25">
      <c r="A5417" s="841"/>
    </row>
    <row r="5418" spans="1:1" x14ac:dyDescent="0.25">
      <c r="A5418" s="841"/>
    </row>
    <row r="5419" spans="1:1" x14ac:dyDescent="0.25">
      <c r="A5419" s="841"/>
    </row>
    <row r="5420" spans="1:1" x14ac:dyDescent="0.25">
      <c r="A5420" s="841"/>
    </row>
    <row r="5421" spans="1:1" x14ac:dyDescent="0.25">
      <c r="A5421" s="841"/>
    </row>
    <row r="5422" spans="1:1" x14ac:dyDescent="0.25">
      <c r="A5422" s="841"/>
    </row>
    <row r="5423" spans="1:1" x14ac:dyDescent="0.25">
      <c r="A5423" s="841"/>
    </row>
    <row r="5424" spans="1:1" x14ac:dyDescent="0.25">
      <c r="A5424" s="841"/>
    </row>
    <row r="5425" spans="1:1" x14ac:dyDescent="0.25">
      <c r="A5425" s="841"/>
    </row>
    <row r="5426" spans="1:1" x14ac:dyDescent="0.25">
      <c r="A5426" s="841"/>
    </row>
    <row r="5427" spans="1:1" x14ac:dyDescent="0.25">
      <c r="A5427" s="841"/>
    </row>
    <row r="5428" spans="1:1" x14ac:dyDescent="0.25">
      <c r="A5428" s="841"/>
    </row>
    <row r="5429" spans="1:1" x14ac:dyDescent="0.25">
      <c r="A5429" s="841"/>
    </row>
    <row r="5430" spans="1:1" x14ac:dyDescent="0.25">
      <c r="A5430" s="841"/>
    </row>
    <row r="5431" spans="1:1" x14ac:dyDescent="0.25">
      <c r="A5431" s="841"/>
    </row>
    <row r="5432" spans="1:1" x14ac:dyDescent="0.25">
      <c r="A5432" s="841"/>
    </row>
    <row r="5433" spans="1:1" x14ac:dyDescent="0.25">
      <c r="A5433" s="841"/>
    </row>
    <row r="5434" spans="1:1" x14ac:dyDescent="0.25">
      <c r="A5434" s="841"/>
    </row>
    <row r="5435" spans="1:1" x14ac:dyDescent="0.25">
      <c r="A5435" s="841"/>
    </row>
    <row r="5436" spans="1:1" x14ac:dyDescent="0.25">
      <c r="A5436" s="841"/>
    </row>
    <row r="5437" spans="1:1" x14ac:dyDescent="0.25">
      <c r="A5437" s="841"/>
    </row>
    <row r="5438" spans="1:1" x14ac:dyDescent="0.25">
      <c r="A5438" s="841"/>
    </row>
    <row r="5439" spans="1:1" x14ac:dyDescent="0.25">
      <c r="A5439" s="841"/>
    </row>
    <row r="5440" spans="1:1" x14ac:dyDescent="0.25">
      <c r="A5440" s="841"/>
    </row>
    <row r="5441" spans="1:1" x14ac:dyDescent="0.25">
      <c r="A5441" s="841"/>
    </row>
    <row r="5442" spans="1:1" x14ac:dyDescent="0.25">
      <c r="A5442" s="841"/>
    </row>
    <row r="5443" spans="1:1" x14ac:dyDescent="0.25">
      <c r="A5443" s="841"/>
    </row>
    <row r="5444" spans="1:1" x14ac:dyDescent="0.25">
      <c r="A5444" s="841"/>
    </row>
    <row r="5445" spans="1:1" x14ac:dyDescent="0.25">
      <c r="A5445" s="841"/>
    </row>
    <row r="5446" spans="1:1" x14ac:dyDescent="0.25">
      <c r="A5446" s="841"/>
    </row>
    <row r="5447" spans="1:1" x14ac:dyDescent="0.25">
      <c r="A5447" s="841"/>
    </row>
    <row r="5448" spans="1:1" x14ac:dyDescent="0.25">
      <c r="A5448" s="841"/>
    </row>
    <row r="5449" spans="1:1" x14ac:dyDescent="0.25">
      <c r="A5449" s="841"/>
    </row>
    <row r="5450" spans="1:1" x14ac:dyDescent="0.25">
      <c r="A5450" s="841"/>
    </row>
    <row r="5451" spans="1:1" x14ac:dyDescent="0.25">
      <c r="A5451" s="841"/>
    </row>
    <row r="5452" spans="1:1" x14ac:dyDescent="0.25">
      <c r="A5452" s="841"/>
    </row>
    <row r="5453" spans="1:1" x14ac:dyDescent="0.25">
      <c r="A5453" s="841"/>
    </row>
    <row r="5454" spans="1:1" x14ac:dyDescent="0.25">
      <c r="A5454" s="841"/>
    </row>
    <row r="5455" spans="1:1" x14ac:dyDescent="0.25">
      <c r="A5455" s="841"/>
    </row>
    <row r="5456" spans="1:1" x14ac:dyDescent="0.25">
      <c r="A5456" s="841"/>
    </row>
    <row r="5457" spans="1:1" x14ac:dyDescent="0.25">
      <c r="A5457" s="841"/>
    </row>
    <row r="5458" spans="1:1" x14ac:dyDescent="0.25">
      <c r="A5458" s="841"/>
    </row>
    <row r="5459" spans="1:1" x14ac:dyDescent="0.25">
      <c r="A5459" s="841"/>
    </row>
    <row r="5460" spans="1:1" x14ac:dyDescent="0.25">
      <c r="A5460" s="841"/>
    </row>
    <row r="5461" spans="1:1" x14ac:dyDescent="0.25">
      <c r="A5461" s="841"/>
    </row>
    <row r="5462" spans="1:1" x14ac:dyDescent="0.25">
      <c r="A5462" s="841"/>
    </row>
    <row r="5463" spans="1:1" x14ac:dyDescent="0.25">
      <c r="A5463" s="841"/>
    </row>
    <row r="5464" spans="1:1" x14ac:dyDescent="0.25">
      <c r="A5464" s="841"/>
    </row>
    <row r="5465" spans="1:1" x14ac:dyDescent="0.25">
      <c r="A5465" s="841"/>
    </row>
    <row r="5466" spans="1:1" x14ac:dyDescent="0.25">
      <c r="A5466" s="841"/>
    </row>
    <row r="5467" spans="1:1" x14ac:dyDescent="0.25">
      <c r="A5467" s="841"/>
    </row>
    <row r="5468" spans="1:1" x14ac:dyDescent="0.25">
      <c r="A5468" s="841"/>
    </row>
    <row r="5469" spans="1:1" x14ac:dyDescent="0.25">
      <c r="A5469" s="841"/>
    </row>
    <row r="5470" spans="1:1" x14ac:dyDescent="0.25">
      <c r="A5470" s="841"/>
    </row>
    <row r="5471" spans="1:1" x14ac:dyDescent="0.25">
      <c r="A5471" s="841"/>
    </row>
    <row r="5472" spans="1:1" x14ac:dyDescent="0.25">
      <c r="A5472" s="841"/>
    </row>
    <row r="5473" spans="1:1" x14ac:dyDescent="0.25">
      <c r="A5473" s="841"/>
    </row>
    <row r="5474" spans="1:1" x14ac:dyDescent="0.25">
      <c r="A5474" s="841"/>
    </row>
    <row r="5475" spans="1:1" x14ac:dyDescent="0.25">
      <c r="A5475" s="841"/>
    </row>
    <row r="5476" spans="1:1" x14ac:dyDescent="0.25">
      <c r="A5476" s="841"/>
    </row>
    <row r="5477" spans="1:1" x14ac:dyDescent="0.25">
      <c r="A5477" s="841"/>
    </row>
    <row r="5478" spans="1:1" x14ac:dyDescent="0.25">
      <c r="A5478" s="841"/>
    </row>
    <row r="5479" spans="1:1" x14ac:dyDescent="0.25">
      <c r="A5479" s="841"/>
    </row>
    <row r="5480" spans="1:1" x14ac:dyDescent="0.25">
      <c r="A5480" s="841"/>
    </row>
    <row r="5481" spans="1:1" x14ac:dyDescent="0.25">
      <c r="A5481" s="841"/>
    </row>
    <row r="5482" spans="1:1" x14ac:dyDescent="0.25">
      <c r="A5482" s="841"/>
    </row>
    <row r="5483" spans="1:1" x14ac:dyDescent="0.25">
      <c r="A5483" s="841"/>
    </row>
    <row r="5484" spans="1:1" x14ac:dyDescent="0.25">
      <c r="A5484" s="841"/>
    </row>
    <row r="5485" spans="1:1" x14ac:dyDescent="0.25">
      <c r="A5485" s="841"/>
    </row>
    <row r="5486" spans="1:1" x14ac:dyDescent="0.25">
      <c r="A5486" s="841"/>
    </row>
    <row r="5487" spans="1:1" x14ac:dyDescent="0.25">
      <c r="A5487" s="841"/>
    </row>
    <row r="5488" spans="1:1" x14ac:dyDescent="0.25">
      <c r="A5488" s="841"/>
    </row>
    <row r="5489" spans="1:1" x14ac:dyDescent="0.25">
      <c r="A5489" s="841"/>
    </row>
    <row r="5490" spans="1:1" x14ac:dyDescent="0.25">
      <c r="A5490" s="841"/>
    </row>
    <row r="5491" spans="1:1" x14ac:dyDescent="0.25">
      <c r="A5491" s="841"/>
    </row>
    <row r="5492" spans="1:1" x14ac:dyDescent="0.25">
      <c r="A5492" s="841"/>
    </row>
    <row r="5493" spans="1:1" x14ac:dyDescent="0.25">
      <c r="A5493" s="841"/>
    </row>
    <row r="5494" spans="1:1" x14ac:dyDescent="0.25">
      <c r="A5494" s="841"/>
    </row>
    <row r="5495" spans="1:1" x14ac:dyDescent="0.25">
      <c r="A5495" s="841"/>
    </row>
    <row r="5496" spans="1:1" x14ac:dyDescent="0.25">
      <c r="A5496" s="841"/>
    </row>
    <row r="5497" spans="1:1" x14ac:dyDescent="0.25">
      <c r="A5497" s="841"/>
    </row>
    <row r="5498" spans="1:1" x14ac:dyDescent="0.25">
      <c r="A5498" s="841"/>
    </row>
    <row r="5499" spans="1:1" x14ac:dyDescent="0.25">
      <c r="A5499" s="841"/>
    </row>
    <row r="5500" spans="1:1" x14ac:dyDescent="0.25">
      <c r="A5500" s="841"/>
    </row>
    <row r="5501" spans="1:1" x14ac:dyDescent="0.25">
      <c r="A5501" s="841"/>
    </row>
    <row r="5502" spans="1:1" x14ac:dyDescent="0.25">
      <c r="A5502" s="841"/>
    </row>
    <row r="5503" spans="1:1" x14ac:dyDescent="0.25">
      <c r="A5503" s="841"/>
    </row>
    <row r="5504" spans="1:1" x14ac:dyDescent="0.25">
      <c r="A5504" s="841"/>
    </row>
    <row r="5505" spans="1:1" x14ac:dyDescent="0.25">
      <c r="A5505" s="841"/>
    </row>
    <row r="5506" spans="1:1" x14ac:dyDescent="0.25">
      <c r="A5506" s="841"/>
    </row>
    <row r="5507" spans="1:1" x14ac:dyDescent="0.25">
      <c r="A5507" s="841"/>
    </row>
    <row r="5508" spans="1:1" x14ac:dyDescent="0.25">
      <c r="A5508" s="841"/>
    </row>
    <row r="5509" spans="1:1" x14ac:dyDescent="0.25">
      <c r="A5509" s="841"/>
    </row>
    <row r="5510" spans="1:1" x14ac:dyDescent="0.25">
      <c r="A5510" s="841"/>
    </row>
    <row r="5511" spans="1:1" x14ac:dyDescent="0.25">
      <c r="A5511" s="841"/>
    </row>
    <row r="5512" spans="1:1" x14ac:dyDescent="0.25">
      <c r="A5512" s="841"/>
    </row>
    <row r="5513" spans="1:1" x14ac:dyDescent="0.25">
      <c r="A5513" s="841"/>
    </row>
    <row r="5514" spans="1:1" x14ac:dyDescent="0.25">
      <c r="A5514" s="841"/>
    </row>
    <row r="5515" spans="1:1" x14ac:dyDescent="0.25">
      <c r="A5515" s="841"/>
    </row>
    <row r="5516" spans="1:1" x14ac:dyDescent="0.25">
      <c r="A5516" s="841"/>
    </row>
    <row r="5517" spans="1:1" x14ac:dyDescent="0.25">
      <c r="A5517" s="841"/>
    </row>
    <row r="5518" spans="1:1" x14ac:dyDescent="0.25">
      <c r="A5518" s="841"/>
    </row>
    <row r="5519" spans="1:1" x14ac:dyDescent="0.25">
      <c r="A5519" s="841"/>
    </row>
    <row r="5520" spans="1:1" x14ac:dyDescent="0.25">
      <c r="A5520" s="841"/>
    </row>
    <row r="5521" spans="1:1" x14ac:dyDescent="0.25">
      <c r="A5521" s="841"/>
    </row>
    <row r="5522" spans="1:1" x14ac:dyDescent="0.25">
      <c r="A5522" s="841"/>
    </row>
    <row r="5523" spans="1:1" x14ac:dyDescent="0.25">
      <c r="A5523" s="841"/>
    </row>
    <row r="5524" spans="1:1" x14ac:dyDescent="0.25">
      <c r="A5524" s="841"/>
    </row>
    <row r="5525" spans="1:1" x14ac:dyDescent="0.25">
      <c r="A5525" s="841"/>
    </row>
    <row r="5526" spans="1:1" x14ac:dyDescent="0.25">
      <c r="A5526" s="841"/>
    </row>
    <row r="5527" spans="1:1" x14ac:dyDescent="0.25">
      <c r="A5527" s="841"/>
    </row>
    <row r="5528" spans="1:1" x14ac:dyDescent="0.25">
      <c r="A5528" s="841"/>
    </row>
    <row r="5529" spans="1:1" x14ac:dyDescent="0.25">
      <c r="A5529" s="841"/>
    </row>
    <row r="5530" spans="1:1" x14ac:dyDescent="0.25">
      <c r="A5530" s="841"/>
    </row>
    <row r="5531" spans="1:1" x14ac:dyDescent="0.25">
      <c r="A5531" s="841"/>
    </row>
    <row r="5532" spans="1:1" x14ac:dyDescent="0.25">
      <c r="A5532" s="841"/>
    </row>
    <row r="5533" spans="1:1" x14ac:dyDescent="0.25">
      <c r="A5533" s="841"/>
    </row>
    <row r="5534" spans="1:1" x14ac:dyDescent="0.25">
      <c r="A5534" s="841"/>
    </row>
    <row r="5535" spans="1:1" x14ac:dyDescent="0.25">
      <c r="A5535" s="841"/>
    </row>
    <row r="5536" spans="1:1" x14ac:dyDescent="0.25">
      <c r="A5536" s="841"/>
    </row>
    <row r="5537" spans="1:1" x14ac:dyDescent="0.25">
      <c r="A5537" s="841"/>
    </row>
    <row r="5538" spans="1:1" x14ac:dyDescent="0.25">
      <c r="A5538" s="841"/>
    </row>
    <row r="5539" spans="1:1" x14ac:dyDescent="0.25">
      <c r="A5539" s="841"/>
    </row>
    <row r="5540" spans="1:1" x14ac:dyDescent="0.25">
      <c r="A5540" s="841"/>
    </row>
    <row r="5541" spans="1:1" x14ac:dyDescent="0.25">
      <c r="A5541" s="841"/>
    </row>
    <row r="5542" spans="1:1" x14ac:dyDescent="0.25">
      <c r="A5542" s="841"/>
    </row>
    <row r="5543" spans="1:1" x14ac:dyDescent="0.25">
      <c r="A5543" s="841"/>
    </row>
    <row r="5544" spans="1:1" x14ac:dyDescent="0.25">
      <c r="A5544" s="841"/>
    </row>
    <row r="5545" spans="1:1" x14ac:dyDescent="0.25">
      <c r="A5545" s="841"/>
    </row>
    <row r="5546" spans="1:1" x14ac:dyDescent="0.25">
      <c r="A5546" s="841"/>
    </row>
    <row r="5547" spans="1:1" x14ac:dyDescent="0.25">
      <c r="A5547" s="841"/>
    </row>
    <row r="5548" spans="1:1" x14ac:dyDescent="0.25">
      <c r="A5548" s="841"/>
    </row>
    <row r="5549" spans="1:1" x14ac:dyDescent="0.25">
      <c r="A5549" s="841"/>
    </row>
    <row r="5550" spans="1:1" x14ac:dyDescent="0.25">
      <c r="A5550" s="841"/>
    </row>
    <row r="5551" spans="1:1" x14ac:dyDescent="0.25">
      <c r="A5551" s="841"/>
    </row>
    <row r="5552" spans="1:1" x14ac:dyDescent="0.25">
      <c r="A5552" s="841"/>
    </row>
    <row r="5553" spans="1:1" x14ac:dyDescent="0.25">
      <c r="A5553" s="841"/>
    </row>
    <row r="5554" spans="1:1" x14ac:dyDescent="0.25">
      <c r="A5554" s="841"/>
    </row>
    <row r="5555" spans="1:1" x14ac:dyDescent="0.25">
      <c r="A5555" s="841"/>
    </row>
    <row r="5556" spans="1:1" x14ac:dyDescent="0.25">
      <c r="A5556" s="841"/>
    </row>
    <row r="5557" spans="1:1" x14ac:dyDescent="0.25">
      <c r="A5557" s="841"/>
    </row>
    <row r="5558" spans="1:1" x14ac:dyDescent="0.25">
      <c r="A5558" s="841"/>
    </row>
    <row r="5559" spans="1:1" x14ac:dyDescent="0.25">
      <c r="A5559" s="841"/>
    </row>
    <row r="5560" spans="1:1" x14ac:dyDescent="0.25">
      <c r="A5560" s="841"/>
    </row>
    <row r="5561" spans="1:1" x14ac:dyDescent="0.25">
      <c r="A5561" s="841"/>
    </row>
    <row r="5562" spans="1:1" x14ac:dyDescent="0.25">
      <c r="A5562" s="841"/>
    </row>
    <row r="5563" spans="1:1" x14ac:dyDescent="0.25">
      <c r="A5563" s="841"/>
    </row>
    <row r="5564" spans="1:1" x14ac:dyDescent="0.25">
      <c r="A5564" s="841"/>
    </row>
    <row r="5565" spans="1:1" x14ac:dyDescent="0.25">
      <c r="A5565" s="841"/>
    </row>
    <row r="5566" spans="1:1" x14ac:dyDescent="0.25">
      <c r="A5566" s="841"/>
    </row>
    <row r="5567" spans="1:1" x14ac:dyDescent="0.25">
      <c r="A5567" s="841"/>
    </row>
    <row r="5568" spans="1:1" x14ac:dyDescent="0.25">
      <c r="A5568" s="841"/>
    </row>
    <row r="5569" spans="1:1" x14ac:dyDescent="0.25">
      <c r="A5569" s="841"/>
    </row>
    <row r="5570" spans="1:1" x14ac:dyDescent="0.25">
      <c r="A5570" s="841"/>
    </row>
    <row r="5571" spans="1:1" x14ac:dyDescent="0.25">
      <c r="A5571" s="841"/>
    </row>
    <row r="5572" spans="1:1" x14ac:dyDescent="0.25">
      <c r="A5572" s="841"/>
    </row>
    <row r="5573" spans="1:1" x14ac:dyDescent="0.25">
      <c r="A5573" s="841"/>
    </row>
    <row r="5574" spans="1:1" x14ac:dyDescent="0.25">
      <c r="A5574" s="841"/>
    </row>
    <row r="5575" spans="1:1" x14ac:dyDescent="0.25">
      <c r="A5575" s="841"/>
    </row>
    <row r="5576" spans="1:1" x14ac:dyDescent="0.25">
      <c r="A5576" s="841"/>
    </row>
    <row r="5577" spans="1:1" x14ac:dyDescent="0.25">
      <c r="A5577" s="841"/>
    </row>
    <row r="5578" spans="1:1" x14ac:dyDescent="0.25">
      <c r="A5578" s="841"/>
    </row>
    <row r="5579" spans="1:1" x14ac:dyDescent="0.25">
      <c r="A5579" s="841"/>
    </row>
    <row r="5580" spans="1:1" x14ac:dyDescent="0.25">
      <c r="A5580" s="841"/>
    </row>
    <row r="5581" spans="1:1" x14ac:dyDescent="0.25">
      <c r="A5581" s="841"/>
    </row>
    <row r="5582" spans="1:1" x14ac:dyDescent="0.25">
      <c r="A5582" s="841"/>
    </row>
    <row r="5583" spans="1:1" x14ac:dyDescent="0.25">
      <c r="A5583" s="841"/>
    </row>
    <row r="5584" spans="1:1" x14ac:dyDescent="0.25">
      <c r="A5584" s="841"/>
    </row>
    <row r="5585" spans="1:1" x14ac:dyDescent="0.25">
      <c r="A5585" s="841"/>
    </row>
    <row r="5586" spans="1:1" x14ac:dyDescent="0.25">
      <c r="A5586" s="841"/>
    </row>
    <row r="5587" spans="1:1" x14ac:dyDescent="0.25">
      <c r="A5587" s="841"/>
    </row>
    <row r="5588" spans="1:1" x14ac:dyDescent="0.25">
      <c r="A5588" s="841"/>
    </row>
    <row r="5589" spans="1:1" x14ac:dyDescent="0.25">
      <c r="A5589" s="841"/>
    </row>
    <row r="5590" spans="1:1" x14ac:dyDescent="0.25">
      <c r="A5590" s="841"/>
    </row>
    <row r="5591" spans="1:1" x14ac:dyDescent="0.25">
      <c r="A5591" s="841"/>
    </row>
    <row r="5592" spans="1:1" x14ac:dyDescent="0.25">
      <c r="A5592" s="841"/>
    </row>
    <row r="5593" spans="1:1" x14ac:dyDescent="0.25">
      <c r="A5593" s="841"/>
    </row>
    <row r="5594" spans="1:1" x14ac:dyDescent="0.25">
      <c r="A5594" s="841"/>
    </row>
    <row r="5595" spans="1:1" x14ac:dyDescent="0.25">
      <c r="A5595" s="841"/>
    </row>
    <row r="5596" spans="1:1" x14ac:dyDescent="0.25">
      <c r="A5596" s="841"/>
    </row>
    <row r="5597" spans="1:1" x14ac:dyDescent="0.25">
      <c r="A5597" s="841"/>
    </row>
    <row r="5598" spans="1:1" x14ac:dyDescent="0.25">
      <c r="A5598" s="841"/>
    </row>
    <row r="5599" spans="1:1" x14ac:dyDescent="0.25">
      <c r="A5599" s="841"/>
    </row>
    <row r="5600" spans="1:1" x14ac:dyDescent="0.25">
      <c r="A5600" s="841"/>
    </row>
    <row r="5601" spans="1:1" x14ac:dyDescent="0.25">
      <c r="A5601" s="841"/>
    </row>
    <row r="5602" spans="1:1" x14ac:dyDescent="0.25">
      <c r="A5602" s="841"/>
    </row>
    <row r="5603" spans="1:1" x14ac:dyDescent="0.25">
      <c r="A5603" s="841"/>
    </row>
    <row r="5604" spans="1:1" x14ac:dyDescent="0.25">
      <c r="A5604" s="841"/>
    </row>
    <row r="5605" spans="1:1" x14ac:dyDescent="0.25">
      <c r="A5605" s="841"/>
    </row>
    <row r="5606" spans="1:1" x14ac:dyDescent="0.25">
      <c r="A5606" s="841"/>
    </row>
    <row r="5607" spans="1:1" x14ac:dyDescent="0.25">
      <c r="A5607" s="841"/>
    </row>
    <row r="5608" spans="1:1" x14ac:dyDescent="0.25">
      <c r="A5608" s="841"/>
    </row>
    <row r="5609" spans="1:1" x14ac:dyDescent="0.25">
      <c r="A5609" s="841"/>
    </row>
    <row r="5610" spans="1:1" x14ac:dyDescent="0.25">
      <c r="A5610" s="841"/>
    </row>
    <row r="5611" spans="1:1" x14ac:dyDescent="0.25">
      <c r="A5611" s="841"/>
    </row>
    <row r="5612" spans="1:1" x14ac:dyDescent="0.25">
      <c r="A5612" s="841"/>
    </row>
    <row r="5613" spans="1:1" x14ac:dyDescent="0.25">
      <c r="A5613" s="841"/>
    </row>
    <row r="5614" spans="1:1" x14ac:dyDescent="0.25">
      <c r="A5614" s="841"/>
    </row>
    <row r="5615" spans="1:1" x14ac:dyDescent="0.25">
      <c r="A5615" s="841"/>
    </row>
    <row r="5616" spans="1:1" x14ac:dyDescent="0.25">
      <c r="A5616" s="841"/>
    </row>
    <row r="5617" spans="1:1" x14ac:dyDescent="0.25">
      <c r="A5617" s="841"/>
    </row>
    <row r="5618" spans="1:1" x14ac:dyDescent="0.25">
      <c r="A5618" s="841"/>
    </row>
    <row r="5619" spans="1:1" x14ac:dyDescent="0.25">
      <c r="A5619" s="841"/>
    </row>
    <row r="5620" spans="1:1" x14ac:dyDescent="0.25">
      <c r="A5620" s="841"/>
    </row>
    <row r="5621" spans="1:1" x14ac:dyDescent="0.25">
      <c r="A5621" s="841"/>
    </row>
    <row r="5622" spans="1:1" x14ac:dyDescent="0.25">
      <c r="A5622" s="841"/>
    </row>
    <row r="5623" spans="1:1" x14ac:dyDescent="0.25">
      <c r="A5623" s="841"/>
    </row>
    <row r="5624" spans="1:1" x14ac:dyDescent="0.25">
      <c r="A5624" s="841"/>
    </row>
    <row r="5625" spans="1:1" x14ac:dyDescent="0.25">
      <c r="A5625" s="841"/>
    </row>
    <row r="5626" spans="1:1" x14ac:dyDescent="0.25">
      <c r="A5626" s="841"/>
    </row>
    <row r="5627" spans="1:1" x14ac:dyDescent="0.25">
      <c r="A5627" s="841"/>
    </row>
    <row r="5628" spans="1:1" x14ac:dyDescent="0.25">
      <c r="A5628" s="841"/>
    </row>
    <row r="5629" spans="1:1" x14ac:dyDescent="0.25">
      <c r="A5629" s="841"/>
    </row>
    <row r="5630" spans="1:1" x14ac:dyDescent="0.25">
      <c r="A5630" s="841"/>
    </row>
    <row r="5631" spans="1:1" x14ac:dyDescent="0.25">
      <c r="A5631" s="841"/>
    </row>
    <row r="5632" spans="1:1" x14ac:dyDescent="0.25">
      <c r="A5632" s="841"/>
    </row>
    <row r="5633" spans="1:1" x14ac:dyDescent="0.25">
      <c r="A5633" s="841"/>
    </row>
    <row r="5634" spans="1:1" x14ac:dyDescent="0.25">
      <c r="A5634" s="841"/>
    </row>
    <row r="5635" spans="1:1" x14ac:dyDescent="0.25">
      <c r="A5635" s="841"/>
    </row>
    <row r="5636" spans="1:1" x14ac:dyDescent="0.25">
      <c r="A5636" s="841"/>
    </row>
    <row r="5637" spans="1:1" x14ac:dyDescent="0.25">
      <c r="A5637" s="841"/>
    </row>
    <row r="5638" spans="1:1" x14ac:dyDescent="0.25">
      <c r="A5638" s="841"/>
    </row>
    <row r="5639" spans="1:1" x14ac:dyDescent="0.25">
      <c r="A5639" s="841"/>
    </row>
    <row r="5640" spans="1:1" x14ac:dyDescent="0.25">
      <c r="A5640" s="841"/>
    </row>
    <row r="5641" spans="1:1" x14ac:dyDescent="0.25">
      <c r="A5641" s="841"/>
    </row>
    <row r="5642" spans="1:1" x14ac:dyDescent="0.25">
      <c r="A5642" s="841"/>
    </row>
    <row r="5643" spans="1:1" x14ac:dyDescent="0.25">
      <c r="A5643" s="841"/>
    </row>
    <row r="5644" spans="1:1" x14ac:dyDescent="0.25">
      <c r="A5644" s="841"/>
    </row>
    <row r="5645" spans="1:1" x14ac:dyDescent="0.25">
      <c r="A5645" s="841"/>
    </row>
    <row r="5646" spans="1:1" x14ac:dyDescent="0.25">
      <c r="A5646" s="841"/>
    </row>
    <row r="5647" spans="1:1" x14ac:dyDescent="0.25">
      <c r="A5647" s="841"/>
    </row>
    <row r="5648" spans="1:1" x14ac:dyDescent="0.25">
      <c r="A5648" s="841"/>
    </row>
    <row r="5649" spans="1:1" x14ac:dyDescent="0.25">
      <c r="A5649" s="841"/>
    </row>
    <row r="5650" spans="1:1" x14ac:dyDescent="0.25">
      <c r="A5650" s="841"/>
    </row>
    <row r="5651" spans="1:1" x14ac:dyDescent="0.25">
      <c r="A5651" s="841"/>
    </row>
    <row r="5652" spans="1:1" x14ac:dyDescent="0.25">
      <c r="A5652" s="841"/>
    </row>
    <row r="5653" spans="1:1" x14ac:dyDescent="0.25">
      <c r="A5653" s="841"/>
    </row>
    <row r="5654" spans="1:1" x14ac:dyDescent="0.25">
      <c r="A5654" s="841"/>
    </row>
    <row r="5655" spans="1:1" x14ac:dyDescent="0.25">
      <c r="A5655" s="841"/>
    </row>
    <row r="5656" spans="1:1" x14ac:dyDescent="0.25">
      <c r="A5656" s="841"/>
    </row>
    <row r="5657" spans="1:1" x14ac:dyDescent="0.25">
      <c r="A5657" s="841"/>
    </row>
    <row r="5658" spans="1:1" x14ac:dyDescent="0.25">
      <c r="A5658" s="841"/>
    </row>
    <row r="5659" spans="1:1" x14ac:dyDescent="0.25">
      <c r="A5659" s="841"/>
    </row>
    <row r="5660" spans="1:1" x14ac:dyDescent="0.25">
      <c r="A5660" s="841"/>
    </row>
    <row r="5661" spans="1:1" x14ac:dyDescent="0.25">
      <c r="A5661" s="841"/>
    </row>
    <row r="5662" spans="1:1" x14ac:dyDescent="0.25">
      <c r="A5662" s="841"/>
    </row>
    <row r="5663" spans="1:1" x14ac:dyDescent="0.25">
      <c r="A5663" s="841"/>
    </row>
    <row r="5664" spans="1:1" x14ac:dyDescent="0.25">
      <c r="A5664" s="841"/>
    </row>
    <row r="5665" spans="1:1" x14ac:dyDescent="0.25">
      <c r="A5665" s="841"/>
    </row>
    <row r="5666" spans="1:1" x14ac:dyDescent="0.25">
      <c r="A5666" s="841"/>
    </row>
    <row r="5667" spans="1:1" x14ac:dyDescent="0.25">
      <c r="A5667" s="841"/>
    </row>
    <row r="5668" spans="1:1" x14ac:dyDescent="0.25">
      <c r="A5668" s="841"/>
    </row>
    <row r="5669" spans="1:1" x14ac:dyDescent="0.25">
      <c r="A5669" s="841"/>
    </row>
    <row r="5670" spans="1:1" x14ac:dyDescent="0.25">
      <c r="A5670" s="841"/>
    </row>
    <row r="5671" spans="1:1" x14ac:dyDescent="0.25">
      <c r="A5671" s="841"/>
    </row>
    <row r="5672" spans="1:1" x14ac:dyDescent="0.25">
      <c r="A5672" s="841"/>
    </row>
    <row r="5673" spans="1:1" x14ac:dyDescent="0.25">
      <c r="A5673" s="841"/>
    </row>
    <row r="5674" spans="1:1" x14ac:dyDescent="0.25">
      <c r="A5674" s="841"/>
    </row>
    <row r="5675" spans="1:1" x14ac:dyDescent="0.25">
      <c r="A5675" s="841"/>
    </row>
    <row r="5676" spans="1:1" x14ac:dyDescent="0.25">
      <c r="A5676" s="841"/>
    </row>
    <row r="5677" spans="1:1" x14ac:dyDescent="0.25">
      <c r="A5677" s="841"/>
    </row>
    <row r="5678" spans="1:1" x14ac:dyDescent="0.25">
      <c r="A5678" s="841"/>
    </row>
    <row r="5679" spans="1:1" x14ac:dyDescent="0.25">
      <c r="A5679" s="841"/>
    </row>
    <row r="5680" spans="1:1" x14ac:dyDescent="0.25">
      <c r="A5680" s="841"/>
    </row>
    <row r="5681" spans="1:1" x14ac:dyDescent="0.25">
      <c r="A5681" s="841"/>
    </row>
    <row r="5682" spans="1:1" x14ac:dyDescent="0.25">
      <c r="A5682" s="841"/>
    </row>
    <row r="5683" spans="1:1" x14ac:dyDescent="0.25">
      <c r="A5683" s="841"/>
    </row>
    <row r="5684" spans="1:1" x14ac:dyDescent="0.25">
      <c r="A5684" s="841"/>
    </row>
    <row r="5685" spans="1:1" x14ac:dyDescent="0.25">
      <c r="A5685" s="841"/>
    </row>
    <row r="5686" spans="1:1" x14ac:dyDescent="0.25">
      <c r="A5686" s="841"/>
    </row>
    <row r="5687" spans="1:1" x14ac:dyDescent="0.25">
      <c r="A5687" s="841"/>
    </row>
    <row r="5688" spans="1:1" x14ac:dyDescent="0.25">
      <c r="A5688" s="841"/>
    </row>
    <row r="5689" spans="1:1" x14ac:dyDescent="0.25">
      <c r="A5689" s="841"/>
    </row>
    <row r="5690" spans="1:1" x14ac:dyDescent="0.25">
      <c r="A5690" s="841"/>
    </row>
    <row r="5691" spans="1:1" x14ac:dyDescent="0.25">
      <c r="A5691" s="841"/>
    </row>
    <row r="5692" spans="1:1" x14ac:dyDescent="0.25">
      <c r="A5692" s="841"/>
    </row>
    <row r="5693" spans="1:1" x14ac:dyDescent="0.25">
      <c r="A5693" s="841"/>
    </row>
    <row r="5694" spans="1:1" x14ac:dyDescent="0.25">
      <c r="A5694" s="841"/>
    </row>
    <row r="5695" spans="1:1" x14ac:dyDescent="0.25">
      <c r="A5695" s="841"/>
    </row>
    <row r="5696" spans="1:1" x14ac:dyDescent="0.25">
      <c r="A5696" s="841"/>
    </row>
    <row r="5697" spans="1:1" x14ac:dyDescent="0.25">
      <c r="A5697" s="841"/>
    </row>
    <row r="5698" spans="1:1" x14ac:dyDescent="0.25">
      <c r="A5698" s="841"/>
    </row>
    <row r="5699" spans="1:1" x14ac:dyDescent="0.25">
      <c r="A5699" s="841"/>
    </row>
    <row r="5700" spans="1:1" x14ac:dyDescent="0.25">
      <c r="A5700" s="841"/>
    </row>
    <row r="5701" spans="1:1" x14ac:dyDescent="0.25">
      <c r="A5701" s="841"/>
    </row>
    <row r="5702" spans="1:1" x14ac:dyDescent="0.25">
      <c r="A5702" s="841"/>
    </row>
    <row r="5703" spans="1:1" x14ac:dyDescent="0.25">
      <c r="A5703" s="841"/>
    </row>
    <row r="5704" spans="1:1" x14ac:dyDescent="0.25">
      <c r="A5704" s="841"/>
    </row>
    <row r="5705" spans="1:1" x14ac:dyDescent="0.25">
      <c r="A5705" s="841"/>
    </row>
    <row r="5706" spans="1:1" x14ac:dyDescent="0.25">
      <c r="A5706" s="841"/>
    </row>
    <row r="5707" spans="1:1" x14ac:dyDescent="0.25">
      <c r="A5707" s="841"/>
    </row>
    <row r="5708" spans="1:1" x14ac:dyDescent="0.25">
      <c r="A5708" s="841"/>
    </row>
    <row r="5709" spans="1:1" x14ac:dyDescent="0.25">
      <c r="A5709" s="841"/>
    </row>
    <row r="5710" spans="1:1" x14ac:dyDescent="0.25">
      <c r="A5710" s="841"/>
    </row>
    <row r="5711" spans="1:1" x14ac:dyDescent="0.25">
      <c r="A5711" s="841"/>
    </row>
    <row r="5712" spans="1:1" x14ac:dyDescent="0.25">
      <c r="A5712" s="841"/>
    </row>
    <row r="5713" spans="1:1" x14ac:dyDescent="0.25">
      <c r="A5713" s="841"/>
    </row>
    <row r="5714" spans="1:1" x14ac:dyDescent="0.25">
      <c r="A5714" s="841"/>
    </row>
    <row r="5715" spans="1:1" x14ac:dyDescent="0.25">
      <c r="A5715" s="841"/>
    </row>
    <row r="5716" spans="1:1" x14ac:dyDescent="0.25">
      <c r="A5716" s="841"/>
    </row>
    <row r="5717" spans="1:1" x14ac:dyDescent="0.25">
      <c r="A5717" s="841"/>
    </row>
    <row r="5718" spans="1:1" x14ac:dyDescent="0.25">
      <c r="A5718" s="841"/>
    </row>
    <row r="5719" spans="1:1" x14ac:dyDescent="0.25">
      <c r="A5719" s="841"/>
    </row>
    <row r="5720" spans="1:1" x14ac:dyDescent="0.25">
      <c r="A5720" s="841"/>
    </row>
    <row r="5721" spans="1:1" x14ac:dyDescent="0.25">
      <c r="A5721" s="841"/>
    </row>
    <row r="5722" spans="1:1" x14ac:dyDescent="0.25">
      <c r="A5722" s="841"/>
    </row>
    <row r="5723" spans="1:1" x14ac:dyDescent="0.25">
      <c r="A5723" s="841"/>
    </row>
    <row r="5724" spans="1:1" x14ac:dyDescent="0.25">
      <c r="A5724" s="841"/>
    </row>
    <row r="5725" spans="1:1" x14ac:dyDescent="0.25">
      <c r="A5725" s="841"/>
    </row>
    <row r="5726" spans="1:1" x14ac:dyDescent="0.25">
      <c r="A5726" s="841"/>
    </row>
    <row r="5727" spans="1:1" x14ac:dyDescent="0.25">
      <c r="A5727" s="841"/>
    </row>
    <row r="5728" spans="1:1" x14ac:dyDescent="0.25">
      <c r="A5728" s="841"/>
    </row>
    <row r="5729" spans="1:1" x14ac:dyDescent="0.25">
      <c r="A5729" s="841"/>
    </row>
    <row r="5730" spans="1:1" x14ac:dyDescent="0.25">
      <c r="A5730" s="841"/>
    </row>
    <row r="5731" spans="1:1" x14ac:dyDescent="0.25">
      <c r="A5731" s="841"/>
    </row>
    <row r="5732" spans="1:1" x14ac:dyDescent="0.25">
      <c r="A5732" s="841"/>
    </row>
    <row r="5733" spans="1:1" x14ac:dyDescent="0.25">
      <c r="A5733" s="841"/>
    </row>
    <row r="5734" spans="1:1" x14ac:dyDescent="0.25">
      <c r="A5734" s="841"/>
    </row>
    <row r="5735" spans="1:1" x14ac:dyDescent="0.25">
      <c r="A5735" s="841"/>
    </row>
    <row r="5736" spans="1:1" x14ac:dyDescent="0.25">
      <c r="A5736" s="841"/>
    </row>
    <row r="5737" spans="1:1" x14ac:dyDescent="0.25">
      <c r="A5737" s="841"/>
    </row>
    <row r="5738" spans="1:1" x14ac:dyDescent="0.25">
      <c r="A5738" s="841"/>
    </row>
    <row r="5739" spans="1:1" x14ac:dyDescent="0.25">
      <c r="A5739" s="841"/>
    </row>
    <row r="5740" spans="1:1" x14ac:dyDescent="0.25">
      <c r="A5740" s="841"/>
    </row>
    <row r="5741" spans="1:1" x14ac:dyDescent="0.25">
      <c r="A5741" s="841"/>
    </row>
    <row r="5742" spans="1:1" x14ac:dyDescent="0.25">
      <c r="A5742" s="841"/>
    </row>
    <row r="5743" spans="1:1" x14ac:dyDescent="0.25">
      <c r="A5743" s="841"/>
    </row>
    <row r="5744" spans="1:1" x14ac:dyDescent="0.25">
      <c r="A5744" s="841"/>
    </row>
    <row r="5745" spans="1:1" x14ac:dyDescent="0.25">
      <c r="A5745" s="841"/>
    </row>
    <row r="5746" spans="1:1" x14ac:dyDescent="0.25">
      <c r="A5746" s="841"/>
    </row>
    <row r="5747" spans="1:1" x14ac:dyDescent="0.25">
      <c r="A5747" s="841"/>
    </row>
    <row r="5748" spans="1:1" x14ac:dyDescent="0.25">
      <c r="A5748" s="841"/>
    </row>
    <row r="5749" spans="1:1" x14ac:dyDescent="0.25">
      <c r="A5749" s="841"/>
    </row>
    <row r="5750" spans="1:1" x14ac:dyDescent="0.25">
      <c r="A5750" s="841"/>
    </row>
    <row r="5751" spans="1:1" x14ac:dyDescent="0.25">
      <c r="A5751" s="841"/>
    </row>
    <row r="5752" spans="1:1" x14ac:dyDescent="0.25">
      <c r="A5752" s="841"/>
    </row>
    <row r="5753" spans="1:1" x14ac:dyDescent="0.25">
      <c r="A5753" s="841"/>
    </row>
    <row r="5754" spans="1:1" x14ac:dyDescent="0.25">
      <c r="A5754" s="841"/>
    </row>
    <row r="5755" spans="1:1" x14ac:dyDescent="0.25">
      <c r="A5755" s="841"/>
    </row>
    <row r="5756" spans="1:1" x14ac:dyDescent="0.25">
      <c r="A5756" s="841"/>
    </row>
    <row r="5757" spans="1:1" x14ac:dyDescent="0.25">
      <c r="A5757" s="841"/>
    </row>
    <row r="5758" spans="1:1" x14ac:dyDescent="0.25">
      <c r="A5758" s="841"/>
    </row>
    <row r="5759" spans="1:1" x14ac:dyDescent="0.25">
      <c r="A5759" s="841"/>
    </row>
    <row r="5760" spans="1:1" x14ac:dyDescent="0.25">
      <c r="A5760" s="841"/>
    </row>
    <row r="5761" spans="1:1" x14ac:dyDescent="0.25">
      <c r="A5761" s="841"/>
    </row>
    <row r="5762" spans="1:1" x14ac:dyDescent="0.25">
      <c r="A5762" s="841"/>
    </row>
    <row r="5763" spans="1:1" x14ac:dyDescent="0.25">
      <c r="A5763" s="841"/>
    </row>
    <row r="5764" spans="1:1" x14ac:dyDescent="0.25">
      <c r="A5764" s="841"/>
    </row>
    <row r="5765" spans="1:1" x14ac:dyDescent="0.25">
      <c r="A5765" s="841"/>
    </row>
    <row r="5766" spans="1:1" x14ac:dyDescent="0.25">
      <c r="A5766" s="841"/>
    </row>
    <row r="5767" spans="1:1" x14ac:dyDescent="0.25">
      <c r="A5767" s="841"/>
    </row>
    <row r="5768" spans="1:1" x14ac:dyDescent="0.25">
      <c r="A5768" s="841"/>
    </row>
    <row r="5769" spans="1:1" x14ac:dyDescent="0.25">
      <c r="A5769" s="841"/>
    </row>
    <row r="5770" spans="1:1" x14ac:dyDescent="0.25">
      <c r="A5770" s="841"/>
    </row>
    <row r="5771" spans="1:1" x14ac:dyDescent="0.25">
      <c r="A5771" s="841"/>
    </row>
    <row r="5772" spans="1:1" x14ac:dyDescent="0.25">
      <c r="A5772" s="841"/>
    </row>
    <row r="5773" spans="1:1" x14ac:dyDescent="0.25">
      <c r="A5773" s="841"/>
    </row>
    <row r="5774" spans="1:1" x14ac:dyDescent="0.25">
      <c r="A5774" s="841"/>
    </row>
    <row r="5775" spans="1:1" x14ac:dyDescent="0.25">
      <c r="A5775" s="841"/>
    </row>
    <row r="5776" spans="1:1" x14ac:dyDescent="0.25">
      <c r="A5776" s="841"/>
    </row>
    <row r="5777" spans="1:1" x14ac:dyDescent="0.25">
      <c r="A5777" s="841"/>
    </row>
    <row r="5778" spans="1:1" x14ac:dyDescent="0.25">
      <c r="A5778" s="841"/>
    </row>
    <row r="5779" spans="1:1" x14ac:dyDescent="0.25">
      <c r="A5779" s="841"/>
    </row>
    <row r="5780" spans="1:1" x14ac:dyDescent="0.25">
      <c r="A5780" s="841"/>
    </row>
    <row r="5781" spans="1:1" x14ac:dyDescent="0.25">
      <c r="A5781" s="841"/>
    </row>
    <row r="5782" spans="1:1" x14ac:dyDescent="0.25">
      <c r="A5782" s="841"/>
    </row>
    <row r="5783" spans="1:1" x14ac:dyDescent="0.25">
      <c r="A5783" s="841"/>
    </row>
    <row r="5784" spans="1:1" x14ac:dyDescent="0.25">
      <c r="A5784" s="841"/>
    </row>
    <row r="5785" spans="1:1" x14ac:dyDescent="0.25">
      <c r="A5785" s="841"/>
    </row>
    <row r="5786" spans="1:1" x14ac:dyDescent="0.25">
      <c r="A5786" s="841"/>
    </row>
    <row r="5787" spans="1:1" x14ac:dyDescent="0.25">
      <c r="A5787" s="841"/>
    </row>
    <row r="5788" spans="1:1" x14ac:dyDescent="0.25">
      <c r="A5788" s="841"/>
    </row>
    <row r="5789" spans="1:1" x14ac:dyDescent="0.25">
      <c r="A5789" s="841"/>
    </row>
    <row r="5790" spans="1:1" x14ac:dyDescent="0.25">
      <c r="A5790" s="841"/>
    </row>
    <row r="5791" spans="1:1" x14ac:dyDescent="0.25">
      <c r="A5791" s="841"/>
    </row>
    <row r="5792" spans="1:1" x14ac:dyDescent="0.25">
      <c r="A5792" s="841"/>
    </row>
    <row r="5793" spans="1:1" x14ac:dyDescent="0.25">
      <c r="A5793" s="841"/>
    </row>
    <row r="5794" spans="1:1" x14ac:dyDescent="0.25">
      <c r="A5794" s="841"/>
    </row>
    <row r="5795" spans="1:1" x14ac:dyDescent="0.25">
      <c r="A5795" s="841"/>
    </row>
    <row r="5796" spans="1:1" x14ac:dyDescent="0.25">
      <c r="A5796" s="841"/>
    </row>
    <row r="5797" spans="1:1" x14ac:dyDescent="0.25">
      <c r="A5797" s="841"/>
    </row>
    <row r="5798" spans="1:1" x14ac:dyDescent="0.25">
      <c r="A5798" s="841"/>
    </row>
    <row r="5799" spans="1:1" x14ac:dyDescent="0.25">
      <c r="A5799" s="841"/>
    </row>
    <row r="5800" spans="1:1" x14ac:dyDescent="0.25">
      <c r="A5800" s="841"/>
    </row>
    <row r="5801" spans="1:1" x14ac:dyDescent="0.25">
      <c r="A5801" s="841"/>
    </row>
    <row r="5802" spans="1:1" x14ac:dyDescent="0.25">
      <c r="A5802" s="841"/>
    </row>
    <row r="5803" spans="1:1" x14ac:dyDescent="0.25">
      <c r="A5803" s="841"/>
    </row>
    <row r="5804" spans="1:1" x14ac:dyDescent="0.25">
      <c r="A5804" s="841"/>
    </row>
    <row r="5805" spans="1:1" x14ac:dyDescent="0.25">
      <c r="A5805" s="841"/>
    </row>
    <row r="5806" spans="1:1" x14ac:dyDescent="0.25">
      <c r="A5806" s="841"/>
    </row>
    <row r="5807" spans="1:1" x14ac:dyDescent="0.25">
      <c r="A5807" s="841"/>
    </row>
    <row r="5808" spans="1:1" x14ac:dyDescent="0.25">
      <c r="A5808" s="841"/>
    </row>
    <row r="5809" spans="1:1" x14ac:dyDescent="0.25">
      <c r="A5809" s="841"/>
    </row>
    <row r="5810" spans="1:1" x14ac:dyDescent="0.25">
      <c r="A5810" s="841"/>
    </row>
    <row r="5811" spans="1:1" x14ac:dyDescent="0.25">
      <c r="A5811" s="841"/>
    </row>
    <row r="5812" spans="1:1" x14ac:dyDescent="0.25">
      <c r="A5812" s="841"/>
    </row>
    <row r="5813" spans="1:1" x14ac:dyDescent="0.25">
      <c r="A5813" s="841"/>
    </row>
    <row r="5814" spans="1:1" x14ac:dyDescent="0.25">
      <c r="A5814" s="841"/>
    </row>
    <row r="5815" spans="1:1" x14ac:dyDescent="0.25">
      <c r="A5815" s="841"/>
    </row>
    <row r="5816" spans="1:1" x14ac:dyDescent="0.25">
      <c r="A5816" s="841"/>
    </row>
    <row r="5817" spans="1:1" x14ac:dyDescent="0.25">
      <c r="A5817" s="841"/>
    </row>
    <row r="5818" spans="1:1" x14ac:dyDescent="0.25">
      <c r="A5818" s="841"/>
    </row>
    <row r="5819" spans="1:1" x14ac:dyDescent="0.25">
      <c r="A5819" s="841"/>
    </row>
    <row r="5820" spans="1:1" x14ac:dyDescent="0.25">
      <c r="A5820" s="841"/>
    </row>
    <row r="5821" spans="1:1" x14ac:dyDescent="0.25">
      <c r="A5821" s="841"/>
    </row>
    <row r="5822" spans="1:1" x14ac:dyDescent="0.25">
      <c r="A5822" s="841"/>
    </row>
    <row r="5823" spans="1:1" x14ac:dyDescent="0.25">
      <c r="A5823" s="841"/>
    </row>
    <row r="5824" spans="1:1" x14ac:dyDescent="0.25">
      <c r="A5824" s="841"/>
    </row>
    <row r="5825" spans="1:1" x14ac:dyDescent="0.25">
      <c r="A5825" s="841"/>
    </row>
    <row r="5826" spans="1:1" x14ac:dyDescent="0.25">
      <c r="A5826" s="841"/>
    </row>
    <row r="5827" spans="1:1" x14ac:dyDescent="0.25">
      <c r="A5827" s="841"/>
    </row>
    <row r="5828" spans="1:1" x14ac:dyDescent="0.25">
      <c r="A5828" s="841"/>
    </row>
    <row r="5829" spans="1:1" x14ac:dyDescent="0.25">
      <c r="A5829" s="841"/>
    </row>
    <row r="5830" spans="1:1" x14ac:dyDescent="0.25">
      <c r="A5830" s="841"/>
    </row>
    <row r="5831" spans="1:1" x14ac:dyDescent="0.25">
      <c r="A5831" s="841"/>
    </row>
    <row r="5832" spans="1:1" x14ac:dyDescent="0.25">
      <c r="A5832" s="841"/>
    </row>
    <row r="5833" spans="1:1" x14ac:dyDescent="0.25">
      <c r="A5833" s="841"/>
    </row>
    <row r="5834" spans="1:1" x14ac:dyDescent="0.25">
      <c r="A5834" s="841"/>
    </row>
    <row r="5835" spans="1:1" x14ac:dyDescent="0.25">
      <c r="A5835" s="841"/>
    </row>
    <row r="5836" spans="1:1" x14ac:dyDescent="0.25">
      <c r="A5836" s="841"/>
    </row>
    <row r="5837" spans="1:1" x14ac:dyDescent="0.25">
      <c r="A5837" s="841"/>
    </row>
    <row r="5838" spans="1:1" x14ac:dyDescent="0.25">
      <c r="A5838" s="841"/>
    </row>
    <row r="5839" spans="1:1" x14ac:dyDescent="0.25">
      <c r="A5839" s="841"/>
    </row>
    <row r="5840" spans="1:1" x14ac:dyDescent="0.25">
      <c r="A5840" s="841"/>
    </row>
    <row r="5841" spans="1:1" x14ac:dyDescent="0.25">
      <c r="A5841" s="841"/>
    </row>
    <row r="5842" spans="1:1" x14ac:dyDescent="0.25">
      <c r="A5842" s="841"/>
    </row>
    <row r="5843" spans="1:1" x14ac:dyDescent="0.25">
      <c r="A5843" s="841"/>
    </row>
    <row r="5844" spans="1:1" x14ac:dyDescent="0.25">
      <c r="A5844" s="841"/>
    </row>
    <row r="5845" spans="1:1" x14ac:dyDescent="0.25">
      <c r="A5845" s="841"/>
    </row>
    <row r="5846" spans="1:1" x14ac:dyDescent="0.25">
      <c r="A5846" s="841"/>
    </row>
    <row r="5847" spans="1:1" x14ac:dyDescent="0.25">
      <c r="A5847" s="841"/>
    </row>
    <row r="5848" spans="1:1" x14ac:dyDescent="0.25">
      <c r="A5848" s="841"/>
    </row>
    <row r="5849" spans="1:1" x14ac:dyDescent="0.25">
      <c r="A5849" s="841"/>
    </row>
    <row r="5850" spans="1:1" x14ac:dyDescent="0.25">
      <c r="A5850" s="841"/>
    </row>
    <row r="5851" spans="1:1" x14ac:dyDescent="0.25">
      <c r="A5851" s="841"/>
    </row>
    <row r="5852" spans="1:1" x14ac:dyDescent="0.25">
      <c r="A5852" s="841"/>
    </row>
    <row r="5853" spans="1:1" x14ac:dyDescent="0.25">
      <c r="A5853" s="841"/>
    </row>
    <row r="5854" spans="1:1" x14ac:dyDescent="0.25">
      <c r="A5854" s="841"/>
    </row>
    <row r="5855" spans="1:1" x14ac:dyDescent="0.25">
      <c r="A5855" s="841"/>
    </row>
    <row r="5856" spans="1:1" x14ac:dyDescent="0.25">
      <c r="A5856" s="841"/>
    </row>
    <row r="5857" spans="1:1" x14ac:dyDescent="0.25">
      <c r="A5857" s="841"/>
    </row>
    <row r="5858" spans="1:1" x14ac:dyDescent="0.25">
      <c r="A5858" s="841"/>
    </row>
    <row r="5859" spans="1:1" x14ac:dyDescent="0.25">
      <c r="A5859" s="841"/>
    </row>
    <row r="5860" spans="1:1" x14ac:dyDescent="0.25">
      <c r="A5860" s="841"/>
    </row>
    <row r="5861" spans="1:1" x14ac:dyDescent="0.25">
      <c r="A5861" s="841"/>
    </row>
    <row r="5862" spans="1:1" x14ac:dyDescent="0.25">
      <c r="A5862" s="841"/>
    </row>
    <row r="5863" spans="1:1" x14ac:dyDescent="0.25">
      <c r="A5863" s="841"/>
    </row>
    <row r="5864" spans="1:1" x14ac:dyDescent="0.25">
      <c r="A5864" s="841"/>
    </row>
    <row r="5865" spans="1:1" x14ac:dyDescent="0.25">
      <c r="A5865" s="841"/>
    </row>
    <row r="5866" spans="1:1" x14ac:dyDescent="0.25">
      <c r="A5866" s="841"/>
    </row>
    <row r="5867" spans="1:1" x14ac:dyDescent="0.25">
      <c r="A5867" s="841"/>
    </row>
    <row r="5868" spans="1:1" x14ac:dyDescent="0.25">
      <c r="A5868" s="841"/>
    </row>
    <row r="5869" spans="1:1" x14ac:dyDescent="0.25">
      <c r="A5869" s="841"/>
    </row>
    <row r="5870" spans="1:1" x14ac:dyDescent="0.25">
      <c r="A5870" s="841"/>
    </row>
    <row r="5871" spans="1:1" x14ac:dyDescent="0.25">
      <c r="A5871" s="841"/>
    </row>
    <row r="5872" spans="1:1" x14ac:dyDescent="0.25">
      <c r="A5872" s="841"/>
    </row>
    <row r="5873" spans="1:1" x14ac:dyDescent="0.25">
      <c r="A5873" s="841"/>
    </row>
    <row r="5874" spans="1:1" x14ac:dyDescent="0.25">
      <c r="A5874" s="841"/>
    </row>
    <row r="5875" spans="1:1" x14ac:dyDescent="0.25">
      <c r="A5875" s="841"/>
    </row>
    <row r="5876" spans="1:1" x14ac:dyDescent="0.25">
      <c r="A5876" s="841"/>
    </row>
    <row r="5877" spans="1:1" x14ac:dyDescent="0.25">
      <c r="A5877" s="841"/>
    </row>
    <row r="5878" spans="1:1" x14ac:dyDescent="0.25">
      <c r="A5878" s="841"/>
    </row>
    <row r="5879" spans="1:1" x14ac:dyDescent="0.25">
      <c r="A5879" s="841"/>
    </row>
    <row r="5880" spans="1:1" x14ac:dyDescent="0.25">
      <c r="A5880" s="841"/>
    </row>
    <row r="5881" spans="1:1" x14ac:dyDescent="0.25">
      <c r="A5881" s="841"/>
    </row>
    <row r="5882" spans="1:1" x14ac:dyDescent="0.25">
      <c r="A5882" s="841"/>
    </row>
    <row r="5883" spans="1:1" x14ac:dyDescent="0.25">
      <c r="A5883" s="841"/>
    </row>
    <row r="5884" spans="1:1" x14ac:dyDescent="0.25">
      <c r="A5884" s="841"/>
    </row>
    <row r="5885" spans="1:1" x14ac:dyDescent="0.25">
      <c r="A5885" s="841"/>
    </row>
    <row r="5886" spans="1:1" x14ac:dyDescent="0.25">
      <c r="A5886" s="841"/>
    </row>
    <row r="5887" spans="1:1" x14ac:dyDescent="0.25">
      <c r="A5887" s="841"/>
    </row>
    <row r="5888" spans="1:1" x14ac:dyDescent="0.25">
      <c r="A5888" s="841"/>
    </row>
    <row r="5889" spans="1:1" x14ac:dyDescent="0.25">
      <c r="A5889" s="841"/>
    </row>
    <row r="5890" spans="1:1" x14ac:dyDescent="0.25">
      <c r="A5890" s="841"/>
    </row>
    <row r="5891" spans="1:1" x14ac:dyDescent="0.25">
      <c r="A5891" s="841"/>
    </row>
    <row r="5892" spans="1:1" x14ac:dyDescent="0.25">
      <c r="A5892" s="841"/>
    </row>
    <row r="5893" spans="1:1" x14ac:dyDescent="0.25">
      <c r="A5893" s="841"/>
    </row>
    <row r="5894" spans="1:1" x14ac:dyDescent="0.25">
      <c r="A5894" s="841"/>
    </row>
    <row r="5895" spans="1:1" x14ac:dyDescent="0.25">
      <c r="A5895" s="841"/>
    </row>
    <row r="5896" spans="1:1" x14ac:dyDescent="0.25">
      <c r="A5896" s="841"/>
    </row>
    <row r="5897" spans="1:1" x14ac:dyDescent="0.25">
      <c r="A5897" s="841"/>
    </row>
    <row r="5898" spans="1:1" x14ac:dyDescent="0.25">
      <c r="A5898" s="841"/>
    </row>
    <row r="5899" spans="1:1" x14ac:dyDescent="0.25">
      <c r="A5899" s="841"/>
    </row>
    <row r="5900" spans="1:1" x14ac:dyDescent="0.25">
      <c r="A5900" s="841"/>
    </row>
    <row r="5901" spans="1:1" x14ac:dyDescent="0.25">
      <c r="A5901" s="841"/>
    </row>
    <row r="5902" spans="1:1" x14ac:dyDescent="0.25">
      <c r="A5902" s="841"/>
    </row>
    <row r="5903" spans="1:1" x14ac:dyDescent="0.25">
      <c r="A5903" s="841"/>
    </row>
    <row r="5904" spans="1:1" x14ac:dyDescent="0.25">
      <c r="A5904" s="841"/>
    </row>
    <row r="5905" spans="1:1" x14ac:dyDescent="0.25">
      <c r="A5905" s="841"/>
    </row>
    <row r="5906" spans="1:1" x14ac:dyDescent="0.25">
      <c r="A5906" s="841"/>
    </row>
    <row r="5907" spans="1:1" x14ac:dyDescent="0.25">
      <c r="A5907" s="841"/>
    </row>
    <row r="5908" spans="1:1" x14ac:dyDescent="0.25">
      <c r="A5908" s="841"/>
    </row>
    <row r="5909" spans="1:1" x14ac:dyDescent="0.25">
      <c r="A5909" s="841"/>
    </row>
    <row r="5910" spans="1:1" x14ac:dyDescent="0.25">
      <c r="A5910" s="841"/>
    </row>
    <row r="5911" spans="1:1" x14ac:dyDescent="0.25">
      <c r="A5911" s="841"/>
    </row>
    <row r="5912" spans="1:1" x14ac:dyDescent="0.25">
      <c r="A5912" s="841"/>
    </row>
    <row r="5913" spans="1:1" x14ac:dyDescent="0.25">
      <c r="A5913" s="841"/>
    </row>
    <row r="5914" spans="1:1" x14ac:dyDescent="0.25">
      <c r="A5914" s="841"/>
    </row>
    <row r="5915" spans="1:1" x14ac:dyDescent="0.25">
      <c r="A5915" s="841"/>
    </row>
    <row r="5916" spans="1:1" x14ac:dyDescent="0.25">
      <c r="A5916" s="841"/>
    </row>
    <row r="5917" spans="1:1" x14ac:dyDescent="0.25">
      <c r="A5917" s="841"/>
    </row>
    <row r="5918" spans="1:1" x14ac:dyDescent="0.25">
      <c r="A5918" s="841"/>
    </row>
    <row r="5919" spans="1:1" x14ac:dyDescent="0.25">
      <c r="A5919" s="841"/>
    </row>
    <row r="5920" spans="1:1" x14ac:dyDescent="0.25">
      <c r="A5920" s="841"/>
    </row>
    <row r="5921" spans="1:1" x14ac:dyDescent="0.25">
      <c r="A5921" s="841"/>
    </row>
    <row r="5922" spans="1:1" x14ac:dyDescent="0.25">
      <c r="A5922" s="841"/>
    </row>
    <row r="5923" spans="1:1" x14ac:dyDescent="0.25">
      <c r="A5923" s="841"/>
    </row>
    <row r="5924" spans="1:1" x14ac:dyDescent="0.25">
      <c r="A5924" s="841"/>
    </row>
    <row r="5925" spans="1:1" x14ac:dyDescent="0.25">
      <c r="A5925" s="841"/>
    </row>
    <row r="5926" spans="1:1" x14ac:dyDescent="0.25">
      <c r="A5926" s="841"/>
    </row>
    <row r="5927" spans="1:1" x14ac:dyDescent="0.25">
      <c r="A5927" s="841"/>
    </row>
    <row r="5928" spans="1:1" x14ac:dyDescent="0.25">
      <c r="A5928" s="841"/>
    </row>
    <row r="5929" spans="1:1" x14ac:dyDescent="0.25">
      <c r="A5929" s="841"/>
    </row>
    <row r="5930" spans="1:1" x14ac:dyDescent="0.25">
      <c r="A5930" s="841"/>
    </row>
    <row r="5931" spans="1:1" x14ac:dyDescent="0.25">
      <c r="A5931" s="841"/>
    </row>
    <row r="5932" spans="1:1" x14ac:dyDescent="0.25">
      <c r="A5932" s="841"/>
    </row>
    <row r="5933" spans="1:1" x14ac:dyDescent="0.25">
      <c r="A5933" s="841"/>
    </row>
    <row r="5934" spans="1:1" x14ac:dyDescent="0.25">
      <c r="A5934" s="841"/>
    </row>
    <row r="5935" spans="1:1" x14ac:dyDescent="0.25">
      <c r="A5935" s="841"/>
    </row>
    <row r="5936" spans="1:1" x14ac:dyDescent="0.25">
      <c r="A5936" s="841"/>
    </row>
    <row r="5937" spans="1:1" x14ac:dyDescent="0.25">
      <c r="A5937" s="841"/>
    </row>
    <row r="5938" spans="1:1" x14ac:dyDescent="0.25">
      <c r="A5938" s="841"/>
    </row>
    <row r="5939" spans="1:1" x14ac:dyDescent="0.25">
      <c r="A5939" s="841"/>
    </row>
    <row r="5940" spans="1:1" x14ac:dyDescent="0.25">
      <c r="A5940" s="841"/>
    </row>
    <row r="5941" spans="1:1" x14ac:dyDescent="0.25">
      <c r="A5941" s="841"/>
    </row>
    <row r="5942" spans="1:1" x14ac:dyDescent="0.25">
      <c r="A5942" s="841"/>
    </row>
    <row r="5943" spans="1:1" x14ac:dyDescent="0.25">
      <c r="A5943" s="841"/>
    </row>
    <row r="5944" spans="1:1" x14ac:dyDescent="0.25">
      <c r="A5944" s="841"/>
    </row>
    <row r="5945" spans="1:1" x14ac:dyDescent="0.25">
      <c r="A5945" s="841"/>
    </row>
    <row r="5946" spans="1:1" x14ac:dyDescent="0.25">
      <c r="A5946" s="841"/>
    </row>
    <row r="5947" spans="1:1" x14ac:dyDescent="0.25">
      <c r="A5947" s="841"/>
    </row>
    <row r="5948" spans="1:1" x14ac:dyDescent="0.25">
      <c r="A5948" s="841"/>
    </row>
    <row r="5949" spans="1:1" x14ac:dyDescent="0.25">
      <c r="A5949" s="841"/>
    </row>
    <row r="5950" spans="1:1" x14ac:dyDescent="0.25">
      <c r="A5950" s="841"/>
    </row>
    <row r="5951" spans="1:1" x14ac:dyDescent="0.25">
      <c r="A5951" s="841"/>
    </row>
    <row r="5952" spans="1:1" x14ac:dyDescent="0.25">
      <c r="A5952" s="841"/>
    </row>
    <row r="5953" spans="1:1" x14ac:dyDescent="0.25">
      <c r="A5953" s="841"/>
    </row>
    <row r="5954" spans="1:1" x14ac:dyDescent="0.25">
      <c r="A5954" s="841"/>
    </row>
    <row r="5955" spans="1:1" x14ac:dyDescent="0.25">
      <c r="A5955" s="841"/>
    </row>
    <row r="5956" spans="1:1" x14ac:dyDescent="0.25">
      <c r="A5956" s="841"/>
    </row>
    <row r="5957" spans="1:1" x14ac:dyDescent="0.25">
      <c r="A5957" s="841"/>
    </row>
    <row r="5958" spans="1:1" x14ac:dyDescent="0.25">
      <c r="A5958" s="841"/>
    </row>
    <row r="5959" spans="1:1" x14ac:dyDescent="0.25">
      <c r="A5959" s="841"/>
    </row>
    <row r="5960" spans="1:1" x14ac:dyDescent="0.25">
      <c r="A5960" s="841"/>
    </row>
    <row r="5961" spans="1:1" x14ac:dyDescent="0.25">
      <c r="A5961" s="841"/>
    </row>
    <row r="5962" spans="1:1" x14ac:dyDescent="0.25">
      <c r="A5962" s="841"/>
    </row>
    <row r="5963" spans="1:1" x14ac:dyDescent="0.25">
      <c r="A5963" s="841"/>
    </row>
    <row r="5964" spans="1:1" x14ac:dyDescent="0.25">
      <c r="A5964" s="841"/>
    </row>
    <row r="5965" spans="1:1" x14ac:dyDescent="0.25">
      <c r="A5965" s="841"/>
    </row>
    <row r="5966" spans="1:1" x14ac:dyDescent="0.25">
      <c r="A5966" s="841"/>
    </row>
    <row r="5967" spans="1:1" x14ac:dyDescent="0.25">
      <c r="A5967" s="841"/>
    </row>
    <row r="5968" spans="1:1" x14ac:dyDescent="0.25">
      <c r="A5968" s="841"/>
    </row>
    <row r="5969" spans="1:1" x14ac:dyDescent="0.25">
      <c r="A5969" s="841"/>
    </row>
    <row r="5970" spans="1:1" x14ac:dyDescent="0.25">
      <c r="A5970" s="841"/>
    </row>
    <row r="5971" spans="1:1" x14ac:dyDescent="0.25">
      <c r="A5971" s="841"/>
    </row>
    <row r="5972" spans="1:1" x14ac:dyDescent="0.25">
      <c r="A5972" s="841"/>
    </row>
    <row r="5973" spans="1:1" x14ac:dyDescent="0.25">
      <c r="A5973" s="841"/>
    </row>
    <row r="5974" spans="1:1" x14ac:dyDescent="0.25">
      <c r="A5974" s="841"/>
    </row>
    <row r="5975" spans="1:1" x14ac:dyDescent="0.25">
      <c r="A5975" s="841"/>
    </row>
    <row r="5976" spans="1:1" x14ac:dyDescent="0.25">
      <c r="A5976" s="841"/>
    </row>
    <row r="5977" spans="1:1" x14ac:dyDescent="0.25">
      <c r="A5977" s="841"/>
    </row>
    <row r="5978" spans="1:1" x14ac:dyDescent="0.25">
      <c r="A5978" s="841"/>
    </row>
    <row r="5979" spans="1:1" x14ac:dyDescent="0.25">
      <c r="A5979" s="841"/>
    </row>
    <row r="5980" spans="1:1" x14ac:dyDescent="0.25">
      <c r="A5980" s="841"/>
    </row>
    <row r="5981" spans="1:1" x14ac:dyDescent="0.25">
      <c r="A5981" s="841"/>
    </row>
    <row r="5982" spans="1:1" x14ac:dyDescent="0.25">
      <c r="A5982" s="841"/>
    </row>
    <row r="5983" spans="1:1" x14ac:dyDescent="0.25">
      <c r="A5983" s="841"/>
    </row>
    <row r="5984" spans="1:1" x14ac:dyDescent="0.25">
      <c r="A5984" s="841"/>
    </row>
    <row r="5985" spans="1:1" x14ac:dyDescent="0.25">
      <c r="A5985" s="841"/>
    </row>
    <row r="5986" spans="1:1" x14ac:dyDescent="0.25">
      <c r="A5986" s="841"/>
    </row>
    <row r="5987" spans="1:1" x14ac:dyDescent="0.25">
      <c r="A5987" s="841"/>
    </row>
    <row r="5988" spans="1:1" x14ac:dyDescent="0.25">
      <c r="A5988" s="841"/>
    </row>
    <row r="5989" spans="1:1" x14ac:dyDescent="0.25">
      <c r="A5989" s="841"/>
    </row>
    <row r="5990" spans="1:1" x14ac:dyDescent="0.25">
      <c r="A5990" s="841"/>
    </row>
    <row r="5991" spans="1:1" x14ac:dyDescent="0.25">
      <c r="A5991" s="841"/>
    </row>
    <row r="5992" spans="1:1" x14ac:dyDescent="0.25">
      <c r="A5992" s="841"/>
    </row>
    <row r="5993" spans="1:1" x14ac:dyDescent="0.25">
      <c r="A5993" s="841"/>
    </row>
    <row r="5994" spans="1:1" x14ac:dyDescent="0.25">
      <c r="A5994" s="841"/>
    </row>
    <row r="5995" spans="1:1" x14ac:dyDescent="0.25">
      <c r="A5995" s="841"/>
    </row>
    <row r="5996" spans="1:1" x14ac:dyDescent="0.25">
      <c r="A5996" s="841"/>
    </row>
    <row r="5997" spans="1:1" x14ac:dyDescent="0.25">
      <c r="A5997" s="841"/>
    </row>
    <row r="5998" spans="1:1" x14ac:dyDescent="0.25">
      <c r="A5998" s="841"/>
    </row>
    <row r="5999" spans="1:1" x14ac:dyDescent="0.25">
      <c r="A5999" s="841"/>
    </row>
    <row r="6000" spans="1:1" x14ac:dyDescent="0.25">
      <c r="A6000" s="841"/>
    </row>
    <row r="6001" spans="1:1" x14ac:dyDescent="0.25">
      <c r="A6001" s="841"/>
    </row>
    <row r="6002" spans="1:1" x14ac:dyDescent="0.25">
      <c r="A6002" s="841"/>
    </row>
    <row r="6003" spans="1:1" x14ac:dyDescent="0.25">
      <c r="A6003" s="841"/>
    </row>
    <row r="6004" spans="1:1" x14ac:dyDescent="0.25">
      <c r="A6004" s="841"/>
    </row>
    <row r="6005" spans="1:1" x14ac:dyDescent="0.25">
      <c r="A6005" s="841"/>
    </row>
    <row r="6006" spans="1:1" x14ac:dyDescent="0.25">
      <c r="A6006" s="841"/>
    </row>
    <row r="6007" spans="1:1" x14ac:dyDescent="0.25">
      <c r="A6007" s="841"/>
    </row>
    <row r="6008" spans="1:1" x14ac:dyDescent="0.25">
      <c r="A6008" s="841"/>
    </row>
    <row r="6009" spans="1:1" x14ac:dyDescent="0.25">
      <c r="A6009" s="841"/>
    </row>
    <row r="6010" spans="1:1" x14ac:dyDescent="0.25">
      <c r="A6010" s="841"/>
    </row>
    <row r="6011" spans="1:1" x14ac:dyDescent="0.25">
      <c r="A6011" s="841"/>
    </row>
    <row r="6012" spans="1:1" x14ac:dyDescent="0.25">
      <c r="A6012" s="841"/>
    </row>
    <row r="6013" spans="1:1" x14ac:dyDescent="0.25">
      <c r="A6013" s="841"/>
    </row>
    <row r="6014" spans="1:1" x14ac:dyDescent="0.25">
      <c r="A6014" s="841"/>
    </row>
    <row r="6015" spans="1:1" x14ac:dyDescent="0.25">
      <c r="A6015" s="841"/>
    </row>
    <row r="6016" spans="1:1" x14ac:dyDescent="0.25">
      <c r="A6016" s="841"/>
    </row>
    <row r="6017" spans="1:1" x14ac:dyDescent="0.25">
      <c r="A6017" s="841"/>
    </row>
    <row r="6018" spans="1:1" x14ac:dyDescent="0.25">
      <c r="A6018" s="841"/>
    </row>
    <row r="6019" spans="1:1" x14ac:dyDescent="0.25">
      <c r="A6019" s="841"/>
    </row>
    <row r="6020" spans="1:1" x14ac:dyDescent="0.25">
      <c r="A6020" s="841"/>
    </row>
    <row r="6021" spans="1:1" x14ac:dyDescent="0.25">
      <c r="A6021" s="841"/>
    </row>
    <row r="6022" spans="1:1" x14ac:dyDescent="0.25">
      <c r="A6022" s="841"/>
    </row>
    <row r="6023" spans="1:1" x14ac:dyDescent="0.25">
      <c r="A6023" s="841"/>
    </row>
    <row r="6024" spans="1:1" x14ac:dyDescent="0.25">
      <c r="A6024" s="841"/>
    </row>
    <row r="6025" spans="1:1" x14ac:dyDescent="0.25">
      <c r="A6025" s="841"/>
    </row>
    <row r="6026" spans="1:1" x14ac:dyDescent="0.25">
      <c r="A6026" s="841"/>
    </row>
    <row r="6027" spans="1:1" x14ac:dyDescent="0.25">
      <c r="A6027" s="841"/>
    </row>
    <row r="6028" spans="1:1" x14ac:dyDescent="0.25">
      <c r="A6028" s="841"/>
    </row>
    <row r="6029" spans="1:1" x14ac:dyDescent="0.25">
      <c r="A6029" s="841"/>
    </row>
    <row r="6030" spans="1:1" x14ac:dyDescent="0.25">
      <c r="A6030" s="841"/>
    </row>
    <row r="6031" spans="1:1" x14ac:dyDescent="0.25">
      <c r="A6031" s="841"/>
    </row>
    <row r="6032" spans="1:1" x14ac:dyDescent="0.25">
      <c r="A6032" s="841"/>
    </row>
    <row r="6033" spans="1:1" x14ac:dyDescent="0.25">
      <c r="A6033" s="841"/>
    </row>
    <row r="6034" spans="1:1" x14ac:dyDescent="0.25">
      <c r="A6034" s="841"/>
    </row>
    <row r="6035" spans="1:1" x14ac:dyDescent="0.25">
      <c r="A6035" s="841"/>
    </row>
    <row r="6036" spans="1:1" x14ac:dyDescent="0.25">
      <c r="A6036" s="841"/>
    </row>
    <row r="6037" spans="1:1" x14ac:dyDescent="0.25">
      <c r="A6037" s="841"/>
    </row>
    <row r="6038" spans="1:1" x14ac:dyDescent="0.25">
      <c r="A6038" s="841"/>
    </row>
    <row r="6039" spans="1:1" x14ac:dyDescent="0.25">
      <c r="A6039" s="841"/>
    </row>
    <row r="6040" spans="1:1" x14ac:dyDescent="0.25">
      <c r="A6040" s="841"/>
    </row>
    <row r="6041" spans="1:1" x14ac:dyDescent="0.25">
      <c r="A6041" s="841"/>
    </row>
    <row r="6042" spans="1:1" x14ac:dyDescent="0.25">
      <c r="A6042" s="841"/>
    </row>
    <row r="6043" spans="1:1" x14ac:dyDescent="0.25">
      <c r="A6043" s="841"/>
    </row>
    <row r="6044" spans="1:1" x14ac:dyDescent="0.25">
      <c r="A6044" s="841"/>
    </row>
    <row r="6045" spans="1:1" x14ac:dyDescent="0.25">
      <c r="A6045" s="841"/>
    </row>
    <row r="6046" spans="1:1" x14ac:dyDescent="0.25">
      <c r="A6046" s="841"/>
    </row>
    <row r="6047" spans="1:1" x14ac:dyDescent="0.25">
      <c r="A6047" s="841"/>
    </row>
    <row r="6048" spans="1:1" x14ac:dyDescent="0.25">
      <c r="A6048" s="841"/>
    </row>
    <row r="6049" spans="1:1" x14ac:dyDescent="0.25">
      <c r="A6049" s="841"/>
    </row>
    <row r="6050" spans="1:1" x14ac:dyDescent="0.25">
      <c r="A6050" s="841"/>
    </row>
    <row r="6051" spans="1:1" x14ac:dyDescent="0.25">
      <c r="A6051" s="841"/>
    </row>
    <row r="6052" spans="1:1" x14ac:dyDescent="0.25">
      <c r="A6052" s="841"/>
    </row>
    <row r="6053" spans="1:1" x14ac:dyDescent="0.25">
      <c r="A6053" s="841"/>
    </row>
    <row r="6054" spans="1:1" x14ac:dyDescent="0.25">
      <c r="A6054" s="841"/>
    </row>
    <row r="6055" spans="1:1" x14ac:dyDescent="0.25">
      <c r="A6055" s="841"/>
    </row>
    <row r="6056" spans="1:1" x14ac:dyDescent="0.25">
      <c r="A6056" s="841"/>
    </row>
    <row r="6057" spans="1:1" x14ac:dyDescent="0.25">
      <c r="A6057" s="841"/>
    </row>
    <row r="6058" spans="1:1" x14ac:dyDescent="0.25">
      <c r="A6058" s="841"/>
    </row>
    <row r="6059" spans="1:1" x14ac:dyDescent="0.25">
      <c r="A6059" s="841"/>
    </row>
    <row r="6060" spans="1:1" x14ac:dyDescent="0.25">
      <c r="A6060" s="841"/>
    </row>
    <row r="6061" spans="1:1" x14ac:dyDescent="0.25">
      <c r="A6061" s="841"/>
    </row>
    <row r="6062" spans="1:1" x14ac:dyDescent="0.25">
      <c r="A6062" s="841"/>
    </row>
    <row r="6063" spans="1:1" x14ac:dyDescent="0.25">
      <c r="A6063" s="841"/>
    </row>
    <row r="6064" spans="1:1" x14ac:dyDescent="0.25">
      <c r="A6064" s="841"/>
    </row>
    <row r="6065" spans="1:1" x14ac:dyDescent="0.25">
      <c r="A6065" s="841"/>
    </row>
    <row r="6066" spans="1:1" x14ac:dyDescent="0.25">
      <c r="A6066" s="841"/>
    </row>
    <row r="6067" spans="1:1" x14ac:dyDescent="0.25">
      <c r="A6067" s="841"/>
    </row>
    <row r="6068" spans="1:1" x14ac:dyDescent="0.25">
      <c r="A6068" s="841"/>
    </row>
    <row r="6069" spans="1:1" x14ac:dyDescent="0.25">
      <c r="A6069" s="841"/>
    </row>
    <row r="6070" spans="1:1" x14ac:dyDescent="0.25">
      <c r="A6070" s="841"/>
    </row>
    <row r="6071" spans="1:1" x14ac:dyDescent="0.25">
      <c r="A6071" s="841"/>
    </row>
    <row r="6072" spans="1:1" x14ac:dyDescent="0.25">
      <c r="A6072" s="841"/>
    </row>
    <row r="6073" spans="1:1" x14ac:dyDescent="0.25">
      <c r="A6073" s="841"/>
    </row>
    <row r="6074" spans="1:1" x14ac:dyDescent="0.25">
      <c r="A6074" s="841"/>
    </row>
    <row r="6075" spans="1:1" x14ac:dyDescent="0.25">
      <c r="A6075" s="841"/>
    </row>
    <row r="6076" spans="1:1" x14ac:dyDescent="0.25">
      <c r="A6076" s="841"/>
    </row>
    <row r="6077" spans="1:1" x14ac:dyDescent="0.25">
      <c r="A6077" s="841"/>
    </row>
    <row r="6078" spans="1:1" x14ac:dyDescent="0.25">
      <c r="A6078" s="841"/>
    </row>
    <row r="6079" spans="1:1" x14ac:dyDescent="0.25">
      <c r="A6079" s="841"/>
    </row>
    <row r="6080" spans="1:1" x14ac:dyDescent="0.25">
      <c r="A6080" s="841"/>
    </row>
    <row r="6081" spans="1:1" x14ac:dyDescent="0.25">
      <c r="A6081" s="841"/>
    </row>
    <row r="6082" spans="1:1" x14ac:dyDescent="0.25">
      <c r="A6082" s="841"/>
    </row>
    <row r="6083" spans="1:1" x14ac:dyDescent="0.25">
      <c r="A6083" s="841"/>
    </row>
    <row r="6084" spans="1:1" x14ac:dyDescent="0.25">
      <c r="A6084" s="841"/>
    </row>
    <row r="6085" spans="1:1" x14ac:dyDescent="0.25">
      <c r="A6085" s="841"/>
    </row>
    <row r="6086" spans="1:1" x14ac:dyDescent="0.25">
      <c r="A6086" s="841"/>
    </row>
    <row r="6087" spans="1:1" x14ac:dyDescent="0.25">
      <c r="A6087" s="841"/>
    </row>
    <row r="6088" spans="1:1" x14ac:dyDescent="0.25">
      <c r="A6088" s="841"/>
    </row>
    <row r="6089" spans="1:1" x14ac:dyDescent="0.25">
      <c r="A6089" s="841"/>
    </row>
    <row r="6090" spans="1:1" x14ac:dyDescent="0.25">
      <c r="A6090" s="841"/>
    </row>
    <row r="6091" spans="1:1" x14ac:dyDescent="0.25">
      <c r="A6091" s="841"/>
    </row>
    <row r="6092" spans="1:1" x14ac:dyDescent="0.25">
      <c r="A6092" s="841"/>
    </row>
    <row r="6093" spans="1:1" x14ac:dyDescent="0.25">
      <c r="A6093" s="841"/>
    </row>
    <row r="6094" spans="1:1" x14ac:dyDescent="0.25">
      <c r="A6094" s="841"/>
    </row>
    <row r="6095" spans="1:1" x14ac:dyDescent="0.25">
      <c r="A6095" s="841"/>
    </row>
    <row r="6096" spans="1:1" x14ac:dyDescent="0.25">
      <c r="A6096" s="841"/>
    </row>
    <row r="6097" spans="1:1" x14ac:dyDescent="0.25">
      <c r="A6097" s="841"/>
    </row>
    <row r="6098" spans="1:1" x14ac:dyDescent="0.25">
      <c r="A6098" s="841"/>
    </row>
    <row r="6099" spans="1:1" x14ac:dyDescent="0.25">
      <c r="A6099" s="841"/>
    </row>
    <row r="6100" spans="1:1" x14ac:dyDescent="0.25">
      <c r="A6100" s="841"/>
    </row>
    <row r="6101" spans="1:1" x14ac:dyDescent="0.25">
      <c r="A6101" s="841"/>
    </row>
    <row r="6102" spans="1:1" x14ac:dyDescent="0.25">
      <c r="A6102" s="841"/>
    </row>
    <row r="6103" spans="1:1" x14ac:dyDescent="0.25">
      <c r="A6103" s="841"/>
    </row>
    <row r="6104" spans="1:1" x14ac:dyDescent="0.25">
      <c r="A6104" s="841"/>
    </row>
    <row r="6105" spans="1:1" x14ac:dyDescent="0.25">
      <c r="A6105" s="841"/>
    </row>
    <row r="6106" spans="1:1" x14ac:dyDescent="0.25">
      <c r="A6106" s="841"/>
    </row>
    <row r="6107" spans="1:1" x14ac:dyDescent="0.25">
      <c r="A6107" s="841"/>
    </row>
    <row r="6108" spans="1:1" x14ac:dyDescent="0.25">
      <c r="A6108" s="841"/>
    </row>
    <row r="6109" spans="1:1" x14ac:dyDescent="0.25">
      <c r="A6109" s="841"/>
    </row>
    <row r="6110" spans="1:1" x14ac:dyDescent="0.25">
      <c r="A6110" s="841"/>
    </row>
    <row r="6111" spans="1:1" x14ac:dyDescent="0.25">
      <c r="A6111" s="841"/>
    </row>
    <row r="6112" spans="1:1" x14ac:dyDescent="0.25">
      <c r="A6112" s="841"/>
    </row>
    <row r="6113" spans="1:1" x14ac:dyDescent="0.25">
      <c r="A6113" s="841"/>
    </row>
    <row r="6114" spans="1:1" x14ac:dyDescent="0.25">
      <c r="A6114" s="841"/>
    </row>
    <row r="6115" spans="1:1" x14ac:dyDescent="0.25">
      <c r="A6115" s="841"/>
    </row>
    <row r="6116" spans="1:1" x14ac:dyDescent="0.25">
      <c r="A6116" s="841"/>
    </row>
    <row r="6117" spans="1:1" x14ac:dyDescent="0.25">
      <c r="A6117" s="841"/>
    </row>
    <row r="6118" spans="1:1" x14ac:dyDescent="0.25">
      <c r="A6118" s="841"/>
    </row>
    <row r="6119" spans="1:1" x14ac:dyDescent="0.25">
      <c r="A6119" s="841"/>
    </row>
    <row r="6120" spans="1:1" x14ac:dyDescent="0.25">
      <c r="A6120" s="841"/>
    </row>
    <row r="6121" spans="1:1" x14ac:dyDescent="0.25">
      <c r="A6121" s="841"/>
    </row>
    <row r="6122" spans="1:1" x14ac:dyDescent="0.25">
      <c r="A6122" s="841"/>
    </row>
    <row r="6123" spans="1:1" x14ac:dyDescent="0.25">
      <c r="A6123" s="841"/>
    </row>
    <row r="6124" spans="1:1" x14ac:dyDescent="0.25">
      <c r="A6124" s="841"/>
    </row>
    <row r="6125" spans="1:1" x14ac:dyDescent="0.25">
      <c r="A6125" s="841"/>
    </row>
    <row r="6126" spans="1:1" x14ac:dyDescent="0.25">
      <c r="A6126" s="841"/>
    </row>
    <row r="6127" spans="1:1" x14ac:dyDescent="0.25">
      <c r="A6127" s="841"/>
    </row>
    <row r="6128" spans="1:1" x14ac:dyDescent="0.25">
      <c r="A6128" s="841"/>
    </row>
    <row r="6129" spans="1:1" x14ac:dyDescent="0.25">
      <c r="A6129" s="841"/>
    </row>
    <row r="6130" spans="1:1" x14ac:dyDescent="0.25">
      <c r="A6130" s="841"/>
    </row>
    <row r="6131" spans="1:1" x14ac:dyDescent="0.25">
      <c r="A6131" s="841"/>
    </row>
    <row r="6132" spans="1:1" x14ac:dyDescent="0.25">
      <c r="A6132" s="841"/>
    </row>
    <row r="6133" spans="1:1" x14ac:dyDescent="0.25">
      <c r="A6133" s="841"/>
    </row>
    <row r="6134" spans="1:1" x14ac:dyDescent="0.25">
      <c r="A6134" s="841"/>
    </row>
    <row r="6135" spans="1:1" x14ac:dyDescent="0.25">
      <c r="A6135" s="841"/>
    </row>
    <row r="6136" spans="1:1" x14ac:dyDescent="0.25">
      <c r="A6136" s="841"/>
    </row>
    <row r="6137" spans="1:1" x14ac:dyDescent="0.25">
      <c r="A6137" s="841"/>
    </row>
    <row r="6138" spans="1:1" x14ac:dyDescent="0.25">
      <c r="A6138" s="841"/>
    </row>
    <row r="6139" spans="1:1" x14ac:dyDescent="0.25">
      <c r="A6139" s="841"/>
    </row>
    <row r="6140" spans="1:1" x14ac:dyDescent="0.25">
      <c r="A6140" s="841"/>
    </row>
    <row r="6141" spans="1:1" x14ac:dyDescent="0.25">
      <c r="A6141" s="841"/>
    </row>
    <row r="6142" spans="1:1" x14ac:dyDescent="0.25">
      <c r="A6142" s="841"/>
    </row>
    <row r="6143" spans="1:1" x14ac:dyDescent="0.25">
      <c r="A6143" s="841"/>
    </row>
    <row r="6144" spans="1:1" x14ac:dyDescent="0.25">
      <c r="A6144" s="841"/>
    </row>
    <row r="6145" spans="1:1" x14ac:dyDescent="0.25">
      <c r="A6145" s="841"/>
    </row>
    <row r="6146" spans="1:1" x14ac:dyDescent="0.25">
      <c r="A6146" s="841"/>
    </row>
    <row r="6147" spans="1:1" x14ac:dyDescent="0.25">
      <c r="A6147" s="841"/>
    </row>
    <row r="6148" spans="1:1" x14ac:dyDescent="0.25">
      <c r="A6148" s="841"/>
    </row>
    <row r="6149" spans="1:1" x14ac:dyDescent="0.25">
      <c r="A6149" s="841"/>
    </row>
    <row r="6150" spans="1:1" x14ac:dyDescent="0.25">
      <c r="A6150" s="841"/>
    </row>
    <row r="6151" spans="1:1" x14ac:dyDescent="0.25">
      <c r="A6151" s="841"/>
    </row>
    <row r="6152" spans="1:1" x14ac:dyDescent="0.25">
      <c r="A6152" s="841"/>
    </row>
    <row r="6153" spans="1:1" x14ac:dyDescent="0.25">
      <c r="A6153" s="841"/>
    </row>
    <row r="6154" spans="1:1" x14ac:dyDescent="0.25">
      <c r="A6154" s="841"/>
    </row>
    <row r="6155" spans="1:1" x14ac:dyDescent="0.25">
      <c r="A6155" s="841"/>
    </row>
    <row r="6156" spans="1:1" x14ac:dyDescent="0.25">
      <c r="A6156" s="841"/>
    </row>
    <row r="6157" spans="1:1" x14ac:dyDescent="0.25">
      <c r="A6157" s="841"/>
    </row>
    <row r="6158" spans="1:1" x14ac:dyDescent="0.25">
      <c r="A6158" s="841"/>
    </row>
    <row r="6159" spans="1:1" x14ac:dyDescent="0.25">
      <c r="A6159" s="841"/>
    </row>
    <row r="6160" spans="1:1" x14ac:dyDescent="0.25">
      <c r="A6160" s="841"/>
    </row>
    <row r="6161" spans="1:1" x14ac:dyDescent="0.25">
      <c r="A6161" s="841"/>
    </row>
    <row r="6162" spans="1:1" x14ac:dyDescent="0.25">
      <c r="A6162" s="841"/>
    </row>
    <row r="6163" spans="1:1" x14ac:dyDescent="0.25">
      <c r="A6163" s="841"/>
    </row>
    <row r="6164" spans="1:1" x14ac:dyDescent="0.25">
      <c r="A6164" s="841"/>
    </row>
    <row r="6165" spans="1:1" x14ac:dyDescent="0.25">
      <c r="A6165" s="841"/>
    </row>
    <row r="6166" spans="1:1" x14ac:dyDescent="0.25">
      <c r="A6166" s="841"/>
    </row>
    <row r="6167" spans="1:1" x14ac:dyDescent="0.25">
      <c r="A6167" s="841"/>
    </row>
    <row r="6168" spans="1:1" x14ac:dyDescent="0.25">
      <c r="A6168" s="841"/>
    </row>
    <row r="6169" spans="1:1" x14ac:dyDescent="0.25">
      <c r="A6169" s="841"/>
    </row>
    <row r="6170" spans="1:1" x14ac:dyDescent="0.25">
      <c r="A6170" s="841"/>
    </row>
    <row r="6171" spans="1:1" x14ac:dyDescent="0.25">
      <c r="A6171" s="841"/>
    </row>
    <row r="6172" spans="1:1" x14ac:dyDescent="0.25">
      <c r="A6172" s="841"/>
    </row>
    <row r="6173" spans="1:1" x14ac:dyDescent="0.25">
      <c r="A6173" s="841"/>
    </row>
    <row r="6174" spans="1:1" x14ac:dyDescent="0.25">
      <c r="A6174" s="841"/>
    </row>
    <row r="6175" spans="1:1" x14ac:dyDescent="0.25">
      <c r="A6175" s="841"/>
    </row>
    <row r="6176" spans="1:1" x14ac:dyDescent="0.25">
      <c r="A6176" s="841"/>
    </row>
    <row r="6177" spans="1:1" x14ac:dyDescent="0.25">
      <c r="A6177" s="841"/>
    </row>
    <row r="6178" spans="1:1" x14ac:dyDescent="0.25">
      <c r="A6178" s="841"/>
    </row>
    <row r="6179" spans="1:1" x14ac:dyDescent="0.25">
      <c r="A6179" s="841"/>
    </row>
    <row r="6180" spans="1:1" x14ac:dyDescent="0.25">
      <c r="A6180" s="841"/>
    </row>
    <row r="6181" spans="1:1" x14ac:dyDescent="0.25">
      <c r="A6181" s="841"/>
    </row>
    <row r="6182" spans="1:1" x14ac:dyDescent="0.25">
      <c r="A6182" s="841"/>
    </row>
    <row r="6183" spans="1:1" x14ac:dyDescent="0.25">
      <c r="A6183" s="841"/>
    </row>
    <row r="6184" spans="1:1" x14ac:dyDescent="0.25">
      <c r="A6184" s="841"/>
    </row>
    <row r="6185" spans="1:1" x14ac:dyDescent="0.25">
      <c r="A6185" s="841"/>
    </row>
    <row r="6186" spans="1:1" x14ac:dyDescent="0.25">
      <c r="A6186" s="841"/>
    </row>
    <row r="6187" spans="1:1" x14ac:dyDescent="0.25">
      <c r="A6187" s="841"/>
    </row>
    <row r="6188" spans="1:1" x14ac:dyDescent="0.25">
      <c r="A6188" s="841"/>
    </row>
    <row r="6189" spans="1:1" x14ac:dyDescent="0.25">
      <c r="A6189" s="841"/>
    </row>
    <row r="6190" spans="1:1" x14ac:dyDescent="0.25">
      <c r="A6190" s="841"/>
    </row>
    <row r="6191" spans="1:1" x14ac:dyDescent="0.25">
      <c r="A6191" s="841"/>
    </row>
    <row r="6192" spans="1:1" x14ac:dyDescent="0.25">
      <c r="A6192" s="841"/>
    </row>
    <row r="6193" spans="1:1" x14ac:dyDescent="0.25">
      <c r="A6193" s="841"/>
    </row>
    <row r="6194" spans="1:1" x14ac:dyDescent="0.25">
      <c r="A6194" s="841"/>
    </row>
    <row r="6195" spans="1:1" x14ac:dyDescent="0.25">
      <c r="A6195" s="841"/>
    </row>
    <row r="6196" spans="1:1" x14ac:dyDescent="0.25">
      <c r="A6196" s="841"/>
    </row>
    <row r="6197" spans="1:1" x14ac:dyDescent="0.25">
      <c r="A6197" s="841"/>
    </row>
    <row r="6198" spans="1:1" x14ac:dyDescent="0.25">
      <c r="A6198" s="841"/>
    </row>
    <row r="6199" spans="1:1" x14ac:dyDescent="0.25">
      <c r="A6199" s="841"/>
    </row>
    <row r="6200" spans="1:1" x14ac:dyDescent="0.25">
      <c r="A6200" s="841"/>
    </row>
    <row r="6201" spans="1:1" x14ac:dyDescent="0.25">
      <c r="A6201" s="841"/>
    </row>
    <row r="6202" spans="1:1" x14ac:dyDescent="0.25">
      <c r="A6202" s="841"/>
    </row>
    <row r="6203" spans="1:1" x14ac:dyDescent="0.25">
      <c r="A6203" s="841"/>
    </row>
    <row r="6204" spans="1:1" x14ac:dyDescent="0.25">
      <c r="A6204" s="841"/>
    </row>
    <row r="6205" spans="1:1" x14ac:dyDescent="0.25">
      <c r="A6205" s="841"/>
    </row>
    <row r="6206" spans="1:1" x14ac:dyDescent="0.25">
      <c r="A6206" s="841"/>
    </row>
    <row r="6207" spans="1:1" x14ac:dyDescent="0.25">
      <c r="A6207" s="841"/>
    </row>
    <row r="6208" spans="1:1" x14ac:dyDescent="0.25">
      <c r="A6208" s="841"/>
    </row>
    <row r="6209" spans="1:1" x14ac:dyDescent="0.25">
      <c r="A6209" s="841"/>
    </row>
    <row r="6210" spans="1:1" x14ac:dyDescent="0.25">
      <c r="A6210" s="841"/>
    </row>
    <row r="6211" spans="1:1" x14ac:dyDescent="0.25">
      <c r="A6211" s="841"/>
    </row>
    <row r="6212" spans="1:1" x14ac:dyDescent="0.25">
      <c r="A6212" s="841"/>
    </row>
    <row r="6213" spans="1:1" x14ac:dyDescent="0.25">
      <c r="A6213" s="841"/>
    </row>
    <row r="6214" spans="1:1" x14ac:dyDescent="0.25">
      <c r="A6214" s="841"/>
    </row>
    <row r="6215" spans="1:1" x14ac:dyDescent="0.25">
      <c r="A6215" s="841"/>
    </row>
    <row r="6216" spans="1:1" x14ac:dyDescent="0.25">
      <c r="A6216" s="841"/>
    </row>
    <row r="6217" spans="1:1" x14ac:dyDescent="0.25">
      <c r="A6217" s="841"/>
    </row>
    <row r="6218" spans="1:1" x14ac:dyDescent="0.25">
      <c r="A6218" s="841"/>
    </row>
    <row r="6219" spans="1:1" x14ac:dyDescent="0.25">
      <c r="A6219" s="841"/>
    </row>
    <row r="6220" spans="1:1" x14ac:dyDescent="0.25">
      <c r="A6220" s="841"/>
    </row>
    <row r="6221" spans="1:1" x14ac:dyDescent="0.25">
      <c r="A6221" s="841"/>
    </row>
    <row r="6222" spans="1:1" x14ac:dyDescent="0.25">
      <c r="A6222" s="841"/>
    </row>
    <row r="6223" spans="1:1" x14ac:dyDescent="0.25">
      <c r="A6223" s="841"/>
    </row>
    <row r="6224" spans="1:1" x14ac:dyDescent="0.25">
      <c r="A6224" s="841"/>
    </row>
    <row r="6225" spans="1:1" x14ac:dyDescent="0.25">
      <c r="A6225" s="841"/>
    </row>
    <row r="6226" spans="1:1" x14ac:dyDescent="0.25">
      <c r="A6226" s="841"/>
    </row>
    <row r="6227" spans="1:1" x14ac:dyDescent="0.25">
      <c r="A6227" s="841"/>
    </row>
    <row r="6228" spans="1:1" x14ac:dyDescent="0.25">
      <c r="A6228" s="841"/>
    </row>
    <row r="6229" spans="1:1" x14ac:dyDescent="0.25">
      <c r="A6229" s="841"/>
    </row>
    <row r="6230" spans="1:1" x14ac:dyDescent="0.25">
      <c r="A6230" s="841"/>
    </row>
    <row r="6231" spans="1:1" x14ac:dyDescent="0.25">
      <c r="A6231" s="841"/>
    </row>
    <row r="6232" spans="1:1" x14ac:dyDescent="0.25">
      <c r="A6232" s="841"/>
    </row>
    <row r="6233" spans="1:1" x14ac:dyDescent="0.25">
      <c r="A6233" s="841"/>
    </row>
    <row r="6234" spans="1:1" x14ac:dyDescent="0.25">
      <c r="A6234" s="841"/>
    </row>
    <row r="6235" spans="1:1" x14ac:dyDescent="0.25">
      <c r="A6235" s="841"/>
    </row>
    <row r="6236" spans="1:1" x14ac:dyDescent="0.25">
      <c r="A6236" s="841"/>
    </row>
    <row r="6237" spans="1:1" x14ac:dyDescent="0.25">
      <c r="A6237" s="841"/>
    </row>
    <row r="6238" spans="1:1" x14ac:dyDescent="0.25">
      <c r="A6238" s="841"/>
    </row>
    <row r="6239" spans="1:1" x14ac:dyDescent="0.25">
      <c r="A6239" s="841"/>
    </row>
    <row r="6240" spans="1:1" x14ac:dyDescent="0.25">
      <c r="A6240" s="841"/>
    </row>
    <row r="6241" spans="1:1" x14ac:dyDescent="0.25">
      <c r="A6241" s="841"/>
    </row>
    <row r="6242" spans="1:1" x14ac:dyDescent="0.25">
      <c r="A6242" s="841"/>
    </row>
    <row r="6243" spans="1:1" x14ac:dyDescent="0.25">
      <c r="A6243" s="841"/>
    </row>
    <row r="6244" spans="1:1" x14ac:dyDescent="0.25">
      <c r="A6244" s="841"/>
    </row>
    <row r="6245" spans="1:1" x14ac:dyDescent="0.25">
      <c r="A6245" s="841"/>
    </row>
    <row r="6246" spans="1:1" x14ac:dyDescent="0.25">
      <c r="A6246" s="841"/>
    </row>
    <row r="6247" spans="1:1" x14ac:dyDescent="0.25">
      <c r="A6247" s="841"/>
    </row>
    <row r="6248" spans="1:1" x14ac:dyDescent="0.25">
      <c r="A6248" s="841"/>
    </row>
    <row r="6249" spans="1:1" x14ac:dyDescent="0.25">
      <c r="A6249" s="841"/>
    </row>
    <row r="6250" spans="1:1" x14ac:dyDescent="0.25">
      <c r="A6250" s="841"/>
    </row>
    <row r="6251" spans="1:1" x14ac:dyDescent="0.25">
      <c r="A6251" s="841"/>
    </row>
    <row r="6252" spans="1:1" x14ac:dyDescent="0.25">
      <c r="A6252" s="841"/>
    </row>
    <row r="6253" spans="1:1" x14ac:dyDescent="0.25">
      <c r="A6253" s="841"/>
    </row>
    <row r="6254" spans="1:1" x14ac:dyDescent="0.25">
      <c r="A6254" s="841"/>
    </row>
    <row r="6255" spans="1:1" x14ac:dyDescent="0.25">
      <c r="A6255" s="841"/>
    </row>
    <row r="6256" spans="1:1" x14ac:dyDescent="0.25">
      <c r="A6256" s="841"/>
    </row>
    <row r="6257" spans="1:1" x14ac:dyDescent="0.25">
      <c r="A6257" s="841"/>
    </row>
    <row r="6258" spans="1:1" x14ac:dyDescent="0.25">
      <c r="A6258" s="841"/>
    </row>
    <row r="6259" spans="1:1" x14ac:dyDescent="0.25">
      <c r="A6259" s="841"/>
    </row>
    <row r="6260" spans="1:1" x14ac:dyDescent="0.25">
      <c r="A6260" s="841"/>
    </row>
    <row r="6261" spans="1:1" x14ac:dyDescent="0.25">
      <c r="A6261" s="841"/>
    </row>
    <row r="6262" spans="1:1" x14ac:dyDescent="0.25">
      <c r="A6262" s="841"/>
    </row>
    <row r="6263" spans="1:1" x14ac:dyDescent="0.25">
      <c r="A6263" s="841"/>
    </row>
    <row r="6264" spans="1:1" x14ac:dyDescent="0.25">
      <c r="A6264" s="841"/>
    </row>
    <row r="6265" spans="1:1" x14ac:dyDescent="0.25">
      <c r="A6265" s="841"/>
    </row>
    <row r="6266" spans="1:1" x14ac:dyDescent="0.25">
      <c r="A6266" s="841"/>
    </row>
    <row r="6267" spans="1:1" x14ac:dyDescent="0.25">
      <c r="A6267" s="841"/>
    </row>
    <row r="6268" spans="1:1" x14ac:dyDescent="0.25">
      <c r="A6268" s="841"/>
    </row>
    <row r="6269" spans="1:1" x14ac:dyDescent="0.25">
      <c r="A6269" s="841"/>
    </row>
    <row r="6270" spans="1:1" x14ac:dyDescent="0.25">
      <c r="A6270" s="841"/>
    </row>
    <row r="6271" spans="1:1" x14ac:dyDescent="0.25">
      <c r="A6271" s="841"/>
    </row>
    <row r="6272" spans="1:1" x14ac:dyDescent="0.25">
      <c r="A6272" s="841"/>
    </row>
    <row r="6273" spans="1:1" x14ac:dyDescent="0.25">
      <c r="A6273" s="841"/>
    </row>
    <row r="6274" spans="1:1" x14ac:dyDescent="0.25">
      <c r="A6274" s="841"/>
    </row>
    <row r="6275" spans="1:1" x14ac:dyDescent="0.25">
      <c r="A6275" s="841"/>
    </row>
    <row r="6276" spans="1:1" x14ac:dyDescent="0.25">
      <c r="A6276" s="841"/>
    </row>
    <row r="6277" spans="1:1" x14ac:dyDescent="0.25">
      <c r="A6277" s="841"/>
    </row>
    <row r="6278" spans="1:1" x14ac:dyDescent="0.25">
      <c r="A6278" s="841"/>
    </row>
    <row r="6279" spans="1:1" x14ac:dyDescent="0.25">
      <c r="A6279" s="841"/>
    </row>
    <row r="6280" spans="1:1" x14ac:dyDescent="0.25">
      <c r="A6280" s="841"/>
    </row>
    <row r="6281" spans="1:1" x14ac:dyDescent="0.25">
      <c r="A6281" s="841"/>
    </row>
    <row r="6282" spans="1:1" x14ac:dyDescent="0.25">
      <c r="A6282" s="841"/>
    </row>
    <row r="6283" spans="1:1" x14ac:dyDescent="0.25">
      <c r="A6283" s="841"/>
    </row>
    <row r="6284" spans="1:1" x14ac:dyDescent="0.25">
      <c r="A6284" s="841"/>
    </row>
    <row r="6285" spans="1:1" x14ac:dyDescent="0.25">
      <c r="A6285" s="841"/>
    </row>
    <row r="6286" spans="1:1" x14ac:dyDescent="0.25">
      <c r="A6286" s="841"/>
    </row>
    <row r="6287" spans="1:1" x14ac:dyDescent="0.25">
      <c r="A6287" s="841"/>
    </row>
    <row r="6288" spans="1:1" x14ac:dyDescent="0.25">
      <c r="A6288" s="841"/>
    </row>
    <row r="6289" spans="1:1" x14ac:dyDescent="0.25">
      <c r="A6289" s="841"/>
    </row>
    <row r="6290" spans="1:1" x14ac:dyDescent="0.25">
      <c r="A6290" s="841"/>
    </row>
    <row r="6291" spans="1:1" x14ac:dyDescent="0.25">
      <c r="A6291" s="841"/>
    </row>
    <row r="6292" spans="1:1" x14ac:dyDescent="0.25">
      <c r="A6292" s="841"/>
    </row>
    <row r="6293" spans="1:1" x14ac:dyDescent="0.25">
      <c r="A6293" s="841"/>
    </row>
    <row r="6294" spans="1:1" x14ac:dyDescent="0.25">
      <c r="A6294" s="841"/>
    </row>
    <row r="6295" spans="1:1" x14ac:dyDescent="0.25">
      <c r="A6295" s="841"/>
    </row>
    <row r="6296" spans="1:1" x14ac:dyDescent="0.25">
      <c r="A6296" s="841"/>
    </row>
    <row r="6297" spans="1:1" x14ac:dyDescent="0.25">
      <c r="A6297" s="841"/>
    </row>
    <row r="6298" spans="1:1" x14ac:dyDescent="0.25">
      <c r="A6298" s="841"/>
    </row>
    <row r="6299" spans="1:1" x14ac:dyDescent="0.25">
      <c r="A6299" s="841"/>
    </row>
    <row r="6300" spans="1:1" x14ac:dyDescent="0.25">
      <c r="A6300" s="841"/>
    </row>
    <row r="6301" spans="1:1" x14ac:dyDescent="0.25">
      <c r="A6301" s="841"/>
    </row>
    <row r="6302" spans="1:1" x14ac:dyDescent="0.25">
      <c r="A6302" s="841"/>
    </row>
    <row r="6303" spans="1:1" x14ac:dyDescent="0.25">
      <c r="A6303" s="841"/>
    </row>
    <row r="6304" spans="1:1" x14ac:dyDescent="0.25">
      <c r="A6304" s="841"/>
    </row>
    <row r="6305" spans="1:1" x14ac:dyDescent="0.25">
      <c r="A6305" s="841"/>
    </row>
    <row r="6306" spans="1:1" x14ac:dyDescent="0.25">
      <c r="A6306" s="841"/>
    </row>
    <row r="6307" spans="1:1" x14ac:dyDescent="0.25">
      <c r="A6307" s="841"/>
    </row>
    <row r="6308" spans="1:1" x14ac:dyDescent="0.25">
      <c r="A6308" s="841"/>
    </row>
    <row r="6309" spans="1:1" x14ac:dyDescent="0.25">
      <c r="A6309" s="841"/>
    </row>
    <row r="6310" spans="1:1" x14ac:dyDescent="0.25">
      <c r="A6310" s="841"/>
    </row>
    <row r="6311" spans="1:1" x14ac:dyDescent="0.25">
      <c r="A6311" s="841"/>
    </row>
    <row r="6312" spans="1:1" x14ac:dyDescent="0.25">
      <c r="A6312" s="841"/>
    </row>
    <row r="6313" spans="1:1" x14ac:dyDescent="0.25">
      <c r="A6313" s="841"/>
    </row>
    <row r="6314" spans="1:1" x14ac:dyDescent="0.25">
      <c r="A6314" s="841"/>
    </row>
    <row r="6315" spans="1:1" x14ac:dyDescent="0.25">
      <c r="A6315" s="841"/>
    </row>
    <row r="6316" spans="1:1" x14ac:dyDescent="0.25">
      <c r="A6316" s="841"/>
    </row>
    <row r="6317" spans="1:1" x14ac:dyDescent="0.25">
      <c r="A6317" s="841"/>
    </row>
    <row r="6318" spans="1:1" x14ac:dyDescent="0.25">
      <c r="A6318" s="841"/>
    </row>
    <row r="6319" spans="1:1" x14ac:dyDescent="0.25">
      <c r="A6319" s="841"/>
    </row>
    <row r="6320" spans="1:1" x14ac:dyDescent="0.25">
      <c r="A6320" s="841"/>
    </row>
    <row r="6321" spans="1:1" x14ac:dyDescent="0.25">
      <c r="A6321" s="841"/>
    </row>
    <row r="6322" spans="1:1" x14ac:dyDescent="0.25">
      <c r="A6322" s="841"/>
    </row>
    <row r="6323" spans="1:1" x14ac:dyDescent="0.25">
      <c r="A6323" s="841"/>
    </row>
    <row r="6324" spans="1:1" x14ac:dyDescent="0.25">
      <c r="A6324" s="841"/>
    </row>
    <row r="6325" spans="1:1" x14ac:dyDescent="0.25">
      <c r="A6325" s="841"/>
    </row>
    <row r="6326" spans="1:1" x14ac:dyDescent="0.25">
      <c r="A6326" s="841"/>
    </row>
    <row r="6327" spans="1:1" x14ac:dyDescent="0.25">
      <c r="A6327" s="841"/>
    </row>
    <row r="6328" spans="1:1" x14ac:dyDescent="0.25">
      <c r="A6328" s="841"/>
    </row>
    <row r="6329" spans="1:1" x14ac:dyDescent="0.25">
      <c r="A6329" s="841"/>
    </row>
    <row r="6330" spans="1:1" x14ac:dyDescent="0.25">
      <c r="A6330" s="841"/>
    </row>
    <row r="6331" spans="1:1" x14ac:dyDescent="0.25">
      <c r="A6331" s="841"/>
    </row>
    <row r="6332" spans="1:1" x14ac:dyDescent="0.25">
      <c r="A6332" s="841"/>
    </row>
    <row r="6333" spans="1:1" x14ac:dyDescent="0.25">
      <c r="A6333" s="841"/>
    </row>
    <row r="6334" spans="1:1" x14ac:dyDescent="0.25">
      <c r="A6334" s="841"/>
    </row>
    <row r="6335" spans="1:1" x14ac:dyDescent="0.25">
      <c r="A6335" s="841"/>
    </row>
    <row r="6336" spans="1:1" x14ac:dyDescent="0.25">
      <c r="A6336" s="841"/>
    </row>
    <row r="6337" spans="1:1" x14ac:dyDescent="0.25">
      <c r="A6337" s="841"/>
    </row>
    <row r="6338" spans="1:1" x14ac:dyDescent="0.25">
      <c r="A6338" s="841"/>
    </row>
    <row r="6339" spans="1:1" x14ac:dyDescent="0.25">
      <c r="A6339" s="841"/>
    </row>
    <row r="6340" spans="1:1" x14ac:dyDescent="0.25">
      <c r="A6340" s="841"/>
    </row>
    <row r="6341" spans="1:1" x14ac:dyDescent="0.25">
      <c r="A6341" s="841"/>
    </row>
    <row r="6342" spans="1:1" x14ac:dyDescent="0.25">
      <c r="A6342" s="841"/>
    </row>
    <row r="6343" spans="1:1" x14ac:dyDescent="0.25">
      <c r="A6343" s="841"/>
    </row>
    <row r="6344" spans="1:1" x14ac:dyDescent="0.25">
      <c r="A6344" s="841"/>
    </row>
    <row r="6345" spans="1:1" x14ac:dyDescent="0.25">
      <c r="A6345" s="841"/>
    </row>
    <row r="6346" spans="1:1" x14ac:dyDescent="0.25">
      <c r="A6346" s="841"/>
    </row>
    <row r="6347" spans="1:1" x14ac:dyDescent="0.25">
      <c r="A6347" s="841"/>
    </row>
    <row r="6348" spans="1:1" x14ac:dyDescent="0.25">
      <c r="A6348" s="841"/>
    </row>
    <row r="6349" spans="1:1" x14ac:dyDescent="0.25">
      <c r="A6349" s="841"/>
    </row>
    <row r="6350" spans="1:1" x14ac:dyDescent="0.25">
      <c r="A6350" s="841"/>
    </row>
    <row r="6351" spans="1:1" x14ac:dyDescent="0.25">
      <c r="A6351" s="841"/>
    </row>
    <row r="6352" spans="1:1" x14ac:dyDescent="0.25">
      <c r="A6352" s="841"/>
    </row>
    <row r="6353" spans="1:1" x14ac:dyDescent="0.25">
      <c r="A6353" s="841"/>
    </row>
    <row r="6354" spans="1:1" x14ac:dyDescent="0.25">
      <c r="A6354" s="841"/>
    </row>
    <row r="6355" spans="1:1" x14ac:dyDescent="0.25">
      <c r="A6355" s="841"/>
    </row>
    <row r="6356" spans="1:1" x14ac:dyDescent="0.25">
      <c r="A6356" s="841"/>
    </row>
    <row r="6357" spans="1:1" x14ac:dyDescent="0.25">
      <c r="A6357" s="841"/>
    </row>
    <row r="6358" spans="1:1" x14ac:dyDescent="0.25">
      <c r="A6358" s="841"/>
    </row>
    <row r="6359" spans="1:1" x14ac:dyDescent="0.25">
      <c r="A6359" s="841"/>
    </row>
    <row r="6360" spans="1:1" x14ac:dyDescent="0.25">
      <c r="A6360" s="841"/>
    </row>
    <row r="6361" spans="1:1" x14ac:dyDescent="0.25">
      <c r="A6361" s="841"/>
    </row>
    <row r="6362" spans="1:1" x14ac:dyDescent="0.25">
      <c r="A6362" s="841"/>
    </row>
    <row r="6363" spans="1:1" x14ac:dyDescent="0.25">
      <c r="A6363" s="841"/>
    </row>
    <row r="6364" spans="1:1" x14ac:dyDescent="0.25">
      <c r="A6364" s="841"/>
    </row>
    <row r="6365" spans="1:1" x14ac:dyDescent="0.25">
      <c r="A6365" s="841"/>
    </row>
    <row r="6366" spans="1:1" x14ac:dyDescent="0.25">
      <c r="A6366" s="841"/>
    </row>
    <row r="6367" spans="1:1" x14ac:dyDescent="0.25">
      <c r="A6367" s="841"/>
    </row>
    <row r="6368" spans="1:1" x14ac:dyDescent="0.25">
      <c r="A6368" s="841"/>
    </row>
    <row r="6369" spans="1:1" x14ac:dyDescent="0.25">
      <c r="A6369" s="841"/>
    </row>
    <row r="6370" spans="1:1" x14ac:dyDescent="0.25">
      <c r="A6370" s="841"/>
    </row>
    <row r="6371" spans="1:1" x14ac:dyDescent="0.25">
      <c r="A6371" s="841"/>
    </row>
    <row r="6372" spans="1:1" x14ac:dyDescent="0.25">
      <c r="A6372" s="841"/>
    </row>
    <row r="6373" spans="1:1" x14ac:dyDescent="0.25">
      <c r="A6373" s="841"/>
    </row>
    <row r="6374" spans="1:1" x14ac:dyDescent="0.25">
      <c r="A6374" s="841"/>
    </row>
    <row r="6375" spans="1:1" x14ac:dyDescent="0.25">
      <c r="A6375" s="841"/>
    </row>
    <row r="6376" spans="1:1" x14ac:dyDescent="0.25">
      <c r="A6376" s="841"/>
    </row>
    <row r="6377" spans="1:1" x14ac:dyDescent="0.25">
      <c r="A6377" s="841"/>
    </row>
    <row r="6378" spans="1:1" x14ac:dyDescent="0.25">
      <c r="A6378" s="841"/>
    </row>
    <row r="6379" spans="1:1" x14ac:dyDescent="0.25">
      <c r="A6379" s="841"/>
    </row>
    <row r="6380" spans="1:1" x14ac:dyDescent="0.25">
      <c r="A6380" s="841"/>
    </row>
    <row r="6381" spans="1:1" x14ac:dyDescent="0.25">
      <c r="A6381" s="841"/>
    </row>
    <row r="6382" spans="1:1" x14ac:dyDescent="0.25">
      <c r="A6382" s="841"/>
    </row>
    <row r="6383" spans="1:1" x14ac:dyDescent="0.25">
      <c r="A6383" s="841"/>
    </row>
    <row r="6384" spans="1:1" x14ac:dyDescent="0.25">
      <c r="A6384" s="841"/>
    </row>
    <row r="6385" spans="1:1" x14ac:dyDescent="0.25">
      <c r="A6385" s="841"/>
    </row>
    <row r="6386" spans="1:1" x14ac:dyDescent="0.25">
      <c r="A6386" s="841"/>
    </row>
    <row r="6387" spans="1:1" x14ac:dyDescent="0.25">
      <c r="A6387" s="841"/>
    </row>
    <row r="6388" spans="1:1" x14ac:dyDescent="0.25">
      <c r="A6388" s="841"/>
    </row>
    <row r="6389" spans="1:1" x14ac:dyDescent="0.25">
      <c r="A6389" s="841"/>
    </row>
    <row r="6390" spans="1:1" x14ac:dyDescent="0.25">
      <c r="A6390" s="841"/>
    </row>
    <row r="6391" spans="1:1" x14ac:dyDescent="0.25">
      <c r="A6391" s="841"/>
    </row>
    <row r="6392" spans="1:1" x14ac:dyDescent="0.25">
      <c r="A6392" s="841"/>
    </row>
    <row r="6393" spans="1:1" x14ac:dyDescent="0.25">
      <c r="A6393" s="841"/>
    </row>
    <row r="6394" spans="1:1" x14ac:dyDescent="0.25">
      <c r="A6394" s="841"/>
    </row>
    <row r="6395" spans="1:1" x14ac:dyDescent="0.25">
      <c r="A6395" s="841"/>
    </row>
    <row r="6396" spans="1:1" x14ac:dyDescent="0.25">
      <c r="A6396" s="841"/>
    </row>
    <row r="6397" spans="1:1" x14ac:dyDescent="0.25">
      <c r="A6397" s="841"/>
    </row>
    <row r="6398" spans="1:1" x14ac:dyDescent="0.25">
      <c r="A6398" s="841"/>
    </row>
    <row r="6399" spans="1:1" x14ac:dyDescent="0.25">
      <c r="A6399" s="841"/>
    </row>
    <row r="6400" spans="1:1" x14ac:dyDescent="0.25">
      <c r="A6400" s="841"/>
    </row>
    <row r="6401" spans="1:1" x14ac:dyDescent="0.25">
      <c r="A6401" s="841"/>
    </row>
    <row r="6402" spans="1:1" x14ac:dyDescent="0.25">
      <c r="A6402" s="841"/>
    </row>
    <row r="6403" spans="1:1" x14ac:dyDescent="0.25">
      <c r="A6403" s="841"/>
    </row>
    <row r="6404" spans="1:1" x14ac:dyDescent="0.25">
      <c r="A6404" s="841"/>
    </row>
    <row r="6405" spans="1:1" x14ac:dyDescent="0.25">
      <c r="A6405" s="841"/>
    </row>
    <row r="6406" spans="1:1" x14ac:dyDescent="0.25">
      <c r="A6406" s="841"/>
    </row>
    <row r="6407" spans="1:1" x14ac:dyDescent="0.25">
      <c r="A6407" s="841"/>
    </row>
    <row r="6408" spans="1:1" x14ac:dyDescent="0.25">
      <c r="A6408" s="841"/>
    </row>
    <row r="6409" spans="1:1" x14ac:dyDescent="0.25">
      <c r="A6409" s="841"/>
    </row>
    <row r="6410" spans="1:1" x14ac:dyDescent="0.25">
      <c r="A6410" s="841"/>
    </row>
    <row r="6411" spans="1:1" x14ac:dyDescent="0.25">
      <c r="A6411" s="841"/>
    </row>
    <row r="6412" spans="1:1" x14ac:dyDescent="0.25">
      <c r="A6412" s="841"/>
    </row>
    <row r="6413" spans="1:1" x14ac:dyDescent="0.25">
      <c r="A6413" s="841"/>
    </row>
    <row r="6414" spans="1:1" x14ac:dyDescent="0.25">
      <c r="A6414" s="841"/>
    </row>
    <row r="6415" spans="1:1" x14ac:dyDescent="0.25">
      <c r="A6415" s="841"/>
    </row>
    <row r="6416" spans="1:1" x14ac:dyDescent="0.25">
      <c r="A6416" s="841"/>
    </row>
    <row r="6417" spans="1:1" x14ac:dyDescent="0.25">
      <c r="A6417" s="841"/>
    </row>
    <row r="6418" spans="1:1" x14ac:dyDescent="0.25">
      <c r="A6418" s="841"/>
    </row>
    <row r="6419" spans="1:1" x14ac:dyDescent="0.25">
      <c r="A6419" s="841"/>
    </row>
    <row r="6420" spans="1:1" x14ac:dyDescent="0.25">
      <c r="A6420" s="841"/>
    </row>
    <row r="6421" spans="1:1" x14ac:dyDescent="0.25">
      <c r="A6421" s="841"/>
    </row>
    <row r="6422" spans="1:1" x14ac:dyDescent="0.25">
      <c r="A6422" s="841"/>
    </row>
    <row r="6423" spans="1:1" x14ac:dyDescent="0.25">
      <c r="A6423" s="841"/>
    </row>
    <row r="6424" spans="1:1" x14ac:dyDescent="0.25">
      <c r="A6424" s="841"/>
    </row>
    <row r="6425" spans="1:1" x14ac:dyDescent="0.25">
      <c r="A6425" s="841"/>
    </row>
    <row r="6426" spans="1:1" x14ac:dyDescent="0.25">
      <c r="A6426" s="841"/>
    </row>
    <row r="6427" spans="1:1" x14ac:dyDescent="0.25">
      <c r="A6427" s="841"/>
    </row>
    <row r="6428" spans="1:1" x14ac:dyDescent="0.25">
      <c r="A6428" s="841"/>
    </row>
    <row r="6429" spans="1:1" x14ac:dyDescent="0.25">
      <c r="A6429" s="841"/>
    </row>
    <row r="6430" spans="1:1" x14ac:dyDescent="0.25">
      <c r="A6430" s="841"/>
    </row>
    <row r="6431" spans="1:1" x14ac:dyDescent="0.25">
      <c r="A6431" s="841"/>
    </row>
    <row r="6432" spans="1:1" x14ac:dyDescent="0.25">
      <c r="A6432" s="841"/>
    </row>
    <row r="6433" spans="1:1" x14ac:dyDescent="0.25">
      <c r="A6433" s="841"/>
    </row>
    <row r="6434" spans="1:1" x14ac:dyDescent="0.25">
      <c r="A6434" s="841"/>
    </row>
    <row r="6435" spans="1:1" x14ac:dyDescent="0.25">
      <c r="A6435" s="841"/>
    </row>
    <row r="6436" spans="1:1" x14ac:dyDescent="0.25">
      <c r="A6436" s="841"/>
    </row>
    <row r="6437" spans="1:1" x14ac:dyDescent="0.25">
      <c r="A6437" s="841"/>
    </row>
    <row r="6438" spans="1:1" x14ac:dyDescent="0.25">
      <c r="A6438" s="841"/>
    </row>
    <row r="6439" spans="1:1" x14ac:dyDescent="0.25">
      <c r="A6439" s="841"/>
    </row>
    <row r="6440" spans="1:1" x14ac:dyDescent="0.25">
      <c r="A6440" s="841"/>
    </row>
    <row r="6441" spans="1:1" x14ac:dyDescent="0.25">
      <c r="A6441" s="841"/>
    </row>
    <row r="6442" spans="1:1" x14ac:dyDescent="0.25">
      <c r="A6442" s="841"/>
    </row>
    <row r="6443" spans="1:1" x14ac:dyDescent="0.25">
      <c r="A6443" s="841"/>
    </row>
    <row r="6444" spans="1:1" x14ac:dyDescent="0.25">
      <c r="A6444" s="841"/>
    </row>
    <row r="6445" spans="1:1" x14ac:dyDescent="0.25">
      <c r="A6445" s="841"/>
    </row>
    <row r="6446" spans="1:1" x14ac:dyDescent="0.25">
      <c r="A6446" s="841"/>
    </row>
    <row r="6447" spans="1:1" x14ac:dyDescent="0.25">
      <c r="A6447" s="841"/>
    </row>
    <row r="6448" spans="1:1" x14ac:dyDescent="0.25">
      <c r="A6448" s="841"/>
    </row>
    <row r="6449" spans="1:1" x14ac:dyDescent="0.25">
      <c r="A6449" s="841"/>
    </row>
    <row r="6450" spans="1:1" x14ac:dyDescent="0.25">
      <c r="A6450" s="841"/>
    </row>
    <row r="6451" spans="1:1" x14ac:dyDescent="0.25">
      <c r="A6451" s="841"/>
    </row>
    <row r="6452" spans="1:1" x14ac:dyDescent="0.25">
      <c r="A6452" s="841"/>
    </row>
    <row r="6453" spans="1:1" x14ac:dyDescent="0.25">
      <c r="A6453" s="841"/>
    </row>
    <row r="6454" spans="1:1" x14ac:dyDescent="0.25">
      <c r="A6454" s="841"/>
    </row>
    <row r="6455" spans="1:1" x14ac:dyDescent="0.25">
      <c r="A6455" s="841"/>
    </row>
    <row r="6456" spans="1:1" x14ac:dyDescent="0.25">
      <c r="A6456" s="841"/>
    </row>
    <row r="6457" spans="1:1" x14ac:dyDescent="0.25">
      <c r="A6457" s="841"/>
    </row>
    <row r="6458" spans="1:1" x14ac:dyDescent="0.25">
      <c r="A6458" s="841"/>
    </row>
    <row r="6459" spans="1:1" x14ac:dyDescent="0.25">
      <c r="A6459" s="841"/>
    </row>
    <row r="6460" spans="1:1" x14ac:dyDescent="0.25">
      <c r="A6460" s="841"/>
    </row>
    <row r="6461" spans="1:1" x14ac:dyDescent="0.25">
      <c r="A6461" s="841"/>
    </row>
    <row r="6462" spans="1:1" x14ac:dyDescent="0.25">
      <c r="A6462" s="841"/>
    </row>
    <row r="6463" spans="1:1" x14ac:dyDescent="0.25">
      <c r="A6463" s="841"/>
    </row>
    <row r="6464" spans="1:1" x14ac:dyDescent="0.25">
      <c r="A6464" s="841"/>
    </row>
    <row r="6465" spans="1:1" x14ac:dyDescent="0.25">
      <c r="A6465" s="841"/>
    </row>
    <row r="6466" spans="1:1" x14ac:dyDescent="0.25">
      <c r="A6466" s="841"/>
    </row>
    <row r="6467" spans="1:1" x14ac:dyDescent="0.25">
      <c r="A6467" s="841"/>
    </row>
    <row r="6468" spans="1:1" x14ac:dyDescent="0.25">
      <c r="A6468" s="841"/>
    </row>
    <row r="6469" spans="1:1" x14ac:dyDescent="0.25">
      <c r="A6469" s="841"/>
    </row>
    <row r="6470" spans="1:1" x14ac:dyDescent="0.25">
      <c r="A6470" s="841"/>
    </row>
    <row r="6471" spans="1:1" x14ac:dyDescent="0.25">
      <c r="A6471" s="841"/>
    </row>
    <row r="6472" spans="1:1" x14ac:dyDescent="0.25">
      <c r="A6472" s="841"/>
    </row>
    <row r="6473" spans="1:1" x14ac:dyDescent="0.25">
      <c r="A6473" s="841"/>
    </row>
    <row r="6474" spans="1:1" x14ac:dyDescent="0.25">
      <c r="A6474" s="841"/>
    </row>
    <row r="6475" spans="1:1" x14ac:dyDescent="0.25">
      <c r="A6475" s="841"/>
    </row>
    <row r="6476" spans="1:1" x14ac:dyDescent="0.25">
      <c r="A6476" s="841"/>
    </row>
    <row r="6477" spans="1:1" x14ac:dyDescent="0.25">
      <c r="A6477" s="841"/>
    </row>
    <row r="6478" spans="1:1" x14ac:dyDescent="0.25">
      <c r="A6478" s="841"/>
    </row>
    <row r="6479" spans="1:1" x14ac:dyDescent="0.25">
      <c r="A6479" s="841"/>
    </row>
    <row r="6480" spans="1:1" x14ac:dyDescent="0.25">
      <c r="A6480" s="841"/>
    </row>
    <row r="6481" spans="1:1" x14ac:dyDescent="0.25">
      <c r="A6481" s="841"/>
    </row>
    <row r="6482" spans="1:1" x14ac:dyDescent="0.25">
      <c r="A6482" s="841"/>
    </row>
    <row r="6483" spans="1:1" x14ac:dyDescent="0.25">
      <c r="A6483" s="841"/>
    </row>
    <row r="6484" spans="1:1" x14ac:dyDescent="0.25">
      <c r="A6484" s="841"/>
    </row>
    <row r="6485" spans="1:1" x14ac:dyDescent="0.25">
      <c r="A6485" s="841"/>
    </row>
    <row r="6486" spans="1:1" x14ac:dyDescent="0.25">
      <c r="A6486" s="841"/>
    </row>
    <row r="6487" spans="1:1" x14ac:dyDescent="0.25">
      <c r="A6487" s="841"/>
    </row>
    <row r="6488" spans="1:1" x14ac:dyDescent="0.25">
      <c r="A6488" s="841"/>
    </row>
    <row r="6489" spans="1:1" x14ac:dyDescent="0.25">
      <c r="A6489" s="841"/>
    </row>
    <row r="6490" spans="1:1" x14ac:dyDescent="0.25">
      <c r="A6490" s="841"/>
    </row>
    <row r="6491" spans="1:1" x14ac:dyDescent="0.25">
      <c r="A6491" s="841"/>
    </row>
    <row r="6492" spans="1:1" x14ac:dyDescent="0.25">
      <c r="A6492" s="841"/>
    </row>
    <row r="6493" spans="1:1" x14ac:dyDescent="0.25">
      <c r="A6493" s="841"/>
    </row>
    <row r="6494" spans="1:1" x14ac:dyDescent="0.25">
      <c r="A6494" s="841"/>
    </row>
    <row r="6495" spans="1:1" x14ac:dyDescent="0.25">
      <c r="A6495" s="841"/>
    </row>
    <row r="6496" spans="1:1" x14ac:dyDescent="0.25">
      <c r="A6496" s="841"/>
    </row>
    <row r="6497" spans="1:1" x14ac:dyDescent="0.25">
      <c r="A6497" s="841"/>
    </row>
    <row r="6498" spans="1:1" x14ac:dyDescent="0.25">
      <c r="A6498" s="841"/>
    </row>
    <row r="6499" spans="1:1" x14ac:dyDescent="0.25">
      <c r="A6499" s="841"/>
    </row>
    <row r="6500" spans="1:1" x14ac:dyDescent="0.25">
      <c r="A6500" s="841"/>
    </row>
    <row r="6501" spans="1:1" x14ac:dyDescent="0.25">
      <c r="A6501" s="841"/>
    </row>
    <row r="6502" spans="1:1" x14ac:dyDescent="0.25">
      <c r="A6502" s="841"/>
    </row>
    <row r="6503" spans="1:1" x14ac:dyDescent="0.25">
      <c r="A6503" s="841"/>
    </row>
    <row r="6504" spans="1:1" x14ac:dyDescent="0.25">
      <c r="A6504" s="841"/>
    </row>
    <row r="6505" spans="1:1" x14ac:dyDescent="0.25">
      <c r="A6505" s="841"/>
    </row>
    <row r="6506" spans="1:1" x14ac:dyDescent="0.25">
      <c r="A6506" s="841"/>
    </row>
    <row r="6507" spans="1:1" x14ac:dyDescent="0.25">
      <c r="A6507" s="841"/>
    </row>
    <row r="6508" spans="1:1" x14ac:dyDescent="0.25">
      <c r="A6508" s="841"/>
    </row>
    <row r="6509" spans="1:1" x14ac:dyDescent="0.25">
      <c r="A6509" s="841"/>
    </row>
    <row r="6510" spans="1:1" x14ac:dyDescent="0.25">
      <c r="A6510" s="841"/>
    </row>
    <row r="6511" spans="1:1" x14ac:dyDescent="0.25">
      <c r="A6511" s="841"/>
    </row>
    <row r="6512" spans="1:1" x14ac:dyDescent="0.25">
      <c r="A6512" s="841"/>
    </row>
    <row r="6513" spans="1:1" x14ac:dyDescent="0.25">
      <c r="A6513" s="841"/>
    </row>
    <row r="6514" spans="1:1" x14ac:dyDescent="0.25">
      <c r="A6514" s="841"/>
    </row>
    <row r="6515" spans="1:1" x14ac:dyDescent="0.25">
      <c r="A6515" s="841"/>
    </row>
    <row r="6516" spans="1:1" x14ac:dyDescent="0.25">
      <c r="A6516" s="841"/>
    </row>
    <row r="6517" spans="1:1" x14ac:dyDescent="0.25">
      <c r="A6517" s="841"/>
    </row>
    <row r="6518" spans="1:1" x14ac:dyDescent="0.25">
      <c r="A6518" s="841"/>
    </row>
    <row r="6519" spans="1:1" x14ac:dyDescent="0.25">
      <c r="A6519" s="841"/>
    </row>
    <row r="6520" spans="1:1" x14ac:dyDescent="0.25">
      <c r="A6520" s="841"/>
    </row>
    <row r="6521" spans="1:1" x14ac:dyDescent="0.25">
      <c r="A6521" s="841"/>
    </row>
    <row r="6522" spans="1:1" x14ac:dyDescent="0.25">
      <c r="A6522" s="841"/>
    </row>
    <row r="6523" spans="1:1" x14ac:dyDescent="0.25">
      <c r="A6523" s="841"/>
    </row>
    <row r="6524" spans="1:1" x14ac:dyDescent="0.25">
      <c r="A6524" s="841"/>
    </row>
    <row r="6525" spans="1:1" x14ac:dyDescent="0.25">
      <c r="A6525" s="841"/>
    </row>
    <row r="6526" spans="1:1" x14ac:dyDescent="0.25">
      <c r="A6526" s="841"/>
    </row>
    <row r="6527" spans="1:1" x14ac:dyDescent="0.25">
      <c r="A6527" s="841"/>
    </row>
    <row r="6528" spans="1:1" x14ac:dyDescent="0.25">
      <c r="A6528" s="841"/>
    </row>
    <row r="6529" spans="1:1" x14ac:dyDescent="0.25">
      <c r="A6529" s="841"/>
    </row>
    <row r="6530" spans="1:1" x14ac:dyDescent="0.25">
      <c r="A6530" s="841"/>
    </row>
    <row r="6531" spans="1:1" x14ac:dyDescent="0.25">
      <c r="A6531" s="841"/>
    </row>
    <row r="6532" spans="1:1" x14ac:dyDescent="0.25">
      <c r="A6532" s="841"/>
    </row>
    <row r="6533" spans="1:1" x14ac:dyDescent="0.25">
      <c r="A6533" s="841"/>
    </row>
    <row r="6534" spans="1:1" x14ac:dyDescent="0.25">
      <c r="A6534" s="841"/>
    </row>
    <row r="6535" spans="1:1" x14ac:dyDescent="0.25">
      <c r="A6535" s="841"/>
    </row>
    <row r="6536" spans="1:1" x14ac:dyDescent="0.25">
      <c r="A6536" s="841"/>
    </row>
    <row r="6537" spans="1:1" x14ac:dyDescent="0.25">
      <c r="A6537" s="841"/>
    </row>
    <row r="6538" spans="1:1" x14ac:dyDescent="0.25">
      <c r="A6538" s="841"/>
    </row>
    <row r="6539" spans="1:1" x14ac:dyDescent="0.25">
      <c r="A6539" s="841"/>
    </row>
    <row r="6540" spans="1:1" x14ac:dyDescent="0.25">
      <c r="A6540" s="841"/>
    </row>
    <row r="6541" spans="1:1" x14ac:dyDescent="0.25">
      <c r="A6541" s="841"/>
    </row>
    <row r="6542" spans="1:1" x14ac:dyDescent="0.25">
      <c r="A6542" s="841"/>
    </row>
    <row r="6543" spans="1:1" x14ac:dyDescent="0.25">
      <c r="A6543" s="841"/>
    </row>
    <row r="6544" spans="1:1" x14ac:dyDescent="0.25">
      <c r="A6544" s="841"/>
    </row>
    <row r="6545" spans="1:1" x14ac:dyDescent="0.25">
      <c r="A6545" s="841"/>
    </row>
    <row r="6546" spans="1:1" x14ac:dyDescent="0.25">
      <c r="A6546" s="841"/>
    </row>
    <row r="6547" spans="1:1" x14ac:dyDescent="0.25">
      <c r="A6547" s="841"/>
    </row>
    <row r="6548" spans="1:1" x14ac:dyDescent="0.25">
      <c r="A6548" s="841"/>
    </row>
    <row r="6549" spans="1:1" x14ac:dyDescent="0.25">
      <c r="A6549" s="841"/>
    </row>
    <row r="6550" spans="1:1" x14ac:dyDescent="0.25">
      <c r="A6550" s="841"/>
    </row>
    <row r="6551" spans="1:1" x14ac:dyDescent="0.25">
      <c r="A6551" s="841"/>
    </row>
    <row r="6552" spans="1:1" x14ac:dyDescent="0.25">
      <c r="A6552" s="841"/>
    </row>
    <row r="6553" spans="1:1" x14ac:dyDescent="0.25">
      <c r="A6553" s="841"/>
    </row>
    <row r="6554" spans="1:1" x14ac:dyDescent="0.25">
      <c r="A6554" s="841"/>
    </row>
    <row r="6555" spans="1:1" x14ac:dyDescent="0.25">
      <c r="A6555" s="841"/>
    </row>
    <row r="6556" spans="1:1" x14ac:dyDescent="0.25">
      <c r="A6556" s="841"/>
    </row>
    <row r="6557" spans="1:1" x14ac:dyDescent="0.25">
      <c r="A6557" s="841"/>
    </row>
    <row r="6558" spans="1:1" x14ac:dyDescent="0.25">
      <c r="A6558" s="841"/>
    </row>
    <row r="6559" spans="1:1" x14ac:dyDescent="0.25">
      <c r="A6559" s="841"/>
    </row>
    <row r="6560" spans="1:1" x14ac:dyDescent="0.25">
      <c r="A6560" s="841"/>
    </row>
    <row r="6561" spans="1:1" x14ac:dyDescent="0.25">
      <c r="A6561" s="841"/>
    </row>
    <row r="6562" spans="1:1" x14ac:dyDescent="0.25">
      <c r="A6562" s="841"/>
    </row>
    <row r="6563" spans="1:1" x14ac:dyDescent="0.25">
      <c r="A6563" s="841"/>
    </row>
    <row r="6564" spans="1:1" x14ac:dyDescent="0.25">
      <c r="A6564" s="841"/>
    </row>
    <row r="6565" spans="1:1" x14ac:dyDescent="0.25">
      <c r="A6565" s="841"/>
    </row>
    <row r="6566" spans="1:1" x14ac:dyDescent="0.25">
      <c r="A6566" s="841"/>
    </row>
    <row r="6567" spans="1:1" x14ac:dyDescent="0.25">
      <c r="A6567" s="841"/>
    </row>
    <row r="6568" spans="1:1" x14ac:dyDescent="0.25">
      <c r="A6568" s="841"/>
    </row>
    <row r="6569" spans="1:1" x14ac:dyDescent="0.25">
      <c r="A6569" s="841"/>
    </row>
    <row r="6570" spans="1:1" x14ac:dyDescent="0.25">
      <c r="A6570" s="841"/>
    </row>
    <row r="6571" spans="1:1" x14ac:dyDescent="0.25">
      <c r="A6571" s="841"/>
    </row>
    <row r="6572" spans="1:1" x14ac:dyDescent="0.25">
      <c r="A6572" s="841"/>
    </row>
    <row r="6573" spans="1:1" x14ac:dyDescent="0.25">
      <c r="A6573" s="841"/>
    </row>
    <row r="6574" spans="1:1" x14ac:dyDescent="0.25">
      <c r="A6574" s="841"/>
    </row>
    <row r="6575" spans="1:1" x14ac:dyDescent="0.25">
      <c r="A6575" s="841"/>
    </row>
    <row r="6576" spans="1:1" x14ac:dyDescent="0.25">
      <c r="A6576" s="841"/>
    </row>
    <row r="6577" spans="1:1" x14ac:dyDescent="0.25">
      <c r="A6577" s="841"/>
    </row>
    <row r="6578" spans="1:1" x14ac:dyDescent="0.25">
      <c r="A6578" s="841"/>
    </row>
    <row r="6579" spans="1:1" x14ac:dyDescent="0.25">
      <c r="A6579" s="841"/>
    </row>
    <row r="6580" spans="1:1" x14ac:dyDescent="0.25">
      <c r="A6580" s="841"/>
    </row>
    <row r="6581" spans="1:1" x14ac:dyDescent="0.25">
      <c r="A6581" s="841"/>
    </row>
    <row r="6582" spans="1:1" x14ac:dyDescent="0.25">
      <c r="A6582" s="841"/>
    </row>
    <row r="6583" spans="1:1" x14ac:dyDescent="0.25">
      <c r="A6583" s="841"/>
    </row>
    <row r="6584" spans="1:1" x14ac:dyDescent="0.25">
      <c r="A6584" s="841"/>
    </row>
    <row r="6585" spans="1:1" x14ac:dyDescent="0.25">
      <c r="A6585" s="841"/>
    </row>
    <row r="6586" spans="1:1" x14ac:dyDescent="0.25">
      <c r="A6586" s="841"/>
    </row>
    <row r="6587" spans="1:1" x14ac:dyDescent="0.25">
      <c r="A6587" s="841"/>
    </row>
    <row r="6588" spans="1:1" x14ac:dyDescent="0.25">
      <c r="A6588" s="841"/>
    </row>
    <row r="6589" spans="1:1" x14ac:dyDescent="0.25">
      <c r="A6589" s="841"/>
    </row>
    <row r="6590" spans="1:1" x14ac:dyDescent="0.25">
      <c r="A6590" s="841"/>
    </row>
    <row r="6591" spans="1:1" x14ac:dyDescent="0.25">
      <c r="A6591" s="841"/>
    </row>
    <row r="6592" spans="1:1" x14ac:dyDescent="0.25">
      <c r="A6592" s="841"/>
    </row>
    <row r="6593" spans="1:1" x14ac:dyDescent="0.25">
      <c r="A6593" s="841"/>
    </row>
    <row r="6594" spans="1:1" x14ac:dyDescent="0.25">
      <c r="A6594" s="841"/>
    </row>
    <row r="6595" spans="1:1" x14ac:dyDescent="0.25">
      <c r="A6595" s="841"/>
    </row>
    <row r="6596" spans="1:1" x14ac:dyDescent="0.25">
      <c r="A6596" s="841"/>
    </row>
    <row r="6597" spans="1:1" x14ac:dyDescent="0.25">
      <c r="A6597" s="841"/>
    </row>
    <row r="6598" spans="1:1" x14ac:dyDescent="0.25">
      <c r="A6598" s="841"/>
    </row>
    <row r="6599" spans="1:1" x14ac:dyDescent="0.25">
      <c r="A6599" s="841"/>
    </row>
    <row r="6600" spans="1:1" x14ac:dyDescent="0.25">
      <c r="A6600" s="841"/>
    </row>
    <row r="6601" spans="1:1" x14ac:dyDescent="0.25">
      <c r="A6601" s="841"/>
    </row>
    <row r="6602" spans="1:1" x14ac:dyDescent="0.25">
      <c r="A6602" s="841"/>
    </row>
    <row r="6603" spans="1:1" x14ac:dyDescent="0.25">
      <c r="A6603" s="841"/>
    </row>
    <row r="6604" spans="1:1" x14ac:dyDescent="0.25">
      <c r="A6604" s="841"/>
    </row>
    <row r="6605" spans="1:1" x14ac:dyDescent="0.25">
      <c r="A6605" s="841"/>
    </row>
    <row r="6606" spans="1:1" x14ac:dyDescent="0.25">
      <c r="A6606" s="841"/>
    </row>
    <row r="6607" spans="1:1" x14ac:dyDescent="0.25">
      <c r="A6607" s="841"/>
    </row>
    <row r="6608" spans="1:1" x14ac:dyDescent="0.25">
      <c r="A6608" s="841"/>
    </row>
    <row r="6609" spans="1:1" x14ac:dyDescent="0.25">
      <c r="A6609" s="841"/>
    </row>
    <row r="6610" spans="1:1" x14ac:dyDescent="0.25">
      <c r="A6610" s="841"/>
    </row>
    <row r="6611" spans="1:1" x14ac:dyDescent="0.25">
      <c r="A6611" s="841"/>
    </row>
    <row r="6612" spans="1:1" x14ac:dyDescent="0.25">
      <c r="A6612" s="841"/>
    </row>
    <row r="6613" spans="1:1" x14ac:dyDescent="0.25">
      <c r="A6613" s="841"/>
    </row>
    <row r="6614" spans="1:1" x14ac:dyDescent="0.25">
      <c r="A6614" s="841"/>
    </row>
    <row r="6615" spans="1:1" x14ac:dyDescent="0.25">
      <c r="A6615" s="841"/>
    </row>
    <row r="6616" spans="1:1" x14ac:dyDescent="0.25">
      <c r="A6616" s="841"/>
    </row>
    <row r="6617" spans="1:1" x14ac:dyDescent="0.25">
      <c r="A6617" s="841"/>
    </row>
    <row r="6618" spans="1:1" x14ac:dyDescent="0.25">
      <c r="A6618" s="841"/>
    </row>
    <row r="6619" spans="1:1" x14ac:dyDescent="0.25">
      <c r="A6619" s="841"/>
    </row>
    <row r="6620" spans="1:1" x14ac:dyDescent="0.25">
      <c r="A6620" s="841"/>
    </row>
    <row r="6621" spans="1:1" x14ac:dyDescent="0.25">
      <c r="A6621" s="841"/>
    </row>
    <row r="6622" spans="1:1" x14ac:dyDescent="0.25">
      <c r="A6622" s="841"/>
    </row>
    <row r="6623" spans="1:1" x14ac:dyDescent="0.25">
      <c r="A6623" s="841"/>
    </row>
    <row r="6624" spans="1:1" x14ac:dyDescent="0.25">
      <c r="A6624" s="841"/>
    </row>
    <row r="6625" spans="1:1" x14ac:dyDescent="0.25">
      <c r="A6625" s="841"/>
    </row>
    <row r="6626" spans="1:1" x14ac:dyDescent="0.25">
      <c r="A6626" s="841"/>
    </row>
    <row r="6627" spans="1:1" x14ac:dyDescent="0.25">
      <c r="A6627" s="841"/>
    </row>
    <row r="6628" spans="1:1" x14ac:dyDescent="0.25">
      <c r="A6628" s="841"/>
    </row>
    <row r="6629" spans="1:1" x14ac:dyDescent="0.25">
      <c r="A6629" s="841"/>
    </row>
    <row r="6630" spans="1:1" x14ac:dyDescent="0.25">
      <c r="A6630" s="841"/>
    </row>
    <row r="6631" spans="1:1" x14ac:dyDescent="0.25">
      <c r="A6631" s="841"/>
    </row>
    <row r="6632" spans="1:1" x14ac:dyDescent="0.25">
      <c r="A6632" s="841"/>
    </row>
    <row r="6633" spans="1:1" x14ac:dyDescent="0.25">
      <c r="A6633" s="841"/>
    </row>
    <row r="6634" spans="1:1" x14ac:dyDescent="0.25">
      <c r="A6634" s="841"/>
    </row>
    <row r="6635" spans="1:1" x14ac:dyDescent="0.25">
      <c r="A6635" s="841"/>
    </row>
    <row r="6636" spans="1:1" x14ac:dyDescent="0.25">
      <c r="A6636" s="841"/>
    </row>
    <row r="6637" spans="1:1" x14ac:dyDescent="0.25">
      <c r="A6637" s="841"/>
    </row>
    <row r="6638" spans="1:1" x14ac:dyDescent="0.25">
      <c r="A6638" s="841"/>
    </row>
    <row r="6639" spans="1:1" x14ac:dyDescent="0.25">
      <c r="A6639" s="841"/>
    </row>
    <row r="6640" spans="1:1" x14ac:dyDescent="0.25">
      <c r="A6640" s="841"/>
    </row>
    <row r="6641" spans="1:1" x14ac:dyDescent="0.25">
      <c r="A6641" s="841"/>
    </row>
    <row r="6642" spans="1:1" x14ac:dyDescent="0.25">
      <c r="A6642" s="841"/>
    </row>
    <row r="6643" spans="1:1" x14ac:dyDescent="0.25">
      <c r="A6643" s="841"/>
    </row>
    <row r="6644" spans="1:1" x14ac:dyDescent="0.25">
      <c r="A6644" s="841"/>
    </row>
    <row r="6645" spans="1:1" x14ac:dyDescent="0.25">
      <c r="A6645" s="841"/>
    </row>
    <row r="6646" spans="1:1" x14ac:dyDescent="0.25">
      <c r="A6646" s="841"/>
    </row>
    <row r="6647" spans="1:1" x14ac:dyDescent="0.25">
      <c r="A6647" s="841"/>
    </row>
    <row r="6648" spans="1:1" x14ac:dyDescent="0.25">
      <c r="A6648" s="841"/>
    </row>
    <row r="6649" spans="1:1" x14ac:dyDescent="0.25">
      <c r="A6649" s="841"/>
    </row>
    <row r="6650" spans="1:1" x14ac:dyDescent="0.25">
      <c r="A6650" s="841"/>
    </row>
    <row r="6651" spans="1:1" x14ac:dyDescent="0.25">
      <c r="A6651" s="841"/>
    </row>
    <row r="6652" spans="1:1" x14ac:dyDescent="0.25">
      <c r="A6652" s="841"/>
    </row>
    <row r="6653" spans="1:1" x14ac:dyDescent="0.25">
      <c r="A6653" s="841"/>
    </row>
    <row r="6654" spans="1:1" x14ac:dyDescent="0.25">
      <c r="A6654" s="841"/>
    </row>
    <row r="6655" spans="1:1" x14ac:dyDescent="0.25">
      <c r="A6655" s="841"/>
    </row>
    <row r="6656" spans="1:1" x14ac:dyDescent="0.25">
      <c r="A6656" s="841"/>
    </row>
    <row r="6657" spans="1:1" x14ac:dyDescent="0.25">
      <c r="A6657" s="841"/>
    </row>
    <row r="6658" spans="1:1" x14ac:dyDescent="0.25">
      <c r="A6658" s="841"/>
    </row>
    <row r="6659" spans="1:1" x14ac:dyDescent="0.25">
      <c r="A6659" s="841"/>
    </row>
    <row r="6660" spans="1:1" x14ac:dyDescent="0.25">
      <c r="A6660" s="841"/>
    </row>
    <row r="6661" spans="1:1" x14ac:dyDescent="0.25">
      <c r="A6661" s="841"/>
    </row>
    <row r="6662" spans="1:1" x14ac:dyDescent="0.25">
      <c r="A6662" s="841"/>
    </row>
    <row r="6663" spans="1:1" x14ac:dyDescent="0.25">
      <c r="A6663" s="841"/>
    </row>
    <row r="6664" spans="1:1" x14ac:dyDescent="0.25">
      <c r="A6664" s="841"/>
    </row>
    <row r="6665" spans="1:1" x14ac:dyDescent="0.25">
      <c r="A6665" s="841"/>
    </row>
    <row r="6666" spans="1:1" x14ac:dyDescent="0.25">
      <c r="A6666" s="841"/>
    </row>
    <row r="6667" spans="1:1" x14ac:dyDescent="0.25">
      <c r="A6667" s="841"/>
    </row>
    <row r="6668" spans="1:1" x14ac:dyDescent="0.25">
      <c r="A6668" s="841"/>
    </row>
    <row r="6669" spans="1:1" x14ac:dyDescent="0.25">
      <c r="A6669" s="841"/>
    </row>
    <row r="6670" spans="1:1" x14ac:dyDescent="0.25">
      <c r="A6670" s="841"/>
    </row>
    <row r="6671" spans="1:1" x14ac:dyDescent="0.25">
      <c r="A6671" s="841"/>
    </row>
    <row r="6672" spans="1:1" x14ac:dyDescent="0.25">
      <c r="A6672" s="841"/>
    </row>
    <row r="6673" spans="1:1" x14ac:dyDescent="0.25">
      <c r="A6673" s="841"/>
    </row>
    <row r="6674" spans="1:1" x14ac:dyDescent="0.25">
      <c r="A6674" s="841"/>
    </row>
    <row r="6675" spans="1:1" x14ac:dyDescent="0.25">
      <c r="A6675" s="841"/>
    </row>
    <row r="6676" spans="1:1" x14ac:dyDescent="0.25">
      <c r="A6676" s="841"/>
    </row>
    <row r="6677" spans="1:1" x14ac:dyDescent="0.25">
      <c r="A6677" s="841"/>
    </row>
    <row r="6678" spans="1:1" x14ac:dyDescent="0.25">
      <c r="A6678" s="841"/>
    </row>
    <row r="6679" spans="1:1" x14ac:dyDescent="0.25">
      <c r="A6679" s="841"/>
    </row>
    <row r="6680" spans="1:1" x14ac:dyDescent="0.25">
      <c r="A6680" s="841"/>
    </row>
    <row r="6681" spans="1:1" x14ac:dyDescent="0.25">
      <c r="A6681" s="841"/>
    </row>
    <row r="6682" spans="1:1" x14ac:dyDescent="0.25">
      <c r="A6682" s="841"/>
    </row>
    <row r="6683" spans="1:1" x14ac:dyDescent="0.25">
      <c r="A6683" s="841"/>
    </row>
    <row r="6684" spans="1:1" x14ac:dyDescent="0.25">
      <c r="A6684" s="841"/>
    </row>
    <row r="6685" spans="1:1" x14ac:dyDescent="0.25">
      <c r="A6685" s="841"/>
    </row>
    <row r="6686" spans="1:1" x14ac:dyDescent="0.25">
      <c r="A6686" s="841"/>
    </row>
    <row r="6687" spans="1:1" x14ac:dyDescent="0.25">
      <c r="A6687" s="841"/>
    </row>
    <row r="6688" spans="1:1" x14ac:dyDescent="0.25">
      <c r="A6688" s="841"/>
    </row>
    <row r="6689" spans="1:1" x14ac:dyDescent="0.25">
      <c r="A6689" s="841"/>
    </row>
    <row r="6690" spans="1:1" x14ac:dyDescent="0.25">
      <c r="A6690" s="841"/>
    </row>
    <row r="6691" spans="1:1" x14ac:dyDescent="0.25">
      <c r="A6691" s="841"/>
    </row>
    <row r="6692" spans="1:1" x14ac:dyDescent="0.25">
      <c r="A6692" s="841"/>
    </row>
    <row r="6693" spans="1:1" x14ac:dyDescent="0.25">
      <c r="A6693" s="841"/>
    </row>
    <row r="6694" spans="1:1" x14ac:dyDescent="0.25">
      <c r="A6694" s="841"/>
    </row>
    <row r="6695" spans="1:1" x14ac:dyDescent="0.25">
      <c r="A6695" s="841"/>
    </row>
    <row r="6696" spans="1:1" x14ac:dyDescent="0.25">
      <c r="A6696" s="841"/>
    </row>
    <row r="6697" spans="1:1" x14ac:dyDescent="0.25">
      <c r="A6697" s="841"/>
    </row>
    <row r="6698" spans="1:1" x14ac:dyDescent="0.25">
      <c r="A6698" s="841"/>
    </row>
    <row r="6699" spans="1:1" x14ac:dyDescent="0.25">
      <c r="A6699" s="841"/>
    </row>
    <row r="6700" spans="1:1" x14ac:dyDescent="0.25">
      <c r="A6700" s="841"/>
    </row>
    <row r="6701" spans="1:1" x14ac:dyDescent="0.25">
      <c r="A6701" s="841"/>
    </row>
    <row r="6702" spans="1:1" x14ac:dyDescent="0.25">
      <c r="A6702" s="841"/>
    </row>
    <row r="6703" spans="1:1" x14ac:dyDescent="0.25">
      <c r="A6703" s="841"/>
    </row>
    <row r="6704" spans="1:1" x14ac:dyDescent="0.25">
      <c r="A6704" s="841"/>
    </row>
    <row r="6705" spans="1:1" x14ac:dyDescent="0.25">
      <c r="A6705" s="841"/>
    </row>
    <row r="6706" spans="1:1" x14ac:dyDescent="0.25">
      <c r="A6706" s="841"/>
    </row>
    <row r="6707" spans="1:1" x14ac:dyDescent="0.25">
      <c r="A6707" s="841"/>
    </row>
    <row r="6708" spans="1:1" x14ac:dyDescent="0.25">
      <c r="A6708" s="841"/>
    </row>
    <row r="6709" spans="1:1" x14ac:dyDescent="0.25">
      <c r="A6709" s="841"/>
    </row>
    <row r="6710" spans="1:1" x14ac:dyDescent="0.25">
      <c r="A6710" s="841"/>
    </row>
    <row r="6711" spans="1:1" x14ac:dyDescent="0.25">
      <c r="A6711" s="841"/>
    </row>
    <row r="6712" spans="1:1" x14ac:dyDescent="0.25">
      <c r="A6712" s="841"/>
    </row>
    <row r="6713" spans="1:1" x14ac:dyDescent="0.25">
      <c r="A6713" s="841"/>
    </row>
    <row r="6714" spans="1:1" x14ac:dyDescent="0.25">
      <c r="A6714" s="841"/>
    </row>
    <row r="6715" spans="1:1" x14ac:dyDescent="0.25">
      <c r="A6715" s="841"/>
    </row>
    <row r="6716" spans="1:1" x14ac:dyDescent="0.25">
      <c r="A6716" s="841"/>
    </row>
    <row r="6717" spans="1:1" x14ac:dyDescent="0.25">
      <c r="A6717" s="841"/>
    </row>
    <row r="6718" spans="1:1" x14ac:dyDescent="0.25">
      <c r="A6718" s="841"/>
    </row>
    <row r="6719" spans="1:1" x14ac:dyDescent="0.25">
      <c r="A6719" s="841"/>
    </row>
    <row r="6720" spans="1:1" x14ac:dyDescent="0.25">
      <c r="A6720" s="841"/>
    </row>
    <row r="6721" spans="1:1" x14ac:dyDescent="0.25">
      <c r="A6721" s="841"/>
    </row>
    <row r="6722" spans="1:1" x14ac:dyDescent="0.25">
      <c r="A6722" s="841"/>
    </row>
    <row r="6723" spans="1:1" x14ac:dyDescent="0.25">
      <c r="A6723" s="841"/>
    </row>
    <row r="6724" spans="1:1" x14ac:dyDescent="0.25">
      <c r="A6724" s="841"/>
    </row>
    <row r="6725" spans="1:1" x14ac:dyDescent="0.25">
      <c r="A6725" s="841"/>
    </row>
    <row r="6726" spans="1:1" x14ac:dyDescent="0.25">
      <c r="A6726" s="841"/>
    </row>
    <row r="6727" spans="1:1" x14ac:dyDescent="0.25">
      <c r="A6727" s="841"/>
    </row>
    <row r="6728" spans="1:1" x14ac:dyDescent="0.25">
      <c r="A6728" s="841"/>
    </row>
    <row r="6729" spans="1:1" x14ac:dyDescent="0.25">
      <c r="A6729" s="841"/>
    </row>
    <row r="6730" spans="1:1" x14ac:dyDescent="0.25">
      <c r="A6730" s="841"/>
    </row>
    <row r="6731" spans="1:1" x14ac:dyDescent="0.25">
      <c r="A6731" s="841"/>
    </row>
    <row r="6732" spans="1:1" x14ac:dyDescent="0.25">
      <c r="A6732" s="841"/>
    </row>
    <row r="6733" spans="1:1" x14ac:dyDescent="0.25">
      <c r="A6733" s="841"/>
    </row>
    <row r="6734" spans="1:1" x14ac:dyDescent="0.25">
      <c r="A6734" s="841"/>
    </row>
    <row r="6735" spans="1:1" x14ac:dyDescent="0.25">
      <c r="A6735" s="841"/>
    </row>
    <row r="6736" spans="1:1" x14ac:dyDescent="0.25">
      <c r="A6736" s="841"/>
    </row>
    <row r="6737" spans="1:1" x14ac:dyDescent="0.25">
      <c r="A6737" s="841"/>
    </row>
    <row r="6738" spans="1:1" x14ac:dyDescent="0.25">
      <c r="A6738" s="841"/>
    </row>
    <row r="6739" spans="1:1" x14ac:dyDescent="0.25">
      <c r="A6739" s="841"/>
    </row>
    <row r="6740" spans="1:1" x14ac:dyDescent="0.25">
      <c r="A6740" s="841"/>
    </row>
    <row r="6741" spans="1:1" x14ac:dyDescent="0.25">
      <c r="A6741" s="841"/>
    </row>
    <row r="6742" spans="1:1" x14ac:dyDescent="0.25">
      <c r="A6742" s="841"/>
    </row>
    <row r="6743" spans="1:1" x14ac:dyDescent="0.25">
      <c r="A6743" s="841"/>
    </row>
    <row r="6744" spans="1:1" x14ac:dyDescent="0.25">
      <c r="A6744" s="841"/>
    </row>
    <row r="6745" spans="1:1" x14ac:dyDescent="0.25">
      <c r="A6745" s="841"/>
    </row>
    <row r="6746" spans="1:1" x14ac:dyDescent="0.25">
      <c r="A6746" s="841"/>
    </row>
    <row r="6747" spans="1:1" x14ac:dyDescent="0.25">
      <c r="A6747" s="841"/>
    </row>
    <row r="6748" spans="1:1" x14ac:dyDescent="0.25">
      <c r="A6748" s="841"/>
    </row>
    <row r="6749" spans="1:1" x14ac:dyDescent="0.25">
      <c r="A6749" s="841"/>
    </row>
    <row r="6750" spans="1:1" x14ac:dyDescent="0.25">
      <c r="A6750" s="841"/>
    </row>
    <row r="6751" spans="1:1" x14ac:dyDescent="0.25">
      <c r="A6751" s="841"/>
    </row>
    <row r="6752" spans="1:1" x14ac:dyDescent="0.25">
      <c r="A6752" s="841"/>
    </row>
    <row r="6753" spans="1:1" x14ac:dyDescent="0.25">
      <c r="A6753" s="841"/>
    </row>
    <row r="6754" spans="1:1" x14ac:dyDescent="0.25">
      <c r="A6754" s="841"/>
    </row>
    <row r="6755" spans="1:1" x14ac:dyDescent="0.25">
      <c r="A6755" s="841"/>
    </row>
    <row r="6756" spans="1:1" x14ac:dyDescent="0.25">
      <c r="A6756" s="841"/>
    </row>
    <row r="6757" spans="1:1" x14ac:dyDescent="0.25">
      <c r="A6757" s="841"/>
    </row>
    <row r="6758" spans="1:1" x14ac:dyDescent="0.25">
      <c r="A6758" s="841"/>
    </row>
    <row r="6759" spans="1:1" x14ac:dyDescent="0.25">
      <c r="A6759" s="841"/>
    </row>
    <row r="6760" spans="1:1" x14ac:dyDescent="0.25">
      <c r="A6760" s="841"/>
    </row>
    <row r="6761" spans="1:1" x14ac:dyDescent="0.25">
      <c r="A6761" s="841"/>
    </row>
    <row r="6762" spans="1:1" x14ac:dyDescent="0.25">
      <c r="A6762" s="841"/>
    </row>
    <row r="6763" spans="1:1" x14ac:dyDescent="0.25">
      <c r="A6763" s="841"/>
    </row>
    <row r="6764" spans="1:1" x14ac:dyDescent="0.25">
      <c r="A6764" s="841"/>
    </row>
    <row r="6765" spans="1:1" x14ac:dyDescent="0.25">
      <c r="A6765" s="841"/>
    </row>
    <row r="6766" spans="1:1" x14ac:dyDescent="0.25">
      <c r="A6766" s="841"/>
    </row>
    <row r="6767" spans="1:1" x14ac:dyDescent="0.25">
      <c r="A6767" s="841"/>
    </row>
    <row r="6768" spans="1:1" x14ac:dyDescent="0.25">
      <c r="A6768" s="841"/>
    </row>
    <row r="6769" spans="1:1" x14ac:dyDescent="0.25">
      <c r="A6769" s="841"/>
    </row>
    <row r="6770" spans="1:1" x14ac:dyDescent="0.25">
      <c r="A6770" s="841"/>
    </row>
    <row r="6771" spans="1:1" x14ac:dyDescent="0.25">
      <c r="A6771" s="841"/>
    </row>
    <row r="6772" spans="1:1" x14ac:dyDescent="0.25">
      <c r="A6772" s="841"/>
    </row>
    <row r="6773" spans="1:1" x14ac:dyDescent="0.25">
      <c r="A6773" s="841"/>
    </row>
    <row r="6774" spans="1:1" x14ac:dyDescent="0.25">
      <c r="A6774" s="841"/>
    </row>
    <row r="6775" spans="1:1" x14ac:dyDescent="0.25">
      <c r="A6775" s="841"/>
    </row>
    <row r="6776" spans="1:1" x14ac:dyDescent="0.25">
      <c r="A6776" s="841"/>
    </row>
    <row r="6777" spans="1:1" x14ac:dyDescent="0.25">
      <c r="A6777" s="841"/>
    </row>
    <row r="6778" spans="1:1" x14ac:dyDescent="0.25">
      <c r="A6778" s="841"/>
    </row>
    <row r="6779" spans="1:1" x14ac:dyDescent="0.25">
      <c r="A6779" s="841"/>
    </row>
    <row r="6780" spans="1:1" x14ac:dyDescent="0.25">
      <c r="A6780" s="841"/>
    </row>
    <row r="6781" spans="1:1" x14ac:dyDescent="0.25">
      <c r="A6781" s="841"/>
    </row>
    <row r="6782" spans="1:1" x14ac:dyDescent="0.25">
      <c r="A6782" s="841"/>
    </row>
    <row r="6783" spans="1:1" x14ac:dyDescent="0.25">
      <c r="A6783" s="841"/>
    </row>
    <row r="6784" spans="1:1" x14ac:dyDescent="0.25">
      <c r="A6784" s="841"/>
    </row>
    <row r="6785" spans="1:1" x14ac:dyDescent="0.25">
      <c r="A6785" s="841"/>
    </row>
    <row r="6786" spans="1:1" x14ac:dyDescent="0.25">
      <c r="A6786" s="841"/>
    </row>
    <row r="6787" spans="1:1" x14ac:dyDescent="0.25">
      <c r="A6787" s="841"/>
    </row>
    <row r="6788" spans="1:1" x14ac:dyDescent="0.25">
      <c r="A6788" s="841"/>
    </row>
    <row r="6789" spans="1:1" x14ac:dyDescent="0.25">
      <c r="A6789" s="841"/>
    </row>
    <row r="6790" spans="1:1" x14ac:dyDescent="0.25">
      <c r="A6790" s="841"/>
    </row>
    <row r="6791" spans="1:1" x14ac:dyDescent="0.25">
      <c r="A6791" s="841"/>
    </row>
    <row r="6792" spans="1:1" x14ac:dyDescent="0.25">
      <c r="A6792" s="841"/>
    </row>
    <row r="6793" spans="1:1" x14ac:dyDescent="0.25">
      <c r="A6793" s="841"/>
    </row>
    <row r="6794" spans="1:1" x14ac:dyDescent="0.25">
      <c r="A6794" s="841"/>
    </row>
    <row r="6795" spans="1:1" x14ac:dyDescent="0.25">
      <c r="A6795" s="841"/>
    </row>
    <row r="6796" spans="1:1" x14ac:dyDescent="0.25">
      <c r="A6796" s="841"/>
    </row>
    <row r="6797" spans="1:1" x14ac:dyDescent="0.25">
      <c r="A6797" s="841"/>
    </row>
    <row r="6798" spans="1:1" x14ac:dyDescent="0.25">
      <c r="A6798" s="841"/>
    </row>
    <row r="6799" spans="1:1" x14ac:dyDescent="0.25">
      <c r="A6799" s="841"/>
    </row>
    <row r="6800" spans="1:1" x14ac:dyDescent="0.25">
      <c r="A6800" s="841"/>
    </row>
    <row r="6801" spans="1:1" x14ac:dyDescent="0.25">
      <c r="A6801" s="841"/>
    </row>
    <row r="6802" spans="1:1" x14ac:dyDescent="0.25">
      <c r="A6802" s="841"/>
    </row>
    <row r="6803" spans="1:1" x14ac:dyDescent="0.25">
      <c r="A6803" s="841"/>
    </row>
    <row r="6804" spans="1:1" x14ac:dyDescent="0.25">
      <c r="A6804" s="841"/>
    </row>
    <row r="6805" spans="1:1" x14ac:dyDescent="0.25">
      <c r="A6805" s="841"/>
    </row>
    <row r="6806" spans="1:1" x14ac:dyDescent="0.25">
      <c r="A6806" s="841"/>
    </row>
    <row r="6807" spans="1:1" x14ac:dyDescent="0.25">
      <c r="A6807" s="841"/>
    </row>
    <row r="6808" spans="1:1" x14ac:dyDescent="0.25">
      <c r="A6808" s="841"/>
    </row>
    <row r="6809" spans="1:1" x14ac:dyDescent="0.25">
      <c r="A6809" s="841"/>
    </row>
    <row r="6810" spans="1:1" x14ac:dyDescent="0.25">
      <c r="A6810" s="841"/>
    </row>
    <row r="6811" spans="1:1" x14ac:dyDescent="0.25">
      <c r="A6811" s="841"/>
    </row>
    <row r="6812" spans="1:1" x14ac:dyDescent="0.25">
      <c r="A6812" s="841"/>
    </row>
    <row r="6813" spans="1:1" x14ac:dyDescent="0.25">
      <c r="A6813" s="841"/>
    </row>
    <row r="6814" spans="1:1" x14ac:dyDescent="0.25">
      <c r="A6814" s="841"/>
    </row>
    <row r="6815" spans="1:1" x14ac:dyDescent="0.25">
      <c r="A6815" s="841"/>
    </row>
    <row r="6816" spans="1:1" x14ac:dyDescent="0.25">
      <c r="A6816" s="841"/>
    </row>
    <row r="6817" spans="1:1" x14ac:dyDescent="0.25">
      <c r="A6817" s="841"/>
    </row>
    <row r="6818" spans="1:1" x14ac:dyDescent="0.25">
      <c r="A6818" s="841"/>
    </row>
    <row r="6819" spans="1:1" x14ac:dyDescent="0.25">
      <c r="A6819" s="841"/>
    </row>
    <row r="6820" spans="1:1" x14ac:dyDescent="0.25">
      <c r="A6820" s="841"/>
    </row>
    <row r="6821" spans="1:1" x14ac:dyDescent="0.25">
      <c r="A6821" s="841"/>
    </row>
    <row r="6822" spans="1:1" x14ac:dyDescent="0.25">
      <c r="A6822" s="841"/>
    </row>
    <row r="6823" spans="1:1" x14ac:dyDescent="0.25">
      <c r="A6823" s="841"/>
    </row>
    <row r="6824" spans="1:1" x14ac:dyDescent="0.25">
      <c r="A6824" s="841"/>
    </row>
    <row r="6825" spans="1:1" x14ac:dyDescent="0.25">
      <c r="A6825" s="841"/>
    </row>
    <row r="6826" spans="1:1" x14ac:dyDescent="0.25">
      <c r="A6826" s="841"/>
    </row>
    <row r="6827" spans="1:1" x14ac:dyDescent="0.25">
      <c r="A6827" s="841"/>
    </row>
    <row r="6828" spans="1:1" x14ac:dyDescent="0.25">
      <c r="A6828" s="841"/>
    </row>
    <row r="6829" spans="1:1" x14ac:dyDescent="0.25">
      <c r="A6829" s="841"/>
    </row>
    <row r="6830" spans="1:1" x14ac:dyDescent="0.25">
      <c r="A6830" s="841"/>
    </row>
    <row r="6831" spans="1:1" x14ac:dyDescent="0.25">
      <c r="A6831" s="841"/>
    </row>
    <row r="6832" spans="1:1" x14ac:dyDescent="0.25">
      <c r="A6832" s="841"/>
    </row>
    <row r="6833" spans="1:1" x14ac:dyDescent="0.25">
      <c r="A6833" s="841"/>
    </row>
    <row r="6834" spans="1:1" x14ac:dyDescent="0.25">
      <c r="A6834" s="841"/>
    </row>
    <row r="6835" spans="1:1" x14ac:dyDescent="0.25">
      <c r="A6835" s="841"/>
    </row>
    <row r="6836" spans="1:1" x14ac:dyDescent="0.25">
      <c r="A6836" s="841"/>
    </row>
    <row r="6837" spans="1:1" x14ac:dyDescent="0.25">
      <c r="A6837" s="841"/>
    </row>
    <row r="6838" spans="1:1" x14ac:dyDescent="0.25">
      <c r="A6838" s="841"/>
    </row>
    <row r="6839" spans="1:1" x14ac:dyDescent="0.25">
      <c r="A6839" s="841"/>
    </row>
    <row r="6840" spans="1:1" x14ac:dyDescent="0.25">
      <c r="A6840" s="841"/>
    </row>
    <row r="6841" spans="1:1" x14ac:dyDescent="0.25">
      <c r="A6841" s="841"/>
    </row>
    <row r="6842" spans="1:1" x14ac:dyDescent="0.25">
      <c r="A6842" s="841"/>
    </row>
    <row r="6843" spans="1:1" x14ac:dyDescent="0.25">
      <c r="A6843" s="841"/>
    </row>
    <row r="6844" spans="1:1" x14ac:dyDescent="0.25">
      <c r="A6844" s="841"/>
    </row>
    <row r="6845" spans="1:1" x14ac:dyDescent="0.25">
      <c r="A6845" s="841"/>
    </row>
    <row r="6846" spans="1:1" x14ac:dyDescent="0.25">
      <c r="A6846" s="841"/>
    </row>
    <row r="6847" spans="1:1" x14ac:dyDescent="0.25">
      <c r="A6847" s="841"/>
    </row>
    <row r="6848" spans="1:1" x14ac:dyDescent="0.25">
      <c r="A6848" s="841"/>
    </row>
    <row r="6849" spans="1:1" x14ac:dyDescent="0.25">
      <c r="A6849" s="841"/>
    </row>
    <row r="6850" spans="1:1" x14ac:dyDescent="0.25">
      <c r="A6850" s="841"/>
    </row>
    <row r="6851" spans="1:1" x14ac:dyDescent="0.25">
      <c r="A6851" s="841"/>
    </row>
    <row r="6852" spans="1:1" x14ac:dyDescent="0.25">
      <c r="A6852" s="841"/>
    </row>
    <row r="6853" spans="1:1" x14ac:dyDescent="0.25">
      <c r="A6853" s="841"/>
    </row>
    <row r="6854" spans="1:1" x14ac:dyDescent="0.25">
      <c r="A6854" s="841"/>
    </row>
    <row r="6855" spans="1:1" x14ac:dyDescent="0.25">
      <c r="A6855" s="841"/>
    </row>
    <row r="6856" spans="1:1" x14ac:dyDescent="0.25">
      <c r="A6856" s="841"/>
    </row>
    <row r="6857" spans="1:1" x14ac:dyDescent="0.25">
      <c r="A6857" s="841"/>
    </row>
    <row r="6858" spans="1:1" x14ac:dyDescent="0.25">
      <c r="A6858" s="841"/>
    </row>
    <row r="6859" spans="1:1" x14ac:dyDescent="0.25">
      <c r="A6859" s="841"/>
    </row>
    <row r="6860" spans="1:1" x14ac:dyDescent="0.25">
      <c r="A6860" s="841"/>
    </row>
    <row r="6861" spans="1:1" x14ac:dyDescent="0.25">
      <c r="A6861" s="841"/>
    </row>
    <row r="6862" spans="1:1" x14ac:dyDescent="0.25">
      <c r="A6862" s="841"/>
    </row>
    <row r="6863" spans="1:1" x14ac:dyDescent="0.25">
      <c r="A6863" s="841"/>
    </row>
    <row r="6864" spans="1:1" x14ac:dyDescent="0.25">
      <c r="A6864" s="841"/>
    </row>
    <row r="6865" spans="1:1" x14ac:dyDescent="0.25">
      <c r="A6865" s="841"/>
    </row>
    <row r="6866" spans="1:1" x14ac:dyDescent="0.25">
      <c r="A6866" s="841"/>
    </row>
    <row r="6867" spans="1:1" x14ac:dyDescent="0.25">
      <c r="A6867" s="841"/>
    </row>
    <row r="6868" spans="1:1" x14ac:dyDescent="0.25">
      <c r="A6868" s="841"/>
    </row>
    <row r="6869" spans="1:1" x14ac:dyDescent="0.25">
      <c r="A6869" s="841"/>
    </row>
    <row r="6870" spans="1:1" x14ac:dyDescent="0.25">
      <c r="A6870" s="841"/>
    </row>
    <row r="6871" spans="1:1" x14ac:dyDescent="0.25">
      <c r="A6871" s="841"/>
    </row>
    <row r="6872" spans="1:1" x14ac:dyDescent="0.25">
      <c r="A6872" s="841"/>
    </row>
    <row r="6873" spans="1:1" x14ac:dyDescent="0.25">
      <c r="A6873" s="841"/>
    </row>
    <row r="6874" spans="1:1" x14ac:dyDescent="0.25">
      <c r="A6874" s="841"/>
    </row>
    <row r="6875" spans="1:1" x14ac:dyDescent="0.25">
      <c r="A6875" s="841"/>
    </row>
    <row r="6876" spans="1:1" x14ac:dyDescent="0.25">
      <c r="A6876" s="841"/>
    </row>
    <row r="6877" spans="1:1" x14ac:dyDescent="0.25">
      <c r="A6877" s="841"/>
    </row>
    <row r="6878" spans="1:1" x14ac:dyDescent="0.25">
      <c r="A6878" s="841"/>
    </row>
    <row r="6879" spans="1:1" x14ac:dyDescent="0.25">
      <c r="A6879" s="841"/>
    </row>
    <row r="6880" spans="1:1" x14ac:dyDescent="0.25">
      <c r="A6880" s="841"/>
    </row>
    <row r="6881" spans="1:1" x14ac:dyDescent="0.25">
      <c r="A6881" s="841"/>
    </row>
    <row r="6882" spans="1:1" x14ac:dyDescent="0.25">
      <c r="A6882" s="841"/>
    </row>
    <row r="6883" spans="1:1" x14ac:dyDescent="0.25">
      <c r="A6883" s="841"/>
    </row>
    <row r="6884" spans="1:1" x14ac:dyDescent="0.25">
      <c r="A6884" s="841"/>
    </row>
    <row r="6885" spans="1:1" x14ac:dyDescent="0.25">
      <c r="A6885" s="841"/>
    </row>
    <row r="6886" spans="1:1" x14ac:dyDescent="0.25">
      <c r="A6886" s="841"/>
    </row>
    <row r="6887" spans="1:1" x14ac:dyDescent="0.25">
      <c r="A6887" s="841"/>
    </row>
    <row r="6888" spans="1:1" x14ac:dyDescent="0.25">
      <c r="A6888" s="841"/>
    </row>
    <row r="6889" spans="1:1" x14ac:dyDescent="0.25">
      <c r="A6889" s="841"/>
    </row>
    <row r="6890" spans="1:1" x14ac:dyDescent="0.25">
      <c r="A6890" s="841"/>
    </row>
    <row r="6891" spans="1:1" x14ac:dyDescent="0.25">
      <c r="A6891" s="841"/>
    </row>
    <row r="6892" spans="1:1" x14ac:dyDescent="0.25">
      <c r="A6892" s="841"/>
    </row>
    <row r="6893" spans="1:1" x14ac:dyDescent="0.25">
      <c r="A6893" s="841"/>
    </row>
    <row r="6894" spans="1:1" x14ac:dyDescent="0.25">
      <c r="A6894" s="841"/>
    </row>
    <row r="6895" spans="1:1" x14ac:dyDescent="0.25">
      <c r="A6895" s="841"/>
    </row>
    <row r="6896" spans="1:1" x14ac:dyDescent="0.25">
      <c r="A6896" s="841"/>
    </row>
    <row r="6897" spans="1:1" x14ac:dyDescent="0.25">
      <c r="A6897" s="841"/>
    </row>
    <row r="6898" spans="1:1" x14ac:dyDescent="0.25">
      <c r="A6898" s="841"/>
    </row>
    <row r="6899" spans="1:1" x14ac:dyDescent="0.25">
      <c r="A6899" s="841"/>
    </row>
    <row r="6900" spans="1:1" x14ac:dyDescent="0.25">
      <c r="A6900" s="841"/>
    </row>
    <row r="6901" spans="1:1" x14ac:dyDescent="0.25">
      <c r="A6901" s="841"/>
    </row>
    <row r="6902" spans="1:1" x14ac:dyDescent="0.25">
      <c r="A6902" s="841"/>
    </row>
    <row r="6903" spans="1:1" x14ac:dyDescent="0.25">
      <c r="A6903" s="841"/>
    </row>
    <row r="6904" spans="1:1" x14ac:dyDescent="0.25">
      <c r="A6904" s="841"/>
    </row>
    <row r="6905" spans="1:1" x14ac:dyDescent="0.25">
      <c r="A6905" s="841"/>
    </row>
    <row r="6906" spans="1:1" x14ac:dyDescent="0.25">
      <c r="A6906" s="841"/>
    </row>
    <row r="6907" spans="1:1" x14ac:dyDescent="0.25">
      <c r="A6907" s="841"/>
    </row>
    <row r="6908" spans="1:1" x14ac:dyDescent="0.25">
      <c r="A6908" s="841"/>
    </row>
    <row r="6909" spans="1:1" x14ac:dyDescent="0.25">
      <c r="A6909" s="841"/>
    </row>
    <row r="6910" spans="1:1" x14ac:dyDescent="0.25">
      <c r="A6910" s="841"/>
    </row>
    <row r="6911" spans="1:1" x14ac:dyDescent="0.25">
      <c r="A6911" s="841"/>
    </row>
    <row r="6912" spans="1:1" x14ac:dyDescent="0.25">
      <c r="A6912" s="841"/>
    </row>
    <row r="6913" spans="1:1" x14ac:dyDescent="0.25">
      <c r="A6913" s="841"/>
    </row>
    <row r="6914" spans="1:1" x14ac:dyDescent="0.25">
      <c r="A6914" s="841"/>
    </row>
    <row r="6915" spans="1:1" x14ac:dyDescent="0.25">
      <c r="A6915" s="841"/>
    </row>
    <row r="6916" spans="1:1" x14ac:dyDescent="0.25">
      <c r="A6916" s="841"/>
    </row>
    <row r="6917" spans="1:1" x14ac:dyDescent="0.25">
      <c r="A6917" s="841"/>
    </row>
    <row r="6918" spans="1:1" x14ac:dyDescent="0.25">
      <c r="A6918" s="841"/>
    </row>
    <row r="6919" spans="1:1" x14ac:dyDescent="0.25">
      <c r="A6919" s="841"/>
    </row>
    <row r="6920" spans="1:1" x14ac:dyDescent="0.25">
      <c r="A6920" s="841"/>
    </row>
    <row r="6921" spans="1:1" x14ac:dyDescent="0.25">
      <c r="A6921" s="841"/>
    </row>
    <row r="6922" spans="1:1" x14ac:dyDescent="0.25">
      <c r="A6922" s="841"/>
    </row>
    <row r="6923" spans="1:1" x14ac:dyDescent="0.25">
      <c r="A6923" s="841"/>
    </row>
    <row r="6924" spans="1:1" x14ac:dyDescent="0.25">
      <c r="A6924" s="841"/>
    </row>
    <row r="6925" spans="1:1" x14ac:dyDescent="0.25">
      <c r="A6925" s="841"/>
    </row>
    <row r="6926" spans="1:1" x14ac:dyDescent="0.25">
      <c r="A6926" s="841"/>
    </row>
    <row r="6927" spans="1:1" x14ac:dyDescent="0.25">
      <c r="A6927" s="841"/>
    </row>
    <row r="6928" spans="1:1" x14ac:dyDescent="0.25">
      <c r="A6928" s="841"/>
    </row>
    <row r="6929" spans="1:1" x14ac:dyDescent="0.25">
      <c r="A6929" s="841"/>
    </row>
    <row r="6930" spans="1:1" x14ac:dyDescent="0.25">
      <c r="A6930" s="841"/>
    </row>
    <row r="6931" spans="1:1" x14ac:dyDescent="0.25">
      <c r="A6931" s="841"/>
    </row>
    <row r="6932" spans="1:1" x14ac:dyDescent="0.25">
      <c r="A6932" s="841"/>
    </row>
    <row r="6933" spans="1:1" x14ac:dyDescent="0.25">
      <c r="A6933" s="841"/>
    </row>
    <row r="6934" spans="1:1" x14ac:dyDescent="0.25">
      <c r="A6934" s="841"/>
    </row>
    <row r="6935" spans="1:1" x14ac:dyDescent="0.25">
      <c r="A6935" s="841"/>
    </row>
    <row r="6936" spans="1:1" x14ac:dyDescent="0.25">
      <c r="A6936" s="841"/>
    </row>
    <row r="6937" spans="1:1" x14ac:dyDescent="0.25">
      <c r="A6937" s="841"/>
    </row>
    <row r="6938" spans="1:1" x14ac:dyDescent="0.25">
      <c r="A6938" s="841"/>
    </row>
    <row r="6939" spans="1:1" x14ac:dyDescent="0.25">
      <c r="A6939" s="841"/>
    </row>
    <row r="6940" spans="1:1" x14ac:dyDescent="0.25">
      <c r="A6940" s="841"/>
    </row>
    <row r="6941" spans="1:1" x14ac:dyDescent="0.25">
      <c r="A6941" s="841"/>
    </row>
    <row r="6942" spans="1:1" x14ac:dyDescent="0.25">
      <c r="A6942" s="841"/>
    </row>
    <row r="6943" spans="1:1" x14ac:dyDescent="0.25">
      <c r="A6943" s="841"/>
    </row>
    <row r="6944" spans="1:1" x14ac:dyDescent="0.25">
      <c r="A6944" s="841"/>
    </row>
    <row r="6945" spans="1:1" x14ac:dyDescent="0.25">
      <c r="A6945" s="841"/>
    </row>
    <row r="6946" spans="1:1" x14ac:dyDescent="0.25">
      <c r="A6946" s="841"/>
    </row>
    <row r="6947" spans="1:1" x14ac:dyDescent="0.25">
      <c r="A6947" s="841"/>
    </row>
    <row r="6948" spans="1:1" x14ac:dyDescent="0.25">
      <c r="A6948" s="841"/>
    </row>
    <row r="6949" spans="1:1" x14ac:dyDescent="0.25">
      <c r="A6949" s="841"/>
    </row>
    <row r="6950" spans="1:1" x14ac:dyDescent="0.25">
      <c r="A6950" s="841"/>
    </row>
    <row r="6951" spans="1:1" x14ac:dyDescent="0.25">
      <c r="A6951" s="841"/>
    </row>
    <row r="6952" spans="1:1" x14ac:dyDescent="0.25">
      <c r="A6952" s="841"/>
    </row>
    <row r="6953" spans="1:1" x14ac:dyDescent="0.25">
      <c r="A6953" s="841"/>
    </row>
    <row r="6954" spans="1:1" x14ac:dyDescent="0.25">
      <c r="A6954" s="841"/>
    </row>
    <row r="6955" spans="1:1" x14ac:dyDescent="0.25">
      <c r="A6955" s="841"/>
    </row>
    <row r="6956" spans="1:1" x14ac:dyDescent="0.25">
      <c r="A6956" s="841"/>
    </row>
    <row r="6957" spans="1:1" x14ac:dyDescent="0.25">
      <c r="A6957" s="841"/>
    </row>
    <row r="6958" spans="1:1" x14ac:dyDescent="0.25">
      <c r="A6958" s="841"/>
    </row>
    <row r="6959" spans="1:1" x14ac:dyDescent="0.25">
      <c r="A6959" s="841"/>
    </row>
    <row r="6960" spans="1:1" x14ac:dyDescent="0.25">
      <c r="A6960" s="841"/>
    </row>
    <row r="6961" spans="1:1" x14ac:dyDescent="0.25">
      <c r="A6961" s="841"/>
    </row>
    <row r="6962" spans="1:1" x14ac:dyDescent="0.25">
      <c r="A6962" s="841"/>
    </row>
    <row r="6963" spans="1:1" x14ac:dyDescent="0.25">
      <c r="A6963" s="841"/>
    </row>
    <row r="6964" spans="1:1" x14ac:dyDescent="0.25">
      <c r="A6964" s="841"/>
    </row>
    <row r="6965" spans="1:1" x14ac:dyDescent="0.25">
      <c r="A6965" s="841"/>
    </row>
    <row r="6966" spans="1:1" x14ac:dyDescent="0.25">
      <c r="A6966" s="841"/>
    </row>
    <row r="6967" spans="1:1" x14ac:dyDescent="0.25">
      <c r="A6967" s="841"/>
    </row>
    <row r="6968" spans="1:1" x14ac:dyDescent="0.25">
      <c r="A6968" s="841"/>
    </row>
    <row r="6969" spans="1:1" x14ac:dyDescent="0.25">
      <c r="A6969" s="841"/>
    </row>
    <row r="6970" spans="1:1" x14ac:dyDescent="0.25">
      <c r="A6970" s="841"/>
    </row>
    <row r="6971" spans="1:1" x14ac:dyDescent="0.25">
      <c r="A6971" s="841"/>
    </row>
    <row r="6972" spans="1:1" x14ac:dyDescent="0.25">
      <c r="A6972" s="841"/>
    </row>
    <row r="6973" spans="1:1" x14ac:dyDescent="0.25">
      <c r="A6973" s="841"/>
    </row>
    <row r="6974" spans="1:1" x14ac:dyDescent="0.25">
      <c r="A6974" s="841"/>
    </row>
    <row r="6975" spans="1:1" x14ac:dyDescent="0.25">
      <c r="A6975" s="841"/>
    </row>
    <row r="6976" spans="1:1" x14ac:dyDescent="0.25">
      <c r="A6976" s="841"/>
    </row>
    <row r="6977" spans="1:1" x14ac:dyDescent="0.25">
      <c r="A6977" s="841"/>
    </row>
    <row r="6978" spans="1:1" x14ac:dyDescent="0.25">
      <c r="A6978" s="841"/>
    </row>
    <row r="6979" spans="1:1" x14ac:dyDescent="0.25">
      <c r="A6979" s="841"/>
    </row>
    <row r="6980" spans="1:1" x14ac:dyDescent="0.25">
      <c r="A6980" s="841"/>
    </row>
    <row r="6981" spans="1:1" x14ac:dyDescent="0.25">
      <c r="A6981" s="841"/>
    </row>
    <row r="6982" spans="1:1" x14ac:dyDescent="0.25">
      <c r="A6982" s="841"/>
    </row>
    <row r="6983" spans="1:1" x14ac:dyDescent="0.25">
      <c r="A6983" s="841"/>
    </row>
    <row r="6984" spans="1:1" x14ac:dyDescent="0.25">
      <c r="A6984" s="841"/>
    </row>
    <row r="6985" spans="1:1" x14ac:dyDescent="0.25">
      <c r="A6985" s="841"/>
    </row>
    <row r="6986" spans="1:1" x14ac:dyDescent="0.25">
      <c r="A6986" s="841"/>
    </row>
    <row r="6987" spans="1:1" x14ac:dyDescent="0.25">
      <c r="A6987" s="841"/>
    </row>
    <row r="6988" spans="1:1" x14ac:dyDescent="0.25">
      <c r="A6988" s="841"/>
    </row>
    <row r="6989" spans="1:1" x14ac:dyDescent="0.25">
      <c r="A6989" s="841"/>
    </row>
    <row r="6990" spans="1:1" x14ac:dyDescent="0.25">
      <c r="A6990" s="841"/>
    </row>
    <row r="6991" spans="1:1" x14ac:dyDescent="0.25">
      <c r="A6991" s="841"/>
    </row>
    <row r="6992" spans="1:1" x14ac:dyDescent="0.25">
      <c r="A6992" s="841"/>
    </row>
    <row r="6993" spans="1:1" x14ac:dyDescent="0.25">
      <c r="A6993" s="841"/>
    </row>
    <row r="6994" spans="1:1" x14ac:dyDescent="0.25">
      <c r="A6994" s="841"/>
    </row>
    <row r="6995" spans="1:1" x14ac:dyDescent="0.25">
      <c r="A6995" s="841"/>
    </row>
    <row r="6996" spans="1:1" x14ac:dyDescent="0.25">
      <c r="A6996" s="841"/>
    </row>
    <row r="6997" spans="1:1" x14ac:dyDescent="0.25">
      <c r="A6997" s="841"/>
    </row>
    <row r="6998" spans="1:1" x14ac:dyDescent="0.25">
      <c r="A6998" s="841"/>
    </row>
    <row r="6999" spans="1:1" x14ac:dyDescent="0.25">
      <c r="A6999" s="841"/>
    </row>
    <row r="7000" spans="1:1" x14ac:dyDescent="0.25">
      <c r="A7000" s="841"/>
    </row>
    <row r="7001" spans="1:1" x14ac:dyDescent="0.25">
      <c r="A7001" s="841"/>
    </row>
    <row r="7002" spans="1:1" x14ac:dyDescent="0.25">
      <c r="A7002" s="841"/>
    </row>
    <row r="7003" spans="1:1" x14ac:dyDescent="0.25">
      <c r="A7003" s="841"/>
    </row>
    <row r="7004" spans="1:1" x14ac:dyDescent="0.25">
      <c r="A7004" s="841"/>
    </row>
    <row r="7005" spans="1:1" x14ac:dyDescent="0.25">
      <c r="A7005" s="841"/>
    </row>
    <row r="7006" spans="1:1" x14ac:dyDescent="0.25">
      <c r="A7006" s="841"/>
    </row>
    <row r="7007" spans="1:1" x14ac:dyDescent="0.25">
      <c r="A7007" s="841"/>
    </row>
    <row r="7008" spans="1:1" x14ac:dyDescent="0.25">
      <c r="A7008" s="841"/>
    </row>
    <row r="7009" spans="1:1" x14ac:dyDescent="0.25">
      <c r="A7009" s="841"/>
    </row>
    <row r="7010" spans="1:1" x14ac:dyDescent="0.25">
      <c r="A7010" s="841"/>
    </row>
    <row r="7011" spans="1:1" x14ac:dyDescent="0.25">
      <c r="A7011" s="841"/>
    </row>
    <row r="7012" spans="1:1" x14ac:dyDescent="0.25">
      <c r="A7012" s="841"/>
    </row>
    <row r="7013" spans="1:1" x14ac:dyDescent="0.25">
      <c r="A7013" s="841"/>
    </row>
    <row r="7014" spans="1:1" x14ac:dyDescent="0.25">
      <c r="A7014" s="841"/>
    </row>
    <row r="7015" spans="1:1" x14ac:dyDescent="0.25">
      <c r="A7015" s="841"/>
    </row>
    <row r="7016" spans="1:1" x14ac:dyDescent="0.25">
      <c r="A7016" s="841"/>
    </row>
    <row r="7017" spans="1:1" x14ac:dyDescent="0.25">
      <c r="A7017" s="841"/>
    </row>
    <row r="7018" spans="1:1" x14ac:dyDescent="0.25">
      <c r="A7018" s="841"/>
    </row>
    <row r="7019" spans="1:1" x14ac:dyDescent="0.25">
      <c r="A7019" s="841"/>
    </row>
    <row r="7020" spans="1:1" x14ac:dyDescent="0.25">
      <c r="A7020" s="841"/>
    </row>
    <row r="7021" spans="1:1" x14ac:dyDescent="0.25">
      <c r="A7021" s="841"/>
    </row>
    <row r="7022" spans="1:1" x14ac:dyDescent="0.25">
      <c r="A7022" s="841"/>
    </row>
    <row r="7023" spans="1:1" x14ac:dyDescent="0.25">
      <c r="A7023" s="841"/>
    </row>
    <row r="7024" spans="1:1" x14ac:dyDescent="0.25">
      <c r="A7024" s="841"/>
    </row>
    <row r="7025" spans="1:1" x14ac:dyDescent="0.25">
      <c r="A7025" s="841"/>
    </row>
    <row r="7026" spans="1:1" x14ac:dyDescent="0.25">
      <c r="A7026" s="841"/>
    </row>
    <row r="7027" spans="1:1" x14ac:dyDescent="0.25">
      <c r="A7027" s="841"/>
    </row>
    <row r="7028" spans="1:1" x14ac:dyDescent="0.25">
      <c r="A7028" s="841"/>
    </row>
    <row r="7029" spans="1:1" x14ac:dyDescent="0.25">
      <c r="A7029" s="841"/>
    </row>
    <row r="7030" spans="1:1" x14ac:dyDescent="0.25">
      <c r="A7030" s="841"/>
    </row>
    <row r="7031" spans="1:1" x14ac:dyDescent="0.25">
      <c r="A7031" s="841"/>
    </row>
    <row r="7032" spans="1:1" x14ac:dyDescent="0.25">
      <c r="A7032" s="841"/>
    </row>
    <row r="7033" spans="1:1" x14ac:dyDescent="0.25">
      <c r="A7033" s="841"/>
    </row>
    <row r="7034" spans="1:1" x14ac:dyDescent="0.25">
      <c r="A7034" s="841"/>
    </row>
    <row r="7035" spans="1:1" x14ac:dyDescent="0.25">
      <c r="A7035" s="841"/>
    </row>
    <row r="7036" spans="1:1" x14ac:dyDescent="0.25">
      <c r="A7036" s="841"/>
    </row>
    <row r="7037" spans="1:1" x14ac:dyDescent="0.25">
      <c r="A7037" s="841"/>
    </row>
    <row r="7038" spans="1:1" x14ac:dyDescent="0.25">
      <c r="A7038" s="841"/>
    </row>
    <row r="7039" spans="1:1" x14ac:dyDescent="0.25">
      <c r="A7039" s="841"/>
    </row>
    <row r="7040" spans="1:1" x14ac:dyDescent="0.25">
      <c r="A7040" s="841"/>
    </row>
    <row r="7041" spans="1:1" x14ac:dyDescent="0.25">
      <c r="A7041" s="841"/>
    </row>
    <row r="7042" spans="1:1" x14ac:dyDescent="0.25">
      <c r="A7042" s="841"/>
    </row>
    <row r="7043" spans="1:1" x14ac:dyDescent="0.25">
      <c r="A7043" s="841"/>
    </row>
    <row r="7044" spans="1:1" x14ac:dyDescent="0.25">
      <c r="A7044" s="841"/>
    </row>
    <row r="7045" spans="1:1" x14ac:dyDescent="0.25">
      <c r="A7045" s="841"/>
    </row>
    <row r="7046" spans="1:1" x14ac:dyDescent="0.25">
      <c r="A7046" s="841"/>
    </row>
    <row r="7047" spans="1:1" x14ac:dyDescent="0.25">
      <c r="A7047" s="841"/>
    </row>
    <row r="7048" spans="1:1" x14ac:dyDescent="0.25">
      <c r="A7048" s="841"/>
    </row>
    <row r="7049" spans="1:1" x14ac:dyDescent="0.25">
      <c r="A7049" s="841"/>
    </row>
    <row r="7050" spans="1:1" x14ac:dyDescent="0.25">
      <c r="A7050" s="841"/>
    </row>
    <row r="7051" spans="1:1" x14ac:dyDescent="0.25">
      <c r="A7051" s="841"/>
    </row>
    <row r="7052" spans="1:1" x14ac:dyDescent="0.25">
      <c r="A7052" s="841"/>
    </row>
    <row r="7053" spans="1:1" x14ac:dyDescent="0.25">
      <c r="A7053" s="841"/>
    </row>
    <row r="7054" spans="1:1" x14ac:dyDescent="0.25">
      <c r="A7054" s="841"/>
    </row>
    <row r="7055" spans="1:1" x14ac:dyDescent="0.25">
      <c r="A7055" s="841"/>
    </row>
    <row r="7056" spans="1:1" x14ac:dyDescent="0.25">
      <c r="A7056" s="841"/>
    </row>
    <row r="7057" spans="1:1" x14ac:dyDescent="0.25">
      <c r="A7057" s="841"/>
    </row>
    <row r="7058" spans="1:1" x14ac:dyDescent="0.25">
      <c r="A7058" s="841"/>
    </row>
    <row r="7059" spans="1:1" x14ac:dyDescent="0.25">
      <c r="A7059" s="841"/>
    </row>
    <row r="7060" spans="1:1" x14ac:dyDescent="0.25">
      <c r="A7060" s="841"/>
    </row>
    <row r="7061" spans="1:1" x14ac:dyDescent="0.25">
      <c r="A7061" s="841"/>
    </row>
    <row r="7062" spans="1:1" x14ac:dyDescent="0.25">
      <c r="A7062" s="841"/>
    </row>
    <row r="7063" spans="1:1" x14ac:dyDescent="0.25">
      <c r="A7063" s="841"/>
    </row>
    <row r="7064" spans="1:1" x14ac:dyDescent="0.25">
      <c r="A7064" s="841"/>
    </row>
    <row r="7065" spans="1:1" x14ac:dyDescent="0.25">
      <c r="A7065" s="841"/>
    </row>
    <row r="7066" spans="1:1" x14ac:dyDescent="0.25">
      <c r="A7066" s="841"/>
    </row>
    <row r="7067" spans="1:1" x14ac:dyDescent="0.25">
      <c r="A7067" s="841"/>
    </row>
    <row r="7068" spans="1:1" x14ac:dyDescent="0.25">
      <c r="A7068" s="841"/>
    </row>
    <row r="7069" spans="1:1" x14ac:dyDescent="0.25">
      <c r="A7069" s="841"/>
    </row>
    <row r="7070" spans="1:1" x14ac:dyDescent="0.25">
      <c r="A7070" s="841"/>
    </row>
    <row r="7071" spans="1:1" x14ac:dyDescent="0.25">
      <c r="A7071" s="841"/>
    </row>
    <row r="7072" spans="1:1" x14ac:dyDescent="0.25">
      <c r="A7072" s="841"/>
    </row>
    <row r="7073" spans="1:1" x14ac:dyDescent="0.25">
      <c r="A7073" s="841"/>
    </row>
    <row r="7074" spans="1:1" x14ac:dyDescent="0.25">
      <c r="A7074" s="841"/>
    </row>
    <row r="7075" spans="1:1" x14ac:dyDescent="0.25">
      <c r="A7075" s="841"/>
    </row>
    <row r="7076" spans="1:1" x14ac:dyDescent="0.25">
      <c r="A7076" s="841"/>
    </row>
    <row r="7077" spans="1:1" x14ac:dyDescent="0.25">
      <c r="A7077" s="841"/>
    </row>
    <row r="7078" spans="1:1" x14ac:dyDescent="0.25">
      <c r="A7078" s="841"/>
    </row>
    <row r="7079" spans="1:1" x14ac:dyDescent="0.25">
      <c r="A7079" s="841"/>
    </row>
    <row r="7080" spans="1:1" x14ac:dyDescent="0.25">
      <c r="A7080" s="841"/>
    </row>
    <row r="7081" spans="1:1" x14ac:dyDescent="0.25">
      <c r="A7081" s="841"/>
    </row>
    <row r="7082" spans="1:1" x14ac:dyDescent="0.25">
      <c r="A7082" s="841"/>
    </row>
    <row r="7083" spans="1:1" x14ac:dyDescent="0.25">
      <c r="A7083" s="841"/>
    </row>
    <row r="7084" spans="1:1" x14ac:dyDescent="0.25">
      <c r="A7084" s="841"/>
    </row>
    <row r="7085" spans="1:1" x14ac:dyDescent="0.25">
      <c r="A7085" s="841"/>
    </row>
    <row r="7086" spans="1:1" x14ac:dyDescent="0.25">
      <c r="A7086" s="841"/>
    </row>
    <row r="7087" spans="1:1" x14ac:dyDescent="0.25">
      <c r="A7087" s="841"/>
    </row>
    <row r="7088" spans="1:1" x14ac:dyDescent="0.25">
      <c r="A7088" s="841"/>
    </row>
    <row r="7089" spans="1:1" x14ac:dyDescent="0.25">
      <c r="A7089" s="841"/>
    </row>
    <row r="7090" spans="1:1" x14ac:dyDescent="0.25">
      <c r="A7090" s="841"/>
    </row>
    <row r="7091" spans="1:1" x14ac:dyDescent="0.25">
      <c r="A7091" s="841"/>
    </row>
    <row r="7092" spans="1:1" x14ac:dyDescent="0.25">
      <c r="A7092" s="841"/>
    </row>
    <row r="7093" spans="1:1" x14ac:dyDescent="0.25">
      <c r="A7093" s="841"/>
    </row>
    <row r="7094" spans="1:1" x14ac:dyDescent="0.25">
      <c r="A7094" s="841"/>
    </row>
    <row r="7095" spans="1:1" x14ac:dyDescent="0.25">
      <c r="A7095" s="841"/>
    </row>
    <row r="7096" spans="1:1" x14ac:dyDescent="0.25">
      <c r="A7096" s="841"/>
    </row>
    <row r="7097" spans="1:1" x14ac:dyDescent="0.25">
      <c r="A7097" s="841"/>
    </row>
    <row r="7098" spans="1:1" x14ac:dyDescent="0.25">
      <c r="A7098" s="841"/>
    </row>
    <row r="7099" spans="1:1" x14ac:dyDescent="0.25">
      <c r="A7099" s="841"/>
    </row>
    <row r="7100" spans="1:1" x14ac:dyDescent="0.25">
      <c r="A7100" s="841"/>
    </row>
    <row r="7101" spans="1:1" x14ac:dyDescent="0.25">
      <c r="A7101" s="841"/>
    </row>
    <row r="7102" spans="1:1" x14ac:dyDescent="0.25">
      <c r="A7102" s="841"/>
    </row>
    <row r="7103" spans="1:1" x14ac:dyDescent="0.25">
      <c r="A7103" s="841"/>
    </row>
    <row r="7104" spans="1:1" x14ac:dyDescent="0.25">
      <c r="A7104" s="841"/>
    </row>
    <row r="7105" spans="1:1" x14ac:dyDescent="0.25">
      <c r="A7105" s="841"/>
    </row>
    <row r="7106" spans="1:1" x14ac:dyDescent="0.25">
      <c r="A7106" s="841"/>
    </row>
    <row r="7107" spans="1:1" x14ac:dyDescent="0.25">
      <c r="A7107" s="841"/>
    </row>
    <row r="7108" spans="1:1" x14ac:dyDescent="0.25">
      <c r="A7108" s="841"/>
    </row>
    <row r="7109" spans="1:1" x14ac:dyDescent="0.25">
      <c r="A7109" s="841"/>
    </row>
    <row r="7110" spans="1:1" x14ac:dyDescent="0.25">
      <c r="A7110" s="841"/>
    </row>
    <row r="7111" spans="1:1" x14ac:dyDescent="0.25">
      <c r="A7111" s="841"/>
    </row>
    <row r="7112" spans="1:1" x14ac:dyDescent="0.25">
      <c r="A7112" s="841"/>
    </row>
    <row r="7113" spans="1:1" x14ac:dyDescent="0.25">
      <c r="A7113" s="841"/>
    </row>
    <row r="7114" spans="1:1" x14ac:dyDescent="0.25">
      <c r="A7114" s="841"/>
    </row>
    <row r="7115" spans="1:1" x14ac:dyDescent="0.25">
      <c r="A7115" s="841"/>
    </row>
    <row r="7116" spans="1:1" x14ac:dyDescent="0.25">
      <c r="A7116" s="841"/>
    </row>
    <row r="7117" spans="1:1" x14ac:dyDescent="0.25">
      <c r="A7117" s="841"/>
    </row>
    <row r="7118" spans="1:1" x14ac:dyDescent="0.25">
      <c r="A7118" s="841"/>
    </row>
    <row r="7119" spans="1:1" x14ac:dyDescent="0.25">
      <c r="A7119" s="841"/>
    </row>
    <row r="7120" spans="1:1" x14ac:dyDescent="0.25">
      <c r="A7120" s="841"/>
    </row>
    <row r="7121" spans="1:1" x14ac:dyDescent="0.25">
      <c r="A7121" s="841"/>
    </row>
    <row r="7122" spans="1:1" x14ac:dyDescent="0.25">
      <c r="A7122" s="841"/>
    </row>
    <row r="7123" spans="1:1" x14ac:dyDescent="0.25">
      <c r="A7123" s="841"/>
    </row>
    <row r="7124" spans="1:1" x14ac:dyDescent="0.25">
      <c r="A7124" s="841"/>
    </row>
    <row r="7125" spans="1:1" x14ac:dyDescent="0.25">
      <c r="A7125" s="841"/>
    </row>
    <row r="7126" spans="1:1" x14ac:dyDescent="0.25">
      <c r="A7126" s="841"/>
    </row>
    <row r="7127" spans="1:1" x14ac:dyDescent="0.25">
      <c r="A7127" s="841"/>
    </row>
    <row r="7128" spans="1:1" x14ac:dyDescent="0.25">
      <c r="A7128" s="841"/>
    </row>
    <row r="7129" spans="1:1" x14ac:dyDescent="0.25">
      <c r="A7129" s="841"/>
    </row>
    <row r="7130" spans="1:1" x14ac:dyDescent="0.25">
      <c r="A7130" s="841"/>
    </row>
    <row r="7131" spans="1:1" x14ac:dyDescent="0.25">
      <c r="A7131" s="841"/>
    </row>
    <row r="7132" spans="1:1" x14ac:dyDescent="0.25">
      <c r="A7132" s="841"/>
    </row>
    <row r="7133" spans="1:1" x14ac:dyDescent="0.25">
      <c r="A7133" s="841"/>
    </row>
    <row r="7134" spans="1:1" x14ac:dyDescent="0.25">
      <c r="A7134" s="841"/>
    </row>
    <row r="7135" spans="1:1" x14ac:dyDescent="0.25">
      <c r="A7135" s="841"/>
    </row>
    <row r="7136" spans="1:1" x14ac:dyDescent="0.25">
      <c r="A7136" s="841"/>
    </row>
    <row r="7137" spans="1:1" x14ac:dyDescent="0.25">
      <c r="A7137" s="841"/>
    </row>
    <row r="7138" spans="1:1" x14ac:dyDescent="0.25">
      <c r="A7138" s="841"/>
    </row>
    <row r="7139" spans="1:1" x14ac:dyDescent="0.25">
      <c r="A7139" s="841"/>
    </row>
    <row r="7140" spans="1:1" x14ac:dyDescent="0.25">
      <c r="A7140" s="841"/>
    </row>
    <row r="7141" spans="1:1" x14ac:dyDescent="0.25">
      <c r="A7141" s="841"/>
    </row>
    <row r="7142" spans="1:1" x14ac:dyDescent="0.25">
      <c r="A7142" s="841"/>
    </row>
    <row r="7143" spans="1:1" x14ac:dyDescent="0.25">
      <c r="A7143" s="841"/>
    </row>
    <row r="7144" spans="1:1" x14ac:dyDescent="0.25">
      <c r="A7144" s="841"/>
    </row>
    <row r="7145" spans="1:1" x14ac:dyDescent="0.25">
      <c r="A7145" s="841"/>
    </row>
    <row r="7146" spans="1:1" x14ac:dyDescent="0.25">
      <c r="A7146" s="841"/>
    </row>
    <row r="7147" spans="1:1" x14ac:dyDescent="0.25">
      <c r="A7147" s="841"/>
    </row>
    <row r="7148" spans="1:1" x14ac:dyDescent="0.25">
      <c r="A7148" s="841"/>
    </row>
    <row r="7149" spans="1:1" x14ac:dyDescent="0.25">
      <c r="A7149" s="841"/>
    </row>
    <row r="7150" spans="1:1" x14ac:dyDescent="0.25">
      <c r="A7150" s="841"/>
    </row>
    <row r="7151" spans="1:1" x14ac:dyDescent="0.25">
      <c r="A7151" s="841"/>
    </row>
    <row r="7152" spans="1:1" x14ac:dyDescent="0.25">
      <c r="A7152" s="841"/>
    </row>
    <row r="7153" spans="1:1" x14ac:dyDescent="0.25">
      <c r="A7153" s="841"/>
    </row>
    <row r="7154" spans="1:1" x14ac:dyDescent="0.25">
      <c r="A7154" s="841"/>
    </row>
    <row r="7155" spans="1:1" x14ac:dyDescent="0.25">
      <c r="A7155" s="841"/>
    </row>
    <row r="7156" spans="1:1" x14ac:dyDescent="0.25">
      <c r="A7156" s="841"/>
    </row>
    <row r="7157" spans="1:1" x14ac:dyDescent="0.25">
      <c r="A7157" s="841"/>
    </row>
    <row r="7158" spans="1:1" x14ac:dyDescent="0.25">
      <c r="A7158" s="841"/>
    </row>
    <row r="7159" spans="1:1" x14ac:dyDescent="0.25">
      <c r="A7159" s="841"/>
    </row>
    <row r="7160" spans="1:1" x14ac:dyDescent="0.25">
      <c r="A7160" s="841"/>
    </row>
    <row r="7161" spans="1:1" x14ac:dyDescent="0.25">
      <c r="A7161" s="841"/>
    </row>
    <row r="7162" spans="1:1" x14ac:dyDescent="0.25">
      <c r="A7162" s="841"/>
    </row>
    <row r="7163" spans="1:1" x14ac:dyDescent="0.25">
      <c r="A7163" s="841"/>
    </row>
    <row r="7164" spans="1:1" x14ac:dyDescent="0.25">
      <c r="A7164" s="841"/>
    </row>
    <row r="7165" spans="1:1" x14ac:dyDescent="0.25">
      <c r="A7165" s="841"/>
    </row>
    <row r="7166" spans="1:1" x14ac:dyDescent="0.25">
      <c r="A7166" s="841"/>
    </row>
    <row r="7167" spans="1:1" x14ac:dyDescent="0.25">
      <c r="A7167" s="841"/>
    </row>
    <row r="7168" spans="1:1" x14ac:dyDescent="0.25">
      <c r="A7168" s="841"/>
    </row>
    <row r="7169" spans="1:1" x14ac:dyDescent="0.25">
      <c r="A7169" s="841"/>
    </row>
    <row r="7170" spans="1:1" x14ac:dyDescent="0.25">
      <c r="A7170" s="841"/>
    </row>
    <row r="7171" spans="1:1" x14ac:dyDescent="0.25">
      <c r="A7171" s="841"/>
    </row>
    <row r="7172" spans="1:1" x14ac:dyDescent="0.25">
      <c r="A7172" s="841"/>
    </row>
    <row r="7173" spans="1:1" x14ac:dyDescent="0.25">
      <c r="A7173" s="841"/>
    </row>
    <row r="7174" spans="1:1" x14ac:dyDescent="0.25">
      <c r="A7174" s="841"/>
    </row>
    <row r="7175" spans="1:1" x14ac:dyDescent="0.25">
      <c r="A7175" s="841"/>
    </row>
    <row r="7176" spans="1:1" x14ac:dyDescent="0.25">
      <c r="A7176" s="841"/>
    </row>
    <row r="7177" spans="1:1" x14ac:dyDescent="0.25">
      <c r="A7177" s="841"/>
    </row>
    <row r="7178" spans="1:1" x14ac:dyDescent="0.25">
      <c r="A7178" s="841"/>
    </row>
    <row r="7179" spans="1:1" x14ac:dyDescent="0.25">
      <c r="A7179" s="841"/>
    </row>
    <row r="7180" spans="1:1" x14ac:dyDescent="0.25">
      <c r="A7180" s="841"/>
    </row>
    <row r="7181" spans="1:1" x14ac:dyDescent="0.25">
      <c r="A7181" s="841"/>
    </row>
    <row r="7182" spans="1:1" x14ac:dyDescent="0.25">
      <c r="A7182" s="841"/>
    </row>
    <row r="7183" spans="1:1" x14ac:dyDescent="0.25">
      <c r="A7183" s="841"/>
    </row>
    <row r="7184" spans="1:1" x14ac:dyDescent="0.25">
      <c r="A7184" s="841"/>
    </row>
    <row r="7185" spans="1:1" x14ac:dyDescent="0.25">
      <c r="A7185" s="841"/>
    </row>
    <row r="7186" spans="1:1" x14ac:dyDescent="0.25">
      <c r="A7186" s="841"/>
    </row>
    <row r="7187" spans="1:1" x14ac:dyDescent="0.25">
      <c r="A7187" s="841"/>
    </row>
    <row r="7188" spans="1:1" x14ac:dyDescent="0.25">
      <c r="A7188" s="841"/>
    </row>
    <row r="7189" spans="1:1" x14ac:dyDescent="0.25">
      <c r="A7189" s="841"/>
    </row>
    <row r="7190" spans="1:1" x14ac:dyDescent="0.25">
      <c r="A7190" s="841"/>
    </row>
    <row r="7191" spans="1:1" x14ac:dyDescent="0.25">
      <c r="A7191" s="841"/>
    </row>
    <row r="7192" spans="1:1" x14ac:dyDescent="0.25">
      <c r="A7192" s="841"/>
    </row>
    <row r="7193" spans="1:1" x14ac:dyDescent="0.25">
      <c r="A7193" s="841"/>
    </row>
    <row r="7194" spans="1:1" x14ac:dyDescent="0.25">
      <c r="A7194" s="841"/>
    </row>
    <row r="7195" spans="1:1" x14ac:dyDescent="0.25">
      <c r="A7195" s="841"/>
    </row>
    <row r="7196" spans="1:1" x14ac:dyDescent="0.25">
      <c r="A7196" s="841"/>
    </row>
    <row r="7197" spans="1:1" x14ac:dyDescent="0.25">
      <c r="A7197" s="841"/>
    </row>
    <row r="7198" spans="1:1" x14ac:dyDescent="0.25">
      <c r="A7198" s="841"/>
    </row>
    <row r="7199" spans="1:1" x14ac:dyDescent="0.25">
      <c r="A7199" s="841"/>
    </row>
    <row r="7200" spans="1:1" x14ac:dyDescent="0.25">
      <c r="A7200" s="841"/>
    </row>
    <row r="7201" spans="1:1" x14ac:dyDescent="0.25">
      <c r="A7201" s="841"/>
    </row>
    <row r="7202" spans="1:1" x14ac:dyDescent="0.25">
      <c r="A7202" s="841"/>
    </row>
    <row r="7203" spans="1:1" x14ac:dyDescent="0.25">
      <c r="A7203" s="841"/>
    </row>
    <row r="7204" spans="1:1" x14ac:dyDescent="0.25">
      <c r="A7204" s="841"/>
    </row>
    <row r="7205" spans="1:1" x14ac:dyDescent="0.25">
      <c r="A7205" s="841"/>
    </row>
    <row r="7206" spans="1:1" x14ac:dyDescent="0.25">
      <c r="A7206" s="841"/>
    </row>
    <row r="7207" spans="1:1" x14ac:dyDescent="0.25">
      <c r="A7207" s="841"/>
    </row>
    <row r="7208" spans="1:1" x14ac:dyDescent="0.25">
      <c r="A7208" s="841"/>
    </row>
    <row r="7209" spans="1:1" x14ac:dyDescent="0.25">
      <c r="A7209" s="841"/>
    </row>
    <row r="7210" spans="1:1" x14ac:dyDescent="0.25">
      <c r="A7210" s="841"/>
    </row>
    <row r="7211" spans="1:1" x14ac:dyDescent="0.25">
      <c r="A7211" s="841"/>
    </row>
    <row r="7212" spans="1:1" x14ac:dyDescent="0.25">
      <c r="A7212" s="841"/>
    </row>
    <row r="7213" spans="1:1" x14ac:dyDescent="0.25">
      <c r="A7213" s="841"/>
    </row>
    <row r="7214" spans="1:1" x14ac:dyDescent="0.25">
      <c r="A7214" s="841"/>
    </row>
    <row r="7215" spans="1:1" x14ac:dyDescent="0.25">
      <c r="A7215" s="841"/>
    </row>
    <row r="7216" spans="1:1" x14ac:dyDescent="0.25">
      <c r="A7216" s="841"/>
    </row>
    <row r="7217" spans="1:1" x14ac:dyDescent="0.25">
      <c r="A7217" s="841"/>
    </row>
    <row r="7218" spans="1:1" x14ac:dyDescent="0.25">
      <c r="A7218" s="841"/>
    </row>
    <row r="7219" spans="1:1" x14ac:dyDescent="0.25">
      <c r="A7219" s="841"/>
    </row>
    <row r="7220" spans="1:1" x14ac:dyDescent="0.25">
      <c r="A7220" s="841"/>
    </row>
    <row r="7221" spans="1:1" x14ac:dyDescent="0.25">
      <c r="A7221" s="841"/>
    </row>
    <row r="7222" spans="1:1" x14ac:dyDescent="0.25">
      <c r="A7222" s="841"/>
    </row>
    <row r="7223" spans="1:1" x14ac:dyDescent="0.25">
      <c r="A7223" s="841"/>
    </row>
    <row r="7224" spans="1:1" x14ac:dyDescent="0.25">
      <c r="A7224" s="841"/>
    </row>
    <row r="7225" spans="1:1" x14ac:dyDescent="0.25">
      <c r="A7225" s="841"/>
    </row>
    <row r="7226" spans="1:1" x14ac:dyDescent="0.25">
      <c r="A7226" s="841"/>
    </row>
    <row r="7227" spans="1:1" x14ac:dyDescent="0.25">
      <c r="A7227" s="841"/>
    </row>
    <row r="7228" spans="1:1" x14ac:dyDescent="0.25">
      <c r="A7228" s="841"/>
    </row>
    <row r="7229" spans="1:1" x14ac:dyDescent="0.25">
      <c r="A7229" s="841"/>
    </row>
    <row r="7230" spans="1:1" x14ac:dyDescent="0.25">
      <c r="A7230" s="841"/>
    </row>
    <row r="7231" spans="1:1" x14ac:dyDescent="0.25">
      <c r="A7231" s="841"/>
    </row>
    <row r="7232" spans="1:1" x14ac:dyDescent="0.25">
      <c r="A7232" s="841"/>
    </row>
    <row r="7233" spans="1:1" x14ac:dyDescent="0.25">
      <c r="A7233" s="841"/>
    </row>
    <row r="7234" spans="1:1" x14ac:dyDescent="0.25">
      <c r="A7234" s="841"/>
    </row>
    <row r="7235" spans="1:1" x14ac:dyDescent="0.25">
      <c r="A7235" s="841"/>
    </row>
    <row r="7236" spans="1:1" x14ac:dyDescent="0.25">
      <c r="A7236" s="841"/>
    </row>
    <row r="7237" spans="1:1" x14ac:dyDescent="0.25">
      <c r="A7237" s="841"/>
    </row>
    <row r="7238" spans="1:1" x14ac:dyDescent="0.25">
      <c r="A7238" s="841"/>
    </row>
    <row r="7239" spans="1:1" x14ac:dyDescent="0.25">
      <c r="A7239" s="841"/>
    </row>
    <row r="7240" spans="1:1" x14ac:dyDescent="0.25">
      <c r="A7240" s="841"/>
    </row>
    <row r="7241" spans="1:1" x14ac:dyDescent="0.25">
      <c r="A7241" s="841"/>
    </row>
    <row r="7242" spans="1:1" x14ac:dyDescent="0.25">
      <c r="A7242" s="841"/>
    </row>
    <row r="7243" spans="1:1" x14ac:dyDescent="0.25">
      <c r="A7243" s="841"/>
    </row>
    <row r="7244" spans="1:1" x14ac:dyDescent="0.25">
      <c r="A7244" s="841"/>
    </row>
    <row r="7245" spans="1:1" x14ac:dyDescent="0.25">
      <c r="A7245" s="841"/>
    </row>
    <row r="7246" spans="1:1" x14ac:dyDescent="0.25">
      <c r="A7246" s="841"/>
    </row>
    <row r="7247" spans="1:1" x14ac:dyDescent="0.25">
      <c r="A7247" s="841"/>
    </row>
    <row r="7248" spans="1:1" x14ac:dyDescent="0.25">
      <c r="A7248" s="841"/>
    </row>
    <row r="7249" spans="1:1" x14ac:dyDescent="0.25">
      <c r="A7249" s="841"/>
    </row>
    <row r="7250" spans="1:1" x14ac:dyDescent="0.25">
      <c r="A7250" s="841"/>
    </row>
    <row r="7251" spans="1:1" x14ac:dyDescent="0.25">
      <c r="A7251" s="841"/>
    </row>
    <row r="7252" spans="1:1" x14ac:dyDescent="0.25">
      <c r="A7252" s="841"/>
    </row>
    <row r="7253" spans="1:1" x14ac:dyDescent="0.25">
      <c r="A7253" s="841"/>
    </row>
    <row r="7254" spans="1:1" x14ac:dyDescent="0.25">
      <c r="A7254" s="841"/>
    </row>
    <row r="7255" spans="1:1" x14ac:dyDescent="0.25">
      <c r="A7255" s="841"/>
    </row>
    <row r="7256" spans="1:1" x14ac:dyDescent="0.25">
      <c r="A7256" s="841"/>
    </row>
    <row r="7257" spans="1:1" x14ac:dyDescent="0.25">
      <c r="A7257" s="841"/>
    </row>
    <row r="7258" spans="1:1" x14ac:dyDescent="0.25">
      <c r="A7258" s="841"/>
    </row>
    <row r="7259" spans="1:1" x14ac:dyDescent="0.25">
      <c r="A7259" s="841"/>
    </row>
    <row r="7260" spans="1:1" x14ac:dyDescent="0.25">
      <c r="A7260" s="841"/>
    </row>
    <row r="7261" spans="1:1" x14ac:dyDescent="0.25">
      <c r="A7261" s="841"/>
    </row>
    <row r="7262" spans="1:1" x14ac:dyDescent="0.25">
      <c r="A7262" s="841"/>
    </row>
    <row r="7263" spans="1:1" x14ac:dyDescent="0.25">
      <c r="A7263" s="841"/>
    </row>
    <row r="7264" spans="1:1" x14ac:dyDescent="0.25">
      <c r="A7264" s="841"/>
    </row>
    <row r="7265" spans="1:1" x14ac:dyDescent="0.25">
      <c r="A7265" s="841"/>
    </row>
    <row r="7266" spans="1:1" x14ac:dyDescent="0.25">
      <c r="A7266" s="841"/>
    </row>
    <row r="7267" spans="1:1" x14ac:dyDescent="0.25">
      <c r="A7267" s="841"/>
    </row>
    <row r="7268" spans="1:1" x14ac:dyDescent="0.25">
      <c r="A7268" s="841"/>
    </row>
    <row r="7269" spans="1:1" x14ac:dyDescent="0.25">
      <c r="A7269" s="841"/>
    </row>
    <row r="7270" spans="1:1" x14ac:dyDescent="0.25">
      <c r="A7270" s="841"/>
    </row>
    <row r="7271" spans="1:1" x14ac:dyDescent="0.25">
      <c r="A7271" s="841"/>
    </row>
    <row r="7272" spans="1:1" x14ac:dyDescent="0.25">
      <c r="A7272" s="841"/>
    </row>
    <row r="7273" spans="1:1" x14ac:dyDescent="0.25">
      <c r="A7273" s="841"/>
    </row>
    <row r="7274" spans="1:1" x14ac:dyDescent="0.25">
      <c r="A7274" s="841"/>
    </row>
    <row r="7275" spans="1:1" x14ac:dyDescent="0.25">
      <c r="A7275" s="841"/>
    </row>
    <row r="7276" spans="1:1" x14ac:dyDescent="0.25">
      <c r="A7276" s="841"/>
    </row>
    <row r="7277" spans="1:1" x14ac:dyDescent="0.25">
      <c r="A7277" s="841"/>
    </row>
    <row r="7278" spans="1:1" x14ac:dyDescent="0.25">
      <c r="A7278" s="841"/>
    </row>
    <row r="7279" spans="1:1" x14ac:dyDescent="0.25">
      <c r="A7279" s="841"/>
    </row>
    <row r="7280" spans="1:1" x14ac:dyDescent="0.25">
      <c r="A7280" s="841"/>
    </row>
    <row r="7281" spans="1:1" x14ac:dyDescent="0.25">
      <c r="A7281" s="841"/>
    </row>
    <row r="7282" spans="1:1" x14ac:dyDescent="0.25">
      <c r="A7282" s="841"/>
    </row>
    <row r="7283" spans="1:1" x14ac:dyDescent="0.25">
      <c r="A7283" s="841"/>
    </row>
    <row r="7284" spans="1:1" x14ac:dyDescent="0.25">
      <c r="A7284" s="841"/>
    </row>
    <row r="7285" spans="1:1" x14ac:dyDescent="0.25">
      <c r="A7285" s="841"/>
    </row>
    <row r="7286" spans="1:1" x14ac:dyDescent="0.25">
      <c r="A7286" s="841"/>
    </row>
    <row r="7287" spans="1:1" x14ac:dyDescent="0.25">
      <c r="A7287" s="841"/>
    </row>
    <row r="7288" spans="1:1" x14ac:dyDescent="0.25">
      <c r="A7288" s="841"/>
    </row>
    <row r="7289" spans="1:1" x14ac:dyDescent="0.25">
      <c r="A7289" s="841"/>
    </row>
    <row r="7290" spans="1:1" x14ac:dyDescent="0.25">
      <c r="A7290" s="841"/>
    </row>
    <row r="7291" spans="1:1" x14ac:dyDescent="0.25">
      <c r="A7291" s="841"/>
    </row>
    <row r="7292" spans="1:1" x14ac:dyDescent="0.25">
      <c r="A7292" s="841"/>
    </row>
    <row r="7293" spans="1:1" x14ac:dyDescent="0.25">
      <c r="A7293" s="841"/>
    </row>
    <row r="7294" spans="1:1" x14ac:dyDescent="0.25">
      <c r="A7294" s="841"/>
    </row>
    <row r="7295" spans="1:1" x14ac:dyDescent="0.25">
      <c r="A7295" s="841"/>
    </row>
    <row r="7296" spans="1:1" x14ac:dyDescent="0.25">
      <c r="A7296" s="841"/>
    </row>
    <row r="7297" spans="1:1" x14ac:dyDescent="0.25">
      <c r="A7297" s="841"/>
    </row>
    <row r="7298" spans="1:1" x14ac:dyDescent="0.25">
      <c r="A7298" s="841"/>
    </row>
    <row r="7299" spans="1:1" x14ac:dyDescent="0.25">
      <c r="A7299" s="841"/>
    </row>
    <row r="7300" spans="1:1" x14ac:dyDescent="0.25">
      <c r="A7300" s="841"/>
    </row>
    <row r="7301" spans="1:1" x14ac:dyDescent="0.25">
      <c r="A7301" s="841"/>
    </row>
    <row r="7302" spans="1:1" x14ac:dyDescent="0.25">
      <c r="A7302" s="841"/>
    </row>
    <row r="7303" spans="1:1" x14ac:dyDescent="0.25">
      <c r="A7303" s="841"/>
    </row>
    <row r="7304" spans="1:1" x14ac:dyDescent="0.25">
      <c r="A7304" s="841"/>
    </row>
    <row r="7305" spans="1:1" x14ac:dyDescent="0.25">
      <c r="A7305" s="841"/>
    </row>
    <row r="7306" spans="1:1" x14ac:dyDescent="0.25">
      <c r="A7306" s="841"/>
    </row>
    <row r="7307" spans="1:1" x14ac:dyDescent="0.25">
      <c r="A7307" s="841"/>
    </row>
    <row r="7308" spans="1:1" x14ac:dyDescent="0.25">
      <c r="A7308" s="841"/>
    </row>
    <row r="7309" spans="1:1" x14ac:dyDescent="0.25">
      <c r="A7309" s="841"/>
    </row>
    <row r="7310" spans="1:1" x14ac:dyDescent="0.25">
      <c r="A7310" s="841"/>
    </row>
    <row r="7311" spans="1:1" x14ac:dyDescent="0.25">
      <c r="A7311" s="841"/>
    </row>
    <row r="7312" spans="1:1" x14ac:dyDescent="0.25">
      <c r="A7312" s="841"/>
    </row>
    <row r="7313" spans="1:1" x14ac:dyDescent="0.25">
      <c r="A7313" s="841"/>
    </row>
    <row r="7314" spans="1:1" x14ac:dyDescent="0.25">
      <c r="A7314" s="841"/>
    </row>
    <row r="7315" spans="1:1" x14ac:dyDescent="0.25">
      <c r="A7315" s="841"/>
    </row>
    <row r="7316" spans="1:1" x14ac:dyDescent="0.25">
      <c r="A7316" s="841"/>
    </row>
    <row r="7317" spans="1:1" x14ac:dyDescent="0.25">
      <c r="A7317" s="841"/>
    </row>
    <row r="7318" spans="1:1" x14ac:dyDescent="0.25">
      <c r="A7318" s="841"/>
    </row>
    <row r="7319" spans="1:1" x14ac:dyDescent="0.25">
      <c r="A7319" s="841"/>
    </row>
    <row r="7320" spans="1:1" x14ac:dyDescent="0.25">
      <c r="A7320" s="841"/>
    </row>
    <row r="7321" spans="1:1" x14ac:dyDescent="0.25">
      <c r="A7321" s="841"/>
    </row>
    <row r="7322" spans="1:1" x14ac:dyDescent="0.25">
      <c r="A7322" s="841"/>
    </row>
    <row r="7323" spans="1:1" x14ac:dyDescent="0.25">
      <c r="A7323" s="841"/>
    </row>
    <row r="7324" spans="1:1" x14ac:dyDescent="0.25">
      <c r="A7324" s="841"/>
    </row>
    <row r="7325" spans="1:1" x14ac:dyDescent="0.25">
      <c r="A7325" s="841"/>
    </row>
    <row r="7326" spans="1:1" x14ac:dyDescent="0.25">
      <c r="A7326" s="841"/>
    </row>
    <row r="7327" spans="1:1" x14ac:dyDescent="0.25">
      <c r="A7327" s="841"/>
    </row>
    <row r="7328" spans="1:1" x14ac:dyDescent="0.25">
      <c r="A7328" s="841"/>
    </row>
    <row r="7329" spans="1:1" x14ac:dyDescent="0.25">
      <c r="A7329" s="841"/>
    </row>
    <row r="7330" spans="1:1" x14ac:dyDescent="0.25">
      <c r="A7330" s="841"/>
    </row>
    <row r="7331" spans="1:1" x14ac:dyDescent="0.25">
      <c r="A7331" s="841"/>
    </row>
    <row r="7332" spans="1:1" x14ac:dyDescent="0.25">
      <c r="A7332" s="841"/>
    </row>
    <row r="7333" spans="1:1" x14ac:dyDescent="0.25">
      <c r="A7333" s="841"/>
    </row>
    <row r="7334" spans="1:1" x14ac:dyDescent="0.25">
      <c r="A7334" s="841"/>
    </row>
    <row r="7335" spans="1:1" x14ac:dyDescent="0.25">
      <c r="A7335" s="841"/>
    </row>
    <row r="7336" spans="1:1" x14ac:dyDescent="0.25">
      <c r="A7336" s="841"/>
    </row>
    <row r="7337" spans="1:1" x14ac:dyDescent="0.25">
      <c r="A7337" s="841"/>
    </row>
    <row r="7338" spans="1:1" x14ac:dyDescent="0.25">
      <c r="A7338" s="841"/>
    </row>
    <row r="7339" spans="1:1" x14ac:dyDescent="0.25">
      <c r="A7339" s="841"/>
    </row>
    <row r="7340" spans="1:1" x14ac:dyDescent="0.25">
      <c r="A7340" s="841"/>
    </row>
    <row r="7341" spans="1:1" x14ac:dyDescent="0.25">
      <c r="A7341" s="841"/>
    </row>
    <row r="7342" spans="1:1" x14ac:dyDescent="0.25">
      <c r="A7342" s="841"/>
    </row>
    <row r="7343" spans="1:1" x14ac:dyDescent="0.25">
      <c r="A7343" s="841"/>
    </row>
    <row r="7344" spans="1:1" x14ac:dyDescent="0.25">
      <c r="A7344" s="841"/>
    </row>
    <row r="7345" spans="1:1" x14ac:dyDescent="0.25">
      <c r="A7345" s="841"/>
    </row>
    <row r="7346" spans="1:1" x14ac:dyDescent="0.25">
      <c r="A7346" s="841"/>
    </row>
    <row r="7347" spans="1:1" x14ac:dyDescent="0.25">
      <c r="A7347" s="841"/>
    </row>
    <row r="7348" spans="1:1" x14ac:dyDescent="0.25">
      <c r="A7348" s="841"/>
    </row>
    <row r="7349" spans="1:1" x14ac:dyDescent="0.25">
      <c r="A7349" s="841"/>
    </row>
    <row r="7350" spans="1:1" x14ac:dyDescent="0.25">
      <c r="A7350" s="841"/>
    </row>
    <row r="7351" spans="1:1" x14ac:dyDescent="0.25">
      <c r="A7351" s="841"/>
    </row>
    <row r="7352" spans="1:1" x14ac:dyDescent="0.25">
      <c r="A7352" s="841"/>
    </row>
    <row r="7353" spans="1:1" x14ac:dyDescent="0.25">
      <c r="A7353" s="841"/>
    </row>
    <row r="7354" spans="1:1" x14ac:dyDescent="0.25">
      <c r="A7354" s="841"/>
    </row>
    <row r="7355" spans="1:1" x14ac:dyDescent="0.25">
      <c r="A7355" s="841"/>
    </row>
    <row r="7356" spans="1:1" x14ac:dyDescent="0.25">
      <c r="A7356" s="841"/>
    </row>
    <row r="7357" spans="1:1" x14ac:dyDescent="0.25">
      <c r="A7357" s="841"/>
    </row>
    <row r="7358" spans="1:1" x14ac:dyDescent="0.25">
      <c r="A7358" s="841"/>
    </row>
    <row r="7359" spans="1:1" x14ac:dyDescent="0.25">
      <c r="A7359" s="841"/>
    </row>
    <row r="7360" spans="1:1" x14ac:dyDescent="0.25">
      <c r="A7360" s="841"/>
    </row>
    <row r="7361" spans="1:1" x14ac:dyDescent="0.25">
      <c r="A7361" s="841"/>
    </row>
    <row r="7362" spans="1:1" x14ac:dyDescent="0.25">
      <c r="A7362" s="841"/>
    </row>
    <row r="7363" spans="1:1" x14ac:dyDescent="0.25">
      <c r="A7363" s="841"/>
    </row>
    <row r="7364" spans="1:1" x14ac:dyDescent="0.25">
      <c r="A7364" s="841"/>
    </row>
    <row r="7365" spans="1:1" x14ac:dyDescent="0.25">
      <c r="A7365" s="841"/>
    </row>
    <row r="7366" spans="1:1" x14ac:dyDescent="0.25">
      <c r="A7366" s="841"/>
    </row>
    <row r="7367" spans="1:1" x14ac:dyDescent="0.25">
      <c r="A7367" s="841"/>
    </row>
    <row r="7368" spans="1:1" x14ac:dyDescent="0.25">
      <c r="A7368" s="841"/>
    </row>
    <row r="7369" spans="1:1" x14ac:dyDescent="0.25">
      <c r="A7369" s="841"/>
    </row>
    <row r="7370" spans="1:1" x14ac:dyDescent="0.25">
      <c r="A7370" s="841"/>
    </row>
    <row r="7371" spans="1:1" x14ac:dyDescent="0.25">
      <c r="A7371" s="841"/>
    </row>
    <row r="7372" spans="1:1" x14ac:dyDescent="0.25">
      <c r="A7372" s="841"/>
    </row>
    <row r="7373" spans="1:1" x14ac:dyDescent="0.25">
      <c r="A7373" s="841"/>
    </row>
    <row r="7374" spans="1:1" x14ac:dyDescent="0.25">
      <c r="A7374" s="841"/>
    </row>
    <row r="7375" spans="1:1" x14ac:dyDescent="0.25">
      <c r="A7375" s="841"/>
    </row>
    <row r="7376" spans="1:1" x14ac:dyDescent="0.25">
      <c r="A7376" s="841"/>
    </row>
    <row r="7377" spans="1:1" x14ac:dyDescent="0.25">
      <c r="A7377" s="841"/>
    </row>
    <row r="7378" spans="1:1" x14ac:dyDescent="0.25">
      <c r="A7378" s="841"/>
    </row>
    <row r="7379" spans="1:1" x14ac:dyDescent="0.25">
      <c r="A7379" s="841"/>
    </row>
    <row r="7380" spans="1:1" x14ac:dyDescent="0.25">
      <c r="A7380" s="841"/>
    </row>
    <row r="7381" spans="1:1" x14ac:dyDescent="0.25">
      <c r="A7381" s="841"/>
    </row>
    <row r="7382" spans="1:1" x14ac:dyDescent="0.25">
      <c r="A7382" s="841"/>
    </row>
    <row r="7383" spans="1:1" x14ac:dyDescent="0.25">
      <c r="A7383" s="841"/>
    </row>
    <row r="7384" spans="1:1" x14ac:dyDescent="0.25">
      <c r="A7384" s="841"/>
    </row>
    <row r="7385" spans="1:1" x14ac:dyDescent="0.25">
      <c r="A7385" s="841"/>
    </row>
    <row r="7386" spans="1:1" x14ac:dyDescent="0.25">
      <c r="A7386" s="841"/>
    </row>
    <row r="7387" spans="1:1" x14ac:dyDescent="0.25">
      <c r="A7387" s="841"/>
    </row>
    <row r="7388" spans="1:1" x14ac:dyDescent="0.25">
      <c r="A7388" s="841"/>
    </row>
    <row r="7389" spans="1:1" x14ac:dyDescent="0.25">
      <c r="A7389" s="841"/>
    </row>
    <row r="7390" spans="1:1" x14ac:dyDescent="0.25">
      <c r="A7390" s="841"/>
    </row>
    <row r="7391" spans="1:1" x14ac:dyDescent="0.25">
      <c r="A7391" s="841"/>
    </row>
    <row r="7392" spans="1:1" x14ac:dyDescent="0.25">
      <c r="A7392" s="841"/>
    </row>
    <row r="7393" spans="1:1" x14ac:dyDescent="0.25">
      <c r="A7393" s="841"/>
    </row>
    <row r="7394" spans="1:1" x14ac:dyDescent="0.25">
      <c r="A7394" s="841"/>
    </row>
    <row r="7395" spans="1:1" x14ac:dyDescent="0.25">
      <c r="A7395" s="841"/>
    </row>
    <row r="7396" spans="1:1" x14ac:dyDescent="0.25">
      <c r="A7396" s="841"/>
    </row>
    <row r="7397" spans="1:1" x14ac:dyDescent="0.25">
      <c r="A7397" s="841"/>
    </row>
    <row r="7398" spans="1:1" x14ac:dyDescent="0.25">
      <c r="A7398" s="841"/>
    </row>
    <row r="7399" spans="1:1" x14ac:dyDescent="0.25">
      <c r="A7399" s="841"/>
    </row>
    <row r="7400" spans="1:1" x14ac:dyDescent="0.25">
      <c r="A7400" s="841"/>
    </row>
    <row r="7401" spans="1:1" x14ac:dyDescent="0.25">
      <c r="A7401" s="841"/>
    </row>
    <row r="7402" spans="1:1" x14ac:dyDescent="0.25">
      <c r="A7402" s="841"/>
    </row>
    <row r="7403" spans="1:1" x14ac:dyDescent="0.25">
      <c r="A7403" s="841"/>
    </row>
    <row r="7404" spans="1:1" x14ac:dyDescent="0.25">
      <c r="A7404" s="841"/>
    </row>
    <row r="7405" spans="1:1" x14ac:dyDescent="0.25">
      <c r="A7405" s="841"/>
    </row>
    <row r="7406" spans="1:1" x14ac:dyDescent="0.25">
      <c r="A7406" s="841"/>
    </row>
    <row r="7407" spans="1:1" x14ac:dyDescent="0.25">
      <c r="A7407" s="841"/>
    </row>
    <row r="7408" spans="1:1" x14ac:dyDescent="0.25">
      <c r="A7408" s="841"/>
    </row>
    <row r="7409" spans="1:1" x14ac:dyDescent="0.25">
      <c r="A7409" s="841"/>
    </row>
    <row r="7410" spans="1:1" x14ac:dyDescent="0.25">
      <c r="A7410" s="841"/>
    </row>
    <row r="7411" spans="1:1" x14ac:dyDescent="0.25">
      <c r="A7411" s="841"/>
    </row>
    <row r="7412" spans="1:1" x14ac:dyDescent="0.25">
      <c r="A7412" s="841"/>
    </row>
    <row r="7413" spans="1:1" x14ac:dyDescent="0.25">
      <c r="A7413" s="841"/>
    </row>
    <row r="7414" spans="1:1" x14ac:dyDescent="0.25">
      <c r="A7414" s="841"/>
    </row>
    <row r="7415" spans="1:1" x14ac:dyDescent="0.25">
      <c r="A7415" s="841"/>
    </row>
    <row r="7416" spans="1:1" x14ac:dyDescent="0.25">
      <c r="A7416" s="841"/>
    </row>
    <row r="7417" spans="1:1" x14ac:dyDescent="0.25">
      <c r="A7417" s="841"/>
    </row>
    <row r="7418" spans="1:1" x14ac:dyDescent="0.25">
      <c r="A7418" s="841"/>
    </row>
    <row r="7419" spans="1:1" x14ac:dyDescent="0.25">
      <c r="A7419" s="841"/>
    </row>
    <row r="7420" spans="1:1" x14ac:dyDescent="0.25">
      <c r="A7420" s="841"/>
    </row>
    <row r="7421" spans="1:1" x14ac:dyDescent="0.25">
      <c r="A7421" s="841"/>
    </row>
    <row r="7422" spans="1:1" x14ac:dyDescent="0.25">
      <c r="A7422" s="841"/>
    </row>
    <row r="7423" spans="1:1" x14ac:dyDescent="0.25">
      <c r="A7423" s="841"/>
    </row>
    <row r="7424" spans="1:1" x14ac:dyDescent="0.25">
      <c r="A7424" s="841"/>
    </row>
    <row r="7425" spans="1:1" x14ac:dyDescent="0.25">
      <c r="A7425" s="841"/>
    </row>
    <row r="7426" spans="1:1" x14ac:dyDescent="0.25">
      <c r="A7426" s="841"/>
    </row>
    <row r="7427" spans="1:1" x14ac:dyDescent="0.25">
      <c r="A7427" s="841"/>
    </row>
    <row r="7428" spans="1:1" x14ac:dyDescent="0.25">
      <c r="A7428" s="841"/>
    </row>
    <row r="7429" spans="1:1" x14ac:dyDescent="0.25">
      <c r="A7429" s="841"/>
    </row>
    <row r="7430" spans="1:1" x14ac:dyDescent="0.25">
      <c r="A7430" s="841"/>
    </row>
    <row r="7431" spans="1:1" x14ac:dyDescent="0.25">
      <c r="A7431" s="841"/>
    </row>
    <row r="7432" spans="1:1" x14ac:dyDescent="0.25">
      <c r="A7432" s="841"/>
    </row>
    <row r="7433" spans="1:1" x14ac:dyDescent="0.25">
      <c r="A7433" s="841"/>
    </row>
    <row r="7434" spans="1:1" x14ac:dyDescent="0.25">
      <c r="A7434" s="841"/>
    </row>
    <row r="7435" spans="1:1" x14ac:dyDescent="0.25">
      <c r="A7435" s="841"/>
    </row>
    <row r="7436" spans="1:1" x14ac:dyDescent="0.25">
      <c r="A7436" s="841"/>
    </row>
    <row r="7437" spans="1:1" x14ac:dyDescent="0.25">
      <c r="A7437" s="841"/>
    </row>
    <row r="7438" spans="1:1" x14ac:dyDescent="0.25">
      <c r="A7438" s="841"/>
    </row>
    <row r="7439" spans="1:1" x14ac:dyDescent="0.25">
      <c r="A7439" s="841"/>
    </row>
    <row r="7440" spans="1:1" x14ac:dyDescent="0.25">
      <c r="A7440" s="841"/>
    </row>
    <row r="7441" spans="1:1" x14ac:dyDescent="0.25">
      <c r="A7441" s="841"/>
    </row>
    <row r="7442" spans="1:1" x14ac:dyDescent="0.25">
      <c r="A7442" s="841"/>
    </row>
    <row r="7443" spans="1:1" x14ac:dyDescent="0.25">
      <c r="A7443" s="841"/>
    </row>
    <row r="7444" spans="1:1" x14ac:dyDescent="0.25">
      <c r="A7444" s="841"/>
    </row>
    <row r="7445" spans="1:1" x14ac:dyDescent="0.25">
      <c r="A7445" s="841"/>
    </row>
    <row r="7446" spans="1:1" x14ac:dyDescent="0.25">
      <c r="A7446" s="841"/>
    </row>
    <row r="7447" spans="1:1" x14ac:dyDescent="0.25">
      <c r="A7447" s="841"/>
    </row>
    <row r="7448" spans="1:1" x14ac:dyDescent="0.25">
      <c r="A7448" s="841"/>
    </row>
    <row r="7449" spans="1:1" x14ac:dyDescent="0.25">
      <c r="A7449" s="841"/>
    </row>
    <row r="7450" spans="1:1" x14ac:dyDescent="0.25">
      <c r="A7450" s="841"/>
    </row>
    <row r="7451" spans="1:1" x14ac:dyDescent="0.25">
      <c r="A7451" s="841"/>
    </row>
    <row r="7452" spans="1:1" x14ac:dyDescent="0.25">
      <c r="A7452" s="841"/>
    </row>
    <row r="7453" spans="1:1" x14ac:dyDescent="0.25">
      <c r="A7453" s="841"/>
    </row>
    <row r="7454" spans="1:1" x14ac:dyDescent="0.25">
      <c r="A7454" s="841"/>
    </row>
    <row r="7455" spans="1:1" x14ac:dyDescent="0.25">
      <c r="A7455" s="841"/>
    </row>
    <row r="7456" spans="1:1" x14ac:dyDescent="0.25">
      <c r="A7456" s="841"/>
    </row>
    <row r="7457" spans="1:1" x14ac:dyDescent="0.25">
      <c r="A7457" s="841"/>
    </row>
    <row r="7458" spans="1:1" x14ac:dyDescent="0.25">
      <c r="A7458" s="841"/>
    </row>
    <row r="7459" spans="1:1" x14ac:dyDescent="0.25">
      <c r="A7459" s="841"/>
    </row>
    <row r="7460" spans="1:1" x14ac:dyDescent="0.25">
      <c r="A7460" s="841"/>
    </row>
    <row r="7461" spans="1:1" x14ac:dyDescent="0.25">
      <c r="A7461" s="841"/>
    </row>
    <row r="7462" spans="1:1" x14ac:dyDescent="0.25">
      <c r="A7462" s="841"/>
    </row>
    <row r="7463" spans="1:1" x14ac:dyDescent="0.25">
      <c r="A7463" s="841"/>
    </row>
    <row r="7464" spans="1:1" x14ac:dyDescent="0.25">
      <c r="A7464" s="841"/>
    </row>
    <row r="7465" spans="1:1" x14ac:dyDescent="0.25">
      <c r="A7465" s="841"/>
    </row>
    <row r="7466" spans="1:1" x14ac:dyDescent="0.25">
      <c r="A7466" s="841"/>
    </row>
    <row r="7467" spans="1:1" x14ac:dyDescent="0.25">
      <c r="A7467" s="841"/>
    </row>
    <row r="7468" spans="1:1" x14ac:dyDescent="0.25">
      <c r="A7468" s="841"/>
    </row>
    <row r="7469" spans="1:1" x14ac:dyDescent="0.25">
      <c r="A7469" s="841"/>
    </row>
    <row r="7470" spans="1:1" x14ac:dyDescent="0.25">
      <c r="A7470" s="841"/>
    </row>
    <row r="7471" spans="1:1" x14ac:dyDescent="0.25">
      <c r="A7471" s="841"/>
    </row>
    <row r="7472" spans="1:1" x14ac:dyDescent="0.25">
      <c r="A7472" s="841"/>
    </row>
    <row r="7473" spans="1:1" x14ac:dyDescent="0.25">
      <c r="A7473" s="841"/>
    </row>
    <row r="7474" spans="1:1" x14ac:dyDescent="0.25">
      <c r="A7474" s="841"/>
    </row>
    <row r="7475" spans="1:1" x14ac:dyDescent="0.25">
      <c r="A7475" s="841"/>
    </row>
    <row r="7476" spans="1:1" x14ac:dyDescent="0.25">
      <c r="A7476" s="841"/>
    </row>
    <row r="7477" spans="1:1" x14ac:dyDescent="0.25">
      <c r="A7477" s="841"/>
    </row>
    <row r="7478" spans="1:1" x14ac:dyDescent="0.25">
      <c r="A7478" s="841"/>
    </row>
    <row r="7479" spans="1:1" x14ac:dyDescent="0.25">
      <c r="A7479" s="841"/>
    </row>
    <row r="7480" spans="1:1" x14ac:dyDescent="0.25">
      <c r="A7480" s="841"/>
    </row>
    <row r="7481" spans="1:1" x14ac:dyDescent="0.25">
      <c r="A7481" s="841"/>
    </row>
    <row r="7482" spans="1:1" x14ac:dyDescent="0.25">
      <c r="A7482" s="841"/>
    </row>
    <row r="7483" spans="1:1" x14ac:dyDescent="0.25">
      <c r="A7483" s="841"/>
    </row>
    <row r="7484" spans="1:1" x14ac:dyDescent="0.25">
      <c r="A7484" s="841"/>
    </row>
    <row r="7485" spans="1:1" x14ac:dyDescent="0.25">
      <c r="A7485" s="841"/>
    </row>
    <row r="7486" spans="1:1" x14ac:dyDescent="0.25">
      <c r="A7486" s="841"/>
    </row>
    <row r="7487" spans="1:1" x14ac:dyDescent="0.25">
      <c r="A7487" s="841"/>
    </row>
    <row r="7488" spans="1:1" x14ac:dyDescent="0.25">
      <c r="A7488" s="841"/>
    </row>
    <row r="7489" spans="1:1" x14ac:dyDescent="0.25">
      <c r="A7489" s="841"/>
    </row>
    <row r="7490" spans="1:1" x14ac:dyDescent="0.25">
      <c r="A7490" s="841"/>
    </row>
    <row r="7491" spans="1:1" x14ac:dyDescent="0.25">
      <c r="A7491" s="841"/>
    </row>
    <row r="7492" spans="1:1" x14ac:dyDescent="0.25">
      <c r="A7492" s="841"/>
    </row>
    <row r="7493" spans="1:1" x14ac:dyDescent="0.25">
      <c r="A7493" s="841"/>
    </row>
    <row r="7494" spans="1:1" x14ac:dyDescent="0.25">
      <c r="A7494" s="841"/>
    </row>
    <row r="7495" spans="1:1" x14ac:dyDescent="0.25">
      <c r="A7495" s="841"/>
    </row>
    <row r="7496" spans="1:1" x14ac:dyDescent="0.25">
      <c r="A7496" s="841"/>
    </row>
    <row r="7497" spans="1:1" x14ac:dyDescent="0.25">
      <c r="A7497" s="841"/>
    </row>
    <row r="7498" spans="1:1" x14ac:dyDescent="0.25">
      <c r="A7498" s="841"/>
    </row>
    <row r="7499" spans="1:1" x14ac:dyDescent="0.25">
      <c r="A7499" s="841"/>
    </row>
    <row r="7500" spans="1:1" x14ac:dyDescent="0.25">
      <c r="A7500" s="841"/>
    </row>
    <row r="7501" spans="1:1" x14ac:dyDescent="0.25">
      <c r="A7501" s="841"/>
    </row>
    <row r="7502" spans="1:1" x14ac:dyDescent="0.25">
      <c r="A7502" s="841"/>
    </row>
    <row r="7503" spans="1:1" x14ac:dyDescent="0.25">
      <c r="A7503" s="841"/>
    </row>
    <row r="7504" spans="1:1" x14ac:dyDescent="0.25">
      <c r="A7504" s="841"/>
    </row>
    <row r="7505" spans="1:1" x14ac:dyDescent="0.25">
      <c r="A7505" s="841"/>
    </row>
    <row r="7506" spans="1:1" x14ac:dyDescent="0.25">
      <c r="A7506" s="841"/>
    </row>
    <row r="7507" spans="1:1" x14ac:dyDescent="0.25">
      <c r="A7507" s="841"/>
    </row>
    <row r="7508" spans="1:1" x14ac:dyDescent="0.25">
      <c r="A7508" s="841"/>
    </row>
    <row r="7509" spans="1:1" x14ac:dyDescent="0.25">
      <c r="A7509" s="841"/>
    </row>
    <row r="7510" spans="1:1" x14ac:dyDescent="0.25">
      <c r="A7510" s="841"/>
    </row>
    <row r="7511" spans="1:1" x14ac:dyDescent="0.25">
      <c r="A7511" s="841"/>
    </row>
    <row r="7512" spans="1:1" x14ac:dyDescent="0.25">
      <c r="A7512" s="841"/>
    </row>
    <row r="7513" spans="1:1" x14ac:dyDescent="0.25">
      <c r="A7513" s="841"/>
    </row>
    <row r="7514" spans="1:1" x14ac:dyDescent="0.25">
      <c r="A7514" s="841"/>
    </row>
    <row r="7515" spans="1:1" x14ac:dyDescent="0.25">
      <c r="A7515" s="841"/>
    </row>
    <row r="7516" spans="1:1" x14ac:dyDescent="0.25">
      <c r="A7516" s="841"/>
    </row>
    <row r="7517" spans="1:1" x14ac:dyDescent="0.25">
      <c r="A7517" s="841"/>
    </row>
    <row r="7518" spans="1:1" x14ac:dyDescent="0.25">
      <c r="A7518" s="841"/>
    </row>
    <row r="7519" spans="1:1" x14ac:dyDescent="0.25">
      <c r="A7519" s="841"/>
    </row>
    <row r="7520" spans="1:1" x14ac:dyDescent="0.25">
      <c r="A7520" s="841"/>
    </row>
    <row r="7521" spans="1:1" x14ac:dyDescent="0.25">
      <c r="A7521" s="841"/>
    </row>
    <row r="7522" spans="1:1" x14ac:dyDescent="0.25">
      <c r="A7522" s="841"/>
    </row>
    <row r="7523" spans="1:1" x14ac:dyDescent="0.25">
      <c r="A7523" s="841"/>
    </row>
    <row r="7524" spans="1:1" x14ac:dyDescent="0.25">
      <c r="A7524" s="841"/>
    </row>
    <row r="7525" spans="1:1" x14ac:dyDescent="0.25">
      <c r="A7525" s="841"/>
    </row>
    <row r="7526" spans="1:1" x14ac:dyDescent="0.25">
      <c r="A7526" s="841"/>
    </row>
    <row r="7527" spans="1:1" x14ac:dyDescent="0.25">
      <c r="A7527" s="841"/>
    </row>
    <row r="7528" spans="1:1" x14ac:dyDescent="0.25">
      <c r="A7528" s="841"/>
    </row>
    <row r="7529" spans="1:1" x14ac:dyDescent="0.25">
      <c r="A7529" s="841"/>
    </row>
    <row r="7530" spans="1:1" x14ac:dyDescent="0.25">
      <c r="A7530" s="841"/>
    </row>
    <row r="7531" spans="1:1" x14ac:dyDescent="0.25">
      <c r="A7531" s="841"/>
    </row>
    <row r="7532" spans="1:1" x14ac:dyDescent="0.25">
      <c r="A7532" s="841"/>
    </row>
    <row r="7533" spans="1:1" x14ac:dyDescent="0.25">
      <c r="A7533" s="841"/>
    </row>
    <row r="7534" spans="1:1" x14ac:dyDescent="0.25">
      <c r="A7534" s="841"/>
    </row>
    <row r="7535" spans="1:1" x14ac:dyDescent="0.25">
      <c r="A7535" s="841"/>
    </row>
    <row r="7536" spans="1:1" x14ac:dyDescent="0.25">
      <c r="A7536" s="841"/>
    </row>
    <row r="7537" spans="1:1" x14ac:dyDescent="0.25">
      <c r="A7537" s="841"/>
    </row>
    <row r="7538" spans="1:1" x14ac:dyDescent="0.25">
      <c r="A7538" s="841"/>
    </row>
    <row r="7539" spans="1:1" x14ac:dyDescent="0.25">
      <c r="A7539" s="841"/>
    </row>
    <row r="7540" spans="1:1" x14ac:dyDescent="0.25">
      <c r="A7540" s="841"/>
    </row>
    <row r="7541" spans="1:1" x14ac:dyDescent="0.25">
      <c r="A7541" s="841"/>
    </row>
    <row r="7542" spans="1:1" x14ac:dyDescent="0.25">
      <c r="A7542" s="841"/>
    </row>
    <row r="7543" spans="1:1" x14ac:dyDescent="0.25">
      <c r="A7543" s="841"/>
    </row>
    <row r="7544" spans="1:1" x14ac:dyDescent="0.25">
      <c r="A7544" s="841"/>
    </row>
    <row r="7545" spans="1:1" x14ac:dyDescent="0.25">
      <c r="A7545" s="841"/>
    </row>
    <row r="7546" spans="1:1" x14ac:dyDescent="0.25">
      <c r="A7546" s="841"/>
    </row>
    <row r="7547" spans="1:1" x14ac:dyDescent="0.25">
      <c r="A7547" s="841"/>
    </row>
    <row r="7548" spans="1:1" x14ac:dyDescent="0.25">
      <c r="A7548" s="841"/>
    </row>
    <row r="7549" spans="1:1" x14ac:dyDescent="0.25">
      <c r="A7549" s="841"/>
    </row>
    <row r="7550" spans="1:1" x14ac:dyDescent="0.25">
      <c r="A7550" s="841"/>
    </row>
    <row r="7551" spans="1:1" x14ac:dyDescent="0.25">
      <c r="A7551" s="841"/>
    </row>
    <row r="7552" spans="1:1" x14ac:dyDescent="0.25">
      <c r="A7552" s="841"/>
    </row>
    <row r="7553" spans="1:1" x14ac:dyDescent="0.25">
      <c r="A7553" s="841"/>
    </row>
    <row r="7554" spans="1:1" x14ac:dyDescent="0.25">
      <c r="A7554" s="841"/>
    </row>
    <row r="7555" spans="1:1" x14ac:dyDescent="0.25">
      <c r="A7555" s="841"/>
    </row>
    <row r="7556" spans="1:1" x14ac:dyDescent="0.25">
      <c r="A7556" s="841"/>
    </row>
    <row r="7557" spans="1:1" x14ac:dyDescent="0.25">
      <c r="A7557" s="841"/>
    </row>
    <row r="7558" spans="1:1" x14ac:dyDescent="0.25">
      <c r="A7558" s="841"/>
    </row>
    <row r="7559" spans="1:1" x14ac:dyDescent="0.25">
      <c r="A7559" s="841"/>
    </row>
    <row r="7560" spans="1:1" x14ac:dyDescent="0.25">
      <c r="A7560" s="841"/>
    </row>
    <row r="7561" spans="1:1" x14ac:dyDescent="0.25">
      <c r="A7561" s="841"/>
    </row>
    <row r="7562" spans="1:1" x14ac:dyDescent="0.25">
      <c r="A7562" s="841"/>
    </row>
    <row r="7563" spans="1:1" x14ac:dyDescent="0.25">
      <c r="A7563" s="841"/>
    </row>
    <row r="7564" spans="1:1" x14ac:dyDescent="0.25">
      <c r="A7564" s="841"/>
    </row>
    <row r="7565" spans="1:1" x14ac:dyDescent="0.25">
      <c r="A7565" s="841"/>
    </row>
    <row r="7566" spans="1:1" x14ac:dyDescent="0.25">
      <c r="A7566" s="841"/>
    </row>
    <row r="7567" spans="1:1" x14ac:dyDescent="0.25">
      <c r="A7567" s="841"/>
    </row>
    <row r="7568" spans="1:1" x14ac:dyDescent="0.25">
      <c r="A7568" s="841"/>
    </row>
    <row r="7569" spans="1:1" x14ac:dyDescent="0.25">
      <c r="A7569" s="841"/>
    </row>
    <row r="7570" spans="1:1" x14ac:dyDescent="0.25">
      <c r="A7570" s="841"/>
    </row>
    <row r="7571" spans="1:1" x14ac:dyDescent="0.25">
      <c r="A7571" s="841"/>
    </row>
    <row r="7572" spans="1:1" x14ac:dyDescent="0.25">
      <c r="A7572" s="841"/>
    </row>
    <row r="7573" spans="1:1" x14ac:dyDescent="0.25">
      <c r="A7573" s="841"/>
    </row>
    <row r="7574" spans="1:1" x14ac:dyDescent="0.25">
      <c r="A7574" s="841"/>
    </row>
    <row r="7575" spans="1:1" x14ac:dyDescent="0.25">
      <c r="A7575" s="841"/>
    </row>
    <row r="7576" spans="1:1" x14ac:dyDescent="0.25">
      <c r="A7576" s="841"/>
    </row>
    <row r="7577" spans="1:1" x14ac:dyDescent="0.25">
      <c r="A7577" s="841"/>
    </row>
    <row r="7578" spans="1:1" x14ac:dyDescent="0.25">
      <c r="A7578" s="841"/>
    </row>
    <row r="7579" spans="1:1" x14ac:dyDescent="0.25">
      <c r="A7579" s="841"/>
    </row>
    <row r="7580" spans="1:1" x14ac:dyDescent="0.25">
      <c r="A7580" s="841"/>
    </row>
    <row r="7581" spans="1:1" x14ac:dyDescent="0.25">
      <c r="A7581" s="841"/>
    </row>
    <row r="7582" spans="1:1" x14ac:dyDescent="0.25">
      <c r="A7582" s="841"/>
    </row>
    <row r="7583" spans="1:1" x14ac:dyDescent="0.25">
      <c r="A7583" s="841"/>
    </row>
    <row r="7584" spans="1:1" x14ac:dyDescent="0.25">
      <c r="A7584" s="841"/>
    </row>
    <row r="7585" spans="1:1" x14ac:dyDescent="0.25">
      <c r="A7585" s="841"/>
    </row>
    <row r="7586" spans="1:1" x14ac:dyDescent="0.25">
      <c r="A7586" s="841"/>
    </row>
    <row r="7587" spans="1:1" x14ac:dyDescent="0.25">
      <c r="A7587" s="841"/>
    </row>
    <row r="7588" spans="1:1" x14ac:dyDescent="0.25">
      <c r="A7588" s="841"/>
    </row>
    <row r="7589" spans="1:1" x14ac:dyDescent="0.25">
      <c r="A7589" s="841"/>
    </row>
    <row r="7590" spans="1:1" x14ac:dyDescent="0.25">
      <c r="A7590" s="841"/>
    </row>
    <row r="7591" spans="1:1" x14ac:dyDescent="0.25">
      <c r="A7591" s="841"/>
    </row>
    <row r="7592" spans="1:1" x14ac:dyDescent="0.25">
      <c r="A7592" s="841"/>
    </row>
    <row r="7593" spans="1:1" x14ac:dyDescent="0.25">
      <c r="A7593" s="841"/>
    </row>
    <row r="7594" spans="1:1" x14ac:dyDescent="0.25">
      <c r="A7594" s="841"/>
    </row>
    <row r="7595" spans="1:1" x14ac:dyDescent="0.25">
      <c r="A7595" s="841"/>
    </row>
    <row r="7596" spans="1:1" x14ac:dyDescent="0.25">
      <c r="A7596" s="841"/>
    </row>
    <row r="7597" spans="1:1" x14ac:dyDescent="0.25">
      <c r="A7597" s="841"/>
    </row>
    <row r="7598" spans="1:1" x14ac:dyDescent="0.25">
      <c r="A7598" s="841"/>
    </row>
    <row r="7599" spans="1:1" x14ac:dyDescent="0.25">
      <c r="A7599" s="841"/>
    </row>
    <row r="7600" spans="1:1" x14ac:dyDescent="0.25">
      <c r="A7600" s="841"/>
    </row>
    <row r="7601" spans="1:1" x14ac:dyDescent="0.25">
      <c r="A7601" s="841"/>
    </row>
    <row r="7602" spans="1:1" x14ac:dyDescent="0.25">
      <c r="A7602" s="841"/>
    </row>
    <row r="7603" spans="1:1" x14ac:dyDescent="0.25">
      <c r="A7603" s="841"/>
    </row>
    <row r="7604" spans="1:1" x14ac:dyDescent="0.25">
      <c r="A7604" s="841"/>
    </row>
    <row r="7605" spans="1:1" x14ac:dyDescent="0.25">
      <c r="A7605" s="841"/>
    </row>
    <row r="7606" spans="1:1" x14ac:dyDescent="0.25">
      <c r="A7606" s="841"/>
    </row>
    <row r="7607" spans="1:1" x14ac:dyDescent="0.25">
      <c r="A7607" s="841"/>
    </row>
    <row r="7608" spans="1:1" x14ac:dyDescent="0.25">
      <c r="A7608" s="841"/>
    </row>
    <row r="7609" spans="1:1" x14ac:dyDescent="0.25">
      <c r="A7609" s="841"/>
    </row>
    <row r="7610" spans="1:1" x14ac:dyDescent="0.25">
      <c r="A7610" s="841"/>
    </row>
    <row r="7611" spans="1:1" x14ac:dyDescent="0.25">
      <c r="A7611" s="841"/>
    </row>
    <row r="7612" spans="1:1" x14ac:dyDescent="0.25">
      <c r="A7612" s="841"/>
    </row>
    <row r="7613" spans="1:1" x14ac:dyDescent="0.25">
      <c r="A7613" s="841"/>
    </row>
    <row r="7614" spans="1:1" x14ac:dyDescent="0.25">
      <c r="A7614" s="841"/>
    </row>
    <row r="7615" spans="1:1" x14ac:dyDescent="0.25">
      <c r="A7615" s="841"/>
    </row>
    <row r="7616" spans="1:1" x14ac:dyDescent="0.25">
      <c r="A7616" s="841"/>
    </row>
    <row r="7617" spans="1:1" x14ac:dyDescent="0.25">
      <c r="A7617" s="841"/>
    </row>
    <row r="7618" spans="1:1" x14ac:dyDescent="0.25">
      <c r="A7618" s="841"/>
    </row>
    <row r="7619" spans="1:1" x14ac:dyDescent="0.25">
      <c r="A7619" s="841"/>
    </row>
    <row r="7620" spans="1:1" x14ac:dyDescent="0.25">
      <c r="A7620" s="841"/>
    </row>
    <row r="7621" spans="1:1" x14ac:dyDescent="0.25">
      <c r="A7621" s="841"/>
    </row>
    <row r="7622" spans="1:1" x14ac:dyDescent="0.25">
      <c r="A7622" s="841"/>
    </row>
    <row r="7623" spans="1:1" x14ac:dyDescent="0.25">
      <c r="A7623" s="841"/>
    </row>
    <row r="7624" spans="1:1" x14ac:dyDescent="0.25">
      <c r="A7624" s="841"/>
    </row>
    <row r="7625" spans="1:1" x14ac:dyDescent="0.25">
      <c r="A7625" s="841"/>
    </row>
    <row r="7626" spans="1:1" x14ac:dyDescent="0.25">
      <c r="A7626" s="841"/>
    </row>
    <row r="7627" spans="1:1" x14ac:dyDescent="0.25">
      <c r="A7627" s="841"/>
    </row>
    <row r="7628" spans="1:1" x14ac:dyDescent="0.25">
      <c r="A7628" s="841"/>
    </row>
    <row r="7629" spans="1:1" x14ac:dyDescent="0.25">
      <c r="A7629" s="841"/>
    </row>
    <row r="7630" spans="1:1" x14ac:dyDescent="0.25">
      <c r="A7630" s="841"/>
    </row>
    <row r="7631" spans="1:1" x14ac:dyDescent="0.25">
      <c r="A7631" s="841"/>
    </row>
    <row r="7632" spans="1:1" x14ac:dyDescent="0.25">
      <c r="A7632" s="841"/>
    </row>
    <row r="7633" spans="1:1" x14ac:dyDescent="0.25">
      <c r="A7633" s="841"/>
    </row>
    <row r="7634" spans="1:1" x14ac:dyDescent="0.25">
      <c r="A7634" s="841"/>
    </row>
    <row r="7635" spans="1:1" x14ac:dyDescent="0.25">
      <c r="A7635" s="841"/>
    </row>
    <row r="7636" spans="1:1" x14ac:dyDescent="0.25">
      <c r="A7636" s="841"/>
    </row>
    <row r="7637" spans="1:1" x14ac:dyDescent="0.25">
      <c r="A7637" s="841"/>
    </row>
    <row r="7638" spans="1:1" x14ac:dyDescent="0.25">
      <c r="A7638" s="841"/>
    </row>
    <row r="7639" spans="1:1" x14ac:dyDescent="0.25">
      <c r="A7639" s="841"/>
    </row>
    <row r="7640" spans="1:1" x14ac:dyDescent="0.25">
      <c r="A7640" s="841"/>
    </row>
    <row r="7641" spans="1:1" x14ac:dyDescent="0.25">
      <c r="A7641" s="841"/>
    </row>
    <row r="7642" spans="1:1" x14ac:dyDescent="0.25">
      <c r="A7642" s="841"/>
    </row>
    <row r="7643" spans="1:1" x14ac:dyDescent="0.25">
      <c r="A7643" s="841"/>
    </row>
    <row r="7644" spans="1:1" x14ac:dyDescent="0.25">
      <c r="A7644" s="841"/>
    </row>
    <row r="7645" spans="1:1" x14ac:dyDescent="0.25">
      <c r="A7645" s="841"/>
    </row>
    <row r="7646" spans="1:1" x14ac:dyDescent="0.25">
      <c r="A7646" s="841"/>
    </row>
    <row r="7647" spans="1:1" x14ac:dyDescent="0.25">
      <c r="A7647" s="841"/>
    </row>
    <row r="7648" spans="1:1" x14ac:dyDescent="0.25">
      <c r="A7648" s="841"/>
    </row>
    <row r="7649" spans="1:1" x14ac:dyDescent="0.25">
      <c r="A7649" s="841"/>
    </row>
    <row r="7650" spans="1:1" x14ac:dyDescent="0.25">
      <c r="A7650" s="841"/>
    </row>
    <row r="7651" spans="1:1" x14ac:dyDescent="0.25">
      <c r="A7651" s="841"/>
    </row>
    <row r="7652" spans="1:1" x14ac:dyDescent="0.25">
      <c r="A7652" s="841"/>
    </row>
    <row r="7653" spans="1:1" x14ac:dyDescent="0.25">
      <c r="A7653" s="841"/>
    </row>
    <row r="7654" spans="1:1" x14ac:dyDescent="0.25">
      <c r="A7654" s="841"/>
    </row>
    <row r="7655" spans="1:1" x14ac:dyDescent="0.25">
      <c r="A7655" s="841"/>
    </row>
    <row r="7656" spans="1:1" x14ac:dyDescent="0.25">
      <c r="A7656" s="841"/>
    </row>
    <row r="7657" spans="1:1" x14ac:dyDescent="0.25">
      <c r="A7657" s="841"/>
    </row>
    <row r="7658" spans="1:1" x14ac:dyDescent="0.25">
      <c r="A7658" s="841"/>
    </row>
    <row r="7659" spans="1:1" x14ac:dyDescent="0.25">
      <c r="A7659" s="841"/>
    </row>
    <row r="7660" spans="1:1" x14ac:dyDescent="0.25">
      <c r="A7660" s="841"/>
    </row>
    <row r="7661" spans="1:1" x14ac:dyDescent="0.25">
      <c r="A7661" s="841"/>
    </row>
    <row r="7662" spans="1:1" x14ac:dyDescent="0.25">
      <c r="A7662" s="841"/>
    </row>
    <row r="7663" spans="1:1" x14ac:dyDescent="0.25">
      <c r="A7663" s="841"/>
    </row>
    <row r="7664" spans="1:1" x14ac:dyDescent="0.25">
      <c r="A7664" s="841"/>
    </row>
    <row r="7665" spans="1:1" x14ac:dyDescent="0.25">
      <c r="A7665" s="841"/>
    </row>
    <row r="7666" spans="1:1" x14ac:dyDescent="0.25">
      <c r="A7666" s="841"/>
    </row>
    <row r="7667" spans="1:1" x14ac:dyDescent="0.25">
      <c r="A7667" s="841"/>
    </row>
    <row r="7668" spans="1:1" x14ac:dyDescent="0.25">
      <c r="A7668" s="841"/>
    </row>
    <row r="7669" spans="1:1" x14ac:dyDescent="0.25">
      <c r="A7669" s="841"/>
    </row>
    <row r="7670" spans="1:1" x14ac:dyDescent="0.25">
      <c r="A7670" s="841"/>
    </row>
    <row r="7671" spans="1:1" x14ac:dyDescent="0.25">
      <c r="A7671" s="841"/>
    </row>
    <row r="7672" spans="1:1" x14ac:dyDescent="0.25">
      <c r="A7672" s="841"/>
    </row>
    <row r="7673" spans="1:1" x14ac:dyDescent="0.25">
      <c r="A7673" s="841"/>
    </row>
    <row r="7674" spans="1:1" x14ac:dyDescent="0.25">
      <c r="A7674" s="841"/>
    </row>
    <row r="7675" spans="1:1" x14ac:dyDescent="0.25">
      <c r="A7675" s="841"/>
    </row>
    <row r="7676" spans="1:1" x14ac:dyDescent="0.25">
      <c r="A7676" s="841"/>
    </row>
    <row r="7677" spans="1:1" x14ac:dyDescent="0.25">
      <c r="A7677" s="841"/>
    </row>
    <row r="7678" spans="1:1" x14ac:dyDescent="0.25">
      <c r="A7678" s="841"/>
    </row>
    <row r="7679" spans="1:1" x14ac:dyDescent="0.25">
      <c r="A7679" s="841"/>
    </row>
    <row r="7680" spans="1:1" x14ac:dyDescent="0.25">
      <c r="A7680" s="841"/>
    </row>
    <row r="7681" spans="1:1" x14ac:dyDescent="0.25">
      <c r="A7681" s="841"/>
    </row>
    <row r="7682" spans="1:1" x14ac:dyDescent="0.25">
      <c r="A7682" s="841"/>
    </row>
    <row r="7683" spans="1:1" x14ac:dyDescent="0.25">
      <c r="A7683" s="841"/>
    </row>
    <row r="7684" spans="1:1" x14ac:dyDescent="0.25">
      <c r="A7684" s="841"/>
    </row>
    <row r="7685" spans="1:1" x14ac:dyDescent="0.25">
      <c r="A7685" s="841"/>
    </row>
    <row r="7686" spans="1:1" x14ac:dyDescent="0.25">
      <c r="A7686" s="841"/>
    </row>
    <row r="7687" spans="1:1" x14ac:dyDescent="0.25">
      <c r="A7687" s="841"/>
    </row>
    <row r="7688" spans="1:1" x14ac:dyDescent="0.25">
      <c r="A7688" s="841"/>
    </row>
    <row r="7689" spans="1:1" x14ac:dyDescent="0.25">
      <c r="A7689" s="841"/>
    </row>
    <row r="7690" spans="1:1" x14ac:dyDescent="0.25">
      <c r="A7690" s="841"/>
    </row>
    <row r="7691" spans="1:1" x14ac:dyDescent="0.25">
      <c r="A7691" s="841"/>
    </row>
    <row r="7692" spans="1:1" x14ac:dyDescent="0.25">
      <c r="A7692" s="841"/>
    </row>
    <row r="7693" spans="1:1" x14ac:dyDescent="0.25">
      <c r="A7693" s="841"/>
    </row>
    <row r="7694" spans="1:1" x14ac:dyDescent="0.25">
      <c r="A7694" s="841"/>
    </row>
    <row r="7695" spans="1:1" x14ac:dyDescent="0.25">
      <c r="A7695" s="841"/>
    </row>
    <row r="7696" spans="1:1" x14ac:dyDescent="0.25">
      <c r="A7696" s="841"/>
    </row>
    <row r="7697" spans="1:1" x14ac:dyDescent="0.25">
      <c r="A7697" s="841"/>
    </row>
    <row r="7698" spans="1:1" x14ac:dyDescent="0.25">
      <c r="A7698" s="841"/>
    </row>
    <row r="7699" spans="1:1" x14ac:dyDescent="0.25">
      <c r="A7699" s="841"/>
    </row>
    <row r="7700" spans="1:1" x14ac:dyDescent="0.25">
      <c r="A7700" s="841"/>
    </row>
    <row r="7701" spans="1:1" x14ac:dyDescent="0.25">
      <c r="A7701" s="841"/>
    </row>
    <row r="7702" spans="1:1" x14ac:dyDescent="0.25">
      <c r="A7702" s="841"/>
    </row>
    <row r="7703" spans="1:1" x14ac:dyDescent="0.25">
      <c r="A7703" s="841"/>
    </row>
    <row r="7704" spans="1:1" x14ac:dyDescent="0.25">
      <c r="A7704" s="841"/>
    </row>
    <row r="7705" spans="1:1" x14ac:dyDescent="0.25">
      <c r="A7705" s="841"/>
    </row>
    <row r="7706" spans="1:1" x14ac:dyDescent="0.25">
      <c r="A7706" s="841"/>
    </row>
    <row r="7707" spans="1:1" x14ac:dyDescent="0.25">
      <c r="A7707" s="841"/>
    </row>
    <row r="7708" spans="1:1" x14ac:dyDescent="0.25">
      <c r="A7708" s="841"/>
    </row>
    <row r="7709" spans="1:1" x14ac:dyDescent="0.25">
      <c r="A7709" s="841"/>
    </row>
    <row r="7710" spans="1:1" x14ac:dyDescent="0.25">
      <c r="A7710" s="841"/>
    </row>
    <row r="7711" spans="1:1" x14ac:dyDescent="0.25">
      <c r="A7711" s="841"/>
    </row>
    <row r="7712" spans="1:1" x14ac:dyDescent="0.25">
      <c r="A7712" s="841"/>
    </row>
    <row r="7713" spans="1:1" x14ac:dyDescent="0.25">
      <c r="A7713" s="841"/>
    </row>
    <row r="7714" spans="1:1" x14ac:dyDescent="0.25">
      <c r="A7714" s="841"/>
    </row>
    <row r="7715" spans="1:1" x14ac:dyDescent="0.25">
      <c r="A7715" s="841"/>
    </row>
    <row r="7716" spans="1:1" x14ac:dyDescent="0.25">
      <c r="A7716" s="841"/>
    </row>
    <row r="7717" spans="1:1" x14ac:dyDescent="0.25">
      <c r="A7717" s="841"/>
    </row>
    <row r="7718" spans="1:1" x14ac:dyDescent="0.25">
      <c r="A7718" s="841"/>
    </row>
    <row r="7719" spans="1:1" x14ac:dyDescent="0.25">
      <c r="A7719" s="841"/>
    </row>
    <row r="7720" spans="1:1" x14ac:dyDescent="0.25">
      <c r="A7720" s="841"/>
    </row>
    <row r="7721" spans="1:1" x14ac:dyDescent="0.25">
      <c r="A7721" s="841"/>
    </row>
    <row r="7722" spans="1:1" x14ac:dyDescent="0.25">
      <c r="A7722" s="841"/>
    </row>
    <row r="7723" spans="1:1" x14ac:dyDescent="0.25">
      <c r="A7723" s="841"/>
    </row>
    <row r="7724" spans="1:1" x14ac:dyDescent="0.25">
      <c r="A7724" s="841"/>
    </row>
    <row r="7725" spans="1:1" x14ac:dyDescent="0.25">
      <c r="A7725" s="841"/>
    </row>
    <row r="7726" spans="1:1" x14ac:dyDescent="0.25">
      <c r="A7726" s="841"/>
    </row>
    <row r="7727" spans="1:1" x14ac:dyDescent="0.25">
      <c r="A7727" s="841"/>
    </row>
    <row r="7728" spans="1:1" x14ac:dyDescent="0.25">
      <c r="A7728" s="841"/>
    </row>
    <row r="7729" spans="1:1" x14ac:dyDescent="0.25">
      <c r="A7729" s="841"/>
    </row>
    <row r="7730" spans="1:1" x14ac:dyDescent="0.25">
      <c r="A7730" s="841"/>
    </row>
    <row r="7731" spans="1:1" x14ac:dyDescent="0.25">
      <c r="A7731" s="841"/>
    </row>
    <row r="7732" spans="1:1" x14ac:dyDescent="0.25">
      <c r="A7732" s="841"/>
    </row>
    <row r="7733" spans="1:1" x14ac:dyDescent="0.25">
      <c r="A7733" s="841"/>
    </row>
    <row r="7734" spans="1:1" x14ac:dyDescent="0.25">
      <c r="A7734" s="841"/>
    </row>
    <row r="7735" spans="1:1" x14ac:dyDescent="0.25">
      <c r="A7735" s="841"/>
    </row>
    <row r="7736" spans="1:1" x14ac:dyDescent="0.25">
      <c r="A7736" s="841"/>
    </row>
    <row r="7737" spans="1:1" x14ac:dyDescent="0.25">
      <c r="A7737" s="841"/>
    </row>
    <row r="7738" spans="1:1" x14ac:dyDescent="0.25">
      <c r="A7738" s="841"/>
    </row>
    <row r="7739" spans="1:1" x14ac:dyDescent="0.25">
      <c r="A7739" s="841"/>
    </row>
    <row r="7740" spans="1:1" x14ac:dyDescent="0.25">
      <c r="A7740" s="841"/>
    </row>
    <row r="7741" spans="1:1" x14ac:dyDescent="0.25">
      <c r="A7741" s="841"/>
    </row>
    <row r="7742" spans="1:1" x14ac:dyDescent="0.25">
      <c r="A7742" s="841"/>
    </row>
    <row r="7743" spans="1:1" x14ac:dyDescent="0.25">
      <c r="A7743" s="841"/>
    </row>
    <row r="7744" spans="1:1" x14ac:dyDescent="0.25">
      <c r="A7744" s="841"/>
    </row>
    <row r="7745" spans="1:1" x14ac:dyDescent="0.25">
      <c r="A7745" s="841"/>
    </row>
    <row r="7746" spans="1:1" x14ac:dyDescent="0.25">
      <c r="A7746" s="841"/>
    </row>
    <row r="7747" spans="1:1" x14ac:dyDescent="0.25">
      <c r="A7747" s="841"/>
    </row>
    <row r="7748" spans="1:1" x14ac:dyDescent="0.25">
      <c r="A7748" s="841"/>
    </row>
    <row r="7749" spans="1:1" x14ac:dyDescent="0.25">
      <c r="A7749" s="841"/>
    </row>
    <row r="7750" spans="1:1" x14ac:dyDescent="0.25">
      <c r="A7750" s="841"/>
    </row>
    <row r="7751" spans="1:1" x14ac:dyDescent="0.25">
      <c r="A7751" s="841"/>
    </row>
    <row r="7752" spans="1:1" x14ac:dyDescent="0.25">
      <c r="A7752" s="841"/>
    </row>
    <row r="7753" spans="1:1" x14ac:dyDescent="0.25">
      <c r="A7753" s="841"/>
    </row>
    <row r="7754" spans="1:1" x14ac:dyDescent="0.25">
      <c r="A7754" s="841"/>
    </row>
    <row r="7755" spans="1:1" x14ac:dyDescent="0.25">
      <c r="A7755" s="841"/>
    </row>
    <row r="7756" spans="1:1" x14ac:dyDescent="0.25">
      <c r="A7756" s="841"/>
    </row>
    <row r="7757" spans="1:1" x14ac:dyDescent="0.25">
      <c r="A7757" s="841"/>
    </row>
    <row r="7758" spans="1:1" x14ac:dyDescent="0.25">
      <c r="A7758" s="841"/>
    </row>
    <row r="7759" spans="1:1" x14ac:dyDescent="0.25">
      <c r="A7759" s="841"/>
    </row>
    <row r="7760" spans="1:1" x14ac:dyDescent="0.25">
      <c r="A7760" s="841"/>
    </row>
    <row r="7761" spans="1:1" x14ac:dyDescent="0.25">
      <c r="A7761" s="841"/>
    </row>
    <row r="7762" spans="1:1" x14ac:dyDescent="0.25">
      <c r="A7762" s="841"/>
    </row>
    <row r="7763" spans="1:1" x14ac:dyDescent="0.25">
      <c r="A7763" s="841"/>
    </row>
    <row r="7764" spans="1:1" x14ac:dyDescent="0.25">
      <c r="A7764" s="841"/>
    </row>
    <row r="7765" spans="1:1" x14ac:dyDescent="0.25">
      <c r="A7765" s="841"/>
    </row>
    <row r="7766" spans="1:1" x14ac:dyDescent="0.25">
      <c r="A7766" s="841"/>
    </row>
    <row r="7767" spans="1:1" x14ac:dyDescent="0.25">
      <c r="A7767" s="841"/>
    </row>
    <row r="7768" spans="1:1" x14ac:dyDescent="0.25">
      <c r="A7768" s="841"/>
    </row>
    <row r="7769" spans="1:1" x14ac:dyDescent="0.25">
      <c r="A7769" s="841"/>
    </row>
    <row r="7770" spans="1:1" x14ac:dyDescent="0.25">
      <c r="A7770" s="841"/>
    </row>
    <row r="7771" spans="1:1" x14ac:dyDescent="0.25">
      <c r="A7771" s="841"/>
    </row>
    <row r="7772" spans="1:1" x14ac:dyDescent="0.25">
      <c r="A7772" s="841"/>
    </row>
    <row r="7773" spans="1:1" x14ac:dyDescent="0.25">
      <c r="A7773" s="841"/>
    </row>
    <row r="7774" spans="1:1" x14ac:dyDescent="0.25">
      <c r="A7774" s="841"/>
    </row>
    <row r="7775" spans="1:1" x14ac:dyDescent="0.25">
      <c r="A7775" s="841"/>
    </row>
    <row r="7776" spans="1:1" x14ac:dyDescent="0.25">
      <c r="A7776" s="841"/>
    </row>
    <row r="7777" spans="1:1" x14ac:dyDescent="0.25">
      <c r="A7777" s="841"/>
    </row>
    <row r="7778" spans="1:1" x14ac:dyDescent="0.25">
      <c r="A7778" s="841"/>
    </row>
    <row r="7779" spans="1:1" x14ac:dyDescent="0.25">
      <c r="A7779" s="841"/>
    </row>
    <row r="7780" spans="1:1" x14ac:dyDescent="0.25">
      <c r="A7780" s="841"/>
    </row>
    <row r="7781" spans="1:1" x14ac:dyDescent="0.25">
      <c r="A7781" s="841"/>
    </row>
    <row r="7782" spans="1:1" x14ac:dyDescent="0.25">
      <c r="A7782" s="841"/>
    </row>
    <row r="7783" spans="1:1" x14ac:dyDescent="0.25">
      <c r="A7783" s="841"/>
    </row>
    <row r="7784" spans="1:1" x14ac:dyDescent="0.25">
      <c r="A7784" s="841"/>
    </row>
    <row r="7785" spans="1:1" x14ac:dyDescent="0.25">
      <c r="A7785" s="841"/>
    </row>
    <row r="7786" spans="1:1" x14ac:dyDescent="0.25">
      <c r="A7786" s="841"/>
    </row>
    <row r="7787" spans="1:1" x14ac:dyDescent="0.25">
      <c r="A7787" s="841"/>
    </row>
    <row r="7788" spans="1:1" x14ac:dyDescent="0.25">
      <c r="A7788" s="841"/>
    </row>
    <row r="7789" spans="1:1" x14ac:dyDescent="0.25">
      <c r="A7789" s="841"/>
    </row>
    <row r="7790" spans="1:1" x14ac:dyDescent="0.25">
      <c r="A7790" s="841"/>
    </row>
    <row r="7791" spans="1:1" x14ac:dyDescent="0.25">
      <c r="A7791" s="841"/>
    </row>
    <row r="7792" spans="1:1" x14ac:dyDescent="0.25">
      <c r="A7792" s="841"/>
    </row>
    <row r="7793" spans="1:1" x14ac:dyDescent="0.25">
      <c r="A7793" s="841"/>
    </row>
    <row r="7794" spans="1:1" x14ac:dyDescent="0.25">
      <c r="A7794" s="841"/>
    </row>
    <row r="7795" spans="1:1" x14ac:dyDescent="0.25">
      <c r="A7795" s="841"/>
    </row>
    <row r="7796" spans="1:1" x14ac:dyDescent="0.25">
      <c r="A7796" s="841"/>
    </row>
    <row r="7797" spans="1:1" x14ac:dyDescent="0.25">
      <c r="A7797" s="841"/>
    </row>
    <row r="7798" spans="1:1" x14ac:dyDescent="0.25">
      <c r="A7798" s="841"/>
    </row>
    <row r="7799" spans="1:1" x14ac:dyDescent="0.25">
      <c r="A7799" s="841"/>
    </row>
    <row r="7800" spans="1:1" x14ac:dyDescent="0.25">
      <c r="A7800" s="841"/>
    </row>
    <row r="7801" spans="1:1" x14ac:dyDescent="0.25">
      <c r="A7801" s="841"/>
    </row>
    <row r="7802" spans="1:1" x14ac:dyDescent="0.25">
      <c r="A7802" s="841"/>
    </row>
    <row r="7803" spans="1:1" x14ac:dyDescent="0.25">
      <c r="A7803" s="841"/>
    </row>
    <row r="7804" spans="1:1" x14ac:dyDescent="0.25">
      <c r="A7804" s="841"/>
    </row>
    <row r="7805" spans="1:1" x14ac:dyDescent="0.25">
      <c r="A7805" s="841"/>
    </row>
    <row r="7806" spans="1:1" x14ac:dyDescent="0.25">
      <c r="A7806" s="841"/>
    </row>
    <row r="7807" spans="1:1" x14ac:dyDescent="0.25">
      <c r="A7807" s="841"/>
    </row>
    <row r="7808" spans="1:1" x14ac:dyDescent="0.25">
      <c r="A7808" s="841"/>
    </row>
    <row r="7809" spans="1:1" x14ac:dyDescent="0.25">
      <c r="A7809" s="841"/>
    </row>
    <row r="7810" spans="1:1" x14ac:dyDescent="0.25">
      <c r="A7810" s="841"/>
    </row>
    <row r="7811" spans="1:1" x14ac:dyDescent="0.25">
      <c r="A7811" s="841"/>
    </row>
    <row r="7812" spans="1:1" x14ac:dyDescent="0.25">
      <c r="A7812" s="841"/>
    </row>
    <row r="7813" spans="1:1" x14ac:dyDescent="0.25">
      <c r="A7813" s="841"/>
    </row>
    <row r="7814" spans="1:1" x14ac:dyDescent="0.25">
      <c r="A7814" s="841"/>
    </row>
    <row r="7815" spans="1:1" x14ac:dyDescent="0.25">
      <c r="A7815" s="841"/>
    </row>
    <row r="7816" spans="1:1" x14ac:dyDescent="0.25">
      <c r="A7816" s="841"/>
    </row>
    <row r="7817" spans="1:1" x14ac:dyDescent="0.25">
      <c r="A7817" s="841"/>
    </row>
    <row r="7818" spans="1:1" x14ac:dyDescent="0.25">
      <c r="A7818" s="841"/>
    </row>
    <row r="7819" spans="1:1" x14ac:dyDescent="0.25">
      <c r="A7819" s="841"/>
    </row>
    <row r="7820" spans="1:1" x14ac:dyDescent="0.25">
      <c r="A7820" s="841"/>
    </row>
    <row r="7821" spans="1:1" x14ac:dyDescent="0.25">
      <c r="A7821" s="841"/>
    </row>
    <row r="7822" spans="1:1" x14ac:dyDescent="0.25">
      <c r="A7822" s="841"/>
    </row>
    <row r="7823" spans="1:1" x14ac:dyDescent="0.25">
      <c r="A7823" s="841"/>
    </row>
    <row r="7824" spans="1:1" x14ac:dyDescent="0.25">
      <c r="A7824" s="841"/>
    </row>
    <row r="7825" spans="1:1" x14ac:dyDescent="0.25">
      <c r="A7825" s="841"/>
    </row>
    <row r="7826" spans="1:1" x14ac:dyDescent="0.25">
      <c r="A7826" s="841"/>
    </row>
    <row r="7827" spans="1:1" x14ac:dyDescent="0.25">
      <c r="A7827" s="841"/>
    </row>
    <row r="7828" spans="1:1" x14ac:dyDescent="0.25">
      <c r="A7828" s="841"/>
    </row>
    <row r="7829" spans="1:1" x14ac:dyDescent="0.25">
      <c r="A7829" s="841"/>
    </row>
    <row r="7830" spans="1:1" x14ac:dyDescent="0.25">
      <c r="A7830" s="841"/>
    </row>
    <row r="7831" spans="1:1" x14ac:dyDescent="0.25">
      <c r="A7831" s="841"/>
    </row>
    <row r="7832" spans="1:1" x14ac:dyDescent="0.25">
      <c r="A7832" s="841"/>
    </row>
    <row r="7833" spans="1:1" x14ac:dyDescent="0.25">
      <c r="A7833" s="841"/>
    </row>
    <row r="7834" spans="1:1" x14ac:dyDescent="0.25">
      <c r="A7834" s="841"/>
    </row>
    <row r="7835" spans="1:1" x14ac:dyDescent="0.25">
      <c r="A7835" s="841"/>
    </row>
    <row r="7836" spans="1:1" x14ac:dyDescent="0.25">
      <c r="A7836" s="841"/>
    </row>
    <row r="7837" spans="1:1" x14ac:dyDescent="0.25">
      <c r="A7837" s="841"/>
    </row>
    <row r="7838" spans="1:1" x14ac:dyDescent="0.25">
      <c r="A7838" s="841"/>
    </row>
    <row r="7839" spans="1:1" x14ac:dyDescent="0.25">
      <c r="A7839" s="841"/>
    </row>
    <row r="7840" spans="1:1" x14ac:dyDescent="0.25">
      <c r="A7840" s="841"/>
    </row>
    <row r="7841" spans="1:1" x14ac:dyDescent="0.25">
      <c r="A7841" s="841"/>
    </row>
    <row r="7842" spans="1:1" x14ac:dyDescent="0.25">
      <c r="A7842" s="841"/>
    </row>
    <row r="7843" spans="1:1" x14ac:dyDescent="0.25">
      <c r="A7843" s="841"/>
    </row>
    <row r="7844" spans="1:1" x14ac:dyDescent="0.25">
      <c r="A7844" s="841"/>
    </row>
    <row r="7845" spans="1:1" x14ac:dyDescent="0.25">
      <c r="A7845" s="841"/>
    </row>
    <row r="7846" spans="1:1" x14ac:dyDescent="0.25">
      <c r="A7846" s="841"/>
    </row>
    <row r="7847" spans="1:1" x14ac:dyDescent="0.25">
      <c r="A7847" s="841"/>
    </row>
    <row r="7848" spans="1:1" x14ac:dyDescent="0.25">
      <c r="A7848" s="841"/>
    </row>
    <row r="7849" spans="1:1" x14ac:dyDescent="0.25">
      <c r="A7849" s="841"/>
    </row>
    <row r="7850" spans="1:1" x14ac:dyDescent="0.25">
      <c r="A7850" s="841"/>
    </row>
    <row r="7851" spans="1:1" x14ac:dyDescent="0.25">
      <c r="A7851" s="841"/>
    </row>
    <row r="7852" spans="1:1" x14ac:dyDescent="0.25">
      <c r="A7852" s="841"/>
    </row>
    <row r="7853" spans="1:1" x14ac:dyDescent="0.25">
      <c r="A7853" s="841"/>
    </row>
    <row r="7854" spans="1:1" x14ac:dyDescent="0.25">
      <c r="A7854" s="841"/>
    </row>
    <row r="7855" spans="1:1" x14ac:dyDescent="0.25">
      <c r="A7855" s="841"/>
    </row>
    <row r="7856" spans="1:1" x14ac:dyDescent="0.25">
      <c r="A7856" s="841"/>
    </row>
    <row r="7857" spans="1:1" x14ac:dyDescent="0.25">
      <c r="A7857" s="841"/>
    </row>
    <row r="7858" spans="1:1" x14ac:dyDescent="0.25">
      <c r="A7858" s="841"/>
    </row>
    <row r="7859" spans="1:1" x14ac:dyDescent="0.25">
      <c r="A7859" s="841"/>
    </row>
    <row r="7860" spans="1:1" x14ac:dyDescent="0.25">
      <c r="A7860" s="841"/>
    </row>
    <row r="7861" spans="1:1" x14ac:dyDescent="0.25">
      <c r="A7861" s="841"/>
    </row>
    <row r="7862" spans="1:1" x14ac:dyDescent="0.25">
      <c r="A7862" s="841"/>
    </row>
    <row r="7863" spans="1:1" x14ac:dyDescent="0.25">
      <c r="A7863" s="841"/>
    </row>
    <row r="7864" spans="1:1" x14ac:dyDescent="0.25">
      <c r="A7864" s="841"/>
    </row>
    <row r="7865" spans="1:1" x14ac:dyDescent="0.25">
      <c r="A7865" s="841"/>
    </row>
    <row r="7866" spans="1:1" x14ac:dyDescent="0.25">
      <c r="A7866" s="841"/>
    </row>
    <row r="7867" spans="1:1" x14ac:dyDescent="0.25">
      <c r="A7867" s="841"/>
    </row>
    <row r="7868" spans="1:1" x14ac:dyDescent="0.25">
      <c r="A7868" s="841"/>
    </row>
    <row r="7869" spans="1:1" x14ac:dyDescent="0.25">
      <c r="A7869" s="841"/>
    </row>
    <row r="7870" spans="1:1" x14ac:dyDescent="0.25">
      <c r="A7870" s="841"/>
    </row>
    <row r="7871" spans="1:1" x14ac:dyDescent="0.25">
      <c r="A7871" s="841"/>
    </row>
    <row r="7872" spans="1:1" x14ac:dyDescent="0.25">
      <c r="A7872" s="841"/>
    </row>
    <row r="7873" spans="1:1" x14ac:dyDescent="0.25">
      <c r="A7873" s="841"/>
    </row>
    <row r="7874" spans="1:1" x14ac:dyDescent="0.25">
      <c r="A7874" s="841"/>
    </row>
    <row r="7875" spans="1:1" x14ac:dyDescent="0.25">
      <c r="A7875" s="841"/>
    </row>
    <row r="7876" spans="1:1" x14ac:dyDescent="0.25">
      <c r="A7876" s="841"/>
    </row>
    <row r="7877" spans="1:1" x14ac:dyDescent="0.25">
      <c r="A7877" s="841"/>
    </row>
    <row r="7878" spans="1:1" x14ac:dyDescent="0.25">
      <c r="A7878" s="841"/>
    </row>
    <row r="7879" spans="1:1" x14ac:dyDescent="0.25">
      <c r="A7879" s="841"/>
    </row>
    <row r="7880" spans="1:1" x14ac:dyDescent="0.25">
      <c r="A7880" s="841"/>
    </row>
    <row r="7881" spans="1:1" x14ac:dyDescent="0.25">
      <c r="A7881" s="841"/>
    </row>
    <row r="7882" spans="1:1" x14ac:dyDescent="0.25">
      <c r="A7882" s="841"/>
    </row>
    <row r="7883" spans="1:1" x14ac:dyDescent="0.25">
      <c r="A7883" s="841"/>
    </row>
    <row r="7884" spans="1:1" x14ac:dyDescent="0.25">
      <c r="A7884" s="841"/>
    </row>
    <row r="7885" spans="1:1" x14ac:dyDescent="0.25">
      <c r="A7885" s="841"/>
    </row>
    <row r="7886" spans="1:1" x14ac:dyDescent="0.25">
      <c r="A7886" s="841"/>
    </row>
    <row r="7887" spans="1:1" x14ac:dyDescent="0.25">
      <c r="A7887" s="841"/>
    </row>
    <row r="7888" spans="1:1" x14ac:dyDescent="0.25">
      <c r="A7888" s="841"/>
    </row>
    <row r="7889" spans="1:1" x14ac:dyDescent="0.25">
      <c r="A7889" s="841"/>
    </row>
    <row r="7890" spans="1:1" x14ac:dyDescent="0.25">
      <c r="A7890" s="841"/>
    </row>
    <row r="7891" spans="1:1" x14ac:dyDescent="0.25">
      <c r="A7891" s="841"/>
    </row>
    <row r="7892" spans="1:1" x14ac:dyDescent="0.25">
      <c r="A7892" s="841"/>
    </row>
    <row r="7893" spans="1:1" x14ac:dyDescent="0.25">
      <c r="A7893" s="841"/>
    </row>
    <row r="7894" spans="1:1" x14ac:dyDescent="0.25">
      <c r="A7894" s="841"/>
    </row>
    <row r="7895" spans="1:1" x14ac:dyDescent="0.25">
      <c r="A7895" s="841"/>
    </row>
    <row r="7896" spans="1:1" x14ac:dyDescent="0.25">
      <c r="A7896" s="841"/>
    </row>
    <row r="7897" spans="1:1" x14ac:dyDescent="0.25">
      <c r="A7897" s="841"/>
    </row>
    <row r="7898" spans="1:1" x14ac:dyDescent="0.25">
      <c r="A7898" s="841"/>
    </row>
    <row r="7899" spans="1:1" x14ac:dyDescent="0.25">
      <c r="A7899" s="841"/>
    </row>
    <row r="7900" spans="1:1" x14ac:dyDescent="0.25">
      <c r="A7900" s="841"/>
    </row>
    <row r="7901" spans="1:1" x14ac:dyDescent="0.25">
      <c r="A7901" s="841"/>
    </row>
    <row r="7902" spans="1:1" x14ac:dyDescent="0.25">
      <c r="A7902" s="841"/>
    </row>
    <row r="7903" spans="1:1" x14ac:dyDescent="0.25">
      <c r="A7903" s="841"/>
    </row>
    <row r="7904" spans="1:1" x14ac:dyDescent="0.25">
      <c r="A7904" s="841"/>
    </row>
    <row r="7905" spans="1:1" x14ac:dyDescent="0.25">
      <c r="A7905" s="841"/>
    </row>
    <row r="7906" spans="1:1" x14ac:dyDescent="0.25">
      <c r="A7906" s="841"/>
    </row>
    <row r="7907" spans="1:1" x14ac:dyDescent="0.25">
      <c r="A7907" s="841"/>
    </row>
    <row r="7908" spans="1:1" x14ac:dyDescent="0.25">
      <c r="A7908" s="841"/>
    </row>
    <row r="7909" spans="1:1" x14ac:dyDescent="0.25">
      <c r="A7909" s="841"/>
    </row>
    <row r="7910" spans="1:1" x14ac:dyDescent="0.25">
      <c r="A7910" s="841"/>
    </row>
    <row r="7911" spans="1:1" x14ac:dyDescent="0.25">
      <c r="A7911" s="841"/>
    </row>
    <row r="7912" spans="1:1" x14ac:dyDescent="0.25">
      <c r="A7912" s="841"/>
    </row>
    <row r="7913" spans="1:1" x14ac:dyDescent="0.25">
      <c r="A7913" s="841"/>
    </row>
    <row r="7914" spans="1:1" x14ac:dyDescent="0.25">
      <c r="A7914" s="841"/>
    </row>
    <row r="7915" spans="1:1" x14ac:dyDescent="0.25">
      <c r="A7915" s="841"/>
    </row>
    <row r="7916" spans="1:1" x14ac:dyDescent="0.25">
      <c r="A7916" s="841"/>
    </row>
    <row r="7917" spans="1:1" x14ac:dyDescent="0.25">
      <c r="A7917" s="841"/>
    </row>
    <row r="7918" spans="1:1" x14ac:dyDescent="0.25">
      <c r="A7918" s="841"/>
    </row>
    <row r="7919" spans="1:1" x14ac:dyDescent="0.25">
      <c r="A7919" s="841"/>
    </row>
    <row r="7920" spans="1:1" x14ac:dyDescent="0.25">
      <c r="A7920" s="841"/>
    </row>
    <row r="7921" spans="1:1" x14ac:dyDescent="0.25">
      <c r="A7921" s="841"/>
    </row>
    <row r="7922" spans="1:1" x14ac:dyDescent="0.25">
      <c r="A7922" s="841"/>
    </row>
    <row r="7923" spans="1:1" x14ac:dyDescent="0.25">
      <c r="A7923" s="841"/>
    </row>
    <row r="7924" spans="1:1" x14ac:dyDescent="0.25">
      <c r="A7924" s="841"/>
    </row>
    <row r="7925" spans="1:1" x14ac:dyDescent="0.25">
      <c r="A7925" s="841"/>
    </row>
    <row r="7926" spans="1:1" x14ac:dyDescent="0.25">
      <c r="A7926" s="841"/>
    </row>
    <row r="7927" spans="1:1" x14ac:dyDescent="0.25">
      <c r="A7927" s="841"/>
    </row>
    <row r="7928" spans="1:1" x14ac:dyDescent="0.25">
      <c r="A7928" s="841"/>
    </row>
    <row r="7929" spans="1:1" x14ac:dyDescent="0.25">
      <c r="A7929" s="841"/>
    </row>
    <row r="7930" spans="1:1" x14ac:dyDescent="0.25">
      <c r="A7930" s="841"/>
    </row>
    <row r="7931" spans="1:1" x14ac:dyDescent="0.25">
      <c r="A7931" s="841"/>
    </row>
    <row r="7932" spans="1:1" x14ac:dyDescent="0.25">
      <c r="A7932" s="841"/>
    </row>
    <row r="7933" spans="1:1" x14ac:dyDescent="0.25">
      <c r="A7933" s="841"/>
    </row>
    <row r="7934" spans="1:1" x14ac:dyDescent="0.25">
      <c r="A7934" s="841"/>
    </row>
    <row r="7935" spans="1:1" x14ac:dyDescent="0.25">
      <c r="A7935" s="841"/>
    </row>
    <row r="7936" spans="1:1" x14ac:dyDescent="0.25">
      <c r="A7936" s="841"/>
    </row>
    <row r="7937" spans="1:1" x14ac:dyDescent="0.25">
      <c r="A7937" s="841"/>
    </row>
    <row r="7938" spans="1:1" x14ac:dyDescent="0.25">
      <c r="A7938" s="841"/>
    </row>
    <row r="7939" spans="1:1" x14ac:dyDescent="0.25">
      <c r="A7939" s="841"/>
    </row>
    <row r="7940" spans="1:1" x14ac:dyDescent="0.25">
      <c r="A7940" s="841"/>
    </row>
    <row r="7941" spans="1:1" x14ac:dyDescent="0.25">
      <c r="A7941" s="841"/>
    </row>
    <row r="7942" spans="1:1" x14ac:dyDescent="0.25">
      <c r="A7942" s="841"/>
    </row>
    <row r="7943" spans="1:1" x14ac:dyDescent="0.25">
      <c r="A7943" s="841"/>
    </row>
    <row r="7944" spans="1:1" x14ac:dyDescent="0.25">
      <c r="A7944" s="841"/>
    </row>
    <row r="7945" spans="1:1" x14ac:dyDescent="0.25">
      <c r="A7945" s="841"/>
    </row>
    <row r="7946" spans="1:1" x14ac:dyDescent="0.25">
      <c r="A7946" s="841"/>
    </row>
    <row r="7947" spans="1:1" x14ac:dyDescent="0.25">
      <c r="A7947" s="841"/>
    </row>
    <row r="7948" spans="1:1" x14ac:dyDescent="0.25">
      <c r="A7948" s="841"/>
    </row>
    <row r="7949" spans="1:1" x14ac:dyDescent="0.25">
      <c r="A7949" s="841"/>
    </row>
    <row r="7950" spans="1:1" x14ac:dyDescent="0.25">
      <c r="A7950" s="841"/>
    </row>
    <row r="7951" spans="1:1" x14ac:dyDescent="0.25">
      <c r="A7951" s="841"/>
    </row>
    <row r="7952" spans="1:1" x14ac:dyDescent="0.25">
      <c r="A7952" s="841"/>
    </row>
    <row r="7953" spans="1:1" x14ac:dyDescent="0.25">
      <c r="A7953" s="841"/>
    </row>
    <row r="7954" spans="1:1" x14ac:dyDescent="0.25">
      <c r="A7954" s="841"/>
    </row>
    <row r="7955" spans="1:1" x14ac:dyDescent="0.25">
      <c r="A7955" s="841"/>
    </row>
    <row r="7956" spans="1:1" x14ac:dyDescent="0.25">
      <c r="A7956" s="841"/>
    </row>
    <row r="7957" spans="1:1" x14ac:dyDescent="0.25">
      <c r="A7957" s="841"/>
    </row>
    <row r="7958" spans="1:1" x14ac:dyDescent="0.25">
      <c r="A7958" s="841"/>
    </row>
    <row r="7959" spans="1:1" x14ac:dyDescent="0.25">
      <c r="A7959" s="841"/>
    </row>
    <row r="7960" spans="1:1" x14ac:dyDescent="0.25">
      <c r="A7960" s="841"/>
    </row>
    <row r="7961" spans="1:1" x14ac:dyDescent="0.25">
      <c r="A7961" s="841"/>
    </row>
    <row r="7962" spans="1:1" x14ac:dyDescent="0.25">
      <c r="A7962" s="841"/>
    </row>
    <row r="7963" spans="1:1" x14ac:dyDescent="0.25">
      <c r="A7963" s="841"/>
    </row>
    <row r="7964" spans="1:1" x14ac:dyDescent="0.25">
      <c r="A7964" s="841"/>
    </row>
    <row r="7965" spans="1:1" x14ac:dyDescent="0.25">
      <c r="A7965" s="841"/>
    </row>
    <row r="7966" spans="1:1" x14ac:dyDescent="0.25">
      <c r="A7966" s="841"/>
    </row>
    <row r="7967" spans="1:1" x14ac:dyDescent="0.25">
      <c r="A7967" s="841"/>
    </row>
    <row r="7968" spans="1:1" x14ac:dyDescent="0.25">
      <c r="A7968" s="841"/>
    </row>
    <row r="7969" spans="1:1" x14ac:dyDescent="0.25">
      <c r="A7969" s="841"/>
    </row>
    <row r="7970" spans="1:1" x14ac:dyDescent="0.25">
      <c r="A7970" s="841"/>
    </row>
    <row r="7971" spans="1:1" x14ac:dyDescent="0.25">
      <c r="A7971" s="841"/>
    </row>
    <row r="7972" spans="1:1" x14ac:dyDescent="0.25">
      <c r="A7972" s="841"/>
    </row>
    <row r="7973" spans="1:1" x14ac:dyDescent="0.25">
      <c r="A7973" s="841"/>
    </row>
    <row r="7974" spans="1:1" x14ac:dyDescent="0.25">
      <c r="A7974" s="841"/>
    </row>
    <row r="7975" spans="1:1" x14ac:dyDescent="0.25">
      <c r="A7975" s="841"/>
    </row>
    <row r="7976" spans="1:1" x14ac:dyDescent="0.25">
      <c r="A7976" s="841"/>
    </row>
    <row r="7977" spans="1:1" x14ac:dyDescent="0.25">
      <c r="A7977" s="841"/>
    </row>
    <row r="7978" spans="1:1" x14ac:dyDescent="0.25">
      <c r="A7978" s="841"/>
    </row>
    <row r="7979" spans="1:1" x14ac:dyDescent="0.25">
      <c r="A7979" s="841"/>
    </row>
    <row r="7980" spans="1:1" x14ac:dyDescent="0.25">
      <c r="A7980" s="841"/>
    </row>
    <row r="7981" spans="1:1" x14ac:dyDescent="0.25">
      <c r="A7981" s="841"/>
    </row>
    <row r="7982" spans="1:1" x14ac:dyDescent="0.25">
      <c r="A7982" s="841"/>
    </row>
    <row r="7983" spans="1:1" x14ac:dyDescent="0.25">
      <c r="A7983" s="841"/>
    </row>
    <row r="7984" spans="1:1" x14ac:dyDescent="0.25">
      <c r="A7984" s="841"/>
    </row>
    <row r="7985" spans="1:1" x14ac:dyDescent="0.25">
      <c r="A7985" s="841"/>
    </row>
    <row r="7986" spans="1:1" x14ac:dyDescent="0.25">
      <c r="A7986" s="841"/>
    </row>
    <row r="7987" spans="1:1" x14ac:dyDescent="0.25">
      <c r="A7987" s="841"/>
    </row>
    <row r="7988" spans="1:1" x14ac:dyDescent="0.25">
      <c r="A7988" s="841"/>
    </row>
    <row r="7989" spans="1:1" x14ac:dyDescent="0.25">
      <c r="A7989" s="841"/>
    </row>
    <row r="7990" spans="1:1" x14ac:dyDescent="0.25">
      <c r="A7990" s="841"/>
    </row>
    <row r="7991" spans="1:1" x14ac:dyDescent="0.25">
      <c r="A7991" s="841"/>
    </row>
    <row r="7992" spans="1:1" x14ac:dyDescent="0.25">
      <c r="A7992" s="841"/>
    </row>
    <row r="7993" spans="1:1" x14ac:dyDescent="0.25">
      <c r="A7993" s="841"/>
    </row>
    <row r="7994" spans="1:1" x14ac:dyDescent="0.25">
      <c r="A7994" s="841"/>
    </row>
    <row r="7995" spans="1:1" x14ac:dyDescent="0.25">
      <c r="A7995" s="841"/>
    </row>
    <row r="7996" spans="1:1" x14ac:dyDescent="0.25">
      <c r="A7996" s="841"/>
    </row>
    <row r="7997" spans="1:1" x14ac:dyDescent="0.25">
      <c r="A7997" s="841"/>
    </row>
    <row r="7998" spans="1:1" x14ac:dyDescent="0.25">
      <c r="A7998" s="841"/>
    </row>
    <row r="7999" spans="1:1" x14ac:dyDescent="0.25">
      <c r="A7999" s="841"/>
    </row>
    <row r="8000" spans="1:1" x14ac:dyDescent="0.25">
      <c r="A8000" s="841"/>
    </row>
    <row r="8001" spans="1:1" x14ac:dyDescent="0.25">
      <c r="A8001" s="841"/>
    </row>
    <row r="8002" spans="1:1" x14ac:dyDescent="0.25">
      <c r="A8002" s="841"/>
    </row>
    <row r="8003" spans="1:1" x14ac:dyDescent="0.25">
      <c r="A8003" s="841"/>
    </row>
    <row r="8004" spans="1:1" x14ac:dyDescent="0.25">
      <c r="A8004" s="841"/>
    </row>
    <row r="8005" spans="1:1" x14ac:dyDescent="0.25">
      <c r="A8005" s="841"/>
    </row>
    <row r="8006" spans="1:1" x14ac:dyDescent="0.25">
      <c r="A8006" s="841"/>
    </row>
    <row r="8007" spans="1:1" x14ac:dyDescent="0.25">
      <c r="A8007" s="841"/>
    </row>
    <row r="8008" spans="1:1" x14ac:dyDescent="0.25">
      <c r="A8008" s="841"/>
    </row>
    <row r="8009" spans="1:1" x14ac:dyDescent="0.25">
      <c r="A8009" s="841"/>
    </row>
    <row r="8010" spans="1:1" x14ac:dyDescent="0.25">
      <c r="A8010" s="841"/>
    </row>
    <row r="8011" spans="1:1" x14ac:dyDescent="0.25">
      <c r="A8011" s="841"/>
    </row>
    <row r="8012" spans="1:1" x14ac:dyDescent="0.25">
      <c r="A8012" s="841"/>
    </row>
    <row r="8013" spans="1:1" x14ac:dyDescent="0.25">
      <c r="A8013" s="841"/>
    </row>
    <row r="8014" spans="1:1" x14ac:dyDescent="0.25">
      <c r="A8014" s="841"/>
    </row>
    <row r="8015" spans="1:1" x14ac:dyDescent="0.25">
      <c r="A8015" s="841"/>
    </row>
    <row r="8016" spans="1:1" x14ac:dyDescent="0.25">
      <c r="A8016" s="841"/>
    </row>
    <row r="8017" spans="1:1" x14ac:dyDescent="0.25">
      <c r="A8017" s="841"/>
    </row>
    <row r="8018" spans="1:1" x14ac:dyDescent="0.25">
      <c r="A8018" s="841"/>
    </row>
    <row r="8019" spans="1:1" x14ac:dyDescent="0.25">
      <c r="A8019" s="841"/>
    </row>
    <row r="8020" spans="1:1" x14ac:dyDescent="0.25">
      <c r="A8020" s="841"/>
    </row>
    <row r="8021" spans="1:1" x14ac:dyDescent="0.25">
      <c r="A8021" s="841"/>
    </row>
    <row r="8022" spans="1:1" x14ac:dyDescent="0.25">
      <c r="A8022" s="841"/>
    </row>
    <row r="8023" spans="1:1" x14ac:dyDescent="0.25">
      <c r="A8023" s="841"/>
    </row>
    <row r="8024" spans="1:1" x14ac:dyDescent="0.25">
      <c r="A8024" s="841"/>
    </row>
    <row r="8025" spans="1:1" x14ac:dyDescent="0.25">
      <c r="A8025" s="841"/>
    </row>
    <row r="8026" spans="1:1" x14ac:dyDescent="0.25">
      <c r="A8026" s="841"/>
    </row>
    <row r="8027" spans="1:1" x14ac:dyDescent="0.25">
      <c r="A8027" s="841"/>
    </row>
    <row r="8028" spans="1:1" x14ac:dyDescent="0.25">
      <c r="A8028" s="841"/>
    </row>
    <row r="8029" spans="1:1" x14ac:dyDescent="0.25">
      <c r="A8029" s="841"/>
    </row>
    <row r="8030" spans="1:1" x14ac:dyDescent="0.25">
      <c r="A8030" s="841"/>
    </row>
    <row r="8031" spans="1:1" x14ac:dyDescent="0.25">
      <c r="A8031" s="841"/>
    </row>
    <row r="8032" spans="1:1" x14ac:dyDescent="0.25">
      <c r="A8032" s="841"/>
    </row>
    <row r="8033" spans="1:1" x14ac:dyDescent="0.25">
      <c r="A8033" s="841"/>
    </row>
    <row r="8034" spans="1:1" x14ac:dyDescent="0.25">
      <c r="A8034" s="841"/>
    </row>
    <row r="8035" spans="1:1" x14ac:dyDescent="0.25">
      <c r="A8035" s="841"/>
    </row>
    <row r="8036" spans="1:1" x14ac:dyDescent="0.25">
      <c r="A8036" s="841"/>
    </row>
    <row r="8037" spans="1:1" x14ac:dyDescent="0.25">
      <c r="A8037" s="841"/>
    </row>
    <row r="8038" spans="1:1" x14ac:dyDescent="0.25">
      <c r="A8038" s="841"/>
    </row>
    <row r="8039" spans="1:1" x14ac:dyDescent="0.25">
      <c r="A8039" s="841"/>
    </row>
    <row r="8040" spans="1:1" x14ac:dyDescent="0.25">
      <c r="A8040" s="841"/>
    </row>
    <row r="8041" spans="1:1" x14ac:dyDescent="0.25">
      <c r="A8041" s="841"/>
    </row>
    <row r="8042" spans="1:1" x14ac:dyDescent="0.25">
      <c r="A8042" s="841"/>
    </row>
    <row r="8043" spans="1:1" x14ac:dyDescent="0.25">
      <c r="A8043" s="841"/>
    </row>
    <row r="8044" spans="1:1" x14ac:dyDescent="0.25">
      <c r="A8044" s="841"/>
    </row>
    <row r="8045" spans="1:1" x14ac:dyDescent="0.25">
      <c r="A8045" s="841"/>
    </row>
    <row r="8046" spans="1:1" x14ac:dyDescent="0.25">
      <c r="A8046" s="841"/>
    </row>
    <row r="8047" spans="1:1" x14ac:dyDescent="0.25">
      <c r="A8047" s="841"/>
    </row>
    <row r="8048" spans="1:1" x14ac:dyDescent="0.25">
      <c r="A8048" s="841"/>
    </row>
    <row r="8049" spans="1:1" x14ac:dyDescent="0.25">
      <c r="A8049" s="841"/>
    </row>
    <row r="8050" spans="1:1" x14ac:dyDescent="0.25">
      <c r="A8050" s="841"/>
    </row>
    <row r="8051" spans="1:1" x14ac:dyDescent="0.25">
      <c r="A8051" s="841"/>
    </row>
    <row r="8052" spans="1:1" x14ac:dyDescent="0.25">
      <c r="A8052" s="841"/>
    </row>
    <row r="8053" spans="1:1" x14ac:dyDescent="0.25">
      <c r="A8053" s="841"/>
    </row>
    <row r="8054" spans="1:1" x14ac:dyDescent="0.25">
      <c r="A8054" s="841"/>
    </row>
    <row r="8055" spans="1:1" x14ac:dyDescent="0.25">
      <c r="A8055" s="841"/>
    </row>
    <row r="8056" spans="1:1" x14ac:dyDescent="0.25">
      <c r="A8056" s="841"/>
    </row>
    <row r="8057" spans="1:1" x14ac:dyDescent="0.25">
      <c r="A8057" s="841"/>
    </row>
    <row r="8058" spans="1:1" x14ac:dyDescent="0.25">
      <c r="A8058" s="841"/>
    </row>
    <row r="8059" spans="1:1" x14ac:dyDescent="0.25">
      <c r="A8059" s="841"/>
    </row>
    <row r="8060" spans="1:1" x14ac:dyDescent="0.25">
      <c r="A8060" s="841"/>
    </row>
    <row r="8061" spans="1:1" x14ac:dyDescent="0.25">
      <c r="A8061" s="841"/>
    </row>
    <row r="8062" spans="1:1" x14ac:dyDescent="0.25">
      <c r="A8062" s="841"/>
    </row>
    <row r="8063" spans="1:1" x14ac:dyDescent="0.25">
      <c r="A8063" s="841"/>
    </row>
    <row r="8064" spans="1:1" x14ac:dyDescent="0.25">
      <c r="A8064" s="841"/>
    </row>
    <row r="8065" spans="1:1" x14ac:dyDescent="0.25">
      <c r="A8065" s="841"/>
    </row>
    <row r="8066" spans="1:1" x14ac:dyDescent="0.25">
      <c r="A8066" s="841"/>
    </row>
    <row r="8067" spans="1:1" x14ac:dyDescent="0.25">
      <c r="A8067" s="841"/>
    </row>
    <row r="8068" spans="1:1" x14ac:dyDescent="0.25">
      <c r="A8068" s="841"/>
    </row>
    <row r="8069" spans="1:1" x14ac:dyDescent="0.25">
      <c r="A8069" s="841"/>
    </row>
    <row r="8070" spans="1:1" x14ac:dyDescent="0.25">
      <c r="A8070" s="841"/>
    </row>
    <row r="8071" spans="1:1" x14ac:dyDescent="0.25">
      <c r="A8071" s="841"/>
    </row>
    <row r="8072" spans="1:1" x14ac:dyDescent="0.25">
      <c r="A8072" s="841"/>
    </row>
    <row r="8073" spans="1:1" x14ac:dyDescent="0.25">
      <c r="A8073" s="841"/>
    </row>
    <row r="8074" spans="1:1" x14ac:dyDescent="0.25">
      <c r="A8074" s="841"/>
    </row>
    <row r="8075" spans="1:1" x14ac:dyDescent="0.25">
      <c r="A8075" s="841"/>
    </row>
    <row r="8076" spans="1:1" x14ac:dyDescent="0.25">
      <c r="A8076" s="841"/>
    </row>
    <row r="8077" spans="1:1" x14ac:dyDescent="0.25">
      <c r="A8077" s="841"/>
    </row>
    <row r="8078" spans="1:1" x14ac:dyDescent="0.25">
      <c r="A8078" s="841"/>
    </row>
    <row r="8079" spans="1:1" x14ac:dyDescent="0.25">
      <c r="A8079" s="841"/>
    </row>
    <row r="8080" spans="1:1" x14ac:dyDescent="0.25">
      <c r="A8080" s="841"/>
    </row>
    <row r="8081" spans="1:1" x14ac:dyDescent="0.25">
      <c r="A8081" s="841"/>
    </row>
    <row r="8082" spans="1:1" x14ac:dyDescent="0.25">
      <c r="A8082" s="841"/>
    </row>
    <row r="8083" spans="1:1" x14ac:dyDescent="0.25">
      <c r="A8083" s="841"/>
    </row>
    <row r="8084" spans="1:1" x14ac:dyDescent="0.25">
      <c r="A8084" s="841"/>
    </row>
    <row r="8085" spans="1:1" x14ac:dyDescent="0.25">
      <c r="A8085" s="841"/>
    </row>
    <row r="8086" spans="1:1" x14ac:dyDescent="0.25">
      <c r="A8086" s="841"/>
    </row>
    <row r="8087" spans="1:1" x14ac:dyDescent="0.25">
      <c r="A8087" s="841"/>
    </row>
    <row r="8088" spans="1:1" x14ac:dyDescent="0.25">
      <c r="A8088" s="841"/>
    </row>
    <row r="8089" spans="1:1" x14ac:dyDescent="0.25">
      <c r="A8089" s="841"/>
    </row>
    <row r="8090" spans="1:1" x14ac:dyDescent="0.25">
      <c r="A8090" s="841"/>
    </row>
    <row r="8091" spans="1:1" x14ac:dyDescent="0.25">
      <c r="A8091" s="841"/>
    </row>
    <row r="8092" spans="1:1" x14ac:dyDescent="0.25">
      <c r="A8092" s="841"/>
    </row>
    <row r="8093" spans="1:1" x14ac:dyDescent="0.25">
      <c r="A8093" s="841"/>
    </row>
    <row r="8094" spans="1:1" x14ac:dyDescent="0.25">
      <c r="A8094" s="841"/>
    </row>
    <row r="8095" spans="1:1" x14ac:dyDescent="0.25">
      <c r="A8095" s="841"/>
    </row>
    <row r="8096" spans="1:1" x14ac:dyDescent="0.25">
      <c r="A8096" s="841"/>
    </row>
    <row r="8097" spans="1:1" x14ac:dyDescent="0.25">
      <c r="A8097" s="841"/>
    </row>
    <row r="8098" spans="1:1" x14ac:dyDescent="0.25">
      <c r="A8098" s="841"/>
    </row>
    <row r="8099" spans="1:1" x14ac:dyDescent="0.25">
      <c r="A8099" s="841"/>
    </row>
    <row r="8100" spans="1:1" x14ac:dyDescent="0.25">
      <c r="A8100" s="841"/>
    </row>
    <row r="8101" spans="1:1" x14ac:dyDescent="0.25">
      <c r="A8101" s="841"/>
    </row>
    <row r="8102" spans="1:1" x14ac:dyDescent="0.25">
      <c r="A8102" s="841"/>
    </row>
    <row r="8103" spans="1:1" x14ac:dyDescent="0.25">
      <c r="A8103" s="841"/>
    </row>
    <row r="8104" spans="1:1" x14ac:dyDescent="0.25">
      <c r="A8104" s="841"/>
    </row>
    <row r="8105" spans="1:1" x14ac:dyDescent="0.25">
      <c r="A8105" s="841"/>
    </row>
    <row r="8106" spans="1:1" x14ac:dyDescent="0.25">
      <c r="A8106" s="841"/>
    </row>
    <row r="8107" spans="1:1" x14ac:dyDescent="0.25">
      <c r="A8107" s="841"/>
    </row>
    <row r="8108" spans="1:1" x14ac:dyDescent="0.25">
      <c r="A8108" s="841"/>
    </row>
    <row r="8109" spans="1:1" x14ac:dyDescent="0.25">
      <c r="A8109" s="841"/>
    </row>
    <row r="8110" spans="1:1" x14ac:dyDescent="0.25">
      <c r="A8110" s="841"/>
    </row>
    <row r="8111" spans="1:1" x14ac:dyDescent="0.25">
      <c r="A8111" s="841"/>
    </row>
    <row r="8112" spans="1:1" x14ac:dyDescent="0.25">
      <c r="A8112" s="841"/>
    </row>
    <row r="8113" spans="1:1" x14ac:dyDescent="0.25">
      <c r="A8113" s="841"/>
    </row>
    <row r="8114" spans="1:1" x14ac:dyDescent="0.25">
      <c r="A8114" s="841"/>
    </row>
    <row r="8115" spans="1:1" x14ac:dyDescent="0.25">
      <c r="A8115" s="841"/>
    </row>
    <row r="8116" spans="1:1" x14ac:dyDescent="0.25">
      <c r="A8116" s="841"/>
    </row>
    <row r="8117" spans="1:1" x14ac:dyDescent="0.25">
      <c r="A8117" s="841"/>
    </row>
    <row r="8118" spans="1:1" x14ac:dyDescent="0.25">
      <c r="A8118" s="841"/>
    </row>
    <row r="8119" spans="1:1" x14ac:dyDescent="0.25">
      <c r="A8119" s="841"/>
    </row>
    <row r="8120" spans="1:1" x14ac:dyDescent="0.25">
      <c r="A8120" s="841"/>
    </row>
    <row r="8121" spans="1:1" x14ac:dyDescent="0.25">
      <c r="A8121" s="841"/>
    </row>
    <row r="8122" spans="1:1" x14ac:dyDescent="0.25">
      <c r="A8122" s="841"/>
    </row>
    <row r="8123" spans="1:1" x14ac:dyDescent="0.25">
      <c r="A8123" s="841"/>
    </row>
    <row r="8124" spans="1:1" x14ac:dyDescent="0.25">
      <c r="A8124" s="841"/>
    </row>
    <row r="8125" spans="1:1" x14ac:dyDescent="0.25">
      <c r="A8125" s="841"/>
    </row>
    <row r="8126" spans="1:1" x14ac:dyDescent="0.25">
      <c r="A8126" s="841"/>
    </row>
    <row r="8127" spans="1:1" x14ac:dyDescent="0.25">
      <c r="A8127" s="841"/>
    </row>
    <row r="8128" spans="1:1" x14ac:dyDescent="0.25">
      <c r="A8128" s="841"/>
    </row>
    <row r="8129" spans="1:1" x14ac:dyDescent="0.25">
      <c r="A8129" s="841"/>
    </row>
    <row r="8130" spans="1:1" x14ac:dyDescent="0.25">
      <c r="A8130" s="841"/>
    </row>
    <row r="8131" spans="1:1" x14ac:dyDescent="0.25">
      <c r="A8131" s="841"/>
    </row>
    <row r="8132" spans="1:1" x14ac:dyDescent="0.25">
      <c r="A8132" s="841"/>
    </row>
    <row r="8133" spans="1:1" x14ac:dyDescent="0.25">
      <c r="A8133" s="841"/>
    </row>
    <row r="8134" spans="1:1" x14ac:dyDescent="0.25">
      <c r="A8134" s="841"/>
    </row>
    <row r="8135" spans="1:1" x14ac:dyDescent="0.25">
      <c r="A8135" s="841"/>
    </row>
    <row r="8136" spans="1:1" x14ac:dyDescent="0.25">
      <c r="A8136" s="841"/>
    </row>
    <row r="8137" spans="1:1" x14ac:dyDescent="0.25">
      <c r="A8137" s="841"/>
    </row>
    <row r="8138" spans="1:1" x14ac:dyDescent="0.25">
      <c r="A8138" s="841"/>
    </row>
    <row r="8139" spans="1:1" x14ac:dyDescent="0.25">
      <c r="A8139" s="841"/>
    </row>
    <row r="8140" spans="1:1" x14ac:dyDescent="0.25">
      <c r="A8140" s="841"/>
    </row>
    <row r="8141" spans="1:1" x14ac:dyDescent="0.25">
      <c r="A8141" s="841"/>
    </row>
    <row r="8142" spans="1:1" x14ac:dyDescent="0.25">
      <c r="A8142" s="841"/>
    </row>
    <row r="8143" spans="1:1" x14ac:dyDescent="0.25">
      <c r="A8143" s="841"/>
    </row>
    <row r="8144" spans="1:1" x14ac:dyDescent="0.25">
      <c r="A8144" s="841"/>
    </row>
    <row r="8145" spans="1:1" x14ac:dyDescent="0.25">
      <c r="A8145" s="841"/>
    </row>
    <row r="8146" spans="1:1" x14ac:dyDescent="0.25">
      <c r="A8146" s="841"/>
    </row>
    <row r="8147" spans="1:1" x14ac:dyDescent="0.25">
      <c r="A8147" s="841"/>
    </row>
    <row r="8148" spans="1:1" x14ac:dyDescent="0.25">
      <c r="A8148" s="841"/>
    </row>
    <row r="8149" spans="1:1" x14ac:dyDescent="0.25">
      <c r="A8149" s="841"/>
    </row>
    <row r="8150" spans="1:1" x14ac:dyDescent="0.25">
      <c r="A8150" s="841"/>
    </row>
    <row r="8151" spans="1:1" x14ac:dyDescent="0.25">
      <c r="A8151" s="841"/>
    </row>
    <row r="8152" spans="1:1" x14ac:dyDescent="0.25">
      <c r="A8152" s="841"/>
    </row>
    <row r="8153" spans="1:1" x14ac:dyDescent="0.25">
      <c r="A8153" s="841"/>
    </row>
    <row r="8154" spans="1:1" x14ac:dyDescent="0.25">
      <c r="A8154" s="841"/>
    </row>
    <row r="8155" spans="1:1" x14ac:dyDescent="0.25">
      <c r="A8155" s="841"/>
    </row>
    <row r="8156" spans="1:1" x14ac:dyDescent="0.25">
      <c r="A8156" s="841"/>
    </row>
    <row r="8157" spans="1:1" x14ac:dyDescent="0.25">
      <c r="A8157" s="841"/>
    </row>
    <row r="8158" spans="1:1" x14ac:dyDescent="0.25">
      <c r="A8158" s="841"/>
    </row>
    <row r="8159" spans="1:1" x14ac:dyDescent="0.25">
      <c r="A8159" s="841"/>
    </row>
    <row r="8160" spans="1:1" x14ac:dyDescent="0.25">
      <c r="A8160" s="841"/>
    </row>
    <row r="8161" spans="1:1" x14ac:dyDescent="0.25">
      <c r="A8161" s="841"/>
    </row>
    <row r="8162" spans="1:1" x14ac:dyDescent="0.25">
      <c r="A8162" s="841"/>
    </row>
    <row r="8163" spans="1:1" x14ac:dyDescent="0.25">
      <c r="A8163" s="841"/>
    </row>
    <row r="8164" spans="1:1" x14ac:dyDescent="0.25">
      <c r="A8164" s="841"/>
    </row>
    <row r="8165" spans="1:1" x14ac:dyDescent="0.25">
      <c r="A8165" s="841"/>
    </row>
    <row r="8166" spans="1:1" x14ac:dyDescent="0.25">
      <c r="A8166" s="841"/>
    </row>
    <row r="8167" spans="1:1" x14ac:dyDescent="0.25">
      <c r="A8167" s="841"/>
    </row>
    <row r="8168" spans="1:1" x14ac:dyDescent="0.25">
      <c r="A8168" s="841"/>
    </row>
    <row r="8169" spans="1:1" x14ac:dyDescent="0.25">
      <c r="A8169" s="841"/>
    </row>
    <row r="8170" spans="1:1" x14ac:dyDescent="0.25">
      <c r="A8170" s="841"/>
    </row>
    <row r="8171" spans="1:1" x14ac:dyDescent="0.25">
      <c r="A8171" s="841"/>
    </row>
    <row r="8172" spans="1:1" x14ac:dyDescent="0.25">
      <c r="A8172" s="841"/>
    </row>
    <row r="8173" spans="1:1" x14ac:dyDescent="0.25">
      <c r="A8173" s="841"/>
    </row>
    <row r="8174" spans="1:1" x14ac:dyDescent="0.25">
      <c r="A8174" s="841"/>
    </row>
    <row r="8175" spans="1:1" x14ac:dyDescent="0.25">
      <c r="A8175" s="841"/>
    </row>
    <row r="8176" spans="1:1" x14ac:dyDescent="0.25">
      <c r="A8176" s="841"/>
    </row>
    <row r="8177" spans="1:1" x14ac:dyDescent="0.25">
      <c r="A8177" s="841"/>
    </row>
    <row r="8178" spans="1:1" x14ac:dyDescent="0.25">
      <c r="A8178" s="841"/>
    </row>
    <row r="8179" spans="1:1" x14ac:dyDescent="0.25">
      <c r="A8179" s="841"/>
    </row>
    <row r="8180" spans="1:1" x14ac:dyDescent="0.25">
      <c r="A8180" s="841"/>
    </row>
    <row r="8181" spans="1:1" x14ac:dyDescent="0.25">
      <c r="A8181" s="841"/>
    </row>
    <row r="8182" spans="1:1" x14ac:dyDescent="0.25">
      <c r="A8182" s="841"/>
    </row>
    <row r="8183" spans="1:1" x14ac:dyDescent="0.25">
      <c r="A8183" s="841"/>
    </row>
    <row r="8184" spans="1:1" x14ac:dyDescent="0.25">
      <c r="A8184" s="841"/>
    </row>
    <row r="8185" spans="1:1" x14ac:dyDescent="0.25">
      <c r="A8185" s="841"/>
    </row>
    <row r="8186" spans="1:1" x14ac:dyDescent="0.25">
      <c r="A8186" s="841"/>
    </row>
    <row r="8187" spans="1:1" x14ac:dyDescent="0.25">
      <c r="A8187" s="841"/>
    </row>
    <row r="8188" spans="1:1" x14ac:dyDescent="0.25">
      <c r="A8188" s="841"/>
    </row>
    <row r="8189" spans="1:1" x14ac:dyDescent="0.25">
      <c r="A8189" s="841"/>
    </row>
    <row r="8190" spans="1:1" x14ac:dyDescent="0.25">
      <c r="A8190" s="841"/>
    </row>
    <row r="8191" spans="1:1" x14ac:dyDescent="0.25">
      <c r="A8191" s="841"/>
    </row>
    <row r="8192" spans="1:1" x14ac:dyDescent="0.25">
      <c r="A8192" s="841"/>
    </row>
    <row r="8193" spans="1:1" x14ac:dyDescent="0.25">
      <c r="A8193" s="841"/>
    </row>
    <row r="8194" spans="1:1" x14ac:dyDescent="0.25">
      <c r="A8194" s="841"/>
    </row>
    <row r="8195" spans="1:1" x14ac:dyDescent="0.25">
      <c r="A8195" s="841"/>
    </row>
    <row r="8196" spans="1:1" x14ac:dyDescent="0.25">
      <c r="A8196" s="841"/>
    </row>
    <row r="8197" spans="1:1" x14ac:dyDescent="0.25">
      <c r="A8197" s="841"/>
    </row>
    <row r="8198" spans="1:1" x14ac:dyDescent="0.25">
      <c r="A8198" s="841"/>
    </row>
    <row r="8199" spans="1:1" x14ac:dyDescent="0.25">
      <c r="A8199" s="841"/>
    </row>
    <row r="8200" spans="1:1" x14ac:dyDescent="0.25">
      <c r="A8200" s="841"/>
    </row>
    <row r="8201" spans="1:1" x14ac:dyDescent="0.25">
      <c r="A8201" s="841"/>
    </row>
    <row r="8202" spans="1:1" x14ac:dyDescent="0.25">
      <c r="A8202" s="841"/>
    </row>
    <row r="8203" spans="1:1" x14ac:dyDescent="0.25">
      <c r="A8203" s="841"/>
    </row>
    <row r="8204" spans="1:1" x14ac:dyDescent="0.25">
      <c r="A8204" s="841"/>
    </row>
    <row r="8205" spans="1:1" x14ac:dyDescent="0.25">
      <c r="A8205" s="841"/>
    </row>
    <row r="8206" spans="1:1" x14ac:dyDescent="0.25">
      <c r="A8206" s="841"/>
    </row>
    <row r="8207" spans="1:1" x14ac:dyDescent="0.25">
      <c r="A8207" s="841"/>
    </row>
    <row r="8208" spans="1:1" x14ac:dyDescent="0.25">
      <c r="A8208" s="841"/>
    </row>
    <row r="8209" spans="1:1" x14ac:dyDescent="0.25">
      <c r="A8209" s="841"/>
    </row>
    <row r="8210" spans="1:1" x14ac:dyDescent="0.25">
      <c r="A8210" s="841"/>
    </row>
    <row r="8211" spans="1:1" x14ac:dyDescent="0.25">
      <c r="A8211" s="841"/>
    </row>
    <row r="8212" spans="1:1" x14ac:dyDescent="0.25">
      <c r="A8212" s="841"/>
    </row>
    <row r="8213" spans="1:1" x14ac:dyDescent="0.25">
      <c r="A8213" s="841"/>
    </row>
    <row r="8214" spans="1:1" x14ac:dyDescent="0.25">
      <c r="A8214" s="841"/>
    </row>
    <row r="8215" spans="1:1" x14ac:dyDescent="0.25">
      <c r="A8215" s="841"/>
    </row>
    <row r="8216" spans="1:1" x14ac:dyDescent="0.25">
      <c r="A8216" s="841"/>
    </row>
    <row r="8217" spans="1:1" x14ac:dyDescent="0.25">
      <c r="A8217" s="841"/>
    </row>
    <row r="8218" spans="1:1" x14ac:dyDescent="0.25">
      <c r="A8218" s="841"/>
    </row>
    <row r="8219" spans="1:1" x14ac:dyDescent="0.25">
      <c r="A8219" s="841"/>
    </row>
    <row r="8220" spans="1:1" x14ac:dyDescent="0.25">
      <c r="A8220" s="841"/>
    </row>
    <row r="8221" spans="1:1" x14ac:dyDescent="0.25">
      <c r="A8221" s="841"/>
    </row>
    <row r="8222" spans="1:1" x14ac:dyDescent="0.25">
      <c r="A8222" s="841"/>
    </row>
    <row r="8223" spans="1:1" x14ac:dyDescent="0.25">
      <c r="A8223" s="841"/>
    </row>
    <row r="8224" spans="1:1" x14ac:dyDescent="0.25">
      <c r="A8224" s="841"/>
    </row>
    <row r="8225" spans="1:1" x14ac:dyDescent="0.25">
      <c r="A8225" s="841"/>
    </row>
    <row r="8226" spans="1:1" x14ac:dyDescent="0.25">
      <c r="A8226" s="841"/>
    </row>
    <row r="8227" spans="1:1" x14ac:dyDescent="0.25">
      <c r="A8227" s="841"/>
    </row>
    <row r="8228" spans="1:1" x14ac:dyDescent="0.25">
      <c r="A8228" s="841"/>
    </row>
    <row r="8229" spans="1:1" x14ac:dyDescent="0.25">
      <c r="A8229" s="841"/>
    </row>
    <row r="8230" spans="1:1" x14ac:dyDescent="0.25">
      <c r="A8230" s="841"/>
    </row>
    <row r="8231" spans="1:1" x14ac:dyDescent="0.25">
      <c r="A8231" s="841"/>
    </row>
    <row r="8232" spans="1:1" x14ac:dyDescent="0.25">
      <c r="A8232" s="841"/>
    </row>
    <row r="8233" spans="1:1" x14ac:dyDescent="0.25">
      <c r="A8233" s="841"/>
    </row>
    <row r="8234" spans="1:1" x14ac:dyDescent="0.25">
      <c r="A8234" s="841"/>
    </row>
    <row r="8235" spans="1:1" x14ac:dyDescent="0.25">
      <c r="A8235" s="841"/>
    </row>
    <row r="8236" spans="1:1" x14ac:dyDescent="0.25">
      <c r="A8236" s="841"/>
    </row>
    <row r="8237" spans="1:1" x14ac:dyDescent="0.25">
      <c r="A8237" s="841"/>
    </row>
    <row r="8238" spans="1:1" x14ac:dyDescent="0.25">
      <c r="A8238" s="841"/>
    </row>
    <row r="8239" spans="1:1" x14ac:dyDescent="0.25">
      <c r="A8239" s="841"/>
    </row>
    <row r="8240" spans="1:1" x14ac:dyDescent="0.25">
      <c r="A8240" s="841"/>
    </row>
    <row r="8241" spans="1:1" x14ac:dyDescent="0.25">
      <c r="A8241" s="841"/>
    </row>
    <row r="8242" spans="1:1" x14ac:dyDescent="0.25">
      <c r="A8242" s="841"/>
    </row>
    <row r="8243" spans="1:1" x14ac:dyDescent="0.25">
      <c r="A8243" s="841"/>
    </row>
    <row r="8244" spans="1:1" x14ac:dyDescent="0.25">
      <c r="A8244" s="841"/>
    </row>
    <row r="8245" spans="1:1" x14ac:dyDescent="0.25">
      <c r="A8245" s="841"/>
    </row>
    <row r="8246" spans="1:1" x14ac:dyDescent="0.25">
      <c r="A8246" s="841"/>
    </row>
    <row r="8247" spans="1:1" x14ac:dyDescent="0.25">
      <c r="A8247" s="841"/>
    </row>
    <row r="8248" spans="1:1" x14ac:dyDescent="0.25">
      <c r="A8248" s="841"/>
    </row>
    <row r="8249" spans="1:1" x14ac:dyDescent="0.25">
      <c r="A8249" s="841"/>
    </row>
    <row r="8250" spans="1:1" x14ac:dyDescent="0.25">
      <c r="A8250" s="841"/>
    </row>
    <row r="8251" spans="1:1" x14ac:dyDescent="0.25">
      <c r="A8251" s="841"/>
    </row>
    <row r="8252" spans="1:1" x14ac:dyDescent="0.25">
      <c r="A8252" s="841"/>
    </row>
    <row r="8253" spans="1:1" x14ac:dyDescent="0.25">
      <c r="A8253" s="841"/>
    </row>
    <row r="8254" spans="1:1" x14ac:dyDescent="0.25">
      <c r="A8254" s="841"/>
    </row>
    <row r="8255" spans="1:1" x14ac:dyDescent="0.25">
      <c r="A8255" s="841"/>
    </row>
    <row r="8256" spans="1:1" x14ac:dyDescent="0.25">
      <c r="A8256" s="841"/>
    </row>
    <row r="8257" spans="1:1" x14ac:dyDescent="0.25">
      <c r="A8257" s="841"/>
    </row>
    <row r="8258" spans="1:1" x14ac:dyDescent="0.25">
      <c r="A8258" s="841"/>
    </row>
    <row r="8259" spans="1:1" x14ac:dyDescent="0.25">
      <c r="A8259" s="841"/>
    </row>
    <row r="8260" spans="1:1" x14ac:dyDescent="0.25">
      <c r="A8260" s="841"/>
    </row>
    <row r="8261" spans="1:1" x14ac:dyDescent="0.25">
      <c r="A8261" s="841"/>
    </row>
    <row r="8262" spans="1:1" x14ac:dyDescent="0.25">
      <c r="A8262" s="841"/>
    </row>
    <row r="8263" spans="1:1" x14ac:dyDescent="0.25">
      <c r="A8263" s="841"/>
    </row>
    <row r="8264" spans="1:1" x14ac:dyDescent="0.25">
      <c r="A8264" s="841"/>
    </row>
    <row r="8265" spans="1:1" x14ac:dyDescent="0.25">
      <c r="A8265" s="841"/>
    </row>
    <row r="8266" spans="1:1" x14ac:dyDescent="0.25">
      <c r="A8266" s="841"/>
    </row>
    <row r="8267" spans="1:1" x14ac:dyDescent="0.25">
      <c r="A8267" s="841"/>
    </row>
    <row r="8268" spans="1:1" x14ac:dyDescent="0.25">
      <c r="A8268" s="841"/>
    </row>
    <row r="8269" spans="1:1" x14ac:dyDescent="0.25">
      <c r="A8269" s="841"/>
    </row>
    <row r="8270" spans="1:1" x14ac:dyDescent="0.25">
      <c r="A8270" s="841"/>
    </row>
    <row r="8271" spans="1:1" x14ac:dyDescent="0.25">
      <c r="A8271" s="841"/>
    </row>
    <row r="8272" spans="1:1" x14ac:dyDescent="0.25">
      <c r="A8272" s="841"/>
    </row>
    <row r="8273" spans="1:1" x14ac:dyDescent="0.25">
      <c r="A8273" s="841"/>
    </row>
    <row r="8274" spans="1:1" x14ac:dyDescent="0.25">
      <c r="A8274" s="841"/>
    </row>
    <row r="8275" spans="1:1" x14ac:dyDescent="0.25">
      <c r="A8275" s="841"/>
    </row>
    <row r="8276" spans="1:1" x14ac:dyDescent="0.25">
      <c r="A8276" s="841"/>
    </row>
    <row r="8277" spans="1:1" x14ac:dyDescent="0.25">
      <c r="A8277" s="841"/>
    </row>
    <row r="8278" spans="1:1" x14ac:dyDescent="0.25">
      <c r="A8278" s="841"/>
    </row>
    <row r="8279" spans="1:1" x14ac:dyDescent="0.25">
      <c r="A8279" s="841"/>
    </row>
    <row r="8280" spans="1:1" x14ac:dyDescent="0.25">
      <c r="A8280" s="841"/>
    </row>
    <row r="8281" spans="1:1" x14ac:dyDescent="0.25">
      <c r="A8281" s="841"/>
    </row>
    <row r="8282" spans="1:1" x14ac:dyDescent="0.25">
      <c r="A8282" s="841"/>
    </row>
    <row r="8283" spans="1:1" x14ac:dyDescent="0.25">
      <c r="A8283" s="841"/>
    </row>
    <row r="8284" spans="1:1" x14ac:dyDescent="0.25">
      <c r="A8284" s="841"/>
    </row>
    <row r="8285" spans="1:1" x14ac:dyDescent="0.25">
      <c r="A8285" s="841"/>
    </row>
    <row r="8286" spans="1:1" x14ac:dyDescent="0.25">
      <c r="A8286" s="841"/>
    </row>
    <row r="8287" spans="1:1" x14ac:dyDescent="0.25">
      <c r="A8287" s="841"/>
    </row>
    <row r="8288" spans="1:1" x14ac:dyDescent="0.25">
      <c r="A8288" s="841"/>
    </row>
    <row r="8289" spans="1:1" x14ac:dyDescent="0.25">
      <c r="A8289" s="841"/>
    </row>
    <row r="8290" spans="1:1" x14ac:dyDescent="0.25">
      <c r="A8290" s="841"/>
    </row>
    <row r="8291" spans="1:1" x14ac:dyDescent="0.25">
      <c r="A8291" s="841"/>
    </row>
    <row r="8292" spans="1:1" x14ac:dyDescent="0.25">
      <c r="A8292" s="841"/>
    </row>
    <row r="8293" spans="1:1" x14ac:dyDescent="0.25">
      <c r="A8293" s="841"/>
    </row>
    <row r="8294" spans="1:1" x14ac:dyDescent="0.25">
      <c r="A8294" s="841"/>
    </row>
    <row r="8295" spans="1:1" x14ac:dyDescent="0.25">
      <c r="A8295" s="841"/>
    </row>
    <row r="8296" spans="1:1" x14ac:dyDescent="0.25">
      <c r="A8296" s="841"/>
    </row>
    <row r="8297" spans="1:1" x14ac:dyDescent="0.25">
      <c r="A8297" s="841"/>
    </row>
    <row r="8298" spans="1:1" x14ac:dyDescent="0.25">
      <c r="A8298" s="841"/>
    </row>
    <row r="8299" spans="1:1" x14ac:dyDescent="0.25">
      <c r="A8299" s="841"/>
    </row>
    <row r="8300" spans="1:1" x14ac:dyDescent="0.25">
      <c r="A8300" s="841"/>
    </row>
    <row r="8301" spans="1:1" x14ac:dyDescent="0.25">
      <c r="A8301" s="841"/>
    </row>
    <row r="8302" spans="1:1" x14ac:dyDescent="0.25">
      <c r="A8302" s="841"/>
    </row>
    <row r="8303" spans="1:1" x14ac:dyDescent="0.25">
      <c r="A8303" s="841"/>
    </row>
    <row r="8304" spans="1:1" x14ac:dyDescent="0.25">
      <c r="A8304" s="841"/>
    </row>
    <row r="8305" spans="1:1" x14ac:dyDescent="0.25">
      <c r="A8305" s="841"/>
    </row>
    <row r="8306" spans="1:1" x14ac:dyDescent="0.25">
      <c r="A8306" s="841"/>
    </row>
    <row r="8307" spans="1:1" x14ac:dyDescent="0.25">
      <c r="A8307" s="841"/>
    </row>
    <row r="8308" spans="1:1" x14ac:dyDescent="0.25">
      <c r="A8308" s="841"/>
    </row>
    <row r="8309" spans="1:1" x14ac:dyDescent="0.25">
      <c r="A8309" s="841"/>
    </row>
    <row r="8310" spans="1:1" x14ac:dyDescent="0.25">
      <c r="A8310" s="841"/>
    </row>
    <row r="8311" spans="1:1" x14ac:dyDescent="0.25">
      <c r="A8311" s="841"/>
    </row>
    <row r="8312" spans="1:1" x14ac:dyDescent="0.25">
      <c r="A8312" s="841"/>
    </row>
    <row r="8313" spans="1:1" x14ac:dyDescent="0.25">
      <c r="A8313" s="841"/>
    </row>
    <row r="8314" spans="1:1" x14ac:dyDescent="0.25">
      <c r="A8314" s="841"/>
    </row>
    <row r="8315" spans="1:1" x14ac:dyDescent="0.25">
      <c r="A8315" s="841"/>
    </row>
    <row r="8316" spans="1:1" x14ac:dyDescent="0.25">
      <c r="A8316" s="841"/>
    </row>
    <row r="8317" spans="1:1" x14ac:dyDescent="0.25">
      <c r="A8317" s="841"/>
    </row>
    <row r="8318" spans="1:1" x14ac:dyDescent="0.25">
      <c r="A8318" s="841"/>
    </row>
    <row r="8319" spans="1:1" x14ac:dyDescent="0.25">
      <c r="A8319" s="841"/>
    </row>
    <row r="8320" spans="1:1" x14ac:dyDescent="0.25">
      <c r="A8320" s="841"/>
    </row>
    <row r="8321" spans="1:1" x14ac:dyDescent="0.25">
      <c r="A8321" s="841"/>
    </row>
    <row r="8322" spans="1:1" x14ac:dyDescent="0.25">
      <c r="A8322" s="841"/>
    </row>
    <row r="8323" spans="1:1" x14ac:dyDescent="0.25">
      <c r="A8323" s="841"/>
    </row>
    <row r="8324" spans="1:1" x14ac:dyDescent="0.25">
      <c r="A8324" s="841"/>
    </row>
    <row r="8325" spans="1:1" x14ac:dyDescent="0.25">
      <c r="A8325" s="841"/>
    </row>
    <row r="8326" spans="1:1" x14ac:dyDescent="0.25">
      <c r="A8326" s="841"/>
    </row>
    <row r="8327" spans="1:1" x14ac:dyDescent="0.25">
      <c r="A8327" s="841"/>
    </row>
    <row r="8328" spans="1:1" x14ac:dyDescent="0.25">
      <c r="A8328" s="841"/>
    </row>
    <row r="8329" spans="1:1" x14ac:dyDescent="0.25">
      <c r="A8329" s="841"/>
    </row>
    <row r="8330" spans="1:1" x14ac:dyDescent="0.25">
      <c r="A8330" s="841"/>
    </row>
    <row r="8331" spans="1:1" x14ac:dyDescent="0.25">
      <c r="A8331" s="841"/>
    </row>
    <row r="8332" spans="1:1" x14ac:dyDescent="0.25">
      <c r="A8332" s="841"/>
    </row>
    <row r="8333" spans="1:1" x14ac:dyDescent="0.25">
      <c r="A8333" s="841"/>
    </row>
    <row r="8334" spans="1:1" x14ac:dyDescent="0.25">
      <c r="A8334" s="841"/>
    </row>
    <row r="8335" spans="1:1" x14ac:dyDescent="0.25">
      <c r="A8335" s="841"/>
    </row>
    <row r="8336" spans="1:1" x14ac:dyDescent="0.25">
      <c r="A8336" s="841"/>
    </row>
    <row r="8337" spans="1:1" x14ac:dyDescent="0.25">
      <c r="A8337" s="841"/>
    </row>
    <row r="8338" spans="1:1" x14ac:dyDescent="0.25">
      <c r="A8338" s="841"/>
    </row>
    <row r="8339" spans="1:1" x14ac:dyDescent="0.25">
      <c r="A8339" s="841"/>
    </row>
    <row r="8340" spans="1:1" x14ac:dyDescent="0.25">
      <c r="A8340" s="841"/>
    </row>
    <row r="8341" spans="1:1" x14ac:dyDescent="0.25">
      <c r="A8341" s="841"/>
    </row>
    <row r="8342" spans="1:1" x14ac:dyDescent="0.25">
      <c r="A8342" s="841"/>
    </row>
    <row r="8343" spans="1:1" x14ac:dyDescent="0.25">
      <c r="A8343" s="841"/>
    </row>
    <row r="8344" spans="1:1" x14ac:dyDescent="0.25">
      <c r="A8344" s="841"/>
    </row>
    <row r="8345" spans="1:1" x14ac:dyDescent="0.25">
      <c r="A8345" s="841"/>
    </row>
    <row r="8346" spans="1:1" x14ac:dyDescent="0.25">
      <c r="A8346" s="841"/>
    </row>
    <row r="8347" spans="1:1" x14ac:dyDescent="0.25">
      <c r="A8347" s="841"/>
    </row>
    <row r="8348" spans="1:1" x14ac:dyDescent="0.25">
      <c r="A8348" s="841"/>
    </row>
    <row r="8349" spans="1:1" x14ac:dyDescent="0.25">
      <c r="A8349" s="841"/>
    </row>
    <row r="8350" spans="1:1" x14ac:dyDescent="0.25">
      <c r="A8350" s="841"/>
    </row>
    <row r="8351" spans="1:1" x14ac:dyDescent="0.25">
      <c r="A8351" s="841"/>
    </row>
    <row r="8352" spans="1:1" x14ac:dyDescent="0.25">
      <c r="A8352" s="841"/>
    </row>
    <row r="8353" spans="1:1" x14ac:dyDescent="0.25">
      <c r="A8353" s="841"/>
    </row>
    <row r="8354" spans="1:1" x14ac:dyDescent="0.25">
      <c r="A8354" s="841"/>
    </row>
    <row r="8355" spans="1:1" x14ac:dyDescent="0.25">
      <c r="A8355" s="841"/>
    </row>
    <row r="8356" spans="1:1" x14ac:dyDescent="0.25">
      <c r="A8356" s="841"/>
    </row>
    <row r="8357" spans="1:1" x14ac:dyDescent="0.25">
      <c r="A8357" s="841"/>
    </row>
    <row r="8358" spans="1:1" x14ac:dyDescent="0.25">
      <c r="A8358" s="841"/>
    </row>
    <row r="8359" spans="1:1" x14ac:dyDescent="0.25">
      <c r="A8359" s="841"/>
    </row>
    <row r="8360" spans="1:1" x14ac:dyDescent="0.25">
      <c r="A8360" s="841"/>
    </row>
    <row r="8361" spans="1:1" x14ac:dyDescent="0.25">
      <c r="A8361" s="841"/>
    </row>
    <row r="8362" spans="1:1" x14ac:dyDescent="0.25">
      <c r="A8362" s="841"/>
    </row>
    <row r="8363" spans="1:1" x14ac:dyDescent="0.25">
      <c r="A8363" s="841"/>
    </row>
    <row r="8364" spans="1:1" x14ac:dyDescent="0.25">
      <c r="A8364" s="841"/>
    </row>
    <row r="8365" spans="1:1" x14ac:dyDescent="0.25">
      <c r="A8365" s="841"/>
    </row>
    <row r="8366" spans="1:1" x14ac:dyDescent="0.25">
      <c r="A8366" s="841"/>
    </row>
    <row r="8367" spans="1:1" x14ac:dyDescent="0.25">
      <c r="A8367" s="841"/>
    </row>
    <row r="8368" spans="1:1" x14ac:dyDescent="0.25">
      <c r="A8368" s="841"/>
    </row>
    <row r="8369" spans="1:1" x14ac:dyDescent="0.25">
      <c r="A8369" s="841"/>
    </row>
    <row r="8370" spans="1:1" x14ac:dyDescent="0.25">
      <c r="A8370" s="841"/>
    </row>
    <row r="8371" spans="1:1" x14ac:dyDescent="0.25">
      <c r="A8371" s="841"/>
    </row>
    <row r="8372" spans="1:1" x14ac:dyDescent="0.25">
      <c r="A8372" s="841"/>
    </row>
    <row r="8373" spans="1:1" x14ac:dyDescent="0.25">
      <c r="A8373" s="841"/>
    </row>
    <row r="8374" spans="1:1" x14ac:dyDescent="0.25">
      <c r="A8374" s="841"/>
    </row>
    <row r="8375" spans="1:1" x14ac:dyDescent="0.25">
      <c r="A8375" s="841"/>
    </row>
    <row r="8376" spans="1:1" x14ac:dyDescent="0.25">
      <c r="A8376" s="841"/>
    </row>
    <row r="8377" spans="1:1" x14ac:dyDescent="0.25">
      <c r="A8377" s="841"/>
    </row>
    <row r="8378" spans="1:1" x14ac:dyDescent="0.25">
      <c r="A8378" s="841"/>
    </row>
    <row r="8379" spans="1:1" x14ac:dyDescent="0.25">
      <c r="A8379" s="841"/>
    </row>
    <row r="8380" spans="1:1" x14ac:dyDescent="0.25">
      <c r="A8380" s="841"/>
    </row>
    <row r="8381" spans="1:1" x14ac:dyDescent="0.25">
      <c r="A8381" s="841"/>
    </row>
    <row r="8382" spans="1:1" x14ac:dyDescent="0.25">
      <c r="A8382" s="841"/>
    </row>
    <row r="8383" spans="1:1" x14ac:dyDescent="0.25">
      <c r="A8383" s="841"/>
    </row>
    <row r="8384" spans="1:1" x14ac:dyDescent="0.25">
      <c r="A8384" s="841"/>
    </row>
    <row r="8385" spans="1:1" x14ac:dyDescent="0.25">
      <c r="A8385" s="841"/>
    </row>
    <row r="8386" spans="1:1" x14ac:dyDescent="0.25">
      <c r="A8386" s="841"/>
    </row>
    <row r="8387" spans="1:1" x14ac:dyDescent="0.25">
      <c r="A8387" s="841"/>
    </row>
    <row r="8388" spans="1:1" x14ac:dyDescent="0.25">
      <c r="A8388" s="841"/>
    </row>
    <row r="8389" spans="1:1" x14ac:dyDescent="0.25">
      <c r="A8389" s="841"/>
    </row>
    <row r="8390" spans="1:1" x14ac:dyDescent="0.25">
      <c r="A8390" s="841"/>
    </row>
    <row r="8391" spans="1:1" x14ac:dyDescent="0.25">
      <c r="A8391" s="841"/>
    </row>
    <row r="8392" spans="1:1" x14ac:dyDescent="0.25">
      <c r="A8392" s="841"/>
    </row>
    <row r="8393" spans="1:1" x14ac:dyDescent="0.25">
      <c r="A8393" s="841"/>
    </row>
    <row r="8394" spans="1:1" x14ac:dyDescent="0.25">
      <c r="A8394" s="841"/>
    </row>
    <row r="8395" spans="1:1" x14ac:dyDescent="0.25">
      <c r="A8395" s="841"/>
    </row>
    <row r="8396" spans="1:1" x14ac:dyDescent="0.25">
      <c r="A8396" s="841"/>
    </row>
    <row r="8397" spans="1:1" x14ac:dyDescent="0.25">
      <c r="A8397" s="841"/>
    </row>
    <row r="8398" spans="1:1" x14ac:dyDescent="0.25">
      <c r="A8398" s="841"/>
    </row>
    <row r="8399" spans="1:1" x14ac:dyDescent="0.25">
      <c r="A8399" s="841"/>
    </row>
    <row r="8400" spans="1:1" x14ac:dyDescent="0.25">
      <c r="A8400" s="841"/>
    </row>
    <row r="8401" spans="1:1" x14ac:dyDescent="0.25">
      <c r="A8401" s="841"/>
    </row>
    <row r="8402" spans="1:1" x14ac:dyDescent="0.25">
      <c r="A8402" s="841"/>
    </row>
    <row r="8403" spans="1:1" x14ac:dyDescent="0.25">
      <c r="A8403" s="841"/>
    </row>
    <row r="8404" spans="1:1" x14ac:dyDescent="0.25">
      <c r="A8404" s="841"/>
    </row>
    <row r="8405" spans="1:1" x14ac:dyDescent="0.25">
      <c r="A8405" s="841"/>
    </row>
    <row r="8406" spans="1:1" x14ac:dyDescent="0.25">
      <c r="A8406" s="841"/>
    </row>
    <row r="8407" spans="1:1" x14ac:dyDescent="0.25">
      <c r="A8407" s="841"/>
    </row>
    <row r="8408" spans="1:1" x14ac:dyDescent="0.25">
      <c r="A8408" s="841"/>
    </row>
    <row r="8409" spans="1:1" x14ac:dyDescent="0.25">
      <c r="A8409" s="841"/>
    </row>
    <row r="8410" spans="1:1" x14ac:dyDescent="0.25">
      <c r="A8410" s="841"/>
    </row>
    <row r="8411" spans="1:1" x14ac:dyDescent="0.25">
      <c r="A8411" s="841"/>
    </row>
    <row r="8412" spans="1:1" x14ac:dyDescent="0.25">
      <c r="A8412" s="841"/>
    </row>
    <row r="8413" spans="1:1" x14ac:dyDescent="0.25">
      <c r="A8413" s="841"/>
    </row>
    <row r="8414" spans="1:1" x14ac:dyDescent="0.25">
      <c r="A8414" s="841"/>
    </row>
    <row r="8415" spans="1:1" x14ac:dyDescent="0.25">
      <c r="A8415" s="841"/>
    </row>
    <row r="8416" spans="1:1" x14ac:dyDescent="0.25">
      <c r="A8416" s="841"/>
    </row>
    <row r="8417" spans="1:1" x14ac:dyDescent="0.25">
      <c r="A8417" s="841"/>
    </row>
    <row r="8418" spans="1:1" x14ac:dyDescent="0.25">
      <c r="A8418" s="841"/>
    </row>
    <row r="8419" spans="1:1" x14ac:dyDescent="0.25">
      <c r="A8419" s="841"/>
    </row>
    <row r="8420" spans="1:1" x14ac:dyDescent="0.25">
      <c r="A8420" s="841"/>
    </row>
    <row r="8421" spans="1:1" x14ac:dyDescent="0.25">
      <c r="A8421" s="841"/>
    </row>
    <row r="8422" spans="1:1" x14ac:dyDescent="0.25">
      <c r="A8422" s="841"/>
    </row>
    <row r="8423" spans="1:1" x14ac:dyDescent="0.25">
      <c r="A8423" s="841"/>
    </row>
    <row r="8424" spans="1:1" x14ac:dyDescent="0.25">
      <c r="A8424" s="841"/>
    </row>
    <row r="8425" spans="1:1" x14ac:dyDescent="0.25">
      <c r="A8425" s="841"/>
    </row>
    <row r="8426" spans="1:1" x14ac:dyDescent="0.25">
      <c r="A8426" s="841"/>
    </row>
    <row r="8427" spans="1:1" x14ac:dyDescent="0.25">
      <c r="A8427" s="841"/>
    </row>
    <row r="8428" spans="1:1" x14ac:dyDescent="0.25">
      <c r="A8428" s="841"/>
    </row>
    <row r="8429" spans="1:1" x14ac:dyDescent="0.25">
      <c r="A8429" s="841"/>
    </row>
    <row r="8430" spans="1:1" x14ac:dyDescent="0.25">
      <c r="A8430" s="841"/>
    </row>
    <row r="8431" spans="1:1" x14ac:dyDescent="0.25">
      <c r="A8431" s="841"/>
    </row>
    <row r="8432" spans="1:1" x14ac:dyDescent="0.25">
      <c r="A8432" s="841"/>
    </row>
    <row r="8433" spans="1:1" x14ac:dyDescent="0.25">
      <c r="A8433" s="841"/>
    </row>
    <row r="8434" spans="1:1" x14ac:dyDescent="0.25">
      <c r="A8434" s="841"/>
    </row>
    <row r="8435" spans="1:1" x14ac:dyDescent="0.25">
      <c r="A8435" s="841"/>
    </row>
    <row r="8436" spans="1:1" x14ac:dyDescent="0.25">
      <c r="A8436" s="841"/>
    </row>
    <row r="8437" spans="1:1" x14ac:dyDescent="0.25">
      <c r="A8437" s="841"/>
    </row>
    <row r="8438" spans="1:1" x14ac:dyDescent="0.25">
      <c r="A8438" s="841"/>
    </row>
    <row r="8439" spans="1:1" x14ac:dyDescent="0.25">
      <c r="A8439" s="841"/>
    </row>
    <row r="8440" spans="1:1" x14ac:dyDescent="0.25">
      <c r="A8440" s="841"/>
    </row>
    <row r="8441" spans="1:1" x14ac:dyDescent="0.25">
      <c r="A8441" s="841"/>
    </row>
    <row r="8442" spans="1:1" x14ac:dyDescent="0.25">
      <c r="A8442" s="841"/>
    </row>
    <row r="8443" spans="1:1" x14ac:dyDescent="0.25">
      <c r="A8443" s="841"/>
    </row>
    <row r="8444" spans="1:1" x14ac:dyDescent="0.25">
      <c r="A8444" s="841"/>
    </row>
    <row r="8445" spans="1:1" x14ac:dyDescent="0.25">
      <c r="A8445" s="841"/>
    </row>
    <row r="8446" spans="1:1" x14ac:dyDescent="0.25">
      <c r="A8446" s="841"/>
    </row>
    <row r="8447" spans="1:1" x14ac:dyDescent="0.25">
      <c r="A8447" s="841"/>
    </row>
    <row r="8448" spans="1:1" x14ac:dyDescent="0.25">
      <c r="A8448" s="841"/>
    </row>
    <row r="8449" spans="1:1" x14ac:dyDescent="0.25">
      <c r="A8449" s="841"/>
    </row>
    <row r="8450" spans="1:1" x14ac:dyDescent="0.25">
      <c r="A8450" s="841"/>
    </row>
    <row r="8451" spans="1:1" x14ac:dyDescent="0.25">
      <c r="A8451" s="841"/>
    </row>
    <row r="8452" spans="1:1" x14ac:dyDescent="0.25">
      <c r="A8452" s="841"/>
    </row>
    <row r="8453" spans="1:1" x14ac:dyDescent="0.25">
      <c r="A8453" s="841"/>
    </row>
    <row r="8454" spans="1:1" x14ac:dyDescent="0.25">
      <c r="A8454" s="841"/>
    </row>
    <row r="8455" spans="1:1" x14ac:dyDescent="0.25">
      <c r="A8455" s="841"/>
    </row>
    <row r="8456" spans="1:1" x14ac:dyDescent="0.25">
      <c r="A8456" s="841"/>
    </row>
    <row r="8457" spans="1:1" x14ac:dyDescent="0.25">
      <c r="A8457" s="841"/>
    </row>
    <row r="8458" spans="1:1" x14ac:dyDescent="0.25">
      <c r="A8458" s="841"/>
    </row>
    <row r="8459" spans="1:1" x14ac:dyDescent="0.25">
      <c r="A8459" s="841"/>
    </row>
    <row r="8460" spans="1:1" x14ac:dyDescent="0.25">
      <c r="A8460" s="841"/>
    </row>
    <row r="8461" spans="1:1" x14ac:dyDescent="0.25">
      <c r="A8461" s="841"/>
    </row>
    <row r="8462" spans="1:1" x14ac:dyDescent="0.25">
      <c r="A8462" s="841"/>
    </row>
    <row r="8463" spans="1:1" x14ac:dyDescent="0.25">
      <c r="A8463" s="841"/>
    </row>
    <row r="8464" spans="1:1" x14ac:dyDescent="0.25">
      <c r="A8464" s="841"/>
    </row>
    <row r="8465" spans="1:1" x14ac:dyDescent="0.25">
      <c r="A8465" s="841"/>
    </row>
    <row r="8466" spans="1:1" x14ac:dyDescent="0.25">
      <c r="A8466" s="841"/>
    </row>
    <row r="8467" spans="1:1" x14ac:dyDescent="0.25">
      <c r="A8467" s="841"/>
    </row>
    <row r="8468" spans="1:1" x14ac:dyDescent="0.25">
      <c r="A8468" s="841"/>
    </row>
    <row r="8469" spans="1:1" x14ac:dyDescent="0.25">
      <c r="A8469" s="841"/>
    </row>
    <row r="8470" spans="1:1" x14ac:dyDescent="0.25">
      <c r="A8470" s="841"/>
    </row>
    <row r="8471" spans="1:1" x14ac:dyDescent="0.25">
      <c r="A8471" s="841"/>
    </row>
    <row r="8472" spans="1:1" x14ac:dyDescent="0.25">
      <c r="A8472" s="841"/>
    </row>
    <row r="8473" spans="1:1" x14ac:dyDescent="0.25">
      <c r="A8473" s="841"/>
    </row>
    <row r="8474" spans="1:1" x14ac:dyDescent="0.25">
      <c r="A8474" s="841"/>
    </row>
    <row r="8475" spans="1:1" x14ac:dyDescent="0.25">
      <c r="A8475" s="841"/>
    </row>
    <row r="8476" spans="1:1" x14ac:dyDescent="0.25">
      <c r="A8476" s="841"/>
    </row>
    <row r="8477" spans="1:1" x14ac:dyDescent="0.25">
      <c r="A8477" s="841"/>
    </row>
    <row r="8478" spans="1:1" x14ac:dyDescent="0.25">
      <c r="A8478" s="841"/>
    </row>
    <row r="8479" spans="1:1" x14ac:dyDescent="0.25">
      <c r="A8479" s="841"/>
    </row>
    <row r="8480" spans="1:1" x14ac:dyDescent="0.25">
      <c r="A8480" s="841"/>
    </row>
    <row r="8481" spans="1:1" x14ac:dyDescent="0.25">
      <c r="A8481" s="841"/>
    </row>
    <row r="8482" spans="1:1" x14ac:dyDescent="0.25">
      <c r="A8482" s="841"/>
    </row>
    <row r="8483" spans="1:1" x14ac:dyDescent="0.25">
      <c r="A8483" s="841"/>
    </row>
    <row r="8484" spans="1:1" x14ac:dyDescent="0.25">
      <c r="A8484" s="841"/>
    </row>
    <row r="8485" spans="1:1" x14ac:dyDescent="0.25">
      <c r="A8485" s="841"/>
    </row>
    <row r="8486" spans="1:1" x14ac:dyDescent="0.25">
      <c r="A8486" s="841"/>
    </row>
    <row r="8487" spans="1:1" x14ac:dyDescent="0.25">
      <c r="A8487" s="841"/>
    </row>
    <row r="8488" spans="1:1" x14ac:dyDescent="0.25">
      <c r="A8488" s="841"/>
    </row>
    <row r="8489" spans="1:1" x14ac:dyDescent="0.25">
      <c r="A8489" s="841"/>
    </row>
    <row r="8490" spans="1:1" x14ac:dyDescent="0.25">
      <c r="A8490" s="841"/>
    </row>
    <row r="8491" spans="1:1" x14ac:dyDescent="0.25">
      <c r="A8491" s="841"/>
    </row>
    <row r="8492" spans="1:1" x14ac:dyDescent="0.25">
      <c r="A8492" s="841"/>
    </row>
    <row r="8493" spans="1:1" x14ac:dyDescent="0.25">
      <c r="A8493" s="841"/>
    </row>
    <row r="8494" spans="1:1" x14ac:dyDescent="0.25">
      <c r="A8494" s="841"/>
    </row>
    <row r="8495" spans="1:1" x14ac:dyDescent="0.25">
      <c r="A8495" s="841"/>
    </row>
    <row r="8496" spans="1:1" x14ac:dyDescent="0.25">
      <c r="A8496" s="841"/>
    </row>
    <row r="8497" spans="1:1" x14ac:dyDescent="0.25">
      <c r="A8497" s="841"/>
    </row>
    <row r="8498" spans="1:1" x14ac:dyDescent="0.25">
      <c r="A8498" s="841"/>
    </row>
    <row r="8499" spans="1:1" x14ac:dyDescent="0.25">
      <c r="A8499" s="841"/>
    </row>
    <row r="8500" spans="1:1" x14ac:dyDescent="0.25">
      <c r="A8500" s="841"/>
    </row>
    <row r="8501" spans="1:1" x14ac:dyDescent="0.25">
      <c r="A8501" s="841"/>
    </row>
    <row r="8502" spans="1:1" x14ac:dyDescent="0.25">
      <c r="A8502" s="841"/>
    </row>
    <row r="8503" spans="1:1" x14ac:dyDescent="0.25">
      <c r="A8503" s="841"/>
    </row>
    <row r="8504" spans="1:1" x14ac:dyDescent="0.25">
      <c r="A8504" s="841"/>
    </row>
    <row r="8505" spans="1:1" x14ac:dyDescent="0.25">
      <c r="A8505" s="841"/>
    </row>
    <row r="8506" spans="1:1" x14ac:dyDescent="0.25">
      <c r="A8506" s="841"/>
    </row>
    <row r="8507" spans="1:1" x14ac:dyDescent="0.25">
      <c r="A8507" s="841"/>
    </row>
    <row r="8508" spans="1:1" x14ac:dyDescent="0.25">
      <c r="A8508" s="841"/>
    </row>
    <row r="8509" spans="1:1" x14ac:dyDescent="0.25">
      <c r="A8509" s="841"/>
    </row>
    <row r="8510" spans="1:1" x14ac:dyDescent="0.25">
      <c r="A8510" s="841"/>
    </row>
    <row r="8511" spans="1:1" x14ac:dyDescent="0.25">
      <c r="A8511" s="841"/>
    </row>
    <row r="8512" spans="1:1" x14ac:dyDescent="0.25">
      <c r="A8512" s="841"/>
    </row>
    <row r="8513" spans="1:1" x14ac:dyDescent="0.25">
      <c r="A8513" s="841"/>
    </row>
    <row r="8514" spans="1:1" x14ac:dyDescent="0.25">
      <c r="A8514" s="841"/>
    </row>
    <row r="8515" spans="1:1" x14ac:dyDescent="0.25">
      <c r="A8515" s="841"/>
    </row>
    <row r="8516" spans="1:1" x14ac:dyDescent="0.25">
      <c r="A8516" s="841"/>
    </row>
    <row r="8517" spans="1:1" x14ac:dyDescent="0.25">
      <c r="A8517" s="841"/>
    </row>
    <row r="8518" spans="1:1" x14ac:dyDescent="0.25">
      <c r="A8518" s="841"/>
    </row>
    <row r="8519" spans="1:1" x14ac:dyDescent="0.25">
      <c r="A8519" s="841"/>
    </row>
    <row r="8520" spans="1:1" x14ac:dyDescent="0.25">
      <c r="A8520" s="841"/>
    </row>
    <row r="8521" spans="1:1" x14ac:dyDescent="0.25">
      <c r="A8521" s="841"/>
    </row>
    <row r="8522" spans="1:1" x14ac:dyDescent="0.25">
      <c r="A8522" s="841"/>
    </row>
    <row r="8523" spans="1:1" x14ac:dyDescent="0.25">
      <c r="A8523" s="841"/>
    </row>
    <row r="8524" spans="1:1" x14ac:dyDescent="0.25">
      <c r="A8524" s="841"/>
    </row>
    <row r="8525" spans="1:1" x14ac:dyDescent="0.25">
      <c r="A8525" s="841"/>
    </row>
    <row r="8526" spans="1:1" x14ac:dyDescent="0.25">
      <c r="A8526" s="841"/>
    </row>
    <row r="8527" spans="1:1" x14ac:dyDescent="0.25">
      <c r="A8527" s="841"/>
    </row>
    <row r="8528" spans="1:1" x14ac:dyDescent="0.25">
      <c r="A8528" s="841"/>
    </row>
    <row r="8529" spans="1:1" x14ac:dyDescent="0.25">
      <c r="A8529" s="841"/>
    </row>
    <row r="8530" spans="1:1" x14ac:dyDescent="0.25">
      <c r="A8530" s="841"/>
    </row>
    <row r="8531" spans="1:1" x14ac:dyDescent="0.25">
      <c r="A8531" s="841"/>
    </row>
    <row r="8532" spans="1:1" x14ac:dyDescent="0.25">
      <c r="A8532" s="841"/>
    </row>
    <row r="8533" spans="1:1" x14ac:dyDescent="0.25">
      <c r="A8533" s="841"/>
    </row>
    <row r="8534" spans="1:1" x14ac:dyDescent="0.25">
      <c r="A8534" s="841"/>
    </row>
    <row r="8535" spans="1:1" x14ac:dyDescent="0.25">
      <c r="A8535" s="841"/>
    </row>
    <row r="8536" spans="1:1" x14ac:dyDescent="0.25">
      <c r="A8536" s="841"/>
    </row>
    <row r="8537" spans="1:1" x14ac:dyDescent="0.25">
      <c r="A8537" s="841"/>
    </row>
    <row r="8538" spans="1:1" x14ac:dyDescent="0.25">
      <c r="A8538" s="841"/>
    </row>
    <row r="8539" spans="1:1" x14ac:dyDescent="0.25">
      <c r="A8539" s="841"/>
    </row>
    <row r="8540" spans="1:1" x14ac:dyDescent="0.25">
      <c r="A8540" s="841"/>
    </row>
    <row r="8541" spans="1:1" x14ac:dyDescent="0.25">
      <c r="A8541" s="841"/>
    </row>
    <row r="8542" spans="1:1" x14ac:dyDescent="0.25">
      <c r="A8542" s="841"/>
    </row>
    <row r="8543" spans="1:1" x14ac:dyDescent="0.25">
      <c r="A8543" s="841"/>
    </row>
    <row r="8544" spans="1:1" x14ac:dyDescent="0.25">
      <c r="A8544" s="841"/>
    </row>
    <row r="8545" spans="1:1" x14ac:dyDescent="0.25">
      <c r="A8545" s="841"/>
    </row>
    <row r="8546" spans="1:1" x14ac:dyDescent="0.25">
      <c r="A8546" s="841"/>
    </row>
    <row r="8547" spans="1:1" x14ac:dyDescent="0.25">
      <c r="A8547" s="841"/>
    </row>
    <row r="8548" spans="1:1" x14ac:dyDescent="0.25">
      <c r="A8548" s="841"/>
    </row>
    <row r="8549" spans="1:1" x14ac:dyDescent="0.25">
      <c r="A8549" s="841"/>
    </row>
    <row r="8550" spans="1:1" x14ac:dyDescent="0.25">
      <c r="A8550" s="841"/>
    </row>
    <row r="8551" spans="1:1" x14ac:dyDescent="0.25">
      <c r="A8551" s="841"/>
    </row>
    <row r="8552" spans="1:1" x14ac:dyDescent="0.25">
      <c r="A8552" s="841"/>
    </row>
    <row r="8553" spans="1:1" x14ac:dyDescent="0.25">
      <c r="A8553" s="841"/>
    </row>
    <row r="8554" spans="1:1" x14ac:dyDescent="0.25">
      <c r="A8554" s="841"/>
    </row>
    <row r="8555" spans="1:1" x14ac:dyDescent="0.25">
      <c r="A8555" s="841"/>
    </row>
    <row r="8556" spans="1:1" x14ac:dyDescent="0.25">
      <c r="A8556" s="841"/>
    </row>
    <row r="8557" spans="1:1" x14ac:dyDescent="0.25">
      <c r="A8557" s="841"/>
    </row>
    <row r="8558" spans="1:1" x14ac:dyDescent="0.25">
      <c r="A8558" s="841"/>
    </row>
    <row r="8559" spans="1:1" x14ac:dyDescent="0.25">
      <c r="A8559" s="841"/>
    </row>
    <row r="8560" spans="1:1" x14ac:dyDescent="0.25">
      <c r="A8560" s="841"/>
    </row>
    <row r="8561" spans="1:1" x14ac:dyDescent="0.25">
      <c r="A8561" s="841"/>
    </row>
    <row r="8562" spans="1:1" x14ac:dyDescent="0.25">
      <c r="A8562" s="841"/>
    </row>
    <row r="8563" spans="1:1" x14ac:dyDescent="0.25">
      <c r="A8563" s="841"/>
    </row>
    <row r="8564" spans="1:1" x14ac:dyDescent="0.25">
      <c r="A8564" s="841"/>
    </row>
    <row r="8565" spans="1:1" x14ac:dyDescent="0.25">
      <c r="A8565" s="841"/>
    </row>
    <row r="8566" spans="1:1" x14ac:dyDescent="0.25">
      <c r="A8566" s="841"/>
    </row>
    <row r="8567" spans="1:1" x14ac:dyDescent="0.25">
      <c r="A8567" s="841"/>
    </row>
    <row r="8568" spans="1:1" x14ac:dyDescent="0.25">
      <c r="A8568" s="841"/>
    </row>
    <row r="8569" spans="1:1" x14ac:dyDescent="0.25">
      <c r="A8569" s="841"/>
    </row>
    <row r="8570" spans="1:1" x14ac:dyDescent="0.25">
      <c r="A8570" s="841"/>
    </row>
    <row r="8571" spans="1:1" x14ac:dyDescent="0.25">
      <c r="A8571" s="841"/>
    </row>
    <row r="8572" spans="1:1" x14ac:dyDescent="0.25">
      <c r="A8572" s="841"/>
    </row>
    <row r="8573" spans="1:1" x14ac:dyDescent="0.25">
      <c r="A8573" s="841"/>
    </row>
    <row r="8574" spans="1:1" x14ac:dyDescent="0.25">
      <c r="A8574" s="841"/>
    </row>
    <row r="8575" spans="1:1" x14ac:dyDescent="0.25">
      <c r="A8575" s="841"/>
    </row>
    <row r="8576" spans="1:1" x14ac:dyDescent="0.25">
      <c r="A8576" s="841"/>
    </row>
    <row r="8577" spans="1:1" x14ac:dyDescent="0.25">
      <c r="A8577" s="841"/>
    </row>
    <row r="8578" spans="1:1" x14ac:dyDescent="0.25">
      <c r="A8578" s="841"/>
    </row>
    <row r="8579" spans="1:1" x14ac:dyDescent="0.25">
      <c r="A8579" s="841"/>
    </row>
    <row r="8580" spans="1:1" x14ac:dyDescent="0.25">
      <c r="A8580" s="841"/>
    </row>
    <row r="8581" spans="1:1" x14ac:dyDescent="0.25">
      <c r="A8581" s="841"/>
    </row>
    <row r="8582" spans="1:1" x14ac:dyDescent="0.25">
      <c r="A8582" s="841"/>
    </row>
    <row r="8583" spans="1:1" x14ac:dyDescent="0.25">
      <c r="A8583" s="841"/>
    </row>
    <row r="8584" spans="1:1" x14ac:dyDescent="0.25">
      <c r="A8584" s="841"/>
    </row>
    <row r="8585" spans="1:1" x14ac:dyDescent="0.25">
      <c r="A8585" s="841"/>
    </row>
    <row r="8586" spans="1:1" x14ac:dyDescent="0.25">
      <c r="A8586" s="841"/>
    </row>
    <row r="8587" spans="1:1" x14ac:dyDescent="0.25">
      <c r="A8587" s="841"/>
    </row>
    <row r="8588" spans="1:1" x14ac:dyDescent="0.25">
      <c r="A8588" s="841"/>
    </row>
    <row r="8589" spans="1:1" x14ac:dyDescent="0.25">
      <c r="A8589" s="841"/>
    </row>
    <row r="8590" spans="1:1" x14ac:dyDescent="0.25">
      <c r="A8590" s="841"/>
    </row>
    <row r="8591" spans="1:1" x14ac:dyDescent="0.25">
      <c r="A8591" s="841"/>
    </row>
    <row r="8592" spans="1:1" x14ac:dyDescent="0.25">
      <c r="A8592" s="841"/>
    </row>
    <row r="8593" spans="1:1" x14ac:dyDescent="0.25">
      <c r="A8593" s="841"/>
    </row>
    <row r="8594" spans="1:1" x14ac:dyDescent="0.25">
      <c r="A8594" s="841"/>
    </row>
    <row r="8595" spans="1:1" x14ac:dyDescent="0.25">
      <c r="A8595" s="841"/>
    </row>
    <row r="8596" spans="1:1" x14ac:dyDescent="0.25">
      <c r="A8596" s="841"/>
    </row>
    <row r="8597" spans="1:1" x14ac:dyDescent="0.25">
      <c r="A8597" s="841"/>
    </row>
    <row r="8598" spans="1:1" x14ac:dyDescent="0.25">
      <c r="A8598" s="841"/>
    </row>
    <row r="8599" spans="1:1" x14ac:dyDescent="0.25">
      <c r="A8599" s="841"/>
    </row>
    <row r="8600" spans="1:1" x14ac:dyDescent="0.25">
      <c r="A8600" s="841"/>
    </row>
    <row r="8601" spans="1:1" x14ac:dyDescent="0.25">
      <c r="A8601" s="841"/>
    </row>
    <row r="8602" spans="1:1" x14ac:dyDescent="0.25">
      <c r="A8602" s="841"/>
    </row>
    <row r="8603" spans="1:1" x14ac:dyDescent="0.25">
      <c r="A8603" s="841"/>
    </row>
    <row r="8604" spans="1:1" x14ac:dyDescent="0.25">
      <c r="A8604" s="841"/>
    </row>
    <row r="8605" spans="1:1" x14ac:dyDescent="0.25">
      <c r="A8605" s="841"/>
    </row>
    <row r="8606" spans="1:1" x14ac:dyDescent="0.25">
      <c r="A8606" s="841"/>
    </row>
    <row r="8607" spans="1:1" x14ac:dyDescent="0.25">
      <c r="A8607" s="841"/>
    </row>
    <row r="8608" spans="1:1" x14ac:dyDescent="0.25">
      <c r="A8608" s="841"/>
    </row>
    <row r="8609" spans="1:1" x14ac:dyDescent="0.25">
      <c r="A8609" s="841"/>
    </row>
    <row r="8610" spans="1:1" x14ac:dyDescent="0.25">
      <c r="A8610" s="841"/>
    </row>
    <row r="8611" spans="1:1" x14ac:dyDescent="0.25">
      <c r="A8611" s="841"/>
    </row>
    <row r="8612" spans="1:1" x14ac:dyDescent="0.25">
      <c r="A8612" s="841"/>
    </row>
    <row r="8613" spans="1:1" x14ac:dyDescent="0.25">
      <c r="A8613" s="841"/>
    </row>
    <row r="8614" spans="1:1" x14ac:dyDescent="0.25">
      <c r="A8614" s="841"/>
    </row>
    <row r="8615" spans="1:1" x14ac:dyDescent="0.25">
      <c r="A8615" s="841"/>
    </row>
    <row r="8616" spans="1:1" x14ac:dyDescent="0.25">
      <c r="A8616" s="841"/>
    </row>
    <row r="8617" spans="1:1" x14ac:dyDescent="0.25">
      <c r="A8617" s="841"/>
    </row>
    <row r="8618" spans="1:1" x14ac:dyDescent="0.25">
      <c r="A8618" s="841"/>
    </row>
    <row r="8619" spans="1:1" x14ac:dyDescent="0.25">
      <c r="A8619" s="841"/>
    </row>
    <row r="8620" spans="1:1" x14ac:dyDescent="0.25">
      <c r="A8620" s="841"/>
    </row>
    <row r="8621" spans="1:1" x14ac:dyDescent="0.25">
      <c r="A8621" s="841"/>
    </row>
    <row r="8622" spans="1:1" x14ac:dyDescent="0.25">
      <c r="A8622" s="841"/>
    </row>
    <row r="8623" spans="1:1" x14ac:dyDescent="0.25">
      <c r="A8623" s="841"/>
    </row>
    <row r="8624" spans="1:1" x14ac:dyDescent="0.25">
      <c r="A8624" s="841"/>
    </row>
    <row r="8625" spans="1:1" x14ac:dyDescent="0.25">
      <c r="A8625" s="841"/>
    </row>
    <row r="8626" spans="1:1" x14ac:dyDescent="0.25">
      <c r="A8626" s="841"/>
    </row>
    <row r="8627" spans="1:1" x14ac:dyDescent="0.25">
      <c r="A8627" s="841"/>
    </row>
    <row r="8628" spans="1:1" x14ac:dyDescent="0.25">
      <c r="A8628" s="841"/>
    </row>
    <row r="8629" spans="1:1" x14ac:dyDescent="0.25">
      <c r="A8629" s="841"/>
    </row>
    <row r="8630" spans="1:1" x14ac:dyDescent="0.25">
      <c r="A8630" s="841"/>
    </row>
    <row r="8631" spans="1:1" x14ac:dyDescent="0.25">
      <c r="A8631" s="841"/>
    </row>
    <row r="8632" spans="1:1" x14ac:dyDescent="0.25">
      <c r="A8632" s="841"/>
    </row>
    <row r="8633" spans="1:1" x14ac:dyDescent="0.25">
      <c r="A8633" s="841"/>
    </row>
    <row r="8634" spans="1:1" x14ac:dyDescent="0.25">
      <c r="A8634" s="841"/>
    </row>
    <row r="8635" spans="1:1" x14ac:dyDescent="0.25">
      <c r="A8635" s="841"/>
    </row>
    <row r="8636" spans="1:1" x14ac:dyDescent="0.25">
      <c r="A8636" s="841"/>
    </row>
    <row r="8637" spans="1:1" x14ac:dyDescent="0.25">
      <c r="A8637" s="841"/>
    </row>
    <row r="8638" spans="1:1" x14ac:dyDescent="0.25">
      <c r="A8638" s="841"/>
    </row>
    <row r="8639" spans="1:1" x14ac:dyDescent="0.25">
      <c r="A8639" s="841"/>
    </row>
    <row r="8640" spans="1:1" x14ac:dyDescent="0.25">
      <c r="A8640" s="841"/>
    </row>
    <row r="8641" spans="1:1" x14ac:dyDescent="0.25">
      <c r="A8641" s="841"/>
    </row>
    <row r="8642" spans="1:1" x14ac:dyDescent="0.25">
      <c r="A8642" s="841"/>
    </row>
    <row r="8643" spans="1:1" x14ac:dyDescent="0.25">
      <c r="A8643" s="841"/>
    </row>
    <row r="8644" spans="1:1" x14ac:dyDescent="0.25">
      <c r="A8644" s="841"/>
    </row>
    <row r="8645" spans="1:1" x14ac:dyDescent="0.25">
      <c r="A8645" s="841"/>
    </row>
    <row r="8646" spans="1:1" x14ac:dyDescent="0.25">
      <c r="A8646" s="841"/>
    </row>
    <row r="8647" spans="1:1" x14ac:dyDescent="0.25">
      <c r="A8647" s="841"/>
    </row>
    <row r="8648" spans="1:1" x14ac:dyDescent="0.25">
      <c r="A8648" s="841"/>
    </row>
    <row r="8649" spans="1:1" x14ac:dyDescent="0.25">
      <c r="A8649" s="841"/>
    </row>
    <row r="8650" spans="1:1" x14ac:dyDescent="0.25">
      <c r="A8650" s="841"/>
    </row>
    <row r="8651" spans="1:1" x14ac:dyDescent="0.25">
      <c r="A8651" s="841"/>
    </row>
    <row r="8652" spans="1:1" x14ac:dyDescent="0.25">
      <c r="A8652" s="841"/>
    </row>
    <row r="8653" spans="1:1" x14ac:dyDescent="0.25">
      <c r="A8653" s="841"/>
    </row>
    <row r="8654" spans="1:1" x14ac:dyDescent="0.25">
      <c r="A8654" s="841"/>
    </row>
    <row r="8655" spans="1:1" x14ac:dyDescent="0.25">
      <c r="A8655" s="841"/>
    </row>
    <row r="8656" spans="1:1" x14ac:dyDescent="0.25">
      <c r="A8656" s="841"/>
    </row>
    <row r="8657" spans="1:1" x14ac:dyDescent="0.25">
      <c r="A8657" s="841"/>
    </row>
    <row r="8658" spans="1:1" x14ac:dyDescent="0.25">
      <c r="A8658" s="841"/>
    </row>
    <row r="8659" spans="1:1" x14ac:dyDescent="0.25">
      <c r="A8659" s="841"/>
    </row>
    <row r="8660" spans="1:1" x14ac:dyDescent="0.25">
      <c r="A8660" s="841"/>
    </row>
    <row r="8661" spans="1:1" x14ac:dyDescent="0.25">
      <c r="A8661" s="841"/>
    </row>
    <row r="8662" spans="1:1" x14ac:dyDescent="0.25">
      <c r="A8662" s="841"/>
    </row>
    <row r="8663" spans="1:1" x14ac:dyDescent="0.25">
      <c r="A8663" s="841"/>
    </row>
    <row r="8664" spans="1:1" x14ac:dyDescent="0.25">
      <c r="A8664" s="841"/>
    </row>
    <row r="8665" spans="1:1" x14ac:dyDescent="0.25">
      <c r="A8665" s="841"/>
    </row>
    <row r="8666" spans="1:1" x14ac:dyDescent="0.25">
      <c r="A8666" s="841"/>
    </row>
    <row r="8667" spans="1:1" x14ac:dyDescent="0.25">
      <c r="A8667" s="841"/>
    </row>
    <row r="8668" spans="1:1" x14ac:dyDescent="0.25">
      <c r="A8668" s="841"/>
    </row>
    <row r="8669" spans="1:1" x14ac:dyDescent="0.25">
      <c r="A8669" s="841"/>
    </row>
    <row r="8670" spans="1:1" x14ac:dyDescent="0.25">
      <c r="A8670" s="841"/>
    </row>
    <row r="8671" spans="1:1" x14ac:dyDescent="0.25">
      <c r="A8671" s="841"/>
    </row>
    <row r="8672" spans="1:1" x14ac:dyDescent="0.25">
      <c r="A8672" s="841"/>
    </row>
    <row r="8673" spans="1:1" x14ac:dyDescent="0.25">
      <c r="A8673" s="841"/>
    </row>
    <row r="8674" spans="1:1" x14ac:dyDescent="0.25">
      <c r="A8674" s="841"/>
    </row>
    <row r="8675" spans="1:1" x14ac:dyDescent="0.25">
      <c r="A8675" s="841"/>
    </row>
    <row r="8676" spans="1:1" x14ac:dyDescent="0.25">
      <c r="A8676" s="841"/>
    </row>
    <row r="8677" spans="1:1" x14ac:dyDescent="0.25">
      <c r="A8677" s="841"/>
    </row>
    <row r="8678" spans="1:1" x14ac:dyDescent="0.25">
      <c r="A8678" s="841"/>
    </row>
    <row r="8679" spans="1:1" x14ac:dyDescent="0.25">
      <c r="A8679" s="841"/>
    </row>
    <row r="8680" spans="1:1" x14ac:dyDescent="0.25">
      <c r="A8680" s="841"/>
    </row>
    <row r="8681" spans="1:1" x14ac:dyDescent="0.25">
      <c r="A8681" s="841"/>
    </row>
    <row r="8682" spans="1:1" x14ac:dyDescent="0.25">
      <c r="A8682" s="841"/>
    </row>
    <row r="8683" spans="1:1" x14ac:dyDescent="0.25">
      <c r="A8683" s="841"/>
    </row>
    <row r="8684" spans="1:1" x14ac:dyDescent="0.25">
      <c r="A8684" s="841"/>
    </row>
    <row r="8685" spans="1:1" x14ac:dyDescent="0.25">
      <c r="A8685" s="841"/>
    </row>
    <row r="8686" spans="1:1" x14ac:dyDescent="0.25">
      <c r="A8686" s="841"/>
    </row>
    <row r="8687" spans="1:1" x14ac:dyDescent="0.25">
      <c r="A8687" s="841"/>
    </row>
    <row r="8688" spans="1:1" x14ac:dyDescent="0.25">
      <c r="A8688" s="841"/>
    </row>
    <row r="8689" spans="1:1" x14ac:dyDescent="0.25">
      <c r="A8689" s="841"/>
    </row>
    <row r="8690" spans="1:1" x14ac:dyDescent="0.25">
      <c r="A8690" s="841"/>
    </row>
    <row r="8691" spans="1:1" x14ac:dyDescent="0.25">
      <c r="A8691" s="841"/>
    </row>
    <row r="8692" spans="1:1" x14ac:dyDescent="0.25">
      <c r="A8692" s="841"/>
    </row>
    <row r="8693" spans="1:1" x14ac:dyDescent="0.25">
      <c r="A8693" s="841"/>
    </row>
    <row r="8694" spans="1:1" x14ac:dyDescent="0.25">
      <c r="A8694" s="841"/>
    </row>
    <row r="8695" spans="1:1" x14ac:dyDescent="0.25">
      <c r="A8695" s="841"/>
    </row>
    <row r="8696" spans="1:1" x14ac:dyDescent="0.25">
      <c r="A8696" s="841"/>
    </row>
    <row r="8697" spans="1:1" x14ac:dyDescent="0.25">
      <c r="A8697" s="841"/>
    </row>
    <row r="8698" spans="1:1" x14ac:dyDescent="0.25">
      <c r="A8698" s="841"/>
    </row>
    <row r="8699" spans="1:1" x14ac:dyDescent="0.25">
      <c r="A8699" s="841"/>
    </row>
    <row r="8700" spans="1:1" x14ac:dyDescent="0.25">
      <c r="A8700" s="841"/>
    </row>
    <row r="8701" spans="1:1" x14ac:dyDescent="0.25">
      <c r="A8701" s="841"/>
    </row>
    <row r="8702" spans="1:1" x14ac:dyDescent="0.25">
      <c r="A8702" s="841"/>
    </row>
    <row r="8703" spans="1:1" x14ac:dyDescent="0.25">
      <c r="A8703" s="841"/>
    </row>
    <row r="8704" spans="1:1" x14ac:dyDescent="0.25">
      <c r="A8704" s="841"/>
    </row>
    <row r="8705" spans="1:1" x14ac:dyDescent="0.25">
      <c r="A8705" s="841"/>
    </row>
    <row r="8706" spans="1:1" x14ac:dyDescent="0.25">
      <c r="A8706" s="841"/>
    </row>
    <row r="8707" spans="1:1" x14ac:dyDescent="0.25">
      <c r="A8707" s="841"/>
    </row>
    <row r="8708" spans="1:1" x14ac:dyDescent="0.25">
      <c r="A8708" s="841"/>
    </row>
    <row r="8709" spans="1:1" x14ac:dyDescent="0.25">
      <c r="A8709" s="841"/>
    </row>
    <row r="8710" spans="1:1" x14ac:dyDescent="0.25">
      <c r="A8710" s="841"/>
    </row>
    <row r="8711" spans="1:1" x14ac:dyDescent="0.25">
      <c r="A8711" s="841"/>
    </row>
    <row r="8712" spans="1:1" x14ac:dyDescent="0.25">
      <c r="A8712" s="841"/>
    </row>
    <row r="8713" spans="1:1" x14ac:dyDescent="0.25">
      <c r="A8713" s="841"/>
    </row>
    <row r="8714" spans="1:1" x14ac:dyDescent="0.25">
      <c r="A8714" s="841"/>
    </row>
    <row r="8715" spans="1:1" x14ac:dyDescent="0.25">
      <c r="A8715" s="841"/>
    </row>
    <row r="8716" spans="1:1" x14ac:dyDescent="0.25">
      <c r="A8716" s="841"/>
    </row>
    <row r="8717" spans="1:1" x14ac:dyDescent="0.25">
      <c r="A8717" s="841"/>
    </row>
    <row r="8718" spans="1:1" x14ac:dyDescent="0.25">
      <c r="A8718" s="841"/>
    </row>
    <row r="8719" spans="1:1" x14ac:dyDescent="0.25">
      <c r="A8719" s="841"/>
    </row>
    <row r="8720" spans="1:1" x14ac:dyDescent="0.25">
      <c r="A8720" s="841"/>
    </row>
    <row r="8721" spans="1:1" x14ac:dyDescent="0.25">
      <c r="A8721" s="841"/>
    </row>
    <row r="8722" spans="1:1" x14ac:dyDescent="0.25">
      <c r="A8722" s="841"/>
    </row>
    <row r="8723" spans="1:1" x14ac:dyDescent="0.25">
      <c r="A8723" s="841"/>
    </row>
    <row r="8724" spans="1:1" x14ac:dyDescent="0.25">
      <c r="A8724" s="841"/>
    </row>
    <row r="8725" spans="1:1" x14ac:dyDescent="0.25">
      <c r="A8725" s="841"/>
    </row>
    <row r="8726" spans="1:1" x14ac:dyDescent="0.25">
      <c r="A8726" s="841"/>
    </row>
    <row r="8727" spans="1:1" x14ac:dyDescent="0.25">
      <c r="A8727" s="841"/>
    </row>
    <row r="8728" spans="1:1" x14ac:dyDescent="0.25">
      <c r="A8728" s="841"/>
    </row>
    <row r="8729" spans="1:1" x14ac:dyDescent="0.25">
      <c r="A8729" s="841"/>
    </row>
    <row r="8730" spans="1:1" x14ac:dyDescent="0.25">
      <c r="A8730" s="841"/>
    </row>
    <row r="8731" spans="1:1" x14ac:dyDescent="0.25">
      <c r="A8731" s="841"/>
    </row>
    <row r="8732" spans="1:1" x14ac:dyDescent="0.25">
      <c r="A8732" s="841"/>
    </row>
    <row r="8733" spans="1:1" x14ac:dyDescent="0.25">
      <c r="A8733" s="841"/>
    </row>
    <row r="8734" spans="1:1" x14ac:dyDescent="0.25">
      <c r="A8734" s="841"/>
    </row>
    <row r="8735" spans="1:1" x14ac:dyDescent="0.25">
      <c r="A8735" s="841"/>
    </row>
    <row r="8736" spans="1:1" x14ac:dyDescent="0.25">
      <c r="A8736" s="841"/>
    </row>
    <row r="8737" spans="1:1" x14ac:dyDescent="0.25">
      <c r="A8737" s="841"/>
    </row>
    <row r="8738" spans="1:1" x14ac:dyDescent="0.25">
      <c r="A8738" s="841"/>
    </row>
    <row r="8739" spans="1:1" x14ac:dyDescent="0.25">
      <c r="A8739" s="841"/>
    </row>
    <row r="8740" spans="1:1" x14ac:dyDescent="0.25">
      <c r="A8740" s="841"/>
    </row>
    <row r="8741" spans="1:1" x14ac:dyDescent="0.25">
      <c r="A8741" s="841"/>
    </row>
    <row r="8742" spans="1:1" x14ac:dyDescent="0.25">
      <c r="A8742" s="841"/>
    </row>
    <row r="8743" spans="1:1" x14ac:dyDescent="0.25">
      <c r="A8743" s="841"/>
    </row>
    <row r="8744" spans="1:1" x14ac:dyDescent="0.25">
      <c r="A8744" s="841"/>
    </row>
    <row r="8745" spans="1:1" x14ac:dyDescent="0.25">
      <c r="A8745" s="841"/>
    </row>
    <row r="8746" spans="1:1" x14ac:dyDescent="0.25">
      <c r="A8746" s="841"/>
    </row>
    <row r="8747" spans="1:1" x14ac:dyDescent="0.25">
      <c r="A8747" s="841"/>
    </row>
    <row r="8748" spans="1:1" x14ac:dyDescent="0.25">
      <c r="A8748" s="841"/>
    </row>
    <row r="8749" spans="1:1" x14ac:dyDescent="0.25">
      <c r="A8749" s="841"/>
    </row>
    <row r="8750" spans="1:1" x14ac:dyDescent="0.25">
      <c r="A8750" s="841"/>
    </row>
    <row r="8751" spans="1:1" x14ac:dyDescent="0.25">
      <c r="A8751" s="841"/>
    </row>
    <row r="8752" spans="1:1" x14ac:dyDescent="0.25">
      <c r="A8752" s="841"/>
    </row>
    <row r="8753" spans="1:1" x14ac:dyDescent="0.25">
      <c r="A8753" s="841"/>
    </row>
    <row r="8754" spans="1:1" x14ac:dyDescent="0.25">
      <c r="A8754" s="841"/>
    </row>
    <row r="8755" spans="1:1" x14ac:dyDescent="0.25">
      <c r="A8755" s="841"/>
    </row>
    <row r="8756" spans="1:1" x14ac:dyDescent="0.25">
      <c r="A8756" s="841"/>
    </row>
    <row r="8757" spans="1:1" x14ac:dyDescent="0.25">
      <c r="A8757" s="841"/>
    </row>
    <row r="8758" spans="1:1" x14ac:dyDescent="0.25">
      <c r="A8758" s="841"/>
    </row>
    <row r="8759" spans="1:1" x14ac:dyDescent="0.25">
      <c r="A8759" s="841"/>
    </row>
    <row r="8760" spans="1:1" x14ac:dyDescent="0.25">
      <c r="A8760" s="841"/>
    </row>
    <row r="8761" spans="1:1" x14ac:dyDescent="0.25">
      <c r="A8761" s="841"/>
    </row>
    <row r="8762" spans="1:1" x14ac:dyDescent="0.25">
      <c r="A8762" s="841"/>
    </row>
    <row r="8763" spans="1:1" x14ac:dyDescent="0.25">
      <c r="A8763" s="841"/>
    </row>
    <row r="8764" spans="1:1" x14ac:dyDescent="0.25">
      <c r="A8764" s="841"/>
    </row>
    <row r="8765" spans="1:1" x14ac:dyDescent="0.25">
      <c r="A8765" s="841"/>
    </row>
    <row r="8766" spans="1:1" x14ac:dyDescent="0.25">
      <c r="A8766" s="841"/>
    </row>
    <row r="8767" spans="1:1" x14ac:dyDescent="0.25">
      <c r="A8767" s="841"/>
    </row>
    <row r="8768" spans="1:1" x14ac:dyDescent="0.25">
      <c r="A8768" s="841"/>
    </row>
    <row r="8769" spans="1:1" x14ac:dyDescent="0.25">
      <c r="A8769" s="841"/>
    </row>
    <row r="8770" spans="1:1" x14ac:dyDescent="0.25">
      <c r="A8770" s="841"/>
    </row>
    <row r="8771" spans="1:1" x14ac:dyDescent="0.25">
      <c r="A8771" s="841"/>
    </row>
    <row r="8772" spans="1:1" x14ac:dyDescent="0.25">
      <c r="A8772" s="841"/>
    </row>
    <row r="8773" spans="1:1" x14ac:dyDescent="0.25">
      <c r="A8773" s="841"/>
    </row>
    <row r="8774" spans="1:1" x14ac:dyDescent="0.25">
      <c r="A8774" s="841"/>
    </row>
    <row r="8775" spans="1:1" x14ac:dyDescent="0.25">
      <c r="A8775" s="841"/>
    </row>
    <row r="8776" spans="1:1" x14ac:dyDescent="0.25">
      <c r="A8776" s="841"/>
    </row>
    <row r="8777" spans="1:1" x14ac:dyDescent="0.25">
      <c r="A8777" s="841"/>
    </row>
    <row r="8778" spans="1:1" x14ac:dyDescent="0.25">
      <c r="A8778" s="841"/>
    </row>
    <row r="8779" spans="1:1" x14ac:dyDescent="0.25">
      <c r="A8779" s="841"/>
    </row>
    <row r="8780" spans="1:1" x14ac:dyDescent="0.25">
      <c r="A8780" s="841"/>
    </row>
    <row r="8781" spans="1:1" x14ac:dyDescent="0.25">
      <c r="A8781" s="841"/>
    </row>
    <row r="8782" spans="1:1" x14ac:dyDescent="0.25">
      <c r="A8782" s="841"/>
    </row>
    <row r="8783" spans="1:1" x14ac:dyDescent="0.25">
      <c r="A8783" s="841"/>
    </row>
    <row r="8784" spans="1:1" x14ac:dyDescent="0.25">
      <c r="A8784" s="841"/>
    </row>
    <row r="8785" spans="1:1" x14ac:dyDescent="0.25">
      <c r="A8785" s="841"/>
    </row>
    <row r="8786" spans="1:1" x14ac:dyDescent="0.25">
      <c r="A8786" s="841"/>
    </row>
    <row r="8787" spans="1:1" x14ac:dyDescent="0.25">
      <c r="A8787" s="841"/>
    </row>
    <row r="8788" spans="1:1" x14ac:dyDescent="0.25">
      <c r="A8788" s="841"/>
    </row>
    <row r="8789" spans="1:1" x14ac:dyDescent="0.25">
      <c r="A8789" s="841"/>
    </row>
    <row r="8790" spans="1:1" x14ac:dyDescent="0.25">
      <c r="A8790" s="841"/>
    </row>
    <row r="8791" spans="1:1" x14ac:dyDescent="0.25">
      <c r="A8791" s="841"/>
    </row>
    <row r="8792" spans="1:1" x14ac:dyDescent="0.25">
      <c r="A8792" s="841"/>
    </row>
    <row r="8793" spans="1:1" x14ac:dyDescent="0.25">
      <c r="A8793" s="841"/>
    </row>
    <row r="8794" spans="1:1" x14ac:dyDescent="0.25">
      <c r="A8794" s="841"/>
    </row>
    <row r="8795" spans="1:1" x14ac:dyDescent="0.25">
      <c r="A8795" s="841"/>
    </row>
    <row r="8796" spans="1:1" x14ac:dyDescent="0.25">
      <c r="A8796" s="841"/>
    </row>
    <row r="8797" spans="1:1" x14ac:dyDescent="0.25">
      <c r="A8797" s="841"/>
    </row>
    <row r="8798" spans="1:1" x14ac:dyDescent="0.25">
      <c r="A8798" s="841"/>
    </row>
    <row r="8799" spans="1:1" x14ac:dyDescent="0.25">
      <c r="A8799" s="841"/>
    </row>
    <row r="8800" spans="1:1" x14ac:dyDescent="0.25">
      <c r="A8800" s="841"/>
    </row>
    <row r="8801" spans="1:1" x14ac:dyDescent="0.25">
      <c r="A8801" s="841"/>
    </row>
    <row r="8802" spans="1:1" x14ac:dyDescent="0.25">
      <c r="A8802" s="841"/>
    </row>
    <row r="8803" spans="1:1" x14ac:dyDescent="0.25">
      <c r="A8803" s="841"/>
    </row>
    <row r="8804" spans="1:1" x14ac:dyDescent="0.25">
      <c r="A8804" s="841"/>
    </row>
    <row r="8805" spans="1:1" x14ac:dyDescent="0.25">
      <c r="A8805" s="841"/>
    </row>
    <row r="8806" spans="1:1" x14ac:dyDescent="0.25">
      <c r="A8806" s="841"/>
    </row>
    <row r="8807" spans="1:1" x14ac:dyDescent="0.25">
      <c r="A8807" s="841"/>
    </row>
    <row r="8808" spans="1:1" x14ac:dyDescent="0.25">
      <c r="A8808" s="841"/>
    </row>
    <row r="8809" spans="1:1" x14ac:dyDescent="0.25">
      <c r="A8809" s="841"/>
    </row>
    <row r="8810" spans="1:1" x14ac:dyDescent="0.25">
      <c r="A8810" s="841"/>
    </row>
    <row r="8811" spans="1:1" x14ac:dyDescent="0.25">
      <c r="A8811" s="841"/>
    </row>
    <row r="8812" spans="1:1" x14ac:dyDescent="0.25">
      <c r="A8812" s="841"/>
    </row>
    <row r="8813" spans="1:1" x14ac:dyDescent="0.25">
      <c r="A8813" s="841"/>
    </row>
    <row r="8814" spans="1:1" x14ac:dyDescent="0.25">
      <c r="A8814" s="841"/>
    </row>
    <row r="8815" spans="1:1" x14ac:dyDescent="0.25">
      <c r="A8815" s="841"/>
    </row>
    <row r="8816" spans="1:1" x14ac:dyDescent="0.25">
      <c r="A8816" s="841"/>
    </row>
    <row r="8817" spans="1:1" x14ac:dyDescent="0.25">
      <c r="A8817" s="841"/>
    </row>
    <row r="8818" spans="1:1" x14ac:dyDescent="0.25">
      <c r="A8818" s="841"/>
    </row>
    <row r="8819" spans="1:1" x14ac:dyDescent="0.25">
      <c r="A8819" s="841"/>
    </row>
    <row r="8820" spans="1:1" x14ac:dyDescent="0.25">
      <c r="A8820" s="841"/>
    </row>
    <row r="8821" spans="1:1" x14ac:dyDescent="0.25">
      <c r="A8821" s="841"/>
    </row>
    <row r="8822" spans="1:1" x14ac:dyDescent="0.25">
      <c r="A8822" s="841"/>
    </row>
    <row r="8823" spans="1:1" x14ac:dyDescent="0.25">
      <c r="A8823" s="841"/>
    </row>
    <row r="8824" spans="1:1" x14ac:dyDescent="0.25">
      <c r="A8824" s="841"/>
    </row>
    <row r="8825" spans="1:1" x14ac:dyDescent="0.25">
      <c r="A8825" s="841"/>
    </row>
    <row r="8826" spans="1:1" x14ac:dyDescent="0.25">
      <c r="A8826" s="841"/>
    </row>
    <row r="8827" spans="1:1" x14ac:dyDescent="0.25">
      <c r="A8827" s="841"/>
    </row>
    <row r="8828" spans="1:1" x14ac:dyDescent="0.25">
      <c r="A8828" s="841"/>
    </row>
    <row r="8829" spans="1:1" x14ac:dyDescent="0.25">
      <c r="A8829" s="841"/>
    </row>
    <row r="8830" spans="1:1" x14ac:dyDescent="0.25">
      <c r="A8830" s="841"/>
    </row>
    <row r="8831" spans="1:1" x14ac:dyDescent="0.25">
      <c r="A8831" s="841"/>
    </row>
    <row r="8832" spans="1:1" x14ac:dyDescent="0.25">
      <c r="A8832" s="841"/>
    </row>
    <row r="8833" spans="1:1" x14ac:dyDescent="0.25">
      <c r="A8833" s="841"/>
    </row>
    <row r="8834" spans="1:1" x14ac:dyDescent="0.25">
      <c r="A8834" s="841"/>
    </row>
    <row r="8835" spans="1:1" x14ac:dyDescent="0.25">
      <c r="A8835" s="841"/>
    </row>
    <row r="8836" spans="1:1" x14ac:dyDescent="0.25">
      <c r="A8836" s="841"/>
    </row>
    <row r="8837" spans="1:1" x14ac:dyDescent="0.25">
      <c r="A8837" s="841"/>
    </row>
    <row r="8838" spans="1:1" x14ac:dyDescent="0.25">
      <c r="A8838" s="841"/>
    </row>
    <row r="8839" spans="1:1" x14ac:dyDescent="0.25">
      <c r="A8839" s="841"/>
    </row>
    <row r="8840" spans="1:1" x14ac:dyDescent="0.25">
      <c r="A8840" s="841"/>
    </row>
    <row r="8841" spans="1:1" x14ac:dyDescent="0.25">
      <c r="A8841" s="841"/>
    </row>
    <row r="8842" spans="1:1" x14ac:dyDescent="0.25">
      <c r="A8842" s="841"/>
    </row>
    <row r="8843" spans="1:1" x14ac:dyDescent="0.25">
      <c r="A8843" s="841"/>
    </row>
    <row r="8844" spans="1:1" x14ac:dyDescent="0.25">
      <c r="A8844" s="841"/>
    </row>
    <row r="8845" spans="1:1" x14ac:dyDescent="0.25">
      <c r="A8845" s="841"/>
    </row>
    <row r="8846" spans="1:1" x14ac:dyDescent="0.25">
      <c r="A8846" s="841"/>
    </row>
    <row r="8847" spans="1:1" x14ac:dyDescent="0.25">
      <c r="A8847" s="841"/>
    </row>
    <row r="8848" spans="1:1" x14ac:dyDescent="0.25">
      <c r="A8848" s="841"/>
    </row>
    <row r="8849" spans="1:1" x14ac:dyDescent="0.25">
      <c r="A8849" s="841"/>
    </row>
    <row r="8850" spans="1:1" x14ac:dyDescent="0.25">
      <c r="A8850" s="841"/>
    </row>
    <row r="8851" spans="1:1" x14ac:dyDescent="0.25">
      <c r="A8851" s="841"/>
    </row>
    <row r="8852" spans="1:1" x14ac:dyDescent="0.25">
      <c r="A8852" s="841"/>
    </row>
    <row r="8853" spans="1:1" x14ac:dyDescent="0.25">
      <c r="A8853" s="841"/>
    </row>
    <row r="8854" spans="1:1" x14ac:dyDescent="0.25">
      <c r="A8854" s="841"/>
    </row>
    <row r="8855" spans="1:1" x14ac:dyDescent="0.25">
      <c r="A8855" s="841"/>
    </row>
    <row r="8856" spans="1:1" x14ac:dyDescent="0.25">
      <c r="A8856" s="841"/>
    </row>
    <row r="8857" spans="1:1" x14ac:dyDescent="0.25">
      <c r="A8857" s="841"/>
    </row>
    <row r="8858" spans="1:1" x14ac:dyDescent="0.25">
      <c r="A8858" s="841"/>
    </row>
    <row r="8859" spans="1:1" x14ac:dyDescent="0.25">
      <c r="A8859" s="841"/>
    </row>
    <row r="8860" spans="1:1" x14ac:dyDescent="0.25">
      <c r="A8860" s="841"/>
    </row>
    <row r="8861" spans="1:1" x14ac:dyDescent="0.25">
      <c r="A8861" s="841"/>
    </row>
    <row r="8862" spans="1:1" x14ac:dyDescent="0.25">
      <c r="A8862" s="841"/>
    </row>
    <row r="8863" spans="1:1" x14ac:dyDescent="0.25">
      <c r="A8863" s="841"/>
    </row>
    <row r="8864" spans="1:1" x14ac:dyDescent="0.25">
      <c r="A8864" s="841"/>
    </row>
    <row r="8865" spans="1:1" x14ac:dyDescent="0.25">
      <c r="A8865" s="841"/>
    </row>
    <row r="8866" spans="1:1" x14ac:dyDescent="0.25">
      <c r="A8866" s="841"/>
    </row>
    <row r="8867" spans="1:1" x14ac:dyDescent="0.25">
      <c r="A8867" s="841"/>
    </row>
    <row r="8868" spans="1:1" x14ac:dyDescent="0.25">
      <c r="A8868" s="841"/>
    </row>
    <row r="8869" spans="1:1" x14ac:dyDescent="0.25">
      <c r="A8869" s="841"/>
    </row>
    <row r="8870" spans="1:1" x14ac:dyDescent="0.25">
      <c r="A8870" s="841"/>
    </row>
    <row r="8871" spans="1:1" x14ac:dyDescent="0.25">
      <c r="A8871" s="841"/>
    </row>
    <row r="8872" spans="1:1" x14ac:dyDescent="0.25">
      <c r="A8872" s="841"/>
    </row>
    <row r="8873" spans="1:1" x14ac:dyDescent="0.25">
      <c r="A8873" s="841"/>
    </row>
    <row r="8874" spans="1:1" x14ac:dyDescent="0.25">
      <c r="A8874" s="841"/>
    </row>
    <row r="8875" spans="1:1" x14ac:dyDescent="0.25">
      <c r="A8875" s="841"/>
    </row>
    <row r="8876" spans="1:1" x14ac:dyDescent="0.25">
      <c r="A8876" s="841"/>
    </row>
    <row r="8877" spans="1:1" x14ac:dyDescent="0.25">
      <c r="A8877" s="841"/>
    </row>
    <row r="8878" spans="1:1" x14ac:dyDescent="0.25">
      <c r="A8878" s="841"/>
    </row>
    <row r="8879" spans="1:1" x14ac:dyDescent="0.25">
      <c r="A8879" s="841"/>
    </row>
    <row r="8880" spans="1:1" x14ac:dyDescent="0.25">
      <c r="A8880" s="841"/>
    </row>
    <row r="8881" spans="1:1" x14ac:dyDescent="0.25">
      <c r="A8881" s="841"/>
    </row>
    <row r="8882" spans="1:1" x14ac:dyDescent="0.25">
      <c r="A8882" s="841"/>
    </row>
    <row r="8883" spans="1:1" x14ac:dyDescent="0.25">
      <c r="A8883" s="841"/>
    </row>
    <row r="8884" spans="1:1" x14ac:dyDescent="0.25">
      <c r="A8884" s="841"/>
    </row>
    <row r="8885" spans="1:1" x14ac:dyDescent="0.25">
      <c r="A8885" s="841"/>
    </row>
    <row r="8886" spans="1:1" x14ac:dyDescent="0.25">
      <c r="A8886" s="841"/>
    </row>
    <row r="8887" spans="1:1" x14ac:dyDescent="0.25">
      <c r="A8887" s="841"/>
    </row>
    <row r="8888" spans="1:1" x14ac:dyDescent="0.25">
      <c r="A8888" s="841"/>
    </row>
    <row r="8889" spans="1:1" x14ac:dyDescent="0.25">
      <c r="A8889" s="841"/>
    </row>
    <row r="8890" spans="1:1" x14ac:dyDescent="0.25">
      <c r="A8890" s="841"/>
    </row>
    <row r="8891" spans="1:1" x14ac:dyDescent="0.25">
      <c r="A8891" s="841"/>
    </row>
    <row r="8892" spans="1:1" x14ac:dyDescent="0.25">
      <c r="A8892" s="841"/>
    </row>
    <row r="8893" spans="1:1" x14ac:dyDescent="0.25">
      <c r="A8893" s="841"/>
    </row>
    <row r="8894" spans="1:1" x14ac:dyDescent="0.25">
      <c r="A8894" s="841"/>
    </row>
    <row r="8895" spans="1:1" x14ac:dyDescent="0.25">
      <c r="A8895" s="841"/>
    </row>
    <row r="8896" spans="1:1" x14ac:dyDescent="0.25">
      <c r="A8896" s="841"/>
    </row>
    <row r="8897" spans="1:1" x14ac:dyDescent="0.25">
      <c r="A8897" s="841"/>
    </row>
    <row r="8898" spans="1:1" x14ac:dyDescent="0.25">
      <c r="A8898" s="841"/>
    </row>
    <row r="8899" spans="1:1" x14ac:dyDescent="0.25">
      <c r="A8899" s="841"/>
    </row>
    <row r="8900" spans="1:1" x14ac:dyDescent="0.25">
      <c r="A8900" s="841"/>
    </row>
    <row r="8901" spans="1:1" x14ac:dyDescent="0.25">
      <c r="A8901" s="841"/>
    </row>
    <row r="8902" spans="1:1" x14ac:dyDescent="0.25">
      <c r="A8902" s="841"/>
    </row>
    <row r="8903" spans="1:1" x14ac:dyDescent="0.25">
      <c r="A8903" s="841"/>
    </row>
    <row r="8904" spans="1:1" x14ac:dyDescent="0.25">
      <c r="A8904" s="841"/>
    </row>
    <row r="8905" spans="1:1" x14ac:dyDescent="0.25">
      <c r="A8905" s="841"/>
    </row>
    <row r="8906" spans="1:1" x14ac:dyDescent="0.25">
      <c r="A8906" s="841"/>
    </row>
    <row r="8907" spans="1:1" x14ac:dyDescent="0.25">
      <c r="A8907" s="841"/>
    </row>
    <row r="8908" spans="1:1" x14ac:dyDescent="0.25">
      <c r="A8908" s="841"/>
    </row>
    <row r="8909" spans="1:1" x14ac:dyDescent="0.25">
      <c r="A8909" s="841"/>
    </row>
    <row r="8910" spans="1:1" x14ac:dyDescent="0.25">
      <c r="A8910" s="841"/>
    </row>
    <row r="8911" spans="1:1" x14ac:dyDescent="0.25">
      <c r="A8911" s="841"/>
    </row>
    <row r="8912" spans="1:1" x14ac:dyDescent="0.25">
      <c r="A8912" s="841"/>
    </row>
    <row r="8913" spans="1:1" x14ac:dyDescent="0.25">
      <c r="A8913" s="841"/>
    </row>
    <row r="8914" spans="1:1" x14ac:dyDescent="0.25">
      <c r="A8914" s="841"/>
    </row>
    <row r="8915" spans="1:1" x14ac:dyDescent="0.25">
      <c r="A8915" s="841"/>
    </row>
    <row r="8916" spans="1:1" x14ac:dyDescent="0.25">
      <c r="A8916" s="841"/>
    </row>
    <row r="8917" spans="1:1" x14ac:dyDescent="0.25">
      <c r="A8917" s="841"/>
    </row>
    <row r="8918" spans="1:1" x14ac:dyDescent="0.25">
      <c r="A8918" s="841"/>
    </row>
    <row r="8919" spans="1:1" x14ac:dyDescent="0.25">
      <c r="A8919" s="841"/>
    </row>
    <row r="8920" spans="1:1" x14ac:dyDescent="0.25">
      <c r="A8920" s="841"/>
    </row>
    <row r="8921" spans="1:1" x14ac:dyDescent="0.25">
      <c r="A8921" s="841"/>
    </row>
    <row r="8922" spans="1:1" x14ac:dyDescent="0.25">
      <c r="A8922" s="841"/>
    </row>
    <row r="8923" spans="1:1" x14ac:dyDescent="0.25">
      <c r="A8923" s="841"/>
    </row>
    <row r="8924" spans="1:1" x14ac:dyDescent="0.25">
      <c r="A8924" s="841"/>
    </row>
    <row r="8925" spans="1:1" x14ac:dyDescent="0.25">
      <c r="A8925" s="841"/>
    </row>
    <row r="8926" spans="1:1" x14ac:dyDescent="0.25">
      <c r="A8926" s="841"/>
    </row>
    <row r="8927" spans="1:1" x14ac:dyDescent="0.25">
      <c r="A8927" s="841"/>
    </row>
    <row r="8928" spans="1:1" x14ac:dyDescent="0.25">
      <c r="A8928" s="841"/>
    </row>
    <row r="8929" spans="1:1" x14ac:dyDescent="0.25">
      <c r="A8929" s="841"/>
    </row>
    <row r="8930" spans="1:1" x14ac:dyDescent="0.25">
      <c r="A8930" s="841"/>
    </row>
    <row r="8931" spans="1:1" x14ac:dyDescent="0.25">
      <c r="A8931" s="841"/>
    </row>
    <row r="8932" spans="1:1" x14ac:dyDescent="0.25">
      <c r="A8932" s="841"/>
    </row>
    <row r="8933" spans="1:1" x14ac:dyDescent="0.25">
      <c r="A8933" s="841"/>
    </row>
    <row r="8934" spans="1:1" x14ac:dyDescent="0.25">
      <c r="A8934" s="841"/>
    </row>
    <row r="8935" spans="1:1" x14ac:dyDescent="0.25">
      <c r="A8935" s="841"/>
    </row>
    <row r="8936" spans="1:1" x14ac:dyDescent="0.25">
      <c r="A8936" s="841"/>
    </row>
    <row r="8937" spans="1:1" x14ac:dyDescent="0.25">
      <c r="A8937" s="841"/>
    </row>
    <row r="8938" spans="1:1" x14ac:dyDescent="0.25">
      <c r="A8938" s="841"/>
    </row>
    <row r="8939" spans="1:1" x14ac:dyDescent="0.25">
      <c r="A8939" s="841"/>
    </row>
    <row r="8940" spans="1:1" x14ac:dyDescent="0.25">
      <c r="A8940" s="841"/>
    </row>
    <row r="8941" spans="1:1" x14ac:dyDescent="0.25">
      <c r="A8941" s="841"/>
    </row>
    <row r="8942" spans="1:1" x14ac:dyDescent="0.25">
      <c r="A8942" s="841"/>
    </row>
    <row r="8943" spans="1:1" x14ac:dyDescent="0.25">
      <c r="A8943" s="841"/>
    </row>
    <row r="8944" spans="1:1" x14ac:dyDescent="0.25">
      <c r="A8944" s="841"/>
    </row>
    <row r="8945" spans="1:1" x14ac:dyDescent="0.25">
      <c r="A8945" s="841"/>
    </row>
    <row r="8946" spans="1:1" x14ac:dyDescent="0.25">
      <c r="A8946" s="841"/>
    </row>
    <row r="8947" spans="1:1" x14ac:dyDescent="0.25">
      <c r="A8947" s="841"/>
    </row>
    <row r="8948" spans="1:1" x14ac:dyDescent="0.25">
      <c r="A8948" s="841"/>
    </row>
    <row r="8949" spans="1:1" x14ac:dyDescent="0.25">
      <c r="A8949" s="841"/>
    </row>
    <row r="8950" spans="1:1" x14ac:dyDescent="0.25">
      <c r="A8950" s="841"/>
    </row>
    <row r="8951" spans="1:1" x14ac:dyDescent="0.25">
      <c r="A8951" s="841"/>
    </row>
    <row r="8952" spans="1:1" x14ac:dyDescent="0.25">
      <c r="A8952" s="841"/>
    </row>
    <row r="8953" spans="1:1" x14ac:dyDescent="0.25">
      <c r="A8953" s="841"/>
    </row>
    <row r="8954" spans="1:1" x14ac:dyDescent="0.25">
      <c r="A8954" s="841"/>
    </row>
    <row r="8955" spans="1:1" x14ac:dyDescent="0.25">
      <c r="A8955" s="841"/>
    </row>
    <row r="8956" spans="1:1" x14ac:dyDescent="0.25">
      <c r="A8956" s="841"/>
    </row>
    <row r="8957" spans="1:1" x14ac:dyDescent="0.25">
      <c r="A8957" s="841"/>
    </row>
    <row r="8958" spans="1:1" x14ac:dyDescent="0.25">
      <c r="A8958" s="841"/>
    </row>
    <row r="8959" spans="1:1" x14ac:dyDescent="0.25">
      <c r="A8959" s="841"/>
    </row>
    <row r="8960" spans="1:1" x14ac:dyDescent="0.25">
      <c r="A8960" s="841"/>
    </row>
    <row r="8961" spans="1:1" x14ac:dyDescent="0.25">
      <c r="A8961" s="841"/>
    </row>
    <row r="8962" spans="1:1" x14ac:dyDescent="0.25">
      <c r="A8962" s="841"/>
    </row>
    <row r="8963" spans="1:1" x14ac:dyDescent="0.25">
      <c r="A8963" s="841"/>
    </row>
    <row r="8964" spans="1:1" x14ac:dyDescent="0.25">
      <c r="A8964" s="841"/>
    </row>
    <row r="8965" spans="1:1" x14ac:dyDescent="0.25">
      <c r="A8965" s="841"/>
    </row>
    <row r="8966" spans="1:1" x14ac:dyDescent="0.25">
      <c r="A8966" s="841"/>
    </row>
    <row r="8967" spans="1:1" x14ac:dyDescent="0.25">
      <c r="A8967" s="841"/>
    </row>
    <row r="8968" spans="1:1" x14ac:dyDescent="0.25">
      <c r="A8968" s="841"/>
    </row>
    <row r="8969" spans="1:1" x14ac:dyDescent="0.25">
      <c r="A8969" s="841"/>
    </row>
    <row r="8970" spans="1:1" x14ac:dyDescent="0.25">
      <c r="A8970" s="841"/>
    </row>
    <row r="8971" spans="1:1" x14ac:dyDescent="0.25">
      <c r="A8971" s="841"/>
    </row>
    <row r="8972" spans="1:1" x14ac:dyDescent="0.25">
      <c r="A8972" s="841"/>
    </row>
    <row r="8973" spans="1:1" x14ac:dyDescent="0.25">
      <c r="A8973" s="841"/>
    </row>
    <row r="8974" spans="1:1" x14ac:dyDescent="0.25">
      <c r="A8974" s="841"/>
    </row>
    <row r="8975" spans="1:1" x14ac:dyDescent="0.25">
      <c r="A8975" s="841"/>
    </row>
    <row r="8976" spans="1:1" x14ac:dyDescent="0.25">
      <c r="A8976" s="841"/>
    </row>
    <row r="8977" spans="1:1" x14ac:dyDescent="0.25">
      <c r="A8977" s="841"/>
    </row>
    <row r="8978" spans="1:1" x14ac:dyDescent="0.25">
      <c r="A8978" s="841"/>
    </row>
    <row r="8979" spans="1:1" x14ac:dyDescent="0.25">
      <c r="A8979" s="841"/>
    </row>
    <row r="8980" spans="1:1" x14ac:dyDescent="0.25">
      <c r="A8980" s="841"/>
    </row>
    <row r="8981" spans="1:1" x14ac:dyDescent="0.25">
      <c r="A8981" s="841"/>
    </row>
    <row r="8982" spans="1:1" x14ac:dyDescent="0.25">
      <c r="A8982" s="841"/>
    </row>
    <row r="8983" spans="1:1" x14ac:dyDescent="0.25">
      <c r="A8983" s="841"/>
    </row>
    <row r="8984" spans="1:1" x14ac:dyDescent="0.25">
      <c r="A8984" s="841"/>
    </row>
    <row r="8985" spans="1:1" x14ac:dyDescent="0.25">
      <c r="A8985" s="841"/>
    </row>
    <row r="8986" spans="1:1" x14ac:dyDescent="0.25">
      <c r="A8986" s="841"/>
    </row>
    <row r="8987" spans="1:1" x14ac:dyDescent="0.25">
      <c r="A8987" s="841"/>
    </row>
    <row r="8988" spans="1:1" x14ac:dyDescent="0.25">
      <c r="A8988" s="841"/>
    </row>
    <row r="8989" spans="1:1" x14ac:dyDescent="0.25">
      <c r="A8989" s="841"/>
    </row>
    <row r="8990" spans="1:1" x14ac:dyDescent="0.25">
      <c r="A8990" s="841"/>
    </row>
    <row r="8991" spans="1:1" x14ac:dyDescent="0.25">
      <c r="A8991" s="841"/>
    </row>
    <row r="8992" spans="1:1" x14ac:dyDescent="0.25">
      <c r="A8992" s="841"/>
    </row>
    <row r="8993" spans="1:1" x14ac:dyDescent="0.25">
      <c r="A8993" s="841"/>
    </row>
    <row r="8994" spans="1:1" x14ac:dyDescent="0.25">
      <c r="A8994" s="841"/>
    </row>
    <row r="8995" spans="1:1" x14ac:dyDescent="0.25">
      <c r="A8995" s="841"/>
    </row>
    <row r="8996" spans="1:1" x14ac:dyDescent="0.25">
      <c r="A8996" s="841"/>
    </row>
    <row r="8997" spans="1:1" x14ac:dyDescent="0.25">
      <c r="A8997" s="841"/>
    </row>
    <row r="8998" spans="1:1" x14ac:dyDescent="0.25">
      <c r="A8998" s="841"/>
    </row>
    <row r="8999" spans="1:1" x14ac:dyDescent="0.25">
      <c r="A8999" s="841"/>
    </row>
    <row r="9000" spans="1:1" x14ac:dyDescent="0.25">
      <c r="A9000" s="841"/>
    </row>
    <row r="9001" spans="1:1" x14ac:dyDescent="0.25">
      <c r="A9001" s="841"/>
    </row>
    <row r="9002" spans="1:1" x14ac:dyDescent="0.25">
      <c r="A9002" s="841"/>
    </row>
    <row r="9003" spans="1:1" x14ac:dyDescent="0.25">
      <c r="A9003" s="841"/>
    </row>
    <row r="9004" spans="1:1" x14ac:dyDescent="0.25">
      <c r="A9004" s="841"/>
    </row>
    <row r="9005" spans="1:1" x14ac:dyDescent="0.25">
      <c r="A9005" s="841"/>
    </row>
    <row r="9006" spans="1:1" x14ac:dyDescent="0.25">
      <c r="A9006" s="841"/>
    </row>
    <row r="9007" spans="1:1" x14ac:dyDescent="0.25">
      <c r="A9007" s="841"/>
    </row>
    <row r="9008" spans="1:1" x14ac:dyDescent="0.25">
      <c r="A9008" s="841"/>
    </row>
    <row r="9009" spans="1:1" x14ac:dyDescent="0.25">
      <c r="A9009" s="841"/>
    </row>
    <row r="9010" spans="1:1" x14ac:dyDescent="0.25">
      <c r="A9010" s="841"/>
    </row>
    <row r="9011" spans="1:1" x14ac:dyDescent="0.25">
      <c r="A9011" s="841"/>
    </row>
    <row r="9012" spans="1:1" x14ac:dyDescent="0.25">
      <c r="A9012" s="841"/>
    </row>
    <row r="9013" spans="1:1" x14ac:dyDescent="0.25">
      <c r="A9013" s="841"/>
    </row>
    <row r="9014" spans="1:1" x14ac:dyDescent="0.25">
      <c r="A9014" s="841"/>
    </row>
    <row r="9015" spans="1:1" x14ac:dyDescent="0.25">
      <c r="A9015" s="841"/>
    </row>
    <row r="9016" spans="1:1" x14ac:dyDescent="0.25">
      <c r="A9016" s="841"/>
    </row>
    <row r="9017" spans="1:1" x14ac:dyDescent="0.25">
      <c r="A9017" s="841"/>
    </row>
    <row r="9018" spans="1:1" x14ac:dyDescent="0.25">
      <c r="A9018" s="841"/>
    </row>
    <row r="9019" spans="1:1" x14ac:dyDescent="0.25">
      <c r="A9019" s="841"/>
    </row>
    <row r="9020" spans="1:1" x14ac:dyDescent="0.25">
      <c r="A9020" s="841"/>
    </row>
    <row r="9021" spans="1:1" x14ac:dyDescent="0.25">
      <c r="A9021" s="841"/>
    </row>
    <row r="9022" spans="1:1" x14ac:dyDescent="0.25">
      <c r="A9022" s="841"/>
    </row>
    <row r="9023" spans="1:1" x14ac:dyDescent="0.25">
      <c r="A9023" s="841"/>
    </row>
    <row r="9024" spans="1:1" x14ac:dyDescent="0.25">
      <c r="A9024" s="841"/>
    </row>
    <row r="9025" spans="1:1" x14ac:dyDescent="0.25">
      <c r="A9025" s="841"/>
    </row>
    <row r="9026" spans="1:1" x14ac:dyDescent="0.25">
      <c r="A9026" s="841"/>
    </row>
    <row r="9027" spans="1:1" x14ac:dyDescent="0.25">
      <c r="A9027" s="841"/>
    </row>
    <row r="9028" spans="1:1" x14ac:dyDescent="0.25">
      <c r="A9028" s="841"/>
    </row>
    <row r="9029" spans="1:1" x14ac:dyDescent="0.25">
      <c r="A9029" s="841"/>
    </row>
    <row r="9030" spans="1:1" x14ac:dyDescent="0.25">
      <c r="A9030" s="841"/>
    </row>
    <row r="9031" spans="1:1" x14ac:dyDescent="0.25">
      <c r="A9031" s="841"/>
    </row>
    <row r="9032" spans="1:1" x14ac:dyDescent="0.25">
      <c r="A9032" s="841"/>
    </row>
    <row r="9033" spans="1:1" x14ac:dyDescent="0.25">
      <c r="A9033" s="841"/>
    </row>
    <row r="9034" spans="1:1" x14ac:dyDescent="0.25">
      <c r="A9034" s="841"/>
    </row>
    <row r="9035" spans="1:1" x14ac:dyDescent="0.25">
      <c r="A9035" s="841"/>
    </row>
    <row r="9036" spans="1:1" x14ac:dyDescent="0.25">
      <c r="A9036" s="841"/>
    </row>
    <row r="9037" spans="1:1" x14ac:dyDescent="0.25">
      <c r="A9037" s="841"/>
    </row>
    <row r="9038" spans="1:1" x14ac:dyDescent="0.25">
      <c r="A9038" s="841"/>
    </row>
    <row r="9039" spans="1:1" x14ac:dyDescent="0.25">
      <c r="A9039" s="841"/>
    </row>
    <row r="9040" spans="1:1" x14ac:dyDescent="0.25">
      <c r="A9040" s="841"/>
    </row>
    <row r="9041" spans="1:1" x14ac:dyDescent="0.25">
      <c r="A9041" s="841"/>
    </row>
    <row r="9042" spans="1:1" x14ac:dyDescent="0.25">
      <c r="A9042" s="841"/>
    </row>
    <row r="9043" spans="1:1" x14ac:dyDescent="0.25">
      <c r="A9043" s="841"/>
    </row>
    <row r="9044" spans="1:1" x14ac:dyDescent="0.25">
      <c r="A9044" s="841"/>
    </row>
    <row r="9045" spans="1:1" x14ac:dyDescent="0.25">
      <c r="A9045" s="841"/>
    </row>
    <row r="9046" spans="1:1" x14ac:dyDescent="0.25">
      <c r="A9046" s="841"/>
    </row>
    <row r="9047" spans="1:1" x14ac:dyDescent="0.25">
      <c r="A9047" s="841"/>
    </row>
    <row r="9048" spans="1:1" x14ac:dyDescent="0.25">
      <c r="A9048" s="841"/>
    </row>
    <row r="9049" spans="1:1" x14ac:dyDescent="0.25">
      <c r="A9049" s="841"/>
    </row>
    <row r="9050" spans="1:1" x14ac:dyDescent="0.25">
      <c r="A9050" s="841"/>
    </row>
    <row r="9051" spans="1:1" x14ac:dyDescent="0.25">
      <c r="A9051" s="841"/>
    </row>
    <row r="9052" spans="1:1" x14ac:dyDescent="0.25">
      <c r="A9052" s="841"/>
    </row>
    <row r="9053" spans="1:1" x14ac:dyDescent="0.25">
      <c r="A9053" s="841"/>
    </row>
    <row r="9054" spans="1:1" x14ac:dyDescent="0.25">
      <c r="A9054" s="841"/>
    </row>
    <row r="9055" spans="1:1" x14ac:dyDescent="0.25">
      <c r="A9055" s="841"/>
    </row>
    <row r="9056" spans="1:1" x14ac:dyDescent="0.25">
      <c r="A9056" s="841"/>
    </row>
    <row r="9057" spans="1:1" x14ac:dyDescent="0.25">
      <c r="A9057" s="841"/>
    </row>
    <row r="9058" spans="1:1" x14ac:dyDescent="0.25">
      <c r="A9058" s="841"/>
    </row>
    <row r="9059" spans="1:1" x14ac:dyDescent="0.25">
      <c r="A9059" s="841"/>
    </row>
    <row r="9060" spans="1:1" x14ac:dyDescent="0.25">
      <c r="A9060" s="841"/>
    </row>
    <row r="9061" spans="1:1" x14ac:dyDescent="0.25">
      <c r="A9061" s="841"/>
    </row>
    <row r="9062" spans="1:1" x14ac:dyDescent="0.25">
      <c r="A9062" s="841"/>
    </row>
    <row r="9063" spans="1:1" x14ac:dyDescent="0.25">
      <c r="A9063" s="841"/>
    </row>
    <row r="9064" spans="1:1" x14ac:dyDescent="0.25">
      <c r="A9064" s="841"/>
    </row>
    <row r="9065" spans="1:1" x14ac:dyDescent="0.25">
      <c r="A9065" s="841"/>
    </row>
    <row r="9066" spans="1:1" x14ac:dyDescent="0.25">
      <c r="A9066" s="841"/>
    </row>
    <row r="9067" spans="1:1" x14ac:dyDescent="0.25">
      <c r="A9067" s="841"/>
    </row>
    <row r="9068" spans="1:1" x14ac:dyDescent="0.25">
      <c r="A9068" s="841"/>
    </row>
    <row r="9069" spans="1:1" x14ac:dyDescent="0.25">
      <c r="A9069" s="841"/>
    </row>
    <row r="9070" spans="1:1" x14ac:dyDescent="0.25">
      <c r="A9070" s="841"/>
    </row>
    <row r="9071" spans="1:1" x14ac:dyDescent="0.25">
      <c r="A9071" s="841"/>
    </row>
    <row r="9072" spans="1:1" x14ac:dyDescent="0.25">
      <c r="A9072" s="841"/>
    </row>
    <row r="9073" spans="1:1" x14ac:dyDescent="0.25">
      <c r="A9073" s="841"/>
    </row>
    <row r="9074" spans="1:1" x14ac:dyDescent="0.25">
      <c r="A9074" s="841"/>
    </row>
    <row r="9075" spans="1:1" x14ac:dyDescent="0.25">
      <c r="A9075" s="841"/>
    </row>
    <row r="9076" spans="1:1" x14ac:dyDescent="0.25">
      <c r="A9076" s="841"/>
    </row>
    <row r="9077" spans="1:1" x14ac:dyDescent="0.25">
      <c r="A9077" s="841"/>
    </row>
    <row r="9078" spans="1:1" x14ac:dyDescent="0.25">
      <c r="A9078" s="841"/>
    </row>
    <row r="9079" spans="1:1" x14ac:dyDescent="0.25">
      <c r="A9079" s="841"/>
    </row>
    <row r="9080" spans="1:1" x14ac:dyDescent="0.25">
      <c r="A9080" s="841"/>
    </row>
    <row r="9081" spans="1:1" x14ac:dyDescent="0.25">
      <c r="A9081" s="841"/>
    </row>
    <row r="9082" spans="1:1" x14ac:dyDescent="0.25">
      <c r="A9082" s="841"/>
    </row>
    <row r="9083" spans="1:1" x14ac:dyDescent="0.25">
      <c r="A9083" s="841"/>
    </row>
    <row r="9084" spans="1:1" x14ac:dyDescent="0.25">
      <c r="A9084" s="841"/>
    </row>
    <row r="9085" spans="1:1" x14ac:dyDescent="0.25">
      <c r="A9085" s="841"/>
    </row>
    <row r="9086" spans="1:1" x14ac:dyDescent="0.25">
      <c r="A9086" s="841"/>
    </row>
    <row r="9087" spans="1:1" x14ac:dyDescent="0.25">
      <c r="A9087" s="841"/>
    </row>
    <row r="9088" spans="1:1" x14ac:dyDescent="0.25">
      <c r="A9088" s="841"/>
    </row>
    <row r="9089" spans="1:1" x14ac:dyDescent="0.25">
      <c r="A9089" s="841"/>
    </row>
    <row r="9090" spans="1:1" x14ac:dyDescent="0.25">
      <c r="A9090" s="841"/>
    </row>
    <row r="9091" spans="1:1" x14ac:dyDescent="0.25">
      <c r="A9091" s="841"/>
    </row>
    <row r="9092" spans="1:1" x14ac:dyDescent="0.25">
      <c r="A9092" s="841"/>
    </row>
    <row r="9093" spans="1:1" x14ac:dyDescent="0.25">
      <c r="A9093" s="841"/>
    </row>
    <row r="9094" spans="1:1" x14ac:dyDescent="0.25">
      <c r="A9094" s="841"/>
    </row>
    <row r="9095" spans="1:1" x14ac:dyDescent="0.25">
      <c r="A9095" s="841"/>
    </row>
    <row r="9096" spans="1:1" x14ac:dyDescent="0.25">
      <c r="A9096" s="841"/>
    </row>
    <row r="9097" spans="1:1" x14ac:dyDescent="0.25">
      <c r="A9097" s="841"/>
    </row>
    <row r="9098" spans="1:1" x14ac:dyDescent="0.25">
      <c r="A9098" s="841"/>
    </row>
    <row r="9099" spans="1:1" x14ac:dyDescent="0.25">
      <c r="A9099" s="841"/>
    </row>
    <row r="9100" spans="1:1" x14ac:dyDescent="0.25">
      <c r="A9100" s="841"/>
    </row>
    <row r="9101" spans="1:1" x14ac:dyDescent="0.25">
      <c r="A9101" s="841"/>
    </row>
    <row r="9102" spans="1:1" x14ac:dyDescent="0.25">
      <c r="A9102" s="841"/>
    </row>
    <row r="9103" spans="1:1" x14ac:dyDescent="0.25">
      <c r="A9103" s="841"/>
    </row>
    <row r="9104" spans="1:1" x14ac:dyDescent="0.25">
      <c r="A9104" s="841"/>
    </row>
    <row r="9105" spans="1:1" x14ac:dyDescent="0.25">
      <c r="A9105" s="841"/>
    </row>
    <row r="9106" spans="1:1" x14ac:dyDescent="0.25">
      <c r="A9106" s="841"/>
    </row>
    <row r="9107" spans="1:1" x14ac:dyDescent="0.25">
      <c r="A9107" s="841"/>
    </row>
    <row r="9108" spans="1:1" x14ac:dyDescent="0.25">
      <c r="A9108" s="841"/>
    </row>
    <row r="9109" spans="1:1" x14ac:dyDescent="0.25">
      <c r="A9109" s="841"/>
    </row>
    <row r="9110" spans="1:1" x14ac:dyDescent="0.25">
      <c r="A9110" s="841"/>
    </row>
    <row r="9111" spans="1:1" x14ac:dyDescent="0.25">
      <c r="A9111" s="841"/>
    </row>
    <row r="9112" spans="1:1" x14ac:dyDescent="0.25">
      <c r="A9112" s="841"/>
    </row>
    <row r="9113" spans="1:1" x14ac:dyDescent="0.25">
      <c r="A9113" s="841"/>
    </row>
    <row r="9114" spans="1:1" x14ac:dyDescent="0.25">
      <c r="A9114" s="841"/>
    </row>
    <row r="9115" spans="1:1" x14ac:dyDescent="0.25">
      <c r="A9115" s="841"/>
    </row>
    <row r="9116" spans="1:1" x14ac:dyDescent="0.25">
      <c r="A9116" s="841"/>
    </row>
    <row r="9117" spans="1:1" x14ac:dyDescent="0.25">
      <c r="A9117" s="841"/>
    </row>
    <row r="9118" spans="1:1" x14ac:dyDescent="0.25">
      <c r="A9118" s="841"/>
    </row>
    <row r="9119" spans="1:1" x14ac:dyDescent="0.25">
      <c r="A9119" s="841"/>
    </row>
    <row r="9120" spans="1:1" x14ac:dyDescent="0.25">
      <c r="A9120" s="841"/>
    </row>
    <row r="9121" spans="1:1" x14ac:dyDescent="0.25">
      <c r="A9121" s="841"/>
    </row>
    <row r="9122" spans="1:1" x14ac:dyDescent="0.25">
      <c r="A9122" s="841"/>
    </row>
    <row r="9123" spans="1:1" x14ac:dyDescent="0.25">
      <c r="A9123" s="841"/>
    </row>
    <row r="9124" spans="1:1" x14ac:dyDescent="0.25">
      <c r="A9124" s="841"/>
    </row>
    <row r="9125" spans="1:1" x14ac:dyDescent="0.25">
      <c r="A9125" s="841"/>
    </row>
    <row r="9126" spans="1:1" x14ac:dyDescent="0.25">
      <c r="A9126" s="841"/>
    </row>
    <row r="9127" spans="1:1" x14ac:dyDescent="0.25">
      <c r="A9127" s="841"/>
    </row>
    <row r="9128" spans="1:1" x14ac:dyDescent="0.25">
      <c r="A9128" s="841"/>
    </row>
    <row r="9129" spans="1:1" x14ac:dyDescent="0.25">
      <c r="A9129" s="841"/>
    </row>
    <row r="9130" spans="1:1" x14ac:dyDescent="0.25">
      <c r="A9130" s="841"/>
    </row>
    <row r="9131" spans="1:1" x14ac:dyDescent="0.25">
      <c r="A9131" s="841"/>
    </row>
    <row r="9132" spans="1:1" x14ac:dyDescent="0.25">
      <c r="A9132" s="841"/>
    </row>
    <row r="9133" spans="1:1" x14ac:dyDescent="0.25">
      <c r="A9133" s="841"/>
    </row>
    <row r="9134" spans="1:1" x14ac:dyDescent="0.25">
      <c r="A9134" s="841"/>
    </row>
    <row r="9135" spans="1:1" x14ac:dyDescent="0.25">
      <c r="A9135" s="841"/>
    </row>
    <row r="9136" spans="1:1" x14ac:dyDescent="0.25">
      <c r="A9136" s="841"/>
    </row>
    <row r="9137" spans="1:1" x14ac:dyDescent="0.25">
      <c r="A9137" s="841"/>
    </row>
    <row r="9138" spans="1:1" x14ac:dyDescent="0.25">
      <c r="A9138" s="841"/>
    </row>
    <row r="9139" spans="1:1" x14ac:dyDescent="0.25">
      <c r="A9139" s="841"/>
    </row>
    <row r="9140" spans="1:1" x14ac:dyDescent="0.25">
      <c r="A9140" s="841"/>
    </row>
    <row r="9141" spans="1:1" x14ac:dyDescent="0.25">
      <c r="A9141" s="841"/>
    </row>
    <row r="9142" spans="1:1" x14ac:dyDescent="0.25">
      <c r="A9142" s="841"/>
    </row>
    <row r="9143" spans="1:1" x14ac:dyDescent="0.25">
      <c r="A9143" s="841"/>
    </row>
    <row r="9144" spans="1:1" x14ac:dyDescent="0.25">
      <c r="A9144" s="841"/>
    </row>
    <row r="9145" spans="1:1" x14ac:dyDescent="0.25">
      <c r="A9145" s="841"/>
    </row>
    <row r="9146" spans="1:1" x14ac:dyDescent="0.25">
      <c r="A9146" s="841"/>
    </row>
    <row r="9147" spans="1:1" x14ac:dyDescent="0.25">
      <c r="A9147" s="841"/>
    </row>
    <row r="9148" spans="1:1" x14ac:dyDescent="0.25">
      <c r="A9148" s="841"/>
    </row>
    <row r="9149" spans="1:1" x14ac:dyDescent="0.25">
      <c r="A9149" s="841"/>
    </row>
    <row r="9150" spans="1:1" x14ac:dyDescent="0.25">
      <c r="A9150" s="841"/>
    </row>
    <row r="9151" spans="1:1" x14ac:dyDescent="0.25">
      <c r="A9151" s="841"/>
    </row>
    <row r="9152" spans="1:1" x14ac:dyDescent="0.25">
      <c r="A9152" s="841"/>
    </row>
    <row r="9153" spans="1:1" x14ac:dyDescent="0.25">
      <c r="A9153" s="841"/>
    </row>
    <row r="9154" spans="1:1" x14ac:dyDescent="0.25">
      <c r="A9154" s="841"/>
    </row>
    <row r="9155" spans="1:1" x14ac:dyDescent="0.25">
      <c r="A9155" s="841"/>
    </row>
    <row r="9156" spans="1:1" x14ac:dyDescent="0.25">
      <c r="A9156" s="841"/>
    </row>
    <row r="9157" spans="1:1" x14ac:dyDescent="0.25">
      <c r="A9157" s="841"/>
    </row>
    <row r="9158" spans="1:1" x14ac:dyDescent="0.25">
      <c r="A9158" s="841"/>
    </row>
    <row r="9159" spans="1:1" x14ac:dyDescent="0.25">
      <c r="A9159" s="841"/>
    </row>
    <row r="9160" spans="1:1" x14ac:dyDescent="0.25">
      <c r="A9160" s="841"/>
    </row>
    <row r="9161" spans="1:1" x14ac:dyDescent="0.25">
      <c r="A9161" s="841"/>
    </row>
    <row r="9162" spans="1:1" x14ac:dyDescent="0.25">
      <c r="A9162" s="841"/>
    </row>
    <row r="9163" spans="1:1" x14ac:dyDescent="0.25">
      <c r="A9163" s="841"/>
    </row>
    <row r="9164" spans="1:1" x14ac:dyDescent="0.25">
      <c r="A9164" s="841"/>
    </row>
    <row r="9165" spans="1:1" x14ac:dyDescent="0.25">
      <c r="A9165" s="841"/>
    </row>
    <row r="9166" spans="1:1" x14ac:dyDescent="0.25">
      <c r="A9166" s="841"/>
    </row>
    <row r="9167" spans="1:1" x14ac:dyDescent="0.25">
      <c r="A9167" s="841"/>
    </row>
    <row r="9168" spans="1:1" x14ac:dyDescent="0.25">
      <c r="A9168" s="841"/>
    </row>
    <row r="9169" spans="1:1" x14ac:dyDescent="0.25">
      <c r="A9169" s="841"/>
    </row>
    <row r="9170" spans="1:1" x14ac:dyDescent="0.25">
      <c r="A9170" s="841"/>
    </row>
    <row r="9171" spans="1:1" x14ac:dyDescent="0.25">
      <c r="A9171" s="841"/>
    </row>
    <row r="9172" spans="1:1" x14ac:dyDescent="0.25">
      <c r="A9172" s="841"/>
    </row>
    <row r="9173" spans="1:1" x14ac:dyDescent="0.25">
      <c r="A9173" s="841"/>
    </row>
    <row r="9174" spans="1:1" x14ac:dyDescent="0.25">
      <c r="A9174" s="841"/>
    </row>
    <row r="9175" spans="1:1" x14ac:dyDescent="0.25">
      <c r="A9175" s="841"/>
    </row>
    <row r="9176" spans="1:1" x14ac:dyDescent="0.25">
      <c r="A9176" s="841"/>
    </row>
    <row r="9177" spans="1:1" x14ac:dyDescent="0.25">
      <c r="A9177" s="841"/>
    </row>
    <row r="9178" spans="1:1" x14ac:dyDescent="0.25">
      <c r="A9178" s="841"/>
    </row>
    <row r="9179" spans="1:1" x14ac:dyDescent="0.25">
      <c r="A9179" s="841"/>
    </row>
    <row r="9180" spans="1:1" x14ac:dyDescent="0.25">
      <c r="A9180" s="841"/>
    </row>
    <row r="9181" spans="1:1" x14ac:dyDescent="0.25">
      <c r="A9181" s="841"/>
    </row>
    <row r="9182" spans="1:1" x14ac:dyDescent="0.25">
      <c r="A9182" s="841"/>
    </row>
    <row r="9183" spans="1:1" x14ac:dyDescent="0.25">
      <c r="A9183" s="841"/>
    </row>
    <row r="9184" spans="1:1" x14ac:dyDescent="0.25">
      <c r="A9184" s="841"/>
    </row>
    <row r="9185" spans="1:1" x14ac:dyDescent="0.25">
      <c r="A9185" s="841"/>
    </row>
    <row r="9186" spans="1:1" x14ac:dyDescent="0.25">
      <c r="A9186" s="841"/>
    </row>
    <row r="9187" spans="1:1" x14ac:dyDescent="0.25">
      <c r="A9187" s="841"/>
    </row>
    <row r="9188" spans="1:1" x14ac:dyDescent="0.25">
      <c r="A9188" s="841"/>
    </row>
    <row r="9189" spans="1:1" x14ac:dyDescent="0.25">
      <c r="A9189" s="841"/>
    </row>
    <row r="9190" spans="1:1" x14ac:dyDescent="0.25">
      <c r="A9190" s="841"/>
    </row>
    <row r="9191" spans="1:1" x14ac:dyDescent="0.25">
      <c r="A9191" s="841"/>
    </row>
    <row r="9192" spans="1:1" x14ac:dyDescent="0.25">
      <c r="A9192" s="841"/>
    </row>
    <row r="9193" spans="1:1" x14ac:dyDescent="0.25">
      <c r="A9193" s="841"/>
    </row>
    <row r="9194" spans="1:1" x14ac:dyDescent="0.25">
      <c r="A9194" s="841"/>
    </row>
    <row r="9195" spans="1:1" x14ac:dyDescent="0.25">
      <c r="A9195" s="841"/>
    </row>
    <row r="9196" spans="1:1" x14ac:dyDescent="0.25">
      <c r="A9196" s="841"/>
    </row>
    <row r="9197" spans="1:1" x14ac:dyDescent="0.25">
      <c r="A9197" s="841"/>
    </row>
    <row r="9198" spans="1:1" x14ac:dyDescent="0.25">
      <c r="A9198" s="841"/>
    </row>
    <row r="9199" spans="1:1" x14ac:dyDescent="0.25">
      <c r="A9199" s="841"/>
    </row>
    <row r="9200" spans="1:1" x14ac:dyDescent="0.25">
      <c r="A9200" s="841"/>
    </row>
    <row r="9201" spans="1:1" x14ac:dyDescent="0.25">
      <c r="A9201" s="841"/>
    </row>
    <row r="9202" spans="1:1" x14ac:dyDescent="0.25">
      <c r="A9202" s="841"/>
    </row>
    <row r="9203" spans="1:1" x14ac:dyDescent="0.25">
      <c r="A9203" s="841"/>
    </row>
    <row r="9204" spans="1:1" x14ac:dyDescent="0.25">
      <c r="A9204" s="841"/>
    </row>
    <row r="9205" spans="1:1" x14ac:dyDescent="0.25">
      <c r="A9205" s="841"/>
    </row>
    <row r="9206" spans="1:1" x14ac:dyDescent="0.25">
      <c r="A9206" s="841"/>
    </row>
    <row r="9207" spans="1:1" x14ac:dyDescent="0.25">
      <c r="A9207" s="841"/>
    </row>
    <row r="9208" spans="1:1" x14ac:dyDescent="0.25">
      <c r="A9208" s="841"/>
    </row>
    <row r="9209" spans="1:1" x14ac:dyDescent="0.25">
      <c r="A9209" s="841"/>
    </row>
    <row r="9210" spans="1:1" x14ac:dyDescent="0.25">
      <c r="A9210" s="841"/>
    </row>
    <row r="9211" spans="1:1" x14ac:dyDescent="0.25">
      <c r="A9211" s="841"/>
    </row>
    <row r="9212" spans="1:1" x14ac:dyDescent="0.25">
      <c r="A9212" s="841"/>
    </row>
    <row r="9213" spans="1:1" x14ac:dyDescent="0.25">
      <c r="A9213" s="841"/>
    </row>
    <row r="9214" spans="1:1" x14ac:dyDescent="0.25">
      <c r="A9214" s="841"/>
    </row>
    <row r="9215" spans="1:1" x14ac:dyDescent="0.25">
      <c r="A9215" s="841"/>
    </row>
    <row r="9216" spans="1:1" x14ac:dyDescent="0.25">
      <c r="A9216" s="841"/>
    </row>
    <row r="9217" spans="1:1" x14ac:dyDescent="0.25">
      <c r="A9217" s="841"/>
    </row>
    <row r="9218" spans="1:1" x14ac:dyDescent="0.25">
      <c r="A9218" s="841"/>
    </row>
    <row r="9219" spans="1:1" x14ac:dyDescent="0.25">
      <c r="A9219" s="841"/>
    </row>
    <row r="9220" spans="1:1" x14ac:dyDescent="0.25">
      <c r="A9220" s="841"/>
    </row>
    <row r="9221" spans="1:1" x14ac:dyDescent="0.25">
      <c r="A9221" s="841"/>
    </row>
    <row r="9222" spans="1:1" x14ac:dyDescent="0.25">
      <c r="A9222" s="841"/>
    </row>
    <row r="9223" spans="1:1" x14ac:dyDescent="0.25">
      <c r="A9223" s="841"/>
    </row>
    <row r="9224" spans="1:1" x14ac:dyDescent="0.25">
      <c r="A9224" s="841"/>
    </row>
    <row r="9225" spans="1:1" x14ac:dyDescent="0.25">
      <c r="A9225" s="841"/>
    </row>
    <row r="9226" spans="1:1" x14ac:dyDescent="0.25">
      <c r="A9226" s="841"/>
    </row>
    <row r="9227" spans="1:1" x14ac:dyDescent="0.25">
      <c r="A9227" s="841"/>
    </row>
    <row r="9228" spans="1:1" x14ac:dyDescent="0.25">
      <c r="A9228" s="841"/>
    </row>
    <row r="9229" spans="1:1" x14ac:dyDescent="0.25">
      <c r="A9229" s="841"/>
    </row>
    <row r="9230" spans="1:1" x14ac:dyDescent="0.25">
      <c r="A9230" s="841"/>
    </row>
    <row r="9231" spans="1:1" x14ac:dyDescent="0.25">
      <c r="A9231" s="841"/>
    </row>
    <row r="9232" spans="1:1" x14ac:dyDescent="0.25">
      <c r="A9232" s="841"/>
    </row>
    <row r="9233" spans="1:1" x14ac:dyDescent="0.25">
      <c r="A9233" s="841"/>
    </row>
    <row r="9234" spans="1:1" x14ac:dyDescent="0.25">
      <c r="A9234" s="841"/>
    </row>
    <row r="9235" spans="1:1" x14ac:dyDescent="0.25">
      <c r="A9235" s="841"/>
    </row>
    <row r="9236" spans="1:1" x14ac:dyDescent="0.25">
      <c r="A9236" s="841"/>
    </row>
    <row r="9237" spans="1:1" x14ac:dyDescent="0.25">
      <c r="A9237" s="841"/>
    </row>
    <row r="9238" spans="1:1" x14ac:dyDescent="0.25">
      <c r="A9238" s="841"/>
    </row>
    <row r="9239" spans="1:1" x14ac:dyDescent="0.25">
      <c r="A9239" s="841"/>
    </row>
    <row r="9240" spans="1:1" x14ac:dyDescent="0.25">
      <c r="A9240" s="841"/>
    </row>
    <row r="9241" spans="1:1" x14ac:dyDescent="0.25">
      <c r="A9241" s="841"/>
    </row>
    <row r="9242" spans="1:1" x14ac:dyDescent="0.25">
      <c r="A9242" s="841"/>
    </row>
    <row r="9243" spans="1:1" x14ac:dyDescent="0.25">
      <c r="A9243" s="841"/>
    </row>
    <row r="9244" spans="1:1" x14ac:dyDescent="0.25">
      <c r="A9244" s="841"/>
    </row>
    <row r="9245" spans="1:1" x14ac:dyDescent="0.25">
      <c r="A9245" s="841"/>
    </row>
    <row r="9246" spans="1:1" x14ac:dyDescent="0.25">
      <c r="A9246" s="841"/>
    </row>
    <row r="9247" spans="1:1" x14ac:dyDescent="0.25">
      <c r="A9247" s="841"/>
    </row>
    <row r="9248" spans="1:1" x14ac:dyDescent="0.25">
      <c r="A9248" s="841"/>
    </row>
    <row r="9249" spans="1:1" x14ac:dyDescent="0.25">
      <c r="A9249" s="841"/>
    </row>
    <row r="9250" spans="1:1" x14ac:dyDescent="0.25">
      <c r="A9250" s="841"/>
    </row>
    <row r="9251" spans="1:1" x14ac:dyDescent="0.25">
      <c r="A9251" s="841"/>
    </row>
    <row r="9252" spans="1:1" x14ac:dyDescent="0.25">
      <c r="A9252" s="841"/>
    </row>
    <row r="9253" spans="1:1" x14ac:dyDescent="0.25">
      <c r="A9253" s="841"/>
    </row>
    <row r="9254" spans="1:1" x14ac:dyDescent="0.25">
      <c r="A9254" s="841"/>
    </row>
    <row r="9255" spans="1:1" x14ac:dyDescent="0.25">
      <c r="A9255" s="841"/>
    </row>
    <row r="9256" spans="1:1" x14ac:dyDescent="0.25">
      <c r="A9256" s="841"/>
    </row>
    <row r="9257" spans="1:1" x14ac:dyDescent="0.25">
      <c r="A9257" s="841"/>
    </row>
    <row r="9258" spans="1:1" x14ac:dyDescent="0.25">
      <c r="A9258" s="841"/>
    </row>
    <row r="9259" spans="1:1" x14ac:dyDescent="0.25">
      <c r="A9259" s="841"/>
    </row>
    <row r="9260" spans="1:1" x14ac:dyDescent="0.25">
      <c r="A9260" s="841"/>
    </row>
    <row r="9261" spans="1:1" x14ac:dyDescent="0.25">
      <c r="A9261" s="841"/>
    </row>
    <row r="9262" spans="1:1" x14ac:dyDescent="0.25">
      <c r="A9262" s="841"/>
    </row>
    <row r="9263" spans="1:1" x14ac:dyDescent="0.25">
      <c r="A9263" s="841"/>
    </row>
    <row r="9264" spans="1:1" x14ac:dyDescent="0.25">
      <c r="A9264" s="841"/>
    </row>
    <row r="9265" spans="1:1" x14ac:dyDescent="0.25">
      <c r="A9265" s="841"/>
    </row>
    <row r="9266" spans="1:1" x14ac:dyDescent="0.25">
      <c r="A9266" s="841"/>
    </row>
    <row r="9267" spans="1:1" x14ac:dyDescent="0.25">
      <c r="A9267" s="841"/>
    </row>
    <row r="9268" spans="1:1" x14ac:dyDescent="0.25">
      <c r="A9268" s="841"/>
    </row>
    <row r="9269" spans="1:1" x14ac:dyDescent="0.25">
      <c r="A9269" s="841"/>
    </row>
    <row r="9270" spans="1:1" x14ac:dyDescent="0.25">
      <c r="A9270" s="841"/>
    </row>
    <row r="9271" spans="1:1" x14ac:dyDescent="0.25">
      <c r="A9271" s="841"/>
    </row>
    <row r="9272" spans="1:1" x14ac:dyDescent="0.25">
      <c r="A9272" s="841"/>
    </row>
    <row r="9273" spans="1:1" x14ac:dyDescent="0.25">
      <c r="A9273" s="841"/>
    </row>
    <row r="9274" spans="1:1" x14ac:dyDescent="0.25">
      <c r="A9274" s="841"/>
    </row>
    <row r="9275" spans="1:1" x14ac:dyDescent="0.25">
      <c r="A9275" s="841"/>
    </row>
    <row r="9276" spans="1:1" x14ac:dyDescent="0.25">
      <c r="A9276" s="841"/>
    </row>
    <row r="9277" spans="1:1" x14ac:dyDescent="0.25">
      <c r="A9277" s="841"/>
    </row>
    <row r="9278" spans="1:1" x14ac:dyDescent="0.25">
      <c r="A9278" s="841"/>
    </row>
    <row r="9279" spans="1:1" x14ac:dyDescent="0.25">
      <c r="A9279" s="841"/>
    </row>
    <row r="9280" spans="1:1" x14ac:dyDescent="0.25">
      <c r="A9280" s="841"/>
    </row>
    <row r="9281" spans="1:1" x14ac:dyDescent="0.25">
      <c r="A9281" s="841"/>
    </row>
    <row r="9282" spans="1:1" x14ac:dyDescent="0.25">
      <c r="A9282" s="841"/>
    </row>
    <row r="9283" spans="1:1" x14ac:dyDescent="0.25">
      <c r="A9283" s="841"/>
    </row>
    <row r="9284" spans="1:1" x14ac:dyDescent="0.25">
      <c r="A9284" s="841"/>
    </row>
    <row r="9285" spans="1:1" x14ac:dyDescent="0.25">
      <c r="A9285" s="841"/>
    </row>
    <row r="9286" spans="1:1" x14ac:dyDescent="0.25">
      <c r="A9286" s="841"/>
    </row>
    <row r="9287" spans="1:1" x14ac:dyDescent="0.25">
      <c r="A9287" s="841"/>
    </row>
    <row r="9288" spans="1:1" x14ac:dyDescent="0.25">
      <c r="A9288" s="841"/>
    </row>
    <row r="9289" spans="1:1" x14ac:dyDescent="0.25">
      <c r="A9289" s="841"/>
    </row>
    <row r="9290" spans="1:1" x14ac:dyDescent="0.25">
      <c r="A9290" s="841"/>
    </row>
    <row r="9291" spans="1:1" x14ac:dyDescent="0.25">
      <c r="A9291" s="841"/>
    </row>
    <row r="9292" spans="1:1" x14ac:dyDescent="0.25">
      <c r="A9292" s="841"/>
    </row>
    <row r="9293" spans="1:1" x14ac:dyDescent="0.25">
      <c r="A9293" s="841"/>
    </row>
    <row r="9294" spans="1:1" x14ac:dyDescent="0.25">
      <c r="A9294" s="841"/>
    </row>
    <row r="9295" spans="1:1" x14ac:dyDescent="0.25">
      <c r="A9295" s="841"/>
    </row>
    <row r="9296" spans="1:1" x14ac:dyDescent="0.25">
      <c r="A9296" s="841"/>
    </row>
    <row r="9297" spans="1:1" x14ac:dyDescent="0.25">
      <c r="A9297" s="841"/>
    </row>
    <row r="9298" spans="1:1" x14ac:dyDescent="0.25">
      <c r="A9298" s="841"/>
    </row>
    <row r="9299" spans="1:1" x14ac:dyDescent="0.25">
      <c r="A9299" s="841"/>
    </row>
    <row r="9300" spans="1:1" x14ac:dyDescent="0.25">
      <c r="A9300" s="841"/>
    </row>
    <row r="9301" spans="1:1" x14ac:dyDescent="0.25">
      <c r="A9301" s="841"/>
    </row>
    <row r="9302" spans="1:1" x14ac:dyDescent="0.25">
      <c r="A9302" s="841"/>
    </row>
    <row r="9303" spans="1:1" x14ac:dyDescent="0.25">
      <c r="A9303" s="841"/>
    </row>
    <row r="9304" spans="1:1" x14ac:dyDescent="0.25">
      <c r="A9304" s="841"/>
    </row>
    <row r="9305" spans="1:1" x14ac:dyDescent="0.25">
      <c r="A9305" s="841"/>
    </row>
    <row r="9306" spans="1:1" x14ac:dyDescent="0.25">
      <c r="A9306" s="841"/>
    </row>
    <row r="9307" spans="1:1" x14ac:dyDescent="0.25">
      <c r="A9307" s="841"/>
    </row>
    <row r="9308" spans="1:1" x14ac:dyDescent="0.25">
      <c r="A9308" s="841"/>
    </row>
    <row r="9309" spans="1:1" x14ac:dyDescent="0.25">
      <c r="A9309" s="841"/>
    </row>
    <row r="9310" spans="1:1" x14ac:dyDescent="0.25">
      <c r="A9310" s="841"/>
    </row>
    <row r="9311" spans="1:1" x14ac:dyDescent="0.25">
      <c r="A9311" s="841"/>
    </row>
    <row r="9312" spans="1:1" x14ac:dyDescent="0.25">
      <c r="A9312" s="841"/>
    </row>
    <row r="9313" spans="1:1" x14ac:dyDescent="0.25">
      <c r="A9313" s="841"/>
    </row>
    <row r="9314" spans="1:1" x14ac:dyDescent="0.25">
      <c r="A9314" s="841"/>
    </row>
    <row r="9315" spans="1:1" x14ac:dyDescent="0.25">
      <c r="A9315" s="841"/>
    </row>
    <row r="9316" spans="1:1" x14ac:dyDescent="0.25">
      <c r="A9316" s="841"/>
    </row>
    <row r="9317" spans="1:1" x14ac:dyDescent="0.25">
      <c r="A9317" s="841"/>
    </row>
    <row r="9318" spans="1:1" x14ac:dyDescent="0.25">
      <c r="A9318" s="841"/>
    </row>
    <row r="9319" spans="1:1" x14ac:dyDescent="0.25">
      <c r="A9319" s="841"/>
    </row>
    <row r="9320" spans="1:1" x14ac:dyDescent="0.25">
      <c r="A9320" s="841"/>
    </row>
    <row r="9321" spans="1:1" x14ac:dyDescent="0.25">
      <c r="A9321" s="841"/>
    </row>
    <row r="9322" spans="1:1" x14ac:dyDescent="0.25">
      <c r="A9322" s="841"/>
    </row>
    <row r="9323" spans="1:1" x14ac:dyDescent="0.25">
      <c r="A9323" s="841"/>
    </row>
    <row r="9324" spans="1:1" x14ac:dyDescent="0.25">
      <c r="A9324" s="841"/>
    </row>
    <row r="9325" spans="1:1" x14ac:dyDescent="0.25">
      <c r="A9325" s="841"/>
    </row>
    <row r="9326" spans="1:1" x14ac:dyDescent="0.25">
      <c r="A9326" s="841"/>
    </row>
    <row r="9327" spans="1:1" x14ac:dyDescent="0.25">
      <c r="A9327" s="841"/>
    </row>
    <row r="9328" spans="1:1" x14ac:dyDescent="0.25">
      <c r="A9328" s="841"/>
    </row>
    <row r="9329" spans="1:1" x14ac:dyDescent="0.25">
      <c r="A9329" s="841"/>
    </row>
    <row r="9330" spans="1:1" x14ac:dyDescent="0.25">
      <c r="A9330" s="841"/>
    </row>
    <row r="9331" spans="1:1" x14ac:dyDescent="0.25">
      <c r="A9331" s="841"/>
    </row>
    <row r="9332" spans="1:1" x14ac:dyDescent="0.25">
      <c r="A9332" s="841"/>
    </row>
    <row r="9333" spans="1:1" x14ac:dyDescent="0.25">
      <c r="A9333" s="841"/>
    </row>
    <row r="9334" spans="1:1" x14ac:dyDescent="0.25">
      <c r="A9334" s="841"/>
    </row>
    <row r="9335" spans="1:1" x14ac:dyDescent="0.25">
      <c r="A9335" s="841"/>
    </row>
    <row r="9336" spans="1:1" x14ac:dyDescent="0.25">
      <c r="A9336" s="841"/>
    </row>
    <row r="9337" spans="1:1" x14ac:dyDescent="0.25">
      <c r="A9337" s="841"/>
    </row>
    <row r="9338" spans="1:1" x14ac:dyDescent="0.25">
      <c r="A9338" s="841"/>
    </row>
    <row r="9339" spans="1:1" x14ac:dyDescent="0.25">
      <c r="A9339" s="841"/>
    </row>
    <row r="9340" spans="1:1" x14ac:dyDescent="0.25">
      <c r="A9340" s="841"/>
    </row>
    <row r="9341" spans="1:1" x14ac:dyDescent="0.25">
      <c r="A9341" s="841"/>
    </row>
    <row r="9342" spans="1:1" x14ac:dyDescent="0.25">
      <c r="A9342" s="841"/>
    </row>
    <row r="9343" spans="1:1" x14ac:dyDescent="0.25">
      <c r="A9343" s="841"/>
    </row>
    <row r="9344" spans="1:1" x14ac:dyDescent="0.25">
      <c r="A9344" s="841"/>
    </row>
    <row r="9345" spans="1:1" x14ac:dyDescent="0.25">
      <c r="A9345" s="841"/>
    </row>
    <row r="9346" spans="1:1" x14ac:dyDescent="0.25">
      <c r="A9346" s="841"/>
    </row>
    <row r="9347" spans="1:1" x14ac:dyDescent="0.25">
      <c r="A9347" s="841"/>
    </row>
    <row r="9348" spans="1:1" x14ac:dyDescent="0.25">
      <c r="A9348" s="841"/>
    </row>
    <row r="9349" spans="1:1" x14ac:dyDescent="0.25">
      <c r="A9349" s="841"/>
    </row>
    <row r="9350" spans="1:1" x14ac:dyDescent="0.25">
      <c r="A9350" s="841"/>
    </row>
    <row r="9351" spans="1:1" x14ac:dyDescent="0.25">
      <c r="A9351" s="841"/>
    </row>
    <row r="9352" spans="1:1" x14ac:dyDescent="0.25">
      <c r="A9352" s="841"/>
    </row>
    <row r="9353" spans="1:1" x14ac:dyDescent="0.25">
      <c r="A9353" s="841"/>
    </row>
    <row r="9354" spans="1:1" x14ac:dyDescent="0.25">
      <c r="A9354" s="841"/>
    </row>
    <row r="9355" spans="1:1" x14ac:dyDescent="0.25">
      <c r="A9355" s="841"/>
    </row>
    <row r="9356" spans="1:1" x14ac:dyDescent="0.25">
      <c r="A9356" s="841"/>
    </row>
    <row r="9357" spans="1:1" x14ac:dyDescent="0.25">
      <c r="A9357" s="841"/>
    </row>
    <row r="9358" spans="1:1" x14ac:dyDescent="0.25">
      <c r="A9358" s="841"/>
    </row>
    <row r="9359" spans="1:1" x14ac:dyDescent="0.25">
      <c r="A9359" s="841"/>
    </row>
    <row r="9360" spans="1:1" x14ac:dyDescent="0.25">
      <c r="A9360" s="841"/>
    </row>
    <row r="9361" spans="1:1" x14ac:dyDescent="0.25">
      <c r="A9361" s="841"/>
    </row>
    <row r="9362" spans="1:1" x14ac:dyDescent="0.25">
      <c r="A9362" s="841"/>
    </row>
    <row r="9363" spans="1:1" x14ac:dyDescent="0.25">
      <c r="A9363" s="841"/>
    </row>
    <row r="9364" spans="1:1" x14ac:dyDescent="0.25">
      <c r="A9364" s="841"/>
    </row>
    <row r="9365" spans="1:1" x14ac:dyDescent="0.25">
      <c r="A9365" s="841"/>
    </row>
    <row r="9366" spans="1:1" x14ac:dyDescent="0.25">
      <c r="A9366" s="841"/>
    </row>
    <row r="9367" spans="1:1" x14ac:dyDescent="0.25">
      <c r="A9367" s="841"/>
    </row>
    <row r="9368" spans="1:1" x14ac:dyDescent="0.25">
      <c r="A9368" s="841"/>
    </row>
    <row r="9369" spans="1:1" x14ac:dyDescent="0.25">
      <c r="A9369" s="841"/>
    </row>
    <row r="9370" spans="1:1" x14ac:dyDescent="0.25">
      <c r="A9370" s="841"/>
    </row>
    <row r="9371" spans="1:1" x14ac:dyDescent="0.25">
      <c r="A9371" s="841"/>
    </row>
    <row r="9372" spans="1:1" x14ac:dyDescent="0.25">
      <c r="A9372" s="841"/>
    </row>
    <row r="9373" spans="1:1" x14ac:dyDescent="0.25">
      <c r="A9373" s="841"/>
    </row>
    <row r="9374" spans="1:1" x14ac:dyDescent="0.25">
      <c r="A9374" s="841"/>
    </row>
    <row r="9375" spans="1:1" x14ac:dyDescent="0.25">
      <c r="A9375" s="841"/>
    </row>
    <row r="9376" spans="1:1" x14ac:dyDescent="0.25">
      <c r="A9376" s="841"/>
    </row>
    <row r="9377" spans="1:1" x14ac:dyDescent="0.25">
      <c r="A9377" s="841"/>
    </row>
    <row r="9378" spans="1:1" x14ac:dyDescent="0.25">
      <c r="A9378" s="841"/>
    </row>
    <row r="9379" spans="1:1" x14ac:dyDescent="0.25">
      <c r="A9379" s="841"/>
    </row>
    <row r="9380" spans="1:1" x14ac:dyDescent="0.25">
      <c r="A9380" s="841"/>
    </row>
    <row r="9381" spans="1:1" x14ac:dyDescent="0.25">
      <c r="A9381" s="841"/>
    </row>
    <row r="9382" spans="1:1" x14ac:dyDescent="0.25">
      <c r="A9382" s="841"/>
    </row>
    <row r="9383" spans="1:1" x14ac:dyDescent="0.25">
      <c r="A9383" s="841"/>
    </row>
    <row r="9384" spans="1:1" x14ac:dyDescent="0.25">
      <c r="A9384" s="841"/>
    </row>
    <row r="9385" spans="1:1" x14ac:dyDescent="0.25">
      <c r="A9385" s="841"/>
    </row>
    <row r="9386" spans="1:1" x14ac:dyDescent="0.25">
      <c r="A9386" s="841"/>
    </row>
    <row r="9387" spans="1:1" x14ac:dyDescent="0.25">
      <c r="A9387" s="841"/>
    </row>
    <row r="9388" spans="1:1" x14ac:dyDescent="0.25">
      <c r="A9388" s="841"/>
    </row>
    <row r="9389" spans="1:1" x14ac:dyDescent="0.25">
      <c r="A9389" s="841"/>
    </row>
    <row r="9390" spans="1:1" x14ac:dyDescent="0.25">
      <c r="A9390" s="841"/>
    </row>
    <row r="9391" spans="1:1" x14ac:dyDescent="0.25">
      <c r="A9391" s="841"/>
    </row>
    <row r="9392" spans="1:1" x14ac:dyDescent="0.25">
      <c r="A9392" s="841"/>
    </row>
    <row r="9393" spans="1:1" x14ac:dyDescent="0.25">
      <c r="A9393" s="841"/>
    </row>
    <row r="9394" spans="1:1" x14ac:dyDescent="0.25">
      <c r="A9394" s="841"/>
    </row>
    <row r="9395" spans="1:1" x14ac:dyDescent="0.25">
      <c r="A9395" s="841"/>
    </row>
    <row r="9396" spans="1:1" x14ac:dyDescent="0.25">
      <c r="A9396" s="841"/>
    </row>
    <row r="9397" spans="1:1" x14ac:dyDescent="0.25">
      <c r="A9397" s="841"/>
    </row>
    <row r="9398" spans="1:1" x14ac:dyDescent="0.25">
      <c r="A9398" s="841"/>
    </row>
    <row r="9399" spans="1:1" x14ac:dyDescent="0.25">
      <c r="A9399" s="841"/>
    </row>
    <row r="9400" spans="1:1" x14ac:dyDescent="0.25">
      <c r="A9400" s="841"/>
    </row>
    <row r="9401" spans="1:1" x14ac:dyDescent="0.25">
      <c r="A9401" s="841"/>
    </row>
    <row r="9402" spans="1:1" x14ac:dyDescent="0.25">
      <c r="A9402" s="841"/>
    </row>
    <row r="9403" spans="1:1" x14ac:dyDescent="0.25">
      <c r="A9403" s="841"/>
    </row>
    <row r="9404" spans="1:1" x14ac:dyDescent="0.25">
      <c r="A9404" s="841"/>
    </row>
    <row r="9405" spans="1:1" x14ac:dyDescent="0.25">
      <c r="A9405" s="841"/>
    </row>
    <row r="9406" spans="1:1" x14ac:dyDescent="0.25">
      <c r="A9406" s="841"/>
    </row>
    <row r="9407" spans="1:1" x14ac:dyDescent="0.25">
      <c r="A9407" s="841"/>
    </row>
    <row r="9408" spans="1:1" x14ac:dyDescent="0.25">
      <c r="A9408" s="841"/>
    </row>
    <row r="9409" spans="1:1" x14ac:dyDescent="0.25">
      <c r="A9409" s="841"/>
    </row>
    <row r="9410" spans="1:1" x14ac:dyDescent="0.25">
      <c r="A9410" s="841"/>
    </row>
    <row r="9411" spans="1:1" x14ac:dyDescent="0.25">
      <c r="A9411" s="841"/>
    </row>
    <row r="9412" spans="1:1" x14ac:dyDescent="0.25">
      <c r="A9412" s="841"/>
    </row>
    <row r="9413" spans="1:1" x14ac:dyDescent="0.25">
      <c r="A9413" s="841"/>
    </row>
    <row r="9414" spans="1:1" x14ac:dyDescent="0.25">
      <c r="A9414" s="841"/>
    </row>
    <row r="9415" spans="1:1" x14ac:dyDescent="0.25">
      <c r="A9415" s="841"/>
    </row>
    <row r="9416" spans="1:1" x14ac:dyDescent="0.25">
      <c r="A9416" s="841"/>
    </row>
    <row r="9417" spans="1:1" x14ac:dyDescent="0.25">
      <c r="A9417" s="841"/>
    </row>
    <row r="9418" spans="1:1" x14ac:dyDescent="0.25">
      <c r="A9418" s="841"/>
    </row>
    <row r="9419" spans="1:1" x14ac:dyDescent="0.25">
      <c r="A9419" s="841"/>
    </row>
    <row r="9420" spans="1:1" x14ac:dyDescent="0.25">
      <c r="A9420" s="841"/>
    </row>
    <row r="9421" spans="1:1" x14ac:dyDescent="0.25">
      <c r="A9421" s="841"/>
    </row>
    <row r="9422" spans="1:1" x14ac:dyDescent="0.25">
      <c r="A9422" s="841"/>
    </row>
    <row r="9423" spans="1:1" x14ac:dyDescent="0.25">
      <c r="A9423" s="841"/>
    </row>
    <row r="9424" spans="1:1" x14ac:dyDescent="0.25">
      <c r="A9424" s="841"/>
    </row>
    <row r="9425" spans="1:1" x14ac:dyDescent="0.25">
      <c r="A9425" s="841"/>
    </row>
    <row r="9426" spans="1:1" x14ac:dyDescent="0.25">
      <c r="A9426" s="841"/>
    </row>
    <row r="9427" spans="1:1" x14ac:dyDescent="0.25">
      <c r="A9427" s="841"/>
    </row>
    <row r="9428" spans="1:1" x14ac:dyDescent="0.25">
      <c r="A9428" s="841"/>
    </row>
    <row r="9429" spans="1:1" x14ac:dyDescent="0.25">
      <c r="A9429" s="841"/>
    </row>
    <row r="9430" spans="1:1" x14ac:dyDescent="0.25">
      <c r="A9430" s="841"/>
    </row>
    <row r="9431" spans="1:1" x14ac:dyDescent="0.25">
      <c r="A9431" s="841"/>
    </row>
    <row r="9432" spans="1:1" x14ac:dyDescent="0.25">
      <c r="A9432" s="841"/>
    </row>
    <row r="9433" spans="1:1" x14ac:dyDescent="0.25">
      <c r="A9433" s="841"/>
    </row>
    <row r="9434" spans="1:1" x14ac:dyDescent="0.25">
      <c r="A9434" s="841"/>
    </row>
    <row r="9435" spans="1:1" x14ac:dyDescent="0.25">
      <c r="A9435" s="841"/>
    </row>
    <row r="9436" spans="1:1" x14ac:dyDescent="0.25">
      <c r="A9436" s="841"/>
    </row>
    <row r="9437" spans="1:1" x14ac:dyDescent="0.25">
      <c r="A9437" s="841"/>
    </row>
    <row r="9438" spans="1:1" x14ac:dyDescent="0.25">
      <c r="A9438" s="841"/>
    </row>
    <row r="9439" spans="1:1" x14ac:dyDescent="0.25">
      <c r="A9439" s="841"/>
    </row>
    <row r="9440" spans="1:1" x14ac:dyDescent="0.25">
      <c r="A9440" s="841"/>
    </row>
    <row r="9441" spans="1:1" x14ac:dyDescent="0.25">
      <c r="A9441" s="841"/>
    </row>
    <row r="9442" spans="1:1" x14ac:dyDescent="0.25">
      <c r="A9442" s="841"/>
    </row>
    <row r="9443" spans="1:1" x14ac:dyDescent="0.25">
      <c r="A9443" s="841"/>
    </row>
    <row r="9444" spans="1:1" x14ac:dyDescent="0.25">
      <c r="A9444" s="841"/>
    </row>
    <row r="9445" spans="1:1" x14ac:dyDescent="0.25">
      <c r="A9445" s="841"/>
    </row>
    <row r="9446" spans="1:1" x14ac:dyDescent="0.25">
      <c r="A9446" s="841"/>
    </row>
    <row r="9447" spans="1:1" x14ac:dyDescent="0.25">
      <c r="A9447" s="841"/>
    </row>
    <row r="9448" spans="1:1" x14ac:dyDescent="0.25">
      <c r="A9448" s="841"/>
    </row>
    <row r="9449" spans="1:1" x14ac:dyDescent="0.25">
      <c r="A9449" s="841"/>
    </row>
    <row r="9450" spans="1:1" x14ac:dyDescent="0.25">
      <c r="A9450" s="841"/>
    </row>
    <row r="9451" spans="1:1" x14ac:dyDescent="0.25">
      <c r="A9451" s="841"/>
    </row>
    <row r="9452" spans="1:1" x14ac:dyDescent="0.25">
      <c r="A9452" s="841"/>
    </row>
    <row r="9453" spans="1:1" x14ac:dyDescent="0.25">
      <c r="A9453" s="841"/>
    </row>
    <row r="9454" spans="1:1" x14ac:dyDescent="0.25">
      <c r="A9454" s="841"/>
    </row>
    <row r="9455" spans="1:1" x14ac:dyDescent="0.25">
      <c r="A9455" s="841"/>
    </row>
    <row r="9456" spans="1:1" x14ac:dyDescent="0.25">
      <c r="A9456" s="841"/>
    </row>
    <row r="9457" spans="1:1" x14ac:dyDescent="0.25">
      <c r="A9457" s="841"/>
    </row>
    <row r="9458" spans="1:1" x14ac:dyDescent="0.25">
      <c r="A9458" s="841"/>
    </row>
    <row r="9459" spans="1:1" x14ac:dyDescent="0.25">
      <c r="A9459" s="841"/>
    </row>
    <row r="9460" spans="1:1" x14ac:dyDescent="0.25">
      <c r="A9460" s="841"/>
    </row>
    <row r="9461" spans="1:1" x14ac:dyDescent="0.25">
      <c r="A9461" s="841"/>
    </row>
    <row r="9462" spans="1:1" x14ac:dyDescent="0.25">
      <c r="A9462" s="841"/>
    </row>
    <row r="9463" spans="1:1" x14ac:dyDescent="0.25">
      <c r="A9463" s="841"/>
    </row>
    <row r="9464" spans="1:1" x14ac:dyDescent="0.25">
      <c r="A9464" s="841"/>
    </row>
    <row r="9465" spans="1:1" x14ac:dyDescent="0.25">
      <c r="A9465" s="841"/>
    </row>
    <row r="9466" spans="1:1" x14ac:dyDescent="0.25">
      <c r="A9466" s="841"/>
    </row>
    <row r="9467" spans="1:1" x14ac:dyDescent="0.25">
      <c r="A9467" s="841"/>
    </row>
    <row r="9468" spans="1:1" x14ac:dyDescent="0.25">
      <c r="A9468" s="841"/>
    </row>
    <row r="9469" spans="1:1" x14ac:dyDescent="0.25">
      <c r="A9469" s="841"/>
    </row>
    <row r="9470" spans="1:1" x14ac:dyDescent="0.25">
      <c r="A9470" s="841"/>
    </row>
    <row r="9471" spans="1:1" x14ac:dyDescent="0.25">
      <c r="A9471" s="841"/>
    </row>
    <row r="9472" spans="1:1" x14ac:dyDescent="0.25">
      <c r="A9472" s="841"/>
    </row>
    <row r="9473" spans="1:1" x14ac:dyDescent="0.25">
      <c r="A9473" s="841"/>
    </row>
    <row r="9474" spans="1:1" x14ac:dyDescent="0.25">
      <c r="A9474" s="841"/>
    </row>
    <row r="9475" spans="1:1" x14ac:dyDescent="0.25">
      <c r="A9475" s="841"/>
    </row>
    <row r="9476" spans="1:1" x14ac:dyDescent="0.25">
      <c r="A9476" s="841"/>
    </row>
    <row r="9477" spans="1:1" x14ac:dyDescent="0.25">
      <c r="A9477" s="841"/>
    </row>
    <row r="9478" spans="1:1" x14ac:dyDescent="0.25">
      <c r="A9478" s="841"/>
    </row>
    <row r="9479" spans="1:1" x14ac:dyDescent="0.25">
      <c r="A9479" s="841"/>
    </row>
    <row r="9480" spans="1:1" x14ac:dyDescent="0.25">
      <c r="A9480" s="841"/>
    </row>
    <row r="9481" spans="1:1" x14ac:dyDescent="0.25">
      <c r="A9481" s="841"/>
    </row>
    <row r="9482" spans="1:1" x14ac:dyDescent="0.25">
      <c r="A9482" s="841"/>
    </row>
    <row r="9483" spans="1:1" x14ac:dyDescent="0.25">
      <c r="A9483" s="841"/>
    </row>
    <row r="9484" spans="1:1" x14ac:dyDescent="0.25">
      <c r="A9484" s="841"/>
    </row>
    <row r="9485" spans="1:1" x14ac:dyDescent="0.25">
      <c r="A9485" s="841"/>
    </row>
    <row r="9486" spans="1:1" x14ac:dyDescent="0.25">
      <c r="A9486" s="841"/>
    </row>
    <row r="9487" spans="1:1" x14ac:dyDescent="0.25">
      <c r="A9487" s="841"/>
    </row>
    <row r="9488" spans="1:1" x14ac:dyDescent="0.25">
      <c r="A9488" s="841"/>
    </row>
    <row r="9489" spans="1:1" x14ac:dyDescent="0.25">
      <c r="A9489" s="841"/>
    </row>
    <row r="9490" spans="1:1" x14ac:dyDescent="0.25">
      <c r="A9490" s="841"/>
    </row>
    <row r="9491" spans="1:1" x14ac:dyDescent="0.25">
      <c r="A9491" s="841"/>
    </row>
    <row r="9492" spans="1:1" x14ac:dyDescent="0.25">
      <c r="A9492" s="841"/>
    </row>
    <row r="9493" spans="1:1" x14ac:dyDescent="0.25">
      <c r="A9493" s="841"/>
    </row>
    <row r="9494" spans="1:1" x14ac:dyDescent="0.25">
      <c r="A9494" s="841"/>
    </row>
    <row r="9495" spans="1:1" x14ac:dyDescent="0.25">
      <c r="A9495" s="841"/>
    </row>
    <row r="9496" spans="1:1" x14ac:dyDescent="0.25">
      <c r="A9496" s="841"/>
    </row>
    <row r="9497" spans="1:1" x14ac:dyDescent="0.25">
      <c r="A9497" s="841"/>
    </row>
    <row r="9498" spans="1:1" x14ac:dyDescent="0.25">
      <c r="A9498" s="841"/>
    </row>
    <row r="9499" spans="1:1" x14ac:dyDescent="0.25">
      <c r="A9499" s="841"/>
    </row>
    <row r="9500" spans="1:1" x14ac:dyDescent="0.25">
      <c r="A9500" s="841"/>
    </row>
    <row r="9501" spans="1:1" x14ac:dyDescent="0.25">
      <c r="A9501" s="841"/>
    </row>
    <row r="9502" spans="1:1" x14ac:dyDescent="0.25">
      <c r="A9502" s="841"/>
    </row>
    <row r="9503" spans="1:1" x14ac:dyDescent="0.25">
      <c r="A9503" s="841"/>
    </row>
    <row r="9504" spans="1:1" x14ac:dyDescent="0.25">
      <c r="A9504" s="841"/>
    </row>
    <row r="9505" spans="1:1" x14ac:dyDescent="0.25">
      <c r="A9505" s="841"/>
    </row>
    <row r="9506" spans="1:1" x14ac:dyDescent="0.25">
      <c r="A9506" s="841"/>
    </row>
    <row r="9507" spans="1:1" x14ac:dyDescent="0.25">
      <c r="A9507" s="841"/>
    </row>
    <row r="9508" spans="1:1" x14ac:dyDescent="0.25">
      <c r="A9508" s="841"/>
    </row>
    <row r="9509" spans="1:1" x14ac:dyDescent="0.25">
      <c r="A9509" s="841"/>
    </row>
    <row r="9510" spans="1:1" x14ac:dyDescent="0.25">
      <c r="A9510" s="841"/>
    </row>
    <row r="9511" spans="1:1" x14ac:dyDescent="0.25">
      <c r="A9511" s="841"/>
    </row>
    <row r="9512" spans="1:1" x14ac:dyDescent="0.25">
      <c r="A9512" s="841"/>
    </row>
    <row r="9513" spans="1:1" x14ac:dyDescent="0.25">
      <c r="A9513" s="841"/>
    </row>
    <row r="9514" spans="1:1" x14ac:dyDescent="0.25">
      <c r="A9514" s="841"/>
    </row>
    <row r="9515" spans="1:1" x14ac:dyDescent="0.25">
      <c r="A9515" s="841"/>
    </row>
    <row r="9516" spans="1:1" x14ac:dyDescent="0.25">
      <c r="A9516" s="841"/>
    </row>
    <row r="9517" spans="1:1" x14ac:dyDescent="0.25">
      <c r="A9517" s="841"/>
    </row>
    <row r="9518" spans="1:1" x14ac:dyDescent="0.25">
      <c r="A9518" s="841"/>
    </row>
    <row r="9519" spans="1:1" x14ac:dyDescent="0.25">
      <c r="A9519" s="841"/>
    </row>
    <row r="9520" spans="1:1" x14ac:dyDescent="0.25">
      <c r="A9520" s="841"/>
    </row>
    <row r="9521" spans="1:1" x14ac:dyDescent="0.25">
      <c r="A9521" s="841"/>
    </row>
    <row r="9522" spans="1:1" x14ac:dyDescent="0.25">
      <c r="A9522" s="841"/>
    </row>
    <row r="9523" spans="1:1" x14ac:dyDescent="0.25">
      <c r="A9523" s="841"/>
    </row>
    <row r="9524" spans="1:1" x14ac:dyDescent="0.25">
      <c r="A9524" s="841"/>
    </row>
    <row r="9525" spans="1:1" x14ac:dyDescent="0.25">
      <c r="A9525" s="841"/>
    </row>
    <row r="9526" spans="1:1" x14ac:dyDescent="0.25">
      <c r="A9526" s="841"/>
    </row>
    <row r="9527" spans="1:1" x14ac:dyDescent="0.25">
      <c r="A9527" s="841"/>
    </row>
    <row r="9528" spans="1:1" x14ac:dyDescent="0.25">
      <c r="A9528" s="841"/>
    </row>
    <row r="9529" spans="1:1" x14ac:dyDescent="0.25">
      <c r="A9529" s="841"/>
    </row>
    <row r="9530" spans="1:1" x14ac:dyDescent="0.25">
      <c r="A9530" s="841"/>
    </row>
    <row r="9531" spans="1:1" x14ac:dyDescent="0.25">
      <c r="A9531" s="841"/>
    </row>
    <row r="9532" spans="1:1" x14ac:dyDescent="0.25">
      <c r="A9532" s="841"/>
    </row>
    <row r="9533" spans="1:1" x14ac:dyDescent="0.25">
      <c r="A9533" s="841"/>
    </row>
    <row r="9534" spans="1:1" x14ac:dyDescent="0.25">
      <c r="A9534" s="841"/>
    </row>
    <row r="9535" spans="1:1" x14ac:dyDescent="0.25">
      <c r="A9535" s="841"/>
    </row>
    <row r="9536" spans="1:1" x14ac:dyDescent="0.25">
      <c r="A9536" s="841"/>
    </row>
    <row r="9537" spans="1:1" x14ac:dyDescent="0.25">
      <c r="A9537" s="841"/>
    </row>
    <row r="9538" spans="1:1" x14ac:dyDescent="0.25">
      <c r="A9538" s="841"/>
    </row>
    <row r="9539" spans="1:1" x14ac:dyDescent="0.25">
      <c r="A9539" s="841"/>
    </row>
    <row r="9540" spans="1:1" x14ac:dyDescent="0.25">
      <c r="A9540" s="841"/>
    </row>
    <row r="9541" spans="1:1" x14ac:dyDescent="0.25">
      <c r="A9541" s="841"/>
    </row>
    <row r="9542" spans="1:1" x14ac:dyDescent="0.25">
      <c r="A9542" s="841"/>
    </row>
    <row r="9543" spans="1:1" x14ac:dyDescent="0.25">
      <c r="A9543" s="841"/>
    </row>
    <row r="9544" spans="1:1" x14ac:dyDescent="0.25">
      <c r="A9544" s="841"/>
    </row>
    <row r="9545" spans="1:1" x14ac:dyDescent="0.25">
      <c r="A9545" s="841"/>
    </row>
    <row r="9546" spans="1:1" x14ac:dyDescent="0.25">
      <c r="A9546" s="841"/>
    </row>
    <row r="9547" spans="1:1" x14ac:dyDescent="0.25">
      <c r="A9547" s="841"/>
    </row>
    <row r="9548" spans="1:1" x14ac:dyDescent="0.25">
      <c r="A9548" s="841"/>
    </row>
    <row r="9549" spans="1:1" x14ac:dyDescent="0.25">
      <c r="A9549" s="841"/>
    </row>
    <row r="9550" spans="1:1" x14ac:dyDescent="0.25">
      <c r="A9550" s="841"/>
    </row>
    <row r="9551" spans="1:1" x14ac:dyDescent="0.25">
      <c r="A9551" s="841"/>
    </row>
    <row r="9552" spans="1:1" x14ac:dyDescent="0.25">
      <c r="A9552" s="841"/>
    </row>
    <row r="9553" spans="1:1" x14ac:dyDescent="0.25">
      <c r="A9553" s="841"/>
    </row>
    <row r="9554" spans="1:1" x14ac:dyDescent="0.25">
      <c r="A9554" s="841"/>
    </row>
    <row r="9555" spans="1:1" x14ac:dyDescent="0.25">
      <c r="A9555" s="841"/>
    </row>
    <row r="9556" spans="1:1" x14ac:dyDescent="0.25">
      <c r="A9556" s="841"/>
    </row>
    <row r="9557" spans="1:1" x14ac:dyDescent="0.25">
      <c r="A9557" s="841"/>
    </row>
    <row r="9558" spans="1:1" x14ac:dyDescent="0.25">
      <c r="A9558" s="841"/>
    </row>
    <row r="9559" spans="1:1" x14ac:dyDescent="0.25">
      <c r="A9559" s="841"/>
    </row>
    <row r="9560" spans="1:1" x14ac:dyDescent="0.25">
      <c r="A9560" s="841"/>
    </row>
    <row r="9561" spans="1:1" x14ac:dyDescent="0.25">
      <c r="A9561" s="841"/>
    </row>
    <row r="9562" spans="1:1" x14ac:dyDescent="0.25">
      <c r="A9562" s="841"/>
    </row>
    <row r="9563" spans="1:1" x14ac:dyDescent="0.25">
      <c r="A9563" s="841"/>
    </row>
    <row r="9564" spans="1:1" x14ac:dyDescent="0.25">
      <c r="A9564" s="841"/>
    </row>
    <row r="9565" spans="1:1" x14ac:dyDescent="0.25">
      <c r="A9565" s="841"/>
    </row>
    <row r="9566" spans="1:1" x14ac:dyDescent="0.25">
      <c r="A9566" s="841"/>
    </row>
    <row r="9567" spans="1:1" x14ac:dyDescent="0.25">
      <c r="A9567" s="841"/>
    </row>
    <row r="9568" spans="1:1" x14ac:dyDescent="0.25">
      <c r="A9568" s="841"/>
    </row>
    <row r="9569" spans="1:1" x14ac:dyDescent="0.25">
      <c r="A9569" s="841"/>
    </row>
    <row r="9570" spans="1:1" x14ac:dyDescent="0.25">
      <c r="A9570" s="841"/>
    </row>
    <row r="9571" spans="1:1" x14ac:dyDescent="0.25">
      <c r="A9571" s="841"/>
    </row>
    <row r="9572" spans="1:1" x14ac:dyDescent="0.25">
      <c r="A9572" s="841"/>
    </row>
    <row r="9573" spans="1:1" x14ac:dyDescent="0.25">
      <c r="A9573" s="841"/>
    </row>
    <row r="9574" spans="1:1" x14ac:dyDescent="0.25">
      <c r="A9574" s="841"/>
    </row>
    <row r="9575" spans="1:1" x14ac:dyDescent="0.25">
      <c r="A9575" s="841"/>
    </row>
    <row r="9576" spans="1:1" x14ac:dyDescent="0.25">
      <c r="A9576" s="841"/>
    </row>
    <row r="9577" spans="1:1" x14ac:dyDescent="0.25">
      <c r="A9577" s="841"/>
    </row>
    <row r="9578" spans="1:1" x14ac:dyDescent="0.25">
      <c r="A9578" s="841"/>
    </row>
    <row r="9579" spans="1:1" x14ac:dyDescent="0.25">
      <c r="A9579" s="841"/>
    </row>
    <row r="9580" spans="1:1" x14ac:dyDescent="0.25">
      <c r="A9580" s="841"/>
    </row>
    <row r="9581" spans="1:1" x14ac:dyDescent="0.25">
      <c r="A9581" s="841"/>
    </row>
    <row r="9582" spans="1:1" x14ac:dyDescent="0.25">
      <c r="A9582" s="841"/>
    </row>
    <row r="9583" spans="1:1" x14ac:dyDescent="0.25">
      <c r="A9583" s="841"/>
    </row>
    <row r="9584" spans="1:1" x14ac:dyDescent="0.25">
      <c r="A9584" s="841"/>
    </row>
    <row r="9585" spans="1:1" x14ac:dyDescent="0.25">
      <c r="A9585" s="841"/>
    </row>
    <row r="9586" spans="1:1" x14ac:dyDescent="0.25">
      <c r="A9586" s="841"/>
    </row>
    <row r="9587" spans="1:1" x14ac:dyDescent="0.25">
      <c r="A9587" s="841"/>
    </row>
    <row r="9588" spans="1:1" x14ac:dyDescent="0.25">
      <c r="A9588" s="841"/>
    </row>
    <row r="9589" spans="1:1" x14ac:dyDescent="0.25">
      <c r="A9589" s="841"/>
    </row>
    <row r="9590" spans="1:1" x14ac:dyDescent="0.25">
      <c r="A9590" s="841"/>
    </row>
    <row r="9591" spans="1:1" x14ac:dyDescent="0.25">
      <c r="A9591" s="841"/>
    </row>
    <row r="9592" spans="1:1" x14ac:dyDescent="0.25">
      <c r="A9592" s="841"/>
    </row>
    <row r="9593" spans="1:1" x14ac:dyDescent="0.25">
      <c r="A9593" s="841"/>
    </row>
    <row r="9594" spans="1:1" x14ac:dyDescent="0.25">
      <c r="A9594" s="841"/>
    </row>
    <row r="9595" spans="1:1" x14ac:dyDescent="0.25">
      <c r="A9595" s="841"/>
    </row>
    <row r="9596" spans="1:1" x14ac:dyDescent="0.25">
      <c r="A9596" s="841"/>
    </row>
    <row r="9597" spans="1:1" x14ac:dyDescent="0.25">
      <c r="A9597" s="841"/>
    </row>
    <row r="9598" spans="1:1" x14ac:dyDescent="0.25">
      <c r="A9598" s="841"/>
    </row>
    <row r="9599" spans="1:1" x14ac:dyDescent="0.25">
      <c r="A9599" s="841"/>
    </row>
    <row r="9600" spans="1:1" x14ac:dyDescent="0.25">
      <c r="A9600" s="841"/>
    </row>
    <row r="9601" spans="1:1" x14ac:dyDescent="0.25">
      <c r="A9601" s="841"/>
    </row>
    <row r="9602" spans="1:1" x14ac:dyDescent="0.25">
      <c r="A9602" s="841"/>
    </row>
    <row r="9603" spans="1:1" x14ac:dyDescent="0.25">
      <c r="A9603" s="841"/>
    </row>
    <row r="9604" spans="1:1" x14ac:dyDescent="0.25">
      <c r="A9604" s="841"/>
    </row>
    <row r="9605" spans="1:1" x14ac:dyDescent="0.25">
      <c r="A9605" s="841"/>
    </row>
    <row r="9606" spans="1:1" x14ac:dyDescent="0.25">
      <c r="A9606" s="841"/>
    </row>
    <row r="9607" spans="1:1" x14ac:dyDescent="0.25">
      <c r="A9607" s="841"/>
    </row>
    <row r="9608" spans="1:1" x14ac:dyDescent="0.25">
      <c r="A9608" s="841"/>
    </row>
    <row r="9609" spans="1:1" x14ac:dyDescent="0.25">
      <c r="A9609" s="841"/>
    </row>
    <row r="9610" spans="1:1" x14ac:dyDescent="0.25">
      <c r="A9610" s="841"/>
    </row>
    <row r="9611" spans="1:1" x14ac:dyDescent="0.25">
      <c r="A9611" s="841"/>
    </row>
    <row r="9612" spans="1:1" x14ac:dyDescent="0.25">
      <c r="A9612" s="841"/>
    </row>
    <row r="9613" spans="1:1" x14ac:dyDescent="0.25">
      <c r="A9613" s="841"/>
    </row>
    <row r="9614" spans="1:1" x14ac:dyDescent="0.25">
      <c r="A9614" s="841"/>
    </row>
    <row r="9615" spans="1:1" x14ac:dyDescent="0.25">
      <c r="A9615" s="841"/>
    </row>
    <row r="9616" spans="1:1" x14ac:dyDescent="0.25">
      <c r="A9616" s="841"/>
    </row>
    <row r="9617" spans="1:1" x14ac:dyDescent="0.25">
      <c r="A9617" s="841"/>
    </row>
    <row r="9618" spans="1:1" x14ac:dyDescent="0.25">
      <c r="A9618" s="841"/>
    </row>
    <row r="9619" spans="1:1" x14ac:dyDescent="0.25">
      <c r="A9619" s="841"/>
    </row>
    <row r="9620" spans="1:1" x14ac:dyDescent="0.25">
      <c r="A9620" s="841"/>
    </row>
    <row r="9621" spans="1:1" x14ac:dyDescent="0.25">
      <c r="A9621" s="841"/>
    </row>
    <row r="9622" spans="1:1" x14ac:dyDescent="0.25">
      <c r="A9622" s="841"/>
    </row>
    <row r="9623" spans="1:1" x14ac:dyDescent="0.25">
      <c r="A9623" s="841"/>
    </row>
    <row r="9624" spans="1:1" x14ac:dyDescent="0.25">
      <c r="A9624" s="841"/>
    </row>
    <row r="9625" spans="1:1" x14ac:dyDescent="0.25">
      <c r="A9625" s="841"/>
    </row>
    <row r="9626" spans="1:1" x14ac:dyDescent="0.25">
      <c r="A9626" s="841"/>
    </row>
    <row r="9627" spans="1:1" x14ac:dyDescent="0.25">
      <c r="A9627" s="841"/>
    </row>
    <row r="9628" spans="1:1" x14ac:dyDescent="0.25">
      <c r="A9628" s="841"/>
    </row>
    <row r="9629" spans="1:1" x14ac:dyDescent="0.25">
      <c r="A9629" s="841"/>
    </row>
    <row r="9630" spans="1:1" x14ac:dyDescent="0.25">
      <c r="A9630" s="841"/>
    </row>
    <row r="9631" spans="1:1" x14ac:dyDescent="0.25">
      <c r="A9631" s="841"/>
    </row>
    <row r="9632" spans="1:1" x14ac:dyDescent="0.25">
      <c r="A9632" s="841"/>
    </row>
    <row r="9633" spans="1:1" x14ac:dyDescent="0.25">
      <c r="A9633" s="841"/>
    </row>
    <row r="9634" spans="1:1" x14ac:dyDescent="0.25">
      <c r="A9634" s="841"/>
    </row>
    <row r="9635" spans="1:1" x14ac:dyDescent="0.25">
      <c r="A9635" s="841"/>
    </row>
    <row r="9636" spans="1:1" x14ac:dyDescent="0.25">
      <c r="A9636" s="841"/>
    </row>
    <row r="9637" spans="1:1" x14ac:dyDescent="0.25">
      <c r="A9637" s="841"/>
    </row>
    <row r="9638" spans="1:1" x14ac:dyDescent="0.25">
      <c r="A9638" s="841"/>
    </row>
    <row r="9639" spans="1:1" x14ac:dyDescent="0.25">
      <c r="A9639" s="841"/>
    </row>
    <row r="9640" spans="1:1" x14ac:dyDescent="0.25">
      <c r="A9640" s="841"/>
    </row>
    <row r="9641" spans="1:1" x14ac:dyDescent="0.25">
      <c r="A9641" s="841"/>
    </row>
    <row r="9642" spans="1:1" x14ac:dyDescent="0.25">
      <c r="A9642" s="841"/>
    </row>
    <row r="9643" spans="1:1" x14ac:dyDescent="0.25">
      <c r="A9643" s="841"/>
    </row>
    <row r="9644" spans="1:1" x14ac:dyDescent="0.25">
      <c r="A9644" s="841"/>
    </row>
    <row r="9645" spans="1:1" x14ac:dyDescent="0.25">
      <c r="A9645" s="841"/>
    </row>
    <row r="9646" spans="1:1" x14ac:dyDescent="0.25">
      <c r="A9646" s="841"/>
    </row>
    <row r="9647" spans="1:1" x14ac:dyDescent="0.25">
      <c r="A9647" s="841"/>
    </row>
    <row r="9648" spans="1:1" x14ac:dyDescent="0.25">
      <c r="A9648" s="841"/>
    </row>
    <row r="9649" spans="1:1" x14ac:dyDescent="0.25">
      <c r="A9649" s="841"/>
    </row>
    <row r="9650" spans="1:1" x14ac:dyDescent="0.25">
      <c r="A9650" s="841"/>
    </row>
    <row r="9651" spans="1:1" x14ac:dyDescent="0.25">
      <c r="A9651" s="841"/>
    </row>
    <row r="9652" spans="1:1" x14ac:dyDescent="0.25">
      <c r="A9652" s="841"/>
    </row>
    <row r="9653" spans="1:1" x14ac:dyDescent="0.25">
      <c r="A9653" s="841"/>
    </row>
    <row r="9654" spans="1:1" x14ac:dyDescent="0.25">
      <c r="A9654" s="841"/>
    </row>
    <row r="9655" spans="1:1" x14ac:dyDescent="0.25">
      <c r="A9655" s="841"/>
    </row>
    <row r="9656" spans="1:1" x14ac:dyDescent="0.25">
      <c r="A9656" s="841"/>
    </row>
    <row r="9657" spans="1:1" x14ac:dyDescent="0.25">
      <c r="A9657" s="841"/>
    </row>
    <row r="9658" spans="1:1" x14ac:dyDescent="0.25">
      <c r="A9658" s="841"/>
    </row>
    <row r="9659" spans="1:1" x14ac:dyDescent="0.25">
      <c r="A9659" s="841"/>
    </row>
    <row r="9660" spans="1:1" x14ac:dyDescent="0.25">
      <c r="A9660" s="841"/>
    </row>
    <row r="9661" spans="1:1" x14ac:dyDescent="0.25">
      <c r="A9661" s="841"/>
    </row>
    <row r="9662" spans="1:1" x14ac:dyDescent="0.25">
      <c r="A9662" s="841"/>
    </row>
    <row r="9663" spans="1:1" x14ac:dyDescent="0.25">
      <c r="A9663" s="841"/>
    </row>
    <row r="9664" spans="1:1" x14ac:dyDescent="0.25">
      <c r="A9664" s="841"/>
    </row>
    <row r="9665" spans="1:1" x14ac:dyDescent="0.25">
      <c r="A9665" s="841"/>
    </row>
    <row r="9666" spans="1:1" x14ac:dyDescent="0.25">
      <c r="A9666" s="841"/>
    </row>
    <row r="9667" spans="1:1" x14ac:dyDescent="0.25">
      <c r="A9667" s="841"/>
    </row>
    <row r="9668" spans="1:1" x14ac:dyDescent="0.25">
      <c r="A9668" s="841"/>
    </row>
    <row r="9669" spans="1:1" x14ac:dyDescent="0.25">
      <c r="A9669" s="841"/>
    </row>
    <row r="9670" spans="1:1" x14ac:dyDescent="0.25">
      <c r="A9670" s="841"/>
    </row>
    <row r="9671" spans="1:1" x14ac:dyDescent="0.25">
      <c r="A9671" s="841"/>
    </row>
    <row r="9672" spans="1:1" x14ac:dyDescent="0.25">
      <c r="A9672" s="841"/>
    </row>
    <row r="9673" spans="1:1" x14ac:dyDescent="0.25">
      <c r="A9673" s="841"/>
    </row>
    <row r="9674" spans="1:1" x14ac:dyDescent="0.25">
      <c r="A9674" s="841"/>
    </row>
    <row r="9675" spans="1:1" x14ac:dyDescent="0.25">
      <c r="A9675" s="841"/>
    </row>
    <row r="9676" spans="1:1" x14ac:dyDescent="0.25">
      <c r="A9676" s="841"/>
    </row>
    <row r="9677" spans="1:1" x14ac:dyDescent="0.25">
      <c r="A9677" s="841"/>
    </row>
    <row r="9678" spans="1:1" x14ac:dyDescent="0.25">
      <c r="A9678" s="841"/>
    </row>
    <row r="9679" spans="1:1" x14ac:dyDescent="0.25">
      <c r="A9679" s="841"/>
    </row>
    <row r="9680" spans="1:1" x14ac:dyDescent="0.25">
      <c r="A9680" s="841"/>
    </row>
    <row r="9681" spans="1:1" x14ac:dyDescent="0.25">
      <c r="A9681" s="841"/>
    </row>
    <row r="9682" spans="1:1" x14ac:dyDescent="0.25">
      <c r="A9682" s="841"/>
    </row>
    <row r="9683" spans="1:1" x14ac:dyDescent="0.25">
      <c r="A9683" s="841"/>
    </row>
    <row r="9684" spans="1:1" x14ac:dyDescent="0.25">
      <c r="A9684" s="841"/>
    </row>
    <row r="9685" spans="1:1" x14ac:dyDescent="0.25">
      <c r="A9685" s="841"/>
    </row>
    <row r="9686" spans="1:1" x14ac:dyDescent="0.25">
      <c r="A9686" s="841"/>
    </row>
    <row r="9687" spans="1:1" x14ac:dyDescent="0.25">
      <c r="A9687" s="841"/>
    </row>
    <row r="9688" spans="1:1" x14ac:dyDescent="0.25">
      <c r="A9688" s="841"/>
    </row>
    <row r="9689" spans="1:1" x14ac:dyDescent="0.25">
      <c r="A9689" s="841"/>
    </row>
    <row r="9690" spans="1:1" x14ac:dyDescent="0.25">
      <c r="A9690" s="841"/>
    </row>
    <row r="9691" spans="1:1" x14ac:dyDescent="0.25">
      <c r="A9691" s="841"/>
    </row>
    <row r="9692" spans="1:1" x14ac:dyDescent="0.25">
      <c r="A9692" s="841"/>
    </row>
    <row r="9693" spans="1:1" x14ac:dyDescent="0.25">
      <c r="A9693" s="841"/>
    </row>
    <row r="9694" spans="1:1" x14ac:dyDescent="0.25">
      <c r="A9694" s="841"/>
    </row>
    <row r="9695" spans="1:1" x14ac:dyDescent="0.25">
      <c r="A9695" s="841"/>
    </row>
    <row r="9696" spans="1:1" x14ac:dyDescent="0.25">
      <c r="A9696" s="841"/>
    </row>
    <row r="9697" spans="1:1" x14ac:dyDescent="0.25">
      <c r="A9697" s="841"/>
    </row>
    <row r="9698" spans="1:1" x14ac:dyDescent="0.25">
      <c r="A9698" s="841"/>
    </row>
    <row r="9699" spans="1:1" x14ac:dyDescent="0.25">
      <c r="A9699" s="841"/>
    </row>
    <row r="9700" spans="1:1" x14ac:dyDescent="0.25">
      <c r="A9700" s="841"/>
    </row>
    <row r="9701" spans="1:1" x14ac:dyDescent="0.25">
      <c r="A9701" s="841"/>
    </row>
    <row r="9702" spans="1:1" x14ac:dyDescent="0.25">
      <c r="A9702" s="841"/>
    </row>
    <row r="9703" spans="1:1" x14ac:dyDescent="0.25">
      <c r="A9703" s="841"/>
    </row>
    <row r="9704" spans="1:1" x14ac:dyDescent="0.25">
      <c r="A9704" s="841"/>
    </row>
    <row r="9705" spans="1:1" x14ac:dyDescent="0.25">
      <c r="A9705" s="841"/>
    </row>
    <row r="9706" spans="1:1" x14ac:dyDescent="0.25">
      <c r="A9706" s="841"/>
    </row>
    <row r="9707" spans="1:1" x14ac:dyDescent="0.25">
      <c r="A9707" s="841"/>
    </row>
    <row r="9708" spans="1:1" x14ac:dyDescent="0.25">
      <c r="A9708" s="841"/>
    </row>
    <row r="9709" spans="1:1" x14ac:dyDescent="0.25">
      <c r="A9709" s="841"/>
    </row>
    <row r="9710" spans="1:1" x14ac:dyDescent="0.25">
      <c r="A9710" s="841"/>
    </row>
    <row r="9711" spans="1:1" x14ac:dyDescent="0.25">
      <c r="A9711" s="841"/>
    </row>
    <row r="9712" spans="1:1" x14ac:dyDescent="0.25">
      <c r="A9712" s="841"/>
    </row>
    <row r="9713" spans="1:1" x14ac:dyDescent="0.25">
      <c r="A9713" s="841"/>
    </row>
    <row r="9714" spans="1:1" x14ac:dyDescent="0.25">
      <c r="A9714" s="841"/>
    </row>
    <row r="9715" spans="1:1" x14ac:dyDescent="0.25">
      <c r="A9715" s="841"/>
    </row>
    <row r="9716" spans="1:1" x14ac:dyDescent="0.25">
      <c r="A9716" s="841"/>
    </row>
    <row r="9717" spans="1:1" x14ac:dyDescent="0.25">
      <c r="A9717" s="841"/>
    </row>
    <row r="9718" spans="1:1" x14ac:dyDescent="0.25">
      <c r="A9718" s="841"/>
    </row>
    <row r="9719" spans="1:1" x14ac:dyDescent="0.25">
      <c r="A9719" s="841"/>
    </row>
    <row r="9720" spans="1:1" x14ac:dyDescent="0.25">
      <c r="A9720" s="841"/>
    </row>
    <row r="9721" spans="1:1" x14ac:dyDescent="0.25">
      <c r="A9721" s="841"/>
    </row>
    <row r="9722" spans="1:1" x14ac:dyDescent="0.25">
      <c r="A9722" s="841"/>
    </row>
    <row r="9723" spans="1:1" x14ac:dyDescent="0.25">
      <c r="A9723" s="841"/>
    </row>
    <row r="9724" spans="1:1" x14ac:dyDescent="0.25">
      <c r="A9724" s="841"/>
    </row>
    <row r="9725" spans="1:1" x14ac:dyDescent="0.25">
      <c r="A9725" s="841"/>
    </row>
    <row r="9726" spans="1:1" x14ac:dyDescent="0.25">
      <c r="A9726" s="841"/>
    </row>
    <row r="9727" spans="1:1" x14ac:dyDescent="0.25">
      <c r="A9727" s="841"/>
    </row>
    <row r="9728" spans="1:1" x14ac:dyDescent="0.25">
      <c r="A9728" s="841"/>
    </row>
    <row r="9729" spans="1:1" x14ac:dyDescent="0.25">
      <c r="A9729" s="841"/>
    </row>
    <row r="9730" spans="1:1" x14ac:dyDescent="0.25">
      <c r="A9730" s="841"/>
    </row>
    <row r="9731" spans="1:1" x14ac:dyDescent="0.25">
      <c r="A9731" s="841"/>
    </row>
    <row r="9732" spans="1:1" x14ac:dyDescent="0.25">
      <c r="A9732" s="841"/>
    </row>
    <row r="9733" spans="1:1" x14ac:dyDescent="0.25">
      <c r="A9733" s="841"/>
    </row>
    <row r="9734" spans="1:1" x14ac:dyDescent="0.25">
      <c r="A9734" s="841"/>
    </row>
    <row r="9735" spans="1:1" x14ac:dyDescent="0.25">
      <c r="A9735" s="841"/>
    </row>
    <row r="9736" spans="1:1" x14ac:dyDescent="0.25">
      <c r="A9736" s="841"/>
    </row>
    <row r="9737" spans="1:1" x14ac:dyDescent="0.25">
      <c r="A9737" s="841"/>
    </row>
    <row r="9738" spans="1:1" x14ac:dyDescent="0.25">
      <c r="A9738" s="841"/>
    </row>
    <row r="9739" spans="1:1" x14ac:dyDescent="0.25">
      <c r="A9739" s="841"/>
    </row>
    <row r="9740" spans="1:1" x14ac:dyDescent="0.25">
      <c r="A9740" s="841"/>
    </row>
    <row r="9741" spans="1:1" x14ac:dyDescent="0.25">
      <c r="A9741" s="841"/>
    </row>
    <row r="9742" spans="1:1" x14ac:dyDescent="0.25">
      <c r="A9742" s="841"/>
    </row>
    <row r="9743" spans="1:1" x14ac:dyDescent="0.25">
      <c r="A9743" s="841"/>
    </row>
    <row r="9744" spans="1:1" x14ac:dyDescent="0.25">
      <c r="A9744" s="841"/>
    </row>
    <row r="9745" spans="1:1" x14ac:dyDescent="0.25">
      <c r="A9745" s="841"/>
    </row>
    <row r="9746" spans="1:1" x14ac:dyDescent="0.25">
      <c r="A9746" s="841"/>
    </row>
    <row r="9747" spans="1:1" x14ac:dyDescent="0.25">
      <c r="A9747" s="841"/>
    </row>
    <row r="9748" spans="1:1" x14ac:dyDescent="0.25">
      <c r="A9748" s="841"/>
    </row>
    <row r="9749" spans="1:1" x14ac:dyDescent="0.25">
      <c r="A9749" s="841"/>
    </row>
    <row r="9750" spans="1:1" x14ac:dyDescent="0.25">
      <c r="A9750" s="841"/>
    </row>
    <row r="9751" spans="1:1" x14ac:dyDescent="0.25">
      <c r="A9751" s="841"/>
    </row>
    <row r="9752" spans="1:1" x14ac:dyDescent="0.25">
      <c r="A9752" s="841"/>
    </row>
    <row r="9753" spans="1:1" x14ac:dyDescent="0.25">
      <c r="A9753" s="841"/>
    </row>
    <row r="9754" spans="1:1" x14ac:dyDescent="0.25">
      <c r="A9754" s="841"/>
    </row>
    <row r="9755" spans="1:1" x14ac:dyDescent="0.25">
      <c r="A9755" s="841"/>
    </row>
    <row r="9756" spans="1:1" x14ac:dyDescent="0.25">
      <c r="A9756" s="841"/>
    </row>
    <row r="9757" spans="1:1" x14ac:dyDescent="0.25">
      <c r="A9757" s="841"/>
    </row>
    <row r="9758" spans="1:1" x14ac:dyDescent="0.25">
      <c r="A9758" s="841"/>
    </row>
    <row r="9759" spans="1:1" x14ac:dyDescent="0.25">
      <c r="A9759" s="841"/>
    </row>
    <row r="9760" spans="1:1" x14ac:dyDescent="0.25">
      <c r="A9760" s="841"/>
    </row>
    <row r="9761" spans="1:1" x14ac:dyDescent="0.25">
      <c r="A9761" s="841"/>
    </row>
    <row r="9762" spans="1:1" x14ac:dyDescent="0.25">
      <c r="A9762" s="841"/>
    </row>
    <row r="9763" spans="1:1" x14ac:dyDescent="0.25">
      <c r="A9763" s="841"/>
    </row>
    <row r="9764" spans="1:1" x14ac:dyDescent="0.25">
      <c r="A9764" s="841"/>
    </row>
    <row r="9765" spans="1:1" x14ac:dyDescent="0.25">
      <c r="A9765" s="841"/>
    </row>
    <row r="9766" spans="1:1" x14ac:dyDescent="0.25">
      <c r="A9766" s="841"/>
    </row>
    <row r="9767" spans="1:1" x14ac:dyDescent="0.25">
      <c r="A9767" s="841"/>
    </row>
    <row r="9768" spans="1:1" x14ac:dyDescent="0.25">
      <c r="A9768" s="841"/>
    </row>
    <row r="9769" spans="1:1" x14ac:dyDescent="0.25">
      <c r="A9769" s="841"/>
    </row>
    <row r="9770" spans="1:1" x14ac:dyDescent="0.25">
      <c r="A9770" s="841"/>
    </row>
    <row r="9771" spans="1:1" x14ac:dyDescent="0.25">
      <c r="A9771" s="841"/>
    </row>
    <row r="9772" spans="1:1" x14ac:dyDescent="0.25">
      <c r="A9772" s="841"/>
    </row>
    <row r="9773" spans="1:1" x14ac:dyDescent="0.25">
      <c r="A9773" s="841"/>
    </row>
    <row r="9774" spans="1:1" x14ac:dyDescent="0.25">
      <c r="A9774" s="841"/>
    </row>
    <row r="9775" spans="1:1" x14ac:dyDescent="0.25">
      <c r="A9775" s="841"/>
    </row>
    <row r="9776" spans="1:1" x14ac:dyDescent="0.25">
      <c r="A9776" s="841"/>
    </row>
    <row r="9777" spans="1:1" x14ac:dyDescent="0.25">
      <c r="A9777" s="841"/>
    </row>
    <row r="9778" spans="1:1" x14ac:dyDescent="0.25">
      <c r="A9778" s="841"/>
    </row>
    <row r="9779" spans="1:1" x14ac:dyDescent="0.25">
      <c r="A9779" s="841"/>
    </row>
    <row r="9780" spans="1:1" x14ac:dyDescent="0.25">
      <c r="A9780" s="841"/>
    </row>
    <row r="9781" spans="1:1" x14ac:dyDescent="0.25">
      <c r="A9781" s="841"/>
    </row>
    <row r="9782" spans="1:1" x14ac:dyDescent="0.25">
      <c r="A9782" s="841"/>
    </row>
    <row r="9783" spans="1:1" x14ac:dyDescent="0.25">
      <c r="A9783" s="841"/>
    </row>
    <row r="9784" spans="1:1" x14ac:dyDescent="0.25">
      <c r="A9784" s="841"/>
    </row>
    <row r="9785" spans="1:1" x14ac:dyDescent="0.25">
      <c r="A9785" s="841"/>
    </row>
    <row r="9786" spans="1:1" x14ac:dyDescent="0.25">
      <c r="A9786" s="841"/>
    </row>
    <row r="9787" spans="1:1" x14ac:dyDescent="0.25">
      <c r="A9787" s="841"/>
    </row>
    <row r="9788" spans="1:1" x14ac:dyDescent="0.25">
      <c r="A9788" s="841"/>
    </row>
    <row r="9789" spans="1:1" x14ac:dyDescent="0.25">
      <c r="A9789" s="841"/>
    </row>
    <row r="9790" spans="1:1" x14ac:dyDescent="0.25">
      <c r="A9790" s="841"/>
    </row>
    <row r="9791" spans="1:1" x14ac:dyDescent="0.25">
      <c r="A9791" s="841"/>
    </row>
    <row r="9792" spans="1:1" x14ac:dyDescent="0.25">
      <c r="A9792" s="841"/>
    </row>
    <row r="9793" spans="1:1" x14ac:dyDescent="0.25">
      <c r="A9793" s="841"/>
    </row>
    <row r="9794" spans="1:1" x14ac:dyDescent="0.25">
      <c r="A9794" s="841"/>
    </row>
    <row r="9795" spans="1:1" x14ac:dyDescent="0.25">
      <c r="A9795" s="841"/>
    </row>
    <row r="9796" spans="1:1" x14ac:dyDescent="0.25">
      <c r="A9796" s="841"/>
    </row>
    <row r="9797" spans="1:1" x14ac:dyDescent="0.25">
      <c r="A9797" s="841"/>
    </row>
    <row r="9798" spans="1:1" x14ac:dyDescent="0.25">
      <c r="A9798" s="841"/>
    </row>
    <row r="9799" spans="1:1" x14ac:dyDescent="0.25">
      <c r="A9799" s="841"/>
    </row>
    <row r="9800" spans="1:1" x14ac:dyDescent="0.25">
      <c r="A9800" s="841"/>
    </row>
    <row r="9801" spans="1:1" x14ac:dyDescent="0.25">
      <c r="A9801" s="841"/>
    </row>
    <row r="9802" spans="1:1" x14ac:dyDescent="0.25">
      <c r="A9802" s="841"/>
    </row>
    <row r="9803" spans="1:1" x14ac:dyDescent="0.25">
      <c r="A9803" s="841"/>
    </row>
    <row r="9804" spans="1:1" x14ac:dyDescent="0.25">
      <c r="A9804" s="841"/>
    </row>
    <row r="9805" spans="1:1" x14ac:dyDescent="0.25">
      <c r="A9805" s="841"/>
    </row>
    <row r="9806" spans="1:1" x14ac:dyDescent="0.25">
      <c r="A9806" s="841"/>
    </row>
    <row r="9807" spans="1:1" x14ac:dyDescent="0.25">
      <c r="A9807" s="841"/>
    </row>
    <row r="9808" spans="1:1" x14ac:dyDescent="0.25">
      <c r="A9808" s="841"/>
    </row>
    <row r="9809" spans="1:1" x14ac:dyDescent="0.25">
      <c r="A9809" s="841"/>
    </row>
    <row r="9810" spans="1:1" x14ac:dyDescent="0.25">
      <c r="A9810" s="841"/>
    </row>
    <row r="9811" spans="1:1" x14ac:dyDescent="0.25">
      <c r="A9811" s="841"/>
    </row>
    <row r="9812" spans="1:1" x14ac:dyDescent="0.25">
      <c r="A9812" s="841"/>
    </row>
    <row r="9813" spans="1:1" x14ac:dyDescent="0.25">
      <c r="A9813" s="841"/>
    </row>
    <row r="9814" spans="1:1" x14ac:dyDescent="0.25">
      <c r="A9814" s="841"/>
    </row>
    <row r="9815" spans="1:1" x14ac:dyDescent="0.25">
      <c r="A9815" s="841"/>
    </row>
    <row r="9816" spans="1:1" x14ac:dyDescent="0.25">
      <c r="A9816" s="841"/>
    </row>
    <row r="9817" spans="1:1" x14ac:dyDescent="0.25">
      <c r="A9817" s="841"/>
    </row>
    <row r="9818" spans="1:1" x14ac:dyDescent="0.25">
      <c r="A9818" s="841"/>
    </row>
    <row r="9819" spans="1:1" x14ac:dyDescent="0.25">
      <c r="A9819" s="841"/>
    </row>
    <row r="9820" spans="1:1" x14ac:dyDescent="0.25">
      <c r="A9820" s="841"/>
    </row>
    <row r="9821" spans="1:1" x14ac:dyDescent="0.25">
      <c r="A9821" s="841"/>
    </row>
    <row r="9822" spans="1:1" x14ac:dyDescent="0.25">
      <c r="A9822" s="841"/>
    </row>
    <row r="9823" spans="1:1" x14ac:dyDescent="0.25">
      <c r="A9823" s="841"/>
    </row>
    <row r="9824" spans="1:1" x14ac:dyDescent="0.25">
      <c r="A9824" s="841"/>
    </row>
    <row r="9825" spans="1:1" x14ac:dyDescent="0.25">
      <c r="A9825" s="841"/>
    </row>
    <row r="9826" spans="1:1" x14ac:dyDescent="0.25">
      <c r="A9826" s="841"/>
    </row>
    <row r="9827" spans="1:1" x14ac:dyDescent="0.25">
      <c r="A9827" s="841"/>
    </row>
    <row r="9828" spans="1:1" x14ac:dyDescent="0.25">
      <c r="A9828" s="841"/>
    </row>
    <row r="9829" spans="1:1" x14ac:dyDescent="0.25">
      <c r="A9829" s="841"/>
    </row>
    <row r="9830" spans="1:1" x14ac:dyDescent="0.25">
      <c r="A9830" s="841"/>
    </row>
    <row r="9831" spans="1:1" x14ac:dyDescent="0.25">
      <c r="A9831" s="841"/>
    </row>
    <row r="9832" spans="1:1" x14ac:dyDescent="0.25">
      <c r="A9832" s="841"/>
    </row>
    <row r="9833" spans="1:1" x14ac:dyDescent="0.25">
      <c r="A9833" s="841"/>
    </row>
    <row r="9834" spans="1:1" x14ac:dyDescent="0.25">
      <c r="A9834" s="841"/>
    </row>
    <row r="9835" spans="1:1" x14ac:dyDescent="0.25">
      <c r="A9835" s="841"/>
    </row>
    <row r="9836" spans="1:1" x14ac:dyDescent="0.25">
      <c r="A9836" s="841"/>
    </row>
    <row r="9837" spans="1:1" x14ac:dyDescent="0.25">
      <c r="A9837" s="841"/>
    </row>
    <row r="9838" spans="1:1" x14ac:dyDescent="0.25">
      <c r="A9838" s="841"/>
    </row>
    <row r="9839" spans="1:1" x14ac:dyDescent="0.25">
      <c r="A9839" s="841"/>
    </row>
    <row r="9840" spans="1:1" x14ac:dyDescent="0.25">
      <c r="A9840" s="841"/>
    </row>
    <row r="9841" spans="1:1" x14ac:dyDescent="0.25">
      <c r="A9841" s="841"/>
    </row>
    <row r="9842" spans="1:1" x14ac:dyDescent="0.25">
      <c r="A9842" s="841"/>
    </row>
    <row r="9843" spans="1:1" x14ac:dyDescent="0.25">
      <c r="A9843" s="841"/>
    </row>
    <row r="9844" spans="1:1" x14ac:dyDescent="0.25">
      <c r="A9844" s="841"/>
    </row>
    <row r="9845" spans="1:1" x14ac:dyDescent="0.25">
      <c r="A9845" s="841"/>
    </row>
    <row r="9846" spans="1:1" x14ac:dyDescent="0.25">
      <c r="A9846" s="841"/>
    </row>
    <row r="9847" spans="1:1" x14ac:dyDescent="0.25">
      <c r="A9847" s="841"/>
    </row>
    <row r="9848" spans="1:1" x14ac:dyDescent="0.25">
      <c r="A9848" s="841"/>
    </row>
    <row r="9849" spans="1:1" x14ac:dyDescent="0.25">
      <c r="A9849" s="841"/>
    </row>
    <row r="9850" spans="1:1" x14ac:dyDescent="0.25">
      <c r="A9850" s="841"/>
    </row>
    <row r="9851" spans="1:1" x14ac:dyDescent="0.25">
      <c r="A9851" s="841"/>
    </row>
    <row r="9852" spans="1:1" x14ac:dyDescent="0.25">
      <c r="A9852" s="841"/>
    </row>
    <row r="9853" spans="1:1" x14ac:dyDescent="0.25">
      <c r="A9853" s="841"/>
    </row>
    <row r="9854" spans="1:1" x14ac:dyDescent="0.25">
      <c r="A9854" s="841"/>
    </row>
    <row r="9855" spans="1:1" x14ac:dyDescent="0.25">
      <c r="A9855" s="841"/>
    </row>
    <row r="9856" spans="1:1" x14ac:dyDescent="0.25">
      <c r="A9856" s="841"/>
    </row>
    <row r="9857" spans="1:1" x14ac:dyDescent="0.25">
      <c r="A9857" s="841"/>
    </row>
    <row r="9858" spans="1:1" x14ac:dyDescent="0.25">
      <c r="A9858" s="841"/>
    </row>
    <row r="9859" spans="1:1" x14ac:dyDescent="0.25">
      <c r="A9859" s="841"/>
    </row>
    <row r="9860" spans="1:1" x14ac:dyDescent="0.25">
      <c r="A9860" s="841"/>
    </row>
    <row r="9861" spans="1:1" x14ac:dyDescent="0.25">
      <c r="A9861" s="841"/>
    </row>
    <row r="9862" spans="1:1" x14ac:dyDescent="0.25">
      <c r="A9862" s="841"/>
    </row>
    <row r="9863" spans="1:1" x14ac:dyDescent="0.25">
      <c r="A9863" s="841"/>
    </row>
    <row r="9864" spans="1:1" x14ac:dyDescent="0.25">
      <c r="A9864" s="841"/>
    </row>
    <row r="9865" spans="1:1" x14ac:dyDescent="0.25">
      <c r="A9865" s="841"/>
    </row>
    <row r="9866" spans="1:1" x14ac:dyDescent="0.25">
      <c r="A9866" s="841"/>
    </row>
    <row r="9867" spans="1:1" x14ac:dyDescent="0.25">
      <c r="A9867" s="841"/>
    </row>
    <row r="9868" spans="1:1" x14ac:dyDescent="0.25">
      <c r="A9868" s="841"/>
    </row>
    <row r="9869" spans="1:1" x14ac:dyDescent="0.25">
      <c r="A9869" s="841"/>
    </row>
    <row r="9870" spans="1:1" x14ac:dyDescent="0.25">
      <c r="A9870" s="841"/>
    </row>
    <row r="9871" spans="1:1" x14ac:dyDescent="0.25">
      <c r="A9871" s="841"/>
    </row>
    <row r="9872" spans="1:1" x14ac:dyDescent="0.25">
      <c r="A9872" s="841"/>
    </row>
    <row r="9873" spans="1:1" x14ac:dyDescent="0.25">
      <c r="A9873" s="841"/>
    </row>
    <row r="9874" spans="1:1" x14ac:dyDescent="0.25">
      <c r="A9874" s="841"/>
    </row>
    <row r="9875" spans="1:1" x14ac:dyDescent="0.25">
      <c r="A9875" s="841"/>
    </row>
    <row r="9876" spans="1:1" x14ac:dyDescent="0.25">
      <c r="A9876" s="841"/>
    </row>
    <row r="9877" spans="1:1" x14ac:dyDescent="0.25">
      <c r="A9877" s="841"/>
    </row>
    <row r="9878" spans="1:1" x14ac:dyDescent="0.25">
      <c r="A9878" s="841"/>
    </row>
    <row r="9879" spans="1:1" x14ac:dyDescent="0.25">
      <c r="A9879" s="841"/>
    </row>
    <row r="9880" spans="1:1" x14ac:dyDescent="0.25">
      <c r="A9880" s="841"/>
    </row>
    <row r="9881" spans="1:1" x14ac:dyDescent="0.25">
      <c r="A9881" s="841"/>
    </row>
    <row r="9882" spans="1:1" x14ac:dyDescent="0.25">
      <c r="A9882" s="841"/>
    </row>
    <row r="9883" spans="1:1" x14ac:dyDescent="0.25">
      <c r="A9883" s="841"/>
    </row>
    <row r="9884" spans="1:1" x14ac:dyDescent="0.25">
      <c r="A9884" s="841"/>
    </row>
    <row r="9885" spans="1:1" x14ac:dyDescent="0.25">
      <c r="A9885" s="841"/>
    </row>
    <row r="9886" spans="1:1" x14ac:dyDescent="0.25">
      <c r="A9886" s="841"/>
    </row>
    <row r="9887" spans="1:1" x14ac:dyDescent="0.25">
      <c r="A9887" s="841"/>
    </row>
    <row r="9888" spans="1:1" x14ac:dyDescent="0.25">
      <c r="A9888" s="841"/>
    </row>
    <row r="9889" spans="1:1" x14ac:dyDescent="0.25">
      <c r="A9889" s="841"/>
    </row>
    <row r="9890" spans="1:1" x14ac:dyDescent="0.25">
      <c r="A9890" s="841"/>
    </row>
    <row r="9891" spans="1:1" x14ac:dyDescent="0.25">
      <c r="A9891" s="841"/>
    </row>
    <row r="9892" spans="1:1" x14ac:dyDescent="0.25">
      <c r="A9892" s="841"/>
    </row>
    <row r="9893" spans="1:1" x14ac:dyDescent="0.25">
      <c r="A9893" s="841"/>
    </row>
    <row r="9894" spans="1:1" x14ac:dyDescent="0.25">
      <c r="A9894" s="841"/>
    </row>
    <row r="9895" spans="1:1" x14ac:dyDescent="0.25">
      <c r="A9895" s="841"/>
    </row>
    <row r="9896" spans="1:1" x14ac:dyDescent="0.25">
      <c r="A9896" s="841"/>
    </row>
    <row r="9897" spans="1:1" x14ac:dyDescent="0.25">
      <c r="A9897" s="841"/>
    </row>
    <row r="9898" spans="1:1" x14ac:dyDescent="0.25">
      <c r="A9898" s="841"/>
    </row>
    <row r="9899" spans="1:1" x14ac:dyDescent="0.25">
      <c r="A9899" s="841"/>
    </row>
    <row r="9900" spans="1:1" x14ac:dyDescent="0.25">
      <c r="A9900" s="841"/>
    </row>
    <row r="9901" spans="1:1" x14ac:dyDescent="0.25">
      <c r="A9901" s="841"/>
    </row>
    <row r="9902" spans="1:1" x14ac:dyDescent="0.25">
      <c r="A9902" s="841"/>
    </row>
    <row r="9903" spans="1:1" x14ac:dyDescent="0.25">
      <c r="A9903" s="841"/>
    </row>
    <row r="9904" spans="1:1" x14ac:dyDescent="0.25">
      <c r="A9904" s="841"/>
    </row>
    <row r="9905" spans="1:1" x14ac:dyDescent="0.25">
      <c r="A9905" s="841"/>
    </row>
    <row r="9906" spans="1:1" x14ac:dyDescent="0.25">
      <c r="A9906" s="841"/>
    </row>
    <row r="9907" spans="1:1" x14ac:dyDescent="0.25">
      <c r="A9907" s="841"/>
    </row>
    <row r="9908" spans="1:1" x14ac:dyDescent="0.25">
      <c r="A9908" s="841"/>
    </row>
    <row r="9909" spans="1:1" x14ac:dyDescent="0.25">
      <c r="A9909" s="841"/>
    </row>
    <row r="9910" spans="1:1" x14ac:dyDescent="0.25">
      <c r="A9910" s="841"/>
    </row>
    <row r="9911" spans="1:1" x14ac:dyDescent="0.25">
      <c r="A9911" s="841"/>
    </row>
    <row r="9912" spans="1:1" x14ac:dyDescent="0.25">
      <c r="A9912" s="841"/>
    </row>
    <row r="9913" spans="1:1" x14ac:dyDescent="0.25">
      <c r="A9913" s="841"/>
    </row>
    <row r="9914" spans="1:1" x14ac:dyDescent="0.25">
      <c r="A9914" s="841"/>
    </row>
    <row r="9915" spans="1:1" x14ac:dyDescent="0.25">
      <c r="A9915" s="841"/>
    </row>
    <row r="9916" spans="1:1" x14ac:dyDescent="0.25">
      <c r="A9916" s="841"/>
    </row>
    <row r="9917" spans="1:1" x14ac:dyDescent="0.25">
      <c r="A9917" s="841"/>
    </row>
    <row r="9918" spans="1:1" x14ac:dyDescent="0.25">
      <c r="A9918" s="841"/>
    </row>
    <row r="9919" spans="1:1" x14ac:dyDescent="0.25">
      <c r="A9919" s="841"/>
    </row>
    <row r="9920" spans="1:1" x14ac:dyDescent="0.25">
      <c r="A9920" s="841"/>
    </row>
    <row r="9921" spans="1:1" x14ac:dyDescent="0.25">
      <c r="A9921" s="841"/>
    </row>
    <row r="9922" spans="1:1" x14ac:dyDescent="0.25">
      <c r="A9922" s="841"/>
    </row>
    <row r="9923" spans="1:1" x14ac:dyDescent="0.25">
      <c r="A9923" s="841"/>
    </row>
    <row r="9924" spans="1:1" x14ac:dyDescent="0.25">
      <c r="A9924" s="841"/>
    </row>
    <row r="9925" spans="1:1" x14ac:dyDescent="0.25">
      <c r="A9925" s="841"/>
    </row>
    <row r="9926" spans="1:1" x14ac:dyDescent="0.25">
      <c r="A9926" s="841"/>
    </row>
    <row r="9927" spans="1:1" x14ac:dyDescent="0.25">
      <c r="A9927" s="841"/>
    </row>
    <row r="9928" spans="1:1" x14ac:dyDescent="0.25">
      <c r="A9928" s="841"/>
    </row>
    <row r="9929" spans="1:1" x14ac:dyDescent="0.25">
      <c r="A9929" s="841"/>
    </row>
    <row r="9930" spans="1:1" x14ac:dyDescent="0.25">
      <c r="A9930" s="841"/>
    </row>
    <row r="9931" spans="1:1" x14ac:dyDescent="0.25">
      <c r="A9931" s="841"/>
    </row>
    <row r="9932" spans="1:1" x14ac:dyDescent="0.25">
      <c r="A9932" s="841"/>
    </row>
    <row r="9933" spans="1:1" x14ac:dyDescent="0.25">
      <c r="A9933" s="841"/>
    </row>
    <row r="9934" spans="1:1" x14ac:dyDescent="0.25">
      <c r="A9934" s="841"/>
    </row>
    <row r="9935" spans="1:1" x14ac:dyDescent="0.25">
      <c r="A9935" s="841"/>
    </row>
    <row r="9936" spans="1:1" x14ac:dyDescent="0.25">
      <c r="A9936" s="841"/>
    </row>
    <row r="9937" spans="1:1" x14ac:dyDescent="0.25">
      <c r="A9937" s="841"/>
    </row>
    <row r="9938" spans="1:1" x14ac:dyDescent="0.25">
      <c r="A9938" s="841"/>
    </row>
    <row r="9939" spans="1:1" x14ac:dyDescent="0.25">
      <c r="A9939" s="841"/>
    </row>
    <row r="9940" spans="1:1" x14ac:dyDescent="0.25">
      <c r="A9940" s="841"/>
    </row>
    <row r="9941" spans="1:1" x14ac:dyDescent="0.25">
      <c r="A9941" s="841"/>
    </row>
    <row r="9942" spans="1:1" x14ac:dyDescent="0.25">
      <c r="A9942" s="841"/>
    </row>
    <row r="9943" spans="1:1" x14ac:dyDescent="0.25">
      <c r="A9943" s="841"/>
    </row>
    <row r="9944" spans="1:1" x14ac:dyDescent="0.25">
      <c r="A9944" s="841"/>
    </row>
    <row r="9945" spans="1:1" x14ac:dyDescent="0.25">
      <c r="A9945" s="841"/>
    </row>
    <row r="9946" spans="1:1" x14ac:dyDescent="0.25">
      <c r="A9946" s="841"/>
    </row>
    <row r="9947" spans="1:1" x14ac:dyDescent="0.25">
      <c r="A9947" s="841"/>
    </row>
    <row r="9948" spans="1:1" x14ac:dyDescent="0.25">
      <c r="A9948" s="841"/>
    </row>
    <row r="9949" spans="1:1" x14ac:dyDescent="0.25">
      <c r="A9949" s="841"/>
    </row>
    <row r="9950" spans="1:1" x14ac:dyDescent="0.25">
      <c r="A9950" s="841"/>
    </row>
    <row r="9951" spans="1:1" x14ac:dyDescent="0.25">
      <c r="A9951" s="841"/>
    </row>
    <row r="9952" spans="1:1" x14ac:dyDescent="0.25">
      <c r="A9952" s="841"/>
    </row>
    <row r="9953" spans="1:1" x14ac:dyDescent="0.25">
      <c r="A9953" s="841"/>
    </row>
    <row r="9954" spans="1:1" x14ac:dyDescent="0.25">
      <c r="A9954" s="841"/>
    </row>
    <row r="9955" spans="1:1" x14ac:dyDescent="0.25">
      <c r="A9955" s="841"/>
    </row>
    <row r="9956" spans="1:1" x14ac:dyDescent="0.25">
      <c r="A9956" s="841"/>
    </row>
    <row r="9957" spans="1:1" x14ac:dyDescent="0.25">
      <c r="A9957" s="841"/>
    </row>
    <row r="9958" spans="1:1" x14ac:dyDescent="0.25">
      <c r="A9958" s="841"/>
    </row>
    <row r="9959" spans="1:1" x14ac:dyDescent="0.25">
      <c r="A9959" s="841"/>
    </row>
    <row r="9960" spans="1:1" x14ac:dyDescent="0.25">
      <c r="A9960" s="841"/>
    </row>
    <row r="9961" spans="1:1" x14ac:dyDescent="0.25">
      <c r="A9961" s="841"/>
    </row>
    <row r="9962" spans="1:1" x14ac:dyDescent="0.25">
      <c r="A9962" s="841"/>
    </row>
    <row r="9963" spans="1:1" x14ac:dyDescent="0.25">
      <c r="A9963" s="841"/>
    </row>
    <row r="9964" spans="1:1" x14ac:dyDescent="0.25">
      <c r="A9964" s="841"/>
    </row>
    <row r="9965" spans="1:1" x14ac:dyDescent="0.25">
      <c r="A9965" s="841"/>
    </row>
    <row r="9966" spans="1:1" x14ac:dyDescent="0.25">
      <c r="A9966" s="841"/>
    </row>
    <row r="9967" spans="1:1" x14ac:dyDescent="0.25">
      <c r="A9967" s="841"/>
    </row>
    <row r="9968" spans="1:1" x14ac:dyDescent="0.25">
      <c r="A9968" s="841"/>
    </row>
    <row r="9969" spans="1:1" x14ac:dyDescent="0.25">
      <c r="A9969" s="841"/>
    </row>
    <row r="9970" spans="1:1" x14ac:dyDescent="0.25">
      <c r="A9970" s="841"/>
    </row>
    <row r="9971" spans="1:1" x14ac:dyDescent="0.25">
      <c r="A9971" s="841"/>
    </row>
    <row r="9972" spans="1:1" x14ac:dyDescent="0.25">
      <c r="A9972" s="841"/>
    </row>
    <row r="9973" spans="1:1" x14ac:dyDescent="0.25">
      <c r="A9973" s="841"/>
    </row>
    <row r="9974" spans="1:1" x14ac:dyDescent="0.25">
      <c r="A9974" s="841"/>
    </row>
    <row r="9975" spans="1:1" x14ac:dyDescent="0.25">
      <c r="A9975" s="841"/>
    </row>
    <row r="9976" spans="1:1" x14ac:dyDescent="0.25">
      <c r="A9976" s="841"/>
    </row>
    <row r="9977" spans="1:1" x14ac:dyDescent="0.25">
      <c r="A9977" s="841"/>
    </row>
    <row r="9978" spans="1:1" x14ac:dyDescent="0.25">
      <c r="A9978" s="841"/>
    </row>
    <row r="9979" spans="1:1" x14ac:dyDescent="0.25">
      <c r="A9979" s="841"/>
    </row>
    <row r="9980" spans="1:1" x14ac:dyDescent="0.25">
      <c r="A9980" s="841"/>
    </row>
    <row r="9981" spans="1:1" x14ac:dyDescent="0.25">
      <c r="A9981" s="841"/>
    </row>
    <row r="9982" spans="1:1" x14ac:dyDescent="0.25">
      <c r="A9982" s="841"/>
    </row>
    <row r="9983" spans="1:1" x14ac:dyDescent="0.25">
      <c r="A9983" s="841"/>
    </row>
    <row r="9984" spans="1:1" x14ac:dyDescent="0.25">
      <c r="A9984" s="841"/>
    </row>
    <row r="9985" spans="1:1" x14ac:dyDescent="0.25">
      <c r="A9985" s="841"/>
    </row>
    <row r="9986" spans="1:1" x14ac:dyDescent="0.25">
      <c r="A9986" s="841"/>
    </row>
    <row r="9987" spans="1:1" x14ac:dyDescent="0.25">
      <c r="A9987" s="841"/>
    </row>
    <row r="9988" spans="1:1" x14ac:dyDescent="0.25">
      <c r="A9988" s="841"/>
    </row>
    <row r="9989" spans="1:1" x14ac:dyDescent="0.25">
      <c r="A9989" s="841"/>
    </row>
    <row r="9990" spans="1:1" x14ac:dyDescent="0.25">
      <c r="A9990" s="841"/>
    </row>
    <row r="9991" spans="1:1" x14ac:dyDescent="0.25">
      <c r="A9991" s="841"/>
    </row>
    <row r="9992" spans="1:1" x14ac:dyDescent="0.25">
      <c r="A9992" s="841"/>
    </row>
    <row r="9993" spans="1:1" x14ac:dyDescent="0.25">
      <c r="A9993" s="841"/>
    </row>
    <row r="9994" spans="1:1" x14ac:dyDescent="0.25">
      <c r="A9994" s="841"/>
    </row>
    <row r="9995" spans="1:1" x14ac:dyDescent="0.25">
      <c r="A9995" s="841"/>
    </row>
    <row r="9996" spans="1:1" x14ac:dyDescent="0.25">
      <c r="A9996" s="841"/>
    </row>
    <row r="9997" spans="1:1" x14ac:dyDescent="0.25">
      <c r="A9997" s="841"/>
    </row>
    <row r="9998" spans="1:1" x14ac:dyDescent="0.25">
      <c r="A9998" s="841"/>
    </row>
    <row r="9999" spans="1:1" x14ac:dyDescent="0.25">
      <c r="A9999" s="841"/>
    </row>
    <row r="10000" spans="1:1" x14ac:dyDescent="0.25">
      <c r="A10000" s="841"/>
    </row>
    <row r="10001" spans="1:1" x14ac:dyDescent="0.25">
      <c r="A10001" s="841"/>
    </row>
    <row r="10002" spans="1:1" x14ac:dyDescent="0.25">
      <c r="A10002" s="841"/>
    </row>
    <row r="10003" spans="1:1" x14ac:dyDescent="0.25">
      <c r="A10003" s="841"/>
    </row>
    <row r="10004" spans="1:1" x14ac:dyDescent="0.25">
      <c r="A10004" s="841"/>
    </row>
    <row r="10005" spans="1:1" x14ac:dyDescent="0.25">
      <c r="A10005" s="841"/>
    </row>
    <row r="10006" spans="1:1" x14ac:dyDescent="0.25">
      <c r="A10006" s="841"/>
    </row>
    <row r="10007" spans="1:1" x14ac:dyDescent="0.25">
      <c r="A10007" s="841"/>
    </row>
    <row r="10008" spans="1:1" x14ac:dyDescent="0.25">
      <c r="A10008" s="841"/>
    </row>
    <row r="10009" spans="1:1" x14ac:dyDescent="0.25">
      <c r="A10009" s="841"/>
    </row>
    <row r="10010" spans="1:1" x14ac:dyDescent="0.25">
      <c r="A10010" s="841"/>
    </row>
    <row r="10011" spans="1:1" x14ac:dyDescent="0.25">
      <c r="A10011" s="841"/>
    </row>
    <row r="10012" spans="1:1" x14ac:dyDescent="0.25">
      <c r="A10012" s="841"/>
    </row>
    <row r="10013" spans="1:1" x14ac:dyDescent="0.25">
      <c r="A10013" s="841"/>
    </row>
    <row r="10014" spans="1:1" x14ac:dyDescent="0.25">
      <c r="A10014" s="841"/>
    </row>
    <row r="10015" spans="1:1" x14ac:dyDescent="0.25">
      <c r="A10015" s="841"/>
    </row>
    <row r="10016" spans="1:1" x14ac:dyDescent="0.25">
      <c r="A10016" s="841"/>
    </row>
    <row r="10017" spans="1:1" x14ac:dyDescent="0.25">
      <c r="A10017" s="841"/>
    </row>
    <row r="10018" spans="1:1" x14ac:dyDescent="0.25">
      <c r="A10018" s="841"/>
    </row>
    <row r="10019" spans="1:1" x14ac:dyDescent="0.25">
      <c r="A10019" s="841"/>
    </row>
    <row r="10020" spans="1:1" x14ac:dyDescent="0.25">
      <c r="A10020" s="841"/>
    </row>
    <row r="10021" spans="1:1" x14ac:dyDescent="0.25">
      <c r="A10021" s="841"/>
    </row>
    <row r="10022" spans="1:1" x14ac:dyDescent="0.25">
      <c r="A10022" s="841"/>
    </row>
    <row r="10023" spans="1:1" x14ac:dyDescent="0.25">
      <c r="A10023" s="841"/>
    </row>
    <row r="10024" spans="1:1" x14ac:dyDescent="0.25">
      <c r="A10024" s="841"/>
    </row>
    <row r="10025" spans="1:1" x14ac:dyDescent="0.25">
      <c r="A10025" s="841"/>
    </row>
    <row r="10026" spans="1:1" x14ac:dyDescent="0.25">
      <c r="A10026" s="841"/>
    </row>
    <row r="10027" spans="1:1" x14ac:dyDescent="0.25">
      <c r="A10027" s="841"/>
    </row>
    <row r="10028" spans="1:1" x14ac:dyDescent="0.25">
      <c r="A10028" s="841"/>
    </row>
    <row r="10029" spans="1:1" x14ac:dyDescent="0.25">
      <c r="A10029" s="841"/>
    </row>
    <row r="10030" spans="1:1" x14ac:dyDescent="0.25">
      <c r="A10030" s="841"/>
    </row>
    <row r="10031" spans="1:1" x14ac:dyDescent="0.25">
      <c r="A10031" s="841"/>
    </row>
    <row r="10032" spans="1:1" x14ac:dyDescent="0.25">
      <c r="A10032" s="841"/>
    </row>
    <row r="10033" spans="1:1" x14ac:dyDescent="0.25">
      <c r="A10033" s="841"/>
    </row>
    <row r="10034" spans="1:1" x14ac:dyDescent="0.25">
      <c r="A10034" s="841"/>
    </row>
    <row r="10035" spans="1:1" x14ac:dyDescent="0.25">
      <c r="A10035" s="841"/>
    </row>
    <row r="10036" spans="1:1" x14ac:dyDescent="0.25">
      <c r="A10036" s="841"/>
    </row>
    <row r="10037" spans="1:1" x14ac:dyDescent="0.25">
      <c r="A10037" s="841"/>
    </row>
    <row r="10038" spans="1:1" x14ac:dyDescent="0.25">
      <c r="A10038" s="841"/>
    </row>
    <row r="10039" spans="1:1" x14ac:dyDescent="0.25">
      <c r="A10039" s="841"/>
    </row>
    <row r="10040" spans="1:1" x14ac:dyDescent="0.25">
      <c r="A10040" s="841"/>
    </row>
    <row r="10041" spans="1:1" x14ac:dyDescent="0.25">
      <c r="A10041" s="841"/>
    </row>
    <row r="10042" spans="1:1" x14ac:dyDescent="0.25">
      <c r="A10042" s="841"/>
    </row>
    <row r="10043" spans="1:1" x14ac:dyDescent="0.25">
      <c r="A10043" s="841"/>
    </row>
    <row r="10044" spans="1:1" x14ac:dyDescent="0.25">
      <c r="A10044" s="841"/>
    </row>
    <row r="10045" spans="1:1" x14ac:dyDescent="0.25">
      <c r="A10045" s="841"/>
    </row>
    <row r="10046" spans="1:1" x14ac:dyDescent="0.25">
      <c r="A10046" s="841"/>
    </row>
    <row r="10047" spans="1:1" x14ac:dyDescent="0.25">
      <c r="A10047" s="841"/>
    </row>
    <row r="10048" spans="1:1" x14ac:dyDescent="0.25">
      <c r="A10048" s="841"/>
    </row>
    <row r="10049" spans="1:1" x14ac:dyDescent="0.25">
      <c r="A10049" s="841"/>
    </row>
    <row r="10050" spans="1:1" x14ac:dyDescent="0.25">
      <c r="A10050" s="841"/>
    </row>
    <row r="10051" spans="1:1" x14ac:dyDescent="0.25">
      <c r="A10051" s="841"/>
    </row>
    <row r="10052" spans="1:1" x14ac:dyDescent="0.25">
      <c r="A10052" s="841"/>
    </row>
    <row r="10053" spans="1:1" x14ac:dyDescent="0.25">
      <c r="A10053" s="841"/>
    </row>
    <row r="10054" spans="1:1" x14ac:dyDescent="0.25">
      <c r="A10054" s="841"/>
    </row>
    <row r="10055" spans="1:1" x14ac:dyDescent="0.25">
      <c r="A10055" s="841"/>
    </row>
    <row r="10056" spans="1:1" x14ac:dyDescent="0.25">
      <c r="A10056" s="841"/>
    </row>
    <row r="10057" spans="1:1" x14ac:dyDescent="0.25">
      <c r="A10057" s="841"/>
    </row>
    <row r="10058" spans="1:1" x14ac:dyDescent="0.25">
      <c r="A10058" s="841"/>
    </row>
    <row r="10059" spans="1:1" x14ac:dyDescent="0.25">
      <c r="A10059" s="841"/>
    </row>
    <row r="10060" spans="1:1" x14ac:dyDescent="0.25">
      <c r="A10060" s="841"/>
    </row>
    <row r="10061" spans="1:1" x14ac:dyDescent="0.25">
      <c r="A10061" s="841"/>
    </row>
    <row r="10062" spans="1:1" x14ac:dyDescent="0.25">
      <c r="A10062" s="841"/>
    </row>
    <row r="10063" spans="1:1" x14ac:dyDescent="0.25">
      <c r="A10063" s="841"/>
    </row>
    <row r="10064" spans="1:1" x14ac:dyDescent="0.25">
      <c r="A10064" s="841"/>
    </row>
    <row r="10065" spans="1:1" x14ac:dyDescent="0.25">
      <c r="A10065" s="841"/>
    </row>
    <row r="10066" spans="1:1" x14ac:dyDescent="0.25">
      <c r="A10066" s="841"/>
    </row>
    <row r="10067" spans="1:1" x14ac:dyDescent="0.25">
      <c r="A10067" s="841"/>
    </row>
    <row r="10068" spans="1:1" x14ac:dyDescent="0.25">
      <c r="A10068" s="841"/>
    </row>
    <row r="10069" spans="1:1" x14ac:dyDescent="0.25">
      <c r="A10069" s="841"/>
    </row>
    <row r="10070" spans="1:1" x14ac:dyDescent="0.25">
      <c r="A10070" s="841"/>
    </row>
    <row r="10071" spans="1:1" x14ac:dyDescent="0.25">
      <c r="A10071" s="841"/>
    </row>
    <row r="10072" spans="1:1" x14ac:dyDescent="0.25">
      <c r="A10072" s="841"/>
    </row>
    <row r="10073" spans="1:1" x14ac:dyDescent="0.25">
      <c r="A10073" s="841"/>
    </row>
    <row r="10074" spans="1:1" x14ac:dyDescent="0.25">
      <c r="A10074" s="841"/>
    </row>
    <row r="10075" spans="1:1" x14ac:dyDescent="0.25">
      <c r="A10075" s="841"/>
    </row>
    <row r="10076" spans="1:1" x14ac:dyDescent="0.25">
      <c r="A10076" s="841"/>
    </row>
    <row r="10077" spans="1:1" x14ac:dyDescent="0.25">
      <c r="A10077" s="841"/>
    </row>
    <row r="10078" spans="1:1" x14ac:dyDescent="0.25">
      <c r="A10078" s="841"/>
    </row>
    <row r="10079" spans="1:1" x14ac:dyDescent="0.25">
      <c r="A10079" s="841"/>
    </row>
    <row r="10080" spans="1:1" x14ac:dyDescent="0.25">
      <c r="A10080" s="841"/>
    </row>
    <row r="10081" spans="1:1" x14ac:dyDescent="0.25">
      <c r="A10081" s="841"/>
    </row>
    <row r="10082" spans="1:1" x14ac:dyDescent="0.25">
      <c r="A10082" s="841"/>
    </row>
    <row r="10083" spans="1:1" x14ac:dyDescent="0.25">
      <c r="A10083" s="841"/>
    </row>
    <row r="10084" spans="1:1" x14ac:dyDescent="0.25">
      <c r="A10084" s="841"/>
    </row>
    <row r="10085" spans="1:1" x14ac:dyDescent="0.25">
      <c r="A10085" s="841"/>
    </row>
    <row r="10086" spans="1:1" x14ac:dyDescent="0.25">
      <c r="A10086" s="841"/>
    </row>
    <row r="10087" spans="1:1" x14ac:dyDescent="0.25">
      <c r="A10087" s="841"/>
    </row>
    <row r="10088" spans="1:1" x14ac:dyDescent="0.25">
      <c r="A10088" s="841"/>
    </row>
    <row r="10089" spans="1:1" x14ac:dyDescent="0.25">
      <c r="A10089" s="841"/>
    </row>
    <row r="10090" spans="1:1" x14ac:dyDescent="0.25">
      <c r="A10090" s="841"/>
    </row>
    <row r="10091" spans="1:1" x14ac:dyDescent="0.25">
      <c r="A10091" s="841"/>
    </row>
    <row r="10092" spans="1:1" x14ac:dyDescent="0.25">
      <c r="A10092" s="841"/>
    </row>
    <row r="10093" spans="1:1" x14ac:dyDescent="0.25">
      <c r="A10093" s="841"/>
    </row>
    <row r="10094" spans="1:1" x14ac:dyDescent="0.25">
      <c r="A10094" s="841"/>
    </row>
    <row r="10095" spans="1:1" x14ac:dyDescent="0.25">
      <c r="A10095" s="841"/>
    </row>
    <row r="10096" spans="1:1" x14ac:dyDescent="0.25">
      <c r="A10096" s="841"/>
    </row>
    <row r="10097" spans="1:1" x14ac:dyDescent="0.25">
      <c r="A10097" s="841"/>
    </row>
    <row r="10098" spans="1:1" x14ac:dyDescent="0.25">
      <c r="A10098" s="841"/>
    </row>
    <row r="10099" spans="1:1" x14ac:dyDescent="0.25">
      <c r="A10099" s="841"/>
    </row>
    <row r="10100" spans="1:1" x14ac:dyDescent="0.25">
      <c r="A10100" s="841"/>
    </row>
    <row r="10101" spans="1:1" x14ac:dyDescent="0.25">
      <c r="A10101" s="841"/>
    </row>
    <row r="10102" spans="1:1" x14ac:dyDescent="0.25">
      <c r="A10102" s="841"/>
    </row>
    <row r="10103" spans="1:1" x14ac:dyDescent="0.25">
      <c r="A10103" s="841"/>
    </row>
    <row r="10104" spans="1:1" x14ac:dyDescent="0.25">
      <c r="A10104" s="841"/>
    </row>
    <row r="10105" spans="1:1" x14ac:dyDescent="0.25">
      <c r="A10105" s="841"/>
    </row>
    <row r="10106" spans="1:1" x14ac:dyDescent="0.25">
      <c r="A10106" s="841"/>
    </row>
    <row r="10107" spans="1:1" x14ac:dyDescent="0.25">
      <c r="A10107" s="841"/>
    </row>
    <row r="10108" spans="1:1" x14ac:dyDescent="0.25">
      <c r="A10108" s="841"/>
    </row>
    <row r="10109" spans="1:1" x14ac:dyDescent="0.25">
      <c r="A10109" s="841"/>
    </row>
    <row r="10110" spans="1:1" x14ac:dyDescent="0.25">
      <c r="A10110" s="841"/>
    </row>
    <row r="10111" spans="1:1" x14ac:dyDescent="0.25">
      <c r="A10111" s="841"/>
    </row>
    <row r="10112" spans="1:1" x14ac:dyDescent="0.25">
      <c r="A10112" s="841"/>
    </row>
    <row r="10113" spans="1:1" x14ac:dyDescent="0.25">
      <c r="A10113" s="841"/>
    </row>
    <row r="10114" spans="1:1" x14ac:dyDescent="0.25">
      <c r="A10114" s="841"/>
    </row>
    <row r="10115" spans="1:1" x14ac:dyDescent="0.25">
      <c r="A10115" s="841"/>
    </row>
    <row r="10116" spans="1:1" x14ac:dyDescent="0.25">
      <c r="A10116" s="841"/>
    </row>
    <row r="10117" spans="1:1" x14ac:dyDescent="0.25">
      <c r="A10117" s="841"/>
    </row>
    <row r="10118" spans="1:1" x14ac:dyDescent="0.25">
      <c r="A10118" s="841"/>
    </row>
    <row r="10119" spans="1:1" x14ac:dyDescent="0.25">
      <c r="A10119" s="841"/>
    </row>
    <row r="10120" spans="1:1" x14ac:dyDescent="0.25">
      <c r="A10120" s="841"/>
    </row>
    <row r="10121" spans="1:1" x14ac:dyDescent="0.25">
      <c r="A10121" s="841"/>
    </row>
    <row r="10122" spans="1:1" x14ac:dyDescent="0.25">
      <c r="A10122" s="841"/>
    </row>
    <row r="10123" spans="1:1" x14ac:dyDescent="0.25">
      <c r="A10123" s="841"/>
    </row>
    <row r="10124" spans="1:1" x14ac:dyDescent="0.25">
      <c r="A10124" s="841"/>
    </row>
    <row r="10125" spans="1:1" x14ac:dyDescent="0.25">
      <c r="A10125" s="841"/>
    </row>
    <row r="10126" spans="1:1" x14ac:dyDescent="0.25">
      <c r="A10126" s="841"/>
    </row>
    <row r="10127" spans="1:1" x14ac:dyDescent="0.25">
      <c r="A10127" s="841"/>
    </row>
    <row r="10128" spans="1:1" x14ac:dyDescent="0.25">
      <c r="A10128" s="841"/>
    </row>
    <row r="10129" spans="1:1" x14ac:dyDescent="0.25">
      <c r="A10129" s="841"/>
    </row>
    <row r="10130" spans="1:1" x14ac:dyDescent="0.25">
      <c r="A10130" s="841"/>
    </row>
    <row r="10131" spans="1:1" x14ac:dyDescent="0.25">
      <c r="A10131" s="841"/>
    </row>
    <row r="10132" spans="1:1" x14ac:dyDescent="0.25">
      <c r="A10132" s="841"/>
    </row>
    <row r="10133" spans="1:1" x14ac:dyDescent="0.25">
      <c r="A10133" s="841"/>
    </row>
    <row r="10134" spans="1:1" x14ac:dyDescent="0.25">
      <c r="A10134" s="841"/>
    </row>
    <row r="10135" spans="1:1" x14ac:dyDescent="0.25">
      <c r="A10135" s="841"/>
    </row>
    <row r="10136" spans="1:1" x14ac:dyDescent="0.25">
      <c r="A10136" s="841"/>
    </row>
    <row r="10137" spans="1:1" x14ac:dyDescent="0.25">
      <c r="A10137" s="841"/>
    </row>
    <row r="10138" spans="1:1" x14ac:dyDescent="0.25">
      <c r="A10138" s="841"/>
    </row>
    <row r="10139" spans="1:1" x14ac:dyDescent="0.25">
      <c r="A10139" s="841"/>
    </row>
    <row r="10140" spans="1:1" x14ac:dyDescent="0.25">
      <c r="A10140" s="841"/>
    </row>
    <row r="10141" spans="1:1" x14ac:dyDescent="0.25">
      <c r="A10141" s="841"/>
    </row>
    <row r="10142" spans="1:1" x14ac:dyDescent="0.25">
      <c r="A10142" s="841"/>
    </row>
    <row r="10143" spans="1:1" x14ac:dyDescent="0.25">
      <c r="A10143" s="841"/>
    </row>
    <row r="10144" spans="1:1" x14ac:dyDescent="0.25">
      <c r="A10144" s="841"/>
    </row>
    <row r="10145" spans="1:1" x14ac:dyDescent="0.25">
      <c r="A10145" s="841"/>
    </row>
    <row r="10146" spans="1:1" x14ac:dyDescent="0.25">
      <c r="A10146" s="841"/>
    </row>
    <row r="10147" spans="1:1" x14ac:dyDescent="0.25">
      <c r="A10147" s="841"/>
    </row>
    <row r="10148" spans="1:1" x14ac:dyDescent="0.25">
      <c r="A10148" s="841"/>
    </row>
    <row r="10149" spans="1:1" x14ac:dyDescent="0.25">
      <c r="A10149" s="841"/>
    </row>
    <row r="10150" spans="1:1" x14ac:dyDescent="0.25">
      <c r="A10150" s="841"/>
    </row>
    <row r="10151" spans="1:1" x14ac:dyDescent="0.25">
      <c r="A10151" s="841"/>
    </row>
    <row r="10152" spans="1:1" x14ac:dyDescent="0.25">
      <c r="A10152" s="841"/>
    </row>
    <row r="10153" spans="1:1" x14ac:dyDescent="0.25">
      <c r="A10153" s="841"/>
    </row>
    <row r="10154" spans="1:1" x14ac:dyDescent="0.25">
      <c r="A10154" s="841"/>
    </row>
    <row r="10155" spans="1:1" x14ac:dyDescent="0.25">
      <c r="A10155" s="841"/>
    </row>
    <row r="10156" spans="1:1" x14ac:dyDescent="0.25">
      <c r="A10156" s="841"/>
    </row>
    <row r="10157" spans="1:1" x14ac:dyDescent="0.25">
      <c r="A10157" s="841"/>
    </row>
    <row r="10158" spans="1:1" x14ac:dyDescent="0.25">
      <c r="A10158" s="841"/>
    </row>
    <row r="10159" spans="1:1" x14ac:dyDescent="0.25">
      <c r="A10159" s="841"/>
    </row>
    <row r="10160" spans="1:1" x14ac:dyDescent="0.25">
      <c r="A10160" s="841"/>
    </row>
    <row r="10161" spans="1:1" x14ac:dyDescent="0.25">
      <c r="A10161" s="841"/>
    </row>
    <row r="10162" spans="1:1" x14ac:dyDescent="0.25">
      <c r="A10162" s="841"/>
    </row>
    <row r="10163" spans="1:1" x14ac:dyDescent="0.25">
      <c r="A10163" s="841"/>
    </row>
    <row r="10164" spans="1:1" x14ac:dyDescent="0.25">
      <c r="A10164" s="841"/>
    </row>
    <row r="10165" spans="1:1" x14ac:dyDescent="0.25">
      <c r="A10165" s="841"/>
    </row>
    <row r="10166" spans="1:1" x14ac:dyDescent="0.25">
      <c r="A10166" s="841"/>
    </row>
    <row r="10167" spans="1:1" x14ac:dyDescent="0.25">
      <c r="A10167" s="841"/>
    </row>
    <row r="10168" spans="1:1" x14ac:dyDescent="0.25">
      <c r="A10168" s="841"/>
    </row>
    <row r="10169" spans="1:1" x14ac:dyDescent="0.25">
      <c r="A10169" s="841"/>
    </row>
    <row r="10170" spans="1:1" x14ac:dyDescent="0.25">
      <c r="A10170" s="841"/>
    </row>
    <row r="10171" spans="1:1" x14ac:dyDescent="0.25">
      <c r="A10171" s="841"/>
    </row>
    <row r="10172" spans="1:1" x14ac:dyDescent="0.25">
      <c r="A10172" s="841"/>
    </row>
    <row r="10173" spans="1:1" x14ac:dyDescent="0.25">
      <c r="A10173" s="841"/>
    </row>
    <row r="10174" spans="1:1" x14ac:dyDescent="0.25">
      <c r="A10174" s="841"/>
    </row>
    <row r="10175" spans="1:1" x14ac:dyDescent="0.25">
      <c r="A10175" s="841"/>
    </row>
    <row r="10176" spans="1:1" x14ac:dyDescent="0.25">
      <c r="A10176" s="841"/>
    </row>
    <row r="10177" spans="1:1" x14ac:dyDescent="0.25">
      <c r="A10177" s="841"/>
    </row>
    <row r="10178" spans="1:1" x14ac:dyDescent="0.25">
      <c r="A10178" s="841"/>
    </row>
    <row r="10179" spans="1:1" x14ac:dyDescent="0.25">
      <c r="A10179" s="841"/>
    </row>
    <row r="10180" spans="1:1" x14ac:dyDescent="0.25">
      <c r="A10180" s="841"/>
    </row>
    <row r="10181" spans="1:1" x14ac:dyDescent="0.25">
      <c r="A10181" s="841"/>
    </row>
    <row r="10182" spans="1:1" x14ac:dyDescent="0.25">
      <c r="A10182" s="841"/>
    </row>
    <row r="10183" spans="1:1" x14ac:dyDescent="0.25">
      <c r="A10183" s="841"/>
    </row>
    <row r="10184" spans="1:1" x14ac:dyDescent="0.25">
      <c r="A10184" s="841"/>
    </row>
    <row r="10185" spans="1:1" x14ac:dyDescent="0.25">
      <c r="A10185" s="841"/>
    </row>
    <row r="10186" spans="1:1" x14ac:dyDescent="0.25">
      <c r="A10186" s="841"/>
    </row>
    <row r="10187" spans="1:1" x14ac:dyDescent="0.25">
      <c r="A10187" s="841"/>
    </row>
    <row r="10188" spans="1:1" x14ac:dyDescent="0.25">
      <c r="A10188" s="841"/>
    </row>
    <row r="10189" spans="1:1" x14ac:dyDescent="0.25">
      <c r="A10189" s="841"/>
    </row>
    <row r="10190" spans="1:1" x14ac:dyDescent="0.25">
      <c r="A10190" s="841"/>
    </row>
    <row r="10191" spans="1:1" x14ac:dyDescent="0.25">
      <c r="A10191" s="841"/>
    </row>
    <row r="10192" spans="1:1" x14ac:dyDescent="0.25">
      <c r="A10192" s="841"/>
    </row>
    <row r="10193" spans="1:1" x14ac:dyDescent="0.25">
      <c r="A10193" s="841"/>
    </row>
    <row r="10194" spans="1:1" x14ac:dyDescent="0.25">
      <c r="A10194" s="841"/>
    </row>
    <row r="10195" spans="1:1" x14ac:dyDescent="0.25">
      <c r="A10195" s="841"/>
    </row>
    <row r="10196" spans="1:1" x14ac:dyDescent="0.25">
      <c r="A10196" s="841"/>
    </row>
    <row r="10197" spans="1:1" x14ac:dyDescent="0.25">
      <c r="A10197" s="841"/>
    </row>
    <row r="10198" spans="1:1" x14ac:dyDescent="0.25">
      <c r="A10198" s="841"/>
    </row>
    <row r="10199" spans="1:1" x14ac:dyDescent="0.25">
      <c r="A10199" s="841"/>
    </row>
    <row r="10200" spans="1:1" x14ac:dyDescent="0.25">
      <c r="A10200" s="841"/>
    </row>
    <row r="10201" spans="1:1" x14ac:dyDescent="0.25">
      <c r="A10201" s="841"/>
    </row>
    <row r="10202" spans="1:1" x14ac:dyDescent="0.25">
      <c r="A10202" s="841"/>
    </row>
    <row r="10203" spans="1:1" x14ac:dyDescent="0.25">
      <c r="A10203" s="841"/>
    </row>
    <row r="10204" spans="1:1" x14ac:dyDescent="0.25">
      <c r="A10204" s="841"/>
    </row>
    <row r="10205" spans="1:1" x14ac:dyDescent="0.25">
      <c r="A10205" s="841"/>
    </row>
    <row r="10206" spans="1:1" x14ac:dyDescent="0.25">
      <c r="A10206" s="841"/>
    </row>
    <row r="10207" spans="1:1" x14ac:dyDescent="0.25">
      <c r="A10207" s="841"/>
    </row>
    <row r="10208" spans="1:1" x14ac:dyDescent="0.25">
      <c r="A10208" s="841"/>
    </row>
    <row r="10209" spans="1:1" x14ac:dyDescent="0.25">
      <c r="A10209" s="841"/>
    </row>
    <row r="10210" spans="1:1" x14ac:dyDescent="0.25">
      <c r="A10210" s="841"/>
    </row>
    <row r="10211" spans="1:1" x14ac:dyDescent="0.25">
      <c r="A10211" s="841"/>
    </row>
    <row r="10212" spans="1:1" x14ac:dyDescent="0.25">
      <c r="A10212" s="841"/>
    </row>
    <row r="10213" spans="1:1" x14ac:dyDescent="0.25">
      <c r="A10213" s="841"/>
    </row>
    <row r="10214" spans="1:1" x14ac:dyDescent="0.25">
      <c r="A10214" s="841"/>
    </row>
    <row r="10215" spans="1:1" x14ac:dyDescent="0.25">
      <c r="A10215" s="841"/>
    </row>
    <row r="10216" spans="1:1" x14ac:dyDescent="0.25">
      <c r="A10216" s="841"/>
    </row>
    <row r="10217" spans="1:1" x14ac:dyDescent="0.25">
      <c r="A10217" s="841"/>
    </row>
    <row r="10218" spans="1:1" x14ac:dyDescent="0.25">
      <c r="A10218" s="841"/>
    </row>
    <row r="10219" spans="1:1" x14ac:dyDescent="0.25">
      <c r="A10219" s="841"/>
    </row>
    <row r="10220" spans="1:1" x14ac:dyDescent="0.25">
      <c r="A10220" s="841"/>
    </row>
    <row r="10221" spans="1:1" x14ac:dyDescent="0.25">
      <c r="A10221" s="841"/>
    </row>
    <row r="10222" spans="1:1" x14ac:dyDescent="0.25">
      <c r="A10222" s="841"/>
    </row>
    <row r="10223" spans="1:1" x14ac:dyDescent="0.25">
      <c r="A10223" s="841"/>
    </row>
    <row r="10224" spans="1:1" x14ac:dyDescent="0.25">
      <c r="A10224" s="841"/>
    </row>
    <row r="10225" spans="1:1" x14ac:dyDescent="0.25">
      <c r="A10225" s="841"/>
    </row>
    <row r="10226" spans="1:1" x14ac:dyDescent="0.25">
      <c r="A10226" s="841"/>
    </row>
    <row r="10227" spans="1:1" x14ac:dyDescent="0.25">
      <c r="A10227" s="841"/>
    </row>
    <row r="10228" spans="1:1" x14ac:dyDescent="0.25">
      <c r="A10228" s="841"/>
    </row>
    <row r="10229" spans="1:1" x14ac:dyDescent="0.25">
      <c r="A10229" s="841"/>
    </row>
    <row r="10230" spans="1:1" x14ac:dyDescent="0.25">
      <c r="A10230" s="841"/>
    </row>
    <row r="10231" spans="1:1" x14ac:dyDescent="0.25">
      <c r="A10231" s="841"/>
    </row>
    <row r="10232" spans="1:1" x14ac:dyDescent="0.25">
      <c r="A10232" s="841"/>
    </row>
    <row r="10233" spans="1:1" x14ac:dyDescent="0.25">
      <c r="A10233" s="841"/>
    </row>
    <row r="10234" spans="1:1" x14ac:dyDescent="0.25">
      <c r="A10234" s="841"/>
    </row>
    <row r="10235" spans="1:1" x14ac:dyDescent="0.25">
      <c r="A10235" s="841"/>
    </row>
    <row r="10236" spans="1:1" x14ac:dyDescent="0.25">
      <c r="A10236" s="841"/>
    </row>
    <row r="10237" spans="1:1" x14ac:dyDescent="0.25">
      <c r="A10237" s="841"/>
    </row>
    <row r="10238" spans="1:1" x14ac:dyDescent="0.25">
      <c r="A10238" s="841"/>
    </row>
    <row r="10239" spans="1:1" x14ac:dyDescent="0.25">
      <c r="A10239" s="841"/>
    </row>
    <row r="10240" spans="1:1" x14ac:dyDescent="0.25">
      <c r="A10240" s="841"/>
    </row>
    <row r="10241" spans="1:1" x14ac:dyDescent="0.25">
      <c r="A10241" s="841"/>
    </row>
    <row r="10242" spans="1:1" x14ac:dyDescent="0.25">
      <c r="A10242" s="841"/>
    </row>
    <row r="10243" spans="1:1" x14ac:dyDescent="0.25">
      <c r="A10243" s="841"/>
    </row>
    <row r="10244" spans="1:1" x14ac:dyDescent="0.25">
      <c r="A10244" s="841"/>
    </row>
    <row r="10245" spans="1:1" x14ac:dyDescent="0.25">
      <c r="A10245" s="841"/>
    </row>
    <row r="10246" spans="1:1" x14ac:dyDescent="0.25">
      <c r="A10246" s="841"/>
    </row>
    <row r="10247" spans="1:1" x14ac:dyDescent="0.25">
      <c r="A10247" s="841"/>
    </row>
    <row r="10248" spans="1:1" x14ac:dyDescent="0.25">
      <c r="A10248" s="841"/>
    </row>
    <row r="10249" spans="1:1" x14ac:dyDescent="0.25">
      <c r="A10249" s="841"/>
    </row>
    <row r="10250" spans="1:1" x14ac:dyDescent="0.25">
      <c r="A10250" s="841"/>
    </row>
    <row r="10251" spans="1:1" x14ac:dyDescent="0.25">
      <c r="A10251" s="841"/>
    </row>
    <row r="10252" spans="1:1" x14ac:dyDescent="0.25">
      <c r="A10252" s="841"/>
    </row>
    <row r="10253" spans="1:1" x14ac:dyDescent="0.25">
      <c r="A10253" s="841"/>
    </row>
    <row r="10254" spans="1:1" x14ac:dyDescent="0.25">
      <c r="A10254" s="841"/>
    </row>
    <row r="10255" spans="1:1" x14ac:dyDescent="0.25">
      <c r="A10255" s="841"/>
    </row>
    <row r="10256" spans="1:1" x14ac:dyDescent="0.25">
      <c r="A10256" s="841"/>
    </row>
    <row r="10257" spans="1:1" x14ac:dyDescent="0.25">
      <c r="A10257" s="841"/>
    </row>
    <row r="10258" spans="1:1" x14ac:dyDescent="0.25">
      <c r="A10258" s="841"/>
    </row>
    <row r="10259" spans="1:1" x14ac:dyDescent="0.25">
      <c r="A10259" s="841"/>
    </row>
    <row r="10260" spans="1:1" x14ac:dyDescent="0.25">
      <c r="A10260" s="841"/>
    </row>
    <row r="10261" spans="1:1" x14ac:dyDescent="0.25">
      <c r="A10261" s="841"/>
    </row>
    <row r="10262" spans="1:1" x14ac:dyDescent="0.25">
      <c r="A10262" s="841"/>
    </row>
    <row r="10263" spans="1:1" x14ac:dyDescent="0.25">
      <c r="A10263" s="841"/>
    </row>
    <row r="10264" spans="1:1" x14ac:dyDescent="0.25">
      <c r="A10264" s="841"/>
    </row>
    <row r="10265" spans="1:1" x14ac:dyDescent="0.25">
      <c r="A10265" s="841"/>
    </row>
    <row r="10266" spans="1:1" x14ac:dyDescent="0.25">
      <c r="A10266" s="841"/>
    </row>
    <row r="10267" spans="1:1" x14ac:dyDescent="0.25">
      <c r="A10267" s="841"/>
    </row>
    <row r="10268" spans="1:1" x14ac:dyDescent="0.25">
      <c r="A10268" s="841"/>
    </row>
    <row r="10269" spans="1:1" x14ac:dyDescent="0.25">
      <c r="A10269" s="841"/>
    </row>
    <row r="10270" spans="1:1" x14ac:dyDescent="0.25">
      <c r="A10270" s="841"/>
    </row>
    <row r="10271" spans="1:1" x14ac:dyDescent="0.25">
      <c r="A10271" s="841"/>
    </row>
    <row r="10272" spans="1:1" x14ac:dyDescent="0.25">
      <c r="A10272" s="841"/>
    </row>
    <row r="10273" spans="1:1" x14ac:dyDescent="0.25">
      <c r="A10273" s="841"/>
    </row>
    <row r="10274" spans="1:1" x14ac:dyDescent="0.25">
      <c r="A10274" s="841"/>
    </row>
    <row r="10275" spans="1:1" x14ac:dyDescent="0.25">
      <c r="A10275" s="841"/>
    </row>
    <row r="10276" spans="1:1" x14ac:dyDescent="0.25">
      <c r="A10276" s="841"/>
    </row>
    <row r="10277" spans="1:1" x14ac:dyDescent="0.25">
      <c r="A10277" s="841"/>
    </row>
    <row r="10278" spans="1:1" x14ac:dyDescent="0.25">
      <c r="A10278" s="841"/>
    </row>
    <row r="10279" spans="1:1" x14ac:dyDescent="0.25">
      <c r="A10279" s="841"/>
    </row>
    <row r="10280" spans="1:1" x14ac:dyDescent="0.25">
      <c r="A10280" s="841"/>
    </row>
    <row r="10281" spans="1:1" x14ac:dyDescent="0.25">
      <c r="A10281" s="841"/>
    </row>
    <row r="10282" spans="1:1" x14ac:dyDescent="0.25">
      <c r="A10282" s="841"/>
    </row>
    <row r="10283" spans="1:1" x14ac:dyDescent="0.25">
      <c r="A10283" s="841"/>
    </row>
    <row r="10284" spans="1:1" x14ac:dyDescent="0.25">
      <c r="A10284" s="841"/>
    </row>
    <row r="10285" spans="1:1" x14ac:dyDescent="0.25">
      <c r="A10285" s="841"/>
    </row>
    <row r="10286" spans="1:1" x14ac:dyDescent="0.25">
      <c r="A10286" s="841"/>
    </row>
    <row r="10287" spans="1:1" x14ac:dyDescent="0.25">
      <c r="A10287" s="841"/>
    </row>
    <row r="10288" spans="1:1" x14ac:dyDescent="0.25">
      <c r="A10288" s="841"/>
    </row>
    <row r="10289" spans="1:1" x14ac:dyDescent="0.25">
      <c r="A10289" s="841"/>
    </row>
    <row r="10290" spans="1:1" x14ac:dyDescent="0.25">
      <c r="A10290" s="841"/>
    </row>
    <row r="10291" spans="1:1" x14ac:dyDescent="0.25">
      <c r="A10291" s="841"/>
    </row>
    <row r="10292" spans="1:1" x14ac:dyDescent="0.25">
      <c r="A10292" s="841"/>
    </row>
    <row r="10293" spans="1:1" x14ac:dyDescent="0.25">
      <c r="A10293" s="841"/>
    </row>
    <row r="10294" spans="1:1" x14ac:dyDescent="0.25">
      <c r="A10294" s="841"/>
    </row>
    <row r="10295" spans="1:1" x14ac:dyDescent="0.25">
      <c r="A10295" s="841"/>
    </row>
    <row r="10296" spans="1:1" x14ac:dyDescent="0.25">
      <c r="A10296" s="841"/>
    </row>
    <row r="10297" spans="1:1" x14ac:dyDescent="0.25">
      <c r="A10297" s="841"/>
    </row>
    <row r="10298" spans="1:1" x14ac:dyDescent="0.25">
      <c r="A10298" s="841"/>
    </row>
    <row r="10299" spans="1:1" x14ac:dyDescent="0.25">
      <c r="A10299" s="841"/>
    </row>
    <row r="10300" spans="1:1" x14ac:dyDescent="0.25">
      <c r="A10300" s="841"/>
    </row>
    <row r="10301" spans="1:1" x14ac:dyDescent="0.25">
      <c r="A10301" s="841"/>
    </row>
    <row r="10302" spans="1:1" x14ac:dyDescent="0.25">
      <c r="A10302" s="841"/>
    </row>
    <row r="10303" spans="1:1" x14ac:dyDescent="0.25">
      <c r="A10303" s="841"/>
    </row>
    <row r="10304" spans="1:1" x14ac:dyDescent="0.25">
      <c r="A10304" s="841"/>
    </row>
    <row r="10305" spans="1:1" x14ac:dyDescent="0.25">
      <c r="A10305" s="841"/>
    </row>
    <row r="10306" spans="1:1" x14ac:dyDescent="0.25">
      <c r="A10306" s="841"/>
    </row>
    <row r="10307" spans="1:1" x14ac:dyDescent="0.25">
      <c r="A10307" s="841"/>
    </row>
    <row r="10308" spans="1:1" x14ac:dyDescent="0.25">
      <c r="A10308" s="841"/>
    </row>
    <row r="10309" spans="1:1" x14ac:dyDescent="0.25">
      <c r="A10309" s="841"/>
    </row>
    <row r="10310" spans="1:1" x14ac:dyDescent="0.25">
      <c r="A10310" s="841"/>
    </row>
    <row r="10311" spans="1:1" x14ac:dyDescent="0.25">
      <c r="A10311" s="841"/>
    </row>
    <row r="10312" spans="1:1" x14ac:dyDescent="0.25">
      <c r="A10312" s="841"/>
    </row>
    <row r="10313" spans="1:1" x14ac:dyDescent="0.25">
      <c r="A10313" s="841"/>
    </row>
    <row r="10314" spans="1:1" x14ac:dyDescent="0.25">
      <c r="A10314" s="841"/>
    </row>
    <row r="10315" spans="1:1" x14ac:dyDescent="0.25">
      <c r="A10315" s="841"/>
    </row>
    <row r="10316" spans="1:1" x14ac:dyDescent="0.25">
      <c r="A10316" s="841"/>
    </row>
    <row r="10317" spans="1:1" x14ac:dyDescent="0.25">
      <c r="A10317" s="841"/>
    </row>
    <row r="10318" spans="1:1" x14ac:dyDescent="0.25">
      <c r="A10318" s="841"/>
    </row>
    <row r="10319" spans="1:1" x14ac:dyDescent="0.25">
      <c r="A10319" s="841"/>
    </row>
    <row r="10320" spans="1:1" x14ac:dyDescent="0.25">
      <c r="A10320" s="841"/>
    </row>
    <row r="10321" spans="1:1" x14ac:dyDescent="0.25">
      <c r="A10321" s="841"/>
    </row>
    <row r="10322" spans="1:1" x14ac:dyDescent="0.25">
      <c r="A10322" s="841"/>
    </row>
    <row r="10323" spans="1:1" x14ac:dyDescent="0.25">
      <c r="A10323" s="841"/>
    </row>
    <row r="10324" spans="1:1" x14ac:dyDescent="0.25">
      <c r="A10324" s="841"/>
    </row>
    <row r="10325" spans="1:1" x14ac:dyDescent="0.25">
      <c r="A10325" s="841"/>
    </row>
    <row r="10326" spans="1:1" x14ac:dyDescent="0.25">
      <c r="A10326" s="841"/>
    </row>
    <row r="10327" spans="1:1" x14ac:dyDescent="0.25">
      <c r="A10327" s="841"/>
    </row>
    <row r="10328" spans="1:1" x14ac:dyDescent="0.25">
      <c r="A10328" s="841"/>
    </row>
    <row r="10329" spans="1:1" x14ac:dyDescent="0.25">
      <c r="A10329" s="841"/>
    </row>
    <row r="10330" spans="1:1" x14ac:dyDescent="0.25">
      <c r="A10330" s="841"/>
    </row>
    <row r="10331" spans="1:1" x14ac:dyDescent="0.25">
      <c r="A10331" s="841"/>
    </row>
    <row r="10332" spans="1:1" x14ac:dyDescent="0.25">
      <c r="A10332" s="841"/>
    </row>
    <row r="10333" spans="1:1" x14ac:dyDescent="0.25">
      <c r="A10333" s="841"/>
    </row>
    <row r="10334" spans="1:1" x14ac:dyDescent="0.25">
      <c r="A10334" s="841"/>
    </row>
    <row r="10335" spans="1:1" x14ac:dyDescent="0.25">
      <c r="A10335" s="841"/>
    </row>
    <row r="10336" spans="1:1" x14ac:dyDescent="0.25">
      <c r="A10336" s="841"/>
    </row>
    <row r="10337" spans="1:1" x14ac:dyDescent="0.25">
      <c r="A10337" s="841"/>
    </row>
    <row r="10338" spans="1:1" x14ac:dyDescent="0.25">
      <c r="A10338" s="841"/>
    </row>
    <row r="10339" spans="1:1" x14ac:dyDescent="0.25">
      <c r="A10339" s="841"/>
    </row>
    <row r="10340" spans="1:1" x14ac:dyDescent="0.25">
      <c r="A10340" s="841"/>
    </row>
    <row r="10341" spans="1:1" x14ac:dyDescent="0.25">
      <c r="A10341" s="841"/>
    </row>
    <row r="10342" spans="1:1" x14ac:dyDescent="0.25">
      <c r="A10342" s="841"/>
    </row>
    <row r="10343" spans="1:1" x14ac:dyDescent="0.25">
      <c r="A10343" s="841"/>
    </row>
    <row r="10344" spans="1:1" x14ac:dyDescent="0.25">
      <c r="A10344" s="841"/>
    </row>
    <row r="10345" spans="1:1" x14ac:dyDescent="0.25">
      <c r="A10345" s="841"/>
    </row>
    <row r="10346" spans="1:1" x14ac:dyDescent="0.25">
      <c r="A10346" s="841"/>
    </row>
    <row r="10347" spans="1:1" x14ac:dyDescent="0.25">
      <c r="A10347" s="841"/>
    </row>
    <row r="10348" spans="1:1" x14ac:dyDescent="0.25">
      <c r="A10348" s="841"/>
    </row>
    <row r="10349" spans="1:1" x14ac:dyDescent="0.25">
      <c r="A10349" s="841"/>
    </row>
    <row r="10350" spans="1:1" x14ac:dyDescent="0.25">
      <c r="A10350" s="841"/>
    </row>
    <row r="10351" spans="1:1" x14ac:dyDescent="0.25">
      <c r="A10351" s="841"/>
    </row>
    <row r="10352" spans="1:1" x14ac:dyDescent="0.25">
      <c r="A10352" s="841"/>
    </row>
    <row r="10353" spans="1:1" x14ac:dyDescent="0.25">
      <c r="A10353" s="841"/>
    </row>
    <row r="10354" spans="1:1" x14ac:dyDescent="0.25">
      <c r="A10354" s="841"/>
    </row>
    <row r="10355" spans="1:1" x14ac:dyDescent="0.25">
      <c r="A10355" s="841"/>
    </row>
    <row r="10356" spans="1:1" x14ac:dyDescent="0.25">
      <c r="A10356" s="841"/>
    </row>
    <row r="10357" spans="1:1" x14ac:dyDescent="0.25">
      <c r="A10357" s="841"/>
    </row>
    <row r="10358" spans="1:1" x14ac:dyDescent="0.25">
      <c r="A10358" s="841"/>
    </row>
    <row r="10359" spans="1:1" x14ac:dyDescent="0.25">
      <c r="A10359" s="841"/>
    </row>
    <row r="10360" spans="1:1" x14ac:dyDescent="0.25">
      <c r="A10360" s="841"/>
    </row>
    <row r="10361" spans="1:1" x14ac:dyDescent="0.25">
      <c r="A10361" s="841"/>
    </row>
    <row r="10362" spans="1:1" x14ac:dyDescent="0.25">
      <c r="A10362" s="841"/>
    </row>
    <row r="10363" spans="1:1" x14ac:dyDescent="0.25">
      <c r="A10363" s="841"/>
    </row>
    <row r="10364" spans="1:1" x14ac:dyDescent="0.25">
      <c r="A10364" s="841"/>
    </row>
    <row r="10365" spans="1:1" x14ac:dyDescent="0.25">
      <c r="A10365" s="841"/>
    </row>
    <row r="10366" spans="1:1" x14ac:dyDescent="0.25">
      <c r="A10366" s="841"/>
    </row>
    <row r="10367" spans="1:1" x14ac:dyDescent="0.25">
      <c r="A10367" s="841"/>
    </row>
    <row r="10368" spans="1:1" x14ac:dyDescent="0.25">
      <c r="A10368" s="841"/>
    </row>
    <row r="10369" spans="1:1" x14ac:dyDescent="0.25">
      <c r="A10369" s="841"/>
    </row>
    <row r="10370" spans="1:1" x14ac:dyDescent="0.25">
      <c r="A10370" s="841"/>
    </row>
    <row r="10371" spans="1:1" x14ac:dyDescent="0.25">
      <c r="A10371" s="841"/>
    </row>
    <row r="10372" spans="1:1" x14ac:dyDescent="0.25">
      <c r="A10372" s="841"/>
    </row>
    <row r="10373" spans="1:1" x14ac:dyDescent="0.25">
      <c r="A10373" s="841"/>
    </row>
    <row r="10374" spans="1:1" x14ac:dyDescent="0.25">
      <c r="A10374" s="841"/>
    </row>
    <row r="10375" spans="1:1" x14ac:dyDescent="0.25">
      <c r="A10375" s="841"/>
    </row>
    <row r="10376" spans="1:1" x14ac:dyDescent="0.25">
      <c r="A10376" s="841"/>
    </row>
    <row r="10377" spans="1:1" x14ac:dyDescent="0.25">
      <c r="A10377" s="841"/>
    </row>
    <row r="10378" spans="1:1" x14ac:dyDescent="0.25">
      <c r="A10378" s="841"/>
    </row>
    <row r="10379" spans="1:1" x14ac:dyDescent="0.25">
      <c r="A10379" s="841"/>
    </row>
    <row r="10380" spans="1:1" x14ac:dyDescent="0.25">
      <c r="A10380" s="841"/>
    </row>
    <row r="10381" spans="1:1" x14ac:dyDescent="0.25">
      <c r="A10381" s="841"/>
    </row>
    <row r="10382" spans="1:1" x14ac:dyDescent="0.25">
      <c r="A10382" s="841"/>
    </row>
    <row r="10383" spans="1:1" x14ac:dyDescent="0.25">
      <c r="A10383" s="841"/>
    </row>
    <row r="10384" spans="1:1" x14ac:dyDescent="0.25">
      <c r="A10384" s="841"/>
    </row>
    <row r="10385" spans="1:1" x14ac:dyDescent="0.25">
      <c r="A10385" s="841"/>
    </row>
    <row r="10386" spans="1:1" x14ac:dyDescent="0.25">
      <c r="A10386" s="841"/>
    </row>
    <row r="10387" spans="1:1" x14ac:dyDescent="0.25">
      <c r="A10387" s="841"/>
    </row>
    <row r="10388" spans="1:1" x14ac:dyDescent="0.25">
      <c r="A10388" s="841"/>
    </row>
    <row r="10389" spans="1:1" x14ac:dyDescent="0.25">
      <c r="A10389" s="841"/>
    </row>
    <row r="10390" spans="1:1" x14ac:dyDescent="0.25">
      <c r="A10390" s="841"/>
    </row>
    <row r="10391" spans="1:1" x14ac:dyDescent="0.25">
      <c r="A10391" s="841"/>
    </row>
    <row r="10392" spans="1:1" x14ac:dyDescent="0.25">
      <c r="A10392" s="841"/>
    </row>
    <row r="10393" spans="1:1" x14ac:dyDescent="0.25">
      <c r="A10393" s="841"/>
    </row>
    <row r="10394" spans="1:1" x14ac:dyDescent="0.25">
      <c r="A10394" s="841"/>
    </row>
    <row r="10395" spans="1:1" x14ac:dyDescent="0.25">
      <c r="A10395" s="841"/>
    </row>
    <row r="10396" spans="1:1" x14ac:dyDescent="0.25">
      <c r="A10396" s="841"/>
    </row>
    <row r="10397" spans="1:1" x14ac:dyDescent="0.25">
      <c r="A10397" s="841"/>
    </row>
    <row r="10398" spans="1:1" x14ac:dyDescent="0.25">
      <c r="A10398" s="841"/>
    </row>
    <row r="10399" spans="1:1" x14ac:dyDescent="0.25">
      <c r="A10399" s="841"/>
    </row>
    <row r="10400" spans="1:1" x14ac:dyDescent="0.25">
      <c r="A10400" s="841"/>
    </row>
    <row r="10401" spans="1:1" x14ac:dyDescent="0.25">
      <c r="A10401" s="841"/>
    </row>
    <row r="10402" spans="1:1" x14ac:dyDescent="0.25">
      <c r="A10402" s="841"/>
    </row>
    <row r="10403" spans="1:1" x14ac:dyDescent="0.25">
      <c r="A10403" s="841"/>
    </row>
    <row r="10404" spans="1:1" x14ac:dyDescent="0.25">
      <c r="A10404" s="841"/>
    </row>
    <row r="10405" spans="1:1" x14ac:dyDescent="0.25">
      <c r="A10405" s="841"/>
    </row>
    <row r="10406" spans="1:1" x14ac:dyDescent="0.25">
      <c r="A10406" s="841"/>
    </row>
    <row r="10407" spans="1:1" x14ac:dyDescent="0.25">
      <c r="A10407" s="841"/>
    </row>
    <row r="10408" spans="1:1" x14ac:dyDescent="0.25">
      <c r="A10408" s="841"/>
    </row>
    <row r="10409" spans="1:1" x14ac:dyDescent="0.25">
      <c r="A10409" s="841"/>
    </row>
    <row r="10410" spans="1:1" x14ac:dyDescent="0.25">
      <c r="A10410" s="841"/>
    </row>
    <row r="10411" spans="1:1" x14ac:dyDescent="0.25">
      <c r="A10411" s="841"/>
    </row>
    <row r="10412" spans="1:1" x14ac:dyDescent="0.25">
      <c r="A10412" s="841"/>
    </row>
    <row r="10413" spans="1:1" x14ac:dyDescent="0.25">
      <c r="A10413" s="841"/>
    </row>
    <row r="10414" spans="1:1" x14ac:dyDescent="0.25">
      <c r="A10414" s="841"/>
    </row>
    <row r="10415" spans="1:1" x14ac:dyDescent="0.25">
      <c r="A10415" s="841"/>
    </row>
    <row r="10416" spans="1:1" x14ac:dyDescent="0.25">
      <c r="A10416" s="841"/>
    </row>
    <row r="10417" spans="1:1" x14ac:dyDescent="0.25">
      <c r="A10417" s="841"/>
    </row>
    <row r="10418" spans="1:1" x14ac:dyDescent="0.25">
      <c r="A10418" s="841"/>
    </row>
    <row r="10419" spans="1:1" x14ac:dyDescent="0.25">
      <c r="A10419" s="841"/>
    </row>
    <row r="10420" spans="1:1" x14ac:dyDescent="0.25">
      <c r="A10420" s="841"/>
    </row>
    <row r="10421" spans="1:1" x14ac:dyDescent="0.25">
      <c r="A10421" s="841"/>
    </row>
    <row r="10422" spans="1:1" x14ac:dyDescent="0.25">
      <c r="A10422" s="841"/>
    </row>
    <row r="10423" spans="1:1" x14ac:dyDescent="0.25">
      <c r="A10423" s="841"/>
    </row>
    <row r="10424" spans="1:1" x14ac:dyDescent="0.25">
      <c r="A10424" s="841"/>
    </row>
    <row r="10425" spans="1:1" x14ac:dyDescent="0.25">
      <c r="A10425" s="841"/>
    </row>
    <row r="10426" spans="1:1" x14ac:dyDescent="0.25">
      <c r="A10426" s="841"/>
    </row>
    <row r="10427" spans="1:1" x14ac:dyDescent="0.25">
      <c r="A10427" s="841"/>
    </row>
    <row r="10428" spans="1:1" x14ac:dyDescent="0.25">
      <c r="A10428" s="841"/>
    </row>
    <row r="10429" spans="1:1" x14ac:dyDescent="0.25">
      <c r="A10429" s="841"/>
    </row>
    <row r="10430" spans="1:1" x14ac:dyDescent="0.25">
      <c r="A10430" s="841"/>
    </row>
    <row r="10431" spans="1:1" x14ac:dyDescent="0.25">
      <c r="A10431" s="841"/>
    </row>
    <row r="10432" spans="1:1" x14ac:dyDescent="0.25">
      <c r="A10432" s="841"/>
    </row>
    <row r="10433" spans="1:1" x14ac:dyDescent="0.25">
      <c r="A10433" s="841"/>
    </row>
    <row r="10434" spans="1:1" x14ac:dyDescent="0.25">
      <c r="A10434" s="841"/>
    </row>
    <row r="10435" spans="1:1" x14ac:dyDescent="0.25">
      <c r="A10435" s="841"/>
    </row>
    <row r="10436" spans="1:1" x14ac:dyDescent="0.25">
      <c r="A10436" s="841"/>
    </row>
    <row r="10437" spans="1:1" x14ac:dyDescent="0.25">
      <c r="A10437" s="841"/>
    </row>
    <row r="10438" spans="1:1" x14ac:dyDescent="0.25">
      <c r="A10438" s="841"/>
    </row>
    <row r="10439" spans="1:1" x14ac:dyDescent="0.25">
      <c r="A10439" s="841"/>
    </row>
    <row r="10440" spans="1:1" x14ac:dyDescent="0.25">
      <c r="A10440" s="841"/>
    </row>
    <row r="10441" spans="1:1" x14ac:dyDescent="0.25">
      <c r="A10441" s="841"/>
    </row>
    <row r="10442" spans="1:1" x14ac:dyDescent="0.25">
      <c r="A10442" s="841"/>
    </row>
    <row r="10443" spans="1:1" x14ac:dyDescent="0.25">
      <c r="A10443" s="841"/>
    </row>
    <row r="10444" spans="1:1" x14ac:dyDescent="0.25">
      <c r="A10444" s="841"/>
    </row>
    <row r="10445" spans="1:1" x14ac:dyDescent="0.25">
      <c r="A10445" s="841"/>
    </row>
    <row r="10446" spans="1:1" x14ac:dyDescent="0.25">
      <c r="A10446" s="841"/>
    </row>
    <row r="10447" spans="1:1" x14ac:dyDescent="0.25">
      <c r="A10447" s="841"/>
    </row>
    <row r="10448" spans="1:1" x14ac:dyDescent="0.25">
      <c r="A10448" s="841"/>
    </row>
    <row r="10449" spans="1:1" x14ac:dyDescent="0.25">
      <c r="A10449" s="841"/>
    </row>
    <row r="10450" spans="1:1" x14ac:dyDescent="0.25">
      <c r="A10450" s="841"/>
    </row>
    <row r="10451" spans="1:1" x14ac:dyDescent="0.25">
      <c r="A10451" s="841"/>
    </row>
    <row r="10452" spans="1:1" x14ac:dyDescent="0.25">
      <c r="A10452" s="841"/>
    </row>
    <row r="10453" spans="1:1" x14ac:dyDescent="0.25">
      <c r="A10453" s="841"/>
    </row>
    <row r="10454" spans="1:1" x14ac:dyDescent="0.25">
      <c r="A10454" s="841"/>
    </row>
    <row r="10455" spans="1:1" x14ac:dyDescent="0.25">
      <c r="A10455" s="841"/>
    </row>
    <row r="10456" spans="1:1" x14ac:dyDescent="0.25">
      <c r="A10456" s="841"/>
    </row>
    <row r="10457" spans="1:1" x14ac:dyDescent="0.25">
      <c r="A10457" s="841"/>
    </row>
    <row r="10458" spans="1:1" x14ac:dyDescent="0.25">
      <c r="A10458" s="841"/>
    </row>
    <row r="10459" spans="1:1" x14ac:dyDescent="0.25">
      <c r="A10459" s="841"/>
    </row>
    <row r="10460" spans="1:1" x14ac:dyDescent="0.25">
      <c r="A10460" s="841"/>
    </row>
    <row r="10461" spans="1:1" x14ac:dyDescent="0.25">
      <c r="A10461" s="841"/>
    </row>
    <row r="10462" spans="1:1" x14ac:dyDescent="0.25">
      <c r="A10462" s="841"/>
    </row>
    <row r="10463" spans="1:1" x14ac:dyDescent="0.25">
      <c r="A10463" s="841"/>
    </row>
    <row r="10464" spans="1:1" x14ac:dyDescent="0.25">
      <c r="A10464" s="841"/>
    </row>
    <row r="10465" spans="1:1" x14ac:dyDescent="0.25">
      <c r="A10465" s="841"/>
    </row>
    <row r="10466" spans="1:1" x14ac:dyDescent="0.25">
      <c r="A10466" s="841"/>
    </row>
    <row r="10467" spans="1:1" x14ac:dyDescent="0.25">
      <c r="A10467" s="841"/>
    </row>
    <row r="10468" spans="1:1" x14ac:dyDescent="0.25">
      <c r="A10468" s="841"/>
    </row>
    <row r="10469" spans="1:1" x14ac:dyDescent="0.25">
      <c r="A10469" s="841"/>
    </row>
    <row r="10470" spans="1:1" x14ac:dyDescent="0.25">
      <c r="A10470" s="841"/>
    </row>
    <row r="10471" spans="1:1" x14ac:dyDescent="0.25">
      <c r="A10471" s="841"/>
    </row>
    <row r="10472" spans="1:1" x14ac:dyDescent="0.25">
      <c r="A10472" s="841"/>
    </row>
    <row r="10473" spans="1:1" x14ac:dyDescent="0.25">
      <c r="A10473" s="841"/>
    </row>
    <row r="10474" spans="1:1" x14ac:dyDescent="0.25">
      <c r="A10474" s="841"/>
    </row>
    <row r="10475" spans="1:1" x14ac:dyDescent="0.25">
      <c r="A10475" s="841"/>
    </row>
    <row r="10476" spans="1:1" x14ac:dyDescent="0.25">
      <c r="A10476" s="841"/>
    </row>
    <row r="10477" spans="1:1" x14ac:dyDescent="0.25">
      <c r="A10477" s="841"/>
    </row>
    <row r="10478" spans="1:1" x14ac:dyDescent="0.25">
      <c r="A10478" s="841"/>
    </row>
    <row r="10479" spans="1:1" x14ac:dyDescent="0.25">
      <c r="A10479" s="841"/>
    </row>
    <row r="10480" spans="1:1" x14ac:dyDescent="0.25">
      <c r="A10480" s="841"/>
    </row>
    <row r="10481" spans="1:1" x14ac:dyDescent="0.25">
      <c r="A10481" s="841"/>
    </row>
    <row r="10482" spans="1:1" x14ac:dyDescent="0.25">
      <c r="A10482" s="841"/>
    </row>
    <row r="10483" spans="1:1" x14ac:dyDescent="0.25">
      <c r="A10483" s="841"/>
    </row>
    <row r="10484" spans="1:1" x14ac:dyDescent="0.25">
      <c r="A10484" s="841"/>
    </row>
    <row r="10485" spans="1:1" x14ac:dyDescent="0.25">
      <c r="A10485" s="841"/>
    </row>
    <row r="10486" spans="1:1" x14ac:dyDescent="0.25">
      <c r="A10486" s="841"/>
    </row>
    <row r="10487" spans="1:1" x14ac:dyDescent="0.25">
      <c r="A10487" s="841"/>
    </row>
    <row r="10488" spans="1:1" x14ac:dyDescent="0.25">
      <c r="A10488" s="841"/>
    </row>
    <row r="10489" spans="1:1" x14ac:dyDescent="0.25">
      <c r="A10489" s="841"/>
    </row>
    <row r="10490" spans="1:1" x14ac:dyDescent="0.25">
      <c r="A10490" s="841"/>
    </row>
    <row r="10491" spans="1:1" x14ac:dyDescent="0.25">
      <c r="A10491" s="841"/>
    </row>
    <row r="10492" spans="1:1" x14ac:dyDescent="0.25">
      <c r="A10492" s="841"/>
    </row>
    <row r="10493" spans="1:1" x14ac:dyDescent="0.25">
      <c r="A10493" s="841"/>
    </row>
    <row r="10494" spans="1:1" x14ac:dyDescent="0.25">
      <c r="A10494" s="841"/>
    </row>
    <row r="10495" spans="1:1" x14ac:dyDescent="0.25">
      <c r="A10495" s="841"/>
    </row>
    <row r="10496" spans="1:1" x14ac:dyDescent="0.25">
      <c r="A10496" s="841"/>
    </row>
    <row r="10497" spans="1:1" x14ac:dyDescent="0.25">
      <c r="A10497" s="841"/>
    </row>
    <row r="10498" spans="1:1" x14ac:dyDescent="0.25">
      <c r="A10498" s="841"/>
    </row>
    <row r="10499" spans="1:1" x14ac:dyDescent="0.25">
      <c r="A10499" s="841"/>
    </row>
    <row r="10500" spans="1:1" x14ac:dyDescent="0.25">
      <c r="A10500" s="841"/>
    </row>
    <row r="10501" spans="1:1" x14ac:dyDescent="0.25">
      <c r="A10501" s="841"/>
    </row>
    <row r="10502" spans="1:1" x14ac:dyDescent="0.25">
      <c r="A10502" s="841"/>
    </row>
    <row r="10503" spans="1:1" x14ac:dyDescent="0.25">
      <c r="A10503" s="841"/>
    </row>
    <row r="10504" spans="1:1" x14ac:dyDescent="0.25">
      <c r="A10504" s="841"/>
    </row>
    <row r="10505" spans="1:1" x14ac:dyDescent="0.25">
      <c r="A10505" s="841"/>
    </row>
    <row r="10506" spans="1:1" x14ac:dyDescent="0.25">
      <c r="A10506" s="841"/>
    </row>
    <row r="10507" spans="1:1" x14ac:dyDescent="0.25">
      <c r="A10507" s="841"/>
    </row>
    <row r="10508" spans="1:1" x14ac:dyDescent="0.25">
      <c r="A10508" s="841"/>
    </row>
    <row r="10509" spans="1:1" x14ac:dyDescent="0.25">
      <c r="A10509" s="841"/>
    </row>
    <row r="10510" spans="1:1" x14ac:dyDescent="0.25">
      <c r="A10510" s="841"/>
    </row>
    <row r="10511" spans="1:1" x14ac:dyDescent="0.25">
      <c r="A10511" s="841"/>
    </row>
    <row r="10512" spans="1:1" x14ac:dyDescent="0.25">
      <c r="A10512" s="841"/>
    </row>
    <row r="10513" spans="1:1" x14ac:dyDescent="0.25">
      <c r="A10513" s="841"/>
    </row>
    <row r="10514" spans="1:1" x14ac:dyDescent="0.25">
      <c r="A10514" s="841"/>
    </row>
    <row r="10515" spans="1:1" x14ac:dyDescent="0.25">
      <c r="A10515" s="841"/>
    </row>
    <row r="10516" spans="1:1" x14ac:dyDescent="0.25">
      <c r="A10516" s="841"/>
    </row>
    <row r="10517" spans="1:1" x14ac:dyDescent="0.25">
      <c r="A10517" s="841"/>
    </row>
    <row r="10518" spans="1:1" x14ac:dyDescent="0.25">
      <c r="A10518" s="841"/>
    </row>
    <row r="10519" spans="1:1" x14ac:dyDescent="0.25">
      <c r="A10519" s="841"/>
    </row>
    <row r="10520" spans="1:1" x14ac:dyDescent="0.25">
      <c r="A10520" s="841"/>
    </row>
    <row r="10521" spans="1:1" x14ac:dyDescent="0.25">
      <c r="A10521" s="841"/>
    </row>
    <row r="10522" spans="1:1" x14ac:dyDescent="0.25">
      <c r="A10522" s="841"/>
    </row>
    <row r="10523" spans="1:1" x14ac:dyDescent="0.25">
      <c r="A10523" s="841"/>
    </row>
    <row r="10524" spans="1:1" x14ac:dyDescent="0.25">
      <c r="A10524" s="841"/>
    </row>
    <row r="10525" spans="1:1" x14ac:dyDescent="0.25">
      <c r="A10525" s="841"/>
    </row>
    <row r="10526" spans="1:1" x14ac:dyDescent="0.25">
      <c r="A10526" s="841"/>
    </row>
    <row r="10527" spans="1:1" x14ac:dyDescent="0.25">
      <c r="A10527" s="841"/>
    </row>
    <row r="10528" spans="1:1" x14ac:dyDescent="0.25">
      <c r="A10528" s="841"/>
    </row>
    <row r="10529" spans="1:1" x14ac:dyDescent="0.25">
      <c r="A10529" s="841"/>
    </row>
    <row r="10530" spans="1:1" x14ac:dyDescent="0.25">
      <c r="A10530" s="841"/>
    </row>
    <row r="10531" spans="1:1" x14ac:dyDescent="0.25">
      <c r="A10531" s="841"/>
    </row>
    <row r="10532" spans="1:1" x14ac:dyDescent="0.25">
      <c r="A10532" s="841"/>
    </row>
    <row r="10533" spans="1:1" x14ac:dyDescent="0.25">
      <c r="A10533" s="841"/>
    </row>
    <row r="10534" spans="1:1" x14ac:dyDescent="0.25">
      <c r="A10534" s="841"/>
    </row>
    <row r="10535" spans="1:1" x14ac:dyDescent="0.25">
      <c r="A10535" s="841"/>
    </row>
    <row r="10536" spans="1:1" x14ac:dyDescent="0.25">
      <c r="A10536" s="841"/>
    </row>
    <row r="10537" spans="1:1" x14ac:dyDescent="0.25">
      <c r="A10537" s="841"/>
    </row>
    <row r="10538" spans="1:1" x14ac:dyDescent="0.25">
      <c r="A10538" s="841"/>
    </row>
    <row r="10539" spans="1:1" x14ac:dyDescent="0.25">
      <c r="A10539" s="841"/>
    </row>
    <row r="10540" spans="1:1" x14ac:dyDescent="0.25">
      <c r="A10540" s="841"/>
    </row>
    <row r="10541" spans="1:1" x14ac:dyDescent="0.25">
      <c r="A10541" s="841"/>
    </row>
    <row r="10542" spans="1:1" x14ac:dyDescent="0.25">
      <c r="A10542" s="841"/>
    </row>
    <row r="10543" spans="1:1" x14ac:dyDescent="0.25">
      <c r="A10543" s="841"/>
    </row>
    <row r="10544" spans="1:1" x14ac:dyDescent="0.25">
      <c r="A10544" s="841"/>
    </row>
    <row r="10545" spans="1:1" x14ac:dyDescent="0.25">
      <c r="A10545" s="841"/>
    </row>
    <row r="10546" spans="1:1" x14ac:dyDescent="0.25">
      <c r="A10546" s="841"/>
    </row>
    <row r="10547" spans="1:1" x14ac:dyDescent="0.25">
      <c r="A10547" s="841"/>
    </row>
    <row r="10548" spans="1:1" x14ac:dyDescent="0.25">
      <c r="A10548" s="841"/>
    </row>
    <row r="10549" spans="1:1" x14ac:dyDescent="0.25">
      <c r="A10549" s="841"/>
    </row>
    <row r="10550" spans="1:1" x14ac:dyDescent="0.25">
      <c r="A10550" s="841"/>
    </row>
    <row r="10551" spans="1:1" x14ac:dyDescent="0.25">
      <c r="A10551" s="841"/>
    </row>
    <row r="10552" spans="1:1" x14ac:dyDescent="0.25">
      <c r="A10552" s="841"/>
    </row>
    <row r="10553" spans="1:1" x14ac:dyDescent="0.25">
      <c r="A10553" s="841"/>
    </row>
    <row r="10554" spans="1:1" x14ac:dyDescent="0.25">
      <c r="A10554" s="841"/>
    </row>
    <row r="10555" spans="1:1" x14ac:dyDescent="0.25">
      <c r="A10555" s="841"/>
    </row>
    <row r="10556" spans="1:1" x14ac:dyDescent="0.25">
      <c r="A10556" s="841"/>
    </row>
    <row r="10557" spans="1:1" x14ac:dyDescent="0.25">
      <c r="A10557" s="841"/>
    </row>
    <row r="10558" spans="1:1" x14ac:dyDescent="0.25">
      <c r="A10558" s="841"/>
    </row>
    <row r="10559" spans="1:1" x14ac:dyDescent="0.25">
      <c r="A10559" s="841"/>
    </row>
    <row r="10560" spans="1:1" x14ac:dyDescent="0.25">
      <c r="A10560" s="841"/>
    </row>
    <row r="10561" spans="1:1" x14ac:dyDescent="0.25">
      <c r="A10561" s="841"/>
    </row>
    <row r="10562" spans="1:1" x14ac:dyDescent="0.25">
      <c r="A10562" s="841"/>
    </row>
    <row r="10563" spans="1:1" x14ac:dyDescent="0.25">
      <c r="A10563" s="841"/>
    </row>
    <row r="10564" spans="1:1" x14ac:dyDescent="0.25">
      <c r="A10564" s="841"/>
    </row>
    <row r="10565" spans="1:1" x14ac:dyDescent="0.25">
      <c r="A10565" s="841"/>
    </row>
    <row r="10566" spans="1:1" x14ac:dyDescent="0.25">
      <c r="A10566" s="841"/>
    </row>
    <row r="10567" spans="1:1" x14ac:dyDescent="0.25">
      <c r="A10567" s="841"/>
    </row>
    <row r="10568" spans="1:1" x14ac:dyDescent="0.25">
      <c r="A10568" s="841"/>
    </row>
    <row r="10569" spans="1:1" x14ac:dyDescent="0.25">
      <c r="A10569" s="841"/>
    </row>
    <row r="10570" spans="1:1" x14ac:dyDescent="0.25">
      <c r="A10570" s="841"/>
    </row>
    <row r="10571" spans="1:1" x14ac:dyDescent="0.25">
      <c r="A10571" s="841"/>
    </row>
    <row r="10572" spans="1:1" x14ac:dyDescent="0.25">
      <c r="A10572" s="841"/>
    </row>
    <row r="10573" spans="1:1" x14ac:dyDescent="0.25">
      <c r="A10573" s="841"/>
    </row>
    <row r="10574" spans="1:1" x14ac:dyDescent="0.25">
      <c r="A10574" s="841"/>
    </row>
    <row r="10575" spans="1:1" x14ac:dyDescent="0.25">
      <c r="A10575" s="841"/>
    </row>
    <row r="10576" spans="1:1" x14ac:dyDescent="0.25">
      <c r="A10576" s="841"/>
    </row>
    <row r="10577" spans="1:1" x14ac:dyDescent="0.25">
      <c r="A10577" s="841"/>
    </row>
    <row r="10578" spans="1:1" x14ac:dyDescent="0.25">
      <c r="A10578" s="841"/>
    </row>
    <row r="10579" spans="1:1" x14ac:dyDescent="0.25">
      <c r="A10579" s="841"/>
    </row>
    <row r="10580" spans="1:1" x14ac:dyDescent="0.25">
      <c r="A10580" s="841"/>
    </row>
    <row r="10581" spans="1:1" x14ac:dyDescent="0.25">
      <c r="A10581" s="841"/>
    </row>
    <row r="10582" spans="1:1" x14ac:dyDescent="0.25">
      <c r="A10582" s="841"/>
    </row>
    <row r="10583" spans="1:1" x14ac:dyDescent="0.25">
      <c r="A10583" s="841"/>
    </row>
    <row r="10584" spans="1:1" x14ac:dyDescent="0.25">
      <c r="A10584" s="841"/>
    </row>
    <row r="10585" spans="1:1" x14ac:dyDescent="0.25">
      <c r="A10585" s="841"/>
    </row>
    <row r="10586" spans="1:1" x14ac:dyDescent="0.25">
      <c r="A10586" s="841"/>
    </row>
    <row r="10587" spans="1:1" x14ac:dyDescent="0.25">
      <c r="A10587" s="841"/>
    </row>
    <row r="10588" spans="1:1" x14ac:dyDescent="0.25">
      <c r="A10588" s="841"/>
    </row>
    <row r="10589" spans="1:1" x14ac:dyDescent="0.25">
      <c r="A10589" s="841"/>
    </row>
    <row r="10590" spans="1:1" x14ac:dyDescent="0.25">
      <c r="A10590" s="841"/>
    </row>
    <row r="10591" spans="1:1" x14ac:dyDescent="0.25">
      <c r="A10591" s="841"/>
    </row>
    <row r="10592" spans="1:1" x14ac:dyDescent="0.25">
      <c r="A10592" s="841"/>
    </row>
    <row r="10593" spans="1:1" x14ac:dyDescent="0.25">
      <c r="A10593" s="841"/>
    </row>
    <row r="10594" spans="1:1" x14ac:dyDescent="0.25">
      <c r="A10594" s="841"/>
    </row>
    <row r="10595" spans="1:1" x14ac:dyDescent="0.25">
      <c r="A10595" s="841"/>
    </row>
    <row r="10596" spans="1:1" x14ac:dyDescent="0.25">
      <c r="A10596" s="841"/>
    </row>
    <row r="10597" spans="1:1" x14ac:dyDescent="0.25">
      <c r="A10597" s="841"/>
    </row>
    <row r="10598" spans="1:1" x14ac:dyDescent="0.25">
      <c r="A10598" s="841"/>
    </row>
    <row r="10599" spans="1:1" x14ac:dyDescent="0.25">
      <c r="A10599" s="841"/>
    </row>
    <row r="10600" spans="1:1" x14ac:dyDescent="0.25">
      <c r="A10600" s="841"/>
    </row>
    <row r="10601" spans="1:1" x14ac:dyDescent="0.25">
      <c r="A10601" s="841"/>
    </row>
    <row r="10602" spans="1:1" x14ac:dyDescent="0.25">
      <c r="A10602" s="841"/>
    </row>
    <row r="10603" spans="1:1" x14ac:dyDescent="0.25">
      <c r="A10603" s="841"/>
    </row>
    <row r="10604" spans="1:1" x14ac:dyDescent="0.25">
      <c r="A10604" s="841"/>
    </row>
    <row r="10605" spans="1:1" x14ac:dyDescent="0.25">
      <c r="A10605" s="841"/>
    </row>
    <row r="10606" spans="1:1" x14ac:dyDescent="0.25">
      <c r="A10606" s="841"/>
    </row>
    <row r="10607" spans="1:1" x14ac:dyDescent="0.25">
      <c r="A10607" s="841"/>
    </row>
    <row r="10608" spans="1:1" x14ac:dyDescent="0.25">
      <c r="A10608" s="841"/>
    </row>
    <row r="10609" spans="1:1" x14ac:dyDescent="0.25">
      <c r="A10609" s="841"/>
    </row>
    <row r="10610" spans="1:1" x14ac:dyDescent="0.25">
      <c r="A10610" s="841"/>
    </row>
    <row r="10611" spans="1:1" x14ac:dyDescent="0.25">
      <c r="A10611" s="841"/>
    </row>
    <row r="10612" spans="1:1" x14ac:dyDescent="0.25">
      <c r="A10612" s="841"/>
    </row>
    <row r="10613" spans="1:1" x14ac:dyDescent="0.25">
      <c r="A10613" s="841"/>
    </row>
    <row r="10614" spans="1:1" x14ac:dyDescent="0.25">
      <c r="A10614" s="841"/>
    </row>
    <row r="10615" spans="1:1" x14ac:dyDescent="0.25">
      <c r="A10615" s="841"/>
    </row>
    <row r="10616" spans="1:1" x14ac:dyDescent="0.25">
      <c r="A10616" s="841"/>
    </row>
    <row r="10617" spans="1:1" x14ac:dyDescent="0.25">
      <c r="A10617" s="841"/>
    </row>
    <row r="10618" spans="1:1" x14ac:dyDescent="0.25">
      <c r="A10618" s="841"/>
    </row>
    <row r="10619" spans="1:1" x14ac:dyDescent="0.25">
      <c r="A10619" s="841"/>
    </row>
    <row r="10620" spans="1:1" x14ac:dyDescent="0.25">
      <c r="A10620" s="841"/>
    </row>
    <row r="10621" spans="1:1" x14ac:dyDescent="0.25">
      <c r="A10621" s="841"/>
    </row>
    <row r="10622" spans="1:1" x14ac:dyDescent="0.25">
      <c r="A10622" s="841"/>
    </row>
    <row r="10623" spans="1:1" x14ac:dyDescent="0.25">
      <c r="A10623" s="841"/>
    </row>
    <row r="10624" spans="1:1" x14ac:dyDescent="0.25">
      <c r="A10624" s="841"/>
    </row>
    <row r="10625" spans="1:1" x14ac:dyDescent="0.25">
      <c r="A10625" s="841"/>
    </row>
    <row r="10626" spans="1:1" x14ac:dyDescent="0.25">
      <c r="A10626" s="841"/>
    </row>
    <row r="10627" spans="1:1" x14ac:dyDescent="0.25">
      <c r="A10627" s="841"/>
    </row>
    <row r="10628" spans="1:1" x14ac:dyDescent="0.25">
      <c r="A10628" s="841"/>
    </row>
    <row r="10629" spans="1:1" x14ac:dyDescent="0.25">
      <c r="A10629" s="841"/>
    </row>
    <row r="10630" spans="1:1" x14ac:dyDescent="0.25">
      <c r="A10630" s="841"/>
    </row>
    <row r="10631" spans="1:1" x14ac:dyDescent="0.25">
      <c r="A10631" s="841"/>
    </row>
    <row r="10632" spans="1:1" x14ac:dyDescent="0.25">
      <c r="A10632" s="841"/>
    </row>
    <row r="10633" spans="1:1" x14ac:dyDescent="0.25">
      <c r="A10633" s="841"/>
    </row>
    <row r="10634" spans="1:1" x14ac:dyDescent="0.25">
      <c r="A10634" s="841"/>
    </row>
    <row r="10635" spans="1:1" x14ac:dyDescent="0.25">
      <c r="A10635" s="841"/>
    </row>
    <row r="10636" spans="1:1" x14ac:dyDescent="0.25">
      <c r="A10636" s="841"/>
    </row>
    <row r="10637" spans="1:1" x14ac:dyDescent="0.25">
      <c r="A10637" s="841"/>
    </row>
    <row r="10638" spans="1:1" x14ac:dyDescent="0.25">
      <c r="A10638" s="841"/>
    </row>
    <row r="10639" spans="1:1" x14ac:dyDescent="0.25">
      <c r="A10639" s="841"/>
    </row>
    <row r="10640" spans="1:1" x14ac:dyDescent="0.25">
      <c r="A10640" s="841"/>
    </row>
    <row r="10641" spans="1:1" x14ac:dyDescent="0.25">
      <c r="A10641" s="841"/>
    </row>
    <row r="10642" spans="1:1" x14ac:dyDescent="0.25">
      <c r="A10642" s="841"/>
    </row>
    <row r="10643" spans="1:1" x14ac:dyDescent="0.25">
      <c r="A10643" s="841"/>
    </row>
    <row r="10644" spans="1:1" x14ac:dyDescent="0.25">
      <c r="A10644" s="841"/>
    </row>
    <row r="10645" spans="1:1" x14ac:dyDescent="0.25">
      <c r="A10645" s="841"/>
    </row>
    <row r="10646" spans="1:1" x14ac:dyDescent="0.25">
      <c r="A10646" s="841"/>
    </row>
    <row r="10647" spans="1:1" x14ac:dyDescent="0.25">
      <c r="A10647" s="841"/>
    </row>
    <row r="10648" spans="1:1" x14ac:dyDescent="0.25">
      <c r="A10648" s="841"/>
    </row>
    <row r="10649" spans="1:1" x14ac:dyDescent="0.25">
      <c r="A10649" s="841"/>
    </row>
    <row r="10650" spans="1:1" x14ac:dyDescent="0.25">
      <c r="A10650" s="841"/>
    </row>
    <row r="10651" spans="1:1" x14ac:dyDescent="0.25">
      <c r="A10651" s="841"/>
    </row>
    <row r="10652" spans="1:1" x14ac:dyDescent="0.25">
      <c r="A10652" s="841"/>
    </row>
    <row r="10653" spans="1:1" x14ac:dyDescent="0.25">
      <c r="A10653" s="841"/>
    </row>
    <row r="10654" spans="1:1" x14ac:dyDescent="0.25">
      <c r="A10654" s="841"/>
    </row>
    <row r="10655" spans="1:1" x14ac:dyDescent="0.25">
      <c r="A10655" s="841"/>
    </row>
    <row r="10656" spans="1:1" x14ac:dyDescent="0.25">
      <c r="A10656" s="841"/>
    </row>
    <row r="10657" spans="1:1" x14ac:dyDescent="0.25">
      <c r="A10657" s="841"/>
    </row>
    <row r="10658" spans="1:1" x14ac:dyDescent="0.25">
      <c r="A10658" s="841"/>
    </row>
    <row r="10659" spans="1:1" x14ac:dyDescent="0.25">
      <c r="A10659" s="841"/>
    </row>
    <row r="10660" spans="1:1" x14ac:dyDescent="0.25">
      <c r="A10660" s="841"/>
    </row>
    <row r="10661" spans="1:1" x14ac:dyDescent="0.25">
      <c r="A10661" s="841"/>
    </row>
    <row r="10662" spans="1:1" x14ac:dyDescent="0.25">
      <c r="A10662" s="841"/>
    </row>
    <row r="10663" spans="1:1" x14ac:dyDescent="0.25">
      <c r="A10663" s="841"/>
    </row>
    <row r="10664" spans="1:1" x14ac:dyDescent="0.25">
      <c r="A10664" s="841"/>
    </row>
    <row r="10665" spans="1:1" x14ac:dyDescent="0.25">
      <c r="A10665" s="841"/>
    </row>
    <row r="10666" spans="1:1" x14ac:dyDescent="0.25">
      <c r="A10666" s="841"/>
    </row>
    <row r="10667" spans="1:1" x14ac:dyDescent="0.25">
      <c r="A10667" s="841"/>
    </row>
    <row r="10668" spans="1:1" x14ac:dyDescent="0.25">
      <c r="A10668" s="841"/>
    </row>
    <row r="10669" spans="1:1" x14ac:dyDescent="0.25">
      <c r="A10669" s="841"/>
    </row>
    <row r="10670" spans="1:1" x14ac:dyDescent="0.25">
      <c r="A10670" s="841"/>
    </row>
    <row r="10671" spans="1:1" x14ac:dyDescent="0.25">
      <c r="A10671" s="841"/>
    </row>
    <row r="10672" spans="1:1" x14ac:dyDescent="0.25">
      <c r="A10672" s="841"/>
    </row>
    <row r="10673" spans="1:1" x14ac:dyDescent="0.25">
      <c r="A10673" s="841"/>
    </row>
    <row r="10674" spans="1:1" x14ac:dyDescent="0.25">
      <c r="A10674" s="841"/>
    </row>
    <row r="10675" spans="1:1" x14ac:dyDescent="0.25">
      <c r="A10675" s="841"/>
    </row>
    <row r="10676" spans="1:1" x14ac:dyDescent="0.25">
      <c r="A10676" s="841"/>
    </row>
    <row r="10677" spans="1:1" x14ac:dyDescent="0.25">
      <c r="A10677" s="841"/>
    </row>
    <row r="10678" spans="1:1" x14ac:dyDescent="0.25">
      <c r="A10678" s="841"/>
    </row>
    <row r="10679" spans="1:1" x14ac:dyDescent="0.25">
      <c r="A10679" s="841"/>
    </row>
    <row r="10680" spans="1:1" x14ac:dyDescent="0.25">
      <c r="A10680" s="841"/>
    </row>
    <row r="10681" spans="1:1" x14ac:dyDescent="0.25">
      <c r="A10681" s="841"/>
    </row>
    <row r="10682" spans="1:1" x14ac:dyDescent="0.25">
      <c r="A10682" s="841"/>
    </row>
    <row r="10683" spans="1:1" x14ac:dyDescent="0.25">
      <c r="A10683" s="841"/>
    </row>
    <row r="10684" spans="1:1" x14ac:dyDescent="0.25">
      <c r="A10684" s="841"/>
    </row>
    <row r="10685" spans="1:1" x14ac:dyDescent="0.25">
      <c r="A10685" s="841"/>
    </row>
    <row r="10686" spans="1:1" x14ac:dyDescent="0.25">
      <c r="A10686" s="841"/>
    </row>
    <row r="10687" spans="1:1" x14ac:dyDescent="0.25">
      <c r="A10687" s="841"/>
    </row>
    <row r="10688" spans="1:1" x14ac:dyDescent="0.25">
      <c r="A10688" s="841"/>
    </row>
    <row r="10689" spans="1:1" x14ac:dyDescent="0.25">
      <c r="A10689" s="841"/>
    </row>
    <row r="10690" spans="1:1" x14ac:dyDescent="0.25">
      <c r="A10690" s="841"/>
    </row>
    <row r="10691" spans="1:1" x14ac:dyDescent="0.25">
      <c r="A10691" s="841"/>
    </row>
    <row r="10692" spans="1:1" x14ac:dyDescent="0.25">
      <c r="A10692" s="841"/>
    </row>
    <row r="10693" spans="1:1" x14ac:dyDescent="0.25">
      <c r="A10693" s="841"/>
    </row>
    <row r="10694" spans="1:1" x14ac:dyDescent="0.25">
      <c r="A10694" s="841"/>
    </row>
    <row r="10695" spans="1:1" x14ac:dyDescent="0.25">
      <c r="A10695" s="841"/>
    </row>
    <row r="10696" spans="1:1" x14ac:dyDescent="0.25">
      <c r="A10696" s="841"/>
    </row>
    <row r="10697" spans="1:1" x14ac:dyDescent="0.25">
      <c r="A10697" s="841"/>
    </row>
    <row r="10698" spans="1:1" x14ac:dyDescent="0.25">
      <c r="A10698" s="841"/>
    </row>
    <row r="10699" spans="1:1" x14ac:dyDescent="0.25">
      <c r="A10699" s="841"/>
    </row>
    <row r="10700" spans="1:1" x14ac:dyDescent="0.25">
      <c r="A10700" s="841"/>
    </row>
    <row r="10701" spans="1:1" x14ac:dyDescent="0.25">
      <c r="A10701" s="841"/>
    </row>
    <row r="10702" spans="1:1" x14ac:dyDescent="0.25">
      <c r="A10702" s="841"/>
    </row>
    <row r="10703" spans="1:1" x14ac:dyDescent="0.25">
      <c r="A10703" s="841"/>
    </row>
    <row r="10704" spans="1:1" x14ac:dyDescent="0.25">
      <c r="A10704" s="841"/>
    </row>
    <row r="10705" spans="1:1" x14ac:dyDescent="0.25">
      <c r="A10705" s="841"/>
    </row>
    <row r="10706" spans="1:1" x14ac:dyDescent="0.25">
      <c r="A10706" s="841"/>
    </row>
    <row r="10707" spans="1:1" x14ac:dyDescent="0.25">
      <c r="A10707" s="841"/>
    </row>
    <row r="10708" spans="1:1" x14ac:dyDescent="0.25">
      <c r="A10708" s="841"/>
    </row>
    <row r="10709" spans="1:1" x14ac:dyDescent="0.25">
      <c r="A10709" s="841"/>
    </row>
    <row r="10710" spans="1:1" x14ac:dyDescent="0.25">
      <c r="A10710" s="841"/>
    </row>
    <row r="10711" spans="1:1" x14ac:dyDescent="0.25">
      <c r="A10711" s="841"/>
    </row>
    <row r="10712" spans="1:1" x14ac:dyDescent="0.25">
      <c r="A10712" s="841"/>
    </row>
    <row r="10713" spans="1:1" x14ac:dyDescent="0.25">
      <c r="A10713" s="841"/>
    </row>
    <row r="10714" spans="1:1" x14ac:dyDescent="0.25">
      <c r="A10714" s="841"/>
    </row>
    <row r="10715" spans="1:1" x14ac:dyDescent="0.25">
      <c r="A10715" s="841"/>
    </row>
    <row r="10716" spans="1:1" x14ac:dyDescent="0.25">
      <c r="A10716" s="841"/>
    </row>
    <row r="10717" spans="1:1" x14ac:dyDescent="0.25">
      <c r="A10717" s="841"/>
    </row>
    <row r="10718" spans="1:1" x14ac:dyDescent="0.25">
      <c r="A10718" s="841"/>
    </row>
    <row r="10719" spans="1:1" x14ac:dyDescent="0.25">
      <c r="A10719" s="841"/>
    </row>
    <row r="10720" spans="1:1" x14ac:dyDescent="0.25">
      <c r="A10720" s="841"/>
    </row>
    <row r="10721" spans="1:1" x14ac:dyDescent="0.25">
      <c r="A10721" s="841"/>
    </row>
    <row r="10722" spans="1:1" x14ac:dyDescent="0.25">
      <c r="A10722" s="841"/>
    </row>
    <row r="10723" spans="1:1" x14ac:dyDescent="0.25">
      <c r="A10723" s="841"/>
    </row>
    <row r="10724" spans="1:1" x14ac:dyDescent="0.25">
      <c r="A10724" s="841"/>
    </row>
    <row r="10725" spans="1:1" x14ac:dyDescent="0.25">
      <c r="A10725" s="841"/>
    </row>
    <row r="10726" spans="1:1" x14ac:dyDescent="0.25">
      <c r="A10726" s="841"/>
    </row>
    <row r="10727" spans="1:1" x14ac:dyDescent="0.25">
      <c r="A10727" s="841"/>
    </row>
    <row r="10728" spans="1:1" x14ac:dyDescent="0.25">
      <c r="A10728" s="841"/>
    </row>
    <row r="10729" spans="1:1" x14ac:dyDescent="0.25">
      <c r="A10729" s="841"/>
    </row>
    <row r="10730" spans="1:1" x14ac:dyDescent="0.25">
      <c r="A10730" s="841"/>
    </row>
    <row r="10731" spans="1:1" x14ac:dyDescent="0.25">
      <c r="A10731" s="841"/>
    </row>
    <row r="10732" spans="1:1" x14ac:dyDescent="0.25">
      <c r="A10732" s="841"/>
    </row>
    <row r="10733" spans="1:1" x14ac:dyDescent="0.25">
      <c r="A10733" s="841"/>
    </row>
    <row r="10734" spans="1:1" x14ac:dyDescent="0.25">
      <c r="A10734" s="841"/>
    </row>
    <row r="10735" spans="1:1" x14ac:dyDescent="0.25">
      <c r="A10735" s="841"/>
    </row>
    <row r="10736" spans="1:1" x14ac:dyDescent="0.25">
      <c r="A10736" s="841"/>
    </row>
    <row r="10737" spans="1:1" x14ac:dyDescent="0.25">
      <c r="A10737" s="841"/>
    </row>
    <row r="10738" spans="1:1" x14ac:dyDescent="0.25">
      <c r="A10738" s="841"/>
    </row>
    <row r="10739" spans="1:1" x14ac:dyDescent="0.25">
      <c r="A10739" s="841"/>
    </row>
    <row r="10740" spans="1:1" x14ac:dyDescent="0.25">
      <c r="A10740" s="841"/>
    </row>
    <row r="10741" spans="1:1" x14ac:dyDescent="0.25">
      <c r="A10741" s="841"/>
    </row>
    <row r="10742" spans="1:1" x14ac:dyDescent="0.25">
      <c r="A10742" s="841"/>
    </row>
    <row r="10743" spans="1:1" x14ac:dyDescent="0.25">
      <c r="A10743" s="841"/>
    </row>
    <row r="10744" spans="1:1" x14ac:dyDescent="0.25">
      <c r="A10744" s="841"/>
    </row>
    <row r="10745" spans="1:1" x14ac:dyDescent="0.25">
      <c r="A10745" s="841"/>
    </row>
    <row r="10746" spans="1:1" x14ac:dyDescent="0.25">
      <c r="A10746" s="841"/>
    </row>
    <row r="10747" spans="1:1" x14ac:dyDescent="0.25">
      <c r="A10747" s="841"/>
    </row>
    <row r="10748" spans="1:1" x14ac:dyDescent="0.25">
      <c r="A10748" s="841"/>
    </row>
    <row r="10749" spans="1:1" x14ac:dyDescent="0.25">
      <c r="A10749" s="841"/>
    </row>
    <row r="10750" spans="1:1" x14ac:dyDescent="0.25">
      <c r="A10750" s="841"/>
    </row>
    <row r="10751" spans="1:1" x14ac:dyDescent="0.25">
      <c r="A10751" s="841"/>
    </row>
    <row r="10752" spans="1:1" x14ac:dyDescent="0.25">
      <c r="A10752" s="841"/>
    </row>
    <row r="10753" spans="1:1" x14ac:dyDescent="0.25">
      <c r="A10753" s="841"/>
    </row>
    <row r="10754" spans="1:1" x14ac:dyDescent="0.25">
      <c r="A10754" s="841"/>
    </row>
    <row r="10755" spans="1:1" x14ac:dyDescent="0.25">
      <c r="A10755" s="841"/>
    </row>
    <row r="10756" spans="1:1" x14ac:dyDescent="0.25">
      <c r="A10756" s="841"/>
    </row>
    <row r="10757" spans="1:1" x14ac:dyDescent="0.25">
      <c r="A10757" s="841"/>
    </row>
    <row r="10758" spans="1:1" x14ac:dyDescent="0.25">
      <c r="A10758" s="841"/>
    </row>
    <row r="10759" spans="1:1" x14ac:dyDescent="0.25">
      <c r="A10759" s="841"/>
    </row>
    <row r="10760" spans="1:1" x14ac:dyDescent="0.25">
      <c r="A10760" s="841"/>
    </row>
    <row r="10761" spans="1:1" x14ac:dyDescent="0.25">
      <c r="A10761" s="841"/>
    </row>
    <row r="10762" spans="1:1" x14ac:dyDescent="0.25">
      <c r="A10762" s="841"/>
    </row>
    <row r="10763" spans="1:1" x14ac:dyDescent="0.25">
      <c r="A10763" s="841"/>
    </row>
    <row r="10764" spans="1:1" x14ac:dyDescent="0.25">
      <c r="A10764" s="841"/>
    </row>
    <row r="10765" spans="1:1" x14ac:dyDescent="0.25">
      <c r="A10765" s="841"/>
    </row>
    <row r="10766" spans="1:1" x14ac:dyDescent="0.25">
      <c r="A10766" s="841"/>
    </row>
    <row r="10767" spans="1:1" x14ac:dyDescent="0.25">
      <c r="A10767" s="841"/>
    </row>
    <row r="10768" spans="1:1" x14ac:dyDescent="0.25">
      <c r="A10768" s="841"/>
    </row>
    <row r="10769" spans="1:1" x14ac:dyDescent="0.25">
      <c r="A10769" s="841"/>
    </row>
    <row r="10770" spans="1:1" x14ac:dyDescent="0.25">
      <c r="A10770" s="841"/>
    </row>
    <row r="10771" spans="1:1" x14ac:dyDescent="0.25">
      <c r="A10771" s="841"/>
    </row>
    <row r="10772" spans="1:1" x14ac:dyDescent="0.25">
      <c r="A10772" s="841"/>
    </row>
    <row r="10773" spans="1:1" x14ac:dyDescent="0.25">
      <c r="A10773" s="841"/>
    </row>
    <row r="10774" spans="1:1" x14ac:dyDescent="0.25">
      <c r="A10774" s="841"/>
    </row>
    <row r="10775" spans="1:1" x14ac:dyDescent="0.25">
      <c r="A10775" s="841"/>
    </row>
    <row r="10776" spans="1:1" x14ac:dyDescent="0.25">
      <c r="A10776" s="841"/>
    </row>
    <row r="10777" spans="1:1" x14ac:dyDescent="0.25">
      <c r="A10777" s="841"/>
    </row>
    <row r="10778" spans="1:1" x14ac:dyDescent="0.25">
      <c r="A10778" s="841"/>
    </row>
    <row r="10779" spans="1:1" x14ac:dyDescent="0.25">
      <c r="A10779" s="841"/>
    </row>
    <row r="10780" spans="1:1" x14ac:dyDescent="0.25">
      <c r="A10780" s="841"/>
    </row>
    <row r="10781" spans="1:1" x14ac:dyDescent="0.25">
      <c r="A10781" s="841"/>
    </row>
    <row r="10782" spans="1:1" x14ac:dyDescent="0.25">
      <c r="A10782" s="841"/>
    </row>
    <row r="10783" spans="1:1" x14ac:dyDescent="0.25">
      <c r="A10783" s="841"/>
    </row>
    <row r="10784" spans="1:1" x14ac:dyDescent="0.25">
      <c r="A10784" s="841"/>
    </row>
    <row r="10785" spans="1:1" x14ac:dyDescent="0.25">
      <c r="A10785" s="841"/>
    </row>
    <row r="10786" spans="1:1" x14ac:dyDescent="0.25">
      <c r="A10786" s="841"/>
    </row>
    <row r="10787" spans="1:1" x14ac:dyDescent="0.25">
      <c r="A10787" s="841"/>
    </row>
    <row r="10788" spans="1:1" x14ac:dyDescent="0.25">
      <c r="A10788" s="841"/>
    </row>
    <row r="10789" spans="1:1" x14ac:dyDescent="0.25">
      <c r="A10789" s="841"/>
    </row>
    <row r="10790" spans="1:1" x14ac:dyDescent="0.25">
      <c r="A10790" s="841"/>
    </row>
    <row r="10791" spans="1:1" x14ac:dyDescent="0.25">
      <c r="A10791" s="841"/>
    </row>
    <row r="10792" spans="1:1" x14ac:dyDescent="0.25">
      <c r="A10792" s="841"/>
    </row>
    <row r="10793" spans="1:1" x14ac:dyDescent="0.25">
      <c r="A10793" s="841"/>
    </row>
    <row r="10794" spans="1:1" x14ac:dyDescent="0.25">
      <c r="A10794" s="841"/>
    </row>
    <row r="10795" spans="1:1" x14ac:dyDescent="0.25">
      <c r="A10795" s="841"/>
    </row>
    <row r="10796" spans="1:1" x14ac:dyDescent="0.25">
      <c r="A10796" s="841"/>
    </row>
    <row r="10797" spans="1:1" x14ac:dyDescent="0.25">
      <c r="A10797" s="841"/>
    </row>
    <row r="10798" spans="1:1" x14ac:dyDescent="0.25">
      <c r="A10798" s="841"/>
    </row>
    <row r="10799" spans="1:1" x14ac:dyDescent="0.25">
      <c r="A10799" s="841"/>
    </row>
    <row r="10800" spans="1:1" x14ac:dyDescent="0.25">
      <c r="A10800" s="841"/>
    </row>
    <row r="10801" spans="1:1" x14ac:dyDescent="0.25">
      <c r="A10801" s="841"/>
    </row>
    <row r="10802" spans="1:1" x14ac:dyDescent="0.25">
      <c r="A10802" s="841"/>
    </row>
    <row r="10803" spans="1:1" x14ac:dyDescent="0.25">
      <c r="A10803" s="841"/>
    </row>
    <row r="10804" spans="1:1" x14ac:dyDescent="0.25">
      <c r="A10804" s="841"/>
    </row>
    <row r="10805" spans="1:1" x14ac:dyDescent="0.25">
      <c r="A10805" s="841"/>
    </row>
    <row r="10806" spans="1:1" x14ac:dyDescent="0.25">
      <c r="A10806" s="841"/>
    </row>
    <row r="10807" spans="1:1" x14ac:dyDescent="0.25">
      <c r="A10807" s="841"/>
    </row>
    <row r="10808" spans="1:1" x14ac:dyDescent="0.25">
      <c r="A10808" s="841"/>
    </row>
    <row r="10809" spans="1:1" x14ac:dyDescent="0.25">
      <c r="A10809" s="841"/>
    </row>
    <row r="10810" spans="1:1" x14ac:dyDescent="0.25">
      <c r="A10810" s="841"/>
    </row>
    <row r="10811" spans="1:1" x14ac:dyDescent="0.25">
      <c r="A10811" s="841"/>
    </row>
    <row r="10812" spans="1:1" x14ac:dyDescent="0.25">
      <c r="A10812" s="841"/>
    </row>
    <row r="10813" spans="1:1" x14ac:dyDescent="0.25">
      <c r="A10813" s="841"/>
    </row>
    <row r="10814" spans="1:1" x14ac:dyDescent="0.25">
      <c r="A10814" s="841"/>
    </row>
    <row r="10815" spans="1:1" x14ac:dyDescent="0.25">
      <c r="A10815" s="841"/>
    </row>
    <row r="10816" spans="1:1" x14ac:dyDescent="0.25">
      <c r="A10816" s="841"/>
    </row>
    <row r="10817" spans="1:1" x14ac:dyDescent="0.25">
      <c r="A10817" s="841"/>
    </row>
    <row r="10818" spans="1:1" x14ac:dyDescent="0.25">
      <c r="A10818" s="841"/>
    </row>
    <row r="10819" spans="1:1" x14ac:dyDescent="0.25">
      <c r="A10819" s="841"/>
    </row>
    <row r="10820" spans="1:1" x14ac:dyDescent="0.25">
      <c r="A10820" s="841"/>
    </row>
    <row r="10821" spans="1:1" x14ac:dyDescent="0.25">
      <c r="A10821" s="841"/>
    </row>
    <row r="10822" spans="1:1" x14ac:dyDescent="0.25">
      <c r="A10822" s="841"/>
    </row>
    <row r="10823" spans="1:1" x14ac:dyDescent="0.25">
      <c r="A10823" s="841"/>
    </row>
    <row r="10824" spans="1:1" x14ac:dyDescent="0.25">
      <c r="A10824" s="841"/>
    </row>
    <row r="10825" spans="1:1" x14ac:dyDescent="0.25">
      <c r="A10825" s="841"/>
    </row>
    <row r="10826" spans="1:1" x14ac:dyDescent="0.25">
      <c r="A10826" s="841"/>
    </row>
    <row r="10827" spans="1:1" x14ac:dyDescent="0.25">
      <c r="A10827" s="841"/>
    </row>
    <row r="10828" spans="1:1" x14ac:dyDescent="0.25">
      <c r="A10828" s="841"/>
    </row>
    <row r="10829" spans="1:1" x14ac:dyDescent="0.25">
      <c r="A10829" s="841"/>
    </row>
    <row r="10830" spans="1:1" x14ac:dyDescent="0.25">
      <c r="A10830" s="841"/>
    </row>
    <row r="10831" spans="1:1" x14ac:dyDescent="0.25">
      <c r="A10831" s="841"/>
    </row>
    <row r="10832" spans="1:1" x14ac:dyDescent="0.25">
      <c r="A10832" s="841"/>
    </row>
    <row r="10833" spans="1:1" x14ac:dyDescent="0.25">
      <c r="A10833" s="841"/>
    </row>
    <row r="10834" spans="1:1" x14ac:dyDescent="0.25">
      <c r="A10834" s="841"/>
    </row>
    <row r="10835" spans="1:1" x14ac:dyDescent="0.25">
      <c r="A10835" s="841"/>
    </row>
    <row r="10836" spans="1:1" x14ac:dyDescent="0.25">
      <c r="A10836" s="841"/>
    </row>
    <row r="10837" spans="1:1" x14ac:dyDescent="0.25">
      <c r="A10837" s="841"/>
    </row>
    <row r="10838" spans="1:1" x14ac:dyDescent="0.25">
      <c r="A10838" s="841"/>
    </row>
    <row r="10839" spans="1:1" x14ac:dyDescent="0.25">
      <c r="A10839" s="841"/>
    </row>
    <row r="10840" spans="1:1" x14ac:dyDescent="0.25">
      <c r="A10840" s="841"/>
    </row>
    <row r="10841" spans="1:1" x14ac:dyDescent="0.25">
      <c r="A10841" s="841"/>
    </row>
    <row r="10842" spans="1:1" x14ac:dyDescent="0.25">
      <c r="A10842" s="841"/>
    </row>
    <row r="10843" spans="1:1" x14ac:dyDescent="0.25">
      <c r="A10843" s="841"/>
    </row>
    <row r="10844" spans="1:1" x14ac:dyDescent="0.25">
      <c r="A10844" s="841"/>
    </row>
    <row r="10845" spans="1:1" x14ac:dyDescent="0.25">
      <c r="A10845" s="841"/>
    </row>
    <row r="10846" spans="1:1" x14ac:dyDescent="0.25">
      <c r="A10846" s="841"/>
    </row>
    <row r="10847" spans="1:1" x14ac:dyDescent="0.25">
      <c r="A10847" s="841"/>
    </row>
    <row r="10848" spans="1:1" x14ac:dyDescent="0.25">
      <c r="A10848" s="841"/>
    </row>
    <row r="10849" spans="1:1" x14ac:dyDescent="0.25">
      <c r="A10849" s="841"/>
    </row>
    <row r="10850" spans="1:1" x14ac:dyDescent="0.25">
      <c r="A10850" s="841"/>
    </row>
    <row r="10851" spans="1:1" x14ac:dyDescent="0.25">
      <c r="A10851" s="841"/>
    </row>
    <row r="10852" spans="1:1" x14ac:dyDescent="0.25">
      <c r="A10852" s="841"/>
    </row>
    <row r="10853" spans="1:1" x14ac:dyDescent="0.25">
      <c r="A10853" s="841"/>
    </row>
    <row r="10854" spans="1:1" x14ac:dyDescent="0.25">
      <c r="A10854" s="841"/>
    </row>
    <row r="10855" spans="1:1" x14ac:dyDescent="0.25">
      <c r="A10855" s="841"/>
    </row>
    <row r="10856" spans="1:1" x14ac:dyDescent="0.25">
      <c r="A10856" s="841"/>
    </row>
    <row r="10857" spans="1:1" x14ac:dyDescent="0.25">
      <c r="A10857" s="841"/>
    </row>
    <row r="10858" spans="1:1" x14ac:dyDescent="0.25">
      <c r="A10858" s="841"/>
    </row>
    <row r="10859" spans="1:1" x14ac:dyDescent="0.25">
      <c r="A10859" s="841"/>
    </row>
    <row r="10860" spans="1:1" x14ac:dyDescent="0.25">
      <c r="A10860" s="841"/>
    </row>
    <row r="10861" spans="1:1" x14ac:dyDescent="0.25">
      <c r="A10861" s="841"/>
    </row>
    <row r="10862" spans="1:1" x14ac:dyDescent="0.25">
      <c r="A10862" s="841"/>
    </row>
    <row r="10863" spans="1:1" x14ac:dyDescent="0.25">
      <c r="A10863" s="841"/>
    </row>
    <row r="10864" spans="1:1" x14ac:dyDescent="0.25">
      <c r="A10864" s="841"/>
    </row>
    <row r="10865" spans="1:1" x14ac:dyDescent="0.25">
      <c r="A10865" s="841"/>
    </row>
    <row r="10866" spans="1:1" x14ac:dyDescent="0.25">
      <c r="A10866" s="841"/>
    </row>
    <row r="10867" spans="1:1" x14ac:dyDescent="0.25">
      <c r="A10867" s="841"/>
    </row>
    <row r="10868" spans="1:1" x14ac:dyDescent="0.25">
      <c r="A10868" s="841"/>
    </row>
    <row r="10869" spans="1:1" x14ac:dyDescent="0.25">
      <c r="A10869" s="841"/>
    </row>
    <row r="10870" spans="1:1" x14ac:dyDescent="0.25">
      <c r="A10870" s="841"/>
    </row>
    <row r="10871" spans="1:1" x14ac:dyDescent="0.25">
      <c r="A10871" s="841"/>
    </row>
    <row r="10872" spans="1:1" x14ac:dyDescent="0.25">
      <c r="A10872" s="841"/>
    </row>
    <row r="10873" spans="1:1" x14ac:dyDescent="0.25">
      <c r="A10873" s="841"/>
    </row>
    <row r="10874" spans="1:1" x14ac:dyDescent="0.25">
      <c r="A10874" s="841"/>
    </row>
    <row r="10875" spans="1:1" x14ac:dyDescent="0.25">
      <c r="A10875" s="841"/>
    </row>
    <row r="10876" spans="1:1" x14ac:dyDescent="0.25">
      <c r="A10876" s="841"/>
    </row>
    <row r="10877" spans="1:1" x14ac:dyDescent="0.25">
      <c r="A10877" s="841"/>
    </row>
    <row r="10878" spans="1:1" x14ac:dyDescent="0.25">
      <c r="A10878" s="841"/>
    </row>
    <row r="10879" spans="1:1" x14ac:dyDescent="0.25">
      <c r="A10879" s="841"/>
    </row>
    <row r="10880" spans="1:1" x14ac:dyDescent="0.25">
      <c r="A10880" s="841"/>
    </row>
    <row r="10881" spans="1:1" x14ac:dyDescent="0.25">
      <c r="A10881" s="841"/>
    </row>
    <row r="10882" spans="1:1" x14ac:dyDescent="0.25">
      <c r="A10882" s="841"/>
    </row>
    <row r="10883" spans="1:1" x14ac:dyDescent="0.25">
      <c r="A10883" s="841"/>
    </row>
    <row r="10884" spans="1:1" x14ac:dyDescent="0.25">
      <c r="A10884" s="841"/>
    </row>
    <row r="10885" spans="1:1" x14ac:dyDescent="0.25">
      <c r="A10885" s="841"/>
    </row>
    <row r="10886" spans="1:1" x14ac:dyDescent="0.25">
      <c r="A10886" s="841"/>
    </row>
    <row r="10887" spans="1:1" x14ac:dyDescent="0.25">
      <c r="A10887" s="841"/>
    </row>
    <row r="10888" spans="1:1" x14ac:dyDescent="0.25">
      <c r="A10888" s="841"/>
    </row>
    <row r="10889" spans="1:1" x14ac:dyDescent="0.25">
      <c r="A10889" s="841"/>
    </row>
    <row r="10890" spans="1:1" x14ac:dyDescent="0.25">
      <c r="A10890" s="841"/>
    </row>
    <row r="10891" spans="1:1" x14ac:dyDescent="0.25">
      <c r="A10891" s="841"/>
    </row>
    <row r="10892" spans="1:1" x14ac:dyDescent="0.25">
      <c r="A10892" s="841"/>
    </row>
    <row r="10893" spans="1:1" x14ac:dyDescent="0.25">
      <c r="A10893" s="841"/>
    </row>
    <row r="10894" spans="1:1" x14ac:dyDescent="0.25">
      <c r="A10894" s="841"/>
    </row>
    <row r="10895" spans="1:1" x14ac:dyDescent="0.25">
      <c r="A10895" s="841"/>
    </row>
    <row r="10896" spans="1:1" x14ac:dyDescent="0.25">
      <c r="A10896" s="841"/>
    </row>
    <row r="10897" spans="1:1" x14ac:dyDescent="0.25">
      <c r="A10897" s="841"/>
    </row>
    <row r="10898" spans="1:1" x14ac:dyDescent="0.25">
      <c r="A10898" s="841"/>
    </row>
    <row r="10899" spans="1:1" x14ac:dyDescent="0.25">
      <c r="A10899" s="841"/>
    </row>
    <row r="10900" spans="1:1" x14ac:dyDescent="0.25">
      <c r="A10900" s="841"/>
    </row>
    <row r="10901" spans="1:1" x14ac:dyDescent="0.25">
      <c r="A10901" s="841"/>
    </row>
    <row r="10902" spans="1:1" x14ac:dyDescent="0.25">
      <c r="A10902" s="841"/>
    </row>
    <row r="10903" spans="1:1" x14ac:dyDescent="0.25">
      <c r="A10903" s="841"/>
    </row>
    <row r="10904" spans="1:1" x14ac:dyDescent="0.25">
      <c r="A10904" s="841"/>
    </row>
    <row r="10905" spans="1:1" x14ac:dyDescent="0.25">
      <c r="A10905" s="841"/>
    </row>
    <row r="10906" spans="1:1" x14ac:dyDescent="0.25">
      <c r="A10906" s="841"/>
    </row>
    <row r="10907" spans="1:1" x14ac:dyDescent="0.25">
      <c r="A10907" s="841"/>
    </row>
    <row r="10908" spans="1:1" x14ac:dyDescent="0.25">
      <c r="A10908" s="841"/>
    </row>
    <row r="10909" spans="1:1" x14ac:dyDescent="0.25">
      <c r="A10909" s="841"/>
    </row>
    <row r="10910" spans="1:1" x14ac:dyDescent="0.25">
      <c r="A10910" s="841"/>
    </row>
    <row r="10911" spans="1:1" x14ac:dyDescent="0.25">
      <c r="A10911" s="841"/>
    </row>
    <row r="10912" spans="1:1" x14ac:dyDescent="0.25">
      <c r="A10912" s="841"/>
    </row>
    <row r="10913" spans="1:1" x14ac:dyDescent="0.25">
      <c r="A10913" s="841"/>
    </row>
    <row r="10914" spans="1:1" x14ac:dyDescent="0.25">
      <c r="A10914" s="841"/>
    </row>
    <row r="10915" spans="1:1" x14ac:dyDescent="0.25">
      <c r="A10915" s="841"/>
    </row>
    <row r="10916" spans="1:1" x14ac:dyDescent="0.25">
      <c r="A10916" s="841"/>
    </row>
    <row r="10917" spans="1:1" x14ac:dyDescent="0.25">
      <c r="A10917" s="841"/>
    </row>
    <row r="10918" spans="1:1" x14ac:dyDescent="0.25">
      <c r="A10918" s="841"/>
    </row>
    <row r="10919" spans="1:1" x14ac:dyDescent="0.25">
      <c r="A10919" s="841"/>
    </row>
    <row r="10920" spans="1:1" x14ac:dyDescent="0.25">
      <c r="A10920" s="841"/>
    </row>
    <row r="10921" spans="1:1" x14ac:dyDescent="0.25">
      <c r="A10921" s="841"/>
    </row>
    <row r="10922" spans="1:1" x14ac:dyDescent="0.25">
      <c r="A10922" s="841"/>
    </row>
    <row r="10923" spans="1:1" x14ac:dyDescent="0.25">
      <c r="A10923" s="841"/>
    </row>
    <row r="10924" spans="1:1" x14ac:dyDescent="0.25">
      <c r="A10924" s="841"/>
    </row>
    <row r="10925" spans="1:1" x14ac:dyDescent="0.25">
      <c r="A10925" s="841"/>
    </row>
    <row r="10926" spans="1:1" x14ac:dyDescent="0.25">
      <c r="A10926" s="841"/>
    </row>
    <row r="10927" spans="1:1" x14ac:dyDescent="0.25">
      <c r="A10927" s="841"/>
    </row>
    <row r="10928" spans="1:1" x14ac:dyDescent="0.25">
      <c r="A10928" s="841"/>
    </row>
    <row r="10929" spans="1:1" x14ac:dyDescent="0.25">
      <c r="A10929" s="841"/>
    </row>
    <row r="10930" spans="1:1" x14ac:dyDescent="0.25">
      <c r="A10930" s="841"/>
    </row>
    <row r="10931" spans="1:1" x14ac:dyDescent="0.25">
      <c r="A10931" s="841"/>
    </row>
    <row r="10932" spans="1:1" x14ac:dyDescent="0.25">
      <c r="A10932" s="841"/>
    </row>
    <row r="10933" spans="1:1" x14ac:dyDescent="0.25">
      <c r="A10933" s="841"/>
    </row>
    <row r="10934" spans="1:1" x14ac:dyDescent="0.25">
      <c r="A10934" s="841"/>
    </row>
    <row r="10935" spans="1:1" x14ac:dyDescent="0.25">
      <c r="A10935" s="841"/>
    </row>
    <row r="10936" spans="1:1" x14ac:dyDescent="0.25">
      <c r="A10936" s="841"/>
    </row>
    <row r="10937" spans="1:1" x14ac:dyDescent="0.25">
      <c r="A10937" s="841"/>
    </row>
    <row r="10938" spans="1:1" x14ac:dyDescent="0.25">
      <c r="A10938" s="841"/>
    </row>
    <row r="10939" spans="1:1" x14ac:dyDescent="0.25">
      <c r="A10939" s="841"/>
    </row>
    <row r="10940" spans="1:1" x14ac:dyDescent="0.25">
      <c r="A10940" s="841"/>
    </row>
    <row r="10941" spans="1:1" x14ac:dyDescent="0.25">
      <c r="A10941" s="841"/>
    </row>
    <row r="10942" spans="1:1" x14ac:dyDescent="0.25">
      <c r="A10942" s="841"/>
    </row>
    <row r="10943" spans="1:1" x14ac:dyDescent="0.25">
      <c r="A10943" s="841"/>
    </row>
    <row r="10944" spans="1:1" x14ac:dyDescent="0.25">
      <c r="A10944" s="841"/>
    </row>
    <row r="10945" spans="1:1" x14ac:dyDescent="0.25">
      <c r="A10945" s="841"/>
    </row>
    <row r="10946" spans="1:1" x14ac:dyDescent="0.25">
      <c r="A10946" s="841"/>
    </row>
    <row r="10947" spans="1:1" x14ac:dyDescent="0.25">
      <c r="A10947" s="841"/>
    </row>
    <row r="10948" spans="1:1" x14ac:dyDescent="0.25">
      <c r="A10948" s="841"/>
    </row>
    <row r="10949" spans="1:1" x14ac:dyDescent="0.25">
      <c r="A10949" s="841"/>
    </row>
    <row r="10950" spans="1:1" x14ac:dyDescent="0.25">
      <c r="A10950" s="841"/>
    </row>
    <row r="10951" spans="1:1" x14ac:dyDescent="0.25">
      <c r="A10951" s="841"/>
    </row>
    <row r="10952" spans="1:1" x14ac:dyDescent="0.25">
      <c r="A10952" s="841"/>
    </row>
    <row r="10953" spans="1:1" x14ac:dyDescent="0.25">
      <c r="A10953" s="841"/>
    </row>
    <row r="10954" spans="1:1" x14ac:dyDescent="0.25">
      <c r="A10954" s="841"/>
    </row>
    <row r="10955" spans="1:1" x14ac:dyDescent="0.25">
      <c r="A10955" s="841"/>
    </row>
    <row r="10956" spans="1:1" x14ac:dyDescent="0.25">
      <c r="A10956" s="841"/>
    </row>
    <row r="10957" spans="1:1" x14ac:dyDescent="0.25">
      <c r="A10957" s="841"/>
    </row>
    <row r="10958" spans="1:1" x14ac:dyDescent="0.25">
      <c r="A10958" s="841"/>
    </row>
    <row r="10959" spans="1:1" x14ac:dyDescent="0.25">
      <c r="A10959" s="841"/>
    </row>
    <row r="10960" spans="1:1" x14ac:dyDescent="0.25">
      <c r="A10960" s="841"/>
    </row>
    <row r="10961" spans="1:1" x14ac:dyDescent="0.25">
      <c r="A10961" s="841"/>
    </row>
    <row r="10962" spans="1:1" x14ac:dyDescent="0.25">
      <c r="A10962" s="841"/>
    </row>
    <row r="10963" spans="1:1" x14ac:dyDescent="0.25">
      <c r="A10963" s="841"/>
    </row>
    <row r="10964" spans="1:1" x14ac:dyDescent="0.25">
      <c r="A10964" s="841"/>
    </row>
    <row r="10965" spans="1:1" x14ac:dyDescent="0.25">
      <c r="A10965" s="841"/>
    </row>
    <row r="10966" spans="1:1" x14ac:dyDescent="0.25">
      <c r="A10966" s="841"/>
    </row>
    <row r="10967" spans="1:1" x14ac:dyDescent="0.25">
      <c r="A10967" s="841"/>
    </row>
    <row r="10968" spans="1:1" x14ac:dyDescent="0.25">
      <c r="A10968" s="841"/>
    </row>
    <row r="10969" spans="1:1" x14ac:dyDescent="0.25">
      <c r="A10969" s="841"/>
    </row>
    <row r="10970" spans="1:1" x14ac:dyDescent="0.25">
      <c r="A10970" s="841"/>
    </row>
    <row r="10971" spans="1:1" x14ac:dyDescent="0.25">
      <c r="A10971" s="841"/>
    </row>
    <row r="10972" spans="1:1" x14ac:dyDescent="0.25">
      <c r="A10972" s="841"/>
    </row>
    <row r="10973" spans="1:1" x14ac:dyDescent="0.25">
      <c r="A10973" s="841"/>
    </row>
    <row r="10974" spans="1:1" x14ac:dyDescent="0.25">
      <c r="A10974" s="841"/>
    </row>
    <row r="10975" spans="1:1" x14ac:dyDescent="0.25">
      <c r="A10975" s="841"/>
    </row>
    <row r="10976" spans="1:1" x14ac:dyDescent="0.25">
      <c r="A10976" s="841"/>
    </row>
    <row r="10977" spans="1:1" x14ac:dyDescent="0.25">
      <c r="A10977" s="841"/>
    </row>
    <row r="10978" spans="1:1" x14ac:dyDescent="0.25">
      <c r="A10978" s="841"/>
    </row>
    <row r="10979" spans="1:1" x14ac:dyDescent="0.25">
      <c r="A10979" s="841"/>
    </row>
    <row r="10980" spans="1:1" x14ac:dyDescent="0.25">
      <c r="A10980" s="841"/>
    </row>
    <row r="10981" spans="1:1" x14ac:dyDescent="0.25">
      <c r="A10981" s="841"/>
    </row>
    <row r="10982" spans="1:1" x14ac:dyDescent="0.25">
      <c r="A10982" s="841"/>
    </row>
    <row r="10983" spans="1:1" x14ac:dyDescent="0.25">
      <c r="A10983" s="841"/>
    </row>
    <row r="10984" spans="1:1" x14ac:dyDescent="0.25">
      <c r="A10984" s="841"/>
    </row>
    <row r="10985" spans="1:1" x14ac:dyDescent="0.25">
      <c r="A10985" s="841"/>
    </row>
    <row r="10986" spans="1:1" x14ac:dyDescent="0.25">
      <c r="A10986" s="841"/>
    </row>
    <row r="10987" spans="1:1" x14ac:dyDescent="0.25">
      <c r="A10987" s="841"/>
    </row>
    <row r="10988" spans="1:1" x14ac:dyDescent="0.25">
      <c r="A10988" s="841"/>
    </row>
    <row r="10989" spans="1:1" x14ac:dyDescent="0.25">
      <c r="A10989" s="841"/>
    </row>
    <row r="10990" spans="1:1" x14ac:dyDescent="0.25">
      <c r="A10990" s="841"/>
    </row>
    <row r="10991" spans="1:1" x14ac:dyDescent="0.25">
      <c r="A10991" s="841"/>
    </row>
    <row r="10992" spans="1:1" x14ac:dyDescent="0.25">
      <c r="A10992" s="841"/>
    </row>
    <row r="10993" spans="1:1" x14ac:dyDescent="0.25">
      <c r="A10993" s="841"/>
    </row>
    <row r="10994" spans="1:1" x14ac:dyDescent="0.25">
      <c r="A10994" s="841"/>
    </row>
    <row r="10995" spans="1:1" x14ac:dyDescent="0.25">
      <c r="A10995" s="841"/>
    </row>
    <row r="10996" spans="1:1" x14ac:dyDescent="0.25">
      <c r="A10996" s="841"/>
    </row>
    <row r="10997" spans="1:1" x14ac:dyDescent="0.25">
      <c r="A10997" s="841"/>
    </row>
    <row r="10998" spans="1:1" x14ac:dyDescent="0.25">
      <c r="A10998" s="841"/>
    </row>
    <row r="10999" spans="1:1" x14ac:dyDescent="0.25">
      <c r="A10999" s="841"/>
    </row>
    <row r="11000" spans="1:1" x14ac:dyDescent="0.25">
      <c r="A11000" s="841"/>
    </row>
    <row r="11001" spans="1:1" x14ac:dyDescent="0.25">
      <c r="A11001" s="841"/>
    </row>
    <row r="11002" spans="1:1" x14ac:dyDescent="0.25">
      <c r="A11002" s="841"/>
    </row>
    <row r="11003" spans="1:1" x14ac:dyDescent="0.25">
      <c r="A11003" s="841"/>
    </row>
    <row r="11004" spans="1:1" x14ac:dyDescent="0.25">
      <c r="A11004" s="841"/>
    </row>
    <row r="11005" spans="1:1" x14ac:dyDescent="0.25">
      <c r="A11005" s="841"/>
    </row>
    <row r="11006" spans="1:1" x14ac:dyDescent="0.25">
      <c r="A11006" s="841"/>
    </row>
    <row r="11007" spans="1:1" x14ac:dyDescent="0.25">
      <c r="A11007" s="841"/>
    </row>
    <row r="11008" spans="1:1" x14ac:dyDescent="0.25">
      <c r="A11008" s="841"/>
    </row>
    <row r="11009" spans="1:1" x14ac:dyDescent="0.25">
      <c r="A11009" s="841"/>
    </row>
    <row r="11010" spans="1:1" x14ac:dyDescent="0.25">
      <c r="A11010" s="841"/>
    </row>
    <row r="11011" spans="1:1" x14ac:dyDescent="0.25">
      <c r="A11011" s="841"/>
    </row>
    <row r="11012" spans="1:1" x14ac:dyDescent="0.25">
      <c r="A11012" s="841"/>
    </row>
    <row r="11013" spans="1:1" x14ac:dyDescent="0.25">
      <c r="A11013" s="841"/>
    </row>
    <row r="11014" spans="1:1" x14ac:dyDescent="0.25">
      <c r="A11014" s="841"/>
    </row>
    <row r="11015" spans="1:1" x14ac:dyDescent="0.25">
      <c r="A11015" s="841"/>
    </row>
    <row r="11016" spans="1:1" x14ac:dyDescent="0.25">
      <c r="A11016" s="841"/>
    </row>
    <row r="11017" spans="1:1" x14ac:dyDescent="0.25">
      <c r="A11017" s="841"/>
    </row>
    <row r="11018" spans="1:1" x14ac:dyDescent="0.25">
      <c r="A11018" s="841"/>
    </row>
    <row r="11019" spans="1:1" x14ac:dyDescent="0.25">
      <c r="A11019" s="841"/>
    </row>
    <row r="11020" spans="1:1" x14ac:dyDescent="0.25">
      <c r="A11020" s="841"/>
    </row>
    <row r="11021" spans="1:1" x14ac:dyDescent="0.25">
      <c r="A11021" s="841"/>
    </row>
    <row r="11022" spans="1:1" x14ac:dyDescent="0.25">
      <c r="A11022" s="841"/>
    </row>
    <row r="11023" spans="1:1" x14ac:dyDescent="0.25">
      <c r="A11023" s="841"/>
    </row>
    <row r="11024" spans="1:1" x14ac:dyDescent="0.25">
      <c r="A11024" s="841"/>
    </row>
    <row r="11025" spans="1:1" x14ac:dyDescent="0.25">
      <c r="A11025" s="841"/>
    </row>
    <row r="11026" spans="1:1" x14ac:dyDescent="0.25">
      <c r="A11026" s="841"/>
    </row>
    <row r="11027" spans="1:1" x14ac:dyDescent="0.25">
      <c r="A11027" s="841"/>
    </row>
    <row r="11028" spans="1:1" x14ac:dyDescent="0.25">
      <c r="A11028" s="841"/>
    </row>
    <row r="11029" spans="1:1" x14ac:dyDescent="0.25">
      <c r="A11029" s="841"/>
    </row>
    <row r="11030" spans="1:1" x14ac:dyDescent="0.25">
      <c r="A11030" s="841"/>
    </row>
    <row r="11031" spans="1:1" x14ac:dyDescent="0.25">
      <c r="A11031" s="841"/>
    </row>
    <row r="11032" spans="1:1" x14ac:dyDescent="0.25">
      <c r="A11032" s="841"/>
    </row>
    <row r="11033" spans="1:1" x14ac:dyDescent="0.25">
      <c r="A11033" s="841"/>
    </row>
    <row r="11034" spans="1:1" x14ac:dyDescent="0.25">
      <c r="A11034" s="841"/>
    </row>
    <row r="11035" spans="1:1" x14ac:dyDescent="0.25">
      <c r="A11035" s="841"/>
    </row>
    <row r="11036" spans="1:1" x14ac:dyDescent="0.25">
      <c r="A11036" s="841"/>
    </row>
    <row r="11037" spans="1:1" x14ac:dyDescent="0.25">
      <c r="A11037" s="841"/>
    </row>
    <row r="11038" spans="1:1" x14ac:dyDescent="0.25">
      <c r="A11038" s="841"/>
    </row>
    <row r="11039" spans="1:1" x14ac:dyDescent="0.25">
      <c r="A11039" s="841"/>
    </row>
    <row r="11040" spans="1:1" x14ac:dyDescent="0.25">
      <c r="A11040" s="841"/>
    </row>
    <row r="11041" spans="1:1" x14ac:dyDescent="0.25">
      <c r="A11041" s="841"/>
    </row>
    <row r="11042" spans="1:1" x14ac:dyDescent="0.25">
      <c r="A11042" s="841"/>
    </row>
    <row r="11043" spans="1:1" x14ac:dyDescent="0.25">
      <c r="A11043" s="841"/>
    </row>
    <row r="11044" spans="1:1" x14ac:dyDescent="0.25">
      <c r="A11044" s="841"/>
    </row>
    <row r="11045" spans="1:1" x14ac:dyDescent="0.25">
      <c r="A11045" s="841"/>
    </row>
    <row r="11046" spans="1:1" x14ac:dyDescent="0.25">
      <c r="A11046" s="841"/>
    </row>
    <row r="11047" spans="1:1" x14ac:dyDescent="0.25">
      <c r="A11047" s="841"/>
    </row>
    <row r="11048" spans="1:1" x14ac:dyDescent="0.25">
      <c r="A11048" s="841"/>
    </row>
    <row r="11049" spans="1:1" x14ac:dyDescent="0.25">
      <c r="A11049" s="841"/>
    </row>
    <row r="11050" spans="1:1" x14ac:dyDescent="0.25">
      <c r="A11050" s="841"/>
    </row>
    <row r="11051" spans="1:1" x14ac:dyDescent="0.25">
      <c r="A11051" s="841"/>
    </row>
    <row r="11052" spans="1:1" x14ac:dyDescent="0.25">
      <c r="A11052" s="841"/>
    </row>
    <row r="11053" spans="1:1" x14ac:dyDescent="0.25">
      <c r="A11053" s="841"/>
    </row>
    <row r="11054" spans="1:1" x14ac:dyDescent="0.25">
      <c r="A11054" s="841"/>
    </row>
    <row r="11055" spans="1:1" x14ac:dyDescent="0.25">
      <c r="A11055" s="841"/>
    </row>
    <row r="11056" spans="1:1" x14ac:dyDescent="0.25">
      <c r="A11056" s="841"/>
    </row>
    <row r="11057" spans="1:1" x14ac:dyDescent="0.25">
      <c r="A11057" s="841"/>
    </row>
    <row r="11058" spans="1:1" x14ac:dyDescent="0.25">
      <c r="A11058" s="841"/>
    </row>
    <row r="11059" spans="1:1" x14ac:dyDescent="0.25">
      <c r="A11059" s="841"/>
    </row>
    <row r="11060" spans="1:1" x14ac:dyDescent="0.25">
      <c r="A11060" s="841"/>
    </row>
    <row r="11061" spans="1:1" x14ac:dyDescent="0.25">
      <c r="A11061" s="841"/>
    </row>
    <row r="11062" spans="1:1" x14ac:dyDescent="0.25">
      <c r="A11062" s="841"/>
    </row>
    <row r="11063" spans="1:1" x14ac:dyDescent="0.25">
      <c r="A11063" s="841"/>
    </row>
    <row r="11064" spans="1:1" x14ac:dyDescent="0.25">
      <c r="A11064" s="841"/>
    </row>
    <row r="11065" spans="1:1" x14ac:dyDescent="0.25">
      <c r="A11065" s="841"/>
    </row>
    <row r="11066" spans="1:1" x14ac:dyDescent="0.25">
      <c r="A11066" s="841"/>
    </row>
    <row r="11067" spans="1:1" x14ac:dyDescent="0.25">
      <c r="A11067" s="841"/>
    </row>
    <row r="11068" spans="1:1" x14ac:dyDescent="0.25">
      <c r="A11068" s="841"/>
    </row>
    <row r="11069" spans="1:1" x14ac:dyDescent="0.25">
      <c r="A11069" s="841"/>
    </row>
    <row r="11070" spans="1:1" x14ac:dyDescent="0.25">
      <c r="A11070" s="841"/>
    </row>
    <row r="11071" spans="1:1" x14ac:dyDescent="0.25">
      <c r="A11071" s="841"/>
    </row>
    <row r="11072" spans="1:1" x14ac:dyDescent="0.25">
      <c r="A11072" s="841"/>
    </row>
    <row r="11073" spans="1:1" x14ac:dyDescent="0.25">
      <c r="A11073" s="841"/>
    </row>
    <row r="11074" spans="1:1" x14ac:dyDescent="0.25">
      <c r="A11074" s="841"/>
    </row>
    <row r="11075" spans="1:1" x14ac:dyDescent="0.25">
      <c r="A11075" s="841"/>
    </row>
    <row r="11076" spans="1:1" x14ac:dyDescent="0.25">
      <c r="A11076" s="841"/>
    </row>
    <row r="11077" spans="1:1" x14ac:dyDescent="0.25">
      <c r="A11077" s="841"/>
    </row>
    <row r="11078" spans="1:1" x14ac:dyDescent="0.25">
      <c r="A11078" s="841"/>
    </row>
    <row r="11079" spans="1:1" x14ac:dyDescent="0.25">
      <c r="A11079" s="841"/>
    </row>
    <row r="11080" spans="1:1" x14ac:dyDescent="0.25">
      <c r="A11080" s="841"/>
    </row>
    <row r="11081" spans="1:1" x14ac:dyDescent="0.25">
      <c r="A11081" s="841"/>
    </row>
    <row r="11082" spans="1:1" x14ac:dyDescent="0.25">
      <c r="A11082" s="841"/>
    </row>
    <row r="11083" spans="1:1" x14ac:dyDescent="0.25">
      <c r="A11083" s="841"/>
    </row>
    <row r="11084" spans="1:1" x14ac:dyDescent="0.25">
      <c r="A11084" s="841"/>
    </row>
    <row r="11085" spans="1:1" x14ac:dyDescent="0.25">
      <c r="A11085" s="841"/>
    </row>
    <row r="11086" spans="1:1" x14ac:dyDescent="0.25">
      <c r="A11086" s="841"/>
    </row>
    <row r="11087" spans="1:1" x14ac:dyDescent="0.25">
      <c r="A11087" s="841"/>
    </row>
    <row r="11088" spans="1:1" x14ac:dyDescent="0.25">
      <c r="A11088" s="841"/>
    </row>
    <row r="11089" spans="1:1" x14ac:dyDescent="0.25">
      <c r="A11089" s="841"/>
    </row>
    <row r="11090" spans="1:1" x14ac:dyDescent="0.25">
      <c r="A11090" s="841"/>
    </row>
    <row r="11091" spans="1:1" x14ac:dyDescent="0.25">
      <c r="A11091" s="841"/>
    </row>
    <row r="11092" spans="1:1" x14ac:dyDescent="0.25">
      <c r="A11092" s="841"/>
    </row>
    <row r="11093" spans="1:1" x14ac:dyDescent="0.25">
      <c r="A11093" s="841"/>
    </row>
    <row r="11094" spans="1:1" x14ac:dyDescent="0.25">
      <c r="A11094" s="841"/>
    </row>
    <row r="11095" spans="1:1" x14ac:dyDescent="0.25">
      <c r="A11095" s="841"/>
    </row>
    <row r="11096" spans="1:1" x14ac:dyDescent="0.25">
      <c r="A11096" s="841"/>
    </row>
    <row r="11097" spans="1:1" x14ac:dyDescent="0.25">
      <c r="A11097" s="841"/>
    </row>
    <row r="11098" spans="1:1" x14ac:dyDescent="0.25">
      <c r="A11098" s="841"/>
    </row>
    <row r="11099" spans="1:1" x14ac:dyDescent="0.25">
      <c r="A11099" s="841"/>
    </row>
    <row r="11100" spans="1:1" x14ac:dyDescent="0.25">
      <c r="A11100" s="841"/>
    </row>
    <row r="11101" spans="1:1" x14ac:dyDescent="0.25">
      <c r="A11101" s="841"/>
    </row>
    <row r="11102" spans="1:1" x14ac:dyDescent="0.25">
      <c r="A11102" s="841"/>
    </row>
    <row r="11103" spans="1:1" x14ac:dyDescent="0.25">
      <c r="A11103" s="841"/>
    </row>
    <row r="11104" spans="1:1" x14ac:dyDescent="0.25">
      <c r="A11104" s="841"/>
    </row>
    <row r="11105" spans="1:1" x14ac:dyDescent="0.25">
      <c r="A11105" s="841"/>
    </row>
    <row r="11106" spans="1:1" x14ac:dyDescent="0.25">
      <c r="A11106" s="841"/>
    </row>
    <row r="11107" spans="1:1" x14ac:dyDescent="0.25">
      <c r="A11107" s="841"/>
    </row>
    <row r="11108" spans="1:1" x14ac:dyDescent="0.25">
      <c r="A11108" s="841"/>
    </row>
    <row r="11109" spans="1:1" x14ac:dyDescent="0.25">
      <c r="A11109" s="841"/>
    </row>
    <row r="11110" spans="1:1" x14ac:dyDescent="0.25">
      <c r="A11110" s="841"/>
    </row>
    <row r="11111" spans="1:1" x14ac:dyDescent="0.25">
      <c r="A11111" s="841"/>
    </row>
    <row r="11112" spans="1:1" x14ac:dyDescent="0.25">
      <c r="A11112" s="841"/>
    </row>
    <row r="11113" spans="1:1" x14ac:dyDescent="0.25">
      <c r="A11113" s="841"/>
    </row>
    <row r="11114" spans="1:1" x14ac:dyDescent="0.25">
      <c r="A11114" s="841"/>
    </row>
    <row r="11115" spans="1:1" x14ac:dyDescent="0.25">
      <c r="A11115" s="841"/>
    </row>
    <row r="11116" spans="1:1" x14ac:dyDescent="0.25">
      <c r="A11116" s="841"/>
    </row>
    <row r="11117" spans="1:1" x14ac:dyDescent="0.25">
      <c r="A11117" s="841"/>
    </row>
    <row r="11118" spans="1:1" x14ac:dyDescent="0.25">
      <c r="A11118" s="841"/>
    </row>
    <row r="11119" spans="1:1" x14ac:dyDescent="0.25">
      <c r="A11119" s="841"/>
    </row>
    <row r="11120" spans="1:1" x14ac:dyDescent="0.25">
      <c r="A11120" s="841"/>
    </row>
    <row r="11121" spans="1:1" x14ac:dyDescent="0.25">
      <c r="A11121" s="841"/>
    </row>
    <row r="11122" spans="1:1" x14ac:dyDescent="0.25">
      <c r="A11122" s="841"/>
    </row>
    <row r="11123" spans="1:1" x14ac:dyDescent="0.25">
      <c r="A11123" s="841"/>
    </row>
    <row r="11124" spans="1:1" x14ac:dyDescent="0.25">
      <c r="A11124" s="841"/>
    </row>
    <row r="11125" spans="1:1" x14ac:dyDescent="0.25">
      <c r="A11125" s="841"/>
    </row>
    <row r="11126" spans="1:1" x14ac:dyDescent="0.25">
      <c r="A11126" s="841"/>
    </row>
    <row r="11127" spans="1:1" x14ac:dyDescent="0.25">
      <c r="A11127" s="841"/>
    </row>
    <row r="11128" spans="1:1" x14ac:dyDescent="0.25">
      <c r="A11128" s="841"/>
    </row>
    <row r="11129" spans="1:1" x14ac:dyDescent="0.25">
      <c r="A11129" s="841"/>
    </row>
    <row r="11130" spans="1:1" x14ac:dyDescent="0.25">
      <c r="A11130" s="841"/>
    </row>
    <row r="11131" spans="1:1" x14ac:dyDescent="0.25">
      <c r="A11131" s="841"/>
    </row>
    <row r="11132" spans="1:1" x14ac:dyDescent="0.25">
      <c r="A11132" s="841"/>
    </row>
    <row r="11133" spans="1:1" x14ac:dyDescent="0.25">
      <c r="A11133" s="841"/>
    </row>
    <row r="11134" spans="1:1" x14ac:dyDescent="0.25">
      <c r="A11134" s="841"/>
    </row>
    <row r="11135" spans="1:1" x14ac:dyDescent="0.25">
      <c r="A11135" s="841"/>
    </row>
    <row r="11136" spans="1:1" x14ac:dyDescent="0.25">
      <c r="A11136" s="841"/>
    </row>
    <row r="11137" spans="1:1" x14ac:dyDescent="0.25">
      <c r="A11137" s="841"/>
    </row>
    <row r="11138" spans="1:1" x14ac:dyDescent="0.25">
      <c r="A11138" s="841"/>
    </row>
    <row r="11139" spans="1:1" x14ac:dyDescent="0.25">
      <c r="A11139" s="841"/>
    </row>
    <row r="11140" spans="1:1" x14ac:dyDescent="0.25">
      <c r="A11140" s="841"/>
    </row>
    <row r="11141" spans="1:1" x14ac:dyDescent="0.25">
      <c r="A11141" s="841"/>
    </row>
    <row r="11142" spans="1:1" x14ac:dyDescent="0.25">
      <c r="A11142" s="841"/>
    </row>
    <row r="11143" spans="1:1" x14ac:dyDescent="0.25">
      <c r="A11143" s="841"/>
    </row>
    <row r="11144" spans="1:1" x14ac:dyDescent="0.25">
      <c r="A11144" s="841"/>
    </row>
    <row r="11145" spans="1:1" x14ac:dyDescent="0.25">
      <c r="A11145" s="841"/>
    </row>
    <row r="11146" spans="1:1" x14ac:dyDescent="0.25">
      <c r="A11146" s="841"/>
    </row>
    <row r="11147" spans="1:1" x14ac:dyDescent="0.25">
      <c r="A11147" s="841"/>
    </row>
    <row r="11148" spans="1:1" x14ac:dyDescent="0.25">
      <c r="A11148" s="841"/>
    </row>
    <row r="11149" spans="1:1" x14ac:dyDescent="0.25">
      <c r="A11149" s="841"/>
    </row>
    <row r="11150" spans="1:1" x14ac:dyDescent="0.25">
      <c r="A11150" s="841"/>
    </row>
    <row r="11151" spans="1:1" x14ac:dyDescent="0.25">
      <c r="A11151" s="841"/>
    </row>
    <row r="11152" spans="1:1" x14ac:dyDescent="0.25">
      <c r="A11152" s="841"/>
    </row>
    <row r="11153" spans="1:1" x14ac:dyDescent="0.25">
      <c r="A11153" s="841"/>
    </row>
    <row r="11154" spans="1:1" x14ac:dyDescent="0.25">
      <c r="A11154" s="841"/>
    </row>
    <row r="11155" spans="1:1" x14ac:dyDescent="0.25">
      <c r="A11155" s="841"/>
    </row>
    <row r="11156" spans="1:1" x14ac:dyDescent="0.25">
      <c r="A11156" s="841"/>
    </row>
    <row r="11157" spans="1:1" x14ac:dyDescent="0.25">
      <c r="A11157" s="841"/>
    </row>
    <row r="11158" spans="1:1" x14ac:dyDescent="0.25">
      <c r="A11158" s="841"/>
    </row>
    <row r="11159" spans="1:1" x14ac:dyDescent="0.25">
      <c r="A11159" s="841"/>
    </row>
    <row r="11160" spans="1:1" x14ac:dyDescent="0.25">
      <c r="A11160" s="841"/>
    </row>
    <row r="11161" spans="1:1" x14ac:dyDescent="0.25">
      <c r="A11161" s="841"/>
    </row>
    <row r="11162" spans="1:1" x14ac:dyDescent="0.25">
      <c r="A11162" s="841"/>
    </row>
    <row r="11163" spans="1:1" x14ac:dyDescent="0.25">
      <c r="A11163" s="841"/>
    </row>
    <row r="11164" spans="1:1" x14ac:dyDescent="0.25">
      <c r="A11164" s="841"/>
    </row>
    <row r="11165" spans="1:1" x14ac:dyDescent="0.25">
      <c r="A11165" s="841"/>
    </row>
    <row r="11166" spans="1:1" x14ac:dyDescent="0.25">
      <c r="A11166" s="841"/>
    </row>
    <row r="11167" spans="1:1" x14ac:dyDescent="0.25">
      <c r="A11167" s="841"/>
    </row>
    <row r="11168" spans="1:1" x14ac:dyDescent="0.25">
      <c r="A11168" s="841"/>
    </row>
    <row r="11169" spans="1:1" x14ac:dyDescent="0.25">
      <c r="A11169" s="841"/>
    </row>
    <row r="11170" spans="1:1" x14ac:dyDescent="0.25">
      <c r="A11170" s="841"/>
    </row>
    <row r="11171" spans="1:1" x14ac:dyDescent="0.25">
      <c r="A11171" s="841"/>
    </row>
    <row r="11172" spans="1:1" x14ac:dyDescent="0.25">
      <c r="A11172" s="841"/>
    </row>
    <row r="11173" spans="1:1" x14ac:dyDescent="0.25">
      <c r="A11173" s="841"/>
    </row>
    <row r="11174" spans="1:1" x14ac:dyDescent="0.25">
      <c r="A11174" s="841"/>
    </row>
    <row r="11175" spans="1:1" x14ac:dyDescent="0.25">
      <c r="A11175" s="841"/>
    </row>
    <row r="11176" spans="1:1" x14ac:dyDescent="0.25">
      <c r="A11176" s="841"/>
    </row>
    <row r="11177" spans="1:1" x14ac:dyDescent="0.25">
      <c r="A11177" s="841"/>
    </row>
    <row r="11178" spans="1:1" x14ac:dyDescent="0.25">
      <c r="A11178" s="841"/>
    </row>
    <row r="11179" spans="1:1" x14ac:dyDescent="0.25">
      <c r="A11179" s="841"/>
    </row>
    <row r="11180" spans="1:1" x14ac:dyDescent="0.25">
      <c r="A11180" s="841"/>
    </row>
    <row r="11181" spans="1:1" x14ac:dyDescent="0.25">
      <c r="A11181" s="841"/>
    </row>
    <row r="11182" spans="1:1" x14ac:dyDescent="0.25">
      <c r="A11182" s="841"/>
    </row>
    <row r="11183" spans="1:1" x14ac:dyDescent="0.25">
      <c r="A11183" s="841"/>
    </row>
    <row r="11184" spans="1:1" x14ac:dyDescent="0.25">
      <c r="A11184" s="841"/>
    </row>
    <row r="11185" spans="1:1" x14ac:dyDescent="0.25">
      <c r="A11185" s="841"/>
    </row>
    <row r="11186" spans="1:1" x14ac:dyDescent="0.25">
      <c r="A11186" s="841"/>
    </row>
    <row r="11187" spans="1:1" x14ac:dyDescent="0.25">
      <c r="A11187" s="841"/>
    </row>
    <row r="11188" spans="1:1" x14ac:dyDescent="0.25">
      <c r="A11188" s="841"/>
    </row>
    <row r="11189" spans="1:1" x14ac:dyDescent="0.25">
      <c r="A11189" s="841"/>
    </row>
    <row r="11190" spans="1:1" x14ac:dyDescent="0.25">
      <c r="A11190" s="841"/>
    </row>
    <row r="11191" spans="1:1" x14ac:dyDescent="0.25">
      <c r="A11191" s="841"/>
    </row>
    <row r="11192" spans="1:1" x14ac:dyDescent="0.25">
      <c r="A11192" s="841"/>
    </row>
    <row r="11193" spans="1:1" x14ac:dyDescent="0.25">
      <c r="A11193" s="841"/>
    </row>
    <row r="11194" spans="1:1" x14ac:dyDescent="0.25">
      <c r="A11194" s="841"/>
    </row>
    <row r="11195" spans="1:1" x14ac:dyDescent="0.25">
      <c r="A11195" s="841"/>
    </row>
    <row r="11196" spans="1:1" x14ac:dyDescent="0.25">
      <c r="A11196" s="841"/>
    </row>
    <row r="11197" spans="1:1" x14ac:dyDescent="0.25">
      <c r="A11197" s="841"/>
    </row>
    <row r="11198" spans="1:1" x14ac:dyDescent="0.25">
      <c r="A11198" s="841"/>
    </row>
    <row r="11199" spans="1:1" x14ac:dyDescent="0.25">
      <c r="A11199" s="841"/>
    </row>
    <row r="11200" spans="1:1" x14ac:dyDescent="0.25">
      <c r="A11200" s="841"/>
    </row>
    <row r="11201" spans="1:1" x14ac:dyDescent="0.25">
      <c r="A11201" s="841"/>
    </row>
    <row r="11202" spans="1:1" x14ac:dyDescent="0.25">
      <c r="A11202" s="841"/>
    </row>
    <row r="11203" spans="1:1" x14ac:dyDescent="0.25">
      <c r="A11203" s="841"/>
    </row>
    <row r="11204" spans="1:1" x14ac:dyDescent="0.25">
      <c r="A11204" s="841"/>
    </row>
    <row r="11205" spans="1:1" x14ac:dyDescent="0.25">
      <c r="A11205" s="841"/>
    </row>
    <row r="11206" spans="1:1" x14ac:dyDescent="0.25">
      <c r="A11206" s="841"/>
    </row>
    <row r="11207" spans="1:1" x14ac:dyDescent="0.25">
      <c r="A11207" s="841"/>
    </row>
    <row r="11208" spans="1:1" x14ac:dyDescent="0.25">
      <c r="A11208" s="841"/>
    </row>
    <row r="11209" spans="1:1" x14ac:dyDescent="0.25">
      <c r="A11209" s="841"/>
    </row>
    <row r="11210" spans="1:1" x14ac:dyDescent="0.25">
      <c r="A11210" s="841"/>
    </row>
    <row r="11211" spans="1:1" x14ac:dyDescent="0.25">
      <c r="A11211" s="841"/>
    </row>
    <row r="11212" spans="1:1" x14ac:dyDescent="0.25">
      <c r="A11212" s="841"/>
    </row>
    <row r="11213" spans="1:1" x14ac:dyDescent="0.25">
      <c r="A11213" s="841"/>
    </row>
    <row r="11214" spans="1:1" x14ac:dyDescent="0.25">
      <c r="A11214" s="841"/>
    </row>
    <row r="11215" spans="1:1" x14ac:dyDescent="0.25">
      <c r="A11215" s="841"/>
    </row>
    <row r="11216" spans="1:1" x14ac:dyDescent="0.25">
      <c r="A11216" s="841"/>
    </row>
    <row r="11217" spans="1:1" x14ac:dyDescent="0.25">
      <c r="A11217" s="841"/>
    </row>
    <row r="11218" spans="1:1" x14ac:dyDescent="0.25">
      <c r="A11218" s="841"/>
    </row>
    <row r="11219" spans="1:1" x14ac:dyDescent="0.25">
      <c r="A11219" s="841"/>
    </row>
    <row r="11220" spans="1:1" x14ac:dyDescent="0.25">
      <c r="A11220" s="841"/>
    </row>
    <row r="11221" spans="1:1" x14ac:dyDescent="0.25">
      <c r="A11221" s="841"/>
    </row>
    <row r="11222" spans="1:1" x14ac:dyDescent="0.25">
      <c r="A11222" s="841"/>
    </row>
    <row r="11223" spans="1:1" x14ac:dyDescent="0.25">
      <c r="A11223" s="841"/>
    </row>
    <row r="11224" spans="1:1" x14ac:dyDescent="0.25">
      <c r="A11224" s="841"/>
    </row>
    <row r="11225" spans="1:1" x14ac:dyDescent="0.25">
      <c r="A11225" s="841"/>
    </row>
    <row r="11226" spans="1:1" x14ac:dyDescent="0.25">
      <c r="A11226" s="841"/>
    </row>
    <row r="11227" spans="1:1" x14ac:dyDescent="0.25">
      <c r="A11227" s="841"/>
    </row>
    <row r="11228" spans="1:1" x14ac:dyDescent="0.25">
      <c r="A11228" s="841"/>
    </row>
    <row r="11229" spans="1:1" x14ac:dyDescent="0.25">
      <c r="A11229" s="841"/>
    </row>
    <row r="11230" spans="1:1" x14ac:dyDescent="0.25">
      <c r="A11230" s="841"/>
    </row>
    <row r="11231" spans="1:1" x14ac:dyDescent="0.25">
      <c r="A11231" s="841"/>
    </row>
    <row r="11232" spans="1:1" x14ac:dyDescent="0.25">
      <c r="A11232" s="841"/>
    </row>
    <row r="11233" spans="1:1" x14ac:dyDescent="0.25">
      <c r="A11233" s="841"/>
    </row>
    <row r="11234" spans="1:1" x14ac:dyDescent="0.25">
      <c r="A11234" s="841"/>
    </row>
    <row r="11235" spans="1:1" x14ac:dyDescent="0.25">
      <c r="A11235" s="841"/>
    </row>
    <row r="11236" spans="1:1" x14ac:dyDescent="0.25">
      <c r="A11236" s="841"/>
    </row>
    <row r="11237" spans="1:1" x14ac:dyDescent="0.25">
      <c r="A11237" s="841"/>
    </row>
    <row r="11238" spans="1:1" x14ac:dyDescent="0.25">
      <c r="A11238" s="841"/>
    </row>
    <row r="11239" spans="1:1" x14ac:dyDescent="0.25">
      <c r="A11239" s="841"/>
    </row>
    <row r="11240" spans="1:1" x14ac:dyDescent="0.25">
      <c r="A11240" s="841"/>
    </row>
    <row r="11241" spans="1:1" x14ac:dyDescent="0.25">
      <c r="A11241" s="841"/>
    </row>
    <row r="11242" spans="1:1" x14ac:dyDescent="0.25">
      <c r="A11242" s="841"/>
    </row>
    <row r="11243" spans="1:1" x14ac:dyDescent="0.25">
      <c r="A11243" s="841"/>
    </row>
    <row r="11244" spans="1:1" x14ac:dyDescent="0.25">
      <c r="A11244" s="841"/>
    </row>
    <row r="11245" spans="1:1" x14ac:dyDescent="0.25">
      <c r="A11245" s="841"/>
    </row>
    <row r="11246" spans="1:1" x14ac:dyDescent="0.25">
      <c r="A11246" s="841"/>
    </row>
    <row r="11247" spans="1:1" x14ac:dyDescent="0.25">
      <c r="A11247" s="841"/>
    </row>
    <row r="11248" spans="1:1" x14ac:dyDescent="0.25">
      <c r="A11248" s="841"/>
    </row>
    <row r="11249" spans="1:1" x14ac:dyDescent="0.25">
      <c r="A11249" s="841"/>
    </row>
    <row r="11250" spans="1:1" x14ac:dyDescent="0.25">
      <c r="A11250" s="841"/>
    </row>
    <row r="11251" spans="1:1" x14ac:dyDescent="0.25">
      <c r="A11251" s="841"/>
    </row>
    <row r="11252" spans="1:1" x14ac:dyDescent="0.25">
      <c r="A11252" s="841"/>
    </row>
    <row r="11253" spans="1:1" x14ac:dyDescent="0.25">
      <c r="A11253" s="841"/>
    </row>
    <row r="11254" spans="1:1" x14ac:dyDescent="0.25">
      <c r="A11254" s="841"/>
    </row>
    <row r="11255" spans="1:1" x14ac:dyDescent="0.25">
      <c r="A11255" s="841"/>
    </row>
    <row r="11256" spans="1:1" x14ac:dyDescent="0.25">
      <c r="A11256" s="841"/>
    </row>
    <row r="11257" spans="1:1" x14ac:dyDescent="0.25">
      <c r="A11257" s="841"/>
    </row>
    <row r="11258" spans="1:1" x14ac:dyDescent="0.25">
      <c r="A11258" s="841"/>
    </row>
    <row r="11259" spans="1:1" x14ac:dyDescent="0.25">
      <c r="A11259" s="841"/>
    </row>
    <row r="11260" spans="1:1" x14ac:dyDescent="0.25">
      <c r="A11260" s="841"/>
    </row>
    <row r="11261" spans="1:1" x14ac:dyDescent="0.25">
      <c r="A11261" s="841"/>
    </row>
    <row r="11262" spans="1:1" x14ac:dyDescent="0.25">
      <c r="A11262" s="841"/>
    </row>
    <row r="11263" spans="1:1" x14ac:dyDescent="0.25">
      <c r="A11263" s="841"/>
    </row>
    <row r="11264" spans="1:1" x14ac:dyDescent="0.25">
      <c r="A11264" s="841"/>
    </row>
    <row r="11265" spans="1:1" x14ac:dyDescent="0.25">
      <c r="A11265" s="841"/>
    </row>
    <row r="11266" spans="1:1" x14ac:dyDescent="0.25">
      <c r="A11266" s="841"/>
    </row>
    <row r="11267" spans="1:1" x14ac:dyDescent="0.25">
      <c r="A11267" s="841"/>
    </row>
    <row r="11268" spans="1:1" x14ac:dyDescent="0.25">
      <c r="A11268" s="841"/>
    </row>
    <row r="11269" spans="1:1" x14ac:dyDescent="0.25">
      <c r="A11269" s="841"/>
    </row>
    <row r="11270" spans="1:1" x14ac:dyDescent="0.25">
      <c r="A11270" s="841"/>
    </row>
    <row r="11271" spans="1:1" x14ac:dyDescent="0.25">
      <c r="A11271" s="841"/>
    </row>
    <row r="11272" spans="1:1" x14ac:dyDescent="0.25">
      <c r="A11272" s="841"/>
    </row>
    <row r="11273" spans="1:1" x14ac:dyDescent="0.25">
      <c r="A11273" s="841"/>
    </row>
    <row r="11274" spans="1:1" x14ac:dyDescent="0.25">
      <c r="A11274" s="841"/>
    </row>
    <row r="11275" spans="1:1" x14ac:dyDescent="0.25">
      <c r="A11275" s="841"/>
    </row>
    <row r="11276" spans="1:1" x14ac:dyDescent="0.25">
      <c r="A11276" s="841"/>
    </row>
    <row r="11277" spans="1:1" x14ac:dyDescent="0.25">
      <c r="A11277" s="841"/>
    </row>
    <row r="11278" spans="1:1" x14ac:dyDescent="0.25">
      <c r="A11278" s="841"/>
    </row>
    <row r="11279" spans="1:1" x14ac:dyDescent="0.25">
      <c r="A11279" s="841"/>
    </row>
    <row r="11280" spans="1:1" x14ac:dyDescent="0.25">
      <c r="A11280" s="841"/>
    </row>
    <row r="11281" spans="1:1" x14ac:dyDescent="0.25">
      <c r="A11281" s="841"/>
    </row>
    <row r="11282" spans="1:1" x14ac:dyDescent="0.25">
      <c r="A11282" s="841"/>
    </row>
    <row r="11283" spans="1:1" x14ac:dyDescent="0.25">
      <c r="A11283" s="841"/>
    </row>
    <row r="11284" spans="1:1" x14ac:dyDescent="0.25">
      <c r="A11284" s="841"/>
    </row>
    <row r="11285" spans="1:1" x14ac:dyDescent="0.25">
      <c r="A11285" s="841"/>
    </row>
    <row r="11286" spans="1:1" x14ac:dyDescent="0.25">
      <c r="A11286" s="841"/>
    </row>
    <row r="11287" spans="1:1" x14ac:dyDescent="0.25">
      <c r="A11287" s="841"/>
    </row>
    <row r="11288" spans="1:1" x14ac:dyDescent="0.25">
      <c r="A11288" s="841"/>
    </row>
    <row r="11289" spans="1:1" x14ac:dyDescent="0.25">
      <c r="A11289" s="841"/>
    </row>
    <row r="11290" spans="1:1" x14ac:dyDescent="0.25">
      <c r="A11290" s="841"/>
    </row>
    <row r="11291" spans="1:1" x14ac:dyDescent="0.25">
      <c r="A11291" s="841"/>
    </row>
    <row r="11292" spans="1:1" x14ac:dyDescent="0.25">
      <c r="A11292" s="841"/>
    </row>
    <row r="11293" spans="1:1" x14ac:dyDescent="0.25">
      <c r="A11293" s="841"/>
    </row>
    <row r="11294" spans="1:1" x14ac:dyDescent="0.25">
      <c r="A11294" s="841"/>
    </row>
    <row r="11295" spans="1:1" x14ac:dyDescent="0.25">
      <c r="A11295" s="841"/>
    </row>
    <row r="11296" spans="1:1" x14ac:dyDescent="0.25">
      <c r="A11296" s="841"/>
    </row>
    <row r="11297" spans="1:1" x14ac:dyDescent="0.25">
      <c r="A11297" s="841"/>
    </row>
    <row r="11298" spans="1:1" x14ac:dyDescent="0.25">
      <c r="A11298" s="841"/>
    </row>
    <row r="11299" spans="1:1" x14ac:dyDescent="0.25">
      <c r="A11299" s="841"/>
    </row>
    <row r="11300" spans="1:1" x14ac:dyDescent="0.25">
      <c r="A11300" s="841"/>
    </row>
    <row r="11301" spans="1:1" x14ac:dyDescent="0.25">
      <c r="A11301" s="841"/>
    </row>
    <row r="11302" spans="1:1" x14ac:dyDescent="0.25">
      <c r="A11302" s="841"/>
    </row>
    <row r="11303" spans="1:1" x14ac:dyDescent="0.25">
      <c r="A11303" s="841"/>
    </row>
    <row r="11304" spans="1:1" x14ac:dyDescent="0.25">
      <c r="A11304" s="841"/>
    </row>
    <row r="11305" spans="1:1" x14ac:dyDescent="0.25">
      <c r="A11305" s="841"/>
    </row>
    <row r="11306" spans="1:1" x14ac:dyDescent="0.25">
      <c r="A11306" s="841"/>
    </row>
    <row r="11307" spans="1:1" x14ac:dyDescent="0.25">
      <c r="A11307" s="841"/>
    </row>
    <row r="11308" spans="1:1" x14ac:dyDescent="0.25">
      <c r="A11308" s="841"/>
    </row>
    <row r="11309" spans="1:1" x14ac:dyDescent="0.25">
      <c r="A11309" s="841"/>
    </row>
    <row r="11310" spans="1:1" x14ac:dyDescent="0.25">
      <c r="A11310" s="841"/>
    </row>
    <row r="11311" spans="1:1" x14ac:dyDescent="0.25">
      <c r="A11311" s="841"/>
    </row>
    <row r="11312" spans="1:1" x14ac:dyDescent="0.25">
      <c r="A11312" s="841"/>
    </row>
    <row r="11313" spans="1:1" x14ac:dyDescent="0.25">
      <c r="A11313" s="841"/>
    </row>
    <row r="11314" spans="1:1" x14ac:dyDescent="0.25">
      <c r="A11314" s="841"/>
    </row>
    <row r="11315" spans="1:1" x14ac:dyDescent="0.25">
      <c r="A11315" s="841"/>
    </row>
    <row r="11316" spans="1:1" x14ac:dyDescent="0.25">
      <c r="A11316" s="841"/>
    </row>
    <row r="11317" spans="1:1" x14ac:dyDescent="0.25">
      <c r="A11317" s="841"/>
    </row>
    <row r="11318" spans="1:1" x14ac:dyDescent="0.25">
      <c r="A11318" s="841"/>
    </row>
    <row r="11319" spans="1:1" x14ac:dyDescent="0.25">
      <c r="A11319" s="841"/>
    </row>
    <row r="11320" spans="1:1" x14ac:dyDescent="0.25">
      <c r="A11320" s="841"/>
    </row>
    <row r="11321" spans="1:1" x14ac:dyDescent="0.25">
      <c r="A11321" s="841"/>
    </row>
    <row r="11322" spans="1:1" x14ac:dyDescent="0.25">
      <c r="A11322" s="841"/>
    </row>
    <row r="11323" spans="1:1" x14ac:dyDescent="0.25">
      <c r="A11323" s="841"/>
    </row>
    <row r="11324" spans="1:1" x14ac:dyDescent="0.25">
      <c r="A11324" s="841"/>
    </row>
    <row r="11325" spans="1:1" x14ac:dyDescent="0.25">
      <c r="A11325" s="841"/>
    </row>
    <row r="11326" spans="1:1" x14ac:dyDescent="0.25">
      <c r="A11326" s="841"/>
    </row>
    <row r="11327" spans="1:1" x14ac:dyDescent="0.25">
      <c r="A11327" s="841"/>
    </row>
    <row r="11328" spans="1:1" x14ac:dyDescent="0.25">
      <c r="A11328" s="841"/>
    </row>
    <row r="11329" spans="1:1" x14ac:dyDescent="0.25">
      <c r="A11329" s="841"/>
    </row>
    <row r="11330" spans="1:1" x14ac:dyDescent="0.25">
      <c r="A11330" s="841"/>
    </row>
    <row r="11331" spans="1:1" x14ac:dyDescent="0.25">
      <c r="A11331" s="841"/>
    </row>
    <row r="11332" spans="1:1" x14ac:dyDescent="0.25">
      <c r="A11332" s="841"/>
    </row>
    <row r="11333" spans="1:1" x14ac:dyDescent="0.25">
      <c r="A11333" s="841"/>
    </row>
    <row r="11334" spans="1:1" x14ac:dyDescent="0.25">
      <c r="A11334" s="841"/>
    </row>
    <row r="11335" spans="1:1" x14ac:dyDescent="0.25">
      <c r="A11335" s="841"/>
    </row>
    <row r="11336" spans="1:1" x14ac:dyDescent="0.25">
      <c r="A11336" s="841"/>
    </row>
    <row r="11337" spans="1:1" x14ac:dyDescent="0.25">
      <c r="A11337" s="841"/>
    </row>
    <row r="11338" spans="1:1" x14ac:dyDescent="0.25">
      <c r="A11338" s="841"/>
    </row>
    <row r="11339" spans="1:1" x14ac:dyDescent="0.25">
      <c r="A11339" s="841"/>
    </row>
    <row r="11340" spans="1:1" x14ac:dyDescent="0.25">
      <c r="A11340" s="841"/>
    </row>
    <row r="11341" spans="1:1" x14ac:dyDescent="0.25">
      <c r="A11341" s="841"/>
    </row>
    <row r="11342" spans="1:1" x14ac:dyDescent="0.25">
      <c r="A11342" s="841"/>
    </row>
    <row r="11343" spans="1:1" x14ac:dyDescent="0.25">
      <c r="A11343" s="841"/>
    </row>
    <row r="11344" spans="1:1" x14ac:dyDescent="0.25">
      <c r="A11344" s="841"/>
    </row>
    <row r="11345" spans="1:1" x14ac:dyDescent="0.25">
      <c r="A11345" s="841"/>
    </row>
    <row r="11346" spans="1:1" x14ac:dyDescent="0.25">
      <c r="A11346" s="841"/>
    </row>
    <row r="11347" spans="1:1" x14ac:dyDescent="0.25">
      <c r="A11347" s="841"/>
    </row>
    <row r="11348" spans="1:1" x14ac:dyDescent="0.25">
      <c r="A11348" s="841"/>
    </row>
    <row r="11349" spans="1:1" x14ac:dyDescent="0.25">
      <c r="A11349" s="841"/>
    </row>
    <row r="11350" spans="1:1" x14ac:dyDescent="0.25">
      <c r="A11350" s="841"/>
    </row>
    <row r="11351" spans="1:1" x14ac:dyDescent="0.25">
      <c r="A11351" s="841"/>
    </row>
    <row r="11352" spans="1:1" x14ac:dyDescent="0.25">
      <c r="A11352" s="841"/>
    </row>
    <row r="11353" spans="1:1" x14ac:dyDescent="0.25">
      <c r="A11353" s="841"/>
    </row>
    <row r="11354" spans="1:1" x14ac:dyDescent="0.25">
      <c r="A11354" s="841"/>
    </row>
    <row r="11355" spans="1:1" x14ac:dyDescent="0.25">
      <c r="A11355" s="841"/>
    </row>
    <row r="11356" spans="1:1" x14ac:dyDescent="0.25">
      <c r="A11356" s="841"/>
    </row>
    <row r="11357" spans="1:1" x14ac:dyDescent="0.25">
      <c r="A11357" s="841"/>
    </row>
    <row r="11358" spans="1:1" x14ac:dyDescent="0.25">
      <c r="A11358" s="841"/>
    </row>
    <row r="11359" spans="1:1" x14ac:dyDescent="0.25">
      <c r="A11359" s="841"/>
    </row>
    <row r="11360" spans="1:1" x14ac:dyDescent="0.25">
      <c r="A11360" s="841"/>
    </row>
    <row r="11361" spans="1:1" x14ac:dyDescent="0.25">
      <c r="A11361" s="841"/>
    </row>
    <row r="11362" spans="1:1" x14ac:dyDescent="0.25">
      <c r="A11362" s="841"/>
    </row>
    <row r="11363" spans="1:1" x14ac:dyDescent="0.25">
      <c r="A11363" s="841"/>
    </row>
    <row r="11364" spans="1:1" x14ac:dyDescent="0.25">
      <c r="A11364" s="841"/>
    </row>
    <row r="11365" spans="1:1" x14ac:dyDescent="0.25">
      <c r="A11365" s="841"/>
    </row>
    <row r="11366" spans="1:1" x14ac:dyDescent="0.25">
      <c r="A11366" s="841"/>
    </row>
    <row r="11367" spans="1:1" x14ac:dyDescent="0.25">
      <c r="A11367" s="841"/>
    </row>
    <row r="11368" spans="1:1" x14ac:dyDescent="0.25">
      <c r="A11368" s="841"/>
    </row>
    <row r="11369" spans="1:1" x14ac:dyDescent="0.25">
      <c r="A11369" s="841"/>
    </row>
    <row r="11370" spans="1:1" x14ac:dyDescent="0.25">
      <c r="A11370" s="841"/>
    </row>
    <row r="11371" spans="1:1" x14ac:dyDescent="0.25">
      <c r="A11371" s="841"/>
    </row>
    <row r="11372" spans="1:1" x14ac:dyDescent="0.25">
      <c r="A11372" s="841"/>
    </row>
    <row r="11373" spans="1:1" x14ac:dyDescent="0.25">
      <c r="A11373" s="841"/>
    </row>
    <row r="11374" spans="1:1" x14ac:dyDescent="0.25">
      <c r="A11374" s="841"/>
    </row>
    <row r="11375" spans="1:1" x14ac:dyDescent="0.25">
      <c r="A11375" s="841"/>
    </row>
    <row r="11376" spans="1:1" x14ac:dyDescent="0.25">
      <c r="A11376" s="841"/>
    </row>
    <row r="11377" spans="1:1" x14ac:dyDescent="0.25">
      <c r="A11377" s="841"/>
    </row>
    <row r="11378" spans="1:1" x14ac:dyDescent="0.25">
      <c r="A11378" s="841"/>
    </row>
    <row r="11379" spans="1:1" x14ac:dyDescent="0.25">
      <c r="A11379" s="841"/>
    </row>
    <row r="11380" spans="1:1" x14ac:dyDescent="0.25">
      <c r="A11380" s="841"/>
    </row>
    <row r="11381" spans="1:1" x14ac:dyDescent="0.25">
      <c r="A11381" s="841"/>
    </row>
    <row r="11382" spans="1:1" x14ac:dyDescent="0.25">
      <c r="A11382" s="841"/>
    </row>
    <row r="11383" spans="1:1" x14ac:dyDescent="0.25">
      <c r="A11383" s="841"/>
    </row>
    <row r="11384" spans="1:1" x14ac:dyDescent="0.25">
      <c r="A11384" s="841"/>
    </row>
    <row r="11385" spans="1:1" x14ac:dyDescent="0.25">
      <c r="A11385" s="841"/>
    </row>
    <row r="11386" spans="1:1" x14ac:dyDescent="0.25">
      <c r="A11386" s="841"/>
    </row>
    <row r="11387" spans="1:1" x14ac:dyDescent="0.25">
      <c r="A11387" s="841"/>
    </row>
    <row r="11388" spans="1:1" x14ac:dyDescent="0.25">
      <c r="A11388" s="841"/>
    </row>
    <row r="11389" spans="1:1" x14ac:dyDescent="0.25">
      <c r="A11389" s="841"/>
    </row>
    <row r="11390" spans="1:1" x14ac:dyDescent="0.25">
      <c r="A11390" s="841"/>
    </row>
    <row r="11391" spans="1:1" x14ac:dyDescent="0.25">
      <c r="A11391" s="841"/>
    </row>
    <row r="11392" spans="1:1" x14ac:dyDescent="0.25">
      <c r="A11392" s="841"/>
    </row>
    <row r="11393" spans="1:1" x14ac:dyDescent="0.25">
      <c r="A11393" s="841"/>
    </row>
    <row r="11394" spans="1:1" x14ac:dyDescent="0.25">
      <c r="A11394" s="841"/>
    </row>
    <row r="11395" spans="1:1" x14ac:dyDescent="0.25">
      <c r="A11395" s="841"/>
    </row>
    <row r="11396" spans="1:1" x14ac:dyDescent="0.25">
      <c r="A11396" s="841"/>
    </row>
    <row r="11397" spans="1:1" x14ac:dyDescent="0.25">
      <c r="A11397" s="841"/>
    </row>
    <row r="11398" spans="1:1" x14ac:dyDescent="0.25">
      <c r="A11398" s="841"/>
    </row>
    <row r="11399" spans="1:1" x14ac:dyDescent="0.25">
      <c r="A11399" s="841"/>
    </row>
    <row r="11400" spans="1:1" x14ac:dyDescent="0.25">
      <c r="A11400" s="841"/>
    </row>
    <row r="11401" spans="1:1" x14ac:dyDescent="0.25">
      <c r="A11401" s="841"/>
    </row>
    <row r="11402" spans="1:1" x14ac:dyDescent="0.25">
      <c r="A11402" s="841"/>
    </row>
    <row r="11403" spans="1:1" x14ac:dyDescent="0.25">
      <c r="A11403" s="841"/>
    </row>
    <row r="11404" spans="1:1" x14ac:dyDescent="0.25">
      <c r="A11404" s="841"/>
    </row>
    <row r="11405" spans="1:1" x14ac:dyDescent="0.25">
      <c r="A11405" s="841"/>
    </row>
    <row r="11406" spans="1:1" x14ac:dyDescent="0.25">
      <c r="A11406" s="841"/>
    </row>
    <row r="11407" spans="1:1" x14ac:dyDescent="0.25">
      <c r="A11407" s="841"/>
    </row>
    <row r="11408" spans="1:1" x14ac:dyDescent="0.25">
      <c r="A11408" s="841"/>
    </row>
    <row r="11409" spans="1:1" x14ac:dyDescent="0.25">
      <c r="A11409" s="841"/>
    </row>
    <row r="11410" spans="1:1" x14ac:dyDescent="0.25">
      <c r="A11410" s="841"/>
    </row>
    <row r="11411" spans="1:1" x14ac:dyDescent="0.25">
      <c r="A11411" s="841"/>
    </row>
    <row r="11412" spans="1:1" x14ac:dyDescent="0.25">
      <c r="A11412" s="841"/>
    </row>
    <row r="11413" spans="1:1" x14ac:dyDescent="0.25">
      <c r="A11413" s="841"/>
    </row>
    <row r="11414" spans="1:1" x14ac:dyDescent="0.25">
      <c r="A11414" s="841"/>
    </row>
    <row r="11415" spans="1:1" x14ac:dyDescent="0.25">
      <c r="A11415" s="841"/>
    </row>
    <row r="11416" spans="1:1" x14ac:dyDescent="0.25">
      <c r="A11416" s="841"/>
    </row>
    <row r="11417" spans="1:1" x14ac:dyDescent="0.25">
      <c r="A11417" s="841"/>
    </row>
    <row r="11418" spans="1:1" x14ac:dyDescent="0.25">
      <c r="A11418" s="841"/>
    </row>
    <row r="11419" spans="1:1" x14ac:dyDescent="0.25">
      <c r="A11419" s="841"/>
    </row>
    <row r="11420" spans="1:1" x14ac:dyDescent="0.25">
      <c r="A11420" s="841"/>
    </row>
    <row r="11421" spans="1:1" x14ac:dyDescent="0.25">
      <c r="A11421" s="841"/>
    </row>
    <row r="11422" spans="1:1" x14ac:dyDescent="0.25">
      <c r="A11422" s="841"/>
    </row>
    <row r="11423" spans="1:1" x14ac:dyDescent="0.25">
      <c r="A11423" s="841"/>
    </row>
    <row r="11424" spans="1:1" x14ac:dyDescent="0.25">
      <c r="A11424" s="841"/>
    </row>
    <row r="11425" spans="1:1" x14ac:dyDescent="0.25">
      <c r="A11425" s="841"/>
    </row>
    <row r="11426" spans="1:1" x14ac:dyDescent="0.25">
      <c r="A11426" s="841"/>
    </row>
    <row r="11427" spans="1:1" x14ac:dyDescent="0.25">
      <c r="A11427" s="841"/>
    </row>
    <row r="11428" spans="1:1" x14ac:dyDescent="0.25">
      <c r="A11428" s="841"/>
    </row>
    <row r="11429" spans="1:1" x14ac:dyDescent="0.25">
      <c r="A11429" s="841"/>
    </row>
    <row r="11430" spans="1:1" x14ac:dyDescent="0.25">
      <c r="A11430" s="841"/>
    </row>
    <row r="11431" spans="1:1" x14ac:dyDescent="0.25">
      <c r="A11431" s="841"/>
    </row>
    <row r="11432" spans="1:1" x14ac:dyDescent="0.25">
      <c r="A11432" s="841"/>
    </row>
    <row r="11433" spans="1:1" x14ac:dyDescent="0.25">
      <c r="A11433" s="841"/>
    </row>
    <row r="11434" spans="1:1" x14ac:dyDescent="0.25">
      <c r="A11434" s="841"/>
    </row>
    <row r="11435" spans="1:1" x14ac:dyDescent="0.25">
      <c r="A11435" s="841"/>
    </row>
    <row r="11436" spans="1:1" x14ac:dyDescent="0.25">
      <c r="A11436" s="841"/>
    </row>
    <row r="11437" spans="1:1" x14ac:dyDescent="0.25">
      <c r="A11437" s="841"/>
    </row>
    <row r="11438" spans="1:1" x14ac:dyDescent="0.25">
      <c r="A11438" s="841"/>
    </row>
    <row r="11439" spans="1:1" x14ac:dyDescent="0.25">
      <c r="A11439" s="841"/>
    </row>
    <row r="11440" spans="1:1" x14ac:dyDescent="0.25">
      <c r="A11440" s="841"/>
    </row>
    <row r="11441" spans="1:1" x14ac:dyDescent="0.25">
      <c r="A11441" s="841"/>
    </row>
    <row r="11442" spans="1:1" x14ac:dyDescent="0.25">
      <c r="A11442" s="841"/>
    </row>
    <row r="11443" spans="1:1" x14ac:dyDescent="0.25">
      <c r="A11443" s="841"/>
    </row>
    <row r="11444" spans="1:1" x14ac:dyDescent="0.25">
      <c r="A11444" s="841"/>
    </row>
    <row r="11445" spans="1:1" x14ac:dyDescent="0.25">
      <c r="A11445" s="841"/>
    </row>
    <row r="11446" spans="1:1" x14ac:dyDescent="0.25">
      <c r="A11446" s="841"/>
    </row>
    <row r="11447" spans="1:1" x14ac:dyDescent="0.25">
      <c r="A11447" s="841"/>
    </row>
    <row r="11448" spans="1:1" x14ac:dyDescent="0.25">
      <c r="A11448" s="841"/>
    </row>
    <row r="11449" spans="1:1" x14ac:dyDescent="0.25">
      <c r="A11449" s="841"/>
    </row>
    <row r="11450" spans="1:1" x14ac:dyDescent="0.25">
      <c r="A11450" s="841"/>
    </row>
    <row r="11451" spans="1:1" x14ac:dyDescent="0.25">
      <c r="A11451" s="841"/>
    </row>
    <row r="11452" spans="1:1" x14ac:dyDescent="0.25">
      <c r="A11452" s="841"/>
    </row>
    <row r="11453" spans="1:1" x14ac:dyDescent="0.25">
      <c r="A11453" s="841"/>
    </row>
    <row r="11454" spans="1:1" x14ac:dyDescent="0.25">
      <c r="A11454" s="841"/>
    </row>
    <row r="11455" spans="1:1" x14ac:dyDescent="0.25">
      <c r="A11455" s="841"/>
    </row>
    <row r="11456" spans="1:1" x14ac:dyDescent="0.25">
      <c r="A11456" s="841"/>
    </row>
    <row r="11457" spans="1:1" x14ac:dyDescent="0.25">
      <c r="A11457" s="841"/>
    </row>
    <row r="11458" spans="1:1" x14ac:dyDescent="0.25">
      <c r="A11458" s="841"/>
    </row>
    <row r="11459" spans="1:1" x14ac:dyDescent="0.25">
      <c r="A11459" s="841"/>
    </row>
    <row r="11460" spans="1:1" x14ac:dyDescent="0.25">
      <c r="A11460" s="841"/>
    </row>
    <row r="11461" spans="1:1" x14ac:dyDescent="0.25">
      <c r="A11461" s="841"/>
    </row>
    <row r="11462" spans="1:1" x14ac:dyDescent="0.25">
      <c r="A11462" s="841"/>
    </row>
    <row r="11463" spans="1:1" x14ac:dyDescent="0.25">
      <c r="A11463" s="841"/>
    </row>
    <row r="11464" spans="1:1" x14ac:dyDescent="0.25">
      <c r="A11464" s="841"/>
    </row>
    <row r="11465" spans="1:1" x14ac:dyDescent="0.25">
      <c r="A11465" s="841"/>
    </row>
    <row r="11466" spans="1:1" x14ac:dyDescent="0.25">
      <c r="A11466" s="841"/>
    </row>
    <row r="11467" spans="1:1" x14ac:dyDescent="0.25">
      <c r="A11467" s="841"/>
    </row>
    <row r="11468" spans="1:1" x14ac:dyDescent="0.25">
      <c r="A11468" s="841"/>
    </row>
    <row r="11469" spans="1:1" x14ac:dyDescent="0.25">
      <c r="A11469" s="841"/>
    </row>
    <row r="11470" spans="1:1" x14ac:dyDescent="0.25">
      <c r="A11470" s="841"/>
    </row>
    <row r="11471" spans="1:1" x14ac:dyDescent="0.25">
      <c r="A11471" s="841"/>
    </row>
    <row r="11472" spans="1:1" x14ac:dyDescent="0.25">
      <c r="A11472" s="841"/>
    </row>
    <row r="11473" spans="1:1" x14ac:dyDescent="0.25">
      <c r="A11473" s="841"/>
    </row>
    <row r="11474" spans="1:1" x14ac:dyDescent="0.25">
      <c r="A11474" s="841"/>
    </row>
    <row r="11475" spans="1:1" x14ac:dyDescent="0.25">
      <c r="A11475" s="841"/>
    </row>
    <row r="11476" spans="1:1" x14ac:dyDescent="0.25">
      <c r="A11476" s="841"/>
    </row>
    <row r="11477" spans="1:1" x14ac:dyDescent="0.25">
      <c r="A11477" s="841"/>
    </row>
    <row r="11478" spans="1:1" x14ac:dyDescent="0.25">
      <c r="A11478" s="841"/>
    </row>
    <row r="11479" spans="1:1" x14ac:dyDescent="0.25">
      <c r="A11479" s="841"/>
    </row>
    <row r="11480" spans="1:1" x14ac:dyDescent="0.25">
      <c r="A11480" s="841"/>
    </row>
    <row r="11481" spans="1:1" x14ac:dyDescent="0.25">
      <c r="A11481" s="841"/>
    </row>
    <row r="11482" spans="1:1" x14ac:dyDescent="0.25">
      <c r="A11482" s="841"/>
    </row>
    <row r="11483" spans="1:1" x14ac:dyDescent="0.25">
      <c r="A11483" s="841"/>
    </row>
    <row r="11484" spans="1:1" x14ac:dyDescent="0.25">
      <c r="A11484" s="841"/>
    </row>
    <row r="11485" spans="1:1" x14ac:dyDescent="0.25">
      <c r="A11485" s="841"/>
    </row>
    <row r="11486" spans="1:1" x14ac:dyDescent="0.25">
      <c r="A11486" s="841"/>
    </row>
    <row r="11487" spans="1:1" x14ac:dyDescent="0.25">
      <c r="A11487" s="841"/>
    </row>
    <row r="11488" spans="1:1" x14ac:dyDescent="0.25">
      <c r="A11488" s="841"/>
    </row>
    <row r="11489" spans="1:1" x14ac:dyDescent="0.25">
      <c r="A11489" s="841"/>
    </row>
    <row r="11490" spans="1:1" x14ac:dyDescent="0.25">
      <c r="A11490" s="841"/>
    </row>
    <row r="11491" spans="1:1" x14ac:dyDescent="0.25">
      <c r="A11491" s="841"/>
    </row>
    <row r="11492" spans="1:1" x14ac:dyDescent="0.25">
      <c r="A11492" s="841"/>
    </row>
    <row r="11493" spans="1:1" x14ac:dyDescent="0.25">
      <c r="A11493" s="841"/>
    </row>
    <row r="11494" spans="1:1" x14ac:dyDescent="0.25">
      <c r="A11494" s="841"/>
    </row>
    <row r="11495" spans="1:1" x14ac:dyDescent="0.25">
      <c r="A11495" s="841"/>
    </row>
    <row r="11496" spans="1:1" x14ac:dyDescent="0.25">
      <c r="A11496" s="841"/>
    </row>
    <row r="11497" spans="1:1" x14ac:dyDescent="0.25">
      <c r="A11497" s="841"/>
    </row>
    <row r="11498" spans="1:1" x14ac:dyDescent="0.25">
      <c r="A11498" s="841"/>
    </row>
    <row r="11499" spans="1:1" x14ac:dyDescent="0.25">
      <c r="A11499" s="841"/>
    </row>
    <row r="11500" spans="1:1" x14ac:dyDescent="0.25">
      <c r="A11500" s="841"/>
    </row>
    <row r="11501" spans="1:1" x14ac:dyDescent="0.25">
      <c r="A11501" s="841"/>
    </row>
    <row r="11502" spans="1:1" x14ac:dyDescent="0.25">
      <c r="A11502" s="841"/>
    </row>
    <row r="11503" spans="1:1" x14ac:dyDescent="0.25">
      <c r="A11503" s="841"/>
    </row>
    <row r="11504" spans="1:1" x14ac:dyDescent="0.25">
      <c r="A11504" s="841"/>
    </row>
    <row r="11505" spans="1:1" x14ac:dyDescent="0.25">
      <c r="A11505" s="841"/>
    </row>
    <row r="11506" spans="1:1" x14ac:dyDescent="0.25">
      <c r="A11506" s="841"/>
    </row>
    <row r="11507" spans="1:1" x14ac:dyDescent="0.25">
      <c r="A11507" s="841"/>
    </row>
    <row r="11508" spans="1:1" x14ac:dyDescent="0.25">
      <c r="A11508" s="841"/>
    </row>
    <row r="11509" spans="1:1" x14ac:dyDescent="0.25">
      <c r="A11509" s="841"/>
    </row>
    <row r="11510" spans="1:1" x14ac:dyDescent="0.25">
      <c r="A11510" s="841"/>
    </row>
    <row r="11511" spans="1:1" x14ac:dyDescent="0.25">
      <c r="A11511" s="841"/>
    </row>
    <row r="11512" spans="1:1" x14ac:dyDescent="0.25">
      <c r="A11512" s="841"/>
    </row>
    <row r="11513" spans="1:1" x14ac:dyDescent="0.25">
      <c r="A11513" s="841"/>
    </row>
    <row r="11514" spans="1:1" x14ac:dyDescent="0.25">
      <c r="A11514" s="841"/>
    </row>
    <row r="11515" spans="1:1" x14ac:dyDescent="0.25">
      <c r="A11515" s="841"/>
    </row>
    <row r="11516" spans="1:1" x14ac:dyDescent="0.25">
      <c r="A11516" s="841"/>
    </row>
    <row r="11517" spans="1:1" x14ac:dyDescent="0.25">
      <c r="A11517" s="841"/>
    </row>
    <row r="11518" spans="1:1" x14ac:dyDescent="0.25">
      <c r="A11518" s="841"/>
    </row>
    <row r="11519" spans="1:1" x14ac:dyDescent="0.25">
      <c r="A11519" s="841"/>
    </row>
    <row r="11520" spans="1:1" x14ac:dyDescent="0.25">
      <c r="A11520" s="841"/>
    </row>
    <row r="11521" spans="1:1" x14ac:dyDescent="0.25">
      <c r="A11521" s="841"/>
    </row>
    <row r="11522" spans="1:1" x14ac:dyDescent="0.25">
      <c r="A11522" s="841"/>
    </row>
    <row r="11523" spans="1:1" x14ac:dyDescent="0.25">
      <c r="A11523" s="841"/>
    </row>
    <row r="11524" spans="1:1" x14ac:dyDescent="0.25">
      <c r="A11524" s="841"/>
    </row>
    <row r="11525" spans="1:1" x14ac:dyDescent="0.25">
      <c r="A11525" s="841"/>
    </row>
    <row r="11526" spans="1:1" x14ac:dyDescent="0.25">
      <c r="A11526" s="841"/>
    </row>
    <row r="11527" spans="1:1" x14ac:dyDescent="0.25">
      <c r="A11527" s="841"/>
    </row>
    <row r="11528" spans="1:1" x14ac:dyDescent="0.25">
      <c r="A11528" s="841"/>
    </row>
    <row r="11529" spans="1:1" x14ac:dyDescent="0.25">
      <c r="A11529" s="841"/>
    </row>
    <row r="11530" spans="1:1" x14ac:dyDescent="0.25">
      <c r="A11530" s="841"/>
    </row>
    <row r="11531" spans="1:1" x14ac:dyDescent="0.25">
      <c r="A11531" s="841"/>
    </row>
    <row r="11532" spans="1:1" x14ac:dyDescent="0.25">
      <c r="A11532" s="841"/>
    </row>
    <row r="11533" spans="1:1" x14ac:dyDescent="0.25">
      <c r="A11533" s="841"/>
    </row>
    <row r="11534" spans="1:1" x14ac:dyDescent="0.25">
      <c r="A11534" s="841"/>
    </row>
    <row r="11535" spans="1:1" x14ac:dyDescent="0.25">
      <c r="A11535" s="841"/>
    </row>
    <row r="11536" spans="1:1" x14ac:dyDescent="0.25">
      <c r="A11536" s="841"/>
    </row>
    <row r="11537" spans="1:1" x14ac:dyDescent="0.25">
      <c r="A11537" s="841"/>
    </row>
    <row r="11538" spans="1:1" x14ac:dyDescent="0.25">
      <c r="A11538" s="841"/>
    </row>
    <row r="11539" spans="1:1" x14ac:dyDescent="0.25">
      <c r="A11539" s="841"/>
    </row>
    <row r="11540" spans="1:1" x14ac:dyDescent="0.25">
      <c r="A11540" s="841"/>
    </row>
    <row r="11541" spans="1:1" x14ac:dyDescent="0.25">
      <c r="A11541" s="841"/>
    </row>
    <row r="11542" spans="1:1" x14ac:dyDescent="0.25">
      <c r="A11542" s="841"/>
    </row>
    <row r="11543" spans="1:1" x14ac:dyDescent="0.25">
      <c r="A11543" s="841"/>
    </row>
    <row r="11544" spans="1:1" x14ac:dyDescent="0.25">
      <c r="A11544" s="841"/>
    </row>
    <row r="11545" spans="1:1" x14ac:dyDescent="0.25">
      <c r="A11545" s="841"/>
    </row>
    <row r="11546" spans="1:1" x14ac:dyDescent="0.25">
      <c r="A11546" s="841"/>
    </row>
    <row r="11547" spans="1:1" x14ac:dyDescent="0.25">
      <c r="A11547" s="841"/>
    </row>
    <row r="11548" spans="1:1" x14ac:dyDescent="0.25">
      <c r="A11548" s="841"/>
    </row>
    <row r="11549" spans="1:1" x14ac:dyDescent="0.25">
      <c r="A11549" s="841"/>
    </row>
    <row r="11550" spans="1:1" x14ac:dyDescent="0.25">
      <c r="A11550" s="841"/>
    </row>
    <row r="11551" spans="1:1" x14ac:dyDescent="0.25">
      <c r="A11551" s="841"/>
    </row>
    <row r="11552" spans="1:1" x14ac:dyDescent="0.25">
      <c r="A11552" s="841"/>
    </row>
    <row r="11553" spans="1:1" x14ac:dyDescent="0.25">
      <c r="A11553" s="841"/>
    </row>
    <row r="11554" spans="1:1" x14ac:dyDescent="0.25">
      <c r="A11554" s="841"/>
    </row>
    <row r="11555" spans="1:1" x14ac:dyDescent="0.25">
      <c r="A11555" s="841"/>
    </row>
    <row r="11556" spans="1:1" x14ac:dyDescent="0.25">
      <c r="A11556" s="841"/>
    </row>
    <row r="11557" spans="1:1" x14ac:dyDescent="0.25">
      <c r="A11557" s="841"/>
    </row>
    <row r="11558" spans="1:1" x14ac:dyDescent="0.25">
      <c r="A11558" s="841"/>
    </row>
    <row r="11559" spans="1:1" x14ac:dyDescent="0.25">
      <c r="A11559" s="841"/>
    </row>
    <row r="11560" spans="1:1" x14ac:dyDescent="0.25">
      <c r="A11560" s="841"/>
    </row>
    <row r="11561" spans="1:1" x14ac:dyDescent="0.25">
      <c r="A11561" s="841"/>
    </row>
    <row r="11562" spans="1:1" x14ac:dyDescent="0.25">
      <c r="A11562" s="841"/>
    </row>
    <row r="11563" spans="1:1" x14ac:dyDescent="0.25">
      <c r="A11563" s="841"/>
    </row>
    <row r="11564" spans="1:1" x14ac:dyDescent="0.25">
      <c r="A11564" s="841"/>
    </row>
    <row r="11565" spans="1:1" x14ac:dyDescent="0.25">
      <c r="A11565" s="841"/>
    </row>
    <row r="11566" spans="1:1" x14ac:dyDescent="0.25">
      <c r="A11566" s="841"/>
    </row>
    <row r="11567" spans="1:1" x14ac:dyDescent="0.25">
      <c r="A11567" s="841"/>
    </row>
    <row r="11568" spans="1:1" x14ac:dyDescent="0.25">
      <c r="A11568" s="841"/>
    </row>
    <row r="11569" spans="1:1" x14ac:dyDescent="0.25">
      <c r="A11569" s="841"/>
    </row>
    <row r="11570" spans="1:1" x14ac:dyDescent="0.25">
      <c r="A11570" s="841"/>
    </row>
    <row r="11571" spans="1:1" x14ac:dyDescent="0.25">
      <c r="A11571" s="841"/>
    </row>
    <row r="11572" spans="1:1" x14ac:dyDescent="0.25">
      <c r="A11572" s="841"/>
    </row>
    <row r="11573" spans="1:1" x14ac:dyDescent="0.25">
      <c r="A11573" s="841"/>
    </row>
    <row r="11574" spans="1:1" x14ac:dyDescent="0.25">
      <c r="A11574" s="841"/>
    </row>
    <row r="11575" spans="1:1" x14ac:dyDescent="0.25">
      <c r="A11575" s="841"/>
    </row>
    <row r="11576" spans="1:1" x14ac:dyDescent="0.25">
      <c r="A11576" s="841"/>
    </row>
    <row r="11577" spans="1:1" x14ac:dyDescent="0.25">
      <c r="A11577" s="841"/>
    </row>
    <row r="11578" spans="1:1" x14ac:dyDescent="0.25">
      <c r="A11578" s="841"/>
    </row>
    <row r="11579" spans="1:1" x14ac:dyDescent="0.25">
      <c r="A11579" s="841"/>
    </row>
    <row r="11580" spans="1:1" x14ac:dyDescent="0.25">
      <c r="A11580" s="841"/>
    </row>
    <row r="11581" spans="1:1" x14ac:dyDescent="0.25">
      <c r="A11581" s="841"/>
    </row>
    <row r="11582" spans="1:1" x14ac:dyDescent="0.25">
      <c r="A11582" s="841"/>
    </row>
    <row r="11583" spans="1:1" x14ac:dyDescent="0.25">
      <c r="A11583" s="841"/>
    </row>
    <row r="11584" spans="1:1" x14ac:dyDescent="0.25">
      <c r="A11584" s="841"/>
    </row>
    <row r="11585" spans="1:1" x14ac:dyDescent="0.25">
      <c r="A11585" s="841"/>
    </row>
    <row r="11586" spans="1:1" x14ac:dyDescent="0.25">
      <c r="A11586" s="841"/>
    </row>
    <row r="11587" spans="1:1" x14ac:dyDescent="0.25">
      <c r="A11587" s="841"/>
    </row>
    <row r="11588" spans="1:1" x14ac:dyDescent="0.25">
      <c r="A11588" s="841"/>
    </row>
    <row r="11589" spans="1:1" x14ac:dyDescent="0.25">
      <c r="A11589" s="841"/>
    </row>
    <row r="11590" spans="1:1" x14ac:dyDescent="0.25">
      <c r="A11590" s="841"/>
    </row>
    <row r="11591" spans="1:1" x14ac:dyDescent="0.25">
      <c r="A11591" s="841"/>
    </row>
    <row r="11592" spans="1:1" x14ac:dyDescent="0.25">
      <c r="A11592" s="841"/>
    </row>
    <row r="11593" spans="1:1" x14ac:dyDescent="0.25">
      <c r="A11593" s="841"/>
    </row>
    <row r="11594" spans="1:1" x14ac:dyDescent="0.25">
      <c r="A11594" s="841"/>
    </row>
    <row r="11595" spans="1:1" x14ac:dyDescent="0.25">
      <c r="A11595" s="841"/>
    </row>
    <row r="11596" spans="1:1" x14ac:dyDescent="0.25">
      <c r="A11596" s="841"/>
    </row>
    <row r="11597" spans="1:1" x14ac:dyDescent="0.25">
      <c r="A11597" s="841"/>
    </row>
    <row r="11598" spans="1:1" x14ac:dyDescent="0.25">
      <c r="A11598" s="841"/>
    </row>
    <row r="11599" spans="1:1" x14ac:dyDescent="0.25">
      <c r="A11599" s="841"/>
    </row>
    <row r="11600" spans="1:1" x14ac:dyDescent="0.25">
      <c r="A11600" s="841"/>
    </row>
    <row r="11601" spans="1:1" x14ac:dyDescent="0.25">
      <c r="A11601" s="841"/>
    </row>
    <row r="11602" spans="1:1" x14ac:dyDescent="0.25">
      <c r="A11602" s="841"/>
    </row>
    <row r="11603" spans="1:1" x14ac:dyDescent="0.25">
      <c r="A11603" s="841"/>
    </row>
    <row r="11604" spans="1:1" x14ac:dyDescent="0.25">
      <c r="A11604" s="841"/>
    </row>
    <row r="11605" spans="1:1" x14ac:dyDescent="0.25">
      <c r="A11605" s="841"/>
    </row>
    <row r="11606" spans="1:1" x14ac:dyDescent="0.25">
      <c r="A11606" s="841"/>
    </row>
    <row r="11607" spans="1:1" x14ac:dyDescent="0.25">
      <c r="A11607" s="841"/>
    </row>
    <row r="11608" spans="1:1" x14ac:dyDescent="0.25">
      <c r="A11608" s="841"/>
    </row>
    <row r="11609" spans="1:1" x14ac:dyDescent="0.25">
      <c r="A11609" s="841"/>
    </row>
    <row r="11610" spans="1:1" x14ac:dyDescent="0.25">
      <c r="A11610" s="841"/>
    </row>
    <row r="11611" spans="1:1" x14ac:dyDescent="0.25">
      <c r="A11611" s="841"/>
    </row>
    <row r="11612" spans="1:1" x14ac:dyDescent="0.25">
      <c r="A11612" s="841"/>
    </row>
    <row r="11613" spans="1:1" x14ac:dyDescent="0.25">
      <c r="A11613" s="841"/>
    </row>
    <row r="11614" spans="1:1" x14ac:dyDescent="0.25">
      <c r="A11614" s="841"/>
    </row>
    <row r="11615" spans="1:1" x14ac:dyDescent="0.25">
      <c r="A11615" s="841"/>
    </row>
    <row r="11616" spans="1:1" x14ac:dyDescent="0.25">
      <c r="A11616" s="841"/>
    </row>
    <row r="11617" spans="1:1" x14ac:dyDescent="0.25">
      <c r="A11617" s="841"/>
    </row>
    <row r="11618" spans="1:1" x14ac:dyDescent="0.25">
      <c r="A11618" s="841"/>
    </row>
    <row r="11619" spans="1:1" x14ac:dyDescent="0.25">
      <c r="A11619" s="841"/>
    </row>
    <row r="11620" spans="1:1" x14ac:dyDescent="0.25">
      <c r="A11620" s="841"/>
    </row>
    <row r="11621" spans="1:1" x14ac:dyDescent="0.25">
      <c r="A11621" s="841"/>
    </row>
    <row r="11622" spans="1:1" x14ac:dyDescent="0.25">
      <c r="A11622" s="841"/>
    </row>
    <row r="11623" spans="1:1" x14ac:dyDescent="0.25">
      <c r="A11623" s="841"/>
    </row>
    <row r="11624" spans="1:1" x14ac:dyDescent="0.25">
      <c r="A11624" s="841"/>
    </row>
    <row r="11625" spans="1:1" x14ac:dyDescent="0.25">
      <c r="A11625" s="841"/>
    </row>
    <row r="11626" spans="1:1" x14ac:dyDescent="0.25">
      <c r="A11626" s="841"/>
    </row>
    <row r="11627" spans="1:1" x14ac:dyDescent="0.25">
      <c r="A11627" s="841"/>
    </row>
    <row r="11628" spans="1:1" x14ac:dyDescent="0.25">
      <c r="A11628" s="841"/>
    </row>
    <row r="11629" spans="1:1" x14ac:dyDescent="0.25">
      <c r="A11629" s="841"/>
    </row>
    <row r="11630" spans="1:1" x14ac:dyDescent="0.25">
      <c r="A11630" s="841"/>
    </row>
    <row r="11631" spans="1:1" x14ac:dyDescent="0.25">
      <c r="A11631" s="841"/>
    </row>
    <row r="11632" spans="1:1" x14ac:dyDescent="0.25">
      <c r="A11632" s="841"/>
    </row>
    <row r="11633" spans="1:1" x14ac:dyDescent="0.25">
      <c r="A11633" s="841"/>
    </row>
    <row r="11634" spans="1:1" x14ac:dyDescent="0.25">
      <c r="A11634" s="841"/>
    </row>
    <row r="11635" spans="1:1" x14ac:dyDescent="0.25">
      <c r="A11635" s="841"/>
    </row>
    <row r="11636" spans="1:1" x14ac:dyDescent="0.25">
      <c r="A11636" s="841"/>
    </row>
    <row r="11637" spans="1:1" x14ac:dyDescent="0.25">
      <c r="A11637" s="841"/>
    </row>
    <row r="11638" spans="1:1" x14ac:dyDescent="0.25">
      <c r="A11638" s="841"/>
    </row>
    <row r="11639" spans="1:1" x14ac:dyDescent="0.25">
      <c r="A11639" s="841"/>
    </row>
    <row r="11640" spans="1:1" x14ac:dyDescent="0.25">
      <c r="A11640" s="841"/>
    </row>
    <row r="11641" spans="1:1" x14ac:dyDescent="0.25">
      <c r="A11641" s="841"/>
    </row>
    <row r="11642" spans="1:1" x14ac:dyDescent="0.25">
      <c r="A11642" s="841"/>
    </row>
    <row r="11643" spans="1:1" x14ac:dyDescent="0.25">
      <c r="A11643" s="841"/>
    </row>
    <row r="11644" spans="1:1" x14ac:dyDescent="0.25">
      <c r="A11644" s="841"/>
    </row>
    <row r="11645" spans="1:1" x14ac:dyDescent="0.25">
      <c r="A11645" s="841"/>
    </row>
    <row r="11646" spans="1:1" x14ac:dyDescent="0.25">
      <c r="A11646" s="841"/>
    </row>
    <row r="11647" spans="1:1" x14ac:dyDescent="0.25">
      <c r="A11647" s="841"/>
    </row>
    <row r="11648" spans="1:1" x14ac:dyDescent="0.25">
      <c r="A11648" s="841"/>
    </row>
    <row r="11649" spans="1:1" x14ac:dyDescent="0.25">
      <c r="A11649" s="841"/>
    </row>
    <row r="11650" spans="1:1" x14ac:dyDescent="0.25">
      <c r="A11650" s="841"/>
    </row>
    <row r="11651" spans="1:1" x14ac:dyDescent="0.25">
      <c r="A11651" s="841"/>
    </row>
    <row r="11652" spans="1:1" x14ac:dyDescent="0.25">
      <c r="A11652" s="841"/>
    </row>
    <row r="11653" spans="1:1" x14ac:dyDescent="0.25">
      <c r="A11653" s="841"/>
    </row>
    <row r="11654" spans="1:1" x14ac:dyDescent="0.25">
      <c r="A11654" s="841"/>
    </row>
    <row r="11655" spans="1:1" x14ac:dyDescent="0.25">
      <c r="A11655" s="841"/>
    </row>
    <row r="11656" spans="1:1" x14ac:dyDescent="0.25">
      <c r="A11656" s="841"/>
    </row>
    <row r="11657" spans="1:1" x14ac:dyDescent="0.25">
      <c r="A11657" s="841"/>
    </row>
    <row r="11658" spans="1:1" x14ac:dyDescent="0.25">
      <c r="A11658" s="841"/>
    </row>
    <row r="11659" spans="1:1" x14ac:dyDescent="0.25">
      <c r="A11659" s="841"/>
    </row>
    <row r="11660" spans="1:1" x14ac:dyDescent="0.25">
      <c r="A11660" s="841"/>
    </row>
    <row r="11661" spans="1:1" x14ac:dyDescent="0.25">
      <c r="A11661" s="841"/>
    </row>
    <row r="11662" spans="1:1" x14ac:dyDescent="0.25">
      <c r="A11662" s="841"/>
    </row>
    <row r="11663" spans="1:1" x14ac:dyDescent="0.25">
      <c r="A11663" s="841"/>
    </row>
    <row r="11664" spans="1:1" x14ac:dyDescent="0.25">
      <c r="A11664" s="841"/>
    </row>
    <row r="11665" spans="1:1" x14ac:dyDescent="0.25">
      <c r="A11665" s="841"/>
    </row>
    <row r="11666" spans="1:1" x14ac:dyDescent="0.25">
      <c r="A11666" s="841"/>
    </row>
    <row r="11667" spans="1:1" x14ac:dyDescent="0.25">
      <c r="A11667" s="841"/>
    </row>
    <row r="11668" spans="1:1" x14ac:dyDescent="0.25">
      <c r="A11668" s="841"/>
    </row>
    <row r="11669" spans="1:1" x14ac:dyDescent="0.25">
      <c r="A11669" s="841"/>
    </row>
    <row r="11670" spans="1:1" x14ac:dyDescent="0.25">
      <c r="A11670" s="841"/>
    </row>
    <row r="11671" spans="1:1" x14ac:dyDescent="0.25">
      <c r="A11671" s="841"/>
    </row>
    <row r="11672" spans="1:1" x14ac:dyDescent="0.25">
      <c r="A11672" s="841"/>
    </row>
    <row r="11673" spans="1:1" x14ac:dyDescent="0.25">
      <c r="A11673" s="841"/>
    </row>
    <row r="11674" spans="1:1" x14ac:dyDescent="0.25">
      <c r="A11674" s="841"/>
    </row>
    <row r="11675" spans="1:1" x14ac:dyDescent="0.25">
      <c r="A11675" s="841"/>
    </row>
    <row r="11676" spans="1:1" x14ac:dyDescent="0.25">
      <c r="A11676" s="841"/>
    </row>
    <row r="11677" spans="1:1" x14ac:dyDescent="0.25">
      <c r="A11677" s="841"/>
    </row>
    <row r="11678" spans="1:1" x14ac:dyDescent="0.25">
      <c r="A11678" s="841"/>
    </row>
    <row r="11679" spans="1:1" x14ac:dyDescent="0.25">
      <c r="A11679" s="841"/>
    </row>
    <row r="11680" spans="1:1" x14ac:dyDescent="0.25">
      <c r="A11680" s="841"/>
    </row>
    <row r="11681" spans="1:1" x14ac:dyDescent="0.25">
      <c r="A11681" s="841"/>
    </row>
    <row r="11682" spans="1:1" x14ac:dyDescent="0.25">
      <c r="A11682" s="841"/>
    </row>
    <row r="11683" spans="1:1" x14ac:dyDescent="0.25">
      <c r="A11683" s="841"/>
    </row>
    <row r="11684" spans="1:1" x14ac:dyDescent="0.25">
      <c r="A11684" s="841"/>
    </row>
    <row r="11685" spans="1:1" x14ac:dyDescent="0.25">
      <c r="A11685" s="841"/>
    </row>
    <row r="11686" spans="1:1" x14ac:dyDescent="0.25">
      <c r="A11686" s="841"/>
    </row>
    <row r="11687" spans="1:1" x14ac:dyDescent="0.25">
      <c r="A11687" s="841"/>
    </row>
    <row r="11688" spans="1:1" x14ac:dyDescent="0.25">
      <c r="A11688" s="841"/>
    </row>
    <row r="11689" spans="1:1" x14ac:dyDescent="0.25">
      <c r="A11689" s="841"/>
    </row>
    <row r="11690" spans="1:1" x14ac:dyDescent="0.25">
      <c r="A11690" s="841"/>
    </row>
    <row r="11691" spans="1:1" x14ac:dyDescent="0.25">
      <c r="A11691" s="841"/>
    </row>
    <row r="11692" spans="1:1" x14ac:dyDescent="0.25">
      <c r="A11692" s="841"/>
    </row>
    <row r="11693" spans="1:1" x14ac:dyDescent="0.25">
      <c r="A11693" s="841"/>
    </row>
    <row r="11694" spans="1:1" x14ac:dyDescent="0.25">
      <c r="A11694" s="841"/>
    </row>
    <row r="11695" spans="1:1" x14ac:dyDescent="0.25">
      <c r="A11695" s="841"/>
    </row>
    <row r="11696" spans="1:1" x14ac:dyDescent="0.25">
      <c r="A11696" s="841"/>
    </row>
    <row r="11697" spans="1:1" x14ac:dyDescent="0.25">
      <c r="A11697" s="841"/>
    </row>
    <row r="11698" spans="1:1" x14ac:dyDescent="0.25">
      <c r="A11698" s="841"/>
    </row>
    <row r="11699" spans="1:1" x14ac:dyDescent="0.25">
      <c r="A11699" s="841"/>
    </row>
    <row r="11700" spans="1:1" x14ac:dyDescent="0.25">
      <c r="A11700" s="841"/>
    </row>
    <row r="11701" spans="1:1" x14ac:dyDescent="0.25">
      <c r="A11701" s="841"/>
    </row>
    <row r="11702" spans="1:1" x14ac:dyDescent="0.25">
      <c r="A11702" s="841"/>
    </row>
    <row r="11703" spans="1:1" x14ac:dyDescent="0.25">
      <c r="A11703" s="841"/>
    </row>
    <row r="11704" spans="1:1" x14ac:dyDescent="0.25">
      <c r="A11704" s="841"/>
    </row>
    <row r="11705" spans="1:1" x14ac:dyDescent="0.25">
      <c r="A11705" s="841"/>
    </row>
    <row r="11706" spans="1:1" x14ac:dyDescent="0.25">
      <c r="A11706" s="841"/>
    </row>
    <row r="11707" spans="1:1" x14ac:dyDescent="0.25">
      <c r="A11707" s="841"/>
    </row>
    <row r="11708" spans="1:1" x14ac:dyDescent="0.25">
      <c r="A11708" s="841"/>
    </row>
    <row r="11709" spans="1:1" x14ac:dyDescent="0.25">
      <c r="A11709" s="841"/>
    </row>
    <row r="11710" spans="1:1" x14ac:dyDescent="0.25">
      <c r="A11710" s="841"/>
    </row>
    <row r="11711" spans="1:1" x14ac:dyDescent="0.25">
      <c r="A11711" s="841"/>
    </row>
    <row r="11712" spans="1:1" x14ac:dyDescent="0.25">
      <c r="A11712" s="841"/>
    </row>
    <row r="11713" spans="1:1" x14ac:dyDescent="0.25">
      <c r="A11713" s="841"/>
    </row>
    <row r="11714" spans="1:1" x14ac:dyDescent="0.25">
      <c r="A11714" s="841"/>
    </row>
    <row r="11715" spans="1:1" x14ac:dyDescent="0.25">
      <c r="A11715" s="841"/>
    </row>
    <row r="11716" spans="1:1" x14ac:dyDescent="0.25">
      <c r="A11716" s="841"/>
    </row>
    <row r="11717" spans="1:1" x14ac:dyDescent="0.25">
      <c r="A11717" s="841"/>
    </row>
    <row r="11718" spans="1:1" x14ac:dyDescent="0.25">
      <c r="A11718" s="841"/>
    </row>
    <row r="11719" spans="1:1" x14ac:dyDescent="0.25">
      <c r="A11719" s="841"/>
    </row>
    <row r="11720" spans="1:1" x14ac:dyDescent="0.25">
      <c r="A11720" s="841"/>
    </row>
    <row r="11721" spans="1:1" x14ac:dyDescent="0.25">
      <c r="A11721" s="841"/>
    </row>
    <row r="11722" spans="1:1" x14ac:dyDescent="0.25">
      <c r="A11722" s="841"/>
    </row>
    <row r="11723" spans="1:1" x14ac:dyDescent="0.25">
      <c r="A11723" s="841"/>
    </row>
    <row r="11724" spans="1:1" x14ac:dyDescent="0.25">
      <c r="A11724" s="841"/>
    </row>
    <row r="11725" spans="1:1" x14ac:dyDescent="0.25">
      <c r="A11725" s="841"/>
    </row>
    <row r="11726" spans="1:1" x14ac:dyDescent="0.25">
      <c r="A11726" s="841"/>
    </row>
    <row r="11727" spans="1:1" x14ac:dyDescent="0.25">
      <c r="A11727" s="841"/>
    </row>
    <row r="11728" spans="1:1" x14ac:dyDescent="0.25">
      <c r="A11728" s="841"/>
    </row>
    <row r="11729" spans="1:1" x14ac:dyDescent="0.25">
      <c r="A11729" s="841"/>
    </row>
    <row r="11730" spans="1:1" x14ac:dyDescent="0.25">
      <c r="A11730" s="841"/>
    </row>
    <row r="11731" spans="1:1" x14ac:dyDescent="0.25">
      <c r="A11731" s="841"/>
    </row>
    <row r="11732" spans="1:1" x14ac:dyDescent="0.25">
      <c r="A11732" s="841"/>
    </row>
    <row r="11733" spans="1:1" x14ac:dyDescent="0.25">
      <c r="A11733" s="841"/>
    </row>
    <row r="11734" spans="1:1" x14ac:dyDescent="0.25">
      <c r="A11734" s="841"/>
    </row>
    <row r="11735" spans="1:1" x14ac:dyDescent="0.25">
      <c r="A11735" s="841"/>
    </row>
    <row r="11736" spans="1:1" x14ac:dyDescent="0.25">
      <c r="A11736" s="841"/>
    </row>
    <row r="11737" spans="1:1" x14ac:dyDescent="0.25">
      <c r="A11737" s="841"/>
    </row>
    <row r="11738" spans="1:1" x14ac:dyDescent="0.25">
      <c r="A11738" s="841"/>
    </row>
    <row r="11739" spans="1:1" x14ac:dyDescent="0.25">
      <c r="A11739" s="841"/>
    </row>
    <row r="11740" spans="1:1" x14ac:dyDescent="0.25">
      <c r="A11740" s="841"/>
    </row>
    <row r="11741" spans="1:1" x14ac:dyDescent="0.25">
      <c r="A11741" s="841"/>
    </row>
    <row r="11742" spans="1:1" x14ac:dyDescent="0.25">
      <c r="A11742" s="841"/>
    </row>
    <row r="11743" spans="1:1" x14ac:dyDescent="0.25">
      <c r="A11743" s="841"/>
    </row>
    <row r="11744" spans="1:1" x14ac:dyDescent="0.25">
      <c r="A11744" s="841"/>
    </row>
    <row r="11745" spans="1:1" x14ac:dyDescent="0.25">
      <c r="A11745" s="841"/>
    </row>
    <row r="11746" spans="1:1" x14ac:dyDescent="0.25">
      <c r="A11746" s="841"/>
    </row>
    <row r="11747" spans="1:1" x14ac:dyDescent="0.25">
      <c r="A11747" s="841"/>
    </row>
    <row r="11748" spans="1:1" x14ac:dyDescent="0.25">
      <c r="A11748" s="841"/>
    </row>
    <row r="11749" spans="1:1" x14ac:dyDescent="0.25">
      <c r="A11749" s="841"/>
    </row>
    <row r="11750" spans="1:1" x14ac:dyDescent="0.25">
      <c r="A11750" s="841"/>
    </row>
    <row r="11751" spans="1:1" x14ac:dyDescent="0.25">
      <c r="A11751" s="841"/>
    </row>
    <row r="11752" spans="1:1" x14ac:dyDescent="0.25">
      <c r="A11752" s="841"/>
    </row>
    <row r="11753" spans="1:1" x14ac:dyDescent="0.25">
      <c r="A11753" s="841"/>
    </row>
    <row r="11754" spans="1:1" x14ac:dyDescent="0.25">
      <c r="A11754" s="841"/>
    </row>
    <row r="11755" spans="1:1" x14ac:dyDescent="0.25">
      <c r="A11755" s="841"/>
    </row>
    <row r="11756" spans="1:1" x14ac:dyDescent="0.25">
      <c r="A11756" s="841"/>
    </row>
    <row r="11757" spans="1:1" x14ac:dyDescent="0.25">
      <c r="A11757" s="841"/>
    </row>
    <row r="11758" spans="1:1" x14ac:dyDescent="0.25">
      <c r="A11758" s="841"/>
    </row>
    <row r="11759" spans="1:1" x14ac:dyDescent="0.25">
      <c r="A11759" s="841"/>
    </row>
    <row r="11760" spans="1:1" x14ac:dyDescent="0.25">
      <c r="A11760" s="841"/>
    </row>
    <row r="11761" spans="1:1" x14ac:dyDescent="0.25">
      <c r="A11761" s="841"/>
    </row>
    <row r="11762" spans="1:1" x14ac:dyDescent="0.25">
      <c r="A11762" s="841"/>
    </row>
    <row r="11763" spans="1:1" x14ac:dyDescent="0.25">
      <c r="A11763" s="841"/>
    </row>
    <row r="11764" spans="1:1" x14ac:dyDescent="0.25">
      <c r="A11764" s="841"/>
    </row>
    <row r="11765" spans="1:1" x14ac:dyDescent="0.25">
      <c r="A11765" s="841"/>
    </row>
    <row r="11766" spans="1:1" x14ac:dyDescent="0.25">
      <c r="A11766" s="841"/>
    </row>
    <row r="11767" spans="1:1" x14ac:dyDescent="0.25">
      <c r="A11767" s="841"/>
    </row>
    <row r="11768" spans="1:1" x14ac:dyDescent="0.25">
      <c r="A11768" s="841"/>
    </row>
    <row r="11769" spans="1:1" x14ac:dyDescent="0.25">
      <c r="A11769" s="841"/>
    </row>
    <row r="11770" spans="1:1" x14ac:dyDescent="0.25">
      <c r="A11770" s="841"/>
    </row>
    <row r="11771" spans="1:1" x14ac:dyDescent="0.25">
      <c r="A11771" s="841"/>
    </row>
    <row r="11772" spans="1:1" x14ac:dyDescent="0.25">
      <c r="A11772" s="841"/>
    </row>
    <row r="11773" spans="1:1" x14ac:dyDescent="0.25">
      <c r="A11773" s="841"/>
    </row>
    <row r="11774" spans="1:1" x14ac:dyDescent="0.25">
      <c r="A11774" s="841"/>
    </row>
    <row r="11775" spans="1:1" x14ac:dyDescent="0.25">
      <c r="A11775" s="841"/>
    </row>
    <row r="11776" spans="1:1" x14ac:dyDescent="0.25">
      <c r="A11776" s="841"/>
    </row>
    <row r="11777" spans="1:1" x14ac:dyDescent="0.25">
      <c r="A11777" s="841"/>
    </row>
    <row r="11778" spans="1:1" x14ac:dyDescent="0.25">
      <c r="A11778" s="841"/>
    </row>
    <row r="11779" spans="1:1" x14ac:dyDescent="0.25">
      <c r="A11779" s="841"/>
    </row>
    <row r="11780" spans="1:1" x14ac:dyDescent="0.25">
      <c r="A11780" s="841"/>
    </row>
    <row r="11781" spans="1:1" x14ac:dyDescent="0.25">
      <c r="A11781" s="841"/>
    </row>
    <row r="11782" spans="1:1" x14ac:dyDescent="0.25">
      <c r="A11782" s="841"/>
    </row>
    <row r="11783" spans="1:1" x14ac:dyDescent="0.25">
      <c r="A11783" s="841"/>
    </row>
    <row r="11784" spans="1:1" x14ac:dyDescent="0.25">
      <c r="A11784" s="841"/>
    </row>
    <row r="11785" spans="1:1" x14ac:dyDescent="0.25">
      <c r="A11785" s="841"/>
    </row>
    <row r="11786" spans="1:1" x14ac:dyDescent="0.25">
      <c r="A11786" s="841"/>
    </row>
    <row r="11787" spans="1:1" x14ac:dyDescent="0.25">
      <c r="A11787" s="841"/>
    </row>
    <row r="11788" spans="1:1" x14ac:dyDescent="0.25">
      <c r="A11788" s="841"/>
    </row>
    <row r="11789" spans="1:1" x14ac:dyDescent="0.25">
      <c r="A11789" s="841"/>
    </row>
    <row r="11790" spans="1:1" x14ac:dyDescent="0.25">
      <c r="A11790" s="841"/>
    </row>
    <row r="11791" spans="1:1" x14ac:dyDescent="0.25">
      <c r="A11791" s="841"/>
    </row>
    <row r="11792" spans="1:1" x14ac:dyDescent="0.25">
      <c r="A11792" s="841"/>
    </row>
    <row r="11793" spans="1:1" x14ac:dyDescent="0.25">
      <c r="A11793" s="841"/>
    </row>
    <row r="11794" spans="1:1" x14ac:dyDescent="0.25">
      <c r="A11794" s="841"/>
    </row>
    <row r="11795" spans="1:1" x14ac:dyDescent="0.25">
      <c r="A11795" s="841"/>
    </row>
    <row r="11796" spans="1:1" x14ac:dyDescent="0.25">
      <c r="A11796" s="841"/>
    </row>
    <row r="11797" spans="1:1" x14ac:dyDescent="0.25">
      <c r="A11797" s="841"/>
    </row>
    <row r="11798" spans="1:1" x14ac:dyDescent="0.25">
      <c r="A11798" s="841"/>
    </row>
    <row r="11799" spans="1:1" x14ac:dyDescent="0.25">
      <c r="A11799" s="841"/>
    </row>
    <row r="11800" spans="1:1" x14ac:dyDescent="0.25">
      <c r="A11800" s="841"/>
    </row>
    <row r="11801" spans="1:1" x14ac:dyDescent="0.25">
      <c r="A11801" s="841"/>
    </row>
    <row r="11802" spans="1:1" x14ac:dyDescent="0.25">
      <c r="A11802" s="841"/>
    </row>
    <row r="11803" spans="1:1" x14ac:dyDescent="0.25">
      <c r="A11803" s="841"/>
    </row>
    <row r="11804" spans="1:1" x14ac:dyDescent="0.25">
      <c r="A11804" s="841"/>
    </row>
    <row r="11805" spans="1:1" x14ac:dyDescent="0.25">
      <c r="A11805" s="841"/>
    </row>
    <row r="11806" spans="1:1" x14ac:dyDescent="0.25">
      <c r="A11806" s="841"/>
    </row>
    <row r="11807" spans="1:1" x14ac:dyDescent="0.25">
      <c r="A11807" s="841"/>
    </row>
    <row r="11808" spans="1:1" x14ac:dyDescent="0.25">
      <c r="A11808" s="841"/>
    </row>
    <row r="11809" spans="1:1" x14ac:dyDescent="0.25">
      <c r="A11809" s="841"/>
    </row>
    <row r="11810" spans="1:1" x14ac:dyDescent="0.25">
      <c r="A11810" s="841"/>
    </row>
    <row r="11811" spans="1:1" x14ac:dyDescent="0.25">
      <c r="A11811" s="841"/>
    </row>
    <row r="11812" spans="1:1" x14ac:dyDescent="0.25">
      <c r="A11812" s="841"/>
    </row>
    <row r="11813" spans="1:1" x14ac:dyDescent="0.25">
      <c r="A11813" s="841"/>
    </row>
    <row r="11814" spans="1:1" x14ac:dyDescent="0.25">
      <c r="A11814" s="841"/>
    </row>
    <row r="11815" spans="1:1" x14ac:dyDescent="0.25">
      <c r="A11815" s="841"/>
    </row>
    <row r="11816" spans="1:1" x14ac:dyDescent="0.25">
      <c r="A11816" s="841"/>
    </row>
    <row r="11817" spans="1:1" x14ac:dyDescent="0.25">
      <c r="A11817" s="841"/>
    </row>
    <row r="11818" spans="1:1" x14ac:dyDescent="0.25">
      <c r="A11818" s="841"/>
    </row>
    <row r="11819" spans="1:1" x14ac:dyDescent="0.25">
      <c r="A11819" s="841"/>
    </row>
    <row r="11820" spans="1:1" x14ac:dyDescent="0.25">
      <c r="A11820" s="841"/>
    </row>
    <row r="11821" spans="1:1" x14ac:dyDescent="0.25">
      <c r="A11821" s="841"/>
    </row>
    <row r="11822" spans="1:1" x14ac:dyDescent="0.25">
      <c r="A11822" s="841"/>
    </row>
    <row r="11823" spans="1:1" x14ac:dyDescent="0.25">
      <c r="A11823" s="841"/>
    </row>
    <row r="11824" spans="1:1" x14ac:dyDescent="0.25">
      <c r="A11824" s="841"/>
    </row>
    <row r="11825" spans="1:1" x14ac:dyDescent="0.25">
      <c r="A11825" s="841"/>
    </row>
    <row r="11826" spans="1:1" x14ac:dyDescent="0.25">
      <c r="A11826" s="841"/>
    </row>
    <row r="11827" spans="1:1" x14ac:dyDescent="0.25">
      <c r="A11827" s="841"/>
    </row>
    <row r="11828" spans="1:1" x14ac:dyDescent="0.25">
      <c r="A11828" s="841"/>
    </row>
    <row r="11829" spans="1:1" x14ac:dyDescent="0.25">
      <c r="A11829" s="841"/>
    </row>
    <row r="11830" spans="1:1" x14ac:dyDescent="0.25">
      <c r="A11830" s="841"/>
    </row>
    <row r="11831" spans="1:1" x14ac:dyDescent="0.25">
      <c r="A11831" s="841"/>
    </row>
    <row r="11832" spans="1:1" x14ac:dyDescent="0.25">
      <c r="A11832" s="841"/>
    </row>
    <row r="11833" spans="1:1" x14ac:dyDescent="0.25">
      <c r="A11833" s="841"/>
    </row>
    <row r="11834" spans="1:1" x14ac:dyDescent="0.25">
      <c r="A11834" s="841"/>
    </row>
    <row r="11835" spans="1:1" x14ac:dyDescent="0.25">
      <c r="A11835" s="841"/>
    </row>
    <row r="11836" spans="1:1" x14ac:dyDescent="0.25">
      <c r="A11836" s="841"/>
    </row>
    <row r="11837" spans="1:1" x14ac:dyDescent="0.25">
      <c r="A11837" s="841"/>
    </row>
    <row r="11838" spans="1:1" x14ac:dyDescent="0.25">
      <c r="A11838" s="841"/>
    </row>
    <row r="11839" spans="1:1" x14ac:dyDescent="0.25">
      <c r="A11839" s="841"/>
    </row>
    <row r="11840" spans="1:1" x14ac:dyDescent="0.25">
      <c r="A11840" s="841"/>
    </row>
    <row r="11841" spans="1:1" x14ac:dyDescent="0.25">
      <c r="A11841" s="841"/>
    </row>
    <row r="11842" spans="1:1" x14ac:dyDescent="0.25">
      <c r="A11842" s="841"/>
    </row>
    <row r="11843" spans="1:1" x14ac:dyDescent="0.25">
      <c r="A11843" s="841"/>
    </row>
    <row r="11844" spans="1:1" x14ac:dyDescent="0.25">
      <c r="A11844" s="841"/>
    </row>
    <row r="11845" spans="1:1" x14ac:dyDescent="0.25">
      <c r="A11845" s="841"/>
    </row>
    <row r="11846" spans="1:1" x14ac:dyDescent="0.25">
      <c r="A11846" s="841"/>
    </row>
    <row r="11847" spans="1:1" x14ac:dyDescent="0.25">
      <c r="A11847" s="841"/>
    </row>
    <row r="11848" spans="1:1" x14ac:dyDescent="0.25">
      <c r="A11848" s="841"/>
    </row>
    <row r="11849" spans="1:1" x14ac:dyDescent="0.25">
      <c r="A11849" s="841"/>
    </row>
    <row r="11850" spans="1:1" x14ac:dyDescent="0.25">
      <c r="A11850" s="841"/>
    </row>
    <row r="11851" spans="1:1" x14ac:dyDescent="0.25">
      <c r="A11851" s="841"/>
    </row>
    <row r="11852" spans="1:1" x14ac:dyDescent="0.25">
      <c r="A11852" s="841"/>
    </row>
    <row r="11853" spans="1:1" x14ac:dyDescent="0.25">
      <c r="A11853" s="841"/>
    </row>
    <row r="11854" spans="1:1" x14ac:dyDescent="0.25">
      <c r="A11854" s="841"/>
    </row>
    <row r="11855" spans="1:1" x14ac:dyDescent="0.25">
      <c r="A11855" s="841"/>
    </row>
    <row r="11856" spans="1:1" x14ac:dyDescent="0.25">
      <c r="A11856" s="841"/>
    </row>
    <row r="11857" spans="1:1" x14ac:dyDescent="0.25">
      <c r="A11857" s="841"/>
    </row>
    <row r="11858" spans="1:1" x14ac:dyDescent="0.25">
      <c r="A11858" s="841"/>
    </row>
    <row r="11859" spans="1:1" x14ac:dyDescent="0.25">
      <c r="A11859" s="841"/>
    </row>
    <row r="11860" spans="1:1" x14ac:dyDescent="0.25">
      <c r="A11860" s="841"/>
    </row>
    <row r="11861" spans="1:1" x14ac:dyDescent="0.25">
      <c r="A11861" s="841"/>
    </row>
    <row r="11862" spans="1:1" x14ac:dyDescent="0.25">
      <c r="A11862" s="841"/>
    </row>
    <row r="11863" spans="1:1" x14ac:dyDescent="0.25">
      <c r="A11863" s="841"/>
    </row>
    <row r="11864" spans="1:1" x14ac:dyDescent="0.25">
      <c r="A11864" s="841"/>
    </row>
    <row r="11865" spans="1:1" x14ac:dyDescent="0.25">
      <c r="A11865" s="841"/>
    </row>
    <row r="11866" spans="1:1" x14ac:dyDescent="0.25">
      <c r="A11866" s="841"/>
    </row>
    <row r="11867" spans="1:1" x14ac:dyDescent="0.25">
      <c r="A11867" s="841"/>
    </row>
    <row r="11868" spans="1:1" x14ac:dyDescent="0.25">
      <c r="A11868" s="841"/>
    </row>
    <row r="11869" spans="1:1" x14ac:dyDescent="0.25">
      <c r="A11869" s="841"/>
    </row>
    <row r="11870" spans="1:1" x14ac:dyDescent="0.25">
      <c r="A11870" s="841"/>
    </row>
    <row r="11871" spans="1:1" x14ac:dyDescent="0.25">
      <c r="A11871" s="841"/>
    </row>
    <row r="11872" spans="1:1" x14ac:dyDescent="0.25">
      <c r="A11872" s="841"/>
    </row>
    <row r="11873" spans="1:1" x14ac:dyDescent="0.25">
      <c r="A11873" s="841"/>
    </row>
    <row r="11874" spans="1:1" x14ac:dyDescent="0.25">
      <c r="A11874" s="841"/>
    </row>
    <row r="11875" spans="1:1" x14ac:dyDescent="0.25">
      <c r="A11875" s="841"/>
    </row>
    <row r="11876" spans="1:1" x14ac:dyDescent="0.25">
      <c r="A11876" s="841"/>
    </row>
    <row r="11877" spans="1:1" x14ac:dyDescent="0.25">
      <c r="A11877" s="841"/>
    </row>
    <row r="11878" spans="1:1" x14ac:dyDescent="0.25">
      <c r="A11878" s="841"/>
    </row>
    <row r="11879" spans="1:1" x14ac:dyDescent="0.25">
      <c r="A11879" s="841"/>
    </row>
    <row r="11880" spans="1:1" x14ac:dyDescent="0.25">
      <c r="A11880" s="841"/>
    </row>
    <row r="11881" spans="1:1" x14ac:dyDescent="0.25">
      <c r="A11881" s="841"/>
    </row>
    <row r="11882" spans="1:1" x14ac:dyDescent="0.25">
      <c r="A11882" s="841"/>
    </row>
    <row r="11883" spans="1:1" x14ac:dyDescent="0.25">
      <c r="A11883" s="841"/>
    </row>
    <row r="11884" spans="1:1" x14ac:dyDescent="0.25">
      <c r="A11884" s="841"/>
    </row>
    <row r="11885" spans="1:1" x14ac:dyDescent="0.25">
      <c r="A11885" s="841"/>
    </row>
    <row r="11886" spans="1:1" x14ac:dyDescent="0.25">
      <c r="A11886" s="841"/>
    </row>
    <row r="11887" spans="1:1" x14ac:dyDescent="0.25">
      <c r="A11887" s="841"/>
    </row>
    <row r="11888" spans="1:1" x14ac:dyDescent="0.25">
      <c r="A11888" s="841"/>
    </row>
    <row r="11889" spans="1:1" x14ac:dyDescent="0.25">
      <c r="A11889" s="841"/>
    </row>
    <row r="11890" spans="1:1" x14ac:dyDescent="0.25">
      <c r="A11890" s="841"/>
    </row>
    <row r="11891" spans="1:1" x14ac:dyDescent="0.25">
      <c r="A11891" s="841"/>
    </row>
    <row r="11892" spans="1:1" x14ac:dyDescent="0.25">
      <c r="A11892" s="841"/>
    </row>
    <row r="11893" spans="1:1" x14ac:dyDescent="0.25">
      <c r="A11893" s="841"/>
    </row>
    <row r="11894" spans="1:1" x14ac:dyDescent="0.25">
      <c r="A11894" s="841"/>
    </row>
    <row r="11895" spans="1:1" x14ac:dyDescent="0.25">
      <c r="A11895" s="841"/>
    </row>
    <row r="11896" spans="1:1" x14ac:dyDescent="0.25">
      <c r="A11896" s="841"/>
    </row>
    <row r="11897" spans="1:1" x14ac:dyDescent="0.25">
      <c r="A11897" s="841"/>
    </row>
    <row r="11898" spans="1:1" x14ac:dyDescent="0.25">
      <c r="A11898" s="841"/>
    </row>
    <row r="11899" spans="1:1" x14ac:dyDescent="0.25">
      <c r="A11899" s="841"/>
    </row>
    <row r="11900" spans="1:1" x14ac:dyDescent="0.25">
      <c r="A11900" s="841"/>
    </row>
    <row r="11901" spans="1:1" x14ac:dyDescent="0.25">
      <c r="A11901" s="841"/>
    </row>
    <row r="11902" spans="1:1" x14ac:dyDescent="0.25">
      <c r="A11902" s="841"/>
    </row>
    <row r="11903" spans="1:1" x14ac:dyDescent="0.25">
      <c r="A11903" s="841"/>
    </row>
    <row r="11904" spans="1:1" x14ac:dyDescent="0.25">
      <c r="A11904" s="841"/>
    </row>
    <row r="11905" spans="1:1" x14ac:dyDescent="0.25">
      <c r="A11905" s="841"/>
    </row>
    <row r="11906" spans="1:1" x14ac:dyDescent="0.25">
      <c r="A11906" s="841"/>
    </row>
    <row r="11907" spans="1:1" x14ac:dyDescent="0.25">
      <c r="A11907" s="841"/>
    </row>
    <row r="11908" spans="1:1" x14ac:dyDescent="0.25">
      <c r="A11908" s="841"/>
    </row>
    <row r="11909" spans="1:1" x14ac:dyDescent="0.25">
      <c r="A11909" s="841"/>
    </row>
    <row r="11910" spans="1:1" x14ac:dyDescent="0.25">
      <c r="A11910" s="841"/>
    </row>
    <row r="11911" spans="1:1" x14ac:dyDescent="0.25">
      <c r="A11911" s="841"/>
    </row>
    <row r="11912" spans="1:1" x14ac:dyDescent="0.25">
      <c r="A11912" s="841"/>
    </row>
    <row r="11913" spans="1:1" x14ac:dyDescent="0.25">
      <c r="A11913" s="841"/>
    </row>
    <row r="11914" spans="1:1" x14ac:dyDescent="0.25">
      <c r="A11914" s="841"/>
    </row>
    <row r="11915" spans="1:1" x14ac:dyDescent="0.25">
      <c r="A11915" s="841"/>
    </row>
    <row r="11916" spans="1:1" x14ac:dyDescent="0.25">
      <c r="A11916" s="841"/>
    </row>
    <row r="11917" spans="1:1" x14ac:dyDescent="0.25">
      <c r="A11917" s="841"/>
    </row>
    <row r="11918" spans="1:1" x14ac:dyDescent="0.25">
      <c r="A11918" s="841"/>
    </row>
    <row r="11919" spans="1:1" x14ac:dyDescent="0.25">
      <c r="A11919" s="841"/>
    </row>
    <row r="11920" spans="1:1" x14ac:dyDescent="0.25">
      <c r="A11920" s="841"/>
    </row>
    <row r="11921" spans="1:1" x14ac:dyDescent="0.25">
      <c r="A11921" s="841"/>
    </row>
    <row r="11922" spans="1:1" x14ac:dyDescent="0.25">
      <c r="A11922" s="841"/>
    </row>
    <row r="11923" spans="1:1" x14ac:dyDescent="0.25">
      <c r="A11923" s="841"/>
    </row>
    <row r="11924" spans="1:1" x14ac:dyDescent="0.25">
      <c r="A11924" s="841"/>
    </row>
    <row r="11925" spans="1:1" x14ac:dyDescent="0.25">
      <c r="A11925" s="841"/>
    </row>
    <row r="11926" spans="1:1" x14ac:dyDescent="0.25">
      <c r="A11926" s="841"/>
    </row>
    <row r="11927" spans="1:1" x14ac:dyDescent="0.25">
      <c r="A11927" s="841"/>
    </row>
    <row r="11928" spans="1:1" x14ac:dyDescent="0.25">
      <c r="A11928" s="841"/>
    </row>
    <row r="11929" spans="1:1" x14ac:dyDescent="0.25">
      <c r="A11929" s="841"/>
    </row>
    <row r="11930" spans="1:1" x14ac:dyDescent="0.25">
      <c r="A11930" s="841"/>
    </row>
    <row r="11931" spans="1:1" x14ac:dyDescent="0.25">
      <c r="A11931" s="841"/>
    </row>
    <row r="11932" spans="1:1" x14ac:dyDescent="0.25">
      <c r="A11932" s="841"/>
    </row>
    <row r="11933" spans="1:1" x14ac:dyDescent="0.25">
      <c r="A11933" s="841"/>
    </row>
    <row r="11934" spans="1:1" x14ac:dyDescent="0.25">
      <c r="A11934" s="841"/>
    </row>
    <row r="11935" spans="1:1" x14ac:dyDescent="0.25">
      <c r="A11935" s="841"/>
    </row>
    <row r="11936" spans="1:1" x14ac:dyDescent="0.25">
      <c r="A11936" s="841"/>
    </row>
    <row r="11937" spans="1:1" x14ac:dyDescent="0.25">
      <c r="A11937" s="841"/>
    </row>
    <row r="11938" spans="1:1" x14ac:dyDescent="0.25">
      <c r="A11938" s="841"/>
    </row>
    <row r="11939" spans="1:1" x14ac:dyDescent="0.25">
      <c r="A11939" s="841"/>
    </row>
    <row r="11940" spans="1:1" x14ac:dyDescent="0.25">
      <c r="A11940" s="841"/>
    </row>
    <row r="11941" spans="1:1" x14ac:dyDescent="0.25">
      <c r="A11941" s="841"/>
    </row>
    <row r="11942" spans="1:1" x14ac:dyDescent="0.25">
      <c r="A11942" s="841"/>
    </row>
    <row r="11943" spans="1:1" x14ac:dyDescent="0.25">
      <c r="A11943" s="841"/>
    </row>
    <row r="11944" spans="1:1" x14ac:dyDescent="0.25">
      <c r="A11944" s="841"/>
    </row>
    <row r="11945" spans="1:1" x14ac:dyDescent="0.25">
      <c r="A11945" s="841"/>
    </row>
    <row r="11946" spans="1:1" x14ac:dyDescent="0.25">
      <c r="A11946" s="841"/>
    </row>
    <row r="11947" spans="1:1" x14ac:dyDescent="0.25">
      <c r="A11947" s="841"/>
    </row>
    <row r="11948" spans="1:1" x14ac:dyDescent="0.25">
      <c r="A11948" s="841"/>
    </row>
    <row r="11949" spans="1:1" x14ac:dyDescent="0.25">
      <c r="A11949" s="841"/>
    </row>
    <row r="11950" spans="1:1" x14ac:dyDescent="0.25">
      <c r="A11950" s="841"/>
    </row>
    <row r="11951" spans="1:1" x14ac:dyDescent="0.25">
      <c r="A11951" s="841"/>
    </row>
    <row r="11952" spans="1:1" x14ac:dyDescent="0.25">
      <c r="A11952" s="841"/>
    </row>
    <row r="11953" spans="1:1" x14ac:dyDescent="0.25">
      <c r="A11953" s="841"/>
    </row>
    <row r="11954" spans="1:1" x14ac:dyDescent="0.25">
      <c r="A11954" s="841"/>
    </row>
    <row r="11955" spans="1:1" x14ac:dyDescent="0.25">
      <c r="A11955" s="841"/>
    </row>
    <row r="11956" spans="1:1" x14ac:dyDescent="0.25">
      <c r="A11956" s="841"/>
    </row>
    <row r="11957" spans="1:1" x14ac:dyDescent="0.25">
      <c r="A11957" s="841"/>
    </row>
    <row r="11958" spans="1:1" x14ac:dyDescent="0.25">
      <c r="A11958" s="841"/>
    </row>
    <row r="11959" spans="1:1" x14ac:dyDescent="0.25">
      <c r="A11959" s="841"/>
    </row>
    <row r="11960" spans="1:1" x14ac:dyDescent="0.25">
      <c r="A11960" s="841"/>
    </row>
    <row r="11961" spans="1:1" x14ac:dyDescent="0.25">
      <c r="A11961" s="841"/>
    </row>
    <row r="11962" spans="1:1" x14ac:dyDescent="0.25">
      <c r="A11962" s="841"/>
    </row>
    <row r="11963" spans="1:1" x14ac:dyDescent="0.25">
      <c r="A11963" s="841"/>
    </row>
    <row r="11964" spans="1:1" x14ac:dyDescent="0.25">
      <c r="A11964" s="841"/>
    </row>
    <row r="11965" spans="1:1" x14ac:dyDescent="0.25">
      <c r="A11965" s="841"/>
    </row>
    <row r="11966" spans="1:1" x14ac:dyDescent="0.25">
      <c r="A11966" s="841"/>
    </row>
    <row r="11967" spans="1:1" x14ac:dyDescent="0.25">
      <c r="A11967" s="841"/>
    </row>
    <row r="11968" spans="1:1" x14ac:dyDescent="0.25">
      <c r="A11968" s="841"/>
    </row>
    <row r="11969" spans="1:1" x14ac:dyDescent="0.25">
      <c r="A11969" s="841"/>
    </row>
    <row r="11970" spans="1:1" x14ac:dyDescent="0.25">
      <c r="A11970" s="841"/>
    </row>
    <row r="11971" spans="1:1" x14ac:dyDescent="0.25">
      <c r="A11971" s="841"/>
    </row>
    <row r="11972" spans="1:1" x14ac:dyDescent="0.25">
      <c r="A11972" s="841"/>
    </row>
    <row r="11973" spans="1:1" x14ac:dyDescent="0.25">
      <c r="A11973" s="841"/>
    </row>
    <row r="11974" spans="1:1" x14ac:dyDescent="0.25">
      <c r="A11974" s="841"/>
    </row>
    <row r="11975" spans="1:1" x14ac:dyDescent="0.25">
      <c r="A11975" s="841"/>
    </row>
    <row r="11976" spans="1:1" x14ac:dyDescent="0.25">
      <c r="A11976" s="841"/>
    </row>
    <row r="11977" spans="1:1" x14ac:dyDescent="0.25">
      <c r="A11977" s="841"/>
    </row>
    <row r="11978" spans="1:1" x14ac:dyDescent="0.25">
      <c r="A11978" s="841"/>
    </row>
    <row r="11979" spans="1:1" x14ac:dyDescent="0.25">
      <c r="A11979" s="841"/>
    </row>
    <row r="11980" spans="1:1" x14ac:dyDescent="0.25">
      <c r="A11980" s="841"/>
    </row>
    <row r="11981" spans="1:1" x14ac:dyDescent="0.25">
      <c r="A11981" s="841"/>
    </row>
    <row r="11982" spans="1:1" x14ac:dyDescent="0.25">
      <c r="A11982" s="841"/>
    </row>
    <row r="11983" spans="1:1" x14ac:dyDescent="0.25">
      <c r="A11983" s="841"/>
    </row>
    <row r="11984" spans="1:1" x14ac:dyDescent="0.25">
      <c r="A11984" s="841"/>
    </row>
    <row r="11985" spans="1:1" x14ac:dyDescent="0.25">
      <c r="A11985" s="841"/>
    </row>
    <row r="11986" spans="1:1" x14ac:dyDescent="0.25">
      <c r="A11986" s="841"/>
    </row>
    <row r="11987" spans="1:1" x14ac:dyDescent="0.25">
      <c r="A11987" s="841"/>
    </row>
    <row r="11988" spans="1:1" x14ac:dyDescent="0.25">
      <c r="A11988" s="841"/>
    </row>
    <row r="11989" spans="1:1" x14ac:dyDescent="0.25">
      <c r="A11989" s="841"/>
    </row>
    <row r="11990" spans="1:1" x14ac:dyDescent="0.25">
      <c r="A11990" s="841"/>
    </row>
    <row r="11991" spans="1:1" x14ac:dyDescent="0.25">
      <c r="A11991" s="841"/>
    </row>
    <row r="11992" spans="1:1" x14ac:dyDescent="0.25">
      <c r="A11992" s="841"/>
    </row>
    <row r="11993" spans="1:1" x14ac:dyDescent="0.25">
      <c r="A11993" s="841"/>
    </row>
    <row r="11994" spans="1:1" x14ac:dyDescent="0.25">
      <c r="A11994" s="841"/>
    </row>
    <row r="11995" spans="1:1" x14ac:dyDescent="0.25">
      <c r="A11995" s="841"/>
    </row>
    <row r="11996" spans="1:1" x14ac:dyDescent="0.25">
      <c r="A11996" s="841"/>
    </row>
    <row r="11997" spans="1:1" x14ac:dyDescent="0.25">
      <c r="A11997" s="841"/>
    </row>
    <row r="11998" spans="1:1" x14ac:dyDescent="0.25">
      <c r="A11998" s="841"/>
    </row>
    <row r="11999" spans="1:1" x14ac:dyDescent="0.25">
      <c r="A11999" s="841"/>
    </row>
    <row r="12000" spans="1:1" x14ac:dyDescent="0.25">
      <c r="A12000" s="841"/>
    </row>
    <row r="12001" spans="1:1" x14ac:dyDescent="0.25">
      <c r="A12001" s="841"/>
    </row>
    <row r="12002" spans="1:1" x14ac:dyDescent="0.25">
      <c r="A12002" s="841"/>
    </row>
    <row r="12003" spans="1:1" x14ac:dyDescent="0.25">
      <c r="A12003" s="841"/>
    </row>
    <row r="12004" spans="1:1" x14ac:dyDescent="0.25">
      <c r="A12004" s="841"/>
    </row>
    <row r="12005" spans="1:1" x14ac:dyDescent="0.25">
      <c r="A12005" s="841"/>
    </row>
    <row r="12006" spans="1:1" x14ac:dyDescent="0.25">
      <c r="A12006" s="841"/>
    </row>
    <row r="12007" spans="1:1" x14ac:dyDescent="0.25">
      <c r="A12007" s="841"/>
    </row>
    <row r="12008" spans="1:1" x14ac:dyDescent="0.25">
      <c r="A12008" s="841"/>
    </row>
    <row r="12009" spans="1:1" x14ac:dyDescent="0.25">
      <c r="A12009" s="841"/>
    </row>
    <row r="12010" spans="1:1" x14ac:dyDescent="0.25">
      <c r="A12010" s="841"/>
    </row>
    <row r="12011" spans="1:1" x14ac:dyDescent="0.25">
      <c r="A12011" s="841"/>
    </row>
    <row r="12012" spans="1:1" x14ac:dyDescent="0.25">
      <c r="A12012" s="841"/>
    </row>
    <row r="12013" spans="1:1" x14ac:dyDescent="0.25">
      <c r="A12013" s="841"/>
    </row>
    <row r="12014" spans="1:1" x14ac:dyDescent="0.25">
      <c r="A12014" s="841"/>
    </row>
    <row r="12015" spans="1:1" x14ac:dyDescent="0.25">
      <c r="A12015" s="841"/>
    </row>
    <row r="12016" spans="1:1" x14ac:dyDescent="0.25">
      <c r="A12016" s="841"/>
    </row>
    <row r="12017" spans="1:1" x14ac:dyDescent="0.25">
      <c r="A12017" s="841"/>
    </row>
    <row r="12018" spans="1:1" x14ac:dyDescent="0.25">
      <c r="A12018" s="841"/>
    </row>
    <row r="12019" spans="1:1" x14ac:dyDescent="0.25">
      <c r="A12019" s="841"/>
    </row>
    <row r="12020" spans="1:1" x14ac:dyDescent="0.25">
      <c r="A12020" s="841"/>
    </row>
    <row r="12021" spans="1:1" x14ac:dyDescent="0.25">
      <c r="A12021" s="841"/>
    </row>
    <row r="12022" spans="1:1" x14ac:dyDescent="0.25">
      <c r="A12022" s="841"/>
    </row>
    <row r="12023" spans="1:1" x14ac:dyDescent="0.25">
      <c r="A12023" s="841"/>
    </row>
    <row r="12024" spans="1:1" x14ac:dyDescent="0.25">
      <c r="A12024" s="841"/>
    </row>
    <row r="12025" spans="1:1" x14ac:dyDescent="0.25">
      <c r="A12025" s="841"/>
    </row>
    <row r="12026" spans="1:1" x14ac:dyDescent="0.25">
      <c r="A12026" s="841"/>
    </row>
    <row r="12027" spans="1:1" x14ac:dyDescent="0.25">
      <c r="A12027" s="841"/>
    </row>
    <row r="12028" spans="1:1" x14ac:dyDescent="0.25">
      <c r="A12028" s="841"/>
    </row>
    <row r="12029" spans="1:1" x14ac:dyDescent="0.25">
      <c r="A12029" s="841"/>
    </row>
    <row r="12030" spans="1:1" x14ac:dyDescent="0.25">
      <c r="A12030" s="841"/>
    </row>
    <row r="12031" spans="1:1" x14ac:dyDescent="0.25">
      <c r="A12031" s="841"/>
    </row>
    <row r="12032" spans="1:1" x14ac:dyDescent="0.25">
      <c r="A12032" s="841"/>
    </row>
    <row r="12033" spans="1:1" x14ac:dyDescent="0.25">
      <c r="A12033" s="841"/>
    </row>
    <row r="12034" spans="1:1" x14ac:dyDescent="0.25">
      <c r="A12034" s="841"/>
    </row>
    <row r="12035" spans="1:1" x14ac:dyDescent="0.25">
      <c r="A12035" s="841"/>
    </row>
    <row r="12036" spans="1:1" x14ac:dyDescent="0.25">
      <c r="A12036" s="841"/>
    </row>
    <row r="12037" spans="1:1" x14ac:dyDescent="0.25">
      <c r="A12037" s="841"/>
    </row>
    <row r="12038" spans="1:1" x14ac:dyDescent="0.25">
      <c r="A12038" s="841"/>
    </row>
    <row r="12039" spans="1:1" x14ac:dyDescent="0.25">
      <c r="A12039" s="841"/>
    </row>
    <row r="12040" spans="1:1" x14ac:dyDescent="0.25">
      <c r="A12040" s="841"/>
    </row>
    <row r="12041" spans="1:1" x14ac:dyDescent="0.25">
      <c r="A12041" s="841"/>
    </row>
    <row r="12042" spans="1:1" x14ac:dyDescent="0.25">
      <c r="A12042" s="841"/>
    </row>
    <row r="12043" spans="1:1" x14ac:dyDescent="0.25">
      <c r="A12043" s="841"/>
    </row>
    <row r="12044" spans="1:1" x14ac:dyDescent="0.25">
      <c r="A12044" s="841"/>
    </row>
    <row r="12045" spans="1:1" x14ac:dyDescent="0.25">
      <c r="A12045" s="841"/>
    </row>
    <row r="12046" spans="1:1" x14ac:dyDescent="0.25">
      <c r="A12046" s="841"/>
    </row>
    <row r="12047" spans="1:1" x14ac:dyDescent="0.25">
      <c r="A12047" s="841"/>
    </row>
    <row r="12048" spans="1:1" x14ac:dyDescent="0.25">
      <c r="A12048" s="841"/>
    </row>
    <row r="12049" spans="1:1" x14ac:dyDescent="0.25">
      <c r="A12049" s="841"/>
    </row>
    <row r="12050" spans="1:1" x14ac:dyDescent="0.25">
      <c r="A12050" s="841"/>
    </row>
    <row r="12051" spans="1:1" x14ac:dyDescent="0.25">
      <c r="A12051" s="841"/>
    </row>
    <row r="12052" spans="1:1" x14ac:dyDescent="0.25">
      <c r="A12052" s="841"/>
    </row>
    <row r="12053" spans="1:1" x14ac:dyDescent="0.25">
      <c r="A12053" s="841"/>
    </row>
    <row r="12054" spans="1:1" x14ac:dyDescent="0.25">
      <c r="A12054" s="841"/>
    </row>
    <row r="12055" spans="1:1" x14ac:dyDescent="0.25">
      <c r="A12055" s="841"/>
    </row>
    <row r="12056" spans="1:1" x14ac:dyDescent="0.25">
      <c r="A12056" s="841"/>
    </row>
    <row r="12057" spans="1:1" x14ac:dyDescent="0.25">
      <c r="A12057" s="841"/>
    </row>
    <row r="12058" spans="1:1" x14ac:dyDescent="0.25">
      <c r="A12058" s="841"/>
    </row>
    <row r="12059" spans="1:1" x14ac:dyDescent="0.25">
      <c r="A12059" s="841"/>
    </row>
    <row r="12060" spans="1:1" x14ac:dyDescent="0.25">
      <c r="A12060" s="841"/>
    </row>
    <row r="12061" spans="1:1" x14ac:dyDescent="0.25">
      <c r="A12061" s="841"/>
    </row>
    <row r="12062" spans="1:1" x14ac:dyDescent="0.25">
      <c r="A12062" s="841"/>
    </row>
    <row r="12063" spans="1:1" x14ac:dyDescent="0.25">
      <c r="A12063" s="841"/>
    </row>
    <row r="12064" spans="1:1" x14ac:dyDescent="0.25">
      <c r="A12064" s="841"/>
    </row>
    <row r="12065" spans="1:1" x14ac:dyDescent="0.25">
      <c r="A12065" s="841"/>
    </row>
    <row r="12066" spans="1:1" x14ac:dyDescent="0.25">
      <c r="A12066" s="841"/>
    </row>
    <row r="12067" spans="1:1" x14ac:dyDescent="0.25">
      <c r="A12067" s="841"/>
    </row>
    <row r="12068" spans="1:1" x14ac:dyDescent="0.25">
      <c r="A12068" s="841"/>
    </row>
    <row r="12069" spans="1:1" x14ac:dyDescent="0.25">
      <c r="A12069" s="841"/>
    </row>
    <row r="12070" spans="1:1" x14ac:dyDescent="0.25">
      <c r="A12070" s="841"/>
    </row>
    <row r="12071" spans="1:1" x14ac:dyDescent="0.25">
      <c r="A12071" s="841"/>
    </row>
    <row r="12072" spans="1:1" x14ac:dyDescent="0.25">
      <c r="A12072" s="841"/>
    </row>
    <row r="12073" spans="1:1" x14ac:dyDescent="0.25">
      <c r="A12073" s="841"/>
    </row>
    <row r="12074" spans="1:1" x14ac:dyDescent="0.25">
      <c r="A12074" s="841"/>
    </row>
    <row r="12075" spans="1:1" x14ac:dyDescent="0.25">
      <c r="A12075" s="841"/>
    </row>
    <row r="12076" spans="1:1" x14ac:dyDescent="0.25">
      <c r="A12076" s="841"/>
    </row>
    <row r="12077" spans="1:1" x14ac:dyDescent="0.25">
      <c r="A12077" s="841"/>
    </row>
    <row r="12078" spans="1:1" x14ac:dyDescent="0.25">
      <c r="A12078" s="841"/>
    </row>
    <row r="12079" spans="1:1" x14ac:dyDescent="0.25">
      <c r="A12079" s="841"/>
    </row>
    <row r="12080" spans="1:1" x14ac:dyDescent="0.25">
      <c r="A12080" s="841"/>
    </row>
    <row r="12081" spans="1:1" x14ac:dyDescent="0.25">
      <c r="A12081" s="841"/>
    </row>
    <row r="12082" spans="1:1" x14ac:dyDescent="0.25">
      <c r="A12082" s="841"/>
    </row>
    <row r="12083" spans="1:1" x14ac:dyDescent="0.25">
      <c r="A12083" s="841"/>
    </row>
    <row r="12084" spans="1:1" x14ac:dyDescent="0.25">
      <c r="A12084" s="841"/>
    </row>
    <row r="12085" spans="1:1" x14ac:dyDescent="0.25">
      <c r="A12085" s="841"/>
    </row>
    <row r="12086" spans="1:1" x14ac:dyDescent="0.25">
      <c r="A12086" s="841"/>
    </row>
    <row r="12087" spans="1:1" x14ac:dyDescent="0.25">
      <c r="A12087" s="841"/>
    </row>
    <row r="12088" spans="1:1" x14ac:dyDescent="0.25">
      <c r="A12088" s="841"/>
    </row>
    <row r="12089" spans="1:1" x14ac:dyDescent="0.25">
      <c r="A12089" s="841"/>
    </row>
    <row r="12090" spans="1:1" x14ac:dyDescent="0.25">
      <c r="A12090" s="841"/>
    </row>
    <row r="12091" spans="1:1" x14ac:dyDescent="0.25">
      <c r="A12091" s="841"/>
    </row>
    <row r="12092" spans="1:1" x14ac:dyDescent="0.25">
      <c r="A12092" s="841"/>
    </row>
    <row r="12093" spans="1:1" x14ac:dyDescent="0.25">
      <c r="A12093" s="841"/>
    </row>
    <row r="12094" spans="1:1" x14ac:dyDescent="0.25">
      <c r="A12094" s="841"/>
    </row>
    <row r="12095" spans="1:1" x14ac:dyDescent="0.25">
      <c r="A12095" s="841"/>
    </row>
    <row r="12096" spans="1:1" x14ac:dyDescent="0.25">
      <c r="A12096" s="841"/>
    </row>
    <row r="12097" spans="1:1" x14ac:dyDescent="0.25">
      <c r="A12097" s="841"/>
    </row>
    <row r="12098" spans="1:1" x14ac:dyDescent="0.25">
      <c r="A12098" s="841"/>
    </row>
    <row r="12099" spans="1:1" x14ac:dyDescent="0.25">
      <c r="A12099" s="841"/>
    </row>
    <row r="12100" spans="1:1" x14ac:dyDescent="0.25">
      <c r="A12100" s="841"/>
    </row>
    <row r="12101" spans="1:1" x14ac:dyDescent="0.25">
      <c r="A12101" s="841"/>
    </row>
    <row r="12102" spans="1:1" x14ac:dyDescent="0.25">
      <c r="A12102" s="841"/>
    </row>
    <row r="12103" spans="1:1" x14ac:dyDescent="0.25">
      <c r="A12103" s="841"/>
    </row>
    <row r="12104" spans="1:1" x14ac:dyDescent="0.25">
      <c r="A12104" s="841"/>
    </row>
    <row r="12105" spans="1:1" x14ac:dyDescent="0.25">
      <c r="A12105" s="841"/>
    </row>
    <row r="12106" spans="1:1" x14ac:dyDescent="0.25">
      <c r="A12106" s="841"/>
    </row>
    <row r="12107" spans="1:1" x14ac:dyDescent="0.25">
      <c r="A12107" s="841"/>
    </row>
    <row r="12108" spans="1:1" x14ac:dyDescent="0.25">
      <c r="A12108" s="841"/>
    </row>
    <row r="12109" spans="1:1" x14ac:dyDescent="0.25">
      <c r="A12109" s="841"/>
    </row>
    <row r="12110" spans="1:1" x14ac:dyDescent="0.25">
      <c r="A12110" s="841"/>
    </row>
    <row r="12111" spans="1:1" x14ac:dyDescent="0.25">
      <c r="A12111" s="841"/>
    </row>
    <row r="12112" spans="1:1" x14ac:dyDescent="0.25">
      <c r="A12112" s="841"/>
    </row>
    <row r="12113" spans="1:1" x14ac:dyDescent="0.25">
      <c r="A12113" s="841"/>
    </row>
    <row r="12114" spans="1:1" x14ac:dyDescent="0.25">
      <c r="A12114" s="841"/>
    </row>
    <row r="12115" spans="1:1" x14ac:dyDescent="0.25">
      <c r="A12115" s="841"/>
    </row>
    <row r="12116" spans="1:1" x14ac:dyDescent="0.25">
      <c r="A12116" s="841"/>
    </row>
    <row r="12117" spans="1:1" x14ac:dyDescent="0.25">
      <c r="A12117" s="841"/>
    </row>
    <row r="12118" spans="1:1" x14ac:dyDescent="0.25">
      <c r="A12118" s="841"/>
    </row>
    <row r="12119" spans="1:1" x14ac:dyDescent="0.25">
      <c r="A12119" s="841"/>
    </row>
    <row r="12120" spans="1:1" x14ac:dyDescent="0.25">
      <c r="A12120" s="841"/>
    </row>
    <row r="12121" spans="1:1" x14ac:dyDescent="0.25">
      <c r="A12121" s="841"/>
    </row>
    <row r="12122" spans="1:1" x14ac:dyDescent="0.25">
      <c r="A12122" s="841"/>
    </row>
    <row r="12123" spans="1:1" x14ac:dyDescent="0.25">
      <c r="A12123" s="841"/>
    </row>
    <row r="12124" spans="1:1" x14ac:dyDescent="0.25">
      <c r="A12124" s="841"/>
    </row>
    <row r="12125" spans="1:1" x14ac:dyDescent="0.25">
      <c r="A12125" s="841"/>
    </row>
    <row r="12126" spans="1:1" x14ac:dyDescent="0.25">
      <c r="A12126" s="841"/>
    </row>
    <row r="12127" spans="1:1" x14ac:dyDescent="0.25">
      <c r="A12127" s="841"/>
    </row>
    <row r="12128" spans="1:1" x14ac:dyDescent="0.25">
      <c r="A12128" s="841"/>
    </row>
    <row r="12129" spans="1:1" x14ac:dyDescent="0.25">
      <c r="A12129" s="841"/>
    </row>
    <row r="12130" spans="1:1" x14ac:dyDescent="0.25">
      <c r="A12130" s="841"/>
    </row>
    <row r="12131" spans="1:1" x14ac:dyDescent="0.25">
      <c r="A12131" s="841"/>
    </row>
    <row r="12132" spans="1:1" x14ac:dyDescent="0.25">
      <c r="A12132" s="841"/>
    </row>
    <row r="12133" spans="1:1" x14ac:dyDescent="0.25">
      <c r="A12133" s="841"/>
    </row>
    <row r="12134" spans="1:1" x14ac:dyDescent="0.25">
      <c r="A12134" s="841"/>
    </row>
    <row r="12135" spans="1:1" x14ac:dyDescent="0.25">
      <c r="A12135" s="841"/>
    </row>
    <row r="12136" spans="1:1" x14ac:dyDescent="0.25">
      <c r="A12136" s="841"/>
    </row>
    <row r="12137" spans="1:1" x14ac:dyDescent="0.25">
      <c r="A12137" s="841"/>
    </row>
    <row r="12138" spans="1:1" x14ac:dyDescent="0.25">
      <c r="A12138" s="841"/>
    </row>
    <row r="12139" spans="1:1" x14ac:dyDescent="0.25">
      <c r="A12139" s="841"/>
    </row>
    <row r="12140" spans="1:1" x14ac:dyDescent="0.25">
      <c r="A12140" s="841"/>
    </row>
    <row r="12141" spans="1:1" x14ac:dyDescent="0.25">
      <c r="A12141" s="841"/>
    </row>
    <row r="12142" spans="1:1" x14ac:dyDescent="0.25">
      <c r="A12142" s="841"/>
    </row>
    <row r="12143" spans="1:1" x14ac:dyDescent="0.25">
      <c r="A12143" s="841"/>
    </row>
    <row r="12144" spans="1:1" x14ac:dyDescent="0.25">
      <c r="A12144" s="841"/>
    </row>
    <row r="12145" spans="1:1" x14ac:dyDescent="0.25">
      <c r="A12145" s="841"/>
    </row>
    <row r="12146" spans="1:1" x14ac:dyDescent="0.25">
      <c r="A12146" s="841"/>
    </row>
    <row r="12147" spans="1:1" x14ac:dyDescent="0.25">
      <c r="A12147" s="841"/>
    </row>
    <row r="12148" spans="1:1" x14ac:dyDescent="0.25">
      <c r="A12148" s="841"/>
    </row>
    <row r="12149" spans="1:1" x14ac:dyDescent="0.25">
      <c r="A12149" s="841"/>
    </row>
    <row r="12150" spans="1:1" x14ac:dyDescent="0.25">
      <c r="A12150" s="841"/>
    </row>
    <row r="12151" spans="1:1" x14ac:dyDescent="0.25">
      <c r="A12151" s="841"/>
    </row>
    <row r="12152" spans="1:1" x14ac:dyDescent="0.25">
      <c r="A12152" s="841"/>
    </row>
    <row r="12153" spans="1:1" x14ac:dyDescent="0.25">
      <c r="A12153" s="841"/>
    </row>
    <row r="12154" spans="1:1" x14ac:dyDescent="0.25">
      <c r="A12154" s="841"/>
    </row>
    <row r="12155" spans="1:1" x14ac:dyDescent="0.25">
      <c r="A12155" s="841"/>
    </row>
    <row r="12156" spans="1:1" x14ac:dyDescent="0.25">
      <c r="A12156" s="841"/>
    </row>
    <row r="12157" spans="1:1" x14ac:dyDescent="0.25">
      <c r="A12157" s="841"/>
    </row>
    <row r="12158" spans="1:1" x14ac:dyDescent="0.25">
      <c r="A12158" s="841"/>
    </row>
    <row r="12159" spans="1:1" x14ac:dyDescent="0.25">
      <c r="A12159" s="841"/>
    </row>
    <row r="12160" spans="1:1" x14ac:dyDescent="0.25">
      <c r="A12160" s="841"/>
    </row>
    <row r="12161" spans="1:1" x14ac:dyDescent="0.25">
      <c r="A12161" s="841"/>
    </row>
    <row r="12162" spans="1:1" x14ac:dyDescent="0.25">
      <c r="A12162" s="841"/>
    </row>
    <row r="12163" spans="1:1" x14ac:dyDescent="0.25">
      <c r="A12163" s="841"/>
    </row>
    <row r="12164" spans="1:1" x14ac:dyDescent="0.25">
      <c r="A12164" s="841"/>
    </row>
    <row r="12165" spans="1:1" x14ac:dyDescent="0.25">
      <c r="A12165" s="841"/>
    </row>
    <row r="12166" spans="1:1" x14ac:dyDescent="0.25">
      <c r="A12166" s="841"/>
    </row>
    <row r="12167" spans="1:1" x14ac:dyDescent="0.25">
      <c r="A12167" s="841"/>
    </row>
    <row r="12168" spans="1:1" x14ac:dyDescent="0.25">
      <c r="A12168" s="841"/>
    </row>
    <row r="12169" spans="1:1" x14ac:dyDescent="0.25">
      <c r="A12169" s="841"/>
    </row>
    <row r="12170" spans="1:1" x14ac:dyDescent="0.25">
      <c r="A12170" s="841"/>
    </row>
    <row r="12171" spans="1:1" x14ac:dyDescent="0.25">
      <c r="A12171" s="841"/>
    </row>
    <row r="12172" spans="1:1" x14ac:dyDescent="0.25">
      <c r="A12172" s="841"/>
    </row>
    <row r="12173" spans="1:1" x14ac:dyDescent="0.25">
      <c r="A12173" s="841"/>
    </row>
    <row r="12174" spans="1:1" x14ac:dyDescent="0.25">
      <c r="A12174" s="841"/>
    </row>
    <row r="12175" spans="1:1" x14ac:dyDescent="0.25">
      <c r="A12175" s="841"/>
    </row>
    <row r="12176" spans="1:1" x14ac:dyDescent="0.25">
      <c r="A12176" s="841"/>
    </row>
    <row r="12177" spans="1:1" x14ac:dyDescent="0.25">
      <c r="A12177" s="841"/>
    </row>
    <row r="12178" spans="1:1" x14ac:dyDescent="0.25">
      <c r="A12178" s="841"/>
    </row>
    <row r="12179" spans="1:1" x14ac:dyDescent="0.25">
      <c r="A12179" s="841"/>
    </row>
    <row r="12180" spans="1:1" x14ac:dyDescent="0.25">
      <c r="A12180" s="841"/>
    </row>
    <row r="12181" spans="1:1" x14ac:dyDescent="0.25">
      <c r="A12181" s="841"/>
    </row>
    <row r="12182" spans="1:1" x14ac:dyDescent="0.25">
      <c r="A12182" s="841"/>
    </row>
    <row r="12183" spans="1:1" x14ac:dyDescent="0.25">
      <c r="A12183" s="841"/>
    </row>
    <row r="12184" spans="1:1" x14ac:dyDescent="0.25">
      <c r="A12184" s="841"/>
    </row>
    <row r="12185" spans="1:1" x14ac:dyDescent="0.25">
      <c r="A12185" s="841"/>
    </row>
    <row r="12186" spans="1:1" x14ac:dyDescent="0.25">
      <c r="A12186" s="841"/>
    </row>
    <row r="12187" spans="1:1" x14ac:dyDescent="0.25">
      <c r="A12187" s="841"/>
    </row>
    <row r="12188" spans="1:1" x14ac:dyDescent="0.25">
      <c r="A12188" s="841"/>
    </row>
    <row r="12189" spans="1:1" x14ac:dyDescent="0.25">
      <c r="A12189" s="841"/>
    </row>
    <row r="12190" spans="1:1" x14ac:dyDescent="0.25">
      <c r="A12190" s="841"/>
    </row>
    <row r="12191" spans="1:1" x14ac:dyDescent="0.25">
      <c r="A12191" s="841"/>
    </row>
    <row r="12192" spans="1:1" x14ac:dyDescent="0.25">
      <c r="A12192" s="841"/>
    </row>
    <row r="12193" spans="1:1" x14ac:dyDescent="0.25">
      <c r="A12193" s="841"/>
    </row>
    <row r="12194" spans="1:1" x14ac:dyDescent="0.25">
      <c r="A12194" s="841"/>
    </row>
    <row r="12195" spans="1:1" x14ac:dyDescent="0.25">
      <c r="A12195" s="841"/>
    </row>
    <row r="12196" spans="1:1" x14ac:dyDescent="0.25">
      <c r="A12196" s="841"/>
    </row>
    <row r="12197" spans="1:1" x14ac:dyDescent="0.25">
      <c r="A12197" s="841"/>
    </row>
    <row r="12198" spans="1:1" x14ac:dyDescent="0.25">
      <c r="A12198" s="841"/>
    </row>
    <row r="12199" spans="1:1" x14ac:dyDescent="0.25">
      <c r="A12199" s="841"/>
    </row>
    <row r="12200" spans="1:1" x14ac:dyDescent="0.25">
      <c r="A12200" s="841"/>
    </row>
    <row r="12201" spans="1:1" x14ac:dyDescent="0.25">
      <c r="A12201" s="841"/>
    </row>
    <row r="12202" spans="1:1" x14ac:dyDescent="0.25">
      <c r="A12202" s="841"/>
    </row>
    <row r="12203" spans="1:1" x14ac:dyDescent="0.25">
      <c r="A12203" s="841"/>
    </row>
    <row r="12204" spans="1:1" x14ac:dyDescent="0.25">
      <c r="A12204" s="841"/>
    </row>
    <row r="12205" spans="1:1" x14ac:dyDescent="0.25">
      <c r="A12205" s="841"/>
    </row>
    <row r="12206" spans="1:1" x14ac:dyDescent="0.25">
      <c r="A12206" s="841"/>
    </row>
    <row r="12207" spans="1:1" x14ac:dyDescent="0.25">
      <c r="A12207" s="841"/>
    </row>
    <row r="12208" spans="1:1" x14ac:dyDescent="0.25">
      <c r="A12208" s="841"/>
    </row>
    <row r="12209" spans="1:1" x14ac:dyDescent="0.25">
      <c r="A12209" s="841"/>
    </row>
    <row r="12210" spans="1:1" x14ac:dyDescent="0.25">
      <c r="A12210" s="841"/>
    </row>
    <row r="12211" spans="1:1" x14ac:dyDescent="0.25">
      <c r="A12211" s="841"/>
    </row>
    <row r="12212" spans="1:1" x14ac:dyDescent="0.25">
      <c r="A12212" s="841"/>
    </row>
    <row r="12213" spans="1:1" x14ac:dyDescent="0.25">
      <c r="A12213" s="841"/>
    </row>
    <row r="12214" spans="1:1" x14ac:dyDescent="0.25">
      <c r="A12214" s="841"/>
    </row>
    <row r="12215" spans="1:1" x14ac:dyDescent="0.25">
      <c r="A12215" s="841"/>
    </row>
    <row r="12216" spans="1:1" x14ac:dyDescent="0.25">
      <c r="A12216" s="841"/>
    </row>
    <row r="12217" spans="1:1" x14ac:dyDescent="0.25">
      <c r="A12217" s="841"/>
    </row>
    <row r="12218" spans="1:1" x14ac:dyDescent="0.25">
      <c r="A12218" s="841"/>
    </row>
    <row r="12219" spans="1:1" x14ac:dyDescent="0.25">
      <c r="A12219" s="841"/>
    </row>
    <row r="12220" spans="1:1" x14ac:dyDescent="0.25">
      <c r="A12220" s="841"/>
    </row>
    <row r="12221" spans="1:1" x14ac:dyDescent="0.25">
      <c r="A12221" s="841"/>
    </row>
    <row r="12222" spans="1:1" x14ac:dyDescent="0.25">
      <c r="A12222" s="841"/>
    </row>
    <row r="12223" spans="1:1" x14ac:dyDescent="0.25">
      <c r="A12223" s="841"/>
    </row>
    <row r="12224" spans="1:1" x14ac:dyDescent="0.25">
      <c r="A12224" s="841"/>
    </row>
    <row r="12225" spans="1:1" x14ac:dyDescent="0.25">
      <c r="A12225" s="841"/>
    </row>
    <row r="12226" spans="1:1" x14ac:dyDescent="0.25">
      <c r="A12226" s="841"/>
    </row>
    <row r="12227" spans="1:1" x14ac:dyDescent="0.25">
      <c r="A12227" s="841"/>
    </row>
    <row r="12228" spans="1:1" x14ac:dyDescent="0.25">
      <c r="A12228" s="841"/>
    </row>
    <row r="12229" spans="1:1" x14ac:dyDescent="0.25">
      <c r="A12229" s="841"/>
    </row>
    <row r="12230" spans="1:1" x14ac:dyDescent="0.25">
      <c r="A12230" s="841"/>
    </row>
    <row r="12231" spans="1:1" x14ac:dyDescent="0.25">
      <c r="A12231" s="841"/>
    </row>
    <row r="12232" spans="1:1" x14ac:dyDescent="0.25">
      <c r="A12232" s="841"/>
    </row>
    <row r="12233" spans="1:1" x14ac:dyDescent="0.25">
      <c r="A12233" s="841"/>
    </row>
    <row r="12234" spans="1:1" x14ac:dyDescent="0.25">
      <c r="A12234" s="841"/>
    </row>
    <row r="12235" spans="1:1" x14ac:dyDescent="0.25">
      <c r="A12235" s="841"/>
    </row>
    <row r="12236" spans="1:1" x14ac:dyDescent="0.25">
      <c r="A12236" s="841"/>
    </row>
    <row r="12237" spans="1:1" x14ac:dyDescent="0.25">
      <c r="A12237" s="841"/>
    </row>
    <row r="12238" spans="1:1" x14ac:dyDescent="0.25">
      <c r="A12238" s="841"/>
    </row>
    <row r="12239" spans="1:1" x14ac:dyDescent="0.25">
      <c r="A12239" s="841"/>
    </row>
    <row r="12240" spans="1:1" x14ac:dyDescent="0.25">
      <c r="A12240" s="841"/>
    </row>
    <row r="12241" spans="1:1" x14ac:dyDescent="0.25">
      <c r="A12241" s="841"/>
    </row>
    <row r="12242" spans="1:1" x14ac:dyDescent="0.25">
      <c r="A12242" s="841"/>
    </row>
    <row r="12243" spans="1:1" x14ac:dyDescent="0.25">
      <c r="A12243" s="841"/>
    </row>
    <row r="12244" spans="1:1" x14ac:dyDescent="0.25">
      <c r="A12244" s="841"/>
    </row>
    <row r="12245" spans="1:1" x14ac:dyDescent="0.25">
      <c r="A12245" s="841"/>
    </row>
    <row r="12246" spans="1:1" x14ac:dyDescent="0.25">
      <c r="A12246" s="841"/>
    </row>
    <row r="12247" spans="1:1" x14ac:dyDescent="0.25">
      <c r="A12247" s="841"/>
    </row>
    <row r="12248" spans="1:1" x14ac:dyDescent="0.25">
      <c r="A12248" s="841"/>
    </row>
    <row r="12249" spans="1:1" x14ac:dyDescent="0.25">
      <c r="A12249" s="841"/>
    </row>
    <row r="12250" spans="1:1" x14ac:dyDescent="0.25">
      <c r="A12250" s="841"/>
    </row>
    <row r="12251" spans="1:1" x14ac:dyDescent="0.25">
      <c r="A12251" s="841"/>
    </row>
    <row r="12252" spans="1:1" x14ac:dyDescent="0.25">
      <c r="A12252" s="841"/>
    </row>
    <row r="12253" spans="1:1" x14ac:dyDescent="0.25">
      <c r="A12253" s="841"/>
    </row>
    <row r="12254" spans="1:1" x14ac:dyDescent="0.25">
      <c r="A12254" s="841"/>
    </row>
    <row r="12255" spans="1:1" x14ac:dyDescent="0.25">
      <c r="A12255" s="841"/>
    </row>
    <row r="12256" spans="1:1" x14ac:dyDescent="0.25">
      <c r="A12256" s="841"/>
    </row>
    <row r="12257" spans="1:1" x14ac:dyDescent="0.25">
      <c r="A12257" s="841"/>
    </row>
    <row r="12258" spans="1:1" x14ac:dyDescent="0.25">
      <c r="A12258" s="841"/>
    </row>
    <row r="12259" spans="1:1" x14ac:dyDescent="0.25">
      <c r="A12259" s="841"/>
    </row>
    <row r="12260" spans="1:1" x14ac:dyDescent="0.25">
      <c r="A12260" s="841"/>
    </row>
    <row r="12261" spans="1:1" x14ac:dyDescent="0.25">
      <c r="A12261" s="841"/>
    </row>
    <row r="12262" spans="1:1" x14ac:dyDescent="0.25">
      <c r="A12262" s="841"/>
    </row>
    <row r="12263" spans="1:1" x14ac:dyDescent="0.25">
      <c r="A12263" s="841"/>
    </row>
    <row r="12264" spans="1:1" x14ac:dyDescent="0.25">
      <c r="A12264" s="841"/>
    </row>
    <row r="12265" spans="1:1" x14ac:dyDescent="0.25">
      <c r="A12265" s="841"/>
    </row>
    <row r="12266" spans="1:1" x14ac:dyDescent="0.25">
      <c r="A12266" s="841"/>
    </row>
    <row r="12267" spans="1:1" x14ac:dyDescent="0.25">
      <c r="A12267" s="841"/>
    </row>
    <row r="12268" spans="1:1" x14ac:dyDescent="0.25">
      <c r="A12268" s="841"/>
    </row>
    <row r="12269" spans="1:1" x14ac:dyDescent="0.25">
      <c r="A12269" s="841"/>
    </row>
    <row r="12270" spans="1:1" x14ac:dyDescent="0.25">
      <c r="A12270" s="841"/>
    </row>
    <row r="12271" spans="1:1" x14ac:dyDescent="0.25">
      <c r="A12271" s="841"/>
    </row>
    <row r="12272" spans="1:1" x14ac:dyDescent="0.25">
      <c r="A12272" s="841"/>
    </row>
    <row r="12273" spans="1:1" x14ac:dyDescent="0.25">
      <c r="A12273" s="841"/>
    </row>
    <row r="12274" spans="1:1" x14ac:dyDescent="0.25">
      <c r="A12274" s="841"/>
    </row>
    <row r="12275" spans="1:1" x14ac:dyDescent="0.25">
      <c r="A12275" s="841"/>
    </row>
    <row r="12276" spans="1:1" x14ac:dyDescent="0.25">
      <c r="A12276" s="841"/>
    </row>
    <row r="12277" spans="1:1" x14ac:dyDescent="0.25">
      <c r="A12277" s="841"/>
    </row>
    <row r="12278" spans="1:1" x14ac:dyDescent="0.25">
      <c r="A12278" s="841"/>
    </row>
    <row r="12279" spans="1:1" x14ac:dyDescent="0.25">
      <c r="A12279" s="841"/>
    </row>
    <row r="12280" spans="1:1" x14ac:dyDescent="0.25">
      <c r="A12280" s="841"/>
    </row>
    <row r="12281" spans="1:1" x14ac:dyDescent="0.25">
      <c r="A12281" s="841"/>
    </row>
    <row r="12282" spans="1:1" x14ac:dyDescent="0.25">
      <c r="A12282" s="841"/>
    </row>
    <row r="12283" spans="1:1" x14ac:dyDescent="0.25">
      <c r="A12283" s="841"/>
    </row>
    <row r="12284" spans="1:1" x14ac:dyDescent="0.25">
      <c r="A12284" s="841"/>
    </row>
    <row r="12285" spans="1:1" x14ac:dyDescent="0.25">
      <c r="A12285" s="841"/>
    </row>
    <row r="12286" spans="1:1" x14ac:dyDescent="0.25">
      <c r="A12286" s="841"/>
    </row>
    <row r="12287" spans="1:1" x14ac:dyDescent="0.25">
      <c r="A12287" s="841"/>
    </row>
    <row r="12288" spans="1:1" x14ac:dyDescent="0.25">
      <c r="A12288" s="841"/>
    </row>
    <row r="12289" spans="1:1" x14ac:dyDescent="0.25">
      <c r="A12289" s="841"/>
    </row>
    <row r="12290" spans="1:1" x14ac:dyDescent="0.25">
      <c r="A12290" s="841"/>
    </row>
    <row r="12291" spans="1:1" x14ac:dyDescent="0.25">
      <c r="A12291" s="841"/>
    </row>
    <row r="12292" spans="1:1" x14ac:dyDescent="0.25">
      <c r="A12292" s="841"/>
    </row>
    <row r="12293" spans="1:1" x14ac:dyDescent="0.25">
      <c r="A12293" s="841"/>
    </row>
    <row r="12294" spans="1:1" x14ac:dyDescent="0.25">
      <c r="A12294" s="841"/>
    </row>
    <row r="12295" spans="1:1" x14ac:dyDescent="0.25">
      <c r="A12295" s="841"/>
    </row>
    <row r="12296" spans="1:1" x14ac:dyDescent="0.25">
      <c r="A12296" s="841"/>
    </row>
    <row r="12297" spans="1:1" x14ac:dyDescent="0.25">
      <c r="A12297" s="841"/>
    </row>
    <row r="12298" spans="1:1" x14ac:dyDescent="0.25">
      <c r="A12298" s="841"/>
    </row>
    <row r="12299" spans="1:1" x14ac:dyDescent="0.25">
      <c r="A12299" s="841"/>
    </row>
    <row r="12300" spans="1:1" x14ac:dyDescent="0.25">
      <c r="A12300" s="841"/>
    </row>
    <row r="12301" spans="1:1" x14ac:dyDescent="0.25">
      <c r="A12301" s="841"/>
    </row>
    <row r="12302" spans="1:1" x14ac:dyDescent="0.25">
      <c r="A12302" s="841"/>
    </row>
    <row r="12303" spans="1:1" x14ac:dyDescent="0.25">
      <c r="A12303" s="841"/>
    </row>
    <row r="12304" spans="1:1" x14ac:dyDescent="0.25">
      <c r="A12304" s="841"/>
    </row>
    <row r="12305" spans="1:1" x14ac:dyDescent="0.25">
      <c r="A12305" s="841"/>
    </row>
    <row r="12306" spans="1:1" x14ac:dyDescent="0.25">
      <c r="A12306" s="841"/>
    </row>
    <row r="12307" spans="1:1" x14ac:dyDescent="0.25">
      <c r="A12307" s="841"/>
    </row>
    <row r="12308" spans="1:1" x14ac:dyDescent="0.25">
      <c r="A12308" s="841"/>
    </row>
    <row r="12309" spans="1:1" x14ac:dyDescent="0.25">
      <c r="A12309" s="841"/>
    </row>
    <row r="12310" spans="1:1" x14ac:dyDescent="0.25">
      <c r="A12310" s="841"/>
    </row>
    <row r="12311" spans="1:1" x14ac:dyDescent="0.25">
      <c r="A12311" s="841"/>
    </row>
    <row r="12312" spans="1:1" x14ac:dyDescent="0.25">
      <c r="A12312" s="841"/>
    </row>
    <row r="12313" spans="1:1" x14ac:dyDescent="0.25">
      <c r="A12313" s="841"/>
    </row>
    <row r="12314" spans="1:1" x14ac:dyDescent="0.25">
      <c r="A12314" s="841"/>
    </row>
    <row r="12315" spans="1:1" x14ac:dyDescent="0.25">
      <c r="A12315" s="841"/>
    </row>
    <row r="12316" spans="1:1" x14ac:dyDescent="0.25">
      <c r="A12316" s="841"/>
    </row>
    <row r="12317" spans="1:1" x14ac:dyDescent="0.25">
      <c r="A12317" s="841"/>
    </row>
    <row r="12318" spans="1:1" x14ac:dyDescent="0.25">
      <c r="A12318" s="841"/>
    </row>
    <row r="12319" spans="1:1" x14ac:dyDescent="0.25">
      <c r="A12319" s="841"/>
    </row>
    <row r="12320" spans="1:1" x14ac:dyDescent="0.25">
      <c r="A12320" s="841"/>
    </row>
    <row r="12321" spans="1:1" x14ac:dyDescent="0.25">
      <c r="A12321" s="841"/>
    </row>
    <row r="12322" spans="1:1" x14ac:dyDescent="0.25">
      <c r="A12322" s="841"/>
    </row>
    <row r="12323" spans="1:1" x14ac:dyDescent="0.25">
      <c r="A12323" s="841"/>
    </row>
    <row r="12324" spans="1:1" x14ac:dyDescent="0.25">
      <c r="A12324" s="841"/>
    </row>
    <row r="12325" spans="1:1" x14ac:dyDescent="0.25">
      <c r="A12325" s="841"/>
    </row>
    <row r="12326" spans="1:1" x14ac:dyDescent="0.25">
      <c r="A12326" s="841"/>
    </row>
    <row r="12327" spans="1:1" x14ac:dyDescent="0.25">
      <c r="A12327" s="841"/>
    </row>
    <row r="12328" spans="1:1" x14ac:dyDescent="0.25">
      <c r="A12328" s="841"/>
    </row>
    <row r="12329" spans="1:1" x14ac:dyDescent="0.25">
      <c r="A12329" s="841"/>
    </row>
    <row r="12330" spans="1:1" x14ac:dyDescent="0.25">
      <c r="A12330" s="841"/>
    </row>
    <row r="12331" spans="1:1" x14ac:dyDescent="0.25">
      <c r="A12331" s="841"/>
    </row>
    <row r="12332" spans="1:1" x14ac:dyDescent="0.25">
      <c r="A12332" s="841"/>
    </row>
    <row r="12333" spans="1:1" x14ac:dyDescent="0.25">
      <c r="A12333" s="841"/>
    </row>
    <row r="12334" spans="1:1" x14ac:dyDescent="0.25">
      <c r="A12334" s="841"/>
    </row>
    <row r="12335" spans="1:1" x14ac:dyDescent="0.25">
      <c r="A12335" s="841"/>
    </row>
    <row r="12336" spans="1:1" x14ac:dyDescent="0.25">
      <c r="A12336" s="841"/>
    </row>
    <row r="12337" spans="1:1" x14ac:dyDescent="0.25">
      <c r="A12337" s="841"/>
    </row>
    <row r="12338" spans="1:1" x14ac:dyDescent="0.25">
      <c r="A12338" s="841"/>
    </row>
    <row r="12339" spans="1:1" x14ac:dyDescent="0.25">
      <c r="A12339" s="841"/>
    </row>
    <row r="12340" spans="1:1" x14ac:dyDescent="0.25">
      <c r="A12340" s="841"/>
    </row>
    <row r="12341" spans="1:1" x14ac:dyDescent="0.25">
      <c r="A12341" s="841"/>
    </row>
    <row r="12342" spans="1:1" x14ac:dyDescent="0.25">
      <c r="A12342" s="841"/>
    </row>
    <row r="12343" spans="1:1" x14ac:dyDescent="0.25">
      <c r="A12343" s="841"/>
    </row>
    <row r="12344" spans="1:1" x14ac:dyDescent="0.25">
      <c r="A12344" s="841"/>
    </row>
    <row r="12345" spans="1:1" x14ac:dyDescent="0.25">
      <c r="A12345" s="841"/>
    </row>
    <row r="12346" spans="1:1" x14ac:dyDescent="0.25">
      <c r="A12346" s="841"/>
    </row>
    <row r="12347" spans="1:1" x14ac:dyDescent="0.25">
      <c r="A12347" s="841"/>
    </row>
    <row r="12348" spans="1:1" x14ac:dyDescent="0.25">
      <c r="A12348" s="841"/>
    </row>
    <row r="12349" spans="1:1" x14ac:dyDescent="0.25">
      <c r="A12349" s="841"/>
    </row>
    <row r="12350" spans="1:1" x14ac:dyDescent="0.25">
      <c r="A12350" s="841"/>
    </row>
    <row r="12351" spans="1:1" x14ac:dyDescent="0.25">
      <c r="A12351" s="841"/>
    </row>
    <row r="12352" spans="1:1" x14ac:dyDescent="0.25">
      <c r="A12352" s="841"/>
    </row>
    <row r="12353" spans="1:1" x14ac:dyDescent="0.25">
      <c r="A12353" s="841"/>
    </row>
    <row r="12354" spans="1:1" x14ac:dyDescent="0.25">
      <c r="A12354" s="841"/>
    </row>
    <row r="12355" spans="1:1" x14ac:dyDescent="0.25">
      <c r="A12355" s="841"/>
    </row>
    <row r="12356" spans="1:1" x14ac:dyDescent="0.25">
      <c r="A12356" s="841"/>
    </row>
    <row r="12357" spans="1:1" x14ac:dyDescent="0.25">
      <c r="A12357" s="841"/>
    </row>
    <row r="12358" spans="1:1" x14ac:dyDescent="0.25">
      <c r="A12358" s="841"/>
    </row>
    <row r="12359" spans="1:1" x14ac:dyDescent="0.25">
      <c r="A12359" s="841"/>
    </row>
    <row r="12360" spans="1:1" x14ac:dyDescent="0.25">
      <c r="A12360" s="841"/>
    </row>
    <row r="12361" spans="1:1" x14ac:dyDescent="0.25">
      <c r="A12361" s="841"/>
    </row>
    <row r="12362" spans="1:1" x14ac:dyDescent="0.25">
      <c r="A12362" s="841"/>
    </row>
    <row r="12363" spans="1:1" x14ac:dyDescent="0.25">
      <c r="A12363" s="841"/>
    </row>
    <row r="12364" spans="1:1" x14ac:dyDescent="0.25">
      <c r="A12364" s="841"/>
    </row>
    <row r="12365" spans="1:1" x14ac:dyDescent="0.25">
      <c r="A12365" s="841"/>
    </row>
    <row r="12366" spans="1:1" x14ac:dyDescent="0.25">
      <c r="A12366" s="841"/>
    </row>
    <row r="12367" spans="1:1" x14ac:dyDescent="0.25">
      <c r="A12367" s="841"/>
    </row>
    <row r="12368" spans="1:1" x14ac:dyDescent="0.25">
      <c r="A12368" s="841"/>
    </row>
    <row r="12369" spans="1:1" x14ac:dyDescent="0.25">
      <c r="A12369" s="841"/>
    </row>
    <row r="12370" spans="1:1" x14ac:dyDescent="0.25">
      <c r="A12370" s="841"/>
    </row>
    <row r="12371" spans="1:1" x14ac:dyDescent="0.25">
      <c r="A12371" s="841"/>
    </row>
    <row r="12372" spans="1:1" x14ac:dyDescent="0.25">
      <c r="A12372" s="841"/>
    </row>
    <row r="12373" spans="1:1" x14ac:dyDescent="0.25">
      <c r="A12373" s="841"/>
    </row>
    <row r="12374" spans="1:1" x14ac:dyDescent="0.25">
      <c r="A12374" s="841"/>
    </row>
    <row r="12375" spans="1:1" x14ac:dyDescent="0.25">
      <c r="A12375" s="841"/>
    </row>
    <row r="12376" spans="1:1" x14ac:dyDescent="0.25">
      <c r="A12376" s="841"/>
    </row>
    <row r="12377" spans="1:1" x14ac:dyDescent="0.25">
      <c r="A12377" s="841"/>
    </row>
    <row r="12378" spans="1:1" x14ac:dyDescent="0.25">
      <c r="A12378" s="841"/>
    </row>
    <row r="12379" spans="1:1" x14ac:dyDescent="0.25">
      <c r="A12379" s="841"/>
    </row>
    <row r="12380" spans="1:1" x14ac:dyDescent="0.25">
      <c r="A12380" s="841"/>
    </row>
    <row r="12381" spans="1:1" x14ac:dyDescent="0.25">
      <c r="A12381" s="841"/>
    </row>
    <row r="12382" spans="1:1" x14ac:dyDescent="0.25">
      <c r="A12382" s="841"/>
    </row>
    <row r="12383" spans="1:1" x14ac:dyDescent="0.25">
      <c r="A12383" s="841"/>
    </row>
    <row r="12384" spans="1:1" x14ac:dyDescent="0.25">
      <c r="A12384" s="841"/>
    </row>
    <row r="12385" spans="1:1" x14ac:dyDescent="0.25">
      <c r="A12385" s="841"/>
    </row>
    <row r="12386" spans="1:1" x14ac:dyDescent="0.25">
      <c r="A12386" s="841"/>
    </row>
    <row r="12387" spans="1:1" x14ac:dyDescent="0.25">
      <c r="A12387" s="841"/>
    </row>
    <row r="12388" spans="1:1" x14ac:dyDescent="0.25">
      <c r="A12388" s="841"/>
    </row>
    <row r="12389" spans="1:1" x14ac:dyDescent="0.25">
      <c r="A12389" s="841"/>
    </row>
    <row r="12390" spans="1:1" x14ac:dyDescent="0.25">
      <c r="A12390" s="841"/>
    </row>
    <row r="12391" spans="1:1" x14ac:dyDescent="0.25">
      <c r="A12391" s="841"/>
    </row>
    <row r="12392" spans="1:1" x14ac:dyDescent="0.25">
      <c r="A12392" s="841"/>
    </row>
    <row r="12393" spans="1:1" x14ac:dyDescent="0.25">
      <c r="A12393" s="841"/>
    </row>
    <row r="12394" spans="1:1" x14ac:dyDescent="0.25">
      <c r="A12394" s="841"/>
    </row>
    <row r="12395" spans="1:1" x14ac:dyDescent="0.25">
      <c r="A12395" s="841"/>
    </row>
    <row r="12396" spans="1:1" x14ac:dyDescent="0.25">
      <c r="A12396" s="841"/>
    </row>
    <row r="12397" spans="1:1" x14ac:dyDescent="0.25">
      <c r="A12397" s="841"/>
    </row>
    <row r="12398" spans="1:1" x14ac:dyDescent="0.25">
      <c r="A12398" s="841"/>
    </row>
    <row r="12399" spans="1:1" x14ac:dyDescent="0.25">
      <c r="A12399" s="841"/>
    </row>
    <row r="12400" spans="1:1" x14ac:dyDescent="0.25">
      <c r="A12400" s="841"/>
    </row>
    <row r="12401" spans="1:1" x14ac:dyDescent="0.25">
      <c r="A12401" s="841"/>
    </row>
    <row r="12402" spans="1:1" x14ac:dyDescent="0.25">
      <c r="A12402" s="841"/>
    </row>
    <row r="12403" spans="1:1" x14ac:dyDescent="0.25">
      <c r="A12403" s="841"/>
    </row>
    <row r="12404" spans="1:1" x14ac:dyDescent="0.25">
      <c r="A12404" s="841"/>
    </row>
    <row r="12405" spans="1:1" x14ac:dyDescent="0.25">
      <c r="A12405" s="841"/>
    </row>
    <row r="12406" spans="1:1" x14ac:dyDescent="0.25">
      <c r="A12406" s="841"/>
    </row>
    <row r="12407" spans="1:1" x14ac:dyDescent="0.25">
      <c r="A12407" s="841"/>
    </row>
    <row r="12408" spans="1:1" x14ac:dyDescent="0.25">
      <c r="A12408" s="841"/>
    </row>
    <row r="12409" spans="1:1" x14ac:dyDescent="0.25">
      <c r="A12409" s="841"/>
    </row>
    <row r="12410" spans="1:1" x14ac:dyDescent="0.25">
      <c r="A12410" s="841"/>
    </row>
    <row r="12411" spans="1:1" x14ac:dyDescent="0.25">
      <c r="A12411" s="841"/>
    </row>
    <row r="12412" spans="1:1" x14ac:dyDescent="0.25">
      <c r="A12412" s="841"/>
    </row>
    <row r="12413" spans="1:1" x14ac:dyDescent="0.25">
      <c r="A12413" s="841"/>
    </row>
    <row r="12414" spans="1:1" x14ac:dyDescent="0.25">
      <c r="A12414" s="841"/>
    </row>
    <row r="12415" spans="1:1" x14ac:dyDescent="0.25">
      <c r="A12415" s="841"/>
    </row>
    <row r="12416" spans="1:1" x14ac:dyDescent="0.25">
      <c r="A12416" s="841"/>
    </row>
    <row r="12417" spans="1:1" x14ac:dyDescent="0.25">
      <c r="A12417" s="841"/>
    </row>
    <row r="12418" spans="1:1" x14ac:dyDescent="0.25">
      <c r="A12418" s="841"/>
    </row>
    <row r="12419" spans="1:1" x14ac:dyDescent="0.25">
      <c r="A12419" s="841"/>
    </row>
    <row r="12420" spans="1:1" x14ac:dyDescent="0.25">
      <c r="A12420" s="841"/>
    </row>
    <row r="12421" spans="1:1" x14ac:dyDescent="0.25">
      <c r="A12421" s="841"/>
    </row>
    <row r="12422" spans="1:1" x14ac:dyDescent="0.25">
      <c r="A12422" s="841"/>
    </row>
    <row r="12423" spans="1:1" x14ac:dyDescent="0.25">
      <c r="A12423" s="841"/>
    </row>
    <row r="12424" spans="1:1" x14ac:dyDescent="0.25">
      <c r="A12424" s="841"/>
    </row>
    <row r="12425" spans="1:1" x14ac:dyDescent="0.25">
      <c r="A12425" s="841"/>
    </row>
    <row r="12426" spans="1:1" x14ac:dyDescent="0.25">
      <c r="A12426" s="841"/>
    </row>
    <row r="12427" spans="1:1" x14ac:dyDescent="0.25">
      <c r="A12427" s="841"/>
    </row>
    <row r="12428" spans="1:1" x14ac:dyDescent="0.25">
      <c r="A12428" s="841"/>
    </row>
    <row r="12429" spans="1:1" x14ac:dyDescent="0.25">
      <c r="A12429" s="841"/>
    </row>
    <row r="12430" spans="1:1" x14ac:dyDescent="0.25">
      <c r="A12430" s="841"/>
    </row>
    <row r="12431" spans="1:1" x14ac:dyDescent="0.25">
      <c r="A12431" s="841"/>
    </row>
    <row r="12432" spans="1:1" x14ac:dyDescent="0.25">
      <c r="A12432" s="841"/>
    </row>
    <row r="12433" spans="1:1" x14ac:dyDescent="0.25">
      <c r="A12433" s="841"/>
    </row>
    <row r="12434" spans="1:1" x14ac:dyDescent="0.25">
      <c r="A12434" s="841"/>
    </row>
    <row r="12435" spans="1:1" x14ac:dyDescent="0.25">
      <c r="A12435" s="841"/>
    </row>
    <row r="12436" spans="1:1" x14ac:dyDescent="0.25">
      <c r="A12436" s="841"/>
    </row>
    <row r="12437" spans="1:1" x14ac:dyDescent="0.25">
      <c r="A12437" s="841"/>
    </row>
    <row r="12438" spans="1:1" x14ac:dyDescent="0.25">
      <c r="A12438" s="841"/>
    </row>
    <row r="12439" spans="1:1" x14ac:dyDescent="0.25">
      <c r="A12439" s="841"/>
    </row>
    <row r="12440" spans="1:1" x14ac:dyDescent="0.25">
      <c r="A12440" s="841"/>
    </row>
    <row r="12441" spans="1:1" x14ac:dyDescent="0.25">
      <c r="A12441" s="841"/>
    </row>
    <row r="12442" spans="1:1" x14ac:dyDescent="0.25">
      <c r="A12442" s="841"/>
    </row>
    <row r="12443" spans="1:1" x14ac:dyDescent="0.25">
      <c r="A12443" s="841"/>
    </row>
    <row r="12444" spans="1:1" x14ac:dyDescent="0.25">
      <c r="A12444" s="841"/>
    </row>
    <row r="12445" spans="1:1" x14ac:dyDescent="0.25">
      <c r="A12445" s="841"/>
    </row>
    <row r="12446" spans="1:1" x14ac:dyDescent="0.25">
      <c r="A12446" s="841"/>
    </row>
    <row r="12447" spans="1:1" x14ac:dyDescent="0.25">
      <c r="A12447" s="841"/>
    </row>
    <row r="12448" spans="1:1" x14ac:dyDescent="0.25">
      <c r="A12448" s="841"/>
    </row>
    <row r="12449" spans="1:1" x14ac:dyDescent="0.25">
      <c r="A12449" s="841"/>
    </row>
    <row r="12450" spans="1:1" x14ac:dyDescent="0.25">
      <c r="A12450" s="841"/>
    </row>
    <row r="12451" spans="1:1" x14ac:dyDescent="0.25">
      <c r="A12451" s="841"/>
    </row>
    <row r="12452" spans="1:1" x14ac:dyDescent="0.25">
      <c r="A12452" s="841"/>
    </row>
    <row r="12453" spans="1:1" x14ac:dyDescent="0.25">
      <c r="A12453" s="841"/>
    </row>
    <row r="12454" spans="1:1" x14ac:dyDescent="0.25">
      <c r="A12454" s="841"/>
    </row>
    <row r="12455" spans="1:1" x14ac:dyDescent="0.25">
      <c r="A12455" s="841"/>
    </row>
    <row r="12456" spans="1:1" x14ac:dyDescent="0.25">
      <c r="A12456" s="841"/>
    </row>
    <row r="12457" spans="1:1" x14ac:dyDescent="0.25">
      <c r="A12457" s="841"/>
    </row>
    <row r="12458" spans="1:1" x14ac:dyDescent="0.25">
      <c r="A12458" s="841"/>
    </row>
    <row r="12459" spans="1:1" x14ac:dyDescent="0.25">
      <c r="A12459" s="841"/>
    </row>
    <row r="12460" spans="1:1" x14ac:dyDescent="0.25">
      <c r="A12460" s="841"/>
    </row>
    <row r="12461" spans="1:1" x14ac:dyDescent="0.25">
      <c r="A12461" s="841"/>
    </row>
    <row r="12462" spans="1:1" x14ac:dyDescent="0.25">
      <c r="A12462" s="841"/>
    </row>
    <row r="12463" spans="1:1" x14ac:dyDescent="0.25">
      <c r="A12463" s="841"/>
    </row>
    <row r="12464" spans="1:1" x14ac:dyDescent="0.25">
      <c r="A12464" s="841"/>
    </row>
    <row r="12465" spans="1:1" x14ac:dyDescent="0.25">
      <c r="A12465" s="841"/>
    </row>
    <row r="12466" spans="1:1" x14ac:dyDescent="0.25">
      <c r="A12466" s="841"/>
    </row>
    <row r="12467" spans="1:1" x14ac:dyDescent="0.25">
      <c r="A12467" s="841"/>
    </row>
    <row r="12468" spans="1:1" x14ac:dyDescent="0.25">
      <c r="A12468" s="841"/>
    </row>
    <row r="12469" spans="1:1" x14ac:dyDescent="0.25">
      <c r="A12469" s="841"/>
    </row>
    <row r="12470" spans="1:1" x14ac:dyDescent="0.25">
      <c r="A12470" s="841"/>
    </row>
    <row r="12471" spans="1:1" x14ac:dyDescent="0.25">
      <c r="A12471" s="841"/>
    </row>
    <row r="12472" spans="1:1" x14ac:dyDescent="0.25">
      <c r="A12472" s="841"/>
    </row>
    <row r="12473" spans="1:1" x14ac:dyDescent="0.25">
      <c r="A12473" s="841"/>
    </row>
    <row r="12474" spans="1:1" x14ac:dyDescent="0.25">
      <c r="A12474" s="841"/>
    </row>
    <row r="12475" spans="1:1" x14ac:dyDescent="0.25">
      <c r="A12475" s="841"/>
    </row>
    <row r="12476" spans="1:1" x14ac:dyDescent="0.25">
      <c r="A12476" s="841"/>
    </row>
    <row r="12477" spans="1:1" x14ac:dyDescent="0.25">
      <c r="A12477" s="841"/>
    </row>
    <row r="12478" spans="1:1" x14ac:dyDescent="0.25">
      <c r="A12478" s="841"/>
    </row>
    <row r="12479" spans="1:1" x14ac:dyDescent="0.25">
      <c r="A12479" s="841"/>
    </row>
    <row r="12480" spans="1:1" x14ac:dyDescent="0.25">
      <c r="A12480" s="841"/>
    </row>
    <row r="12481" spans="1:1" x14ac:dyDescent="0.25">
      <c r="A12481" s="841"/>
    </row>
    <row r="12482" spans="1:1" x14ac:dyDescent="0.25">
      <c r="A12482" s="841"/>
    </row>
    <row r="12483" spans="1:1" x14ac:dyDescent="0.25">
      <c r="A12483" s="841"/>
    </row>
    <row r="12484" spans="1:1" x14ac:dyDescent="0.25">
      <c r="A12484" s="841"/>
    </row>
    <row r="12485" spans="1:1" x14ac:dyDescent="0.25">
      <c r="A12485" s="841"/>
    </row>
    <row r="12486" spans="1:1" x14ac:dyDescent="0.25">
      <c r="A12486" s="841"/>
    </row>
    <row r="12487" spans="1:1" x14ac:dyDescent="0.25">
      <c r="A12487" s="841"/>
    </row>
    <row r="12488" spans="1:1" x14ac:dyDescent="0.25">
      <c r="A12488" s="841"/>
    </row>
    <row r="12489" spans="1:1" x14ac:dyDescent="0.25">
      <c r="A12489" s="841"/>
    </row>
    <row r="12490" spans="1:1" x14ac:dyDescent="0.25">
      <c r="A12490" s="841"/>
    </row>
    <row r="12491" spans="1:1" x14ac:dyDescent="0.25">
      <c r="A12491" s="841"/>
    </row>
    <row r="12492" spans="1:1" x14ac:dyDescent="0.25">
      <c r="A12492" s="841"/>
    </row>
    <row r="12493" spans="1:1" x14ac:dyDescent="0.25">
      <c r="A12493" s="841"/>
    </row>
    <row r="12494" spans="1:1" x14ac:dyDescent="0.25">
      <c r="A12494" s="841"/>
    </row>
    <row r="12495" spans="1:1" x14ac:dyDescent="0.25">
      <c r="A12495" s="841"/>
    </row>
    <row r="12496" spans="1:1" x14ac:dyDescent="0.25">
      <c r="A12496" s="841"/>
    </row>
    <row r="12497" spans="1:1" x14ac:dyDescent="0.25">
      <c r="A12497" s="841"/>
    </row>
    <row r="12498" spans="1:1" x14ac:dyDescent="0.25">
      <c r="A12498" s="841"/>
    </row>
    <row r="12499" spans="1:1" x14ac:dyDescent="0.25">
      <c r="A12499" s="841"/>
    </row>
    <row r="12500" spans="1:1" x14ac:dyDescent="0.25">
      <c r="A12500" s="841"/>
    </row>
    <row r="12501" spans="1:1" x14ac:dyDescent="0.25">
      <c r="A12501" s="841"/>
    </row>
    <row r="12502" spans="1:1" x14ac:dyDescent="0.25">
      <c r="A12502" s="841"/>
    </row>
    <row r="12503" spans="1:1" x14ac:dyDescent="0.25">
      <c r="A12503" s="841"/>
    </row>
    <row r="12504" spans="1:1" x14ac:dyDescent="0.25">
      <c r="A12504" s="841"/>
    </row>
    <row r="12505" spans="1:1" x14ac:dyDescent="0.25">
      <c r="A12505" s="841"/>
    </row>
    <row r="12506" spans="1:1" x14ac:dyDescent="0.25">
      <c r="A12506" s="841"/>
    </row>
    <row r="12507" spans="1:1" x14ac:dyDescent="0.25">
      <c r="A12507" s="841"/>
    </row>
    <row r="12508" spans="1:1" x14ac:dyDescent="0.25">
      <c r="A12508" s="841"/>
    </row>
    <row r="12509" spans="1:1" x14ac:dyDescent="0.25">
      <c r="A12509" s="841"/>
    </row>
    <row r="12510" spans="1:1" x14ac:dyDescent="0.25">
      <c r="A12510" s="841"/>
    </row>
    <row r="12511" spans="1:1" x14ac:dyDescent="0.25">
      <c r="A12511" s="841"/>
    </row>
    <row r="12512" spans="1:1" x14ac:dyDescent="0.25">
      <c r="A12512" s="841"/>
    </row>
    <row r="12513" spans="1:1" x14ac:dyDescent="0.25">
      <c r="A12513" s="841"/>
    </row>
    <row r="12514" spans="1:1" x14ac:dyDescent="0.25">
      <c r="A12514" s="841"/>
    </row>
    <row r="12515" spans="1:1" x14ac:dyDescent="0.25">
      <c r="A12515" s="841"/>
    </row>
    <row r="12516" spans="1:1" x14ac:dyDescent="0.25">
      <c r="A12516" s="841"/>
    </row>
    <row r="12517" spans="1:1" x14ac:dyDescent="0.25">
      <c r="A12517" s="841"/>
    </row>
    <row r="12518" spans="1:1" x14ac:dyDescent="0.25">
      <c r="A12518" s="841"/>
    </row>
    <row r="12519" spans="1:1" x14ac:dyDescent="0.25">
      <c r="A12519" s="841"/>
    </row>
    <row r="12520" spans="1:1" x14ac:dyDescent="0.25">
      <c r="A12520" s="841"/>
    </row>
    <row r="12521" spans="1:1" x14ac:dyDescent="0.25">
      <c r="A12521" s="841"/>
    </row>
    <row r="12522" spans="1:1" x14ac:dyDescent="0.25">
      <c r="A12522" s="841"/>
    </row>
    <row r="12523" spans="1:1" x14ac:dyDescent="0.25">
      <c r="A12523" s="841"/>
    </row>
    <row r="12524" spans="1:1" x14ac:dyDescent="0.25">
      <c r="A12524" s="841"/>
    </row>
    <row r="12525" spans="1:1" x14ac:dyDescent="0.25">
      <c r="A12525" s="841"/>
    </row>
    <row r="12526" spans="1:1" x14ac:dyDescent="0.25">
      <c r="A12526" s="841"/>
    </row>
    <row r="12527" spans="1:1" x14ac:dyDescent="0.25">
      <c r="A12527" s="841"/>
    </row>
    <row r="12528" spans="1:1" x14ac:dyDescent="0.25">
      <c r="A12528" s="841"/>
    </row>
    <row r="12529" spans="1:1" x14ac:dyDescent="0.25">
      <c r="A12529" s="841"/>
    </row>
    <row r="12530" spans="1:1" x14ac:dyDescent="0.25">
      <c r="A12530" s="841"/>
    </row>
    <row r="12531" spans="1:1" x14ac:dyDescent="0.25">
      <c r="A12531" s="841"/>
    </row>
    <row r="12532" spans="1:1" x14ac:dyDescent="0.25">
      <c r="A12532" s="841"/>
    </row>
    <row r="12533" spans="1:1" x14ac:dyDescent="0.25">
      <c r="A12533" s="841"/>
    </row>
    <row r="12534" spans="1:1" x14ac:dyDescent="0.25">
      <c r="A12534" s="841"/>
    </row>
    <row r="12535" spans="1:1" x14ac:dyDescent="0.25">
      <c r="A12535" s="841"/>
    </row>
    <row r="12536" spans="1:1" x14ac:dyDescent="0.25">
      <c r="A12536" s="841"/>
    </row>
    <row r="12537" spans="1:1" x14ac:dyDescent="0.25">
      <c r="A12537" s="841"/>
    </row>
    <row r="12538" spans="1:1" x14ac:dyDescent="0.25">
      <c r="A12538" s="841"/>
    </row>
    <row r="12539" spans="1:1" x14ac:dyDescent="0.25">
      <c r="A12539" s="841"/>
    </row>
    <row r="12540" spans="1:1" x14ac:dyDescent="0.25">
      <c r="A12540" s="841"/>
    </row>
    <row r="12541" spans="1:1" x14ac:dyDescent="0.25">
      <c r="A12541" s="841"/>
    </row>
    <row r="12542" spans="1:1" x14ac:dyDescent="0.25">
      <c r="A12542" s="841"/>
    </row>
    <row r="12543" spans="1:1" x14ac:dyDescent="0.25">
      <c r="A12543" s="841"/>
    </row>
    <row r="12544" spans="1:1" x14ac:dyDescent="0.25">
      <c r="A12544" s="841"/>
    </row>
    <row r="12545" spans="1:1" x14ac:dyDescent="0.25">
      <c r="A12545" s="841"/>
    </row>
    <row r="12546" spans="1:1" x14ac:dyDescent="0.25">
      <c r="A12546" s="841"/>
    </row>
    <row r="12547" spans="1:1" x14ac:dyDescent="0.25">
      <c r="A12547" s="841"/>
    </row>
    <row r="12548" spans="1:1" x14ac:dyDescent="0.25">
      <c r="A12548" s="841"/>
    </row>
    <row r="12549" spans="1:1" x14ac:dyDescent="0.25">
      <c r="A12549" s="841"/>
    </row>
    <row r="12550" spans="1:1" x14ac:dyDescent="0.25">
      <c r="A12550" s="841"/>
    </row>
    <row r="12551" spans="1:1" x14ac:dyDescent="0.25">
      <c r="A12551" s="841"/>
    </row>
    <row r="12552" spans="1:1" x14ac:dyDescent="0.25">
      <c r="A12552" s="841"/>
    </row>
    <row r="12553" spans="1:1" x14ac:dyDescent="0.25">
      <c r="A12553" s="841"/>
    </row>
    <row r="12554" spans="1:1" x14ac:dyDescent="0.25">
      <c r="A12554" s="841"/>
    </row>
    <row r="12555" spans="1:1" x14ac:dyDescent="0.25">
      <c r="A12555" s="841"/>
    </row>
    <row r="12556" spans="1:1" x14ac:dyDescent="0.25">
      <c r="A12556" s="841"/>
    </row>
    <row r="12557" spans="1:1" x14ac:dyDescent="0.25">
      <c r="A12557" s="841"/>
    </row>
    <row r="12558" spans="1:1" x14ac:dyDescent="0.25">
      <c r="A12558" s="841"/>
    </row>
    <row r="12559" spans="1:1" x14ac:dyDescent="0.25">
      <c r="A12559" s="841"/>
    </row>
    <row r="12560" spans="1:1" x14ac:dyDescent="0.25">
      <c r="A12560" s="841"/>
    </row>
    <row r="12561" spans="1:1" x14ac:dyDescent="0.25">
      <c r="A12561" s="841"/>
    </row>
    <row r="12562" spans="1:1" x14ac:dyDescent="0.25">
      <c r="A12562" s="841"/>
    </row>
    <row r="12563" spans="1:1" x14ac:dyDescent="0.25">
      <c r="A12563" s="841"/>
    </row>
    <row r="12564" spans="1:1" x14ac:dyDescent="0.25">
      <c r="A12564" s="841"/>
    </row>
    <row r="12565" spans="1:1" x14ac:dyDescent="0.25">
      <c r="A12565" s="841"/>
    </row>
    <row r="12566" spans="1:1" x14ac:dyDescent="0.25">
      <c r="A12566" s="841"/>
    </row>
    <row r="12567" spans="1:1" x14ac:dyDescent="0.25">
      <c r="A12567" s="841"/>
    </row>
    <row r="12568" spans="1:1" x14ac:dyDescent="0.25">
      <c r="A12568" s="841"/>
    </row>
    <row r="12569" spans="1:1" x14ac:dyDescent="0.25">
      <c r="A12569" s="841"/>
    </row>
    <row r="12570" spans="1:1" x14ac:dyDescent="0.25">
      <c r="A12570" s="841"/>
    </row>
    <row r="12571" spans="1:1" x14ac:dyDescent="0.25">
      <c r="A12571" s="841"/>
    </row>
    <row r="12572" spans="1:1" x14ac:dyDescent="0.25">
      <c r="A12572" s="841"/>
    </row>
    <row r="12573" spans="1:1" x14ac:dyDescent="0.25">
      <c r="A12573" s="841"/>
    </row>
    <row r="12574" spans="1:1" x14ac:dyDescent="0.25">
      <c r="A12574" s="841"/>
    </row>
    <row r="12575" spans="1:1" x14ac:dyDescent="0.25">
      <c r="A12575" s="841"/>
    </row>
    <row r="12576" spans="1:1" x14ac:dyDescent="0.25">
      <c r="A12576" s="841"/>
    </row>
    <row r="12577" spans="1:1" x14ac:dyDescent="0.25">
      <c r="A12577" s="841"/>
    </row>
    <row r="12578" spans="1:1" x14ac:dyDescent="0.25">
      <c r="A12578" s="841"/>
    </row>
    <row r="12579" spans="1:1" x14ac:dyDescent="0.25">
      <c r="A12579" s="841"/>
    </row>
    <row r="12580" spans="1:1" x14ac:dyDescent="0.25">
      <c r="A12580" s="841"/>
    </row>
    <row r="12581" spans="1:1" x14ac:dyDescent="0.25">
      <c r="A12581" s="841"/>
    </row>
    <row r="12582" spans="1:1" x14ac:dyDescent="0.25">
      <c r="A12582" s="841"/>
    </row>
    <row r="12583" spans="1:1" x14ac:dyDescent="0.25">
      <c r="A12583" s="841"/>
    </row>
    <row r="12584" spans="1:1" x14ac:dyDescent="0.25">
      <c r="A12584" s="841"/>
    </row>
    <row r="12585" spans="1:1" x14ac:dyDescent="0.25">
      <c r="A12585" s="841"/>
    </row>
    <row r="12586" spans="1:1" x14ac:dyDescent="0.25">
      <c r="A12586" s="841"/>
    </row>
    <row r="12587" spans="1:1" x14ac:dyDescent="0.25">
      <c r="A12587" s="841"/>
    </row>
    <row r="12588" spans="1:1" x14ac:dyDescent="0.25">
      <c r="A12588" s="841"/>
    </row>
    <row r="12589" spans="1:1" x14ac:dyDescent="0.25">
      <c r="A12589" s="841"/>
    </row>
    <row r="12590" spans="1:1" x14ac:dyDescent="0.25">
      <c r="A12590" s="841"/>
    </row>
    <row r="12591" spans="1:1" x14ac:dyDescent="0.25">
      <c r="A12591" s="841"/>
    </row>
    <row r="12592" spans="1:1" x14ac:dyDescent="0.25">
      <c r="A12592" s="841"/>
    </row>
    <row r="12593" spans="1:1" x14ac:dyDescent="0.25">
      <c r="A12593" s="841"/>
    </row>
    <row r="12594" spans="1:1" x14ac:dyDescent="0.25">
      <c r="A12594" s="841"/>
    </row>
    <row r="12595" spans="1:1" x14ac:dyDescent="0.25">
      <c r="A12595" s="841"/>
    </row>
    <row r="12596" spans="1:1" x14ac:dyDescent="0.25">
      <c r="A12596" s="841"/>
    </row>
    <row r="12597" spans="1:1" x14ac:dyDescent="0.25">
      <c r="A12597" s="841"/>
    </row>
    <row r="12598" spans="1:1" x14ac:dyDescent="0.25">
      <c r="A12598" s="841"/>
    </row>
    <row r="12599" spans="1:1" x14ac:dyDescent="0.25">
      <c r="A12599" s="841"/>
    </row>
    <row r="12600" spans="1:1" x14ac:dyDescent="0.25">
      <c r="A12600" s="841"/>
    </row>
    <row r="12601" spans="1:1" x14ac:dyDescent="0.25">
      <c r="A12601" s="841"/>
    </row>
    <row r="12602" spans="1:1" x14ac:dyDescent="0.25">
      <c r="A12602" s="841"/>
    </row>
    <row r="12603" spans="1:1" x14ac:dyDescent="0.25">
      <c r="A12603" s="841"/>
    </row>
    <row r="12604" spans="1:1" x14ac:dyDescent="0.25">
      <c r="A12604" s="841"/>
    </row>
    <row r="12605" spans="1:1" x14ac:dyDescent="0.25">
      <c r="A12605" s="841"/>
    </row>
    <row r="12606" spans="1:1" x14ac:dyDescent="0.25">
      <c r="A12606" s="841"/>
    </row>
    <row r="12607" spans="1:1" x14ac:dyDescent="0.25">
      <c r="A12607" s="841"/>
    </row>
    <row r="12608" spans="1:1" x14ac:dyDescent="0.25">
      <c r="A12608" s="841"/>
    </row>
    <row r="12609" spans="1:1" x14ac:dyDescent="0.25">
      <c r="A12609" s="841"/>
    </row>
    <row r="12610" spans="1:1" x14ac:dyDescent="0.25">
      <c r="A12610" s="841"/>
    </row>
    <row r="12611" spans="1:1" x14ac:dyDescent="0.25">
      <c r="A12611" s="841"/>
    </row>
    <row r="12612" spans="1:1" x14ac:dyDescent="0.25">
      <c r="A12612" s="841"/>
    </row>
    <row r="12613" spans="1:1" x14ac:dyDescent="0.25">
      <c r="A12613" s="841"/>
    </row>
    <row r="12614" spans="1:1" x14ac:dyDescent="0.25">
      <c r="A12614" s="841"/>
    </row>
    <row r="12615" spans="1:1" x14ac:dyDescent="0.25">
      <c r="A12615" s="841"/>
    </row>
    <row r="12616" spans="1:1" x14ac:dyDescent="0.25">
      <c r="A12616" s="841"/>
    </row>
    <row r="12617" spans="1:1" x14ac:dyDescent="0.25">
      <c r="A12617" s="841"/>
    </row>
    <row r="12618" spans="1:1" x14ac:dyDescent="0.25">
      <c r="A12618" s="841"/>
    </row>
    <row r="12619" spans="1:1" x14ac:dyDescent="0.25">
      <c r="A12619" s="841"/>
    </row>
    <row r="12620" spans="1:1" x14ac:dyDescent="0.25">
      <c r="A12620" s="841"/>
    </row>
    <row r="12621" spans="1:1" x14ac:dyDescent="0.25">
      <c r="A12621" s="841"/>
    </row>
    <row r="12622" spans="1:1" x14ac:dyDescent="0.25">
      <c r="A12622" s="841"/>
    </row>
    <row r="12623" spans="1:1" x14ac:dyDescent="0.25">
      <c r="A12623" s="841"/>
    </row>
    <row r="12624" spans="1:1" x14ac:dyDescent="0.25">
      <c r="A12624" s="841"/>
    </row>
    <row r="12625" spans="1:1" x14ac:dyDescent="0.25">
      <c r="A12625" s="841"/>
    </row>
    <row r="12626" spans="1:1" x14ac:dyDescent="0.25">
      <c r="A12626" s="841"/>
    </row>
    <row r="12627" spans="1:1" x14ac:dyDescent="0.25">
      <c r="A12627" s="841"/>
    </row>
    <row r="12628" spans="1:1" x14ac:dyDescent="0.25">
      <c r="A12628" s="841"/>
    </row>
    <row r="12629" spans="1:1" x14ac:dyDescent="0.25">
      <c r="A12629" s="841"/>
    </row>
    <row r="12630" spans="1:1" x14ac:dyDescent="0.25">
      <c r="A12630" s="841"/>
    </row>
    <row r="12631" spans="1:1" x14ac:dyDescent="0.25">
      <c r="A12631" s="841"/>
    </row>
    <row r="12632" spans="1:1" x14ac:dyDescent="0.25">
      <c r="A12632" s="841"/>
    </row>
    <row r="12633" spans="1:1" x14ac:dyDescent="0.25">
      <c r="A12633" s="841"/>
    </row>
    <row r="12634" spans="1:1" x14ac:dyDescent="0.25">
      <c r="A12634" s="841"/>
    </row>
    <row r="12635" spans="1:1" x14ac:dyDescent="0.25">
      <c r="A12635" s="841"/>
    </row>
    <row r="12636" spans="1:1" x14ac:dyDescent="0.25">
      <c r="A12636" s="841"/>
    </row>
    <row r="12637" spans="1:1" x14ac:dyDescent="0.25">
      <c r="A12637" s="841"/>
    </row>
    <row r="12638" spans="1:1" x14ac:dyDescent="0.25">
      <c r="A12638" s="841"/>
    </row>
    <row r="12639" spans="1:1" x14ac:dyDescent="0.25">
      <c r="A12639" s="841"/>
    </row>
    <row r="12640" spans="1:1" x14ac:dyDescent="0.25">
      <c r="A12640" s="841"/>
    </row>
    <row r="12641" spans="1:1" x14ac:dyDescent="0.25">
      <c r="A12641" s="841"/>
    </row>
    <row r="12642" spans="1:1" x14ac:dyDescent="0.25">
      <c r="A12642" s="841"/>
    </row>
    <row r="12643" spans="1:1" x14ac:dyDescent="0.25">
      <c r="A12643" s="841"/>
    </row>
    <row r="12644" spans="1:1" x14ac:dyDescent="0.25">
      <c r="A12644" s="841"/>
    </row>
    <row r="12645" spans="1:1" x14ac:dyDescent="0.25">
      <c r="A12645" s="841"/>
    </row>
    <row r="12646" spans="1:1" x14ac:dyDescent="0.25">
      <c r="A12646" s="841"/>
    </row>
    <row r="12647" spans="1:1" x14ac:dyDescent="0.25">
      <c r="A12647" s="841"/>
    </row>
    <row r="12648" spans="1:1" x14ac:dyDescent="0.25">
      <c r="A12648" s="841"/>
    </row>
    <row r="12649" spans="1:1" x14ac:dyDescent="0.25">
      <c r="A12649" s="841"/>
    </row>
    <row r="12650" spans="1:1" x14ac:dyDescent="0.25">
      <c r="A12650" s="841"/>
    </row>
    <row r="12651" spans="1:1" x14ac:dyDescent="0.25">
      <c r="A12651" s="841"/>
    </row>
    <row r="12652" spans="1:1" x14ac:dyDescent="0.25">
      <c r="A12652" s="841"/>
    </row>
    <row r="12653" spans="1:1" x14ac:dyDescent="0.25">
      <c r="A12653" s="841"/>
    </row>
    <row r="12654" spans="1:1" x14ac:dyDescent="0.25">
      <c r="A12654" s="841"/>
    </row>
    <row r="12655" spans="1:1" x14ac:dyDescent="0.25">
      <c r="A12655" s="841"/>
    </row>
    <row r="12656" spans="1:1" x14ac:dyDescent="0.25">
      <c r="A12656" s="841"/>
    </row>
    <row r="12657" spans="1:1" x14ac:dyDescent="0.25">
      <c r="A12657" s="841"/>
    </row>
    <row r="12658" spans="1:1" x14ac:dyDescent="0.25">
      <c r="A12658" s="841"/>
    </row>
    <row r="12659" spans="1:1" x14ac:dyDescent="0.25">
      <c r="A12659" s="841"/>
    </row>
    <row r="12660" spans="1:1" x14ac:dyDescent="0.25">
      <c r="A12660" s="841"/>
    </row>
    <row r="12661" spans="1:1" x14ac:dyDescent="0.25">
      <c r="A12661" s="841"/>
    </row>
    <row r="12662" spans="1:1" x14ac:dyDescent="0.25">
      <c r="A12662" s="841"/>
    </row>
    <row r="12663" spans="1:1" x14ac:dyDescent="0.25">
      <c r="A12663" s="841"/>
    </row>
    <row r="12664" spans="1:1" x14ac:dyDescent="0.25">
      <c r="A12664" s="841"/>
    </row>
    <row r="12665" spans="1:1" x14ac:dyDescent="0.25">
      <c r="A12665" s="841"/>
    </row>
    <row r="12666" spans="1:1" x14ac:dyDescent="0.25">
      <c r="A12666" s="841"/>
    </row>
    <row r="12667" spans="1:1" x14ac:dyDescent="0.25">
      <c r="A12667" s="841"/>
    </row>
    <row r="12668" spans="1:1" x14ac:dyDescent="0.25">
      <c r="A12668" s="841"/>
    </row>
    <row r="12669" spans="1:1" x14ac:dyDescent="0.25">
      <c r="A12669" s="841"/>
    </row>
    <row r="12670" spans="1:1" x14ac:dyDescent="0.25">
      <c r="A12670" s="841"/>
    </row>
    <row r="12671" spans="1:1" x14ac:dyDescent="0.25">
      <c r="A12671" s="841"/>
    </row>
    <row r="12672" spans="1:1" x14ac:dyDescent="0.25">
      <c r="A12672" s="841"/>
    </row>
    <row r="12673" spans="1:1" x14ac:dyDescent="0.25">
      <c r="A12673" s="841"/>
    </row>
    <row r="12674" spans="1:1" x14ac:dyDescent="0.25">
      <c r="A12674" s="841"/>
    </row>
    <row r="12675" spans="1:1" x14ac:dyDescent="0.25">
      <c r="A12675" s="841"/>
    </row>
    <row r="12676" spans="1:1" x14ac:dyDescent="0.25">
      <c r="A12676" s="841"/>
    </row>
    <row r="12677" spans="1:1" x14ac:dyDescent="0.25">
      <c r="A12677" s="841"/>
    </row>
    <row r="12678" spans="1:1" x14ac:dyDescent="0.25">
      <c r="A12678" s="841"/>
    </row>
    <row r="12679" spans="1:1" x14ac:dyDescent="0.25">
      <c r="A12679" s="841"/>
    </row>
    <row r="12680" spans="1:1" x14ac:dyDescent="0.25">
      <c r="A12680" s="841"/>
    </row>
    <row r="12681" spans="1:1" x14ac:dyDescent="0.25">
      <c r="A12681" s="841"/>
    </row>
    <row r="12682" spans="1:1" x14ac:dyDescent="0.25">
      <c r="A12682" s="841"/>
    </row>
    <row r="12683" spans="1:1" x14ac:dyDescent="0.25">
      <c r="A12683" s="841"/>
    </row>
    <row r="12684" spans="1:1" x14ac:dyDescent="0.25">
      <c r="A12684" s="841"/>
    </row>
    <row r="12685" spans="1:1" x14ac:dyDescent="0.25">
      <c r="A12685" s="841"/>
    </row>
    <row r="12686" spans="1:1" x14ac:dyDescent="0.25">
      <c r="A12686" s="841"/>
    </row>
    <row r="12687" spans="1:1" x14ac:dyDescent="0.25">
      <c r="A12687" s="841"/>
    </row>
    <row r="12688" spans="1:1" x14ac:dyDescent="0.25">
      <c r="A12688" s="841"/>
    </row>
    <row r="12689" spans="1:1" x14ac:dyDescent="0.25">
      <c r="A12689" s="841"/>
    </row>
    <row r="12690" spans="1:1" x14ac:dyDescent="0.25">
      <c r="A12690" s="841"/>
    </row>
    <row r="12691" spans="1:1" x14ac:dyDescent="0.25">
      <c r="A12691" s="841"/>
    </row>
    <row r="12692" spans="1:1" x14ac:dyDescent="0.25">
      <c r="A12692" s="841"/>
    </row>
    <row r="12693" spans="1:1" x14ac:dyDescent="0.25">
      <c r="A12693" s="841"/>
    </row>
    <row r="12694" spans="1:1" x14ac:dyDescent="0.25">
      <c r="A12694" s="841"/>
    </row>
    <row r="12695" spans="1:1" x14ac:dyDescent="0.25">
      <c r="A12695" s="841"/>
    </row>
    <row r="12696" spans="1:1" x14ac:dyDescent="0.25">
      <c r="A12696" s="841"/>
    </row>
    <row r="12697" spans="1:1" x14ac:dyDescent="0.25">
      <c r="A12697" s="841"/>
    </row>
    <row r="12698" spans="1:1" x14ac:dyDescent="0.25">
      <c r="A12698" s="841"/>
    </row>
    <row r="12699" spans="1:1" x14ac:dyDescent="0.25">
      <c r="A12699" s="841"/>
    </row>
    <row r="12700" spans="1:1" x14ac:dyDescent="0.25">
      <c r="A12700" s="841"/>
    </row>
    <row r="12701" spans="1:1" x14ac:dyDescent="0.25">
      <c r="A12701" s="841"/>
    </row>
    <row r="12702" spans="1:1" x14ac:dyDescent="0.25">
      <c r="A12702" s="841"/>
    </row>
    <row r="12703" spans="1:1" x14ac:dyDescent="0.25">
      <c r="A12703" s="841"/>
    </row>
    <row r="12704" spans="1:1" x14ac:dyDescent="0.25">
      <c r="A12704" s="841"/>
    </row>
    <row r="12705" spans="1:1" x14ac:dyDescent="0.25">
      <c r="A12705" s="841"/>
    </row>
    <row r="12706" spans="1:1" x14ac:dyDescent="0.25">
      <c r="A12706" s="841"/>
    </row>
    <row r="12707" spans="1:1" x14ac:dyDescent="0.25">
      <c r="A12707" s="841"/>
    </row>
    <row r="12708" spans="1:1" x14ac:dyDescent="0.25">
      <c r="A12708" s="841"/>
    </row>
    <row r="12709" spans="1:1" x14ac:dyDescent="0.25">
      <c r="A12709" s="841"/>
    </row>
    <row r="12710" spans="1:1" x14ac:dyDescent="0.25">
      <c r="A12710" s="841"/>
    </row>
    <row r="12711" spans="1:1" x14ac:dyDescent="0.25">
      <c r="A12711" s="841"/>
    </row>
    <row r="12712" spans="1:1" x14ac:dyDescent="0.25">
      <c r="A12712" s="841"/>
    </row>
    <row r="12713" spans="1:1" x14ac:dyDescent="0.25">
      <c r="A12713" s="841"/>
    </row>
    <row r="12714" spans="1:1" x14ac:dyDescent="0.25">
      <c r="A12714" s="841"/>
    </row>
    <row r="12715" spans="1:1" x14ac:dyDescent="0.25">
      <c r="A12715" s="841"/>
    </row>
    <row r="12716" spans="1:1" x14ac:dyDescent="0.25">
      <c r="A12716" s="841"/>
    </row>
    <row r="12717" spans="1:1" x14ac:dyDescent="0.25">
      <c r="A12717" s="841"/>
    </row>
    <row r="12718" spans="1:1" x14ac:dyDescent="0.25">
      <c r="A12718" s="841"/>
    </row>
    <row r="12719" spans="1:1" x14ac:dyDescent="0.25">
      <c r="A12719" s="841"/>
    </row>
    <row r="12720" spans="1:1" x14ac:dyDescent="0.25">
      <c r="A12720" s="841"/>
    </row>
    <row r="12721" spans="1:1" x14ac:dyDescent="0.25">
      <c r="A12721" s="841"/>
    </row>
    <row r="12722" spans="1:1" x14ac:dyDescent="0.25">
      <c r="A12722" s="841"/>
    </row>
    <row r="12723" spans="1:1" x14ac:dyDescent="0.25">
      <c r="A12723" s="841"/>
    </row>
    <row r="12724" spans="1:1" x14ac:dyDescent="0.25">
      <c r="A12724" s="841"/>
    </row>
    <row r="12725" spans="1:1" x14ac:dyDescent="0.25">
      <c r="A12725" s="841"/>
    </row>
    <row r="12726" spans="1:1" x14ac:dyDescent="0.25">
      <c r="A12726" s="841"/>
    </row>
    <row r="12727" spans="1:1" x14ac:dyDescent="0.25">
      <c r="A12727" s="841"/>
    </row>
    <row r="12728" spans="1:1" x14ac:dyDescent="0.25">
      <c r="A12728" s="841"/>
    </row>
    <row r="12729" spans="1:1" x14ac:dyDescent="0.25">
      <c r="A12729" s="841"/>
    </row>
    <row r="12730" spans="1:1" x14ac:dyDescent="0.25">
      <c r="A12730" s="841"/>
    </row>
    <row r="12731" spans="1:1" x14ac:dyDescent="0.25">
      <c r="A12731" s="841"/>
    </row>
    <row r="12732" spans="1:1" x14ac:dyDescent="0.25">
      <c r="A12732" s="841"/>
    </row>
    <row r="12733" spans="1:1" x14ac:dyDescent="0.25">
      <c r="A12733" s="841"/>
    </row>
    <row r="12734" spans="1:1" x14ac:dyDescent="0.25">
      <c r="A12734" s="841"/>
    </row>
    <row r="12735" spans="1:1" x14ac:dyDescent="0.25">
      <c r="A12735" s="841"/>
    </row>
    <row r="12736" spans="1:1" x14ac:dyDescent="0.25">
      <c r="A12736" s="841"/>
    </row>
    <row r="12737" spans="1:1" x14ac:dyDescent="0.25">
      <c r="A12737" s="841"/>
    </row>
    <row r="12738" spans="1:1" x14ac:dyDescent="0.25">
      <c r="A12738" s="841"/>
    </row>
    <row r="12739" spans="1:1" x14ac:dyDescent="0.25">
      <c r="A12739" s="841"/>
    </row>
    <row r="12740" spans="1:1" x14ac:dyDescent="0.25">
      <c r="A12740" s="841"/>
    </row>
    <row r="12741" spans="1:1" x14ac:dyDescent="0.25">
      <c r="A12741" s="841"/>
    </row>
    <row r="12742" spans="1:1" x14ac:dyDescent="0.25">
      <c r="A12742" s="841"/>
    </row>
    <row r="12743" spans="1:1" x14ac:dyDescent="0.25">
      <c r="A12743" s="841"/>
    </row>
    <row r="12744" spans="1:1" x14ac:dyDescent="0.25">
      <c r="A12744" s="841"/>
    </row>
    <row r="12745" spans="1:1" x14ac:dyDescent="0.25">
      <c r="A12745" s="841"/>
    </row>
    <row r="12746" spans="1:1" x14ac:dyDescent="0.25">
      <c r="A12746" s="841"/>
    </row>
    <row r="12747" spans="1:1" x14ac:dyDescent="0.25">
      <c r="A12747" s="841"/>
    </row>
    <row r="12748" spans="1:1" x14ac:dyDescent="0.25">
      <c r="A12748" s="841"/>
    </row>
    <row r="12749" spans="1:1" x14ac:dyDescent="0.25">
      <c r="A12749" s="841"/>
    </row>
    <row r="12750" spans="1:1" x14ac:dyDescent="0.25">
      <c r="A12750" s="841"/>
    </row>
    <row r="12751" spans="1:1" x14ac:dyDescent="0.25">
      <c r="A12751" s="841"/>
    </row>
    <row r="12752" spans="1:1" x14ac:dyDescent="0.25">
      <c r="A12752" s="841"/>
    </row>
    <row r="12753" spans="1:1" x14ac:dyDescent="0.25">
      <c r="A12753" s="841"/>
    </row>
    <row r="12754" spans="1:1" x14ac:dyDescent="0.25">
      <c r="A12754" s="841"/>
    </row>
    <row r="12755" spans="1:1" x14ac:dyDescent="0.25">
      <c r="A12755" s="841"/>
    </row>
    <row r="12756" spans="1:1" x14ac:dyDescent="0.25">
      <c r="A12756" s="841"/>
    </row>
    <row r="12757" spans="1:1" x14ac:dyDescent="0.25">
      <c r="A12757" s="841"/>
    </row>
    <row r="12758" spans="1:1" x14ac:dyDescent="0.25">
      <c r="A12758" s="841"/>
    </row>
    <row r="12759" spans="1:1" x14ac:dyDescent="0.25">
      <c r="A12759" s="841"/>
    </row>
    <row r="12760" spans="1:1" x14ac:dyDescent="0.25">
      <c r="A12760" s="841"/>
    </row>
    <row r="12761" spans="1:1" x14ac:dyDescent="0.25">
      <c r="A12761" s="841"/>
    </row>
    <row r="12762" spans="1:1" x14ac:dyDescent="0.25">
      <c r="A12762" s="841"/>
    </row>
    <row r="12763" spans="1:1" x14ac:dyDescent="0.25">
      <c r="A12763" s="841"/>
    </row>
    <row r="12764" spans="1:1" x14ac:dyDescent="0.25">
      <c r="A12764" s="841"/>
    </row>
    <row r="12765" spans="1:1" x14ac:dyDescent="0.25">
      <c r="A12765" s="841"/>
    </row>
    <row r="12766" spans="1:1" x14ac:dyDescent="0.25">
      <c r="A12766" s="841"/>
    </row>
    <row r="12767" spans="1:1" x14ac:dyDescent="0.25">
      <c r="A12767" s="841"/>
    </row>
    <row r="12768" spans="1:1" x14ac:dyDescent="0.25">
      <c r="A12768" s="841"/>
    </row>
    <row r="12769" spans="1:1" x14ac:dyDescent="0.25">
      <c r="A12769" s="841"/>
    </row>
    <row r="12770" spans="1:1" x14ac:dyDescent="0.25">
      <c r="A12770" s="841"/>
    </row>
    <row r="12771" spans="1:1" x14ac:dyDescent="0.25">
      <c r="A12771" s="841"/>
    </row>
    <row r="12772" spans="1:1" x14ac:dyDescent="0.25">
      <c r="A12772" s="841"/>
    </row>
    <row r="12773" spans="1:1" x14ac:dyDescent="0.25">
      <c r="A12773" s="841"/>
    </row>
    <row r="12774" spans="1:1" x14ac:dyDescent="0.25">
      <c r="A12774" s="841"/>
    </row>
    <row r="12775" spans="1:1" x14ac:dyDescent="0.25">
      <c r="A12775" s="841"/>
    </row>
    <row r="12776" spans="1:1" x14ac:dyDescent="0.25">
      <c r="A12776" s="841"/>
    </row>
    <row r="12777" spans="1:1" x14ac:dyDescent="0.25">
      <c r="A12777" s="841"/>
    </row>
    <row r="12778" spans="1:1" x14ac:dyDescent="0.25">
      <c r="A12778" s="841"/>
    </row>
    <row r="12779" spans="1:1" x14ac:dyDescent="0.25">
      <c r="A12779" s="841"/>
    </row>
    <row r="12780" spans="1:1" x14ac:dyDescent="0.25">
      <c r="A12780" s="841"/>
    </row>
    <row r="12781" spans="1:1" x14ac:dyDescent="0.25">
      <c r="A12781" s="841"/>
    </row>
    <row r="12782" spans="1:1" x14ac:dyDescent="0.25">
      <c r="A12782" s="841"/>
    </row>
    <row r="12783" spans="1:1" x14ac:dyDescent="0.25">
      <c r="A12783" s="841"/>
    </row>
    <row r="12784" spans="1:1" x14ac:dyDescent="0.25">
      <c r="A12784" s="841"/>
    </row>
    <row r="12785" spans="1:1" x14ac:dyDescent="0.25">
      <c r="A12785" s="841"/>
    </row>
    <row r="12786" spans="1:1" x14ac:dyDescent="0.25">
      <c r="A12786" s="841"/>
    </row>
    <row r="12787" spans="1:1" x14ac:dyDescent="0.25">
      <c r="A12787" s="841"/>
    </row>
    <row r="12788" spans="1:1" x14ac:dyDescent="0.25">
      <c r="A12788" s="841"/>
    </row>
    <row r="12789" spans="1:1" x14ac:dyDescent="0.25">
      <c r="A12789" s="841"/>
    </row>
    <row r="12790" spans="1:1" x14ac:dyDescent="0.25">
      <c r="A12790" s="841"/>
    </row>
    <row r="12791" spans="1:1" x14ac:dyDescent="0.25">
      <c r="A12791" s="841"/>
    </row>
    <row r="12792" spans="1:1" x14ac:dyDescent="0.25">
      <c r="A12792" s="841"/>
    </row>
    <row r="12793" spans="1:1" x14ac:dyDescent="0.25">
      <c r="A12793" s="841"/>
    </row>
    <row r="12794" spans="1:1" x14ac:dyDescent="0.25">
      <c r="A12794" s="841"/>
    </row>
    <row r="12795" spans="1:1" x14ac:dyDescent="0.25">
      <c r="A12795" s="841"/>
    </row>
    <row r="12796" spans="1:1" x14ac:dyDescent="0.25">
      <c r="A12796" s="841"/>
    </row>
    <row r="12797" spans="1:1" x14ac:dyDescent="0.25">
      <c r="A12797" s="841"/>
    </row>
    <row r="12798" spans="1:1" x14ac:dyDescent="0.25">
      <c r="A12798" s="841"/>
    </row>
    <row r="12799" spans="1:1" x14ac:dyDescent="0.25">
      <c r="A12799" s="841"/>
    </row>
    <row r="12800" spans="1:1" x14ac:dyDescent="0.25">
      <c r="A12800" s="841"/>
    </row>
    <row r="12801" spans="1:1" x14ac:dyDescent="0.25">
      <c r="A12801" s="841"/>
    </row>
    <row r="12802" spans="1:1" x14ac:dyDescent="0.25">
      <c r="A12802" s="841"/>
    </row>
    <row r="12803" spans="1:1" x14ac:dyDescent="0.25">
      <c r="A12803" s="841"/>
    </row>
    <row r="12804" spans="1:1" x14ac:dyDescent="0.25">
      <c r="A12804" s="841"/>
    </row>
    <row r="12805" spans="1:1" x14ac:dyDescent="0.25">
      <c r="A12805" s="841"/>
    </row>
    <row r="12806" spans="1:1" x14ac:dyDescent="0.25">
      <c r="A12806" s="841"/>
    </row>
    <row r="12807" spans="1:1" x14ac:dyDescent="0.25">
      <c r="A12807" s="841"/>
    </row>
    <row r="12808" spans="1:1" x14ac:dyDescent="0.25">
      <c r="A12808" s="841"/>
    </row>
    <row r="12809" spans="1:1" x14ac:dyDescent="0.25">
      <c r="A12809" s="841"/>
    </row>
    <row r="12810" spans="1:1" x14ac:dyDescent="0.25">
      <c r="A12810" s="841"/>
    </row>
    <row r="12811" spans="1:1" x14ac:dyDescent="0.25">
      <c r="A12811" s="841"/>
    </row>
    <row r="12812" spans="1:1" x14ac:dyDescent="0.25">
      <c r="A12812" s="841"/>
    </row>
    <row r="12813" spans="1:1" x14ac:dyDescent="0.25">
      <c r="A12813" s="841"/>
    </row>
    <row r="12814" spans="1:1" x14ac:dyDescent="0.25">
      <c r="A12814" s="841"/>
    </row>
    <row r="12815" spans="1:1" x14ac:dyDescent="0.25">
      <c r="A12815" s="841"/>
    </row>
    <row r="12816" spans="1:1" x14ac:dyDescent="0.25">
      <c r="A12816" s="841"/>
    </row>
    <row r="12817" spans="1:1" x14ac:dyDescent="0.25">
      <c r="A12817" s="841"/>
    </row>
    <row r="12818" spans="1:1" x14ac:dyDescent="0.25">
      <c r="A12818" s="841"/>
    </row>
    <row r="12819" spans="1:1" x14ac:dyDescent="0.25">
      <c r="A12819" s="841"/>
    </row>
    <row r="12820" spans="1:1" x14ac:dyDescent="0.25">
      <c r="A12820" s="841"/>
    </row>
    <row r="12821" spans="1:1" x14ac:dyDescent="0.25">
      <c r="A12821" s="841"/>
    </row>
    <row r="12822" spans="1:1" x14ac:dyDescent="0.25">
      <c r="A12822" s="841"/>
    </row>
    <row r="12823" spans="1:1" x14ac:dyDescent="0.25">
      <c r="A12823" s="841"/>
    </row>
    <row r="12824" spans="1:1" x14ac:dyDescent="0.25">
      <c r="A12824" s="841"/>
    </row>
    <row r="12825" spans="1:1" x14ac:dyDescent="0.25">
      <c r="A12825" s="841"/>
    </row>
    <row r="12826" spans="1:1" x14ac:dyDescent="0.25">
      <c r="A12826" s="841"/>
    </row>
    <row r="12827" spans="1:1" x14ac:dyDescent="0.25">
      <c r="A12827" s="841"/>
    </row>
    <row r="12828" spans="1:1" x14ac:dyDescent="0.25">
      <c r="A12828" s="841"/>
    </row>
    <row r="12829" spans="1:1" x14ac:dyDescent="0.25">
      <c r="A12829" s="841"/>
    </row>
    <row r="12830" spans="1:1" x14ac:dyDescent="0.25">
      <c r="A12830" s="841"/>
    </row>
    <row r="12831" spans="1:1" x14ac:dyDescent="0.25">
      <c r="A12831" s="841"/>
    </row>
    <row r="12832" spans="1:1" x14ac:dyDescent="0.25">
      <c r="A12832" s="841"/>
    </row>
    <row r="12833" spans="1:1" x14ac:dyDescent="0.25">
      <c r="A12833" s="841"/>
    </row>
    <row r="12834" spans="1:1" x14ac:dyDescent="0.25">
      <c r="A12834" s="841"/>
    </row>
    <row r="12835" spans="1:1" x14ac:dyDescent="0.25">
      <c r="A12835" s="841"/>
    </row>
    <row r="12836" spans="1:1" x14ac:dyDescent="0.25">
      <c r="A12836" s="841"/>
    </row>
    <row r="12837" spans="1:1" x14ac:dyDescent="0.25">
      <c r="A12837" s="841"/>
    </row>
    <row r="12838" spans="1:1" x14ac:dyDescent="0.25">
      <c r="A12838" s="841"/>
    </row>
    <row r="12839" spans="1:1" x14ac:dyDescent="0.25">
      <c r="A12839" s="841"/>
    </row>
    <row r="12840" spans="1:1" x14ac:dyDescent="0.25">
      <c r="A12840" s="841"/>
    </row>
    <row r="12841" spans="1:1" x14ac:dyDescent="0.25">
      <c r="A12841" s="841"/>
    </row>
    <row r="12842" spans="1:1" x14ac:dyDescent="0.25">
      <c r="A12842" s="841"/>
    </row>
    <row r="12843" spans="1:1" x14ac:dyDescent="0.25">
      <c r="A12843" s="841"/>
    </row>
    <row r="12844" spans="1:1" x14ac:dyDescent="0.25">
      <c r="A12844" s="841"/>
    </row>
    <row r="12845" spans="1:1" x14ac:dyDescent="0.25">
      <c r="A12845" s="841"/>
    </row>
    <row r="12846" spans="1:1" x14ac:dyDescent="0.25">
      <c r="A12846" s="841"/>
    </row>
    <row r="12847" spans="1:1" x14ac:dyDescent="0.25">
      <c r="A12847" s="841"/>
    </row>
    <row r="12848" spans="1:1" x14ac:dyDescent="0.25">
      <c r="A12848" s="841"/>
    </row>
    <row r="12849" spans="1:1" x14ac:dyDescent="0.25">
      <c r="A12849" s="841"/>
    </row>
    <row r="12850" spans="1:1" x14ac:dyDescent="0.25">
      <c r="A12850" s="841"/>
    </row>
    <row r="12851" spans="1:1" x14ac:dyDescent="0.25">
      <c r="A12851" s="841"/>
    </row>
    <row r="12852" spans="1:1" x14ac:dyDescent="0.25">
      <c r="A12852" s="841"/>
    </row>
    <row r="12853" spans="1:1" x14ac:dyDescent="0.25">
      <c r="A12853" s="841"/>
    </row>
    <row r="12854" spans="1:1" x14ac:dyDescent="0.25">
      <c r="A12854" s="841"/>
    </row>
    <row r="12855" spans="1:1" x14ac:dyDescent="0.25">
      <c r="A12855" s="841"/>
    </row>
    <row r="12856" spans="1:1" x14ac:dyDescent="0.25">
      <c r="A12856" s="841"/>
    </row>
    <row r="12857" spans="1:1" x14ac:dyDescent="0.25">
      <c r="A12857" s="841"/>
    </row>
    <row r="12858" spans="1:1" x14ac:dyDescent="0.25">
      <c r="A12858" s="841"/>
    </row>
    <row r="12859" spans="1:1" x14ac:dyDescent="0.25">
      <c r="A12859" s="841"/>
    </row>
    <row r="12860" spans="1:1" x14ac:dyDescent="0.25">
      <c r="A12860" s="841"/>
    </row>
    <row r="12861" spans="1:1" x14ac:dyDescent="0.25">
      <c r="A12861" s="841"/>
    </row>
    <row r="12862" spans="1:1" x14ac:dyDescent="0.25">
      <c r="A12862" s="841"/>
    </row>
    <row r="12863" spans="1:1" x14ac:dyDescent="0.25">
      <c r="A12863" s="841"/>
    </row>
    <row r="12864" spans="1:1" x14ac:dyDescent="0.25">
      <c r="A12864" s="841"/>
    </row>
    <row r="12865" spans="1:1" x14ac:dyDescent="0.25">
      <c r="A12865" s="841"/>
    </row>
    <row r="12866" spans="1:1" x14ac:dyDescent="0.25">
      <c r="A12866" s="841"/>
    </row>
    <row r="12867" spans="1:1" x14ac:dyDescent="0.25">
      <c r="A12867" s="841"/>
    </row>
    <row r="12868" spans="1:1" x14ac:dyDescent="0.25">
      <c r="A12868" s="841"/>
    </row>
    <row r="12869" spans="1:1" x14ac:dyDescent="0.25">
      <c r="A12869" s="841"/>
    </row>
    <row r="12870" spans="1:1" x14ac:dyDescent="0.25">
      <c r="A12870" s="841"/>
    </row>
    <row r="12871" spans="1:1" x14ac:dyDescent="0.25">
      <c r="A12871" s="841"/>
    </row>
    <row r="12872" spans="1:1" x14ac:dyDescent="0.25">
      <c r="A12872" s="841"/>
    </row>
    <row r="12873" spans="1:1" x14ac:dyDescent="0.25">
      <c r="A12873" s="841"/>
    </row>
    <row r="12874" spans="1:1" x14ac:dyDescent="0.25">
      <c r="A12874" s="841"/>
    </row>
    <row r="12875" spans="1:1" x14ac:dyDescent="0.25">
      <c r="A12875" s="841"/>
    </row>
    <row r="12876" spans="1:1" x14ac:dyDescent="0.25">
      <c r="A12876" s="841"/>
    </row>
    <row r="12877" spans="1:1" x14ac:dyDescent="0.25">
      <c r="A12877" s="841"/>
    </row>
    <row r="12878" spans="1:1" x14ac:dyDescent="0.25">
      <c r="A12878" s="841"/>
    </row>
    <row r="12879" spans="1:1" x14ac:dyDescent="0.25">
      <c r="A12879" s="841"/>
    </row>
    <row r="12880" spans="1:1" x14ac:dyDescent="0.25">
      <c r="A12880" s="841"/>
    </row>
    <row r="12881" spans="1:1" x14ac:dyDescent="0.25">
      <c r="A12881" s="841"/>
    </row>
    <row r="12882" spans="1:1" x14ac:dyDescent="0.25">
      <c r="A12882" s="841"/>
    </row>
    <row r="12883" spans="1:1" x14ac:dyDescent="0.25">
      <c r="A12883" s="841"/>
    </row>
    <row r="12884" spans="1:1" x14ac:dyDescent="0.25">
      <c r="A12884" s="841"/>
    </row>
    <row r="12885" spans="1:1" x14ac:dyDescent="0.25">
      <c r="A12885" s="841"/>
    </row>
    <row r="12886" spans="1:1" x14ac:dyDescent="0.25">
      <c r="A12886" s="841"/>
    </row>
    <row r="12887" spans="1:1" x14ac:dyDescent="0.25">
      <c r="A12887" s="841"/>
    </row>
    <row r="12888" spans="1:1" x14ac:dyDescent="0.25">
      <c r="A12888" s="841"/>
    </row>
    <row r="12889" spans="1:1" x14ac:dyDescent="0.25">
      <c r="A12889" s="841"/>
    </row>
    <row r="12890" spans="1:1" x14ac:dyDescent="0.25">
      <c r="A12890" s="841"/>
    </row>
    <row r="12891" spans="1:1" x14ac:dyDescent="0.25">
      <c r="A12891" s="841"/>
    </row>
    <row r="12892" spans="1:1" x14ac:dyDescent="0.25">
      <c r="A12892" s="841"/>
    </row>
    <row r="12893" spans="1:1" x14ac:dyDescent="0.25">
      <c r="A12893" s="841"/>
    </row>
    <row r="12894" spans="1:1" x14ac:dyDescent="0.25">
      <c r="A12894" s="841"/>
    </row>
    <row r="12895" spans="1:1" x14ac:dyDescent="0.25">
      <c r="A12895" s="841"/>
    </row>
    <row r="12896" spans="1:1" x14ac:dyDescent="0.25">
      <c r="A12896" s="841"/>
    </row>
    <row r="12897" spans="1:1" x14ac:dyDescent="0.25">
      <c r="A12897" s="841"/>
    </row>
    <row r="12898" spans="1:1" x14ac:dyDescent="0.25">
      <c r="A12898" s="841"/>
    </row>
    <row r="12899" spans="1:1" x14ac:dyDescent="0.25">
      <c r="A12899" s="841"/>
    </row>
    <row r="12900" spans="1:1" x14ac:dyDescent="0.25">
      <c r="A12900" s="841"/>
    </row>
    <row r="12901" spans="1:1" x14ac:dyDescent="0.25">
      <c r="A12901" s="841"/>
    </row>
    <row r="12902" spans="1:1" x14ac:dyDescent="0.25">
      <c r="A12902" s="841"/>
    </row>
    <row r="12903" spans="1:1" x14ac:dyDescent="0.25">
      <c r="A12903" s="841"/>
    </row>
    <row r="12904" spans="1:1" x14ac:dyDescent="0.25">
      <c r="A12904" s="841"/>
    </row>
    <row r="12905" spans="1:1" x14ac:dyDescent="0.25">
      <c r="A12905" s="841"/>
    </row>
    <row r="12906" spans="1:1" x14ac:dyDescent="0.25">
      <c r="A12906" s="841"/>
    </row>
    <row r="12907" spans="1:1" x14ac:dyDescent="0.25">
      <c r="A12907" s="841"/>
    </row>
    <row r="12908" spans="1:1" x14ac:dyDescent="0.25">
      <c r="A12908" s="841"/>
    </row>
    <row r="12909" spans="1:1" x14ac:dyDescent="0.25">
      <c r="A12909" s="841"/>
    </row>
    <row r="12910" spans="1:1" x14ac:dyDescent="0.25">
      <c r="A12910" s="841"/>
    </row>
    <row r="12911" spans="1:1" x14ac:dyDescent="0.25">
      <c r="A12911" s="841"/>
    </row>
    <row r="12912" spans="1:1" x14ac:dyDescent="0.25">
      <c r="A12912" s="841"/>
    </row>
    <row r="12913" spans="1:1" x14ac:dyDescent="0.25">
      <c r="A12913" s="841"/>
    </row>
    <row r="12914" spans="1:1" x14ac:dyDescent="0.25">
      <c r="A12914" s="841"/>
    </row>
    <row r="12915" spans="1:1" x14ac:dyDescent="0.25">
      <c r="A12915" s="841"/>
    </row>
    <row r="12916" spans="1:1" x14ac:dyDescent="0.25">
      <c r="A12916" s="841"/>
    </row>
    <row r="12917" spans="1:1" x14ac:dyDescent="0.25">
      <c r="A12917" s="841"/>
    </row>
    <row r="12918" spans="1:1" x14ac:dyDescent="0.25">
      <c r="A12918" s="841"/>
    </row>
    <row r="12919" spans="1:1" x14ac:dyDescent="0.25">
      <c r="A12919" s="841"/>
    </row>
    <row r="12920" spans="1:1" x14ac:dyDescent="0.25">
      <c r="A12920" s="841"/>
    </row>
    <row r="12921" spans="1:1" x14ac:dyDescent="0.25">
      <c r="A12921" s="841"/>
    </row>
    <row r="12922" spans="1:1" x14ac:dyDescent="0.25">
      <c r="A12922" s="841"/>
    </row>
    <row r="12923" spans="1:1" x14ac:dyDescent="0.25">
      <c r="A12923" s="841"/>
    </row>
    <row r="12924" spans="1:1" x14ac:dyDescent="0.25">
      <c r="A12924" s="841"/>
    </row>
    <row r="12925" spans="1:1" x14ac:dyDescent="0.25">
      <c r="A12925" s="841"/>
    </row>
    <row r="12926" spans="1:1" x14ac:dyDescent="0.25">
      <c r="A12926" s="841"/>
    </row>
    <row r="12927" spans="1:1" x14ac:dyDescent="0.25">
      <c r="A12927" s="841"/>
    </row>
    <row r="12928" spans="1:1" x14ac:dyDescent="0.25">
      <c r="A12928" s="841"/>
    </row>
    <row r="12929" spans="1:1" x14ac:dyDescent="0.25">
      <c r="A12929" s="841"/>
    </row>
    <row r="12930" spans="1:1" x14ac:dyDescent="0.25">
      <c r="A12930" s="841"/>
    </row>
    <row r="12931" spans="1:1" x14ac:dyDescent="0.25">
      <c r="A12931" s="841"/>
    </row>
    <row r="12932" spans="1:1" x14ac:dyDescent="0.25">
      <c r="A12932" s="841"/>
    </row>
    <row r="12933" spans="1:1" x14ac:dyDescent="0.25">
      <c r="A12933" s="841"/>
    </row>
    <row r="12934" spans="1:1" x14ac:dyDescent="0.25">
      <c r="A12934" s="841"/>
    </row>
    <row r="12935" spans="1:1" x14ac:dyDescent="0.25">
      <c r="A12935" s="841"/>
    </row>
    <row r="12936" spans="1:1" x14ac:dyDescent="0.25">
      <c r="A12936" s="841"/>
    </row>
    <row r="12937" spans="1:1" x14ac:dyDescent="0.25">
      <c r="A12937" s="841"/>
    </row>
    <row r="12938" spans="1:1" x14ac:dyDescent="0.25">
      <c r="A12938" s="841"/>
    </row>
    <row r="12939" spans="1:1" x14ac:dyDescent="0.25">
      <c r="A12939" s="841"/>
    </row>
    <row r="12940" spans="1:1" x14ac:dyDescent="0.25">
      <c r="A12940" s="841"/>
    </row>
    <row r="12941" spans="1:1" x14ac:dyDescent="0.25">
      <c r="A12941" s="841"/>
    </row>
    <row r="12942" spans="1:1" x14ac:dyDescent="0.25">
      <c r="A12942" s="841"/>
    </row>
    <row r="12943" spans="1:1" x14ac:dyDescent="0.25">
      <c r="A12943" s="841"/>
    </row>
    <row r="12944" spans="1:1" x14ac:dyDescent="0.25">
      <c r="A12944" s="841"/>
    </row>
    <row r="12945" spans="1:1" x14ac:dyDescent="0.25">
      <c r="A12945" s="841"/>
    </row>
    <row r="12946" spans="1:1" x14ac:dyDescent="0.25">
      <c r="A12946" s="841"/>
    </row>
    <row r="12947" spans="1:1" x14ac:dyDescent="0.25">
      <c r="A12947" s="841"/>
    </row>
    <row r="12948" spans="1:1" x14ac:dyDescent="0.25">
      <c r="A12948" s="841"/>
    </row>
    <row r="12949" spans="1:1" x14ac:dyDescent="0.25">
      <c r="A12949" s="841"/>
    </row>
    <row r="12950" spans="1:1" x14ac:dyDescent="0.25">
      <c r="A12950" s="841"/>
    </row>
    <row r="12951" spans="1:1" x14ac:dyDescent="0.25">
      <c r="A12951" s="841"/>
    </row>
    <row r="12952" spans="1:1" x14ac:dyDescent="0.25">
      <c r="A12952" s="841"/>
    </row>
    <row r="12953" spans="1:1" x14ac:dyDescent="0.25">
      <c r="A12953" s="841"/>
    </row>
    <row r="12954" spans="1:1" x14ac:dyDescent="0.25">
      <c r="A12954" s="841"/>
    </row>
    <row r="12955" spans="1:1" x14ac:dyDescent="0.25">
      <c r="A12955" s="841"/>
    </row>
    <row r="12956" spans="1:1" x14ac:dyDescent="0.25">
      <c r="A12956" s="841"/>
    </row>
    <row r="12957" spans="1:1" x14ac:dyDescent="0.25">
      <c r="A12957" s="841"/>
    </row>
    <row r="12958" spans="1:1" x14ac:dyDescent="0.25">
      <c r="A12958" s="841"/>
    </row>
    <row r="12959" spans="1:1" x14ac:dyDescent="0.25">
      <c r="A12959" s="841"/>
    </row>
    <row r="12960" spans="1:1" x14ac:dyDescent="0.25">
      <c r="A12960" s="841"/>
    </row>
    <row r="12961" spans="1:1" x14ac:dyDescent="0.25">
      <c r="A12961" s="841"/>
    </row>
    <row r="12962" spans="1:1" x14ac:dyDescent="0.25">
      <c r="A12962" s="841"/>
    </row>
    <row r="12963" spans="1:1" x14ac:dyDescent="0.25">
      <c r="A12963" s="841"/>
    </row>
    <row r="12964" spans="1:1" x14ac:dyDescent="0.25">
      <c r="A12964" s="841"/>
    </row>
    <row r="12965" spans="1:1" x14ac:dyDescent="0.25">
      <c r="A12965" s="841"/>
    </row>
    <row r="12966" spans="1:1" x14ac:dyDescent="0.25">
      <c r="A12966" s="841"/>
    </row>
    <row r="12967" spans="1:1" x14ac:dyDescent="0.25">
      <c r="A12967" s="841"/>
    </row>
    <row r="12968" spans="1:1" x14ac:dyDescent="0.25">
      <c r="A12968" s="841"/>
    </row>
    <row r="12969" spans="1:1" x14ac:dyDescent="0.25">
      <c r="A12969" s="841"/>
    </row>
    <row r="12970" spans="1:1" x14ac:dyDescent="0.25">
      <c r="A12970" s="841"/>
    </row>
    <row r="12971" spans="1:1" x14ac:dyDescent="0.25">
      <c r="A12971" s="841"/>
    </row>
    <row r="12972" spans="1:1" x14ac:dyDescent="0.25">
      <c r="A12972" s="841"/>
    </row>
    <row r="12973" spans="1:1" x14ac:dyDescent="0.25">
      <c r="A12973" s="841"/>
    </row>
    <row r="12974" spans="1:1" x14ac:dyDescent="0.25">
      <c r="A12974" s="841"/>
    </row>
    <row r="12975" spans="1:1" x14ac:dyDescent="0.25">
      <c r="A12975" s="841"/>
    </row>
    <row r="12976" spans="1:1" x14ac:dyDescent="0.25">
      <c r="A12976" s="841"/>
    </row>
    <row r="12977" spans="1:1" x14ac:dyDescent="0.25">
      <c r="A12977" s="841"/>
    </row>
    <row r="12978" spans="1:1" x14ac:dyDescent="0.25">
      <c r="A12978" s="841"/>
    </row>
    <row r="12979" spans="1:1" x14ac:dyDescent="0.25">
      <c r="A12979" s="841"/>
    </row>
    <row r="12980" spans="1:1" x14ac:dyDescent="0.25">
      <c r="A12980" s="841"/>
    </row>
    <row r="12981" spans="1:1" x14ac:dyDescent="0.25">
      <c r="A12981" s="841"/>
    </row>
    <row r="12982" spans="1:1" x14ac:dyDescent="0.25">
      <c r="A12982" s="841"/>
    </row>
    <row r="12983" spans="1:1" x14ac:dyDescent="0.25">
      <c r="A12983" s="841"/>
    </row>
    <row r="12984" spans="1:1" x14ac:dyDescent="0.25">
      <c r="A12984" s="841"/>
    </row>
    <row r="12985" spans="1:1" x14ac:dyDescent="0.25">
      <c r="A12985" s="841"/>
    </row>
    <row r="12986" spans="1:1" x14ac:dyDescent="0.25">
      <c r="A12986" s="841"/>
    </row>
    <row r="12987" spans="1:1" x14ac:dyDescent="0.25">
      <c r="A12987" s="841"/>
    </row>
    <row r="12988" spans="1:1" x14ac:dyDescent="0.25">
      <c r="A12988" s="841"/>
    </row>
    <row r="12989" spans="1:1" x14ac:dyDescent="0.25">
      <c r="A12989" s="841"/>
    </row>
    <row r="12990" spans="1:1" x14ac:dyDescent="0.25">
      <c r="A12990" s="841"/>
    </row>
    <row r="12991" spans="1:1" x14ac:dyDescent="0.25">
      <c r="A12991" s="841"/>
    </row>
    <row r="12992" spans="1:1" x14ac:dyDescent="0.25">
      <c r="A12992" s="841"/>
    </row>
    <row r="12993" spans="1:1" x14ac:dyDescent="0.25">
      <c r="A12993" s="841"/>
    </row>
    <row r="12994" spans="1:1" x14ac:dyDescent="0.25">
      <c r="A12994" s="841"/>
    </row>
    <row r="12995" spans="1:1" x14ac:dyDescent="0.25">
      <c r="A12995" s="841"/>
    </row>
    <row r="12996" spans="1:1" x14ac:dyDescent="0.25">
      <c r="A12996" s="841"/>
    </row>
    <row r="12997" spans="1:1" x14ac:dyDescent="0.25">
      <c r="A12997" s="841"/>
    </row>
    <row r="12998" spans="1:1" x14ac:dyDescent="0.25">
      <c r="A12998" s="841"/>
    </row>
    <row r="12999" spans="1:1" x14ac:dyDescent="0.25">
      <c r="A12999" s="841"/>
    </row>
    <row r="13000" spans="1:1" x14ac:dyDescent="0.25">
      <c r="A13000" s="841"/>
    </row>
    <row r="13001" spans="1:1" x14ac:dyDescent="0.25">
      <c r="A13001" s="841"/>
    </row>
    <row r="13002" spans="1:1" x14ac:dyDescent="0.25">
      <c r="A13002" s="841"/>
    </row>
    <row r="13003" spans="1:1" x14ac:dyDescent="0.25">
      <c r="A13003" s="841"/>
    </row>
    <row r="13004" spans="1:1" x14ac:dyDescent="0.25">
      <c r="A13004" s="841"/>
    </row>
    <row r="13005" spans="1:1" x14ac:dyDescent="0.25">
      <c r="A13005" s="841"/>
    </row>
    <row r="13006" spans="1:1" x14ac:dyDescent="0.25">
      <c r="A13006" s="841"/>
    </row>
    <row r="13007" spans="1:1" x14ac:dyDescent="0.25">
      <c r="A13007" s="841"/>
    </row>
    <row r="13008" spans="1:1" x14ac:dyDescent="0.25">
      <c r="A13008" s="841"/>
    </row>
    <row r="13009" spans="1:1" x14ac:dyDescent="0.25">
      <c r="A13009" s="841"/>
    </row>
    <row r="13010" spans="1:1" x14ac:dyDescent="0.25">
      <c r="A13010" s="841"/>
    </row>
    <row r="13011" spans="1:1" x14ac:dyDescent="0.25">
      <c r="A13011" s="841"/>
    </row>
    <row r="13012" spans="1:1" x14ac:dyDescent="0.25">
      <c r="A13012" s="841"/>
    </row>
    <row r="13013" spans="1:1" x14ac:dyDescent="0.25">
      <c r="A13013" s="841"/>
    </row>
    <row r="13014" spans="1:1" x14ac:dyDescent="0.25">
      <c r="A13014" s="841"/>
    </row>
    <row r="13015" spans="1:1" x14ac:dyDescent="0.25">
      <c r="A13015" s="841"/>
    </row>
    <row r="13016" spans="1:1" x14ac:dyDescent="0.25">
      <c r="A13016" s="841"/>
    </row>
    <row r="13017" spans="1:1" x14ac:dyDescent="0.25">
      <c r="A13017" s="841"/>
    </row>
    <row r="13018" spans="1:1" x14ac:dyDescent="0.25">
      <c r="A13018" s="841"/>
    </row>
    <row r="13019" spans="1:1" x14ac:dyDescent="0.25">
      <c r="A13019" s="841"/>
    </row>
    <row r="13020" spans="1:1" x14ac:dyDescent="0.25">
      <c r="A13020" s="841"/>
    </row>
    <row r="13021" spans="1:1" x14ac:dyDescent="0.25">
      <c r="A13021" s="841"/>
    </row>
    <row r="13022" spans="1:1" x14ac:dyDescent="0.25">
      <c r="A13022" s="841"/>
    </row>
    <row r="13023" spans="1:1" x14ac:dyDescent="0.25">
      <c r="A13023" s="841"/>
    </row>
    <row r="13024" spans="1:1" x14ac:dyDescent="0.25">
      <c r="A13024" s="841"/>
    </row>
    <row r="13025" spans="1:1" x14ac:dyDescent="0.25">
      <c r="A13025" s="841"/>
    </row>
    <row r="13026" spans="1:1" x14ac:dyDescent="0.25">
      <c r="A13026" s="841"/>
    </row>
    <row r="13027" spans="1:1" x14ac:dyDescent="0.25">
      <c r="A13027" s="841"/>
    </row>
    <row r="13028" spans="1:1" x14ac:dyDescent="0.25">
      <c r="A13028" s="841"/>
    </row>
    <row r="13029" spans="1:1" x14ac:dyDescent="0.25">
      <c r="A13029" s="841"/>
    </row>
    <row r="13030" spans="1:1" x14ac:dyDescent="0.25">
      <c r="A13030" s="841"/>
    </row>
    <row r="13031" spans="1:1" x14ac:dyDescent="0.25">
      <c r="A13031" s="841"/>
    </row>
    <row r="13032" spans="1:1" x14ac:dyDescent="0.25">
      <c r="A13032" s="841"/>
    </row>
    <row r="13033" spans="1:1" x14ac:dyDescent="0.25">
      <c r="A13033" s="841"/>
    </row>
    <row r="13034" spans="1:1" x14ac:dyDescent="0.25">
      <c r="A13034" s="841"/>
    </row>
    <row r="13035" spans="1:1" x14ac:dyDescent="0.25">
      <c r="A13035" s="841"/>
    </row>
    <row r="13036" spans="1:1" x14ac:dyDescent="0.25">
      <c r="A13036" s="841"/>
    </row>
    <row r="13037" spans="1:1" x14ac:dyDescent="0.25">
      <c r="A13037" s="841"/>
    </row>
    <row r="13038" spans="1:1" x14ac:dyDescent="0.25">
      <c r="A13038" s="841"/>
    </row>
    <row r="13039" spans="1:1" x14ac:dyDescent="0.25">
      <c r="A13039" s="841"/>
    </row>
    <row r="13040" spans="1:1" x14ac:dyDescent="0.25">
      <c r="A13040" s="841"/>
    </row>
    <row r="13041" spans="1:1" x14ac:dyDescent="0.25">
      <c r="A13041" s="841"/>
    </row>
    <row r="13042" spans="1:1" x14ac:dyDescent="0.25">
      <c r="A13042" s="841"/>
    </row>
    <row r="13043" spans="1:1" x14ac:dyDescent="0.25">
      <c r="A13043" s="841"/>
    </row>
    <row r="13044" spans="1:1" x14ac:dyDescent="0.25">
      <c r="A13044" s="841"/>
    </row>
    <row r="13045" spans="1:1" x14ac:dyDescent="0.25">
      <c r="A13045" s="841"/>
    </row>
    <row r="13046" spans="1:1" x14ac:dyDescent="0.25">
      <c r="A13046" s="841"/>
    </row>
    <row r="13047" spans="1:1" x14ac:dyDescent="0.25">
      <c r="A13047" s="841"/>
    </row>
    <row r="13048" spans="1:1" x14ac:dyDescent="0.25">
      <c r="A13048" s="841"/>
    </row>
    <row r="13049" spans="1:1" x14ac:dyDescent="0.25">
      <c r="A13049" s="841"/>
    </row>
    <row r="13050" spans="1:1" x14ac:dyDescent="0.25">
      <c r="A13050" s="841"/>
    </row>
    <row r="13051" spans="1:1" x14ac:dyDescent="0.25">
      <c r="A13051" s="841"/>
    </row>
    <row r="13052" spans="1:1" x14ac:dyDescent="0.25">
      <c r="A13052" s="841"/>
    </row>
    <row r="13053" spans="1:1" x14ac:dyDescent="0.25">
      <c r="A13053" s="841"/>
    </row>
    <row r="13054" spans="1:1" x14ac:dyDescent="0.25">
      <c r="A13054" s="841"/>
    </row>
    <row r="13055" spans="1:1" x14ac:dyDescent="0.25">
      <c r="A13055" s="841"/>
    </row>
    <row r="13056" spans="1:1" x14ac:dyDescent="0.25">
      <c r="A13056" s="841"/>
    </row>
    <row r="13057" spans="1:1" x14ac:dyDescent="0.25">
      <c r="A13057" s="841"/>
    </row>
    <row r="13058" spans="1:1" x14ac:dyDescent="0.25">
      <c r="A13058" s="841"/>
    </row>
    <row r="13059" spans="1:1" x14ac:dyDescent="0.25">
      <c r="A13059" s="841"/>
    </row>
    <row r="13060" spans="1:1" x14ac:dyDescent="0.25">
      <c r="A13060" s="841"/>
    </row>
    <row r="13061" spans="1:1" x14ac:dyDescent="0.25">
      <c r="A13061" s="841"/>
    </row>
    <row r="13062" spans="1:1" x14ac:dyDescent="0.25">
      <c r="A13062" s="841"/>
    </row>
    <row r="13063" spans="1:1" x14ac:dyDescent="0.25">
      <c r="A13063" s="841"/>
    </row>
    <row r="13064" spans="1:1" x14ac:dyDescent="0.25">
      <c r="A13064" s="841"/>
    </row>
    <row r="13065" spans="1:1" x14ac:dyDescent="0.25">
      <c r="A13065" s="841"/>
    </row>
    <row r="13066" spans="1:1" x14ac:dyDescent="0.25">
      <c r="A13066" s="841"/>
    </row>
    <row r="13067" spans="1:1" x14ac:dyDescent="0.25">
      <c r="A13067" s="841"/>
    </row>
    <row r="13068" spans="1:1" x14ac:dyDescent="0.25">
      <c r="A13068" s="841"/>
    </row>
    <row r="13069" spans="1:1" x14ac:dyDescent="0.25">
      <c r="A13069" s="841"/>
    </row>
    <row r="13070" spans="1:1" x14ac:dyDescent="0.25">
      <c r="A13070" s="841"/>
    </row>
    <row r="13071" spans="1:1" x14ac:dyDescent="0.25">
      <c r="A13071" s="841"/>
    </row>
    <row r="13072" spans="1:1" x14ac:dyDescent="0.25">
      <c r="A13072" s="841"/>
    </row>
    <row r="13073" spans="1:1" x14ac:dyDescent="0.25">
      <c r="A13073" s="841"/>
    </row>
    <row r="13074" spans="1:1" x14ac:dyDescent="0.25">
      <c r="A13074" s="841"/>
    </row>
    <row r="13075" spans="1:1" x14ac:dyDescent="0.25">
      <c r="A13075" s="841"/>
    </row>
    <row r="13076" spans="1:1" x14ac:dyDescent="0.25">
      <c r="A13076" s="841"/>
    </row>
    <row r="13077" spans="1:1" x14ac:dyDescent="0.25">
      <c r="A13077" s="841"/>
    </row>
    <row r="13078" spans="1:1" x14ac:dyDescent="0.25">
      <c r="A13078" s="841"/>
    </row>
    <row r="13079" spans="1:1" x14ac:dyDescent="0.25">
      <c r="A13079" s="841"/>
    </row>
    <row r="13080" spans="1:1" x14ac:dyDescent="0.25">
      <c r="A13080" s="841"/>
    </row>
    <row r="13081" spans="1:1" x14ac:dyDescent="0.25">
      <c r="A13081" s="841"/>
    </row>
    <row r="13082" spans="1:1" x14ac:dyDescent="0.25">
      <c r="A13082" s="841"/>
    </row>
    <row r="13083" spans="1:1" x14ac:dyDescent="0.25">
      <c r="A13083" s="841"/>
    </row>
    <row r="13084" spans="1:1" x14ac:dyDescent="0.25">
      <c r="A13084" s="841"/>
    </row>
    <row r="13085" spans="1:1" x14ac:dyDescent="0.25">
      <c r="A13085" s="841"/>
    </row>
    <row r="13086" spans="1:1" x14ac:dyDescent="0.25">
      <c r="A13086" s="841"/>
    </row>
    <row r="13087" spans="1:1" x14ac:dyDescent="0.25">
      <c r="A13087" s="841"/>
    </row>
    <row r="13088" spans="1:1" x14ac:dyDescent="0.25">
      <c r="A13088" s="841"/>
    </row>
    <row r="13089" spans="1:1" x14ac:dyDescent="0.25">
      <c r="A13089" s="841"/>
    </row>
    <row r="13090" spans="1:1" x14ac:dyDescent="0.25">
      <c r="A13090" s="841"/>
    </row>
    <row r="13091" spans="1:1" x14ac:dyDescent="0.25">
      <c r="A13091" s="841"/>
    </row>
    <row r="13092" spans="1:1" x14ac:dyDescent="0.25">
      <c r="A13092" s="841"/>
    </row>
    <row r="13093" spans="1:1" x14ac:dyDescent="0.25">
      <c r="A13093" s="841"/>
    </row>
    <row r="13094" spans="1:1" x14ac:dyDescent="0.25">
      <c r="A13094" s="841"/>
    </row>
    <row r="13095" spans="1:1" x14ac:dyDescent="0.25">
      <c r="A13095" s="841"/>
    </row>
    <row r="13096" spans="1:1" x14ac:dyDescent="0.25">
      <c r="A13096" s="841"/>
    </row>
    <row r="13097" spans="1:1" x14ac:dyDescent="0.25">
      <c r="A13097" s="841"/>
    </row>
    <row r="13098" spans="1:1" x14ac:dyDescent="0.25">
      <c r="A13098" s="841"/>
    </row>
    <row r="13099" spans="1:1" x14ac:dyDescent="0.25">
      <c r="A13099" s="841"/>
    </row>
    <row r="13100" spans="1:1" x14ac:dyDescent="0.25">
      <c r="A13100" s="841"/>
    </row>
    <row r="13101" spans="1:1" x14ac:dyDescent="0.25">
      <c r="A13101" s="841"/>
    </row>
    <row r="13102" spans="1:1" x14ac:dyDescent="0.25">
      <c r="A13102" s="841"/>
    </row>
    <row r="13103" spans="1:1" x14ac:dyDescent="0.25">
      <c r="A13103" s="841"/>
    </row>
    <row r="13104" spans="1:1" x14ac:dyDescent="0.25">
      <c r="A13104" s="841"/>
    </row>
    <row r="13105" spans="1:1" x14ac:dyDescent="0.25">
      <c r="A13105" s="841"/>
    </row>
    <row r="13106" spans="1:1" x14ac:dyDescent="0.25">
      <c r="A13106" s="841"/>
    </row>
    <row r="13107" spans="1:1" x14ac:dyDescent="0.25">
      <c r="A13107" s="841"/>
    </row>
    <row r="13108" spans="1:1" x14ac:dyDescent="0.25">
      <c r="A13108" s="841"/>
    </row>
    <row r="13109" spans="1:1" x14ac:dyDescent="0.25">
      <c r="A13109" s="841"/>
    </row>
    <row r="13110" spans="1:1" x14ac:dyDescent="0.25">
      <c r="A13110" s="841"/>
    </row>
    <row r="13111" spans="1:1" x14ac:dyDescent="0.25">
      <c r="A13111" s="841"/>
    </row>
    <row r="13112" spans="1:1" x14ac:dyDescent="0.25">
      <c r="A13112" s="841"/>
    </row>
    <row r="13113" spans="1:1" x14ac:dyDescent="0.25">
      <c r="A13113" s="841"/>
    </row>
    <row r="13114" spans="1:1" x14ac:dyDescent="0.25">
      <c r="A13114" s="841"/>
    </row>
    <row r="13115" spans="1:1" x14ac:dyDescent="0.25">
      <c r="A13115" s="841"/>
    </row>
    <row r="13116" spans="1:1" x14ac:dyDescent="0.25">
      <c r="A13116" s="841"/>
    </row>
    <row r="13117" spans="1:1" x14ac:dyDescent="0.25">
      <c r="A13117" s="841"/>
    </row>
    <row r="13118" spans="1:1" x14ac:dyDescent="0.25">
      <c r="A13118" s="841"/>
    </row>
    <row r="13119" spans="1:1" x14ac:dyDescent="0.25">
      <c r="A13119" s="841"/>
    </row>
    <row r="13120" spans="1:1" x14ac:dyDescent="0.25">
      <c r="A13120" s="841"/>
    </row>
    <row r="13121" spans="1:1" x14ac:dyDescent="0.25">
      <c r="A13121" s="841"/>
    </row>
    <row r="13122" spans="1:1" x14ac:dyDescent="0.25">
      <c r="A13122" s="841"/>
    </row>
    <row r="13123" spans="1:1" x14ac:dyDescent="0.25">
      <c r="A13123" s="841"/>
    </row>
    <row r="13124" spans="1:1" x14ac:dyDescent="0.25">
      <c r="A13124" s="841"/>
    </row>
    <row r="13125" spans="1:1" x14ac:dyDescent="0.25">
      <c r="A13125" s="841"/>
    </row>
    <row r="13126" spans="1:1" x14ac:dyDescent="0.25">
      <c r="A13126" s="841"/>
    </row>
    <row r="13127" spans="1:1" x14ac:dyDescent="0.25">
      <c r="A13127" s="841"/>
    </row>
    <row r="13128" spans="1:1" x14ac:dyDescent="0.25">
      <c r="A13128" s="841"/>
    </row>
    <row r="13129" spans="1:1" x14ac:dyDescent="0.25">
      <c r="A13129" s="841"/>
    </row>
    <row r="13130" spans="1:1" x14ac:dyDescent="0.25">
      <c r="A13130" s="841"/>
    </row>
    <row r="13131" spans="1:1" x14ac:dyDescent="0.25">
      <c r="A13131" s="841"/>
    </row>
    <row r="13132" spans="1:1" x14ac:dyDescent="0.25">
      <c r="A13132" s="841"/>
    </row>
    <row r="13133" spans="1:1" x14ac:dyDescent="0.25">
      <c r="A13133" s="841"/>
    </row>
    <row r="13134" spans="1:1" x14ac:dyDescent="0.25">
      <c r="A13134" s="841"/>
    </row>
    <row r="13135" spans="1:1" x14ac:dyDescent="0.25">
      <c r="A13135" s="841"/>
    </row>
    <row r="13136" spans="1:1" x14ac:dyDescent="0.25">
      <c r="A13136" s="841"/>
    </row>
    <row r="13137" spans="1:1" x14ac:dyDescent="0.25">
      <c r="A13137" s="841"/>
    </row>
    <row r="13138" spans="1:1" x14ac:dyDescent="0.25">
      <c r="A13138" s="841"/>
    </row>
    <row r="13139" spans="1:1" x14ac:dyDescent="0.25">
      <c r="A13139" s="841"/>
    </row>
    <row r="13140" spans="1:1" x14ac:dyDescent="0.25">
      <c r="A13140" s="841"/>
    </row>
    <row r="13141" spans="1:1" x14ac:dyDescent="0.25">
      <c r="A13141" s="841"/>
    </row>
    <row r="13142" spans="1:1" x14ac:dyDescent="0.25">
      <c r="A13142" s="841"/>
    </row>
    <row r="13143" spans="1:1" x14ac:dyDescent="0.25">
      <c r="A13143" s="841"/>
    </row>
    <row r="13144" spans="1:1" x14ac:dyDescent="0.25">
      <c r="A13144" s="841"/>
    </row>
    <row r="13145" spans="1:1" x14ac:dyDescent="0.25">
      <c r="A13145" s="841"/>
    </row>
    <row r="13146" spans="1:1" x14ac:dyDescent="0.25">
      <c r="A13146" s="841"/>
    </row>
    <row r="13147" spans="1:1" x14ac:dyDescent="0.25">
      <c r="A13147" s="841"/>
    </row>
    <row r="13148" spans="1:1" x14ac:dyDescent="0.25">
      <c r="A13148" s="841"/>
    </row>
    <row r="13149" spans="1:1" x14ac:dyDescent="0.25">
      <c r="A13149" s="841"/>
    </row>
    <row r="13150" spans="1:1" x14ac:dyDescent="0.25">
      <c r="A13150" s="841"/>
    </row>
    <row r="13151" spans="1:1" x14ac:dyDescent="0.25">
      <c r="A13151" s="841"/>
    </row>
    <row r="13152" spans="1:1" x14ac:dyDescent="0.25">
      <c r="A13152" s="841"/>
    </row>
    <row r="13153" spans="1:1" x14ac:dyDescent="0.25">
      <c r="A13153" s="841"/>
    </row>
    <row r="13154" spans="1:1" x14ac:dyDescent="0.25">
      <c r="A13154" s="841"/>
    </row>
    <row r="13155" spans="1:1" x14ac:dyDescent="0.25">
      <c r="A13155" s="841"/>
    </row>
    <row r="13156" spans="1:1" x14ac:dyDescent="0.25">
      <c r="A13156" s="841"/>
    </row>
    <row r="13157" spans="1:1" x14ac:dyDescent="0.25">
      <c r="A13157" s="841"/>
    </row>
    <row r="13158" spans="1:1" x14ac:dyDescent="0.25">
      <c r="A13158" s="841"/>
    </row>
    <row r="13159" spans="1:1" x14ac:dyDescent="0.25">
      <c r="A13159" s="841"/>
    </row>
    <row r="13160" spans="1:1" x14ac:dyDescent="0.25">
      <c r="A13160" s="841"/>
    </row>
    <row r="13161" spans="1:1" x14ac:dyDescent="0.25">
      <c r="A13161" s="841"/>
    </row>
    <row r="13162" spans="1:1" x14ac:dyDescent="0.25">
      <c r="A13162" s="841"/>
    </row>
    <row r="13163" spans="1:1" x14ac:dyDescent="0.25">
      <c r="A13163" s="841"/>
    </row>
    <row r="13164" spans="1:1" x14ac:dyDescent="0.25">
      <c r="A13164" s="841"/>
    </row>
    <row r="13165" spans="1:1" x14ac:dyDescent="0.25">
      <c r="A13165" s="841"/>
    </row>
    <row r="13166" spans="1:1" x14ac:dyDescent="0.25">
      <c r="A13166" s="841"/>
    </row>
    <row r="13167" spans="1:1" x14ac:dyDescent="0.25">
      <c r="A13167" s="841"/>
    </row>
    <row r="13168" spans="1:1" x14ac:dyDescent="0.25">
      <c r="A13168" s="841"/>
    </row>
    <row r="13169" spans="1:1" x14ac:dyDescent="0.25">
      <c r="A13169" s="841"/>
    </row>
    <row r="13170" spans="1:1" x14ac:dyDescent="0.25">
      <c r="A13170" s="841"/>
    </row>
    <row r="13171" spans="1:1" x14ac:dyDescent="0.25">
      <c r="A13171" s="841"/>
    </row>
    <row r="13172" spans="1:1" x14ac:dyDescent="0.25">
      <c r="A13172" s="841"/>
    </row>
    <row r="13173" spans="1:1" x14ac:dyDescent="0.25">
      <c r="A13173" s="841"/>
    </row>
    <row r="13174" spans="1:1" x14ac:dyDescent="0.25">
      <c r="A13174" s="841"/>
    </row>
    <row r="13175" spans="1:1" x14ac:dyDescent="0.25">
      <c r="A13175" s="841"/>
    </row>
    <row r="13176" spans="1:1" x14ac:dyDescent="0.25">
      <c r="A13176" s="841"/>
    </row>
    <row r="13177" spans="1:1" x14ac:dyDescent="0.25">
      <c r="A13177" s="841"/>
    </row>
    <row r="13178" spans="1:1" x14ac:dyDescent="0.25">
      <c r="A13178" s="841"/>
    </row>
    <row r="13179" spans="1:1" x14ac:dyDescent="0.25">
      <c r="A13179" s="841"/>
    </row>
    <row r="13180" spans="1:1" x14ac:dyDescent="0.25">
      <c r="A13180" s="841"/>
    </row>
    <row r="13181" spans="1:1" x14ac:dyDescent="0.25">
      <c r="A13181" s="841"/>
    </row>
    <row r="13182" spans="1:1" x14ac:dyDescent="0.25">
      <c r="A13182" s="841"/>
    </row>
    <row r="13183" spans="1:1" x14ac:dyDescent="0.25">
      <c r="A13183" s="841"/>
    </row>
    <row r="13184" spans="1:1" x14ac:dyDescent="0.25">
      <c r="A13184" s="841"/>
    </row>
    <row r="13185" spans="1:1" x14ac:dyDescent="0.25">
      <c r="A13185" s="841"/>
    </row>
    <row r="13186" spans="1:1" x14ac:dyDescent="0.25">
      <c r="A13186" s="841"/>
    </row>
    <row r="13187" spans="1:1" x14ac:dyDescent="0.25">
      <c r="A13187" s="841"/>
    </row>
    <row r="13188" spans="1:1" x14ac:dyDescent="0.25">
      <c r="A13188" s="841"/>
    </row>
    <row r="13189" spans="1:1" x14ac:dyDescent="0.25">
      <c r="A13189" s="841"/>
    </row>
    <row r="13190" spans="1:1" x14ac:dyDescent="0.25">
      <c r="A13190" s="841"/>
    </row>
    <row r="13191" spans="1:1" x14ac:dyDescent="0.25">
      <c r="A13191" s="841"/>
    </row>
    <row r="13192" spans="1:1" x14ac:dyDescent="0.25">
      <c r="A13192" s="841"/>
    </row>
    <row r="13193" spans="1:1" x14ac:dyDescent="0.25">
      <c r="A13193" s="841"/>
    </row>
    <row r="13194" spans="1:1" x14ac:dyDescent="0.25">
      <c r="A13194" s="841"/>
    </row>
    <row r="13195" spans="1:1" x14ac:dyDescent="0.25">
      <c r="A13195" s="841"/>
    </row>
    <row r="13196" spans="1:1" x14ac:dyDescent="0.25">
      <c r="A13196" s="841"/>
    </row>
    <row r="13197" spans="1:1" x14ac:dyDescent="0.25">
      <c r="A13197" s="841"/>
    </row>
    <row r="13198" spans="1:1" x14ac:dyDescent="0.25">
      <c r="A13198" s="841"/>
    </row>
    <row r="13199" spans="1:1" x14ac:dyDescent="0.25">
      <c r="A13199" s="841"/>
    </row>
    <row r="13200" spans="1:1" x14ac:dyDescent="0.25">
      <c r="A13200" s="841"/>
    </row>
    <row r="13201" spans="1:1" x14ac:dyDescent="0.25">
      <c r="A13201" s="841"/>
    </row>
    <row r="13202" spans="1:1" x14ac:dyDescent="0.25">
      <c r="A13202" s="841"/>
    </row>
    <row r="13203" spans="1:1" x14ac:dyDescent="0.25">
      <c r="A13203" s="841"/>
    </row>
    <row r="13204" spans="1:1" x14ac:dyDescent="0.25">
      <c r="A13204" s="841"/>
    </row>
    <row r="13205" spans="1:1" x14ac:dyDescent="0.25">
      <c r="A13205" s="841"/>
    </row>
    <row r="13206" spans="1:1" x14ac:dyDescent="0.25">
      <c r="A13206" s="841"/>
    </row>
    <row r="13207" spans="1:1" x14ac:dyDescent="0.25">
      <c r="A13207" s="841"/>
    </row>
    <row r="13208" spans="1:1" x14ac:dyDescent="0.25">
      <c r="A13208" s="841"/>
    </row>
    <row r="13209" spans="1:1" x14ac:dyDescent="0.25">
      <c r="A13209" s="841"/>
    </row>
    <row r="13210" spans="1:1" x14ac:dyDescent="0.25">
      <c r="A13210" s="841"/>
    </row>
    <row r="13211" spans="1:1" x14ac:dyDescent="0.25">
      <c r="A13211" s="841"/>
    </row>
    <row r="13212" spans="1:1" x14ac:dyDescent="0.25">
      <c r="A13212" s="841"/>
    </row>
    <row r="13213" spans="1:1" x14ac:dyDescent="0.25">
      <c r="A13213" s="841"/>
    </row>
    <row r="13214" spans="1:1" x14ac:dyDescent="0.25">
      <c r="A13214" s="841"/>
    </row>
    <row r="13215" spans="1:1" x14ac:dyDescent="0.25">
      <c r="A13215" s="841"/>
    </row>
    <row r="13216" spans="1:1" x14ac:dyDescent="0.25">
      <c r="A13216" s="841"/>
    </row>
    <row r="13217" spans="1:1" x14ac:dyDescent="0.25">
      <c r="A13217" s="841"/>
    </row>
    <row r="13218" spans="1:1" x14ac:dyDescent="0.25">
      <c r="A13218" s="841"/>
    </row>
    <row r="13219" spans="1:1" x14ac:dyDescent="0.25">
      <c r="A13219" s="841"/>
    </row>
    <row r="13220" spans="1:1" x14ac:dyDescent="0.25">
      <c r="A13220" s="841"/>
    </row>
    <row r="13221" spans="1:1" x14ac:dyDescent="0.25">
      <c r="A13221" s="841"/>
    </row>
    <row r="13222" spans="1:1" x14ac:dyDescent="0.25">
      <c r="A13222" s="841"/>
    </row>
    <row r="13223" spans="1:1" x14ac:dyDescent="0.25">
      <c r="A13223" s="841"/>
    </row>
    <row r="13224" spans="1:1" x14ac:dyDescent="0.25">
      <c r="A13224" s="841"/>
    </row>
    <row r="13225" spans="1:1" x14ac:dyDescent="0.25">
      <c r="A13225" s="841"/>
    </row>
    <row r="13226" spans="1:1" x14ac:dyDescent="0.25">
      <c r="A13226" s="841"/>
    </row>
    <row r="13227" spans="1:1" x14ac:dyDescent="0.25">
      <c r="A13227" s="841"/>
    </row>
    <row r="13228" spans="1:1" x14ac:dyDescent="0.25">
      <c r="A13228" s="841"/>
    </row>
    <row r="13229" spans="1:1" x14ac:dyDescent="0.25">
      <c r="A13229" s="841"/>
    </row>
    <row r="13230" spans="1:1" x14ac:dyDescent="0.25">
      <c r="A13230" s="841"/>
    </row>
    <row r="13231" spans="1:1" x14ac:dyDescent="0.25">
      <c r="A13231" s="841"/>
    </row>
    <row r="13232" spans="1:1" x14ac:dyDescent="0.25">
      <c r="A13232" s="841"/>
    </row>
    <row r="13233" spans="1:1" x14ac:dyDescent="0.25">
      <c r="A13233" s="841"/>
    </row>
    <row r="13234" spans="1:1" x14ac:dyDescent="0.25">
      <c r="A13234" s="841"/>
    </row>
    <row r="13235" spans="1:1" x14ac:dyDescent="0.25">
      <c r="A13235" s="841"/>
    </row>
    <row r="13236" spans="1:1" x14ac:dyDescent="0.25">
      <c r="A13236" s="841"/>
    </row>
    <row r="13237" spans="1:1" x14ac:dyDescent="0.25">
      <c r="A13237" s="841"/>
    </row>
    <row r="13238" spans="1:1" x14ac:dyDescent="0.25">
      <c r="A13238" s="841"/>
    </row>
    <row r="13239" spans="1:1" x14ac:dyDescent="0.25">
      <c r="A13239" s="841"/>
    </row>
    <row r="13240" spans="1:1" x14ac:dyDescent="0.25">
      <c r="A13240" s="841"/>
    </row>
    <row r="13241" spans="1:1" x14ac:dyDescent="0.25">
      <c r="A13241" s="841"/>
    </row>
    <row r="13242" spans="1:1" x14ac:dyDescent="0.25">
      <c r="A13242" s="841"/>
    </row>
    <row r="13243" spans="1:1" x14ac:dyDescent="0.25">
      <c r="A13243" s="841"/>
    </row>
    <row r="13244" spans="1:1" x14ac:dyDescent="0.25">
      <c r="A13244" s="841"/>
    </row>
    <row r="13245" spans="1:1" x14ac:dyDescent="0.25">
      <c r="A13245" s="841"/>
    </row>
    <row r="13246" spans="1:1" x14ac:dyDescent="0.25">
      <c r="A13246" s="841"/>
    </row>
    <row r="13247" spans="1:1" x14ac:dyDescent="0.25">
      <c r="A13247" s="841"/>
    </row>
    <row r="13248" spans="1:1" x14ac:dyDescent="0.25">
      <c r="A13248" s="841"/>
    </row>
    <row r="13249" spans="1:1" x14ac:dyDescent="0.25">
      <c r="A13249" s="841"/>
    </row>
    <row r="13250" spans="1:1" x14ac:dyDescent="0.25">
      <c r="A13250" s="841"/>
    </row>
    <row r="13251" spans="1:1" x14ac:dyDescent="0.25">
      <c r="A13251" s="841"/>
    </row>
    <row r="13252" spans="1:1" x14ac:dyDescent="0.25">
      <c r="A13252" s="841"/>
    </row>
    <row r="13253" spans="1:1" x14ac:dyDescent="0.25">
      <c r="A13253" s="841"/>
    </row>
    <row r="13254" spans="1:1" x14ac:dyDescent="0.25">
      <c r="A13254" s="841"/>
    </row>
    <row r="13255" spans="1:1" x14ac:dyDescent="0.25">
      <c r="A13255" s="841"/>
    </row>
    <row r="13256" spans="1:1" x14ac:dyDescent="0.25">
      <c r="A13256" s="841"/>
    </row>
    <row r="13257" spans="1:1" x14ac:dyDescent="0.25">
      <c r="A13257" s="841"/>
    </row>
    <row r="13258" spans="1:1" x14ac:dyDescent="0.25">
      <c r="A13258" s="841"/>
    </row>
    <row r="13259" spans="1:1" x14ac:dyDescent="0.25">
      <c r="A13259" s="841"/>
    </row>
    <row r="13260" spans="1:1" x14ac:dyDescent="0.25">
      <c r="A13260" s="841"/>
    </row>
    <row r="13261" spans="1:1" x14ac:dyDescent="0.25">
      <c r="A13261" s="841"/>
    </row>
    <row r="13262" spans="1:1" x14ac:dyDescent="0.25">
      <c r="A13262" s="841"/>
    </row>
    <row r="13263" spans="1:1" x14ac:dyDescent="0.25">
      <c r="A13263" s="841"/>
    </row>
    <row r="13264" spans="1:1" x14ac:dyDescent="0.25">
      <c r="A13264" s="841"/>
    </row>
    <row r="13265" spans="1:1" x14ac:dyDescent="0.25">
      <c r="A13265" s="841"/>
    </row>
    <row r="13266" spans="1:1" x14ac:dyDescent="0.25">
      <c r="A13266" s="841"/>
    </row>
    <row r="13267" spans="1:1" x14ac:dyDescent="0.25">
      <c r="A13267" s="841"/>
    </row>
    <row r="13268" spans="1:1" x14ac:dyDescent="0.25">
      <c r="A13268" s="841"/>
    </row>
    <row r="13269" spans="1:1" x14ac:dyDescent="0.25">
      <c r="A13269" s="841"/>
    </row>
    <row r="13270" spans="1:1" x14ac:dyDescent="0.25">
      <c r="A13270" s="841"/>
    </row>
    <row r="13271" spans="1:1" x14ac:dyDescent="0.25">
      <c r="A13271" s="841"/>
    </row>
    <row r="13272" spans="1:1" x14ac:dyDescent="0.25">
      <c r="A13272" s="841"/>
    </row>
    <row r="13273" spans="1:1" x14ac:dyDescent="0.25">
      <c r="A13273" s="841"/>
    </row>
    <row r="13274" spans="1:1" x14ac:dyDescent="0.25">
      <c r="A13274" s="841"/>
    </row>
    <row r="13275" spans="1:1" x14ac:dyDescent="0.25">
      <c r="A13275" s="841"/>
    </row>
    <row r="13276" spans="1:1" x14ac:dyDescent="0.25">
      <c r="A13276" s="841"/>
    </row>
    <row r="13277" spans="1:1" x14ac:dyDescent="0.25">
      <c r="A13277" s="841"/>
    </row>
    <row r="13278" spans="1:1" x14ac:dyDescent="0.25">
      <c r="A13278" s="841"/>
    </row>
    <row r="13279" spans="1:1" x14ac:dyDescent="0.25">
      <c r="A13279" s="841"/>
    </row>
    <row r="13280" spans="1:1" x14ac:dyDescent="0.25">
      <c r="A13280" s="841"/>
    </row>
    <row r="13281" spans="1:1" x14ac:dyDescent="0.25">
      <c r="A13281" s="841"/>
    </row>
    <row r="13282" spans="1:1" x14ac:dyDescent="0.25">
      <c r="A13282" s="841"/>
    </row>
    <row r="13283" spans="1:1" x14ac:dyDescent="0.25">
      <c r="A13283" s="841"/>
    </row>
    <row r="13284" spans="1:1" x14ac:dyDescent="0.25">
      <c r="A13284" s="841"/>
    </row>
    <row r="13285" spans="1:1" x14ac:dyDescent="0.25">
      <c r="A13285" s="841"/>
    </row>
    <row r="13286" spans="1:1" x14ac:dyDescent="0.25">
      <c r="A13286" s="841"/>
    </row>
    <row r="13287" spans="1:1" x14ac:dyDescent="0.25">
      <c r="A13287" s="841"/>
    </row>
    <row r="13288" spans="1:1" x14ac:dyDescent="0.25">
      <c r="A13288" s="841"/>
    </row>
    <row r="13289" spans="1:1" x14ac:dyDescent="0.25">
      <c r="A13289" s="841"/>
    </row>
    <row r="13290" spans="1:1" x14ac:dyDescent="0.25">
      <c r="A13290" s="841"/>
    </row>
    <row r="13291" spans="1:1" x14ac:dyDescent="0.25">
      <c r="A13291" s="841"/>
    </row>
    <row r="13292" spans="1:1" x14ac:dyDescent="0.25">
      <c r="A13292" s="841"/>
    </row>
    <row r="13293" spans="1:1" x14ac:dyDescent="0.25">
      <c r="A13293" s="841"/>
    </row>
    <row r="13294" spans="1:1" x14ac:dyDescent="0.25">
      <c r="A13294" s="841"/>
    </row>
    <row r="13295" spans="1:1" x14ac:dyDescent="0.25">
      <c r="A13295" s="841"/>
    </row>
    <row r="13296" spans="1:1" x14ac:dyDescent="0.25">
      <c r="A13296" s="841"/>
    </row>
    <row r="13297" spans="1:1" x14ac:dyDescent="0.25">
      <c r="A13297" s="841"/>
    </row>
    <row r="13298" spans="1:1" x14ac:dyDescent="0.25">
      <c r="A13298" s="841"/>
    </row>
    <row r="13299" spans="1:1" x14ac:dyDescent="0.25">
      <c r="A13299" s="841"/>
    </row>
    <row r="13300" spans="1:1" x14ac:dyDescent="0.25">
      <c r="A13300" s="841"/>
    </row>
    <row r="13301" spans="1:1" x14ac:dyDescent="0.25">
      <c r="A13301" s="841"/>
    </row>
    <row r="13302" spans="1:1" x14ac:dyDescent="0.25">
      <c r="A13302" s="841"/>
    </row>
    <row r="13303" spans="1:1" x14ac:dyDescent="0.25">
      <c r="A13303" s="841"/>
    </row>
    <row r="13304" spans="1:1" x14ac:dyDescent="0.25">
      <c r="A13304" s="841"/>
    </row>
    <row r="13305" spans="1:1" x14ac:dyDescent="0.25">
      <c r="A13305" s="841"/>
    </row>
    <row r="13306" spans="1:1" x14ac:dyDescent="0.25">
      <c r="A13306" s="841"/>
    </row>
    <row r="13307" spans="1:1" x14ac:dyDescent="0.25">
      <c r="A13307" s="841"/>
    </row>
    <row r="13308" spans="1:1" x14ac:dyDescent="0.25">
      <c r="A13308" s="841"/>
    </row>
    <row r="13309" spans="1:1" x14ac:dyDescent="0.25">
      <c r="A13309" s="841"/>
    </row>
    <row r="13310" spans="1:1" x14ac:dyDescent="0.25">
      <c r="A13310" s="841"/>
    </row>
    <row r="13311" spans="1:1" x14ac:dyDescent="0.25">
      <c r="A13311" s="841"/>
    </row>
    <row r="13312" spans="1:1" x14ac:dyDescent="0.25">
      <c r="A13312" s="841"/>
    </row>
    <row r="13313" spans="1:1" x14ac:dyDescent="0.25">
      <c r="A13313" s="841"/>
    </row>
    <row r="13314" spans="1:1" x14ac:dyDescent="0.25">
      <c r="A13314" s="841"/>
    </row>
    <row r="13315" spans="1:1" x14ac:dyDescent="0.25">
      <c r="A13315" s="841"/>
    </row>
    <row r="13316" spans="1:1" x14ac:dyDescent="0.25">
      <c r="A13316" s="841"/>
    </row>
    <row r="13317" spans="1:1" x14ac:dyDescent="0.25">
      <c r="A13317" s="841"/>
    </row>
    <row r="13318" spans="1:1" x14ac:dyDescent="0.25">
      <c r="A13318" s="841"/>
    </row>
    <row r="13319" spans="1:1" x14ac:dyDescent="0.25">
      <c r="A13319" s="841"/>
    </row>
    <row r="13320" spans="1:1" x14ac:dyDescent="0.25">
      <c r="A13320" s="841"/>
    </row>
    <row r="13321" spans="1:1" x14ac:dyDescent="0.25">
      <c r="A13321" s="841"/>
    </row>
    <row r="13322" spans="1:1" x14ac:dyDescent="0.25">
      <c r="A13322" s="841"/>
    </row>
    <row r="13323" spans="1:1" x14ac:dyDescent="0.25">
      <c r="A13323" s="841"/>
    </row>
    <row r="13324" spans="1:1" x14ac:dyDescent="0.25">
      <c r="A13324" s="841"/>
    </row>
    <row r="13325" spans="1:1" x14ac:dyDescent="0.25">
      <c r="A13325" s="841"/>
    </row>
    <row r="13326" spans="1:1" x14ac:dyDescent="0.25">
      <c r="A13326" s="841"/>
    </row>
    <row r="13327" spans="1:1" x14ac:dyDescent="0.25">
      <c r="A13327" s="841"/>
    </row>
    <row r="13328" spans="1:1" x14ac:dyDescent="0.25">
      <c r="A13328" s="841"/>
    </row>
    <row r="13329" spans="1:1" x14ac:dyDescent="0.25">
      <c r="A13329" s="841"/>
    </row>
    <row r="13330" spans="1:1" x14ac:dyDescent="0.25">
      <c r="A13330" s="841"/>
    </row>
    <row r="13331" spans="1:1" x14ac:dyDescent="0.25">
      <c r="A13331" s="841"/>
    </row>
    <row r="13332" spans="1:1" x14ac:dyDescent="0.25">
      <c r="A13332" s="841"/>
    </row>
    <row r="13333" spans="1:1" x14ac:dyDescent="0.25">
      <c r="A13333" s="841"/>
    </row>
    <row r="13334" spans="1:1" x14ac:dyDescent="0.25">
      <c r="A13334" s="841"/>
    </row>
    <row r="13335" spans="1:1" x14ac:dyDescent="0.25">
      <c r="A13335" s="841"/>
    </row>
    <row r="13336" spans="1:1" x14ac:dyDescent="0.25">
      <c r="A13336" s="841"/>
    </row>
    <row r="13337" spans="1:1" x14ac:dyDescent="0.25">
      <c r="A13337" s="841"/>
    </row>
    <row r="13338" spans="1:1" x14ac:dyDescent="0.25">
      <c r="A13338" s="841"/>
    </row>
    <row r="13339" spans="1:1" x14ac:dyDescent="0.25">
      <c r="A13339" s="841"/>
    </row>
    <row r="13340" spans="1:1" x14ac:dyDescent="0.25">
      <c r="A13340" s="841"/>
    </row>
    <row r="13341" spans="1:1" x14ac:dyDescent="0.25">
      <c r="A13341" s="841"/>
    </row>
    <row r="13342" spans="1:1" x14ac:dyDescent="0.25">
      <c r="A13342" s="841"/>
    </row>
    <row r="13343" spans="1:1" x14ac:dyDescent="0.25">
      <c r="A13343" s="841"/>
    </row>
    <row r="13344" spans="1:1" x14ac:dyDescent="0.25">
      <c r="A13344" s="841"/>
    </row>
    <row r="13345" spans="1:1" x14ac:dyDescent="0.25">
      <c r="A13345" s="841"/>
    </row>
    <row r="13346" spans="1:1" x14ac:dyDescent="0.25">
      <c r="A13346" s="841"/>
    </row>
    <row r="13347" spans="1:1" x14ac:dyDescent="0.25">
      <c r="A13347" s="841"/>
    </row>
    <row r="13348" spans="1:1" x14ac:dyDescent="0.25">
      <c r="A13348" s="841"/>
    </row>
    <row r="13349" spans="1:1" x14ac:dyDescent="0.25">
      <c r="A13349" s="841"/>
    </row>
    <row r="13350" spans="1:1" x14ac:dyDescent="0.25">
      <c r="A13350" s="841"/>
    </row>
    <row r="13351" spans="1:1" x14ac:dyDescent="0.25">
      <c r="A13351" s="841"/>
    </row>
    <row r="13352" spans="1:1" x14ac:dyDescent="0.25">
      <c r="A13352" s="841"/>
    </row>
    <row r="13353" spans="1:1" x14ac:dyDescent="0.25">
      <c r="A13353" s="841"/>
    </row>
    <row r="13354" spans="1:1" x14ac:dyDescent="0.25">
      <c r="A13354" s="841"/>
    </row>
    <row r="13355" spans="1:1" x14ac:dyDescent="0.25">
      <c r="A13355" s="841"/>
    </row>
    <row r="13356" spans="1:1" x14ac:dyDescent="0.25">
      <c r="A13356" s="841"/>
    </row>
    <row r="13357" spans="1:1" x14ac:dyDescent="0.25">
      <c r="A13357" s="841"/>
    </row>
    <row r="13358" spans="1:1" x14ac:dyDescent="0.25">
      <c r="A13358" s="841"/>
    </row>
    <row r="13359" spans="1:1" x14ac:dyDescent="0.25">
      <c r="A13359" s="841"/>
    </row>
    <row r="13360" spans="1:1" x14ac:dyDescent="0.25">
      <c r="A13360" s="841"/>
    </row>
    <row r="13361" spans="1:1" x14ac:dyDescent="0.25">
      <c r="A13361" s="841"/>
    </row>
    <row r="13362" spans="1:1" x14ac:dyDescent="0.25">
      <c r="A13362" s="841"/>
    </row>
    <row r="13363" spans="1:1" x14ac:dyDescent="0.25">
      <c r="A13363" s="841"/>
    </row>
    <row r="13364" spans="1:1" x14ac:dyDescent="0.25">
      <c r="A13364" s="841"/>
    </row>
    <row r="13365" spans="1:1" x14ac:dyDescent="0.25">
      <c r="A13365" s="841"/>
    </row>
    <row r="13366" spans="1:1" x14ac:dyDescent="0.25">
      <c r="A13366" s="841"/>
    </row>
    <row r="13367" spans="1:1" x14ac:dyDescent="0.25">
      <c r="A13367" s="841"/>
    </row>
    <row r="13368" spans="1:1" x14ac:dyDescent="0.25">
      <c r="A13368" s="841"/>
    </row>
    <row r="13369" spans="1:1" x14ac:dyDescent="0.25">
      <c r="A13369" s="841"/>
    </row>
    <row r="13370" spans="1:1" x14ac:dyDescent="0.25">
      <c r="A13370" s="841"/>
    </row>
    <row r="13371" spans="1:1" x14ac:dyDescent="0.25">
      <c r="A13371" s="841"/>
    </row>
    <row r="13372" spans="1:1" x14ac:dyDescent="0.25">
      <c r="A13372" s="841"/>
    </row>
    <row r="13373" spans="1:1" x14ac:dyDescent="0.25">
      <c r="A13373" s="841"/>
    </row>
    <row r="13374" spans="1:1" x14ac:dyDescent="0.25">
      <c r="A13374" s="841"/>
    </row>
    <row r="13375" spans="1:1" x14ac:dyDescent="0.25">
      <c r="A13375" s="841"/>
    </row>
    <row r="13376" spans="1:1" x14ac:dyDescent="0.25">
      <c r="A13376" s="841"/>
    </row>
    <row r="13377" spans="1:1" x14ac:dyDescent="0.25">
      <c r="A13377" s="841"/>
    </row>
    <row r="13378" spans="1:1" x14ac:dyDescent="0.25">
      <c r="A13378" s="841"/>
    </row>
    <row r="13379" spans="1:1" x14ac:dyDescent="0.25">
      <c r="A13379" s="841"/>
    </row>
    <row r="13380" spans="1:1" x14ac:dyDescent="0.25">
      <c r="A13380" s="841"/>
    </row>
    <row r="13381" spans="1:1" x14ac:dyDescent="0.25">
      <c r="A13381" s="841"/>
    </row>
    <row r="13382" spans="1:1" x14ac:dyDescent="0.25">
      <c r="A13382" s="841"/>
    </row>
    <row r="13383" spans="1:1" x14ac:dyDescent="0.25">
      <c r="A13383" s="841"/>
    </row>
    <row r="13384" spans="1:1" x14ac:dyDescent="0.25">
      <c r="A13384" s="841"/>
    </row>
    <row r="13385" spans="1:1" x14ac:dyDescent="0.25">
      <c r="A13385" s="841"/>
    </row>
    <row r="13386" spans="1:1" x14ac:dyDescent="0.25">
      <c r="A13386" s="841"/>
    </row>
    <row r="13387" spans="1:1" x14ac:dyDescent="0.25">
      <c r="A13387" s="841"/>
    </row>
    <row r="13388" spans="1:1" x14ac:dyDescent="0.25">
      <c r="A13388" s="841"/>
    </row>
    <row r="13389" spans="1:1" x14ac:dyDescent="0.25">
      <c r="A13389" s="841"/>
    </row>
    <row r="13390" spans="1:1" x14ac:dyDescent="0.25">
      <c r="A13390" s="841"/>
    </row>
    <row r="13391" spans="1:1" x14ac:dyDescent="0.25">
      <c r="A13391" s="841"/>
    </row>
    <row r="13392" spans="1:1" x14ac:dyDescent="0.25">
      <c r="A13392" s="841"/>
    </row>
    <row r="13393" spans="1:1" x14ac:dyDescent="0.25">
      <c r="A13393" s="841"/>
    </row>
    <row r="13394" spans="1:1" x14ac:dyDescent="0.25">
      <c r="A13394" s="841"/>
    </row>
    <row r="13395" spans="1:1" x14ac:dyDescent="0.25">
      <c r="A13395" s="841"/>
    </row>
    <row r="13396" spans="1:1" x14ac:dyDescent="0.25">
      <c r="A13396" s="841"/>
    </row>
    <row r="13397" spans="1:1" x14ac:dyDescent="0.25">
      <c r="A13397" s="841"/>
    </row>
    <row r="13398" spans="1:1" x14ac:dyDescent="0.25">
      <c r="A13398" s="841"/>
    </row>
    <row r="13399" spans="1:1" x14ac:dyDescent="0.25">
      <c r="A13399" s="841"/>
    </row>
    <row r="13400" spans="1:1" x14ac:dyDescent="0.25">
      <c r="A13400" s="841"/>
    </row>
    <row r="13401" spans="1:1" x14ac:dyDescent="0.25">
      <c r="A13401" s="841"/>
    </row>
    <row r="13402" spans="1:1" x14ac:dyDescent="0.25">
      <c r="A13402" s="841"/>
    </row>
    <row r="13403" spans="1:1" x14ac:dyDescent="0.25">
      <c r="A13403" s="841"/>
    </row>
    <row r="13404" spans="1:1" x14ac:dyDescent="0.25">
      <c r="A13404" s="841"/>
    </row>
    <row r="13405" spans="1:1" x14ac:dyDescent="0.25">
      <c r="A13405" s="841"/>
    </row>
    <row r="13406" spans="1:1" x14ac:dyDescent="0.25">
      <c r="A13406" s="841"/>
    </row>
    <row r="13407" spans="1:1" x14ac:dyDescent="0.25">
      <c r="A13407" s="841"/>
    </row>
    <row r="13408" spans="1:1" x14ac:dyDescent="0.25">
      <c r="A13408" s="841"/>
    </row>
    <row r="13409" spans="1:1" x14ac:dyDescent="0.25">
      <c r="A13409" s="841"/>
    </row>
    <row r="13410" spans="1:1" x14ac:dyDescent="0.25">
      <c r="A13410" s="841"/>
    </row>
    <row r="13411" spans="1:1" x14ac:dyDescent="0.25">
      <c r="A13411" s="841"/>
    </row>
    <row r="13412" spans="1:1" x14ac:dyDescent="0.25">
      <c r="A13412" s="841"/>
    </row>
    <row r="13413" spans="1:1" x14ac:dyDescent="0.25">
      <c r="A13413" s="841"/>
    </row>
    <row r="13414" spans="1:1" x14ac:dyDescent="0.25">
      <c r="A13414" s="841"/>
    </row>
    <row r="13415" spans="1:1" x14ac:dyDescent="0.25">
      <c r="A13415" s="841"/>
    </row>
    <row r="13416" spans="1:1" x14ac:dyDescent="0.25">
      <c r="A13416" s="841"/>
    </row>
    <row r="13417" spans="1:1" x14ac:dyDescent="0.25">
      <c r="A13417" s="841"/>
    </row>
    <row r="13418" spans="1:1" x14ac:dyDescent="0.25">
      <c r="A13418" s="841"/>
    </row>
    <row r="13419" spans="1:1" x14ac:dyDescent="0.25">
      <c r="A13419" s="841"/>
    </row>
    <row r="13420" spans="1:1" x14ac:dyDescent="0.25">
      <c r="A13420" s="841"/>
    </row>
    <row r="13421" spans="1:1" x14ac:dyDescent="0.25">
      <c r="A13421" s="841"/>
    </row>
    <row r="13422" spans="1:1" x14ac:dyDescent="0.25">
      <c r="A13422" s="841"/>
    </row>
    <row r="13423" spans="1:1" x14ac:dyDescent="0.25">
      <c r="A13423" s="841"/>
    </row>
    <row r="13424" spans="1:1" x14ac:dyDescent="0.25">
      <c r="A13424" s="841"/>
    </row>
    <row r="13425" spans="1:1" x14ac:dyDescent="0.25">
      <c r="A13425" s="841"/>
    </row>
    <row r="13426" spans="1:1" x14ac:dyDescent="0.25">
      <c r="A13426" s="841"/>
    </row>
    <row r="13427" spans="1:1" x14ac:dyDescent="0.25">
      <c r="A13427" s="841"/>
    </row>
    <row r="13428" spans="1:1" x14ac:dyDescent="0.25">
      <c r="A13428" s="841"/>
    </row>
    <row r="13429" spans="1:1" x14ac:dyDescent="0.25">
      <c r="A13429" s="841"/>
    </row>
    <row r="13430" spans="1:1" x14ac:dyDescent="0.25">
      <c r="A13430" s="841"/>
    </row>
    <row r="13431" spans="1:1" x14ac:dyDescent="0.25">
      <c r="A13431" s="841"/>
    </row>
    <row r="13432" spans="1:1" x14ac:dyDescent="0.25">
      <c r="A13432" s="841"/>
    </row>
    <row r="13433" spans="1:1" x14ac:dyDescent="0.25">
      <c r="A13433" s="841"/>
    </row>
    <row r="13434" spans="1:1" x14ac:dyDescent="0.25">
      <c r="A13434" s="841"/>
    </row>
    <row r="13435" spans="1:1" x14ac:dyDescent="0.25">
      <c r="A13435" s="841"/>
    </row>
    <row r="13436" spans="1:1" x14ac:dyDescent="0.25">
      <c r="A13436" s="841"/>
    </row>
    <row r="13437" spans="1:1" x14ac:dyDescent="0.25">
      <c r="A13437" s="841"/>
    </row>
    <row r="13438" spans="1:1" x14ac:dyDescent="0.25">
      <c r="A13438" s="841"/>
    </row>
    <row r="13439" spans="1:1" x14ac:dyDescent="0.25">
      <c r="A13439" s="841"/>
    </row>
    <row r="13440" spans="1:1" x14ac:dyDescent="0.25">
      <c r="A13440" s="841"/>
    </row>
    <row r="13441" spans="1:1" x14ac:dyDescent="0.25">
      <c r="A13441" s="841"/>
    </row>
    <row r="13442" spans="1:1" x14ac:dyDescent="0.25">
      <c r="A13442" s="841"/>
    </row>
    <row r="13443" spans="1:1" x14ac:dyDescent="0.25">
      <c r="A13443" s="841"/>
    </row>
    <row r="13444" spans="1:1" x14ac:dyDescent="0.25">
      <c r="A13444" s="841"/>
    </row>
    <row r="13445" spans="1:1" x14ac:dyDescent="0.25">
      <c r="A13445" s="841"/>
    </row>
    <row r="13446" spans="1:1" x14ac:dyDescent="0.25">
      <c r="A13446" s="841"/>
    </row>
    <row r="13447" spans="1:1" x14ac:dyDescent="0.25">
      <c r="A13447" s="841"/>
    </row>
    <row r="13448" spans="1:1" x14ac:dyDescent="0.25">
      <c r="A13448" s="841"/>
    </row>
    <row r="13449" spans="1:1" x14ac:dyDescent="0.25">
      <c r="A13449" s="841"/>
    </row>
    <row r="13450" spans="1:1" x14ac:dyDescent="0.25">
      <c r="A13450" s="841"/>
    </row>
    <row r="13451" spans="1:1" x14ac:dyDescent="0.25">
      <c r="A13451" s="841"/>
    </row>
    <row r="13452" spans="1:1" x14ac:dyDescent="0.25">
      <c r="A13452" s="841"/>
    </row>
    <row r="13453" spans="1:1" x14ac:dyDescent="0.25">
      <c r="A13453" s="841"/>
    </row>
    <row r="13454" spans="1:1" x14ac:dyDescent="0.25">
      <c r="A13454" s="841"/>
    </row>
    <row r="13455" spans="1:1" x14ac:dyDescent="0.25">
      <c r="A13455" s="841"/>
    </row>
    <row r="13456" spans="1:1" x14ac:dyDescent="0.25">
      <c r="A13456" s="841"/>
    </row>
    <row r="13457" spans="1:1" x14ac:dyDescent="0.25">
      <c r="A13457" s="841"/>
    </row>
    <row r="13458" spans="1:1" x14ac:dyDescent="0.25">
      <c r="A13458" s="841"/>
    </row>
    <row r="13459" spans="1:1" x14ac:dyDescent="0.25">
      <c r="A13459" s="841"/>
    </row>
    <row r="13460" spans="1:1" x14ac:dyDescent="0.25">
      <c r="A13460" s="841"/>
    </row>
    <row r="13461" spans="1:1" x14ac:dyDescent="0.25">
      <c r="A13461" s="841"/>
    </row>
    <row r="13462" spans="1:1" x14ac:dyDescent="0.25">
      <c r="A13462" s="841"/>
    </row>
    <row r="13463" spans="1:1" x14ac:dyDescent="0.25">
      <c r="A13463" s="841"/>
    </row>
    <row r="13464" spans="1:1" x14ac:dyDescent="0.25">
      <c r="A13464" s="841"/>
    </row>
    <row r="13465" spans="1:1" x14ac:dyDescent="0.25">
      <c r="A13465" s="841"/>
    </row>
    <row r="13466" spans="1:1" x14ac:dyDescent="0.25">
      <c r="A13466" s="841"/>
    </row>
    <row r="13467" spans="1:1" x14ac:dyDescent="0.25">
      <c r="A13467" s="841"/>
    </row>
    <row r="13468" spans="1:1" x14ac:dyDescent="0.25">
      <c r="A13468" s="841"/>
    </row>
    <row r="13469" spans="1:1" x14ac:dyDescent="0.25">
      <c r="A13469" s="841"/>
    </row>
    <row r="13470" spans="1:1" x14ac:dyDescent="0.25">
      <c r="A13470" s="841"/>
    </row>
    <row r="13471" spans="1:1" x14ac:dyDescent="0.25">
      <c r="A13471" s="841"/>
    </row>
    <row r="13472" spans="1:1" x14ac:dyDescent="0.25">
      <c r="A13472" s="841"/>
    </row>
    <row r="13473" spans="1:1" x14ac:dyDescent="0.25">
      <c r="A13473" s="841"/>
    </row>
    <row r="13474" spans="1:1" x14ac:dyDescent="0.25">
      <c r="A13474" s="841"/>
    </row>
    <row r="13475" spans="1:1" x14ac:dyDescent="0.25">
      <c r="A13475" s="841"/>
    </row>
    <row r="13476" spans="1:1" x14ac:dyDescent="0.25">
      <c r="A13476" s="841"/>
    </row>
    <row r="13477" spans="1:1" x14ac:dyDescent="0.25">
      <c r="A13477" s="841"/>
    </row>
    <row r="13478" spans="1:1" x14ac:dyDescent="0.25">
      <c r="A13478" s="841"/>
    </row>
    <row r="13479" spans="1:1" x14ac:dyDescent="0.25">
      <c r="A13479" s="841"/>
    </row>
    <row r="13480" spans="1:1" x14ac:dyDescent="0.25">
      <c r="A13480" s="841"/>
    </row>
    <row r="13481" spans="1:1" x14ac:dyDescent="0.25">
      <c r="A13481" s="841"/>
    </row>
    <row r="13482" spans="1:1" x14ac:dyDescent="0.25">
      <c r="A13482" s="841"/>
    </row>
    <row r="13483" spans="1:1" x14ac:dyDescent="0.25">
      <c r="A13483" s="841"/>
    </row>
    <row r="13484" spans="1:1" x14ac:dyDescent="0.25">
      <c r="A13484" s="841"/>
    </row>
    <row r="13485" spans="1:1" x14ac:dyDescent="0.25">
      <c r="A13485" s="841"/>
    </row>
    <row r="13486" spans="1:1" x14ac:dyDescent="0.25">
      <c r="A13486" s="841"/>
    </row>
    <row r="13487" spans="1:1" x14ac:dyDescent="0.25">
      <c r="A13487" s="841"/>
    </row>
    <row r="13488" spans="1:1" x14ac:dyDescent="0.25">
      <c r="A13488" s="841"/>
    </row>
    <row r="13489" spans="1:1" x14ac:dyDescent="0.25">
      <c r="A13489" s="841"/>
    </row>
    <row r="13490" spans="1:1" x14ac:dyDescent="0.25">
      <c r="A13490" s="841"/>
    </row>
    <row r="13491" spans="1:1" x14ac:dyDescent="0.25">
      <c r="A13491" s="841"/>
    </row>
    <row r="13492" spans="1:1" x14ac:dyDescent="0.25">
      <c r="A13492" s="841"/>
    </row>
    <row r="13493" spans="1:1" x14ac:dyDescent="0.25">
      <c r="A13493" s="841"/>
    </row>
    <row r="13494" spans="1:1" x14ac:dyDescent="0.25">
      <c r="A13494" s="841"/>
    </row>
    <row r="13495" spans="1:1" x14ac:dyDescent="0.25">
      <c r="A13495" s="841"/>
    </row>
    <row r="13496" spans="1:1" x14ac:dyDescent="0.25">
      <c r="A13496" s="841"/>
    </row>
    <row r="13497" spans="1:1" x14ac:dyDescent="0.25">
      <c r="A13497" s="841"/>
    </row>
    <row r="13498" spans="1:1" x14ac:dyDescent="0.25">
      <c r="A13498" s="841"/>
    </row>
    <row r="13499" spans="1:1" x14ac:dyDescent="0.25">
      <c r="A13499" s="841"/>
    </row>
    <row r="13500" spans="1:1" x14ac:dyDescent="0.25">
      <c r="A13500" s="841"/>
    </row>
    <row r="13501" spans="1:1" x14ac:dyDescent="0.25">
      <c r="A13501" s="841"/>
    </row>
    <row r="13502" spans="1:1" x14ac:dyDescent="0.25">
      <c r="A13502" s="841"/>
    </row>
    <row r="13503" spans="1:1" x14ac:dyDescent="0.25">
      <c r="A13503" s="841"/>
    </row>
    <row r="13504" spans="1:1" x14ac:dyDescent="0.25">
      <c r="A13504" s="841"/>
    </row>
    <row r="13505" spans="1:1" x14ac:dyDescent="0.25">
      <c r="A13505" s="841"/>
    </row>
    <row r="13506" spans="1:1" x14ac:dyDescent="0.25">
      <c r="A13506" s="841"/>
    </row>
    <row r="13507" spans="1:1" x14ac:dyDescent="0.25">
      <c r="A13507" s="841"/>
    </row>
    <row r="13508" spans="1:1" x14ac:dyDescent="0.25">
      <c r="A13508" s="841"/>
    </row>
    <row r="13509" spans="1:1" x14ac:dyDescent="0.25">
      <c r="A13509" s="841"/>
    </row>
    <row r="13510" spans="1:1" x14ac:dyDescent="0.25">
      <c r="A13510" s="841"/>
    </row>
    <row r="13511" spans="1:1" x14ac:dyDescent="0.25">
      <c r="A13511" s="841"/>
    </row>
    <row r="13512" spans="1:1" x14ac:dyDescent="0.25">
      <c r="A13512" s="841"/>
    </row>
    <row r="13513" spans="1:1" x14ac:dyDescent="0.25">
      <c r="A13513" s="841"/>
    </row>
    <row r="13514" spans="1:1" x14ac:dyDescent="0.25">
      <c r="A13514" s="841"/>
    </row>
    <row r="13515" spans="1:1" x14ac:dyDescent="0.25">
      <c r="A13515" s="841"/>
    </row>
    <row r="13516" spans="1:1" x14ac:dyDescent="0.25">
      <c r="A13516" s="841"/>
    </row>
    <row r="13517" spans="1:1" x14ac:dyDescent="0.25">
      <c r="A13517" s="841"/>
    </row>
    <row r="13518" spans="1:1" x14ac:dyDescent="0.25">
      <c r="A13518" s="841"/>
    </row>
    <row r="13519" spans="1:1" x14ac:dyDescent="0.25">
      <c r="A13519" s="841"/>
    </row>
    <row r="13520" spans="1:1" x14ac:dyDescent="0.25">
      <c r="A13520" s="841"/>
    </row>
    <row r="13521" spans="1:1" x14ac:dyDescent="0.25">
      <c r="A13521" s="841"/>
    </row>
    <row r="13522" spans="1:1" x14ac:dyDescent="0.25">
      <c r="A13522" s="841"/>
    </row>
    <row r="13523" spans="1:1" x14ac:dyDescent="0.25">
      <c r="A13523" s="841"/>
    </row>
    <row r="13524" spans="1:1" x14ac:dyDescent="0.25">
      <c r="A13524" s="841"/>
    </row>
    <row r="13525" spans="1:1" x14ac:dyDescent="0.25">
      <c r="A13525" s="841"/>
    </row>
    <row r="13526" spans="1:1" x14ac:dyDescent="0.25">
      <c r="A13526" s="841"/>
    </row>
    <row r="13527" spans="1:1" x14ac:dyDescent="0.25">
      <c r="A13527" s="841"/>
    </row>
    <row r="13528" spans="1:1" x14ac:dyDescent="0.25">
      <c r="A13528" s="841"/>
    </row>
    <row r="13529" spans="1:1" x14ac:dyDescent="0.25">
      <c r="A13529" s="841"/>
    </row>
    <row r="13530" spans="1:1" x14ac:dyDescent="0.25">
      <c r="A13530" s="841"/>
    </row>
    <row r="13531" spans="1:1" x14ac:dyDescent="0.25">
      <c r="A13531" s="841"/>
    </row>
    <row r="13532" spans="1:1" x14ac:dyDescent="0.25">
      <c r="A13532" s="841"/>
    </row>
    <row r="13533" spans="1:1" x14ac:dyDescent="0.25">
      <c r="A13533" s="841"/>
    </row>
    <row r="13534" spans="1:1" x14ac:dyDescent="0.25">
      <c r="A13534" s="841"/>
    </row>
    <row r="13535" spans="1:1" x14ac:dyDescent="0.25">
      <c r="A13535" s="841"/>
    </row>
    <row r="13536" spans="1:1" x14ac:dyDescent="0.25">
      <c r="A13536" s="841"/>
    </row>
    <row r="13537" spans="1:1" x14ac:dyDescent="0.25">
      <c r="A13537" s="841"/>
    </row>
    <row r="13538" spans="1:1" x14ac:dyDescent="0.25">
      <c r="A13538" s="841"/>
    </row>
    <row r="13539" spans="1:1" x14ac:dyDescent="0.25">
      <c r="A13539" s="841"/>
    </row>
    <row r="13540" spans="1:1" x14ac:dyDescent="0.25">
      <c r="A13540" s="841"/>
    </row>
    <row r="13541" spans="1:1" x14ac:dyDescent="0.25">
      <c r="A13541" s="841"/>
    </row>
    <row r="13542" spans="1:1" x14ac:dyDescent="0.25">
      <c r="A13542" s="841"/>
    </row>
    <row r="13543" spans="1:1" x14ac:dyDescent="0.25">
      <c r="A13543" s="841"/>
    </row>
    <row r="13544" spans="1:1" x14ac:dyDescent="0.25">
      <c r="A13544" s="841"/>
    </row>
    <row r="13545" spans="1:1" x14ac:dyDescent="0.25">
      <c r="A13545" s="841"/>
    </row>
    <row r="13546" spans="1:1" x14ac:dyDescent="0.25">
      <c r="A13546" s="841"/>
    </row>
    <row r="13547" spans="1:1" x14ac:dyDescent="0.25">
      <c r="A13547" s="841"/>
    </row>
    <row r="13548" spans="1:1" x14ac:dyDescent="0.25">
      <c r="A13548" s="841"/>
    </row>
    <row r="13549" spans="1:1" x14ac:dyDescent="0.25">
      <c r="A13549" s="841"/>
    </row>
    <row r="13550" spans="1:1" x14ac:dyDescent="0.25">
      <c r="A13550" s="841"/>
    </row>
    <row r="13551" spans="1:1" x14ac:dyDescent="0.25">
      <c r="A13551" s="841"/>
    </row>
    <row r="13552" spans="1:1" x14ac:dyDescent="0.25">
      <c r="A13552" s="841"/>
    </row>
    <row r="13553" spans="1:1" x14ac:dyDescent="0.25">
      <c r="A13553" s="841"/>
    </row>
    <row r="13554" spans="1:1" x14ac:dyDescent="0.25">
      <c r="A13554" s="841"/>
    </row>
    <row r="13555" spans="1:1" x14ac:dyDescent="0.25">
      <c r="A13555" s="841"/>
    </row>
    <row r="13556" spans="1:1" x14ac:dyDescent="0.25">
      <c r="A13556" s="841"/>
    </row>
    <row r="13557" spans="1:1" x14ac:dyDescent="0.25">
      <c r="A13557" s="841"/>
    </row>
    <row r="13558" spans="1:1" x14ac:dyDescent="0.25">
      <c r="A13558" s="841"/>
    </row>
    <row r="13559" spans="1:1" x14ac:dyDescent="0.25">
      <c r="A13559" s="841"/>
    </row>
    <row r="13560" spans="1:1" x14ac:dyDescent="0.25">
      <c r="A13560" s="841"/>
    </row>
    <row r="13561" spans="1:1" x14ac:dyDescent="0.25">
      <c r="A13561" s="841"/>
    </row>
    <row r="13562" spans="1:1" x14ac:dyDescent="0.25">
      <c r="A13562" s="841"/>
    </row>
    <row r="13563" spans="1:1" x14ac:dyDescent="0.25">
      <c r="A13563" s="841"/>
    </row>
    <row r="13564" spans="1:1" x14ac:dyDescent="0.25">
      <c r="A13564" s="841"/>
    </row>
    <row r="13565" spans="1:1" x14ac:dyDescent="0.25">
      <c r="A13565" s="841"/>
    </row>
    <row r="13566" spans="1:1" x14ac:dyDescent="0.25">
      <c r="A13566" s="841"/>
    </row>
    <row r="13567" spans="1:1" x14ac:dyDescent="0.25">
      <c r="A13567" s="841"/>
    </row>
    <row r="13568" spans="1:1" x14ac:dyDescent="0.25">
      <c r="A13568" s="841"/>
    </row>
    <row r="13569" spans="1:1" x14ac:dyDescent="0.25">
      <c r="A13569" s="841"/>
    </row>
    <row r="13570" spans="1:1" x14ac:dyDescent="0.25">
      <c r="A13570" s="841"/>
    </row>
    <row r="13571" spans="1:1" x14ac:dyDescent="0.25">
      <c r="A13571" s="841"/>
    </row>
    <row r="13572" spans="1:1" x14ac:dyDescent="0.25">
      <c r="A13572" s="841"/>
    </row>
    <row r="13573" spans="1:1" x14ac:dyDescent="0.25">
      <c r="A13573" s="841"/>
    </row>
    <row r="13574" spans="1:1" x14ac:dyDescent="0.25">
      <c r="A13574" s="841"/>
    </row>
    <row r="13575" spans="1:1" x14ac:dyDescent="0.25">
      <c r="A13575" s="841"/>
    </row>
    <row r="13576" spans="1:1" x14ac:dyDescent="0.25">
      <c r="A13576" s="841"/>
    </row>
    <row r="13577" spans="1:1" x14ac:dyDescent="0.25">
      <c r="A13577" s="841"/>
    </row>
    <row r="13578" spans="1:1" x14ac:dyDescent="0.25">
      <c r="A13578" s="841"/>
    </row>
    <row r="13579" spans="1:1" x14ac:dyDescent="0.25">
      <c r="A13579" s="841"/>
    </row>
    <row r="13580" spans="1:1" x14ac:dyDescent="0.25">
      <c r="A13580" s="841"/>
    </row>
    <row r="13581" spans="1:1" x14ac:dyDescent="0.25">
      <c r="A13581" s="841"/>
    </row>
    <row r="13582" spans="1:1" x14ac:dyDescent="0.25">
      <c r="A13582" s="841"/>
    </row>
    <row r="13583" spans="1:1" x14ac:dyDescent="0.25">
      <c r="A13583" s="841"/>
    </row>
    <row r="13584" spans="1:1" x14ac:dyDescent="0.25">
      <c r="A13584" s="841"/>
    </row>
    <row r="13585" spans="1:1" x14ac:dyDescent="0.25">
      <c r="A13585" s="841"/>
    </row>
    <row r="13586" spans="1:1" x14ac:dyDescent="0.25">
      <c r="A13586" s="841"/>
    </row>
    <row r="13587" spans="1:1" x14ac:dyDescent="0.25">
      <c r="A13587" s="841"/>
    </row>
    <row r="13588" spans="1:1" x14ac:dyDescent="0.25">
      <c r="A13588" s="841"/>
    </row>
    <row r="13589" spans="1:1" x14ac:dyDescent="0.25">
      <c r="A13589" s="841"/>
    </row>
    <row r="13590" spans="1:1" x14ac:dyDescent="0.25">
      <c r="A13590" s="841"/>
    </row>
    <row r="13591" spans="1:1" x14ac:dyDescent="0.25">
      <c r="A13591" s="841"/>
    </row>
    <row r="13592" spans="1:1" x14ac:dyDescent="0.25">
      <c r="A13592" s="841"/>
    </row>
    <row r="13593" spans="1:1" x14ac:dyDescent="0.25">
      <c r="A13593" s="841"/>
    </row>
    <row r="13594" spans="1:1" x14ac:dyDescent="0.25">
      <c r="A13594" s="841"/>
    </row>
    <row r="13595" spans="1:1" x14ac:dyDescent="0.25">
      <c r="A13595" s="841"/>
    </row>
    <row r="13596" spans="1:1" x14ac:dyDescent="0.25">
      <c r="A13596" s="841"/>
    </row>
    <row r="13597" spans="1:1" x14ac:dyDescent="0.25">
      <c r="A13597" s="841"/>
    </row>
    <row r="13598" spans="1:1" x14ac:dyDescent="0.25">
      <c r="A13598" s="841"/>
    </row>
    <row r="13599" spans="1:1" x14ac:dyDescent="0.25">
      <c r="A13599" s="841"/>
    </row>
    <row r="13600" spans="1:1" x14ac:dyDescent="0.25">
      <c r="A13600" s="841"/>
    </row>
    <row r="13601" spans="1:1" x14ac:dyDescent="0.25">
      <c r="A13601" s="841"/>
    </row>
    <row r="13602" spans="1:1" x14ac:dyDescent="0.25">
      <c r="A13602" s="841"/>
    </row>
    <row r="13603" spans="1:1" x14ac:dyDescent="0.25">
      <c r="A13603" s="841"/>
    </row>
    <row r="13604" spans="1:1" x14ac:dyDescent="0.25">
      <c r="A13604" s="841"/>
    </row>
    <row r="13605" spans="1:1" x14ac:dyDescent="0.25">
      <c r="A13605" s="841"/>
    </row>
    <row r="13606" spans="1:1" x14ac:dyDescent="0.25">
      <c r="A13606" s="841"/>
    </row>
    <row r="13607" spans="1:1" x14ac:dyDescent="0.25">
      <c r="A13607" s="841"/>
    </row>
    <row r="13608" spans="1:1" x14ac:dyDescent="0.25">
      <c r="A13608" s="841"/>
    </row>
    <row r="13609" spans="1:1" x14ac:dyDescent="0.25">
      <c r="A13609" s="841"/>
    </row>
    <row r="13610" spans="1:1" x14ac:dyDescent="0.25">
      <c r="A13610" s="841"/>
    </row>
    <row r="13611" spans="1:1" x14ac:dyDescent="0.25">
      <c r="A13611" s="841"/>
    </row>
    <row r="13612" spans="1:1" x14ac:dyDescent="0.25">
      <c r="A13612" s="841"/>
    </row>
    <row r="13613" spans="1:1" x14ac:dyDescent="0.25">
      <c r="A13613" s="841"/>
    </row>
    <row r="13614" spans="1:1" x14ac:dyDescent="0.25">
      <c r="A13614" s="841"/>
    </row>
    <row r="13615" spans="1:1" x14ac:dyDescent="0.25">
      <c r="A13615" s="841"/>
    </row>
    <row r="13616" spans="1:1" x14ac:dyDescent="0.25">
      <c r="A13616" s="841"/>
    </row>
    <row r="13617" spans="1:1" x14ac:dyDescent="0.25">
      <c r="A13617" s="841"/>
    </row>
    <row r="13618" spans="1:1" x14ac:dyDescent="0.25">
      <c r="A13618" s="841"/>
    </row>
    <row r="13619" spans="1:1" x14ac:dyDescent="0.25">
      <c r="A13619" s="841"/>
    </row>
    <row r="13620" spans="1:1" x14ac:dyDescent="0.25">
      <c r="A13620" s="841"/>
    </row>
    <row r="13621" spans="1:1" x14ac:dyDescent="0.25">
      <c r="A13621" s="841"/>
    </row>
    <row r="13622" spans="1:1" x14ac:dyDescent="0.25">
      <c r="A13622" s="841"/>
    </row>
    <row r="13623" spans="1:1" x14ac:dyDescent="0.25">
      <c r="A13623" s="841"/>
    </row>
    <row r="13624" spans="1:1" x14ac:dyDescent="0.25">
      <c r="A13624" s="841"/>
    </row>
    <row r="13625" spans="1:1" x14ac:dyDescent="0.25">
      <c r="A13625" s="841"/>
    </row>
    <row r="13626" spans="1:1" x14ac:dyDescent="0.25">
      <c r="A13626" s="841"/>
    </row>
    <row r="13627" spans="1:1" x14ac:dyDescent="0.25">
      <c r="A13627" s="841"/>
    </row>
    <row r="13628" spans="1:1" x14ac:dyDescent="0.25">
      <c r="A13628" s="841"/>
    </row>
    <row r="13629" spans="1:1" x14ac:dyDescent="0.25">
      <c r="A13629" s="841"/>
    </row>
    <row r="13630" spans="1:1" x14ac:dyDescent="0.25">
      <c r="A13630" s="841"/>
    </row>
    <row r="13631" spans="1:1" x14ac:dyDescent="0.25">
      <c r="A13631" s="841"/>
    </row>
    <row r="13632" spans="1:1" x14ac:dyDescent="0.25">
      <c r="A13632" s="841"/>
    </row>
    <row r="13633" spans="1:1" x14ac:dyDescent="0.25">
      <c r="A13633" s="841"/>
    </row>
    <row r="13634" spans="1:1" x14ac:dyDescent="0.25">
      <c r="A13634" s="841"/>
    </row>
    <row r="13635" spans="1:1" x14ac:dyDescent="0.25">
      <c r="A13635" s="841"/>
    </row>
    <row r="13636" spans="1:1" x14ac:dyDescent="0.25">
      <c r="A13636" s="841"/>
    </row>
    <row r="13637" spans="1:1" x14ac:dyDescent="0.25">
      <c r="A13637" s="841"/>
    </row>
    <row r="13638" spans="1:1" x14ac:dyDescent="0.25">
      <c r="A13638" s="841"/>
    </row>
    <row r="13639" spans="1:1" x14ac:dyDescent="0.25">
      <c r="A13639" s="841"/>
    </row>
    <row r="13640" spans="1:1" x14ac:dyDescent="0.25">
      <c r="A13640" s="841"/>
    </row>
    <row r="13641" spans="1:1" x14ac:dyDescent="0.25">
      <c r="A13641" s="841"/>
    </row>
    <row r="13642" spans="1:1" x14ac:dyDescent="0.25">
      <c r="A13642" s="841"/>
    </row>
    <row r="13643" spans="1:1" x14ac:dyDescent="0.25">
      <c r="A13643" s="841"/>
    </row>
    <row r="13644" spans="1:1" x14ac:dyDescent="0.25">
      <c r="A13644" s="841"/>
    </row>
    <row r="13645" spans="1:1" x14ac:dyDescent="0.25">
      <c r="A13645" s="841"/>
    </row>
    <row r="13646" spans="1:1" x14ac:dyDescent="0.25">
      <c r="A13646" s="841"/>
    </row>
    <row r="13647" spans="1:1" x14ac:dyDescent="0.25">
      <c r="A13647" s="841"/>
    </row>
    <row r="13648" spans="1:1" x14ac:dyDescent="0.25">
      <c r="A13648" s="841"/>
    </row>
    <row r="13649" spans="1:1" x14ac:dyDescent="0.25">
      <c r="A13649" s="841"/>
    </row>
    <row r="13650" spans="1:1" x14ac:dyDescent="0.25">
      <c r="A13650" s="841"/>
    </row>
    <row r="13651" spans="1:1" x14ac:dyDescent="0.25">
      <c r="A13651" s="841"/>
    </row>
    <row r="13652" spans="1:1" x14ac:dyDescent="0.25">
      <c r="A13652" s="841"/>
    </row>
    <row r="13653" spans="1:1" x14ac:dyDescent="0.25">
      <c r="A13653" s="841"/>
    </row>
    <row r="13654" spans="1:1" x14ac:dyDescent="0.25">
      <c r="A13654" s="841"/>
    </row>
    <row r="13655" spans="1:1" x14ac:dyDescent="0.25">
      <c r="A13655" s="841"/>
    </row>
    <row r="13656" spans="1:1" x14ac:dyDescent="0.25">
      <c r="A13656" s="841"/>
    </row>
    <row r="13657" spans="1:1" x14ac:dyDescent="0.25">
      <c r="A13657" s="841"/>
    </row>
    <row r="13658" spans="1:1" x14ac:dyDescent="0.25">
      <c r="A13658" s="841"/>
    </row>
    <row r="13659" spans="1:1" x14ac:dyDescent="0.25">
      <c r="A13659" s="841"/>
    </row>
    <row r="13660" spans="1:1" x14ac:dyDescent="0.25">
      <c r="A13660" s="841"/>
    </row>
    <row r="13661" spans="1:1" x14ac:dyDescent="0.25">
      <c r="A13661" s="841"/>
    </row>
    <row r="13662" spans="1:1" x14ac:dyDescent="0.25">
      <c r="A13662" s="841"/>
    </row>
    <row r="13663" spans="1:1" x14ac:dyDescent="0.25">
      <c r="A13663" s="841"/>
    </row>
    <row r="13664" spans="1:1" x14ac:dyDescent="0.25">
      <c r="A13664" s="841"/>
    </row>
    <row r="13665" spans="1:1" x14ac:dyDescent="0.25">
      <c r="A13665" s="841"/>
    </row>
    <row r="13666" spans="1:1" x14ac:dyDescent="0.25">
      <c r="A13666" s="841"/>
    </row>
    <row r="13667" spans="1:1" x14ac:dyDescent="0.25">
      <c r="A13667" s="841"/>
    </row>
    <row r="13668" spans="1:1" x14ac:dyDescent="0.25">
      <c r="A13668" s="841"/>
    </row>
    <row r="13669" spans="1:1" x14ac:dyDescent="0.25">
      <c r="A13669" s="841"/>
    </row>
    <row r="13670" spans="1:1" x14ac:dyDescent="0.25">
      <c r="A13670" s="841"/>
    </row>
    <row r="13671" spans="1:1" x14ac:dyDescent="0.25">
      <c r="A13671" s="841"/>
    </row>
    <row r="13672" spans="1:1" x14ac:dyDescent="0.25">
      <c r="A13672" s="841"/>
    </row>
    <row r="13673" spans="1:1" x14ac:dyDescent="0.25">
      <c r="A13673" s="841"/>
    </row>
    <row r="13674" spans="1:1" x14ac:dyDescent="0.25">
      <c r="A13674" s="841"/>
    </row>
    <row r="13675" spans="1:1" x14ac:dyDescent="0.25">
      <c r="A13675" s="841"/>
    </row>
    <row r="13676" spans="1:1" x14ac:dyDescent="0.25">
      <c r="A13676" s="841"/>
    </row>
    <row r="13677" spans="1:1" x14ac:dyDescent="0.25">
      <c r="A13677" s="841"/>
    </row>
    <row r="13678" spans="1:1" x14ac:dyDescent="0.25">
      <c r="A13678" s="841"/>
    </row>
    <row r="13679" spans="1:1" x14ac:dyDescent="0.25">
      <c r="A13679" s="841"/>
    </row>
    <row r="13680" spans="1:1" x14ac:dyDescent="0.25">
      <c r="A13680" s="841"/>
    </row>
    <row r="13681" spans="1:1" x14ac:dyDescent="0.25">
      <c r="A13681" s="841"/>
    </row>
    <row r="13682" spans="1:1" x14ac:dyDescent="0.25">
      <c r="A13682" s="841"/>
    </row>
    <row r="13683" spans="1:1" x14ac:dyDescent="0.25">
      <c r="A13683" s="841"/>
    </row>
    <row r="13684" spans="1:1" x14ac:dyDescent="0.25">
      <c r="A13684" s="841"/>
    </row>
    <row r="13685" spans="1:1" x14ac:dyDescent="0.25">
      <c r="A13685" s="841"/>
    </row>
    <row r="13686" spans="1:1" x14ac:dyDescent="0.25">
      <c r="A13686" s="841"/>
    </row>
    <row r="13687" spans="1:1" x14ac:dyDescent="0.25">
      <c r="A13687" s="841"/>
    </row>
    <row r="13688" spans="1:1" x14ac:dyDescent="0.25">
      <c r="A13688" s="841"/>
    </row>
    <row r="13689" spans="1:1" x14ac:dyDescent="0.25">
      <c r="A13689" s="841"/>
    </row>
    <row r="13690" spans="1:1" x14ac:dyDescent="0.25">
      <c r="A13690" s="841"/>
    </row>
    <row r="13691" spans="1:1" x14ac:dyDescent="0.25">
      <c r="A13691" s="841"/>
    </row>
    <row r="13692" spans="1:1" x14ac:dyDescent="0.25">
      <c r="A13692" s="841"/>
    </row>
    <row r="13693" spans="1:1" x14ac:dyDescent="0.25">
      <c r="A13693" s="841"/>
    </row>
    <row r="13694" spans="1:1" x14ac:dyDescent="0.25">
      <c r="A13694" s="841"/>
    </row>
    <row r="13695" spans="1:1" x14ac:dyDescent="0.25">
      <c r="A13695" s="841"/>
    </row>
    <row r="13696" spans="1:1" x14ac:dyDescent="0.25">
      <c r="A13696" s="841"/>
    </row>
    <row r="13697" spans="1:1" x14ac:dyDescent="0.25">
      <c r="A13697" s="841"/>
    </row>
    <row r="13698" spans="1:1" x14ac:dyDescent="0.25">
      <c r="A13698" s="841"/>
    </row>
    <row r="13699" spans="1:1" x14ac:dyDescent="0.25">
      <c r="A13699" s="841"/>
    </row>
    <row r="13700" spans="1:1" x14ac:dyDescent="0.25">
      <c r="A13700" s="841"/>
    </row>
    <row r="13701" spans="1:1" x14ac:dyDescent="0.25">
      <c r="A13701" s="841"/>
    </row>
    <row r="13702" spans="1:1" x14ac:dyDescent="0.25">
      <c r="A13702" s="841"/>
    </row>
    <row r="13703" spans="1:1" x14ac:dyDescent="0.25">
      <c r="A13703" s="841"/>
    </row>
    <row r="13704" spans="1:1" x14ac:dyDescent="0.25">
      <c r="A13704" s="841"/>
    </row>
    <row r="13705" spans="1:1" x14ac:dyDescent="0.25">
      <c r="A13705" s="841"/>
    </row>
    <row r="13706" spans="1:1" x14ac:dyDescent="0.25">
      <c r="A13706" s="841"/>
    </row>
    <row r="13707" spans="1:1" x14ac:dyDescent="0.25">
      <c r="A13707" s="841"/>
    </row>
    <row r="13708" spans="1:1" x14ac:dyDescent="0.25">
      <c r="A13708" s="841"/>
    </row>
    <row r="13709" spans="1:1" x14ac:dyDescent="0.25">
      <c r="A13709" s="841"/>
    </row>
    <row r="13710" spans="1:1" x14ac:dyDescent="0.25">
      <c r="A13710" s="841"/>
    </row>
    <row r="13711" spans="1:1" x14ac:dyDescent="0.25">
      <c r="A13711" s="841"/>
    </row>
    <row r="13712" spans="1:1" x14ac:dyDescent="0.25">
      <c r="A13712" s="841"/>
    </row>
    <row r="13713" spans="1:1" x14ac:dyDescent="0.25">
      <c r="A13713" s="841"/>
    </row>
    <row r="13714" spans="1:1" x14ac:dyDescent="0.25">
      <c r="A13714" s="841"/>
    </row>
    <row r="13715" spans="1:1" x14ac:dyDescent="0.25">
      <c r="A13715" s="841"/>
    </row>
    <row r="13716" spans="1:1" x14ac:dyDescent="0.25">
      <c r="A13716" s="841"/>
    </row>
    <row r="13717" spans="1:1" x14ac:dyDescent="0.25">
      <c r="A13717" s="841"/>
    </row>
    <row r="13718" spans="1:1" x14ac:dyDescent="0.25">
      <c r="A13718" s="841"/>
    </row>
    <row r="13719" spans="1:1" x14ac:dyDescent="0.25">
      <c r="A13719" s="841"/>
    </row>
    <row r="13720" spans="1:1" x14ac:dyDescent="0.25">
      <c r="A13720" s="841"/>
    </row>
    <row r="13721" spans="1:1" x14ac:dyDescent="0.25">
      <c r="A13721" s="841"/>
    </row>
    <row r="13722" spans="1:1" x14ac:dyDescent="0.25">
      <c r="A13722" s="841"/>
    </row>
    <row r="13723" spans="1:1" x14ac:dyDescent="0.25">
      <c r="A13723" s="841"/>
    </row>
    <row r="13724" spans="1:1" x14ac:dyDescent="0.25">
      <c r="A13724" s="841"/>
    </row>
    <row r="13725" spans="1:1" x14ac:dyDescent="0.25">
      <c r="A13725" s="841"/>
    </row>
    <row r="13726" spans="1:1" x14ac:dyDescent="0.25">
      <c r="A13726" s="841"/>
    </row>
    <row r="13727" spans="1:1" x14ac:dyDescent="0.25">
      <c r="A13727" s="841"/>
    </row>
    <row r="13728" spans="1:1" x14ac:dyDescent="0.25">
      <c r="A13728" s="841"/>
    </row>
    <row r="13729" spans="1:1" x14ac:dyDescent="0.25">
      <c r="A13729" s="841"/>
    </row>
    <row r="13730" spans="1:1" x14ac:dyDescent="0.25">
      <c r="A13730" s="841"/>
    </row>
    <row r="13731" spans="1:1" x14ac:dyDescent="0.25">
      <c r="A13731" s="841"/>
    </row>
    <row r="13732" spans="1:1" x14ac:dyDescent="0.25">
      <c r="A13732" s="841"/>
    </row>
    <row r="13733" spans="1:1" x14ac:dyDescent="0.25">
      <c r="A13733" s="841"/>
    </row>
    <row r="13734" spans="1:1" x14ac:dyDescent="0.25">
      <c r="A13734" s="841"/>
    </row>
    <row r="13735" spans="1:1" x14ac:dyDescent="0.25">
      <c r="A13735" s="841"/>
    </row>
    <row r="13736" spans="1:1" x14ac:dyDescent="0.25">
      <c r="A13736" s="841"/>
    </row>
    <row r="13737" spans="1:1" x14ac:dyDescent="0.25">
      <c r="A13737" s="841"/>
    </row>
    <row r="13738" spans="1:1" x14ac:dyDescent="0.25">
      <c r="A13738" s="841"/>
    </row>
    <row r="13739" spans="1:1" x14ac:dyDescent="0.25">
      <c r="A13739" s="841"/>
    </row>
    <row r="13740" spans="1:1" x14ac:dyDescent="0.25">
      <c r="A13740" s="841"/>
    </row>
    <row r="13741" spans="1:1" x14ac:dyDescent="0.25">
      <c r="A13741" s="841"/>
    </row>
    <row r="13742" spans="1:1" x14ac:dyDescent="0.25">
      <c r="A13742" s="841"/>
    </row>
    <row r="13743" spans="1:1" x14ac:dyDescent="0.25">
      <c r="A13743" s="841"/>
    </row>
    <row r="13744" spans="1:1" x14ac:dyDescent="0.25">
      <c r="A13744" s="841"/>
    </row>
    <row r="13745" spans="1:1" x14ac:dyDescent="0.25">
      <c r="A13745" s="841"/>
    </row>
    <row r="13746" spans="1:1" x14ac:dyDescent="0.25">
      <c r="A13746" s="841"/>
    </row>
    <row r="13747" spans="1:1" x14ac:dyDescent="0.25">
      <c r="A13747" s="841"/>
    </row>
    <row r="13748" spans="1:1" x14ac:dyDescent="0.25">
      <c r="A13748" s="841"/>
    </row>
    <row r="13749" spans="1:1" x14ac:dyDescent="0.25">
      <c r="A13749" s="841"/>
    </row>
    <row r="13750" spans="1:1" x14ac:dyDescent="0.25">
      <c r="A13750" s="841"/>
    </row>
    <row r="13751" spans="1:1" x14ac:dyDescent="0.25">
      <c r="A13751" s="841"/>
    </row>
    <row r="13752" spans="1:1" x14ac:dyDescent="0.25">
      <c r="A13752" s="841"/>
    </row>
    <row r="13753" spans="1:1" x14ac:dyDescent="0.25">
      <c r="A13753" s="841"/>
    </row>
    <row r="13754" spans="1:1" x14ac:dyDescent="0.25">
      <c r="A13754" s="841"/>
    </row>
    <row r="13755" spans="1:1" x14ac:dyDescent="0.25">
      <c r="A13755" s="841"/>
    </row>
    <row r="13756" spans="1:1" x14ac:dyDescent="0.25">
      <c r="A13756" s="841"/>
    </row>
    <row r="13757" spans="1:1" x14ac:dyDescent="0.25">
      <c r="A13757" s="841"/>
    </row>
    <row r="13758" spans="1:1" x14ac:dyDescent="0.25">
      <c r="A13758" s="841"/>
    </row>
    <row r="13759" spans="1:1" x14ac:dyDescent="0.25">
      <c r="A13759" s="841"/>
    </row>
    <row r="13760" spans="1:1" x14ac:dyDescent="0.25">
      <c r="A13760" s="841"/>
    </row>
    <row r="13761" spans="1:1" x14ac:dyDescent="0.25">
      <c r="A13761" s="841"/>
    </row>
    <row r="13762" spans="1:1" x14ac:dyDescent="0.25">
      <c r="A13762" s="841"/>
    </row>
    <row r="13763" spans="1:1" x14ac:dyDescent="0.25">
      <c r="A13763" s="841"/>
    </row>
    <row r="13764" spans="1:1" x14ac:dyDescent="0.25">
      <c r="A13764" s="841"/>
    </row>
    <row r="13765" spans="1:1" x14ac:dyDescent="0.25">
      <c r="A13765" s="841"/>
    </row>
    <row r="13766" spans="1:1" x14ac:dyDescent="0.25">
      <c r="A13766" s="841"/>
    </row>
    <row r="13767" spans="1:1" x14ac:dyDescent="0.25">
      <c r="A13767" s="841"/>
    </row>
    <row r="13768" spans="1:1" x14ac:dyDescent="0.25">
      <c r="A13768" s="841"/>
    </row>
    <row r="13769" spans="1:1" x14ac:dyDescent="0.25">
      <c r="A13769" s="841"/>
    </row>
    <row r="13770" spans="1:1" x14ac:dyDescent="0.25">
      <c r="A13770" s="841"/>
    </row>
    <row r="13771" spans="1:1" x14ac:dyDescent="0.25">
      <c r="A13771" s="841"/>
    </row>
    <row r="13772" spans="1:1" x14ac:dyDescent="0.25">
      <c r="A13772" s="841"/>
    </row>
    <row r="13773" spans="1:1" x14ac:dyDescent="0.25">
      <c r="A13773" s="841"/>
    </row>
    <row r="13774" spans="1:1" x14ac:dyDescent="0.25">
      <c r="A13774" s="841"/>
    </row>
    <row r="13775" spans="1:1" x14ac:dyDescent="0.25">
      <c r="A13775" s="841"/>
    </row>
    <row r="13776" spans="1:1" x14ac:dyDescent="0.25">
      <c r="A13776" s="841"/>
    </row>
    <row r="13777" spans="1:1" x14ac:dyDescent="0.25">
      <c r="A13777" s="841"/>
    </row>
    <row r="13778" spans="1:1" x14ac:dyDescent="0.25">
      <c r="A13778" s="841"/>
    </row>
    <row r="13779" spans="1:1" x14ac:dyDescent="0.25">
      <c r="A13779" s="841"/>
    </row>
    <row r="13780" spans="1:1" x14ac:dyDescent="0.25">
      <c r="A13780" s="841"/>
    </row>
    <row r="13781" spans="1:1" x14ac:dyDescent="0.25">
      <c r="A13781" s="841"/>
    </row>
    <row r="13782" spans="1:1" x14ac:dyDescent="0.25">
      <c r="A13782" s="841"/>
    </row>
    <row r="13783" spans="1:1" x14ac:dyDescent="0.25">
      <c r="A13783" s="841"/>
    </row>
    <row r="13784" spans="1:1" x14ac:dyDescent="0.25">
      <c r="A13784" s="841"/>
    </row>
    <row r="13785" spans="1:1" x14ac:dyDescent="0.25">
      <c r="A13785" s="841"/>
    </row>
    <row r="13786" spans="1:1" x14ac:dyDescent="0.25">
      <c r="A13786" s="841"/>
    </row>
    <row r="13787" spans="1:1" x14ac:dyDescent="0.25">
      <c r="A13787" s="841"/>
    </row>
    <row r="13788" spans="1:1" x14ac:dyDescent="0.25">
      <c r="A13788" s="841"/>
    </row>
    <row r="13789" spans="1:1" x14ac:dyDescent="0.25">
      <c r="A13789" s="841"/>
    </row>
    <row r="13790" spans="1:1" x14ac:dyDescent="0.25">
      <c r="A13790" s="841"/>
    </row>
    <row r="13791" spans="1:1" x14ac:dyDescent="0.25">
      <c r="A13791" s="841"/>
    </row>
    <row r="13792" spans="1:1" x14ac:dyDescent="0.25">
      <c r="A13792" s="841"/>
    </row>
    <row r="13793" spans="1:1" x14ac:dyDescent="0.25">
      <c r="A13793" s="841"/>
    </row>
    <row r="13794" spans="1:1" x14ac:dyDescent="0.25">
      <c r="A13794" s="841"/>
    </row>
    <row r="13795" spans="1:1" x14ac:dyDescent="0.25">
      <c r="A13795" s="841"/>
    </row>
    <row r="13796" spans="1:1" x14ac:dyDescent="0.25">
      <c r="A13796" s="841"/>
    </row>
    <row r="13797" spans="1:1" x14ac:dyDescent="0.25">
      <c r="A13797" s="841"/>
    </row>
    <row r="13798" spans="1:1" x14ac:dyDescent="0.25">
      <c r="A13798" s="841"/>
    </row>
    <row r="13799" spans="1:1" x14ac:dyDescent="0.25">
      <c r="A13799" s="841"/>
    </row>
    <row r="13800" spans="1:1" x14ac:dyDescent="0.25">
      <c r="A13800" s="841"/>
    </row>
    <row r="13801" spans="1:1" x14ac:dyDescent="0.25">
      <c r="A13801" s="841"/>
    </row>
    <row r="13802" spans="1:1" x14ac:dyDescent="0.25">
      <c r="A13802" s="841"/>
    </row>
    <row r="13803" spans="1:1" x14ac:dyDescent="0.25">
      <c r="A13803" s="841"/>
    </row>
    <row r="13804" spans="1:1" x14ac:dyDescent="0.25">
      <c r="A13804" s="841"/>
    </row>
    <row r="13805" spans="1:1" x14ac:dyDescent="0.25">
      <c r="A13805" s="841"/>
    </row>
    <row r="13806" spans="1:1" x14ac:dyDescent="0.25">
      <c r="A13806" s="841"/>
    </row>
    <row r="13807" spans="1:1" x14ac:dyDescent="0.25">
      <c r="A13807" s="841"/>
    </row>
    <row r="13808" spans="1:1" x14ac:dyDescent="0.25">
      <c r="A13808" s="841"/>
    </row>
    <row r="13809" spans="1:1" x14ac:dyDescent="0.25">
      <c r="A13809" s="841"/>
    </row>
    <row r="13810" spans="1:1" x14ac:dyDescent="0.25">
      <c r="A13810" s="841"/>
    </row>
    <row r="13811" spans="1:1" x14ac:dyDescent="0.25">
      <c r="A13811" s="841"/>
    </row>
    <row r="13812" spans="1:1" x14ac:dyDescent="0.25">
      <c r="A13812" s="841"/>
    </row>
    <row r="13813" spans="1:1" x14ac:dyDescent="0.25">
      <c r="A13813" s="841"/>
    </row>
    <row r="13814" spans="1:1" x14ac:dyDescent="0.25">
      <c r="A13814" s="841"/>
    </row>
    <row r="13815" spans="1:1" x14ac:dyDescent="0.25">
      <c r="A13815" s="841"/>
    </row>
    <row r="13816" spans="1:1" x14ac:dyDescent="0.25">
      <c r="A13816" s="841"/>
    </row>
    <row r="13817" spans="1:1" x14ac:dyDescent="0.25">
      <c r="A13817" s="841"/>
    </row>
    <row r="13818" spans="1:1" x14ac:dyDescent="0.25">
      <c r="A13818" s="841"/>
    </row>
    <row r="13819" spans="1:1" x14ac:dyDescent="0.25">
      <c r="A13819" s="841"/>
    </row>
    <row r="13820" spans="1:1" x14ac:dyDescent="0.25">
      <c r="A13820" s="841"/>
    </row>
    <row r="13821" spans="1:1" x14ac:dyDescent="0.25">
      <c r="A13821" s="841"/>
    </row>
    <row r="13822" spans="1:1" x14ac:dyDescent="0.25">
      <c r="A13822" s="841"/>
    </row>
    <row r="13823" spans="1:1" x14ac:dyDescent="0.25">
      <c r="A13823" s="841"/>
    </row>
    <row r="13824" spans="1:1" x14ac:dyDescent="0.25">
      <c r="A13824" s="841"/>
    </row>
    <row r="13825" spans="1:1" x14ac:dyDescent="0.25">
      <c r="A13825" s="841"/>
    </row>
    <row r="13826" spans="1:1" x14ac:dyDescent="0.25">
      <c r="A13826" s="841"/>
    </row>
    <row r="13827" spans="1:1" x14ac:dyDescent="0.25">
      <c r="A13827" s="841"/>
    </row>
    <row r="13828" spans="1:1" x14ac:dyDescent="0.25">
      <c r="A13828" s="841"/>
    </row>
    <row r="13829" spans="1:1" x14ac:dyDescent="0.25">
      <c r="A13829" s="841"/>
    </row>
    <row r="13830" spans="1:1" x14ac:dyDescent="0.25">
      <c r="A13830" s="841"/>
    </row>
    <row r="13831" spans="1:1" x14ac:dyDescent="0.25">
      <c r="A13831" s="841"/>
    </row>
    <row r="13832" spans="1:1" x14ac:dyDescent="0.25">
      <c r="A13832" s="841"/>
    </row>
    <row r="13833" spans="1:1" x14ac:dyDescent="0.25">
      <c r="A13833" s="841"/>
    </row>
    <row r="13834" spans="1:1" x14ac:dyDescent="0.25">
      <c r="A13834" s="841"/>
    </row>
    <row r="13835" spans="1:1" x14ac:dyDescent="0.25">
      <c r="A13835" s="841"/>
    </row>
    <row r="13836" spans="1:1" x14ac:dyDescent="0.25">
      <c r="A13836" s="841"/>
    </row>
    <row r="13837" spans="1:1" x14ac:dyDescent="0.25">
      <c r="A13837" s="841"/>
    </row>
    <row r="13838" spans="1:1" x14ac:dyDescent="0.25">
      <c r="A13838" s="841"/>
    </row>
    <row r="13839" spans="1:1" x14ac:dyDescent="0.25">
      <c r="A13839" s="841"/>
    </row>
    <row r="13840" spans="1:1" x14ac:dyDescent="0.25">
      <c r="A13840" s="841"/>
    </row>
    <row r="13841" spans="1:1" x14ac:dyDescent="0.25">
      <c r="A13841" s="841"/>
    </row>
    <row r="13842" spans="1:1" x14ac:dyDescent="0.25">
      <c r="A13842" s="841"/>
    </row>
    <row r="13843" spans="1:1" x14ac:dyDescent="0.25">
      <c r="A13843" s="841"/>
    </row>
    <row r="13844" spans="1:1" x14ac:dyDescent="0.25">
      <c r="A13844" s="841"/>
    </row>
    <row r="13845" spans="1:1" x14ac:dyDescent="0.25">
      <c r="A13845" s="841"/>
    </row>
    <row r="13846" spans="1:1" x14ac:dyDescent="0.25">
      <c r="A13846" s="841"/>
    </row>
    <row r="13847" spans="1:1" x14ac:dyDescent="0.25">
      <c r="A13847" s="841"/>
    </row>
    <row r="13848" spans="1:1" x14ac:dyDescent="0.25">
      <c r="A13848" s="841"/>
    </row>
    <row r="13849" spans="1:1" x14ac:dyDescent="0.25">
      <c r="A13849" s="841"/>
    </row>
    <row r="13850" spans="1:1" x14ac:dyDescent="0.25">
      <c r="A13850" s="841"/>
    </row>
    <row r="13851" spans="1:1" x14ac:dyDescent="0.25">
      <c r="A13851" s="841"/>
    </row>
    <row r="13852" spans="1:1" x14ac:dyDescent="0.25">
      <c r="A13852" s="841"/>
    </row>
    <row r="13853" spans="1:1" x14ac:dyDescent="0.25">
      <c r="A13853" s="841"/>
    </row>
    <row r="13854" spans="1:1" x14ac:dyDescent="0.25">
      <c r="A13854" s="841"/>
    </row>
    <row r="13855" spans="1:1" x14ac:dyDescent="0.25">
      <c r="A13855" s="841"/>
    </row>
    <row r="13856" spans="1:1" x14ac:dyDescent="0.25">
      <c r="A13856" s="841"/>
    </row>
    <row r="13857" spans="1:1" x14ac:dyDescent="0.25">
      <c r="A13857" s="841"/>
    </row>
    <row r="13858" spans="1:1" x14ac:dyDescent="0.25">
      <c r="A13858" s="841"/>
    </row>
    <row r="13859" spans="1:1" x14ac:dyDescent="0.25">
      <c r="A13859" s="841"/>
    </row>
    <row r="13860" spans="1:1" x14ac:dyDescent="0.25">
      <c r="A13860" s="841"/>
    </row>
    <row r="13861" spans="1:1" x14ac:dyDescent="0.25">
      <c r="A13861" s="841"/>
    </row>
    <row r="13862" spans="1:1" x14ac:dyDescent="0.25">
      <c r="A13862" s="841"/>
    </row>
    <row r="13863" spans="1:1" x14ac:dyDescent="0.25">
      <c r="A13863" s="841"/>
    </row>
    <row r="13864" spans="1:1" x14ac:dyDescent="0.25">
      <c r="A13864" s="841"/>
    </row>
    <row r="13865" spans="1:1" x14ac:dyDescent="0.25">
      <c r="A13865" s="841"/>
    </row>
    <row r="13866" spans="1:1" x14ac:dyDescent="0.25">
      <c r="A13866" s="841"/>
    </row>
    <row r="13867" spans="1:1" x14ac:dyDescent="0.25">
      <c r="A13867" s="841"/>
    </row>
    <row r="13868" spans="1:1" x14ac:dyDescent="0.25">
      <c r="A13868" s="841"/>
    </row>
    <row r="13869" spans="1:1" x14ac:dyDescent="0.25">
      <c r="A13869" s="841"/>
    </row>
    <row r="13870" spans="1:1" x14ac:dyDescent="0.25">
      <c r="A13870" s="841"/>
    </row>
    <row r="13871" spans="1:1" x14ac:dyDescent="0.25">
      <c r="A13871" s="841"/>
    </row>
    <row r="13872" spans="1:1" x14ac:dyDescent="0.25">
      <c r="A13872" s="841"/>
    </row>
    <row r="13873" spans="1:1" x14ac:dyDescent="0.25">
      <c r="A13873" s="841"/>
    </row>
    <row r="13874" spans="1:1" x14ac:dyDescent="0.25">
      <c r="A13874" s="841"/>
    </row>
    <row r="13875" spans="1:1" x14ac:dyDescent="0.25">
      <c r="A13875" s="841"/>
    </row>
    <row r="13876" spans="1:1" x14ac:dyDescent="0.25">
      <c r="A13876" s="841"/>
    </row>
    <row r="13877" spans="1:1" x14ac:dyDescent="0.25">
      <c r="A13877" s="841"/>
    </row>
    <row r="13878" spans="1:1" x14ac:dyDescent="0.25">
      <c r="A13878" s="841"/>
    </row>
    <row r="13879" spans="1:1" x14ac:dyDescent="0.25">
      <c r="A13879" s="841"/>
    </row>
    <row r="13880" spans="1:1" x14ac:dyDescent="0.25">
      <c r="A13880" s="841"/>
    </row>
    <row r="13881" spans="1:1" x14ac:dyDescent="0.25">
      <c r="A13881" s="841"/>
    </row>
    <row r="13882" spans="1:1" x14ac:dyDescent="0.25">
      <c r="A13882" s="841"/>
    </row>
    <row r="13883" spans="1:1" x14ac:dyDescent="0.25">
      <c r="A13883" s="841"/>
    </row>
    <row r="13884" spans="1:1" x14ac:dyDescent="0.25">
      <c r="A13884" s="841"/>
    </row>
    <row r="13885" spans="1:1" x14ac:dyDescent="0.25">
      <c r="A13885" s="841"/>
    </row>
    <row r="13886" spans="1:1" x14ac:dyDescent="0.25">
      <c r="A13886" s="841"/>
    </row>
    <row r="13887" spans="1:1" x14ac:dyDescent="0.25">
      <c r="A13887" s="841"/>
    </row>
    <row r="13888" spans="1:1" x14ac:dyDescent="0.25">
      <c r="A13888" s="841"/>
    </row>
    <row r="13889" spans="1:1" x14ac:dyDescent="0.25">
      <c r="A13889" s="841"/>
    </row>
    <row r="13890" spans="1:1" x14ac:dyDescent="0.25">
      <c r="A13890" s="841"/>
    </row>
    <row r="13891" spans="1:1" x14ac:dyDescent="0.25">
      <c r="A13891" s="841"/>
    </row>
    <row r="13892" spans="1:1" x14ac:dyDescent="0.25">
      <c r="A13892" s="841"/>
    </row>
    <row r="13893" spans="1:1" x14ac:dyDescent="0.25">
      <c r="A13893" s="841"/>
    </row>
    <row r="13894" spans="1:1" x14ac:dyDescent="0.25">
      <c r="A13894" s="841"/>
    </row>
    <row r="13895" spans="1:1" x14ac:dyDescent="0.25">
      <c r="A13895" s="841"/>
    </row>
    <row r="13896" spans="1:1" x14ac:dyDescent="0.25">
      <c r="A13896" s="841"/>
    </row>
    <row r="13897" spans="1:1" x14ac:dyDescent="0.25">
      <c r="A13897" s="841"/>
    </row>
    <row r="13898" spans="1:1" x14ac:dyDescent="0.25">
      <c r="A13898" s="841"/>
    </row>
    <row r="13899" spans="1:1" x14ac:dyDescent="0.25">
      <c r="A13899" s="841"/>
    </row>
    <row r="13900" spans="1:1" x14ac:dyDescent="0.25">
      <c r="A13900" s="841"/>
    </row>
    <row r="13901" spans="1:1" x14ac:dyDescent="0.25">
      <c r="A13901" s="841"/>
    </row>
    <row r="13902" spans="1:1" x14ac:dyDescent="0.25">
      <c r="A13902" s="841"/>
    </row>
    <row r="13903" spans="1:1" x14ac:dyDescent="0.25">
      <c r="A13903" s="841"/>
    </row>
    <row r="13904" spans="1:1" x14ac:dyDescent="0.25">
      <c r="A13904" s="841"/>
    </row>
    <row r="13905" spans="1:1" x14ac:dyDescent="0.25">
      <c r="A13905" s="841"/>
    </row>
    <row r="13906" spans="1:1" x14ac:dyDescent="0.25">
      <c r="A13906" s="841"/>
    </row>
    <row r="13907" spans="1:1" x14ac:dyDescent="0.25">
      <c r="A13907" s="841"/>
    </row>
    <row r="13908" spans="1:1" x14ac:dyDescent="0.25">
      <c r="A13908" s="841"/>
    </row>
    <row r="13909" spans="1:1" x14ac:dyDescent="0.25">
      <c r="A13909" s="841"/>
    </row>
    <row r="13910" spans="1:1" x14ac:dyDescent="0.25">
      <c r="A13910" s="841"/>
    </row>
    <row r="13911" spans="1:1" x14ac:dyDescent="0.25">
      <c r="A13911" s="841"/>
    </row>
    <row r="13912" spans="1:1" x14ac:dyDescent="0.25">
      <c r="A13912" s="841"/>
    </row>
    <row r="13913" spans="1:1" x14ac:dyDescent="0.25">
      <c r="A13913" s="841"/>
    </row>
    <row r="13914" spans="1:1" x14ac:dyDescent="0.25">
      <c r="A13914" s="841"/>
    </row>
    <row r="13915" spans="1:1" x14ac:dyDescent="0.25">
      <c r="A13915" s="841"/>
    </row>
    <row r="13916" spans="1:1" x14ac:dyDescent="0.25">
      <c r="A13916" s="841"/>
    </row>
    <row r="13917" spans="1:1" x14ac:dyDescent="0.25">
      <c r="A13917" s="841"/>
    </row>
    <row r="13918" spans="1:1" x14ac:dyDescent="0.25">
      <c r="A13918" s="841"/>
    </row>
    <row r="13919" spans="1:1" x14ac:dyDescent="0.25">
      <c r="A13919" s="841"/>
    </row>
    <row r="13920" spans="1:1" x14ac:dyDescent="0.25">
      <c r="A13920" s="841"/>
    </row>
    <row r="13921" spans="1:1" x14ac:dyDescent="0.25">
      <c r="A13921" s="841"/>
    </row>
    <row r="13922" spans="1:1" x14ac:dyDescent="0.25">
      <c r="A13922" s="841"/>
    </row>
    <row r="13923" spans="1:1" x14ac:dyDescent="0.25">
      <c r="A13923" s="841"/>
    </row>
    <row r="13924" spans="1:1" x14ac:dyDescent="0.25">
      <c r="A13924" s="841"/>
    </row>
    <row r="13925" spans="1:1" x14ac:dyDescent="0.25">
      <c r="A13925" s="841"/>
    </row>
    <row r="13926" spans="1:1" x14ac:dyDescent="0.25">
      <c r="A13926" s="841"/>
    </row>
    <row r="13927" spans="1:1" x14ac:dyDescent="0.25">
      <c r="A13927" s="841"/>
    </row>
    <row r="13928" spans="1:1" x14ac:dyDescent="0.25">
      <c r="A13928" s="841"/>
    </row>
    <row r="13929" spans="1:1" x14ac:dyDescent="0.25">
      <c r="A13929" s="841"/>
    </row>
    <row r="13930" spans="1:1" x14ac:dyDescent="0.25">
      <c r="A13930" s="841"/>
    </row>
    <row r="13931" spans="1:1" x14ac:dyDescent="0.25">
      <c r="A13931" s="841"/>
    </row>
    <row r="13932" spans="1:1" x14ac:dyDescent="0.25">
      <c r="A13932" s="841"/>
    </row>
    <row r="13933" spans="1:1" x14ac:dyDescent="0.25">
      <c r="A13933" s="841"/>
    </row>
    <row r="13934" spans="1:1" x14ac:dyDescent="0.25">
      <c r="A13934" s="841"/>
    </row>
    <row r="13935" spans="1:1" x14ac:dyDescent="0.25">
      <c r="A13935" s="841"/>
    </row>
    <row r="13936" spans="1:1" x14ac:dyDescent="0.25">
      <c r="A13936" s="841"/>
    </row>
    <row r="13937" spans="1:1" x14ac:dyDescent="0.25">
      <c r="A13937" s="841"/>
    </row>
    <row r="13938" spans="1:1" x14ac:dyDescent="0.25">
      <c r="A13938" s="841"/>
    </row>
    <row r="13939" spans="1:1" x14ac:dyDescent="0.25">
      <c r="A13939" s="841"/>
    </row>
    <row r="13940" spans="1:1" x14ac:dyDescent="0.25">
      <c r="A13940" s="841"/>
    </row>
    <row r="13941" spans="1:1" x14ac:dyDescent="0.25">
      <c r="A13941" s="841"/>
    </row>
    <row r="13942" spans="1:1" x14ac:dyDescent="0.25">
      <c r="A13942" s="841"/>
    </row>
    <row r="13943" spans="1:1" x14ac:dyDescent="0.25">
      <c r="A13943" s="841"/>
    </row>
    <row r="13944" spans="1:1" x14ac:dyDescent="0.25">
      <c r="A13944" s="841"/>
    </row>
    <row r="13945" spans="1:1" x14ac:dyDescent="0.25">
      <c r="A13945" s="841"/>
    </row>
    <row r="13946" spans="1:1" x14ac:dyDescent="0.25">
      <c r="A13946" s="841"/>
    </row>
    <row r="13947" spans="1:1" x14ac:dyDescent="0.25">
      <c r="A13947" s="841"/>
    </row>
    <row r="13948" spans="1:1" x14ac:dyDescent="0.25">
      <c r="A13948" s="841"/>
    </row>
    <row r="13949" spans="1:1" x14ac:dyDescent="0.25">
      <c r="A13949" s="841"/>
    </row>
    <row r="13950" spans="1:1" x14ac:dyDescent="0.25">
      <c r="A13950" s="841"/>
    </row>
    <row r="13951" spans="1:1" x14ac:dyDescent="0.25">
      <c r="A13951" s="841"/>
    </row>
    <row r="13952" spans="1:1" x14ac:dyDescent="0.25">
      <c r="A13952" s="841"/>
    </row>
    <row r="13953" spans="1:1" x14ac:dyDescent="0.25">
      <c r="A13953" s="841"/>
    </row>
    <row r="13954" spans="1:1" x14ac:dyDescent="0.25">
      <c r="A13954" s="841"/>
    </row>
    <row r="13955" spans="1:1" x14ac:dyDescent="0.25">
      <c r="A13955" s="841"/>
    </row>
    <row r="13956" spans="1:1" x14ac:dyDescent="0.25">
      <c r="A13956" s="841"/>
    </row>
    <row r="13957" spans="1:1" x14ac:dyDescent="0.25">
      <c r="A13957" s="841"/>
    </row>
    <row r="13958" spans="1:1" x14ac:dyDescent="0.25">
      <c r="A13958" s="841"/>
    </row>
    <row r="13959" spans="1:1" x14ac:dyDescent="0.25">
      <c r="A13959" s="841"/>
    </row>
    <row r="13960" spans="1:1" x14ac:dyDescent="0.25">
      <c r="A13960" s="841"/>
    </row>
    <row r="13961" spans="1:1" x14ac:dyDescent="0.25">
      <c r="A13961" s="841"/>
    </row>
    <row r="13962" spans="1:1" x14ac:dyDescent="0.25">
      <c r="A13962" s="841"/>
    </row>
    <row r="13963" spans="1:1" x14ac:dyDescent="0.25">
      <c r="A13963" s="841"/>
    </row>
    <row r="13964" spans="1:1" x14ac:dyDescent="0.25">
      <c r="A13964" s="841"/>
    </row>
    <row r="13965" spans="1:1" x14ac:dyDescent="0.25">
      <c r="A13965" s="841"/>
    </row>
    <row r="13966" spans="1:1" x14ac:dyDescent="0.25">
      <c r="A13966" s="841"/>
    </row>
    <row r="13967" spans="1:1" x14ac:dyDescent="0.25">
      <c r="A13967" s="841"/>
    </row>
    <row r="13968" spans="1:1" x14ac:dyDescent="0.25">
      <c r="A13968" s="841"/>
    </row>
    <row r="13969" spans="1:1" x14ac:dyDescent="0.25">
      <c r="A13969" s="841"/>
    </row>
    <row r="13970" spans="1:1" x14ac:dyDescent="0.25">
      <c r="A13970" s="841"/>
    </row>
    <row r="13971" spans="1:1" x14ac:dyDescent="0.25">
      <c r="A13971" s="841"/>
    </row>
    <row r="13972" spans="1:1" x14ac:dyDescent="0.25">
      <c r="A13972" s="841"/>
    </row>
    <row r="13973" spans="1:1" x14ac:dyDescent="0.25">
      <c r="A13973" s="841"/>
    </row>
    <row r="13974" spans="1:1" x14ac:dyDescent="0.25">
      <c r="A13974" s="841"/>
    </row>
    <row r="13975" spans="1:1" x14ac:dyDescent="0.25">
      <c r="A13975" s="841"/>
    </row>
    <row r="13976" spans="1:1" x14ac:dyDescent="0.25">
      <c r="A13976" s="841"/>
    </row>
    <row r="13977" spans="1:1" x14ac:dyDescent="0.25">
      <c r="A13977" s="841"/>
    </row>
    <row r="13978" spans="1:1" x14ac:dyDescent="0.25">
      <c r="A13978" s="841"/>
    </row>
    <row r="13979" spans="1:1" x14ac:dyDescent="0.25">
      <c r="A13979" s="841"/>
    </row>
    <row r="13980" spans="1:1" x14ac:dyDescent="0.25">
      <c r="A13980" s="841"/>
    </row>
    <row r="13981" spans="1:1" x14ac:dyDescent="0.25">
      <c r="A13981" s="841"/>
    </row>
    <row r="13982" spans="1:1" x14ac:dyDescent="0.25">
      <c r="A13982" s="841"/>
    </row>
    <row r="13983" spans="1:1" x14ac:dyDescent="0.25">
      <c r="A13983" s="841"/>
    </row>
    <row r="13984" spans="1:1" x14ac:dyDescent="0.25">
      <c r="A13984" s="841"/>
    </row>
    <row r="13985" spans="1:1" x14ac:dyDescent="0.25">
      <c r="A13985" s="841"/>
    </row>
    <row r="13986" spans="1:1" x14ac:dyDescent="0.25">
      <c r="A13986" s="841"/>
    </row>
    <row r="13987" spans="1:1" x14ac:dyDescent="0.25">
      <c r="A13987" s="841"/>
    </row>
    <row r="13988" spans="1:1" x14ac:dyDescent="0.25">
      <c r="A13988" s="841"/>
    </row>
    <row r="13989" spans="1:1" x14ac:dyDescent="0.25">
      <c r="A13989" s="841"/>
    </row>
    <row r="13990" spans="1:1" x14ac:dyDescent="0.25">
      <c r="A13990" s="841"/>
    </row>
    <row r="13991" spans="1:1" x14ac:dyDescent="0.25">
      <c r="A13991" s="841"/>
    </row>
    <row r="13992" spans="1:1" x14ac:dyDescent="0.25">
      <c r="A13992" s="841"/>
    </row>
    <row r="13993" spans="1:1" x14ac:dyDescent="0.25">
      <c r="A13993" s="841"/>
    </row>
    <row r="13994" spans="1:1" x14ac:dyDescent="0.25">
      <c r="A13994" s="841"/>
    </row>
    <row r="13995" spans="1:1" x14ac:dyDescent="0.25">
      <c r="A13995" s="841"/>
    </row>
    <row r="13996" spans="1:1" x14ac:dyDescent="0.25">
      <c r="A13996" s="841"/>
    </row>
    <row r="13997" spans="1:1" x14ac:dyDescent="0.25">
      <c r="A13997" s="841"/>
    </row>
    <row r="13998" spans="1:1" x14ac:dyDescent="0.25">
      <c r="A13998" s="841"/>
    </row>
    <row r="13999" spans="1:1" x14ac:dyDescent="0.25">
      <c r="A13999" s="841"/>
    </row>
    <row r="14000" spans="1:1" x14ac:dyDescent="0.25">
      <c r="A14000" s="841"/>
    </row>
    <row r="14001" spans="1:1" x14ac:dyDescent="0.25">
      <c r="A14001" s="841"/>
    </row>
    <row r="14002" spans="1:1" x14ac:dyDescent="0.25">
      <c r="A14002" s="841"/>
    </row>
    <row r="14003" spans="1:1" x14ac:dyDescent="0.25">
      <c r="A14003" s="841"/>
    </row>
    <row r="14004" spans="1:1" x14ac:dyDescent="0.25">
      <c r="A14004" s="841"/>
    </row>
    <row r="14005" spans="1:1" x14ac:dyDescent="0.25">
      <c r="A14005" s="841"/>
    </row>
    <row r="14006" spans="1:1" x14ac:dyDescent="0.25">
      <c r="A14006" s="841"/>
    </row>
    <row r="14007" spans="1:1" x14ac:dyDescent="0.25">
      <c r="A14007" s="841"/>
    </row>
    <row r="14008" spans="1:1" x14ac:dyDescent="0.25">
      <c r="A14008" s="841"/>
    </row>
    <row r="14009" spans="1:1" x14ac:dyDescent="0.25">
      <c r="A14009" s="841"/>
    </row>
    <row r="14010" spans="1:1" x14ac:dyDescent="0.25">
      <c r="A14010" s="841"/>
    </row>
    <row r="14011" spans="1:1" x14ac:dyDescent="0.25">
      <c r="A14011" s="841"/>
    </row>
    <row r="14012" spans="1:1" x14ac:dyDescent="0.25">
      <c r="A14012" s="841"/>
    </row>
    <row r="14013" spans="1:1" x14ac:dyDescent="0.25">
      <c r="A14013" s="841"/>
    </row>
    <row r="14014" spans="1:1" x14ac:dyDescent="0.25">
      <c r="A14014" s="841"/>
    </row>
    <row r="14015" spans="1:1" x14ac:dyDescent="0.25">
      <c r="A14015" s="841"/>
    </row>
    <row r="14016" spans="1:1" x14ac:dyDescent="0.25">
      <c r="A14016" s="841"/>
    </row>
    <row r="14017" spans="1:1" x14ac:dyDescent="0.25">
      <c r="A14017" s="841"/>
    </row>
    <row r="14018" spans="1:1" x14ac:dyDescent="0.25">
      <c r="A14018" s="841"/>
    </row>
    <row r="14019" spans="1:1" x14ac:dyDescent="0.25">
      <c r="A14019" s="841"/>
    </row>
    <row r="14020" spans="1:1" x14ac:dyDescent="0.25">
      <c r="A14020" s="841"/>
    </row>
    <row r="14021" spans="1:1" x14ac:dyDescent="0.25">
      <c r="A14021" s="841"/>
    </row>
    <row r="14022" spans="1:1" x14ac:dyDescent="0.25">
      <c r="A14022" s="841"/>
    </row>
    <row r="14023" spans="1:1" x14ac:dyDescent="0.25">
      <c r="A14023" s="841"/>
    </row>
    <row r="14024" spans="1:1" x14ac:dyDescent="0.25">
      <c r="A14024" s="841"/>
    </row>
    <row r="14025" spans="1:1" x14ac:dyDescent="0.25">
      <c r="A14025" s="841"/>
    </row>
    <row r="14026" spans="1:1" x14ac:dyDescent="0.25">
      <c r="A14026" s="841"/>
    </row>
    <row r="14027" spans="1:1" x14ac:dyDescent="0.25">
      <c r="A14027" s="841"/>
    </row>
    <row r="14028" spans="1:1" x14ac:dyDescent="0.25">
      <c r="A14028" s="841"/>
    </row>
    <row r="14029" spans="1:1" x14ac:dyDescent="0.25">
      <c r="A14029" s="841"/>
    </row>
    <row r="14030" spans="1:1" x14ac:dyDescent="0.25">
      <c r="A14030" s="841"/>
    </row>
    <row r="14031" spans="1:1" x14ac:dyDescent="0.25">
      <c r="A14031" s="841"/>
    </row>
    <row r="14032" spans="1:1" x14ac:dyDescent="0.25">
      <c r="A14032" s="841"/>
    </row>
    <row r="14033" spans="1:1" x14ac:dyDescent="0.25">
      <c r="A14033" s="841"/>
    </row>
    <row r="14034" spans="1:1" x14ac:dyDescent="0.25">
      <c r="A14034" s="841"/>
    </row>
    <row r="14035" spans="1:1" x14ac:dyDescent="0.25">
      <c r="A14035" s="841"/>
    </row>
    <row r="14036" spans="1:1" x14ac:dyDescent="0.25">
      <c r="A14036" s="841"/>
    </row>
    <row r="14037" spans="1:1" x14ac:dyDescent="0.25">
      <c r="A14037" s="841"/>
    </row>
    <row r="14038" spans="1:1" x14ac:dyDescent="0.25">
      <c r="A14038" s="841"/>
    </row>
    <row r="14039" spans="1:1" x14ac:dyDescent="0.25">
      <c r="A14039" s="841"/>
    </row>
    <row r="14040" spans="1:1" x14ac:dyDescent="0.25">
      <c r="A14040" s="841"/>
    </row>
    <row r="14041" spans="1:1" x14ac:dyDescent="0.25">
      <c r="A14041" s="841"/>
    </row>
    <row r="14042" spans="1:1" x14ac:dyDescent="0.25">
      <c r="A14042" s="841"/>
    </row>
    <row r="14043" spans="1:1" x14ac:dyDescent="0.25">
      <c r="A14043" s="841"/>
    </row>
    <row r="14044" spans="1:1" x14ac:dyDescent="0.25">
      <c r="A14044" s="841"/>
    </row>
    <row r="14045" spans="1:1" x14ac:dyDescent="0.25">
      <c r="A14045" s="841"/>
    </row>
    <row r="14046" spans="1:1" x14ac:dyDescent="0.25">
      <c r="A14046" s="841"/>
    </row>
    <row r="14047" spans="1:1" x14ac:dyDescent="0.25">
      <c r="A14047" s="841"/>
    </row>
    <row r="14048" spans="1:1" x14ac:dyDescent="0.25">
      <c r="A14048" s="841"/>
    </row>
    <row r="14049" spans="1:1" x14ac:dyDescent="0.25">
      <c r="A14049" s="841"/>
    </row>
    <row r="14050" spans="1:1" x14ac:dyDescent="0.25">
      <c r="A14050" s="841"/>
    </row>
    <row r="14051" spans="1:1" x14ac:dyDescent="0.25">
      <c r="A14051" s="841"/>
    </row>
    <row r="14052" spans="1:1" x14ac:dyDescent="0.25">
      <c r="A14052" s="841"/>
    </row>
    <row r="14053" spans="1:1" x14ac:dyDescent="0.25">
      <c r="A14053" s="841"/>
    </row>
    <row r="14054" spans="1:1" x14ac:dyDescent="0.25">
      <c r="A14054" s="841"/>
    </row>
    <row r="14055" spans="1:1" x14ac:dyDescent="0.25">
      <c r="A14055" s="841"/>
    </row>
    <row r="14056" spans="1:1" x14ac:dyDescent="0.25">
      <c r="A14056" s="841"/>
    </row>
    <row r="14057" spans="1:1" x14ac:dyDescent="0.25">
      <c r="A14057" s="841"/>
    </row>
    <row r="14058" spans="1:1" x14ac:dyDescent="0.25">
      <c r="A14058" s="841"/>
    </row>
    <row r="14059" spans="1:1" x14ac:dyDescent="0.25">
      <c r="A14059" s="841"/>
    </row>
    <row r="14060" spans="1:1" x14ac:dyDescent="0.25">
      <c r="A14060" s="841"/>
    </row>
    <row r="14061" spans="1:1" x14ac:dyDescent="0.25">
      <c r="A14061" s="841"/>
    </row>
    <row r="14062" spans="1:1" x14ac:dyDescent="0.25">
      <c r="A14062" s="841"/>
    </row>
    <row r="14063" spans="1:1" x14ac:dyDescent="0.25">
      <c r="A14063" s="841"/>
    </row>
    <row r="14064" spans="1:1" x14ac:dyDescent="0.25">
      <c r="A14064" s="841"/>
    </row>
    <row r="14065" spans="1:1" x14ac:dyDescent="0.25">
      <c r="A14065" s="841"/>
    </row>
    <row r="14066" spans="1:1" x14ac:dyDescent="0.25">
      <c r="A14066" s="841"/>
    </row>
    <row r="14067" spans="1:1" x14ac:dyDescent="0.25">
      <c r="A14067" s="841"/>
    </row>
    <row r="14068" spans="1:1" x14ac:dyDescent="0.25">
      <c r="A14068" s="841"/>
    </row>
    <row r="14069" spans="1:1" x14ac:dyDescent="0.25">
      <c r="A14069" s="841"/>
    </row>
    <row r="14070" spans="1:1" x14ac:dyDescent="0.25">
      <c r="A14070" s="841"/>
    </row>
    <row r="14071" spans="1:1" x14ac:dyDescent="0.25">
      <c r="A14071" s="841"/>
    </row>
    <row r="14072" spans="1:1" x14ac:dyDescent="0.25">
      <c r="A14072" s="841"/>
    </row>
    <row r="14073" spans="1:1" x14ac:dyDescent="0.25">
      <c r="A14073" s="841"/>
    </row>
    <row r="14074" spans="1:1" x14ac:dyDescent="0.25">
      <c r="A14074" s="841"/>
    </row>
    <row r="14075" spans="1:1" x14ac:dyDescent="0.25">
      <c r="A14075" s="841"/>
    </row>
    <row r="14076" spans="1:1" x14ac:dyDescent="0.25">
      <c r="A14076" s="841"/>
    </row>
    <row r="14077" spans="1:1" x14ac:dyDescent="0.25">
      <c r="A14077" s="841"/>
    </row>
    <row r="14078" spans="1:1" x14ac:dyDescent="0.25">
      <c r="A14078" s="841"/>
    </row>
    <row r="14079" spans="1:1" x14ac:dyDescent="0.25">
      <c r="A14079" s="841"/>
    </row>
    <row r="14080" spans="1:1" x14ac:dyDescent="0.25">
      <c r="A14080" s="841"/>
    </row>
    <row r="14081" spans="1:1" x14ac:dyDescent="0.25">
      <c r="A14081" s="841"/>
    </row>
    <row r="14082" spans="1:1" x14ac:dyDescent="0.25">
      <c r="A14082" s="841"/>
    </row>
    <row r="14083" spans="1:1" x14ac:dyDescent="0.25">
      <c r="A14083" s="841"/>
    </row>
    <row r="14084" spans="1:1" x14ac:dyDescent="0.25">
      <c r="A14084" s="841"/>
    </row>
    <row r="14085" spans="1:1" x14ac:dyDescent="0.25">
      <c r="A14085" s="841"/>
    </row>
    <row r="14086" spans="1:1" x14ac:dyDescent="0.25">
      <c r="A14086" s="841"/>
    </row>
    <row r="14087" spans="1:1" x14ac:dyDescent="0.25">
      <c r="A14087" s="841"/>
    </row>
    <row r="14088" spans="1:1" x14ac:dyDescent="0.25">
      <c r="A14088" s="841"/>
    </row>
    <row r="14089" spans="1:1" x14ac:dyDescent="0.25">
      <c r="A14089" s="841"/>
    </row>
    <row r="14090" spans="1:1" x14ac:dyDescent="0.25">
      <c r="A14090" s="841"/>
    </row>
    <row r="14091" spans="1:1" x14ac:dyDescent="0.25">
      <c r="A14091" s="841"/>
    </row>
    <row r="14092" spans="1:1" x14ac:dyDescent="0.25">
      <c r="A14092" s="841"/>
    </row>
    <row r="14093" spans="1:1" x14ac:dyDescent="0.25">
      <c r="A14093" s="841"/>
    </row>
    <row r="14094" spans="1:1" x14ac:dyDescent="0.25">
      <c r="A14094" s="841"/>
    </row>
    <row r="14095" spans="1:1" x14ac:dyDescent="0.25">
      <c r="A14095" s="841"/>
    </row>
    <row r="14096" spans="1:1" x14ac:dyDescent="0.25">
      <c r="A14096" s="841"/>
    </row>
    <row r="14097" spans="1:1" x14ac:dyDescent="0.25">
      <c r="A14097" s="841"/>
    </row>
    <row r="14098" spans="1:1" x14ac:dyDescent="0.25">
      <c r="A14098" s="841"/>
    </row>
    <row r="14099" spans="1:1" x14ac:dyDescent="0.25">
      <c r="A14099" s="841"/>
    </row>
    <row r="14100" spans="1:1" x14ac:dyDescent="0.25">
      <c r="A14100" s="841"/>
    </row>
    <row r="14101" spans="1:1" x14ac:dyDescent="0.25">
      <c r="A14101" s="841"/>
    </row>
    <row r="14102" spans="1:1" x14ac:dyDescent="0.25">
      <c r="A14102" s="841"/>
    </row>
    <row r="14103" spans="1:1" x14ac:dyDescent="0.25">
      <c r="A14103" s="841"/>
    </row>
    <row r="14104" spans="1:1" x14ac:dyDescent="0.25">
      <c r="A14104" s="841"/>
    </row>
    <row r="14105" spans="1:1" x14ac:dyDescent="0.25">
      <c r="A14105" s="841"/>
    </row>
    <row r="14106" spans="1:1" x14ac:dyDescent="0.25">
      <c r="A14106" s="841"/>
    </row>
    <row r="14107" spans="1:1" x14ac:dyDescent="0.25">
      <c r="A14107" s="841"/>
    </row>
    <row r="14108" spans="1:1" x14ac:dyDescent="0.25">
      <c r="A14108" s="841"/>
    </row>
    <row r="14109" spans="1:1" x14ac:dyDescent="0.25">
      <c r="A14109" s="841"/>
    </row>
    <row r="14110" spans="1:1" x14ac:dyDescent="0.25">
      <c r="A14110" s="841"/>
    </row>
    <row r="14111" spans="1:1" x14ac:dyDescent="0.25">
      <c r="A14111" s="841"/>
    </row>
    <row r="14112" spans="1:1" x14ac:dyDescent="0.25">
      <c r="A14112" s="841"/>
    </row>
    <row r="14113" spans="1:1" x14ac:dyDescent="0.25">
      <c r="A14113" s="841"/>
    </row>
    <row r="14114" spans="1:1" x14ac:dyDescent="0.25">
      <c r="A14114" s="841"/>
    </row>
    <row r="14115" spans="1:1" x14ac:dyDescent="0.25">
      <c r="A14115" s="841"/>
    </row>
    <row r="14116" spans="1:1" x14ac:dyDescent="0.25">
      <c r="A14116" s="841"/>
    </row>
    <row r="14117" spans="1:1" x14ac:dyDescent="0.25">
      <c r="A14117" s="841"/>
    </row>
    <row r="14118" spans="1:1" x14ac:dyDescent="0.25">
      <c r="A14118" s="841"/>
    </row>
    <row r="14119" spans="1:1" x14ac:dyDescent="0.25">
      <c r="A14119" s="841"/>
    </row>
    <row r="14120" spans="1:1" x14ac:dyDescent="0.25">
      <c r="A14120" s="841"/>
    </row>
    <row r="14121" spans="1:1" x14ac:dyDescent="0.25">
      <c r="A14121" s="841"/>
    </row>
    <row r="14122" spans="1:1" x14ac:dyDescent="0.25">
      <c r="A14122" s="841"/>
    </row>
    <row r="14123" spans="1:1" x14ac:dyDescent="0.25">
      <c r="A14123" s="841"/>
    </row>
    <row r="14124" spans="1:1" x14ac:dyDescent="0.25">
      <c r="A14124" s="841"/>
    </row>
    <row r="14125" spans="1:1" x14ac:dyDescent="0.25">
      <c r="A14125" s="841"/>
    </row>
    <row r="14126" spans="1:1" x14ac:dyDescent="0.25">
      <c r="A14126" s="841"/>
    </row>
    <row r="14127" spans="1:1" x14ac:dyDescent="0.25">
      <c r="A14127" s="841"/>
    </row>
    <row r="14128" spans="1:1" x14ac:dyDescent="0.25">
      <c r="A14128" s="841"/>
    </row>
    <row r="14129" spans="1:1" x14ac:dyDescent="0.25">
      <c r="A14129" s="841"/>
    </row>
    <row r="14130" spans="1:1" x14ac:dyDescent="0.25">
      <c r="A14130" s="841"/>
    </row>
    <row r="14131" spans="1:1" x14ac:dyDescent="0.25">
      <c r="A14131" s="841"/>
    </row>
    <row r="14132" spans="1:1" x14ac:dyDescent="0.25">
      <c r="A14132" s="841"/>
    </row>
    <row r="14133" spans="1:1" x14ac:dyDescent="0.25">
      <c r="A14133" s="841"/>
    </row>
    <row r="14134" spans="1:1" x14ac:dyDescent="0.25">
      <c r="A14134" s="841"/>
    </row>
    <row r="14135" spans="1:1" x14ac:dyDescent="0.25">
      <c r="A14135" s="841"/>
    </row>
    <row r="14136" spans="1:1" x14ac:dyDescent="0.25">
      <c r="A14136" s="841"/>
    </row>
    <row r="14137" spans="1:1" x14ac:dyDescent="0.25">
      <c r="A14137" s="841"/>
    </row>
    <row r="14138" spans="1:1" x14ac:dyDescent="0.25">
      <c r="A14138" s="841"/>
    </row>
    <row r="14139" spans="1:1" x14ac:dyDescent="0.25">
      <c r="A14139" s="841"/>
    </row>
    <row r="14140" spans="1:1" x14ac:dyDescent="0.25">
      <c r="A14140" s="841"/>
    </row>
    <row r="14141" spans="1:1" x14ac:dyDescent="0.25">
      <c r="A14141" s="841"/>
    </row>
    <row r="14142" spans="1:1" x14ac:dyDescent="0.25">
      <c r="A14142" s="841"/>
    </row>
    <row r="14143" spans="1:1" x14ac:dyDescent="0.25">
      <c r="A14143" s="841"/>
    </row>
    <row r="14144" spans="1:1" x14ac:dyDescent="0.25">
      <c r="A14144" s="841"/>
    </row>
    <row r="14145" spans="1:1" x14ac:dyDescent="0.25">
      <c r="A14145" s="841"/>
    </row>
    <row r="14146" spans="1:1" x14ac:dyDescent="0.25">
      <c r="A14146" s="841"/>
    </row>
    <row r="14147" spans="1:1" x14ac:dyDescent="0.25">
      <c r="A14147" s="841"/>
    </row>
    <row r="14148" spans="1:1" x14ac:dyDescent="0.25">
      <c r="A14148" s="841"/>
    </row>
    <row r="14149" spans="1:1" x14ac:dyDescent="0.25">
      <c r="A14149" s="841"/>
    </row>
    <row r="14150" spans="1:1" x14ac:dyDescent="0.25">
      <c r="A14150" s="841"/>
    </row>
    <row r="14151" spans="1:1" x14ac:dyDescent="0.25">
      <c r="A14151" s="841"/>
    </row>
    <row r="14152" spans="1:1" x14ac:dyDescent="0.25">
      <c r="A14152" s="841"/>
    </row>
    <row r="14153" spans="1:1" x14ac:dyDescent="0.25">
      <c r="A14153" s="841"/>
    </row>
    <row r="14154" spans="1:1" x14ac:dyDescent="0.25">
      <c r="A14154" s="841"/>
    </row>
    <row r="14155" spans="1:1" x14ac:dyDescent="0.25">
      <c r="A14155" s="841"/>
    </row>
    <row r="14156" spans="1:1" x14ac:dyDescent="0.25">
      <c r="A14156" s="841"/>
    </row>
    <row r="14157" spans="1:1" x14ac:dyDescent="0.25">
      <c r="A14157" s="841"/>
    </row>
    <row r="14158" spans="1:1" x14ac:dyDescent="0.25">
      <c r="A14158" s="841"/>
    </row>
    <row r="14159" spans="1:1" x14ac:dyDescent="0.25">
      <c r="A14159" s="841"/>
    </row>
    <row r="14160" spans="1:1" x14ac:dyDescent="0.25">
      <c r="A14160" s="841"/>
    </row>
    <row r="14161" spans="1:1" x14ac:dyDescent="0.25">
      <c r="A14161" s="841"/>
    </row>
    <row r="14162" spans="1:1" x14ac:dyDescent="0.25">
      <c r="A14162" s="841"/>
    </row>
    <row r="14163" spans="1:1" x14ac:dyDescent="0.25">
      <c r="A14163" s="841"/>
    </row>
    <row r="14164" spans="1:1" x14ac:dyDescent="0.25">
      <c r="A14164" s="841"/>
    </row>
    <row r="14165" spans="1:1" x14ac:dyDescent="0.25">
      <c r="A14165" s="841"/>
    </row>
    <row r="14166" spans="1:1" x14ac:dyDescent="0.25">
      <c r="A14166" s="841"/>
    </row>
    <row r="14167" spans="1:1" x14ac:dyDescent="0.25">
      <c r="A14167" s="841"/>
    </row>
    <row r="14168" spans="1:1" x14ac:dyDescent="0.25">
      <c r="A14168" s="841"/>
    </row>
    <row r="14169" spans="1:1" x14ac:dyDescent="0.25">
      <c r="A14169" s="841"/>
    </row>
    <row r="14170" spans="1:1" x14ac:dyDescent="0.25">
      <c r="A14170" s="841"/>
    </row>
    <row r="14171" spans="1:1" x14ac:dyDescent="0.25">
      <c r="A14171" s="841"/>
    </row>
    <row r="14172" spans="1:1" x14ac:dyDescent="0.25">
      <c r="A14172" s="841"/>
    </row>
    <row r="14173" spans="1:1" x14ac:dyDescent="0.25">
      <c r="A14173" s="841"/>
    </row>
    <row r="14174" spans="1:1" x14ac:dyDescent="0.25">
      <c r="A14174" s="841"/>
    </row>
    <row r="14175" spans="1:1" x14ac:dyDescent="0.25">
      <c r="A14175" s="841"/>
    </row>
    <row r="14176" spans="1:1" x14ac:dyDescent="0.25">
      <c r="A14176" s="841"/>
    </row>
    <row r="14177" spans="1:1" x14ac:dyDescent="0.25">
      <c r="A14177" s="841"/>
    </row>
    <row r="14178" spans="1:1" x14ac:dyDescent="0.25">
      <c r="A14178" s="841"/>
    </row>
    <row r="14179" spans="1:1" x14ac:dyDescent="0.25">
      <c r="A14179" s="841"/>
    </row>
    <row r="14180" spans="1:1" x14ac:dyDescent="0.25">
      <c r="A14180" s="841"/>
    </row>
    <row r="14181" spans="1:1" x14ac:dyDescent="0.25">
      <c r="A14181" s="841"/>
    </row>
    <row r="14182" spans="1:1" x14ac:dyDescent="0.25">
      <c r="A14182" s="841"/>
    </row>
    <row r="14183" spans="1:1" x14ac:dyDescent="0.25">
      <c r="A14183" s="841"/>
    </row>
    <row r="14184" spans="1:1" x14ac:dyDescent="0.25">
      <c r="A14184" s="841"/>
    </row>
    <row r="14185" spans="1:1" x14ac:dyDescent="0.25">
      <c r="A14185" s="841"/>
    </row>
    <row r="14186" spans="1:1" x14ac:dyDescent="0.25">
      <c r="A14186" s="841"/>
    </row>
    <row r="14187" spans="1:1" x14ac:dyDescent="0.25">
      <c r="A14187" s="841"/>
    </row>
    <row r="14188" spans="1:1" x14ac:dyDescent="0.25">
      <c r="A14188" s="841"/>
    </row>
    <row r="14189" spans="1:1" x14ac:dyDescent="0.25">
      <c r="A14189" s="841"/>
    </row>
    <row r="14190" spans="1:1" x14ac:dyDescent="0.25">
      <c r="A14190" s="841"/>
    </row>
    <row r="14191" spans="1:1" x14ac:dyDescent="0.25">
      <c r="A14191" s="841"/>
    </row>
    <row r="14192" spans="1:1" x14ac:dyDescent="0.25">
      <c r="A14192" s="841"/>
    </row>
    <row r="14193" spans="1:1" x14ac:dyDescent="0.25">
      <c r="A14193" s="841"/>
    </row>
    <row r="14194" spans="1:1" x14ac:dyDescent="0.25">
      <c r="A14194" s="841"/>
    </row>
    <row r="14195" spans="1:1" x14ac:dyDescent="0.25">
      <c r="A14195" s="841"/>
    </row>
    <row r="14196" spans="1:1" x14ac:dyDescent="0.25">
      <c r="A14196" s="841"/>
    </row>
    <row r="14197" spans="1:1" x14ac:dyDescent="0.25">
      <c r="A14197" s="841"/>
    </row>
    <row r="14198" spans="1:1" x14ac:dyDescent="0.25">
      <c r="A14198" s="841"/>
    </row>
    <row r="14199" spans="1:1" x14ac:dyDescent="0.25">
      <c r="A14199" s="841"/>
    </row>
    <row r="14200" spans="1:1" x14ac:dyDescent="0.25">
      <c r="A14200" s="841"/>
    </row>
    <row r="14201" spans="1:1" x14ac:dyDescent="0.25">
      <c r="A14201" s="841"/>
    </row>
    <row r="14202" spans="1:1" x14ac:dyDescent="0.25">
      <c r="A14202" s="841"/>
    </row>
    <row r="14203" spans="1:1" x14ac:dyDescent="0.25">
      <c r="A14203" s="841"/>
    </row>
    <row r="14204" spans="1:1" x14ac:dyDescent="0.25">
      <c r="A14204" s="841"/>
    </row>
    <row r="14205" spans="1:1" x14ac:dyDescent="0.25">
      <c r="A14205" s="841"/>
    </row>
    <row r="14206" spans="1:1" x14ac:dyDescent="0.25">
      <c r="A14206" s="841"/>
    </row>
    <row r="14207" spans="1:1" x14ac:dyDescent="0.25">
      <c r="A14207" s="841"/>
    </row>
    <row r="14208" spans="1:1" x14ac:dyDescent="0.25">
      <c r="A14208" s="841"/>
    </row>
    <row r="14209" spans="1:1" x14ac:dyDescent="0.25">
      <c r="A14209" s="841"/>
    </row>
    <row r="14210" spans="1:1" x14ac:dyDescent="0.25">
      <c r="A14210" s="841"/>
    </row>
    <row r="14211" spans="1:1" x14ac:dyDescent="0.25">
      <c r="A14211" s="841"/>
    </row>
    <row r="14212" spans="1:1" x14ac:dyDescent="0.25">
      <c r="A14212" s="841"/>
    </row>
    <row r="14213" spans="1:1" x14ac:dyDescent="0.25">
      <c r="A14213" s="841"/>
    </row>
    <row r="14214" spans="1:1" x14ac:dyDescent="0.25">
      <c r="A14214" s="841"/>
    </row>
    <row r="14215" spans="1:1" x14ac:dyDescent="0.25">
      <c r="A14215" s="841"/>
    </row>
    <row r="14216" spans="1:1" x14ac:dyDescent="0.25">
      <c r="A14216" s="841"/>
    </row>
    <row r="14217" spans="1:1" x14ac:dyDescent="0.25">
      <c r="A14217" s="841"/>
    </row>
    <row r="14218" spans="1:1" x14ac:dyDescent="0.25">
      <c r="A14218" s="841"/>
    </row>
    <row r="14219" spans="1:1" x14ac:dyDescent="0.25">
      <c r="A14219" s="841"/>
    </row>
    <row r="14220" spans="1:1" x14ac:dyDescent="0.25">
      <c r="A14220" s="841"/>
    </row>
    <row r="14221" spans="1:1" x14ac:dyDescent="0.25">
      <c r="A14221" s="841"/>
    </row>
    <row r="14222" spans="1:1" x14ac:dyDescent="0.25">
      <c r="A14222" s="841"/>
    </row>
    <row r="14223" spans="1:1" x14ac:dyDescent="0.25">
      <c r="A14223" s="841"/>
    </row>
    <row r="14224" spans="1:1" x14ac:dyDescent="0.25">
      <c r="A14224" s="841"/>
    </row>
    <row r="14225" spans="1:1" x14ac:dyDescent="0.25">
      <c r="A14225" s="841"/>
    </row>
    <row r="14226" spans="1:1" x14ac:dyDescent="0.25">
      <c r="A14226" s="841"/>
    </row>
    <row r="14227" spans="1:1" x14ac:dyDescent="0.25">
      <c r="A14227" s="841"/>
    </row>
    <row r="14228" spans="1:1" x14ac:dyDescent="0.25">
      <c r="A14228" s="841"/>
    </row>
    <row r="14229" spans="1:1" x14ac:dyDescent="0.25">
      <c r="A14229" s="841"/>
    </row>
    <row r="14230" spans="1:1" x14ac:dyDescent="0.25">
      <c r="A14230" s="841"/>
    </row>
    <row r="14231" spans="1:1" x14ac:dyDescent="0.25">
      <c r="A14231" s="841"/>
    </row>
    <row r="14232" spans="1:1" x14ac:dyDescent="0.25">
      <c r="A14232" s="841"/>
    </row>
    <row r="14233" spans="1:1" x14ac:dyDescent="0.25">
      <c r="A14233" s="841"/>
    </row>
    <row r="14234" spans="1:1" x14ac:dyDescent="0.25">
      <c r="A14234" s="841"/>
    </row>
    <row r="14235" spans="1:1" x14ac:dyDescent="0.25">
      <c r="A14235" s="841"/>
    </row>
    <row r="14236" spans="1:1" x14ac:dyDescent="0.25">
      <c r="A14236" s="841"/>
    </row>
    <row r="14237" spans="1:1" x14ac:dyDescent="0.25">
      <c r="A14237" s="841"/>
    </row>
    <row r="14238" spans="1:1" x14ac:dyDescent="0.25">
      <c r="A14238" s="841"/>
    </row>
    <row r="14239" spans="1:1" x14ac:dyDescent="0.25">
      <c r="A14239" s="841"/>
    </row>
    <row r="14240" spans="1:1" x14ac:dyDescent="0.25">
      <c r="A14240" s="841"/>
    </row>
    <row r="14241" spans="1:1" x14ac:dyDescent="0.25">
      <c r="A14241" s="841"/>
    </row>
    <row r="14242" spans="1:1" x14ac:dyDescent="0.25">
      <c r="A14242" s="841"/>
    </row>
    <row r="14243" spans="1:1" x14ac:dyDescent="0.25">
      <c r="A14243" s="841"/>
    </row>
    <row r="14244" spans="1:1" x14ac:dyDescent="0.25">
      <c r="A14244" s="841"/>
    </row>
    <row r="14245" spans="1:1" x14ac:dyDescent="0.25">
      <c r="A14245" s="841"/>
    </row>
    <row r="14246" spans="1:1" x14ac:dyDescent="0.25">
      <c r="A14246" s="841"/>
    </row>
    <row r="14247" spans="1:1" x14ac:dyDescent="0.25">
      <c r="A14247" s="841"/>
    </row>
    <row r="14248" spans="1:1" x14ac:dyDescent="0.25">
      <c r="A14248" s="841"/>
    </row>
    <row r="14249" spans="1:1" x14ac:dyDescent="0.25">
      <c r="A14249" s="841"/>
    </row>
    <row r="14250" spans="1:1" x14ac:dyDescent="0.25">
      <c r="A14250" s="841"/>
    </row>
    <row r="14251" spans="1:1" x14ac:dyDescent="0.25">
      <c r="A14251" s="841"/>
    </row>
    <row r="14252" spans="1:1" x14ac:dyDescent="0.25">
      <c r="A14252" s="841"/>
    </row>
    <row r="14253" spans="1:1" x14ac:dyDescent="0.25">
      <c r="A14253" s="841"/>
    </row>
    <row r="14254" spans="1:1" x14ac:dyDescent="0.25">
      <c r="A14254" s="841"/>
    </row>
    <row r="14255" spans="1:1" x14ac:dyDescent="0.25">
      <c r="A14255" s="841"/>
    </row>
    <row r="14256" spans="1:1" x14ac:dyDescent="0.25">
      <c r="A14256" s="841"/>
    </row>
    <row r="14257" spans="1:1" x14ac:dyDescent="0.25">
      <c r="A14257" s="841"/>
    </row>
    <row r="14258" spans="1:1" x14ac:dyDescent="0.25">
      <c r="A14258" s="841"/>
    </row>
    <row r="14259" spans="1:1" x14ac:dyDescent="0.25">
      <c r="A14259" s="841"/>
    </row>
    <row r="14260" spans="1:1" x14ac:dyDescent="0.25">
      <c r="A14260" s="841"/>
    </row>
    <row r="14261" spans="1:1" x14ac:dyDescent="0.25">
      <c r="A14261" s="841"/>
    </row>
    <row r="14262" spans="1:1" x14ac:dyDescent="0.25">
      <c r="A14262" s="841"/>
    </row>
    <row r="14263" spans="1:1" x14ac:dyDescent="0.25">
      <c r="A14263" s="841"/>
    </row>
    <row r="14264" spans="1:1" x14ac:dyDescent="0.25">
      <c r="A14264" s="841"/>
    </row>
    <row r="14265" spans="1:1" x14ac:dyDescent="0.25">
      <c r="A14265" s="841"/>
    </row>
    <row r="14266" spans="1:1" x14ac:dyDescent="0.25">
      <c r="A14266" s="841"/>
    </row>
    <row r="14267" spans="1:1" x14ac:dyDescent="0.25">
      <c r="A14267" s="841"/>
    </row>
    <row r="14268" spans="1:1" x14ac:dyDescent="0.25">
      <c r="A14268" s="841"/>
    </row>
    <row r="14269" spans="1:1" x14ac:dyDescent="0.25">
      <c r="A14269" s="841"/>
    </row>
    <row r="14270" spans="1:1" x14ac:dyDescent="0.25">
      <c r="A14270" s="841"/>
    </row>
    <row r="14271" spans="1:1" x14ac:dyDescent="0.25">
      <c r="A14271" s="841"/>
    </row>
    <row r="14272" spans="1:1" x14ac:dyDescent="0.25">
      <c r="A14272" s="841"/>
    </row>
    <row r="14273" spans="1:1" x14ac:dyDescent="0.25">
      <c r="A14273" s="841"/>
    </row>
    <row r="14274" spans="1:1" x14ac:dyDescent="0.25">
      <c r="A14274" s="841"/>
    </row>
    <row r="14275" spans="1:1" x14ac:dyDescent="0.25">
      <c r="A14275" s="841"/>
    </row>
    <row r="14276" spans="1:1" x14ac:dyDescent="0.25">
      <c r="A14276" s="841"/>
    </row>
    <row r="14277" spans="1:1" x14ac:dyDescent="0.25">
      <c r="A14277" s="841"/>
    </row>
    <row r="14278" spans="1:1" x14ac:dyDescent="0.25">
      <c r="A14278" s="841"/>
    </row>
    <row r="14279" spans="1:1" x14ac:dyDescent="0.25">
      <c r="A14279" s="841"/>
    </row>
    <row r="14280" spans="1:1" x14ac:dyDescent="0.25">
      <c r="A14280" s="841"/>
    </row>
    <row r="14281" spans="1:1" x14ac:dyDescent="0.25">
      <c r="A14281" s="841"/>
    </row>
    <row r="14282" spans="1:1" x14ac:dyDescent="0.25">
      <c r="A14282" s="841"/>
    </row>
    <row r="14283" spans="1:1" x14ac:dyDescent="0.25">
      <c r="A14283" s="841"/>
    </row>
    <row r="14284" spans="1:1" x14ac:dyDescent="0.25">
      <c r="A14284" s="841"/>
    </row>
    <row r="14285" spans="1:1" x14ac:dyDescent="0.25">
      <c r="A14285" s="841"/>
    </row>
    <row r="14286" spans="1:1" x14ac:dyDescent="0.25">
      <c r="A14286" s="841"/>
    </row>
    <row r="14287" spans="1:1" x14ac:dyDescent="0.25">
      <c r="A14287" s="841"/>
    </row>
    <row r="14288" spans="1:1" x14ac:dyDescent="0.25">
      <c r="A14288" s="841"/>
    </row>
    <row r="14289" spans="1:1" x14ac:dyDescent="0.25">
      <c r="A14289" s="841"/>
    </row>
    <row r="14290" spans="1:1" x14ac:dyDescent="0.25">
      <c r="A14290" s="841"/>
    </row>
    <row r="14291" spans="1:1" x14ac:dyDescent="0.25">
      <c r="A14291" s="841"/>
    </row>
    <row r="14292" spans="1:1" x14ac:dyDescent="0.25">
      <c r="A14292" s="841"/>
    </row>
    <row r="14293" spans="1:1" x14ac:dyDescent="0.25">
      <c r="A14293" s="841"/>
    </row>
    <row r="14294" spans="1:1" x14ac:dyDescent="0.25">
      <c r="A14294" s="841"/>
    </row>
    <row r="14295" spans="1:1" x14ac:dyDescent="0.25">
      <c r="A14295" s="841"/>
    </row>
    <row r="14296" spans="1:1" x14ac:dyDescent="0.25">
      <c r="A14296" s="841"/>
    </row>
    <row r="14297" spans="1:1" x14ac:dyDescent="0.25">
      <c r="A14297" s="841"/>
    </row>
    <row r="14298" spans="1:1" x14ac:dyDescent="0.25">
      <c r="A14298" s="841"/>
    </row>
    <row r="14299" spans="1:1" x14ac:dyDescent="0.25">
      <c r="A14299" s="841"/>
    </row>
    <row r="14300" spans="1:1" x14ac:dyDescent="0.25">
      <c r="A14300" s="841"/>
    </row>
    <row r="14301" spans="1:1" x14ac:dyDescent="0.25">
      <c r="A14301" s="841"/>
    </row>
    <row r="14302" spans="1:1" x14ac:dyDescent="0.25">
      <c r="A14302" s="841"/>
    </row>
    <row r="14303" spans="1:1" x14ac:dyDescent="0.25">
      <c r="A14303" s="841"/>
    </row>
    <row r="14304" spans="1:1" x14ac:dyDescent="0.25">
      <c r="A14304" s="841"/>
    </row>
    <row r="14305" spans="1:1" x14ac:dyDescent="0.25">
      <c r="A14305" s="841"/>
    </row>
    <row r="14306" spans="1:1" x14ac:dyDescent="0.25">
      <c r="A14306" s="841"/>
    </row>
    <row r="14307" spans="1:1" x14ac:dyDescent="0.25">
      <c r="A14307" s="841"/>
    </row>
    <row r="14308" spans="1:1" x14ac:dyDescent="0.25">
      <c r="A14308" s="841"/>
    </row>
    <row r="14309" spans="1:1" x14ac:dyDescent="0.25">
      <c r="A14309" s="841"/>
    </row>
    <row r="14310" spans="1:1" x14ac:dyDescent="0.25">
      <c r="A14310" s="841"/>
    </row>
    <row r="14311" spans="1:1" x14ac:dyDescent="0.25">
      <c r="A14311" s="841"/>
    </row>
    <row r="14312" spans="1:1" x14ac:dyDescent="0.25">
      <c r="A14312" s="841"/>
    </row>
    <row r="14313" spans="1:1" x14ac:dyDescent="0.25">
      <c r="A14313" s="841"/>
    </row>
    <row r="14314" spans="1:1" x14ac:dyDescent="0.25">
      <c r="A14314" s="841"/>
    </row>
    <row r="14315" spans="1:1" x14ac:dyDescent="0.25">
      <c r="A14315" s="841"/>
    </row>
    <row r="14316" spans="1:1" x14ac:dyDescent="0.25">
      <c r="A14316" s="841"/>
    </row>
    <row r="14317" spans="1:1" x14ac:dyDescent="0.25">
      <c r="A14317" s="841"/>
    </row>
    <row r="14318" spans="1:1" x14ac:dyDescent="0.25">
      <c r="A14318" s="841"/>
    </row>
    <row r="14319" spans="1:1" x14ac:dyDescent="0.25">
      <c r="A14319" s="841"/>
    </row>
    <row r="14320" spans="1:1" x14ac:dyDescent="0.25">
      <c r="A14320" s="841"/>
    </row>
    <row r="14321" spans="1:1" x14ac:dyDescent="0.25">
      <c r="A14321" s="841"/>
    </row>
    <row r="14322" spans="1:1" x14ac:dyDescent="0.25">
      <c r="A14322" s="841"/>
    </row>
    <row r="14323" spans="1:1" x14ac:dyDescent="0.25">
      <c r="A14323" s="841"/>
    </row>
    <row r="14324" spans="1:1" x14ac:dyDescent="0.25">
      <c r="A14324" s="841"/>
    </row>
    <row r="14325" spans="1:1" x14ac:dyDescent="0.25">
      <c r="A14325" s="841"/>
    </row>
    <row r="14326" spans="1:1" x14ac:dyDescent="0.25">
      <c r="A14326" s="841"/>
    </row>
    <row r="14327" spans="1:1" x14ac:dyDescent="0.25">
      <c r="A14327" s="841"/>
    </row>
    <row r="14328" spans="1:1" x14ac:dyDescent="0.25">
      <c r="A14328" s="841"/>
    </row>
    <row r="14329" spans="1:1" x14ac:dyDescent="0.25">
      <c r="A14329" s="841"/>
    </row>
    <row r="14330" spans="1:1" x14ac:dyDescent="0.25">
      <c r="A14330" s="841"/>
    </row>
    <row r="14331" spans="1:1" x14ac:dyDescent="0.25">
      <c r="A14331" s="841"/>
    </row>
    <row r="14332" spans="1:1" x14ac:dyDescent="0.25">
      <c r="A14332" s="841"/>
    </row>
    <row r="14333" spans="1:1" x14ac:dyDescent="0.25">
      <c r="A14333" s="841"/>
    </row>
    <row r="14334" spans="1:1" x14ac:dyDescent="0.25">
      <c r="A14334" s="841"/>
    </row>
    <row r="14335" spans="1:1" x14ac:dyDescent="0.25">
      <c r="A14335" s="841"/>
    </row>
    <row r="14336" spans="1:1" x14ac:dyDescent="0.25">
      <c r="A14336" s="841"/>
    </row>
    <row r="14337" spans="1:1" x14ac:dyDescent="0.25">
      <c r="A14337" s="841"/>
    </row>
    <row r="14338" spans="1:1" x14ac:dyDescent="0.25">
      <c r="A14338" s="841"/>
    </row>
    <row r="14339" spans="1:1" x14ac:dyDescent="0.25">
      <c r="A14339" s="841"/>
    </row>
    <row r="14340" spans="1:1" x14ac:dyDescent="0.25">
      <c r="A14340" s="841"/>
    </row>
    <row r="14341" spans="1:1" x14ac:dyDescent="0.25">
      <c r="A14341" s="841"/>
    </row>
    <row r="14342" spans="1:1" x14ac:dyDescent="0.25">
      <c r="A14342" s="841"/>
    </row>
    <row r="14343" spans="1:1" x14ac:dyDescent="0.25">
      <c r="A14343" s="841"/>
    </row>
    <row r="14344" spans="1:1" x14ac:dyDescent="0.25">
      <c r="A14344" s="841"/>
    </row>
    <row r="14345" spans="1:1" x14ac:dyDescent="0.25">
      <c r="A14345" s="841"/>
    </row>
    <row r="14346" spans="1:1" x14ac:dyDescent="0.25">
      <c r="A14346" s="841"/>
    </row>
    <row r="14347" spans="1:1" x14ac:dyDescent="0.25">
      <c r="A14347" s="841"/>
    </row>
    <row r="14348" spans="1:1" x14ac:dyDescent="0.25">
      <c r="A14348" s="841"/>
    </row>
    <row r="14349" spans="1:1" x14ac:dyDescent="0.25">
      <c r="A14349" s="841"/>
    </row>
    <row r="14350" spans="1:1" x14ac:dyDescent="0.25">
      <c r="A14350" s="841"/>
    </row>
    <row r="14351" spans="1:1" x14ac:dyDescent="0.25">
      <c r="A14351" s="841"/>
    </row>
    <row r="14352" spans="1:1" x14ac:dyDescent="0.25">
      <c r="A14352" s="841"/>
    </row>
    <row r="14353" spans="1:1" x14ac:dyDescent="0.25">
      <c r="A14353" s="841"/>
    </row>
    <row r="14354" spans="1:1" x14ac:dyDescent="0.25">
      <c r="A14354" s="841"/>
    </row>
    <row r="14355" spans="1:1" x14ac:dyDescent="0.25">
      <c r="A14355" s="841"/>
    </row>
    <row r="14356" spans="1:1" x14ac:dyDescent="0.25">
      <c r="A14356" s="841"/>
    </row>
    <row r="14357" spans="1:1" x14ac:dyDescent="0.25">
      <c r="A14357" s="841"/>
    </row>
    <row r="14358" spans="1:1" x14ac:dyDescent="0.25">
      <c r="A14358" s="841"/>
    </row>
    <row r="14359" spans="1:1" x14ac:dyDescent="0.25">
      <c r="A14359" s="841"/>
    </row>
    <row r="14360" spans="1:1" x14ac:dyDescent="0.25">
      <c r="A14360" s="841"/>
    </row>
    <row r="14361" spans="1:1" x14ac:dyDescent="0.25">
      <c r="A14361" s="841"/>
    </row>
    <row r="14362" spans="1:1" x14ac:dyDescent="0.25">
      <c r="A14362" s="841"/>
    </row>
    <row r="14363" spans="1:1" x14ac:dyDescent="0.25">
      <c r="A14363" s="841"/>
    </row>
    <row r="14364" spans="1:1" x14ac:dyDescent="0.25">
      <c r="A14364" s="841"/>
    </row>
    <row r="14365" spans="1:1" x14ac:dyDescent="0.25">
      <c r="A14365" s="841"/>
    </row>
    <row r="14366" spans="1:1" x14ac:dyDescent="0.25">
      <c r="A14366" s="841"/>
    </row>
    <row r="14367" spans="1:1" x14ac:dyDescent="0.25">
      <c r="A14367" s="841"/>
    </row>
    <row r="14368" spans="1:1" x14ac:dyDescent="0.25">
      <c r="A14368" s="841"/>
    </row>
    <row r="14369" spans="1:1" x14ac:dyDescent="0.25">
      <c r="A14369" s="841"/>
    </row>
    <row r="14370" spans="1:1" x14ac:dyDescent="0.25">
      <c r="A14370" s="841"/>
    </row>
    <row r="14371" spans="1:1" x14ac:dyDescent="0.25">
      <c r="A14371" s="841"/>
    </row>
    <row r="14372" spans="1:1" x14ac:dyDescent="0.25">
      <c r="A14372" s="841"/>
    </row>
    <row r="14373" spans="1:1" x14ac:dyDescent="0.25">
      <c r="A14373" s="841"/>
    </row>
    <row r="14374" spans="1:1" x14ac:dyDescent="0.25">
      <c r="A14374" s="841"/>
    </row>
    <row r="14375" spans="1:1" x14ac:dyDescent="0.25">
      <c r="A14375" s="841"/>
    </row>
    <row r="14376" spans="1:1" x14ac:dyDescent="0.25">
      <c r="A14376" s="841"/>
    </row>
    <row r="14377" spans="1:1" x14ac:dyDescent="0.25">
      <c r="A14377" s="841"/>
    </row>
    <row r="14378" spans="1:1" x14ac:dyDescent="0.25">
      <c r="A14378" s="841"/>
    </row>
    <row r="14379" spans="1:1" x14ac:dyDescent="0.25">
      <c r="A14379" s="841"/>
    </row>
    <row r="14380" spans="1:1" x14ac:dyDescent="0.25">
      <c r="A14380" s="841"/>
    </row>
    <row r="14381" spans="1:1" x14ac:dyDescent="0.25">
      <c r="A14381" s="841"/>
    </row>
    <row r="14382" spans="1:1" x14ac:dyDescent="0.25">
      <c r="A14382" s="841"/>
    </row>
    <row r="14383" spans="1:1" x14ac:dyDescent="0.25">
      <c r="A14383" s="841"/>
    </row>
    <row r="14384" spans="1:1" x14ac:dyDescent="0.25">
      <c r="A14384" s="841"/>
    </row>
    <row r="14385" spans="1:1" x14ac:dyDescent="0.25">
      <c r="A14385" s="841"/>
    </row>
    <row r="14386" spans="1:1" x14ac:dyDescent="0.25">
      <c r="A14386" s="841"/>
    </row>
    <row r="14387" spans="1:1" x14ac:dyDescent="0.25">
      <c r="A14387" s="841"/>
    </row>
    <row r="14388" spans="1:1" x14ac:dyDescent="0.25">
      <c r="A14388" s="841"/>
    </row>
    <row r="14389" spans="1:1" x14ac:dyDescent="0.25">
      <c r="A14389" s="841"/>
    </row>
    <row r="14390" spans="1:1" x14ac:dyDescent="0.25">
      <c r="A14390" s="841"/>
    </row>
    <row r="14391" spans="1:1" x14ac:dyDescent="0.25">
      <c r="A14391" s="841"/>
    </row>
    <row r="14392" spans="1:1" x14ac:dyDescent="0.25">
      <c r="A14392" s="841"/>
    </row>
    <row r="14393" spans="1:1" x14ac:dyDescent="0.25">
      <c r="A14393" s="841"/>
    </row>
    <row r="14394" spans="1:1" x14ac:dyDescent="0.25">
      <c r="A14394" s="841"/>
    </row>
    <row r="14395" spans="1:1" x14ac:dyDescent="0.25">
      <c r="A14395" s="841"/>
    </row>
    <row r="14396" spans="1:1" x14ac:dyDescent="0.25">
      <c r="A14396" s="841"/>
    </row>
    <row r="14397" spans="1:1" x14ac:dyDescent="0.25">
      <c r="A14397" s="841"/>
    </row>
    <row r="14398" spans="1:1" x14ac:dyDescent="0.25">
      <c r="A14398" s="841"/>
    </row>
    <row r="14399" spans="1:1" x14ac:dyDescent="0.25">
      <c r="A14399" s="841"/>
    </row>
    <row r="14400" spans="1:1" x14ac:dyDescent="0.25">
      <c r="A14400" s="841"/>
    </row>
    <row r="14401" spans="1:1" x14ac:dyDescent="0.25">
      <c r="A14401" s="841"/>
    </row>
    <row r="14402" spans="1:1" x14ac:dyDescent="0.25">
      <c r="A14402" s="841"/>
    </row>
    <row r="14403" spans="1:1" x14ac:dyDescent="0.25">
      <c r="A14403" s="841"/>
    </row>
    <row r="14404" spans="1:1" x14ac:dyDescent="0.25">
      <c r="A14404" s="841"/>
    </row>
    <row r="14405" spans="1:1" x14ac:dyDescent="0.25">
      <c r="A14405" s="841"/>
    </row>
    <row r="14406" spans="1:1" x14ac:dyDescent="0.25">
      <c r="A14406" s="841"/>
    </row>
    <row r="14407" spans="1:1" x14ac:dyDescent="0.25">
      <c r="A14407" s="841"/>
    </row>
    <row r="14408" spans="1:1" x14ac:dyDescent="0.25">
      <c r="A14408" s="841"/>
    </row>
    <row r="14409" spans="1:1" x14ac:dyDescent="0.25">
      <c r="A14409" s="841"/>
    </row>
    <row r="14410" spans="1:1" x14ac:dyDescent="0.25">
      <c r="A14410" s="841"/>
    </row>
    <row r="14411" spans="1:1" x14ac:dyDescent="0.25">
      <c r="A14411" s="841"/>
    </row>
    <row r="14412" spans="1:1" x14ac:dyDescent="0.25">
      <c r="A14412" s="841"/>
    </row>
    <row r="14413" spans="1:1" x14ac:dyDescent="0.25">
      <c r="A14413" s="841"/>
    </row>
    <row r="14414" spans="1:1" x14ac:dyDescent="0.25">
      <c r="A14414" s="841"/>
    </row>
    <row r="14415" spans="1:1" x14ac:dyDescent="0.25">
      <c r="A14415" s="841"/>
    </row>
    <row r="14416" spans="1:1" x14ac:dyDescent="0.25">
      <c r="A14416" s="841"/>
    </row>
    <row r="14417" spans="1:1" x14ac:dyDescent="0.25">
      <c r="A14417" s="841"/>
    </row>
    <row r="14418" spans="1:1" x14ac:dyDescent="0.25">
      <c r="A14418" s="841"/>
    </row>
    <row r="14419" spans="1:1" x14ac:dyDescent="0.25">
      <c r="A14419" s="841"/>
    </row>
    <row r="14420" spans="1:1" x14ac:dyDescent="0.25">
      <c r="A14420" s="841"/>
    </row>
    <row r="14421" spans="1:1" x14ac:dyDescent="0.25">
      <c r="A14421" s="841"/>
    </row>
    <row r="14422" spans="1:1" x14ac:dyDescent="0.25">
      <c r="A14422" s="841"/>
    </row>
    <row r="14423" spans="1:1" x14ac:dyDescent="0.25">
      <c r="A14423" s="841"/>
    </row>
    <row r="14424" spans="1:1" x14ac:dyDescent="0.25">
      <c r="A14424" s="841"/>
    </row>
    <row r="14425" spans="1:1" x14ac:dyDescent="0.25">
      <c r="A14425" s="841"/>
    </row>
    <row r="14426" spans="1:1" x14ac:dyDescent="0.25">
      <c r="A14426" s="841"/>
    </row>
    <row r="14427" spans="1:1" x14ac:dyDescent="0.25">
      <c r="A14427" s="841"/>
    </row>
    <row r="14428" spans="1:1" x14ac:dyDescent="0.25">
      <c r="A14428" s="841"/>
    </row>
    <row r="14429" spans="1:1" x14ac:dyDescent="0.25">
      <c r="A14429" s="841"/>
    </row>
    <row r="14430" spans="1:1" x14ac:dyDescent="0.25">
      <c r="A14430" s="841"/>
    </row>
    <row r="14431" spans="1:1" x14ac:dyDescent="0.25">
      <c r="A14431" s="841"/>
    </row>
    <row r="14432" spans="1:1" x14ac:dyDescent="0.25">
      <c r="A14432" s="841"/>
    </row>
    <row r="14433" spans="1:1" x14ac:dyDescent="0.25">
      <c r="A14433" s="841"/>
    </row>
    <row r="14434" spans="1:1" x14ac:dyDescent="0.25">
      <c r="A14434" s="841"/>
    </row>
    <row r="14435" spans="1:1" x14ac:dyDescent="0.25">
      <c r="A14435" s="841"/>
    </row>
    <row r="14436" spans="1:1" x14ac:dyDescent="0.25">
      <c r="A14436" s="841"/>
    </row>
    <row r="14437" spans="1:1" x14ac:dyDescent="0.25">
      <c r="A14437" s="841"/>
    </row>
    <row r="14438" spans="1:1" x14ac:dyDescent="0.25">
      <c r="A14438" s="841"/>
    </row>
    <row r="14439" spans="1:1" x14ac:dyDescent="0.25">
      <c r="A14439" s="841"/>
    </row>
    <row r="14440" spans="1:1" x14ac:dyDescent="0.25">
      <c r="A14440" s="841"/>
    </row>
    <row r="14441" spans="1:1" x14ac:dyDescent="0.25">
      <c r="A14441" s="841"/>
    </row>
    <row r="14442" spans="1:1" x14ac:dyDescent="0.25">
      <c r="A14442" s="841"/>
    </row>
    <row r="14443" spans="1:1" x14ac:dyDescent="0.25">
      <c r="A14443" s="841"/>
    </row>
    <row r="14444" spans="1:1" x14ac:dyDescent="0.25">
      <c r="A14444" s="841"/>
    </row>
    <row r="14445" spans="1:1" x14ac:dyDescent="0.25">
      <c r="A14445" s="841"/>
    </row>
    <row r="14446" spans="1:1" x14ac:dyDescent="0.25">
      <c r="A14446" s="841"/>
    </row>
    <row r="14447" spans="1:1" x14ac:dyDescent="0.25">
      <c r="A14447" s="841"/>
    </row>
    <row r="14448" spans="1:1" x14ac:dyDescent="0.25">
      <c r="A14448" s="841"/>
    </row>
    <row r="14449" spans="1:1" x14ac:dyDescent="0.25">
      <c r="A14449" s="841"/>
    </row>
    <row r="14450" spans="1:1" x14ac:dyDescent="0.25">
      <c r="A14450" s="841"/>
    </row>
    <row r="14451" spans="1:1" x14ac:dyDescent="0.25">
      <c r="A14451" s="841"/>
    </row>
    <row r="14452" spans="1:1" x14ac:dyDescent="0.25">
      <c r="A14452" s="841"/>
    </row>
    <row r="14453" spans="1:1" x14ac:dyDescent="0.25">
      <c r="A14453" s="841"/>
    </row>
    <row r="14454" spans="1:1" x14ac:dyDescent="0.25">
      <c r="A14454" s="841"/>
    </row>
    <row r="14455" spans="1:1" x14ac:dyDescent="0.25">
      <c r="A14455" s="841"/>
    </row>
    <row r="14456" spans="1:1" x14ac:dyDescent="0.25">
      <c r="A14456" s="841"/>
    </row>
    <row r="14457" spans="1:1" x14ac:dyDescent="0.25">
      <c r="A14457" s="841"/>
    </row>
    <row r="14458" spans="1:1" x14ac:dyDescent="0.25">
      <c r="A14458" s="841"/>
    </row>
    <row r="14459" spans="1:1" x14ac:dyDescent="0.25">
      <c r="A14459" s="841"/>
    </row>
    <row r="14460" spans="1:1" x14ac:dyDescent="0.25">
      <c r="A14460" s="841"/>
    </row>
    <row r="14461" spans="1:1" x14ac:dyDescent="0.25">
      <c r="A14461" s="841"/>
    </row>
    <row r="14462" spans="1:1" x14ac:dyDescent="0.25">
      <c r="A14462" s="841"/>
    </row>
    <row r="14463" spans="1:1" x14ac:dyDescent="0.25">
      <c r="A14463" s="841"/>
    </row>
    <row r="14464" spans="1:1" x14ac:dyDescent="0.25">
      <c r="A14464" s="841"/>
    </row>
    <row r="14465" spans="1:1" x14ac:dyDescent="0.25">
      <c r="A14465" s="841"/>
    </row>
    <row r="14466" spans="1:1" x14ac:dyDescent="0.25">
      <c r="A14466" s="841"/>
    </row>
    <row r="14467" spans="1:1" x14ac:dyDescent="0.25">
      <c r="A14467" s="841"/>
    </row>
    <row r="14468" spans="1:1" x14ac:dyDescent="0.25">
      <c r="A14468" s="841"/>
    </row>
    <row r="14469" spans="1:1" x14ac:dyDescent="0.25">
      <c r="A14469" s="841"/>
    </row>
    <row r="14470" spans="1:1" x14ac:dyDescent="0.25">
      <c r="A14470" s="841"/>
    </row>
    <row r="14471" spans="1:1" x14ac:dyDescent="0.25">
      <c r="A14471" s="841"/>
    </row>
    <row r="14472" spans="1:1" x14ac:dyDescent="0.25">
      <c r="A14472" s="841"/>
    </row>
    <row r="14473" spans="1:1" x14ac:dyDescent="0.25">
      <c r="A14473" s="841"/>
    </row>
    <row r="14474" spans="1:1" x14ac:dyDescent="0.25">
      <c r="A14474" s="841"/>
    </row>
    <row r="14475" spans="1:1" x14ac:dyDescent="0.25">
      <c r="A14475" s="841"/>
    </row>
    <row r="14476" spans="1:1" x14ac:dyDescent="0.25">
      <c r="A14476" s="841"/>
    </row>
    <row r="14477" spans="1:1" x14ac:dyDescent="0.25">
      <c r="A14477" s="841"/>
    </row>
    <row r="14478" spans="1:1" x14ac:dyDescent="0.25">
      <c r="A14478" s="841"/>
    </row>
    <row r="14479" spans="1:1" x14ac:dyDescent="0.25">
      <c r="A14479" s="841"/>
    </row>
    <row r="14480" spans="1:1" x14ac:dyDescent="0.25">
      <c r="A14480" s="841"/>
    </row>
    <row r="14481" spans="1:1" x14ac:dyDescent="0.25">
      <c r="A14481" s="841"/>
    </row>
    <row r="14482" spans="1:1" x14ac:dyDescent="0.25">
      <c r="A14482" s="841"/>
    </row>
    <row r="14483" spans="1:1" x14ac:dyDescent="0.25">
      <c r="A14483" s="841"/>
    </row>
    <row r="14484" spans="1:1" x14ac:dyDescent="0.25">
      <c r="A14484" s="841"/>
    </row>
    <row r="14485" spans="1:1" x14ac:dyDescent="0.25">
      <c r="A14485" s="841"/>
    </row>
    <row r="14486" spans="1:1" x14ac:dyDescent="0.25">
      <c r="A14486" s="841"/>
    </row>
    <row r="14487" spans="1:1" x14ac:dyDescent="0.25">
      <c r="A14487" s="841"/>
    </row>
    <row r="14488" spans="1:1" x14ac:dyDescent="0.25">
      <c r="A14488" s="841"/>
    </row>
    <row r="14489" spans="1:1" x14ac:dyDescent="0.25">
      <c r="A14489" s="841"/>
    </row>
    <row r="14490" spans="1:1" x14ac:dyDescent="0.25">
      <c r="A14490" s="841"/>
    </row>
    <row r="14491" spans="1:1" x14ac:dyDescent="0.25">
      <c r="A14491" s="841"/>
    </row>
    <row r="14492" spans="1:1" x14ac:dyDescent="0.25">
      <c r="A14492" s="841"/>
    </row>
    <row r="14493" spans="1:1" x14ac:dyDescent="0.25">
      <c r="A14493" s="841"/>
    </row>
    <row r="14494" spans="1:1" x14ac:dyDescent="0.25">
      <c r="A14494" s="841"/>
    </row>
    <row r="14495" spans="1:1" x14ac:dyDescent="0.25">
      <c r="A14495" s="841"/>
    </row>
    <row r="14496" spans="1:1" x14ac:dyDescent="0.25">
      <c r="A14496" s="841"/>
    </row>
    <row r="14497" spans="1:1" x14ac:dyDescent="0.25">
      <c r="A14497" s="841"/>
    </row>
    <row r="14498" spans="1:1" x14ac:dyDescent="0.25">
      <c r="A14498" s="841"/>
    </row>
    <row r="14499" spans="1:1" x14ac:dyDescent="0.25">
      <c r="A14499" s="841"/>
    </row>
    <row r="14500" spans="1:1" x14ac:dyDescent="0.25">
      <c r="A14500" s="841"/>
    </row>
    <row r="14501" spans="1:1" x14ac:dyDescent="0.25">
      <c r="A14501" s="841"/>
    </row>
    <row r="14502" spans="1:1" x14ac:dyDescent="0.25">
      <c r="A14502" s="841"/>
    </row>
    <row r="14503" spans="1:1" x14ac:dyDescent="0.25">
      <c r="A14503" s="841"/>
    </row>
    <row r="14504" spans="1:1" x14ac:dyDescent="0.25">
      <c r="A14504" s="841"/>
    </row>
    <row r="14505" spans="1:1" x14ac:dyDescent="0.25">
      <c r="A14505" s="841"/>
    </row>
    <row r="14506" spans="1:1" x14ac:dyDescent="0.25">
      <c r="A14506" s="841"/>
    </row>
    <row r="14507" spans="1:1" x14ac:dyDescent="0.25">
      <c r="A14507" s="841"/>
    </row>
    <row r="14508" spans="1:1" x14ac:dyDescent="0.25">
      <c r="A14508" s="841"/>
    </row>
    <row r="14509" spans="1:1" x14ac:dyDescent="0.25">
      <c r="A14509" s="841"/>
    </row>
    <row r="14510" spans="1:1" x14ac:dyDescent="0.25">
      <c r="A14510" s="841"/>
    </row>
    <row r="14511" spans="1:1" x14ac:dyDescent="0.25">
      <c r="A14511" s="841"/>
    </row>
    <row r="14512" spans="1:1" x14ac:dyDescent="0.25">
      <c r="A14512" s="841"/>
    </row>
    <row r="14513" spans="1:1" x14ac:dyDescent="0.25">
      <c r="A14513" s="841"/>
    </row>
    <row r="14514" spans="1:1" x14ac:dyDescent="0.25">
      <c r="A14514" s="841"/>
    </row>
    <row r="14515" spans="1:1" x14ac:dyDescent="0.25">
      <c r="A14515" s="841"/>
    </row>
    <row r="14516" spans="1:1" x14ac:dyDescent="0.25">
      <c r="A14516" s="841"/>
    </row>
    <row r="14517" spans="1:1" x14ac:dyDescent="0.25">
      <c r="A14517" s="841"/>
    </row>
    <row r="14518" spans="1:1" x14ac:dyDescent="0.25">
      <c r="A14518" s="841"/>
    </row>
    <row r="14519" spans="1:1" x14ac:dyDescent="0.25">
      <c r="A14519" s="841"/>
    </row>
    <row r="14520" spans="1:1" x14ac:dyDescent="0.25">
      <c r="A14520" s="841"/>
    </row>
    <row r="14521" spans="1:1" x14ac:dyDescent="0.25">
      <c r="A14521" s="841"/>
    </row>
    <row r="14522" spans="1:1" x14ac:dyDescent="0.25">
      <c r="A14522" s="841"/>
    </row>
    <row r="14523" spans="1:1" x14ac:dyDescent="0.25">
      <c r="A14523" s="841"/>
    </row>
    <row r="14524" spans="1:1" x14ac:dyDescent="0.25">
      <c r="A14524" s="841"/>
    </row>
    <row r="14525" spans="1:1" x14ac:dyDescent="0.25">
      <c r="A14525" s="841"/>
    </row>
    <row r="14526" spans="1:1" x14ac:dyDescent="0.25">
      <c r="A14526" s="841"/>
    </row>
    <row r="14527" spans="1:1" x14ac:dyDescent="0.25">
      <c r="A14527" s="841"/>
    </row>
    <row r="14528" spans="1:1" x14ac:dyDescent="0.25">
      <c r="A14528" s="841"/>
    </row>
    <row r="14529" spans="1:1" x14ac:dyDescent="0.25">
      <c r="A14529" s="841"/>
    </row>
    <row r="14530" spans="1:1" x14ac:dyDescent="0.25">
      <c r="A14530" s="841"/>
    </row>
    <row r="14531" spans="1:1" x14ac:dyDescent="0.25">
      <c r="A14531" s="841"/>
    </row>
    <row r="14532" spans="1:1" x14ac:dyDescent="0.25">
      <c r="A14532" s="841"/>
    </row>
    <row r="14533" spans="1:1" x14ac:dyDescent="0.25">
      <c r="A14533" s="841"/>
    </row>
    <row r="14534" spans="1:1" x14ac:dyDescent="0.25">
      <c r="A14534" s="841"/>
    </row>
    <row r="14535" spans="1:1" x14ac:dyDescent="0.25">
      <c r="A14535" s="841"/>
    </row>
    <row r="14536" spans="1:1" x14ac:dyDescent="0.25">
      <c r="A14536" s="841"/>
    </row>
    <row r="14537" spans="1:1" x14ac:dyDescent="0.25">
      <c r="A14537" s="841"/>
    </row>
    <row r="14538" spans="1:1" x14ac:dyDescent="0.25">
      <c r="A14538" s="841"/>
    </row>
    <row r="14539" spans="1:1" x14ac:dyDescent="0.25">
      <c r="A14539" s="841"/>
    </row>
    <row r="14540" spans="1:1" x14ac:dyDescent="0.25">
      <c r="A14540" s="841"/>
    </row>
    <row r="14541" spans="1:1" x14ac:dyDescent="0.25">
      <c r="A14541" s="841"/>
    </row>
    <row r="14542" spans="1:1" x14ac:dyDescent="0.25">
      <c r="A14542" s="841"/>
    </row>
    <row r="14543" spans="1:1" x14ac:dyDescent="0.25">
      <c r="A14543" s="841"/>
    </row>
    <row r="14544" spans="1:1" x14ac:dyDescent="0.25">
      <c r="A14544" s="841"/>
    </row>
    <row r="14545" spans="1:1" x14ac:dyDescent="0.25">
      <c r="A14545" s="841"/>
    </row>
    <row r="14546" spans="1:1" x14ac:dyDescent="0.25">
      <c r="A14546" s="841"/>
    </row>
    <row r="14547" spans="1:1" x14ac:dyDescent="0.25">
      <c r="A14547" s="841"/>
    </row>
    <row r="14548" spans="1:1" x14ac:dyDescent="0.25">
      <c r="A14548" s="841"/>
    </row>
    <row r="14549" spans="1:1" x14ac:dyDescent="0.25">
      <c r="A14549" s="841"/>
    </row>
    <row r="14550" spans="1:1" x14ac:dyDescent="0.25">
      <c r="A14550" s="841"/>
    </row>
    <row r="14551" spans="1:1" x14ac:dyDescent="0.25">
      <c r="A14551" s="841"/>
    </row>
    <row r="14552" spans="1:1" x14ac:dyDescent="0.25">
      <c r="A14552" s="841"/>
    </row>
    <row r="14553" spans="1:1" x14ac:dyDescent="0.25">
      <c r="A14553" s="841"/>
    </row>
    <row r="14554" spans="1:1" x14ac:dyDescent="0.25">
      <c r="A14554" s="841"/>
    </row>
    <row r="14555" spans="1:1" x14ac:dyDescent="0.25">
      <c r="A14555" s="841"/>
    </row>
    <row r="14556" spans="1:1" x14ac:dyDescent="0.25">
      <c r="A14556" s="841"/>
    </row>
    <row r="14557" spans="1:1" x14ac:dyDescent="0.25">
      <c r="A14557" s="841"/>
    </row>
    <row r="14558" spans="1:1" x14ac:dyDescent="0.25">
      <c r="A14558" s="841"/>
    </row>
    <row r="14559" spans="1:1" x14ac:dyDescent="0.25">
      <c r="A14559" s="841"/>
    </row>
    <row r="14560" spans="1:1" x14ac:dyDescent="0.25">
      <c r="A14560" s="841"/>
    </row>
    <row r="14561" spans="1:1" x14ac:dyDescent="0.25">
      <c r="A14561" s="841"/>
    </row>
    <row r="14562" spans="1:1" x14ac:dyDescent="0.25">
      <c r="A14562" s="841"/>
    </row>
    <row r="14563" spans="1:1" x14ac:dyDescent="0.25">
      <c r="A14563" s="841"/>
    </row>
    <row r="14564" spans="1:1" x14ac:dyDescent="0.25">
      <c r="A14564" s="841"/>
    </row>
    <row r="14565" spans="1:1" x14ac:dyDescent="0.25">
      <c r="A14565" s="841"/>
    </row>
    <row r="14566" spans="1:1" x14ac:dyDescent="0.25">
      <c r="A14566" s="841"/>
    </row>
    <row r="14567" spans="1:1" x14ac:dyDescent="0.25">
      <c r="A14567" s="841"/>
    </row>
    <row r="14568" spans="1:1" x14ac:dyDescent="0.25">
      <c r="A14568" s="841"/>
    </row>
    <row r="14569" spans="1:1" x14ac:dyDescent="0.25">
      <c r="A14569" s="841"/>
    </row>
    <row r="14570" spans="1:1" x14ac:dyDescent="0.25">
      <c r="A14570" s="841"/>
    </row>
    <row r="14571" spans="1:1" x14ac:dyDescent="0.25">
      <c r="A14571" s="841"/>
    </row>
    <row r="14572" spans="1:1" x14ac:dyDescent="0.25">
      <c r="A14572" s="841"/>
    </row>
    <row r="14573" spans="1:1" x14ac:dyDescent="0.25">
      <c r="A14573" s="841"/>
    </row>
    <row r="14574" spans="1:1" x14ac:dyDescent="0.25">
      <c r="A14574" s="841"/>
    </row>
    <row r="14575" spans="1:1" x14ac:dyDescent="0.25">
      <c r="A14575" s="841"/>
    </row>
    <row r="14576" spans="1:1" x14ac:dyDescent="0.25">
      <c r="A14576" s="841"/>
    </row>
    <row r="14577" spans="1:1" x14ac:dyDescent="0.25">
      <c r="A14577" s="841"/>
    </row>
    <row r="14578" spans="1:1" x14ac:dyDescent="0.25">
      <c r="A14578" s="841"/>
    </row>
    <row r="14579" spans="1:1" x14ac:dyDescent="0.25">
      <c r="A14579" s="841"/>
    </row>
    <row r="14580" spans="1:1" x14ac:dyDescent="0.25">
      <c r="A14580" s="841"/>
    </row>
    <row r="14581" spans="1:1" x14ac:dyDescent="0.25">
      <c r="A14581" s="841"/>
    </row>
    <row r="14582" spans="1:1" x14ac:dyDescent="0.25">
      <c r="A14582" s="841"/>
    </row>
    <row r="14583" spans="1:1" x14ac:dyDescent="0.25">
      <c r="A14583" s="841"/>
    </row>
    <row r="14584" spans="1:1" x14ac:dyDescent="0.25">
      <c r="A14584" s="841"/>
    </row>
    <row r="14585" spans="1:1" x14ac:dyDescent="0.25">
      <c r="A14585" s="841"/>
    </row>
    <row r="14586" spans="1:1" x14ac:dyDescent="0.25">
      <c r="A14586" s="841"/>
    </row>
    <row r="14587" spans="1:1" x14ac:dyDescent="0.25">
      <c r="A14587" s="841"/>
    </row>
    <row r="14588" spans="1:1" x14ac:dyDescent="0.25">
      <c r="A14588" s="841"/>
    </row>
    <row r="14589" spans="1:1" x14ac:dyDescent="0.25">
      <c r="A14589" s="841"/>
    </row>
    <row r="14590" spans="1:1" x14ac:dyDescent="0.25">
      <c r="A14590" s="841"/>
    </row>
    <row r="14591" spans="1:1" x14ac:dyDescent="0.25">
      <c r="A14591" s="841"/>
    </row>
    <row r="14592" spans="1:1" x14ac:dyDescent="0.25">
      <c r="A14592" s="841"/>
    </row>
    <row r="14593" spans="1:1" x14ac:dyDescent="0.25">
      <c r="A14593" s="841"/>
    </row>
    <row r="14594" spans="1:1" x14ac:dyDescent="0.25">
      <c r="A14594" s="841"/>
    </row>
    <row r="14595" spans="1:1" x14ac:dyDescent="0.25">
      <c r="A14595" s="841"/>
    </row>
    <row r="14596" spans="1:1" x14ac:dyDescent="0.25">
      <c r="A14596" s="841"/>
    </row>
    <row r="14597" spans="1:1" x14ac:dyDescent="0.25">
      <c r="A14597" s="841"/>
    </row>
    <row r="14598" spans="1:1" x14ac:dyDescent="0.25">
      <c r="A14598" s="841"/>
    </row>
    <row r="14599" spans="1:1" x14ac:dyDescent="0.25">
      <c r="A14599" s="841"/>
    </row>
    <row r="14600" spans="1:1" x14ac:dyDescent="0.25">
      <c r="A14600" s="841"/>
    </row>
    <row r="14601" spans="1:1" x14ac:dyDescent="0.25">
      <c r="A14601" s="841"/>
    </row>
    <row r="14602" spans="1:1" x14ac:dyDescent="0.25">
      <c r="A14602" s="841"/>
    </row>
    <row r="14603" spans="1:1" x14ac:dyDescent="0.25">
      <c r="A14603" s="841"/>
    </row>
    <row r="14604" spans="1:1" x14ac:dyDescent="0.25">
      <c r="A14604" s="841"/>
    </row>
    <row r="14605" spans="1:1" x14ac:dyDescent="0.25">
      <c r="A14605" s="841"/>
    </row>
    <row r="14606" spans="1:1" x14ac:dyDescent="0.25">
      <c r="A14606" s="841"/>
    </row>
    <row r="14607" spans="1:1" x14ac:dyDescent="0.25">
      <c r="A14607" s="841"/>
    </row>
    <row r="14608" spans="1:1" x14ac:dyDescent="0.25">
      <c r="A14608" s="841"/>
    </row>
    <row r="14609" spans="1:1" x14ac:dyDescent="0.25">
      <c r="A14609" s="841"/>
    </row>
    <row r="14610" spans="1:1" x14ac:dyDescent="0.25">
      <c r="A14610" s="841"/>
    </row>
    <row r="14611" spans="1:1" x14ac:dyDescent="0.25">
      <c r="A14611" s="841"/>
    </row>
    <row r="14612" spans="1:1" x14ac:dyDescent="0.25">
      <c r="A14612" s="841"/>
    </row>
    <row r="14613" spans="1:1" x14ac:dyDescent="0.25">
      <c r="A14613" s="841"/>
    </row>
    <row r="14614" spans="1:1" x14ac:dyDescent="0.25">
      <c r="A14614" s="841"/>
    </row>
    <row r="14615" spans="1:1" x14ac:dyDescent="0.25">
      <c r="A14615" s="841"/>
    </row>
    <row r="14616" spans="1:1" x14ac:dyDescent="0.25">
      <c r="A14616" s="841"/>
    </row>
    <row r="14617" spans="1:1" x14ac:dyDescent="0.25">
      <c r="A14617" s="841"/>
    </row>
    <row r="14618" spans="1:1" x14ac:dyDescent="0.25">
      <c r="A14618" s="841"/>
    </row>
    <row r="14619" spans="1:1" x14ac:dyDescent="0.25">
      <c r="A14619" s="841"/>
    </row>
    <row r="14620" spans="1:1" x14ac:dyDescent="0.25">
      <c r="A14620" s="841"/>
    </row>
    <row r="14621" spans="1:1" x14ac:dyDescent="0.25">
      <c r="A14621" s="841"/>
    </row>
    <row r="14622" spans="1:1" x14ac:dyDescent="0.25">
      <c r="A14622" s="841"/>
    </row>
    <row r="14623" spans="1:1" x14ac:dyDescent="0.25">
      <c r="A14623" s="841"/>
    </row>
    <row r="14624" spans="1:1" x14ac:dyDescent="0.25">
      <c r="A14624" s="841"/>
    </row>
    <row r="14625" spans="1:1" x14ac:dyDescent="0.25">
      <c r="A14625" s="841"/>
    </row>
    <row r="14626" spans="1:1" x14ac:dyDescent="0.25">
      <c r="A14626" s="841"/>
    </row>
    <row r="14627" spans="1:1" x14ac:dyDescent="0.25">
      <c r="A14627" s="841"/>
    </row>
    <row r="14628" spans="1:1" x14ac:dyDescent="0.25">
      <c r="A14628" s="841"/>
    </row>
    <row r="14629" spans="1:1" x14ac:dyDescent="0.25">
      <c r="A14629" s="841"/>
    </row>
    <row r="14630" spans="1:1" x14ac:dyDescent="0.25">
      <c r="A14630" s="841"/>
    </row>
    <row r="14631" spans="1:1" x14ac:dyDescent="0.25">
      <c r="A14631" s="841"/>
    </row>
    <row r="14632" spans="1:1" x14ac:dyDescent="0.25">
      <c r="A14632" s="841"/>
    </row>
    <row r="14633" spans="1:1" x14ac:dyDescent="0.25">
      <c r="A14633" s="841"/>
    </row>
    <row r="14634" spans="1:1" x14ac:dyDescent="0.25">
      <c r="A14634" s="841"/>
    </row>
    <row r="14635" spans="1:1" x14ac:dyDescent="0.25">
      <c r="A14635" s="841"/>
    </row>
    <row r="14636" spans="1:1" x14ac:dyDescent="0.25">
      <c r="A14636" s="841"/>
    </row>
    <row r="14637" spans="1:1" x14ac:dyDescent="0.25">
      <c r="A14637" s="841"/>
    </row>
    <row r="14638" spans="1:1" x14ac:dyDescent="0.25">
      <c r="A14638" s="841"/>
    </row>
    <row r="14639" spans="1:1" x14ac:dyDescent="0.25">
      <c r="A14639" s="841"/>
    </row>
    <row r="14640" spans="1:1" x14ac:dyDescent="0.25">
      <c r="A14640" s="841"/>
    </row>
    <row r="14641" spans="1:1" x14ac:dyDescent="0.25">
      <c r="A14641" s="841"/>
    </row>
    <row r="14642" spans="1:1" x14ac:dyDescent="0.25">
      <c r="A14642" s="841"/>
    </row>
    <row r="14643" spans="1:1" x14ac:dyDescent="0.25">
      <c r="A14643" s="841"/>
    </row>
    <row r="14644" spans="1:1" x14ac:dyDescent="0.25">
      <c r="A14644" s="841"/>
    </row>
    <row r="14645" spans="1:1" x14ac:dyDescent="0.25">
      <c r="A14645" s="841"/>
    </row>
    <row r="14646" spans="1:1" x14ac:dyDescent="0.25">
      <c r="A14646" s="841"/>
    </row>
    <row r="14647" spans="1:1" x14ac:dyDescent="0.25">
      <c r="A14647" s="841"/>
    </row>
    <row r="14648" spans="1:1" x14ac:dyDescent="0.25">
      <c r="A14648" s="841"/>
    </row>
    <row r="14649" spans="1:1" x14ac:dyDescent="0.25">
      <c r="A14649" s="841"/>
    </row>
    <row r="14650" spans="1:1" x14ac:dyDescent="0.25">
      <c r="A14650" s="841"/>
    </row>
    <row r="14651" spans="1:1" x14ac:dyDescent="0.25">
      <c r="A14651" s="841"/>
    </row>
    <row r="14652" spans="1:1" x14ac:dyDescent="0.25">
      <c r="A14652" s="841"/>
    </row>
    <row r="14653" spans="1:1" x14ac:dyDescent="0.25">
      <c r="A14653" s="841"/>
    </row>
    <row r="14654" spans="1:1" x14ac:dyDescent="0.25">
      <c r="A14654" s="841"/>
    </row>
    <row r="14655" spans="1:1" x14ac:dyDescent="0.25">
      <c r="A14655" s="841"/>
    </row>
    <row r="14656" spans="1:1" x14ac:dyDescent="0.25">
      <c r="A14656" s="841"/>
    </row>
    <row r="14657" spans="1:1" x14ac:dyDescent="0.25">
      <c r="A14657" s="841"/>
    </row>
    <row r="14658" spans="1:1" x14ac:dyDescent="0.25">
      <c r="A14658" s="841"/>
    </row>
    <row r="14659" spans="1:1" x14ac:dyDescent="0.25">
      <c r="A14659" s="841"/>
    </row>
    <row r="14660" spans="1:1" x14ac:dyDescent="0.25">
      <c r="A14660" s="841"/>
    </row>
    <row r="14661" spans="1:1" x14ac:dyDescent="0.25">
      <c r="A14661" s="841"/>
    </row>
    <row r="14662" spans="1:1" x14ac:dyDescent="0.25">
      <c r="A14662" s="841"/>
    </row>
    <row r="14663" spans="1:1" x14ac:dyDescent="0.25">
      <c r="A14663" s="841"/>
    </row>
    <row r="14664" spans="1:1" x14ac:dyDescent="0.25">
      <c r="A14664" s="841"/>
    </row>
    <row r="14665" spans="1:1" x14ac:dyDescent="0.25">
      <c r="A14665" s="841"/>
    </row>
    <row r="14666" spans="1:1" x14ac:dyDescent="0.25">
      <c r="A14666" s="841"/>
    </row>
    <row r="14667" spans="1:1" x14ac:dyDescent="0.25">
      <c r="A14667" s="841"/>
    </row>
    <row r="14668" spans="1:1" x14ac:dyDescent="0.25">
      <c r="A14668" s="841"/>
    </row>
    <row r="14669" spans="1:1" x14ac:dyDescent="0.25">
      <c r="A14669" s="841"/>
    </row>
    <row r="14670" spans="1:1" x14ac:dyDescent="0.25">
      <c r="A14670" s="841"/>
    </row>
    <row r="14671" spans="1:1" x14ac:dyDescent="0.25">
      <c r="A14671" s="841"/>
    </row>
    <row r="14672" spans="1:1" x14ac:dyDescent="0.25">
      <c r="A14672" s="841"/>
    </row>
    <row r="14673" spans="1:1" x14ac:dyDescent="0.25">
      <c r="A14673" s="841"/>
    </row>
    <row r="14674" spans="1:1" x14ac:dyDescent="0.25">
      <c r="A14674" s="841"/>
    </row>
    <row r="14675" spans="1:1" x14ac:dyDescent="0.25">
      <c r="A14675" s="841"/>
    </row>
    <row r="14676" spans="1:1" x14ac:dyDescent="0.25">
      <c r="A14676" s="841"/>
    </row>
    <row r="14677" spans="1:1" x14ac:dyDescent="0.25">
      <c r="A14677" s="841"/>
    </row>
    <row r="14678" spans="1:1" x14ac:dyDescent="0.25">
      <c r="A14678" s="841"/>
    </row>
    <row r="14679" spans="1:1" x14ac:dyDescent="0.25">
      <c r="A14679" s="841"/>
    </row>
    <row r="14680" spans="1:1" x14ac:dyDescent="0.25">
      <c r="A14680" s="841"/>
    </row>
    <row r="14681" spans="1:1" x14ac:dyDescent="0.25">
      <c r="A14681" s="841"/>
    </row>
    <row r="14682" spans="1:1" x14ac:dyDescent="0.25">
      <c r="A14682" s="841"/>
    </row>
    <row r="14683" spans="1:1" x14ac:dyDescent="0.25">
      <c r="A14683" s="841"/>
    </row>
    <row r="14684" spans="1:1" x14ac:dyDescent="0.25">
      <c r="A14684" s="841"/>
    </row>
    <row r="14685" spans="1:1" x14ac:dyDescent="0.25">
      <c r="A14685" s="841"/>
    </row>
    <row r="14686" spans="1:1" x14ac:dyDescent="0.25">
      <c r="A14686" s="841"/>
    </row>
    <row r="14687" spans="1:1" x14ac:dyDescent="0.25">
      <c r="A14687" s="841"/>
    </row>
    <row r="14688" spans="1:1" x14ac:dyDescent="0.25">
      <c r="A14688" s="841"/>
    </row>
    <row r="14689" spans="1:1" x14ac:dyDescent="0.25">
      <c r="A14689" s="841"/>
    </row>
    <row r="14690" spans="1:1" x14ac:dyDescent="0.25">
      <c r="A14690" s="841"/>
    </row>
    <row r="14691" spans="1:1" x14ac:dyDescent="0.25">
      <c r="A14691" s="841"/>
    </row>
    <row r="14692" spans="1:1" x14ac:dyDescent="0.25">
      <c r="A14692" s="841"/>
    </row>
    <row r="14693" spans="1:1" x14ac:dyDescent="0.25">
      <c r="A14693" s="841"/>
    </row>
    <row r="14694" spans="1:1" x14ac:dyDescent="0.25">
      <c r="A14694" s="841"/>
    </row>
    <row r="14695" spans="1:1" x14ac:dyDescent="0.25">
      <c r="A14695" s="841"/>
    </row>
    <row r="14696" spans="1:1" x14ac:dyDescent="0.25">
      <c r="A14696" s="841"/>
    </row>
    <row r="14697" spans="1:1" x14ac:dyDescent="0.25">
      <c r="A14697" s="841"/>
    </row>
    <row r="14698" spans="1:1" x14ac:dyDescent="0.25">
      <c r="A14698" s="841"/>
    </row>
    <row r="14699" spans="1:1" x14ac:dyDescent="0.25">
      <c r="A14699" s="841"/>
    </row>
    <row r="14700" spans="1:1" x14ac:dyDescent="0.25">
      <c r="A14700" s="841"/>
    </row>
    <row r="14701" spans="1:1" x14ac:dyDescent="0.25">
      <c r="A14701" s="841"/>
    </row>
    <row r="14702" spans="1:1" x14ac:dyDescent="0.25">
      <c r="A14702" s="841"/>
    </row>
    <row r="14703" spans="1:1" x14ac:dyDescent="0.25">
      <c r="A14703" s="841"/>
    </row>
    <row r="14704" spans="1:1" x14ac:dyDescent="0.25">
      <c r="A14704" s="841"/>
    </row>
    <row r="14705" spans="1:1" x14ac:dyDescent="0.25">
      <c r="A14705" s="841"/>
    </row>
    <row r="14706" spans="1:1" x14ac:dyDescent="0.25">
      <c r="A14706" s="841"/>
    </row>
    <row r="14707" spans="1:1" x14ac:dyDescent="0.25">
      <c r="A14707" s="841"/>
    </row>
    <row r="14708" spans="1:1" x14ac:dyDescent="0.25">
      <c r="A14708" s="841"/>
    </row>
    <row r="14709" spans="1:1" x14ac:dyDescent="0.25">
      <c r="A14709" s="841"/>
    </row>
    <row r="14710" spans="1:1" x14ac:dyDescent="0.25">
      <c r="A14710" s="841"/>
    </row>
    <row r="14711" spans="1:1" x14ac:dyDescent="0.25">
      <c r="A14711" s="841"/>
    </row>
    <row r="14712" spans="1:1" x14ac:dyDescent="0.25">
      <c r="A14712" s="841"/>
    </row>
    <row r="14713" spans="1:1" x14ac:dyDescent="0.25">
      <c r="A14713" s="841"/>
    </row>
    <row r="14714" spans="1:1" x14ac:dyDescent="0.25">
      <c r="A14714" s="841"/>
    </row>
    <row r="14715" spans="1:1" x14ac:dyDescent="0.25">
      <c r="A14715" s="841"/>
    </row>
    <row r="14716" spans="1:1" x14ac:dyDescent="0.25">
      <c r="A14716" s="841"/>
    </row>
    <row r="14717" spans="1:1" x14ac:dyDescent="0.25">
      <c r="A14717" s="841"/>
    </row>
    <row r="14718" spans="1:1" x14ac:dyDescent="0.25">
      <c r="A14718" s="841"/>
    </row>
    <row r="14719" spans="1:1" x14ac:dyDescent="0.25">
      <c r="A14719" s="841"/>
    </row>
    <row r="14720" spans="1:1" x14ac:dyDescent="0.25">
      <c r="A14720" s="841"/>
    </row>
    <row r="14721" spans="1:1" x14ac:dyDescent="0.25">
      <c r="A14721" s="841"/>
    </row>
    <row r="14722" spans="1:1" x14ac:dyDescent="0.25">
      <c r="A14722" s="841"/>
    </row>
    <row r="14723" spans="1:1" x14ac:dyDescent="0.25">
      <c r="A14723" s="841"/>
    </row>
    <row r="14724" spans="1:1" x14ac:dyDescent="0.25">
      <c r="A14724" s="841"/>
    </row>
    <row r="14725" spans="1:1" x14ac:dyDescent="0.25">
      <c r="A14725" s="841"/>
    </row>
    <row r="14726" spans="1:1" x14ac:dyDescent="0.25">
      <c r="A14726" s="841"/>
    </row>
    <row r="14727" spans="1:1" x14ac:dyDescent="0.25">
      <c r="A14727" s="841"/>
    </row>
    <row r="14728" spans="1:1" x14ac:dyDescent="0.25">
      <c r="A14728" s="841"/>
    </row>
    <row r="14729" spans="1:1" x14ac:dyDescent="0.25">
      <c r="A14729" s="841"/>
    </row>
    <row r="14730" spans="1:1" x14ac:dyDescent="0.25">
      <c r="A14730" s="841"/>
    </row>
    <row r="14731" spans="1:1" x14ac:dyDescent="0.25">
      <c r="A14731" s="841"/>
    </row>
    <row r="14732" spans="1:1" x14ac:dyDescent="0.25">
      <c r="A14732" s="841"/>
    </row>
    <row r="14733" spans="1:1" x14ac:dyDescent="0.25">
      <c r="A14733" s="841"/>
    </row>
    <row r="14734" spans="1:1" x14ac:dyDescent="0.25">
      <c r="A14734" s="841"/>
    </row>
    <row r="14735" spans="1:1" x14ac:dyDescent="0.25">
      <c r="A14735" s="841"/>
    </row>
    <row r="14736" spans="1:1" x14ac:dyDescent="0.25">
      <c r="A14736" s="841"/>
    </row>
    <row r="14737" spans="1:1" x14ac:dyDescent="0.25">
      <c r="A14737" s="841"/>
    </row>
    <row r="14738" spans="1:1" x14ac:dyDescent="0.25">
      <c r="A14738" s="841"/>
    </row>
    <row r="14739" spans="1:1" x14ac:dyDescent="0.25">
      <c r="A14739" s="841"/>
    </row>
    <row r="14740" spans="1:1" x14ac:dyDescent="0.25">
      <c r="A14740" s="841"/>
    </row>
    <row r="14741" spans="1:1" x14ac:dyDescent="0.25">
      <c r="A14741" s="841"/>
    </row>
    <row r="14742" spans="1:1" x14ac:dyDescent="0.25">
      <c r="A14742" s="841"/>
    </row>
    <row r="14743" spans="1:1" x14ac:dyDescent="0.25">
      <c r="A14743" s="841"/>
    </row>
    <row r="14744" spans="1:1" x14ac:dyDescent="0.25">
      <c r="A14744" s="841"/>
    </row>
    <row r="14745" spans="1:1" x14ac:dyDescent="0.25">
      <c r="A14745" s="841"/>
    </row>
    <row r="14746" spans="1:1" x14ac:dyDescent="0.25">
      <c r="A14746" s="841"/>
    </row>
    <row r="14747" spans="1:1" x14ac:dyDescent="0.25">
      <c r="A14747" s="841"/>
    </row>
    <row r="14748" spans="1:1" x14ac:dyDescent="0.25">
      <c r="A14748" s="841"/>
    </row>
    <row r="14749" spans="1:1" x14ac:dyDescent="0.25">
      <c r="A14749" s="841"/>
    </row>
    <row r="14750" spans="1:1" x14ac:dyDescent="0.25">
      <c r="A14750" s="841"/>
    </row>
    <row r="14751" spans="1:1" x14ac:dyDescent="0.25">
      <c r="A14751" s="841"/>
    </row>
    <row r="14752" spans="1:1" x14ac:dyDescent="0.25">
      <c r="A14752" s="841"/>
    </row>
    <row r="14753" spans="1:1" x14ac:dyDescent="0.25">
      <c r="A14753" s="841"/>
    </row>
    <row r="14754" spans="1:1" x14ac:dyDescent="0.25">
      <c r="A14754" s="841"/>
    </row>
    <row r="14755" spans="1:1" x14ac:dyDescent="0.25">
      <c r="A14755" s="841"/>
    </row>
    <row r="14756" spans="1:1" x14ac:dyDescent="0.25">
      <c r="A14756" s="841"/>
    </row>
    <row r="14757" spans="1:1" x14ac:dyDescent="0.25">
      <c r="A14757" s="841"/>
    </row>
    <row r="14758" spans="1:1" x14ac:dyDescent="0.25">
      <c r="A14758" s="841"/>
    </row>
    <row r="14759" spans="1:1" x14ac:dyDescent="0.25">
      <c r="A14759" s="841"/>
    </row>
    <row r="14760" spans="1:1" x14ac:dyDescent="0.25">
      <c r="A14760" s="841"/>
    </row>
    <row r="14761" spans="1:1" x14ac:dyDescent="0.25">
      <c r="A14761" s="841"/>
    </row>
    <row r="14762" spans="1:1" x14ac:dyDescent="0.25">
      <c r="A14762" s="841"/>
    </row>
    <row r="14763" spans="1:1" x14ac:dyDescent="0.25">
      <c r="A14763" s="841"/>
    </row>
    <row r="14764" spans="1:1" x14ac:dyDescent="0.25">
      <c r="A14764" s="841"/>
    </row>
    <row r="14765" spans="1:1" x14ac:dyDescent="0.25">
      <c r="A14765" s="841"/>
    </row>
    <row r="14766" spans="1:1" x14ac:dyDescent="0.25">
      <c r="A14766" s="841"/>
    </row>
    <row r="14767" spans="1:1" x14ac:dyDescent="0.25">
      <c r="A14767" s="841"/>
    </row>
    <row r="14768" spans="1:1" x14ac:dyDescent="0.25">
      <c r="A14768" s="841"/>
    </row>
    <row r="14769" spans="1:1" x14ac:dyDescent="0.25">
      <c r="A14769" s="841"/>
    </row>
    <row r="14770" spans="1:1" x14ac:dyDescent="0.25">
      <c r="A14770" s="841"/>
    </row>
    <row r="14771" spans="1:1" x14ac:dyDescent="0.25">
      <c r="A14771" s="841"/>
    </row>
    <row r="14772" spans="1:1" x14ac:dyDescent="0.25">
      <c r="A14772" s="841"/>
    </row>
    <row r="14773" spans="1:1" x14ac:dyDescent="0.25">
      <c r="A14773" s="841"/>
    </row>
    <row r="14774" spans="1:1" x14ac:dyDescent="0.25">
      <c r="A14774" s="841"/>
    </row>
    <row r="14775" spans="1:1" x14ac:dyDescent="0.25">
      <c r="A14775" s="841"/>
    </row>
    <row r="14776" spans="1:1" x14ac:dyDescent="0.25">
      <c r="A14776" s="841"/>
    </row>
    <row r="14777" spans="1:1" x14ac:dyDescent="0.25">
      <c r="A14777" s="841"/>
    </row>
    <row r="14778" spans="1:1" x14ac:dyDescent="0.25">
      <c r="A14778" s="841"/>
    </row>
    <row r="14779" spans="1:1" x14ac:dyDescent="0.25">
      <c r="A14779" s="841"/>
    </row>
    <row r="14780" spans="1:1" x14ac:dyDescent="0.25">
      <c r="A14780" s="841"/>
    </row>
    <row r="14781" spans="1:1" x14ac:dyDescent="0.25">
      <c r="A14781" s="841"/>
    </row>
    <row r="14782" spans="1:1" x14ac:dyDescent="0.25">
      <c r="A14782" s="841"/>
    </row>
    <row r="14783" spans="1:1" x14ac:dyDescent="0.25">
      <c r="A14783" s="841"/>
    </row>
    <row r="14784" spans="1:1" x14ac:dyDescent="0.25">
      <c r="A14784" s="841"/>
    </row>
    <row r="14785" spans="1:1" x14ac:dyDescent="0.25">
      <c r="A14785" s="841"/>
    </row>
    <row r="14786" spans="1:1" x14ac:dyDescent="0.25">
      <c r="A14786" s="841"/>
    </row>
    <row r="14787" spans="1:1" x14ac:dyDescent="0.25">
      <c r="A14787" s="841"/>
    </row>
    <row r="14788" spans="1:1" x14ac:dyDescent="0.25">
      <c r="A14788" s="841"/>
    </row>
    <row r="14789" spans="1:1" x14ac:dyDescent="0.25">
      <c r="A14789" s="841"/>
    </row>
    <row r="14790" spans="1:1" x14ac:dyDescent="0.25">
      <c r="A14790" s="841"/>
    </row>
    <row r="14791" spans="1:1" x14ac:dyDescent="0.25">
      <c r="A14791" s="841"/>
    </row>
    <row r="14792" spans="1:1" x14ac:dyDescent="0.25">
      <c r="A14792" s="841"/>
    </row>
    <row r="14793" spans="1:1" x14ac:dyDescent="0.25">
      <c r="A14793" s="841"/>
    </row>
    <row r="14794" spans="1:1" x14ac:dyDescent="0.25">
      <c r="A14794" s="841"/>
    </row>
    <row r="14795" spans="1:1" x14ac:dyDescent="0.25">
      <c r="A14795" s="841"/>
    </row>
    <row r="14796" spans="1:1" x14ac:dyDescent="0.25">
      <c r="A14796" s="841"/>
    </row>
    <row r="14797" spans="1:1" x14ac:dyDescent="0.25">
      <c r="A14797" s="841"/>
    </row>
    <row r="14798" spans="1:1" x14ac:dyDescent="0.25">
      <c r="A14798" s="841"/>
    </row>
    <row r="14799" spans="1:1" x14ac:dyDescent="0.25">
      <c r="A14799" s="841"/>
    </row>
    <row r="14800" spans="1:1" x14ac:dyDescent="0.25">
      <c r="A14800" s="841"/>
    </row>
    <row r="14801" spans="1:1" x14ac:dyDescent="0.25">
      <c r="A14801" s="841"/>
    </row>
    <row r="14802" spans="1:1" x14ac:dyDescent="0.25">
      <c r="A14802" s="841"/>
    </row>
    <row r="14803" spans="1:1" x14ac:dyDescent="0.25">
      <c r="A14803" s="841"/>
    </row>
    <row r="14804" spans="1:1" x14ac:dyDescent="0.25">
      <c r="A14804" s="841"/>
    </row>
    <row r="14805" spans="1:1" x14ac:dyDescent="0.25">
      <c r="A14805" s="841"/>
    </row>
    <row r="14806" spans="1:1" x14ac:dyDescent="0.25">
      <c r="A14806" s="841"/>
    </row>
    <row r="14807" spans="1:1" x14ac:dyDescent="0.25">
      <c r="A14807" s="841"/>
    </row>
    <row r="14808" spans="1:1" x14ac:dyDescent="0.25">
      <c r="A14808" s="841"/>
    </row>
    <row r="14809" spans="1:1" x14ac:dyDescent="0.25">
      <c r="A14809" s="841"/>
    </row>
    <row r="14810" spans="1:1" x14ac:dyDescent="0.25">
      <c r="A14810" s="841"/>
    </row>
    <row r="14811" spans="1:1" x14ac:dyDescent="0.25">
      <c r="A14811" s="841"/>
    </row>
    <row r="14812" spans="1:1" x14ac:dyDescent="0.25">
      <c r="A14812" s="841"/>
    </row>
    <row r="14813" spans="1:1" x14ac:dyDescent="0.25">
      <c r="A14813" s="841"/>
    </row>
    <row r="14814" spans="1:1" x14ac:dyDescent="0.25">
      <c r="A14814" s="841"/>
    </row>
    <row r="14815" spans="1:1" x14ac:dyDescent="0.25">
      <c r="A14815" s="841"/>
    </row>
    <row r="14816" spans="1:1" x14ac:dyDescent="0.25">
      <c r="A14816" s="841"/>
    </row>
    <row r="14817" spans="1:1" x14ac:dyDescent="0.25">
      <c r="A14817" s="841"/>
    </row>
    <row r="14818" spans="1:1" x14ac:dyDescent="0.25">
      <c r="A14818" s="841"/>
    </row>
    <row r="14819" spans="1:1" x14ac:dyDescent="0.25">
      <c r="A14819" s="841"/>
    </row>
    <row r="14820" spans="1:1" x14ac:dyDescent="0.25">
      <c r="A14820" s="841"/>
    </row>
    <row r="14821" spans="1:1" x14ac:dyDescent="0.25">
      <c r="A14821" s="841"/>
    </row>
    <row r="14822" spans="1:1" x14ac:dyDescent="0.25">
      <c r="A14822" s="841"/>
    </row>
    <row r="14823" spans="1:1" x14ac:dyDescent="0.25">
      <c r="A14823" s="841"/>
    </row>
    <row r="14824" spans="1:1" x14ac:dyDescent="0.25">
      <c r="A14824" s="841"/>
    </row>
    <row r="14825" spans="1:1" x14ac:dyDescent="0.25">
      <c r="A14825" s="841"/>
    </row>
    <row r="14826" spans="1:1" x14ac:dyDescent="0.25">
      <c r="A14826" s="841"/>
    </row>
    <row r="14827" spans="1:1" x14ac:dyDescent="0.25">
      <c r="A14827" s="841"/>
    </row>
    <row r="14828" spans="1:1" x14ac:dyDescent="0.25">
      <c r="A14828" s="841"/>
    </row>
    <row r="14829" spans="1:1" x14ac:dyDescent="0.25">
      <c r="A14829" s="841"/>
    </row>
    <row r="14830" spans="1:1" x14ac:dyDescent="0.25">
      <c r="A14830" s="841"/>
    </row>
    <row r="14831" spans="1:1" x14ac:dyDescent="0.25">
      <c r="A14831" s="841"/>
    </row>
    <row r="14832" spans="1:1" x14ac:dyDescent="0.25">
      <c r="A14832" s="841"/>
    </row>
    <row r="14833" spans="1:1" x14ac:dyDescent="0.25">
      <c r="A14833" s="841"/>
    </row>
    <row r="14834" spans="1:1" x14ac:dyDescent="0.25">
      <c r="A14834" s="841"/>
    </row>
    <row r="14835" spans="1:1" x14ac:dyDescent="0.25">
      <c r="A14835" s="841"/>
    </row>
    <row r="14836" spans="1:1" x14ac:dyDescent="0.25">
      <c r="A14836" s="841"/>
    </row>
    <row r="14837" spans="1:1" x14ac:dyDescent="0.25">
      <c r="A14837" s="841"/>
    </row>
    <row r="14838" spans="1:1" x14ac:dyDescent="0.25">
      <c r="A14838" s="841"/>
    </row>
    <row r="14839" spans="1:1" x14ac:dyDescent="0.25">
      <c r="A14839" s="841"/>
    </row>
    <row r="14840" spans="1:1" x14ac:dyDescent="0.25">
      <c r="A14840" s="841"/>
    </row>
    <row r="14841" spans="1:1" x14ac:dyDescent="0.25">
      <c r="A14841" s="841"/>
    </row>
    <row r="14842" spans="1:1" x14ac:dyDescent="0.25">
      <c r="A14842" s="841"/>
    </row>
    <row r="14843" spans="1:1" x14ac:dyDescent="0.25">
      <c r="A14843" s="841"/>
    </row>
    <row r="14844" spans="1:1" x14ac:dyDescent="0.25">
      <c r="A14844" s="841"/>
    </row>
    <row r="14845" spans="1:1" x14ac:dyDescent="0.25">
      <c r="A14845" s="841"/>
    </row>
    <row r="14846" spans="1:1" x14ac:dyDescent="0.25">
      <c r="A14846" s="841"/>
    </row>
    <row r="14847" spans="1:1" x14ac:dyDescent="0.25">
      <c r="A14847" s="841"/>
    </row>
    <row r="14848" spans="1:1" x14ac:dyDescent="0.25">
      <c r="A14848" s="841"/>
    </row>
    <row r="14849" spans="1:1" x14ac:dyDescent="0.25">
      <c r="A14849" s="841"/>
    </row>
    <row r="14850" spans="1:1" x14ac:dyDescent="0.25">
      <c r="A14850" s="841"/>
    </row>
    <row r="14851" spans="1:1" x14ac:dyDescent="0.25">
      <c r="A14851" s="841"/>
    </row>
    <row r="14852" spans="1:1" x14ac:dyDescent="0.25">
      <c r="A14852" s="841"/>
    </row>
    <row r="14853" spans="1:1" x14ac:dyDescent="0.25">
      <c r="A14853" s="841"/>
    </row>
    <row r="14854" spans="1:1" x14ac:dyDescent="0.25">
      <c r="A14854" s="841"/>
    </row>
    <row r="14855" spans="1:1" x14ac:dyDescent="0.25">
      <c r="A14855" s="841"/>
    </row>
    <row r="14856" spans="1:1" x14ac:dyDescent="0.25">
      <c r="A14856" s="841"/>
    </row>
    <row r="14857" spans="1:1" x14ac:dyDescent="0.25">
      <c r="A14857" s="841"/>
    </row>
    <row r="14858" spans="1:1" x14ac:dyDescent="0.25">
      <c r="A14858" s="841"/>
    </row>
    <row r="14859" spans="1:1" x14ac:dyDescent="0.25">
      <c r="A14859" s="841"/>
    </row>
    <row r="14860" spans="1:1" x14ac:dyDescent="0.25">
      <c r="A14860" s="841"/>
    </row>
    <row r="14861" spans="1:1" x14ac:dyDescent="0.25">
      <c r="A14861" s="841"/>
    </row>
    <row r="14862" spans="1:1" x14ac:dyDescent="0.25">
      <c r="A14862" s="841"/>
    </row>
    <row r="14863" spans="1:1" x14ac:dyDescent="0.25">
      <c r="A14863" s="841"/>
    </row>
    <row r="14864" spans="1:1" x14ac:dyDescent="0.25">
      <c r="A14864" s="841"/>
    </row>
    <row r="14865" spans="1:1" x14ac:dyDescent="0.25">
      <c r="A14865" s="841"/>
    </row>
    <row r="14866" spans="1:1" x14ac:dyDescent="0.25">
      <c r="A14866" s="841"/>
    </row>
    <row r="14867" spans="1:1" x14ac:dyDescent="0.25">
      <c r="A14867" s="841"/>
    </row>
    <row r="14868" spans="1:1" x14ac:dyDescent="0.25">
      <c r="A14868" s="841"/>
    </row>
    <row r="14869" spans="1:1" x14ac:dyDescent="0.25">
      <c r="A14869" s="841"/>
    </row>
    <row r="14870" spans="1:1" x14ac:dyDescent="0.25">
      <c r="A14870" s="841"/>
    </row>
    <row r="14871" spans="1:1" x14ac:dyDescent="0.25">
      <c r="A14871" s="841"/>
    </row>
    <row r="14872" spans="1:1" x14ac:dyDescent="0.25">
      <c r="A14872" s="841"/>
    </row>
    <row r="14873" spans="1:1" x14ac:dyDescent="0.25">
      <c r="A14873" s="841"/>
    </row>
    <row r="14874" spans="1:1" x14ac:dyDescent="0.25">
      <c r="A14874" s="841"/>
    </row>
    <row r="14875" spans="1:1" x14ac:dyDescent="0.25">
      <c r="A14875" s="841"/>
    </row>
    <row r="14876" spans="1:1" x14ac:dyDescent="0.25">
      <c r="A14876" s="841"/>
    </row>
    <row r="14877" spans="1:1" x14ac:dyDescent="0.25">
      <c r="A14877" s="841"/>
    </row>
    <row r="14878" spans="1:1" x14ac:dyDescent="0.25">
      <c r="A14878" s="841"/>
    </row>
    <row r="14879" spans="1:1" x14ac:dyDescent="0.25">
      <c r="A14879" s="841"/>
    </row>
    <row r="14880" spans="1:1" x14ac:dyDescent="0.25">
      <c r="A14880" s="841"/>
    </row>
    <row r="14881" spans="1:1" x14ac:dyDescent="0.25">
      <c r="A14881" s="841"/>
    </row>
    <row r="14882" spans="1:1" x14ac:dyDescent="0.25">
      <c r="A14882" s="841"/>
    </row>
    <row r="14883" spans="1:1" x14ac:dyDescent="0.25">
      <c r="A14883" s="841"/>
    </row>
    <row r="14884" spans="1:1" x14ac:dyDescent="0.25">
      <c r="A14884" s="841"/>
    </row>
    <row r="14885" spans="1:1" x14ac:dyDescent="0.25">
      <c r="A14885" s="841"/>
    </row>
    <row r="14886" spans="1:1" x14ac:dyDescent="0.25">
      <c r="A14886" s="841"/>
    </row>
    <row r="14887" spans="1:1" x14ac:dyDescent="0.25">
      <c r="A14887" s="841"/>
    </row>
    <row r="14888" spans="1:1" x14ac:dyDescent="0.25">
      <c r="A14888" s="841"/>
    </row>
    <row r="14889" spans="1:1" x14ac:dyDescent="0.25">
      <c r="A14889" s="841"/>
    </row>
    <row r="14890" spans="1:1" x14ac:dyDescent="0.25">
      <c r="A14890" s="841"/>
    </row>
    <row r="14891" spans="1:1" x14ac:dyDescent="0.25">
      <c r="A14891" s="841"/>
    </row>
    <row r="14892" spans="1:1" x14ac:dyDescent="0.25">
      <c r="A14892" s="841"/>
    </row>
    <row r="14893" spans="1:1" x14ac:dyDescent="0.25">
      <c r="A14893" s="841"/>
    </row>
    <row r="14894" spans="1:1" x14ac:dyDescent="0.25">
      <c r="A14894" s="841"/>
    </row>
    <row r="14895" spans="1:1" x14ac:dyDescent="0.25">
      <c r="A14895" s="841"/>
    </row>
    <row r="14896" spans="1:1" x14ac:dyDescent="0.25">
      <c r="A14896" s="841"/>
    </row>
    <row r="14897" spans="1:1" x14ac:dyDescent="0.25">
      <c r="A14897" s="841"/>
    </row>
    <row r="14898" spans="1:1" x14ac:dyDescent="0.25">
      <c r="A14898" s="841"/>
    </row>
    <row r="14899" spans="1:1" x14ac:dyDescent="0.25">
      <c r="A14899" s="841"/>
    </row>
    <row r="14900" spans="1:1" x14ac:dyDescent="0.25">
      <c r="A14900" s="841"/>
    </row>
    <row r="14901" spans="1:1" x14ac:dyDescent="0.25">
      <c r="A14901" s="841"/>
    </row>
    <row r="14902" spans="1:1" x14ac:dyDescent="0.25">
      <c r="A14902" s="841"/>
    </row>
    <row r="14903" spans="1:1" x14ac:dyDescent="0.25">
      <c r="A14903" s="841"/>
    </row>
    <row r="14904" spans="1:1" x14ac:dyDescent="0.25">
      <c r="A14904" s="841"/>
    </row>
    <row r="14905" spans="1:1" x14ac:dyDescent="0.25">
      <c r="A14905" s="841"/>
    </row>
    <row r="14906" spans="1:1" x14ac:dyDescent="0.25">
      <c r="A14906" s="841"/>
    </row>
    <row r="14907" spans="1:1" x14ac:dyDescent="0.25">
      <c r="A14907" s="841"/>
    </row>
    <row r="14908" spans="1:1" x14ac:dyDescent="0.25">
      <c r="A14908" s="841"/>
    </row>
    <row r="14909" spans="1:1" x14ac:dyDescent="0.25">
      <c r="A14909" s="841"/>
    </row>
    <row r="14910" spans="1:1" x14ac:dyDescent="0.25">
      <c r="A14910" s="841"/>
    </row>
    <row r="14911" spans="1:1" x14ac:dyDescent="0.25">
      <c r="A14911" s="841"/>
    </row>
    <row r="14912" spans="1:1" x14ac:dyDescent="0.25">
      <c r="A14912" s="841"/>
    </row>
    <row r="14913" spans="1:1" x14ac:dyDescent="0.25">
      <c r="A14913" s="841"/>
    </row>
    <row r="14914" spans="1:1" x14ac:dyDescent="0.25">
      <c r="A14914" s="841"/>
    </row>
    <row r="14915" spans="1:1" x14ac:dyDescent="0.25">
      <c r="A14915" s="841"/>
    </row>
    <row r="14916" spans="1:1" x14ac:dyDescent="0.25">
      <c r="A14916" s="841"/>
    </row>
    <row r="14917" spans="1:1" x14ac:dyDescent="0.25">
      <c r="A14917" s="841"/>
    </row>
    <row r="14918" spans="1:1" x14ac:dyDescent="0.25">
      <c r="A14918" s="841"/>
    </row>
    <row r="14919" spans="1:1" x14ac:dyDescent="0.25">
      <c r="A14919" s="841"/>
    </row>
    <row r="14920" spans="1:1" x14ac:dyDescent="0.25">
      <c r="A14920" s="841"/>
    </row>
    <row r="14921" spans="1:1" x14ac:dyDescent="0.25">
      <c r="A14921" s="841"/>
    </row>
    <row r="14922" spans="1:1" x14ac:dyDescent="0.25">
      <c r="A14922" s="841"/>
    </row>
    <row r="14923" spans="1:1" x14ac:dyDescent="0.25">
      <c r="A14923" s="841"/>
    </row>
    <row r="14924" spans="1:1" x14ac:dyDescent="0.25">
      <c r="A14924" s="841"/>
    </row>
    <row r="14925" spans="1:1" x14ac:dyDescent="0.25">
      <c r="A14925" s="841"/>
    </row>
    <row r="14926" spans="1:1" x14ac:dyDescent="0.25">
      <c r="A14926" s="841"/>
    </row>
    <row r="14927" spans="1:1" x14ac:dyDescent="0.25">
      <c r="A14927" s="841"/>
    </row>
    <row r="14928" spans="1:1" x14ac:dyDescent="0.25">
      <c r="A14928" s="841"/>
    </row>
    <row r="14929" spans="1:1" x14ac:dyDescent="0.25">
      <c r="A14929" s="841"/>
    </row>
    <row r="14930" spans="1:1" x14ac:dyDescent="0.25">
      <c r="A14930" s="841"/>
    </row>
    <row r="14931" spans="1:1" x14ac:dyDescent="0.25">
      <c r="A14931" s="841"/>
    </row>
    <row r="14932" spans="1:1" x14ac:dyDescent="0.25">
      <c r="A14932" s="841"/>
    </row>
    <row r="14933" spans="1:1" x14ac:dyDescent="0.25">
      <c r="A14933" s="841"/>
    </row>
    <row r="14934" spans="1:1" x14ac:dyDescent="0.25">
      <c r="A14934" s="841"/>
    </row>
    <row r="14935" spans="1:1" x14ac:dyDescent="0.25">
      <c r="A14935" s="841"/>
    </row>
    <row r="14936" spans="1:1" x14ac:dyDescent="0.25">
      <c r="A14936" s="841"/>
    </row>
    <row r="14937" spans="1:1" x14ac:dyDescent="0.25">
      <c r="A14937" s="841"/>
    </row>
    <row r="14938" spans="1:1" x14ac:dyDescent="0.25">
      <c r="A14938" s="841"/>
    </row>
    <row r="14939" spans="1:1" x14ac:dyDescent="0.25">
      <c r="A14939" s="841"/>
    </row>
    <row r="14940" spans="1:1" x14ac:dyDescent="0.25">
      <c r="A14940" s="841"/>
    </row>
    <row r="14941" spans="1:1" x14ac:dyDescent="0.25">
      <c r="A14941" s="841"/>
    </row>
    <row r="14942" spans="1:1" x14ac:dyDescent="0.25">
      <c r="A14942" s="841"/>
    </row>
    <row r="14943" spans="1:1" x14ac:dyDescent="0.25">
      <c r="A14943" s="841"/>
    </row>
    <row r="14944" spans="1:1" x14ac:dyDescent="0.25">
      <c r="A14944" s="841"/>
    </row>
    <row r="14945" spans="1:1" x14ac:dyDescent="0.25">
      <c r="A14945" s="841"/>
    </row>
    <row r="14946" spans="1:1" x14ac:dyDescent="0.25">
      <c r="A14946" s="841"/>
    </row>
    <row r="14947" spans="1:1" x14ac:dyDescent="0.25">
      <c r="A14947" s="841"/>
    </row>
    <row r="14948" spans="1:1" x14ac:dyDescent="0.25">
      <c r="A14948" s="841"/>
    </row>
    <row r="14949" spans="1:1" x14ac:dyDescent="0.25">
      <c r="A14949" s="841"/>
    </row>
    <row r="14950" spans="1:1" x14ac:dyDescent="0.25">
      <c r="A14950" s="841"/>
    </row>
    <row r="14951" spans="1:1" x14ac:dyDescent="0.25">
      <c r="A14951" s="841"/>
    </row>
    <row r="14952" spans="1:1" x14ac:dyDescent="0.25">
      <c r="A14952" s="841"/>
    </row>
    <row r="14953" spans="1:1" x14ac:dyDescent="0.25">
      <c r="A14953" s="841"/>
    </row>
    <row r="14954" spans="1:1" x14ac:dyDescent="0.25">
      <c r="A14954" s="841"/>
    </row>
    <row r="14955" spans="1:1" x14ac:dyDescent="0.25">
      <c r="A14955" s="841"/>
    </row>
    <row r="14956" spans="1:1" x14ac:dyDescent="0.25">
      <c r="A14956" s="841"/>
    </row>
    <row r="14957" spans="1:1" x14ac:dyDescent="0.25">
      <c r="A14957" s="841"/>
    </row>
    <row r="14958" spans="1:1" x14ac:dyDescent="0.25">
      <c r="A14958" s="841"/>
    </row>
    <row r="14959" spans="1:1" x14ac:dyDescent="0.25">
      <c r="A14959" s="841"/>
    </row>
    <row r="14960" spans="1:1" x14ac:dyDescent="0.25">
      <c r="A14960" s="841"/>
    </row>
    <row r="14961" spans="1:1" x14ac:dyDescent="0.25">
      <c r="A14961" s="841"/>
    </row>
    <row r="14962" spans="1:1" x14ac:dyDescent="0.25">
      <c r="A14962" s="841"/>
    </row>
    <row r="14963" spans="1:1" x14ac:dyDescent="0.25">
      <c r="A14963" s="841"/>
    </row>
    <row r="14964" spans="1:1" x14ac:dyDescent="0.25">
      <c r="A14964" s="841"/>
    </row>
    <row r="14965" spans="1:1" x14ac:dyDescent="0.25">
      <c r="A14965" s="841"/>
    </row>
    <row r="14966" spans="1:1" x14ac:dyDescent="0.25">
      <c r="A14966" s="841"/>
    </row>
    <row r="14967" spans="1:1" x14ac:dyDescent="0.25">
      <c r="A14967" s="841"/>
    </row>
    <row r="14968" spans="1:1" x14ac:dyDescent="0.25">
      <c r="A14968" s="841"/>
    </row>
    <row r="14969" spans="1:1" x14ac:dyDescent="0.25">
      <c r="A14969" s="841"/>
    </row>
    <row r="14970" spans="1:1" x14ac:dyDescent="0.25">
      <c r="A14970" s="841"/>
    </row>
    <row r="14971" spans="1:1" x14ac:dyDescent="0.25">
      <c r="A14971" s="841"/>
    </row>
    <row r="14972" spans="1:1" x14ac:dyDescent="0.25">
      <c r="A14972" s="841"/>
    </row>
    <row r="14973" spans="1:1" x14ac:dyDescent="0.25">
      <c r="A14973" s="841"/>
    </row>
    <row r="14974" spans="1:1" x14ac:dyDescent="0.25">
      <c r="A14974" s="841"/>
    </row>
    <row r="14975" spans="1:1" x14ac:dyDescent="0.25">
      <c r="A14975" s="841"/>
    </row>
    <row r="14976" spans="1:1" x14ac:dyDescent="0.25">
      <c r="A14976" s="841"/>
    </row>
    <row r="14977" spans="1:1" x14ac:dyDescent="0.25">
      <c r="A14977" s="841"/>
    </row>
    <row r="14978" spans="1:1" x14ac:dyDescent="0.25">
      <c r="A14978" s="841"/>
    </row>
    <row r="14979" spans="1:1" x14ac:dyDescent="0.25">
      <c r="A14979" s="841"/>
    </row>
    <row r="14980" spans="1:1" x14ac:dyDescent="0.25">
      <c r="A14980" s="841"/>
    </row>
    <row r="14981" spans="1:1" x14ac:dyDescent="0.25">
      <c r="A14981" s="841"/>
    </row>
    <row r="14982" spans="1:1" x14ac:dyDescent="0.25">
      <c r="A14982" s="841"/>
    </row>
    <row r="14983" spans="1:1" x14ac:dyDescent="0.25">
      <c r="A14983" s="841"/>
    </row>
    <row r="14984" spans="1:1" x14ac:dyDescent="0.25">
      <c r="A14984" s="841"/>
    </row>
    <row r="14985" spans="1:1" x14ac:dyDescent="0.25">
      <c r="A14985" s="841"/>
    </row>
    <row r="14986" spans="1:1" x14ac:dyDescent="0.25">
      <c r="A14986" s="841"/>
    </row>
    <row r="14987" spans="1:1" x14ac:dyDescent="0.25">
      <c r="A14987" s="841"/>
    </row>
    <row r="14988" spans="1:1" x14ac:dyDescent="0.25">
      <c r="A14988" s="841"/>
    </row>
    <row r="14989" spans="1:1" x14ac:dyDescent="0.25">
      <c r="A14989" s="841"/>
    </row>
    <row r="14990" spans="1:1" x14ac:dyDescent="0.25">
      <c r="A14990" s="841"/>
    </row>
    <row r="14991" spans="1:1" x14ac:dyDescent="0.25">
      <c r="A14991" s="841"/>
    </row>
    <row r="14992" spans="1:1" x14ac:dyDescent="0.25">
      <c r="A14992" s="841"/>
    </row>
    <row r="14993" spans="1:1" x14ac:dyDescent="0.25">
      <c r="A14993" s="841"/>
    </row>
    <row r="14994" spans="1:1" x14ac:dyDescent="0.25">
      <c r="A14994" s="841"/>
    </row>
    <row r="14995" spans="1:1" x14ac:dyDescent="0.25">
      <c r="A14995" s="841"/>
    </row>
    <row r="14996" spans="1:1" x14ac:dyDescent="0.25">
      <c r="A14996" s="841"/>
    </row>
    <row r="14997" spans="1:1" x14ac:dyDescent="0.25">
      <c r="A14997" s="841"/>
    </row>
    <row r="14998" spans="1:1" x14ac:dyDescent="0.25">
      <c r="A14998" s="841"/>
    </row>
    <row r="14999" spans="1:1" x14ac:dyDescent="0.25">
      <c r="A14999" s="841"/>
    </row>
    <row r="15000" spans="1:1" x14ac:dyDescent="0.25">
      <c r="A15000" s="841"/>
    </row>
    <row r="15001" spans="1:1" x14ac:dyDescent="0.25">
      <c r="A15001" s="841"/>
    </row>
    <row r="15002" spans="1:1" x14ac:dyDescent="0.25">
      <c r="A15002" s="841"/>
    </row>
    <row r="15003" spans="1:1" x14ac:dyDescent="0.25">
      <c r="A15003" s="841"/>
    </row>
    <row r="15004" spans="1:1" x14ac:dyDescent="0.25">
      <c r="A15004" s="841"/>
    </row>
    <row r="15005" spans="1:1" x14ac:dyDescent="0.25">
      <c r="A15005" s="841"/>
    </row>
    <row r="15006" spans="1:1" x14ac:dyDescent="0.25">
      <c r="A15006" s="841"/>
    </row>
    <row r="15007" spans="1:1" x14ac:dyDescent="0.25">
      <c r="A15007" s="841"/>
    </row>
    <row r="15008" spans="1:1" x14ac:dyDescent="0.25">
      <c r="A15008" s="841"/>
    </row>
    <row r="15009" spans="1:1" x14ac:dyDescent="0.25">
      <c r="A15009" s="841"/>
    </row>
    <row r="15010" spans="1:1" x14ac:dyDescent="0.25">
      <c r="A15010" s="841"/>
    </row>
    <row r="15011" spans="1:1" x14ac:dyDescent="0.25">
      <c r="A15011" s="841"/>
    </row>
    <row r="15012" spans="1:1" x14ac:dyDescent="0.25">
      <c r="A15012" s="841"/>
    </row>
    <row r="15013" spans="1:1" x14ac:dyDescent="0.25">
      <c r="A15013" s="841"/>
    </row>
    <row r="15014" spans="1:1" x14ac:dyDescent="0.25">
      <c r="A15014" s="841"/>
    </row>
    <row r="15015" spans="1:1" x14ac:dyDescent="0.25">
      <c r="A15015" s="841"/>
    </row>
    <row r="15016" spans="1:1" x14ac:dyDescent="0.25">
      <c r="A15016" s="841"/>
    </row>
    <row r="15017" spans="1:1" x14ac:dyDescent="0.25">
      <c r="A15017" s="841"/>
    </row>
    <row r="15018" spans="1:1" x14ac:dyDescent="0.25">
      <c r="A15018" s="841"/>
    </row>
    <row r="15019" spans="1:1" x14ac:dyDescent="0.25">
      <c r="A15019" s="841"/>
    </row>
    <row r="15020" spans="1:1" x14ac:dyDescent="0.25">
      <c r="A15020" s="841"/>
    </row>
    <row r="15021" spans="1:1" x14ac:dyDescent="0.25">
      <c r="A15021" s="841"/>
    </row>
    <row r="15022" spans="1:1" x14ac:dyDescent="0.25">
      <c r="A15022" s="841"/>
    </row>
    <row r="15023" spans="1:1" x14ac:dyDescent="0.25">
      <c r="A15023" s="841"/>
    </row>
    <row r="15024" spans="1:1" x14ac:dyDescent="0.25">
      <c r="A15024" s="841"/>
    </row>
    <row r="15025" spans="1:1" x14ac:dyDescent="0.25">
      <c r="A15025" s="841"/>
    </row>
    <row r="15026" spans="1:1" x14ac:dyDescent="0.25">
      <c r="A15026" s="841"/>
    </row>
    <row r="15027" spans="1:1" x14ac:dyDescent="0.25">
      <c r="A15027" s="841"/>
    </row>
    <row r="15028" spans="1:1" x14ac:dyDescent="0.25">
      <c r="A15028" s="841"/>
    </row>
    <row r="15029" spans="1:1" x14ac:dyDescent="0.25">
      <c r="A15029" s="841"/>
    </row>
    <row r="15030" spans="1:1" x14ac:dyDescent="0.25">
      <c r="A15030" s="841"/>
    </row>
    <row r="15031" spans="1:1" x14ac:dyDescent="0.25">
      <c r="A15031" s="841"/>
    </row>
    <row r="15032" spans="1:1" x14ac:dyDescent="0.25">
      <c r="A15032" s="841"/>
    </row>
    <row r="15033" spans="1:1" x14ac:dyDescent="0.25">
      <c r="A15033" s="841"/>
    </row>
    <row r="15034" spans="1:1" x14ac:dyDescent="0.25">
      <c r="A15034" s="841"/>
    </row>
    <row r="15035" spans="1:1" x14ac:dyDescent="0.25">
      <c r="A15035" s="841"/>
    </row>
    <row r="15036" spans="1:1" x14ac:dyDescent="0.25">
      <c r="A15036" s="841"/>
    </row>
    <row r="15037" spans="1:1" x14ac:dyDescent="0.25">
      <c r="A15037" s="841"/>
    </row>
    <row r="15038" spans="1:1" x14ac:dyDescent="0.25">
      <c r="A15038" s="841"/>
    </row>
    <row r="15039" spans="1:1" x14ac:dyDescent="0.25">
      <c r="A15039" s="841"/>
    </row>
    <row r="15040" spans="1:1" x14ac:dyDescent="0.25">
      <c r="A15040" s="841"/>
    </row>
    <row r="15041" spans="1:1" x14ac:dyDescent="0.25">
      <c r="A15041" s="841"/>
    </row>
    <row r="15042" spans="1:1" x14ac:dyDescent="0.25">
      <c r="A15042" s="841"/>
    </row>
    <row r="15043" spans="1:1" x14ac:dyDescent="0.25">
      <c r="A15043" s="841"/>
    </row>
    <row r="15044" spans="1:1" x14ac:dyDescent="0.25">
      <c r="A15044" s="841"/>
    </row>
    <row r="15045" spans="1:1" x14ac:dyDescent="0.25">
      <c r="A15045" s="841"/>
    </row>
    <row r="15046" spans="1:1" x14ac:dyDescent="0.25">
      <c r="A15046" s="841"/>
    </row>
    <row r="15047" spans="1:1" x14ac:dyDescent="0.25">
      <c r="A15047" s="841"/>
    </row>
    <row r="15048" spans="1:1" x14ac:dyDescent="0.25">
      <c r="A15048" s="841"/>
    </row>
    <row r="15049" spans="1:1" x14ac:dyDescent="0.25">
      <c r="A15049" s="841"/>
    </row>
    <row r="15050" spans="1:1" x14ac:dyDescent="0.25">
      <c r="A15050" s="841"/>
    </row>
    <row r="15051" spans="1:1" x14ac:dyDescent="0.25">
      <c r="A15051" s="841"/>
    </row>
    <row r="15052" spans="1:1" x14ac:dyDescent="0.25">
      <c r="A15052" s="841"/>
    </row>
    <row r="15053" spans="1:1" x14ac:dyDescent="0.25">
      <c r="A15053" s="841"/>
    </row>
    <row r="15054" spans="1:1" x14ac:dyDescent="0.25">
      <c r="A15054" s="841"/>
    </row>
    <row r="15055" spans="1:1" x14ac:dyDescent="0.25">
      <c r="A15055" s="841"/>
    </row>
    <row r="15056" spans="1:1" x14ac:dyDescent="0.25">
      <c r="A15056" s="841"/>
    </row>
    <row r="15057" spans="1:1" x14ac:dyDescent="0.25">
      <c r="A15057" s="841"/>
    </row>
    <row r="15058" spans="1:1" x14ac:dyDescent="0.25">
      <c r="A15058" s="841"/>
    </row>
    <row r="15059" spans="1:1" x14ac:dyDescent="0.25">
      <c r="A15059" s="841"/>
    </row>
    <row r="15060" spans="1:1" x14ac:dyDescent="0.25">
      <c r="A15060" s="841"/>
    </row>
    <row r="15061" spans="1:1" x14ac:dyDescent="0.25">
      <c r="A15061" s="841"/>
    </row>
    <row r="15062" spans="1:1" x14ac:dyDescent="0.25">
      <c r="A15062" s="841"/>
    </row>
    <row r="15063" spans="1:1" x14ac:dyDescent="0.25">
      <c r="A15063" s="841"/>
    </row>
    <row r="15064" spans="1:1" x14ac:dyDescent="0.25">
      <c r="A15064" s="841"/>
    </row>
    <row r="15065" spans="1:1" x14ac:dyDescent="0.25">
      <c r="A15065" s="841"/>
    </row>
    <row r="15066" spans="1:1" x14ac:dyDescent="0.25">
      <c r="A15066" s="841"/>
    </row>
    <row r="15067" spans="1:1" x14ac:dyDescent="0.25">
      <c r="A15067" s="841"/>
    </row>
    <row r="15068" spans="1:1" x14ac:dyDescent="0.25">
      <c r="A15068" s="841"/>
    </row>
    <row r="15069" spans="1:1" x14ac:dyDescent="0.25">
      <c r="A15069" s="841"/>
    </row>
    <row r="15070" spans="1:1" x14ac:dyDescent="0.25">
      <c r="A15070" s="841"/>
    </row>
    <row r="15071" spans="1:1" x14ac:dyDescent="0.25">
      <c r="A15071" s="841"/>
    </row>
    <row r="15072" spans="1:1" x14ac:dyDescent="0.25">
      <c r="A15072" s="841"/>
    </row>
    <row r="15073" spans="1:1" x14ac:dyDescent="0.25">
      <c r="A15073" s="841"/>
    </row>
    <row r="15074" spans="1:1" x14ac:dyDescent="0.25">
      <c r="A15074" s="841"/>
    </row>
    <row r="15075" spans="1:1" x14ac:dyDescent="0.25">
      <c r="A15075" s="841"/>
    </row>
    <row r="15076" spans="1:1" x14ac:dyDescent="0.25">
      <c r="A15076" s="841"/>
    </row>
    <row r="15077" spans="1:1" x14ac:dyDescent="0.25">
      <c r="A15077" s="841"/>
    </row>
    <row r="15078" spans="1:1" x14ac:dyDescent="0.25">
      <c r="A15078" s="841"/>
    </row>
    <row r="15079" spans="1:1" x14ac:dyDescent="0.25">
      <c r="A15079" s="841"/>
    </row>
    <row r="15080" spans="1:1" x14ac:dyDescent="0.25">
      <c r="A15080" s="841"/>
    </row>
    <row r="15081" spans="1:1" x14ac:dyDescent="0.25">
      <c r="A15081" s="841"/>
    </row>
    <row r="15082" spans="1:1" x14ac:dyDescent="0.25">
      <c r="A15082" s="841"/>
    </row>
    <row r="15083" spans="1:1" x14ac:dyDescent="0.25">
      <c r="A15083" s="841"/>
    </row>
    <row r="15084" spans="1:1" x14ac:dyDescent="0.25">
      <c r="A15084" s="841"/>
    </row>
    <row r="15085" spans="1:1" x14ac:dyDescent="0.25">
      <c r="A15085" s="841"/>
    </row>
    <row r="15086" spans="1:1" x14ac:dyDescent="0.25">
      <c r="A15086" s="841"/>
    </row>
    <row r="15087" spans="1:1" x14ac:dyDescent="0.25">
      <c r="A15087" s="841"/>
    </row>
    <row r="15088" spans="1:1" x14ac:dyDescent="0.25">
      <c r="A15088" s="841"/>
    </row>
    <row r="15089" spans="1:1" x14ac:dyDescent="0.25">
      <c r="A15089" s="841"/>
    </row>
    <row r="15090" spans="1:1" x14ac:dyDescent="0.25">
      <c r="A15090" s="841"/>
    </row>
    <row r="15091" spans="1:1" x14ac:dyDescent="0.25">
      <c r="A15091" s="841"/>
    </row>
    <row r="15092" spans="1:1" x14ac:dyDescent="0.25">
      <c r="A15092" s="841"/>
    </row>
    <row r="15093" spans="1:1" x14ac:dyDescent="0.25">
      <c r="A15093" s="841"/>
    </row>
    <row r="15094" spans="1:1" x14ac:dyDescent="0.25">
      <c r="A15094" s="841"/>
    </row>
    <row r="15095" spans="1:1" x14ac:dyDescent="0.25">
      <c r="A15095" s="841"/>
    </row>
    <row r="15096" spans="1:1" x14ac:dyDescent="0.25">
      <c r="A15096" s="841"/>
    </row>
    <row r="15097" spans="1:1" x14ac:dyDescent="0.25">
      <c r="A15097" s="841"/>
    </row>
    <row r="15098" spans="1:1" x14ac:dyDescent="0.25">
      <c r="A15098" s="841"/>
    </row>
    <row r="15099" spans="1:1" x14ac:dyDescent="0.25">
      <c r="A15099" s="841"/>
    </row>
    <row r="15100" spans="1:1" x14ac:dyDescent="0.25">
      <c r="A15100" s="841"/>
    </row>
    <row r="15101" spans="1:1" x14ac:dyDescent="0.25">
      <c r="A15101" s="841"/>
    </row>
    <row r="15102" spans="1:1" x14ac:dyDescent="0.25">
      <c r="A15102" s="841"/>
    </row>
    <row r="15103" spans="1:1" x14ac:dyDescent="0.25">
      <c r="A15103" s="841"/>
    </row>
    <row r="15104" spans="1:1" x14ac:dyDescent="0.25">
      <c r="A15104" s="841"/>
    </row>
    <row r="15105" spans="1:1" x14ac:dyDescent="0.25">
      <c r="A15105" s="841"/>
    </row>
    <row r="15106" spans="1:1" x14ac:dyDescent="0.25">
      <c r="A15106" s="841"/>
    </row>
    <row r="15107" spans="1:1" x14ac:dyDescent="0.25">
      <c r="A15107" s="841"/>
    </row>
    <row r="15108" spans="1:1" x14ac:dyDescent="0.25">
      <c r="A15108" s="841"/>
    </row>
    <row r="15109" spans="1:1" x14ac:dyDescent="0.25">
      <c r="A15109" s="841"/>
    </row>
    <row r="15110" spans="1:1" x14ac:dyDescent="0.25">
      <c r="A15110" s="841"/>
    </row>
    <row r="15111" spans="1:1" x14ac:dyDescent="0.25">
      <c r="A15111" s="841"/>
    </row>
    <row r="15112" spans="1:1" x14ac:dyDescent="0.25">
      <c r="A15112" s="841"/>
    </row>
    <row r="15113" spans="1:1" x14ac:dyDescent="0.25">
      <c r="A15113" s="841"/>
    </row>
    <row r="15114" spans="1:1" x14ac:dyDescent="0.25">
      <c r="A15114" s="841"/>
    </row>
    <row r="15115" spans="1:1" x14ac:dyDescent="0.25">
      <c r="A15115" s="841"/>
    </row>
    <row r="15116" spans="1:1" x14ac:dyDescent="0.25">
      <c r="A15116" s="841"/>
    </row>
    <row r="15117" spans="1:1" x14ac:dyDescent="0.25">
      <c r="A15117" s="841"/>
    </row>
    <row r="15118" spans="1:1" x14ac:dyDescent="0.25">
      <c r="A15118" s="841"/>
    </row>
    <row r="15119" spans="1:1" x14ac:dyDescent="0.25">
      <c r="A15119" s="841"/>
    </row>
    <row r="15120" spans="1:1" x14ac:dyDescent="0.25">
      <c r="A15120" s="841"/>
    </row>
    <row r="15121" spans="1:1" x14ac:dyDescent="0.25">
      <c r="A15121" s="841"/>
    </row>
    <row r="15122" spans="1:1" x14ac:dyDescent="0.25">
      <c r="A15122" s="841"/>
    </row>
    <row r="15123" spans="1:1" x14ac:dyDescent="0.25">
      <c r="A15123" s="841"/>
    </row>
    <row r="15124" spans="1:1" x14ac:dyDescent="0.25">
      <c r="A15124" s="841"/>
    </row>
    <row r="15125" spans="1:1" x14ac:dyDescent="0.25">
      <c r="A15125" s="841"/>
    </row>
    <row r="15126" spans="1:1" x14ac:dyDescent="0.25">
      <c r="A15126" s="841"/>
    </row>
    <row r="15127" spans="1:1" x14ac:dyDescent="0.25">
      <c r="A15127" s="841"/>
    </row>
    <row r="15128" spans="1:1" x14ac:dyDescent="0.25">
      <c r="A15128" s="841"/>
    </row>
    <row r="15129" spans="1:1" x14ac:dyDescent="0.25">
      <c r="A15129" s="841"/>
    </row>
    <row r="15130" spans="1:1" x14ac:dyDescent="0.25">
      <c r="A15130" s="841"/>
    </row>
    <row r="15131" spans="1:1" x14ac:dyDescent="0.25">
      <c r="A15131" s="841"/>
    </row>
    <row r="15132" spans="1:1" x14ac:dyDescent="0.25">
      <c r="A15132" s="841"/>
    </row>
    <row r="15133" spans="1:1" x14ac:dyDescent="0.25">
      <c r="A15133" s="841"/>
    </row>
    <row r="15134" spans="1:1" x14ac:dyDescent="0.25">
      <c r="A15134" s="841"/>
    </row>
    <row r="15135" spans="1:1" x14ac:dyDescent="0.25">
      <c r="A15135" s="841"/>
    </row>
    <row r="15136" spans="1:1" x14ac:dyDescent="0.25">
      <c r="A15136" s="841"/>
    </row>
    <row r="15137" spans="1:1" x14ac:dyDescent="0.25">
      <c r="A15137" s="841"/>
    </row>
    <row r="15138" spans="1:1" x14ac:dyDescent="0.25">
      <c r="A15138" s="841"/>
    </row>
    <row r="15139" spans="1:1" x14ac:dyDescent="0.25">
      <c r="A15139" s="841"/>
    </row>
    <row r="15140" spans="1:1" x14ac:dyDescent="0.25">
      <c r="A15140" s="841"/>
    </row>
    <row r="15141" spans="1:1" x14ac:dyDescent="0.25">
      <c r="A15141" s="841"/>
    </row>
    <row r="15142" spans="1:1" x14ac:dyDescent="0.25">
      <c r="A15142" s="841"/>
    </row>
    <row r="15143" spans="1:1" x14ac:dyDescent="0.25">
      <c r="A15143" s="841"/>
    </row>
    <row r="15144" spans="1:1" x14ac:dyDescent="0.25">
      <c r="A15144" s="841"/>
    </row>
    <row r="15145" spans="1:1" x14ac:dyDescent="0.25">
      <c r="A15145" s="841"/>
    </row>
    <row r="15146" spans="1:1" x14ac:dyDescent="0.25">
      <c r="A15146" s="841"/>
    </row>
    <row r="15147" spans="1:1" x14ac:dyDescent="0.25">
      <c r="A15147" s="841"/>
    </row>
    <row r="15148" spans="1:1" x14ac:dyDescent="0.25">
      <c r="A15148" s="841"/>
    </row>
    <row r="15149" spans="1:1" x14ac:dyDescent="0.25">
      <c r="A15149" s="841"/>
    </row>
    <row r="15150" spans="1:1" x14ac:dyDescent="0.25">
      <c r="A15150" s="841"/>
    </row>
    <row r="15151" spans="1:1" x14ac:dyDescent="0.25">
      <c r="A15151" s="841"/>
    </row>
    <row r="15152" spans="1:1" x14ac:dyDescent="0.25">
      <c r="A15152" s="841"/>
    </row>
    <row r="15153" spans="1:1" x14ac:dyDescent="0.25">
      <c r="A15153" s="841"/>
    </row>
    <row r="15154" spans="1:1" x14ac:dyDescent="0.25">
      <c r="A15154" s="841"/>
    </row>
    <row r="15155" spans="1:1" x14ac:dyDescent="0.25">
      <c r="A15155" s="841"/>
    </row>
    <row r="15156" spans="1:1" x14ac:dyDescent="0.25">
      <c r="A15156" s="841"/>
    </row>
    <row r="15157" spans="1:1" x14ac:dyDescent="0.25">
      <c r="A15157" s="841"/>
    </row>
    <row r="15158" spans="1:1" x14ac:dyDescent="0.25">
      <c r="A15158" s="841"/>
    </row>
    <row r="15159" spans="1:1" x14ac:dyDescent="0.25">
      <c r="A15159" s="841"/>
    </row>
    <row r="15160" spans="1:1" x14ac:dyDescent="0.25">
      <c r="A15160" s="841"/>
    </row>
    <row r="15161" spans="1:1" x14ac:dyDescent="0.25">
      <c r="A15161" s="841"/>
    </row>
    <row r="15162" spans="1:1" x14ac:dyDescent="0.25">
      <c r="A15162" s="841"/>
    </row>
    <row r="15163" spans="1:1" x14ac:dyDescent="0.25">
      <c r="A15163" s="841"/>
    </row>
    <row r="15164" spans="1:1" x14ac:dyDescent="0.25">
      <c r="A15164" s="841"/>
    </row>
    <row r="15165" spans="1:1" x14ac:dyDescent="0.25">
      <c r="A15165" s="841"/>
    </row>
    <row r="15166" spans="1:1" x14ac:dyDescent="0.25">
      <c r="A15166" s="841"/>
    </row>
    <row r="15167" spans="1:1" x14ac:dyDescent="0.25">
      <c r="A15167" s="841"/>
    </row>
    <row r="15168" spans="1:1" x14ac:dyDescent="0.25">
      <c r="A15168" s="841"/>
    </row>
    <row r="15169" spans="1:1" x14ac:dyDescent="0.25">
      <c r="A15169" s="841"/>
    </row>
    <row r="15170" spans="1:1" x14ac:dyDescent="0.25">
      <c r="A15170" s="841"/>
    </row>
    <row r="15171" spans="1:1" x14ac:dyDescent="0.25">
      <c r="A15171" s="841"/>
    </row>
    <row r="15172" spans="1:1" x14ac:dyDescent="0.25">
      <c r="A15172" s="841"/>
    </row>
    <row r="15173" spans="1:1" x14ac:dyDescent="0.25">
      <c r="A15173" s="841"/>
    </row>
    <row r="15174" spans="1:1" x14ac:dyDescent="0.25">
      <c r="A15174" s="841"/>
    </row>
    <row r="15175" spans="1:1" x14ac:dyDescent="0.25">
      <c r="A15175" s="841"/>
    </row>
    <row r="15176" spans="1:1" x14ac:dyDescent="0.25">
      <c r="A15176" s="841"/>
    </row>
    <row r="15177" spans="1:1" x14ac:dyDescent="0.25">
      <c r="A15177" s="841"/>
    </row>
    <row r="15178" spans="1:1" x14ac:dyDescent="0.25">
      <c r="A15178" s="841"/>
    </row>
    <row r="15179" spans="1:1" x14ac:dyDescent="0.25">
      <c r="A15179" s="841"/>
    </row>
    <row r="15180" spans="1:1" x14ac:dyDescent="0.25">
      <c r="A15180" s="841"/>
    </row>
    <row r="15181" spans="1:1" x14ac:dyDescent="0.25">
      <c r="A15181" s="841"/>
    </row>
    <row r="15182" spans="1:1" x14ac:dyDescent="0.25">
      <c r="A15182" s="841"/>
    </row>
    <row r="15183" spans="1:1" x14ac:dyDescent="0.25">
      <c r="A15183" s="841"/>
    </row>
    <row r="15184" spans="1:1" x14ac:dyDescent="0.25">
      <c r="A15184" s="841"/>
    </row>
    <row r="15185" spans="1:1" x14ac:dyDescent="0.25">
      <c r="A15185" s="841"/>
    </row>
    <row r="15186" spans="1:1" x14ac:dyDescent="0.25">
      <c r="A15186" s="841"/>
    </row>
    <row r="15187" spans="1:1" x14ac:dyDescent="0.25">
      <c r="A15187" s="841"/>
    </row>
    <row r="15188" spans="1:1" x14ac:dyDescent="0.25">
      <c r="A15188" s="841"/>
    </row>
    <row r="15189" spans="1:1" x14ac:dyDescent="0.25">
      <c r="A15189" s="841"/>
    </row>
    <row r="15190" spans="1:1" x14ac:dyDescent="0.25">
      <c r="A15190" s="841"/>
    </row>
    <row r="15191" spans="1:1" x14ac:dyDescent="0.25">
      <c r="A15191" s="841"/>
    </row>
    <row r="15192" spans="1:1" x14ac:dyDescent="0.25">
      <c r="A15192" s="841"/>
    </row>
    <row r="15193" spans="1:1" x14ac:dyDescent="0.25">
      <c r="A15193" s="841"/>
    </row>
    <row r="15194" spans="1:1" x14ac:dyDescent="0.25">
      <c r="A15194" s="841"/>
    </row>
    <row r="15195" spans="1:1" x14ac:dyDescent="0.25">
      <c r="A15195" s="841"/>
    </row>
    <row r="15196" spans="1:1" x14ac:dyDescent="0.25">
      <c r="A15196" s="841"/>
    </row>
    <row r="15197" spans="1:1" x14ac:dyDescent="0.25">
      <c r="A15197" s="841"/>
    </row>
    <row r="15198" spans="1:1" x14ac:dyDescent="0.25">
      <c r="A15198" s="841"/>
    </row>
    <row r="15199" spans="1:1" x14ac:dyDescent="0.25">
      <c r="A15199" s="841"/>
    </row>
    <row r="15200" spans="1:1" x14ac:dyDescent="0.25">
      <c r="A15200" s="841"/>
    </row>
    <row r="15201" spans="1:1" x14ac:dyDescent="0.25">
      <c r="A15201" s="841"/>
    </row>
    <row r="15202" spans="1:1" x14ac:dyDescent="0.25">
      <c r="A15202" s="841"/>
    </row>
    <row r="15203" spans="1:1" x14ac:dyDescent="0.25">
      <c r="A15203" s="841"/>
    </row>
    <row r="15204" spans="1:1" x14ac:dyDescent="0.25">
      <c r="A15204" s="841"/>
    </row>
    <row r="15205" spans="1:1" x14ac:dyDescent="0.25">
      <c r="A15205" s="841"/>
    </row>
    <row r="15206" spans="1:1" x14ac:dyDescent="0.25">
      <c r="A15206" s="841"/>
    </row>
    <row r="15207" spans="1:1" x14ac:dyDescent="0.25">
      <c r="A15207" s="841"/>
    </row>
    <row r="15208" spans="1:1" x14ac:dyDescent="0.25">
      <c r="A15208" s="841"/>
    </row>
    <row r="15209" spans="1:1" x14ac:dyDescent="0.25">
      <c r="A15209" s="841"/>
    </row>
    <row r="15210" spans="1:1" x14ac:dyDescent="0.25">
      <c r="A15210" s="841"/>
    </row>
    <row r="15211" spans="1:1" x14ac:dyDescent="0.25">
      <c r="A15211" s="841"/>
    </row>
    <row r="15212" spans="1:1" x14ac:dyDescent="0.25">
      <c r="A15212" s="841"/>
    </row>
    <row r="15213" spans="1:1" x14ac:dyDescent="0.25">
      <c r="A15213" s="841"/>
    </row>
    <row r="15214" spans="1:1" x14ac:dyDescent="0.25">
      <c r="A15214" s="841"/>
    </row>
    <row r="15215" spans="1:1" x14ac:dyDescent="0.25">
      <c r="A15215" s="841"/>
    </row>
    <row r="15216" spans="1:1" x14ac:dyDescent="0.25">
      <c r="A15216" s="841"/>
    </row>
    <row r="15217" spans="1:1" x14ac:dyDescent="0.25">
      <c r="A15217" s="841"/>
    </row>
    <row r="15218" spans="1:1" x14ac:dyDescent="0.25">
      <c r="A15218" s="841"/>
    </row>
    <row r="15219" spans="1:1" x14ac:dyDescent="0.25">
      <c r="A15219" s="841"/>
    </row>
    <row r="15220" spans="1:1" x14ac:dyDescent="0.25">
      <c r="A15220" s="841"/>
    </row>
    <row r="15221" spans="1:1" x14ac:dyDescent="0.25">
      <c r="A15221" s="841"/>
    </row>
    <row r="15222" spans="1:1" x14ac:dyDescent="0.25">
      <c r="A15222" s="841"/>
    </row>
    <row r="15223" spans="1:1" x14ac:dyDescent="0.25">
      <c r="A15223" s="841"/>
    </row>
    <row r="15224" spans="1:1" x14ac:dyDescent="0.25">
      <c r="A15224" s="841"/>
    </row>
    <row r="15225" spans="1:1" x14ac:dyDescent="0.25">
      <c r="A15225" s="841"/>
    </row>
    <row r="15226" spans="1:1" x14ac:dyDescent="0.25">
      <c r="A15226" s="841"/>
    </row>
    <row r="15227" spans="1:1" x14ac:dyDescent="0.25">
      <c r="A15227" s="841"/>
    </row>
    <row r="15228" spans="1:1" x14ac:dyDescent="0.25">
      <c r="A15228" s="841"/>
    </row>
    <row r="15229" spans="1:1" x14ac:dyDescent="0.25">
      <c r="A15229" s="841"/>
    </row>
    <row r="15230" spans="1:1" x14ac:dyDescent="0.25">
      <c r="A15230" s="841"/>
    </row>
    <row r="15231" spans="1:1" x14ac:dyDescent="0.25">
      <c r="A15231" s="841"/>
    </row>
    <row r="15232" spans="1:1" x14ac:dyDescent="0.25">
      <c r="A15232" s="841"/>
    </row>
    <row r="15233" spans="1:1" x14ac:dyDescent="0.25">
      <c r="A15233" s="841"/>
    </row>
    <row r="15234" spans="1:1" x14ac:dyDescent="0.25">
      <c r="A15234" s="841"/>
    </row>
    <row r="15235" spans="1:1" x14ac:dyDescent="0.25">
      <c r="A15235" s="841"/>
    </row>
    <row r="15236" spans="1:1" x14ac:dyDescent="0.25">
      <c r="A15236" s="841"/>
    </row>
    <row r="15237" spans="1:1" x14ac:dyDescent="0.25">
      <c r="A15237" s="841"/>
    </row>
    <row r="15238" spans="1:1" x14ac:dyDescent="0.25">
      <c r="A15238" s="841"/>
    </row>
    <row r="15239" spans="1:1" x14ac:dyDescent="0.25">
      <c r="A15239" s="841"/>
    </row>
    <row r="15240" spans="1:1" x14ac:dyDescent="0.25">
      <c r="A15240" s="841"/>
    </row>
    <row r="15241" spans="1:1" x14ac:dyDescent="0.25">
      <c r="A15241" s="841"/>
    </row>
    <row r="15242" spans="1:1" x14ac:dyDescent="0.25">
      <c r="A15242" s="841"/>
    </row>
    <row r="15243" spans="1:1" x14ac:dyDescent="0.25">
      <c r="A15243" s="841"/>
    </row>
    <row r="15244" spans="1:1" x14ac:dyDescent="0.25">
      <c r="A15244" s="841"/>
    </row>
    <row r="15245" spans="1:1" x14ac:dyDescent="0.25">
      <c r="A15245" s="841"/>
    </row>
    <row r="15246" spans="1:1" x14ac:dyDescent="0.25">
      <c r="A15246" s="841"/>
    </row>
    <row r="15247" spans="1:1" x14ac:dyDescent="0.25">
      <c r="A15247" s="841"/>
    </row>
    <row r="15248" spans="1:1" x14ac:dyDescent="0.25">
      <c r="A15248" s="841"/>
    </row>
    <row r="15249" spans="1:1" x14ac:dyDescent="0.25">
      <c r="A15249" s="841"/>
    </row>
    <row r="15250" spans="1:1" x14ac:dyDescent="0.25">
      <c r="A15250" s="841"/>
    </row>
    <row r="15251" spans="1:1" x14ac:dyDescent="0.25">
      <c r="A15251" s="841"/>
    </row>
    <row r="15252" spans="1:1" x14ac:dyDescent="0.25">
      <c r="A15252" s="841"/>
    </row>
    <row r="15253" spans="1:1" x14ac:dyDescent="0.25">
      <c r="A15253" s="841"/>
    </row>
    <row r="15254" spans="1:1" x14ac:dyDescent="0.25">
      <c r="A15254" s="841"/>
    </row>
    <row r="15255" spans="1:1" x14ac:dyDescent="0.25">
      <c r="A15255" s="841"/>
    </row>
    <row r="15256" spans="1:1" x14ac:dyDescent="0.25">
      <c r="A15256" s="841"/>
    </row>
    <row r="15257" spans="1:1" x14ac:dyDescent="0.25">
      <c r="A15257" s="841"/>
    </row>
    <row r="15258" spans="1:1" x14ac:dyDescent="0.25">
      <c r="A15258" s="841"/>
    </row>
    <row r="15259" spans="1:1" x14ac:dyDescent="0.25">
      <c r="A15259" s="841"/>
    </row>
    <row r="15260" spans="1:1" x14ac:dyDescent="0.25">
      <c r="A15260" s="841"/>
    </row>
    <row r="15261" spans="1:1" x14ac:dyDescent="0.25">
      <c r="A15261" s="841"/>
    </row>
    <row r="15262" spans="1:1" x14ac:dyDescent="0.25">
      <c r="A15262" s="841"/>
    </row>
    <row r="15263" spans="1:1" x14ac:dyDescent="0.25">
      <c r="A15263" s="841"/>
    </row>
    <row r="15264" spans="1:1" x14ac:dyDescent="0.25">
      <c r="A15264" s="841"/>
    </row>
    <row r="15265" spans="1:1" x14ac:dyDescent="0.25">
      <c r="A15265" s="841"/>
    </row>
    <row r="15266" spans="1:1" x14ac:dyDescent="0.25">
      <c r="A15266" s="841"/>
    </row>
    <row r="15267" spans="1:1" x14ac:dyDescent="0.25">
      <c r="A15267" s="841"/>
    </row>
    <row r="15268" spans="1:1" x14ac:dyDescent="0.25">
      <c r="A15268" s="841"/>
    </row>
    <row r="15269" spans="1:1" x14ac:dyDescent="0.25">
      <c r="A15269" s="841"/>
    </row>
    <row r="15270" spans="1:1" x14ac:dyDescent="0.25">
      <c r="A15270" s="841"/>
    </row>
    <row r="15271" spans="1:1" x14ac:dyDescent="0.25">
      <c r="A15271" s="841"/>
    </row>
    <row r="15272" spans="1:1" x14ac:dyDescent="0.25">
      <c r="A15272" s="841"/>
    </row>
    <row r="15273" spans="1:1" x14ac:dyDescent="0.25">
      <c r="A15273" s="841"/>
    </row>
    <row r="15274" spans="1:1" x14ac:dyDescent="0.25">
      <c r="A15274" s="841"/>
    </row>
    <row r="15275" spans="1:1" x14ac:dyDescent="0.25">
      <c r="A15275" s="841"/>
    </row>
    <row r="15276" spans="1:1" x14ac:dyDescent="0.25">
      <c r="A15276" s="841"/>
    </row>
    <row r="15277" spans="1:1" x14ac:dyDescent="0.25">
      <c r="A15277" s="841"/>
    </row>
    <row r="15278" spans="1:1" x14ac:dyDescent="0.25">
      <c r="A15278" s="841"/>
    </row>
    <row r="15279" spans="1:1" x14ac:dyDescent="0.25">
      <c r="A15279" s="841"/>
    </row>
    <row r="15280" spans="1:1" x14ac:dyDescent="0.25">
      <c r="A15280" s="841"/>
    </row>
    <row r="15281" spans="1:1" x14ac:dyDescent="0.25">
      <c r="A15281" s="841"/>
    </row>
    <row r="15282" spans="1:1" x14ac:dyDescent="0.25">
      <c r="A15282" s="841"/>
    </row>
    <row r="15283" spans="1:1" x14ac:dyDescent="0.25">
      <c r="A15283" s="841"/>
    </row>
    <row r="15284" spans="1:1" x14ac:dyDescent="0.25">
      <c r="A15284" s="841"/>
    </row>
    <row r="15285" spans="1:1" x14ac:dyDescent="0.25">
      <c r="A15285" s="841"/>
    </row>
    <row r="15286" spans="1:1" x14ac:dyDescent="0.25">
      <c r="A15286" s="841"/>
    </row>
    <row r="15287" spans="1:1" x14ac:dyDescent="0.25">
      <c r="A15287" s="841"/>
    </row>
    <row r="15288" spans="1:1" x14ac:dyDescent="0.25">
      <c r="A15288" s="841"/>
    </row>
    <row r="15289" spans="1:1" x14ac:dyDescent="0.25">
      <c r="A15289" s="841"/>
    </row>
    <row r="15290" spans="1:1" x14ac:dyDescent="0.25">
      <c r="A15290" s="841"/>
    </row>
    <row r="15291" spans="1:1" x14ac:dyDescent="0.25">
      <c r="A15291" s="841"/>
    </row>
    <row r="15292" spans="1:1" x14ac:dyDescent="0.25">
      <c r="A15292" s="841"/>
    </row>
    <row r="15293" spans="1:1" x14ac:dyDescent="0.25">
      <c r="A15293" s="841"/>
    </row>
    <row r="15294" spans="1:1" x14ac:dyDescent="0.25">
      <c r="A15294" s="841"/>
    </row>
    <row r="15295" spans="1:1" x14ac:dyDescent="0.25">
      <c r="A15295" s="841"/>
    </row>
    <row r="15296" spans="1:1" x14ac:dyDescent="0.25">
      <c r="A15296" s="841"/>
    </row>
    <row r="15297" spans="1:1" x14ac:dyDescent="0.25">
      <c r="A15297" s="841"/>
    </row>
    <row r="15298" spans="1:1" x14ac:dyDescent="0.25">
      <c r="A15298" s="841"/>
    </row>
    <row r="15299" spans="1:1" x14ac:dyDescent="0.25">
      <c r="A15299" s="841"/>
    </row>
    <row r="15300" spans="1:1" x14ac:dyDescent="0.25">
      <c r="A15300" s="841"/>
    </row>
    <row r="15301" spans="1:1" x14ac:dyDescent="0.25">
      <c r="A15301" s="841"/>
    </row>
    <row r="15302" spans="1:1" x14ac:dyDescent="0.25">
      <c r="A15302" s="841"/>
    </row>
    <row r="15303" spans="1:1" x14ac:dyDescent="0.25">
      <c r="A15303" s="841"/>
    </row>
    <row r="15304" spans="1:1" x14ac:dyDescent="0.25">
      <c r="A15304" s="841"/>
    </row>
    <row r="15305" spans="1:1" x14ac:dyDescent="0.25">
      <c r="A15305" s="841"/>
    </row>
    <row r="15306" spans="1:1" x14ac:dyDescent="0.25">
      <c r="A15306" s="841"/>
    </row>
    <row r="15307" spans="1:1" x14ac:dyDescent="0.25">
      <c r="A15307" s="841"/>
    </row>
    <row r="15308" spans="1:1" x14ac:dyDescent="0.25">
      <c r="A15308" s="841"/>
    </row>
    <row r="15309" spans="1:1" x14ac:dyDescent="0.25">
      <c r="A15309" s="841"/>
    </row>
    <row r="15310" spans="1:1" x14ac:dyDescent="0.25">
      <c r="A15310" s="841"/>
    </row>
    <row r="15311" spans="1:1" x14ac:dyDescent="0.25">
      <c r="A15311" s="841"/>
    </row>
    <row r="15312" spans="1:1" x14ac:dyDescent="0.25">
      <c r="A15312" s="841"/>
    </row>
    <row r="15313" spans="1:1" x14ac:dyDescent="0.25">
      <c r="A15313" s="841"/>
    </row>
    <row r="15314" spans="1:1" x14ac:dyDescent="0.25">
      <c r="A15314" s="841"/>
    </row>
    <row r="15315" spans="1:1" x14ac:dyDescent="0.25">
      <c r="A15315" s="841"/>
    </row>
    <row r="15316" spans="1:1" x14ac:dyDescent="0.25">
      <c r="A15316" s="841"/>
    </row>
    <row r="15317" spans="1:1" x14ac:dyDescent="0.25">
      <c r="A15317" s="841"/>
    </row>
    <row r="15318" spans="1:1" x14ac:dyDescent="0.25">
      <c r="A15318" s="841"/>
    </row>
    <row r="15319" spans="1:1" x14ac:dyDescent="0.25">
      <c r="A15319" s="841"/>
    </row>
    <row r="15320" spans="1:1" x14ac:dyDescent="0.25">
      <c r="A15320" s="841"/>
    </row>
    <row r="15321" spans="1:1" x14ac:dyDescent="0.25">
      <c r="A15321" s="841"/>
    </row>
    <row r="15322" spans="1:1" x14ac:dyDescent="0.25">
      <c r="A15322" s="841"/>
    </row>
    <row r="15323" spans="1:1" x14ac:dyDescent="0.25">
      <c r="A15323" s="841"/>
    </row>
    <row r="15324" spans="1:1" x14ac:dyDescent="0.25">
      <c r="A15324" s="841"/>
    </row>
    <row r="15325" spans="1:1" x14ac:dyDescent="0.25">
      <c r="A15325" s="841"/>
    </row>
    <row r="15326" spans="1:1" x14ac:dyDescent="0.25">
      <c r="A15326" s="841"/>
    </row>
    <row r="15327" spans="1:1" x14ac:dyDescent="0.25">
      <c r="A15327" s="841"/>
    </row>
    <row r="15328" spans="1:1" x14ac:dyDescent="0.25">
      <c r="A15328" s="841"/>
    </row>
    <row r="15329" spans="1:1" x14ac:dyDescent="0.25">
      <c r="A15329" s="841"/>
    </row>
    <row r="15330" spans="1:1" x14ac:dyDescent="0.25">
      <c r="A15330" s="841"/>
    </row>
    <row r="15331" spans="1:1" x14ac:dyDescent="0.25">
      <c r="A15331" s="841"/>
    </row>
    <row r="15332" spans="1:1" x14ac:dyDescent="0.25">
      <c r="A15332" s="841"/>
    </row>
    <row r="15333" spans="1:1" x14ac:dyDescent="0.25">
      <c r="A15333" s="841"/>
    </row>
    <row r="15334" spans="1:1" x14ac:dyDescent="0.25">
      <c r="A15334" s="841"/>
    </row>
    <row r="15335" spans="1:1" x14ac:dyDescent="0.25">
      <c r="A15335" s="841"/>
    </row>
    <row r="15336" spans="1:1" x14ac:dyDescent="0.25">
      <c r="A15336" s="841"/>
    </row>
    <row r="15337" spans="1:1" x14ac:dyDescent="0.25">
      <c r="A15337" s="841"/>
    </row>
    <row r="15338" spans="1:1" x14ac:dyDescent="0.25">
      <c r="A15338" s="841"/>
    </row>
    <row r="15339" spans="1:1" x14ac:dyDescent="0.25">
      <c r="A15339" s="841"/>
    </row>
    <row r="15340" spans="1:1" x14ac:dyDescent="0.25">
      <c r="A15340" s="841"/>
    </row>
    <row r="15341" spans="1:1" x14ac:dyDescent="0.25">
      <c r="A15341" s="841"/>
    </row>
    <row r="15342" spans="1:1" x14ac:dyDescent="0.25">
      <c r="A15342" s="841"/>
    </row>
    <row r="15343" spans="1:1" x14ac:dyDescent="0.25">
      <c r="A15343" s="841"/>
    </row>
    <row r="15344" spans="1:1" x14ac:dyDescent="0.25">
      <c r="A15344" s="841"/>
    </row>
    <row r="15345" spans="1:1" x14ac:dyDescent="0.25">
      <c r="A15345" s="841"/>
    </row>
    <row r="15346" spans="1:1" x14ac:dyDescent="0.25">
      <c r="A15346" s="841"/>
    </row>
    <row r="15347" spans="1:1" x14ac:dyDescent="0.25">
      <c r="A15347" s="841"/>
    </row>
    <row r="15348" spans="1:1" x14ac:dyDescent="0.25">
      <c r="A15348" s="841"/>
    </row>
    <row r="15349" spans="1:1" x14ac:dyDescent="0.25">
      <c r="A15349" s="841"/>
    </row>
    <row r="15350" spans="1:1" x14ac:dyDescent="0.25">
      <c r="A15350" s="841"/>
    </row>
    <row r="15351" spans="1:1" x14ac:dyDescent="0.25">
      <c r="A15351" s="841"/>
    </row>
    <row r="15352" spans="1:1" x14ac:dyDescent="0.25">
      <c r="A15352" s="841"/>
    </row>
    <row r="15353" spans="1:1" x14ac:dyDescent="0.25">
      <c r="A15353" s="841"/>
    </row>
    <row r="15354" spans="1:1" x14ac:dyDescent="0.25">
      <c r="A15354" s="841"/>
    </row>
    <row r="15355" spans="1:1" x14ac:dyDescent="0.25">
      <c r="A15355" s="841"/>
    </row>
    <row r="15356" spans="1:1" x14ac:dyDescent="0.25">
      <c r="A15356" s="841"/>
    </row>
    <row r="15357" spans="1:1" x14ac:dyDescent="0.25">
      <c r="A15357" s="841"/>
    </row>
    <row r="15358" spans="1:1" x14ac:dyDescent="0.25">
      <c r="A15358" s="841"/>
    </row>
    <row r="15359" spans="1:1" x14ac:dyDescent="0.25">
      <c r="A15359" s="841"/>
    </row>
    <row r="15360" spans="1:1" x14ac:dyDescent="0.25">
      <c r="A15360" s="841"/>
    </row>
    <row r="15361" spans="1:1" x14ac:dyDescent="0.25">
      <c r="A15361" s="841"/>
    </row>
    <row r="15362" spans="1:1" x14ac:dyDescent="0.25">
      <c r="A15362" s="841"/>
    </row>
    <row r="15363" spans="1:1" x14ac:dyDescent="0.25">
      <c r="A15363" s="841"/>
    </row>
    <row r="15364" spans="1:1" x14ac:dyDescent="0.25">
      <c r="A15364" s="841"/>
    </row>
    <row r="15365" spans="1:1" x14ac:dyDescent="0.25">
      <c r="A15365" s="841"/>
    </row>
    <row r="15366" spans="1:1" x14ac:dyDescent="0.25">
      <c r="A15366" s="841"/>
    </row>
    <row r="15367" spans="1:1" x14ac:dyDescent="0.25">
      <c r="A15367" s="841"/>
    </row>
    <row r="15368" spans="1:1" x14ac:dyDescent="0.25">
      <c r="A15368" s="841"/>
    </row>
    <row r="15369" spans="1:1" x14ac:dyDescent="0.25">
      <c r="A15369" s="841"/>
    </row>
    <row r="15370" spans="1:1" x14ac:dyDescent="0.25">
      <c r="A15370" s="841"/>
    </row>
    <row r="15371" spans="1:1" x14ac:dyDescent="0.25">
      <c r="A15371" s="841"/>
    </row>
    <row r="15372" spans="1:1" x14ac:dyDescent="0.25">
      <c r="A15372" s="841"/>
    </row>
    <row r="15373" spans="1:1" x14ac:dyDescent="0.25">
      <c r="A15373" s="841"/>
    </row>
    <row r="15374" spans="1:1" x14ac:dyDescent="0.25">
      <c r="A15374" s="841"/>
    </row>
    <row r="15375" spans="1:1" x14ac:dyDescent="0.25">
      <c r="A15375" s="841"/>
    </row>
    <row r="15376" spans="1:1" x14ac:dyDescent="0.25">
      <c r="A15376" s="841"/>
    </row>
    <row r="15377" spans="1:1" x14ac:dyDescent="0.25">
      <c r="A15377" s="841"/>
    </row>
    <row r="15378" spans="1:1" x14ac:dyDescent="0.25">
      <c r="A15378" s="841"/>
    </row>
    <row r="15379" spans="1:1" x14ac:dyDescent="0.25">
      <c r="A15379" s="841"/>
    </row>
    <row r="15380" spans="1:1" x14ac:dyDescent="0.25">
      <c r="A15380" s="841"/>
    </row>
    <row r="15381" spans="1:1" x14ac:dyDescent="0.25">
      <c r="A15381" s="841"/>
    </row>
    <row r="15382" spans="1:1" x14ac:dyDescent="0.25">
      <c r="A15382" s="841"/>
    </row>
    <row r="15383" spans="1:1" x14ac:dyDescent="0.25">
      <c r="A15383" s="841"/>
    </row>
    <row r="15384" spans="1:1" x14ac:dyDescent="0.25">
      <c r="A15384" s="841"/>
    </row>
    <row r="15385" spans="1:1" x14ac:dyDescent="0.25">
      <c r="A15385" s="841"/>
    </row>
    <row r="15386" spans="1:1" x14ac:dyDescent="0.25">
      <c r="A15386" s="841"/>
    </row>
    <row r="15387" spans="1:1" x14ac:dyDescent="0.25">
      <c r="A15387" s="841"/>
    </row>
    <row r="15388" spans="1:1" x14ac:dyDescent="0.25">
      <c r="A15388" s="841"/>
    </row>
    <row r="15389" spans="1:1" x14ac:dyDescent="0.25">
      <c r="A15389" s="841"/>
    </row>
    <row r="15390" spans="1:1" x14ac:dyDescent="0.25">
      <c r="A15390" s="841"/>
    </row>
    <row r="15391" spans="1:1" x14ac:dyDescent="0.25">
      <c r="A15391" s="841"/>
    </row>
    <row r="15392" spans="1:1" x14ac:dyDescent="0.25">
      <c r="A15392" s="841"/>
    </row>
    <row r="15393" spans="1:1" x14ac:dyDescent="0.25">
      <c r="A15393" s="841"/>
    </row>
    <row r="15394" spans="1:1" x14ac:dyDescent="0.25">
      <c r="A15394" s="841"/>
    </row>
    <row r="15395" spans="1:1" x14ac:dyDescent="0.25">
      <c r="A15395" s="841"/>
    </row>
    <row r="15396" spans="1:1" x14ac:dyDescent="0.25">
      <c r="A15396" s="841"/>
    </row>
    <row r="15397" spans="1:1" x14ac:dyDescent="0.25">
      <c r="A15397" s="841"/>
    </row>
    <row r="15398" spans="1:1" x14ac:dyDescent="0.25">
      <c r="A15398" s="841"/>
    </row>
    <row r="15399" spans="1:1" x14ac:dyDescent="0.25">
      <c r="A15399" s="841"/>
    </row>
    <row r="15400" spans="1:1" x14ac:dyDescent="0.25">
      <c r="A15400" s="841"/>
    </row>
    <row r="15401" spans="1:1" x14ac:dyDescent="0.25">
      <c r="A15401" s="841"/>
    </row>
    <row r="15402" spans="1:1" x14ac:dyDescent="0.25">
      <c r="A15402" s="841"/>
    </row>
    <row r="15403" spans="1:1" x14ac:dyDescent="0.25">
      <c r="A15403" s="841"/>
    </row>
    <row r="15404" spans="1:1" x14ac:dyDescent="0.25">
      <c r="A15404" s="841"/>
    </row>
    <row r="15405" spans="1:1" x14ac:dyDescent="0.25">
      <c r="A15405" s="841"/>
    </row>
    <row r="15406" spans="1:1" x14ac:dyDescent="0.25">
      <c r="A15406" s="841"/>
    </row>
    <row r="15407" spans="1:1" x14ac:dyDescent="0.25">
      <c r="A15407" s="841"/>
    </row>
    <row r="15408" spans="1:1" x14ac:dyDescent="0.25">
      <c r="A15408" s="841"/>
    </row>
    <row r="15409" spans="1:1" x14ac:dyDescent="0.25">
      <c r="A15409" s="841"/>
    </row>
    <row r="15410" spans="1:1" x14ac:dyDescent="0.25">
      <c r="A15410" s="841"/>
    </row>
    <row r="15411" spans="1:1" x14ac:dyDescent="0.25">
      <c r="A15411" s="841"/>
    </row>
    <row r="15412" spans="1:1" x14ac:dyDescent="0.25">
      <c r="A15412" s="841"/>
    </row>
    <row r="15413" spans="1:1" x14ac:dyDescent="0.25">
      <c r="A15413" s="841"/>
    </row>
    <row r="15414" spans="1:1" x14ac:dyDescent="0.25">
      <c r="A15414" s="841"/>
    </row>
    <row r="15415" spans="1:1" x14ac:dyDescent="0.25">
      <c r="A15415" s="841"/>
    </row>
    <row r="15416" spans="1:1" x14ac:dyDescent="0.25">
      <c r="A15416" s="841"/>
    </row>
    <row r="15417" spans="1:1" x14ac:dyDescent="0.25">
      <c r="A15417" s="841"/>
    </row>
    <row r="15418" spans="1:1" x14ac:dyDescent="0.25">
      <c r="A15418" s="841"/>
    </row>
    <row r="15419" spans="1:1" x14ac:dyDescent="0.25">
      <c r="A15419" s="841"/>
    </row>
    <row r="15420" spans="1:1" x14ac:dyDescent="0.25">
      <c r="A15420" s="841"/>
    </row>
    <row r="15421" spans="1:1" x14ac:dyDescent="0.25">
      <c r="A15421" s="841"/>
    </row>
    <row r="15422" spans="1:1" x14ac:dyDescent="0.25">
      <c r="A15422" s="841"/>
    </row>
    <row r="15423" spans="1:1" x14ac:dyDescent="0.25">
      <c r="A15423" s="841"/>
    </row>
    <row r="15424" spans="1:1" x14ac:dyDescent="0.25">
      <c r="A15424" s="841"/>
    </row>
    <row r="15425" spans="1:1" x14ac:dyDescent="0.25">
      <c r="A15425" s="841"/>
    </row>
    <row r="15426" spans="1:1" x14ac:dyDescent="0.25">
      <c r="A15426" s="841"/>
    </row>
    <row r="15427" spans="1:1" x14ac:dyDescent="0.25">
      <c r="A15427" s="841"/>
    </row>
    <row r="15428" spans="1:1" x14ac:dyDescent="0.25">
      <c r="A15428" s="841"/>
    </row>
    <row r="15429" spans="1:1" x14ac:dyDescent="0.25">
      <c r="A15429" s="841"/>
    </row>
    <row r="15430" spans="1:1" x14ac:dyDescent="0.25">
      <c r="A15430" s="841"/>
    </row>
    <row r="15431" spans="1:1" x14ac:dyDescent="0.25">
      <c r="A15431" s="841"/>
    </row>
    <row r="15432" spans="1:1" x14ac:dyDescent="0.25">
      <c r="A15432" s="841"/>
    </row>
    <row r="15433" spans="1:1" x14ac:dyDescent="0.25">
      <c r="A15433" s="841"/>
    </row>
    <row r="15434" spans="1:1" x14ac:dyDescent="0.25">
      <c r="A15434" s="841"/>
    </row>
    <row r="15435" spans="1:1" x14ac:dyDescent="0.25">
      <c r="A15435" s="841"/>
    </row>
    <row r="15436" spans="1:1" x14ac:dyDescent="0.25">
      <c r="A15436" s="841"/>
    </row>
    <row r="15437" spans="1:1" x14ac:dyDescent="0.25">
      <c r="A15437" s="841"/>
    </row>
    <row r="15438" spans="1:1" x14ac:dyDescent="0.25">
      <c r="A15438" s="841"/>
    </row>
    <row r="15439" spans="1:1" x14ac:dyDescent="0.25">
      <c r="A15439" s="841"/>
    </row>
    <row r="15440" spans="1:1" x14ac:dyDescent="0.25">
      <c r="A15440" s="841"/>
    </row>
    <row r="15441" spans="1:1" x14ac:dyDescent="0.25">
      <c r="A15441" s="841"/>
    </row>
    <row r="15442" spans="1:1" x14ac:dyDescent="0.25">
      <c r="A15442" s="841"/>
    </row>
    <row r="15443" spans="1:1" x14ac:dyDescent="0.25">
      <c r="A15443" s="841"/>
    </row>
    <row r="15444" spans="1:1" x14ac:dyDescent="0.25">
      <c r="A15444" s="841"/>
    </row>
    <row r="15445" spans="1:1" x14ac:dyDescent="0.25">
      <c r="A15445" s="841"/>
    </row>
    <row r="15446" spans="1:1" x14ac:dyDescent="0.25">
      <c r="A15446" s="841"/>
    </row>
    <row r="15447" spans="1:1" x14ac:dyDescent="0.25">
      <c r="A15447" s="841"/>
    </row>
    <row r="15448" spans="1:1" x14ac:dyDescent="0.25">
      <c r="A15448" s="841"/>
    </row>
    <row r="15449" spans="1:1" x14ac:dyDescent="0.25">
      <c r="A15449" s="841"/>
    </row>
    <row r="15450" spans="1:1" x14ac:dyDescent="0.25">
      <c r="A15450" s="841"/>
    </row>
    <row r="15451" spans="1:1" x14ac:dyDescent="0.25">
      <c r="A15451" s="841"/>
    </row>
    <row r="15452" spans="1:1" x14ac:dyDescent="0.25">
      <c r="A15452" s="841"/>
    </row>
    <row r="15453" spans="1:1" x14ac:dyDescent="0.25">
      <c r="A15453" s="841"/>
    </row>
    <row r="15454" spans="1:1" x14ac:dyDescent="0.25">
      <c r="A15454" s="841"/>
    </row>
    <row r="15455" spans="1:1" x14ac:dyDescent="0.25">
      <c r="A15455" s="841"/>
    </row>
    <row r="15456" spans="1:1" x14ac:dyDescent="0.25">
      <c r="A15456" s="841"/>
    </row>
    <row r="15457" spans="1:1" x14ac:dyDescent="0.25">
      <c r="A15457" s="841"/>
    </row>
    <row r="15458" spans="1:1" x14ac:dyDescent="0.25">
      <c r="A15458" s="841"/>
    </row>
    <row r="15459" spans="1:1" x14ac:dyDescent="0.25">
      <c r="A15459" s="841"/>
    </row>
    <row r="15460" spans="1:1" x14ac:dyDescent="0.25">
      <c r="A15460" s="841"/>
    </row>
    <row r="15461" spans="1:1" x14ac:dyDescent="0.25">
      <c r="A15461" s="841"/>
    </row>
    <row r="15462" spans="1:1" x14ac:dyDescent="0.25">
      <c r="A15462" s="841"/>
    </row>
    <row r="15463" spans="1:1" x14ac:dyDescent="0.25">
      <c r="A15463" s="841"/>
    </row>
    <row r="15464" spans="1:1" x14ac:dyDescent="0.25">
      <c r="A15464" s="841"/>
    </row>
    <row r="15465" spans="1:1" x14ac:dyDescent="0.25">
      <c r="A15465" s="841"/>
    </row>
    <row r="15466" spans="1:1" x14ac:dyDescent="0.25">
      <c r="A15466" s="841"/>
    </row>
    <row r="15467" spans="1:1" x14ac:dyDescent="0.25">
      <c r="A15467" s="841"/>
    </row>
    <row r="15468" spans="1:1" x14ac:dyDescent="0.25">
      <c r="A15468" s="841"/>
    </row>
    <row r="15469" spans="1:1" x14ac:dyDescent="0.25">
      <c r="A15469" s="841"/>
    </row>
    <row r="15470" spans="1:1" x14ac:dyDescent="0.25">
      <c r="A15470" s="841"/>
    </row>
    <row r="15471" spans="1:1" x14ac:dyDescent="0.25">
      <c r="A15471" s="841"/>
    </row>
    <row r="15472" spans="1:1" x14ac:dyDescent="0.25">
      <c r="A15472" s="841"/>
    </row>
    <row r="15473" spans="1:1" x14ac:dyDescent="0.25">
      <c r="A15473" s="841"/>
    </row>
    <row r="15474" spans="1:1" x14ac:dyDescent="0.25">
      <c r="A15474" s="841"/>
    </row>
    <row r="15475" spans="1:1" x14ac:dyDescent="0.25">
      <c r="A15475" s="841"/>
    </row>
    <row r="15476" spans="1:1" x14ac:dyDescent="0.25">
      <c r="A15476" s="841"/>
    </row>
    <row r="15477" spans="1:1" x14ac:dyDescent="0.25">
      <c r="A15477" s="841"/>
    </row>
    <row r="15478" spans="1:1" x14ac:dyDescent="0.25">
      <c r="A15478" s="841"/>
    </row>
    <row r="15479" spans="1:1" x14ac:dyDescent="0.25">
      <c r="A15479" s="841"/>
    </row>
    <row r="15480" spans="1:1" x14ac:dyDescent="0.25">
      <c r="A15480" s="841"/>
    </row>
    <row r="15481" spans="1:1" x14ac:dyDescent="0.25">
      <c r="A15481" s="841"/>
    </row>
    <row r="15482" spans="1:1" x14ac:dyDescent="0.25">
      <c r="A15482" s="841"/>
    </row>
    <row r="15483" spans="1:1" x14ac:dyDescent="0.25">
      <c r="A15483" s="841"/>
    </row>
    <row r="15484" spans="1:1" x14ac:dyDescent="0.25">
      <c r="A15484" s="841"/>
    </row>
    <row r="15485" spans="1:1" x14ac:dyDescent="0.25">
      <c r="A15485" s="841"/>
    </row>
    <row r="15486" spans="1:1" x14ac:dyDescent="0.25">
      <c r="A15486" s="841"/>
    </row>
    <row r="15487" spans="1:1" x14ac:dyDescent="0.25">
      <c r="A15487" s="841"/>
    </row>
    <row r="15488" spans="1:1" x14ac:dyDescent="0.25">
      <c r="A15488" s="841"/>
    </row>
    <row r="15489" spans="1:1" x14ac:dyDescent="0.25">
      <c r="A15489" s="841"/>
    </row>
    <row r="15490" spans="1:1" x14ac:dyDescent="0.25">
      <c r="A15490" s="841"/>
    </row>
    <row r="15491" spans="1:1" x14ac:dyDescent="0.25">
      <c r="A15491" s="841"/>
    </row>
    <row r="15492" spans="1:1" x14ac:dyDescent="0.25">
      <c r="A15492" s="841"/>
    </row>
    <row r="15493" spans="1:1" x14ac:dyDescent="0.25">
      <c r="A15493" s="841"/>
    </row>
    <row r="15494" spans="1:1" x14ac:dyDescent="0.25">
      <c r="A15494" s="841"/>
    </row>
    <row r="15495" spans="1:1" x14ac:dyDescent="0.25">
      <c r="A15495" s="841"/>
    </row>
    <row r="15496" spans="1:1" x14ac:dyDescent="0.25">
      <c r="A15496" s="841"/>
    </row>
    <row r="15497" spans="1:1" x14ac:dyDescent="0.25">
      <c r="A15497" s="841"/>
    </row>
    <row r="15498" spans="1:1" x14ac:dyDescent="0.25">
      <c r="A15498" s="841"/>
    </row>
    <row r="15499" spans="1:1" x14ac:dyDescent="0.25">
      <c r="A15499" s="841"/>
    </row>
    <row r="15500" spans="1:1" x14ac:dyDescent="0.25">
      <c r="A15500" s="841"/>
    </row>
    <row r="15501" spans="1:1" x14ac:dyDescent="0.25">
      <c r="A15501" s="841"/>
    </row>
    <row r="15502" spans="1:1" x14ac:dyDescent="0.25">
      <c r="A15502" s="841"/>
    </row>
    <row r="15503" spans="1:1" x14ac:dyDescent="0.25">
      <c r="A15503" s="841"/>
    </row>
    <row r="15504" spans="1:1" x14ac:dyDescent="0.25">
      <c r="A15504" s="841"/>
    </row>
    <row r="15505" spans="1:1" x14ac:dyDescent="0.25">
      <c r="A15505" s="841"/>
    </row>
    <row r="15506" spans="1:1" x14ac:dyDescent="0.25">
      <c r="A15506" s="841"/>
    </row>
    <row r="15507" spans="1:1" x14ac:dyDescent="0.25">
      <c r="A15507" s="841"/>
    </row>
    <row r="15508" spans="1:1" x14ac:dyDescent="0.25">
      <c r="A15508" s="841"/>
    </row>
    <row r="15509" spans="1:1" x14ac:dyDescent="0.25">
      <c r="A15509" s="841"/>
    </row>
    <row r="15510" spans="1:1" x14ac:dyDescent="0.25">
      <c r="A15510" s="841"/>
    </row>
    <row r="15511" spans="1:1" x14ac:dyDescent="0.25">
      <c r="A15511" s="841"/>
    </row>
    <row r="15512" spans="1:1" x14ac:dyDescent="0.25">
      <c r="A15512" s="841"/>
    </row>
    <row r="15513" spans="1:1" x14ac:dyDescent="0.25">
      <c r="A15513" s="841"/>
    </row>
    <row r="15514" spans="1:1" x14ac:dyDescent="0.25">
      <c r="A15514" s="841"/>
    </row>
    <row r="15515" spans="1:1" x14ac:dyDescent="0.25">
      <c r="A15515" s="841"/>
    </row>
    <row r="15516" spans="1:1" x14ac:dyDescent="0.25">
      <c r="A15516" s="841"/>
    </row>
  </sheetData>
  <sheetProtection algorithmName="SHA-512" hashValue="xuyEMhdj7YvxqMvthEpFKRszNrzwgRvaUFdo5ztYw8Pm7/XAv9rPyIIk6kjP4lr6Grhw7E0U5agD3UlEQhEgxw==" saltValue="Hr7mCZdWMEsXd4JDj11YVQ==" spinCount="100000" sheet="1" objects="1" scenarios="1"/>
  <sortState ref="A1:A13647">
    <sortCondition ref="A1:A13647"/>
  </sortState>
  <dataValidations count="1">
    <dataValidation type="list" allowBlank="1" showInputMessage="1" showErrorMessage="1" sqref="G6">
      <formula1>Entegrus_SA</formula1>
    </dataValidation>
  </dataValidations>
  <pageMargins left="0.7" right="0.7" top="0.75" bottom="0.75" header="0.3" footer="0.3"/>
  <pageSetup scale="21"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GA35"/>
  <sheetViews>
    <sheetView showGridLines="0" topLeftCell="A13" zoomScaleNormal="100" workbookViewId="0">
      <selection activeCell="B16" sqref="B16"/>
    </sheetView>
  </sheetViews>
  <sheetFormatPr defaultColWidth="9.140625" defaultRowHeight="15" x14ac:dyDescent="0.25"/>
  <cols>
    <col min="1" max="1" width="64.85546875" style="1026" bestFit="1" customWidth="1"/>
    <col min="2" max="2" width="9.140625" style="1026" customWidth="1"/>
    <col min="3" max="3" width="14.7109375" style="1026" bestFit="1" customWidth="1"/>
    <col min="4" max="4" width="13.42578125" style="1026" bestFit="1" customWidth="1"/>
    <col min="5" max="5" width="16.140625" style="1026" customWidth="1"/>
    <col min="6" max="8" width="17.7109375" style="1026" customWidth="1"/>
    <col min="9" max="9" width="18" style="1026" customWidth="1"/>
    <col min="10" max="10" width="17.7109375" style="1026" customWidth="1"/>
    <col min="11" max="14" width="18.28515625" style="1026" hidden="1" customWidth="1"/>
    <col min="15" max="15" width="19.140625" style="1026" customWidth="1"/>
    <col min="16" max="18" width="19.140625" style="1026" hidden="1" customWidth="1"/>
    <col min="19" max="19" width="21.5703125" style="1026" customWidth="1"/>
    <col min="20" max="20" width="22.42578125" style="1026" customWidth="1"/>
    <col min="21" max="21" width="11.5703125" style="1026" bestFit="1" customWidth="1"/>
    <col min="22" max="16384" width="9.140625" style="1026"/>
  </cols>
  <sheetData>
    <row r="1" spans="1:73" s="1046" customFormat="1" x14ac:dyDescent="0.25">
      <c r="R1" s="1046" t="s">
        <v>657</v>
      </c>
      <c r="BU1" s="1057"/>
    </row>
    <row r="2" spans="1:73" s="1046" customFormat="1" x14ac:dyDescent="0.25">
      <c r="B2" s="1057" t="b">
        <v>1</v>
      </c>
    </row>
    <row r="3" spans="1:73" s="1046" customFormat="1" x14ac:dyDescent="0.25"/>
    <row r="4" spans="1:73" s="1046" customFormat="1" x14ac:dyDescent="0.25"/>
    <row r="5" spans="1:73" s="1046" customFormat="1" x14ac:dyDescent="0.25"/>
    <row r="6" spans="1:73" s="1046" customFormat="1" ht="15.75" thickBot="1" x14ac:dyDescent="0.3"/>
    <row r="7" spans="1:73" s="1046" customFormat="1" ht="15.75" thickBot="1" x14ac:dyDescent="0.3">
      <c r="B7" s="1014"/>
      <c r="C7" s="1015"/>
      <c r="D7" s="1015"/>
      <c r="E7" s="1015"/>
      <c r="F7" s="1015"/>
      <c r="G7" s="1015"/>
      <c r="H7" s="1015"/>
      <c r="I7" s="1015"/>
      <c r="J7" s="1015"/>
      <c r="K7" s="1015"/>
      <c r="L7" s="1015"/>
      <c r="M7" s="1015"/>
      <c r="N7" s="1015"/>
      <c r="O7" s="1015"/>
      <c r="P7" s="1015"/>
      <c r="Q7" s="1015"/>
      <c r="R7" s="1015"/>
      <c r="S7" s="1017"/>
    </row>
    <row r="8" spans="1:73" s="1046" customFormat="1" ht="15.75" thickBot="1" x14ac:dyDescent="0.3">
      <c r="A8" s="1047"/>
      <c r="B8" s="1014"/>
      <c r="C8" s="1016"/>
      <c r="D8" s="1015"/>
      <c r="E8" s="1015"/>
      <c r="F8" s="1015"/>
      <c r="G8" s="1015"/>
      <c r="H8" s="1015"/>
      <c r="I8" s="1015"/>
      <c r="J8" s="1015"/>
      <c r="K8" s="1015"/>
      <c r="L8" s="1015"/>
      <c r="M8" s="1015"/>
      <c r="N8" s="1015"/>
      <c r="O8" s="1015"/>
      <c r="P8" s="1015"/>
      <c r="Q8" s="1015"/>
      <c r="R8" s="1015"/>
      <c r="S8" s="1017"/>
    </row>
    <row r="9" spans="1:73" s="1046" customFormat="1" ht="15.75" thickBot="1" x14ac:dyDescent="0.3">
      <c r="B9" s="1014"/>
      <c r="C9" s="1015"/>
      <c r="D9" s="1015"/>
      <c r="E9" s="1015"/>
      <c r="F9" s="1015"/>
      <c r="G9" s="1015"/>
      <c r="H9" s="1015"/>
      <c r="I9" s="1015"/>
      <c r="J9" s="1015"/>
      <c r="K9" s="1015"/>
      <c r="L9" s="1015"/>
      <c r="M9" s="1015"/>
      <c r="N9" s="1015"/>
      <c r="O9" s="1015"/>
      <c r="P9" s="1015"/>
      <c r="Q9" s="1015"/>
      <c r="R9" s="1015"/>
      <c r="S9" s="1017"/>
    </row>
    <row r="10" spans="1:73" s="1046" customFormat="1" ht="15.75" thickBot="1" x14ac:dyDescent="0.3">
      <c r="B10" s="1014"/>
      <c r="C10" s="1015"/>
      <c r="D10" s="1015"/>
      <c r="E10" s="1015"/>
      <c r="F10" s="1015"/>
      <c r="G10" s="1015"/>
      <c r="H10" s="1015"/>
      <c r="I10" s="1015"/>
      <c r="J10" s="1015"/>
      <c r="K10" s="1015"/>
      <c r="L10" s="1015"/>
      <c r="M10" s="1015"/>
      <c r="N10" s="1015"/>
      <c r="O10" s="1015"/>
      <c r="P10" s="1015"/>
      <c r="Q10" s="1015"/>
      <c r="R10" s="1015"/>
      <c r="S10" s="1017"/>
    </row>
    <row r="11" spans="1:73" s="1046" customFormat="1" ht="15.75" thickBot="1" x14ac:dyDescent="0.3">
      <c r="B11" s="1014"/>
      <c r="C11" s="1015"/>
      <c r="D11" s="1015"/>
      <c r="E11" s="1015"/>
      <c r="F11" s="1015"/>
      <c r="G11" s="1015"/>
      <c r="H11" s="1015"/>
      <c r="I11" s="1015"/>
      <c r="J11" s="1015"/>
      <c r="K11" s="1015"/>
      <c r="L11" s="1015"/>
      <c r="M11" s="1015"/>
      <c r="N11" s="1015"/>
      <c r="O11" s="1015"/>
      <c r="P11" s="1015"/>
      <c r="Q11" s="1015"/>
      <c r="R11" s="1015"/>
      <c r="S11" s="1017"/>
    </row>
    <row r="12" spans="1:73" s="1046" customFormat="1" ht="15.75" thickBot="1" x14ac:dyDescent="0.3">
      <c r="A12" s="1048"/>
      <c r="B12" s="1014"/>
      <c r="C12" s="1015"/>
      <c r="D12" s="1015"/>
      <c r="E12" s="1015"/>
      <c r="F12" s="1015"/>
      <c r="G12" s="1015"/>
      <c r="H12" s="1015"/>
      <c r="I12" s="1015"/>
      <c r="J12" s="1015"/>
      <c r="K12" s="1015"/>
      <c r="L12" s="1015"/>
      <c r="M12" s="1015"/>
      <c r="N12" s="1015"/>
      <c r="O12" s="1015"/>
      <c r="P12" s="1015"/>
      <c r="Q12" s="1015"/>
      <c r="R12" s="1015"/>
      <c r="S12" s="1017"/>
    </row>
    <row r="13" spans="1:73" ht="27" customHeight="1" thickBot="1" x14ac:dyDescent="0.3">
      <c r="A13" s="1755"/>
      <c r="B13" s="1756"/>
      <c r="C13" s="1757"/>
      <c r="D13" s="1757"/>
      <c r="E13" s="1757"/>
      <c r="F13" s="1757"/>
      <c r="G13" s="1757"/>
      <c r="H13" s="1622"/>
      <c r="I13" s="1622"/>
      <c r="J13" s="1622"/>
      <c r="K13" s="1018"/>
      <c r="L13" s="1018"/>
      <c r="M13" s="1018"/>
      <c r="N13" s="1018"/>
      <c r="O13" s="1018"/>
      <c r="P13" s="1018"/>
      <c r="Q13" s="1018"/>
      <c r="R13" s="1018"/>
      <c r="S13" s="1020"/>
    </row>
    <row r="14" spans="1:73" s="1033" customFormat="1" ht="15.75" thickBot="1" x14ac:dyDescent="0.3">
      <c r="A14" s="1026"/>
      <c r="B14" s="1021"/>
      <c r="C14" s="1760"/>
      <c r="D14" s="1760"/>
      <c r="E14" s="1760"/>
      <c r="F14" s="1760"/>
      <c r="G14" s="1760"/>
      <c r="H14" s="1760"/>
      <c r="I14" s="1019"/>
      <c r="J14" s="1019"/>
      <c r="K14" s="1763"/>
      <c r="L14" s="1763"/>
      <c r="M14" s="1763"/>
      <c r="N14" s="1763"/>
      <c r="O14" s="1763"/>
      <c r="P14" s="1763"/>
      <c r="Q14" s="1763"/>
      <c r="R14" s="1763"/>
      <c r="S14" s="1764"/>
    </row>
    <row r="15" spans="1:73" s="1033" customFormat="1" ht="22.5" customHeight="1" thickBot="1" x14ac:dyDescent="0.3">
      <c r="A15" s="1035"/>
      <c r="B15" s="1022"/>
      <c r="C15" s="1758" t="s">
        <v>1610</v>
      </c>
      <c r="D15" s="1758" t="s">
        <v>1609</v>
      </c>
      <c r="E15" s="1758" t="s">
        <v>2892</v>
      </c>
      <c r="F15" s="1758" t="s">
        <v>2893</v>
      </c>
      <c r="G15" s="1751" t="s">
        <v>2279</v>
      </c>
      <c r="H15" s="1751" t="s">
        <v>2280</v>
      </c>
      <c r="I15" s="1758" t="s">
        <v>1680</v>
      </c>
      <c r="J15" s="1758" t="s">
        <v>1679</v>
      </c>
      <c r="K15" s="1751" t="s">
        <v>1831</v>
      </c>
      <c r="L15" s="1751" t="s">
        <v>1832</v>
      </c>
      <c r="M15" s="1751" t="s">
        <v>1833</v>
      </c>
      <c r="N15" s="1751" t="s">
        <v>2235</v>
      </c>
      <c r="O15" s="1751" t="s">
        <v>1834</v>
      </c>
      <c r="P15" s="1751" t="s">
        <v>2883</v>
      </c>
      <c r="Q15" s="1751" t="s">
        <v>5946</v>
      </c>
      <c r="R15" s="1751" t="s">
        <v>5947</v>
      </c>
      <c r="S15" s="1765" t="s">
        <v>212</v>
      </c>
      <c r="T15" s="1761" t="s">
        <v>2204</v>
      </c>
    </row>
    <row r="16" spans="1:73" s="1034" customFormat="1" ht="30.75" customHeight="1" thickBot="1" x14ac:dyDescent="0.3">
      <c r="A16" s="1036" t="s">
        <v>52</v>
      </c>
      <c r="B16" s="1023" t="s">
        <v>53</v>
      </c>
      <c r="C16" s="1759"/>
      <c r="D16" s="1759"/>
      <c r="E16" s="1759"/>
      <c r="F16" s="1759"/>
      <c r="G16" s="1752"/>
      <c r="H16" s="1752"/>
      <c r="I16" s="1759"/>
      <c r="J16" s="1759"/>
      <c r="K16" s="1752"/>
      <c r="L16" s="1752"/>
      <c r="M16" s="1752"/>
      <c r="N16" s="1752"/>
      <c r="O16" s="1752"/>
      <c r="P16" s="1752"/>
      <c r="Q16" s="1752"/>
      <c r="R16" s="1752"/>
      <c r="S16" s="1766"/>
      <c r="T16" s="1762"/>
    </row>
    <row r="17" spans="1:183" ht="15.75" customHeight="1" thickBot="1" x14ac:dyDescent="0.3">
      <c r="A17" s="1623" t="s">
        <v>438</v>
      </c>
      <c r="B17" s="1466" t="s">
        <v>158</v>
      </c>
      <c r="C17" s="1478">
        <v>39379535</v>
      </c>
      <c r="D17" s="1479">
        <v>0</v>
      </c>
      <c r="E17" s="1479">
        <v>1206252</v>
      </c>
      <c r="F17" s="1479">
        <v>0</v>
      </c>
      <c r="G17" s="1468">
        <v>0</v>
      </c>
      <c r="H17" s="1469">
        <v>0</v>
      </c>
      <c r="I17" s="1470">
        <f t="shared" ref="I17:J22" si="0">C17-G17</f>
        <v>39379535</v>
      </c>
      <c r="J17" s="1470">
        <f t="shared" si="0"/>
        <v>0</v>
      </c>
      <c r="K17" s="1471"/>
      <c r="L17" s="1471"/>
      <c r="M17" s="1471"/>
      <c r="N17" s="1471"/>
      <c r="O17" s="1471">
        <v>0.4</v>
      </c>
      <c r="P17" s="1471"/>
      <c r="Q17" s="1471"/>
      <c r="R17" s="1471"/>
      <c r="S17" s="1472">
        <v>11522.339195783321</v>
      </c>
      <c r="T17" s="1460">
        <v>5089</v>
      </c>
      <c r="GA17" s="1355"/>
    </row>
    <row r="18" spans="1:183" ht="15.75" customHeight="1" thickBot="1" x14ac:dyDescent="0.3">
      <c r="A18" s="1623" t="s">
        <v>3214</v>
      </c>
      <c r="B18" s="1466" t="s">
        <v>158</v>
      </c>
      <c r="C18" s="1478">
        <v>19816423</v>
      </c>
      <c r="D18" s="1479">
        <v>0</v>
      </c>
      <c r="E18" s="1479">
        <v>2980954</v>
      </c>
      <c r="F18" s="1479">
        <v>0</v>
      </c>
      <c r="G18" s="1468">
        <v>0</v>
      </c>
      <c r="H18" s="1469">
        <v>0</v>
      </c>
      <c r="I18" s="1470">
        <f t="shared" si="0"/>
        <v>19816423</v>
      </c>
      <c r="J18" s="1470">
        <f t="shared" si="0"/>
        <v>0</v>
      </c>
      <c r="K18" s="1471"/>
      <c r="L18" s="1471"/>
      <c r="M18" s="1471"/>
      <c r="N18" s="1471"/>
      <c r="O18" s="1471">
        <v>0.18</v>
      </c>
      <c r="P18" s="1471"/>
      <c r="Q18" s="1471"/>
      <c r="R18" s="1471"/>
      <c r="S18" s="1472">
        <v>12027.968251873024</v>
      </c>
      <c r="T18" s="1460">
        <v>741</v>
      </c>
      <c r="GA18" s="1355"/>
    </row>
    <row r="19" spans="1:183" ht="15.75" customHeight="1" thickBot="1" x14ac:dyDescent="0.3">
      <c r="A19" s="1623" t="s">
        <v>4819</v>
      </c>
      <c r="B19" s="1466" t="s">
        <v>159</v>
      </c>
      <c r="C19" s="1478">
        <v>38286678</v>
      </c>
      <c r="D19" s="1479">
        <v>111704</v>
      </c>
      <c r="E19" s="1479">
        <v>36238163</v>
      </c>
      <c r="F19" s="1479">
        <v>105963</v>
      </c>
      <c r="G19" s="1468">
        <v>0</v>
      </c>
      <c r="H19" s="1469">
        <v>0</v>
      </c>
      <c r="I19" s="1470">
        <f t="shared" si="0"/>
        <v>38286678</v>
      </c>
      <c r="J19" s="1470">
        <f t="shared" si="0"/>
        <v>111704</v>
      </c>
      <c r="K19" s="1471"/>
      <c r="L19" s="1471"/>
      <c r="M19" s="1471"/>
      <c r="N19" s="1471"/>
      <c r="O19" s="1471">
        <v>0.4</v>
      </c>
      <c r="P19" s="1471"/>
      <c r="Q19" s="1471"/>
      <c r="R19" s="1471"/>
      <c r="S19" s="1472">
        <v>4964.5459970857419</v>
      </c>
      <c r="T19" s="1460"/>
      <c r="GA19" s="1355"/>
    </row>
    <row r="20" spans="1:183" ht="15.75" customHeight="1" thickBot="1" x14ac:dyDescent="0.3">
      <c r="A20" s="1623" t="s">
        <v>617</v>
      </c>
      <c r="B20" s="1466" t="s">
        <v>158</v>
      </c>
      <c r="C20" s="1478">
        <v>539097</v>
      </c>
      <c r="D20" s="1479">
        <v>0</v>
      </c>
      <c r="E20" s="1479">
        <v>51612</v>
      </c>
      <c r="F20" s="1479">
        <v>0</v>
      </c>
      <c r="G20" s="1468">
        <v>0</v>
      </c>
      <c r="H20" s="1469">
        <v>0</v>
      </c>
      <c r="I20" s="1470">
        <f t="shared" si="0"/>
        <v>539097</v>
      </c>
      <c r="J20" s="1470">
        <f t="shared" si="0"/>
        <v>0</v>
      </c>
      <c r="K20" s="1471"/>
      <c r="L20" s="1471"/>
      <c r="M20" s="1471"/>
      <c r="N20" s="1471"/>
      <c r="O20" s="1471">
        <v>0</v>
      </c>
      <c r="P20" s="1471"/>
      <c r="Q20" s="1471"/>
      <c r="R20" s="1471"/>
      <c r="S20" s="1472"/>
      <c r="T20" s="1460"/>
      <c r="GA20" s="1355"/>
    </row>
    <row r="21" spans="1:183" ht="15.75" customHeight="1" thickBot="1" x14ac:dyDescent="0.3">
      <c r="A21" s="1623" t="s">
        <v>629</v>
      </c>
      <c r="B21" s="1467" t="s">
        <v>159</v>
      </c>
      <c r="C21" s="1458">
        <v>99906</v>
      </c>
      <c r="D21" s="1459">
        <v>298</v>
      </c>
      <c r="E21" s="1459">
        <v>2645</v>
      </c>
      <c r="F21" s="1459">
        <v>7</v>
      </c>
      <c r="G21" s="1461">
        <v>0</v>
      </c>
      <c r="H21" s="1462">
        <v>0</v>
      </c>
      <c r="I21" s="1457">
        <f t="shared" si="0"/>
        <v>99906</v>
      </c>
      <c r="J21" s="1457">
        <f t="shared" si="0"/>
        <v>298</v>
      </c>
      <c r="K21" s="1463"/>
      <c r="L21" s="1463"/>
      <c r="M21" s="1463"/>
      <c r="N21" s="1463"/>
      <c r="O21" s="1463">
        <v>0</v>
      </c>
      <c r="P21" s="1463"/>
      <c r="Q21" s="1463"/>
      <c r="R21" s="1463"/>
      <c r="S21" s="1464"/>
      <c r="T21" s="1460"/>
      <c r="GA21" s="1355"/>
    </row>
    <row r="22" spans="1:183" ht="15.75" customHeight="1" thickBot="1" x14ac:dyDescent="0.3">
      <c r="A22" s="1449" t="s">
        <v>615</v>
      </c>
      <c r="B22" s="1465" t="s">
        <v>159</v>
      </c>
      <c r="C22" s="1480">
        <v>716670</v>
      </c>
      <c r="D22" s="1481">
        <v>1945</v>
      </c>
      <c r="E22" s="1481">
        <v>565051</v>
      </c>
      <c r="F22" s="1481">
        <v>1533</v>
      </c>
      <c r="G22" s="1473">
        <v>0</v>
      </c>
      <c r="H22" s="1474">
        <v>0</v>
      </c>
      <c r="I22" s="1475">
        <f t="shared" si="0"/>
        <v>716670</v>
      </c>
      <c r="J22" s="1475">
        <f t="shared" si="0"/>
        <v>1945</v>
      </c>
      <c r="K22" s="1476"/>
      <c r="L22" s="1476"/>
      <c r="M22" s="1476"/>
      <c r="N22" s="1476"/>
      <c r="O22" s="1476">
        <v>0.02</v>
      </c>
      <c r="P22" s="1476"/>
      <c r="Q22" s="1476"/>
      <c r="R22" s="1476"/>
      <c r="S22" s="1477">
        <v>18196.983346274301</v>
      </c>
      <c r="T22" s="1460"/>
      <c r="GA22" s="1355"/>
    </row>
    <row r="23" spans="1:183" x14ac:dyDescent="0.25">
      <c r="B23" s="1450" t="s">
        <v>51</v>
      </c>
      <c r="C23" s="1451">
        <f>SUM($C$17:$C$22)</f>
        <v>98838309</v>
      </c>
      <c r="D23" s="1451">
        <f>SUM($D$17:$D$22)</f>
        <v>113947</v>
      </c>
      <c r="E23" s="1451">
        <f>SUM($E$17:$E$22)</f>
        <v>41044677</v>
      </c>
      <c r="F23" s="1451">
        <f>SUM($F$17:$F$22)</f>
        <v>107503</v>
      </c>
      <c r="G23" s="1451">
        <f>SUM($G$17:$G$22)</f>
        <v>0</v>
      </c>
      <c r="H23" s="1451">
        <f>SUM($H$17:$H$22)</f>
        <v>0</v>
      </c>
      <c r="I23" s="1451">
        <f>SUM($I$17:$I$22)</f>
        <v>98838309</v>
      </c>
      <c r="J23" s="1451">
        <f>SUM($J$17:$J$22)</f>
        <v>113947</v>
      </c>
      <c r="K23" s="1452">
        <f>SUM($K$17:$K$22)</f>
        <v>0</v>
      </c>
      <c r="L23" s="1452">
        <f>SUM($L$17:$L$22)</f>
        <v>0</v>
      </c>
      <c r="M23" s="1452">
        <f>SUM($M$17:$M$22)</f>
        <v>0</v>
      </c>
      <c r="N23" s="1452">
        <f>SUM($N$17:$N$22)</f>
        <v>0</v>
      </c>
      <c r="O23" s="1452">
        <f>SUM($O$17:$O$22)</f>
        <v>1</v>
      </c>
      <c r="P23" s="1452">
        <f>SUM($P$17:$P$22)</f>
        <v>0</v>
      </c>
      <c r="Q23" s="1452">
        <f>SUM($Q$17:$Q$22)</f>
        <v>0</v>
      </c>
      <c r="R23" s="1452">
        <f>SUM($R$17:$R$22)</f>
        <v>0</v>
      </c>
      <c r="S23" s="1451">
        <f>ROUND(SUM($S$17:$S$22),0)</f>
        <v>46712</v>
      </c>
      <c r="T23" s="1621">
        <f>SUM($T$17:$T$22)</f>
        <v>5830</v>
      </c>
    </row>
    <row r="24" spans="1:183" ht="15.75" thickBot="1" x14ac:dyDescent="0.3"/>
    <row r="25" spans="1:183" ht="15.75" thickBot="1" x14ac:dyDescent="0.3">
      <c r="A25" s="1453" t="s">
        <v>6909</v>
      </c>
      <c r="S25" s="1501" t="s">
        <v>6908</v>
      </c>
      <c r="T25" s="1502"/>
      <c r="U25" s="1503">
        <v>46712</v>
      </c>
    </row>
    <row r="26" spans="1:183" ht="26.25" customHeight="1" thickBot="1" x14ac:dyDescent="0.3">
      <c r="A26" s="846" t="s">
        <v>6910</v>
      </c>
      <c r="C26" s="1454">
        <v>-53970.586313337386</v>
      </c>
      <c r="S26" s="1753" t="str">
        <f>IF(U25=S23,"Total Balance of Account 1568 in Column S matches the amount entered on the Continuity Schedule","Total Balance of Account 1568 in Column S DOES NOT MATCH the amount entered on the Continuity Schedule")</f>
        <v>Total Balance of Account 1568 in Column S matches the amount entered on the Continuity Schedule</v>
      </c>
      <c r="T26" s="1754"/>
      <c r="U26" s="1754"/>
    </row>
    <row r="27" spans="1:183" x14ac:dyDescent="0.25">
      <c r="A27" s="846" t="s">
        <v>6911</v>
      </c>
      <c r="C27" s="1454">
        <v>-100682.42631333738</v>
      </c>
    </row>
    <row r="28" spans="1:183" x14ac:dyDescent="0.25">
      <c r="A28" s="846" t="s">
        <v>6912</v>
      </c>
      <c r="C28" s="1455">
        <v>-1.0186579205168046E-3</v>
      </c>
    </row>
    <row r="30" spans="1:183" x14ac:dyDescent="0.25">
      <c r="C30" s="844"/>
    </row>
    <row r="32" spans="1:183" ht="17.25" x14ac:dyDescent="0.25">
      <c r="A32" s="1456" t="s">
        <v>6913</v>
      </c>
    </row>
    <row r="33" spans="1:1" ht="17.25" x14ac:dyDescent="0.25">
      <c r="A33" s="1456" t="s">
        <v>6914</v>
      </c>
    </row>
    <row r="34" spans="1:1" ht="17.25" x14ac:dyDescent="0.25">
      <c r="A34" s="1456" t="s">
        <v>6915</v>
      </c>
    </row>
    <row r="35" spans="1:1" ht="17.25" x14ac:dyDescent="0.25">
      <c r="A35" s="1456"/>
    </row>
  </sheetData>
  <sheetProtection algorithmName="SHA-512" hashValue="D8CEyONaWQJiC/JScTZgWF9REC/Ubloe+S8cwWIKMPBAsCCx27ElXRV78+q1jaJVuOqM63uJ3ExZffv9U2p1Qg==" saltValue="jeeSu1nlv6Ycusdqm3X2Tg==" spinCount="100000" sheet="1" objects="1" scenarios="1"/>
  <mergeCells count="22">
    <mergeCell ref="S26:U26"/>
    <mergeCell ref="A13:G13"/>
    <mergeCell ref="E15:E16"/>
    <mergeCell ref="F15:F16"/>
    <mergeCell ref="G15:G16"/>
    <mergeCell ref="D15:D16"/>
    <mergeCell ref="C15:C16"/>
    <mergeCell ref="H15:H16"/>
    <mergeCell ref="I15:I16"/>
    <mergeCell ref="J15:J16"/>
    <mergeCell ref="C14:H14"/>
    <mergeCell ref="T15:T16"/>
    <mergeCell ref="K14:S14"/>
    <mergeCell ref="S15:S16"/>
    <mergeCell ref="N15:N16"/>
    <mergeCell ref="O15:O16"/>
    <mergeCell ref="R15:R16"/>
    <mergeCell ref="P15:P16"/>
    <mergeCell ref="Q15:Q16"/>
    <mergeCell ref="K15:K16"/>
    <mergeCell ref="M15:M16"/>
    <mergeCell ref="L15:L16"/>
  </mergeCells>
  <dataValidations count="1">
    <dataValidation type="list" allowBlank="1" showInputMessage="1" showErrorMessage="1" sqref="B13 B17:B22">
      <formula1>"kWh, kW, kVA"</formula1>
    </dataValidation>
  </dataValidations>
  <pageMargins left="0.25" right="0.25" top="0.75" bottom="0.75" header="0.3" footer="0.3"/>
  <pageSetup paperSize="17" scale="68" orientation="landscape" r:id="rId1"/>
  <headerFooter>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locked="0" defaultSize="0" print="0" autoFill="0" autoLine="0" autoPict="0" altText="">
                <anchor>
                  <from>
                    <xdr:col>7</xdr:col>
                    <xdr:colOff>28575</xdr:colOff>
                    <xdr:row>5</xdr:row>
                    <xdr:rowOff>9525</xdr:rowOff>
                  </from>
                  <to>
                    <xdr:col>7</xdr:col>
                    <xdr:colOff>333375</xdr:colOff>
                    <xdr:row>5</xdr:row>
                    <xdr:rowOff>123825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D999"/>
  <sheetViews>
    <sheetView showGridLines="0" zoomScaleNormal="100" workbookViewId="0">
      <selection activeCell="G24" sqref="G24:S24"/>
    </sheetView>
  </sheetViews>
  <sheetFormatPr defaultColWidth="9.140625" defaultRowHeight="15" x14ac:dyDescent="0.25"/>
  <cols>
    <col min="1" max="1" width="61.42578125" style="115" customWidth="1"/>
    <col min="2" max="2" width="9.140625" style="22"/>
    <col min="3" max="3" width="14.85546875" style="22" customWidth="1"/>
    <col min="4" max="4" width="14.85546875" style="22" hidden="1" customWidth="1"/>
    <col min="5" max="5" width="11.85546875" style="22" customWidth="1"/>
    <col min="6" max="6" width="14.7109375" style="22" customWidth="1"/>
    <col min="7" max="9" width="14.85546875" style="22" customWidth="1"/>
    <col min="10" max="10" width="14.7109375" style="22" hidden="1" customWidth="1"/>
    <col min="11" max="11" width="14.85546875" style="22" hidden="1" customWidth="1"/>
    <col min="12" max="14" width="14.85546875" style="22" customWidth="1"/>
    <col min="15" max="18" width="14.85546875" style="22" hidden="1" customWidth="1"/>
    <col min="19" max="19" width="14.85546875" style="22" customWidth="1"/>
    <col min="20" max="21" width="14.85546875" style="22" hidden="1" customWidth="1"/>
    <col min="22" max="22" width="14.85546875" style="843" hidden="1" customWidth="1"/>
    <col min="23" max="23" width="10.28515625" style="22" bestFit="1" customWidth="1"/>
    <col min="24" max="16384" width="9.140625" style="22"/>
  </cols>
  <sheetData>
    <row r="1" spans="1:30" x14ac:dyDescent="0.25">
      <c r="A1" s="847"/>
      <c r="B1" s="1026"/>
      <c r="C1" s="1026"/>
      <c r="D1" s="1026"/>
      <c r="E1" s="1026"/>
      <c r="F1" s="1026"/>
      <c r="G1" s="1026"/>
      <c r="H1" s="1026"/>
      <c r="I1" s="1026"/>
      <c r="J1" s="1026"/>
      <c r="K1" s="1026"/>
      <c r="L1" s="1026"/>
      <c r="M1" s="1026"/>
      <c r="N1" s="1026"/>
      <c r="O1" s="1026"/>
      <c r="P1" s="1026"/>
      <c r="Q1" s="1026"/>
      <c r="R1" s="1026"/>
      <c r="S1" s="1026"/>
      <c r="T1" s="1026"/>
      <c r="U1" s="1026"/>
      <c r="V1" s="1026"/>
      <c r="W1" s="1026"/>
      <c r="X1" s="1026"/>
      <c r="Y1" s="1026"/>
      <c r="Z1" s="1026"/>
      <c r="AA1" s="1026"/>
      <c r="AB1" s="1026"/>
      <c r="AC1" s="1026"/>
      <c r="AD1" s="843"/>
    </row>
    <row r="2" spans="1:30" x14ac:dyDescent="0.25">
      <c r="A2" s="847"/>
      <c r="B2" s="1026"/>
      <c r="C2" s="1026"/>
      <c r="D2" s="1026"/>
      <c r="E2" s="1026"/>
      <c r="F2" s="1026"/>
      <c r="G2" s="1026"/>
      <c r="H2" s="1026"/>
      <c r="I2" s="1026"/>
      <c r="J2" s="1026"/>
      <c r="K2" s="1026"/>
      <c r="L2" s="1026"/>
      <c r="M2" s="1026"/>
      <c r="N2" s="1026"/>
      <c r="O2" s="1026"/>
      <c r="P2" s="1026"/>
      <c r="Q2" s="1026"/>
      <c r="R2" s="1026"/>
      <c r="S2" s="1026"/>
      <c r="T2" s="1026"/>
      <c r="U2" s="1026"/>
      <c r="V2" s="1026"/>
      <c r="W2" s="1026"/>
      <c r="X2" s="1026"/>
      <c r="Y2" s="1026"/>
      <c r="Z2" s="1026"/>
      <c r="AA2" s="1026"/>
      <c r="AB2" s="1026"/>
      <c r="AC2" s="1026"/>
      <c r="AD2" s="843"/>
    </row>
    <row r="3" spans="1:30" x14ac:dyDescent="0.25">
      <c r="A3" s="847"/>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843"/>
    </row>
    <row r="4" spans="1:30" x14ac:dyDescent="0.25">
      <c r="A4" s="847"/>
      <c r="B4" s="1026"/>
      <c r="C4" s="1026"/>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843"/>
    </row>
    <row r="5" spans="1:30" x14ac:dyDescent="0.25">
      <c r="A5" s="847"/>
      <c r="B5" s="1026"/>
      <c r="C5" s="1026"/>
      <c r="D5" s="1026"/>
      <c r="E5" s="1026"/>
      <c r="F5" s="1026"/>
      <c r="G5" s="1026"/>
      <c r="H5" s="1026"/>
      <c r="I5" s="1026"/>
      <c r="J5" s="1026"/>
      <c r="K5" s="1026"/>
      <c r="L5" s="1026"/>
      <c r="M5" s="1026"/>
      <c r="N5" s="1026"/>
      <c r="O5" s="1026"/>
      <c r="P5" s="1026"/>
      <c r="Q5" s="1026"/>
      <c r="R5" s="1026"/>
      <c r="S5" s="1026"/>
      <c r="T5" s="1026"/>
      <c r="U5" s="1026"/>
      <c r="V5" s="1026"/>
      <c r="W5" s="1026"/>
      <c r="X5" s="1026"/>
      <c r="Y5" s="1026"/>
      <c r="Z5" s="1026"/>
      <c r="AA5" s="1026"/>
      <c r="AB5" s="1026"/>
      <c r="AC5" s="1026"/>
      <c r="AD5" s="843"/>
    </row>
    <row r="6" spans="1:30" x14ac:dyDescent="0.25">
      <c r="A6" s="847"/>
      <c r="B6" s="1026"/>
      <c r="C6" s="1026"/>
      <c r="D6" s="1026"/>
      <c r="E6" s="1026"/>
      <c r="F6" s="1026"/>
      <c r="G6" s="1026"/>
      <c r="H6" s="1026"/>
      <c r="I6" s="1026"/>
      <c r="J6" s="1026"/>
      <c r="K6" s="1026"/>
      <c r="L6" s="1026"/>
      <c r="M6" s="1026"/>
      <c r="N6" s="1026"/>
      <c r="O6" s="1026"/>
      <c r="P6" s="1026"/>
      <c r="Q6" s="1026"/>
      <c r="R6" s="1026"/>
      <c r="S6" s="1026"/>
      <c r="T6" s="1026"/>
      <c r="U6" s="1026"/>
      <c r="V6" s="1026"/>
      <c r="W6" s="1026"/>
      <c r="X6" s="1026"/>
      <c r="Y6" s="1026"/>
      <c r="Z6" s="1026"/>
      <c r="AA6" s="1026"/>
      <c r="AB6" s="1026"/>
      <c r="AC6" s="1026"/>
      <c r="AD6" s="843"/>
    </row>
    <row r="7" spans="1:30" x14ac:dyDescent="0.25">
      <c r="A7" s="847"/>
      <c r="B7" s="1026"/>
      <c r="C7" s="1026"/>
      <c r="D7" s="1026"/>
      <c r="E7" s="1026"/>
      <c r="F7" s="1026"/>
      <c r="G7" s="1026"/>
      <c r="H7" s="1026"/>
      <c r="I7" s="1026"/>
      <c r="J7" s="1026"/>
      <c r="K7" s="1026"/>
      <c r="L7" s="1026"/>
      <c r="M7" s="1026"/>
      <c r="N7" s="1026"/>
      <c r="O7" s="1026"/>
      <c r="P7" s="1026"/>
      <c r="Q7" s="1026"/>
      <c r="R7" s="1026"/>
      <c r="S7" s="1026"/>
      <c r="T7" s="1026"/>
      <c r="U7" s="1026"/>
      <c r="V7" s="1026"/>
      <c r="W7" s="1026"/>
      <c r="X7" s="1026"/>
      <c r="Y7" s="1026"/>
      <c r="Z7" s="1026"/>
      <c r="AA7" s="1026"/>
      <c r="AB7" s="1026"/>
      <c r="AC7" s="1026"/>
      <c r="AD7" s="843"/>
    </row>
    <row r="8" spans="1:30" x14ac:dyDescent="0.25">
      <c r="A8" s="847"/>
      <c r="B8" s="1026"/>
      <c r="C8" s="1026"/>
      <c r="D8" s="1026"/>
      <c r="E8" s="1026"/>
      <c r="F8" s="1026"/>
      <c r="G8" s="1026"/>
      <c r="H8" s="1026"/>
      <c r="I8" s="1026"/>
      <c r="J8" s="1026"/>
      <c r="K8" s="1026"/>
      <c r="L8" s="1026"/>
      <c r="M8" s="1026"/>
      <c r="N8" s="1026"/>
      <c r="O8" s="1026"/>
      <c r="P8" s="1026"/>
      <c r="Q8" s="1026"/>
      <c r="R8" s="1026"/>
      <c r="S8" s="1026"/>
      <c r="T8" s="1026"/>
      <c r="U8" s="1026"/>
      <c r="V8" s="1026"/>
      <c r="W8" s="1026"/>
      <c r="X8" s="1026"/>
      <c r="Y8" s="1026"/>
      <c r="Z8" s="1026"/>
      <c r="AA8" s="1026"/>
      <c r="AB8" s="1026"/>
      <c r="AC8" s="1026"/>
      <c r="AD8" s="843"/>
    </row>
    <row r="9" spans="1:30" x14ac:dyDescent="0.25">
      <c r="A9" s="847"/>
      <c r="B9" s="1026"/>
      <c r="C9" s="1026"/>
      <c r="D9" s="1026"/>
      <c r="E9" s="1026"/>
      <c r="F9" s="1026"/>
      <c r="G9" s="1026"/>
      <c r="H9" s="1026"/>
      <c r="I9" s="1026"/>
      <c r="J9" s="1026"/>
      <c r="K9" s="1026"/>
      <c r="L9" s="1026"/>
      <c r="M9" s="1026"/>
      <c r="N9" s="1026"/>
      <c r="O9" s="1026"/>
      <c r="P9" s="1026"/>
      <c r="Q9" s="1026"/>
      <c r="R9" s="1026"/>
      <c r="S9" s="1026"/>
      <c r="T9" s="1026"/>
      <c r="U9" s="1026"/>
      <c r="V9" s="1026"/>
      <c r="W9" s="1026"/>
      <c r="X9" s="1026"/>
      <c r="Y9" s="1026"/>
      <c r="Z9" s="1026"/>
      <c r="AA9" s="1026"/>
      <c r="AB9" s="1026"/>
      <c r="AC9" s="1026"/>
      <c r="AD9" s="843"/>
    </row>
    <row r="10" spans="1:30" x14ac:dyDescent="0.25">
      <c r="A10" s="847"/>
      <c r="B10" s="1026"/>
      <c r="C10" s="1026"/>
      <c r="D10" s="1026"/>
      <c r="E10" s="1026"/>
      <c r="F10" s="1026"/>
      <c r="G10" s="1026"/>
      <c r="H10" s="1026"/>
      <c r="I10" s="1026"/>
      <c r="J10" s="1026"/>
      <c r="K10" s="1026"/>
      <c r="L10" s="1026"/>
      <c r="M10" s="1026"/>
      <c r="N10" s="1026"/>
      <c r="O10" s="1026"/>
      <c r="P10" s="1026"/>
      <c r="Q10" s="1026"/>
      <c r="R10" s="1026"/>
      <c r="S10" s="1026"/>
      <c r="T10" s="1026"/>
      <c r="U10" s="1026"/>
      <c r="V10" s="1026"/>
      <c r="W10" s="1026"/>
      <c r="X10" s="1026"/>
      <c r="Y10" s="1026"/>
      <c r="Z10" s="1026"/>
      <c r="AA10" s="1026"/>
      <c r="AB10" s="1026"/>
      <c r="AC10" s="1026"/>
      <c r="AD10" s="843"/>
    </row>
    <row r="11" spans="1:30" ht="20.25" customHeight="1" x14ac:dyDescent="0.25">
      <c r="A11" s="1767" t="s">
        <v>2440</v>
      </c>
      <c r="B11" s="1767"/>
      <c r="C11" s="1767"/>
      <c r="D11" s="1767"/>
      <c r="E11" s="1767"/>
      <c r="F11" s="1767"/>
      <c r="G11" s="1767"/>
      <c r="H11" s="1767"/>
      <c r="I11" s="1767"/>
      <c r="J11" s="1767"/>
      <c r="K11" s="1767"/>
      <c r="L11" s="1767"/>
      <c r="M11" s="1026"/>
      <c r="N11" s="1026"/>
      <c r="O11" s="1026"/>
      <c r="P11" s="1026"/>
      <c r="Q11" s="1026"/>
      <c r="R11" s="1026"/>
      <c r="S11" s="1026"/>
      <c r="T11" s="1026"/>
      <c r="U11" s="1026"/>
      <c r="V11" s="1026"/>
      <c r="W11" s="1026"/>
      <c r="X11" s="1026"/>
      <c r="Y11" s="1026"/>
      <c r="Z11" s="1026"/>
      <c r="AA11" s="1026"/>
      <c r="AB11" s="1026"/>
      <c r="AC11" s="1026"/>
      <c r="AD11" s="843"/>
    </row>
    <row r="12" spans="1:30" ht="21" customHeight="1" x14ac:dyDescent="0.25">
      <c r="A12" s="1767"/>
      <c r="B12" s="1767"/>
      <c r="C12" s="1767"/>
      <c r="D12" s="1767"/>
      <c r="E12" s="1767"/>
      <c r="F12" s="1767"/>
      <c r="G12" s="1767"/>
      <c r="H12" s="1767"/>
      <c r="I12" s="1767"/>
      <c r="J12" s="1767"/>
      <c r="K12" s="1767"/>
      <c r="L12" s="1767"/>
      <c r="M12" s="1026"/>
      <c r="N12" s="1026"/>
      <c r="O12" s="1026"/>
      <c r="P12" s="1026"/>
      <c r="Q12" s="1026"/>
      <c r="R12" s="1026"/>
      <c r="S12" s="1026"/>
      <c r="T12" s="1026"/>
      <c r="U12" s="1026"/>
      <c r="V12" s="1026"/>
      <c r="W12" s="1026"/>
      <c r="X12" s="1026"/>
      <c r="Y12" s="1026"/>
      <c r="Z12" s="1026"/>
      <c r="AA12" s="1026"/>
      <c r="AB12" s="1026"/>
      <c r="AC12" s="1026"/>
      <c r="AD12" s="843"/>
    </row>
    <row r="13" spans="1:30" ht="18" x14ac:dyDescent="0.25">
      <c r="A13" s="848" t="s">
        <v>465</v>
      </c>
      <c r="B13" s="1026"/>
      <c r="C13" s="1026"/>
      <c r="D13" s="1026"/>
      <c r="E13" s="1026"/>
      <c r="F13" s="1026"/>
      <c r="G13" s="1026"/>
      <c r="H13" s="1026"/>
      <c r="I13" s="1026"/>
      <c r="J13" s="1026"/>
      <c r="K13" s="1026"/>
      <c r="L13" s="1026"/>
      <c r="M13" s="1026"/>
      <c r="N13" s="1026"/>
      <c r="O13" s="1026"/>
      <c r="P13" s="1026"/>
      <c r="Q13" s="1026"/>
      <c r="R13" s="1026"/>
      <c r="S13" s="1026"/>
      <c r="T13" s="1026"/>
      <c r="U13" s="1026"/>
      <c r="V13" s="1026"/>
      <c r="W13" s="1026"/>
      <c r="X13" s="1026"/>
      <c r="Y13" s="1026"/>
      <c r="Z13" s="1026"/>
      <c r="AA13" s="1026"/>
      <c r="AB13" s="1026"/>
      <c r="AC13" s="1026"/>
      <c r="AD13" s="843"/>
    </row>
    <row r="14" spans="1:30" s="29" customFormat="1" ht="29.25" customHeight="1" x14ac:dyDescent="0.25">
      <c r="A14" s="849"/>
      <c r="B14" s="850"/>
      <c r="C14" s="1768" t="s">
        <v>54</v>
      </c>
      <c r="D14" s="1768" t="s">
        <v>55</v>
      </c>
      <c r="E14" s="1768" t="s">
        <v>619</v>
      </c>
      <c r="F14" s="1770" t="s">
        <v>1613</v>
      </c>
      <c r="G14" s="851"/>
      <c r="H14" s="852"/>
      <c r="I14" s="852" t="s">
        <v>1617</v>
      </c>
      <c r="J14" s="852"/>
      <c r="K14" s="852"/>
      <c r="L14" s="851"/>
      <c r="M14" s="851"/>
      <c r="N14" s="852" t="s">
        <v>1617</v>
      </c>
      <c r="O14" s="1770" t="s">
        <v>2212</v>
      </c>
      <c r="P14" s="1770" t="s">
        <v>2213</v>
      </c>
      <c r="Q14" s="1770" t="s">
        <v>2214</v>
      </c>
      <c r="R14" s="1770" t="s">
        <v>2215</v>
      </c>
      <c r="S14" s="1770" t="s">
        <v>2216</v>
      </c>
      <c r="T14" s="1770" t="s">
        <v>2884</v>
      </c>
      <c r="U14" s="1770" t="s">
        <v>5948</v>
      </c>
      <c r="V14" s="1770" t="s">
        <v>5949</v>
      </c>
      <c r="W14" s="1770">
        <v>1568</v>
      </c>
      <c r="X14" s="1028"/>
      <c r="Y14" s="1028"/>
      <c r="Z14" s="1028"/>
      <c r="AA14" s="1028"/>
      <c r="AB14" s="1028"/>
      <c r="AC14" s="1028"/>
      <c r="AD14" s="853"/>
    </row>
    <row r="15" spans="1:30" s="29" customFormat="1" ht="20.25" customHeight="1" x14ac:dyDescent="0.25">
      <c r="A15" s="854" t="s">
        <v>52</v>
      </c>
      <c r="B15" s="855"/>
      <c r="C15" s="1769"/>
      <c r="D15" s="1769"/>
      <c r="E15" s="1769"/>
      <c r="F15" s="1771"/>
      <c r="G15" s="856">
        <v>1550</v>
      </c>
      <c r="H15" s="856">
        <v>1551</v>
      </c>
      <c r="I15" s="856">
        <v>1580</v>
      </c>
      <c r="J15" s="857" t="s">
        <v>1810</v>
      </c>
      <c r="K15" s="857" t="s">
        <v>1844</v>
      </c>
      <c r="L15" s="856">
        <v>1584</v>
      </c>
      <c r="M15" s="856">
        <v>1586</v>
      </c>
      <c r="N15" s="856">
        <v>1588</v>
      </c>
      <c r="O15" s="1772"/>
      <c r="P15" s="1772"/>
      <c r="Q15" s="1772"/>
      <c r="R15" s="1772"/>
      <c r="S15" s="1772"/>
      <c r="T15" s="1772"/>
      <c r="U15" s="1772"/>
      <c r="V15" s="1772"/>
      <c r="W15" s="1772"/>
      <c r="X15" s="1028"/>
      <c r="Y15" s="1028"/>
      <c r="Z15" s="1028"/>
      <c r="AA15" s="1028"/>
      <c r="AB15" s="1028"/>
      <c r="AC15" s="1028"/>
      <c r="AD15" s="853"/>
    </row>
    <row r="16" spans="1:30" ht="16.5" x14ac:dyDescent="0.3">
      <c r="A16" s="847"/>
      <c r="B16" s="858"/>
      <c r="C16" s="859"/>
      <c r="D16" s="859"/>
      <c r="E16" s="860"/>
      <c r="F16" s="860"/>
      <c r="G16" s="860"/>
      <c r="H16" s="860"/>
      <c r="I16" s="860"/>
      <c r="J16" s="861"/>
      <c r="K16" s="861"/>
      <c r="L16" s="859"/>
      <c r="M16" s="860"/>
      <c r="N16" s="1026"/>
      <c r="O16" s="1026"/>
      <c r="P16" s="1026"/>
      <c r="Q16" s="1026"/>
      <c r="R16" s="1026"/>
      <c r="S16" s="1026"/>
      <c r="T16" s="1026"/>
      <c r="U16" s="1026"/>
      <c r="V16" s="1026"/>
      <c r="W16" s="1026"/>
      <c r="X16" s="1026"/>
      <c r="Y16" s="1026"/>
      <c r="Z16" s="1026"/>
      <c r="AA16" s="1026"/>
      <c r="AB16" s="1026"/>
      <c r="AC16" s="1026"/>
      <c r="AD16" s="843"/>
    </row>
    <row r="17" spans="1:29" ht="15.75" customHeight="1" x14ac:dyDescent="0.25">
      <c r="A17" s="1627" t="s">
        <v>438</v>
      </c>
      <c r="B17" s="1026"/>
      <c r="C17" s="1485">
        <v>0.39842380346673067</v>
      </c>
      <c r="D17" s="1485">
        <v>2.9388756062083275E-2</v>
      </c>
      <c r="E17" s="1485">
        <v>0.87289879931389369</v>
      </c>
      <c r="F17" s="1485">
        <v>0.39842380346673067</v>
      </c>
      <c r="G17" s="1487">
        <v>25022.72011158954</v>
      </c>
      <c r="H17" s="1487">
        <v>-78.106984562607224</v>
      </c>
      <c r="I17" s="1487">
        <v>-42218.447740121359</v>
      </c>
      <c r="J17" s="1487">
        <v>0</v>
      </c>
      <c r="K17" s="1487"/>
      <c r="L17" s="1487">
        <v>-59706.230334968866</v>
      </c>
      <c r="M17" s="1487">
        <v>-36619.509408736711</v>
      </c>
      <c r="N17" s="1487">
        <v>22637.388674138478</v>
      </c>
      <c r="O17" s="1487">
        <v>0</v>
      </c>
      <c r="P17" s="1487">
        <v>0</v>
      </c>
      <c r="Q17" s="1487">
        <v>0</v>
      </c>
      <c r="R17" s="1487">
        <v>0</v>
      </c>
      <c r="S17" s="1487">
        <v>20268.020000000019</v>
      </c>
      <c r="T17" s="1487">
        <v>0</v>
      </c>
      <c r="U17" s="1487">
        <v>0</v>
      </c>
      <c r="V17" s="1487">
        <v>0</v>
      </c>
      <c r="W17" s="1487">
        <v>11522.339195783321</v>
      </c>
      <c r="X17" s="1026"/>
      <c r="Y17" s="1026"/>
      <c r="Z17" s="1026"/>
      <c r="AA17" s="1026"/>
      <c r="AB17" s="1026"/>
      <c r="AC17" s="1026"/>
    </row>
    <row r="18" spans="1:29" ht="15.75" customHeight="1" x14ac:dyDescent="0.25">
      <c r="A18" s="1627" t="s">
        <v>3214</v>
      </c>
      <c r="B18" s="1026"/>
      <c r="C18" s="1485">
        <v>0.20049334312265502</v>
      </c>
      <c r="D18" s="1485">
        <v>7.2627054660461821E-2</v>
      </c>
      <c r="E18" s="1485">
        <v>0.12710120068610634</v>
      </c>
      <c r="F18" s="1485">
        <v>0.20049334312265502</v>
      </c>
      <c r="G18" s="1487">
        <v>12591.840059611308</v>
      </c>
      <c r="H18" s="1487">
        <v>-11.373015437392798</v>
      </c>
      <c r="I18" s="1487">
        <v>-21245.010100338641</v>
      </c>
      <c r="J18" s="1487">
        <v>0</v>
      </c>
      <c r="K18" s="1487"/>
      <c r="L18" s="1487">
        <v>-30045.146953948919</v>
      </c>
      <c r="M18" s="1487">
        <v>-18427.533197027507</v>
      </c>
      <c r="N18" s="1487">
        <v>11391.502453803412</v>
      </c>
      <c r="O18" s="1487">
        <v>0</v>
      </c>
      <c r="P18" s="1487">
        <v>0</v>
      </c>
      <c r="Q18" s="1487">
        <v>0</v>
      </c>
      <c r="R18" s="1487">
        <v>0</v>
      </c>
      <c r="S18" s="1487">
        <v>9120.6090000000058</v>
      </c>
      <c r="T18" s="1487">
        <v>0</v>
      </c>
      <c r="U18" s="1487">
        <v>0</v>
      </c>
      <c r="V18" s="1487">
        <v>0</v>
      </c>
      <c r="W18" s="1487">
        <v>12027.968251873024</v>
      </c>
      <c r="X18" s="1026"/>
      <c r="Y18" s="1026"/>
      <c r="Z18" s="1026"/>
      <c r="AA18" s="1026"/>
      <c r="AB18" s="1026"/>
      <c r="AC18" s="1026"/>
    </row>
    <row r="19" spans="1:29" ht="15.75" customHeight="1" x14ac:dyDescent="0.25">
      <c r="A19" s="1627" t="s">
        <v>4819</v>
      </c>
      <c r="B19" s="1026"/>
      <c r="C19" s="1485">
        <v>0.38736678507925504</v>
      </c>
      <c r="D19" s="1485">
        <v>0.88289555793069097</v>
      </c>
      <c r="E19" s="1485">
        <v>0</v>
      </c>
      <c r="F19" s="1485">
        <v>0.38736678507925504</v>
      </c>
      <c r="G19" s="1487">
        <v>24328.292032817371</v>
      </c>
      <c r="H19" s="1487">
        <v>0</v>
      </c>
      <c r="I19" s="1487">
        <v>-41046.805511691651</v>
      </c>
      <c r="J19" s="1487">
        <v>0</v>
      </c>
      <c r="K19" s="1487"/>
      <c r="L19" s="1487">
        <v>-58049.268876049078</v>
      </c>
      <c r="M19" s="1487">
        <v>-35603.248368734494</v>
      </c>
      <c r="N19" s="1487">
        <v>22009.158079890658</v>
      </c>
      <c r="O19" s="1487">
        <v>0</v>
      </c>
      <c r="P19" s="1487">
        <v>0</v>
      </c>
      <c r="Q19" s="1487">
        <v>0</v>
      </c>
      <c r="R19" s="1487">
        <v>0</v>
      </c>
      <c r="S19" s="1487">
        <v>20268.020000000019</v>
      </c>
      <c r="T19" s="1487">
        <v>0</v>
      </c>
      <c r="U19" s="1487">
        <v>0</v>
      </c>
      <c r="V19" s="1487">
        <v>0</v>
      </c>
      <c r="W19" s="1487">
        <v>4964.5459970857419</v>
      </c>
      <c r="X19" s="1026"/>
      <c r="Y19" s="1026"/>
      <c r="Z19" s="1026"/>
      <c r="AA19" s="1026"/>
      <c r="AB19" s="1026"/>
      <c r="AC19" s="1026"/>
    </row>
    <row r="20" spans="1:29" ht="15.75" customHeight="1" x14ac:dyDescent="0.25">
      <c r="A20" s="1627" t="s">
        <v>617</v>
      </c>
      <c r="B20" s="1026"/>
      <c r="C20" s="1485">
        <v>5.4543324896422496E-3</v>
      </c>
      <c r="D20" s="1485">
        <v>1.257459036649259E-3</v>
      </c>
      <c r="E20" s="1485">
        <v>0</v>
      </c>
      <c r="F20" s="1485">
        <v>5.4543324896422496E-3</v>
      </c>
      <c r="G20" s="1487">
        <v>342.5554248925892</v>
      </c>
      <c r="H20" s="1487">
        <v>0</v>
      </c>
      <c r="I20" s="1487">
        <v>-577.96107854895206</v>
      </c>
      <c r="J20" s="1487">
        <v>0</v>
      </c>
      <c r="K20" s="1487"/>
      <c r="L20" s="1487">
        <v>-817.36489917645576</v>
      </c>
      <c r="M20" s="1487">
        <v>-501.3128688218826</v>
      </c>
      <c r="N20" s="1487">
        <v>309.90077262369988</v>
      </c>
      <c r="O20" s="1487">
        <v>0</v>
      </c>
      <c r="P20" s="1487">
        <v>0</v>
      </c>
      <c r="Q20" s="1487">
        <v>0</v>
      </c>
      <c r="R20" s="1487">
        <v>0</v>
      </c>
      <c r="S20" s="1487">
        <v>0</v>
      </c>
      <c r="T20" s="1487">
        <v>0</v>
      </c>
      <c r="U20" s="1487">
        <v>0</v>
      </c>
      <c r="V20" s="1487">
        <v>0</v>
      </c>
      <c r="W20" s="1487">
        <v>0</v>
      </c>
      <c r="X20" s="1026"/>
      <c r="Y20" s="1026"/>
      <c r="Z20" s="1026"/>
      <c r="AA20" s="1026"/>
      <c r="AB20" s="1026"/>
      <c r="AC20" s="1026"/>
    </row>
    <row r="21" spans="1:29" ht="15.75" customHeight="1" x14ac:dyDescent="0.25">
      <c r="A21" s="1627" t="s">
        <v>629</v>
      </c>
      <c r="B21" s="1026"/>
      <c r="C21" s="1485">
        <v>1.0108024005145617E-3</v>
      </c>
      <c r="D21" s="1485">
        <v>6.4441973803326552E-5</v>
      </c>
      <c r="E21" s="1485">
        <v>0</v>
      </c>
      <c r="F21" s="1485">
        <v>1.0108024005145617E-3</v>
      </c>
      <c r="G21" s="1487">
        <v>63.48271698658872</v>
      </c>
      <c r="H21" s="1487">
        <v>0</v>
      </c>
      <c r="I21" s="1487">
        <v>-107.10833025134922</v>
      </c>
      <c r="J21" s="1487">
        <v>0</v>
      </c>
      <c r="K21" s="1487"/>
      <c r="L21" s="1487">
        <v>-151.47488785343455</v>
      </c>
      <c r="M21" s="1487">
        <v>-92.903806685103078</v>
      </c>
      <c r="N21" s="1487">
        <v>57.431123878900024</v>
      </c>
      <c r="O21" s="1487">
        <v>0</v>
      </c>
      <c r="P21" s="1487">
        <v>0</v>
      </c>
      <c r="Q21" s="1487">
        <v>0</v>
      </c>
      <c r="R21" s="1487">
        <v>0</v>
      </c>
      <c r="S21" s="1487">
        <v>0</v>
      </c>
      <c r="T21" s="1487">
        <v>0</v>
      </c>
      <c r="U21" s="1487">
        <v>0</v>
      </c>
      <c r="V21" s="1487">
        <v>0</v>
      </c>
      <c r="W21" s="1487">
        <v>0</v>
      </c>
      <c r="X21" s="1026"/>
      <c r="Y21" s="1026"/>
      <c r="Z21" s="1026"/>
      <c r="AA21" s="1026"/>
      <c r="AB21" s="1026"/>
      <c r="AC21" s="1026"/>
    </row>
    <row r="22" spans="1:29" ht="15.75" customHeight="1" thickBot="1" x14ac:dyDescent="0.3">
      <c r="A22" s="1482" t="s">
        <v>615</v>
      </c>
      <c r="B22" s="421"/>
      <c r="C22" s="1486">
        <v>7.2509334412024394E-3</v>
      </c>
      <c r="D22" s="1486">
        <v>1.3766730336311333E-2</v>
      </c>
      <c r="E22" s="1486">
        <v>0</v>
      </c>
      <c r="F22" s="1486">
        <v>7.2509334412024394E-3</v>
      </c>
      <c r="G22" s="1488">
        <v>455.38965410264183</v>
      </c>
      <c r="H22" s="1488">
        <v>0</v>
      </c>
      <c r="I22" s="1488">
        <v>-768.33550578778488</v>
      </c>
      <c r="J22" s="1488">
        <v>0</v>
      </c>
      <c r="K22" s="1488"/>
      <c r="L22" s="1488">
        <v>-1086.5964794699109</v>
      </c>
      <c r="M22" s="1488">
        <v>-666.44016512534597</v>
      </c>
      <c r="N22" s="1488">
        <v>411.97889566483775</v>
      </c>
      <c r="O22" s="1488">
        <v>0</v>
      </c>
      <c r="P22" s="1488">
        <v>0</v>
      </c>
      <c r="Q22" s="1488">
        <v>0</v>
      </c>
      <c r="R22" s="1488">
        <v>0</v>
      </c>
      <c r="S22" s="1488">
        <v>1013.4010000000009</v>
      </c>
      <c r="T22" s="1488">
        <v>0</v>
      </c>
      <c r="U22" s="1488">
        <v>0</v>
      </c>
      <c r="V22" s="1488">
        <v>0</v>
      </c>
      <c r="W22" s="1488">
        <v>18196.983346274301</v>
      </c>
      <c r="X22" s="1026"/>
      <c r="Y22" s="1026"/>
      <c r="Z22" s="1026"/>
      <c r="AA22" s="1026"/>
      <c r="AB22" s="1026"/>
      <c r="AC22" s="1026"/>
    </row>
    <row r="23" spans="1:29" x14ac:dyDescent="0.25">
      <c r="A23" s="847"/>
      <c r="B23" s="1026"/>
      <c r="C23" s="1026"/>
      <c r="D23" s="1026"/>
      <c r="E23" s="1026"/>
      <c r="F23" s="1026"/>
      <c r="G23" s="1487"/>
      <c r="H23" s="1487"/>
      <c r="I23" s="1487"/>
      <c r="J23" s="1487"/>
      <c r="K23" s="1487"/>
      <c r="L23" s="1487"/>
      <c r="M23" s="1487"/>
      <c r="N23" s="1487"/>
      <c r="O23" s="1487"/>
      <c r="P23" s="1487"/>
      <c r="Q23" s="1487"/>
      <c r="R23" s="1487"/>
      <c r="S23" s="1487"/>
      <c r="T23" s="1487"/>
      <c r="U23" s="1487"/>
      <c r="V23" s="1487"/>
      <c r="W23" s="1487"/>
      <c r="X23" s="1026"/>
      <c r="Y23" s="1026"/>
      <c r="Z23" s="1026"/>
      <c r="AA23" s="1026"/>
      <c r="AB23" s="1026"/>
      <c r="AC23" s="1026"/>
    </row>
    <row r="24" spans="1:29" x14ac:dyDescent="0.25">
      <c r="A24" s="847" t="s">
        <v>51</v>
      </c>
      <c r="B24" s="1026"/>
      <c r="C24" s="1484">
        <f>SUM($C$17:$C$22)</f>
        <v>0.99999999999999989</v>
      </c>
      <c r="D24" s="1484">
        <f>SUM($D$17:$D$22)</f>
        <v>1</v>
      </c>
      <c r="E24" s="1484">
        <f>SUM($E$17:$E$22)</f>
        <v>1</v>
      </c>
      <c r="F24" s="1484">
        <f>SUM($F$17:$F$22)</f>
        <v>0.99999999999999989</v>
      </c>
      <c r="G24" s="1487">
        <f>SUM($G$17:$G$22)</f>
        <v>62804.280000000042</v>
      </c>
      <c r="H24" s="1487">
        <f>SUM($H$17:$H$22)</f>
        <v>-89.480000000000018</v>
      </c>
      <c r="I24" s="1487">
        <f>SUM($I$17:$I$22)</f>
        <v>-105963.66826673973</v>
      </c>
      <c r="J24" s="1487">
        <f>SUM($J$17:$J$22)</f>
        <v>0</v>
      </c>
      <c r="K24" s="1487">
        <f>SUM($K$17:$K$22)</f>
        <v>0</v>
      </c>
      <c r="L24" s="1487">
        <f>SUM($L$17:$L$22)</f>
        <v>-149856.08243146667</v>
      </c>
      <c r="M24" s="1487">
        <f>SUM($M$17:$M$22)</f>
        <v>-91910.947815131047</v>
      </c>
      <c r="N24" s="1487">
        <f>SUM($N$17:$N$22)</f>
        <v>56817.359999999993</v>
      </c>
      <c r="O24" s="1487">
        <f>SUM($O$17:$O$22)</f>
        <v>0</v>
      </c>
      <c r="P24" s="1487">
        <f>SUM($P$17:$P$22)</f>
        <v>0</v>
      </c>
      <c r="Q24" s="1487">
        <f>SUM($Q$17:$Q$22)</f>
        <v>0</v>
      </c>
      <c r="R24" s="1487">
        <f>SUM($R$17:$R$22)</f>
        <v>0</v>
      </c>
      <c r="S24" s="1487">
        <f>SUM($S$17:$S$22)</f>
        <v>50670.050000000039</v>
      </c>
      <c r="T24" s="1487">
        <f>SUM($T$17:$T$22)</f>
        <v>0</v>
      </c>
      <c r="U24" s="1487">
        <f>SUM($U$17:$U$22)</f>
        <v>0</v>
      </c>
      <c r="V24" s="1487">
        <f>SUM($V$17:$V$22)</f>
        <v>0</v>
      </c>
      <c r="W24" s="1487">
        <f>SUM($W$17:$W$22)</f>
        <v>46711.836791016387</v>
      </c>
      <c r="X24" s="1026"/>
      <c r="Y24" s="1026"/>
      <c r="Z24" s="1026"/>
      <c r="AA24" s="1026"/>
      <c r="AB24" s="1026"/>
      <c r="AC24" s="1026"/>
    </row>
    <row r="25" spans="1:29" x14ac:dyDescent="0.25">
      <c r="A25" s="847"/>
      <c r="B25" s="1026"/>
      <c r="C25" s="1026"/>
      <c r="D25" s="1026"/>
      <c r="E25" s="1026"/>
      <c r="F25" s="1026"/>
      <c r="G25" s="1026"/>
      <c r="H25" s="1026"/>
      <c r="I25" s="1026"/>
      <c r="J25" s="1026"/>
      <c r="K25" s="1026"/>
      <c r="L25" s="1026"/>
      <c r="M25" s="1026"/>
      <c r="N25" s="1026"/>
      <c r="O25" s="1026"/>
      <c r="P25" s="1026"/>
      <c r="Q25" s="1026"/>
      <c r="R25" s="1026"/>
      <c r="S25" s="1026"/>
      <c r="T25" s="1026"/>
      <c r="U25" s="1026"/>
      <c r="V25" s="1026"/>
      <c r="W25" s="1026"/>
      <c r="X25" s="1026"/>
      <c r="Y25" s="1026"/>
      <c r="Z25" s="1026"/>
      <c r="AA25" s="1026"/>
      <c r="AB25" s="1026"/>
      <c r="AC25" s="1026"/>
    </row>
    <row r="26" spans="1:29" x14ac:dyDescent="0.25">
      <c r="A26" s="847"/>
      <c r="B26" s="1026"/>
      <c r="C26" s="1026"/>
      <c r="D26" s="1026"/>
      <c r="E26" s="1026"/>
      <c r="F26" s="1026"/>
      <c r="G26" s="1026"/>
      <c r="H26" s="1026"/>
      <c r="I26" s="1026"/>
      <c r="J26" s="1026"/>
      <c r="K26" s="1026"/>
      <c r="L26" s="1026"/>
      <c r="M26" s="1026"/>
      <c r="N26" s="1026"/>
      <c r="O26" s="1026"/>
      <c r="P26" s="1026"/>
      <c r="Q26" s="1026"/>
      <c r="R26" s="1026"/>
      <c r="S26" s="1026"/>
      <c r="T26" s="1026"/>
      <c r="U26" s="1026"/>
      <c r="V26" s="1026"/>
      <c r="W26" s="1026"/>
      <c r="X26" s="1026"/>
      <c r="Y26" s="1026"/>
      <c r="Z26" s="1026"/>
      <c r="AA26" s="1026"/>
      <c r="AB26" s="1026"/>
      <c r="AC26" s="1026"/>
    </row>
    <row r="27" spans="1:29" x14ac:dyDescent="0.25">
      <c r="A27" s="1483" t="s">
        <v>6916</v>
      </c>
      <c r="B27" s="1026"/>
      <c r="C27" s="1026"/>
      <c r="D27" s="1026"/>
      <c r="E27" s="1026"/>
      <c r="F27" s="1026"/>
      <c r="G27" s="1026"/>
      <c r="H27" s="1026"/>
      <c r="I27" s="1026"/>
      <c r="J27" s="1026"/>
      <c r="K27" s="1026"/>
      <c r="L27" s="1026"/>
      <c r="M27" s="1026"/>
      <c r="N27" s="1026"/>
      <c r="O27" s="1026"/>
      <c r="P27" s="1026"/>
      <c r="Q27" s="1026"/>
      <c r="R27" s="1026"/>
      <c r="S27" s="1026"/>
      <c r="T27" s="1026"/>
      <c r="U27" s="1026"/>
      <c r="V27" s="1026"/>
      <c r="W27" s="1026"/>
      <c r="X27" s="1026"/>
      <c r="Y27" s="1026"/>
      <c r="Z27" s="1026"/>
      <c r="AA27" s="1026"/>
      <c r="AB27" s="1026"/>
      <c r="AC27" s="1026"/>
    </row>
    <row r="28" spans="1:29" x14ac:dyDescent="0.25">
      <c r="A28" s="847"/>
      <c r="B28" s="1026"/>
      <c r="C28" s="1026"/>
      <c r="D28" s="1026"/>
      <c r="E28" s="1026"/>
      <c r="F28" s="1026"/>
      <c r="G28" s="1026"/>
      <c r="H28" s="1026"/>
      <c r="I28" s="1026"/>
      <c r="J28" s="1026"/>
      <c r="K28" s="1026"/>
      <c r="L28" s="1026"/>
      <c r="M28" s="1026"/>
      <c r="N28" s="1026"/>
      <c r="O28" s="1026"/>
      <c r="P28" s="1026"/>
      <c r="Q28" s="1026"/>
      <c r="R28" s="1026"/>
      <c r="S28" s="1026"/>
      <c r="T28" s="1026"/>
      <c r="U28" s="1026"/>
      <c r="V28" s="1026"/>
      <c r="W28" s="1026"/>
      <c r="X28" s="1026"/>
      <c r="Y28" s="1026"/>
      <c r="Z28" s="1026"/>
      <c r="AA28" s="1026"/>
      <c r="AB28" s="1026"/>
      <c r="AC28" s="1026"/>
    </row>
    <row r="29" spans="1:29" x14ac:dyDescent="0.25">
      <c r="A29" s="847"/>
      <c r="B29" s="1026"/>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6"/>
      <c r="Z29" s="1026"/>
      <c r="AA29" s="1026"/>
      <c r="AB29" s="1026"/>
      <c r="AC29" s="1026"/>
    </row>
    <row r="30" spans="1:29" x14ac:dyDescent="0.25">
      <c r="A30" s="847"/>
      <c r="B30" s="1026"/>
      <c r="C30" s="1026"/>
      <c r="D30" s="1026"/>
      <c r="E30" s="1026"/>
      <c r="F30" s="1026"/>
      <c r="G30" s="1026"/>
      <c r="H30" s="1026"/>
      <c r="I30" s="1026"/>
      <c r="J30" s="1026"/>
      <c r="K30" s="1026"/>
      <c r="L30" s="1026"/>
      <c r="M30" s="1026"/>
      <c r="N30" s="1026"/>
      <c r="O30" s="1026"/>
      <c r="P30" s="1026"/>
      <c r="Q30" s="1026"/>
      <c r="R30" s="1026"/>
      <c r="S30" s="1026"/>
      <c r="T30" s="1026"/>
      <c r="U30" s="1026"/>
      <c r="V30" s="1026"/>
      <c r="W30" s="1026"/>
      <c r="X30" s="1026"/>
      <c r="Y30" s="1026"/>
      <c r="Z30" s="1026"/>
      <c r="AA30" s="1026"/>
      <c r="AB30" s="1026"/>
      <c r="AC30" s="1026"/>
    </row>
    <row r="31" spans="1:29" x14ac:dyDescent="0.25">
      <c r="A31" s="847"/>
      <c r="B31" s="1026"/>
      <c r="C31" s="1026"/>
      <c r="D31" s="1026"/>
      <c r="E31" s="1026"/>
      <c r="F31" s="1026"/>
      <c r="G31" s="1026"/>
      <c r="H31" s="1026"/>
      <c r="I31" s="1026"/>
      <c r="J31" s="1026"/>
      <c r="K31" s="1026"/>
      <c r="L31" s="1026"/>
      <c r="M31" s="1026"/>
      <c r="N31" s="1026"/>
      <c r="O31" s="1026"/>
      <c r="P31" s="1026"/>
      <c r="Q31" s="1026"/>
      <c r="R31" s="1026"/>
      <c r="S31" s="1026"/>
      <c r="T31" s="1026"/>
      <c r="U31" s="1026"/>
      <c r="V31" s="1026"/>
      <c r="W31" s="1026"/>
      <c r="X31" s="1026"/>
      <c r="Y31" s="1026"/>
      <c r="Z31" s="1026"/>
      <c r="AA31" s="1026"/>
      <c r="AB31" s="1026"/>
      <c r="AC31" s="1026"/>
    </row>
    <row r="32" spans="1:29" x14ac:dyDescent="0.25">
      <c r="A32" s="847"/>
      <c r="B32" s="1026"/>
      <c r="C32" s="1026"/>
      <c r="D32" s="1026"/>
      <c r="E32" s="1026"/>
      <c r="F32" s="1026"/>
      <c r="G32" s="1026"/>
      <c r="H32" s="1026"/>
      <c r="I32" s="1026"/>
      <c r="J32" s="1026"/>
      <c r="K32" s="1026"/>
      <c r="L32" s="1026"/>
      <c r="M32" s="1026"/>
      <c r="N32" s="1026"/>
      <c r="O32" s="1026"/>
      <c r="P32" s="1026"/>
      <c r="Q32" s="1026"/>
      <c r="R32" s="1026"/>
      <c r="S32" s="1026"/>
      <c r="T32" s="1026"/>
      <c r="U32" s="1026"/>
      <c r="V32" s="1026"/>
      <c r="W32" s="1026"/>
      <c r="X32" s="1026"/>
      <c r="Y32" s="1026"/>
      <c r="Z32" s="1026"/>
      <c r="AA32" s="1026"/>
      <c r="AB32" s="1026"/>
      <c r="AC32" s="1026"/>
    </row>
    <row r="33" spans="1:29" x14ac:dyDescent="0.25">
      <c r="A33" s="847"/>
      <c r="B33" s="1026"/>
      <c r="C33" s="1026"/>
      <c r="D33" s="1026"/>
      <c r="E33" s="1026"/>
      <c r="F33" s="1026"/>
      <c r="G33" s="1026"/>
      <c r="H33" s="1026"/>
      <c r="I33" s="1026"/>
      <c r="J33" s="1026"/>
      <c r="K33" s="1026"/>
      <c r="L33" s="1026"/>
      <c r="M33" s="1026"/>
      <c r="N33" s="1026"/>
      <c r="O33" s="1026"/>
      <c r="P33" s="1026"/>
      <c r="Q33" s="1026"/>
      <c r="R33" s="1026"/>
      <c r="S33" s="1026"/>
      <c r="T33" s="1026"/>
      <c r="U33" s="1026"/>
      <c r="V33" s="1026"/>
      <c r="W33" s="1026"/>
      <c r="X33" s="1026"/>
      <c r="Y33" s="1026"/>
      <c r="Z33" s="1026"/>
      <c r="AA33" s="1026"/>
      <c r="AB33" s="1026"/>
      <c r="AC33" s="1026"/>
    </row>
    <row r="34" spans="1:29" x14ac:dyDescent="0.25">
      <c r="A34" s="847"/>
      <c r="B34" s="1026"/>
      <c r="C34" s="1026"/>
      <c r="D34" s="1026"/>
      <c r="E34" s="1026"/>
      <c r="F34" s="1026"/>
      <c r="G34" s="1026"/>
      <c r="H34" s="1026"/>
      <c r="I34" s="1026"/>
      <c r="J34" s="1026"/>
      <c r="K34" s="1026"/>
      <c r="L34" s="1026"/>
      <c r="M34" s="1026"/>
      <c r="N34" s="1026"/>
      <c r="O34" s="1026"/>
      <c r="P34" s="1026"/>
      <c r="Q34" s="1026"/>
      <c r="R34" s="1026"/>
      <c r="S34" s="1026"/>
      <c r="T34" s="1026"/>
      <c r="U34" s="1026"/>
      <c r="V34" s="1026"/>
      <c r="W34" s="1026"/>
      <c r="X34" s="1026"/>
      <c r="Y34" s="1026"/>
      <c r="Z34" s="1026"/>
      <c r="AA34" s="1026"/>
      <c r="AB34" s="1026"/>
      <c r="AC34" s="1026"/>
    </row>
    <row r="35" spans="1:29" x14ac:dyDescent="0.25">
      <c r="A35" s="847"/>
      <c r="B35" s="1026"/>
      <c r="C35" s="1026"/>
      <c r="D35" s="1026"/>
      <c r="E35" s="1026"/>
      <c r="F35" s="1026"/>
      <c r="G35" s="1026"/>
      <c r="H35" s="1026"/>
      <c r="I35" s="1026"/>
      <c r="J35" s="1026"/>
      <c r="K35" s="1026"/>
      <c r="L35" s="1026"/>
      <c r="M35" s="1026"/>
      <c r="N35" s="1026"/>
      <c r="O35" s="1026"/>
      <c r="P35" s="1026"/>
      <c r="Q35" s="1026"/>
      <c r="R35" s="1026"/>
      <c r="S35" s="1026"/>
      <c r="T35" s="1026"/>
      <c r="U35" s="1026"/>
      <c r="V35" s="1026"/>
      <c r="W35" s="1026"/>
      <c r="X35" s="1026"/>
      <c r="Y35" s="1026"/>
      <c r="Z35" s="1026"/>
      <c r="AA35" s="1026"/>
      <c r="AB35" s="1026"/>
      <c r="AC35" s="1026"/>
    </row>
    <row r="36" spans="1:29" x14ac:dyDescent="0.25">
      <c r="A36" s="847"/>
      <c r="B36" s="1026"/>
      <c r="C36" s="1026"/>
      <c r="D36" s="1026"/>
      <c r="E36" s="1026"/>
      <c r="F36" s="1026"/>
      <c r="G36" s="1026"/>
      <c r="H36" s="1026"/>
      <c r="I36" s="1026"/>
      <c r="J36" s="1026"/>
      <c r="K36" s="1026"/>
      <c r="L36" s="1026"/>
      <c r="M36" s="1026"/>
      <c r="N36" s="1026"/>
      <c r="O36" s="1026"/>
      <c r="P36" s="1026"/>
      <c r="Q36" s="1026"/>
      <c r="R36" s="1026"/>
      <c r="S36" s="1026"/>
      <c r="T36" s="1026"/>
      <c r="U36" s="1026"/>
      <c r="V36" s="1026"/>
      <c r="W36" s="1026"/>
      <c r="X36" s="1026"/>
      <c r="Y36" s="1026"/>
      <c r="Z36" s="1026"/>
      <c r="AA36" s="1026"/>
      <c r="AB36" s="1026"/>
      <c r="AC36" s="1026"/>
    </row>
    <row r="37" spans="1:29" x14ac:dyDescent="0.25">
      <c r="A37" s="847"/>
      <c r="B37" s="1026"/>
      <c r="C37" s="1026"/>
      <c r="D37" s="1026"/>
      <c r="E37" s="1026"/>
      <c r="F37" s="1026"/>
      <c r="G37" s="1026"/>
      <c r="H37" s="1026"/>
      <c r="I37" s="1026"/>
      <c r="J37" s="1026"/>
      <c r="K37" s="1026"/>
      <c r="L37" s="1026"/>
      <c r="M37" s="1026"/>
      <c r="N37" s="1026"/>
      <c r="O37" s="1026"/>
      <c r="P37" s="1026"/>
      <c r="Q37" s="1026"/>
      <c r="R37" s="1026"/>
      <c r="S37" s="1026"/>
      <c r="T37" s="1026"/>
      <c r="U37" s="1026"/>
      <c r="V37" s="1026"/>
      <c r="W37" s="1026"/>
      <c r="X37" s="1026"/>
      <c r="Y37" s="1026"/>
      <c r="Z37" s="1026"/>
      <c r="AA37" s="1026"/>
      <c r="AB37" s="1026"/>
      <c r="AC37" s="1026"/>
    </row>
    <row r="38" spans="1:29" x14ac:dyDescent="0.25">
      <c r="A38" s="847"/>
      <c r="B38" s="1026"/>
      <c r="C38" s="1026"/>
      <c r="D38" s="1026"/>
      <c r="E38" s="1026"/>
      <c r="F38" s="1026"/>
      <c r="G38" s="1026"/>
      <c r="H38" s="1026"/>
      <c r="I38" s="1026"/>
      <c r="J38" s="1026"/>
      <c r="K38" s="1026"/>
      <c r="L38" s="1026"/>
      <c r="M38" s="1026"/>
      <c r="N38" s="1026"/>
      <c r="O38" s="1026"/>
      <c r="P38" s="1026"/>
      <c r="Q38" s="1026"/>
      <c r="R38" s="1026"/>
      <c r="S38" s="1026"/>
      <c r="T38" s="1026"/>
      <c r="U38" s="1026"/>
      <c r="V38" s="1026"/>
      <c r="W38" s="1026"/>
      <c r="X38" s="1026"/>
      <c r="Y38" s="1026"/>
      <c r="Z38" s="1026"/>
      <c r="AA38" s="1026"/>
      <c r="AB38" s="1026"/>
      <c r="AC38" s="1026"/>
    </row>
    <row r="39" spans="1:29" x14ac:dyDescent="0.25">
      <c r="A39" s="847"/>
      <c r="B39" s="1026"/>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6"/>
      <c r="Z39" s="1026"/>
      <c r="AA39" s="1026"/>
      <c r="AB39" s="1026"/>
      <c r="AC39" s="1026"/>
    </row>
    <row r="40" spans="1:29" x14ac:dyDescent="0.25">
      <c r="A40" s="847"/>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c r="AB40" s="1026"/>
      <c r="AC40" s="1026"/>
    </row>
    <row r="41" spans="1:29" x14ac:dyDescent="0.25">
      <c r="A41" s="847"/>
      <c r="B41" s="1026"/>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6"/>
      <c r="AA41" s="1026"/>
      <c r="AB41" s="1026"/>
      <c r="AC41" s="1026"/>
    </row>
    <row r="42" spans="1:29" x14ac:dyDescent="0.25">
      <c r="A42" s="847"/>
      <c r="B42" s="1026"/>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6"/>
      <c r="Z42" s="1026"/>
      <c r="AA42" s="1026"/>
      <c r="AB42" s="1026"/>
      <c r="AC42" s="1026"/>
    </row>
    <row r="43" spans="1:29" x14ac:dyDescent="0.25">
      <c r="A43" s="847"/>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row>
    <row r="44" spans="1:29" x14ac:dyDescent="0.25">
      <c r="A44" s="847"/>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row>
    <row r="45" spans="1:29" x14ac:dyDescent="0.25">
      <c r="A45" s="847"/>
      <c r="B45" s="1026"/>
      <c r="C45" s="1026"/>
      <c r="D45" s="1026"/>
      <c r="E45" s="1026"/>
      <c r="F45" s="1026"/>
      <c r="G45" s="1026"/>
      <c r="H45" s="1026"/>
      <c r="I45" s="1026"/>
      <c r="J45" s="1026"/>
      <c r="K45" s="1026"/>
      <c r="L45" s="1026"/>
      <c r="M45" s="1026"/>
      <c r="N45" s="1026"/>
      <c r="O45" s="1026"/>
      <c r="P45" s="1026"/>
      <c r="Q45" s="1026"/>
      <c r="R45" s="1026"/>
      <c r="S45" s="1026"/>
      <c r="T45" s="1026"/>
      <c r="U45" s="1026"/>
      <c r="V45" s="1026"/>
      <c r="W45" s="1026"/>
      <c r="X45" s="1026"/>
      <c r="Y45" s="1026"/>
      <c r="Z45" s="1026"/>
      <c r="AA45" s="1026"/>
      <c r="AB45" s="1026"/>
      <c r="AC45" s="1026"/>
    </row>
    <row r="46" spans="1:29" x14ac:dyDescent="0.25">
      <c r="A46" s="847"/>
      <c r="B46" s="1026"/>
      <c r="C46" s="1026"/>
      <c r="D46" s="1026"/>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1026"/>
      <c r="AA46" s="1026"/>
      <c r="AB46" s="1026"/>
      <c r="AC46" s="1026"/>
    </row>
    <row r="47" spans="1:29" x14ac:dyDescent="0.25">
      <c r="A47" s="847"/>
      <c r="B47" s="1026"/>
      <c r="C47" s="1026"/>
      <c r="D47" s="1026"/>
      <c r="E47" s="1026"/>
      <c r="F47" s="1026"/>
      <c r="G47" s="1026"/>
      <c r="H47" s="1026"/>
      <c r="I47" s="1026"/>
      <c r="J47" s="1026"/>
      <c r="K47" s="1026"/>
      <c r="L47" s="1026"/>
      <c r="M47" s="1026"/>
      <c r="N47" s="1026"/>
      <c r="O47" s="1026"/>
      <c r="P47" s="1026"/>
      <c r="Q47" s="1026"/>
      <c r="R47" s="1026"/>
      <c r="S47" s="1026"/>
      <c r="T47" s="1026"/>
      <c r="U47" s="1026"/>
      <c r="V47" s="1026"/>
      <c r="W47" s="1026"/>
      <c r="X47" s="1026"/>
      <c r="Y47" s="1026"/>
      <c r="Z47" s="1026"/>
      <c r="AA47" s="1026"/>
      <c r="AB47" s="1026"/>
      <c r="AC47" s="1026"/>
    </row>
    <row r="48" spans="1:29" x14ac:dyDescent="0.25">
      <c r="A48" s="847"/>
      <c r="B48" s="1026"/>
      <c r="C48" s="1026"/>
      <c r="D48" s="1026"/>
      <c r="E48" s="1026"/>
      <c r="F48" s="1026"/>
      <c r="G48" s="1026"/>
      <c r="H48" s="1026"/>
      <c r="I48" s="1026"/>
      <c r="J48" s="1026"/>
      <c r="K48" s="1026"/>
      <c r="L48" s="1026"/>
      <c r="M48" s="1026"/>
      <c r="N48" s="1026"/>
      <c r="O48" s="1026"/>
      <c r="P48" s="1026"/>
      <c r="Q48" s="1026"/>
      <c r="R48" s="1026"/>
      <c r="S48" s="1026"/>
      <c r="T48" s="1026"/>
      <c r="U48" s="1026"/>
      <c r="V48" s="1026"/>
      <c r="W48" s="1026"/>
      <c r="X48" s="1026"/>
      <c r="Y48" s="1026"/>
      <c r="Z48" s="1026"/>
      <c r="AA48" s="1026"/>
      <c r="AB48" s="1026"/>
      <c r="AC48" s="1026"/>
    </row>
    <row r="49" spans="1:29" x14ac:dyDescent="0.25">
      <c r="A49" s="847"/>
      <c r="B49" s="1026"/>
      <c r="C49" s="1026"/>
      <c r="D49" s="1026"/>
      <c r="E49" s="1026"/>
      <c r="F49" s="1026"/>
      <c r="G49" s="1026"/>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row>
    <row r="50" spans="1:29" x14ac:dyDescent="0.25">
      <c r="A50" s="847"/>
      <c r="B50" s="1026"/>
      <c r="C50" s="1026"/>
      <c r="D50" s="1026"/>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row>
    <row r="51" spans="1:29" x14ac:dyDescent="0.25">
      <c r="A51" s="847"/>
      <c r="B51" s="1026"/>
      <c r="C51" s="1026"/>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row>
    <row r="52" spans="1:29" x14ac:dyDescent="0.25">
      <c r="A52" s="847"/>
      <c r="B52" s="1026"/>
      <c r="C52" s="1026"/>
      <c r="D52" s="1026"/>
      <c r="E52" s="1026"/>
      <c r="F52" s="1026"/>
      <c r="G52" s="1026"/>
      <c r="H52" s="1026"/>
      <c r="I52" s="1026"/>
      <c r="J52" s="1026"/>
      <c r="K52" s="1026"/>
      <c r="L52" s="1026"/>
      <c r="M52" s="1026"/>
      <c r="N52" s="1026"/>
      <c r="O52" s="1026"/>
      <c r="P52" s="1026"/>
      <c r="Q52" s="1026"/>
      <c r="R52" s="1026"/>
      <c r="S52" s="1026"/>
      <c r="T52" s="1026"/>
      <c r="U52" s="1026"/>
      <c r="V52" s="1026"/>
      <c r="W52" s="1026"/>
      <c r="X52" s="1026"/>
      <c r="Y52" s="1026"/>
      <c r="Z52" s="1026"/>
      <c r="AA52" s="1026"/>
      <c r="AB52" s="1026"/>
      <c r="AC52" s="1026"/>
    </row>
    <row r="53" spans="1:29" x14ac:dyDescent="0.25">
      <c r="A53" s="847"/>
      <c r="B53" s="1026"/>
      <c r="C53" s="1026"/>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1026"/>
      <c r="AA53" s="1026"/>
      <c r="AB53" s="1026"/>
      <c r="AC53" s="1026"/>
    </row>
    <row r="54" spans="1:29" x14ac:dyDescent="0.25">
      <c r="A54" s="847"/>
      <c r="B54" s="1026"/>
      <c r="C54" s="1026"/>
      <c r="D54" s="1026"/>
      <c r="E54" s="1026"/>
      <c r="F54" s="1026"/>
      <c r="G54" s="1026"/>
      <c r="H54" s="1026"/>
      <c r="I54" s="1026"/>
      <c r="J54" s="1026"/>
      <c r="K54" s="1026"/>
      <c r="L54" s="1026"/>
      <c r="M54" s="1026"/>
      <c r="N54" s="1026"/>
      <c r="O54" s="1026"/>
      <c r="P54" s="1026"/>
      <c r="Q54" s="1026"/>
      <c r="R54" s="1026"/>
      <c r="S54" s="1026"/>
      <c r="T54" s="1026"/>
      <c r="U54" s="1026"/>
      <c r="V54" s="1026"/>
      <c r="W54" s="1026"/>
      <c r="X54" s="1026"/>
      <c r="Y54" s="1026"/>
      <c r="Z54" s="1026"/>
      <c r="AA54" s="1026"/>
      <c r="AB54" s="1026"/>
      <c r="AC54" s="1026"/>
    </row>
    <row r="55" spans="1:29" x14ac:dyDescent="0.25">
      <c r="A55" s="847"/>
      <c r="B55" s="1026"/>
      <c r="C55" s="1026"/>
      <c r="D55" s="1026"/>
      <c r="E55" s="1026"/>
      <c r="F55" s="1026"/>
      <c r="G55" s="1026"/>
      <c r="H55" s="1026"/>
      <c r="I55" s="1026"/>
      <c r="J55" s="1026"/>
      <c r="K55" s="1026"/>
      <c r="L55" s="1026"/>
      <c r="M55" s="1026"/>
      <c r="N55" s="1026"/>
      <c r="O55" s="1026"/>
      <c r="P55" s="1026"/>
      <c r="Q55" s="1026"/>
      <c r="R55" s="1026"/>
      <c r="S55" s="1026"/>
      <c r="T55" s="1026"/>
      <c r="U55" s="1026"/>
      <c r="V55" s="1026"/>
      <c r="W55" s="1026"/>
      <c r="X55" s="1026"/>
      <c r="Y55" s="1026"/>
      <c r="Z55" s="1026"/>
      <c r="AA55" s="1026"/>
      <c r="AB55" s="1026"/>
      <c r="AC55" s="1026"/>
    </row>
    <row r="56" spans="1:29" x14ac:dyDescent="0.25">
      <c r="A56" s="847"/>
      <c r="B56" s="1026"/>
      <c r="C56" s="1026"/>
      <c r="D56" s="1026"/>
      <c r="E56" s="1026"/>
      <c r="F56" s="1026"/>
      <c r="G56" s="1026"/>
      <c r="H56" s="1026"/>
      <c r="I56" s="1026"/>
      <c r="J56" s="1026"/>
      <c r="K56" s="1026"/>
      <c r="L56" s="1026"/>
      <c r="M56" s="1026"/>
      <c r="N56" s="1026"/>
      <c r="O56" s="1026"/>
      <c r="P56" s="1026"/>
      <c r="Q56" s="1026"/>
      <c r="R56" s="1026"/>
      <c r="S56" s="1026"/>
      <c r="T56" s="1026"/>
      <c r="U56" s="1026"/>
      <c r="V56" s="1026"/>
      <c r="W56" s="1026"/>
      <c r="X56" s="1026"/>
      <c r="Y56" s="1026"/>
      <c r="Z56" s="1026"/>
      <c r="AA56" s="1026"/>
      <c r="AB56" s="1026"/>
      <c r="AC56" s="1026"/>
    </row>
    <row r="57" spans="1:29" x14ac:dyDescent="0.25">
      <c r="A57" s="847"/>
      <c r="B57" s="1026"/>
      <c r="C57" s="1026"/>
      <c r="D57" s="1026"/>
      <c r="E57" s="1026"/>
      <c r="F57" s="1026"/>
      <c r="G57" s="1026"/>
      <c r="H57" s="1026"/>
      <c r="I57" s="1026"/>
      <c r="J57" s="1026"/>
      <c r="K57" s="1026"/>
      <c r="L57" s="1026"/>
      <c r="M57" s="1026"/>
      <c r="N57" s="1026"/>
      <c r="O57" s="1026"/>
      <c r="P57" s="1026"/>
      <c r="Q57" s="1026"/>
      <c r="R57" s="1026"/>
      <c r="S57" s="1026"/>
      <c r="T57" s="1026"/>
      <c r="U57" s="1026"/>
      <c r="V57" s="1026"/>
      <c r="W57" s="1026"/>
      <c r="X57" s="1026"/>
      <c r="Y57" s="1026"/>
      <c r="Z57" s="1026"/>
      <c r="AA57" s="1026"/>
      <c r="AB57" s="1026"/>
      <c r="AC57" s="1026"/>
    </row>
    <row r="58" spans="1:29" x14ac:dyDescent="0.25">
      <c r="A58" s="847"/>
      <c r="B58" s="1026"/>
      <c r="C58" s="1026"/>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6"/>
      <c r="Z58" s="1026"/>
      <c r="AA58" s="1026"/>
      <c r="AB58" s="1026"/>
      <c r="AC58" s="1026"/>
    </row>
    <row r="59" spans="1:29" x14ac:dyDescent="0.25">
      <c r="A59" s="847"/>
      <c r="B59" s="1026"/>
      <c r="C59" s="1026"/>
      <c r="D59" s="1026"/>
      <c r="E59" s="1026"/>
      <c r="F59" s="1026"/>
      <c r="G59" s="1026"/>
      <c r="H59" s="1026"/>
      <c r="I59" s="1026"/>
      <c r="J59" s="1026"/>
      <c r="K59" s="1026"/>
      <c r="L59" s="1026"/>
      <c r="M59" s="1026"/>
      <c r="N59" s="1026"/>
      <c r="O59" s="1026"/>
      <c r="P59" s="1026"/>
      <c r="Q59" s="1026"/>
      <c r="R59" s="1026"/>
      <c r="S59" s="1026"/>
      <c r="T59" s="1026"/>
      <c r="U59" s="1026"/>
      <c r="V59" s="1026"/>
      <c r="W59" s="1026"/>
      <c r="X59" s="1026"/>
      <c r="Y59" s="1026"/>
      <c r="Z59" s="1026"/>
      <c r="AA59" s="1026"/>
      <c r="AB59" s="1026"/>
      <c r="AC59" s="1026"/>
    </row>
    <row r="60" spans="1:29" x14ac:dyDescent="0.25">
      <c r="A60" s="847"/>
      <c r="B60" s="1026"/>
      <c r="C60" s="1026"/>
      <c r="D60" s="1026"/>
      <c r="E60" s="1026"/>
      <c r="F60" s="1026"/>
      <c r="G60" s="1026"/>
      <c r="H60" s="1026"/>
      <c r="I60" s="1026"/>
      <c r="J60" s="1026"/>
      <c r="K60" s="1026"/>
      <c r="L60" s="1026"/>
      <c r="M60" s="1026"/>
      <c r="N60" s="1026"/>
      <c r="O60" s="1026"/>
      <c r="P60" s="1026"/>
      <c r="Q60" s="1026"/>
      <c r="R60" s="1026"/>
      <c r="S60" s="1026"/>
      <c r="T60" s="1026"/>
      <c r="U60" s="1026"/>
      <c r="V60" s="1026"/>
      <c r="W60" s="1026"/>
      <c r="X60" s="1026"/>
      <c r="Y60" s="1026"/>
      <c r="Z60" s="1026"/>
      <c r="AA60" s="1026"/>
      <c r="AB60" s="1026"/>
      <c r="AC60" s="1026"/>
    </row>
    <row r="61" spans="1:29" x14ac:dyDescent="0.25">
      <c r="A61" s="847"/>
      <c r="B61" s="1026"/>
      <c r="C61" s="1026"/>
      <c r="D61" s="1026"/>
      <c r="E61" s="1026"/>
      <c r="F61" s="1026"/>
      <c r="G61" s="1026"/>
      <c r="H61" s="1026"/>
      <c r="I61" s="1026"/>
      <c r="J61" s="1026"/>
      <c r="K61" s="1026"/>
      <c r="L61" s="1026"/>
      <c r="M61" s="1026"/>
      <c r="N61" s="1026"/>
      <c r="O61" s="1026"/>
      <c r="P61" s="1026"/>
      <c r="Q61" s="1026"/>
      <c r="R61" s="1026"/>
      <c r="S61" s="1026"/>
      <c r="T61" s="1026"/>
      <c r="U61" s="1026"/>
      <c r="V61" s="1026"/>
      <c r="W61" s="1026"/>
      <c r="X61" s="1026"/>
      <c r="Y61" s="1026"/>
      <c r="Z61" s="1026"/>
      <c r="AA61" s="1026"/>
      <c r="AB61" s="1026"/>
      <c r="AC61" s="1026"/>
    </row>
    <row r="62" spans="1:29" x14ac:dyDescent="0.25">
      <c r="A62" s="847"/>
      <c r="B62" s="1026"/>
      <c r="C62" s="1026"/>
      <c r="D62" s="1026"/>
      <c r="E62" s="1026"/>
      <c r="F62" s="1026"/>
      <c r="G62" s="1026"/>
      <c r="H62" s="1026"/>
      <c r="I62" s="1026"/>
      <c r="J62" s="1026"/>
      <c r="K62" s="1026"/>
      <c r="L62" s="1026"/>
      <c r="M62" s="1026"/>
      <c r="N62" s="1026"/>
      <c r="O62" s="1026"/>
      <c r="P62" s="1026"/>
      <c r="Q62" s="1026"/>
      <c r="R62" s="1026"/>
      <c r="S62" s="1026"/>
      <c r="T62" s="1026"/>
      <c r="U62" s="1026"/>
      <c r="V62" s="1026"/>
      <c r="W62" s="1026"/>
      <c r="X62" s="1026"/>
      <c r="Y62" s="1026"/>
      <c r="Z62" s="1026"/>
      <c r="AA62" s="1026"/>
      <c r="AB62" s="1026"/>
      <c r="AC62" s="1026"/>
    </row>
    <row r="63" spans="1:29" x14ac:dyDescent="0.25">
      <c r="A63" s="847"/>
      <c r="B63" s="1026"/>
      <c r="C63" s="1026"/>
      <c r="D63" s="1026"/>
      <c r="E63" s="1026"/>
      <c r="F63" s="1026"/>
      <c r="G63" s="1026"/>
      <c r="H63" s="1026"/>
      <c r="I63" s="1026"/>
      <c r="J63" s="1026"/>
      <c r="K63" s="1026"/>
      <c r="L63" s="1026"/>
      <c r="M63" s="1026"/>
      <c r="N63" s="1026"/>
      <c r="O63" s="1026"/>
      <c r="P63" s="1026"/>
      <c r="Q63" s="1026"/>
      <c r="R63" s="1026"/>
      <c r="S63" s="1026"/>
      <c r="T63" s="1026"/>
      <c r="U63" s="1026"/>
      <c r="V63" s="1026"/>
      <c r="W63" s="1026"/>
      <c r="X63" s="1026"/>
      <c r="Y63" s="1026"/>
      <c r="Z63" s="1026"/>
      <c r="AA63" s="1026"/>
      <c r="AB63" s="1026"/>
      <c r="AC63" s="1026"/>
    </row>
    <row r="64" spans="1:29" x14ac:dyDescent="0.25">
      <c r="A64" s="847"/>
      <c r="B64" s="1026"/>
      <c r="C64" s="1026"/>
      <c r="D64" s="1026"/>
      <c r="E64" s="1026"/>
      <c r="F64" s="1026"/>
      <c r="G64" s="1026"/>
      <c r="H64" s="1026"/>
      <c r="I64" s="1026"/>
      <c r="J64" s="1026"/>
      <c r="K64" s="1026"/>
      <c r="L64" s="1026"/>
      <c r="M64" s="1026"/>
      <c r="N64" s="1026"/>
      <c r="O64" s="1026"/>
      <c r="P64" s="1026"/>
      <c r="Q64" s="1026"/>
      <c r="R64" s="1026"/>
      <c r="S64" s="1026"/>
      <c r="T64" s="1026"/>
      <c r="U64" s="1026"/>
      <c r="V64" s="1026"/>
      <c r="W64" s="1026"/>
      <c r="X64" s="1026"/>
      <c r="Y64" s="1026"/>
      <c r="Z64" s="1026"/>
      <c r="AA64" s="1026"/>
      <c r="AB64" s="1026"/>
      <c r="AC64" s="1026"/>
    </row>
    <row r="65" spans="1:29" x14ac:dyDescent="0.25">
      <c r="A65" s="847"/>
      <c r="B65" s="1026"/>
      <c r="C65" s="1026"/>
      <c r="D65" s="1026"/>
      <c r="E65" s="1026"/>
      <c r="F65" s="1026"/>
      <c r="G65" s="1026"/>
      <c r="H65" s="1026"/>
      <c r="I65" s="1026"/>
      <c r="J65" s="1026"/>
      <c r="K65" s="1026"/>
      <c r="L65" s="1026"/>
      <c r="M65" s="1026"/>
      <c r="N65" s="1026"/>
      <c r="O65" s="1026"/>
      <c r="P65" s="1026"/>
      <c r="Q65" s="1026"/>
      <c r="R65" s="1026"/>
      <c r="S65" s="1026"/>
      <c r="T65" s="1026"/>
      <c r="U65" s="1026"/>
      <c r="V65" s="1026"/>
      <c r="W65" s="1026"/>
      <c r="X65" s="1026"/>
      <c r="Y65" s="1026"/>
      <c r="Z65" s="1026"/>
      <c r="AA65" s="1026"/>
      <c r="AB65" s="1026"/>
      <c r="AC65" s="1026"/>
    </row>
    <row r="66" spans="1:29" x14ac:dyDescent="0.25">
      <c r="A66" s="847"/>
      <c r="B66" s="1026"/>
      <c r="C66" s="1026"/>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1026"/>
      <c r="Z66" s="1026"/>
      <c r="AA66" s="1026"/>
      <c r="AB66" s="1026"/>
      <c r="AC66" s="1026"/>
    </row>
    <row r="67" spans="1:29" x14ac:dyDescent="0.25">
      <c r="A67" s="847"/>
      <c r="B67" s="1026"/>
      <c r="C67" s="1026"/>
      <c r="D67" s="1026"/>
      <c r="E67" s="1026"/>
      <c r="F67" s="1026"/>
      <c r="G67" s="1026"/>
      <c r="H67" s="1026"/>
      <c r="I67" s="1026"/>
      <c r="J67" s="1026"/>
      <c r="K67" s="1026"/>
      <c r="L67" s="1026"/>
      <c r="M67" s="1026"/>
      <c r="N67" s="1026"/>
      <c r="O67" s="1026"/>
      <c r="P67" s="1026"/>
      <c r="Q67" s="1026"/>
      <c r="R67" s="1026"/>
      <c r="S67" s="1026"/>
      <c r="T67" s="1026"/>
      <c r="U67" s="1026"/>
      <c r="V67" s="1026"/>
      <c r="W67" s="1026"/>
      <c r="X67" s="1026"/>
      <c r="Y67" s="1026"/>
      <c r="Z67" s="1026"/>
      <c r="AA67" s="1026"/>
      <c r="AB67" s="1026"/>
      <c r="AC67" s="1026"/>
    </row>
    <row r="68" spans="1:29" x14ac:dyDescent="0.25">
      <c r="A68" s="847"/>
      <c r="B68" s="1026"/>
      <c r="C68" s="1026"/>
      <c r="D68" s="1026"/>
      <c r="E68" s="1026"/>
      <c r="F68" s="1026"/>
      <c r="G68" s="1026"/>
      <c r="H68" s="1026"/>
      <c r="I68" s="1026"/>
      <c r="J68" s="1026"/>
      <c r="K68" s="1026"/>
      <c r="L68" s="1026"/>
      <c r="M68" s="1026"/>
      <c r="N68" s="1026"/>
      <c r="O68" s="1026"/>
      <c r="P68" s="1026"/>
      <c r="Q68" s="1026"/>
      <c r="R68" s="1026"/>
      <c r="S68" s="1026"/>
      <c r="T68" s="1026"/>
      <c r="U68" s="1026"/>
      <c r="V68" s="1026"/>
      <c r="W68" s="1026"/>
      <c r="X68" s="1026"/>
      <c r="Y68" s="1026"/>
      <c r="Z68" s="1026"/>
      <c r="AA68" s="1026"/>
      <c r="AB68" s="1026"/>
      <c r="AC68" s="1026"/>
    </row>
    <row r="69" spans="1:29" x14ac:dyDescent="0.25">
      <c r="A69" s="847"/>
      <c r="B69" s="1026"/>
      <c r="C69" s="1026"/>
      <c r="D69" s="1026"/>
      <c r="E69" s="1026"/>
      <c r="F69" s="1026"/>
      <c r="G69" s="1026"/>
      <c r="H69" s="1026"/>
      <c r="I69" s="1026"/>
      <c r="J69" s="1026"/>
      <c r="K69" s="1026"/>
      <c r="L69" s="1026"/>
      <c r="M69" s="1026"/>
      <c r="N69" s="1026"/>
      <c r="O69" s="1026"/>
      <c r="P69" s="1026"/>
      <c r="Q69" s="1026"/>
      <c r="R69" s="1026"/>
      <c r="S69" s="1026"/>
      <c r="T69" s="1026"/>
      <c r="U69" s="1026"/>
      <c r="V69" s="1026"/>
      <c r="W69" s="1026"/>
      <c r="X69" s="1026"/>
      <c r="Y69" s="1026"/>
      <c r="Z69" s="1026"/>
      <c r="AA69" s="1026"/>
      <c r="AB69" s="1026"/>
      <c r="AC69" s="1026"/>
    </row>
    <row r="70" spans="1:29" x14ac:dyDescent="0.25">
      <c r="A70" s="847"/>
      <c r="B70" s="1026"/>
      <c r="C70" s="1026"/>
      <c r="D70" s="1026"/>
      <c r="E70" s="1026"/>
      <c r="F70" s="1026"/>
      <c r="G70" s="1026"/>
      <c r="H70" s="1026"/>
      <c r="I70" s="1026"/>
      <c r="J70" s="1026"/>
      <c r="K70" s="1026"/>
      <c r="L70" s="1026"/>
      <c r="M70" s="1026"/>
      <c r="N70" s="1026"/>
      <c r="O70" s="1026"/>
      <c r="P70" s="1026"/>
      <c r="Q70" s="1026"/>
      <c r="R70" s="1026"/>
      <c r="S70" s="1026"/>
      <c r="T70" s="1026"/>
      <c r="U70" s="1026"/>
      <c r="V70" s="1026"/>
      <c r="W70" s="1026"/>
      <c r="X70" s="1026"/>
      <c r="Y70" s="1026"/>
      <c r="Z70" s="1026"/>
      <c r="AA70" s="1026"/>
      <c r="AB70" s="1026"/>
      <c r="AC70" s="1026"/>
    </row>
    <row r="71" spans="1:29" x14ac:dyDescent="0.25">
      <c r="A71" s="847"/>
      <c r="B71" s="1026"/>
      <c r="C71" s="1026"/>
      <c r="D71" s="1026"/>
      <c r="E71" s="1026"/>
      <c r="F71" s="1026"/>
      <c r="G71" s="1026"/>
      <c r="H71" s="1026"/>
      <c r="I71" s="1026"/>
      <c r="J71" s="1026"/>
      <c r="K71" s="1026"/>
      <c r="L71" s="1026"/>
      <c r="M71" s="1026"/>
      <c r="N71" s="1026"/>
      <c r="O71" s="1026"/>
      <c r="P71" s="1026"/>
      <c r="Q71" s="1026"/>
      <c r="R71" s="1026"/>
      <c r="S71" s="1026"/>
      <c r="T71" s="1026"/>
      <c r="U71" s="1026"/>
      <c r="V71" s="1026"/>
      <c r="W71" s="1026"/>
      <c r="X71" s="1026"/>
      <c r="Y71" s="1026"/>
      <c r="Z71" s="1026"/>
      <c r="AA71" s="1026"/>
      <c r="AB71" s="1026"/>
      <c r="AC71" s="1026"/>
    </row>
    <row r="72" spans="1:29" x14ac:dyDescent="0.25">
      <c r="A72" s="847"/>
      <c r="B72" s="1026"/>
      <c r="C72" s="1026"/>
      <c r="D72" s="1026"/>
      <c r="E72" s="1026"/>
      <c r="F72" s="1026"/>
      <c r="G72" s="1026"/>
      <c r="H72" s="1026"/>
      <c r="I72" s="1026"/>
      <c r="J72" s="1026"/>
      <c r="K72" s="1026"/>
      <c r="L72" s="1026"/>
      <c r="M72" s="1026"/>
      <c r="N72" s="1026"/>
      <c r="O72" s="1026"/>
      <c r="P72" s="1026"/>
      <c r="Q72" s="1026"/>
      <c r="R72" s="1026"/>
      <c r="S72" s="1026"/>
      <c r="T72" s="1026"/>
      <c r="U72" s="1026"/>
      <c r="V72" s="1026"/>
      <c r="W72" s="1026"/>
      <c r="X72" s="1026"/>
      <c r="Y72" s="1026"/>
      <c r="Z72" s="1026"/>
      <c r="AA72" s="1026"/>
      <c r="AB72" s="1026"/>
      <c r="AC72" s="1026"/>
    </row>
    <row r="73" spans="1:29" x14ac:dyDescent="0.25">
      <c r="A73" s="847"/>
      <c r="B73" s="1026"/>
      <c r="C73" s="1026"/>
      <c r="D73" s="1026"/>
      <c r="E73" s="1026"/>
      <c r="F73" s="1026"/>
      <c r="G73" s="1026"/>
      <c r="H73" s="1026"/>
      <c r="I73" s="1026"/>
      <c r="J73" s="1026"/>
      <c r="K73" s="1026"/>
      <c r="L73" s="1026"/>
      <c r="M73" s="1026"/>
      <c r="N73" s="1026"/>
      <c r="O73" s="1026"/>
      <c r="P73" s="1026"/>
      <c r="Q73" s="1026"/>
      <c r="R73" s="1026"/>
      <c r="S73" s="1026"/>
      <c r="T73" s="1026"/>
      <c r="U73" s="1026"/>
      <c r="V73" s="1026"/>
      <c r="W73" s="1026"/>
      <c r="X73" s="1026"/>
      <c r="Y73" s="1026"/>
      <c r="Z73" s="1026"/>
      <c r="AA73" s="1026"/>
      <c r="AB73" s="1026"/>
      <c r="AC73" s="1026"/>
    </row>
    <row r="74" spans="1:29" x14ac:dyDescent="0.25">
      <c r="A74" s="847"/>
      <c r="B74" s="1026"/>
      <c r="C74" s="1026"/>
      <c r="D74" s="1026"/>
      <c r="E74" s="1026"/>
      <c r="F74" s="1026"/>
      <c r="G74" s="1026"/>
      <c r="H74" s="1026"/>
      <c r="I74" s="1026"/>
      <c r="J74" s="1026"/>
      <c r="K74" s="1026"/>
      <c r="L74" s="1026"/>
      <c r="M74" s="1026"/>
      <c r="N74" s="1026"/>
      <c r="O74" s="1026"/>
      <c r="P74" s="1026"/>
      <c r="Q74" s="1026"/>
      <c r="R74" s="1026"/>
      <c r="S74" s="1026"/>
      <c r="T74" s="1026"/>
      <c r="U74" s="1026"/>
      <c r="V74" s="1026"/>
      <c r="W74" s="1026"/>
      <c r="X74" s="1026"/>
      <c r="Y74" s="1026"/>
      <c r="Z74" s="1026"/>
      <c r="AA74" s="1026"/>
      <c r="AB74" s="1026"/>
      <c r="AC74" s="1026"/>
    </row>
    <row r="75" spans="1:29" x14ac:dyDescent="0.25">
      <c r="A75" s="847"/>
      <c r="B75" s="1026"/>
      <c r="C75" s="1026"/>
      <c r="D75" s="1026"/>
      <c r="E75" s="1026"/>
      <c r="F75" s="1026"/>
      <c r="G75" s="1026"/>
      <c r="H75" s="1026"/>
      <c r="I75" s="1026"/>
      <c r="J75" s="1026"/>
      <c r="K75" s="1026"/>
      <c r="L75" s="1026"/>
      <c r="M75" s="1026"/>
      <c r="N75" s="1026"/>
      <c r="O75" s="1026"/>
      <c r="P75" s="1026"/>
      <c r="Q75" s="1026"/>
      <c r="R75" s="1026"/>
      <c r="S75" s="1026"/>
      <c r="T75" s="1026"/>
      <c r="U75" s="1026"/>
      <c r="V75" s="1026"/>
      <c r="W75" s="1026"/>
      <c r="X75" s="1026"/>
      <c r="Y75" s="1026"/>
      <c r="Z75" s="1026"/>
      <c r="AA75" s="1026"/>
      <c r="AB75" s="1026"/>
      <c r="AC75" s="1026"/>
    </row>
    <row r="76" spans="1:29" x14ac:dyDescent="0.25">
      <c r="A76" s="847"/>
      <c r="B76" s="1026"/>
      <c r="C76" s="1026"/>
      <c r="D76" s="1026"/>
      <c r="E76" s="1026"/>
      <c r="F76" s="1026"/>
      <c r="G76" s="1026"/>
      <c r="H76" s="1026"/>
      <c r="I76" s="1026"/>
      <c r="J76" s="1026"/>
      <c r="K76" s="1026"/>
      <c r="L76" s="1026"/>
      <c r="M76" s="1026"/>
      <c r="N76" s="1026"/>
      <c r="O76" s="1026"/>
      <c r="P76" s="1026"/>
      <c r="Q76" s="1026"/>
      <c r="R76" s="1026"/>
      <c r="S76" s="1026"/>
      <c r="T76" s="1026"/>
      <c r="U76" s="1026"/>
      <c r="V76" s="1026"/>
      <c r="W76" s="1026"/>
      <c r="X76" s="1026"/>
      <c r="Y76" s="1026"/>
      <c r="Z76" s="1026"/>
      <c r="AA76" s="1026"/>
      <c r="AB76" s="1026"/>
      <c r="AC76" s="1026"/>
    </row>
    <row r="77" spans="1:29" x14ac:dyDescent="0.25">
      <c r="A77" s="847"/>
      <c r="B77" s="1026"/>
      <c r="C77" s="1026"/>
      <c r="D77" s="1026"/>
      <c r="E77" s="1026"/>
      <c r="F77" s="1026"/>
      <c r="G77" s="1026"/>
      <c r="H77" s="1026"/>
      <c r="I77" s="1026"/>
      <c r="J77" s="1026"/>
      <c r="K77" s="1026"/>
      <c r="L77" s="1026"/>
      <c r="M77" s="1026"/>
      <c r="N77" s="1026"/>
      <c r="O77" s="1026"/>
      <c r="P77" s="1026"/>
      <c r="Q77" s="1026"/>
      <c r="R77" s="1026"/>
      <c r="S77" s="1026"/>
      <c r="T77" s="1026"/>
      <c r="U77" s="1026"/>
      <c r="V77" s="1026"/>
      <c r="W77" s="1026"/>
      <c r="X77" s="1026"/>
      <c r="Y77" s="1026"/>
      <c r="Z77" s="1026"/>
      <c r="AA77" s="1026"/>
      <c r="AB77" s="1026"/>
      <c r="AC77" s="1026"/>
    </row>
    <row r="78" spans="1:29" x14ac:dyDescent="0.25">
      <c r="A78" s="847"/>
      <c r="B78" s="1026"/>
      <c r="C78" s="1026"/>
      <c r="D78" s="1026"/>
      <c r="E78" s="1026"/>
      <c r="F78" s="1026"/>
      <c r="G78" s="1026"/>
      <c r="H78" s="1026"/>
      <c r="I78" s="1026"/>
      <c r="J78" s="1026"/>
      <c r="K78" s="1026"/>
      <c r="L78" s="1026"/>
      <c r="M78" s="1026"/>
      <c r="N78" s="1026"/>
      <c r="O78" s="1026"/>
      <c r="P78" s="1026"/>
      <c r="Q78" s="1026"/>
      <c r="R78" s="1026"/>
      <c r="S78" s="1026"/>
      <c r="T78" s="1026"/>
      <c r="U78" s="1026"/>
      <c r="V78" s="1026"/>
      <c r="W78" s="1026"/>
      <c r="X78" s="1026"/>
      <c r="Y78" s="1026"/>
      <c r="Z78" s="1026"/>
      <c r="AA78" s="1026"/>
      <c r="AB78" s="1026"/>
      <c r="AC78" s="1026"/>
    </row>
    <row r="79" spans="1:29" x14ac:dyDescent="0.25">
      <c r="A79" s="847"/>
      <c r="B79" s="1026"/>
      <c r="C79" s="1026"/>
      <c r="D79" s="1026"/>
      <c r="E79" s="1026"/>
      <c r="F79" s="1026"/>
      <c r="G79" s="1026"/>
      <c r="H79" s="1026"/>
      <c r="I79" s="1026"/>
      <c r="J79" s="1026"/>
      <c r="K79" s="1026"/>
      <c r="L79" s="1026"/>
      <c r="M79" s="1026"/>
      <c r="N79" s="1026"/>
      <c r="O79" s="1026"/>
      <c r="P79" s="1026"/>
      <c r="Q79" s="1026"/>
      <c r="R79" s="1026"/>
      <c r="S79" s="1026"/>
      <c r="T79" s="1026"/>
      <c r="U79" s="1026"/>
      <c r="V79" s="1026"/>
      <c r="W79" s="1026"/>
      <c r="X79" s="1026"/>
      <c r="Y79" s="1026"/>
      <c r="Z79" s="1026"/>
      <c r="AA79" s="1026"/>
      <c r="AB79" s="1026"/>
      <c r="AC79" s="1026"/>
    </row>
    <row r="80" spans="1:29" x14ac:dyDescent="0.25">
      <c r="A80" s="847"/>
      <c r="B80" s="1026"/>
      <c r="C80" s="1026"/>
      <c r="D80" s="1026"/>
      <c r="E80" s="1026"/>
      <c r="F80" s="1026"/>
      <c r="G80" s="1026"/>
      <c r="H80" s="1026"/>
      <c r="I80" s="1026"/>
      <c r="J80" s="1026"/>
      <c r="K80" s="1026"/>
      <c r="L80" s="1026"/>
      <c r="M80" s="1026"/>
      <c r="N80" s="1026"/>
      <c r="O80" s="1026"/>
      <c r="P80" s="1026"/>
      <c r="Q80" s="1026"/>
      <c r="R80" s="1026"/>
      <c r="S80" s="1026"/>
      <c r="T80" s="1026"/>
      <c r="U80" s="1026"/>
      <c r="V80" s="1026"/>
      <c r="W80" s="1026"/>
      <c r="X80" s="1026"/>
      <c r="Y80" s="1026"/>
      <c r="Z80" s="1026"/>
      <c r="AA80" s="1026"/>
      <c r="AB80" s="1026"/>
      <c r="AC80" s="1026"/>
    </row>
    <row r="81" spans="1:29" x14ac:dyDescent="0.25">
      <c r="A81" s="847"/>
      <c r="B81" s="1026"/>
      <c r="C81" s="1026"/>
      <c r="D81" s="1026"/>
      <c r="E81" s="1026"/>
      <c r="F81" s="1026"/>
      <c r="G81" s="1026"/>
      <c r="H81" s="1026"/>
      <c r="I81" s="1026"/>
      <c r="J81" s="1026"/>
      <c r="K81" s="1026"/>
      <c r="L81" s="1026"/>
      <c r="M81" s="1026"/>
      <c r="N81" s="1026"/>
      <c r="O81" s="1026"/>
      <c r="P81" s="1026"/>
      <c r="Q81" s="1026"/>
      <c r="R81" s="1026"/>
      <c r="S81" s="1026"/>
      <c r="T81" s="1026"/>
      <c r="U81" s="1026"/>
      <c r="V81" s="1026"/>
      <c r="W81" s="1026"/>
      <c r="X81" s="1026"/>
      <c r="Y81" s="1026"/>
      <c r="Z81" s="1026"/>
      <c r="AA81" s="1026"/>
      <c r="AB81" s="1026"/>
      <c r="AC81" s="1026"/>
    </row>
    <row r="82" spans="1:29" x14ac:dyDescent="0.25">
      <c r="A82" s="847"/>
      <c r="B82" s="1026"/>
      <c r="C82" s="1026"/>
      <c r="D82" s="1026"/>
      <c r="E82" s="1026"/>
      <c r="F82" s="1026"/>
      <c r="G82" s="1026"/>
      <c r="H82" s="1026"/>
      <c r="I82" s="1026"/>
      <c r="J82" s="1026"/>
      <c r="K82" s="1026"/>
      <c r="L82" s="1026"/>
      <c r="M82" s="1026"/>
      <c r="N82" s="1026"/>
      <c r="O82" s="1026"/>
      <c r="P82" s="1026"/>
      <c r="Q82" s="1026"/>
      <c r="R82" s="1026"/>
      <c r="S82" s="1026"/>
      <c r="T82" s="1026"/>
      <c r="U82" s="1026"/>
      <c r="V82" s="1026"/>
      <c r="W82" s="1026"/>
      <c r="X82" s="1026"/>
      <c r="Y82" s="1026"/>
      <c r="Z82" s="1026"/>
      <c r="AA82" s="1026"/>
      <c r="AB82" s="1026"/>
      <c r="AC82" s="1026"/>
    </row>
    <row r="83" spans="1:29" x14ac:dyDescent="0.25">
      <c r="A83" s="847"/>
      <c r="B83" s="1026"/>
      <c r="C83" s="1026"/>
      <c r="D83" s="1026"/>
      <c r="E83" s="1026"/>
      <c r="F83" s="1026"/>
      <c r="G83" s="1026"/>
      <c r="H83" s="1026"/>
      <c r="I83" s="1026"/>
      <c r="J83" s="1026"/>
      <c r="K83" s="1026"/>
      <c r="L83" s="1026"/>
      <c r="M83" s="1026"/>
      <c r="N83" s="1026"/>
      <c r="O83" s="1026"/>
      <c r="P83" s="1026"/>
      <c r="Q83" s="1026"/>
      <c r="R83" s="1026"/>
      <c r="S83" s="1026"/>
      <c r="T83" s="1026"/>
      <c r="U83" s="1026"/>
      <c r="V83" s="1026"/>
      <c r="W83" s="1026"/>
      <c r="X83" s="1026"/>
      <c r="Y83" s="1026"/>
      <c r="Z83" s="1026"/>
      <c r="AA83" s="1026"/>
      <c r="AB83" s="1026"/>
      <c r="AC83" s="1026"/>
    </row>
    <row r="84" spans="1:29" x14ac:dyDescent="0.25">
      <c r="A84" s="847"/>
      <c r="B84" s="1026"/>
      <c r="C84" s="1026"/>
      <c r="D84" s="1026"/>
      <c r="E84" s="1026"/>
      <c r="F84" s="1026"/>
      <c r="G84" s="1026"/>
      <c r="H84" s="1026"/>
      <c r="I84" s="1026"/>
      <c r="J84" s="1026"/>
      <c r="K84" s="1026"/>
      <c r="L84" s="1026"/>
      <c r="M84" s="1026"/>
      <c r="N84" s="1026"/>
      <c r="O84" s="1026"/>
      <c r="P84" s="1026"/>
      <c r="Q84" s="1026"/>
      <c r="R84" s="1026"/>
      <c r="S84" s="1026"/>
      <c r="T84" s="1026"/>
      <c r="U84" s="1026"/>
      <c r="V84" s="1026"/>
      <c r="W84" s="1026"/>
      <c r="X84" s="1026"/>
      <c r="Y84" s="1026"/>
      <c r="Z84" s="1026"/>
      <c r="AA84" s="1026"/>
      <c r="AB84" s="1026"/>
      <c r="AC84" s="1026"/>
    </row>
    <row r="85" spans="1:29" x14ac:dyDescent="0.25">
      <c r="A85" s="847"/>
      <c r="B85" s="1026"/>
      <c r="C85" s="1026"/>
      <c r="D85" s="1026"/>
      <c r="E85" s="1026"/>
      <c r="F85" s="1026"/>
      <c r="G85" s="1026"/>
      <c r="H85" s="1026"/>
      <c r="I85" s="1026"/>
      <c r="J85" s="1026"/>
      <c r="K85" s="1026"/>
      <c r="L85" s="1026"/>
      <c r="M85" s="1026"/>
      <c r="N85" s="1026"/>
      <c r="O85" s="1026"/>
      <c r="P85" s="1026"/>
      <c r="Q85" s="1026"/>
      <c r="R85" s="1026"/>
      <c r="S85" s="1026"/>
      <c r="T85" s="1026"/>
      <c r="U85" s="1026"/>
      <c r="V85" s="1026"/>
      <c r="W85" s="1026"/>
      <c r="X85" s="1026"/>
      <c r="Y85" s="1026"/>
      <c r="Z85" s="1026"/>
      <c r="AA85" s="1026"/>
      <c r="AB85" s="1026"/>
      <c r="AC85" s="1026"/>
    </row>
    <row r="86" spans="1:29" x14ac:dyDescent="0.25">
      <c r="A86" s="847"/>
      <c r="B86" s="1026"/>
      <c r="C86" s="1026"/>
      <c r="D86" s="1026"/>
      <c r="E86" s="1026"/>
      <c r="F86" s="1026"/>
      <c r="G86" s="1026"/>
      <c r="H86" s="1026"/>
      <c r="I86" s="1026"/>
      <c r="J86" s="1026"/>
      <c r="K86" s="1026"/>
      <c r="L86" s="1026"/>
      <c r="M86" s="1026"/>
      <c r="N86" s="1026"/>
      <c r="O86" s="1026"/>
      <c r="P86" s="1026"/>
      <c r="Q86" s="1026"/>
      <c r="R86" s="1026"/>
      <c r="S86" s="1026"/>
      <c r="T86" s="1026"/>
      <c r="U86" s="1026"/>
      <c r="V86" s="1026"/>
      <c r="W86" s="1026"/>
      <c r="X86" s="1026"/>
      <c r="Y86" s="1026"/>
      <c r="Z86" s="1026"/>
      <c r="AA86" s="1026"/>
      <c r="AB86" s="1026"/>
      <c r="AC86" s="1026"/>
    </row>
    <row r="87" spans="1:29" x14ac:dyDescent="0.25">
      <c r="A87" s="847"/>
      <c r="B87" s="1026"/>
      <c r="C87" s="1026"/>
      <c r="D87" s="1026"/>
      <c r="E87" s="1026"/>
      <c r="F87" s="1026"/>
      <c r="G87" s="1026"/>
      <c r="H87" s="1026"/>
      <c r="I87" s="1026"/>
      <c r="J87" s="1026"/>
      <c r="K87" s="1026"/>
      <c r="L87" s="1026"/>
      <c r="M87" s="1026"/>
      <c r="N87" s="1026"/>
      <c r="O87" s="1026"/>
      <c r="P87" s="1026"/>
      <c r="Q87" s="1026"/>
      <c r="R87" s="1026"/>
      <c r="S87" s="1026"/>
      <c r="T87" s="1026"/>
      <c r="U87" s="1026"/>
      <c r="V87" s="1026"/>
      <c r="W87" s="1026"/>
      <c r="X87" s="1026"/>
      <c r="Y87" s="1026"/>
      <c r="Z87" s="1026"/>
      <c r="AA87" s="1026"/>
      <c r="AB87" s="1026"/>
      <c r="AC87" s="1026"/>
    </row>
    <row r="88" spans="1:29" x14ac:dyDescent="0.25">
      <c r="A88" s="847"/>
      <c r="B88" s="1026"/>
      <c r="C88" s="1026"/>
      <c r="D88" s="1026"/>
      <c r="E88" s="1026"/>
      <c r="F88" s="1026"/>
      <c r="G88" s="1026"/>
      <c r="H88" s="1026"/>
      <c r="I88" s="1026"/>
      <c r="J88" s="1026"/>
      <c r="K88" s="1026"/>
      <c r="L88" s="1026"/>
      <c r="M88" s="1026"/>
      <c r="N88" s="1026"/>
      <c r="O88" s="1026"/>
      <c r="P88" s="1026"/>
      <c r="Q88" s="1026"/>
      <c r="R88" s="1026"/>
      <c r="S88" s="1026"/>
      <c r="T88" s="1026"/>
      <c r="U88" s="1026"/>
      <c r="V88" s="1026"/>
      <c r="W88" s="1026"/>
      <c r="X88" s="1026"/>
      <c r="Y88" s="1026"/>
      <c r="Z88" s="1026"/>
      <c r="AA88" s="1026"/>
      <c r="AB88" s="1026"/>
      <c r="AC88" s="1026"/>
    </row>
    <row r="89" spans="1:29" x14ac:dyDescent="0.25">
      <c r="A89" s="847"/>
      <c r="B89" s="1026"/>
      <c r="C89" s="1026"/>
      <c r="D89" s="1026"/>
      <c r="E89" s="1026"/>
      <c r="F89" s="1026"/>
      <c r="G89" s="1026"/>
      <c r="H89" s="1026"/>
      <c r="I89" s="1026"/>
      <c r="J89" s="1026"/>
      <c r="K89" s="1026"/>
      <c r="L89" s="1026"/>
      <c r="M89" s="1026"/>
      <c r="N89" s="1026"/>
      <c r="O89" s="1026"/>
      <c r="P89" s="1026"/>
      <c r="Q89" s="1026"/>
      <c r="R89" s="1026"/>
      <c r="S89" s="1026"/>
      <c r="T89" s="1026"/>
      <c r="U89" s="1026"/>
      <c r="V89" s="1026"/>
      <c r="W89" s="1026"/>
      <c r="X89" s="1026"/>
      <c r="Y89" s="1026"/>
      <c r="Z89" s="1026"/>
      <c r="AA89" s="1026"/>
      <c r="AB89" s="1026"/>
      <c r="AC89" s="1026"/>
    </row>
    <row r="90" spans="1:29" x14ac:dyDescent="0.25">
      <c r="A90" s="847"/>
      <c r="B90" s="1026"/>
      <c r="C90" s="1026"/>
      <c r="D90" s="1026"/>
      <c r="E90" s="1026"/>
      <c r="F90" s="1026"/>
      <c r="G90" s="1026"/>
      <c r="H90" s="1026"/>
      <c r="I90" s="1026"/>
      <c r="J90" s="1026"/>
      <c r="K90" s="1026"/>
      <c r="L90" s="1026"/>
      <c r="M90" s="1026"/>
      <c r="N90" s="1026"/>
      <c r="O90" s="1026"/>
      <c r="P90" s="1026"/>
      <c r="Q90" s="1026"/>
      <c r="R90" s="1026"/>
      <c r="S90" s="1026"/>
      <c r="T90" s="1026"/>
      <c r="U90" s="1026"/>
      <c r="V90" s="1026"/>
      <c r="W90" s="1026"/>
      <c r="X90" s="1026"/>
      <c r="Y90" s="1026"/>
      <c r="Z90" s="1026"/>
      <c r="AA90" s="1026"/>
      <c r="AB90" s="1026"/>
      <c r="AC90" s="1026"/>
    </row>
    <row r="91" spans="1:29" x14ac:dyDescent="0.25">
      <c r="A91" s="847"/>
      <c r="B91" s="1026"/>
      <c r="C91" s="1026"/>
      <c r="D91" s="1026"/>
      <c r="E91" s="1026"/>
      <c r="F91" s="1026"/>
      <c r="G91" s="1026"/>
      <c r="H91" s="1026"/>
      <c r="I91" s="1026"/>
      <c r="J91" s="1026"/>
      <c r="K91" s="1026"/>
      <c r="L91" s="1026"/>
      <c r="M91" s="1026"/>
      <c r="N91" s="1026"/>
      <c r="O91" s="1026"/>
      <c r="P91" s="1026"/>
      <c r="Q91" s="1026"/>
      <c r="R91" s="1026"/>
      <c r="S91" s="1026"/>
      <c r="T91" s="1026"/>
      <c r="U91" s="1026"/>
      <c r="V91" s="1026"/>
      <c r="W91" s="1026"/>
      <c r="X91" s="1026"/>
      <c r="Y91" s="1026"/>
      <c r="Z91" s="1026"/>
      <c r="AA91" s="1026"/>
      <c r="AB91" s="1026"/>
      <c r="AC91" s="1026"/>
    </row>
    <row r="92" spans="1:29" x14ac:dyDescent="0.25">
      <c r="A92" s="847"/>
      <c r="B92" s="1026"/>
      <c r="C92" s="1026"/>
      <c r="D92" s="1026"/>
      <c r="E92" s="1026"/>
      <c r="F92" s="1026"/>
      <c r="G92" s="1026"/>
      <c r="H92" s="1026"/>
      <c r="I92" s="1026"/>
      <c r="J92" s="1026"/>
      <c r="K92" s="1026"/>
      <c r="L92" s="1026"/>
      <c r="M92" s="1026"/>
      <c r="N92" s="1026"/>
      <c r="O92" s="1026"/>
      <c r="P92" s="1026"/>
      <c r="Q92" s="1026"/>
      <c r="R92" s="1026"/>
      <c r="S92" s="1026"/>
      <c r="T92" s="1026"/>
      <c r="U92" s="1026"/>
      <c r="V92" s="1026"/>
      <c r="W92" s="1026"/>
      <c r="X92" s="1026"/>
      <c r="Y92" s="1026"/>
      <c r="Z92" s="1026"/>
      <c r="AA92" s="1026"/>
      <c r="AB92" s="1026"/>
      <c r="AC92" s="1026"/>
    </row>
    <row r="93" spans="1:29" x14ac:dyDescent="0.25">
      <c r="A93" s="847"/>
      <c r="B93" s="1026"/>
      <c r="C93" s="1026"/>
      <c r="D93" s="1026"/>
      <c r="E93" s="1026"/>
      <c r="F93" s="1026"/>
      <c r="G93" s="1026"/>
      <c r="H93" s="1026"/>
      <c r="I93" s="1026"/>
      <c r="J93" s="1026"/>
      <c r="K93" s="1026"/>
      <c r="L93" s="1026"/>
      <c r="M93" s="1026"/>
      <c r="N93" s="1026"/>
      <c r="O93" s="1026"/>
      <c r="P93" s="1026"/>
      <c r="Q93" s="1026"/>
      <c r="R93" s="1026"/>
      <c r="S93" s="1026"/>
      <c r="T93" s="1026"/>
      <c r="U93" s="1026"/>
      <c r="V93" s="1026"/>
      <c r="W93" s="1026"/>
      <c r="X93" s="1026"/>
      <c r="Y93" s="1026"/>
      <c r="Z93" s="1026"/>
      <c r="AA93" s="1026"/>
      <c r="AB93" s="1026"/>
      <c r="AC93" s="1026"/>
    </row>
    <row r="94" spans="1:29" x14ac:dyDescent="0.25">
      <c r="A94" s="847"/>
      <c r="B94" s="1026"/>
      <c r="C94" s="1026"/>
      <c r="D94" s="1026"/>
      <c r="E94" s="1026"/>
      <c r="F94" s="1026"/>
      <c r="G94" s="1026"/>
      <c r="H94" s="1026"/>
      <c r="I94" s="1026"/>
      <c r="J94" s="1026"/>
      <c r="K94" s="1026"/>
      <c r="L94" s="1026"/>
      <c r="M94" s="1026"/>
      <c r="N94" s="1026"/>
      <c r="O94" s="1026"/>
      <c r="P94" s="1026"/>
      <c r="Q94" s="1026"/>
      <c r="R94" s="1026"/>
      <c r="S94" s="1026"/>
      <c r="T94" s="1026"/>
      <c r="U94" s="1026"/>
      <c r="V94" s="1026"/>
      <c r="W94" s="1026"/>
      <c r="X94" s="1026"/>
      <c r="Y94" s="1026"/>
      <c r="Z94" s="1026"/>
      <c r="AA94" s="1026"/>
      <c r="AB94" s="1026"/>
      <c r="AC94" s="1026"/>
    </row>
    <row r="95" spans="1:29" x14ac:dyDescent="0.25">
      <c r="A95" s="847"/>
      <c r="B95" s="1026"/>
      <c r="C95" s="1026"/>
      <c r="D95" s="1026"/>
      <c r="E95" s="1026"/>
      <c r="F95" s="1026"/>
      <c r="G95" s="1026"/>
      <c r="H95" s="1026"/>
      <c r="I95" s="1026"/>
      <c r="J95" s="1026"/>
      <c r="K95" s="1026"/>
      <c r="L95" s="1026"/>
      <c r="M95" s="1026"/>
      <c r="N95" s="1026"/>
      <c r="O95" s="1026"/>
      <c r="P95" s="1026"/>
      <c r="Q95" s="1026"/>
      <c r="R95" s="1026"/>
      <c r="S95" s="1026"/>
      <c r="T95" s="1026"/>
      <c r="U95" s="1026"/>
      <c r="V95" s="1026"/>
      <c r="W95" s="1026"/>
      <c r="X95" s="1026"/>
      <c r="Y95" s="1026"/>
      <c r="Z95" s="1026"/>
      <c r="AA95" s="1026"/>
      <c r="AB95" s="1026"/>
      <c r="AC95" s="1026"/>
    </row>
    <row r="96" spans="1:29" x14ac:dyDescent="0.25">
      <c r="A96" s="847"/>
      <c r="B96" s="1026"/>
      <c r="C96" s="1026"/>
      <c r="D96" s="1026"/>
      <c r="E96" s="1026"/>
      <c r="F96" s="1026"/>
      <c r="G96" s="1026"/>
      <c r="H96" s="1026"/>
      <c r="I96" s="1026"/>
      <c r="J96" s="1026"/>
      <c r="K96" s="1026"/>
      <c r="L96" s="1026"/>
      <c r="M96" s="1026"/>
      <c r="N96" s="1026"/>
      <c r="O96" s="1026"/>
      <c r="P96" s="1026"/>
      <c r="Q96" s="1026"/>
      <c r="R96" s="1026"/>
      <c r="S96" s="1026"/>
      <c r="T96" s="1026"/>
      <c r="U96" s="1026"/>
      <c r="V96" s="1026"/>
      <c r="W96" s="1026"/>
      <c r="X96" s="1026"/>
      <c r="Y96" s="1026"/>
      <c r="Z96" s="1026"/>
      <c r="AA96" s="1026"/>
      <c r="AB96" s="1026"/>
      <c r="AC96" s="1026"/>
    </row>
    <row r="97" spans="1:29" x14ac:dyDescent="0.25">
      <c r="A97" s="847"/>
      <c r="B97" s="1026"/>
      <c r="C97" s="1026"/>
      <c r="D97" s="1026"/>
      <c r="E97" s="1026"/>
      <c r="F97" s="1026"/>
      <c r="G97" s="1026"/>
      <c r="H97" s="1026"/>
      <c r="I97" s="1026"/>
      <c r="J97" s="1026"/>
      <c r="K97" s="1026"/>
      <c r="L97" s="1026"/>
      <c r="M97" s="1026"/>
      <c r="N97" s="1026"/>
      <c r="O97" s="1026"/>
      <c r="P97" s="1026"/>
      <c r="Q97" s="1026"/>
      <c r="R97" s="1026"/>
      <c r="S97" s="1026"/>
      <c r="T97" s="1026"/>
      <c r="U97" s="1026"/>
      <c r="V97" s="1026"/>
      <c r="W97" s="1026"/>
      <c r="X97" s="1026"/>
      <c r="Y97" s="1026"/>
      <c r="Z97" s="1026"/>
      <c r="AA97" s="1026"/>
      <c r="AB97" s="1026"/>
      <c r="AC97" s="1026"/>
    </row>
    <row r="98" spans="1:29" x14ac:dyDescent="0.25">
      <c r="A98" s="847"/>
      <c r="B98" s="1026"/>
      <c r="C98" s="1026"/>
      <c r="D98" s="1026"/>
      <c r="E98" s="1026"/>
      <c r="F98" s="1026"/>
      <c r="G98" s="1026"/>
      <c r="H98" s="1026"/>
      <c r="I98" s="1026"/>
      <c r="J98" s="1026"/>
      <c r="K98" s="1026"/>
      <c r="L98" s="1026"/>
      <c r="M98" s="1026"/>
      <c r="N98" s="1026"/>
      <c r="O98" s="1026"/>
      <c r="P98" s="1026"/>
      <c r="Q98" s="1026"/>
      <c r="R98" s="1026"/>
      <c r="S98" s="1026"/>
      <c r="T98" s="1026"/>
      <c r="U98" s="1026"/>
      <c r="V98" s="1026"/>
      <c r="W98" s="1026"/>
      <c r="X98" s="1026"/>
      <c r="Y98" s="1026"/>
      <c r="Z98" s="1026"/>
      <c r="AA98" s="1026"/>
      <c r="AB98" s="1026"/>
      <c r="AC98" s="1026"/>
    </row>
    <row r="99" spans="1:29" x14ac:dyDescent="0.25">
      <c r="A99" s="847"/>
      <c r="B99" s="1026"/>
      <c r="C99" s="1026"/>
      <c r="D99" s="1026"/>
      <c r="E99" s="1026"/>
      <c r="F99" s="1026"/>
      <c r="G99" s="1026"/>
      <c r="H99" s="1026"/>
      <c r="I99" s="1026"/>
      <c r="J99" s="1026"/>
      <c r="K99" s="1026"/>
      <c r="L99" s="1026"/>
      <c r="M99" s="1026"/>
      <c r="N99" s="1026"/>
      <c r="O99" s="1026"/>
      <c r="P99" s="1026"/>
      <c r="Q99" s="1026"/>
      <c r="R99" s="1026"/>
      <c r="S99" s="1026"/>
      <c r="T99" s="1026"/>
      <c r="U99" s="1026"/>
      <c r="V99" s="1026"/>
      <c r="W99" s="1026"/>
      <c r="X99" s="1026"/>
      <c r="Y99" s="1026"/>
      <c r="Z99" s="1026"/>
      <c r="AA99" s="1026"/>
      <c r="AB99" s="1026"/>
      <c r="AC99" s="1026"/>
    </row>
    <row r="100" spans="1:29" x14ac:dyDescent="0.25">
      <c r="A100" s="847"/>
      <c r="B100" s="1026"/>
      <c r="C100" s="1026"/>
      <c r="D100" s="1026"/>
      <c r="E100" s="1026"/>
      <c r="F100" s="1026"/>
      <c r="G100" s="1026"/>
      <c r="H100" s="1026"/>
      <c r="I100" s="1026"/>
      <c r="J100" s="1026"/>
      <c r="K100" s="1026"/>
      <c r="L100" s="1026"/>
      <c r="M100" s="1026"/>
      <c r="N100" s="1026"/>
      <c r="O100" s="1026"/>
      <c r="P100" s="1026"/>
      <c r="Q100" s="1026"/>
      <c r="R100" s="1026"/>
      <c r="S100" s="1026"/>
      <c r="T100" s="1026"/>
      <c r="U100" s="1026"/>
      <c r="V100" s="1026"/>
      <c r="W100" s="1026"/>
      <c r="X100" s="1026"/>
      <c r="Y100" s="1026"/>
      <c r="Z100" s="1026"/>
      <c r="AA100" s="1026"/>
      <c r="AB100" s="1026"/>
      <c r="AC100" s="1026"/>
    </row>
    <row r="101" spans="1:29" x14ac:dyDescent="0.25">
      <c r="A101" s="847"/>
      <c r="B101" s="1026"/>
      <c r="C101" s="1026"/>
      <c r="D101" s="1026"/>
      <c r="E101" s="1026"/>
      <c r="F101" s="1026"/>
      <c r="G101" s="1026"/>
      <c r="H101" s="1026"/>
      <c r="I101" s="1026"/>
      <c r="J101" s="1026"/>
      <c r="K101" s="1026"/>
      <c r="L101" s="1026"/>
      <c r="M101" s="1026"/>
      <c r="N101" s="1026"/>
      <c r="O101" s="1026"/>
      <c r="P101" s="1026"/>
      <c r="Q101" s="1026"/>
      <c r="R101" s="1026"/>
      <c r="S101" s="1026"/>
      <c r="T101" s="1026"/>
      <c r="U101" s="1026"/>
      <c r="V101" s="1026"/>
      <c r="W101" s="1026"/>
      <c r="X101" s="1026"/>
      <c r="Y101" s="1026"/>
      <c r="Z101" s="1026"/>
      <c r="AA101" s="1026"/>
      <c r="AB101" s="1026"/>
      <c r="AC101" s="1026"/>
    </row>
    <row r="102" spans="1:29" x14ac:dyDescent="0.25">
      <c r="A102" s="847"/>
      <c r="B102" s="1026"/>
      <c r="C102" s="1026"/>
      <c r="D102" s="1026"/>
      <c r="E102" s="1026"/>
      <c r="F102" s="1026"/>
      <c r="G102" s="1026"/>
      <c r="H102" s="1026"/>
      <c r="I102" s="1026"/>
      <c r="J102" s="1026"/>
      <c r="K102" s="1026"/>
      <c r="L102" s="1026"/>
      <c r="M102" s="1026"/>
      <c r="N102" s="1026"/>
      <c r="O102" s="1026"/>
      <c r="P102" s="1026"/>
      <c r="Q102" s="1026"/>
      <c r="R102" s="1026"/>
      <c r="S102" s="1026"/>
      <c r="T102" s="1026"/>
      <c r="U102" s="1026"/>
      <c r="V102" s="1026"/>
      <c r="W102" s="1026"/>
      <c r="X102" s="1026"/>
      <c r="Y102" s="1026"/>
      <c r="Z102" s="1026"/>
      <c r="AA102" s="1026"/>
      <c r="AB102" s="1026"/>
      <c r="AC102" s="1026"/>
    </row>
    <row r="103" spans="1:29" x14ac:dyDescent="0.25">
      <c r="A103" s="847"/>
      <c r="B103" s="1026"/>
      <c r="C103" s="1026"/>
      <c r="D103" s="1026"/>
      <c r="E103" s="1026"/>
      <c r="F103" s="1026"/>
      <c r="G103" s="1026"/>
      <c r="H103" s="1026"/>
      <c r="I103" s="1026"/>
      <c r="J103" s="1026"/>
      <c r="K103" s="1026"/>
      <c r="L103" s="1026"/>
      <c r="M103" s="1026"/>
      <c r="N103" s="1026"/>
      <c r="O103" s="1026"/>
      <c r="P103" s="1026"/>
      <c r="Q103" s="1026"/>
      <c r="R103" s="1026"/>
      <c r="S103" s="1026"/>
      <c r="T103" s="1026"/>
      <c r="U103" s="1026"/>
      <c r="V103" s="1026"/>
      <c r="W103" s="1026"/>
      <c r="X103" s="1026"/>
      <c r="Y103" s="1026"/>
      <c r="Z103" s="1026"/>
      <c r="AA103" s="1026"/>
      <c r="AB103" s="1026"/>
      <c r="AC103" s="1026"/>
    </row>
    <row r="104" spans="1:29" x14ac:dyDescent="0.25">
      <c r="A104" s="847"/>
      <c r="B104" s="1026"/>
      <c r="C104" s="1026"/>
      <c r="D104" s="1026"/>
      <c r="E104" s="1026"/>
      <c r="F104" s="1026"/>
      <c r="G104" s="1026"/>
      <c r="H104" s="1026"/>
      <c r="I104" s="1026"/>
      <c r="J104" s="1026"/>
      <c r="K104" s="1026"/>
      <c r="L104" s="1026"/>
      <c r="M104" s="1026"/>
      <c r="N104" s="1026"/>
      <c r="O104" s="1026"/>
      <c r="P104" s="1026"/>
      <c r="Q104" s="1026"/>
      <c r="R104" s="1026"/>
      <c r="S104" s="1026"/>
      <c r="T104" s="1026"/>
      <c r="U104" s="1026"/>
      <c r="V104" s="1026"/>
      <c r="W104" s="1026"/>
      <c r="X104" s="1026"/>
      <c r="Y104" s="1026"/>
      <c r="Z104" s="1026"/>
      <c r="AA104" s="1026"/>
      <c r="AB104" s="1026"/>
      <c r="AC104" s="1026"/>
    </row>
    <row r="105" spans="1:29" x14ac:dyDescent="0.25">
      <c r="A105" s="847"/>
      <c r="B105" s="1026"/>
      <c r="C105" s="1026"/>
      <c r="D105" s="1026"/>
      <c r="E105" s="1026"/>
      <c r="F105" s="1026"/>
      <c r="G105" s="1026"/>
      <c r="H105" s="1026"/>
      <c r="I105" s="1026"/>
      <c r="J105" s="1026"/>
      <c r="K105" s="1026"/>
      <c r="L105" s="1026"/>
      <c r="M105" s="1026"/>
      <c r="N105" s="1026"/>
      <c r="O105" s="1026"/>
      <c r="P105" s="1026"/>
      <c r="Q105" s="1026"/>
      <c r="R105" s="1026"/>
      <c r="S105" s="1026"/>
      <c r="T105" s="1026"/>
      <c r="U105" s="1026"/>
      <c r="V105" s="1026"/>
      <c r="W105" s="1026"/>
      <c r="X105" s="1026"/>
      <c r="Y105" s="1026"/>
      <c r="Z105" s="1026"/>
      <c r="AA105" s="1026"/>
      <c r="AB105" s="1026"/>
      <c r="AC105" s="1026"/>
    </row>
    <row r="106" spans="1:29" x14ac:dyDescent="0.25">
      <c r="A106" s="847"/>
      <c r="B106" s="1026"/>
      <c r="C106" s="1026"/>
      <c r="D106" s="1026"/>
      <c r="E106" s="1026"/>
      <c r="F106" s="1026"/>
      <c r="G106" s="1026"/>
      <c r="H106" s="1026"/>
      <c r="I106" s="1026"/>
      <c r="J106" s="1026"/>
      <c r="K106" s="1026"/>
      <c r="L106" s="1026"/>
      <c r="M106" s="1026"/>
      <c r="N106" s="1026"/>
      <c r="O106" s="1026"/>
      <c r="P106" s="1026"/>
      <c r="Q106" s="1026"/>
      <c r="R106" s="1026"/>
      <c r="S106" s="1026"/>
      <c r="T106" s="1026"/>
      <c r="U106" s="1026"/>
      <c r="V106" s="1026"/>
      <c r="W106" s="1026"/>
      <c r="X106" s="1026"/>
      <c r="Y106" s="1026"/>
      <c r="Z106" s="1026"/>
      <c r="AA106" s="1026"/>
      <c r="AB106" s="1026"/>
      <c r="AC106" s="1026"/>
    </row>
    <row r="107" spans="1:29" x14ac:dyDescent="0.25">
      <c r="A107" s="847"/>
      <c r="B107" s="1026"/>
      <c r="C107" s="1026"/>
      <c r="D107" s="1026"/>
      <c r="E107" s="1026"/>
      <c r="F107" s="1026"/>
      <c r="G107" s="1026"/>
      <c r="H107" s="1026"/>
      <c r="I107" s="1026"/>
      <c r="J107" s="1026"/>
      <c r="K107" s="1026"/>
      <c r="L107" s="1026"/>
      <c r="M107" s="1026"/>
      <c r="N107" s="1026"/>
      <c r="O107" s="1026"/>
      <c r="P107" s="1026"/>
      <c r="Q107" s="1026"/>
      <c r="R107" s="1026"/>
      <c r="S107" s="1026"/>
      <c r="T107" s="1026"/>
      <c r="U107" s="1026"/>
      <c r="V107" s="1026"/>
      <c r="W107" s="1026"/>
      <c r="X107" s="1026"/>
      <c r="Y107" s="1026"/>
      <c r="Z107" s="1026"/>
      <c r="AA107" s="1026"/>
      <c r="AB107" s="1026"/>
      <c r="AC107" s="1026"/>
    </row>
    <row r="108" spans="1:29" x14ac:dyDescent="0.25">
      <c r="A108" s="847"/>
      <c r="B108" s="1026"/>
      <c r="C108" s="1026"/>
      <c r="D108" s="1026"/>
      <c r="E108" s="1026"/>
      <c r="F108" s="1026"/>
      <c r="G108" s="1026"/>
      <c r="H108" s="1026"/>
      <c r="I108" s="1026"/>
      <c r="J108" s="1026"/>
      <c r="K108" s="1026"/>
      <c r="L108" s="1026"/>
      <c r="M108" s="1026"/>
      <c r="N108" s="1026"/>
      <c r="O108" s="1026"/>
      <c r="P108" s="1026"/>
      <c r="Q108" s="1026"/>
      <c r="R108" s="1026"/>
      <c r="S108" s="1026"/>
      <c r="T108" s="1026"/>
      <c r="U108" s="1026"/>
      <c r="V108" s="1026"/>
      <c r="W108" s="1026"/>
      <c r="X108" s="1026"/>
      <c r="Y108" s="1026"/>
      <c r="Z108" s="1026"/>
      <c r="AA108" s="1026"/>
      <c r="AB108" s="1026"/>
      <c r="AC108" s="1026"/>
    </row>
    <row r="109" spans="1:29" x14ac:dyDescent="0.25">
      <c r="A109" s="847"/>
      <c r="B109" s="1026"/>
      <c r="C109" s="1026"/>
      <c r="D109" s="1026"/>
      <c r="E109" s="1026"/>
      <c r="F109" s="1026"/>
      <c r="G109" s="1026"/>
      <c r="H109" s="1026"/>
      <c r="I109" s="1026"/>
      <c r="J109" s="1026"/>
      <c r="K109" s="1026"/>
      <c r="L109" s="1026"/>
      <c r="M109" s="1026"/>
      <c r="N109" s="1026"/>
      <c r="O109" s="1026"/>
      <c r="P109" s="1026"/>
      <c r="Q109" s="1026"/>
      <c r="R109" s="1026"/>
      <c r="S109" s="1026"/>
      <c r="T109" s="1026"/>
      <c r="U109" s="1026"/>
      <c r="V109" s="1026"/>
      <c r="W109" s="1026"/>
      <c r="X109" s="1026"/>
      <c r="Y109" s="1026"/>
      <c r="Z109" s="1026"/>
      <c r="AA109" s="1026"/>
      <c r="AB109" s="1026"/>
      <c r="AC109" s="1026"/>
    </row>
    <row r="110" spans="1:29" x14ac:dyDescent="0.25">
      <c r="A110" s="847"/>
      <c r="B110" s="1026"/>
      <c r="C110" s="1026"/>
      <c r="D110" s="1026"/>
      <c r="E110" s="1026"/>
      <c r="F110" s="1026"/>
      <c r="G110" s="1026"/>
      <c r="H110" s="1026"/>
      <c r="I110" s="1026"/>
      <c r="J110" s="1026"/>
      <c r="K110" s="1026"/>
      <c r="L110" s="1026"/>
      <c r="M110" s="1026"/>
      <c r="N110" s="1026"/>
      <c r="O110" s="1026"/>
      <c r="P110" s="1026"/>
      <c r="Q110" s="1026"/>
      <c r="R110" s="1026"/>
      <c r="S110" s="1026"/>
      <c r="T110" s="1026"/>
      <c r="U110" s="1026"/>
      <c r="V110" s="1026"/>
      <c r="W110" s="1026"/>
      <c r="X110" s="1026"/>
      <c r="Y110" s="1026"/>
      <c r="Z110" s="1026"/>
      <c r="AA110" s="1026"/>
      <c r="AB110" s="1026"/>
      <c r="AC110" s="1026"/>
    </row>
    <row r="111" spans="1:29" x14ac:dyDescent="0.25">
      <c r="A111" s="847"/>
      <c r="B111" s="1026"/>
      <c r="C111" s="1026"/>
      <c r="D111" s="1026"/>
      <c r="E111" s="1026"/>
      <c r="F111" s="1026"/>
      <c r="G111" s="1026"/>
      <c r="H111" s="1026"/>
      <c r="I111" s="1026"/>
      <c r="J111" s="1026"/>
      <c r="K111" s="1026"/>
      <c r="L111" s="1026"/>
      <c r="M111" s="1026"/>
      <c r="N111" s="1026"/>
      <c r="O111" s="1026"/>
      <c r="P111" s="1026"/>
      <c r="Q111" s="1026"/>
      <c r="R111" s="1026"/>
      <c r="S111" s="1026"/>
      <c r="T111" s="1026"/>
      <c r="U111" s="1026"/>
      <c r="V111" s="1026"/>
      <c r="W111" s="1026"/>
      <c r="X111" s="1026"/>
      <c r="Y111" s="1026"/>
      <c r="Z111" s="1026"/>
      <c r="AA111" s="1026"/>
      <c r="AB111" s="1026"/>
      <c r="AC111" s="1026"/>
    </row>
    <row r="112" spans="1:29" x14ac:dyDescent="0.25">
      <c r="A112" s="847"/>
      <c r="B112" s="1026"/>
      <c r="C112" s="1026"/>
      <c r="D112" s="1026"/>
      <c r="E112" s="1026"/>
      <c r="F112" s="1026"/>
      <c r="G112" s="1026"/>
      <c r="H112" s="1026"/>
      <c r="I112" s="1026"/>
      <c r="J112" s="1026"/>
      <c r="K112" s="1026"/>
      <c r="L112" s="1026"/>
      <c r="M112" s="1026"/>
      <c r="N112" s="1026"/>
      <c r="O112" s="1026"/>
      <c r="P112" s="1026"/>
      <c r="Q112" s="1026"/>
      <c r="R112" s="1026"/>
      <c r="S112" s="1026"/>
      <c r="T112" s="1026"/>
      <c r="U112" s="1026"/>
      <c r="V112" s="1026"/>
      <c r="W112" s="1026"/>
      <c r="X112" s="1026"/>
      <c r="Y112" s="1026"/>
      <c r="Z112" s="1026"/>
      <c r="AA112" s="1026"/>
      <c r="AB112" s="1026"/>
      <c r="AC112" s="1026"/>
    </row>
    <row r="113" spans="1:29" x14ac:dyDescent="0.25">
      <c r="A113" s="847"/>
      <c r="B113" s="1026"/>
      <c r="C113" s="1026"/>
      <c r="D113" s="1026"/>
      <c r="E113" s="1026"/>
      <c r="F113" s="1026"/>
      <c r="G113" s="1026"/>
      <c r="H113" s="1026"/>
      <c r="I113" s="1026"/>
      <c r="J113" s="1026"/>
      <c r="K113" s="1026"/>
      <c r="L113" s="1026"/>
      <c r="M113" s="1026"/>
      <c r="N113" s="1026"/>
      <c r="O113" s="1026"/>
      <c r="P113" s="1026"/>
      <c r="Q113" s="1026"/>
      <c r="R113" s="1026"/>
      <c r="S113" s="1026"/>
      <c r="T113" s="1026"/>
      <c r="U113" s="1026"/>
      <c r="V113" s="1026"/>
      <c r="W113" s="1026"/>
      <c r="X113" s="1026"/>
      <c r="Y113" s="1026"/>
      <c r="Z113" s="1026"/>
      <c r="AA113" s="1026"/>
      <c r="AB113" s="1026"/>
      <c r="AC113" s="1026"/>
    </row>
    <row r="114" spans="1:29" x14ac:dyDescent="0.25">
      <c r="A114" s="847"/>
      <c r="B114" s="1026"/>
      <c r="C114" s="1026"/>
      <c r="D114" s="1026"/>
      <c r="E114" s="1026"/>
      <c r="F114" s="1026"/>
      <c r="G114" s="1026"/>
      <c r="H114" s="1026"/>
      <c r="I114" s="1026"/>
      <c r="J114" s="1026"/>
      <c r="K114" s="1026"/>
      <c r="L114" s="1026"/>
      <c r="M114" s="1026"/>
      <c r="N114" s="1026"/>
      <c r="O114" s="1026"/>
      <c r="P114" s="1026"/>
      <c r="Q114" s="1026"/>
      <c r="R114" s="1026"/>
      <c r="S114" s="1026"/>
      <c r="T114" s="1026"/>
      <c r="U114" s="1026"/>
      <c r="V114" s="1026"/>
      <c r="W114" s="1026"/>
      <c r="X114" s="1026"/>
      <c r="Y114" s="1026"/>
      <c r="Z114" s="1026"/>
      <c r="AA114" s="1026"/>
      <c r="AB114" s="1026"/>
      <c r="AC114" s="1026"/>
    </row>
    <row r="115" spans="1:29" x14ac:dyDescent="0.25">
      <c r="A115" s="847"/>
      <c r="B115" s="1026"/>
      <c r="C115" s="1026"/>
      <c r="D115" s="1026"/>
      <c r="E115" s="1026"/>
      <c r="F115" s="1026"/>
      <c r="G115" s="1026"/>
      <c r="H115" s="1026"/>
      <c r="I115" s="1026"/>
      <c r="J115" s="1026"/>
      <c r="K115" s="1026"/>
      <c r="L115" s="1026"/>
      <c r="M115" s="1026"/>
      <c r="N115" s="1026"/>
      <c r="O115" s="1026"/>
      <c r="P115" s="1026"/>
      <c r="Q115" s="1026"/>
      <c r="R115" s="1026"/>
      <c r="S115" s="1026"/>
      <c r="T115" s="1026"/>
      <c r="U115" s="1026"/>
      <c r="V115" s="1026"/>
      <c r="W115" s="1026"/>
      <c r="X115" s="1026"/>
      <c r="Y115" s="1026"/>
      <c r="Z115" s="1026"/>
      <c r="AA115" s="1026"/>
      <c r="AB115" s="1026"/>
      <c r="AC115" s="1026"/>
    </row>
    <row r="116" spans="1:29" x14ac:dyDescent="0.25">
      <c r="A116" s="847"/>
      <c r="B116" s="1026"/>
      <c r="C116" s="1026"/>
      <c r="D116" s="1026"/>
      <c r="E116" s="1026"/>
      <c r="F116" s="1026"/>
      <c r="G116" s="1026"/>
      <c r="H116" s="1026"/>
      <c r="I116" s="1026"/>
      <c r="J116" s="1026"/>
      <c r="K116" s="1026"/>
      <c r="L116" s="1026"/>
      <c r="M116" s="1026"/>
      <c r="N116" s="1026"/>
      <c r="O116" s="1026"/>
      <c r="P116" s="1026"/>
      <c r="Q116" s="1026"/>
      <c r="R116" s="1026"/>
      <c r="S116" s="1026"/>
      <c r="T116" s="1026"/>
      <c r="U116" s="1026"/>
      <c r="V116" s="1026"/>
      <c r="W116" s="1026"/>
      <c r="X116" s="1026"/>
      <c r="Y116" s="1026"/>
      <c r="Z116" s="1026"/>
      <c r="AA116" s="1026"/>
      <c r="AB116" s="1026"/>
      <c r="AC116" s="1026"/>
    </row>
    <row r="117" spans="1:29" x14ac:dyDescent="0.25">
      <c r="A117" s="847"/>
      <c r="B117" s="1026"/>
      <c r="C117" s="1026"/>
      <c r="D117" s="1026"/>
      <c r="E117" s="1026"/>
      <c r="F117" s="1026"/>
      <c r="G117" s="1026"/>
      <c r="H117" s="1026"/>
      <c r="I117" s="1026"/>
      <c r="J117" s="1026"/>
      <c r="K117" s="1026"/>
      <c r="L117" s="1026"/>
      <c r="M117" s="1026"/>
      <c r="N117" s="1026"/>
      <c r="O117" s="1026"/>
      <c r="P117" s="1026"/>
      <c r="Q117" s="1026"/>
      <c r="R117" s="1026"/>
      <c r="S117" s="1026"/>
      <c r="T117" s="1026"/>
      <c r="U117" s="1026"/>
      <c r="V117" s="1026"/>
      <c r="W117" s="1026"/>
      <c r="X117" s="1026"/>
      <c r="Y117" s="1026"/>
      <c r="Z117" s="1026"/>
      <c r="AA117" s="1026"/>
      <c r="AB117" s="1026"/>
      <c r="AC117" s="1026"/>
    </row>
    <row r="118" spans="1:29" x14ac:dyDescent="0.25">
      <c r="A118" s="847"/>
      <c r="B118" s="1026"/>
      <c r="C118" s="1026"/>
      <c r="D118" s="1026"/>
      <c r="E118" s="1026"/>
      <c r="F118" s="1026"/>
      <c r="G118" s="1026"/>
      <c r="H118" s="1026"/>
      <c r="I118" s="1026"/>
      <c r="J118" s="1026"/>
      <c r="K118" s="1026"/>
      <c r="L118" s="1026"/>
      <c r="M118" s="1026"/>
      <c r="N118" s="1026"/>
      <c r="O118" s="1026"/>
      <c r="P118" s="1026"/>
      <c r="Q118" s="1026"/>
      <c r="R118" s="1026"/>
      <c r="S118" s="1026"/>
      <c r="T118" s="1026"/>
      <c r="U118" s="1026"/>
      <c r="V118" s="1026"/>
      <c r="W118" s="1026"/>
      <c r="X118" s="1026"/>
      <c r="Y118" s="1026"/>
      <c r="Z118" s="1026"/>
      <c r="AA118" s="1026"/>
      <c r="AB118" s="1026"/>
      <c r="AC118" s="1026"/>
    </row>
    <row r="119" spans="1:29" x14ac:dyDescent="0.25">
      <c r="A119" s="847"/>
      <c r="B119" s="1026"/>
      <c r="C119" s="1026"/>
      <c r="D119" s="1026"/>
      <c r="E119" s="1026"/>
      <c r="F119" s="1026"/>
      <c r="G119" s="1026"/>
      <c r="H119" s="1026"/>
      <c r="I119" s="1026"/>
      <c r="J119" s="1026"/>
      <c r="K119" s="1026"/>
      <c r="L119" s="1026"/>
      <c r="M119" s="1026"/>
      <c r="N119" s="1026"/>
      <c r="O119" s="1026"/>
      <c r="P119" s="1026"/>
      <c r="Q119" s="1026"/>
      <c r="R119" s="1026"/>
      <c r="S119" s="1026"/>
      <c r="T119" s="1026"/>
      <c r="U119" s="1026"/>
      <c r="V119" s="1026"/>
      <c r="W119" s="1026"/>
      <c r="X119" s="1026"/>
      <c r="Y119" s="1026"/>
      <c r="Z119" s="1026"/>
      <c r="AA119" s="1026"/>
      <c r="AB119" s="1026"/>
      <c r="AC119" s="1026"/>
    </row>
    <row r="120" spans="1:29" x14ac:dyDescent="0.25">
      <c r="A120" s="847"/>
      <c r="B120" s="1026"/>
      <c r="C120" s="1026"/>
      <c r="D120" s="1026"/>
      <c r="E120" s="1026"/>
      <c r="F120" s="1026"/>
      <c r="G120" s="1026"/>
      <c r="H120" s="1026"/>
      <c r="I120" s="1026"/>
      <c r="J120" s="1026"/>
      <c r="K120" s="1026"/>
      <c r="L120" s="1026"/>
      <c r="M120" s="1026"/>
      <c r="N120" s="1026"/>
      <c r="O120" s="1026"/>
      <c r="P120" s="1026"/>
      <c r="Q120" s="1026"/>
      <c r="R120" s="1026"/>
      <c r="S120" s="1026"/>
      <c r="T120" s="1026"/>
      <c r="U120" s="1026"/>
      <c r="V120" s="1026"/>
      <c r="W120" s="1026"/>
      <c r="X120" s="1026"/>
      <c r="Y120" s="1026"/>
      <c r="Z120" s="1026"/>
      <c r="AA120" s="1026"/>
      <c r="AB120" s="1026"/>
      <c r="AC120" s="1026"/>
    </row>
    <row r="121" spans="1:29" x14ac:dyDescent="0.25">
      <c r="A121" s="847"/>
      <c r="B121" s="1026"/>
      <c r="C121" s="1026"/>
      <c r="D121" s="1026"/>
      <c r="E121" s="1026"/>
      <c r="F121" s="1026"/>
      <c r="G121" s="1026"/>
      <c r="H121" s="1026"/>
      <c r="I121" s="1026"/>
      <c r="J121" s="1026"/>
      <c r="K121" s="1026"/>
      <c r="L121" s="1026"/>
      <c r="M121" s="1026"/>
      <c r="N121" s="1026"/>
      <c r="O121" s="1026"/>
      <c r="P121" s="1026"/>
      <c r="Q121" s="1026"/>
      <c r="R121" s="1026"/>
      <c r="S121" s="1026"/>
      <c r="T121" s="1026"/>
      <c r="U121" s="1026"/>
      <c r="V121" s="1026"/>
      <c r="W121" s="1026"/>
      <c r="X121" s="1026"/>
      <c r="Y121" s="1026"/>
      <c r="Z121" s="1026"/>
      <c r="AA121" s="1026"/>
      <c r="AB121" s="1026"/>
      <c r="AC121" s="1026"/>
    </row>
    <row r="122" spans="1:29" x14ac:dyDescent="0.25">
      <c r="A122" s="847"/>
      <c r="B122" s="1026"/>
      <c r="C122" s="1026"/>
      <c r="D122" s="1026"/>
      <c r="E122" s="1026"/>
      <c r="F122" s="1026"/>
      <c r="G122" s="1026"/>
      <c r="H122" s="1026"/>
      <c r="I122" s="1026"/>
      <c r="J122" s="1026"/>
      <c r="K122" s="1026"/>
      <c r="L122" s="1026"/>
      <c r="M122" s="1026"/>
      <c r="N122" s="1026"/>
      <c r="O122" s="1026"/>
      <c r="P122" s="1026"/>
      <c r="Q122" s="1026"/>
      <c r="R122" s="1026"/>
      <c r="S122" s="1026"/>
      <c r="T122" s="1026"/>
      <c r="U122" s="1026"/>
      <c r="V122" s="1026"/>
      <c r="W122" s="1026"/>
      <c r="X122" s="1026"/>
      <c r="Y122" s="1026"/>
      <c r="Z122" s="1026"/>
      <c r="AA122" s="1026"/>
      <c r="AB122" s="1026"/>
      <c r="AC122" s="1026"/>
    </row>
    <row r="123" spans="1:29" x14ac:dyDescent="0.25">
      <c r="A123" s="847"/>
      <c r="B123" s="1026"/>
      <c r="C123" s="1026"/>
      <c r="D123" s="1026"/>
      <c r="E123" s="1026"/>
      <c r="F123" s="1026"/>
      <c r="G123" s="1026"/>
      <c r="H123" s="1026"/>
      <c r="I123" s="1026"/>
      <c r="J123" s="1026"/>
      <c r="K123" s="1026"/>
      <c r="L123" s="1026"/>
      <c r="M123" s="1026"/>
      <c r="N123" s="1026"/>
      <c r="O123" s="1026"/>
      <c r="P123" s="1026"/>
      <c r="Q123" s="1026"/>
      <c r="R123" s="1026"/>
      <c r="S123" s="1026"/>
      <c r="T123" s="1026"/>
      <c r="U123" s="1026"/>
      <c r="V123" s="1026"/>
      <c r="W123" s="1026"/>
      <c r="X123" s="1026"/>
      <c r="Y123" s="1026"/>
      <c r="Z123" s="1026"/>
      <c r="AA123" s="1026"/>
      <c r="AB123" s="1026"/>
      <c r="AC123" s="1026"/>
    </row>
    <row r="124" spans="1:29" x14ac:dyDescent="0.25">
      <c r="A124" s="847"/>
      <c r="B124" s="1026"/>
      <c r="C124" s="1026"/>
      <c r="D124" s="1026"/>
      <c r="E124" s="1026"/>
      <c r="F124" s="1026"/>
      <c r="G124" s="1026"/>
      <c r="H124" s="1026"/>
      <c r="I124" s="1026"/>
      <c r="J124" s="1026"/>
      <c r="K124" s="1026"/>
      <c r="L124" s="1026"/>
      <c r="M124" s="1026"/>
      <c r="N124" s="1026"/>
      <c r="O124" s="1026"/>
      <c r="P124" s="1026"/>
      <c r="Q124" s="1026"/>
      <c r="R124" s="1026"/>
      <c r="S124" s="1026"/>
      <c r="T124" s="1026"/>
      <c r="U124" s="1026"/>
      <c r="V124" s="1026"/>
      <c r="W124" s="1026"/>
      <c r="X124" s="1026"/>
      <c r="Y124" s="1026"/>
      <c r="Z124" s="1026"/>
      <c r="AA124" s="1026"/>
      <c r="AB124" s="1026"/>
      <c r="AC124" s="1026"/>
    </row>
    <row r="125" spans="1:29" x14ac:dyDescent="0.25">
      <c r="A125" s="847"/>
      <c r="B125" s="1026"/>
      <c r="C125" s="1026"/>
      <c r="D125" s="1026"/>
      <c r="E125" s="1026"/>
      <c r="F125" s="1026"/>
      <c r="G125" s="1026"/>
      <c r="H125" s="1026"/>
      <c r="I125" s="1026"/>
      <c r="J125" s="1026"/>
      <c r="K125" s="1026"/>
      <c r="L125" s="1026"/>
      <c r="M125" s="1026"/>
      <c r="N125" s="1026"/>
      <c r="O125" s="1026"/>
      <c r="P125" s="1026"/>
      <c r="Q125" s="1026"/>
      <c r="R125" s="1026"/>
      <c r="S125" s="1026"/>
      <c r="T125" s="1026"/>
      <c r="U125" s="1026"/>
      <c r="V125" s="1026"/>
      <c r="W125" s="1026"/>
      <c r="X125" s="1026"/>
      <c r="Y125" s="1026"/>
      <c r="Z125" s="1026"/>
      <c r="AA125" s="1026"/>
      <c r="AB125" s="1026"/>
      <c r="AC125" s="1026"/>
    </row>
    <row r="126" spans="1:29" x14ac:dyDescent="0.25">
      <c r="A126" s="847"/>
      <c r="B126" s="1026"/>
      <c r="C126" s="1026"/>
      <c r="D126" s="1026"/>
      <c r="E126" s="1026"/>
      <c r="F126" s="1026"/>
      <c r="G126" s="1026"/>
      <c r="H126" s="1026"/>
      <c r="I126" s="1026"/>
      <c r="J126" s="1026"/>
      <c r="K126" s="1026"/>
      <c r="L126" s="1026"/>
      <c r="M126" s="1026"/>
      <c r="N126" s="1026"/>
      <c r="O126" s="1026"/>
      <c r="P126" s="1026"/>
      <c r="Q126" s="1026"/>
      <c r="R126" s="1026"/>
      <c r="S126" s="1026"/>
      <c r="T126" s="1026"/>
      <c r="U126" s="1026"/>
      <c r="V126" s="1026"/>
      <c r="W126" s="1026"/>
      <c r="X126" s="1026"/>
      <c r="Y126" s="1026"/>
      <c r="Z126" s="1026"/>
      <c r="AA126" s="1026"/>
      <c r="AB126" s="1026"/>
      <c r="AC126" s="1026"/>
    </row>
    <row r="127" spans="1:29" x14ac:dyDescent="0.25">
      <c r="A127" s="847"/>
      <c r="B127" s="1026"/>
      <c r="C127" s="1026"/>
      <c r="D127" s="1026"/>
      <c r="E127" s="1026"/>
      <c r="F127" s="1026"/>
      <c r="G127" s="1026"/>
      <c r="H127" s="1026"/>
      <c r="I127" s="1026"/>
      <c r="J127" s="1026"/>
      <c r="K127" s="1026"/>
      <c r="L127" s="1026"/>
      <c r="M127" s="1026"/>
      <c r="N127" s="1026"/>
      <c r="O127" s="1026"/>
      <c r="P127" s="1026"/>
      <c r="Q127" s="1026"/>
      <c r="R127" s="1026"/>
      <c r="S127" s="1026"/>
      <c r="T127" s="1026"/>
      <c r="U127" s="1026"/>
      <c r="V127" s="1026"/>
      <c r="W127" s="1026"/>
      <c r="X127" s="1026"/>
      <c r="Y127" s="1026"/>
      <c r="Z127" s="1026"/>
      <c r="AA127" s="1026"/>
      <c r="AB127" s="1026"/>
      <c r="AC127" s="1026"/>
    </row>
    <row r="128" spans="1:29" x14ac:dyDescent="0.25">
      <c r="A128" s="847"/>
      <c r="B128" s="1026"/>
      <c r="C128" s="1026"/>
      <c r="D128" s="1026"/>
      <c r="E128" s="1026"/>
      <c r="F128" s="1026"/>
      <c r="G128" s="1026"/>
      <c r="H128" s="1026"/>
      <c r="I128" s="1026"/>
      <c r="J128" s="1026"/>
      <c r="K128" s="1026"/>
      <c r="L128" s="1026"/>
      <c r="M128" s="1026"/>
      <c r="N128" s="1026"/>
      <c r="O128" s="1026"/>
      <c r="P128" s="1026"/>
      <c r="Q128" s="1026"/>
      <c r="R128" s="1026"/>
      <c r="S128" s="1026"/>
      <c r="T128" s="1026"/>
      <c r="U128" s="1026"/>
      <c r="V128" s="1026"/>
      <c r="W128" s="1026"/>
      <c r="X128" s="1026"/>
      <c r="Y128" s="1026"/>
      <c r="Z128" s="1026"/>
      <c r="AA128" s="1026"/>
      <c r="AB128" s="1026"/>
      <c r="AC128" s="1026"/>
    </row>
    <row r="129" spans="1:29" x14ac:dyDescent="0.25">
      <c r="A129" s="847"/>
      <c r="B129" s="1026"/>
      <c r="C129" s="1026"/>
      <c r="D129" s="1026"/>
      <c r="E129" s="1026"/>
      <c r="F129" s="1026"/>
      <c r="G129" s="1026"/>
      <c r="H129" s="1026"/>
      <c r="I129" s="1026"/>
      <c r="J129" s="1026"/>
      <c r="K129" s="1026"/>
      <c r="L129" s="1026"/>
      <c r="M129" s="1026"/>
      <c r="N129" s="1026"/>
      <c r="O129" s="1026"/>
      <c r="P129" s="1026"/>
      <c r="Q129" s="1026"/>
      <c r="R129" s="1026"/>
      <c r="S129" s="1026"/>
      <c r="T129" s="1026"/>
      <c r="U129" s="1026"/>
      <c r="V129" s="1026"/>
      <c r="W129" s="1026"/>
      <c r="X129" s="1026"/>
      <c r="Y129" s="1026"/>
      <c r="Z129" s="1026"/>
      <c r="AA129" s="1026"/>
      <c r="AB129" s="1026"/>
      <c r="AC129" s="1026"/>
    </row>
    <row r="130" spans="1:29" x14ac:dyDescent="0.25">
      <c r="A130" s="847"/>
      <c r="B130" s="1026"/>
      <c r="C130" s="1026"/>
      <c r="D130" s="1026"/>
      <c r="E130" s="1026"/>
      <c r="F130" s="1026"/>
      <c r="G130" s="1026"/>
      <c r="H130" s="1026"/>
      <c r="I130" s="1026"/>
      <c r="J130" s="1026"/>
      <c r="K130" s="1026"/>
      <c r="L130" s="1026"/>
      <c r="M130" s="1026"/>
      <c r="N130" s="1026"/>
      <c r="O130" s="1026"/>
      <c r="P130" s="1026"/>
      <c r="Q130" s="1026"/>
      <c r="R130" s="1026"/>
      <c r="S130" s="1026"/>
      <c r="T130" s="1026"/>
      <c r="U130" s="1026"/>
      <c r="V130" s="1026"/>
      <c r="W130" s="1026"/>
      <c r="X130" s="1026"/>
      <c r="Y130" s="1026"/>
      <c r="Z130" s="1026"/>
      <c r="AA130" s="1026"/>
      <c r="AB130" s="1026"/>
      <c r="AC130" s="1026"/>
    </row>
    <row r="131" spans="1:29" x14ac:dyDescent="0.25">
      <c r="A131" s="847"/>
      <c r="B131" s="1026"/>
      <c r="C131" s="1026"/>
      <c r="D131" s="1026"/>
      <c r="E131" s="1026"/>
      <c r="F131" s="1026"/>
      <c r="G131" s="1026"/>
      <c r="H131" s="1026"/>
      <c r="I131" s="1026"/>
      <c r="J131" s="1026"/>
      <c r="K131" s="1026"/>
      <c r="L131" s="1026"/>
      <c r="M131" s="1026"/>
      <c r="N131" s="1026"/>
      <c r="O131" s="1026"/>
      <c r="P131" s="1026"/>
      <c r="Q131" s="1026"/>
      <c r="R131" s="1026"/>
      <c r="S131" s="1026"/>
      <c r="T131" s="1026"/>
      <c r="U131" s="1026"/>
      <c r="V131" s="1026"/>
      <c r="W131" s="1026"/>
      <c r="X131" s="1026"/>
      <c r="Y131" s="1026"/>
      <c r="Z131" s="1026"/>
      <c r="AA131" s="1026"/>
      <c r="AB131" s="1026"/>
      <c r="AC131" s="1026"/>
    </row>
    <row r="132" spans="1:29" x14ac:dyDescent="0.25">
      <c r="A132" s="847"/>
      <c r="B132" s="1026"/>
      <c r="C132" s="1026"/>
      <c r="D132" s="1026"/>
      <c r="E132" s="1026"/>
      <c r="F132" s="1026"/>
      <c r="G132" s="1026"/>
      <c r="H132" s="1026"/>
      <c r="I132" s="1026"/>
      <c r="J132" s="1026"/>
      <c r="K132" s="1026"/>
      <c r="L132" s="1026"/>
      <c r="M132" s="1026"/>
      <c r="N132" s="1026"/>
      <c r="O132" s="1026"/>
      <c r="P132" s="1026"/>
      <c r="Q132" s="1026"/>
      <c r="R132" s="1026"/>
      <c r="S132" s="1026"/>
      <c r="T132" s="1026"/>
      <c r="U132" s="1026"/>
      <c r="V132" s="1026"/>
      <c r="W132" s="1026"/>
      <c r="X132" s="1026"/>
      <c r="Y132" s="1026"/>
      <c r="Z132" s="1026"/>
      <c r="AA132" s="1026"/>
      <c r="AB132" s="1026"/>
      <c r="AC132" s="1026"/>
    </row>
    <row r="133" spans="1:29" x14ac:dyDescent="0.25">
      <c r="A133" s="847"/>
      <c r="B133" s="1026"/>
      <c r="C133" s="1026"/>
      <c r="D133" s="1026"/>
      <c r="E133" s="1026"/>
      <c r="F133" s="1026"/>
      <c r="G133" s="1026"/>
      <c r="H133" s="1026"/>
      <c r="I133" s="1026"/>
      <c r="J133" s="1026"/>
      <c r="K133" s="1026"/>
      <c r="L133" s="1026"/>
      <c r="M133" s="1026"/>
      <c r="N133" s="1026"/>
      <c r="O133" s="1026"/>
      <c r="P133" s="1026"/>
      <c r="Q133" s="1026"/>
      <c r="R133" s="1026"/>
      <c r="S133" s="1026"/>
      <c r="T133" s="1026"/>
      <c r="U133" s="1026"/>
      <c r="V133" s="1026"/>
      <c r="W133" s="1026"/>
      <c r="X133" s="1026"/>
      <c r="Y133" s="1026"/>
      <c r="Z133" s="1026"/>
      <c r="AA133" s="1026"/>
      <c r="AB133" s="1026"/>
      <c r="AC133" s="1026"/>
    </row>
    <row r="134" spans="1:29" x14ac:dyDescent="0.25">
      <c r="A134" s="847"/>
      <c r="B134" s="1026"/>
      <c r="C134" s="1026"/>
      <c r="D134" s="1026"/>
      <c r="E134" s="1026"/>
      <c r="F134" s="1026"/>
      <c r="G134" s="1026"/>
      <c r="H134" s="1026"/>
      <c r="I134" s="1026"/>
      <c r="J134" s="1026"/>
      <c r="K134" s="1026"/>
      <c r="L134" s="1026"/>
      <c r="M134" s="1026"/>
      <c r="N134" s="1026"/>
      <c r="O134" s="1026"/>
      <c r="P134" s="1026"/>
      <c r="Q134" s="1026"/>
      <c r="R134" s="1026"/>
      <c r="S134" s="1026"/>
      <c r="T134" s="1026"/>
      <c r="U134" s="1026"/>
      <c r="V134" s="1026"/>
      <c r="W134" s="1026"/>
      <c r="X134" s="1026"/>
      <c r="Y134" s="1026"/>
      <c r="Z134" s="1026"/>
      <c r="AA134" s="1026"/>
      <c r="AB134" s="1026"/>
      <c r="AC134" s="1026"/>
    </row>
    <row r="135" spans="1:29" x14ac:dyDescent="0.25">
      <c r="A135" s="847"/>
      <c r="B135" s="1026"/>
      <c r="C135" s="1026"/>
      <c r="D135" s="1026"/>
      <c r="E135" s="1026"/>
      <c r="F135" s="1026"/>
      <c r="G135" s="1026"/>
      <c r="H135" s="1026"/>
      <c r="I135" s="1026"/>
      <c r="J135" s="1026"/>
      <c r="K135" s="1026"/>
      <c r="L135" s="1026"/>
      <c r="M135" s="1026"/>
      <c r="N135" s="1026"/>
      <c r="O135" s="1026"/>
      <c r="P135" s="1026"/>
      <c r="Q135" s="1026"/>
      <c r="R135" s="1026"/>
      <c r="S135" s="1026"/>
      <c r="T135" s="1026"/>
      <c r="U135" s="1026"/>
      <c r="V135" s="1026"/>
      <c r="W135" s="1026"/>
      <c r="X135" s="1026"/>
      <c r="Y135" s="1026"/>
      <c r="Z135" s="1026"/>
      <c r="AA135" s="1026"/>
      <c r="AB135" s="1026"/>
      <c r="AC135" s="1026"/>
    </row>
    <row r="136" spans="1:29" x14ac:dyDescent="0.25">
      <c r="A136" s="847"/>
      <c r="B136" s="1026"/>
      <c r="C136" s="1026"/>
      <c r="D136" s="1026"/>
      <c r="E136" s="1026"/>
      <c r="F136" s="1026"/>
      <c r="G136" s="1026"/>
      <c r="H136" s="1026"/>
      <c r="I136" s="1026"/>
      <c r="J136" s="1026"/>
      <c r="K136" s="1026"/>
      <c r="L136" s="1026"/>
      <c r="M136" s="1026"/>
      <c r="N136" s="1026"/>
      <c r="O136" s="1026"/>
      <c r="P136" s="1026"/>
      <c r="Q136" s="1026"/>
      <c r="R136" s="1026"/>
      <c r="S136" s="1026"/>
      <c r="T136" s="1026"/>
      <c r="U136" s="1026"/>
      <c r="V136" s="1026"/>
      <c r="W136" s="1026"/>
      <c r="X136" s="1026"/>
      <c r="Y136" s="1026"/>
      <c r="Z136" s="1026"/>
      <c r="AA136" s="1026"/>
      <c r="AB136" s="1026"/>
      <c r="AC136" s="1026"/>
    </row>
    <row r="137" spans="1:29" x14ac:dyDescent="0.25">
      <c r="A137" s="847"/>
      <c r="B137" s="1026"/>
      <c r="C137" s="1026"/>
      <c r="D137" s="1026"/>
      <c r="E137" s="1026"/>
      <c r="F137" s="1026"/>
      <c r="G137" s="1026"/>
      <c r="H137" s="1026"/>
      <c r="I137" s="1026"/>
      <c r="J137" s="1026"/>
      <c r="K137" s="1026"/>
      <c r="L137" s="1026"/>
      <c r="M137" s="1026"/>
      <c r="N137" s="1026"/>
      <c r="O137" s="1026"/>
      <c r="P137" s="1026"/>
      <c r="Q137" s="1026"/>
      <c r="R137" s="1026"/>
      <c r="S137" s="1026"/>
      <c r="T137" s="1026"/>
      <c r="U137" s="1026"/>
      <c r="V137" s="1026"/>
      <c r="W137" s="1026"/>
      <c r="X137" s="1026"/>
      <c r="Y137" s="1026"/>
      <c r="Z137" s="1026"/>
      <c r="AA137" s="1026"/>
      <c r="AB137" s="1026"/>
      <c r="AC137" s="1026"/>
    </row>
    <row r="138" spans="1:29" x14ac:dyDescent="0.25">
      <c r="A138" s="847"/>
      <c r="B138" s="1026"/>
      <c r="C138" s="1026"/>
      <c r="D138" s="1026"/>
      <c r="E138" s="1026"/>
      <c r="F138" s="1026"/>
      <c r="G138" s="1026"/>
      <c r="H138" s="1026"/>
      <c r="I138" s="1026"/>
      <c r="J138" s="1026"/>
      <c r="K138" s="1026"/>
      <c r="L138" s="1026"/>
      <c r="M138" s="1026"/>
      <c r="N138" s="1026"/>
      <c r="O138" s="1026"/>
      <c r="P138" s="1026"/>
      <c r="Q138" s="1026"/>
      <c r="R138" s="1026"/>
      <c r="S138" s="1026"/>
      <c r="T138" s="1026"/>
      <c r="U138" s="1026"/>
      <c r="V138" s="1026"/>
      <c r="W138" s="1026"/>
      <c r="X138" s="1026"/>
      <c r="Y138" s="1026"/>
      <c r="Z138" s="1026"/>
      <c r="AA138" s="1026"/>
      <c r="AB138" s="1026"/>
      <c r="AC138" s="1026"/>
    </row>
    <row r="139" spans="1:29" x14ac:dyDescent="0.25">
      <c r="A139" s="847"/>
      <c r="B139" s="1026"/>
      <c r="C139" s="1026"/>
      <c r="D139" s="1026"/>
      <c r="E139" s="1026"/>
      <c r="F139" s="1026"/>
      <c r="G139" s="1026"/>
      <c r="H139" s="1026"/>
      <c r="I139" s="1026"/>
      <c r="J139" s="1026"/>
      <c r="K139" s="1026"/>
      <c r="L139" s="1026"/>
      <c r="M139" s="1026"/>
      <c r="N139" s="1026"/>
      <c r="O139" s="1026"/>
      <c r="P139" s="1026"/>
      <c r="Q139" s="1026"/>
      <c r="R139" s="1026"/>
      <c r="S139" s="1026"/>
      <c r="T139" s="1026"/>
      <c r="U139" s="1026"/>
      <c r="V139" s="1026"/>
      <c r="W139" s="1026"/>
      <c r="X139" s="1026"/>
      <c r="Y139" s="1026"/>
      <c r="Z139" s="1026"/>
      <c r="AA139" s="1026"/>
      <c r="AB139" s="1026"/>
      <c r="AC139" s="1026"/>
    </row>
    <row r="140" spans="1:29" x14ac:dyDescent="0.25">
      <c r="A140" s="847"/>
      <c r="B140" s="1026"/>
      <c r="C140" s="1026"/>
      <c r="D140" s="1026"/>
      <c r="E140" s="1026"/>
      <c r="F140" s="1026"/>
      <c r="G140" s="1026"/>
      <c r="H140" s="1026"/>
      <c r="I140" s="1026"/>
      <c r="J140" s="1026"/>
      <c r="K140" s="1026"/>
      <c r="L140" s="1026"/>
      <c r="M140" s="1026"/>
      <c r="N140" s="1026"/>
      <c r="O140" s="1026"/>
      <c r="P140" s="1026"/>
      <c r="Q140" s="1026"/>
      <c r="R140" s="1026"/>
      <c r="S140" s="1026"/>
      <c r="T140" s="1026"/>
      <c r="U140" s="1026"/>
      <c r="V140" s="1026"/>
      <c r="W140" s="1026"/>
      <c r="X140" s="1026"/>
      <c r="Y140" s="1026"/>
      <c r="Z140" s="1026"/>
      <c r="AA140" s="1026"/>
      <c r="AB140" s="1026"/>
      <c r="AC140" s="1026"/>
    </row>
    <row r="141" spans="1:29" x14ac:dyDescent="0.25">
      <c r="A141" s="847"/>
      <c r="B141" s="1026"/>
      <c r="C141" s="1026"/>
      <c r="D141" s="1026"/>
      <c r="E141" s="1026"/>
      <c r="F141" s="1026"/>
      <c r="G141" s="1026"/>
      <c r="H141" s="1026"/>
      <c r="I141" s="1026"/>
      <c r="J141" s="1026"/>
      <c r="K141" s="1026"/>
      <c r="L141" s="1026"/>
      <c r="M141" s="1026"/>
      <c r="N141" s="1026"/>
      <c r="O141" s="1026"/>
      <c r="P141" s="1026"/>
      <c r="Q141" s="1026"/>
      <c r="R141" s="1026"/>
      <c r="S141" s="1026"/>
      <c r="T141" s="1026"/>
      <c r="U141" s="1026"/>
      <c r="V141" s="1026"/>
      <c r="W141" s="1026"/>
      <c r="X141" s="1026"/>
      <c r="Y141" s="1026"/>
      <c r="Z141" s="1026"/>
      <c r="AA141" s="1026"/>
      <c r="AB141" s="1026"/>
      <c r="AC141" s="1026"/>
    </row>
    <row r="142" spans="1:29" x14ac:dyDescent="0.25">
      <c r="A142" s="847"/>
      <c r="B142" s="1026"/>
      <c r="C142" s="1026"/>
      <c r="D142" s="1026"/>
      <c r="E142" s="1026"/>
      <c r="F142" s="1026"/>
      <c r="G142" s="1026"/>
      <c r="H142" s="1026"/>
      <c r="I142" s="1026"/>
      <c r="J142" s="1026"/>
      <c r="K142" s="1026"/>
      <c r="L142" s="1026"/>
      <c r="M142" s="1026"/>
      <c r="N142" s="1026"/>
      <c r="O142" s="1026"/>
      <c r="P142" s="1026"/>
      <c r="Q142" s="1026"/>
      <c r="R142" s="1026"/>
      <c r="S142" s="1026"/>
      <c r="T142" s="1026"/>
      <c r="U142" s="1026"/>
      <c r="V142" s="1026"/>
      <c r="W142" s="1026"/>
      <c r="X142" s="1026"/>
      <c r="Y142" s="1026"/>
      <c r="Z142" s="1026"/>
      <c r="AA142" s="1026"/>
      <c r="AB142" s="1026"/>
      <c r="AC142" s="1026"/>
    </row>
    <row r="143" spans="1:29" x14ac:dyDescent="0.25">
      <c r="A143" s="847"/>
      <c r="B143" s="1026"/>
      <c r="C143" s="1026"/>
      <c r="D143" s="1026"/>
      <c r="E143" s="1026"/>
      <c r="F143" s="1026"/>
      <c r="G143" s="1026"/>
      <c r="H143" s="1026"/>
      <c r="I143" s="1026"/>
      <c r="J143" s="1026"/>
      <c r="K143" s="1026"/>
      <c r="L143" s="1026"/>
      <c r="M143" s="1026"/>
      <c r="N143" s="1026"/>
      <c r="O143" s="1026"/>
      <c r="P143" s="1026"/>
      <c r="Q143" s="1026"/>
      <c r="R143" s="1026"/>
      <c r="S143" s="1026"/>
      <c r="T143" s="1026"/>
      <c r="U143" s="1026"/>
      <c r="V143" s="1026"/>
      <c r="W143" s="1026"/>
      <c r="X143" s="1026"/>
      <c r="Y143" s="1026"/>
      <c r="Z143" s="1026"/>
      <c r="AA143" s="1026"/>
      <c r="AB143" s="1026"/>
      <c r="AC143" s="1026"/>
    </row>
    <row r="144" spans="1:29" x14ac:dyDescent="0.25">
      <c r="A144" s="847"/>
      <c r="B144" s="1026"/>
      <c r="C144" s="1026"/>
      <c r="D144" s="1026"/>
      <c r="E144" s="1026"/>
      <c r="F144" s="1026"/>
      <c r="G144" s="1026"/>
      <c r="H144" s="1026"/>
      <c r="I144" s="1026"/>
      <c r="J144" s="1026"/>
      <c r="K144" s="1026"/>
      <c r="L144" s="1026"/>
      <c r="M144" s="1026"/>
      <c r="N144" s="1026"/>
      <c r="O144" s="1026"/>
      <c r="P144" s="1026"/>
      <c r="Q144" s="1026"/>
      <c r="R144" s="1026"/>
      <c r="S144" s="1026"/>
      <c r="T144" s="1026"/>
      <c r="U144" s="1026"/>
      <c r="V144" s="1026"/>
      <c r="W144" s="1026"/>
      <c r="X144" s="1026"/>
      <c r="Y144" s="1026"/>
      <c r="Z144" s="1026"/>
      <c r="AA144" s="1026"/>
      <c r="AB144" s="1026"/>
      <c r="AC144" s="1026"/>
    </row>
    <row r="145" spans="1:29" x14ac:dyDescent="0.25">
      <c r="A145" s="847"/>
      <c r="B145" s="1026"/>
      <c r="C145" s="1026"/>
      <c r="D145" s="1026"/>
      <c r="E145" s="1026"/>
      <c r="F145" s="1026"/>
      <c r="G145" s="1026"/>
      <c r="H145" s="1026"/>
      <c r="I145" s="1026"/>
      <c r="J145" s="1026"/>
      <c r="K145" s="1026"/>
      <c r="L145" s="1026"/>
      <c r="M145" s="1026"/>
      <c r="N145" s="1026"/>
      <c r="O145" s="1026"/>
      <c r="P145" s="1026"/>
      <c r="Q145" s="1026"/>
      <c r="R145" s="1026"/>
      <c r="S145" s="1026"/>
      <c r="T145" s="1026"/>
      <c r="U145" s="1026"/>
      <c r="V145" s="1026"/>
      <c r="W145" s="1026"/>
      <c r="X145" s="1026"/>
      <c r="Y145" s="1026"/>
      <c r="Z145" s="1026"/>
      <c r="AA145" s="1026"/>
      <c r="AB145" s="1026"/>
      <c r="AC145" s="1026"/>
    </row>
    <row r="146" spans="1:29" x14ac:dyDescent="0.25">
      <c r="A146" s="847"/>
      <c r="B146" s="1026"/>
      <c r="C146" s="1026"/>
      <c r="D146" s="1026"/>
      <c r="E146" s="1026"/>
      <c r="F146" s="1026"/>
      <c r="G146" s="1026"/>
      <c r="H146" s="1026"/>
      <c r="I146" s="1026"/>
      <c r="J146" s="1026"/>
      <c r="K146" s="1026"/>
      <c r="L146" s="1026"/>
      <c r="M146" s="1026"/>
      <c r="N146" s="1026"/>
      <c r="O146" s="1026"/>
      <c r="P146" s="1026"/>
      <c r="Q146" s="1026"/>
      <c r="R146" s="1026"/>
      <c r="S146" s="1026"/>
      <c r="T146" s="1026"/>
      <c r="U146" s="1026"/>
      <c r="V146" s="1026"/>
      <c r="W146" s="1026"/>
      <c r="X146" s="1026"/>
      <c r="Y146" s="1026"/>
      <c r="Z146" s="1026"/>
      <c r="AA146" s="1026"/>
      <c r="AB146" s="1026"/>
      <c r="AC146" s="1026"/>
    </row>
    <row r="147" spans="1:29" x14ac:dyDescent="0.25">
      <c r="A147" s="847"/>
      <c r="B147" s="1026"/>
      <c r="C147" s="1026"/>
      <c r="D147" s="1026"/>
      <c r="E147" s="1026"/>
      <c r="F147" s="1026"/>
      <c r="G147" s="1026"/>
      <c r="H147" s="1026"/>
      <c r="I147" s="1026"/>
      <c r="J147" s="1026"/>
      <c r="K147" s="1026"/>
      <c r="L147" s="1026"/>
      <c r="M147" s="1026"/>
      <c r="N147" s="1026"/>
      <c r="O147" s="1026"/>
      <c r="P147" s="1026"/>
      <c r="Q147" s="1026"/>
      <c r="R147" s="1026"/>
      <c r="S147" s="1026"/>
      <c r="T147" s="1026"/>
      <c r="U147" s="1026"/>
      <c r="V147" s="1026"/>
      <c r="W147" s="1026"/>
      <c r="X147" s="1026"/>
      <c r="Y147" s="1026"/>
      <c r="Z147" s="1026"/>
      <c r="AA147" s="1026"/>
      <c r="AB147" s="1026"/>
      <c r="AC147" s="1026"/>
    </row>
    <row r="148" spans="1:29" x14ac:dyDescent="0.25">
      <c r="A148" s="847"/>
      <c r="B148" s="1026"/>
      <c r="C148" s="1026"/>
      <c r="D148" s="1026"/>
      <c r="E148" s="1026"/>
      <c r="F148" s="1026"/>
      <c r="G148" s="1026"/>
      <c r="H148" s="1026"/>
      <c r="I148" s="1026"/>
      <c r="J148" s="1026"/>
      <c r="K148" s="1026"/>
      <c r="L148" s="1026"/>
      <c r="M148" s="1026"/>
      <c r="N148" s="1026"/>
      <c r="O148" s="1026"/>
      <c r="P148" s="1026"/>
      <c r="Q148" s="1026"/>
      <c r="R148" s="1026"/>
      <c r="S148" s="1026"/>
      <c r="T148" s="1026"/>
      <c r="U148" s="1026"/>
      <c r="V148" s="1026"/>
      <c r="W148" s="1026"/>
      <c r="X148" s="1026"/>
      <c r="Y148" s="1026"/>
      <c r="Z148" s="1026"/>
      <c r="AA148" s="1026"/>
      <c r="AB148" s="1026"/>
      <c r="AC148" s="1026"/>
    </row>
    <row r="149" spans="1:29" x14ac:dyDescent="0.25">
      <c r="A149" s="847"/>
      <c r="B149" s="1026"/>
      <c r="C149" s="1026"/>
      <c r="D149" s="1026"/>
      <c r="E149" s="1026"/>
      <c r="F149" s="1026"/>
      <c r="G149" s="1026"/>
      <c r="H149" s="1026"/>
      <c r="I149" s="1026"/>
      <c r="J149" s="1026"/>
      <c r="K149" s="1026"/>
      <c r="L149" s="1026"/>
      <c r="M149" s="1026"/>
      <c r="N149" s="1026"/>
      <c r="O149" s="1026"/>
      <c r="P149" s="1026"/>
      <c r="Q149" s="1026"/>
      <c r="R149" s="1026"/>
      <c r="S149" s="1026"/>
      <c r="T149" s="1026"/>
      <c r="U149" s="1026"/>
      <c r="V149" s="1026"/>
      <c r="W149" s="1026"/>
      <c r="X149" s="1026"/>
      <c r="Y149" s="1026"/>
      <c r="Z149" s="1026"/>
      <c r="AA149" s="1026"/>
      <c r="AB149" s="1026"/>
      <c r="AC149" s="1026"/>
    </row>
    <row r="150" spans="1:29" x14ac:dyDescent="0.25">
      <c r="A150" s="847"/>
      <c r="B150" s="1026"/>
      <c r="C150" s="1026"/>
      <c r="D150" s="1026"/>
      <c r="E150" s="1026"/>
      <c r="F150" s="1026"/>
      <c r="G150" s="1026"/>
      <c r="H150" s="1026"/>
      <c r="I150" s="1026"/>
      <c r="J150" s="1026"/>
      <c r="K150" s="1026"/>
      <c r="L150" s="1026"/>
      <c r="M150" s="1026"/>
      <c r="N150" s="1026"/>
      <c r="O150" s="1026"/>
      <c r="P150" s="1026"/>
      <c r="Q150" s="1026"/>
      <c r="R150" s="1026"/>
      <c r="S150" s="1026"/>
      <c r="T150" s="1026"/>
      <c r="U150" s="1026"/>
      <c r="V150" s="1026"/>
      <c r="W150" s="1026"/>
      <c r="X150" s="1026"/>
      <c r="Y150" s="1026"/>
      <c r="Z150" s="1026"/>
      <c r="AA150" s="1026"/>
      <c r="AB150" s="1026"/>
      <c r="AC150" s="1026"/>
    </row>
    <row r="151" spans="1:29" x14ac:dyDescent="0.25">
      <c r="A151" s="847"/>
      <c r="B151" s="1026"/>
      <c r="C151" s="1026"/>
      <c r="D151" s="1026"/>
      <c r="E151" s="1026"/>
      <c r="F151" s="1026"/>
      <c r="G151" s="1026"/>
      <c r="H151" s="1026"/>
      <c r="I151" s="1026"/>
      <c r="J151" s="1026"/>
      <c r="K151" s="1026"/>
      <c r="L151" s="1026"/>
      <c r="M151" s="1026"/>
      <c r="N151" s="1026"/>
      <c r="O151" s="1026"/>
      <c r="P151" s="1026"/>
      <c r="Q151" s="1026"/>
      <c r="R151" s="1026"/>
      <c r="S151" s="1026"/>
      <c r="T151" s="1026"/>
      <c r="U151" s="1026"/>
      <c r="V151" s="1026"/>
      <c r="W151" s="1026"/>
      <c r="X151" s="1026"/>
      <c r="Y151" s="1026"/>
      <c r="Z151" s="1026"/>
      <c r="AA151" s="1026"/>
      <c r="AB151" s="1026"/>
      <c r="AC151" s="1026"/>
    </row>
    <row r="152" spans="1:29" x14ac:dyDescent="0.25">
      <c r="A152" s="847"/>
      <c r="B152" s="1026"/>
      <c r="C152" s="1026"/>
      <c r="D152" s="1026"/>
      <c r="E152" s="1026"/>
      <c r="F152" s="1026"/>
      <c r="G152" s="1026"/>
      <c r="H152" s="1026"/>
      <c r="I152" s="1026"/>
      <c r="J152" s="1026"/>
      <c r="K152" s="1026"/>
      <c r="L152" s="1026"/>
      <c r="M152" s="1026"/>
      <c r="N152" s="1026"/>
      <c r="O152" s="1026"/>
      <c r="P152" s="1026"/>
      <c r="Q152" s="1026"/>
      <c r="R152" s="1026"/>
      <c r="S152" s="1026"/>
      <c r="T152" s="1026"/>
      <c r="U152" s="1026"/>
      <c r="V152" s="1026"/>
      <c r="W152" s="1026"/>
      <c r="X152" s="1026"/>
      <c r="Y152" s="1026"/>
      <c r="Z152" s="1026"/>
      <c r="AA152" s="1026"/>
      <c r="AB152" s="1026"/>
      <c r="AC152" s="1026"/>
    </row>
    <row r="153" spans="1:29" x14ac:dyDescent="0.25">
      <c r="A153" s="847"/>
      <c r="B153" s="1026"/>
      <c r="C153" s="1026"/>
      <c r="D153" s="1026"/>
      <c r="E153" s="1026"/>
      <c r="F153" s="1026"/>
      <c r="G153" s="1026"/>
      <c r="H153" s="1026"/>
      <c r="I153" s="1026"/>
      <c r="J153" s="1026"/>
      <c r="K153" s="1026"/>
      <c r="L153" s="1026"/>
      <c r="M153" s="1026"/>
      <c r="N153" s="1026"/>
      <c r="O153" s="1026"/>
      <c r="P153" s="1026"/>
      <c r="Q153" s="1026"/>
      <c r="R153" s="1026"/>
      <c r="S153" s="1026"/>
      <c r="T153" s="1026"/>
      <c r="U153" s="1026"/>
      <c r="V153" s="1026"/>
      <c r="W153" s="1026"/>
      <c r="X153" s="1026"/>
      <c r="Y153" s="1026"/>
      <c r="Z153" s="1026"/>
      <c r="AA153" s="1026"/>
      <c r="AB153" s="1026"/>
      <c r="AC153" s="1026"/>
    </row>
    <row r="154" spans="1:29" x14ac:dyDescent="0.25">
      <c r="A154" s="847"/>
      <c r="B154" s="1026"/>
      <c r="C154" s="1026"/>
      <c r="D154" s="1026"/>
      <c r="E154" s="1026"/>
      <c r="F154" s="1026"/>
      <c r="G154" s="1026"/>
      <c r="H154" s="1026"/>
      <c r="I154" s="1026"/>
      <c r="J154" s="1026"/>
      <c r="K154" s="1026"/>
      <c r="L154" s="1026"/>
      <c r="M154" s="1026"/>
      <c r="N154" s="1026"/>
      <c r="O154" s="1026"/>
      <c r="P154" s="1026"/>
      <c r="Q154" s="1026"/>
      <c r="R154" s="1026"/>
      <c r="S154" s="1026"/>
      <c r="T154" s="1026"/>
      <c r="U154" s="1026"/>
      <c r="V154" s="1026"/>
      <c r="W154" s="1026"/>
      <c r="X154" s="1026"/>
      <c r="Y154" s="1026"/>
      <c r="Z154" s="1026"/>
      <c r="AA154" s="1026"/>
      <c r="AB154" s="1026"/>
      <c r="AC154" s="1026"/>
    </row>
    <row r="155" spans="1:29" x14ac:dyDescent="0.25">
      <c r="A155" s="847"/>
      <c r="B155" s="1026"/>
      <c r="C155" s="1026"/>
      <c r="D155" s="1026"/>
      <c r="E155" s="1026"/>
      <c r="F155" s="1026"/>
      <c r="G155" s="1026"/>
      <c r="H155" s="1026"/>
      <c r="I155" s="1026"/>
      <c r="J155" s="1026"/>
      <c r="K155" s="1026"/>
      <c r="L155" s="1026"/>
      <c r="M155" s="1026"/>
      <c r="N155" s="1026"/>
      <c r="O155" s="1026"/>
      <c r="P155" s="1026"/>
      <c r="Q155" s="1026"/>
      <c r="R155" s="1026"/>
      <c r="S155" s="1026"/>
      <c r="T155" s="1026"/>
      <c r="U155" s="1026"/>
      <c r="V155" s="1026"/>
      <c r="W155" s="1026"/>
      <c r="X155" s="1026"/>
      <c r="Y155" s="1026"/>
      <c r="Z155" s="1026"/>
      <c r="AA155" s="1026"/>
      <c r="AB155" s="1026"/>
      <c r="AC155" s="1026"/>
    </row>
    <row r="156" spans="1:29" x14ac:dyDescent="0.25">
      <c r="A156" s="847"/>
      <c r="B156" s="1026"/>
      <c r="C156" s="1026"/>
      <c r="D156" s="1026"/>
      <c r="E156" s="1026"/>
      <c r="F156" s="1026"/>
      <c r="G156" s="1026"/>
      <c r="H156" s="1026"/>
      <c r="I156" s="1026"/>
      <c r="J156" s="1026"/>
      <c r="K156" s="1026"/>
      <c r="L156" s="1026"/>
      <c r="M156" s="1026"/>
      <c r="N156" s="1026"/>
      <c r="O156" s="1026"/>
      <c r="P156" s="1026"/>
      <c r="Q156" s="1026"/>
      <c r="R156" s="1026"/>
      <c r="S156" s="1026"/>
      <c r="T156" s="1026"/>
      <c r="U156" s="1026"/>
      <c r="V156" s="1026"/>
      <c r="W156" s="1026"/>
      <c r="X156" s="1026"/>
      <c r="Y156" s="1026"/>
      <c r="Z156" s="1026"/>
      <c r="AA156" s="1026"/>
      <c r="AB156" s="1026"/>
      <c r="AC156" s="1026"/>
    </row>
    <row r="157" spans="1:29" x14ac:dyDescent="0.25">
      <c r="A157" s="847"/>
      <c r="B157" s="1026"/>
      <c r="C157" s="1026"/>
      <c r="D157" s="1026"/>
      <c r="E157" s="1026"/>
      <c r="F157" s="1026"/>
      <c r="G157" s="1026"/>
      <c r="H157" s="1026"/>
      <c r="I157" s="1026"/>
      <c r="J157" s="1026"/>
      <c r="K157" s="1026"/>
      <c r="L157" s="1026"/>
      <c r="M157" s="1026"/>
      <c r="N157" s="1026"/>
      <c r="O157" s="1026"/>
      <c r="P157" s="1026"/>
      <c r="Q157" s="1026"/>
      <c r="R157" s="1026"/>
      <c r="S157" s="1026"/>
      <c r="T157" s="1026"/>
      <c r="U157" s="1026"/>
      <c r="V157" s="1026"/>
      <c r="W157" s="1026"/>
      <c r="X157" s="1026"/>
      <c r="Y157" s="1026"/>
      <c r="Z157" s="1026"/>
      <c r="AA157" s="1026"/>
      <c r="AB157" s="1026"/>
      <c r="AC157" s="1026"/>
    </row>
    <row r="158" spans="1:29" x14ac:dyDescent="0.25">
      <c r="A158" s="847"/>
      <c r="B158" s="1026"/>
      <c r="C158" s="1026"/>
      <c r="D158" s="1026"/>
      <c r="E158" s="1026"/>
      <c r="F158" s="1026"/>
      <c r="G158" s="1026"/>
      <c r="H158" s="1026"/>
      <c r="I158" s="1026"/>
      <c r="J158" s="1026"/>
      <c r="K158" s="1026"/>
      <c r="L158" s="1026"/>
      <c r="M158" s="1026"/>
      <c r="N158" s="1026"/>
      <c r="O158" s="1026"/>
      <c r="P158" s="1026"/>
      <c r="Q158" s="1026"/>
      <c r="R158" s="1026"/>
      <c r="S158" s="1026"/>
      <c r="T158" s="1026"/>
      <c r="U158" s="1026"/>
      <c r="V158" s="1026"/>
      <c r="W158" s="1026"/>
      <c r="X158" s="1026"/>
      <c r="Y158" s="1026"/>
      <c r="Z158" s="1026"/>
      <c r="AA158" s="1026"/>
      <c r="AB158" s="1026"/>
      <c r="AC158" s="1026"/>
    </row>
    <row r="159" spans="1:29" x14ac:dyDescent="0.25">
      <c r="A159" s="847"/>
      <c r="B159" s="1026"/>
      <c r="C159" s="1026"/>
      <c r="D159" s="1026"/>
      <c r="E159" s="1026"/>
      <c r="F159" s="1026"/>
      <c r="G159" s="1026"/>
      <c r="H159" s="1026"/>
      <c r="I159" s="1026"/>
      <c r="J159" s="1026"/>
      <c r="K159" s="1026"/>
      <c r="L159" s="1026"/>
      <c r="M159" s="1026"/>
      <c r="N159" s="1026"/>
      <c r="O159" s="1026"/>
      <c r="P159" s="1026"/>
      <c r="Q159" s="1026"/>
      <c r="R159" s="1026"/>
      <c r="S159" s="1026"/>
      <c r="T159" s="1026"/>
      <c r="U159" s="1026"/>
      <c r="V159" s="1026"/>
      <c r="W159" s="1026"/>
      <c r="X159" s="1026"/>
      <c r="Y159" s="1026"/>
      <c r="Z159" s="1026"/>
      <c r="AA159" s="1026"/>
      <c r="AB159" s="1026"/>
      <c r="AC159" s="1026"/>
    </row>
    <row r="160" spans="1:29" x14ac:dyDescent="0.25">
      <c r="A160" s="847"/>
      <c r="B160" s="1026"/>
      <c r="C160" s="1026"/>
      <c r="D160" s="1026"/>
      <c r="E160" s="1026"/>
      <c r="F160" s="1026"/>
      <c r="G160" s="1026"/>
      <c r="H160" s="1026"/>
      <c r="I160" s="1026"/>
      <c r="J160" s="1026"/>
      <c r="K160" s="1026"/>
      <c r="L160" s="1026"/>
      <c r="M160" s="1026"/>
      <c r="N160" s="1026"/>
      <c r="O160" s="1026"/>
      <c r="P160" s="1026"/>
      <c r="Q160" s="1026"/>
      <c r="R160" s="1026"/>
      <c r="S160" s="1026"/>
      <c r="T160" s="1026"/>
      <c r="U160" s="1026"/>
      <c r="V160" s="1026"/>
      <c r="W160" s="1026"/>
      <c r="X160" s="1026"/>
      <c r="Y160" s="1026"/>
      <c r="Z160" s="1026"/>
      <c r="AA160" s="1026"/>
      <c r="AB160" s="1026"/>
      <c r="AC160" s="1026"/>
    </row>
    <row r="161" spans="1:29" x14ac:dyDescent="0.25">
      <c r="A161" s="847"/>
      <c r="B161" s="1026"/>
      <c r="C161" s="1026"/>
      <c r="D161" s="1026"/>
      <c r="E161" s="1026"/>
      <c r="F161" s="1026"/>
      <c r="G161" s="1026"/>
      <c r="H161" s="1026"/>
      <c r="I161" s="1026"/>
      <c r="J161" s="1026"/>
      <c r="K161" s="1026"/>
      <c r="L161" s="1026"/>
      <c r="M161" s="1026"/>
      <c r="N161" s="1026"/>
      <c r="O161" s="1026"/>
      <c r="P161" s="1026"/>
      <c r="Q161" s="1026"/>
      <c r="R161" s="1026"/>
      <c r="S161" s="1026"/>
      <c r="T161" s="1026"/>
      <c r="U161" s="1026"/>
      <c r="V161" s="1026"/>
      <c r="W161" s="1026"/>
      <c r="X161" s="1026"/>
      <c r="Y161" s="1026"/>
      <c r="Z161" s="1026"/>
      <c r="AA161" s="1026"/>
      <c r="AB161" s="1026"/>
      <c r="AC161" s="1026"/>
    </row>
    <row r="162" spans="1:29" x14ac:dyDescent="0.25">
      <c r="A162" s="847"/>
      <c r="B162" s="1026"/>
      <c r="C162" s="1026"/>
      <c r="D162" s="1026"/>
      <c r="E162" s="1026"/>
      <c r="F162" s="1026"/>
      <c r="G162" s="1026"/>
      <c r="H162" s="1026"/>
      <c r="I162" s="1026"/>
      <c r="J162" s="1026"/>
      <c r="K162" s="1026"/>
      <c r="L162" s="1026"/>
      <c r="M162" s="1026"/>
      <c r="N162" s="1026"/>
      <c r="O162" s="1026"/>
      <c r="P162" s="1026"/>
      <c r="Q162" s="1026"/>
      <c r="R162" s="1026"/>
      <c r="S162" s="1026"/>
      <c r="T162" s="1026"/>
      <c r="U162" s="1026"/>
      <c r="V162" s="1026"/>
      <c r="W162" s="1026"/>
      <c r="X162" s="1026"/>
      <c r="Y162" s="1026"/>
      <c r="Z162" s="1026"/>
      <c r="AA162" s="1026"/>
      <c r="AB162" s="1026"/>
      <c r="AC162" s="1026"/>
    </row>
    <row r="163" spans="1:29" x14ac:dyDescent="0.25">
      <c r="A163" s="847"/>
      <c r="B163" s="1026"/>
      <c r="C163" s="1026"/>
      <c r="D163" s="1026"/>
      <c r="E163" s="1026"/>
      <c r="F163" s="1026"/>
      <c r="G163" s="1026"/>
      <c r="H163" s="1026"/>
      <c r="I163" s="1026"/>
      <c r="J163" s="1026"/>
      <c r="K163" s="1026"/>
      <c r="L163" s="1026"/>
      <c r="M163" s="1026"/>
      <c r="N163" s="1026"/>
      <c r="O163" s="1026"/>
      <c r="P163" s="1026"/>
      <c r="Q163" s="1026"/>
      <c r="R163" s="1026"/>
      <c r="S163" s="1026"/>
      <c r="T163" s="1026"/>
      <c r="U163" s="1026"/>
      <c r="V163" s="1026"/>
      <c r="W163" s="1026"/>
      <c r="X163" s="1026"/>
      <c r="Y163" s="1026"/>
      <c r="Z163" s="1026"/>
      <c r="AA163" s="1026"/>
      <c r="AB163" s="1026"/>
      <c r="AC163" s="1026"/>
    </row>
    <row r="164" spans="1:29" x14ac:dyDescent="0.25">
      <c r="A164" s="847"/>
      <c r="B164" s="1026"/>
      <c r="C164" s="1026"/>
      <c r="D164" s="1026"/>
      <c r="E164" s="1026"/>
      <c r="F164" s="1026"/>
      <c r="G164" s="1026"/>
      <c r="H164" s="1026"/>
      <c r="I164" s="1026"/>
      <c r="J164" s="1026"/>
      <c r="K164" s="1026"/>
      <c r="L164" s="1026"/>
      <c r="M164" s="1026"/>
      <c r="N164" s="1026"/>
      <c r="O164" s="1026"/>
      <c r="P164" s="1026"/>
      <c r="Q164" s="1026"/>
      <c r="R164" s="1026"/>
      <c r="S164" s="1026"/>
      <c r="T164" s="1026"/>
      <c r="U164" s="1026"/>
      <c r="V164" s="1026"/>
      <c r="W164" s="1026"/>
      <c r="X164" s="1026"/>
      <c r="Y164" s="1026"/>
      <c r="Z164" s="1026"/>
      <c r="AA164" s="1026"/>
      <c r="AB164" s="1026"/>
      <c r="AC164" s="1026"/>
    </row>
    <row r="165" spans="1:29" x14ac:dyDescent="0.25">
      <c r="A165" s="84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row>
    <row r="166" spans="1:29" x14ac:dyDescent="0.25">
      <c r="A166" s="847"/>
      <c r="B166" s="1026"/>
      <c r="C166" s="1026"/>
      <c r="D166" s="1026"/>
      <c r="E166" s="1026"/>
      <c r="F166" s="1026"/>
      <c r="G166" s="1026"/>
      <c r="H166" s="1026"/>
      <c r="I166" s="1026"/>
      <c r="J166" s="1026"/>
      <c r="K166" s="1026"/>
      <c r="L166" s="1026"/>
      <c r="M166" s="1026"/>
      <c r="N166" s="1026"/>
      <c r="O166" s="1026"/>
      <c r="P166" s="1026"/>
      <c r="Q166" s="1026"/>
      <c r="R166" s="1026"/>
      <c r="S166" s="1026"/>
      <c r="T166" s="1026"/>
      <c r="U166" s="1026"/>
      <c r="V166" s="1026"/>
      <c r="W166" s="1026"/>
      <c r="X166" s="1026"/>
      <c r="Y166" s="1026"/>
      <c r="Z166" s="1026"/>
      <c r="AA166" s="1026"/>
      <c r="AB166" s="1026"/>
      <c r="AC166" s="1026"/>
    </row>
    <row r="167" spans="1:29" x14ac:dyDescent="0.25">
      <c r="A167" s="847"/>
      <c r="B167" s="1026"/>
      <c r="C167" s="1026"/>
      <c r="D167" s="1026"/>
      <c r="E167" s="1026"/>
      <c r="F167" s="1026"/>
      <c r="G167" s="1026"/>
      <c r="H167" s="1026"/>
      <c r="I167" s="1026"/>
      <c r="J167" s="1026"/>
      <c r="K167" s="1026"/>
      <c r="L167" s="1026"/>
      <c r="M167" s="1026"/>
      <c r="N167" s="1026"/>
      <c r="O167" s="1026"/>
      <c r="P167" s="1026"/>
      <c r="Q167" s="1026"/>
      <c r="R167" s="1026"/>
      <c r="S167" s="1026"/>
      <c r="T167" s="1026"/>
      <c r="U167" s="1026"/>
      <c r="V167" s="1026"/>
      <c r="W167" s="1026"/>
      <c r="X167" s="1026"/>
      <c r="Y167" s="1026"/>
      <c r="Z167" s="1026"/>
      <c r="AA167" s="1026"/>
      <c r="AB167" s="1026"/>
      <c r="AC167" s="1026"/>
    </row>
    <row r="168" spans="1:29" x14ac:dyDescent="0.25">
      <c r="A168" s="847"/>
      <c r="B168" s="1026"/>
      <c r="C168" s="1026"/>
      <c r="D168" s="1026"/>
      <c r="E168" s="1026"/>
      <c r="F168" s="1026"/>
      <c r="G168" s="1026"/>
      <c r="H168" s="1026"/>
      <c r="I168" s="1026"/>
      <c r="J168" s="1026"/>
      <c r="K168" s="1026"/>
      <c r="L168" s="1026"/>
      <c r="M168" s="1026"/>
      <c r="N168" s="1026"/>
      <c r="O168" s="1026"/>
      <c r="P168" s="1026"/>
      <c r="Q168" s="1026"/>
      <c r="R168" s="1026"/>
      <c r="S168" s="1026"/>
      <c r="T168" s="1026"/>
      <c r="U168" s="1026"/>
      <c r="V168" s="1026"/>
      <c r="W168" s="1026"/>
      <c r="X168" s="1026"/>
      <c r="Y168" s="1026"/>
      <c r="Z168" s="1026"/>
      <c r="AA168" s="1026"/>
      <c r="AB168" s="1026"/>
      <c r="AC168" s="1026"/>
    </row>
    <row r="169" spans="1:29" x14ac:dyDescent="0.25">
      <c r="A169" s="847"/>
      <c r="B169" s="1026"/>
      <c r="C169" s="1026"/>
      <c r="D169" s="1026"/>
      <c r="E169" s="1026"/>
      <c r="F169" s="1026"/>
      <c r="G169" s="1026"/>
      <c r="H169" s="1026"/>
      <c r="I169" s="1026"/>
      <c r="J169" s="1026"/>
      <c r="K169" s="1026"/>
      <c r="L169" s="1026"/>
      <c r="M169" s="1026"/>
      <c r="N169" s="1026"/>
      <c r="O169" s="1026"/>
      <c r="P169" s="1026"/>
      <c r="Q169" s="1026"/>
      <c r="R169" s="1026"/>
      <c r="S169" s="1026"/>
      <c r="T169" s="1026"/>
      <c r="U169" s="1026"/>
      <c r="V169" s="1026"/>
      <c r="W169" s="1026"/>
      <c r="X169" s="1026"/>
      <c r="Y169" s="1026"/>
      <c r="Z169" s="1026"/>
      <c r="AA169" s="1026"/>
      <c r="AB169" s="1026"/>
      <c r="AC169" s="1026"/>
    </row>
    <row r="170" spans="1:29" x14ac:dyDescent="0.25">
      <c r="A170" s="847"/>
      <c r="B170" s="1026"/>
      <c r="C170" s="1026"/>
      <c r="D170" s="1026"/>
      <c r="E170" s="1026"/>
      <c r="F170" s="1026"/>
      <c r="G170" s="1026"/>
      <c r="H170" s="1026"/>
      <c r="I170" s="1026"/>
      <c r="J170" s="1026"/>
      <c r="K170" s="1026"/>
      <c r="L170" s="1026"/>
      <c r="M170" s="1026"/>
      <c r="N170" s="1026"/>
      <c r="O170" s="1026"/>
      <c r="P170" s="1026"/>
      <c r="Q170" s="1026"/>
      <c r="R170" s="1026"/>
      <c r="S170" s="1026"/>
      <c r="T170" s="1026"/>
      <c r="U170" s="1026"/>
      <c r="V170" s="1026"/>
      <c r="W170" s="1026"/>
      <c r="X170" s="1026"/>
      <c r="Y170" s="1026"/>
      <c r="Z170" s="1026"/>
      <c r="AA170" s="1026"/>
      <c r="AB170" s="1026"/>
      <c r="AC170" s="1026"/>
    </row>
    <row r="171" spans="1:29" x14ac:dyDescent="0.25">
      <c r="A171" s="847"/>
      <c r="B171" s="1026"/>
      <c r="C171" s="1026"/>
      <c r="D171" s="1026"/>
      <c r="E171" s="1026"/>
      <c r="F171" s="1026"/>
      <c r="G171" s="1026"/>
      <c r="H171" s="1026"/>
      <c r="I171" s="1026"/>
      <c r="J171" s="1026"/>
      <c r="K171" s="1026"/>
      <c r="L171" s="1026"/>
      <c r="M171" s="1026"/>
      <c r="N171" s="1026"/>
      <c r="O171" s="1026"/>
      <c r="P171" s="1026"/>
      <c r="Q171" s="1026"/>
      <c r="R171" s="1026"/>
      <c r="S171" s="1026"/>
      <c r="T171" s="1026"/>
      <c r="U171" s="1026"/>
      <c r="V171" s="1026"/>
      <c r="W171" s="1026"/>
      <c r="X171" s="1026"/>
      <c r="Y171" s="1026"/>
      <c r="Z171" s="1026"/>
      <c r="AA171" s="1026"/>
      <c r="AB171" s="1026"/>
      <c r="AC171" s="1026"/>
    </row>
    <row r="172" spans="1:29" x14ac:dyDescent="0.25">
      <c r="A172" s="847"/>
      <c r="B172" s="1026"/>
      <c r="C172" s="1026"/>
      <c r="D172" s="1026"/>
      <c r="E172" s="1026"/>
      <c r="F172" s="1026"/>
      <c r="G172" s="1026"/>
      <c r="H172" s="1026"/>
      <c r="I172" s="1026"/>
      <c r="J172" s="1026"/>
      <c r="K172" s="1026"/>
      <c r="L172" s="1026"/>
      <c r="M172" s="1026"/>
      <c r="N172" s="1026"/>
      <c r="O172" s="1026"/>
      <c r="P172" s="1026"/>
      <c r="Q172" s="1026"/>
      <c r="R172" s="1026"/>
      <c r="S172" s="1026"/>
      <c r="T172" s="1026"/>
      <c r="U172" s="1026"/>
      <c r="V172" s="1026"/>
      <c r="W172" s="1026"/>
      <c r="X172" s="1026"/>
      <c r="Y172" s="1026"/>
      <c r="Z172" s="1026"/>
      <c r="AA172" s="1026"/>
      <c r="AB172" s="1026"/>
      <c r="AC172" s="1026"/>
    </row>
    <row r="173" spans="1:29" x14ac:dyDescent="0.25">
      <c r="A173" s="847"/>
      <c r="B173" s="1026"/>
      <c r="C173" s="1026"/>
      <c r="D173" s="1026"/>
      <c r="E173" s="1026"/>
      <c r="F173" s="1026"/>
      <c r="G173" s="1026"/>
      <c r="H173" s="1026"/>
      <c r="I173" s="1026"/>
      <c r="J173" s="1026"/>
      <c r="K173" s="1026"/>
      <c r="L173" s="1026"/>
      <c r="M173" s="1026"/>
      <c r="N173" s="1026"/>
      <c r="O173" s="1026"/>
      <c r="P173" s="1026"/>
      <c r="Q173" s="1026"/>
      <c r="R173" s="1026"/>
      <c r="S173" s="1026"/>
      <c r="T173" s="1026"/>
      <c r="U173" s="1026"/>
      <c r="V173" s="1026"/>
      <c r="W173" s="1026"/>
      <c r="X173" s="1026"/>
      <c r="Y173" s="1026"/>
      <c r="Z173" s="1026"/>
      <c r="AA173" s="1026"/>
      <c r="AB173" s="1026"/>
      <c r="AC173" s="1026"/>
    </row>
    <row r="174" spans="1:29" x14ac:dyDescent="0.25">
      <c r="A174" s="847"/>
      <c r="B174" s="1026"/>
      <c r="C174" s="1026"/>
      <c r="D174" s="1026"/>
      <c r="E174" s="1026"/>
      <c r="F174" s="1026"/>
      <c r="G174" s="1026"/>
      <c r="H174" s="1026"/>
      <c r="I174" s="1026"/>
      <c r="J174" s="1026"/>
      <c r="K174" s="1026"/>
      <c r="L174" s="1026"/>
      <c r="M174" s="1026"/>
      <c r="N174" s="1026"/>
      <c r="O174" s="1026"/>
      <c r="P174" s="1026"/>
      <c r="Q174" s="1026"/>
      <c r="R174" s="1026"/>
      <c r="S174" s="1026"/>
      <c r="T174" s="1026"/>
      <c r="U174" s="1026"/>
      <c r="V174" s="1026"/>
      <c r="W174" s="1026"/>
      <c r="X174" s="1026"/>
      <c r="Y174" s="1026"/>
      <c r="Z174" s="1026"/>
      <c r="AA174" s="1026"/>
      <c r="AB174" s="1026"/>
      <c r="AC174" s="1026"/>
    </row>
    <row r="175" spans="1:29" x14ac:dyDescent="0.25">
      <c r="A175" s="847"/>
      <c r="B175" s="1026"/>
      <c r="C175" s="1026"/>
      <c r="D175" s="1026"/>
      <c r="E175" s="1026"/>
      <c r="F175" s="1026"/>
      <c r="G175" s="1026"/>
      <c r="H175" s="1026"/>
      <c r="I175" s="1026"/>
      <c r="J175" s="1026"/>
      <c r="K175" s="1026"/>
      <c r="L175" s="1026"/>
      <c r="M175" s="1026"/>
      <c r="N175" s="1026"/>
      <c r="O175" s="1026"/>
      <c r="P175" s="1026"/>
      <c r="Q175" s="1026"/>
      <c r="R175" s="1026"/>
      <c r="S175" s="1026"/>
      <c r="T175" s="1026"/>
      <c r="U175" s="1026"/>
      <c r="V175" s="1026"/>
      <c r="W175" s="1026"/>
      <c r="X175" s="1026"/>
      <c r="Y175" s="1026"/>
      <c r="Z175" s="1026"/>
      <c r="AA175" s="1026"/>
      <c r="AB175" s="1026"/>
      <c r="AC175" s="1026"/>
    </row>
    <row r="176" spans="1:29" x14ac:dyDescent="0.25">
      <c r="A176" s="847"/>
      <c r="B176" s="1026"/>
      <c r="C176" s="1026"/>
      <c r="D176" s="1026"/>
      <c r="E176" s="1026"/>
      <c r="F176" s="1026"/>
      <c r="G176" s="1026"/>
      <c r="H176" s="1026"/>
      <c r="I176" s="1026"/>
      <c r="J176" s="1026"/>
      <c r="K176" s="1026"/>
      <c r="L176" s="1026"/>
      <c r="M176" s="1026"/>
      <c r="N176" s="1026"/>
      <c r="O176" s="1026"/>
      <c r="P176" s="1026"/>
      <c r="Q176" s="1026"/>
      <c r="R176" s="1026"/>
      <c r="S176" s="1026"/>
      <c r="T176" s="1026"/>
      <c r="U176" s="1026"/>
      <c r="V176" s="1026"/>
      <c r="W176" s="1026"/>
      <c r="X176" s="1026"/>
      <c r="Y176" s="1026"/>
      <c r="Z176" s="1026"/>
      <c r="AA176" s="1026"/>
      <c r="AB176" s="1026"/>
      <c r="AC176" s="1026"/>
    </row>
    <row r="177" spans="1:29" x14ac:dyDescent="0.25">
      <c r="A177" s="847"/>
      <c r="B177" s="1026"/>
      <c r="C177" s="1026"/>
      <c r="D177" s="1026"/>
      <c r="E177" s="1026"/>
      <c r="F177" s="1026"/>
      <c r="G177" s="1026"/>
      <c r="H177" s="1026"/>
      <c r="I177" s="1026"/>
      <c r="J177" s="1026"/>
      <c r="K177" s="1026"/>
      <c r="L177" s="1026"/>
      <c r="M177" s="1026"/>
      <c r="N177" s="1026"/>
      <c r="O177" s="1026"/>
      <c r="P177" s="1026"/>
      <c r="Q177" s="1026"/>
      <c r="R177" s="1026"/>
      <c r="S177" s="1026"/>
      <c r="T177" s="1026"/>
      <c r="U177" s="1026"/>
      <c r="V177" s="1026"/>
      <c r="W177" s="1026"/>
      <c r="X177" s="1026"/>
      <c r="Y177" s="1026"/>
      <c r="Z177" s="1026"/>
      <c r="AA177" s="1026"/>
      <c r="AB177" s="1026"/>
      <c r="AC177" s="1026"/>
    </row>
    <row r="178" spans="1:29" x14ac:dyDescent="0.25">
      <c r="A178" s="847"/>
      <c r="B178" s="1026"/>
      <c r="C178" s="1026"/>
      <c r="D178" s="1026"/>
      <c r="E178" s="1026"/>
      <c r="F178" s="1026"/>
      <c r="G178" s="1026"/>
      <c r="H178" s="1026"/>
      <c r="I178" s="1026"/>
      <c r="J178" s="1026"/>
      <c r="K178" s="1026"/>
      <c r="L178" s="1026"/>
      <c r="M178" s="1026"/>
      <c r="N178" s="1026"/>
      <c r="O178" s="1026"/>
      <c r="P178" s="1026"/>
      <c r="Q178" s="1026"/>
      <c r="R178" s="1026"/>
      <c r="S178" s="1026"/>
      <c r="T178" s="1026"/>
      <c r="U178" s="1026"/>
      <c r="V178" s="1026"/>
      <c r="W178" s="1026"/>
      <c r="X178" s="1026"/>
      <c r="Y178" s="1026"/>
      <c r="Z178" s="1026"/>
      <c r="AA178" s="1026"/>
      <c r="AB178" s="1026"/>
      <c r="AC178" s="1026"/>
    </row>
    <row r="179" spans="1:29" x14ac:dyDescent="0.25">
      <c r="A179" s="847"/>
      <c r="B179" s="1026"/>
      <c r="C179" s="1026"/>
      <c r="D179" s="1026"/>
      <c r="E179" s="1026"/>
      <c r="F179" s="1026"/>
      <c r="G179" s="1026"/>
      <c r="H179" s="1026"/>
      <c r="I179" s="1026"/>
      <c r="J179" s="1026"/>
      <c r="K179" s="1026"/>
      <c r="L179" s="1026"/>
      <c r="M179" s="1026"/>
      <c r="N179" s="1026"/>
      <c r="O179" s="1026"/>
      <c r="P179" s="1026"/>
      <c r="Q179" s="1026"/>
      <c r="R179" s="1026"/>
      <c r="S179" s="1026"/>
      <c r="T179" s="1026"/>
      <c r="U179" s="1026"/>
      <c r="V179" s="1026"/>
      <c r="W179" s="1026"/>
      <c r="X179" s="1026"/>
      <c r="Y179" s="1026"/>
      <c r="Z179" s="1026"/>
      <c r="AA179" s="1026"/>
      <c r="AB179" s="1026"/>
      <c r="AC179" s="1026"/>
    </row>
    <row r="180" spans="1:29" x14ac:dyDescent="0.25">
      <c r="A180" s="847"/>
      <c r="B180" s="1026"/>
      <c r="C180" s="1026"/>
      <c r="D180" s="1026"/>
      <c r="E180" s="1026"/>
      <c r="F180" s="1026"/>
      <c r="G180" s="1026"/>
      <c r="H180" s="1026"/>
      <c r="I180" s="1026"/>
      <c r="J180" s="1026"/>
      <c r="K180" s="1026"/>
      <c r="L180" s="1026"/>
      <c r="M180" s="1026"/>
      <c r="N180" s="1026"/>
      <c r="O180" s="1026"/>
      <c r="P180" s="1026"/>
      <c r="Q180" s="1026"/>
      <c r="R180" s="1026"/>
      <c r="S180" s="1026"/>
      <c r="T180" s="1026"/>
      <c r="U180" s="1026"/>
      <c r="V180" s="1026"/>
      <c r="W180" s="1026"/>
      <c r="X180" s="1026"/>
      <c r="Y180" s="1026"/>
      <c r="Z180" s="1026"/>
      <c r="AA180" s="1026"/>
      <c r="AB180" s="1026"/>
      <c r="AC180" s="1026"/>
    </row>
    <row r="181" spans="1:29" x14ac:dyDescent="0.25">
      <c r="A181" s="847"/>
      <c r="B181" s="1026"/>
      <c r="C181" s="1026"/>
      <c r="D181" s="1026"/>
      <c r="E181" s="1026"/>
      <c r="F181" s="1026"/>
      <c r="G181" s="1026"/>
      <c r="H181" s="1026"/>
      <c r="I181" s="1026"/>
      <c r="J181" s="1026"/>
      <c r="K181" s="1026"/>
      <c r="L181" s="1026"/>
      <c r="M181" s="1026"/>
      <c r="N181" s="1026"/>
      <c r="O181" s="1026"/>
      <c r="P181" s="1026"/>
      <c r="Q181" s="1026"/>
      <c r="R181" s="1026"/>
      <c r="S181" s="1026"/>
      <c r="T181" s="1026"/>
      <c r="U181" s="1026"/>
      <c r="V181" s="1026"/>
      <c r="W181" s="1026"/>
      <c r="X181" s="1026"/>
      <c r="Y181" s="1026"/>
      <c r="Z181" s="1026"/>
      <c r="AA181" s="1026"/>
      <c r="AB181" s="1026"/>
      <c r="AC181" s="1026"/>
    </row>
    <row r="182" spans="1:29" x14ac:dyDescent="0.25">
      <c r="A182" s="847"/>
      <c r="B182" s="1026"/>
      <c r="C182" s="1026"/>
      <c r="D182" s="1026"/>
      <c r="E182" s="1026"/>
      <c r="F182" s="1026"/>
      <c r="G182" s="1026"/>
      <c r="H182" s="1026"/>
      <c r="I182" s="1026"/>
      <c r="J182" s="1026"/>
      <c r="K182" s="1026"/>
      <c r="L182" s="1026"/>
      <c r="M182" s="1026"/>
      <c r="N182" s="1026"/>
      <c r="O182" s="1026"/>
      <c r="P182" s="1026"/>
      <c r="Q182" s="1026"/>
      <c r="R182" s="1026"/>
      <c r="S182" s="1026"/>
      <c r="T182" s="1026"/>
      <c r="U182" s="1026"/>
      <c r="V182" s="1026"/>
      <c r="W182" s="1026"/>
      <c r="X182" s="1026"/>
      <c r="Y182" s="1026"/>
      <c r="Z182" s="1026"/>
      <c r="AA182" s="1026"/>
      <c r="AB182" s="1026"/>
      <c r="AC182" s="1026"/>
    </row>
    <row r="183" spans="1:29" x14ac:dyDescent="0.25">
      <c r="A183" s="847"/>
      <c r="B183" s="1026"/>
      <c r="C183" s="1026"/>
      <c r="D183" s="1026"/>
      <c r="E183" s="1026"/>
      <c r="F183" s="1026"/>
      <c r="G183" s="1026"/>
      <c r="H183" s="1026"/>
      <c r="I183" s="1026"/>
      <c r="J183" s="1026"/>
      <c r="K183" s="1026"/>
      <c r="L183" s="1026"/>
      <c r="M183" s="1026"/>
      <c r="N183" s="1026"/>
      <c r="O183" s="1026"/>
      <c r="P183" s="1026"/>
      <c r="Q183" s="1026"/>
      <c r="R183" s="1026"/>
      <c r="S183" s="1026"/>
      <c r="T183" s="1026"/>
      <c r="U183" s="1026"/>
      <c r="V183" s="1026"/>
      <c r="W183" s="1026"/>
      <c r="X183" s="1026"/>
      <c r="Y183" s="1026"/>
      <c r="Z183" s="1026"/>
      <c r="AA183" s="1026"/>
      <c r="AB183" s="1026"/>
      <c r="AC183" s="1026"/>
    </row>
    <row r="184" spans="1:29" x14ac:dyDescent="0.25">
      <c r="A184" s="847"/>
      <c r="B184" s="1026"/>
      <c r="C184" s="1026"/>
      <c r="D184" s="1026"/>
      <c r="E184" s="1026"/>
      <c r="F184" s="1026"/>
      <c r="G184" s="1026"/>
      <c r="H184" s="1026"/>
      <c r="I184" s="1026"/>
      <c r="J184" s="1026"/>
      <c r="K184" s="1026"/>
      <c r="L184" s="1026"/>
      <c r="M184" s="1026"/>
      <c r="N184" s="1026"/>
      <c r="O184" s="1026"/>
      <c r="P184" s="1026"/>
      <c r="Q184" s="1026"/>
      <c r="R184" s="1026"/>
      <c r="S184" s="1026"/>
      <c r="T184" s="1026"/>
      <c r="U184" s="1026"/>
      <c r="V184" s="1026"/>
      <c r="W184" s="1026"/>
      <c r="X184" s="1026"/>
      <c r="Y184" s="1026"/>
      <c r="Z184" s="1026"/>
      <c r="AA184" s="1026"/>
      <c r="AB184" s="1026"/>
      <c r="AC184" s="1026"/>
    </row>
    <row r="185" spans="1:29" x14ac:dyDescent="0.25">
      <c r="A185" s="847"/>
      <c r="B185" s="1026"/>
      <c r="C185" s="1026"/>
      <c r="D185" s="1026"/>
      <c r="E185" s="1026"/>
      <c r="F185" s="1026"/>
      <c r="G185" s="1026"/>
      <c r="H185" s="1026"/>
      <c r="I185" s="1026"/>
      <c r="J185" s="1026"/>
      <c r="K185" s="1026"/>
      <c r="L185" s="1026"/>
      <c r="M185" s="1026"/>
      <c r="N185" s="1026"/>
      <c r="O185" s="1026"/>
      <c r="P185" s="1026"/>
      <c r="Q185" s="1026"/>
      <c r="R185" s="1026"/>
      <c r="S185" s="1026"/>
      <c r="T185" s="1026"/>
      <c r="U185" s="1026"/>
      <c r="V185" s="1026"/>
      <c r="W185" s="1026"/>
      <c r="X185" s="1026"/>
      <c r="Y185" s="1026"/>
      <c r="Z185" s="1026"/>
      <c r="AA185" s="1026"/>
      <c r="AB185" s="1026"/>
      <c r="AC185" s="1026"/>
    </row>
    <row r="186" spans="1:29" x14ac:dyDescent="0.25">
      <c r="A186" s="847"/>
      <c r="B186" s="1026"/>
      <c r="C186" s="1026"/>
      <c r="D186" s="1026"/>
      <c r="E186" s="1026"/>
      <c r="F186" s="1026"/>
      <c r="G186" s="1026"/>
      <c r="H186" s="1026"/>
      <c r="I186" s="1026"/>
      <c r="J186" s="1026"/>
      <c r="K186" s="1026"/>
      <c r="L186" s="1026"/>
      <c r="M186" s="1026"/>
      <c r="N186" s="1026"/>
      <c r="O186" s="1026"/>
      <c r="P186" s="1026"/>
      <c r="Q186" s="1026"/>
      <c r="R186" s="1026"/>
      <c r="S186" s="1026"/>
      <c r="T186" s="1026"/>
      <c r="U186" s="1026"/>
      <c r="V186" s="1026"/>
      <c r="W186" s="1026"/>
      <c r="X186" s="1026"/>
      <c r="Y186" s="1026"/>
      <c r="Z186" s="1026"/>
      <c r="AA186" s="1026"/>
      <c r="AB186" s="1026"/>
      <c r="AC186" s="1026"/>
    </row>
    <row r="187" spans="1:29" x14ac:dyDescent="0.25">
      <c r="A187" s="847"/>
      <c r="B187" s="1026"/>
      <c r="C187" s="1026"/>
      <c r="D187" s="1026"/>
      <c r="E187" s="1026"/>
      <c r="F187" s="1026"/>
      <c r="G187" s="1026"/>
      <c r="H187" s="1026"/>
      <c r="I187" s="1026"/>
      <c r="J187" s="1026"/>
      <c r="K187" s="1026"/>
      <c r="L187" s="1026"/>
      <c r="M187" s="1026"/>
      <c r="N187" s="1026"/>
      <c r="O187" s="1026"/>
      <c r="P187" s="1026"/>
      <c r="Q187" s="1026"/>
      <c r="R187" s="1026"/>
      <c r="S187" s="1026"/>
      <c r="T187" s="1026"/>
      <c r="U187" s="1026"/>
      <c r="V187" s="1026"/>
      <c r="W187" s="1026"/>
      <c r="X187" s="1026"/>
      <c r="Y187" s="1026"/>
      <c r="Z187" s="1026"/>
      <c r="AA187" s="1026"/>
      <c r="AB187" s="1026"/>
      <c r="AC187" s="1026"/>
    </row>
    <row r="188" spans="1:29" x14ac:dyDescent="0.25">
      <c r="A188" s="847"/>
      <c r="B188" s="1026"/>
      <c r="C188" s="1026"/>
      <c r="D188" s="1026"/>
      <c r="E188" s="1026"/>
      <c r="F188" s="1026"/>
      <c r="G188" s="1026"/>
      <c r="H188" s="1026"/>
      <c r="I188" s="1026"/>
      <c r="J188" s="1026"/>
      <c r="K188" s="1026"/>
      <c r="L188" s="1026"/>
      <c r="M188" s="1026"/>
      <c r="N188" s="1026"/>
      <c r="O188" s="1026"/>
      <c r="P188" s="1026"/>
      <c r="Q188" s="1026"/>
      <c r="R188" s="1026"/>
      <c r="S188" s="1026"/>
      <c r="T188" s="1026"/>
      <c r="U188" s="1026"/>
      <c r="V188" s="1026"/>
      <c r="W188" s="1026"/>
      <c r="X188" s="1026"/>
      <c r="Y188" s="1026"/>
      <c r="Z188" s="1026"/>
      <c r="AA188" s="1026"/>
      <c r="AB188" s="1026"/>
      <c r="AC188" s="1026"/>
    </row>
    <row r="189" spans="1:29" x14ac:dyDescent="0.25">
      <c r="A189" s="847"/>
      <c r="B189" s="1026"/>
      <c r="C189" s="1026"/>
      <c r="D189" s="1026"/>
      <c r="E189" s="1026"/>
      <c r="F189" s="1026"/>
      <c r="G189" s="1026"/>
      <c r="H189" s="1026"/>
      <c r="I189" s="1026"/>
      <c r="J189" s="1026"/>
      <c r="K189" s="1026"/>
      <c r="L189" s="1026"/>
      <c r="M189" s="1026"/>
      <c r="N189" s="1026"/>
      <c r="O189" s="1026"/>
      <c r="P189" s="1026"/>
      <c r="Q189" s="1026"/>
      <c r="R189" s="1026"/>
      <c r="S189" s="1026"/>
      <c r="T189" s="1026"/>
      <c r="U189" s="1026"/>
      <c r="V189" s="1026"/>
      <c r="W189" s="1026"/>
      <c r="X189" s="1026"/>
      <c r="Y189" s="1026"/>
      <c r="Z189" s="1026"/>
      <c r="AA189" s="1026"/>
      <c r="AB189" s="1026"/>
      <c r="AC189" s="1026"/>
    </row>
    <row r="190" spans="1:29" x14ac:dyDescent="0.25">
      <c r="A190" s="847"/>
      <c r="B190" s="1026"/>
      <c r="C190" s="1026"/>
      <c r="D190" s="1026"/>
      <c r="E190" s="1026"/>
      <c r="F190" s="1026"/>
      <c r="G190" s="1026"/>
      <c r="H190" s="1026"/>
      <c r="I190" s="1026"/>
      <c r="J190" s="1026"/>
      <c r="K190" s="1026"/>
      <c r="L190" s="1026"/>
      <c r="M190" s="1026"/>
      <c r="N190" s="1026"/>
      <c r="O190" s="1026"/>
      <c r="P190" s="1026"/>
      <c r="Q190" s="1026"/>
      <c r="R190" s="1026"/>
      <c r="S190" s="1026"/>
      <c r="T190" s="1026"/>
      <c r="U190" s="1026"/>
      <c r="V190" s="1026"/>
      <c r="W190" s="1026"/>
      <c r="X190" s="1026"/>
      <c r="Y190" s="1026"/>
      <c r="Z190" s="1026"/>
      <c r="AA190" s="1026"/>
      <c r="AB190" s="1026"/>
      <c r="AC190" s="1026"/>
    </row>
    <row r="191" spans="1:29" x14ac:dyDescent="0.25">
      <c r="A191" s="847"/>
      <c r="B191" s="1026"/>
      <c r="C191" s="1026"/>
      <c r="D191" s="1026"/>
      <c r="E191" s="1026"/>
      <c r="F191" s="1026"/>
      <c r="G191" s="1026"/>
      <c r="H191" s="1026"/>
      <c r="I191" s="1026"/>
      <c r="J191" s="1026"/>
      <c r="K191" s="1026"/>
      <c r="L191" s="1026"/>
      <c r="M191" s="1026"/>
      <c r="N191" s="1026"/>
      <c r="O191" s="1026"/>
      <c r="P191" s="1026"/>
      <c r="Q191" s="1026"/>
      <c r="R191" s="1026"/>
      <c r="S191" s="1026"/>
      <c r="T191" s="1026"/>
      <c r="U191" s="1026"/>
      <c r="V191" s="1026"/>
      <c r="W191" s="1026"/>
      <c r="X191" s="1026"/>
      <c r="Y191" s="1026"/>
      <c r="Z191" s="1026"/>
      <c r="AA191" s="1026"/>
      <c r="AB191" s="1026"/>
      <c r="AC191" s="1026"/>
    </row>
    <row r="192" spans="1:29" x14ac:dyDescent="0.25">
      <c r="A192" s="847"/>
      <c r="B192" s="1026"/>
      <c r="C192" s="1026"/>
      <c r="D192" s="1026"/>
      <c r="E192" s="1026"/>
      <c r="F192" s="1026"/>
      <c r="G192" s="1026"/>
      <c r="H192" s="1026"/>
      <c r="I192" s="1026"/>
      <c r="J192" s="1026"/>
      <c r="K192" s="1026"/>
      <c r="L192" s="1026"/>
      <c r="M192" s="1026"/>
      <c r="N192" s="1026"/>
      <c r="O192" s="1026"/>
      <c r="P192" s="1026"/>
      <c r="Q192" s="1026"/>
      <c r="R192" s="1026"/>
      <c r="S192" s="1026"/>
      <c r="T192" s="1026"/>
      <c r="U192" s="1026"/>
      <c r="V192" s="1026"/>
      <c r="W192" s="1026"/>
      <c r="X192" s="1026"/>
      <c r="Y192" s="1026"/>
      <c r="Z192" s="1026"/>
      <c r="AA192" s="1026"/>
      <c r="AB192" s="1026"/>
      <c r="AC192" s="1026"/>
    </row>
    <row r="193" spans="1:29" x14ac:dyDescent="0.25">
      <c r="A193" s="847"/>
      <c r="B193" s="1026"/>
      <c r="C193" s="1026"/>
      <c r="D193" s="1026"/>
      <c r="E193" s="1026"/>
      <c r="F193" s="1026"/>
      <c r="G193" s="1026"/>
      <c r="H193" s="1026"/>
      <c r="I193" s="1026"/>
      <c r="J193" s="1026"/>
      <c r="K193" s="1026"/>
      <c r="L193" s="1026"/>
      <c r="M193" s="1026"/>
      <c r="N193" s="1026"/>
      <c r="O193" s="1026"/>
      <c r="P193" s="1026"/>
      <c r="Q193" s="1026"/>
      <c r="R193" s="1026"/>
      <c r="S193" s="1026"/>
      <c r="T193" s="1026"/>
      <c r="U193" s="1026"/>
      <c r="V193" s="1026"/>
      <c r="W193" s="1026"/>
      <c r="X193" s="1026"/>
      <c r="Y193" s="1026"/>
      <c r="Z193" s="1026"/>
      <c r="AA193" s="1026"/>
      <c r="AB193" s="1026"/>
      <c r="AC193" s="1026"/>
    </row>
    <row r="194" spans="1:29" x14ac:dyDescent="0.25">
      <c r="A194" s="847"/>
      <c r="B194" s="1026"/>
      <c r="C194" s="1026"/>
      <c r="D194" s="1026"/>
      <c r="E194" s="1026"/>
      <c r="F194" s="1026"/>
      <c r="G194" s="1026"/>
      <c r="H194" s="1026"/>
      <c r="I194" s="1026"/>
      <c r="J194" s="1026"/>
      <c r="K194" s="1026"/>
      <c r="L194" s="1026"/>
      <c r="M194" s="1026"/>
      <c r="N194" s="1026"/>
      <c r="O194" s="1026"/>
      <c r="P194" s="1026"/>
      <c r="Q194" s="1026"/>
      <c r="R194" s="1026"/>
      <c r="S194" s="1026"/>
      <c r="T194" s="1026"/>
      <c r="U194" s="1026"/>
      <c r="V194" s="1026"/>
      <c r="W194" s="1026"/>
      <c r="X194" s="1026"/>
      <c r="Y194" s="1026"/>
      <c r="Z194" s="1026"/>
      <c r="AA194" s="1026"/>
      <c r="AB194" s="1026"/>
      <c r="AC194" s="1026"/>
    </row>
    <row r="195" spans="1:29" x14ac:dyDescent="0.25">
      <c r="A195" s="847"/>
      <c r="B195" s="1026"/>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row>
    <row r="196" spans="1:29" x14ac:dyDescent="0.25">
      <c r="A196" s="847"/>
      <c r="B196" s="1026"/>
      <c r="C196" s="1026"/>
      <c r="D196" s="1026"/>
      <c r="E196" s="1026"/>
      <c r="F196" s="1026"/>
      <c r="G196" s="1026"/>
      <c r="H196" s="1026"/>
      <c r="I196" s="1026"/>
      <c r="J196" s="1026"/>
      <c r="K196" s="1026"/>
      <c r="L196" s="1026"/>
      <c r="M196" s="1026"/>
      <c r="N196" s="1026"/>
      <c r="O196" s="1026"/>
      <c r="P196" s="1026"/>
      <c r="Q196" s="1026"/>
      <c r="R196" s="1026"/>
      <c r="S196" s="1026"/>
      <c r="T196" s="1026"/>
      <c r="U196" s="1026"/>
      <c r="V196" s="1026"/>
      <c r="W196" s="1026"/>
      <c r="X196" s="1026"/>
      <c r="Y196" s="1026"/>
      <c r="Z196" s="1026"/>
      <c r="AA196" s="1026"/>
      <c r="AB196" s="1026"/>
      <c r="AC196" s="1026"/>
    </row>
    <row r="197" spans="1:29" x14ac:dyDescent="0.25">
      <c r="A197" s="847"/>
      <c r="B197" s="1026"/>
      <c r="C197" s="1026"/>
      <c r="D197" s="1026"/>
      <c r="E197" s="1026"/>
      <c r="F197" s="1026"/>
      <c r="G197" s="1026"/>
      <c r="H197" s="1026"/>
      <c r="I197" s="1026"/>
      <c r="J197" s="1026"/>
      <c r="K197" s="1026"/>
      <c r="L197" s="1026"/>
      <c r="M197" s="1026"/>
      <c r="N197" s="1026"/>
      <c r="O197" s="1026"/>
      <c r="P197" s="1026"/>
      <c r="Q197" s="1026"/>
      <c r="R197" s="1026"/>
      <c r="S197" s="1026"/>
      <c r="T197" s="1026"/>
      <c r="U197" s="1026"/>
      <c r="V197" s="1026"/>
      <c r="W197" s="1026"/>
      <c r="X197" s="1026"/>
      <c r="Y197" s="1026"/>
      <c r="Z197" s="1026"/>
      <c r="AA197" s="1026"/>
      <c r="AB197" s="1026"/>
      <c r="AC197" s="1026"/>
    </row>
    <row r="198" spans="1:29" x14ac:dyDescent="0.25">
      <c r="A198" s="847"/>
      <c r="B198" s="1026"/>
      <c r="C198" s="1026"/>
      <c r="D198" s="1026"/>
      <c r="E198" s="1026"/>
      <c r="F198" s="1026"/>
      <c r="G198" s="1026"/>
      <c r="H198" s="1026"/>
      <c r="I198" s="1026"/>
      <c r="J198" s="1026"/>
      <c r="K198" s="1026"/>
      <c r="L198" s="1026"/>
      <c r="M198" s="1026"/>
      <c r="N198" s="1026"/>
      <c r="O198" s="1026"/>
      <c r="P198" s="1026"/>
      <c r="Q198" s="1026"/>
      <c r="R198" s="1026"/>
      <c r="S198" s="1026"/>
      <c r="T198" s="1026"/>
      <c r="U198" s="1026"/>
      <c r="V198" s="1026"/>
      <c r="W198" s="1026"/>
      <c r="X198" s="1026"/>
      <c r="Y198" s="1026"/>
      <c r="Z198" s="1026"/>
      <c r="AA198" s="1026"/>
      <c r="AB198" s="1026"/>
      <c r="AC198" s="1026"/>
    </row>
    <row r="199" spans="1:29" x14ac:dyDescent="0.25">
      <c r="A199" s="847"/>
      <c r="B199" s="1026"/>
      <c r="C199" s="1026"/>
      <c r="D199" s="1026"/>
      <c r="E199" s="1026"/>
      <c r="F199" s="1026"/>
      <c r="G199" s="1026"/>
      <c r="H199" s="1026"/>
      <c r="I199" s="1026"/>
      <c r="J199" s="1026"/>
      <c r="K199" s="1026"/>
      <c r="L199" s="1026"/>
      <c r="M199" s="1026"/>
      <c r="N199" s="1026"/>
      <c r="O199" s="1026"/>
      <c r="P199" s="1026"/>
      <c r="Q199" s="1026"/>
      <c r="R199" s="1026"/>
      <c r="S199" s="1026"/>
      <c r="T199" s="1026"/>
      <c r="U199" s="1026"/>
      <c r="V199" s="1026"/>
      <c r="W199" s="1026"/>
      <c r="X199" s="1026"/>
      <c r="Y199" s="1026"/>
      <c r="Z199" s="1026"/>
      <c r="AA199" s="1026"/>
      <c r="AB199" s="1026"/>
      <c r="AC199" s="1026"/>
    </row>
    <row r="200" spans="1:29" x14ac:dyDescent="0.25">
      <c r="A200" s="847"/>
      <c r="B200" s="1026"/>
      <c r="C200" s="1026"/>
      <c r="D200" s="1026"/>
      <c r="E200" s="1026"/>
      <c r="F200" s="1026"/>
      <c r="G200" s="1026"/>
      <c r="H200" s="1026"/>
      <c r="I200" s="1026"/>
      <c r="J200" s="1026"/>
      <c r="K200" s="1026"/>
      <c r="L200" s="1026"/>
      <c r="M200" s="1026"/>
      <c r="N200" s="1026"/>
      <c r="O200" s="1026"/>
      <c r="P200" s="1026"/>
      <c r="Q200" s="1026"/>
      <c r="R200" s="1026"/>
      <c r="S200" s="1026"/>
      <c r="T200" s="1026"/>
      <c r="U200" s="1026"/>
      <c r="V200" s="1026"/>
      <c r="W200" s="1026"/>
      <c r="X200" s="1026"/>
      <c r="Y200" s="1026"/>
      <c r="Z200" s="1026"/>
      <c r="AA200" s="1026"/>
      <c r="AB200" s="1026"/>
      <c r="AC200" s="1026"/>
    </row>
    <row r="201" spans="1:29" x14ac:dyDescent="0.25">
      <c r="A201" s="847"/>
      <c r="B201" s="1026"/>
      <c r="C201" s="1026"/>
      <c r="D201" s="1026"/>
      <c r="E201" s="1026"/>
      <c r="F201" s="1026"/>
      <c r="G201" s="1026"/>
      <c r="H201" s="1026"/>
      <c r="I201" s="1026"/>
      <c r="J201" s="1026"/>
      <c r="K201" s="1026"/>
      <c r="L201" s="1026"/>
      <c r="M201" s="1026"/>
      <c r="N201" s="1026"/>
      <c r="O201" s="1026"/>
      <c r="P201" s="1026"/>
      <c r="Q201" s="1026"/>
      <c r="R201" s="1026"/>
      <c r="S201" s="1026"/>
      <c r="T201" s="1026"/>
      <c r="U201" s="1026"/>
      <c r="V201" s="1026"/>
      <c r="W201" s="1026"/>
      <c r="X201" s="1026"/>
      <c r="Y201" s="1026"/>
      <c r="Z201" s="1026"/>
      <c r="AA201" s="1026"/>
      <c r="AB201" s="1026"/>
      <c r="AC201" s="1026"/>
    </row>
    <row r="202" spans="1:29" x14ac:dyDescent="0.25">
      <c r="A202" s="847"/>
      <c r="B202" s="1026"/>
      <c r="C202" s="1026"/>
      <c r="D202" s="1026"/>
      <c r="E202" s="1026"/>
      <c r="F202" s="1026"/>
      <c r="G202" s="1026"/>
      <c r="H202" s="1026"/>
      <c r="I202" s="1026"/>
      <c r="J202" s="1026"/>
      <c r="K202" s="1026"/>
      <c r="L202" s="1026"/>
      <c r="M202" s="1026"/>
      <c r="N202" s="1026"/>
      <c r="O202" s="1026"/>
      <c r="P202" s="1026"/>
      <c r="Q202" s="1026"/>
      <c r="R202" s="1026"/>
      <c r="S202" s="1026"/>
      <c r="T202" s="1026"/>
      <c r="U202" s="1026"/>
      <c r="V202" s="1026"/>
      <c r="W202" s="1026"/>
      <c r="X202" s="1026"/>
      <c r="Y202" s="1026"/>
      <c r="Z202" s="1026"/>
      <c r="AA202" s="1026"/>
      <c r="AB202" s="1026"/>
      <c r="AC202" s="1026"/>
    </row>
    <row r="203" spans="1:29" x14ac:dyDescent="0.25">
      <c r="A203" s="847"/>
      <c r="B203" s="1026"/>
      <c r="C203" s="1026"/>
      <c r="D203" s="1026"/>
      <c r="E203" s="1026"/>
      <c r="F203" s="1026"/>
      <c r="G203" s="1026"/>
      <c r="H203" s="1026"/>
      <c r="I203" s="1026"/>
      <c r="J203" s="1026"/>
      <c r="K203" s="1026"/>
      <c r="L203" s="1026"/>
      <c r="M203" s="1026"/>
      <c r="N203" s="1026"/>
      <c r="O203" s="1026"/>
      <c r="P203" s="1026"/>
      <c r="Q203" s="1026"/>
      <c r="R203" s="1026"/>
      <c r="S203" s="1026"/>
      <c r="T203" s="1026"/>
      <c r="U203" s="1026"/>
      <c r="V203" s="1026"/>
      <c r="W203" s="1026"/>
      <c r="X203" s="1026"/>
      <c r="Y203" s="1026"/>
      <c r="Z203" s="1026"/>
      <c r="AA203" s="1026"/>
      <c r="AB203" s="1026"/>
      <c r="AC203" s="1026"/>
    </row>
    <row r="204" spans="1:29" x14ac:dyDescent="0.25">
      <c r="A204" s="847"/>
      <c r="B204" s="1026"/>
      <c r="C204" s="1026"/>
      <c r="D204" s="1026"/>
      <c r="E204" s="1026"/>
      <c r="F204" s="1026"/>
      <c r="G204" s="1026"/>
      <c r="H204" s="1026"/>
      <c r="I204" s="1026"/>
      <c r="J204" s="1026"/>
      <c r="K204" s="1026"/>
      <c r="L204" s="1026"/>
      <c r="M204" s="1026"/>
      <c r="N204" s="1026"/>
      <c r="O204" s="1026"/>
      <c r="P204" s="1026"/>
      <c r="Q204" s="1026"/>
      <c r="R204" s="1026"/>
      <c r="S204" s="1026"/>
      <c r="T204" s="1026"/>
      <c r="U204" s="1026"/>
      <c r="V204" s="1026"/>
      <c r="W204" s="1026"/>
      <c r="X204" s="1026"/>
      <c r="Y204" s="1026"/>
      <c r="Z204" s="1026"/>
      <c r="AA204" s="1026"/>
      <c r="AB204" s="1026"/>
      <c r="AC204" s="1026"/>
    </row>
    <row r="205" spans="1:29" x14ac:dyDescent="0.25">
      <c r="A205" s="847"/>
      <c r="B205" s="1026"/>
      <c r="C205" s="1026"/>
      <c r="D205" s="1026"/>
      <c r="E205" s="1026"/>
      <c r="F205" s="1026"/>
      <c r="G205" s="1026"/>
      <c r="H205" s="1026"/>
      <c r="I205" s="1026"/>
      <c r="J205" s="1026"/>
      <c r="K205" s="1026"/>
      <c r="L205" s="1026"/>
      <c r="M205" s="1026"/>
      <c r="N205" s="1026"/>
      <c r="O205" s="1026"/>
      <c r="P205" s="1026"/>
      <c r="Q205" s="1026"/>
      <c r="R205" s="1026"/>
      <c r="S205" s="1026"/>
      <c r="T205" s="1026"/>
      <c r="U205" s="1026"/>
      <c r="V205" s="1026"/>
      <c r="W205" s="1026"/>
      <c r="X205" s="1026"/>
      <c r="Y205" s="1026"/>
      <c r="Z205" s="1026"/>
      <c r="AA205" s="1026"/>
      <c r="AB205" s="1026"/>
      <c r="AC205" s="1026"/>
    </row>
    <row r="206" spans="1:29" x14ac:dyDescent="0.25">
      <c r="A206" s="847"/>
      <c r="B206" s="1026"/>
      <c r="C206" s="1026"/>
      <c r="D206" s="1026"/>
      <c r="E206" s="1026"/>
      <c r="F206" s="1026"/>
      <c r="G206" s="1026"/>
      <c r="H206" s="1026"/>
      <c r="I206" s="1026"/>
      <c r="J206" s="1026"/>
      <c r="K206" s="1026"/>
      <c r="L206" s="1026"/>
      <c r="M206" s="1026"/>
      <c r="N206" s="1026"/>
      <c r="O206" s="1026"/>
      <c r="P206" s="1026"/>
      <c r="Q206" s="1026"/>
      <c r="R206" s="1026"/>
      <c r="S206" s="1026"/>
      <c r="T206" s="1026"/>
      <c r="U206" s="1026"/>
      <c r="V206" s="1026"/>
      <c r="W206" s="1026"/>
      <c r="X206" s="1026"/>
      <c r="Y206" s="1026"/>
      <c r="Z206" s="1026"/>
      <c r="AA206" s="1026"/>
      <c r="AB206" s="1026"/>
      <c r="AC206" s="1026"/>
    </row>
    <row r="207" spans="1:29" x14ac:dyDescent="0.25">
      <c r="A207" s="847"/>
      <c r="B207" s="1026"/>
      <c r="C207" s="1026"/>
      <c r="D207" s="1026"/>
      <c r="E207" s="1026"/>
      <c r="F207" s="1026"/>
      <c r="G207" s="1026"/>
      <c r="H207" s="1026"/>
      <c r="I207" s="1026"/>
      <c r="J207" s="1026"/>
      <c r="K207" s="1026"/>
      <c r="L207" s="1026"/>
      <c r="M207" s="1026"/>
      <c r="N207" s="1026"/>
      <c r="O207" s="1026"/>
      <c r="P207" s="1026"/>
      <c r="Q207" s="1026"/>
      <c r="R207" s="1026"/>
      <c r="S207" s="1026"/>
      <c r="T207" s="1026"/>
      <c r="U207" s="1026"/>
      <c r="V207" s="1026"/>
      <c r="W207" s="1026"/>
      <c r="X207" s="1026"/>
      <c r="Y207" s="1026"/>
      <c r="Z207" s="1026"/>
      <c r="AA207" s="1026"/>
      <c r="AB207" s="1026"/>
      <c r="AC207" s="1026"/>
    </row>
    <row r="208" spans="1:29" x14ac:dyDescent="0.25">
      <c r="A208" s="847"/>
      <c r="B208" s="1026"/>
      <c r="C208" s="1026"/>
      <c r="D208" s="1026"/>
      <c r="E208" s="1026"/>
      <c r="F208" s="1026"/>
      <c r="G208" s="1026"/>
      <c r="H208" s="1026"/>
      <c r="I208" s="1026"/>
      <c r="J208" s="1026"/>
      <c r="K208" s="1026"/>
      <c r="L208" s="1026"/>
      <c r="M208" s="1026"/>
      <c r="N208" s="1026"/>
      <c r="O208" s="1026"/>
      <c r="P208" s="1026"/>
      <c r="Q208" s="1026"/>
      <c r="R208" s="1026"/>
      <c r="S208" s="1026"/>
      <c r="T208" s="1026"/>
      <c r="U208" s="1026"/>
      <c r="V208" s="1026"/>
      <c r="W208" s="1026"/>
      <c r="X208" s="1026"/>
      <c r="Y208" s="1026"/>
      <c r="Z208" s="1026"/>
      <c r="AA208" s="1026"/>
      <c r="AB208" s="1026"/>
      <c r="AC208" s="1026"/>
    </row>
    <row r="209" spans="1:29" x14ac:dyDescent="0.25">
      <c r="A209" s="847"/>
      <c r="B209" s="1026"/>
      <c r="C209" s="1026"/>
      <c r="D209" s="1026"/>
      <c r="E209" s="1026"/>
      <c r="F209" s="1026"/>
      <c r="G209" s="1026"/>
      <c r="H209" s="1026"/>
      <c r="I209" s="1026"/>
      <c r="J209" s="1026"/>
      <c r="K209" s="1026"/>
      <c r="L209" s="1026"/>
      <c r="M209" s="1026"/>
      <c r="N209" s="1026"/>
      <c r="O209" s="1026"/>
      <c r="P209" s="1026"/>
      <c r="Q209" s="1026"/>
      <c r="R209" s="1026"/>
      <c r="S209" s="1026"/>
      <c r="T209" s="1026"/>
      <c r="U209" s="1026"/>
      <c r="V209" s="1026"/>
      <c r="W209" s="1026"/>
      <c r="X209" s="1026"/>
      <c r="Y209" s="1026"/>
      <c r="Z209" s="1026"/>
      <c r="AA209" s="1026"/>
      <c r="AB209" s="1026"/>
      <c r="AC209" s="1026"/>
    </row>
    <row r="210" spans="1:29" x14ac:dyDescent="0.25">
      <c r="A210" s="847"/>
      <c r="B210" s="1026"/>
      <c r="C210" s="1026"/>
      <c r="D210" s="1026"/>
      <c r="E210" s="1026"/>
      <c r="F210" s="1026"/>
      <c r="G210" s="1026"/>
      <c r="H210" s="1026"/>
      <c r="I210" s="1026"/>
      <c r="J210" s="1026"/>
      <c r="K210" s="1026"/>
      <c r="L210" s="1026"/>
      <c r="M210" s="1026"/>
      <c r="N210" s="1026"/>
      <c r="O210" s="1026"/>
      <c r="P210" s="1026"/>
      <c r="Q210" s="1026"/>
      <c r="R210" s="1026"/>
      <c r="S210" s="1026"/>
      <c r="T210" s="1026"/>
      <c r="U210" s="1026"/>
      <c r="V210" s="1026"/>
      <c r="W210" s="1026"/>
      <c r="X210" s="1026"/>
      <c r="Y210" s="1026"/>
      <c r="Z210" s="1026"/>
      <c r="AA210" s="1026"/>
      <c r="AB210" s="1026"/>
      <c r="AC210" s="1026"/>
    </row>
    <row r="211" spans="1:29" x14ac:dyDescent="0.25">
      <c r="A211" s="847"/>
      <c r="B211" s="1026"/>
      <c r="C211" s="1026"/>
      <c r="D211" s="1026"/>
      <c r="E211" s="1026"/>
      <c r="F211" s="1026"/>
      <c r="G211" s="1026"/>
      <c r="H211" s="1026"/>
      <c r="I211" s="1026"/>
      <c r="J211" s="1026"/>
      <c r="K211" s="1026"/>
      <c r="L211" s="1026"/>
      <c r="M211" s="1026"/>
      <c r="N211" s="1026"/>
      <c r="O211" s="1026"/>
      <c r="P211" s="1026"/>
      <c r="Q211" s="1026"/>
      <c r="R211" s="1026"/>
      <c r="S211" s="1026"/>
      <c r="T211" s="1026"/>
      <c r="U211" s="1026"/>
      <c r="V211" s="1026"/>
      <c r="W211" s="1026"/>
      <c r="X211" s="1026"/>
      <c r="Y211" s="1026"/>
      <c r="Z211" s="1026"/>
      <c r="AA211" s="1026"/>
      <c r="AB211" s="1026"/>
      <c r="AC211" s="1026"/>
    </row>
    <row r="212" spans="1:29" x14ac:dyDescent="0.25">
      <c r="A212" s="847"/>
      <c r="B212" s="1026"/>
      <c r="C212" s="1026"/>
      <c r="D212" s="1026"/>
      <c r="E212" s="1026"/>
      <c r="F212" s="1026"/>
      <c r="G212" s="1026"/>
      <c r="H212" s="1026"/>
      <c r="I212" s="1026"/>
      <c r="J212" s="1026"/>
      <c r="K212" s="1026"/>
      <c r="L212" s="1026"/>
      <c r="M212" s="1026"/>
      <c r="N212" s="1026"/>
      <c r="O212" s="1026"/>
      <c r="P212" s="1026"/>
      <c r="Q212" s="1026"/>
      <c r="R212" s="1026"/>
      <c r="S212" s="1026"/>
      <c r="T212" s="1026"/>
      <c r="U212" s="1026"/>
      <c r="V212" s="1026"/>
      <c r="W212" s="1026"/>
      <c r="X212" s="1026"/>
      <c r="Y212" s="1026"/>
      <c r="Z212" s="1026"/>
      <c r="AA212" s="1026"/>
      <c r="AB212" s="1026"/>
      <c r="AC212" s="1026"/>
    </row>
    <row r="213" spans="1:29" x14ac:dyDescent="0.25">
      <c r="A213" s="847"/>
      <c r="B213" s="1026"/>
      <c r="C213" s="1026"/>
      <c r="D213" s="1026"/>
      <c r="E213" s="1026"/>
      <c r="F213" s="1026"/>
      <c r="G213" s="1026"/>
      <c r="H213" s="1026"/>
      <c r="I213" s="1026"/>
      <c r="J213" s="1026"/>
      <c r="K213" s="1026"/>
      <c r="L213" s="1026"/>
      <c r="M213" s="1026"/>
      <c r="N213" s="1026"/>
      <c r="O213" s="1026"/>
      <c r="P213" s="1026"/>
      <c r="Q213" s="1026"/>
      <c r="R213" s="1026"/>
      <c r="S213" s="1026"/>
      <c r="T213" s="1026"/>
      <c r="U213" s="1026"/>
      <c r="V213" s="1026"/>
      <c r="W213" s="1026"/>
      <c r="X213" s="1026"/>
      <c r="Y213" s="1026"/>
      <c r="Z213" s="1026"/>
      <c r="AA213" s="1026"/>
      <c r="AB213" s="1026"/>
      <c r="AC213" s="1026"/>
    </row>
    <row r="214" spans="1:29" x14ac:dyDescent="0.25">
      <c r="A214" s="847"/>
      <c r="B214" s="1026"/>
      <c r="C214" s="1026"/>
      <c r="D214" s="1026"/>
      <c r="E214" s="1026"/>
      <c r="F214" s="1026"/>
      <c r="G214" s="1026"/>
      <c r="H214" s="1026"/>
      <c r="I214" s="1026"/>
      <c r="J214" s="1026"/>
      <c r="K214" s="1026"/>
      <c r="L214" s="1026"/>
      <c r="M214" s="1026"/>
      <c r="N214" s="1026"/>
      <c r="O214" s="1026"/>
      <c r="P214" s="1026"/>
      <c r="Q214" s="1026"/>
      <c r="R214" s="1026"/>
      <c r="S214" s="1026"/>
      <c r="T214" s="1026"/>
      <c r="U214" s="1026"/>
      <c r="V214" s="1026"/>
      <c r="W214" s="1026"/>
      <c r="X214" s="1026"/>
      <c r="Y214" s="1026"/>
      <c r="Z214" s="1026"/>
      <c r="AA214" s="1026"/>
      <c r="AB214" s="1026"/>
      <c r="AC214" s="1026"/>
    </row>
    <row r="215" spans="1:29" x14ac:dyDescent="0.25">
      <c r="A215" s="847"/>
      <c r="B215" s="1026"/>
      <c r="C215" s="1026"/>
      <c r="D215" s="1026"/>
      <c r="E215" s="1026"/>
      <c r="F215" s="1026"/>
      <c r="G215" s="1026"/>
      <c r="H215" s="1026"/>
      <c r="I215" s="1026"/>
      <c r="J215" s="1026"/>
      <c r="K215" s="1026"/>
      <c r="L215" s="1026"/>
      <c r="M215" s="1026"/>
      <c r="N215" s="1026"/>
      <c r="O215" s="1026"/>
      <c r="P215" s="1026"/>
      <c r="Q215" s="1026"/>
      <c r="R215" s="1026"/>
      <c r="S215" s="1026"/>
      <c r="T215" s="1026"/>
      <c r="U215" s="1026"/>
      <c r="V215" s="1026"/>
      <c r="W215" s="1026"/>
      <c r="X215" s="1026"/>
      <c r="Y215" s="1026"/>
      <c r="Z215" s="1026"/>
      <c r="AA215" s="1026"/>
      <c r="AB215" s="1026"/>
      <c r="AC215" s="1026"/>
    </row>
    <row r="216" spans="1:29" x14ac:dyDescent="0.25">
      <c r="A216" s="847"/>
      <c r="B216" s="1026"/>
      <c r="C216" s="1026"/>
      <c r="D216" s="1026"/>
      <c r="E216" s="1026"/>
      <c r="F216" s="1026"/>
      <c r="G216" s="1026"/>
      <c r="H216" s="1026"/>
      <c r="I216" s="1026"/>
      <c r="J216" s="1026"/>
      <c r="K216" s="1026"/>
      <c r="L216" s="1026"/>
      <c r="M216" s="1026"/>
      <c r="N216" s="1026"/>
      <c r="O216" s="1026"/>
      <c r="P216" s="1026"/>
      <c r="Q216" s="1026"/>
      <c r="R216" s="1026"/>
      <c r="S216" s="1026"/>
      <c r="T216" s="1026"/>
      <c r="U216" s="1026"/>
      <c r="V216" s="1026"/>
      <c r="W216" s="1026"/>
      <c r="X216" s="1026"/>
      <c r="Y216" s="1026"/>
      <c r="Z216" s="1026"/>
      <c r="AA216" s="1026"/>
      <c r="AB216" s="1026"/>
      <c r="AC216" s="1026"/>
    </row>
    <row r="217" spans="1:29" x14ac:dyDescent="0.25">
      <c r="A217" s="847"/>
      <c r="B217" s="1026"/>
      <c r="C217" s="1026"/>
      <c r="D217" s="1026"/>
      <c r="E217" s="1026"/>
      <c r="F217" s="1026"/>
      <c r="G217" s="1026"/>
      <c r="H217" s="1026"/>
      <c r="I217" s="1026"/>
      <c r="J217" s="1026"/>
      <c r="K217" s="1026"/>
      <c r="L217" s="1026"/>
      <c r="M217" s="1026"/>
      <c r="N217" s="1026"/>
      <c r="O217" s="1026"/>
      <c r="P217" s="1026"/>
      <c r="Q217" s="1026"/>
      <c r="R217" s="1026"/>
      <c r="S217" s="1026"/>
      <c r="T217" s="1026"/>
      <c r="U217" s="1026"/>
      <c r="V217" s="1026"/>
      <c r="W217" s="1026"/>
      <c r="X217" s="1026"/>
      <c r="Y217" s="1026"/>
      <c r="Z217" s="1026"/>
      <c r="AA217" s="1026"/>
      <c r="AB217" s="1026"/>
      <c r="AC217" s="1026"/>
    </row>
    <row r="218" spans="1:29" x14ac:dyDescent="0.25">
      <c r="A218" s="847"/>
      <c r="B218" s="1026"/>
      <c r="C218" s="1026"/>
      <c r="D218" s="1026"/>
      <c r="E218" s="1026"/>
      <c r="F218" s="1026"/>
      <c r="G218" s="1026"/>
      <c r="H218" s="1026"/>
      <c r="I218" s="1026"/>
      <c r="J218" s="1026"/>
      <c r="K218" s="1026"/>
      <c r="L218" s="1026"/>
      <c r="M218" s="1026"/>
      <c r="N218" s="1026"/>
      <c r="O218" s="1026"/>
      <c r="P218" s="1026"/>
      <c r="Q218" s="1026"/>
      <c r="R218" s="1026"/>
      <c r="S218" s="1026"/>
      <c r="T218" s="1026"/>
      <c r="U218" s="1026"/>
      <c r="V218" s="1026"/>
      <c r="W218" s="1026"/>
      <c r="X218" s="1026"/>
      <c r="Y218" s="1026"/>
      <c r="Z218" s="1026"/>
      <c r="AA218" s="1026"/>
      <c r="AB218" s="1026"/>
      <c r="AC218" s="1026"/>
    </row>
    <row r="219" spans="1:29" x14ac:dyDescent="0.25">
      <c r="A219" s="847"/>
      <c r="B219" s="1026"/>
      <c r="C219" s="1026"/>
      <c r="D219" s="1026"/>
      <c r="E219" s="1026"/>
      <c r="F219" s="1026"/>
      <c r="G219" s="1026"/>
      <c r="H219" s="1026"/>
      <c r="I219" s="1026"/>
      <c r="J219" s="1026"/>
      <c r="K219" s="1026"/>
      <c r="L219" s="1026"/>
      <c r="M219" s="1026"/>
      <c r="N219" s="1026"/>
      <c r="O219" s="1026"/>
      <c r="P219" s="1026"/>
      <c r="Q219" s="1026"/>
      <c r="R219" s="1026"/>
      <c r="S219" s="1026"/>
      <c r="T219" s="1026"/>
      <c r="U219" s="1026"/>
      <c r="V219" s="1026"/>
      <c r="W219" s="1026"/>
      <c r="X219" s="1026"/>
      <c r="Y219" s="1026"/>
      <c r="Z219" s="1026"/>
      <c r="AA219" s="1026"/>
      <c r="AB219" s="1026"/>
      <c r="AC219" s="1026"/>
    </row>
    <row r="220" spans="1:29" x14ac:dyDescent="0.25">
      <c r="A220" s="847"/>
      <c r="B220" s="1026"/>
      <c r="C220" s="1026"/>
      <c r="D220" s="1026"/>
      <c r="E220" s="1026"/>
      <c r="F220" s="1026"/>
      <c r="G220" s="1026"/>
      <c r="H220" s="1026"/>
      <c r="I220" s="1026"/>
      <c r="J220" s="1026"/>
      <c r="K220" s="1026"/>
      <c r="L220" s="1026"/>
      <c r="M220" s="1026"/>
      <c r="N220" s="1026"/>
      <c r="O220" s="1026"/>
      <c r="P220" s="1026"/>
      <c r="Q220" s="1026"/>
      <c r="R220" s="1026"/>
      <c r="S220" s="1026"/>
      <c r="T220" s="1026"/>
      <c r="U220" s="1026"/>
      <c r="V220" s="1026"/>
      <c r="W220" s="1026"/>
      <c r="X220" s="1026"/>
      <c r="Y220" s="1026"/>
      <c r="Z220" s="1026"/>
      <c r="AA220" s="1026"/>
      <c r="AB220" s="1026"/>
      <c r="AC220" s="1026"/>
    </row>
    <row r="221" spans="1:29" x14ac:dyDescent="0.25">
      <c r="A221" s="847"/>
      <c r="B221" s="1026"/>
      <c r="C221" s="1026"/>
      <c r="D221" s="1026"/>
      <c r="E221" s="1026"/>
      <c r="F221" s="1026"/>
      <c r="G221" s="1026"/>
      <c r="H221" s="1026"/>
      <c r="I221" s="1026"/>
      <c r="J221" s="1026"/>
      <c r="K221" s="1026"/>
      <c r="L221" s="1026"/>
      <c r="M221" s="1026"/>
      <c r="N221" s="1026"/>
      <c r="O221" s="1026"/>
      <c r="P221" s="1026"/>
      <c r="Q221" s="1026"/>
      <c r="R221" s="1026"/>
      <c r="S221" s="1026"/>
      <c r="T221" s="1026"/>
      <c r="U221" s="1026"/>
      <c r="V221" s="1026"/>
      <c r="W221" s="1026"/>
      <c r="X221" s="1026"/>
      <c r="Y221" s="1026"/>
      <c r="Z221" s="1026"/>
      <c r="AA221" s="1026"/>
      <c r="AB221" s="1026"/>
      <c r="AC221" s="1026"/>
    </row>
    <row r="222" spans="1:29" x14ac:dyDescent="0.25">
      <c r="A222" s="847"/>
      <c r="B222" s="1026"/>
      <c r="C222" s="1026"/>
      <c r="D222" s="1026"/>
      <c r="E222" s="1026"/>
      <c r="F222" s="1026"/>
      <c r="G222" s="1026"/>
      <c r="H222" s="1026"/>
      <c r="I222" s="1026"/>
      <c r="J222" s="1026"/>
      <c r="K222" s="1026"/>
      <c r="L222" s="1026"/>
      <c r="M222" s="1026"/>
      <c r="N222" s="1026"/>
      <c r="O222" s="1026"/>
      <c r="P222" s="1026"/>
      <c r="Q222" s="1026"/>
      <c r="R222" s="1026"/>
      <c r="S222" s="1026"/>
      <c r="T222" s="1026"/>
      <c r="U222" s="1026"/>
      <c r="V222" s="1026"/>
      <c r="W222" s="1026"/>
      <c r="X222" s="1026"/>
      <c r="Y222" s="1026"/>
      <c r="Z222" s="1026"/>
      <c r="AA222" s="1026"/>
      <c r="AB222" s="1026"/>
      <c r="AC222" s="1026"/>
    </row>
    <row r="223" spans="1:29" x14ac:dyDescent="0.25">
      <c r="A223" s="847"/>
      <c r="B223" s="1026"/>
      <c r="C223" s="1026"/>
      <c r="D223" s="1026"/>
      <c r="E223" s="1026"/>
      <c r="F223" s="1026"/>
      <c r="G223" s="1026"/>
      <c r="H223" s="1026"/>
      <c r="I223" s="1026"/>
      <c r="J223" s="1026"/>
      <c r="K223" s="1026"/>
      <c r="L223" s="1026"/>
      <c r="M223" s="1026"/>
      <c r="N223" s="1026"/>
      <c r="O223" s="1026"/>
      <c r="P223" s="1026"/>
      <c r="Q223" s="1026"/>
      <c r="R223" s="1026"/>
      <c r="S223" s="1026"/>
      <c r="T223" s="1026"/>
      <c r="U223" s="1026"/>
      <c r="V223" s="1026"/>
      <c r="W223" s="1026"/>
      <c r="X223" s="1026"/>
      <c r="Y223" s="1026"/>
      <c r="Z223" s="1026"/>
      <c r="AA223" s="1026"/>
      <c r="AB223" s="1026"/>
      <c r="AC223" s="1026"/>
    </row>
    <row r="224" spans="1:29" x14ac:dyDescent="0.25">
      <c r="A224" s="847"/>
      <c r="B224" s="1026"/>
      <c r="C224" s="1026"/>
      <c r="D224" s="1026"/>
      <c r="E224" s="1026"/>
      <c r="F224" s="1026"/>
      <c r="G224" s="1026"/>
      <c r="H224" s="1026"/>
      <c r="I224" s="1026"/>
      <c r="J224" s="1026"/>
      <c r="K224" s="1026"/>
      <c r="L224" s="1026"/>
      <c r="M224" s="1026"/>
      <c r="N224" s="1026"/>
      <c r="O224" s="1026"/>
      <c r="P224" s="1026"/>
      <c r="Q224" s="1026"/>
      <c r="R224" s="1026"/>
      <c r="S224" s="1026"/>
      <c r="T224" s="1026"/>
      <c r="U224" s="1026"/>
      <c r="V224" s="1026"/>
      <c r="W224" s="1026"/>
      <c r="X224" s="1026"/>
      <c r="Y224" s="1026"/>
      <c r="Z224" s="1026"/>
      <c r="AA224" s="1026"/>
      <c r="AB224" s="1026"/>
      <c r="AC224" s="1026"/>
    </row>
    <row r="225" spans="1:29" x14ac:dyDescent="0.25">
      <c r="A225" s="847"/>
      <c r="B225" s="1026"/>
      <c r="C225" s="1026"/>
      <c r="D225" s="1026"/>
      <c r="E225" s="1026"/>
      <c r="F225" s="1026"/>
      <c r="G225" s="1026"/>
      <c r="H225" s="1026"/>
      <c r="I225" s="1026"/>
      <c r="J225" s="1026"/>
      <c r="K225" s="1026"/>
      <c r="L225" s="1026"/>
      <c r="M225" s="1026"/>
      <c r="N225" s="1026"/>
      <c r="O225" s="1026"/>
      <c r="P225" s="1026"/>
      <c r="Q225" s="1026"/>
      <c r="R225" s="1026"/>
      <c r="S225" s="1026"/>
      <c r="T225" s="1026"/>
      <c r="U225" s="1026"/>
      <c r="V225" s="1026"/>
      <c r="W225" s="1026"/>
      <c r="X225" s="1026"/>
      <c r="Y225" s="1026"/>
      <c r="Z225" s="1026"/>
      <c r="AA225" s="1026"/>
      <c r="AB225" s="1026"/>
      <c r="AC225" s="1026"/>
    </row>
    <row r="226" spans="1:29" x14ac:dyDescent="0.25">
      <c r="A226" s="847"/>
      <c r="B226" s="1026"/>
      <c r="C226" s="1026"/>
      <c r="D226" s="1026"/>
      <c r="E226" s="1026"/>
      <c r="F226" s="1026"/>
      <c r="G226" s="1026"/>
      <c r="H226" s="1026"/>
      <c r="I226" s="1026"/>
      <c r="J226" s="1026"/>
      <c r="K226" s="1026"/>
      <c r="L226" s="1026"/>
      <c r="M226" s="1026"/>
      <c r="N226" s="1026"/>
      <c r="O226" s="1026"/>
      <c r="P226" s="1026"/>
      <c r="Q226" s="1026"/>
      <c r="R226" s="1026"/>
      <c r="S226" s="1026"/>
      <c r="T226" s="1026"/>
      <c r="U226" s="1026"/>
      <c r="V226" s="1026"/>
      <c r="W226" s="1026"/>
      <c r="X226" s="1026"/>
      <c r="Y226" s="1026"/>
      <c r="Z226" s="1026"/>
      <c r="AA226" s="1026"/>
      <c r="AB226" s="1026"/>
      <c r="AC226" s="1026"/>
    </row>
    <row r="227" spans="1:29" x14ac:dyDescent="0.25">
      <c r="A227" s="847"/>
      <c r="B227" s="1026"/>
      <c r="C227" s="1026"/>
      <c r="D227" s="1026"/>
      <c r="E227" s="1026"/>
      <c r="F227" s="1026"/>
      <c r="G227" s="1026"/>
      <c r="H227" s="1026"/>
      <c r="I227" s="1026"/>
      <c r="J227" s="1026"/>
      <c r="K227" s="1026"/>
      <c r="L227" s="1026"/>
      <c r="M227" s="1026"/>
      <c r="N227" s="1026"/>
      <c r="O227" s="1026"/>
      <c r="P227" s="1026"/>
      <c r="Q227" s="1026"/>
      <c r="R227" s="1026"/>
      <c r="S227" s="1026"/>
      <c r="T227" s="1026"/>
      <c r="U227" s="1026"/>
      <c r="V227" s="1026"/>
      <c r="W227" s="1026"/>
      <c r="X227" s="1026"/>
      <c r="Y227" s="1026"/>
      <c r="Z227" s="1026"/>
      <c r="AA227" s="1026"/>
      <c r="AB227" s="1026"/>
      <c r="AC227" s="1026"/>
    </row>
    <row r="228" spans="1:29" x14ac:dyDescent="0.25">
      <c r="A228" s="847"/>
      <c r="B228" s="1026"/>
      <c r="C228" s="1026"/>
      <c r="D228" s="1026"/>
      <c r="E228" s="1026"/>
      <c r="F228" s="1026"/>
      <c r="G228" s="1026"/>
      <c r="H228" s="1026"/>
      <c r="I228" s="1026"/>
      <c r="J228" s="1026"/>
      <c r="K228" s="1026"/>
      <c r="L228" s="1026"/>
      <c r="M228" s="1026"/>
      <c r="N228" s="1026"/>
      <c r="O228" s="1026"/>
      <c r="P228" s="1026"/>
      <c r="Q228" s="1026"/>
      <c r="R228" s="1026"/>
      <c r="S228" s="1026"/>
      <c r="T228" s="1026"/>
      <c r="U228" s="1026"/>
      <c r="V228" s="1026"/>
      <c r="W228" s="1026"/>
      <c r="X228" s="1026"/>
      <c r="Y228" s="1026"/>
      <c r="Z228" s="1026"/>
      <c r="AA228" s="1026"/>
      <c r="AB228" s="1026"/>
      <c r="AC228" s="1026"/>
    </row>
    <row r="229" spans="1:29" x14ac:dyDescent="0.25">
      <c r="A229" s="847"/>
      <c r="B229" s="1026"/>
      <c r="C229" s="1026"/>
      <c r="D229" s="1026"/>
      <c r="E229" s="1026"/>
      <c r="F229" s="1026"/>
      <c r="G229" s="1026"/>
      <c r="H229" s="1026"/>
      <c r="I229" s="1026"/>
      <c r="J229" s="1026"/>
      <c r="K229" s="1026"/>
      <c r="L229" s="1026"/>
      <c r="M229" s="1026"/>
      <c r="N229" s="1026"/>
      <c r="O229" s="1026"/>
      <c r="P229" s="1026"/>
      <c r="Q229" s="1026"/>
      <c r="R229" s="1026"/>
      <c r="S229" s="1026"/>
      <c r="T229" s="1026"/>
      <c r="U229" s="1026"/>
      <c r="V229" s="1026"/>
      <c r="W229" s="1026"/>
      <c r="X229" s="1026"/>
      <c r="Y229" s="1026"/>
      <c r="Z229" s="1026"/>
      <c r="AA229" s="1026"/>
      <c r="AB229" s="1026"/>
      <c r="AC229" s="1026"/>
    </row>
    <row r="230" spans="1:29" x14ac:dyDescent="0.25">
      <c r="A230" s="847"/>
      <c r="B230" s="1026"/>
      <c r="C230" s="1026"/>
      <c r="D230" s="1026"/>
      <c r="E230" s="1026"/>
      <c r="F230" s="1026"/>
      <c r="G230" s="1026"/>
      <c r="H230" s="1026"/>
      <c r="I230" s="1026"/>
      <c r="J230" s="1026"/>
      <c r="K230" s="1026"/>
      <c r="L230" s="1026"/>
      <c r="M230" s="1026"/>
      <c r="N230" s="1026"/>
      <c r="O230" s="1026"/>
      <c r="P230" s="1026"/>
      <c r="Q230" s="1026"/>
      <c r="R230" s="1026"/>
      <c r="S230" s="1026"/>
      <c r="T230" s="1026"/>
      <c r="U230" s="1026"/>
      <c r="V230" s="1026"/>
      <c r="W230" s="1026"/>
      <c r="X230" s="1026"/>
      <c r="Y230" s="1026"/>
      <c r="Z230" s="1026"/>
      <c r="AA230" s="1026"/>
      <c r="AB230" s="1026"/>
      <c r="AC230" s="1026"/>
    </row>
    <row r="231" spans="1:29" x14ac:dyDescent="0.25">
      <c r="A231" s="847"/>
      <c r="B231" s="1026"/>
      <c r="C231" s="1026"/>
      <c r="D231" s="1026"/>
      <c r="E231" s="1026"/>
      <c r="F231" s="1026"/>
      <c r="G231" s="1026"/>
      <c r="H231" s="1026"/>
      <c r="I231" s="1026"/>
      <c r="J231" s="1026"/>
      <c r="K231" s="1026"/>
      <c r="L231" s="1026"/>
      <c r="M231" s="1026"/>
      <c r="N231" s="1026"/>
      <c r="O231" s="1026"/>
      <c r="P231" s="1026"/>
      <c r="Q231" s="1026"/>
      <c r="R231" s="1026"/>
      <c r="S231" s="1026"/>
      <c r="T231" s="1026"/>
      <c r="U231" s="1026"/>
      <c r="V231" s="1026"/>
      <c r="W231" s="1026"/>
      <c r="X231" s="1026"/>
      <c r="Y231" s="1026"/>
      <c r="Z231" s="1026"/>
      <c r="AA231" s="1026"/>
      <c r="AB231" s="1026"/>
      <c r="AC231" s="1026"/>
    </row>
    <row r="232" spans="1:29" x14ac:dyDescent="0.25">
      <c r="A232" s="847"/>
      <c r="B232" s="1026"/>
      <c r="C232" s="1026"/>
      <c r="D232" s="1026"/>
      <c r="E232" s="1026"/>
      <c r="F232" s="1026"/>
      <c r="G232" s="1026"/>
      <c r="H232" s="1026"/>
      <c r="I232" s="1026"/>
      <c r="J232" s="1026"/>
      <c r="K232" s="1026"/>
      <c r="L232" s="1026"/>
      <c r="M232" s="1026"/>
      <c r="N232" s="1026"/>
      <c r="O232" s="1026"/>
      <c r="P232" s="1026"/>
      <c r="Q232" s="1026"/>
      <c r="R232" s="1026"/>
      <c r="S232" s="1026"/>
      <c r="T232" s="1026"/>
      <c r="U232" s="1026"/>
      <c r="V232" s="1026"/>
      <c r="W232" s="1026"/>
      <c r="X232" s="1026"/>
      <c r="Y232" s="1026"/>
      <c r="Z232" s="1026"/>
      <c r="AA232" s="1026"/>
      <c r="AB232" s="1026"/>
      <c r="AC232" s="1026"/>
    </row>
    <row r="233" spans="1:29" x14ac:dyDescent="0.25">
      <c r="A233" s="847"/>
      <c r="B233" s="1026"/>
      <c r="C233" s="1026"/>
      <c r="D233" s="1026"/>
      <c r="E233" s="1026"/>
      <c r="F233" s="1026"/>
      <c r="G233" s="1026"/>
      <c r="H233" s="1026"/>
      <c r="I233" s="1026"/>
      <c r="J233" s="1026"/>
      <c r="K233" s="1026"/>
      <c r="L233" s="1026"/>
      <c r="M233" s="1026"/>
      <c r="N233" s="1026"/>
      <c r="O233" s="1026"/>
      <c r="P233" s="1026"/>
      <c r="Q233" s="1026"/>
      <c r="R233" s="1026"/>
      <c r="S233" s="1026"/>
      <c r="T233" s="1026"/>
      <c r="U233" s="1026"/>
      <c r="V233" s="1026"/>
      <c r="W233" s="1026"/>
      <c r="X233" s="1026"/>
      <c r="Y233" s="1026"/>
      <c r="Z233" s="1026"/>
      <c r="AA233" s="1026"/>
      <c r="AB233" s="1026"/>
      <c r="AC233" s="1026"/>
    </row>
    <row r="234" spans="1:29" x14ac:dyDescent="0.25">
      <c r="A234" s="847"/>
      <c r="B234" s="1026"/>
      <c r="C234" s="1026"/>
      <c r="D234" s="1026"/>
      <c r="E234" s="1026"/>
      <c r="F234" s="1026"/>
      <c r="G234" s="1026"/>
      <c r="H234" s="1026"/>
      <c r="I234" s="1026"/>
      <c r="J234" s="1026"/>
      <c r="K234" s="1026"/>
      <c r="L234" s="1026"/>
      <c r="M234" s="1026"/>
      <c r="N234" s="1026"/>
      <c r="O234" s="1026"/>
      <c r="P234" s="1026"/>
      <c r="Q234" s="1026"/>
      <c r="R234" s="1026"/>
      <c r="S234" s="1026"/>
      <c r="T234" s="1026"/>
      <c r="U234" s="1026"/>
      <c r="V234" s="1026"/>
      <c r="W234" s="1026"/>
      <c r="X234" s="1026"/>
      <c r="Y234" s="1026"/>
      <c r="Z234" s="1026"/>
      <c r="AA234" s="1026"/>
      <c r="AB234" s="1026"/>
      <c r="AC234" s="1026"/>
    </row>
    <row r="235" spans="1:29" x14ac:dyDescent="0.25">
      <c r="A235" s="847"/>
      <c r="B235" s="1026"/>
      <c r="C235" s="1026"/>
      <c r="D235" s="1026"/>
      <c r="E235" s="1026"/>
      <c r="F235" s="1026"/>
      <c r="G235" s="1026"/>
      <c r="H235" s="1026"/>
      <c r="I235" s="1026"/>
      <c r="J235" s="1026"/>
      <c r="K235" s="1026"/>
      <c r="L235" s="1026"/>
      <c r="M235" s="1026"/>
      <c r="N235" s="1026"/>
      <c r="O235" s="1026"/>
      <c r="P235" s="1026"/>
      <c r="Q235" s="1026"/>
      <c r="R235" s="1026"/>
      <c r="S235" s="1026"/>
      <c r="T235" s="1026"/>
      <c r="U235" s="1026"/>
      <c r="V235" s="1026"/>
      <c r="W235" s="1026"/>
      <c r="X235" s="1026"/>
      <c r="Y235" s="1026"/>
      <c r="Z235" s="1026"/>
      <c r="AA235" s="1026"/>
      <c r="AB235" s="1026"/>
      <c r="AC235" s="1026"/>
    </row>
    <row r="236" spans="1:29" x14ac:dyDescent="0.25">
      <c r="A236" s="847"/>
      <c r="B236" s="1026"/>
      <c r="C236" s="1026"/>
      <c r="D236" s="1026"/>
      <c r="E236" s="1026"/>
      <c r="F236" s="1026"/>
      <c r="G236" s="1026"/>
      <c r="H236" s="1026"/>
      <c r="I236" s="1026"/>
      <c r="J236" s="1026"/>
      <c r="K236" s="1026"/>
      <c r="L236" s="1026"/>
      <c r="M236" s="1026"/>
      <c r="N236" s="1026"/>
      <c r="O236" s="1026"/>
      <c r="P236" s="1026"/>
      <c r="Q236" s="1026"/>
      <c r="R236" s="1026"/>
      <c r="S236" s="1026"/>
      <c r="T236" s="1026"/>
      <c r="U236" s="1026"/>
      <c r="V236" s="1026"/>
      <c r="W236" s="1026"/>
      <c r="X236" s="1026"/>
      <c r="Y236" s="1026"/>
      <c r="Z236" s="1026"/>
      <c r="AA236" s="1026"/>
      <c r="AB236" s="1026"/>
      <c r="AC236" s="1026"/>
    </row>
    <row r="237" spans="1:29" x14ac:dyDescent="0.25">
      <c r="A237" s="847"/>
      <c r="B237" s="1026"/>
      <c r="C237" s="1026"/>
      <c r="D237" s="1026"/>
      <c r="E237" s="1026"/>
      <c r="F237" s="1026"/>
      <c r="G237" s="1026"/>
      <c r="H237" s="1026"/>
      <c r="I237" s="1026"/>
      <c r="J237" s="1026"/>
      <c r="K237" s="1026"/>
      <c r="L237" s="1026"/>
      <c r="M237" s="1026"/>
      <c r="N237" s="1026"/>
      <c r="O237" s="1026"/>
      <c r="P237" s="1026"/>
      <c r="Q237" s="1026"/>
      <c r="R237" s="1026"/>
      <c r="S237" s="1026"/>
      <c r="T237" s="1026"/>
      <c r="U237" s="1026"/>
      <c r="V237" s="1026"/>
      <c r="W237" s="1026"/>
      <c r="X237" s="1026"/>
      <c r="Y237" s="1026"/>
      <c r="Z237" s="1026"/>
      <c r="AA237" s="1026"/>
      <c r="AB237" s="1026"/>
      <c r="AC237" s="1026"/>
    </row>
    <row r="238" spans="1:29" x14ac:dyDescent="0.25">
      <c r="A238" s="847"/>
      <c r="B238" s="1026"/>
      <c r="C238" s="1026"/>
      <c r="D238" s="1026"/>
      <c r="E238" s="1026"/>
      <c r="F238" s="1026"/>
      <c r="G238" s="1026"/>
      <c r="H238" s="1026"/>
      <c r="I238" s="1026"/>
      <c r="J238" s="1026"/>
      <c r="K238" s="1026"/>
      <c r="L238" s="1026"/>
      <c r="M238" s="1026"/>
      <c r="N238" s="1026"/>
      <c r="O238" s="1026"/>
      <c r="P238" s="1026"/>
      <c r="Q238" s="1026"/>
      <c r="R238" s="1026"/>
      <c r="S238" s="1026"/>
      <c r="T238" s="1026"/>
      <c r="U238" s="1026"/>
      <c r="V238" s="1026"/>
      <c r="W238" s="1026"/>
      <c r="X238" s="1026"/>
      <c r="Y238" s="1026"/>
      <c r="Z238" s="1026"/>
      <c r="AA238" s="1026"/>
      <c r="AB238" s="1026"/>
      <c r="AC238" s="1026"/>
    </row>
    <row r="239" spans="1:29" x14ac:dyDescent="0.25">
      <c r="A239" s="847"/>
      <c r="B239" s="1026"/>
      <c r="C239" s="1026"/>
      <c r="D239" s="1026"/>
      <c r="E239" s="1026"/>
      <c r="F239" s="1026"/>
      <c r="G239" s="1026"/>
      <c r="H239" s="1026"/>
      <c r="I239" s="1026"/>
      <c r="J239" s="1026"/>
      <c r="K239" s="1026"/>
      <c r="L239" s="1026"/>
      <c r="M239" s="1026"/>
      <c r="N239" s="1026"/>
      <c r="O239" s="1026"/>
      <c r="P239" s="1026"/>
      <c r="Q239" s="1026"/>
      <c r="R239" s="1026"/>
      <c r="S239" s="1026"/>
      <c r="T239" s="1026"/>
      <c r="U239" s="1026"/>
      <c r="V239" s="1026"/>
      <c r="W239" s="1026"/>
      <c r="X239" s="1026"/>
      <c r="Y239" s="1026"/>
      <c r="Z239" s="1026"/>
      <c r="AA239" s="1026"/>
      <c r="AB239" s="1026"/>
      <c r="AC239" s="1026"/>
    </row>
    <row r="240" spans="1:29" x14ac:dyDescent="0.25">
      <c r="A240" s="847"/>
      <c r="B240" s="1026"/>
      <c r="C240" s="1026"/>
      <c r="D240" s="1026"/>
      <c r="E240" s="1026"/>
      <c r="F240" s="1026"/>
      <c r="G240" s="1026"/>
      <c r="H240" s="1026"/>
      <c r="I240" s="1026"/>
      <c r="J240" s="1026"/>
      <c r="K240" s="1026"/>
      <c r="L240" s="1026"/>
      <c r="M240" s="1026"/>
      <c r="N240" s="1026"/>
      <c r="O240" s="1026"/>
      <c r="P240" s="1026"/>
      <c r="Q240" s="1026"/>
      <c r="R240" s="1026"/>
      <c r="S240" s="1026"/>
      <c r="T240" s="1026"/>
      <c r="U240" s="1026"/>
      <c r="V240" s="1026"/>
      <c r="W240" s="1026"/>
      <c r="X240" s="1026"/>
      <c r="Y240" s="1026"/>
      <c r="Z240" s="1026"/>
      <c r="AA240" s="1026"/>
      <c r="AB240" s="1026"/>
      <c r="AC240" s="1026"/>
    </row>
    <row r="241" spans="1:29" x14ac:dyDescent="0.25">
      <c r="A241" s="847"/>
      <c r="B241" s="1026"/>
      <c r="C241" s="1026"/>
      <c r="D241" s="1026"/>
      <c r="E241" s="1026"/>
      <c r="F241" s="1026"/>
      <c r="G241" s="1026"/>
      <c r="H241" s="1026"/>
      <c r="I241" s="1026"/>
      <c r="J241" s="1026"/>
      <c r="K241" s="1026"/>
      <c r="L241" s="1026"/>
      <c r="M241" s="1026"/>
      <c r="N241" s="1026"/>
      <c r="O241" s="1026"/>
      <c r="P241" s="1026"/>
      <c r="Q241" s="1026"/>
      <c r="R241" s="1026"/>
      <c r="S241" s="1026"/>
      <c r="T241" s="1026"/>
      <c r="U241" s="1026"/>
      <c r="V241" s="1026"/>
      <c r="W241" s="1026"/>
      <c r="X241" s="1026"/>
      <c r="Y241" s="1026"/>
      <c r="Z241" s="1026"/>
      <c r="AA241" s="1026"/>
      <c r="AB241" s="1026"/>
      <c r="AC241" s="1026"/>
    </row>
    <row r="242" spans="1:29" x14ac:dyDescent="0.25">
      <c r="A242" s="847"/>
      <c r="B242" s="1026"/>
      <c r="C242" s="1026"/>
      <c r="D242" s="1026"/>
      <c r="E242" s="1026"/>
      <c r="F242" s="1026"/>
      <c r="G242" s="1026"/>
      <c r="H242" s="1026"/>
      <c r="I242" s="1026"/>
      <c r="J242" s="1026"/>
      <c r="K242" s="1026"/>
      <c r="L242" s="1026"/>
      <c r="M242" s="1026"/>
      <c r="N242" s="1026"/>
      <c r="O242" s="1026"/>
      <c r="P242" s="1026"/>
      <c r="Q242" s="1026"/>
      <c r="R242" s="1026"/>
      <c r="S242" s="1026"/>
      <c r="T242" s="1026"/>
      <c r="U242" s="1026"/>
      <c r="V242" s="1026"/>
      <c r="W242" s="1026"/>
      <c r="X242" s="1026"/>
      <c r="Y242" s="1026"/>
      <c r="Z242" s="1026"/>
      <c r="AA242" s="1026"/>
      <c r="AB242" s="1026"/>
      <c r="AC242" s="1026"/>
    </row>
    <row r="243" spans="1:29" x14ac:dyDescent="0.25">
      <c r="A243" s="847"/>
      <c r="B243" s="1026"/>
      <c r="C243" s="1026"/>
      <c r="D243" s="1026"/>
      <c r="E243" s="1026"/>
      <c r="F243" s="1026"/>
      <c r="G243" s="1026"/>
      <c r="H243" s="1026"/>
      <c r="I243" s="1026"/>
      <c r="J243" s="1026"/>
      <c r="K243" s="1026"/>
      <c r="L243" s="1026"/>
      <c r="M243" s="1026"/>
      <c r="N243" s="1026"/>
      <c r="O243" s="1026"/>
      <c r="P243" s="1026"/>
      <c r="Q243" s="1026"/>
      <c r="R243" s="1026"/>
      <c r="S243" s="1026"/>
      <c r="T243" s="1026"/>
      <c r="U243" s="1026"/>
      <c r="V243" s="1026"/>
      <c r="W243" s="1026"/>
      <c r="X243" s="1026"/>
      <c r="Y243" s="1026"/>
      <c r="Z243" s="1026"/>
      <c r="AA243" s="1026"/>
      <c r="AB243" s="1026"/>
      <c r="AC243" s="1026"/>
    </row>
    <row r="244" spans="1:29" x14ac:dyDescent="0.25">
      <c r="A244" s="847"/>
      <c r="B244" s="1026"/>
      <c r="C244" s="1026"/>
      <c r="D244" s="1026"/>
      <c r="E244" s="1026"/>
      <c r="F244" s="1026"/>
      <c r="G244" s="1026"/>
      <c r="H244" s="1026"/>
      <c r="I244" s="1026"/>
      <c r="J244" s="1026"/>
      <c r="K244" s="1026"/>
      <c r="L244" s="1026"/>
      <c r="M244" s="1026"/>
      <c r="N244" s="1026"/>
      <c r="O244" s="1026"/>
      <c r="P244" s="1026"/>
      <c r="Q244" s="1026"/>
      <c r="R244" s="1026"/>
      <c r="S244" s="1026"/>
      <c r="T244" s="1026"/>
      <c r="U244" s="1026"/>
      <c r="V244" s="1026"/>
      <c r="W244" s="1026"/>
      <c r="X244" s="1026"/>
      <c r="Y244" s="1026"/>
      <c r="Z244" s="1026"/>
      <c r="AA244" s="1026"/>
      <c r="AB244" s="1026"/>
      <c r="AC244" s="1026"/>
    </row>
    <row r="245" spans="1:29" x14ac:dyDescent="0.25">
      <c r="A245" s="847"/>
      <c r="B245" s="1026"/>
      <c r="C245" s="1026"/>
      <c r="D245" s="1026"/>
      <c r="E245" s="1026"/>
      <c r="F245" s="1026"/>
      <c r="G245" s="1026"/>
      <c r="H245" s="1026"/>
      <c r="I245" s="1026"/>
      <c r="J245" s="1026"/>
      <c r="K245" s="1026"/>
      <c r="L245" s="1026"/>
      <c r="M245" s="1026"/>
      <c r="N245" s="1026"/>
      <c r="O245" s="1026"/>
      <c r="P245" s="1026"/>
      <c r="Q245" s="1026"/>
      <c r="R245" s="1026"/>
      <c r="S245" s="1026"/>
      <c r="T245" s="1026"/>
      <c r="U245" s="1026"/>
      <c r="V245" s="1026"/>
      <c r="W245" s="1026"/>
      <c r="X245" s="1026"/>
      <c r="Y245" s="1026"/>
      <c r="Z245" s="1026"/>
      <c r="AA245" s="1026"/>
      <c r="AB245" s="1026"/>
      <c r="AC245" s="1026"/>
    </row>
    <row r="246" spans="1:29" x14ac:dyDescent="0.25">
      <c r="A246" s="847"/>
      <c r="B246" s="1026"/>
      <c r="C246" s="1026"/>
      <c r="D246" s="1026"/>
      <c r="E246" s="1026"/>
      <c r="F246" s="1026"/>
      <c r="G246" s="1026"/>
      <c r="H246" s="1026"/>
      <c r="I246" s="1026"/>
      <c r="J246" s="1026"/>
      <c r="K246" s="1026"/>
      <c r="L246" s="1026"/>
      <c r="M246" s="1026"/>
      <c r="N246" s="1026"/>
      <c r="O246" s="1026"/>
      <c r="P246" s="1026"/>
      <c r="Q246" s="1026"/>
      <c r="R246" s="1026"/>
      <c r="S246" s="1026"/>
      <c r="T246" s="1026"/>
      <c r="U246" s="1026"/>
      <c r="V246" s="1026"/>
      <c r="W246" s="1026"/>
      <c r="X246" s="1026"/>
      <c r="Y246" s="1026"/>
      <c r="Z246" s="1026"/>
      <c r="AA246" s="1026"/>
      <c r="AB246" s="1026"/>
      <c r="AC246" s="1026"/>
    </row>
    <row r="247" spans="1:29" x14ac:dyDescent="0.25">
      <c r="A247" s="847"/>
      <c r="B247" s="1026"/>
      <c r="C247" s="1026"/>
      <c r="D247" s="1026"/>
      <c r="E247" s="1026"/>
      <c r="F247" s="1026"/>
      <c r="G247" s="1026"/>
      <c r="H247" s="1026"/>
      <c r="I247" s="1026"/>
      <c r="J247" s="1026"/>
      <c r="K247" s="1026"/>
      <c r="L247" s="1026"/>
      <c r="M247" s="1026"/>
      <c r="N247" s="1026"/>
      <c r="O247" s="1026"/>
      <c r="P247" s="1026"/>
      <c r="Q247" s="1026"/>
      <c r="R247" s="1026"/>
      <c r="S247" s="1026"/>
      <c r="T247" s="1026"/>
      <c r="U247" s="1026"/>
      <c r="V247" s="1026"/>
      <c r="W247" s="1026"/>
      <c r="X247" s="1026"/>
      <c r="Y247" s="1026"/>
      <c r="Z247" s="1026"/>
      <c r="AA247" s="1026"/>
      <c r="AB247" s="1026"/>
      <c r="AC247" s="1026"/>
    </row>
    <row r="248" spans="1:29" x14ac:dyDescent="0.25">
      <c r="A248" s="847"/>
      <c r="B248" s="1026"/>
      <c r="C248" s="1026"/>
      <c r="D248" s="1026"/>
      <c r="E248" s="1026"/>
      <c r="F248" s="1026"/>
      <c r="G248" s="1026"/>
      <c r="H248" s="1026"/>
      <c r="I248" s="1026"/>
      <c r="J248" s="1026"/>
      <c r="K248" s="1026"/>
      <c r="L248" s="1026"/>
      <c r="M248" s="1026"/>
      <c r="N248" s="1026"/>
      <c r="O248" s="1026"/>
      <c r="P248" s="1026"/>
      <c r="Q248" s="1026"/>
      <c r="R248" s="1026"/>
      <c r="S248" s="1026"/>
      <c r="T248" s="1026"/>
      <c r="U248" s="1026"/>
      <c r="V248" s="1026"/>
      <c r="W248" s="1026"/>
      <c r="X248" s="1026"/>
      <c r="Y248" s="1026"/>
      <c r="Z248" s="1026"/>
      <c r="AA248" s="1026"/>
      <c r="AB248" s="1026"/>
      <c r="AC248" s="1026"/>
    </row>
    <row r="249" spans="1:29" x14ac:dyDescent="0.25">
      <c r="A249" s="847"/>
      <c r="B249" s="1026"/>
      <c r="C249" s="1026"/>
      <c r="D249" s="1026"/>
      <c r="E249" s="1026"/>
      <c r="F249" s="1026"/>
      <c r="G249" s="1026"/>
      <c r="H249" s="1026"/>
      <c r="I249" s="1026"/>
      <c r="J249" s="1026"/>
      <c r="K249" s="1026"/>
      <c r="L249" s="1026"/>
      <c r="M249" s="1026"/>
      <c r="N249" s="1026"/>
      <c r="O249" s="1026"/>
      <c r="P249" s="1026"/>
      <c r="Q249" s="1026"/>
      <c r="R249" s="1026"/>
      <c r="S249" s="1026"/>
      <c r="T249" s="1026"/>
      <c r="U249" s="1026"/>
      <c r="V249" s="1026"/>
      <c r="W249" s="1026"/>
      <c r="X249" s="1026"/>
      <c r="Y249" s="1026"/>
      <c r="Z249" s="1026"/>
      <c r="AA249" s="1026"/>
      <c r="AB249" s="1026"/>
      <c r="AC249" s="1026"/>
    </row>
    <row r="250" spans="1:29" x14ac:dyDescent="0.25">
      <c r="A250" s="847"/>
      <c r="B250" s="1026"/>
      <c r="C250" s="1026"/>
      <c r="D250" s="1026"/>
      <c r="E250" s="1026"/>
      <c r="F250" s="1026"/>
      <c r="G250" s="1026"/>
      <c r="H250" s="1026"/>
      <c r="I250" s="1026"/>
      <c r="J250" s="1026"/>
      <c r="K250" s="1026"/>
      <c r="L250" s="1026"/>
      <c r="M250" s="1026"/>
      <c r="N250" s="1026"/>
      <c r="O250" s="1026"/>
      <c r="P250" s="1026"/>
      <c r="Q250" s="1026"/>
      <c r="R250" s="1026"/>
      <c r="S250" s="1026"/>
      <c r="T250" s="1026"/>
      <c r="U250" s="1026"/>
      <c r="V250" s="1026"/>
      <c r="W250" s="1026"/>
      <c r="X250" s="1026"/>
      <c r="Y250" s="1026"/>
      <c r="Z250" s="1026"/>
      <c r="AA250" s="1026"/>
      <c r="AB250" s="1026"/>
      <c r="AC250" s="1026"/>
    </row>
    <row r="251" spans="1:29" x14ac:dyDescent="0.25">
      <c r="A251" s="847"/>
      <c r="B251" s="1026"/>
      <c r="C251" s="1026"/>
      <c r="D251" s="1026"/>
      <c r="E251" s="1026"/>
      <c r="F251" s="1026"/>
      <c r="G251" s="1026"/>
      <c r="H251" s="1026"/>
      <c r="I251" s="1026"/>
      <c r="J251" s="1026"/>
      <c r="K251" s="1026"/>
      <c r="L251" s="1026"/>
      <c r="M251" s="1026"/>
      <c r="N251" s="1026"/>
      <c r="O251" s="1026"/>
      <c r="P251" s="1026"/>
      <c r="Q251" s="1026"/>
      <c r="R251" s="1026"/>
      <c r="S251" s="1026"/>
      <c r="T251" s="1026"/>
      <c r="U251" s="1026"/>
      <c r="V251" s="1026"/>
      <c r="W251" s="1026"/>
      <c r="X251" s="1026"/>
      <c r="Y251" s="1026"/>
      <c r="Z251" s="1026"/>
      <c r="AA251" s="1026"/>
      <c r="AB251" s="1026"/>
      <c r="AC251" s="1026"/>
    </row>
    <row r="252" spans="1:29" x14ac:dyDescent="0.25">
      <c r="A252" s="847"/>
      <c r="B252" s="1026"/>
      <c r="C252" s="1026"/>
      <c r="D252" s="1026"/>
      <c r="E252" s="1026"/>
      <c r="F252" s="1026"/>
      <c r="G252" s="1026"/>
      <c r="H252" s="1026"/>
      <c r="I252" s="1026"/>
      <c r="J252" s="1026"/>
      <c r="K252" s="1026"/>
      <c r="L252" s="1026"/>
      <c r="M252" s="1026"/>
      <c r="N252" s="1026"/>
      <c r="O252" s="1026"/>
      <c r="P252" s="1026"/>
      <c r="Q252" s="1026"/>
      <c r="R252" s="1026"/>
      <c r="S252" s="1026"/>
      <c r="T252" s="1026"/>
      <c r="U252" s="1026"/>
      <c r="V252" s="1026"/>
      <c r="W252" s="1026"/>
      <c r="X252" s="1026"/>
      <c r="Y252" s="1026"/>
      <c r="Z252" s="1026"/>
      <c r="AA252" s="1026"/>
      <c r="AB252" s="1026"/>
      <c r="AC252" s="1026"/>
    </row>
    <row r="253" spans="1:29" x14ac:dyDescent="0.25">
      <c r="A253" s="847"/>
      <c r="B253" s="1026"/>
      <c r="C253" s="1026"/>
      <c r="D253" s="1026"/>
      <c r="E253" s="1026"/>
      <c r="F253" s="1026"/>
      <c r="G253" s="1026"/>
      <c r="H253" s="1026"/>
      <c r="I253" s="1026"/>
      <c r="J253" s="1026"/>
      <c r="K253" s="1026"/>
      <c r="L253" s="1026"/>
      <c r="M253" s="1026"/>
      <c r="N253" s="1026"/>
      <c r="O253" s="1026"/>
      <c r="P253" s="1026"/>
      <c r="Q253" s="1026"/>
      <c r="R253" s="1026"/>
      <c r="S253" s="1026"/>
      <c r="T253" s="1026"/>
      <c r="U253" s="1026"/>
      <c r="V253" s="1026"/>
      <c r="W253" s="1026"/>
      <c r="X253" s="1026"/>
      <c r="Y253" s="1026"/>
      <c r="Z253" s="1026"/>
      <c r="AA253" s="1026"/>
      <c r="AB253" s="1026"/>
      <c r="AC253" s="1026"/>
    </row>
    <row r="254" spans="1:29" x14ac:dyDescent="0.25">
      <c r="A254" s="847"/>
      <c r="B254" s="1026"/>
      <c r="C254" s="1026"/>
      <c r="D254" s="1026"/>
      <c r="E254" s="1026"/>
      <c r="F254" s="1026"/>
      <c r="G254" s="1026"/>
      <c r="H254" s="1026"/>
      <c r="I254" s="1026"/>
      <c r="J254" s="1026"/>
      <c r="K254" s="1026"/>
      <c r="L254" s="1026"/>
      <c r="M254" s="1026"/>
      <c r="N254" s="1026"/>
      <c r="O254" s="1026"/>
      <c r="P254" s="1026"/>
      <c r="Q254" s="1026"/>
      <c r="R254" s="1026"/>
      <c r="S254" s="1026"/>
      <c r="T254" s="1026"/>
      <c r="U254" s="1026"/>
      <c r="V254" s="1026"/>
      <c r="W254" s="1026"/>
      <c r="X254" s="1026"/>
      <c r="Y254" s="1026"/>
      <c r="Z254" s="1026"/>
      <c r="AA254" s="1026"/>
      <c r="AB254" s="1026"/>
      <c r="AC254" s="1026"/>
    </row>
    <row r="255" spans="1:29" x14ac:dyDescent="0.25">
      <c r="A255" s="847"/>
      <c r="B255" s="1026"/>
      <c r="C255" s="1026"/>
      <c r="D255" s="1026"/>
      <c r="E255" s="1026"/>
      <c r="F255" s="1026"/>
      <c r="G255" s="1026"/>
      <c r="H255" s="1026"/>
      <c r="I255" s="1026"/>
      <c r="J255" s="1026"/>
      <c r="K255" s="1026"/>
      <c r="L255" s="1026"/>
      <c r="M255" s="1026"/>
      <c r="N255" s="1026"/>
      <c r="O255" s="1026"/>
      <c r="P255" s="1026"/>
      <c r="Q255" s="1026"/>
      <c r="R255" s="1026"/>
      <c r="S255" s="1026"/>
      <c r="T255" s="1026"/>
      <c r="U255" s="1026"/>
      <c r="V255" s="1026"/>
      <c r="W255" s="1026"/>
      <c r="X255" s="1026"/>
      <c r="Y255" s="1026"/>
      <c r="Z255" s="1026"/>
      <c r="AA255" s="1026"/>
      <c r="AB255" s="1026"/>
      <c r="AC255" s="1026"/>
    </row>
    <row r="256" spans="1:29" x14ac:dyDescent="0.25">
      <c r="A256" s="847"/>
      <c r="B256" s="1026"/>
      <c r="C256" s="1026"/>
      <c r="D256" s="1026"/>
      <c r="E256" s="1026"/>
      <c r="F256" s="1026"/>
      <c r="G256" s="1026"/>
      <c r="H256" s="1026"/>
      <c r="I256" s="1026"/>
      <c r="J256" s="1026"/>
      <c r="K256" s="1026"/>
      <c r="L256" s="1026"/>
      <c r="M256" s="1026"/>
      <c r="N256" s="1026"/>
      <c r="O256" s="1026"/>
      <c r="P256" s="1026"/>
      <c r="Q256" s="1026"/>
      <c r="R256" s="1026"/>
      <c r="S256" s="1026"/>
      <c r="T256" s="1026"/>
      <c r="U256" s="1026"/>
      <c r="V256" s="1026"/>
      <c r="W256" s="1026"/>
      <c r="X256" s="1026"/>
      <c r="Y256" s="1026"/>
      <c r="Z256" s="1026"/>
      <c r="AA256" s="1026"/>
      <c r="AB256" s="1026"/>
      <c r="AC256" s="1026"/>
    </row>
    <row r="257" spans="1:29" x14ac:dyDescent="0.25">
      <c r="A257" s="847"/>
      <c r="B257" s="1026"/>
      <c r="C257" s="1026"/>
      <c r="D257" s="1026"/>
      <c r="E257" s="1026"/>
      <c r="F257" s="1026"/>
      <c r="G257" s="1026"/>
      <c r="H257" s="1026"/>
      <c r="I257" s="1026"/>
      <c r="J257" s="1026"/>
      <c r="K257" s="1026"/>
      <c r="L257" s="1026"/>
      <c r="M257" s="1026"/>
      <c r="N257" s="1026"/>
      <c r="O257" s="1026"/>
      <c r="P257" s="1026"/>
      <c r="Q257" s="1026"/>
      <c r="R257" s="1026"/>
      <c r="S257" s="1026"/>
      <c r="T257" s="1026"/>
      <c r="U257" s="1026"/>
      <c r="V257" s="1026"/>
      <c r="W257" s="1026"/>
      <c r="X257" s="1026"/>
      <c r="Y257" s="1026"/>
      <c r="Z257" s="1026"/>
      <c r="AA257" s="1026"/>
      <c r="AB257" s="1026"/>
      <c r="AC257" s="1026"/>
    </row>
    <row r="258" spans="1:29" x14ac:dyDescent="0.25">
      <c r="A258" s="847"/>
      <c r="B258" s="1026"/>
      <c r="C258" s="1026"/>
      <c r="D258" s="1026"/>
      <c r="E258" s="1026"/>
      <c r="F258" s="1026"/>
      <c r="G258" s="1026"/>
      <c r="H258" s="1026"/>
      <c r="I258" s="1026"/>
      <c r="J258" s="1026"/>
      <c r="K258" s="1026"/>
      <c r="L258" s="1026"/>
      <c r="M258" s="1026"/>
      <c r="N258" s="1026"/>
      <c r="O258" s="1026"/>
      <c r="P258" s="1026"/>
      <c r="Q258" s="1026"/>
      <c r="R258" s="1026"/>
      <c r="S258" s="1026"/>
      <c r="T258" s="1026"/>
      <c r="U258" s="1026"/>
      <c r="V258" s="1026"/>
      <c r="W258" s="1026"/>
      <c r="X258" s="1026"/>
      <c r="Y258" s="1026"/>
      <c r="Z258" s="1026"/>
      <c r="AA258" s="1026"/>
      <c r="AB258" s="1026"/>
      <c r="AC258" s="1026"/>
    </row>
    <row r="259" spans="1:29" x14ac:dyDescent="0.25">
      <c r="A259" s="847"/>
      <c r="B259" s="1026"/>
      <c r="C259" s="1026"/>
      <c r="D259" s="1026"/>
      <c r="E259" s="1026"/>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row>
    <row r="260" spans="1:29" x14ac:dyDescent="0.25">
      <c r="A260" s="847"/>
      <c r="B260" s="1026"/>
      <c r="C260" s="1026"/>
      <c r="D260" s="1026"/>
      <c r="E260" s="1026"/>
      <c r="F260" s="1026"/>
      <c r="G260" s="1026"/>
      <c r="H260" s="1026"/>
      <c r="I260" s="1026"/>
      <c r="J260" s="1026"/>
      <c r="K260" s="1026"/>
      <c r="L260" s="1026"/>
      <c r="M260" s="1026"/>
      <c r="N260" s="1026"/>
      <c r="O260" s="1026"/>
      <c r="P260" s="1026"/>
      <c r="Q260" s="1026"/>
      <c r="R260" s="1026"/>
      <c r="S260" s="1026"/>
      <c r="T260" s="1026"/>
      <c r="U260" s="1026"/>
      <c r="V260" s="1026"/>
      <c r="W260" s="1026"/>
      <c r="X260" s="1026"/>
      <c r="Y260" s="1026"/>
      <c r="Z260" s="1026"/>
      <c r="AA260" s="1026"/>
      <c r="AB260" s="1026"/>
      <c r="AC260" s="1026"/>
    </row>
    <row r="261" spans="1:29" x14ac:dyDescent="0.25">
      <c r="A261" s="847"/>
      <c r="B261" s="1026"/>
      <c r="C261" s="1026"/>
      <c r="D261" s="1026"/>
      <c r="E261" s="1026"/>
      <c r="F261" s="1026"/>
      <c r="G261" s="1026"/>
      <c r="H261" s="1026"/>
      <c r="I261" s="1026"/>
      <c r="J261" s="1026"/>
      <c r="K261" s="1026"/>
      <c r="L261" s="1026"/>
      <c r="M261" s="1026"/>
      <c r="N261" s="1026"/>
      <c r="O261" s="1026"/>
      <c r="P261" s="1026"/>
      <c r="Q261" s="1026"/>
      <c r="R261" s="1026"/>
      <c r="S261" s="1026"/>
      <c r="T261" s="1026"/>
      <c r="U261" s="1026"/>
      <c r="V261" s="1026"/>
      <c r="W261" s="1026"/>
      <c r="X261" s="1026"/>
      <c r="Y261" s="1026"/>
      <c r="Z261" s="1026"/>
      <c r="AA261" s="1026"/>
      <c r="AB261" s="1026"/>
      <c r="AC261" s="1026"/>
    </row>
    <row r="262" spans="1:29" x14ac:dyDescent="0.25">
      <c r="A262" s="847"/>
      <c r="B262" s="1026"/>
      <c r="C262" s="1026"/>
      <c r="D262" s="1026"/>
      <c r="E262" s="1026"/>
      <c r="F262" s="1026"/>
      <c r="G262" s="1026"/>
      <c r="H262" s="1026"/>
      <c r="I262" s="1026"/>
      <c r="J262" s="1026"/>
      <c r="K262" s="1026"/>
      <c r="L262" s="1026"/>
      <c r="M262" s="1026"/>
      <c r="N262" s="1026"/>
      <c r="O262" s="1026"/>
      <c r="P262" s="1026"/>
      <c r="Q262" s="1026"/>
      <c r="R262" s="1026"/>
      <c r="S262" s="1026"/>
      <c r="T262" s="1026"/>
      <c r="U262" s="1026"/>
      <c r="V262" s="1026"/>
      <c r="W262" s="1026"/>
      <c r="X262" s="1026"/>
      <c r="Y262" s="1026"/>
      <c r="Z262" s="1026"/>
      <c r="AA262" s="1026"/>
      <c r="AB262" s="1026"/>
      <c r="AC262" s="1026"/>
    </row>
    <row r="263" spans="1:29" x14ac:dyDescent="0.25">
      <c r="A263" s="847"/>
      <c r="B263" s="1026"/>
      <c r="C263" s="1026"/>
      <c r="D263" s="1026"/>
      <c r="E263" s="1026"/>
      <c r="F263" s="1026"/>
      <c r="G263" s="1026"/>
      <c r="H263" s="1026"/>
      <c r="I263" s="1026"/>
      <c r="J263" s="1026"/>
      <c r="K263" s="1026"/>
      <c r="L263" s="1026"/>
      <c r="M263" s="1026"/>
      <c r="N263" s="1026"/>
      <c r="O263" s="1026"/>
      <c r="P263" s="1026"/>
      <c r="Q263" s="1026"/>
      <c r="R263" s="1026"/>
      <c r="S263" s="1026"/>
      <c r="T263" s="1026"/>
      <c r="U263" s="1026"/>
      <c r="V263" s="1026"/>
      <c r="W263" s="1026"/>
      <c r="X263" s="1026"/>
      <c r="Y263" s="1026"/>
      <c r="Z263" s="1026"/>
      <c r="AA263" s="1026"/>
      <c r="AB263" s="1026"/>
      <c r="AC263" s="1026"/>
    </row>
    <row r="264" spans="1:29" x14ac:dyDescent="0.25">
      <c r="A264" s="847"/>
      <c r="B264" s="1026"/>
      <c r="C264" s="1026"/>
      <c r="D264" s="1026"/>
      <c r="E264" s="1026"/>
      <c r="F264" s="1026"/>
      <c r="G264" s="1026"/>
      <c r="H264" s="1026"/>
      <c r="I264" s="1026"/>
      <c r="J264" s="1026"/>
      <c r="K264" s="1026"/>
      <c r="L264" s="1026"/>
      <c r="M264" s="1026"/>
      <c r="N264" s="1026"/>
      <c r="O264" s="1026"/>
      <c r="P264" s="1026"/>
      <c r="Q264" s="1026"/>
      <c r="R264" s="1026"/>
      <c r="S264" s="1026"/>
      <c r="T264" s="1026"/>
      <c r="U264" s="1026"/>
      <c r="V264" s="1026"/>
      <c r="W264" s="1026"/>
      <c r="X264" s="1026"/>
      <c r="Y264" s="1026"/>
      <c r="Z264" s="1026"/>
      <c r="AA264" s="1026"/>
      <c r="AB264" s="1026"/>
      <c r="AC264" s="1026"/>
    </row>
    <row r="265" spans="1:29" x14ac:dyDescent="0.25">
      <c r="A265" s="847"/>
      <c r="B265" s="1026"/>
      <c r="C265" s="1026"/>
      <c r="D265" s="1026"/>
      <c r="E265" s="1026"/>
      <c r="F265" s="1026"/>
      <c r="G265" s="1026"/>
      <c r="H265" s="1026"/>
      <c r="I265" s="1026"/>
      <c r="J265" s="1026"/>
      <c r="K265" s="1026"/>
      <c r="L265" s="1026"/>
      <c r="M265" s="1026"/>
      <c r="N265" s="1026"/>
      <c r="O265" s="1026"/>
      <c r="P265" s="1026"/>
      <c r="Q265" s="1026"/>
      <c r="R265" s="1026"/>
      <c r="S265" s="1026"/>
      <c r="T265" s="1026"/>
      <c r="U265" s="1026"/>
      <c r="V265" s="1026"/>
      <c r="W265" s="1026"/>
      <c r="X265" s="1026"/>
      <c r="Y265" s="1026"/>
      <c r="Z265" s="1026"/>
      <c r="AA265" s="1026"/>
      <c r="AB265" s="1026"/>
      <c r="AC265" s="1026"/>
    </row>
    <row r="266" spans="1:29" x14ac:dyDescent="0.25">
      <c r="A266" s="847"/>
      <c r="B266" s="1026"/>
      <c r="C266" s="1026"/>
      <c r="D266" s="1026"/>
      <c r="E266" s="1026"/>
      <c r="F266" s="1026"/>
      <c r="G266" s="1026"/>
      <c r="H266" s="1026"/>
      <c r="I266" s="1026"/>
      <c r="J266" s="1026"/>
      <c r="K266" s="1026"/>
      <c r="L266" s="1026"/>
      <c r="M266" s="1026"/>
      <c r="N266" s="1026"/>
      <c r="O266" s="1026"/>
      <c r="P266" s="1026"/>
      <c r="Q266" s="1026"/>
      <c r="R266" s="1026"/>
      <c r="S266" s="1026"/>
      <c r="T266" s="1026"/>
      <c r="U266" s="1026"/>
      <c r="V266" s="1026"/>
      <c r="W266" s="1026"/>
      <c r="X266" s="1026"/>
      <c r="Y266" s="1026"/>
      <c r="Z266" s="1026"/>
      <c r="AA266" s="1026"/>
      <c r="AB266" s="1026"/>
      <c r="AC266" s="1026"/>
    </row>
    <row r="267" spans="1:29" x14ac:dyDescent="0.25">
      <c r="A267" s="847"/>
      <c r="B267" s="1026"/>
      <c r="C267" s="1026"/>
      <c r="D267" s="1026"/>
      <c r="E267" s="1026"/>
      <c r="F267" s="1026"/>
      <c r="G267" s="1026"/>
      <c r="H267" s="1026"/>
      <c r="I267" s="1026"/>
      <c r="J267" s="1026"/>
      <c r="K267" s="1026"/>
      <c r="L267" s="1026"/>
      <c r="M267" s="1026"/>
      <c r="N267" s="1026"/>
      <c r="O267" s="1026"/>
      <c r="P267" s="1026"/>
      <c r="Q267" s="1026"/>
      <c r="R267" s="1026"/>
      <c r="S267" s="1026"/>
      <c r="T267" s="1026"/>
      <c r="U267" s="1026"/>
      <c r="V267" s="1026"/>
      <c r="W267" s="1026"/>
      <c r="X267" s="1026"/>
      <c r="Y267" s="1026"/>
      <c r="Z267" s="1026"/>
      <c r="AA267" s="1026"/>
      <c r="AB267" s="1026"/>
      <c r="AC267" s="1026"/>
    </row>
    <row r="268" spans="1:29" x14ac:dyDescent="0.25">
      <c r="A268" s="847"/>
      <c r="B268" s="1026"/>
      <c r="C268" s="1026"/>
      <c r="D268" s="1026"/>
      <c r="E268" s="1026"/>
      <c r="F268" s="1026"/>
      <c r="G268" s="1026"/>
      <c r="H268" s="1026"/>
      <c r="I268" s="1026"/>
      <c r="J268" s="1026"/>
      <c r="K268" s="1026"/>
      <c r="L268" s="1026"/>
      <c r="M268" s="1026"/>
      <c r="N268" s="1026"/>
      <c r="O268" s="1026"/>
      <c r="P268" s="1026"/>
      <c r="Q268" s="1026"/>
      <c r="R268" s="1026"/>
      <c r="S268" s="1026"/>
      <c r="T268" s="1026"/>
      <c r="U268" s="1026"/>
      <c r="V268" s="1026"/>
      <c r="W268" s="1026"/>
      <c r="X268" s="1026"/>
      <c r="Y268" s="1026"/>
      <c r="Z268" s="1026"/>
      <c r="AA268" s="1026"/>
      <c r="AB268" s="1026"/>
      <c r="AC268" s="1026"/>
    </row>
    <row r="269" spans="1:29" x14ac:dyDescent="0.25">
      <c r="A269" s="847"/>
      <c r="B269" s="1026"/>
      <c r="C269" s="1026"/>
      <c r="D269" s="1026"/>
      <c r="E269" s="1026"/>
      <c r="F269" s="1026"/>
      <c r="G269" s="1026"/>
      <c r="H269" s="1026"/>
      <c r="I269" s="1026"/>
      <c r="J269" s="1026"/>
      <c r="K269" s="1026"/>
      <c r="L269" s="1026"/>
      <c r="M269" s="1026"/>
      <c r="N269" s="1026"/>
      <c r="O269" s="1026"/>
      <c r="P269" s="1026"/>
      <c r="Q269" s="1026"/>
      <c r="R269" s="1026"/>
      <c r="S269" s="1026"/>
      <c r="T269" s="1026"/>
      <c r="U269" s="1026"/>
      <c r="V269" s="1026"/>
      <c r="W269" s="1026"/>
      <c r="X269" s="1026"/>
      <c r="Y269" s="1026"/>
      <c r="Z269" s="1026"/>
      <c r="AA269" s="1026"/>
      <c r="AB269" s="1026"/>
      <c r="AC269" s="1026"/>
    </row>
    <row r="270" spans="1:29" x14ac:dyDescent="0.25">
      <c r="A270" s="847"/>
      <c r="B270" s="1026"/>
      <c r="C270" s="1026"/>
      <c r="D270" s="1026"/>
      <c r="E270" s="1026"/>
      <c r="F270" s="1026"/>
      <c r="G270" s="1026"/>
      <c r="H270" s="1026"/>
      <c r="I270" s="1026"/>
      <c r="J270" s="1026"/>
      <c r="K270" s="1026"/>
      <c r="L270" s="1026"/>
      <c r="M270" s="1026"/>
      <c r="N270" s="1026"/>
      <c r="O270" s="1026"/>
      <c r="P270" s="1026"/>
      <c r="Q270" s="1026"/>
      <c r="R270" s="1026"/>
      <c r="S270" s="1026"/>
      <c r="T270" s="1026"/>
      <c r="U270" s="1026"/>
      <c r="V270" s="1026"/>
      <c r="W270" s="1026"/>
      <c r="X270" s="1026"/>
      <c r="Y270" s="1026"/>
      <c r="Z270" s="1026"/>
      <c r="AA270" s="1026"/>
      <c r="AB270" s="1026"/>
      <c r="AC270" s="1026"/>
    </row>
    <row r="271" spans="1:29" x14ac:dyDescent="0.25">
      <c r="A271" s="847"/>
      <c r="B271" s="1026"/>
      <c r="C271" s="1026"/>
      <c r="D271" s="1026"/>
      <c r="E271" s="1026"/>
      <c r="F271" s="1026"/>
      <c r="G271" s="1026"/>
      <c r="H271" s="1026"/>
      <c r="I271" s="1026"/>
      <c r="J271" s="1026"/>
      <c r="K271" s="1026"/>
      <c r="L271" s="1026"/>
      <c r="M271" s="1026"/>
      <c r="N271" s="1026"/>
      <c r="O271" s="1026"/>
      <c r="P271" s="1026"/>
      <c r="Q271" s="1026"/>
      <c r="R271" s="1026"/>
      <c r="S271" s="1026"/>
      <c r="T271" s="1026"/>
      <c r="U271" s="1026"/>
      <c r="V271" s="1026"/>
      <c r="W271" s="1026"/>
      <c r="X271" s="1026"/>
      <c r="Y271" s="1026"/>
      <c r="Z271" s="1026"/>
      <c r="AA271" s="1026"/>
      <c r="AB271" s="1026"/>
      <c r="AC271" s="1026"/>
    </row>
    <row r="272" spans="1:29" x14ac:dyDescent="0.25">
      <c r="A272" s="847"/>
      <c r="B272" s="1026"/>
      <c r="C272" s="1026"/>
      <c r="D272" s="1026"/>
      <c r="E272" s="1026"/>
      <c r="F272" s="1026"/>
      <c r="G272" s="1026"/>
      <c r="H272" s="1026"/>
      <c r="I272" s="1026"/>
      <c r="J272" s="1026"/>
      <c r="K272" s="1026"/>
      <c r="L272" s="1026"/>
      <c r="M272" s="1026"/>
      <c r="N272" s="1026"/>
      <c r="O272" s="1026"/>
      <c r="P272" s="1026"/>
      <c r="Q272" s="1026"/>
      <c r="R272" s="1026"/>
      <c r="S272" s="1026"/>
      <c r="T272" s="1026"/>
      <c r="U272" s="1026"/>
      <c r="V272" s="1026"/>
      <c r="W272" s="1026"/>
      <c r="X272" s="1026"/>
      <c r="Y272" s="1026"/>
      <c r="Z272" s="1026"/>
      <c r="AA272" s="1026"/>
      <c r="AB272" s="1026"/>
      <c r="AC272" s="1026"/>
    </row>
    <row r="273" spans="1:29" x14ac:dyDescent="0.25">
      <c r="A273" s="847"/>
      <c r="B273" s="1026"/>
      <c r="C273" s="1026"/>
      <c r="D273" s="1026"/>
      <c r="E273" s="1026"/>
      <c r="F273" s="1026"/>
      <c r="G273" s="1026"/>
      <c r="H273" s="1026"/>
      <c r="I273" s="1026"/>
      <c r="J273" s="1026"/>
      <c r="K273" s="1026"/>
      <c r="L273" s="1026"/>
      <c r="M273" s="1026"/>
      <c r="N273" s="1026"/>
      <c r="O273" s="1026"/>
      <c r="P273" s="1026"/>
      <c r="Q273" s="1026"/>
      <c r="R273" s="1026"/>
      <c r="S273" s="1026"/>
      <c r="T273" s="1026"/>
      <c r="U273" s="1026"/>
      <c r="V273" s="1026"/>
      <c r="W273" s="1026"/>
      <c r="X273" s="1026"/>
      <c r="Y273" s="1026"/>
      <c r="Z273" s="1026"/>
      <c r="AA273" s="1026"/>
      <c r="AB273" s="1026"/>
      <c r="AC273" s="1026"/>
    </row>
    <row r="274" spans="1:29" x14ac:dyDescent="0.25">
      <c r="A274" s="847"/>
      <c r="B274" s="1026"/>
      <c r="C274" s="1026"/>
      <c r="D274" s="1026"/>
      <c r="E274" s="1026"/>
      <c r="F274" s="1026"/>
      <c r="G274" s="1026"/>
      <c r="H274" s="1026"/>
      <c r="I274" s="1026"/>
      <c r="J274" s="1026"/>
      <c r="K274" s="1026"/>
      <c r="L274" s="1026"/>
      <c r="M274" s="1026"/>
      <c r="N274" s="1026"/>
      <c r="O274" s="1026"/>
      <c r="P274" s="1026"/>
      <c r="Q274" s="1026"/>
      <c r="R274" s="1026"/>
      <c r="S274" s="1026"/>
      <c r="T274" s="1026"/>
      <c r="U274" s="1026"/>
      <c r="V274" s="1026"/>
      <c r="W274" s="1026"/>
      <c r="X274" s="1026"/>
      <c r="Y274" s="1026"/>
      <c r="Z274" s="1026"/>
      <c r="AA274" s="1026"/>
      <c r="AB274" s="1026"/>
      <c r="AC274" s="1026"/>
    </row>
    <row r="275" spans="1:29" x14ac:dyDescent="0.25">
      <c r="A275" s="847"/>
      <c r="B275" s="1026"/>
      <c r="C275" s="1026"/>
      <c r="D275" s="1026"/>
      <c r="E275" s="1026"/>
      <c r="F275" s="1026"/>
      <c r="G275" s="1026"/>
      <c r="H275" s="1026"/>
      <c r="I275" s="1026"/>
      <c r="J275" s="1026"/>
      <c r="K275" s="1026"/>
      <c r="L275" s="1026"/>
      <c r="M275" s="1026"/>
      <c r="N275" s="1026"/>
      <c r="O275" s="1026"/>
      <c r="P275" s="1026"/>
      <c r="Q275" s="1026"/>
      <c r="R275" s="1026"/>
      <c r="S275" s="1026"/>
      <c r="T275" s="1026"/>
      <c r="U275" s="1026"/>
      <c r="V275" s="1026"/>
      <c r="W275" s="1026"/>
      <c r="X275" s="1026"/>
      <c r="Y275" s="1026"/>
      <c r="Z275" s="1026"/>
      <c r="AA275" s="1026"/>
      <c r="AB275" s="1026"/>
      <c r="AC275" s="1026"/>
    </row>
    <row r="276" spans="1:29" x14ac:dyDescent="0.25">
      <c r="A276" s="847"/>
      <c r="B276" s="1026"/>
      <c r="C276" s="1026"/>
      <c r="D276" s="1026"/>
      <c r="E276" s="1026"/>
      <c r="F276" s="1026"/>
      <c r="G276" s="1026"/>
      <c r="H276" s="1026"/>
      <c r="I276" s="1026"/>
      <c r="J276" s="1026"/>
      <c r="K276" s="1026"/>
      <c r="L276" s="1026"/>
      <c r="M276" s="1026"/>
      <c r="N276" s="1026"/>
      <c r="O276" s="1026"/>
      <c r="P276" s="1026"/>
      <c r="Q276" s="1026"/>
      <c r="R276" s="1026"/>
      <c r="S276" s="1026"/>
      <c r="T276" s="1026"/>
      <c r="U276" s="1026"/>
      <c r="V276" s="1026"/>
      <c r="W276" s="1026"/>
      <c r="X276" s="1026"/>
      <c r="Y276" s="1026"/>
      <c r="Z276" s="1026"/>
      <c r="AA276" s="1026"/>
      <c r="AB276" s="1026"/>
      <c r="AC276" s="1026"/>
    </row>
    <row r="277" spans="1:29" x14ac:dyDescent="0.25">
      <c r="A277" s="847"/>
      <c r="B277" s="1026"/>
      <c r="C277" s="1026"/>
      <c r="D277" s="1026"/>
      <c r="E277" s="1026"/>
      <c r="F277" s="1026"/>
      <c r="G277" s="1026"/>
      <c r="H277" s="1026"/>
      <c r="I277" s="1026"/>
      <c r="J277" s="1026"/>
      <c r="K277" s="1026"/>
      <c r="L277" s="1026"/>
      <c r="M277" s="1026"/>
      <c r="N277" s="1026"/>
      <c r="O277" s="1026"/>
      <c r="P277" s="1026"/>
      <c r="Q277" s="1026"/>
      <c r="R277" s="1026"/>
      <c r="S277" s="1026"/>
      <c r="T277" s="1026"/>
      <c r="U277" s="1026"/>
      <c r="V277" s="1026"/>
      <c r="W277" s="1026"/>
      <c r="X277" s="1026"/>
      <c r="Y277" s="1026"/>
      <c r="Z277" s="1026"/>
      <c r="AA277" s="1026"/>
      <c r="AB277" s="1026"/>
      <c r="AC277" s="1026"/>
    </row>
    <row r="278" spans="1:29" x14ac:dyDescent="0.25">
      <c r="A278" s="847"/>
      <c r="B278" s="1026"/>
      <c r="C278" s="1026"/>
      <c r="D278" s="1026"/>
      <c r="E278" s="1026"/>
      <c r="F278" s="1026"/>
      <c r="G278" s="1026"/>
      <c r="H278" s="1026"/>
      <c r="I278" s="1026"/>
      <c r="J278" s="1026"/>
      <c r="K278" s="1026"/>
      <c r="L278" s="1026"/>
      <c r="M278" s="1026"/>
      <c r="N278" s="1026"/>
      <c r="O278" s="1026"/>
      <c r="P278" s="1026"/>
      <c r="Q278" s="1026"/>
      <c r="R278" s="1026"/>
      <c r="S278" s="1026"/>
      <c r="T278" s="1026"/>
      <c r="U278" s="1026"/>
      <c r="V278" s="1026"/>
      <c r="W278" s="1026"/>
      <c r="X278" s="1026"/>
      <c r="Y278" s="1026"/>
      <c r="Z278" s="1026"/>
      <c r="AA278" s="1026"/>
      <c r="AB278" s="1026"/>
      <c r="AC278" s="1026"/>
    </row>
    <row r="279" spans="1:29" x14ac:dyDescent="0.25">
      <c r="A279" s="847"/>
      <c r="B279" s="1026"/>
      <c r="C279" s="1026"/>
      <c r="D279" s="1026"/>
      <c r="E279" s="1026"/>
      <c r="F279" s="1026"/>
      <c r="G279" s="1026"/>
      <c r="H279" s="1026"/>
      <c r="I279" s="1026"/>
      <c r="J279" s="1026"/>
      <c r="K279" s="1026"/>
      <c r="L279" s="1026"/>
      <c r="M279" s="1026"/>
      <c r="N279" s="1026"/>
      <c r="O279" s="1026"/>
      <c r="P279" s="1026"/>
      <c r="Q279" s="1026"/>
      <c r="R279" s="1026"/>
      <c r="S279" s="1026"/>
      <c r="T279" s="1026"/>
      <c r="U279" s="1026"/>
      <c r="V279" s="1026"/>
      <c r="W279" s="1026"/>
      <c r="X279" s="1026"/>
      <c r="Y279" s="1026"/>
      <c r="Z279" s="1026"/>
      <c r="AA279" s="1026"/>
      <c r="AB279" s="1026"/>
      <c r="AC279" s="1026"/>
    </row>
    <row r="280" spans="1:29" x14ac:dyDescent="0.25">
      <c r="A280" s="847"/>
      <c r="B280" s="1026"/>
      <c r="C280" s="1026"/>
      <c r="D280" s="1026"/>
      <c r="E280" s="1026"/>
      <c r="F280" s="1026"/>
      <c r="G280" s="1026"/>
      <c r="H280" s="1026"/>
      <c r="I280" s="1026"/>
      <c r="J280" s="1026"/>
      <c r="K280" s="1026"/>
      <c r="L280" s="1026"/>
      <c r="M280" s="1026"/>
      <c r="N280" s="1026"/>
      <c r="O280" s="1026"/>
      <c r="P280" s="1026"/>
      <c r="Q280" s="1026"/>
      <c r="R280" s="1026"/>
      <c r="S280" s="1026"/>
      <c r="T280" s="1026"/>
      <c r="U280" s="1026"/>
      <c r="V280" s="1026"/>
      <c r="W280" s="1026"/>
      <c r="X280" s="1026"/>
      <c r="Y280" s="1026"/>
      <c r="Z280" s="1026"/>
      <c r="AA280" s="1026"/>
      <c r="AB280" s="1026"/>
      <c r="AC280" s="1026"/>
    </row>
    <row r="281" spans="1:29" x14ac:dyDescent="0.25">
      <c r="A281" s="847"/>
      <c r="B281" s="1026"/>
      <c r="C281" s="1026"/>
      <c r="D281" s="1026"/>
      <c r="E281" s="1026"/>
      <c r="F281" s="1026"/>
      <c r="G281" s="1026"/>
      <c r="H281" s="1026"/>
      <c r="I281" s="1026"/>
      <c r="J281" s="1026"/>
      <c r="K281" s="1026"/>
      <c r="L281" s="1026"/>
      <c r="M281" s="1026"/>
      <c r="N281" s="1026"/>
      <c r="O281" s="1026"/>
      <c r="P281" s="1026"/>
      <c r="Q281" s="1026"/>
      <c r="R281" s="1026"/>
      <c r="S281" s="1026"/>
      <c r="T281" s="1026"/>
      <c r="U281" s="1026"/>
      <c r="V281" s="1026"/>
      <c r="W281" s="1026"/>
      <c r="X281" s="1026"/>
      <c r="Y281" s="1026"/>
      <c r="Z281" s="1026"/>
      <c r="AA281" s="1026"/>
      <c r="AB281" s="1026"/>
      <c r="AC281" s="1026"/>
    </row>
    <row r="282" spans="1:29" x14ac:dyDescent="0.25">
      <c r="A282" s="847"/>
      <c r="B282" s="1026"/>
      <c r="C282" s="1026"/>
      <c r="D282" s="1026"/>
      <c r="E282" s="1026"/>
      <c r="F282" s="1026"/>
      <c r="G282" s="1026"/>
      <c r="H282" s="1026"/>
      <c r="I282" s="1026"/>
      <c r="J282" s="1026"/>
      <c r="K282" s="1026"/>
      <c r="L282" s="1026"/>
      <c r="M282" s="1026"/>
      <c r="N282" s="1026"/>
      <c r="O282" s="1026"/>
      <c r="P282" s="1026"/>
      <c r="Q282" s="1026"/>
      <c r="R282" s="1026"/>
      <c r="S282" s="1026"/>
      <c r="T282" s="1026"/>
      <c r="U282" s="1026"/>
      <c r="V282" s="1026"/>
      <c r="W282" s="1026"/>
      <c r="X282" s="1026"/>
      <c r="Y282" s="1026"/>
      <c r="Z282" s="1026"/>
      <c r="AA282" s="1026"/>
      <c r="AB282" s="1026"/>
      <c r="AC282" s="1026"/>
    </row>
    <row r="283" spans="1:29" x14ac:dyDescent="0.25">
      <c r="A283" s="847"/>
      <c r="B283" s="1026"/>
      <c r="C283" s="1026"/>
      <c r="D283" s="1026"/>
      <c r="E283" s="1026"/>
      <c r="F283" s="1026"/>
      <c r="G283" s="1026"/>
      <c r="H283" s="1026"/>
      <c r="I283" s="1026"/>
      <c r="J283" s="1026"/>
      <c r="K283" s="1026"/>
      <c r="L283" s="1026"/>
      <c r="M283" s="1026"/>
      <c r="N283" s="1026"/>
      <c r="O283" s="1026"/>
      <c r="P283" s="1026"/>
      <c r="Q283" s="1026"/>
      <c r="R283" s="1026"/>
      <c r="S283" s="1026"/>
      <c r="T283" s="1026"/>
      <c r="U283" s="1026"/>
      <c r="V283" s="1026"/>
      <c r="W283" s="1026"/>
      <c r="X283" s="1026"/>
      <c r="Y283" s="1026"/>
      <c r="Z283" s="1026"/>
      <c r="AA283" s="1026"/>
      <c r="AB283" s="1026"/>
      <c r="AC283" s="1026"/>
    </row>
    <row r="284" spans="1:29" x14ac:dyDescent="0.25">
      <c r="A284" s="847"/>
      <c r="B284" s="1026"/>
      <c r="C284" s="1026"/>
      <c r="D284" s="1026"/>
      <c r="E284" s="1026"/>
      <c r="F284" s="1026"/>
      <c r="G284" s="1026"/>
      <c r="H284" s="1026"/>
      <c r="I284" s="1026"/>
      <c r="J284" s="1026"/>
      <c r="K284" s="1026"/>
      <c r="L284" s="1026"/>
      <c r="M284" s="1026"/>
      <c r="N284" s="1026"/>
      <c r="O284" s="1026"/>
      <c r="P284" s="1026"/>
      <c r="Q284" s="1026"/>
      <c r="R284" s="1026"/>
      <c r="S284" s="1026"/>
      <c r="T284" s="1026"/>
      <c r="U284" s="1026"/>
      <c r="V284" s="1026"/>
      <c r="W284" s="1026"/>
      <c r="X284" s="1026"/>
      <c r="Y284" s="1026"/>
      <c r="Z284" s="1026"/>
      <c r="AA284" s="1026"/>
      <c r="AB284" s="1026"/>
      <c r="AC284" s="1026"/>
    </row>
    <row r="285" spans="1:29" x14ac:dyDescent="0.25">
      <c r="A285" s="847"/>
      <c r="B285" s="1026"/>
      <c r="C285" s="1026"/>
      <c r="D285" s="1026"/>
      <c r="E285" s="1026"/>
      <c r="F285" s="1026"/>
      <c r="G285" s="1026"/>
      <c r="H285" s="1026"/>
      <c r="I285" s="1026"/>
      <c r="J285" s="1026"/>
      <c r="K285" s="1026"/>
      <c r="L285" s="1026"/>
      <c r="M285" s="1026"/>
      <c r="N285" s="1026"/>
      <c r="O285" s="1026"/>
      <c r="P285" s="1026"/>
      <c r="Q285" s="1026"/>
      <c r="R285" s="1026"/>
      <c r="S285" s="1026"/>
      <c r="T285" s="1026"/>
      <c r="U285" s="1026"/>
      <c r="V285" s="1026"/>
      <c r="W285" s="1026"/>
      <c r="X285" s="1026"/>
      <c r="Y285" s="1026"/>
      <c r="Z285" s="1026"/>
      <c r="AA285" s="1026"/>
      <c r="AB285" s="1026"/>
      <c r="AC285" s="1026"/>
    </row>
    <row r="286" spans="1:29" x14ac:dyDescent="0.25">
      <c r="A286" s="847"/>
      <c r="B286" s="1026"/>
      <c r="C286" s="1026"/>
      <c r="D286" s="1026"/>
      <c r="E286" s="1026"/>
      <c r="F286" s="1026"/>
      <c r="G286" s="1026"/>
      <c r="H286" s="1026"/>
      <c r="I286" s="1026"/>
      <c r="J286" s="1026"/>
      <c r="K286" s="1026"/>
      <c r="L286" s="1026"/>
      <c r="M286" s="1026"/>
      <c r="N286" s="1026"/>
      <c r="O286" s="1026"/>
      <c r="P286" s="1026"/>
      <c r="Q286" s="1026"/>
      <c r="R286" s="1026"/>
      <c r="S286" s="1026"/>
      <c r="T286" s="1026"/>
      <c r="U286" s="1026"/>
      <c r="V286" s="1026"/>
      <c r="W286" s="1026"/>
      <c r="X286" s="1026"/>
      <c r="Y286" s="1026"/>
      <c r="Z286" s="1026"/>
      <c r="AA286" s="1026"/>
      <c r="AB286" s="1026"/>
      <c r="AC286" s="1026"/>
    </row>
    <row r="287" spans="1:29" x14ac:dyDescent="0.25">
      <c r="A287" s="847"/>
      <c r="B287" s="1026"/>
      <c r="C287" s="1026"/>
      <c r="D287" s="1026"/>
      <c r="E287" s="1026"/>
      <c r="F287" s="1026"/>
      <c r="G287" s="1026"/>
      <c r="H287" s="1026"/>
      <c r="I287" s="1026"/>
      <c r="J287" s="1026"/>
      <c r="K287" s="1026"/>
      <c r="L287" s="1026"/>
      <c r="M287" s="1026"/>
      <c r="N287" s="1026"/>
      <c r="O287" s="1026"/>
      <c r="P287" s="1026"/>
      <c r="Q287" s="1026"/>
      <c r="R287" s="1026"/>
      <c r="S287" s="1026"/>
      <c r="T287" s="1026"/>
      <c r="U287" s="1026"/>
      <c r="V287" s="1026"/>
      <c r="W287" s="1026"/>
      <c r="X287" s="1026"/>
      <c r="Y287" s="1026"/>
      <c r="Z287" s="1026"/>
      <c r="AA287" s="1026"/>
      <c r="AB287" s="1026"/>
      <c r="AC287" s="1026"/>
    </row>
    <row r="288" spans="1:29" x14ac:dyDescent="0.25">
      <c r="A288" s="847"/>
      <c r="B288" s="1026"/>
      <c r="C288" s="1026"/>
      <c r="D288" s="1026"/>
      <c r="E288" s="1026"/>
      <c r="F288" s="1026"/>
      <c r="G288" s="1026"/>
      <c r="H288" s="1026"/>
      <c r="I288" s="1026"/>
      <c r="J288" s="1026"/>
      <c r="K288" s="1026"/>
      <c r="L288" s="1026"/>
      <c r="M288" s="1026"/>
      <c r="N288" s="1026"/>
      <c r="O288" s="1026"/>
      <c r="P288" s="1026"/>
      <c r="Q288" s="1026"/>
      <c r="R288" s="1026"/>
      <c r="S288" s="1026"/>
      <c r="T288" s="1026"/>
      <c r="U288" s="1026"/>
      <c r="V288" s="1026"/>
      <c r="W288" s="1026"/>
      <c r="X288" s="1026"/>
      <c r="Y288" s="1026"/>
      <c r="Z288" s="1026"/>
      <c r="AA288" s="1026"/>
      <c r="AB288" s="1026"/>
      <c r="AC288" s="1026"/>
    </row>
    <row r="289" spans="1:29" x14ac:dyDescent="0.25">
      <c r="A289" s="847"/>
      <c r="B289" s="1026"/>
      <c r="C289" s="1026"/>
      <c r="D289" s="1026"/>
      <c r="E289" s="1026"/>
      <c r="F289" s="1026"/>
      <c r="G289" s="1026"/>
      <c r="H289" s="1026"/>
      <c r="I289" s="1026"/>
      <c r="J289" s="1026"/>
      <c r="K289" s="1026"/>
      <c r="L289" s="1026"/>
      <c r="M289" s="1026"/>
      <c r="N289" s="1026"/>
      <c r="O289" s="1026"/>
      <c r="P289" s="1026"/>
      <c r="Q289" s="1026"/>
      <c r="R289" s="1026"/>
      <c r="S289" s="1026"/>
      <c r="T289" s="1026"/>
      <c r="U289" s="1026"/>
      <c r="V289" s="1026"/>
      <c r="W289" s="1026"/>
      <c r="X289" s="1026"/>
      <c r="Y289" s="1026"/>
      <c r="Z289" s="1026"/>
      <c r="AA289" s="1026"/>
      <c r="AB289" s="1026"/>
      <c r="AC289" s="1026"/>
    </row>
    <row r="290" spans="1:29" x14ac:dyDescent="0.25">
      <c r="A290" s="847"/>
      <c r="B290" s="1026"/>
      <c r="C290" s="1026"/>
      <c r="D290" s="1026"/>
      <c r="E290" s="1026"/>
      <c r="F290" s="1026"/>
      <c r="G290" s="1026"/>
      <c r="H290" s="1026"/>
      <c r="I290" s="1026"/>
      <c r="J290" s="1026"/>
      <c r="K290" s="1026"/>
      <c r="L290" s="1026"/>
      <c r="M290" s="1026"/>
      <c r="N290" s="1026"/>
      <c r="O290" s="1026"/>
      <c r="P290" s="1026"/>
      <c r="Q290" s="1026"/>
      <c r="R290" s="1026"/>
      <c r="S290" s="1026"/>
      <c r="T290" s="1026"/>
      <c r="U290" s="1026"/>
      <c r="V290" s="1026"/>
      <c r="W290" s="1026"/>
      <c r="X290" s="1026"/>
      <c r="Y290" s="1026"/>
      <c r="Z290" s="1026"/>
      <c r="AA290" s="1026"/>
      <c r="AB290" s="1026"/>
      <c r="AC290" s="1026"/>
    </row>
    <row r="291" spans="1:29" x14ac:dyDescent="0.25">
      <c r="A291" s="847"/>
      <c r="B291" s="1026"/>
      <c r="C291" s="1026"/>
      <c r="D291" s="1026"/>
      <c r="E291" s="1026"/>
      <c r="F291" s="1026"/>
      <c r="G291" s="1026"/>
      <c r="H291" s="1026"/>
      <c r="I291" s="1026"/>
      <c r="J291" s="1026"/>
      <c r="K291" s="1026"/>
      <c r="L291" s="1026"/>
      <c r="M291" s="1026"/>
      <c r="N291" s="1026"/>
      <c r="O291" s="1026"/>
      <c r="P291" s="1026"/>
      <c r="Q291" s="1026"/>
      <c r="R291" s="1026"/>
      <c r="S291" s="1026"/>
      <c r="T291" s="1026"/>
      <c r="U291" s="1026"/>
      <c r="V291" s="1026"/>
      <c r="W291" s="1026"/>
      <c r="X291" s="1026"/>
      <c r="Y291" s="1026"/>
      <c r="Z291" s="1026"/>
      <c r="AA291" s="1026"/>
      <c r="AB291" s="1026"/>
      <c r="AC291" s="1026"/>
    </row>
    <row r="292" spans="1:29" x14ac:dyDescent="0.25">
      <c r="A292" s="847"/>
      <c r="B292" s="1026"/>
      <c r="C292" s="1026"/>
      <c r="D292" s="1026"/>
      <c r="E292" s="1026"/>
      <c r="F292" s="1026"/>
      <c r="G292" s="1026"/>
      <c r="H292" s="1026"/>
      <c r="I292" s="1026"/>
      <c r="J292" s="1026"/>
      <c r="K292" s="1026"/>
      <c r="L292" s="1026"/>
      <c r="M292" s="1026"/>
      <c r="N292" s="1026"/>
      <c r="O292" s="1026"/>
      <c r="P292" s="1026"/>
      <c r="Q292" s="1026"/>
      <c r="R292" s="1026"/>
      <c r="S292" s="1026"/>
      <c r="T292" s="1026"/>
      <c r="U292" s="1026"/>
      <c r="V292" s="1026"/>
      <c r="W292" s="1026"/>
      <c r="X292" s="1026"/>
      <c r="Y292" s="1026"/>
      <c r="Z292" s="1026"/>
      <c r="AA292" s="1026"/>
      <c r="AB292" s="1026"/>
      <c r="AC292" s="1026"/>
    </row>
    <row r="293" spans="1:29" x14ac:dyDescent="0.25">
      <c r="A293" s="847"/>
      <c r="B293" s="1026"/>
      <c r="C293" s="1026"/>
      <c r="D293" s="1026"/>
      <c r="E293" s="1026"/>
      <c r="F293" s="1026"/>
      <c r="G293" s="1026"/>
      <c r="H293" s="1026"/>
      <c r="I293" s="1026"/>
      <c r="J293" s="1026"/>
      <c r="K293" s="1026"/>
      <c r="L293" s="1026"/>
      <c r="M293" s="1026"/>
      <c r="N293" s="1026"/>
      <c r="O293" s="1026"/>
      <c r="P293" s="1026"/>
      <c r="Q293" s="1026"/>
      <c r="R293" s="1026"/>
      <c r="S293" s="1026"/>
      <c r="T293" s="1026"/>
      <c r="U293" s="1026"/>
      <c r="V293" s="1026"/>
      <c r="W293" s="1026"/>
      <c r="X293" s="1026"/>
      <c r="Y293" s="1026"/>
      <c r="Z293" s="1026"/>
      <c r="AA293" s="1026"/>
      <c r="AB293" s="1026"/>
      <c r="AC293" s="1026"/>
    </row>
    <row r="294" spans="1:29" x14ac:dyDescent="0.25">
      <c r="A294" s="847"/>
      <c r="B294" s="1026"/>
      <c r="C294" s="1026"/>
      <c r="D294" s="1026"/>
      <c r="E294" s="1026"/>
      <c r="F294" s="1026"/>
      <c r="G294" s="1026"/>
      <c r="H294" s="1026"/>
      <c r="I294" s="1026"/>
      <c r="J294" s="1026"/>
      <c r="K294" s="1026"/>
      <c r="L294" s="1026"/>
      <c r="M294" s="1026"/>
      <c r="N294" s="1026"/>
      <c r="O294" s="1026"/>
      <c r="P294" s="1026"/>
      <c r="Q294" s="1026"/>
      <c r="R294" s="1026"/>
      <c r="S294" s="1026"/>
      <c r="T294" s="1026"/>
      <c r="U294" s="1026"/>
      <c r="V294" s="1026"/>
      <c r="W294" s="1026"/>
      <c r="X294" s="1026"/>
      <c r="Y294" s="1026"/>
      <c r="Z294" s="1026"/>
      <c r="AA294" s="1026"/>
      <c r="AB294" s="1026"/>
      <c r="AC294" s="1026"/>
    </row>
    <row r="295" spans="1:29" x14ac:dyDescent="0.25">
      <c r="A295" s="847"/>
      <c r="B295" s="1026"/>
      <c r="C295" s="1026"/>
      <c r="D295" s="1026"/>
      <c r="E295" s="1026"/>
      <c r="F295" s="1026"/>
      <c r="G295" s="1026"/>
      <c r="H295" s="1026"/>
      <c r="I295" s="1026"/>
      <c r="J295" s="1026"/>
      <c r="K295" s="1026"/>
      <c r="L295" s="1026"/>
      <c r="M295" s="1026"/>
      <c r="N295" s="1026"/>
      <c r="O295" s="1026"/>
      <c r="P295" s="1026"/>
      <c r="Q295" s="1026"/>
      <c r="R295" s="1026"/>
      <c r="S295" s="1026"/>
      <c r="T295" s="1026"/>
      <c r="U295" s="1026"/>
      <c r="V295" s="1026"/>
      <c r="W295" s="1026"/>
      <c r="X295" s="1026"/>
      <c r="Y295" s="1026"/>
      <c r="Z295" s="1026"/>
      <c r="AA295" s="1026"/>
      <c r="AB295" s="1026"/>
      <c r="AC295" s="1026"/>
    </row>
    <row r="296" spans="1:29" x14ac:dyDescent="0.25">
      <c r="A296" s="847"/>
      <c r="B296" s="1026"/>
      <c r="C296" s="1026"/>
      <c r="D296" s="1026"/>
      <c r="E296" s="1026"/>
      <c r="F296" s="1026"/>
      <c r="G296" s="1026"/>
      <c r="H296" s="1026"/>
      <c r="I296" s="1026"/>
      <c r="J296" s="1026"/>
      <c r="K296" s="1026"/>
      <c r="L296" s="1026"/>
      <c r="M296" s="1026"/>
      <c r="N296" s="1026"/>
      <c r="O296" s="1026"/>
      <c r="P296" s="1026"/>
      <c r="Q296" s="1026"/>
      <c r="R296" s="1026"/>
      <c r="S296" s="1026"/>
      <c r="T296" s="1026"/>
      <c r="U296" s="1026"/>
      <c r="V296" s="1026"/>
      <c r="W296" s="1026"/>
      <c r="X296" s="1026"/>
      <c r="Y296" s="1026"/>
      <c r="Z296" s="1026"/>
      <c r="AA296" s="1026"/>
      <c r="AB296" s="1026"/>
      <c r="AC296" s="1026"/>
    </row>
    <row r="297" spans="1:29" x14ac:dyDescent="0.25">
      <c r="A297" s="847"/>
      <c r="B297" s="1026"/>
      <c r="C297" s="1026"/>
      <c r="D297" s="1026"/>
      <c r="E297" s="1026"/>
      <c r="F297" s="1026"/>
      <c r="G297" s="1026"/>
      <c r="H297" s="1026"/>
      <c r="I297" s="1026"/>
      <c r="J297" s="1026"/>
      <c r="K297" s="1026"/>
      <c r="L297" s="1026"/>
      <c r="M297" s="1026"/>
      <c r="N297" s="1026"/>
      <c r="O297" s="1026"/>
      <c r="P297" s="1026"/>
      <c r="Q297" s="1026"/>
      <c r="R297" s="1026"/>
      <c r="S297" s="1026"/>
      <c r="T297" s="1026"/>
      <c r="U297" s="1026"/>
      <c r="V297" s="1026"/>
      <c r="W297" s="1026"/>
      <c r="X297" s="1026"/>
      <c r="Y297" s="1026"/>
      <c r="Z297" s="1026"/>
      <c r="AA297" s="1026"/>
      <c r="AB297" s="1026"/>
      <c r="AC297" s="1026"/>
    </row>
    <row r="298" spans="1:29" x14ac:dyDescent="0.25">
      <c r="A298" s="847"/>
      <c r="B298" s="1026"/>
      <c r="C298" s="1026"/>
      <c r="D298" s="1026"/>
      <c r="E298" s="1026"/>
      <c r="F298" s="1026"/>
      <c r="G298" s="1026"/>
      <c r="H298" s="1026"/>
      <c r="I298" s="1026"/>
      <c r="J298" s="1026"/>
      <c r="K298" s="1026"/>
      <c r="L298" s="1026"/>
      <c r="M298" s="1026"/>
      <c r="N298" s="1026"/>
      <c r="O298" s="1026"/>
      <c r="P298" s="1026"/>
      <c r="Q298" s="1026"/>
      <c r="R298" s="1026"/>
      <c r="S298" s="1026"/>
      <c r="T298" s="1026"/>
      <c r="U298" s="1026"/>
      <c r="V298" s="1026"/>
      <c r="W298" s="1026"/>
      <c r="X298" s="1026"/>
      <c r="Y298" s="1026"/>
      <c r="Z298" s="1026"/>
      <c r="AA298" s="1026"/>
      <c r="AB298" s="1026"/>
      <c r="AC298" s="1026"/>
    </row>
    <row r="299" spans="1:29" x14ac:dyDescent="0.25">
      <c r="A299" s="847"/>
      <c r="B299" s="1026"/>
      <c r="C299" s="1026"/>
      <c r="D299" s="1026"/>
      <c r="E299" s="1026"/>
      <c r="F299" s="1026"/>
      <c r="G299" s="1026"/>
      <c r="H299" s="1026"/>
      <c r="I299" s="1026"/>
      <c r="J299" s="1026"/>
      <c r="K299" s="1026"/>
      <c r="L299" s="1026"/>
      <c r="M299" s="1026"/>
      <c r="N299" s="1026"/>
      <c r="O299" s="1026"/>
      <c r="P299" s="1026"/>
      <c r="Q299" s="1026"/>
      <c r="R299" s="1026"/>
      <c r="S299" s="1026"/>
      <c r="T299" s="1026"/>
      <c r="U299" s="1026"/>
      <c r="V299" s="1026"/>
      <c r="W299" s="1026"/>
      <c r="X299" s="1026"/>
      <c r="Y299" s="1026"/>
      <c r="Z299" s="1026"/>
      <c r="AA299" s="1026"/>
      <c r="AB299" s="1026"/>
      <c r="AC299" s="1026"/>
    </row>
    <row r="300" spans="1:29" x14ac:dyDescent="0.25">
      <c r="A300" s="847"/>
      <c r="B300" s="1026"/>
      <c r="C300" s="1026"/>
      <c r="D300" s="1026"/>
      <c r="E300" s="1026"/>
      <c r="F300" s="1026"/>
      <c r="G300" s="1026"/>
      <c r="H300" s="1026"/>
      <c r="I300" s="1026"/>
      <c r="J300" s="1026"/>
      <c r="K300" s="1026"/>
      <c r="L300" s="1026"/>
      <c r="M300" s="1026"/>
      <c r="N300" s="1026"/>
      <c r="O300" s="1026"/>
      <c r="P300" s="1026"/>
      <c r="Q300" s="1026"/>
      <c r="R300" s="1026"/>
      <c r="S300" s="1026"/>
      <c r="T300" s="1026"/>
      <c r="U300" s="1026"/>
      <c r="V300" s="1026"/>
      <c r="W300" s="1026"/>
      <c r="X300" s="1026"/>
      <c r="Y300" s="1026"/>
      <c r="Z300" s="1026"/>
      <c r="AA300" s="1026"/>
      <c r="AB300" s="1026"/>
      <c r="AC300" s="1026"/>
    </row>
    <row r="301" spans="1:29" x14ac:dyDescent="0.25">
      <c r="A301" s="847"/>
      <c r="B301" s="1026"/>
      <c r="C301" s="1026"/>
      <c r="D301" s="1026"/>
      <c r="E301" s="1026"/>
      <c r="F301" s="1026"/>
      <c r="G301" s="1026"/>
      <c r="H301" s="1026"/>
      <c r="I301" s="1026"/>
      <c r="J301" s="1026"/>
      <c r="K301" s="1026"/>
      <c r="L301" s="1026"/>
      <c r="M301" s="1026"/>
      <c r="N301" s="1026"/>
      <c r="O301" s="1026"/>
      <c r="P301" s="1026"/>
      <c r="Q301" s="1026"/>
      <c r="R301" s="1026"/>
      <c r="S301" s="1026"/>
      <c r="T301" s="1026"/>
      <c r="U301" s="1026"/>
      <c r="V301" s="1026"/>
      <c r="W301" s="1026"/>
      <c r="X301" s="1026"/>
      <c r="Y301" s="1026"/>
      <c r="Z301" s="1026"/>
      <c r="AA301" s="1026"/>
      <c r="AB301" s="1026"/>
      <c r="AC301" s="1026"/>
    </row>
    <row r="302" spans="1:29" x14ac:dyDescent="0.25">
      <c r="A302" s="847"/>
      <c r="B302" s="1026"/>
      <c r="C302" s="1026"/>
      <c r="D302" s="1026"/>
      <c r="E302" s="1026"/>
      <c r="F302" s="1026"/>
      <c r="G302" s="1026"/>
      <c r="H302" s="1026"/>
      <c r="I302" s="1026"/>
      <c r="J302" s="1026"/>
      <c r="K302" s="1026"/>
      <c r="L302" s="1026"/>
      <c r="M302" s="1026"/>
      <c r="N302" s="1026"/>
      <c r="O302" s="1026"/>
      <c r="P302" s="1026"/>
      <c r="Q302" s="1026"/>
      <c r="R302" s="1026"/>
      <c r="S302" s="1026"/>
      <c r="T302" s="1026"/>
      <c r="U302" s="1026"/>
      <c r="V302" s="1026"/>
      <c r="W302" s="1026"/>
      <c r="X302" s="1026"/>
      <c r="Y302" s="1026"/>
      <c r="Z302" s="1026"/>
      <c r="AA302" s="1026"/>
      <c r="AB302" s="1026"/>
      <c r="AC302" s="1026"/>
    </row>
    <row r="303" spans="1:29" x14ac:dyDescent="0.25">
      <c r="A303" s="847"/>
      <c r="B303" s="1026"/>
      <c r="C303" s="1026"/>
      <c r="D303" s="1026"/>
      <c r="E303" s="1026"/>
      <c r="F303" s="1026"/>
      <c r="G303" s="1026"/>
      <c r="H303" s="1026"/>
      <c r="I303" s="1026"/>
      <c r="J303" s="1026"/>
      <c r="K303" s="1026"/>
      <c r="L303" s="1026"/>
      <c r="M303" s="1026"/>
      <c r="N303" s="1026"/>
      <c r="O303" s="1026"/>
      <c r="P303" s="1026"/>
      <c r="Q303" s="1026"/>
      <c r="R303" s="1026"/>
      <c r="S303" s="1026"/>
      <c r="T303" s="1026"/>
      <c r="U303" s="1026"/>
      <c r="V303" s="1026"/>
      <c r="W303" s="1026"/>
      <c r="X303" s="1026"/>
      <c r="Y303" s="1026"/>
      <c r="Z303" s="1026"/>
      <c r="AA303" s="1026"/>
      <c r="AB303" s="1026"/>
      <c r="AC303" s="1026"/>
    </row>
    <row r="304" spans="1:29" x14ac:dyDescent="0.25">
      <c r="A304" s="847"/>
      <c r="B304" s="1026"/>
      <c r="C304" s="1026"/>
      <c r="D304" s="1026"/>
      <c r="E304" s="1026"/>
      <c r="F304" s="1026"/>
      <c r="G304" s="1026"/>
      <c r="H304" s="1026"/>
      <c r="I304" s="1026"/>
      <c r="J304" s="1026"/>
      <c r="K304" s="1026"/>
      <c r="L304" s="1026"/>
      <c r="M304" s="1026"/>
      <c r="N304" s="1026"/>
      <c r="O304" s="1026"/>
      <c r="P304" s="1026"/>
      <c r="Q304" s="1026"/>
      <c r="R304" s="1026"/>
      <c r="S304" s="1026"/>
      <c r="T304" s="1026"/>
      <c r="U304" s="1026"/>
      <c r="V304" s="1026"/>
      <c r="W304" s="1026"/>
      <c r="X304" s="1026"/>
      <c r="Y304" s="1026"/>
      <c r="Z304" s="1026"/>
      <c r="AA304" s="1026"/>
      <c r="AB304" s="1026"/>
      <c r="AC304" s="1026"/>
    </row>
    <row r="305" spans="1:29" x14ac:dyDescent="0.25">
      <c r="A305" s="847"/>
      <c r="B305" s="1026"/>
      <c r="C305" s="1026"/>
      <c r="D305" s="1026"/>
      <c r="E305" s="1026"/>
      <c r="F305" s="1026"/>
      <c r="G305" s="1026"/>
      <c r="H305" s="1026"/>
      <c r="I305" s="1026"/>
      <c r="J305" s="1026"/>
      <c r="K305" s="1026"/>
      <c r="L305" s="1026"/>
      <c r="M305" s="1026"/>
      <c r="N305" s="1026"/>
      <c r="O305" s="1026"/>
      <c r="P305" s="1026"/>
      <c r="Q305" s="1026"/>
      <c r="R305" s="1026"/>
      <c r="S305" s="1026"/>
      <c r="T305" s="1026"/>
      <c r="U305" s="1026"/>
      <c r="V305" s="1026"/>
      <c r="W305" s="1026"/>
      <c r="X305" s="1026"/>
      <c r="Y305" s="1026"/>
      <c r="Z305" s="1026"/>
      <c r="AA305" s="1026"/>
      <c r="AB305" s="1026"/>
      <c r="AC305" s="1026"/>
    </row>
    <row r="306" spans="1:29" x14ac:dyDescent="0.25">
      <c r="A306" s="847"/>
      <c r="B306" s="1026"/>
      <c r="C306" s="1026"/>
      <c r="D306" s="1026"/>
      <c r="E306" s="1026"/>
      <c r="F306" s="1026"/>
      <c r="G306" s="1026"/>
      <c r="H306" s="1026"/>
      <c r="I306" s="1026"/>
      <c r="J306" s="1026"/>
      <c r="K306" s="1026"/>
      <c r="L306" s="1026"/>
      <c r="M306" s="1026"/>
      <c r="N306" s="1026"/>
      <c r="O306" s="1026"/>
      <c r="P306" s="1026"/>
      <c r="Q306" s="1026"/>
      <c r="R306" s="1026"/>
      <c r="S306" s="1026"/>
      <c r="T306" s="1026"/>
      <c r="U306" s="1026"/>
      <c r="V306" s="1026"/>
      <c r="W306" s="1026"/>
      <c r="X306" s="1026"/>
      <c r="Y306" s="1026"/>
      <c r="Z306" s="1026"/>
      <c r="AA306" s="1026"/>
      <c r="AB306" s="1026"/>
      <c r="AC306" s="1026"/>
    </row>
    <row r="307" spans="1:29" x14ac:dyDescent="0.25">
      <c r="A307" s="847"/>
      <c r="B307" s="1026"/>
      <c r="C307" s="1026"/>
      <c r="D307" s="1026"/>
      <c r="E307" s="1026"/>
      <c r="F307" s="1026"/>
      <c r="G307" s="1026"/>
      <c r="H307" s="1026"/>
      <c r="I307" s="1026"/>
      <c r="J307" s="1026"/>
      <c r="K307" s="1026"/>
      <c r="L307" s="1026"/>
      <c r="M307" s="1026"/>
      <c r="N307" s="1026"/>
      <c r="O307" s="1026"/>
      <c r="P307" s="1026"/>
      <c r="Q307" s="1026"/>
      <c r="R307" s="1026"/>
      <c r="S307" s="1026"/>
      <c r="T307" s="1026"/>
      <c r="U307" s="1026"/>
      <c r="V307" s="1026"/>
      <c r="W307" s="1026"/>
      <c r="X307" s="1026"/>
      <c r="Y307" s="1026"/>
      <c r="Z307" s="1026"/>
      <c r="AA307" s="1026"/>
      <c r="AB307" s="1026"/>
      <c r="AC307" s="1026"/>
    </row>
    <row r="308" spans="1:29" x14ac:dyDescent="0.25">
      <c r="A308" s="847"/>
      <c r="B308" s="1026"/>
      <c r="C308" s="1026"/>
      <c r="D308" s="1026"/>
      <c r="E308" s="1026"/>
      <c r="F308" s="1026"/>
      <c r="G308" s="1026"/>
      <c r="H308" s="1026"/>
      <c r="I308" s="1026"/>
      <c r="J308" s="1026"/>
      <c r="K308" s="1026"/>
      <c r="L308" s="1026"/>
      <c r="M308" s="1026"/>
      <c r="N308" s="1026"/>
      <c r="O308" s="1026"/>
      <c r="P308" s="1026"/>
      <c r="Q308" s="1026"/>
      <c r="R308" s="1026"/>
      <c r="S308" s="1026"/>
      <c r="T308" s="1026"/>
      <c r="U308" s="1026"/>
      <c r="V308" s="1026"/>
      <c r="W308" s="1026"/>
      <c r="X308" s="1026"/>
      <c r="Y308" s="1026"/>
      <c r="Z308" s="1026"/>
      <c r="AA308" s="1026"/>
      <c r="AB308" s="1026"/>
      <c r="AC308" s="1026"/>
    </row>
    <row r="309" spans="1:29" x14ac:dyDescent="0.25">
      <c r="A309" s="847"/>
      <c r="B309" s="1026"/>
      <c r="C309" s="1026"/>
      <c r="D309" s="1026"/>
      <c r="E309" s="1026"/>
      <c r="F309" s="1026"/>
      <c r="G309" s="1026"/>
      <c r="H309" s="1026"/>
      <c r="I309" s="1026"/>
      <c r="J309" s="1026"/>
      <c r="K309" s="1026"/>
      <c r="L309" s="1026"/>
      <c r="M309" s="1026"/>
      <c r="N309" s="1026"/>
      <c r="O309" s="1026"/>
      <c r="P309" s="1026"/>
      <c r="Q309" s="1026"/>
      <c r="R309" s="1026"/>
      <c r="S309" s="1026"/>
      <c r="T309" s="1026"/>
      <c r="U309" s="1026"/>
      <c r="V309" s="1026"/>
      <c r="W309" s="1026"/>
      <c r="X309" s="1026"/>
      <c r="Y309" s="1026"/>
      <c r="Z309" s="1026"/>
      <c r="AA309" s="1026"/>
      <c r="AB309" s="1026"/>
      <c r="AC309" s="1026"/>
    </row>
    <row r="310" spans="1:29" x14ac:dyDescent="0.25">
      <c r="A310" s="847"/>
      <c r="B310" s="1026"/>
      <c r="C310" s="1026"/>
      <c r="D310" s="1026"/>
      <c r="E310" s="1026"/>
      <c r="F310" s="1026"/>
      <c r="G310" s="1026"/>
      <c r="H310" s="1026"/>
      <c r="I310" s="1026"/>
      <c r="J310" s="1026"/>
      <c r="K310" s="1026"/>
      <c r="L310" s="1026"/>
      <c r="M310" s="1026"/>
      <c r="N310" s="1026"/>
      <c r="O310" s="1026"/>
      <c r="P310" s="1026"/>
      <c r="Q310" s="1026"/>
      <c r="R310" s="1026"/>
      <c r="S310" s="1026"/>
      <c r="T310" s="1026"/>
      <c r="U310" s="1026"/>
      <c r="V310" s="1026"/>
      <c r="W310" s="1026"/>
      <c r="X310" s="1026"/>
      <c r="Y310" s="1026"/>
      <c r="Z310" s="1026"/>
      <c r="AA310" s="1026"/>
      <c r="AB310" s="1026"/>
      <c r="AC310" s="1026"/>
    </row>
    <row r="311" spans="1:29" x14ac:dyDescent="0.25">
      <c r="A311" s="847"/>
      <c r="B311" s="1026"/>
      <c r="C311" s="1026"/>
      <c r="D311" s="1026"/>
      <c r="E311" s="1026"/>
      <c r="F311" s="1026"/>
      <c r="G311" s="1026"/>
      <c r="H311" s="1026"/>
      <c r="I311" s="1026"/>
      <c r="J311" s="1026"/>
      <c r="K311" s="1026"/>
      <c r="L311" s="1026"/>
      <c r="M311" s="1026"/>
      <c r="N311" s="1026"/>
      <c r="O311" s="1026"/>
      <c r="P311" s="1026"/>
      <c r="Q311" s="1026"/>
      <c r="R311" s="1026"/>
      <c r="S311" s="1026"/>
      <c r="T311" s="1026"/>
      <c r="U311" s="1026"/>
      <c r="V311" s="1026"/>
      <c r="W311" s="1026"/>
      <c r="X311" s="1026"/>
      <c r="Y311" s="1026"/>
      <c r="Z311" s="1026"/>
      <c r="AA311" s="1026"/>
      <c r="AB311" s="1026"/>
      <c r="AC311" s="1026"/>
    </row>
    <row r="312" spans="1:29" x14ac:dyDescent="0.25">
      <c r="A312" s="847"/>
      <c r="B312" s="1026"/>
      <c r="C312" s="1026"/>
      <c r="D312" s="1026"/>
      <c r="E312" s="1026"/>
      <c r="F312" s="1026"/>
      <c r="G312" s="1026"/>
      <c r="H312" s="1026"/>
      <c r="I312" s="1026"/>
      <c r="J312" s="1026"/>
      <c r="K312" s="1026"/>
      <c r="L312" s="1026"/>
      <c r="M312" s="1026"/>
      <c r="N312" s="1026"/>
      <c r="O312" s="1026"/>
      <c r="P312" s="1026"/>
      <c r="Q312" s="1026"/>
      <c r="R312" s="1026"/>
      <c r="S312" s="1026"/>
      <c r="T312" s="1026"/>
      <c r="U312" s="1026"/>
      <c r="V312" s="1026"/>
      <c r="W312" s="1026"/>
      <c r="X312" s="1026"/>
      <c r="Y312" s="1026"/>
      <c r="Z312" s="1026"/>
      <c r="AA312" s="1026"/>
      <c r="AB312" s="1026"/>
      <c r="AC312" s="1026"/>
    </row>
    <row r="313" spans="1:29" x14ac:dyDescent="0.25">
      <c r="A313" s="847"/>
      <c r="B313" s="1026"/>
      <c r="C313" s="1026"/>
      <c r="D313" s="1026"/>
      <c r="E313" s="1026"/>
      <c r="F313" s="1026"/>
      <c r="G313" s="1026"/>
      <c r="H313" s="1026"/>
      <c r="I313" s="1026"/>
      <c r="J313" s="1026"/>
      <c r="K313" s="1026"/>
      <c r="L313" s="1026"/>
      <c r="M313" s="1026"/>
      <c r="N313" s="1026"/>
      <c r="O313" s="1026"/>
      <c r="P313" s="1026"/>
      <c r="Q313" s="1026"/>
      <c r="R313" s="1026"/>
      <c r="S313" s="1026"/>
      <c r="T313" s="1026"/>
      <c r="U313" s="1026"/>
      <c r="V313" s="1026"/>
      <c r="W313" s="1026"/>
      <c r="X313" s="1026"/>
      <c r="Y313" s="1026"/>
      <c r="Z313" s="1026"/>
      <c r="AA313" s="1026"/>
      <c r="AB313" s="1026"/>
      <c r="AC313" s="1026"/>
    </row>
    <row r="314" spans="1:29" x14ac:dyDescent="0.25">
      <c r="A314" s="847"/>
      <c r="B314" s="1026"/>
      <c r="C314" s="1026"/>
      <c r="D314" s="1026"/>
      <c r="E314" s="1026"/>
      <c r="F314" s="1026"/>
      <c r="G314" s="1026"/>
      <c r="H314" s="1026"/>
      <c r="I314" s="1026"/>
      <c r="J314" s="1026"/>
      <c r="K314" s="1026"/>
      <c r="L314" s="1026"/>
      <c r="M314" s="1026"/>
      <c r="N314" s="1026"/>
      <c r="O314" s="1026"/>
      <c r="P314" s="1026"/>
      <c r="Q314" s="1026"/>
      <c r="R314" s="1026"/>
      <c r="S314" s="1026"/>
      <c r="T314" s="1026"/>
      <c r="U314" s="1026"/>
      <c r="V314" s="1026"/>
      <c r="W314" s="1026"/>
      <c r="X314" s="1026"/>
      <c r="Y314" s="1026"/>
      <c r="Z314" s="1026"/>
      <c r="AA314" s="1026"/>
      <c r="AB314" s="1026"/>
      <c r="AC314" s="1026"/>
    </row>
    <row r="315" spans="1:29" x14ac:dyDescent="0.25">
      <c r="A315" s="847"/>
      <c r="B315" s="1026"/>
      <c r="C315" s="1026"/>
      <c r="D315" s="1026"/>
      <c r="E315" s="1026"/>
      <c r="F315" s="1026"/>
      <c r="G315" s="1026"/>
      <c r="H315" s="1026"/>
      <c r="I315" s="1026"/>
      <c r="J315" s="1026"/>
      <c r="K315" s="1026"/>
      <c r="L315" s="1026"/>
      <c r="M315" s="1026"/>
      <c r="N315" s="1026"/>
      <c r="O315" s="1026"/>
      <c r="P315" s="1026"/>
      <c r="Q315" s="1026"/>
      <c r="R315" s="1026"/>
      <c r="S315" s="1026"/>
      <c r="T315" s="1026"/>
      <c r="U315" s="1026"/>
      <c r="V315" s="1026"/>
      <c r="W315" s="1026"/>
      <c r="X315" s="1026"/>
      <c r="Y315" s="1026"/>
      <c r="Z315" s="1026"/>
      <c r="AA315" s="1026"/>
      <c r="AB315" s="1026"/>
      <c r="AC315" s="1026"/>
    </row>
    <row r="316" spans="1:29" x14ac:dyDescent="0.25">
      <c r="A316" s="847"/>
      <c r="B316" s="1026"/>
      <c r="C316" s="1026"/>
      <c r="D316" s="1026"/>
      <c r="E316" s="1026"/>
      <c r="F316" s="1026"/>
      <c r="G316" s="1026"/>
      <c r="H316" s="1026"/>
      <c r="I316" s="1026"/>
      <c r="J316" s="1026"/>
      <c r="K316" s="1026"/>
      <c r="L316" s="1026"/>
      <c r="M316" s="1026"/>
      <c r="N316" s="1026"/>
      <c r="O316" s="1026"/>
      <c r="P316" s="1026"/>
      <c r="Q316" s="1026"/>
      <c r="R316" s="1026"/>
      <c r="S316" s="1026"/>
      <c r="T316" s="1026"/>
      <c r="U316" s="1026"/>
      <c r="V316" s="1026"/>
      <c r="W316" s="1026"/>
      <c r="X316" s="1026"/>
      <c r="Y316" s="1026"/>
      <c r="Z316" s="1026"/>
      <c r="AA316" s="1026"/>
      <c r="AB316" s="1026"/>
      <c r="AC316" s="1026"/>
    </row>
    <row r="317" spans="1:29" x14ac:dyDescent="0.25">
      <c r="A317" s="847"/>
      <c r="B317" s="1026"/>
      <c r="C317" s="1026"/>
      <c r="D317" s="1026"/>
      <c r="E317" s="1026"/>
      <c r="F317" s="1026"/>
      <c r="G317" s="1026"/>
      <c r="H317" s="1026"/>
      <c r="I317" s="1026"/>
      <c r="J317" s="1026"/>
      <c r="K317" s="1026"/>
      <c r="L317" s="1026"/>
      <c r="M317" s="1026"/>
      <c r="N317" s="1026"/>
      <c r="O317" s="1026"/>
      <c r="P317" s="1026"/>
      <c r="Q317" s="1026"/>
      <c r="R317" s="1026"/>
      <c r="S317" s="1026"/>
      <c r="T317" s="1026"/>
      <c r="U317" s="1026"/>
      <c r="V317" s="1026"/>
      <c r="W317" s="1026"/>
      <c r="X317" s="1026"/>
      <c r="Y317" s="1026"/>
      <c r="Z317" s="1026"/>
      <c r="AA317" s="1026"/>
      <c r="AB317" s="1026"/>
      <c r="AC317" s="1026"/>
    </row>
    <row r="318" spans="1:29" x14ac:dyDescent="0.25">
      <c r="A318" s="847"/>
      <c r="B318" s="1026"/>
      <c r="C318" s="1026"/>
      <c r="D318" s="1026"/>
      <c r="E318" s="1026"/>
      <c r="F318" s="1026"/>
      <c r="G318" s="1026"/>
      <c r="H318" s="1026"/>
      <c r="I318" s="1026"/>
      <c r="J318" s="1026"/>
      <c r="K318" s="1026"/>
      <c r="L318" s="1026"/>
      <c r="M318" s="1026"/>
      <c r="N318" s="1026"/>
      <c r="O318" s="1026"/>
      <c r="P318" s="1026"/>
      <c r="Q318" s="1026"/>
      <c r="R318" s="1026"/>
      <c r="S318" s="1026"/>
      <c r="T318" s="1026"/>
      <c r="U318" s="1026"/>
      <c r="V318" s="1026"/>
      <c r="W318" s="1026"/>
      <c r="X318" s="1026"/>
      <c r="Y318" s="1026"/>
      <c r="Z318" s="1026"/>
      <c r="AA318" s="1026"/>
      <c r="AB318" s="1026"/>
      <c r="AC318" s="1026"/>
    </row>
    <row r="319" spans="1:29" x14ac:dyDescent="0.25">
      <c r="A319" s="847"/>
      <c r="B319" s="1026"/>
      <c r="C319" s="1026"/>
      <c r="D319" s="1026"/>
      <c r="E319" s="1026"/>
      <c r="F319" s="1026"/>
      <c r="G319" s="1026"/>
      <c r="H319" s="1026"/>
      <c r="I319" s="1026"/>
      <c r="J319" s="1026"/>
      <c r="K319" s="1026"/>
      <c r="L319" s="1026"/>
      <c r="M319" s="1026"/>
      <c r="N319" s="1026"/>
      <c r="O319" s="1026"/>
      <c r="P319" s="1026"/>
      <c r="Q319" s="1026"/>
      <c r="R319" s="1026"/>
      <c r="S319" s="1026"/>
      <c r="T319" s="1026"/>
      <c r="U319" s="1026"/>
      <c r="V319" s="1026"/>
      <c r="W319" s="1026"/>
      <c r="X319" s="1026"/>
      <c r="Y319" s="1026"/>
      <c r="Z319" s="1026"/>
      <c r="AA319" s="1026"/>
      <c r="AB319" s="1026"/>
      <c r="AC319" s="1026"/>
    </row>
    <row r="320" spans="1:29" x14ac:dyDescent="0.25">
      <c r="A320" s="847"/>
      <c r="B320" s="1026"/>
      <c r="C320" s="1026"/>
      <c r="D320" s="1026"/>
      <c r="E320" s="1026"/>
      <c r="F320" s="1026"/>
      <c r="G320" s="1026"/>
      <c r="H320" s="1026"/>
      <c r="I320" s="1026"/>
      <c r="J320" s="1026"/>
      <c r="K320" s="1026"/>
      <c r="L320" s="1026"/>
      <c r="M320" s="1026"/>
      <c r="N320" s="1026"/>
      <c r="O320" s="1026"/>
      <c r="P320" s="1026"/>
      <c r="Q320" s="1026"/>
      <c r="R320" s="1026"/>
      <c r="S320" s="1026"/>
      <c r="T320" s="1026"/>
      <c r="U320" s="1026"/>
      <c r="V320" s="1026"/>
      <c r="W320" s="1026"/>
      <c r="X320" s="1026"/>
      <c r="Y320" s="1026"/>
      <c r="Z320" s="1026"/>
      <c r="AA320" s="1026"/>
      <c r="AB320" s="1026"/>
      <c r="AC320" s="1026"/>
    </row>
    <row r="321" spans="1:29" x14ac:dyDescent="0.25">
      <c r="A321" s="847"/>
      <c r="B321" s="1026"/>
      <c r="C321" s="1026"/>
      <c r="D321" s="1026"/>
      <c r="E321" s="1026"/>
      <c r="F321" s="1026"/>
      <c r="G321" s="1026"/>
      <c r="H321" s="1026"/>
      <c r="I321" s="1026"/>
      <c r="J321" s="1026"/>
      <c r="K321" s="1026"/>
      <c r="L321" s="1026"/>
      <c r="M321" s="1026"/>
      <c r="N321" s="1026"/>
      <c r="O321" s="1026"/>
      <c r="P321" s="1026"/>
      <c r="Q321" s="1026"/>
      <c r="R321" s="1026"/>
      <c r="S321" s="1026"/>
      <c r="T321" s="1026"/>
      <c r="U321" s="1026"/>
      <c r="V321" s="1026"/>
      <c r="W321" s="1026"/>
      <c r="X321" s="1026"/>
      <c r="Y321" s="1026"/>
      <c r="Z321" s="1026"/>
      <c r="AA321" s="1026"/>
      <c r="AB321" s="1026"/>
      <c r="AC321" s="1026"/>
    </row>
    <row r="322" spans="1:29" x14ac:dyDescent="0.25">
      <c r="A322" s="847"/>
      <c r="B322" s="1026"/>
      <c r="C322" s="1026"/>
      <c r="D322" s="1026"/>
      <c r="E322" s="1026"/>
      <c r="F322" s="1026"/>
      <c r="G322" s="1026"/>
      <c r="H322" s="1026"/>
      <c r="I322" s="1026"/>
      <c r="J322" s="1026"/>
      <c r="K322" s="1026"/>
      <c r="L322" s="1026"/>
      <c r="M322" s="1026"/>
      <c r="N322" s="1026"/>
      <c r="O322" s="1026"/>
      <c r="P322" s="1026"/>
      <c r="Q322" s="1026"/>
      <c r="R322" s="1026"/>
      <c r="S322" s="1026"/>
      <c r="T322" s="1026"/>
      <c r="U322" s="1026"/>
      <c r="V322" s="1026"/>
      <c r="W322" s="1026"/>
      <c r="X322" s="1026"/>
      <c r="Y322" s="1026"/>
      <c r="Z322" s="1026"/>
      <c r="AA322" s="1026"/>
      <c r="AB322" s="1026"/>
      <c r="AC322" s="1026"/>
    </row>
    <row r="323" spans="1:29" x14ac:dyDescent="0.25">
      <c r="A323" s="847"/>
      <c r="B323" s="1026"/>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row>
    <row r="324" spans="1:29" x14ac:dyDescent="0.25">
      <c r="A324" s="847"/>
      <c r="B324" s="1026"/>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row>
    <row r="325" spans="1:29" x14ac:dyDescent="0.25">
      <c r="A325" s="847"/>
      <c r="B325" s="1026"/>
      <c r="C325" s="1026"/>
      <c r="D325" s="1026"/>
      <c r="E325" s="1026"/>
      <c r="F325" s="1026"/>
      <c r="G325" s="1026"/>
      <c r="H325" s="1026"/>
      <c r="I325" s="1026"/>
      <c r="J325" s="1026"/>
      <c r="K325" s="1026"/>
      <c r="L325" s="1026"/>
      <c r="M325" s="1026"/>
      <c r="N325" s="1026"/>
      <c r="O325" s="1026"/>
      <c r="P325" s="1026"/>
      <c r="Q325" s="1026"/>
      <c r="R325" s="1026"/>
      <c r="S325" s="1026"/>
      <c r="T325" s="1026"/>
      <c r="U325" s="1026"/>
      <c r="V325" s="1026"/>
      <c r="W325" s="1026"/>
      <c r="X325" s="1026"/>
      <c r="Y325" s="1026"/>
      <c r="Z325" s="1026"/>
      <c r="AA325" s="1026"/>
      <c r="AB325" s="1026"/>
      <c r="AC325" s="1026"/>
    </row>
    <row r="326" spans="1:29" x14ac:dyDescent="0.25">
      <c r="A326" s="847"/>
      <c r="B326" s="1026"/>
      <c r="C326" s="1026"/>
      <c r="D326" s="1026"/>
      <c r="E326" s="1026"/>
      <c r="F326" s="1026"/>
      <c r="G326" s="1026"/>
      <c r="H326" s="1026"/>
      <c r="I326" s="1026"/>
      <c r="J326" s="1026"/>
      <c r="K326" s="1026"/>
      <c r="L326" s="1026"/>
      <c r="M326" s="1026"/>
      <c r="N326" s="1026"/>
      <c r="O326" s="1026"/>
      <c r="P326" s="1026"/>
      <c r="Q326" s="1026"/>
      <c r="R326" s="1026"/>
      <c r="S326" s="1026"/>
      <c r="T326" s="1026"/>
      <c r="U326" s="1026"/>
      <c r="V326" s="1026"/>
      <c r="W326" s="1026"/>
      <c r="X326" s="1026"/>
      <c r="Y326" s="1026"/>
      <c r="Z326" s="1026"/>
      <c r="AA326" s="1026"/>
      <c r="AB326" s="1026"/>
      <c r="AC326" s="1026"/>
    </row>
    <row r="327" spans="1:29" x14ac:dyDescent="0.25">
      <c r="A327" s="847"/>
      <c r="B327" s="1026"/>
      <c r="C327" s="1026"/>
      <c r="D327" s="1026"/>
      <c r="E327" s="1026"/>
      <c r="F327" s="1026"/>
      <c r="G327" s="1026"/>
      <c r="H327" s="1026"/>
      <c r="I327" s="1026"/>
      <c r="J327" s="1026"/>
      <c r="K327" s="1026"/>
      <c r="L327" s="1026"/>
      <c r="M327" s="1026"/>
      <c r="N327" s="1026"/>
      <c r="O327" s="1026"/>
      <c r="P327" s="1026"/>
      <c r="Q327" s="1026"/>
      <c r="R327" s="1026"/>
      <c r="S327" s="1026"/>
      <c r="T327" s="1026"/>
      <c r="U327" s="1026"/>
      <c r="V327" s="1026"/>
      <c r="W327" s="1026"/>
      <c r="X327" s="1026"/>
      <c r="Y327" s="1026"/>
      <c r="Z327" s="1026"/>
      <c r="AA327" s="1026"/>
      <c r="AB327" s="1026"/>
      <c r="AC327" s="1026"/>
    </row>
    <row r="328" spans="1:29" x14ac:dyDescent="0.25">
      <c r="A328" s="847"/>
      <c r="B328" s="1026"/>
      <c r="C328" s="1026"/>
      <c r="D328" s="1026"/>
      <c r="E328" s="1026"/>
      <c r="F328" s="1026"/>
      <c r="G328" s="1026"/>
      <c r="H328" s="1026"/>
      <c r="I328" s="1026"/>
      <c r="J328" s="1026"/>
      <c r="K328" s="1026"/>
      <c r="L328" s="1026"/>
      <c r="M328" s="1026"/>
      <c r="N328" s="1026"/>
      <c r="O328" s="1026"/>
      <c r="P328" s="1026"/>
      <c r="Q328" s="1026"/>
      <c r="R328" s="1026"/>
      <c r="S328" s="1026"/>
      <c r="T328" s="1026"/>
      <c r="U328" s="1026"/>
      <c r="V328" s="1026"/>
      <c r="W328" s="1026"/>
      <c r="X328" s="1026"/>
      <c r="Y328" s="1026"/>
      <c r="Z328" s="1026"/>
      <c r="AA328" s="1026"/>
      <c r="AB328" s="1026"/>
      <c r="AC328" s="1026"/>
    </row>
    <row r="329" spans="1:29" x14ac:dyDescent="0.25">
      <c r="A329" s="847"/>
      <c r="B329" s="1026"/>
      <c r="C329" s="1026"/>
      <c r="D329" s="1026"/>
      <c r="E329" s="1026"/>
      <c r="F329" s="1026"/>
      <c r="G329" s="1026"/>
      <c r="H329" s="1026"/>
      <c r="I329" s="1026"/>
      <c r="J329" s="1026"/>
      <c r="K329" s="1026"/>
      <c r="L329" s="1026"/>
      <c r="M329" s="1026"/>
      <c r="N329" s="1026"/>
      <c r="O329" s="1026"/>
      <c r="P329" s="1026"/>
      <c r="Q329" s="1026"/>
      <c r="R329" s="1026"/>
      <c r="S329" s="1026"/>
      <c r="T329" s="1026"/>
      <c r="U329" s="1026"/>
      <c r="V329" s="1026"/>
      <c r="W329" s="1026"/>
      <c r="X329" s="1026"/>
      <c r="Y329" s="1026"/>
      <c r="Z329" s="1026"/>
      <c r="AA329" s="1026"/>
      <c r="AB329" s="1026"/>
      <c r="AC329" s="1026"/>
    </row>
    <row r="330" spans="1:29" x14ac:dyDescent="0.25">
      <c r="A330" s="847"/>
      <c r="B330" s="1026"/>
      <c r="C330" s="1026"/>
      <c r="D330" s="1026"/>
      <c r="E330" s="1026"/>
      <c r="F330" s="1026"/>
      <c r="G330" s="1026"/>
      <c r="H330" s="1026"/>
      <c r="I330" s="1026"/>
      <c r="J330" s="1026"/>
      <c r="K330" s="1026"/>
      <c r="L330" s="1026"/>
      <c r="M330" s="1026"/>
      <c r="N330" s="1026"/>
      <c r="O330" s="1026"/>
      <c r="P330" s="1026"/>
      <c r="Q330" s="1026"/>
      <c r="R330" s="1026"/>
      <c r="S330" s="1026"/>
      <c r="T330" s="1026"/>
      <c r="U330" s="1026"/>
      <c r="V330" s="1026"/>
      <c r="W330" s="1026"/>
      <c r="X330" s="1026"/>
      <c r="Y330" s="1026"/>
      <c r="Z330" s="1026"/>
      <c r="AA330" s="1026"/>
      <c r="AB330" s="1026"/>
      <c r="AC330" s="1026"/>
    </row>
    <row r="331" spans="1:29" x14ac:dyDescent="0.25">
      <c r="A331" s="847"/>
      <c r="B331" s="1026"/>
      <c r="C331" s="1026"/>
      <c r="D331" s="1026"/>
      <c r="E331" s="1026"/>
      <c r="F331" s="1026"/>
      <c r="G331" s="1026"/>
      <c r="H331" s="1026"/>
      <c r="I331" s="1026"/>
      <c r="J331" s="1026"/>
      <c r="K331" s="1026"/>
      <c r="L331" s="1026"/>
      <c r="M331" s="1026"/>
      <c r="N331" s="1026"/>
      <c r="O331" s="1026"/>
      <c r="P331" s="1026"/>
      <c r="Q331" s="1026"/>
      <c r="R331" s="1026"/>
      <c r="S331" s="1026"/>
      <c r="T331" s="1026"/>
      <c r="U331" s="1026"/>
      <c r="V331" s="1026"/>
      <c r="W331" s="1026"/>
      <c r="X331" s="1026"/>
      <c r="Y331" s="1026"/>
      <c r="Z331" s="1026"/>
      <c r="AA331" s="1026"/>
      <c r="AB331" s="1026"/>
      <c r="AC331" s="1026"/>
    </row>
    <row r="332" spans="1:29" x14ac:dyDescent="0.25">
      <c r="A332" s="847"/>
      <c r="B332" s="1026"/>
      <c r="C332" s="1026"/>
      <c r="D332" s="1026"/>
      <c r="E332" s="1026"/>
      <c r="F332" s="1026"/>
      <c r="G332" s="1026"/>
      <c r="H332" s="1026"/>
      <c r="I332" s="1026"/>
      <c r="J332" s="1026"/>
      <c r="K332" s="1026"/>
      <c r="L332" s="1026"/>
      <c r="M332" s="1026"/>
      <c r="N332" s="1026"/>
      <c r="O332" s="1026"/>
      <c r="P332" s="1026"/>
      <c r="Q332" s="1026"/>
      <c r="R332" s="1026"/>
      <c r="S332" s="1026"/>
      <c r="T332" s="1026"/>
      <c r="U332" s="1026"/>
      <c r="V332" s="1026"/>
      <c r="W332" s="1026"/>
      <c r="X332" s="1026"/>
      <c r="Y332" s="1026"/>
      <c r="Z332" s="1026"/>
      <c r="AA332" s="1026"/>
      <c r="AB332" s="1026"/>
      <c r="AC332" s="1026"/>
    </row>
    <row r="333" spans="1:29" x14ac:dyDescent="0.25">
      <c r="A333" s="847"/>
      <c r="B333" s="1026"/>
      <c r="C333" s="1026"/>
      <c r="D333" s="1026"/>
      <c r="E333" s="1026"/>
      <c r="F333" s="1026"/>
      <c r="G333" s="1026"/>
      <c r="H333" s="1026"/>
      <c r="I333" s="1026"/>
      <c r="J333" s="1026"/>
      <c r="K333" s="1026"/>
      <c r="L333" s="1026"/>
      <c r="M333" s="1026"/>
      <c r="N333" s="1026"/>
      <c r="O333" s="1026"/>
      <c r="P333" s="1026"/>
      <c r="Q333" s="1026"/>
      <c r="R333" s="1026"/>
      <c r="S333" s="1026"/>
      <c r="T333" s="1026"/>
      <c r="U333" s="1026"/>
      <c r="V333" s="1026"/>
      <c r="W333" s="1026"/>
      <c r="X333" s="1026"/>
      <c r="Y333" s="1026"/>
      <c r="Z333" s="1026"/>
      <c r="AA333" s="1026"/>
      <c r="AB333" s="1026"/>
      <c r="AC333" s="1026"/>
    </row>
    <row r="334" spans="1:29" x14ac:dyDescent="0.25">
      <c r="A334" s="847"/>
      <c r="B334" s="1026"/>
      <c r="C334" s="1026"/>
      <c r="D334" s="1026"/>
      <c r="E334" s="1026"/>
      <c r="F334" s="1026"/>
      <c r="G334" s="1026"/>
      <c r="H334" s="1026"/>
      <c r="I334" s="1026"/>
      <c r="J334" s="1026"/>
      <c r="K334" s="1026"/>
      <c r="L334" s="1026"/>
      <c r="M334" s="1026"/>
      <c r="N334" s="1026"/>
      <c r="O334" s="1026"/>
      <c r="P334" s="1026"/>
      <c r="Q334" s="1026"/>
      <c r="R334" s="1026"/>
      <c r="S334" s="1026"/>
      <c r="T334" s="1026"/>
      <c r="U334" s="1026"/>
      <c r="V334" s="1026"/>
      <c r="W334" s="1026"/>
      <c r="X334" s="1026"/>
      <c r="Y334" s="1026"/>
      <c r="Z334" s="1026"/>
      <c r="AA334" s="1026"/>
      <c r="AB334" s="1026"/>
      <c r="AC334" s="1026"/>
    </row>
    <row r="335" spans="1:29" x14ac:dyDescent="0.25">
      <c r="A335" s="847"/>
      <c r="B335" s="1026"/>
      <c r="C335" s="1026"/>
      <c r="D335" s="1026"/>
      <c r="E335" s="1026"/>
      <c r="F335" s="1026"/>
      <c r="G335" s="1026"/>
      <c r="H335" s="1026"/>
      <c r="I335" s="1026"/>
      <c r="J335" s="1026"/>
      <c r="K335" s="1026"/>
      <c r="L335" s="1026"/>
      <c r="M335" s="1026"/>
      <c r="N335" s="1026"/>
      <c r="O335" s="1026"/>
      <c r="P335" s="1026"/>
      <c r="Q335" s="1026"/>
      <c r="R335" s="1026"/>
      <c r="S335" s="1026"/>
      <c r="T335" s="1026"/>
      <c r="U335" s="1026"/>
      <c r="V335" s="1026"/>
      <c r="W335" s="1026"/>
      <c r="X335" s="1026"/>
      <c r="Y335" s="1026"/>
      <c r="Z335" s="1026"/>
      <c r="AA335" s="1026"/>
      <c r="AB335" s="1026"/>
      <c r="AC335" s="1026"/>
    </row>
    <row r="336" spans="1:29" x14ac:dyDescent="0.25">
      <c r="A336" s="847"/>
      <c r="B336" s="1026"/>
      <c r="C336" s="1026"/>
      <c r="D336" s="1026"/>
      <c r="E336" s="1026"/>
      <c r="F336" s="1026"/>
      <c r="G336" s="1026"/>
      <c r="H336" s="1026"/>
      <c r="I336" s="1026"/>
      <c r="J336" s="1026"/>
      <c r="K336" s="1026"/>
      <c r="L336" s="1026"/>
      <c r="M336" s="1026"/>
      <c r="N336" s="1026"/>
      <c r="O336" s="1026"/>
      <c r="P336" s="1026"/>
      <c r="Q336" s="1026"/>
      <c r="R336" s="1026"/>
      <c r="S336" s="1026"/>
      <c r="T336" s="1026"/>
      <c r="U336" s="1026"/>
      <c r="V336" s="1026"/>
      <c r="W336" s="1026"/>
      <c r="X336" s="1026"/>
      <c r="Y336" s="1026"/>
      <c r="Z336" s="1026"/>
      <c r="AA336" s="1026"/>
      <c r="AB336" s="1026"/>
      <c r="AC336" s="1026"/>
    </row>
    <row r="337" spans="1:29" x14ac:dyDescent="0.25">
      <c r="A337" s="847"/>
      <c r="B337" s="1026"/>
      <c r="C337" s="1026"/>
      <c r="D337" s="1026"/>
      <c r="E337" s="1026"/>
      <c r="F337" s="1026"/>
      <c r="G337" s="1026"/>
      <c r="H337" s="1026"/>
      <c r="I337" s="1026"/>
      <c r="J337" s="1026"/>
      <c r="K337" s="1026"/>
      <c r="L337" s="1026"/>
      <c r="M337" s="1026"/>
      <c r="N337" s="1026"/>
      <c r="O337" s="1026"/>
      <c r="P337" s="1026"/>
      <c r="Q337" s="1026"/>
      <c r="R337" s="1026"/>
      <c r="S337" s="1026"/>
      <c r="T337" s="1026"/>
      <c r="U337" s="1026"/>
      <c r="V337" s="1026"/>
      <c r="W337" s="1026"/>
      <c r="X337" s="1026"/>
      <c r="Y337" s="1026"/>
      <c r="Z337" s="1026"/>
      <c r="AA337" s="1026"/>
      <c r="AB337" s="1026"/>
      <c r="AC337" s="1026"/>
    </row>
    <row r="338" spans="1:29" x14ac:dyDescent="0.25">
      <c r="A338" s="847"/>
      <c r="B338" s="1026"/>
      <c r="C338" s="1026"/>
      <c r="D338" s="1026"/>
      <c r="E338" s="1026"/>
      <c r="F338" s="1026"/>
      <c r="G338" s="1026"/>
      <c r="H338" s="1026"/>
      <c r="I338" s="1026"/>
      <c r="J338" s="1026"/>
      <c r="K338" s="1026"/>
      <c r="L338" s="1026"/>
      <c r="M338" s="1026"/>
      <c r="N338" s="1026"/>
      <c r="O338" s="1026"/>
      <c r="P338" s="1026"/>
      <c r="Q338" s="1026"/>
      <c r="R338" s="1026"/>
      <c r="S338" s="1026"/>
      <c r="T338" s="1026"/>
      <c r="U338" s="1026"/>
      <c r="V338" s="1026"/>
      <c r="W338" s="1026"/>
      <c r="X338" s="1026"/>
      <c r="Y338" s="1026"/>
      <c r="Z338" s="1026"/>
      <c r="AA338" s="1026"/>
      <c r="AB338" s="1026"/>
      <c r="AC338" s="1026"/>
    </row>
    <row r="339" spans="1:29" x14ac:dyDescent="0.25">
      <c r="A339" s="847"/>
      <c r="B339" s="1026"/>
      <c r="C339" s="1026"/>
      <c r="D339" s="1026"/>
      <c r="E339" s="1026"/>
      <c r="F339" s="1026"/>
      <c r="G339" s="1026"/>
      <c r="H339" s="1026"/>
      <c r="I339" s="1026"/>
      <c r="J339" s="1026"/>
      <c r="K339" s="1026"/>
      <c r="L339" s="1026"/>
      <c r="M339" s="1026"/>
      <c r="N339" s="1026"/>
      <c r="O339" s="1026"/>
      <c r="P339" s="1026"/>
      <c r="Q339" s="1026"/>
      <c r="R339" s="1026"/>
      <c r="S339" s="1026"/>
      <c r="T339" s="1026"/>
      <c r="U339" s="1026"/>
      <c r="V339" s="1026"/>
      <c r="W339" s="1026"/>
      <c r="X339" s="1026"/>
      <c r="Y339" s="1026"/>
      <c r="Z339" s="1026"/>
      <c r="AA339" s="1026"/>
      <c r="AB339" s="1026"/>
      <c r="AC339" s="1026"/>
    </row>
    <row r="340" spans="1:29" x14ac:dyDescent="0.25">
      <c r="A340" s="847"/>
      <c r="B340" s="1026"/>
      <c r="C340" s="1026"/>
      <c r="D340" s="1026"/>
      <c r="E340" s="1026"/>
      <c r="F340" s="1026"/>
      <c r="G340" s="1026"/>
      <c r="H340" s="1026"/>
      <c r="I340" s="1026"/>
      <c r="J340" s="1026"/>
      <c r="K340" s="1026"/>
      <c r="L340" s="1026"/>
      <c r="M340" s="1026"/>
      <c r="N340" s="1026"/>
      <c r="O340" s="1026"/>
      <c r="P340" s="1026"/>
      <c r="Q340" s="1026"/>
      <c r="R340" s="1026"/>
      <c r="S340" s="1026"/>
      <c r="T340" s="1026"/>
      <c r="U340" s="1026"/>
      <c r="V340" s="1026"/>
      <c r="W340" s="1026"/>
      <c r="X340" s="1026"/>
      <c r="Y340" s="1026"/>
      <c r="Z340" s="1026"/>
      <c r="AA340" s="1026"/>
      <c r="AB340" s="1026"/>
      <c r="AC340" s="1026"/>
    </row>
    <row r="341" spans="1:29" x14ac:dyDescent="0.25">
      <c r="A341" s="847"/>
      <c r="B341" s="1026"/>
      <c r="C341" s="1026"/>
      <c r="D341" s="1026"/>
      <c r="E341" s="1026"/>
      <c r="F341" s="1026"/>
      <c r="G341" s="1026"/>
      <c r="H341" s="1026"/>
      <c r="I341" s="1026"/>
      <c r="J341" s="1026"/>
      <c r="K341" s="1026"/>
      <c r="L341" s="1026"/>
      <c r="M341" s="1026"/>
      <c r="N341" s="1026"/>
      <c r="O341" s="1026"/>
      <c r="P341" s="1026"/>
      <c r="Q341" s="1026"/>
      <c r="R341" s="1026"/>
      <c r="S341" s="1026"/>
      <c r="T341" s="1026"/>
      <c r="U341" s="1026"/>
      <c r="V341" s="1026"/>
      <c r="W341" s="1026"/>
      <c r="X341" s="1026"/>
      <c r="Y341" s="1026"/>
      <c r="Z341" s="1026"/>
      <c r="AA341" s="1026"/>
      <c r="AB341" s="1026"/>
      <c r="AC341" s="1026"/>
    </row>
    <row r="342" spans="1:29" x14ac:dyDescent="0.25">
      <c r="A342" s="847"/>
      <c r="B342" s="1026"/>
      <c r="C342" s="1026"/>
      <c r="D342" s="1026"/>
      <c r="E342" s="1026"/>
      <c r="F342" s="1026"/>
      <c r="G342" s="1026"/>
      <c r="H342" s="1026"/>
      <c r="I342" s="1026"/>
      <c r="J342" s="1026"/>
      <c r="K342" s="1026"/>
      <c r="L342" s="1026"/>
      <c r="M342" s="1026"/>
      <c r="N342" s="1026"/>
      <c r="O342" s="1026"/>
      <c r="P342" s="1026"/>
      <c r="Q342" s="1026"/>
      <c r="R342" s="1026"/>
      <c r="S342" s="1026"/>
      <c r="T342" s="1026"/>
      <c r="U342" s="1026"/>
      <c r="V342" s="1026"/>
      <c r="W342" s="1026"/>
      <c r="X342" s="1026"/>
      <c r="Y342" s="1026"/>
      <c r="Z342" s="1026"/>
      <c r="AA342" s="1026"/>
      <c r="AB342" s="1026"/>
      <c r="AC342" s="1026"/>
    </row>
    <row r="343" spans="1:29" x14ac:dyDescent="0.25">
      <c r="A343" s="847"/>
      <c r="B343" s="1026"/>
      <c r="C343" s="1026"/>
      <c r="D343" s="1026"/>
      <c r="E343" s="1026"/>
      <c r="F343" s="1026"/>
      <c r="G343" s="1026"/>
      <c r="H343" s="1026"/>
      <c r="I343" s="1026"/>
      <c r="J343" s="1026"/>
      <c r="K343" s="1026"/>
      <c r="L343" s="1026"/>
      <c r="M343" s="1026"/>
      <c r="N343" s="1026"/>
      <c r="O343" s="1026"/>
      <c r="P343" s="1026"/>
      <c r="Q343" s="1026"/>
      <c r="R343" s="1026"/>
      <c r="S343" s="1026"/>
      <c r="T343" s="1026"/>
      <c r="U343" s="1026"/>
      <c r="V343" s="1026"/>
      <c r="W343" s="1026"/>
      <c r="X343" s="1026"/>
      <c r="Y343" s="1026"/>
      <c r="Z343" s="1026"/>
      <c r="AA343" s="1026"/>
      <c r="AB343" s="1026"/>
      <c r="AC343" s="1026"/>
    </row>
    <row r="344" spans="1:29" x14ac:dyDescent="0.25">
      <c r="A344" s="847"/>
      <c r="B344" s="1026"/>
      <c r="C344" s="1026"/>
      <c r="D344" s="1026"/>
      <c r="E344" s="1026"/>
      <c r="F344" s="1026"/>
      <c r="G344" s="1026"/>
      <c r="H344" s="1026"/>
      <c r="I344" s="1026"/>
      <c r="J344" s="1026"/>
      <c r="K344" s="1026"/>
      <c r="L344" s="1026"/>
      <c r="M344" s="1026"/>
      <c r="N344" s="1026"/>
      <c r="O344" s="1026"/>
      <c r="P344" s="1026"/>
      <c r="Q344" s="1026"/>
      <c r="R344" s="1026"/>
      <c r="S344" s="1026"/>
      <c r="T344" s="1026"/>
      <c r="U344" s="1026"/>
      <c r="V344" s="1026"/>
      <c r="W344" s="1026"/>
      <c r="X344" s="1026"/>
      <c r="Y344" s="1026"/>
      <c r="Z344" s="1026"/>
      <c r="AA344" s="1026"/>
      <c r="AB344" s="1026"/>
      <c r="AC344" s="1026"/>
    </row>
    <row r="345" spans="1:29" x14ac:dyDescent="0.25">
      <c r="A345" s="847"/>
      <c r="B345" s="1026"/>
      <c r="C345" s="1026"/>
      <c r="D345" s="1026"/>
      <c r="E345" s="1026"/>
      <c r="F345" s="1026"/>
      <c r="G345" s="1026"/>
      <c r="H345" s="1026"/>
      <c r="I345" s="1026"/>
      <c r="J345" s="1026"/>
      <c r="K345" s="1026"/>
      <c r="L345" s="1026"/>
      <c r="M345" s="1026"/>
      <c r="N345" s="1026"/>
      <c r="O345" s="1026"/>
      <c r="P345" s="1026"/>
      <c r="Q345" s="1026"/>
      <c r="R345" s="1026"/>
      <c r="S345" s="1026"/>
      <c r="T345" s="1026"/>
      <c r="U345" s="1026"/>
      <c r="V345" s="1026"/>
      <c r="W345" s="1026"/>
      <c r="X345" s="1026"/>
      <c r="Y345" s="1026"/>
      <c r="Z345" s="1026"/>
      <c r="AA345" s="1026"/>
      <c r="AB345" s="1026"/>
      <c r="AC345" s="1026"/>
    </row>
    <row r="346" spans="1:29" x14ac:dyDescent="0.25">
      <c r="A346" s="847"/>
      <c r="B346" s="1026"/>
      <c r="C346" s="1026"/>
      <c r="D346" s="1026"/>
      <c r="E346" s="1026"/>
      <c r="F346" s="1026"/>
      <c r="G346" s="1026"/>
      <c r="H346" s="1026"/>
      <c r="I346" s="1026"/>
      <c r="J346" s="1026"/>
      <c r="K346" s="1026"/>
      <c r="L346" s="1026"/>
      <c r="M346" s="1026"/>
      <c r="N346" s="1026"/>
      <c r="O346" s="1026"/>
      <c r="P346" s="1026"/>
      <c r="Q346" s="1026"/>
      <c r="R346" s="1026"/>
      <c r="S346" s="1026"/>
      <c r="T346" s="1026"/>
      <c r="U346" s="1026"/>
      <c r="V346" s="1026"/>
      <c r="W346" s="1026"/>
      <c r="X346" s="1026"/>
      <c r="Y346" s="1026"/>
      <c r="Z346" s="1026"/>
      <c r="AA346" s="1026"/>
      <c r="AB346" s="1026"/>
      <c r="AC346" s="1026"/>
    </row>
    <row r="347" spans="1:29" x14ac:dyDescent="0.25">
      <c r="A347" s="847"/>
      <c r="B347" s="1026"/>
      <c r="C347" s="1026"/>
      <c r="D347" s="1026"/>
      <c r="E347" s="1026"/>
      <c r="F347" s="1026"/>
      <c r="G347" s="1026"/>
      <c r="H347" s="1026"/>
      <c r="I347" s="1026"/>
      <c r="J347" s="1026"/>
      <c r="K347" s="1026"/>
      <c r="L347" s="1026"/>
      <c r="M347" s="1026"/>
      <c r="N347" s="1026"/>
      <c r="O347" s="1026"/>
      <c r="P347" s="1026"/>
      <c r="Q347" s="1026"/>
      <c r="R347" s="1026"/>
      <c r="S347" s="1026"/>
      <c r="T347" s="1026"/>
      <c r="U347" s="1026"/>
      <c r="V347" s="1026"/>
      <c r="W347" s="1026"/>
      <c r="X347" s="1026"/>
      <c r="Y347" s="1026"/>
      <c r="Z347" s="1026"/>
      <c r="AA347" s="1026"/>
      <c r="AB347" s="1026"/>
      <c r="AC347" s="1026"/>
    </row>
    <row r="348" spans="1:29" x14ac:dyDescent="0.25">
      <c r="A348" s="847"/>
      <c r="B348" s="1026"/>
      <c r="C348" s="1026"/>
      <c r="D348" s="1026"/>
      <c r="E348" s="1026"/>
      <c r="F348" s="1026"/>
      <c r="G348" s="1026"/>
      <c r="H348" s="1026"/>
      <c r="I348" s="1026"/>
      <c r="J348" s="1026"/>
      <c r="K348" s="1026"/>
      <c r="L348" s="1026"/>
      <c r="M348" s="1026"/>
      <c r="N348" s="1026"/>
      <c r="O348" s="1026"/>
      <c r="P348" s="1026"/>
      <c r="Q348" s="1026"/>
      <c r="R348" s="1026"/>
      <c r="S348" s="1026"/>
      <c r="T348" s="1026"/>
      <c r="U348" s="1026"/>
      <c r="V348" s="1026"/>
      <c r="W348" s="1026"/>
      <c r="X348" s="1026"/>
      <c r="Y348" s="1026"/>
      <c r="Z348" s="1026"/>
      <c r="AA348" s="1026"/>
      <c r="AB348" s="1026"/>
      <c r="AC348" s="1026"/>
    </row>
    <row r="349" spans="1:29" x14ac:dyDescent="0.25">
      <c r="A349" s="847"/>
      <c r="B349" s="1026"/>
      <c r="C349" s="1026"/>
      <c r="D349" s="1026"/>
      <c r="E349" s="1026"/>
      <c r="F349" s="1026"/>
      <c r="G349" s="1026"/>
      <c r="H349" s="1026"/>
      <c r="I349" s="1026"/>
      <c r="J349" s="1026"/>
      <c r="K349" s="1026"/>
      <c r="L349" s="1026"/>
      <c r="M349" s="1026"/>
      <c r="N349" s="1026"/>
      <c r="O349" s="1026"/>
      <c r="P349" s="1026"/>
      <c r="Q349" s="1026"/>
      <c r="R349" s="1026"/>
      <c r="S349" s="1026"/>
      <c r="T349" s="1026"/>
      <c r="U349" s="1026"/>
      <c r="V349" s="1026"/>
      <c r="W349" s="1026"/>
      <c r="X349" s="1026"/>
      <c r="Y349" s="1026"/>
      <c r="Z349" s="1026"/>
      <c r="AA349" s="1026"/>
      <c r="AB349" s="1026"/>
      <c r="AC349" s="1026"/>
    </row>
    <row r="350" spans="1:29" x14ac:dyDescent="0.25">
      <c r="A350" s="847"/>
      <c r="B350" s="1026"/>
      <c r="C350" s="1026"/>
      <c r="D350" s="1026"/>
      <c r="E350" s="1026"/>
      <c r="F350" s="1026"/>
      <c r="G350" s="1026"/>
      <c r="H350" s="1026"/>
      <c r="I350" s="1026"/>
      <c r="J350" s="1026"/>
      <c r="K350" s="1026"/>
      <c r="L350" s="1026"/>
      <c r="M350" s="1026"/>
      <c r="N350" s="1026"/>
      <c r="O350" s="1026"/>
      <c r="P350" s="1026"/>
      <c r="Q350" s="1026"/>
      <c r="R350" s="1026"/>
      <c r="S350" s="1026"/>
      <c r="T350" s="1026"/>
      <c r="U350" s="1026"/>
      <c r="V350" s="1026"/>
      <c r="W350" s="1026"/>
      <c r="X350" s="1026"/>
      <c r="Y350" s="1026"/>
      <c r="Z350" s="1026"/>
      <c r="AA350" s="1026"/>
      <c r="AB350" s="1026"/>
      <c r="AC350" s="1026"/>
    </row>
    <row r="351" spans="1:29" x14ac:dyDescent="0.25">
      <c r="A351" s="847"/>
      <c r="B351" s="1026"/>
      <c r="C351" s="1026"/>
      <c r="D351" s="1026"/>
      <c r="E351" s="1026"/>
      <c r="F351" s="1026"/>
      <c r="G351" s="1026"/>
      <c r="H351" s="1026"/>
      <c r="I351" s="1026"/>
      <c r="J351" s="1026"/>
      <c r="K351" s="1026"/>
      <c r="L351" s="1026"/>
      <c r="M351" s="1026"/>
      <c r="N351" s="1026"/>
      <c r="O351" s="1026"/>
      <c r="P351" s="1026"/>
      <c r="Q351" s="1026"/>
      <c r="R351" s="1026"/>
      <c r="S351" s="1026"/>
      <c r="T351" s="1026"/>
      <c r="U351" s="1026"/>
      <c r="V351" s="1026"/>
      <c r="W351" s="1026"/>
      <c r="X351" s="1026"/>
      <c r="Y351" s="1026"/>
      <c r="Z351" s="1026"/>
      <c r="AA351" s="1026"/>
      <c r="AB351" s="1026"/>
      <c r="AC351" s="1026"/>
    </row>
    <row r="352" spans="1:29" x14ac:dyDescent="0.25">
      <c r="A352" s="847"/>
      <c r="B352" s="1026"/>
      <c r="C352" s="1026"/>
      <c r="D352" s="1026"/>
      <c r="E352" s="1026"/>
      <c r="F352" s="1026"/>
      <c r="G352" s="1026"/>
      <c r="H352" s="1026"/>
      <c r="I352" s="1026"/>
      <c r="J352" s="1026"/>
      <c r="K352" s="1026"/>
      <c r="L352" s="1026"/>
      <c r="M352" s="1026"/>
      <c r="N352" s="1026"/>
      <c r="O352" s="1026"/>
      <c r="P352" s="1026"/>
      <c r="Q352" s="1026"/>
      <c r="R352" s="1026"/>
      <c r="S352" s="1026"/>
      <c r="T352" s="1026"/>
      <c r="U352" s="1026"/>
      <c r="V352" s="1026"/>
      <c r="W352" s="1026"/>
      <c r="X352" s="1026"/>
      <c r="Y352" s="1026"/>
      <c r="Z352" s="1026"/>
      <c r="AA352" s="1026"/>
      <c r="AB352" s="1026"/>
      <c r="AC352" s="1026"/>
    </row>
    <row r="353" spans="1:29" x14ac:dyDescent="0.25">
      <c r="A353" s="847"/>
      <c r="B353" s="1026"/>
      <c r="C353" s="1026"/>
      <c r="D353" s="1026"/>
      <c r="E353" s="1026"/>
      <c r="F353" s="1026"/>
      <c r="G353" s="1026"/>
      <c r="H353" s="1026"/>
      <c r="I353" s="1026"/>
      <c r="J353" s="1026"/>
      <c r="K353" s="1026"/>
      <c r="L353" s="1026"/>
      <c r="M353" s="1026"/>
      <c r="N353" s="1026"/>
      <c r="O353" s="1026"/>
      <c r="P353" s="1026"/>
      <c r="Q353" s="1026"/>
      <c r="R353" s="1026"/>
      <c r="S353" s="1026"/>
      <c r="T353" s="1026"/>
      <c r="U353" s="1026"/>
      <c r="V353" s="1026"/>
      <c r="W353" s="1026"/>
      <c r="X353" s="1026"/>
      <c r="Y353" s="1026"/>
      <c r="Z353" s="1026"/>
      <c r="AA353" s="1026"/>
      <c r="AB353" s="1026"/>
      <c r="AC353" s="1026"/>
    </row>
    <row r="354" spans="1:29" x14ac:dyDescent="0.25">
      <c r="A354" s="847"/>
      <c r="B354" s="1026"/>
      <c r="C354" s="1026"/>
      <c r="D354" s="1026"/>
      <c r="E354" s="1026"/>
      <c r="F354" s="1026"/>
      <c r="G354" s="1026"/>
      <c r="H354" s="1026"/>
      <c r="I354" s="1026"/>
      <c r="J354" s="1026"/>
      <c r="K354" s="1026"/>
      <c r="L354" s="1026"/>
      <c r="M354" s="1026"/>
      <c r="N354" s="1026"/>
      <c r="O354" s="1026"/>
      <c r="P354" s="1026"/>
      <c r="Q354" s="1026"/>
      <c r="R354" s="1026"/>
      <c r="S354" s="1026"/>
      <c r="T354" s="1026"/>
      <c r="U354" s="1026"/>
      <c r="V354" s="1026"/>
      <c r="W354" s="1026"/>
      <c r="X354" s="1026"/>
      <c r="Y354" s="1026"/>
      <c r="Z354" s="1026"/>
      <c r="AA354" s="1026"/>
      <c r="AB354" s="1026"/>
      <c r="AC354" s="1026"/>
    </row>
    <row r="355" spans="1:29" x14ac:dyDescent="0.25">
      <c r="A355" s="847"/>
      <c r="B355" s="1026"/>
      <c r="C355" s="1026"/>
      <c r="D355" s="1026"/>
      <c r="E355" s="1026"/>
      <c r="F355" s="1026"/>
      <c r="G355" s="1026"/>
      <c r="H355" s="1026"/>
      <c r="I355" s="1026"/>
      <c r="J355" s="1026"/>
      <c r="K355" s="1026"/>
      <c r="L355" s="1026"/>
      <c r="M355" s="1026"/>
      <c r="N355" s="1026"/>
      <c r="O355" s="1026"/>
      <c r="P355" s="1026"/>
      <c r="Q355" s="1026"/>
      <c r="R355" s="1026"/>
      <c r="S355" s="1026"/>
      <c r="T355" s="1026"/>
      <c r="U355" s="1026"/>
      <c r="V355" s="1026"/>
      <c r="W355" s="1026"/>
      <c r="X355" s="1026"/>
      <c r="Y355" s="1026"/>
      <c r="Z355" s="1026"/>
      <c r="AA355" s="1026"/>
      <c r="AB355" s="1026"/>
      <c r="AC355" s="1026"/>
    </row>
    <row r="356" spans="1:29" x14ac:dyDescent="0.25">
      <c r="A356" s="847"/>
      <c r="B356" s="1026"/>
      <c r="C356" s="1026"/>
      <c r="D356" s="1026"/>
      <c r="E356" s="1026"/>
      <c r="F356" s="1026"/>
      <c r="G356" s="1026"/>
      <c r="H356" s="1026"/>
      <c r="I356" s="1026"/>
      <c r="J356" s="1026"/>
      <c r="K356" s="1026"/>
      <c r="L356" s="1026"/>
      <c r="M356" s="1026"/>
      <c r="N356" s="1026"/>
      <c r="O356" s="1026"/>
      <c r="P356" s="1026"/>
      <c r="Q356" s="1026"/>
      <c r="R356" s="1026"/>
      <c r="S356" s="1026"/>
      <c r="T356" s="1026"/>
      <c r="U356" s="1026"/>
      <c r="V356" s="1026"/>
      <c r="W356" s="1026"/>
      <c r="X356" s="1026"/>
      <c r="Y356" s="1026"/>
      <c r="Z356" s="1026"/>
      <c r="AA356" s="1026"/>
      <c r="AB356" s="1026"/>
      <c r="AC356" s="1026"/>
    </row>
    <row r="357" spans="1:29" x14ac:dyDescent="0.25">
      <c r="A357" s="847"/>
      <c r="B357" s="1026"/>
      <c r="C357" s="1026"/>
      <c r="D357" s="1026"/>
      <c r="E357" s="1026"/>
      <c r="F357" s="1026"/>
      <c r="G357" s="1026"/>
      <c r="H357" s="1026"/>
      <c r="I357" s="1026"/>
      <c r="J357" s="1026"/>
      <c r="K357" s="1026"/>
      <c r="L357" s="1026"/>
      <c r="M357" s="1026"/>
      <c r="N357" s="1026"/>
      <c r="O357" s="1026"/>
      <c r="P357" s="1026"/>
      <c r="Q357" s="1026"/>
      <c r="R357" s="1026"/>
      <c r="S357" s="1026"/>
      <c r="T357" s="1026"/>
      <c r="U357" s="1026"/>
      <c r="V357" s="1026"/>
      <c r="W357" s="1026"/>
      <c r="X357" s="1026"/>
      <c r="Y357" s="1026"/>
      <c r="Z357" s="1026"/>
      <c r="AA357" s="1026"/>
      <c r="AB357" s="1026"/>
      <c r="AC357" s="1026"/>
    </row>
    <row r="358" spans="1:29" x14ac:dyDescent="0.25">
      <c r="A358" s="847"/>
      <c r="B358" s="1026"/>
      <c r="C358" s="1026"/>
      <c r="D358" s="1026"/>
      <c r="E358" s="1026"/>
      <c r="F358" s="1026"/>
      <c r="G358" s="1026"/>
      <c r="H358" s="1026"/>
      <c r="I358" s="1026"/>
      <c r="J358" s="1026"/>
      <c r="K358" s="1026"/>
      <c r="L358" s="1026"/>
      <c r="M358" s="1026"/>
      <c r="N358" s="1026"/>
      <c r="O358" s="1026"/>
      <c r="P358" s="1026"/>
      <c r="Q358" s="1026"/>
      <c r="R358" s="1026"/>
      <c r="S358" s="1026"/>
      <c r="T358" s="1026"/>
      <c r="U358" s="1026"/>
      <c r="V358" s="1026"/>
      <c r="W358" s="1026"/>
      <c r="X358" s="1026"/>
      <c r="Y358" s="1026"/>
      <c r="Z358" s="1026"/>
      <c r="AA358" s="1026"/>
      <c r="AB358" s="1026"/>
      <c r="AC358" s="1026"/>
    </row>
    <row r="359" spans="1:29" x14ac:dyDescent="0.25">
      <c r="A359" s="847"/>
      <c r="B359" s="1026"/>
      <c r="C359" s="1026"/>
      <c r="D359" s="1026"/>
      <c r="E359" s="1026"/>
      <c r="F359" s="1026"/>
      <c r="G359" s="1026"/>
      <c r="H359" s="1026"/>
      <c r="I359" s="1026"/>
      <c r="J359" s="1026"/>
      <c r="K359" s="1026"/>
      <c r="L359" s="1026"/>
      <c r="M359" s="1026"/>
      <c r="N359" s="1026"/>
      <c r="O359" s="1026"/>
      <c r="P359" s="1026"/>
      <c r="Q359" s="1026"/>
      <c r="R359" s="1026"/>
      <c r="S359" s="1026"/>
      <c r="T359" s="1026"/>
      <c r="U359" s="1026"/>
      <c r="V359" s="1026"/>
      <c r="W359" s="1026"/>
      <c r="X359" s="1026"/>
      <c r="Y359" s="1026"/>
      <c r="Z359" s="1026"/>
      <c r="AA359" s="1026"/>
      <c r="AB359" s="1026"/>
      <c r="AC359" s="1026"/>
    </row>
    <row r="360" spans="1:29" x14ac:dyDescent="0.25">
      <c r="A360" s="847"/>
      <c r="B360" s="1026"/>
      <c r="C360" s="1026"/>
      <c r="D360" s="1026"/>
      <c r="E360" s="1026"/>
      <c r="F360" s="1026"/>
      <c r="G360" s="1026"/>
      <c r="H360" s="1026"/>
      <c r="I360" s="1026"/>
      <c r="J360" s="1026"/>
      <c r="K360" s="1026"/>
      <c r="L360" s="1026"/>
      <c r="M360" s="1026"/>
      <c r="N360" s="1026"/>
      <c r="O360" s="1026"/>
      <c r="P360" s="1026"/>
      <c r="Q360" s="1026"/>
      <c r="R360" s="1026"/>
      <c r="S360" s="1026"/>
      <c r="T360" s="1026"/>
      <c r="U360" s="1026"/>
      <c r="V360" s="1026"/>
      <c r="W360" s="1026"/>
      <c r="X360" s="1026"/>
      <c r="Y360" s="1026"/>
      <c r="Z360" s="1026"/>
      <c r="AA360" s="1026"/>
      <c r="AB360" s="1026"/>
      <c r="AC360" s="1026"/>
    </row>
    <row r="361" spans="1:29" x14ac:dyDescent="0.25">
      <c r="A361" s="847"/>
      <c r="B361" s="1026"/>
      <c r="C361" s="1026"/>
      <c r="D361" s="1026"/>
      <c r="E361" s="1026"/>
      <c r="F361" s="1026"/>
      <c r="G361" s="1026"/>
      <c r="H361" s="1026"/>
      <c r="I361" s="1026"/>
      <c r="J361" s="1026"/>
      <c r="K361" s="1026"/>
      <c r="L361" s="1026"/>
      <c r="M361" s="1026"/>
      <c r="N361" s="1026"/>
      <c r="O361" s="1026"/>
      <c r="P361" s="1026"/>
      <c r="Q361" s="1026"/>
      <c r="R361" s="1026"/>
      <c r="S361" s="1026"/>
      <c r="T361" s="1026"/>
      <c r="U361" s="1026"/>
      <c r="V361" s="1026"/>
      <c r="W361" s="1026"/>
      <c r="X361" s="1026"/>
      <c r="Y361" s="1026"/>
      <c r="Z361" s="1026"/>
      <c r="AA361" s="1026"/>
      <c r="AB361" s="1026"/>
      <c r="AC361" s="1026"/>
    </row>
    <row r="362" spans="1:29" x14ac:dyDescent="0.25">
      <c r="A362" s="847"/>
      <c r="B362" s="1026"/>
      <c r="C362" s="1026"/>
      <c r="D362" s="1026"/>
      <c r="E362" s="1026"/>
      <c r="F362" s="1026"/>
      <c r="G362" s="1026"/>
      <c r="H362" s="1026"/>
      <c r="I362" s="1026"/>
      <c r="J362" s="1026"/>
      <c r="K362" s="1026"/>
      <c r="L362" s="1026"/>
      <c r="M362" s="1026"/>
      <c r="N362" s="1026"/>
      <c r="O362" s="1026"/>
      <c r="P362" s="1026"/>
      <c r="Q362" s="1026"/>
      <c r="R362" s="1026"/>
      <c r="S362" s="1026"/>
      <c r="T362" s="1026"/>
      <c r="U362" s="1026"/>
      <c r="V362" s="1026"/>
      <c r="W362" s="1026"/>
      <c r="X362" s="1026"/>
      <c r="Y362" s="1026"/>
      <c r="Z362" s="1026"/>
      <c r="AA362" s="1026"/>
      <c r="AB362" s="1026"/>
      <c r="AC362" s="1026"/>
    </row>
    <row r="363" spans="1:29" x14ac:dyDescent="0.25">
      <c r="A363" s="847"/>
      <c r="B363" s="1026"/>
      <c r="C363" s="1026"/>
      <c r="D363" s="1026"/>
      <c r="E363" s="1026"/>
      <c r="F363" s="1026"/>
      <c r="G363" s="1026"/>
      <c r="H363" s="1026"/>
      <c r="I363" s="1026"/>
      <c r="J363" s="1026"/>
      <c r="K363" s="1026"/>
      <c r="L363" s="1026"/>
      <c r="M363" s="1026"/>
      <c r="N363" s="1026"/>
      <c r="O363" s="1026"/>
      <c r="P363" s="1026"/>
      <c r="Q363" s="1026"/>
      <c r="R363" s="1026"/>
      <c r="S363" s="1026"/>
      <c r="T363" s="1026"/>
      <c r="U363" s="1026"/>
      <c r="V363" s="1026"/>
      <c r="W363" s="1026"/>
      <c r="X363" s="1026"/>
      <c r="Y363" s="1026"/>
      <c r="Z363" s="1026"/>
      <c r="AA363" s="1026"/>
      <c r="AB363" s="1026"/>
      <c r="AC363" s="1026"/>
    </row>
    <row r="364" spans="1:29" x14ac:dyDescent="0.25">
      <c r="A364" s="847"/>
      <c r="B364" s="1026"/>
      <c r="C364" s="1026"/>
      <c r="D364" s="1026"/>
      <c r="E364" s="1026"/>
      <c r="F364" s="1026"/>
      <c r="G364" s="1026"/>
      <c r="H364" s="1026"/>
      <c r="I364" s="1026"/>
      <c r="J364" s="1026"/>
      <c r="K364" s="1026"/>
      <c r="L364" s="1026"/>
      <c r="M364" s="1026"/>
      <c r="N364" s="1026"/>
      <c r="O364" s="1026"/>
      <c r="P364" s="1026"/>
      <c r="Q364" s="1026"/>
      <c r="R364" s="1026"/>
      <c r="S364" s="1026"/>
      <c r="T364" s="1026"/>
      <c r="U364" s="1026"/>
      <c r="V364" s="1026"/>
      <c r="W364" s="1026"/>
      <c r="X364" s="1026"/>
      <c r="Y364" s="1026"/>
      <c r="Z364" s="1026"/>
      <c r="AA364" s="1026"/>
      <c r="AB364" s="1026"/>
      <c r="AC364" s="1026"/>
    </row>
    <row r="365" spans="1:29" x14ac:dyDescent="0.25">
      <c r="A365" s="847"/>
      <c r="B365" s="1026"/>
      <c r="C365" s="1026"/>
      <c r="D365" s="1026"/>
      <c r="E365" s="1026"/>
      <c r="F365" s="1026"/>
      <c r="G365" s="1026"/>
      <c r="H365" s="1026"/>
      <c r="I365" s="1026"/>
      <c r="J365" s="1026"/>
      <c r="K365" s="1026"/>
      <c r="L365" s="1026"/>
      <c r="M365" s="1026"/>
      <c r="N365" s="1026"/>
      <c r="O365" s="1026"/>
      <c r="P365" s="1026"/>
      <c r="Q365" s="1026"/>
      <c r="R365" s="1026"/>
      <c r="S365" s="1026"/>
      <c r="T365" s="1026"/>
      <c r="U365" s="1026"/>
      <c r="V365" s="1026"/>
      <c r="W365" s="1026"/>
      <c r="X365" s="1026"/>
      <c r="Y365" s="1026"/>
      <c r="Z365" s="1026"/>
      <c r="AA365" s="1026"/>
      <c r="AB365" s="1026"/>
      <c r="AC365" s="1026"/>
    </row>
    <row r="366" spans="1:29" x14ac:dyDescent="0.25">
      <c r="A366" s="847"/>
      <c r="B366" s="1026"/>
      <c r="C366" s="1026"/>
      <c r="D366" s="1026"/>
      <c r="E366" s="1026"/>
      <c r="F366" s="1026"/>
      <c r="G366" s="1026"/>
      <c r="H366" s="1026"/>
      <c r="I366" s="1026"/>
      <c r="J366" s="1026"/>
      <c r="K366" s="1026"/>
      <c r="L366" s="1026"/>
      <c r="M366" s="1026"/>
      <c r="N366" s="1026"/>
      <c r="O366" s="1026"/>
      <c r="P366" s="1026"/>
      <c r="Q366" s="1026"/>
      <c r="R366" s="1026"/>
      <c r="S366" s="1026"/>
      <c r="T366" s="1026"/>
      <c r="U366" s="1026"/>
      <c r="V366" s="1026"/>
      <c r="W366" s="1026"/>
      <c r="X366" s="1026"/>
      <c r="Y366" s="1026"/>
      <c r="Z366" s="1026"/>
      <c r="AA366" s="1026"/>
      <c r="AB366" s="1026"/>
      <c r="AC366" s="1026"/>
    </row>
    <row r="367" spans="1:29" x14ac:dyDescent="0.25">
      <c r="A367" s="847"/>
      <c r="B367" s="1026"/>
      <c r="C367" s="1026"/>
      <c r="D367" s="1026"/>
      <c r="E367" s="1026"/>
      <c r="F367" s="1026"/>
      <c r="G367" s="1026"/>
      <c r="H367" s="1026"/>
      <c r="I367" s="1026"/>
      <c r="J367" s="1026"/>
      <c r="K367" s="1026"/>
      <c r="L367" s="1026"/>
      <c r="M367" s="1026"/>
      <c r="N367" s="1026"/>
      <c r="O367" s="1026"/>
      <c r="P367" s="1026"/>
      <c r="Q367" s="1026"/>
      <c r="R367" s="1026"/>
      <c r="S367" s="1026"/>
      <c r="T367" s="1026"/>
      <c r="U367" s="1026"/>
      <c r="V367" s="1026"/>
      <c r="W367" s="1026"/>
      <c r="X367" s="1026"/>
      <c r="Y367" s="1026"/>
      <c r="Z367" s="1026"/>
      <c r="AA367" s="1026"/>
      <c r="AB367" s="1026"/>
      <c r="AC367" s="1026"/>
    </row>
    <row r="368" spans="1:29" x14ac:dyDescent="0.25">
      <c r="A368" s="847"/>
      <c r="B368" s="1026"/>
      <c r="C368" s="1026"/>
      <c r="D368" s="1026"/>
      <c r="E368" s="1026"/>
      <c r="F368" s="1026"/>
      <c r="G368" s="1026"/>
      <c r="H368" s="1026"/>
      <c r="I368" s="1026"/>
      <c r="J368" s="1026"/>
      <c r="K368" s="1026"/>
      <c r="L368" s="1026"/>
      <c r="M368" s="1026"/>
      <c r="N368" s="1026"/>
      <c r="O368" s="1026"/>
      <c r="P368" s="1026"/>
      <c r="Q368" s="1026"/>
      <c r="R368" s="1026"/>
      <c r="S368" s="1026"/>
      <c r="T368" s="1026"/>
      <c r="U368" s="1026"/>
      <c r="V368" s="1026"/>
      <c r="W368" s="1026"/>
      <c r="X368" s="1026"/>
      <c r="Y368" s="1026"/>
      <c r="Z368" s="1026"/>
      <c r="AA368" s="1026"/>
      <c r="AB368" s="1026"/>
      <c r="AC368" s="1026"/>
    </row>
    <row r="369" spans="1:29" x14ac:dyDescent="0.25">
      <c r="A369" s="847"/>
      <c r="B369" s="1026"/>
      <c r="C369" s="1026"/>
      <c r="D369" s="1026"/>
      <c r="E369" s="1026"/>
      <c r="F369" s="1026"/>
      <c r="G369" s="1026"/>
      <c r="H369" s="1026"/>
      <c r="I369" s="1026"/>
      <c r="J369" s="1026"/>
      <c r="K369" s="1026"/>
      <c r="L369" s="1026"/>
      <c r="M369" s="1026"/>
      <c r="N369" s="1026"/>
      <c r="O369" s="1026"/>
      <c r="P369" s="1026"/>
      <c r="Q369" s="1026"/>
      <c r="R369" s="1026"/>
      <c r="S369" s="1026"/>
      <c r="T369" s="1026"/>
      <c r="U369" s="1026"/>
      <c r="V369" s="1026"/>
      <c r="W369" s="1026"/>
      <c r="X369" s="1026"/>
      <c r="Y369" s="1026"/>
      <c r="Z369" s="1026"/>
      <c r="AA369" s="1026"/>
      <c r="AB369" s="1026"/>
      <c r="AC369" s="1026"/>
    </row>
    <row r="370" spans="1:29" x14ac:dyDescent="0.25">
      <c r="A370" s="847"/>
      <c r="B370" s="1026"/>
      <c r="C370" s="1026"/>
      <c r="D370" s="1026"/>
      <c r="E370" s="1026"/>
      <c r="F370" s="1026"/>
      <c r="G370" s="1026"/>
      <c r="H370" s="1026"/>
      <c r="I370" s="1026"/>
      <c r="J370" s="1026"/>
      <c r="K370" s="1026"/>
      <c r="L370" s="1026"/>
      <c r="M370" s="1026"/>
      <c r="N370" s="1026"/>
      <c r="O370" s="1026"/>
      <c r="P370" s="1026"/>
      <c r="Q370" s="1026"/>
      <c r="R370" s="1026"/>
      <c r="S370" s="1026"/>
      <c r="T370" s="1026"/>
      <c r="U370" s="1026"/>
      <c r="V370" s="1026"/>
      <c r="W370" s="1026"/>
      <c r="X370" s="1026"/>
      <c r="Y370" s="1026"/>
      <c r="Z370" s="1026"/>
      <c r="AA370" s="1026"/>
      <c r="AB370" s="1026"/>
      <c r="AC370" s="1026"/>
    </row>
    <row r="371" spans="1:29" x14ac:dyDescent="0.25">
      <c r="A371" s="847"/>
      <c r="B371" s="1026"/>
      <c r="C371" s="1026"/>
      <c r="D371" s="1026"/>
      <c r="E371" s="1026"/>
      <c r="F371" s="1026"/>
      <c r="G371" s="1026"/>
      <c r="H371" s="1026"/>
      <c r="I371" s="1026"/>
      <c r="J371" s="1026"/>
      <c r="K371" s="1026"/>
      <c r="L371" s="1026"/>
      <c r="M371" s="1026"/>
      <c r="N371" s="1026"/>
      <c r="O371" s="1026"/>
      <c r="P371" s="1026"/>
      <c r="Q371" s="1026"/>
      <c r="R371" s="1026"/>
      <c r="S371" s="1026"/>
      <c r="T371" s="1026"/>
      <c r="U371" s="1026"/>
      <c r="V371" s="1026"/>
      <c r="W371" s="1026"/>
      <c r="X371" s="1026"/>
      <c r="Y371" s="1026"/>
      <c r="Z371" s="1026"/>
      <c r="AA371" s="1026"/>
      <c r="AB371" s="1026"/>
      <c r="AC371" s="1026"/>
    </row>
    <row r="372" spans="1:29" x14ac:dyDescent="0.25">
      <c r="A372" s="847"/>
      <c r="B372" s="1026"/>
      <c r="C372" s="1026"/>
      <c r="D372" s="1026"/>
      <c r="E372" s="1026"/>
      <c r="F372" s="1026"/>
      <c r="G372" s="1026"/>
      <c r="H372" s="1026"/>
      <c r="I372" s="1026"/>
      <c r="J372" s="1026"/>
      <c r="K372" s="1026"/>
      <c r="L372" s="1026"/>
      <c r="M372" s="1026"/>
      <c r="N372" s="1026"/>
      <c r="O372" s="1026"/>
      <c r="P372" s="1026"/>
      <c r="Q372" s="1026"/>
      <c r="R372" s="1026"/>
      <c r="S372" s="1026"/>
      <c r="T372" s="1026"/>
      <c r="U372" s="1026"/>
      <c r="V372" s="1026"/>
      <c r="W372" s="1026"/>
      <c r="X372" s="1026"/>
      <c r="Y372" s="1026"/>
      <c r="Z372" s="1026"/>
      <c r="AA372" s="1026"/>
      <c r="AB372" s="1026"/>
      <c r="AC372" s="1026"/>
    </row>
    <row r="373" spans="1:29" x14ac:dyDescent="0.25">
      <c r="A373" s="847"/>
      <c r="B373" s="1026"/>
      <c r="C373" s="1026"/>
      <c r="D373" s="1026"/>
      <c r="E373" s="1026"/>
      <c r="F373" s="1026"/>
      <c r="G373" s="1026"/>
      <c r="H373" s="1026"/>
      <c r="I373" s="1026"/>
      <c r="J373" s="1026"/>
      <c r="K373" s="1026"/>
      <c r="L373" s="1026"/>
      <c r="M373" s="1026"/>
      <c r="N373" s="1026"/>
      <c r="O373" s="1026"/>
      <c r="P373" s="1026"/>
      <c r="Q373" s="1026"/>
      <c r="R373" s="1026"/>
      <c r="S373" s="1026"/>
      <c r="T373" s="1026"/>
      <c r="U373" s="1026"/>
      <c r="V373" s="1026"/>
      <c r="W373" s="1026"/>
      <c r="X373" s="1026"/>
      <c r="Y373" s="1026"/>
      <c r="Z373" s="1026"/>
      <c r="AA373" s="1026"/>
      <c r="AB373" s="1026"/>
      <c r="AC373" s="1026"/>
    </row>
    <row r="374" spans="1:29" x14ac:dyDescent="0.25">
      <c r="A374" s="847"/>
      <c r="B374" s="1026"/>
      <c r="C374" s="1026"/>
      <c r="D374" s="1026"/>
      <c r="E374" s="1026"/>
      <c r="F374" s="1026"/>
      <c r="G374" s="1026"/>
      <c r="H374" s="1026"/>
      <c r="I374" s="1026"/>
      <c r="J374" s="1026"/>
      <c r="K374" s="1026"/>
      <c r="L374" s="1026"/>
      <c r="M374" s="1026"/>
      <c r="N374" s="1026"/>
      <c r="O374" s="1026"/>
      <c r="P374" s="1026"/>
      <c r="Q374" s="1026"/>
      <c r="R374" s="1026"/>
      <c r="S374" s="1026"/>
      <c r="T374" s="1026"/>
      <c r="U374" s="1026"/>
      <c r="V374" s="1026"/>
      <c r="W374" s="1026"/>
      <c r="X374" s="1026"/>
      <c r="Y374" s="1026"/>
      <c r="Z374" s="1026"/>
      <c r="AA374" s="1026"/>
      <c r="AB374" s="1026"/>
      <c r="AC374" s="1026"/>
    </row>
    <row r="375" spans="1:29" x14ac:dyDescent="0.25">
      <c r="A375" s="847"/>
      <c r="B375" s="1026"/>
      <c r="C375" s="1026"/>
      <c r="D375" s="1026"/>
      <c r="E375" s="1026"/>
      <c r="F375" s="1026"/>
      <c r="G375" s="1026"/>
      <c r="H375" s="1026"/>
      <c r="I375" s="1026"/>
      <c r="J375" s="1026"/>
      <c r="K375" s="1026"/>
      <c r="L375" s="1026"/>
      <c r="M375" s="1026"/>
      <c r="N375" s="1026"/>
      <c r="O375" s="1026"/>
      <c r="P375" s="1026"/>
      <c r="Q375" s="1026"/>
      <c r="R375" s="1026"/>
      <c r="S375" s="1026"/>
      <c r="T375" s="1026"/>
      <c r="U375" s="1026"/>
      <c r="V375" s="1026"/>
      <c r="W375" s="1026"/>
      <c r="X375" s="1026"/>
      <c r="Y375" s="1026"/>
      <c r="Z375" s="1026"/>
      <c r="AA375" s="1026"/>
      <c r="AB375" s="1026"/>
      <c r="AC375" s="1026"/>
    </row>
    <row r="376" spans="1:29" x14ac:dyDescent="0.25">
      <c r="A376" s="847"/>
      <c r="B376" s="1026"/>
      <c r="C376" s="1026"/>
      <c r="D376" s="1026"/>
      <c r="E376" s="1026"/>
      <c r="F376" s="1026"/>
      <c r="G376" s="1026"/>
      <c r="H376" s="1026"/>
      <c r="I376" s="1026"/>
      <c r="J376" s="1026"/>
      <c r="K376" s="1026"/>
      <c r="L376" s="1026"/>
      <c r="M376" s="1026"/>
      <c r="N376" s="1026"/>
      <c r="O376" s="1026"/>
      <c r="P376" s="1026"/>
      <c r="Q376" s="1026"/>
      <c r="R376" s="1026"/>
      <c r="S376" s="1026"/>
      <c r="T376" s="1026"/>
      <c r="U376" s="1026"/>
      <c r="V376" s="1026"/>
      <c r="W376" s="1026"/>
      <c r="X376" s="1026"/>
      <c r="Y376" s="1026"/>
      <c r="Z376" s="1026"/>
      <c r="AA376" s="1026"/>
      <c r="AB376" s="1026"/>
      <c r="AC376" s="1026"/>
    </row>
    <row r="377" spans="1:29" x14ac:dyDescent="0.25">
      <c r="A377" s="847"/>
      <c r="B377" s="1026"/>
      <c r="C377" s="1026"/>
      <c r="D377" s="1026"/>
      <c r="E377" s="1026"/>
      <c r="F377" s="1026"/>
      <c r="G377" s="1026"/>
      <c r="H377" s="1026"/>
      <c r="I377" s="1026"/>
      <c r="J377" s="1026"/>
      <c r="K377" s="1026"/>
      <c r="L377" s="1026"/>
      <c r="M377" s="1026"/>
      <c r="N377" s="1026"/>
      <c r="O377" s="1026"/>
      <c r="P377" s="1026"/>
      <c r="Q377" s="1026"/>
      <c r="R377" s="1026"/>
      <c r="S377" s="1026"/>
      <c r="T377" s="1026"/>
      <c r="U377" s="1026"/>
      <c r="V377" s="1026"/>
      <c r="W377" s="1026"/>
      <c r="X377" s="1026"/>
      <c r="Y377" s="1026"/>
      <c r="Z377" s="1026"/>
      <c r="AA377" s="1026"/>
      <c r="AB377" s="1026"/>
      <c r="AC377" s="1026"/>
    </row>
    <row r="378" spans="1:29" x14ac:dyDescent="0.25">
      <c r="A378" s="847"/>
      <c r="B378" s="1026"/>
      <c r="C378" s="1026"/>
      <c r="D378" s="1026"/>
      <c r="E378" s="1026"/>
      <c r="F378" s="1026"/>
      <c r="G378" s="1026"/>
      <c r="H378" s="1026"/>
      <c r="I378" s="1026"/>
      <c r="J378" s="1026"/>
      <c r="K378" s="1026"/>
      <c r="L378" s="1026"/>
      <c r="M378" s="1026"/>
      <c r="N378" s="1026"/>
      <c r="O378" s="1026"/>
      <c r="P378" s="1026"/>
      <c r="Q378" s="1026"/>
      <c r="R378" s="1026"/>
      <c r="S378" s="1026"/>
      <c r="T378" s="1026"/>
      <c r="U378" s="1026"/>
      <c r="V378" s="1026"/>
      <c r="W378" s="1026"/>
      <c r="X378" s="1026"/>
      <c r="Y378" s="1026"/>
      <c r="Z378" s="1026"/>
      <c r="AA378" s="1026"/>
      <c r="AB378" s="1026"/>
      <c r="AC378" s="1026"/>
    </row>
    <row r="379" spans="1:29" x14ac:dyDescent="0.25">
      <c r="A379" s="847"/>
      <c r="B379" s="1026"/>
      <c r="C379" s="1026"/>
      <c r="D379" s="1026"/>
      <c r="E379" s="1026"/>
      <c r="F379" s="1026"/>
      <c r="G379" s="1026"/>
      <c r="H379" s="1026"/>
      <c r="I379" s="1026"/>
      <c r="J379" s="1026"/>
      <c r="K379" s="1026"/>
      <c r="L379" s="1026"/>
      <c r="M379" s="1026"/>
      <c r="N379" s="1026"/>
      <c r="O379" s="1026"/>
      <c r="P379" s="1026"/>
      <c r="Q379" s="1026"/>
      <c r="R379" s="1026"/>
      <c r="S379" s="1026"/>
      <c r="T379" s="1026"/>
      <c r="U379" s="1026"/>
      <c r="V379" s="1026"/>
      <c r="W379" s="1026"/>
      <c r="X379" s="1026"/>
      <c r="Y379" s="1026"/>
      <c r="Z379" s="1026"/>
      <c r="AA379" s="1026"/>
      <c r="AB379" s="1026"/>
      <c r="AC379" s="1026"/>
    </row>
    <row r="380" spans="1:29" x14ac:dyDescent="0.25">
      <c r="A380" s="847"/>
      <c r="B380" s="1026"/>
      <c r="C380" s="1026"/>
      <c r="D380" s="1026"/>
      <c r="E380" s="1026"/>
      <c r="F380" s="1026"/>
      <c r="G380" s="1026"/>
      <c r="H380" s="1026"/>
      <c r="I380" s="1026"/>
      <c r="J380" s="1026"/>
      <c r="K380" s="1026"/>
      <c r="L380" s="1026"/>
      <c r="M380" s="1026"/>
      <c r="N380" s="1026"/>
      <c r="O380" s="1026"/>
      <c r="P380" s="1026"/>
      <c r="Q380" s="1026"/>
      <c r="R380" s="1026"/>
      <c r="S380" s="1026"/>
      <c r="T380" s="1026"/>
      <c r="U380" s="1026"/>
      <c r="V380" s="1026"/>
      <c r="W380" s="1026"/>
      <c r="X380" s="1026"/>
      <c r="Y380" s="1026"/>
      <c r="Z380" s="1026"/>
      <c r="AA380" s="1026"/>
      <c r="AB380" s="1026"/>
      <c r="AC380" s="1026"/>
    </row>
    <row r="381" spans="1:29" x14ac:dyDescent="0.25">
      <c r="A381" s="847"/>
      <c r="B381" s="1026"/>
      <c r="C381" s="1026"/>
      <c r="D381" s="1026"/>
      <c r="E381" s="1026"/>
      <c r="F381" s="1026"/>
      <c r="G381" s="1026"/>
      <c r="H381" s="1026"/>
      <c r="I381" s="1026"/>
      <c r="J381" s="1026"/>
      <c r="K381" s="1026"/>
      <c r="L381" s="1026"/>
      <c r="M381" s="1026"/>
      <c r="N381" s="1026"/>
      <c r="O381" s="1026"/>
      <c r="P381" s="1026"/>
      <c r="Q381" s="1026"/>
      <c r="R381" s="1026"/>
      <c r="S381" s="1026"/>
      <c r="T381" s="1026"/>
      <c r="U381" s="1026"/>
      <c r="V381" s="1026"/>
      <c r="W381" s="1026"/>
      <c r="X381" s="1026"/>
      <c r="Y381" s="1026"/>
      <c r="Z381" s="1026"/>
      <c r="AA381" s="1026"/>
      <c r="AB381" s="1026"/>
      <c r="AC381" s="1026"/>
    </row>
    <row r="382" spans="1:29" x14ac:dyDescent="0.25">
      <c r="A382" s="847"/>
      <c r="B382" s="1026"/>
      <c r="C382" s="1026"/>
      <c r="D382" s="1026"/>
      <c r="E382" s="1026"/>
      <c r="F382" s="1026"/>
      <c r="G382" s="1026"/>
      <c r="H382" s="1026"/>
      <c r="I382" s="1026"/>
      <c r="J382" s="1026"/>
      <c r="K382" s="1026"/>
      <c r="L382" s="1026"/>
      <c r="M382" s="1026"/>
      <c r="N382" s="1026"/>
      <c r="O382" s="1026"/>
      <c r="P382" s="1026"/>
      <c r="Q382" s="1026"/>
      <c r="R382" s="1026"/>
      <c r="S382" s="1026"/>
      <c r="T382" s="1026"/>
      <c r="U382" s="1026"/>
      <c r="V382" s="1026"/>
      <c r="W382" s="1026"/>
      <c r="X382" s="1026"/>
      <c r="Y382" s="1026"/>
      <c r="Z382" s="1026"/>
      <c r="AA382" s="1026"/>
      <c r="AB382" s="1026"/>
      <c r="AC382" s="1026"/>
    </row>
    <row r="383" spans="1:29" x14ac:dyDescent="0.25">
      <c r="A383" s="847"/>
      <c r="B383" s="1026"/>
      <c r="C383" s="1026"/>
      <c r="D383" s="1026"/>
      <c r="E383" s="1026"/>
      <c r="F383" s="1026"/>
      <c r="G383" s="1026"/>
      <c r="H383" s="1026"/>
      <c r="I383" s="1026"/>
      <c r="J383" s="1026"/>
      <c r="K383" s="1026"/>
      <c r="L383" s="1026"/>
      <c r="M383" s="1026"/>
      <c r="N383" s="1026"/>
      <c r="O383" s="1026"/>
      <c r="P383" s="1026"/>
      <c r="Q383" s="1026"/>
      <c r="R383" s="1026"/>
      <c r="S383" s="1026"/>
      <c r="T383" s="1026"/>
      <c r="U383" s="1026"/>
      <c r="V383" s="1026"/>
      <c r="W383" s="1026"/>
      <c r="X383" s="1026"/>
      <c r="Y383" s="1026"/>
      <c r="Z383" s="1026"/>
      <c r="AA383" s="1026"/>
      <c r="AB383" s="1026"/>
      <c r="AC383" s="1026"/>
    </row>
    <row r="384" spans="1:29" x14ac:dyDescent="0.25">
      <c r="A384" s="847"/>
      <c r="B384" s="1026"/>
      <c r="C384" s="1026"/>
      <c r="D384" s="1026"/>
      <c r="E384" s="1026"/>
      <c r="F384" s="1026"/>
      <c r="G384" s="1026"/>
      <c r="H384" s="1026"/>
      <c r="I384" s="1026"/>
      <c r="J384" s="1026"/>
      <c r="K384" s="1026"/>
      <c r="L384" s="1026"/>
      <c r="M384" s="1026"/>
      <c r="N384" s="1026"/>
      <c r="O384" s="1026"/>
      <c r="P384" s="1026"/>
      <c r="Q384" s="1026"/>
      <c r="R384" s="1026"/>
      <c r="S384" s="1026"/>
      <c r="T384" s="1026"/>
      <c r="U384" s="1026"/>
      <c r="V384" s="1026"/>
      <c r="W384" s="1026"/>
      <c r="X384" s="1026"/>
      <c r="Y384" s="1026"/>
      <c r="Z384" s="1026"/>
      <c r="AA384" s="1026"/>
      <c r="AB384" s="1026"/>
      <c r="AC384" s="1026"/>
    </row>
    <row r="385" spans="1:29" x14ac:dyDescent="0.25">
      <c r="A385" s="847"/>
      <c r="B385" s="1026"/>
      <c r="C385" s="1026"/>
      <c r="D385" s="1026"/>
      <c r="E385" s="1026"/>
      <c r="F385" s="1026"/>
      <c r="G385" s="1026"/>
      <c r="H385" s="1026"/>
      <c r="I385" s="1026"/>
      <c r="J385" s="1026"/>
      <c r="K385" s="1026"/>
      <c r="L385" s="1026"/>
      <c r="M385" s="1026"/>
      <c r="N385" s="1026"/>
      <c r="O385" s="1026"/>
      <c r="P385" s="1026"/>
      <c r="Q385" s="1026"/>
      <c r="R385" s="1026"/>
      <c r="S385" s="1026"/>
      <c r="T385" s="1026"/>
      <c r="U385" s="1026"/>
      <c r="V385" s="1026"/>
      <c r="W385" s="1026"/>
      <c r="X385" s="1026"/>
      <c r="Y385" s="1026"/>
      <c r="Z385" s="1026"/>
      <c r="AA385" s="1026"/>
      <c r="AB385" s="1026"/>
      <c r="AC385" s="1026"/>
    </row>
    <row r="386" spans="1:29" x14ac:dyDescent="0.25">
      <c r="A386" s="847"/>
      <c r="B386" s="1026"/>
      <c r="C386" s="1026"/>
      <c r="D386" s="1026"/>
      <c r="E386" s="1026"/>
      <c r="F386" s="1026"/>
      <c r="G386" s="1026"/>
      <c r="H386" s="1026"/>
      <c r="I386" s="1026"/>
      <c r="J386" s="1026"/>
      <c r="K386" s="1026"/>
      <c r="L386" s="1026"/>
      <c r="M386" s="1026"/>
      <c r="N386" s="1026"/>
      <c r="O386" s="1026"/>
      <c r="P386" s="1026"/>
      <c r="Q386" s="1026"/>
      <c r="R386" s="1026"/>
      <c r="S386" s="1026"/>
      <c r="T386" s="1026"/>
      <c r="U386" s="1026"/>
      <c r="V386" s="1026"/>
      <c r="W386" s="1026"/>
      <c r="X386" s="1026"/>
      <c r="Y386" s="1026"/>
      <c r="Z386" s="1026"/>
      <c r="AA386" s="1026"/>
      <c r="AB386" s="1026"/>
      <c r="AC386" s="1026"/>
    </row>
    <row r="387" spans="1:29" x14ac:dyDescent="0.25">
      <c r="A387" s="847"/>
      <c r="B387" s="1026"/>
      <c r="C387" s="1026"/>
      <c r="D387" s="1026"/>
      <c r="E387" s="1026"/>
      <c r="F387" s="1026"/>
      <c r="G387" s="1026"/>
      <c r="H387" s="1026"/>
      <c r="I387" s="1026"/>
      <c r="J387" s="1026"/>
      <c r="K387" s="1026"/>
      <c r="L387" s="1026"/>
      <c r="M387" s="1026"/>
      <c r="N387" s="1026"/>
      <c r="O387" s="1026"/>
      <c r="P387" s="1026"/>
      <c r="Q387" s="1026"/>
      <c r="R387" s="1026"/>
      <c r="S387" s="1026"/>
      <c r="T387" s="1026"/>
      <c r="U387" s="1026"/>
      <c r="V387" s="1026"/>
      <c r="W387" s="1026"/>
      <c r="X387" s="1026"/>
      <c r="Y387" s="1026"/>
      <c r="Z387" s="1026"/>
      <c r="AA387" s="1026"/>
      <c r="AB387" s="1026"/>
      <c r="AC387" s="1026"/>
    </row>
    <row r="388" spans="1:29" x14ac:dyDescent="0.25">
      <c r="A388" s="847"/>
      <c r="B388" s="1026"/>
      <c r="C388" s="1026"/>
      <c r="D388" s="1026"/>
      <c r="E388" s="1026"/>
      <c r="F388" s="1026"/>
      <c r="G388" s="1026"/>
      <c r="H388" s="1026"/>
      <c r="I388" s="1026"/>
      <c r="J388" s="1026"/>
      <c r="K388" s="1026"/>
      <c r="L388" s="1026"/>
      <c r="M388" s="1026"/>
      <c r="N388" s="1026"/>
      <c r="O388" s="1026"/>
      <c r="P388" s="1026"/>
      <c r="Q388" s="1026"/>
      <c r="R388" s="1026"/>
      <c r="S388" s="1026"/>
      <c r="T388" s="1026"/>
      <c r="U388" s="1026"/>
      <c r="V388" s="1026"/>
      <c r="W388" s="1026"/>
      <c r="X388" s="1026"/>
      <c r="Y388" s="1026"/>
      <c r="Z388" s="1026"/>
      <c r="AA388" s="1026"/>
      <c r="AB388" s="1026"/>
      <c r="AC388" s="1026"/>
    </row>
    <row r="389" spans="1:29" x14ac:dyDescent="0.25">
      <c r="A389" s="847"/>
      <c r="B389" s="1026"/>
      <c r="C389" s="1026"/>
      <c r="D389" s="1026"/>
      <c r="E389" s="1026"/>
      <c r="F389" s="1026"/>
      <c r="G389" s="1026"/>
      <c r="H389" s="1026"/>
      <c r="I389" s="1026"/>
      <c r="J389" s="1026"/>
      <c r="K389" s="1026"/>
      <c r="L389" s="1026"/>
      <c r="M389" s="1026"/>
      <c r="N389" s="1026"/>
      <c r="O389" s="1026"/>
      <c r="P389" s="1026"/>
      <c r="Q389" s="1026"/>
      <c r="R389" s="1026"/>
      <c r="S389" s="1026"/>
      <c r="T389" s="1026"/>
      <c r="U389" s="1026"/>
      <c r="V389" s="1026"/>
      <c r="W389" s="1026"/>
      <c r="X389" s="1026"/>
      <c r="Y389" s="1026"/>
      <c r="Z389" s="1026"/>
      <c r="AA389" s="1026"/>
      <c r="AB389" s="1026"/>
      <c r="AC389" s="1026"/>
    </row>
    <row r="390" spans="1:29" x14ac:dyDescent="0.25">
      <c r="A390" s="847"/>
      <c r="B390" s="1026"/>
      <c r="C390" s="1026"/>
      <c r="D390" s="1026"/>
      <c r="E390" s="1026"/>
      <c r="F390" s="1026"/>
      <c r="G390" s="1026"/>
      <c r="H390" s="1026"/>
      <c r="I390" s="1026"/>
      <c r="J390" s="1026"/>
      <c r="K390" s="1026"/>
      <c r="L390" s="1026"/>
      <c r="M390" s="1026"/>
      <c r="N390" s="1026"/>
      <c r="O390" s="1026"/>
      <c r="P390" s="1026"/>
      <c r="Q390" s="1026"/>
      <c r="R390" s="1026"/>
      <c r="S390" s="1026"/>
      <c r="T390" s="1026"/>
      <c r="U390" s="1026"/>
      <c r="V390" s="1026"/>
      <c r="W390" s="1026"/>
      <c r="X390" s="1026"/>
      <c r="Y390" s="1026"/>
      <c r="Z390" s="1026"/>
      <c r="AA390" s="1026"/>
      <c r="AB390" s="1026"/>
      <c r="AC390" s="1026"/>
    </row>
    <row r="391" spans="1:29" x14ac:dyDescent="0.25">
      <c r="A391" s="847"/>
      <c r="B391" s="1026"/>
      <c r="C391" s="1026"/>
      <c r="D391" s="1026"/>
      <c r="E391" s="1026"/>
      <c r="F391" s="1026"/>
      <c r="G391" s="1026"/>
      <c r="H391" s="1026"/>
      <c r="I391" s="1026"/>
      <c r="J391" s="1026"/>
      <c r="K391" s="1026"/>
      <c r="L391" s="1026"/>
      <c r="M391" s="1026"/>
      <c r="N391" s="1026"/>
      <c r="O391" s="1026"/>
      <c r="P391" s="1026"/>
      <c r="Q391" s="1026"/>
      <c r="R391" s="1026"/>
      <c r="S391" s="1026"/>
      <c r="T391" s="1026"/>
      <c r="U391" s="1026"/>
      <c r="V391" s="1026"/>
      <c r="W391" s="1026"/>
      <c r="X391" s="1026"/>
      <c r="Y391" s="1026"/>
      <c r="Z391" s="1026"/>
      <c r="AA391" s="1026"/>
      <c r="AB391" s="1026"/>
      <c r="AC391" s="1026"/>
    </row>
    <row r="392" spans="1:29" x14ac:dyDescent="0.25">
      <c r="A392" s="847"/>
      <c r="B392" s="1026"/>
      <c r="C392" s="1026"/>
      <c r="D392" s="1026"/>
      <c r="E392" s="1026"/>
      <c r="F392" s="1026"/>
      <c r="G392" s="1026"/>
      <c r="H392" s="1026"/>
      <c r="I392" s="1026"/>
      <c r="J392" s="1026"/>
      <c r="K392" s="1026"/>
      <c r="L392" s="1026"/>
      <c r="M392" s="1026"/>
      <c r="N392" s="1026"/>
      <c r="O392" s="1026"/>
      <c r="P392" s="1026"/>
      <c r="Q392" s="1026"/>
      <c r="R392" s="1026"/>
      <c r="S392" s="1026"/>
      <c r="T392" s="1026"/>
      <c r="U392" s="1026"/>
      <c r="V392" s="1026"/>
      <c r="W392" s="1026"/>
      <c r="X392" s="1026"/>
      <c r="Y392" s="1026"/>
      <c r="Z392" s="1026"/>
      <c r="AA392" s="1026"/>
      <c r="AB392" s="1026"/>
      <c r="AC392" s="1026"/>
    </row>
    <row r="393" spans="1:29" x14ac:dyDescent="0.25">
      <c r="A393" s="847"/>
      <c r="B393" s="1026"/>
      <c r="C393" s="1026"/>
      <c r="D393" s="1026"/>
      <c r="E393" s="1026"/>
      <c r="F393" s="1026"/>
      <c r="G393" s="1026"/>
      <c r="H393" s="1026"/>
      <c r="I393" s="1026"/>
      <c r="J393" s="1026"/>
      <c r="K393" s="1026"/>
      <c r="L393" s="1026"/>
      <c r="M393" s="1026"/>
      <c r="N393" s="1026"/>
      <c r="O393" s="1026"/>
      <c r="P393" s="1026"/>
      <c r="Q393" s="1026"/>
      <c r="R393" s="1026"/>
      <c r="S393" s="1026"/>
      <c r="T393" s="1026"/>
      <c r="U393" s="1026"/>
      <c r="V393" s="1026"/>
      <c r="W393" s="1026"/>
      <c r="X393" s="1026"/>
      <c r="Y393" s="1026"/>
      <c r="Z393" s="1026"/>
      <c r="AA393" s="1026"/>
      <c r="AB393" s="1026"/>
      <c r="AC393" s="1026"/>
    </row>
    <row r="394" spans="1:29" x14ac:dyDescent="0.25">
      <c r="A394" s="847"/>
      <c r="B394" s="1026"/>
      <c r="C394" s="1026"/>
      <c r="D394" s="1026"/>
      <c r="E394" s="1026"/>
      <c r="F394" s="1026"/>
      <c r="G394" s="1026"/>
      <c r="H394" s="1026"/>
      <c r="I394" s="1026"/>
      <c r="J394" s="1026"/>
      <c r="K394" s="1026"/>
      <c r="L394" s="1026"/>
      <c r="M394" s="1026"/>
      <c r="N394" s="1026"/>
      <c r="O394" s="1026"/>
      <c r="P394" s="1026"/>
      <c r="Q394" s="1026"/>
      <c r="R394" s="1026"/>
      <c r="S394" s="1026"/>
      <c r="T394" s="1026"/>
      <c r="U394" s="1026"/>
      <c r="V394" s="1026"/>
      <c r="W394" s="1026"/>
      <c r="X394" s="1026"/>
      <c r="Y394" s="1026"/>
      <c r="Z394" s="1026"/>
      <c r="AA394" s="1026"/>
      <c r="AB394" s="1026"/>
      <c r="AC394" s="1026"/>
    </row>
    <row r="395" spans="1:29" x14ac:dyDescent="0.25">
      <c r="A395" s="847"/>
      <c r="B395" s="1026"/>
      <c r="C395" s="1026"/>
      <c r="D395" s="1026"/>
      <c r="E395" s="1026"/>
      <c r="F395" s="1026"/>
      <c r="G395" s="1026"/>
      <c r="H395" s="1026"/>
      <c r="I395" s="1026"/>
      <c r="J395" s="1026"/>
      <c r="K395" s="1026"/>
      <c r="L395" s="1026"/>
      <c r="M395" s="1026"/>
      <c r="N395" s="1026"/>
      <c r="O395" s="1026"/>
      <c r="P395" s="1026"/>
      <c r="Q395" s="1026"/>
      <c r="R395" s="1026"/>
      <c r="S395" s="1026"/>
      <c r="T395" s="1026"/>
      <c r="U395" s="1026"/>
      <c r="V395" s="1026"/>
      <c r="W395" s="1026"/>
      <c r="X395" s="1026"/>
      <c r="Y395" s="1026"/>
      <c r="Z395" s="1026"/>
      <c r="AA395" s="1026"/>
      <c r="AB395" s="1026"/>
      <c r="AC395" s="1026"/>
    </row>
    <row r="396" spans="1:29" x14ac:dyDescent="0.25">
      <c r="A396" s="847"/>
      <c r="B396" s="1026"/>
      <c r="C396" s="1026"/>
      <c r="D396" s="1026"/>
      <c r="E396" s="1026"/>
      <c r="F396" s="1026"/>
      <c r="G396" s="1026"/>
      <c r="H396" s="1026"/>
      <c r="I396" s="1026"/>
      <c r="J396" s="1026"/>
      <c r="K396" s="1026"/>
      <c r="L396" s="1026"/>
      <c r="M396" s="1026"/>
      <c r="N396" s="1026"/>
      <c r="O396" s="1026"/>
      <c r="P396" s="1026"/>
      <c r="Q396" s="1026"/>
      <c r="R396" s="1026"/>
      <c r="S396" s="1026"/>
      <c r="T396" s="1026"/>
      <c r="U396" s="1026"/>
      <c r="V396" s="1026"/>
      <c r="W396" s="1026"/>
      <c r="X396" s="1026"/>
      <c r="Y396" s="1026"/>
      <c r="Z396" s="1026"/>
      <c r="AA396" s="1026"/>
      <c r="AB396" s="1026"/>
      <c r="AC396" s="1026"/>
    </row>
    <row r="397" spans="1:29" x14ac:dyDescent="0.25">
      <c r="A397" s="847"/>
      <c r="B397" s="1026"/>
      <c r="C397" s="1026"/>
      <c r="D397" s="1026"/>
      <c r="E397" s="1026"/>
      <c r="F397" s="1026"/>
      <c r="G397" s="1026"/>
      <c r="H397" s="1026"/>
      <c r="I397" s="1026"/>
      <c r="J397" s="1026"/>
      <c r="K397" s="1026"/>
      <c r="L397" s="1026"/>
      <c r="M397" s="1026"/>
      <c r="N397" s="1026"/>
      <c r="O397" s="1026"/>
      <c r="P397" s="1026"/>
      <c r="Q397" s="1026"/>
      <c r="R397" s="1026"/>
      <c r="S397" s="1026"/>
      <c r="T397" s="1026"/>
      <c r="U397" s="1026"/>
      <c r="V397" s="1026"/>
      <c r="W397" s="1026"/>
      <c r="X397" s="1026"/>
      <c r="Y397" s="1026"/>
      <c r="Z397" s="1026"/>
      <c r="AA397" s="1026"/>
      <c r="AB397" s="1026"/>
      <c r="AC397" s="1026"/>
    </row>
    <row r="398" spans="1:29" x14ac:dyDescent="0.25">
      <c r="A398" s="847"/>
      <c r="B398" s="1026"/>
      <c r="C398" s="1026"/>
      <c r="D398" s="1026"/>
      <c r="E398" s="1026"/>
      <c r="F398" s="1026"/>
      <c r="G398" s="1026"/>
      <c r="H398" s="1026"/>
      <c r="I398" s="1026"/>
      <c r="J398" s="1026"/>
      <c r="K398" s="1026"/>
      <c r="L398" s="1026"/>
      <c r="M398" s="1026"/>
      <c r="N398" s="1026"/>
      <c r="O398" s="1026"/>
      <c r="P398" s="1026"/>
      <c r="Q398" s="1026"/>
      <c r="R398" s="1026"/>
      <c r="S398" s="1026"/>
      <c r="T398" s="1026"/>
      <c r="U398" s="1026"/>
      <c r="V398" s="1026"/>
      <c r="W398" s="1026"/>
      <c r="X398" s="1026"/>
      <c r="Y398" s="1026"/>
      <c r="Z398" s="1026"/>
      <c r="AA398" s="1026"/>
      <c r="AB398" s="1026"/>
      <c r="AC398" s="1026"/>
    </row>
    <row r="399" spans="1:29" x14ac:dyDescent="0.25">
      <c r="A399" s="847"/>
      <c r="B399" s="1026"/>
      <c r="C399" s="1026"/>
      <c r="D399" s="1026"/>
      <c r="E399" s="1026"/>
      <c r="F399" s="1026"/>
      <c r="G399" s="1026"/>
      <c r="H399" s="1026"/>
      <c r="I399" s="1026"/>
      <c r="J399" s="1026"/>
      <c r="K399" s="1026"/>
      <c r="L399" s="1026"/>
      <c r="M399" s="1026"/>
      <c r="N399" s="1026"/>
      <c r="O399" s="1026"/>
      <c r="P399" s="1026"/>
      <c r="Q399" s="1026"/>
      <c r="R399" s="1026"/>
      <c r="S399" s="1026"/>
      <c r="T399" s="1026"/>
      <c r="U399" s="1026"/>
      <c r="V399" s="1026"/>
      <c r="W399" s="1026"/>
      <c r="X399" s="1026"/>
      <c r="Y399" s="1026"/>
      <c r="Z399" s="1026"/>
      <c r="AA399" s="1026"/>
      <c r="AB399" s="1026"/>
      <c r="AC399" s="1026"/>
    </row>
    <row r="400" spans="1:29" x14ac:dyDescent="0.25">
      <c r="A400" s="847"/>
      <c r="B400" s="1026"/>
      <c r="C400" s="1026"/>
      <c r="D400" s="1026"/>
      <c r="E400" s="1026"/>
      <c r="F400" s="1026"/>
      <c r="G400" s="1026"/>
      <c r="H400" s="1026"/>
      <c r="I400" s="1026"/>
      <c r="J400" s="1026"/>
      <c r="K400" s="1026"/>
      <c r="L400" s="1026"/>
      <c r="M400" s="1026"/>
      <c r="N400" s="1026"/>
      <c r="O400" s="1026"/>
      <c r="P400" s="1026"/>
      <c r="Q400" s="1026"/>
      <c r="R400" s="1026"/>
      <c r="S400" s="1026"/>
      <c r="T400" s="1026"/>
      <c r="U400" s="1026"/>
      <c r="V400" s="1026"/>
      <c r="W400" s="1026"/>
      <c r="X400" s="1026"/>
      <c r="Y400" s="1026"/>
      <c r="Z400" s="1026"/>
      <c r="AA400" s="1026"/>
      <c r="AB400" s="1026"/>
      <c r="AC400" s="1026"/>
    </row>
    <row r="401" spans="1:29" x14ac:dyDescent="0.25">
      <c r="A401" s="847"/>
      <c r="B401" s="1026"/>
      <c r="C401" s="1026"/>
      <c r="D401" s="1026"/>
      <c r="E401" s="1026"/>
      <c r="F401" s="1026"/>
      <c r="G401" s="1026"/>
      <c r="H401" s="1026"/>
      <c r="I401" s="1026"/>
      <c r="J401" s="1026"/>
      <c r="K401" s="1026"/>
      <c r="L401" s="1026"/>
      <c r="M401" s="1026"/>
      <c r="N401" s="1026"/>
      <c r="O401" s="1026"/>
      <c r="P401" s="1026"/>
      <c r="Q401" s="1026"/>
      <c r="R401" s="1026"/>
      <c r="S401" s="1026"/>
      <c r="T401" s="1026"/>
      <c r="U401" s="1026"/>
      <c r="V401" s="1026"/>
      <c r="W401" s="1026"/>
      <c r="X401" s="1026"/>
      <c r="Y401" s="1026"/>
      <c r="Z401" s="1026"/>
      <c r="AA401" s="1026"/>
      <c r="AB401" s="1026"/>
      <c r="AC401" s="1026"/>
    </row>
    <row r="402" spans="1:29" x14ac:dyDescent="0.25">
      <c r="A402" s="847"/>
      <c r="B402" s="1026"/>
      <c r="C402" s="1026"/>
      <c r="D402" s="1026"/>
      <c r="E402" s="1026"/>
      <c r="F402" s="1026"/>
      <c r="G402" s="1026"/>
      <c r="H402" s="1026"/>
      <c r="I402" s="1026"/>
      <c r="J402" s="1026"/>
      <c r="K402" s="1026"/>
      <c r="L402" s="1026"/>
      <c r="M402" s="1026"/>
      <c r="N402" s="1026"/>
      <c r="O402" s="1026"/>
      <c r="P402" s="1026"/>
      <c r="Q402" s="1026"/>
      <c r="R402" s="1026"/>
      <c r="S402" s="1026"/>
      <c r="T402" s="1026"/>
      <c r="U402" s="1026"/>
      <c r="V402" s="1026"/>
      <c r="W402" s="1026"/>
      <c r="X402" s="1026"/>
      <c r="Y402" s="1026"/>
      <c r="Z402" s="1026"/>
      <c r="AA402" s="1026"/>
      <c r="AB402" s="1026"/>
      <c r="AC402" s="1026"/>
    </row>
    <row r="403" spans="1:29" x14ac:dyDescent="0.25">
      <c r="A403" s="847"/>
      <c r="B403" s="1026"/>
      <c r="C403" s="1026"/>
      <c r="D403" s="1026"/>
      <c r="E403" s="1026"/>
      <c r="F403" s="1026"/>
      <c r="G403" s="1026"/>
      <c r="H403" s="1026"/>
      <c r="I403" s="1026"/>
      <c r="J403" s="1026"/>
      <c r="K403" s="1026"/>
      <c r="L403" s="1026"/>
      <c r="M403" s="1026"/>
      <c r="N403" s="1026"/>
      <c r="O403" s="1026"/>
      <c r="P403" s="1026"/>
      <c r="Q403" s="1026"/>
      <c r="R403" s="1026"/>
      <c r="S403" s="1026"/>
      <c r="T403" s="1026"/>
      <c r="U403" s="1026"/>
      <c r="V403" s="1026"/>
      <c r="W403" s="1026"/>
      <c r="X403" s="1026"/>
      <c r="Y403" s="1026"/>
      <c r="Z403" s="1026"/>
      <c r="AA403" s="1026"/>
      <c r="AB403" s="1026"/>
      <c r="AC403" s="1026"/>
    </row>
    <row r="404" spans="1:29" x14ac:dyDescent="0.25">
      <c r="A404" s="847"/>
      <c r="B404" s="1026"/>
      <c r="C404" s="1026"/>
      <c r="D404" s="1026"/>
      <c r="E404" s="1026"/>
      <c r="F404" s="1026"/>
      <c r="G404" s="1026"/>
      <c r="H404" s="1026"/>
      <c r="I404" s="1026"/>
      <c r="J404" s="1026"/>
      <c r="K404" s="1026"/>
      <c r="L404" s="1026"/>
      <c r="M404" s="1026"/>
      <c r="N404" s="1026"/>
      <c r="O404" s="1026"/>
      <c r="P404" s="1026"/>
      <c r="Q404" s="1026"/>
      <c r="R404" s="1026"/>
      <c r="S404" s="1026"/>
      <c r="T404" s="1026"/>
      <c r="U404" s="1026"/>
      <c r="V404" s="1026"/>
      <c r="W404" s="1026"/>
      <c r="X404" s="1026"/>
      <c r="Y404" s="1026"/>
      <c r="Z404" s="1026"/>
      <c r="AA404" s="1026"/>
      <c r="AB404" s="1026"/>
      <c r="AC404" s="1026"/>
    </row>
    <row r="405" spans="1:29" x14ac:dyDescent="0.25">
      <c r="A405" s="847"/>
      <c r="B405" s="1026"/>
      <c r="C405" s="1026"/>
      <c r="D405" s="1026"/>
      <c r="E405" s="1026"/>
      <c r="F405" s="1026"/>
      <c r="G405" s="1026"/>
      <c r="H405" s="1026"/>
      <c r="I405" s="1026"/>
      <c r="J405" s="1026"/>
      <c r="K405" s="1026"/>
      <c r="L405" s="1026"/>
      <c r="M405" s="1026"/>
      <c r="N405" s="1026"/>
      <c r="O405" s="1026"/>
      <c r="P405" s="1026"/>
      <c r="Q405" s="1026"/>
      <c r="R405" s="1026"/>
      <c r="S405" s="1026"/>
      <c r="T405" s="1026"/>
      <c r="U405" s="1026"/>
      <c r="V405" s="1026"/>
      <c r="W405" s="1026"/>
      <c r="X405" s="1026"/>
      <c r="Y405" s="1026"/>
      <c r="Z405" s="1026"/>
      <c r="AA405" s="1026"/>
      <c r="AB405" s="1026"/>
      <c r="AC405" s="1026"/>
    </row>
    <row r="406" spans="1:29" x14ac:dyDescent="0.25">
      <c r="A406" s="847"/>
      <c r="B406" s="1026"/>
      <c r="C406" s="1026"/>
      <c r="D406" s="1026"/>
      <c r="E406" s="1026"/>
      <c r="F406" s="1026"/>
      <c r="G406" s="1026"/>
      <c r="H406" s="1026"/>
      <c r="I406" s="1026"/>
      <c r="J406" s="1026"/>
      <c r="K406" s="1026"/>
      <c r="L406" s="1026"/>
      <c r="M406" s="1026"/>
      <c r="N406" s="1026"/>
      <c r="O406" s="1026"/>
      <c r="P406" s="1026"/>
      <c r="Q406" s="1026"/>
      <c r="R406" s="1026"/>
      <c r="S406" s="1026"/>
      <c r="T406" s="1026"/>
      <c r="U406" s="1026"/>
      <c r="V406" s="1026"/>
      <c r="W406" s="1026"/>
      <c r="X406" s="1026"/>
      <c r="Y406" s="1026"/>
      <c r="Z406" s="1026"/>
      <c r="AA406" s="1026"/>
      <c r="AB406" s="1026"/>
      <c r="AC406" s="1026"/>
    </row>
    <row r="407" spans="1:29" x14ac:dyDescent="0.25">
      <c r="A407" s="847"/>
      <c r="B407" s="1026"/>
      <c r="C407" s="1026"/>
      <c r="D407" s="1026"/>
      <c r="E407" s="1026"/>
      <c r="F407" s="1026"/>
      <c r="G407" s="1026"/>
      <c r="H407" s="1026"/>
      <c r="I407" s="1026"/>
      <c r="J407" s="1026"/>
      <c r="K407" s="1026"/>
      <c r="L407" s="1026"/>
      <c r="M407" s="1026"/>
      <c r="N407" s="1026"/>
      <c r="O407" s="1026"/>
      <c r="P407" s="1026"/>
      <c r="Q407" s="1026"/>
      <c r="R407" s="1026"/>
      <c r="S407" s="1026"/>
      <c r="T407" s="1026"/>
      <c r="U407" s="1026"/>
      <c r="V407" s="1026"/>
      <c r="W407" s="1026"/>
      <c r="X407" s="1026"/>
      <c r="Y407" s="1026"/>
      <c r="Z407" s="1026"/>
      <c r="AA407" s="1026"/>
      <c r="AB407" s="1026"/>
      <c r="AC407" s="1026"/>
    </row>
    <row r="408" spans="1:29" x14ac:dyDescent="0.25">
      <c r="A408" s="847"/>
      <c r="B408" s="1026"/>
      <c r="C408" s="1026"/>
      <c r="D408" s="1026"/>
      <c r="E408" s="1026"/>
      <c r="F408" s="1026"/>
      <c r="G408" s="1026"/>
      <c r="H408" s="1026"/>
      <c r="I408" s="1026"/>
      <c r="J408" s="1026"/>
      <c r="K408" s="1026"/>
      <c r="L408" s="1026"/>
      <c r="M408" s="1026"/>
      <c r="N408" s="1026"/>
      <c r="O408" s="1026"/>
      <c r="P408" s="1026"/>
      <c r="Q408" s="1026"/>
      <c r="R408" s="1026"/>
      <c r="S408" s="1026"/>
      <c r="T408" s="1026"/>
      <c r="U408" s="1026"/>
      <c r="V408" s="1026"/>
      <c r="W408" s="1026"/>
      <c r="X408" s="1026"/>
      <c r="Y408" s="1026"/>
      <c r="Z408" s="1026"/>
      <c r="AA408" s="1026"/>
      <c r="AB408" s="1026"/>
      <c r="AC408" s="1026"/>
    </row>
    <row r="409" spans="1:29" x14ac:dyDescent="0.25">
      <c r="A409" s="847"/>
      <c r="B409" s="1026"/>
      <c r="C409" s="1026"/>
      <c r="D409" s="1026"/>
      <c r="E409" s="1026"/>
      <c r="F409" s="1026"/>
      <c r="G409" s="1026"/>
      <c r="H409" s="1026"/>
      <c r="I409" s="1026"/>
      <c r="J409" s="1026"/>
      <c r="K409" s="1026"/>
      <c r="L409" s="1026"/>
      <c r="M409" s="1026"/>
      <c r="N409" s="1026"/>
      <c r="O409" s="1026"/>
      <c r="P409" s="1026"/>
      <c r="Q409" s="1026"/>
      <c r="R409" s="1026"/>
      <c r="S409" s="1026"/>
      <c r="T409" s="1026"/>
      <c r="U409" s="1026"/>
      <c r="V409" s="1026"/>
      <c r="W409" s="1026"/>
      <c r="X409" s="1026"/>
      <c r="Y409" s="1026"/>
      <c r="Z409" s="1026"/>
      <c r="AA409" s="1026"/>
      <c r="AB409" s="1026"/>
      <c r="AC409" s="1026"/>
    </row>
    <row r="410" spans="1:29" x14ac:dyDescent="0.25">
      <c r="A410" s="847"/>
      <c r="B410" s="1026"/>
      <c r="C410" s="1026"/>
      <c r="D410" s="1026"/>
      <c r="E410" s="1026"/>
      <c r="F410" s="1026"/>
      <c r="G410" s="1026"/>
      <c r="H410" s="1026"/>
      <c r="I410" s="1026"/>
      <c r="J410" s="1026"/>
      <c r="K410" s="1026"/>
      <c r="L410" s="1026"/>
      <c r="M410" s="1026"/>
      <c r="N410" s="1026"/>
      <c r="O410" s="1026"/>
      <c r="P410" s="1026"/>
      <c r="Q410" s="1026"/>
      <c r="R410" s="1026"/>
      <c r="S410" s="1026"/>
      <c r="T410" s="1026"/>
      <c r="U410" s="1026"/>
      <c r="V410" s="1026"/>
      <c r="W410" s="1026"/>
      <c r="X410" s="1026"/>
      <c r="Y410" s="1026"/>
      <c r="Z410" s="1026"/>
      <c r="AA410" s="1026"/>
      <c r="AB410" s="1026"/>
      <c r="AC410" s="1026"/>
    </row>
    <row r="411" spans="1:29" x14ac:dyDescent="0.25">
      <c r="A411" s="847"/>
      <c r="B411" s="1026"/>
      <c r="C411" s="1026"/>
      <c r="D411" s="1026"/>
      <c r="E411" s="1026"/>
      <c r="F411" s="1026"/>
      <c r="G411" s="1026"/>
      <c r="H411" s="1026"/>
      <c r="I411" s="1026"/>
      <c r="J411" s="1026"/>
      <c r="K411" s="1026"/>
      <c r="L411" s="1026"/>
      <c r="M411" s="1026"/>
      <c r="N411" s="1026"/>
      <c r="O411" s="1026"/>
      <c r="P411" s="1026"/>
      <c r="Q411" s="1026"/>
      <c r="R411" s="1026"/>
      <c r="S411" s="1026"/>
      <c r="T411" s="1026"/>
      <c r="U411" s="1026"/>
      <c r="V411" s="1026"/>
      <c r="W411" s="1026"/>
      <c r="X411" s="1026"/>
      <c r="Y411" s="1026"/>
      <c r="Z411" s="1026"/>
      <c r="AA411" s="1026"/>
      <c r="AB411" s="1026"/>
      <c r="AC411" s="1026"/>
    </row>
    <row r="412" spans="1:29" x14ac:dyDescent="0.25">
      <c r="A412" s="847"/>
      <c r="B412" s="1026"/>
      <c r="C412" s="1026"/>
      <c r="D412" s="1026"/>
      <c r="E412" s="1026"/>
      <c r="F412" s="1026"/>
      <c r="G412" s="1026"/>
      <c r="H412" s="1026"/>
      <c r="I412" s="1026"/>
      <c r="J412" s="1026"/>
      <c r="K412" s="1026"/>
      <c r="L412" s="1026"/>
      <c r="M412" s="1026"/>
      <c r="N412" s="1026"/>
      <c r="O412" s="1026"/>
      <c r="P412" s="1026"/>
      <c r="Q412" s="1026"/>
      <c r="R412" s="1026"/>
      <c r="S412" s="1026"/>
      <c r="T412" s="1026"/>
      <c r="U412" s="1026"/>
      <c r="V412" s="1026"/>
      <c r="W412" s="1026"/>
      <c r="X412" s="1026"/>
      <c r="Y412" s="1026"/>
      <c r="Z412" s="1026"/>
      <c r="AA412" s="1026"/>
      <c r="AB412" s="1026"/>
      <c r="AC412" s="1026"/>
    </row>
    <row r="413" spans="1:29" x14ac:dyDescent="0.25">
      <c r="A413" s="847"/>
      <c r="B413" s="1026"/>
      <c r="C413" s="1026"/>
      <c r="D413" s="1026"/>
      <c r="E413" s="1026"/>
      <c r="F413" s="1026"/>
      <c r="G413" s="1026"/>
      <c r="H413" s="1026"/>
      <c r="I413" s="1026"/>
      <c r="J413" s="1026"/>
      <c r="K413" s="1026"/>
      <c r="L413" s="1026"/>
      <c r="M413" s="1026"/>
      <c r="N413" s="1026"/>
      <c r="O413" s="1026"/>
      <c r="P413" s="1026"/>
      <c r="Q413" s="1026"/>
      <c r="R413" s="1026"/>
      <c r="S413" s="1026"/>
      <c r="T413" s="1026"/>
      <c r="U413" s="1026"/>
      <c r="V413" s="1026"/>
      <c r="W413" s="1026"/>
      <c r="X413" s="1026"/>
      <c r="Y413" s="1026"/>
      <c r="Z413" s="1026"/>
      <c r="AA413" s="1026"/>
      <c r="AB413" s="1026"/>
      <c r="AC413" s="1026"/>
    </row>
    <row r="414" spans="1:29" x14ac:dyDescent="0.25">
      <c r="A414" s="847"/>
      <c r="B414" s="1026"/>
      <c r="C414" s="1026"/>
      <c r="D414" s="1026"/>
      <c r="E414" s="1026"/>
      <c r="F414" s="1026"/>
      <c r="G414" s="1026"/>
      <c r="H414" s="1026"/>
      <c r="I414" s="1026"/>
      <c r="J414" s="1026"/>
      <c r="K414" s="1026"/>
      <c r="L414" s="1026"/>
      <c r="M414" s="1026"/>
      <c r="N414" s="1026"/>
      <c r="O414" s="1026"/>
      <c r="P414" s="1026"/>
      <c r="Q414" s="1026"/>
      <c r="R414" s="1026"/>
      <c r="S414" s="1026"/>
      <c r="T414" s="1026"/>
      <c r="U414" s="1026"/>
      <c r="V414" s="1026"/>
      <c r="W414" s="1026"/>
      <c r="X414" s="1026"/>
      <c r="Y414" s="1026"/>
      <c r="Z414" s="1026"/>
      <c r="AA414" s="1026"/>
      <c r="AB414" s="1026"/>
      <c r="AC414" s="1026"/>
    </row>
    <row r="415" spans="1:29" x14ac:dyDescent="0.25">
      <c r="A415" s="847"/>
      <c r="B415" s="1026"/>
      <c r="C415" s="1026"/>
      <c r="D415" s="1026"/>
      <c r="E415" s="1026"/>
      <c r="F415" s="1026"/>
      <c r="G415" s="1026"/>
      <c r="H415" s="1026"/>
      <c r="I415" s="1026"/>
      <c r="J415" s="1026"/>
      <c r="K415" s="1026"/>
      <c r="L415" s="1026"/>
      <c r="M415" s="1026"/>
      <c r="N415" s="1026"/>
      <c r="O415" s="1026"/>
      <c r="P415" s="1026"/>
      <c r="Q415" s="1026"/>
      <c r="R415" s="1026"/>
      <c r="S415" s="1026"/>
      <c r="T415" s="1026"/>
      <c r="U415" s="1026"/>
      <c r="V415" s="1026"/>
      <c r="W415" s="1026"/>
      <c r="X415" s="1026"/>
      <c r="Y415" s="1026"/>
      <c r="Z415" s="1026"/>
      <c r="AA415" s="1026"/>
      <c r="AB415" s="1026"/>
      <c r="AC415" s="1026"/>
    </row>
    <row r="416" spans="1:29" x14ac:dyDescent="0.25">
      <c r="A416" s="847"/>
      <c r="B416" s="1026"/>
      <c r="C416" s="1026"/>
      <c r="D416" s="1026"/>
      <c r="E416" s="1026"/>
      <c r="F416" s="1026"/>
      <c r="G416" s="1026"/>
      <c r="H416" s="1026"/>
      <c r="I416" s="1026"/>
      <c r="J416" s="1026"/>
      <c r="K416" s="1026"/>
      <c r="L416" s="1026"/>
      <c r="M416" s="1026"/>
      <c r="N416" s="1026"/>
      <c r="O416" s="1026"/>
      <c r="P416" s="1026"/>
      <c r="Q416" s="1026"/>
      <c r="R416" s="1026"/>
      <c r="S416" s="1026"/>
      <c r="T416" s="1026"/>
      <c r="U416" s="1026"/>
      <c r="V416" s="1026"/>
      <c r="W416" s="1026"/>
      <c r="X416" s="1026"/>
      <c r="Y416" s="1026"/>
      <c r="Z416" s="1026"/>
      <c r="AA416" s="1026"/>
      <c r="AB416" s="1026"/>
      <c r="AC416" s="1026"/>
    </row>
    <row r="417" spans="1:29" x14ac:dyDescent="0.25">
      <c r="A417" s="847"/>
      <c r="B417" s="1026"/>
      <c r="C417" s="1026"/>
      <c r="D417" s="1026"/>
      <c r="E417" s="1026"/>
      <c r="F417" s="1026"/>
      <c r="G417" s="1026"/>
      <c r="H417" s="1026"/>
      <c r="I417" s="1026"/>
      <c r="J417" s="1026"/>
      <c r="K417" s="1026"/>
      <c r="L417" s="1026"/>
      <c r="M417" s="1026"/>
      <c r="N417" s="1026"/>
      <c r="O417" s="1026"/>
      <c r="P417" s="1026"/>
      <c r="Q417" s="1026"/>
      <c r="R417" s="1026"/>
      <c r="S417" s="1026"/>
      <c r="T417" s="1026"/>
      <c r="U417" s="1026"/>
      <c r="V417" s="1026"/>
      <c r="W417" s="1026"/>
      <c r="X417" s="1026"/>
      <c r="Y417" s="1026"/>
      <c r="Z417" s="1026"/>
      <c r="AA417" s="1026"/>
      <c r="AB417" s="1026"/>
      <c r="AC417" s="1026"/>
    </row>
    <row r="418" spans="1:29" x14ac:dyDescent="0.25">
      <c r="A418" s="847"/>
      <c r="B418" s="1026"/>
      <c r="C418" s="1026"/>
      <c r="D418" s="1026"/>
      <c r="E418" s="1026"/>
      <c r="F418" s="1026"/>
      <c r="G418" s="1026"/>
      <c r="H418" s="1026"/>
      <c r="I418" s="1026"/>
      <c r="J418" s="1026"/>
      <c r="K418" s="1026"/>
      <c r="L418" s="1026"/>
      <c r="M418" s="1026"/>
      <c r="N418" s="1026"/>
      <c r="O418" s="1026"/>
      <c r="P418" s="1026"/>
      <c r="Q418" s="1026"/>
      <c r="R418" s="1026"/>
      <c r="S418" s="1026"/>
      <c r="T418" s="1026"/>
      <c r="U418" s="1026"/>
      <c r="V418" s="1026"/>
      <c r="W418" s="1026"/>
      <c r="X418" s="1026"/>
      <c r="Y418" s="1026"/>
      <c r="Z418" s="1026"/>
      <c r="AA418" s="1026"/>
      <c r="AB418" s="1026"/>
      <c r="AC418" s="1026"/>
    </row>
    <row r="419" spans="1:29" x14ac:dyDescent="0.25">
      <c r="A419" s="847"/>
      <c r="B419" s="1026"/>
      <c r="C419" s="1026"/>
      <c r="D419" s="1026"/>
      <c r="E419" s="1026"/>
      <c r="F419" s="1026"/>
      <c r="G419" s="1026"/>
      <c r="H419" s="1026"/>
      <c r="I419" s="1026"/>
      <c r="J419" s="1026"/>
      <c r="K419" s="1026"/>
      <c r="L419" s="1026"/>
      <c r="M419" s="1026"/>
      <c r="N419" s="1026"/>
      <c r="O419" s="1026"/>
      <c r="P419" s="1026"/>
      <c r="Q419" s="1026"/>
      <c r="R419" s="1026"/>
      <c r="S419" s="1026"/>
      <c r="T419" s="1026"/>
      <c r="U419" s="1026"/>
      <c r="V419" s="1026"/>
      <c r="W419" s="1026"/>
      <c r="X419" s="1026"/>
      <c r="Y419" s="1026"/>
      <c r="Z419" s="1026"/>
      <c r="AA419" s="1026"/>
      <c r="AB419" s="1026"/>
      <c r="AC419" s="1026"/>
    </row>
    <row r="420" spans="1:29" x14ac:dyDescent="0.25">
      <c r="A420" s="847"/>
      <c r="B420" s="1026"/>
      <c r="C420" s="1026"/>
      <c r="D420" s="1026"/>
      <c r="E420" s="1026"/>
      <c r="F420" s="1026"/>
      <c r="G420" s="1026"/>
      <c r="H420" s="1026"/>
      <c r="I420" s="1026"/>
      <c r="J420" s="1026"/>
      <c r="K420" s="1026"/>
      <c r="L420" s="1026"/>
      <c r="M420" s="1026"/>
      <c r="N420" s="1026"/>
      <c r="O420" s="1026"/>
      <c r="P420" s="1026"/>
      <c r="Q420" s="1026"/>
      <c r="R420" s="1026"/>
      <c r="S420" s="1026"/>
      <c r="T420" s="1026"/>
      <c r="U420" s="1026"/>
      <c r="V420" s="1026"/>
      <c r="W420" s="1026"/>
      <c r="X420" s="1026"/>
      <c r="Y420" s="1026"/>
      <c r="Z420" s="1026"/>
      <c r="AA420" s="1026"/>
      <c r="AB420" s="1026"/>
      <c r="AC420" s="1026"/>
    </row>
    <row r="421" spans="1:29" x14ac:dyDescent="0.25">
      <c r="A421" s="847"/>
      <c r="B421" s="1026"/>
      <c r="C421" s="1026"/>
      <c r="D421" s="1026"/>
      <c r="E421" s="1026"/>
      <c r="F421" s="1026"/>
      <c r="G421" s="1026"/>
      <c r="H421" s="1026"/>
      <c r="I421" s="1026"/>
      <c r="J421" s="1026"/>
      <c r="K421" s="1026"/>
      <c r="L421" s="1026"/>
      <c r="M421" s="1026"/>
      <c r="N421" s="1026"/>
      <c r="O421" s="1026"/>
      <c r="P421" s="1026"/>
      <c r="Q421" s="1026"/>
      <c r="R421" s="1026"/>
      <c r="S421" s="1026"/>
      <c r="T421" s="1026"/>
      <c r="U421" s="1026"/>
      <c r="V421" s="1026"/>
      <c r="W421" s="1026"/>
      <c r="X421" s="1026"/>
      <c r="Y421" s="1026"/>
      <c r="Z421" s="1026"/>
      <c r="AA421" s="1026"/>
      <c r="AB421" s="1026"/>
      <c r="AC421" s="1026"/>
    </row>
    <row r="422" spans="1:29" x14ac:dyDescent="0.25">
      <c r="A422" s="847"/>
      <c r="B422" s="1026"/>
      <c r="C422" s="1026"/>
      <c r="D422" s="1026"/>
      <c r="E422" s="1026"/>
      <c r="F422" s="1026"/>
      <c r="G422" s="1026"/>
      <c r="H422" s="1026"/>
      <c r="I422" s="1026"/>
      <c r="J422" s="1026"/>
      <c r="K422" s="1026"/>
      <c r="L422" s="1026"/>
      <c r="M422" s="1026"/>
      <c r="N422" s="1026"/>
      <c r="O422" s="1026"/>
      <c r="P422" s="1026"/>
      <c r="Q422" s="1026"/>
      <c r="R422" s="1026"/>
      <c r="S422" s="1026"/>
      <c r="T422" s="1026"/>
      <c r="U422" s="1026"/>
      <c r="V422" s="1026"/>
      <c r="W422" s="1026"/>
      <c r="X422" s="1026"/>
      <c r="Y422" s="1026"/>
      <c r="Z422" s="1026"/>
      <c r="AA422" s="1026"/>
      <c r="AB422" s="1026"/>
      <c r="AC422" s="1026"/>
    </row>
    <row r="423" spans="1:29" x14ac:dyDescent="0.25">
      <c r="A423" s="847"/>
      <c r="B423" s="1026"/>
      <c r="C423" s="1026"/>
      <c r="D423" s="1026"/>
      <c r="E423" s="1026"/>
      <c r="F423" s="1026"/>
      <c r="G423" s="1026"/>
      <c r="H423" s="1026"/>
      <c r="I423" s="1026"/>
      <c r="J423" s="1026"/>
      <c r="K423" s="1026"/>
      <c r="L423" s="1026"/>
      <c r="M423" s="1026"/>
      <c r="N423" s="1026"/>
      <c r="O423" s="1026"/>
      <c r="P423" s="1026"/>
      <c r="Q423" s="1026"/>
      <c r="R423" s="1026"/>
      <c r="S423" s="1026"/>
      <c r="T423" s="1026"/>
      <c r="U423" s="1026"/>
      <c r="V423" s="1026"/>
      <c r="W423" s="1026"/>
      <c r="X423" s="1026"/>
      <c r="Y423" s="1026"/>
      <c r="Z423" s="1026"/>
      <c r="AA423" s="1026"/>
      <c r="AB423" s="1026"/>
      <c r="AC423" s="1026"/>
    </row>
    <row r="424" spans="1:29" x14ac:dyDescent="0.25">
      <c r="A424" s="847"/>
      <c r="B424" s="1026"/>
      <c r="C424" s="1026"/>
      <c r="D424" s="1026"/>
      <c r="E424" s="1026"/>
      <c r="F424" s="1026"/>
      <c r="G424" s="1026"/>
      <c r="H424" s="1026"/>
      <c r="I424" s="1026"/>
      <c r="J424" s="1026"/>
      <c r="K424" s="1026"/>
      <c r="L424" s="1026"/>
      <c r="M424" s="1026"/>
      <c r="N424" s="1026"/>
      <c r="O424" s="1026"/>
      <c r="P424" s="1026"/>
      <c r="Q424" s="1026"/>
      <c r="R424" s="1026"/>
      <c r="S424" s="1026"/>
      <c r="T424" s="1026"/>
      <c r="U424" s="1026"/>
      <c r="V424" s="1026"/>
      <c r="W424" s="1026"/>
      <c r="X424" s="1026"/>
      <c r="Y424" s="1026"/>
      <c r="Z424" s="1026"/>
      <c r="AA424" s="1026"/>
      <c r="AB424" s="1026"/>
      <c r="AC424" s="1026"/>
    </row>
    <row r="425" spans="1:29" x14ac:dyDescent="0.25">
      <c r="A425" s="847"/>
      <c r="B425" s="1026"/>
      <c r="C425" s="1026"/>
      <c r="D425" s="1026"/>
      <c r="E425" s="1026"/>
      <c r="F425" s="1026"/>
      <c r="G425" s="1026"/>
      <c r="H425" s="1026"/>
      <c r="I425" s="1026"/>
      <c r="J425" s="1026"/>
      <c r="K425" s="1026"/>
      <c r="L425" s="1026"/>
      <c r="M425" s="1026"/>
      <c r="N425" s="1026"/>
      <c r="O425" s="1026"/>
      <c r="P425" s="1026"/>
      <c r="Q425" s="1026"/>
      <c r="R425" s="1026"/>
      <c r="S425" s="1026"/>
      <c r="T425" s="1026"/>
      <c r="U425" s="1026"/>
      <c r="V425" s="1026"/>
      <c r="W425" s="1026"/>
      <c r="X425" s="1026"/>
      <c r="Y425" s="1026"/>
      <c r="Z425" s="1026"/>
      <c r="AA425" s="1026"/>
      <c r="AB425" s="1026"/>
      <c r="AC425" s="1026"/>
    </row>
    <row r="426" spans="1:29" x14ac:dyDescent="0.25">
      <c r="A426" s="847"/>
      <c r="B426" s="1026"/>
      <c r="C426" s="1026"/>
      <c r="D426" s="1026"/>
      <c r="E426" s="1026"/>
      <c r="F426" s="1026"/>
      <c r="G426" s="1026"/>
      <c r="H426" s="1026"/>
      <c r="I426" s="1026"/>
      <c r="J426" s="1026"/>
      <c r="K426" s="1026"/>
      <c r="L426" s="1026"/>
      <c r="M426" s="1026"/>
      <c r="N426" s="1026"/>
      <c r="O426" s="1026"/>
      <c r="P426" s="1026"/>
      <c r="Q426" s="1026"/>
      <c r="R426" s="1026"/>
      <c r="S426" s="1026"/>
      <c r="T426" s="1026"/>
      <c r="U426" s="1026"/>
      <c r="V426" s="1026"/>
      <c r="W426" s="1026"/>
      <c r="X426" s="1026"/>
      <c r="Y426" s="1026"/>
      <c r="Z426" s="1026"/>
      <c r="AA426" s="1026"/>
      <c r="AB426" s="1026"/>
      <c r="AC426" s="1026"/>
    </row>
    <row r="427" spans="1:29" x14ac:dyDescent="0.25">
      <c r="A427" s="847"/>
      <c r="B427" s="1026"/>
      <c r="C427" s="1026"/>
      <c r="D427" s="1026"/>
      <c r="E427" s="1026"/>
      <c r="F427" s="1026"/>
      <c r="G427" s="1026"/>
      <c r="H427" s="1026"/>
      <c r="I427" s="1026"/>
      <c r="J427" s="1026"/>
      <c r="K427" s="1026"/>
      <c r="L427" s="1026"/>
      <c r="M427" s="1026"/>
      <c r="N427" s="1026"/>
      <c r="O427" s="1026"/>
      <c r="P427" s="1026"/>
      <c r="Q427" s="1026"/>
      <c r="R427" s="1026"/>
      <c r="S427" s="1026"/>
      <c r="T427" s="1026"/>
      <c r="U427" s="1026"/>
      <c r="V427" s="1026"/>
      <c r="W427" s="1026"/>
      <c r="X427" s="1026"/>
      <c r="Y427" s="1026"/>
      <c r="Z427" s="1026"/>
      <c r="AA427" s="1026"/>
      <c r="AB427" s="1026"/>
      <c r="AC427" s="1026"/>
    </row>
    <row r="428" spans="1:29" x14ac:dyDescent="0.25">
      <c r="A428" s="847"/>
      <c r="B428" s="1026"/>
      <c r="C428" s="1026"/>
      <c r="D428" s="1026"/>
      <c r="E428" s="1026"/>
      <c r="F428" s="1026"/>
      <c r="G428" s="1026"/>
      <c r="H428" s="1026"/>
      <c r="I428" s="1026"/>
      <c r="J428" s="1026"/>
      <c r="K428" s="1026"/>
      <c r="L428" s="1026"/>
      <c r="M428" s="1026"/>
      <c r="N428" s="1026"/>
      <c r="O428" s="1026"/>
      <c r="P428" s="1026"/>
      <c r="Q428" s="1026"/>
      <c r="R428" s="1026"/>
      <c r="S428" s="1026"/>
      <c r="T428" s="1026"/>
      <c r="U428" s="1026"/>
      <c r="V428" s="1026"/>
      <c r="W428" s="1026"/>
      <c r="X428" s="1026"/>
      <c r="Y428" s="1026"/>
      <c r="Z428" s="1026"/>
      <c r="AA428" s="1026"/>
      <c r="AB428" s="1026"/>
      <c r="AC428" s="1026"/>
    </row>
    <row r="429" spans="1:29" x14ac:dyDescent="0.25">
      <c r="A429" s="847"/>
      <c r="B429" s="1026"/>
      <c r="C429" s="1026"/>
      <c r="D429" s="1026"/>
      <c r="E429" s="1026"/>
      <c r="F429" s="1026"/>
      <c r="G429" s="1026"/>
      <c r="H429" s="1026"/>
      <c r="I429" s="1026"/>
      <c r="J429" s="1026"/>
      <c r="K429" s="1026"/>
      <c r="L429" s="1026"/>
      <c r="M429" s="1026"/>
      <c r="N429" s="1026"/>
      <c r="O429" s="1026"/>
      <c r="P429" s="1026"/>
      <c r="Q429" s="1026"/>
      <c r="R429" s="1026"/>
      <c r="S429" s="1026"/>
      <c r="T429" s="1026"/>
      <c r="U429" s="1026"/>
      <c r="V429" s="1026"/>
      <c r="W429" s="1026"/>
      <c r="X429" s="1026"/>
      <c r="Y429" s="1026"/>
      <c r="Z429" s="1026"/>
      <c r="AA429" s="1026"/>
      <c r="AB429" s="1026"/>
      <c r="AC429" s="1026"/>
    </row>
    <row r="430" spans="1:29" x14ac:dyDescent="0.25">
      <c r="A430" s="847"/>
      <c r="B430" s="1026"/>
      <c r="C430" s="1026"/>
      <c r="D430" s="1026"/>
      <c r="E430" s="1026"/>
      <c r="F430" s="1026"/>
      <c r="G430" s="1026"/>
      <c r="H430" s="1026"/>
      <c r="I430" s="1026"/>
      <c r="J430" s="1026"/>
      <c r="K430" s="1026"/>
      <c r="L430" s="1026"/>
      <c r="M430" s="1026"/>
      <c r="N430" s="1026"/>
      <c r="O430" s="1026"/>
      <c r="P430" s="1026"/>
      <c r="Q430" s="1026"/>
      <c r="R430" s="1026"/>
      <c r="S430" s="1026"/>
      <c r="T430" s="1026"/>
      <c r="U430" s="1026"/>
      <c r="V430" s="1026"/>
      <c r="W430" s="1026"/>
      <c r="X430" s="1026"/>
      <c r="Y430" s="1026"/>
      <c r="Z430" s="1026"/>
      <c r="AA430" s="1026"/>
      <c r="AB430" s="1026"/>
      <c r="AC430" s="1026"/>
    </row>
    <row r="431" spans="1:29" x14ac:dyDescent="0.25">
      <c r="A431" s="847"/>
      <c r="B431" s="1026"/>
      <c r="C431" s="1026"/>
      <c r="D431" s="1026"/>
      <c r="E431" s="1026"/>
      <c r="F431" s="1026"/>
      <c r="G431" s="1026"/>
      <c r="H431" s="1026"/>
      <c r="I431" s="1026"/>
      <c r="J431" s="1026"/>
      <c r="K431" s="1026"/>
      <c r="L431" s="1026"/>
      <c r="M431" s="1026"/>
      <c r="N431" s="1026"/>
      <c r="O431" s="1026"/>
      <c r="P431" s="1026"/>
      <c r="Q431" s="1026"/>
      <c r="R431" s="1026"/>
      <c r="S431" s="1026"/>
      <c r="T431" s="1026"/>
      <c r="U431" s="1026"/>
      <c r="V431" s="1026"/>
      <c r="W431" s="1026"/>
      <c r="X431" s="1026"/>
      <c r="Y431" s="1026"/>
      <c r="Z431" s="1026"/>
      <c r="AA431" s="1026"/>
      <c r="AB431" s="1026"/>
      <c r="AC431" s="1026"/>
    </row>
    <row r="432" spans="1:29" x14ac:dyDescent="0.25">
      <c r="A432" s="847"/>
      <c r="B432" s="1026"/>
      <c r="C432" s="1026"/>
      <c r="D432" s="1026"/>
      <c r="E432" s="1026"/>
      <c r="F432" s="1026"/>
      <c r="G432" s="1026"/>
      <c r="H432" s="1026"/>
      <c r="I432" s="1026"/>
      <c r="J432" s="1026"/>
      <c r="K432" s="1026"/>
      <c r="L432" s="1026"/>
      <c r="M432" s="1026"/>
      <c r="N432" s="1026"/>
      <c r="O432" s="1026"/>
      <c r="P432" s="1026"/>
      <c r="Q432" s="1026"/>
      <c r="R432" s="1026"/>
      <c r="S432" s="1026"/>
      <c r="T432" s="1026"/>
      <c r="U432" s="1026"/>
      <c r="V432" s="1026"/>
      <c r="W432" s="1026"/>
      <c r="X432" s="1026"/>
      <c r="Y432" s="1026"/>
      <c r="Z432" s="1026"/>
      <c r="AA432" s="1026"/>
      <c r="AB432" s="1026"/>
      <c r="AC432" s="1026"/>
    </row>
    <row r="433" spans="1:29" x14ac:dyDescent="0.25">
      <c r="A433" s="847"/>
      <c r="B433" s="1026"/>
      <c r="C433" s="1026"/>
      <c r="D433" s="1026"/>
      <c r="E433" s="1026"/>
      <c r="F433" s="1026"/>
      <c r="G433" s="1026"/>
      <c r="H433" s="1026"/>
      <c r="I433" s="1026"/>
      <c r="J433" s="1026"/>
      <c r="K433" s="1026"/>
      <c r="L433" s="1026"/>
      <c r="M433" s="1026"/>
      <c r="N433" s="1026"/>
      <c r="O433" s="1026"/>
      <c r="P433" s="1026"/>
      <c r="Q433" s="1026"/>
      <c r="R433" s="1026"/>
      <c r="S433" s="1026"/>
      <c r="T433" s="1026"/>
      <c r="U433" s="1026"/>
      <c r="V433" s="1026"/>
      <c r="W433" s="1026"/>
      <c r="X433" s="1026"/>
      <c r="Y433" s="1026"/>
      <c r="Z433" s="1026"/>
      <c r="AA433" s="1026"/>
      <c r="AB433" s="1026"/>
      <c r="AC433" s="1026"/>
    </row>
    <row r="434" spans="1:29" x14ac:dyDescent="0.25">
      <c r="A434" s="847"/>
      <c r="B434" s="1026"/>
      <c r="C434" s="1026"/>
      <c r="D434" s="1026"/>
      <c r="E434" s="1026"/>
      <c r="F434" s="1026"/>
      <c r="G434" s="1026"/>
      <c r="H434" s="1026"/>
      <c r="I434" s="1026"/>
      <c r="J434" s="1026"/>
      <c r="K434" s="1026"/>
      <c r="L434" s="1026"/>
      <c r="M434" s="1026"/>
      <c r="N434" s="1026"/>
      <c r="O434" s="1026"/>
      <c r="P434" s="1026"/>
      <c r="Q434" s="1026"/>
      <c r="R434" s="1026"/>
      <c r="S434" s="1026"/>
      <c r="T434" s="1026"/>
      <c r="U434" s="1026"/>
      <c r="V434" s="1026"/>
      <c r="W434" s="1026"/>
      <c r="X434" s="1026"/>
      <c r="Y434" s="1026"/>
      <c r="Z434" s="1026"/>
      <c r="AA434" s="1026"/>
      <c r="AB434" s="1026"/>
      <c r="AC434" s="1026"/>
    </row>
    <row r="435" spans="1:29" x14ac:dyDescent="0.25">
      <c r="A435" s="847"/>
      <c r="B435" s="1026"/>
      <c r="C435" s="1026"/>
      <c r="D435" s="1026"/>
      <c r="E435" s="1026"/>
      <c r="F435" s="1026"/>
      <c r="G435" s="1026"/>
      <c r="H435" s="1026"/>
      <c r="I435" s="1026"/>
      <c r="J435" s="1026"/>
      <c r="K435" s="1026"/>
      <c r="L435" s="1026"/>
      <c r="M435" s="1026"/>
      <c r="N435" s="1026"/>
      <c r="O435" s="1026"/>
      <c r="P435" s="1026"/>
      <c r="Q435" s="1026"/>
      <c r="R435" s="1026"/>
      <c r="S435" s="1026"/>
      <c r="T435" s="1026"/>
      <c r="U435" s="1026"/>
      <c r="V435" s="1026"/>
      <c r="W435" s="1026"/>
      <c r="X435" s="1026"/>
      <c r="Y435" s="1026"/>
      <c r="Z435" s="1026"/>
      <c r="AA435" s="1026"/>
      <c r="AB435" s="1026"/>
      <c r="AC435" s="1026"/>
    </row>
    <row r="436" spans="1:29" x14ac:dyDescent="0.25">
      <c r="A436" s="847"/>
      <c r="B436" s="1026"/>
      <c r="C436" s="1026"/>
      <c r="D436" s="1026"/>
      <c r="E436" s="1026"/>
      <c r="F436" s="1026"/>
      <c r="G436" s="1026"/>
      <c r="H436" s="1026"/>
      <c r="I436" s="1026"/>
      <c r="J436" s="1026"/>
      <c r="K436" s="1026"/>
      <c r="L436" s="1026"/>
      <c r="M436" s="1026"/>
      <c r="N436" s="1026"/>
      <c r="O436" s="1026"/>
      <c r="P436" s="1026"/>
      <c r="Q436" s="1026"/>
      <c r="R436" s="1026"/>
      <c r="S436" s="1026"/>
      <c r="T436" s="1026"/>
      <c r="U436" s="1026"/>
      <c r="V436" s="1026"/>
      <c r="W436" s="1026"/>
      <c r="X436" s="1026"/>
      <c r="Y436" s="1026"/>
      <c r="Z436" s="1026"/>
      <c r="AA436" s="1026"/>
      <c r="AB436" s="1026"/>
      <c r="AC436" s="1026"/>
    </row>
    <row r="437" spans="1:29" x14ac:dyDescent="0.25">
      <c r="A437" s="847"/>
      <c r="B437" s="1026"/>
      <c r="C437" s="1026"/>
      <c r="D437" s="1026"/>
      <c r="E437" s="1026"/>
      <c r="F437" s="1026"/>
      <c r="G437" s="1026"/>
      <c r="H437" s="1026"/>
      <c r="I437" s="1026"/>
      <c r="J437" s="1026"/>
      <c r="K437" s="1026"/>
      <c r="L437" s="1026"/>
      <c r="M437" s="1026"/>
      <c r="N437" s="1026"/>
      <c r="O437" s="1026"/>
      <c r="P437" s="1026"/>
      <c r="Q437" s="1026"/>
      <c r="R437" s="1026"/>
      <c r="S437" s="1026"/>
      <c r="T437" s="1026"/>
      <c r="U437" s="1026"/>
      <c r="V437" s="1026"/>
      <c r="W437" s="1026"/>
      <c r="X437" s="1026"/>
      <c r="Y437" s="1026"/>
      <c r="Z437" s="1026"/>
      <c r="AA437" s="1026"/>
      <c r="AB437" s="1026"/>
      <c r="AC437" s="1026"/>
    </row>
    <row r="438" spans="1:29" x14ac:dyDescent="0.25">
      <c r="A438" s="847"/>
      <c r="B438" s="1026"/>
      <c r="C438" s="1026"/>
      <c r="D438" s="1026"/>
      <c r="E438" s="1026"/>
      <c r="F438" s="1026"/>
      <c r="G438" s="1026"/>
      <c r="H438" s="1026"/>
      <c r="I438" s="1026"/>
      <c r="J438" s="1026"/>
      <c r="K438" s="1026"/>
      <c r="L438" s="1026"/>
      <c r="M438" s="1026"/>
      <c r="N438" s="1026"/>
      <c r="O438" s="1026"/>
      <c r="P438" s="1026"/>
      <c r="Q438" s="1026"/>
      <c r="R438" s="1026"/>
      <c r="S438" s="1026"/>
      <c r="T438" s="1026"/>
      <c r="U438" s="1026"/>
      <c r="V438" s="1026"/>
      <c r="W438" s="1026"/>
      <c r="X438" s="1026"/>
      <c r="Y438" s="1026"/>
      <c r="Z438" s="1026"/>
      <c r="AA438" s="1026"/>
      <c r="AB438" s="1026"/>
      <c r="AC438" s="1026"/>
    </row>
    <row r="439" spans="1:29" x14ac:dyDescent="0.25">
      <c r="A439" s="847"/>
      <c r="B439" s="1026"/>
      <c r="C439" s="1026"/>
      <c r="D439" s="1026"/>
      <c r="E439" s="1026"/>
      <c r="F439" s="1026"/>
      <c r="G439" s="1026"/>
      <c r="H439" s="1026"/>
      <c r="I439" s="1026"/>
      <c r="J439" s="1026"/>
      <c r="K439" s="1026"/>
      <c r="L439" s="1026"/>
      <c r="M439" s="1026"/>
      <c r="N439" s="1026"/>
      <c r="O439" s="1026"/>
      <c r="P439" s="1026"/>
      <c r="Q439" s="1026"/>
      <c r="R439" s="1026"/>
      <c r="S439" s="1026"/>
      <c r="T439" s="1026"/>
      <c r="U439" s="1026"/>
      <c r="V439" s="1026"/>
      <c r="W439" s="1026"/>
      <c r="X439" s="1026"/>
      <c r="Y439" s="1026"/>
      <c r="Z439" s="1026"/>
      <c r="AA439" s="1026"/>
      <c r="AB439" s="1026"/>
      <c r="AC439" s="1026"/>
    </row>
    <row r="440" spans="1:29" x14ac:dyDescent="0.25">
      <c r="A440" s="847"/>
      <c r="B440" s="1026"/>
      <c r="C440" s="1026"/>
      <c r="D440" s="1026"/>
      <c r="E440" s="1026"/>
      <c r="F440" s="1026"/>
      <c r="G440" s="1026"/>
      <c r="H440" s="1026"/>
      <c r="I440" s="1026"/>
      <c r="J440" s="1026"/>
      <c r="K440" s="1026"/>
      <c r="L440" s="1026"/>
      <c r="M440" s="1026"/>
      <c r="N440" s="1026"/>
      <c r="O440" s="1026"/>
      <c r="P440" s="1026"/>
      <c r="Q440" s="1026"/>
      <c r="R440" s="1026"/>
      <c r="S440" s="1026"/>
      <c r="T440" s="1026"/>
      <c r="U440" s="1026"/>
      <c r="V440" s="1026"/>
      <c r="W440" s="1026"/>
      <c r="X440" s="1026"/>
      <c r="Y440" s="1026"/>
      <c r="Z440" s="1026"/>
      <c r="AA440" s="1026"/>
      <c r="AB440" s="1026"/>
      <c r="AC440" s="1026"/>
    </row>
    <row r="441" spans="1:29" x14ac:dyDescent="0.25">
      <c r="A441" s="847"/>
      <c r="B441" s="1026"/>
      <c r="C441" s="1026"/>
      <c r="D441" s="1026"/>
      <c r="E441" s="1026"/>
      <c r="F441" s="1026"/>
      <c r="G441" s="1026"/>
      <c r="H441" s="1026"/>
      <c r="I441" s="1026"/>
      <c r="J441" s="1026"/>
      <c r="K441" s="1026"/>
      <c r="L441" s="1026"/>
      <c r="M441" s="1026"/>
      <c r="N441" s="1026"/>
      <c r="O441" s="1026"/>
      <c r="P441" s="1026"/>
      <c r="Q441" s="1026"/>
      <c r="R441" s="1026"/>
      <c r="S441" s="1026"/>
      <c r="T441" s="1026"/>
      <c r="U441" s="1026"/>
      <c r="V441" s="1026"/>
      <c r="W441" s="1026"/>
      <c r="X441" s="1026"/>
      <c r="Y441" s="1026"/>
      <c r="Z441" s="1026"/>
      <c r="AA441" s="1026"/>
      <c r="AB441" s="1026"/>
      <c r="AC441" s="1026"/>
    </row>
    <row r="442" spans="1:29" x14ac:dyDescent="0.25">
      <c r="A442" s="847"/>
      <c r="B442" s="1026"/>
      <c r="C442" s="1026"/>
      <c r="D442" s="1026"/>
      <c r="E442" s="1026"/>
      <c r="F442" s="1026"/>
      <c r="G442" s="1026"/>
      <c r="H442" s="1026"/>
      <c r="I442" s="1026"/>
      <c r="J442" s="1026"/>
      <c r="K442" s="1026"/>
      <c r="L442" s="1026"/>
      <c r="M442" s="1026"/>
      <c r="N442" s="1026"/>
      <c r="O442" s="1026"/>
      <c r="P442" s="1026"/>
      <c r="Q442" s="1026"/>
      <c r="R442" s="1026"/>
      <c r="S442" s="1026"/>
      <c r="T442" s="1026"/>
      <c r="U442" s="1026"/>
      <c r="V442" s="1026"/>
      <c r="W442" s="1026"/>
      <c r="X442" s="1026"/>
      <c r="Y442" s="1026"/>
      <c r="Z442" s="1026"/>
      <c r="AA442" s="1026"/>
      <c r="AB442" s="1026"/>
      <c r="AC442" s="1026"/>
    </row>
    <row r="443" spans="1:29" x14ac:dyDescent="0.25">
      <c r="A443" s="847"/>
      <c r="B443" s="1026"/>
      <c r="C443" s="1026"/>
      <c r="D443" s="1026"/>
      <c r="E443" s="1026"/>
      <c r="F443" s="1026"/>
      <c r="G443" s="1026"/>
      <c r="H443" s="1026"/>
      <c r="I443" s="1026"/>
      <c r="J443" s="1026"/>
      <c r="K443" s="1026"/>
      <c r="L443" s="1026"/>
      <c r="M443" s="1026"/>
      <c r="N443" s="1026"/>
      <c r="O443" s="1026"/>
      <c r="P443" s="1026"/>
      <c r="Q443" s="1026"/>
      <c r="R443" s="1026"/>
      <c r="S443" s="1026"/>
      <c r="T443" s="1026"/>
      <c r="U443" s="1026"/>
      <c r="V443" s="1026"/>
      <c r="W443" s="1026"/>
      <c r="X443" s="1026"/>
      <c r="Y443" s="1026"/>
      <c r="Z443" s="1026"/>
      <c r="AA443" s="1026"/>
      <c r="AB443" s="1026"/>
      <c r="AC443" s="1026"/>
    </row>
    <row r="444" spans="1:29" x14ac:dyDescent="0.25">
      <c r="A444" s="847"/>
      <c r="B444" s="1026"/>
      <c r="C444" s="1026"/>
      <c r="D444" s="1026"/>
      <c r="E444" s="1026"/>
      <c r="F444" s="1026"/>
      <c r="G444" s="1026"/>
      <c r="H444" s="1026"/>
      <c r="I444" s="1026"/>
      <c r="J444" s="1026"/>
      <c r="K444" s="1026"/>
      <c r="L444" s="1026"/>
      <c r="M444" s="1026"/>
      <c r="N444" s="1026"/>
      <c r="O444" s="1026"/>
      <c r="P444" s="1026"/>
      <c r="Q444" s="1026"/>
      <c r="R444" s="1026"/>
      <c r="S444" s="1026"/>
      <c r="T444" s="1026"/>
      <c r="U444" s="1026"/>
      <c r="V444" s="1026"/>
      <c r="W444" s="1026"/>
      <c r="X444" s="1026"/>
      <c r="Y444" s="1026"/>
      <c r="Z444" s="1026"/>
      <c r="AA444" s="1026"/>
      <c r="AB444" s="1026"/>
      <c r="AC444" s="1026"/>
    </row>
    <row r="445" spans="1:29" x14ac:dyDescent="0.25">
      <c r="A445" s="847"/>
      <c r="B445" s="1026"/>
      <c r="C445" s="1026"/>
      <c r="D445" s="1026"/>
      <c r="E445" s="1026"/>
      <c r="F445" s="1026"/>
      <c r="G445" s="1026"/>
      <c r="H445" s="1026"/>
      <c r="I445" s="1026"/>
      <c r="J445" s="1026"/>
      <c r="K445" s="1026"/>
      <c r="L445" s="1026"/>
      <c r="M445" s="1026"/>
      <c r="N445" s="1026"/>
      <c r="O445" s="1026"/>
      <c r="P445" s="1026"/>
      <c r="Q445" s="1026"/>
      <c r="R445" s="1026"/>
      <c r="S445" s="1026"/>
      <c r="T445" s="1026"/>
      <c r="U445" s="1026"/>
      <c r="V445" s="1026"/>
      <c r="W445" s="1026"/>
      <c r="X445" s="1026"/>
      <c r="Y445" s="1026"/>
      <c r="Z445" s="1026"/>
      <c r="AA445" s="1026"/>
      <c r="AB445" s="1026"/>
      <c r="AC445" s="1026"/>
    </row>
    <row r="446" spans="1:29" x14ac:dyDescent="0.25">
      <c r="A446" s="847"/>
      <c r="B446" s="1026"/>
      <c r="C446" s="1026"/>
      <c r="D446" s="1026"/>
      <c r="E446" s="1026"/>
      <c r="F446" s="1026"/>
      <c r="G446" s="1026"/>
      <c r="H446" s="1026"/>
      <c r="I446" s="1026"/>
      <c r="J446" s="1026"/>
      <c r="K446" s="1026"/>
      <c r="L446" s="1026"/>
      <c r="M446" s="1026"/>
      <c r="N446" s="1026"/>
      <c r="O446" s="1026"/>
      <c r="P446" s="1026"/>
      <c r="Q446" s="1026"/>
      <c r="R446" s="1026"/>
      <c r="S446" s="1026"/>
      <c r="T446" s="1026"/>
      <c r="U446" s="1026"/>
      <c r="V446" s="1026"/>
      <c r="W446" s="1026"/>
      <c r="X446" s="1026"/>
      <c r="Y446" s="1026"/>
      <c r="Z446" s="1026"/>
      <c r="AA446" s="1026"/>
      <c r="AB446" s="1026"/>
      <c r="AC446" s="1026"/>
    </row>
    <row r="447" spans="1:29" x14ac:dyDescent="0.25">
      <c r="A447" s="847"/>
      <c r="B447" s="1026"/>
      <c r="C447" s="1026"/>
      <c r="D447" s="1026"/>
      <c r="E447" s="1026"/>
      <c r="F447" s="1026"/>
      <c r="G447" s="1026"/>
      <c r="H447" s="1026"/>
      <c r="I447" s="1026"/>
      <c r="J447" s="1026"/>
      <c r="K447" s="1026"/>
      <c r="L447" s="1026"/>
      <c r="M447" s="1026"/>
      <c r="N447" s="1026"/>
      <c r="O447" s="1026"/>
      <c r="P447" s="1026"/>
      <c r="Q447" s="1026"/>
      <c r="R447" s="1026"/>
      <c r="S447" s="1026"/>
      <c r="T447" s="1026"/>
      <c r="U447" s="1026"/>
      <c r="V447" s="1026"/>
      <c r="W447" s="1026"/>
      <c r="X447" s="1026"/>
      <c r="Y447" s="1026"/>
      <c r="Z447" s="1026"/>
      <c r="AA447" s="1026"/>
      <c r="AB447" s="1026"/>
      <c r="AC447" s="1026"/>
    </row>
    <row r="448" spans="1:29" x14ac:dyDescent="0.25">
      <c r="A448" s="847"/>
      <c r="B448" s="1026"/>
      <c r="C448" s="1026"/>
      <c r="D448" s="1026"/>
      <c r="E448" s="1026"/>
      <c r="F448" s="1026"/>
      <c r="G448" s="1026"/>
      <c r="H448" s="1026"/>
      <c r="I448" s="1026"/>
      <c r="J448" s="1026"/>
      <c r="K448" s="1026"/>
      <c r="L448" s="1026"/>
      <c r="M448" s="1026"/>
      <c r="N448" s="1026"/>
      <c r="O448" s="1026"/>
      <c r="P448" s="1026"/>
      <c r="Q448" s="1026"/>
      <c r="R448" s="1026"/>
      <c r="S448" s="1026"/>
      <c r="T448" s="1026"/>
      <c r="U448" s="1026"/>
      <c r="V448" s="1026"/>
      <c r="W448" s="1026"/>
      <c r="X448" s="1026"/>
      <c r="Y448" s="1026"/>
      <c r="Z448" s="1026"/>
      <c r="AA448" s="1026"/>
      <c r="AB448" s="1026"/>
      <c r="AC448" s="1026"/>
    </row>
    <row r="449" spans="1:29" x14ac:dyDescent="0.25">
      <c r="A449" s="847"/>
      <c r="B449" s="1026"/>
      <c r="C449" s="1026"/>
      <c r="D449" s="1026"/>
      <c r="E449" s="1026"/>
      <c r="F449" s="1026"/>
      <c r="G449" s="1026"/>
      <c r="H449" s="1026"/>
      <c r="I449" s="1026"/>
      <c r="J449" s="1026"/>
      <c r="K449" s="1026"/>
      <c r="L449" s="1026"/>
      <c r="M449" s="1026"/>
      <c r="N449" s="1026"/>
      <c r="O449" s="1026"/>
      <c r="P449" s="1026"/>
      <c r="Q449" s="1026"/>
      <c r="R449" s="1026"/>
      <c r="S449" s="1026"/>
      <c r="T449" s="1026"/>
      <c r="U449" s="1026"/>
      <c r="V449" s="1026"/>
      <c r="W449" s="1026"/>
      <c r="X449" s="1026"/>
      <c r="Y449" s="1026"/>
      <c r="Z449" s="1026"/>
      <c r="AA449" s="1026"/>
      <c r="AB449" s="1026"/>
      <c r="AC449" s="1026"/>
    </row>
    <row r="450" spans="1:29" x14ac:dyDescent="0.25">
      <c r="A450" s="847"/>
      <c r="B450" s="1026"/>
      <c r="C450" s="1026"/>
      <c r="D450" s="1026"/>
      <c r="E450" s="1026"/>
      <c r="F450" s="1026"/>
      <c r="G450" s="1026"/>
      <c r="H450" s="1026"/>
      <c r="I450" s="1026"/>
      <c r="J450" s="1026"/>
      <c r="K450" s="1026"/>
      <c r="L450" s="1026"/>
      <c r="M450" s="1026"/>
      <c r="N450" s="1026"/>
      <c r="O450" s="1026"/>
      <c r="P450" s="1026"/>
      <c r="Q450" s="1026"/>
      <c r="R450" s="1026"/>
      <c r="S450" s="1026"/>
      <c r="T450" s="1026"/>
      <c r="U450" s="1026"/>
      <c r="V450" s="1026"/>
      <c r="W450" s="1026"/>
      <c r="X450" s="1026"/>
      <c r="Y450" s="1026"/>
      <c r="Z450" s="1026"/>
      <c r="AA450" s="1026"/>
      <c r="AB450" s="1026"/>
      <c r="AC450" s="1026"/>
    </row>
    <row r="451" spans="1:29" x14ac:dyDescent="0.25">
      <c r="A451" s="847"/>
      <c r="B451" s="1026"/>
      <c r="C451" s="1026"/>
      <c r="D451" s="1026"/>
      <c r="E451" s="1026"/>
      <c r="F451" s="1026"/>
      <c r="G451" s="1026"/>
      <c r="H451" s="1026"/>
      <c r="I451" s="1026"/>
      <c r="J451" s="1026"/>
      <c r="K451" s="1026"/>
      <c r="L451" s="1026"/>
      <c r="M451" s="1026"/>
      <c r="N451" s="1026"/>
      <c r="O451" s="1026"/>
      <c r="P451" s="1026"/>
      <c r="Q451" s="1026"/>
      <c r="R451" s="1026"/>
      <c r="S451" s="1026"/>
      <c r="T451" s="1026"/>
      <c r="U451" s="1026"/>
      <c r="V451" s="1026"/>
      <c r="W451" s="1026"/>
      <c r="X451" s="1026"/>
      <c r="Y451" s="1026"/>
      <c r="Z451" s="1026"/>
      <c r="AA451" s="1026"/>
      <c r="AB451" s="1026"/>
      <c r="AC451" s="1026"/>
    </row>
    <row r="452" spans="1:29" x14ac:dyDescent="0.25">
      <c r="A452" s="847"/>
      <c r="B452" s="1026"/>
      <c r="C452" s="1026"/>
      <c r="D452" s="1026"/>
      <c r="E452" s="1026"/>
      <c r="F452" s="1026"/>
      <c r="G452" s="1026"/>
      <c r="H452" s="1026"/>
      <c r="I452" s="1026"/>
      <c r="J452" s="1026"/>
      <c r="K452" s="1026"/>
      <c r="L452" s="1026"/>
      <c r="M452" s="1026"/>
      <c r="N452" s="1026"/>
      <c r="O452" s="1026"/>
      <c r="P452" s="1026"/>
      <c r="Q452" s="1026"/>
      <c r="R452" s="1026"/>
      <c r="S452" s="1026"/>
      <c r="T452" s="1026"/>
      <c r="U452" s="1026"/>
      <c r="V452" s="1026"/>
      <c r="W452" s="1026"/>
      <c r="X452" s="1026"/>
      <c r="Y452" s="1026"/>
      <c r="Z452" s="1026"/>
      <c r="AA452" s="1026"/>
      <c r="AB452" s="1026"/>
      <c r="AC452" s="1026"/>
    </row>
    <row r="453" spans="1:29" x14ac:dyDescent="0.25">
      <c r="A453" s="847"/>
      <c r="B453" s="1026"/>
      <c r="C453" s="1026"/>
      <c r="D453" s="1026"/>
      <c r="E453" s="1026"/>
      <c r="F453" s="1026"/>
      <c r="G453" s="1026"/>
      <c r="H453" s="1026"/>
      <c r="I453" s="1026"/>
      <c r="J453" s="1026"/>
      <c r="K453" s="1026"/>
      <c r="L453" s="1026"/>
      <c r="M453" s="1026"/>
      <c r="N453" s="1026"/>
      <c r="O453" s="1026"/>
      <c r="P453" s="1026"/>
      <c r="Q453" s="1026"/>
      <c r="R453" s="1026"/>
      <c r="S453" s="1026"/>
      <c r="T453" s="1026"/>
      <c r="U453" s="1026"/>
      <c r="V453" s="1026"/>
      <c r="W453" s="1026"/>
      <c r="X453" s="1026"/>
      <c r="Y453" s="1026"/>
      <c r="Z453" s="1026"/>
      <c r="AA453" s="1026"/>
      <c r="AB453" s="1026"/>
      <c r="AC453" s="1026"/>
    </row>
    <row r="454" spans="1:29" x14ac:dyDescent="0.25">
      <c r="A454" s="847"/>
      <c r="B454" s="1026"/>
      <c r="C454" s="1026"/>
      <c r="D454" s="1026"/>
      <c r="E454" s="1026"/>
      <c r="F454" s="1026"/>
      <c r="G454" s="1026"/>
      <c r="H454" s="1026"/>
      <c r="I454" s="1026"/>
      <c r="J454" s="1026"/>
      <c r="K454" s="1026"/>
      <c r="L454" s="1026"/>
      <c r="M454" s="1026"/>
      <c r="N454" s="1026"/>
      <c r="O454" s="1026"/>
      <c r="P454" s="1026"/>
      <c r="Q454" s="1026"/>
      <c r="R454" s="1026"/>
      <c r="S454" s="1026"/>
      <c r="T454" s="1026"/>
      <c r="U454" s="1026"/>
      <c r="V454" s="1026"/>
      <c r="W454" s="1026"/>
      <c r="X454" s="1026"/>
      <c r="Y454" s="1026"/>
      <c r="Z454" s="1026"/>
      <c r="AA454" s="1026"/>
      <c r="AB454" s="1026"/>
      <c r="AC454" s="1026"/>
    </row>
    <row r="455" spans="1:29" x14ac:dyDescent="0.25">
      <c r="A455" s="847"/>
      <c r="B455" s="1026"/>
      <c r="C455" s="1026"/>
      <c r="D455" s="1026"/>
      <c r="E455" s="1026"/>
      <c r="F455" s="1026"/>
      <c r="G455" s="1026"/>
      <c r="H455" s="1026"/>
      <c r="I455" s="1026"/>
      <c r="J455" s="1026"/>
      <c r="K455" s="1026"/>
      <c r="L455" s="1026"/>
      <c r="M455" s="1026"/>
      <c r="N455" s="1026"/>
      <c r="O455" s="1026"/>
      <c r="P455" s="1026"/>
      <c r="Q455" s="1026"/>
      <c r="R455" s="1026"/>
      <c r="S455" s="1026"/>
      <c r="T455" s="1026"/>
      <c r="U455" s="1026"/>
      <c r="V455" s="1026"/>
      <c r="W455" s="1026"/>
      <c r="X455" s="1026"/>
      <c r="Y455" s="1026"/>
      <c r="Z455" s="1026"/>
      <c r="AA455" s="1026"/>
      <c r="AB455" s="1026"/>
      <c r="AC455" s="1026"/>
    </row>
    <row r="456" spans="1:29" x14ac:dyDescent="0.25">
      <c r="A456" s="847"/>
      <c r="B456" s="1026"/>
      <c r="C456" s="1026"/>
      <c r="D456" s="1026"/>
      <c r="E456" s="1026"/>
      <c r="F456" s="1026"/>
      <c r="G456" s="1026"/>
      <c r="H456" s="1026"/>
      <c r="I456" s="1026"/>
      <c r="J456" s="1026"/>
      <c r="K456" s="1026"/>
      <c r="L456" s="1026"/>
      <c r="M456" s="1026"/>
      <c r="N456" s="1026"/>
      <c r="O456" s="1026"/>
      <c r="P456" s="1026"/>
      <c r="Q456" s="1026"/>
      <c r="R456" s="1026"/>
      <c r="S456" s="1026"/>
      <c r="T456" s="1026"/>
      <c r="U456" s="1026"/>
      <c r="V456" s="1026"/>
      <c r="W456" s="1026"/>
      <c r="X456" s="1026"/>
      <c r="Y456" s="1026"/>
      <c r="Z456" s="1026"/>
      <c r="AA456" s="1026"/>
      <c r="AB456" s="1026"/>
      <c r="AC456" s="1026"/>
    </row>
    <row r="457" spans="1:29" x14ac:dyDescent="0.25">
      <c r="A457" s="847"/>
      <c r="B457" s="1026"/>
      <c r="C457" s="1026"/>
      <c r="D457" s="1026"/>
      <c r="E457" s="1026"/>
      <c r="F457" s="1026"/>
      <c r="G457" s="1026"/>
      <c r="H457" s="1026"/>
      <c r="I457" s="1026"/>
      <c r="J457" s="1026"/>
      <c r="K457" s="1026"/>
      <c r="L457" s="1026"/>
      <c r="M457" s="1026"/>
      <c r="N457" s="1026"/>
      <c r="O457" s="1026"/>
      <c r="P457" s="1026"/>
      <c r="Q457" s="1026"/>
      <c r="R457" s="1026"/>
      <c r="S457" s="1026"/>
      <c r="T457" s="1026"/>
      <c r="U457" s="1026"/>
      <c r="V457" s="1026"/>
      <c r="W457" s="1026"/>
      <c r="X457" s="1026"/>
      <c r="Y457" s="1026"/>
      <c r="Z457" s="1026"/>
      <c r="AA457" s="1026"/>
      <c r="AB457" s="1026"/>
      <c r="AC457" s="1026"/>
    </row>
    <row r="458" spans="1:29" x14ac:dyDescent="0.25">
      <c r="A458" s="847"/>
      <c r="B458" s="1026"/>
      <c r="C458" s="1026"/>
      <c r="D458" s="1026"/>
      <c r="E458" s="1026"/>
      <c r="F458" s="1026"/>
      <c r="G458" s="1026"/>
      <c r="H458" s="1026"/>
      <c r="I458" s="1026"/>
      <c r="J458" s="1026"/>
      <c r="K458" s="1026"/>
      <c r="L458" s="1026"/>
      <c r="M458" s="1026"/>
      <c r="N458" s="1026"/>
      <c r="O458" s="1026"/>
      <c r="P458" s="1026"/>
      <c r="Q458" s="1026"/>
      <c r="R458" s="1026"/>
      <c r="S458" s="1026"/>
      <c r="T458" s="1026"/>
      <c r="U458" s="1026"/>
      <c r="V458" s="1026"/>
      <c r="W458" s="1026"/>
      <c r="X458" s="1026"/>
      <c r="Y458" s="1026"/>
      <c r="Z458" s="1026"/>
      <c r="AA458" s="1026"/>
      <c r="AB458" s="1026"/>
      <c r="AC458" s="1026"/>
    </row>
    <row r="459" spans="1:29" x14ac:dyDescent="0.25">
      <c r="A459" s="847"/>
      <c r="B459" s="1026"/>
      <c r="C459" s="1026"/>
      <c r="D459" s="1026"/>
      <c r="E459" s="1026"/>
      <c r="F459" s="1026"/>
      <c r="G459" s="1026"/>
      <c r="H459" s="1026"/>
      <c r="I459" s="1026"/>
      <c r="J459" s="1026"/>
      <c r="K459" s="1026"/>
      <c r="L459" s="1026"/>
      <c r="M459" s="1026"/>
      <c r="N459" s="1026"/>
      <c r="O459" s="1026"/>
      <c r="P459" s="1026"/>
      <c r="Q459" s="1026"/>
      <c r="R459" s="1026"/>
      <c r="S459" s="1026"/>
      <c r="T459" s="1026"/>
      <c r="U459" s="1026"/>
      <c r="V459" s="1026"/>
      <c r="W459" s="1026"/>
      <c r="X459" s="1026"/>
      <c r="Y459" s="1026"/>
      <c r="Z459" s="1026"/>
      <c r="AA459" s="1026"/>
      <c r="AB459" s="1026"/>
      <c r="AC459" s="1026"/>
    </row>
    <row r="460" spans="1:29" x14ac:dyDescent="0.25">
      <c r="A460" s="847"/>
      <c r="B460" s="1026"/>
      <c r="C460" s="1026"/>
      <c r="D460" s="1026"/>
      <c r="E460" s="1026"/>
      <c r="F460" s="1026"/>
      <c r="G460" s="1026"/>
      <c r="H460" s="1026"/>
      <c r="I460" s="1026"/>
      <c r="J460" s="1026"/>
      <c r="K460" s="1026"/>
      <c r="L460" s="1026"/>
      <c r="M460" s="1026"/>
      <c r="N460" s="1026"/>
      <c r="O460" s="1026"/>
      <c r="P460" s="1026"/>
      <c r="Q460" s="1026"/>
      <c r="R460" s="1026"/>
      <c r="S460" s="1026"/>
      <c r="T460" s="1026"/>
      <c r="U460" s="1026"/>
      <c r="V460" s="1026"/>
      <c r="W460" s="1026"/>
      <c r="X460" s="1026"/>
      <c r="Y460" s="1026"/>
      <c r="Z460" s="1026"/>
      <c r="AA460" s="1026"/>
      <c r="AB460" s="1026"/>
      <c r="AC460" s="1026"/>
    </row>
    <row r="461" spans="1:29" x14ac:dyDescent="0.25">
      <c r="A461" s="847"/>
      <c r="B461" s="1026"/>
      <c r="C461" s="1026"/>
      <c r="D461" s="1026"/>
      <c r="E461" s="1026"/>
      <c r="F461" s="1026"/>
      <c r="G461" s="1026"/>
      <c r="H461" s="1026"/>
      <c r="I461" s="1026"/>
      <c r="J461" s="1026"/>
      <c r="K461" s="1026"/>
      <c r="L461" s="1026"/>
      <c r="M461" s="1026"/>
      <c r="N461" s="1026"/>
      <c r="O461" s="1026"/>
      <c r="P461" s="1026"/>
      <c r="Q461" s="1026"/>
      <c r="R461" s="1026"/>
      <c r="S461" s="1026"/>
      <c r="T461" s="1026"/>
      <c r="U461" s="1026"/>
      <c r="V461" s="1026"/>
      <c r="W461" s="1026"/>
      <c r="X461" s="1026"/>
      <c r="Y461" s="1026"/>
      <c r="Z461" s="1026"/>
      <c r="AA461" s="1026"/>
      <c r="AB461" s="1026"/>
      <c r="AC461" s="1026"/>
    </row>
    <row r="462" spans="1:29" x14ac:dyDescent="0.25">
      <c r="A462" s="847"/>
      <c r="B462" s="1026"/>
      <c r="C462" s="1026"/>
      <c r="D462" s="1026"/>
      <c r="E462" s="1026"/>
      <c r="F462" s="1026"/>
      <c r="G462" s="1026"/>
      <c r="H462" s="1026"/>
      <c r="I462" s="1026"/>
      <c r="J462" s="1026"/>
      <c r="K462" s="1026"/>
      <c r="L462" s="1026"/>
      <c r="M462" s="1026"/>
      <c r="N462" s="1026"/>
      <c r="O462" s="1026"/>
      <c r="P462" s="1026"/>
      <c r="Q462" s="1026"/>
      <c r="R462" s="1026"/>
      <c r="S462" s="1026"/>
      <c r="T462" s="1026"/>
      <c r="U462" s="1026"/>
      <c r="V462" s="1026"/>
      <c r="W462" s="1026"/>
      <c r="X462" s="1026"/>
      <c r="Y462" s="1026"/>
      <c r="Z462" s="1026"/>
      <c r="AA462" s="1026"/>
      <c r="AB462" s="1026"/>
      <c r="AC462" s="1026"/>
    </row>
    <row r="463" spans="1:29" x14ac:dyDescent="0.25">
      <c r="A463" s="847"/>
      <c r="B463" s="1026"/>
      <c r="C463" s="1026"/>
      <c r="D463" s="1026"/>
      <c r="E463" s="1026"/>
      <c r="F463" s="1026"/>
      <c r="G463" s="1026"/>
      <c r="H463" s="1026"/>
      <c r="I463" s="1026"/>
      <c r="J463" s="1026"/>
      <c r="K463" s="1026"/>
      <c r="L463" s="1026"/>
      <c r="M463" s="1026"/>
      <c r="N463" s="1026"/>
      <c r="O463" s="1026"/>
      <c r="P463" s="1026"/>
      <c r="Q463" s="1026"/>
      <c r="R463" s="1026"/>
      <c r="S463" s="1026"/>
      <c r="T463" s="1026"/>
      <c r="U463" s="1026"/>
      <c r="V463" s="1026"/>
      <c r="W463" s="1026"/>
      <c r="X463" s="1026"/>
      <c r="Y463" s="1026"/>
      <c r="Z463" s="1026"/>
      <c r="AA463" s="1026"/>
      <c r="AB463" s="1026"/>
      <c r="AC463" s="1026"/>
    </row>
    <row r="464" spans="1:29" x14ac:dyDescent="0.25">
      <c r="A464" s="847"/>
      <c r="B464" s="1026"/>
      <c r="C464" s="1026"/>
      <c r="D464" s="1026"/>
      <c r="E464" s="1026"/>
      <c r="F464" s="1026"/>
      <c r="G464" s="1026"/>
      <c r="H464" s="1026"/>
      <c r="I464" s="1026"/>
      <c r="J464" s="1026"/>
      <c r="K464" s="1026"/>
      <c r="L464" s="1026"/>
      <c r="M464" s="1026"/>
      <c r="N464" s="1026"/>
      <c r="O464" s="1026"/>
      <c r="P464" s="1026"/>
      <c r="Q464" s="1026"/>
      <c r="R464" s="1026"/>
      <c r="S464" s="1026"/>
      <c r="T464" s="1026"/>
      <c r="U464" s="1026"/>
      <c r="V464" s="1026"/>
      <c r="W464" s="1026"/>
      <c r="X464" s="1026"/>
      <c r="Y464" s="1026"/>
      <c r="Z464" s="1026"/>
      <c r="AA464" s="1026"/>
      <c r="AB464" s="1026"/>
      <c r="AC464" s="1026"/>
    </row>
    <row r="465" spans="1:29" x14ac:dyDescent="0.25">
      <c r="A465" s="847"/>
      <c r="B465" s="1026"/>
      <c r="C465" s="1026"/>
      <c r="D465" s="1026"/>
      <c r="E465" s="1026"/>
      <c r="F465" s="1026"/>
      <c r="G465" s="1026"/>
      <c r="H465" s="1026"/>
      <c r="I465" s="1026"/>
      <c r="J465" s="1026"/>
      <c r="K465" s="1026"/>
      <c r="L465" s="1026"/>
      <c r="M465" s="1026"/>
      <c r="N465" s="1026"/>
      <c r="O465" s="1026"/>
      <c r="P465" s="1026"/>
      <c r="Q465" s="1026"/>
      <c r="R465" s="1026"/>
      <c r="S465" s="1026"/>
      <c r="T465" s="1026"/>
      <c r="U465" s="1026"/>
      <c r="V465" s="1026"/>
      <c r="W465" s="1026"/>
      <c r="X465" s="1026"/>
      <c r="Y465" s="1026"/>
      <c r="Z465" s="1026"/>
      <c r="AA465" s="1026"/>
      <c r="AB465" s="1026"/>
      <c r="AC465" s="1026"/>
    </row>
    <row r="466" spans="1:29" x14ac:dyDescent="0.25">
      <c r="A466" s="847"/>
      <c r="B466" s="1026"/>
      <c r="C466" s="1026"/>
      <c r="D466" s="1026"/>
      <c r="E466" s="1026"/>
      <c r="F466" s="1026"/>
      <c r="G466" s="1026"/>
      <c r="H466" s="1026"/>
      <c r="I466" s="1026"/>
      <c r="J466" s="1026"/>
      <c r="K466" s="1026"/>
      <c r="L466" s="1026"/>
      <c r="M466" s="1026"/>
      <c r="N466" s="1026"/>
      <c r="O466" s="1026"/>
      <c r="P466" s="1026"/>
      <c r="Q466" s="1026"/>
      <c r="R466" s="1026"/>
      <c r="S466" s="1026"/>
      <c r="T466" s="1026"/>
      <c r="U466" s="1026"/>
      <c r="V466" s="1026"/>
      <c r="W466" s="1026"/>
      <c r="X466" s="1026"/>
      <c r="Y466" s="1026"/>
      <c r="Z466" s="1026"/>
      <c r="AA466" s="1026"/>
      <c r="AB466" s="1026"/>
      <c r="AC466" s="1026"/>
    </row>
    <row r="467" spans="1:29" x14ac:dyDescent="0.25">
      <c r="A467" s="847"/>
      <c r="B467" s="1026"/>
      <c r="C467" s="1026"/>
      <c r="D467" s="1026"/>
      <c r="E467" s="1026"/>
      <c r="F467" s="1026"/>
      <c r="G467" s="1026"/>
      <c r="H467" s="1026"/>
      <c r="I467" s="1026"/>
      <c r="J467" s="1026"/>
      <c r="K467" s="1026"/>
      <c r="L467" s="1026"/>
      <c r="M467" s="1026"/>
      <c r="N467" s="1026"/>
      <c r="O467" s="1026"/>
      <c r="P467" s="1026"/>
      <c r="Q467" s="1026"/>
      <c r="R467" s="1026"/>
      <c r="S467" s="1026"/>
      <c r="T467" s="1026"/>
      <c r="U467" s="1026"/>
      <c r="V467" s="1026"/>
      <c r="W467" s="1026"/>
      <c r="X467" s="1026"/>
      <c r="Y467" s="1026"/>
      <c r="Z467" s="1026"/>
      <c r="AA467" s="1026"/>
      <c r="AB467" s="1026"/>
      <c r="AC467" s="1026"/>
    </row>
    <row r="468" spans="1:29" x14ac:dyDescent="0.25">
      <c r="A468" s="847"/>
      <c r="B468" s="1026"/>
      <c r="C468" s="1026"/>
      <c r="D468" s="1026"/>
      <c r="E468" s="1026"/>
      <c r="F468" s="1026"/>
      <c r="G468" s="1026"/>
      <c r="H468" s="1026"/>
      <c r="I468" s="1026"/>
      <c r="J468" s="1026"/>
      <c r="K468" s="1026"/>
      <c r="L468" s="1026"/>
      <c r="M468" s="1026"/>
      <c r="N468" s="1026"/>
      <c r="O468" s="1026"/>
      <c r="P468" s="1026"/>
      <c r="Q468" s="1026"/>
      <c r="R468" s="1026"/>
      <c r="S468" s="1026"/>
      <c r="T468" s="1026"/>
      <c r="U468" s="1026"/>
      <c r="V468" s="1026"/>
      <c r="W468" s="1026"/>
      <c r="X468" s="1026"/>
      <c r="Y468" s="1026"/>
      <c r="Z468" s="1026"/>
      <c r="AA468" s="1026"/>
      <c r="AB468" s="1026"/>
      <c r="AC468" s="1026"/>
    </row>
    <row r="469" spans="1:29" x14ac:dyDescent="0.25">
      <c r="A469" s="847"/>
      <c r="B469" s="1026"/>
      <c r="C469" s="1026"/>
      <c r="D469" s="1026"/>
      <c r="E469" s="1026"/>
      <c r="F469" s="1026"/>
      <c r="G469" s="1026"/>
      <c r="H469" s="1026"/>
      <c r="I469" s="1026"/>
      <c r="J469" s="1026"/>
      <c r="K469" s="1026"/>
      <c r="L469" s="1026"/>
      <c r="M469" s="1026"/>
      <c r="N469" s="1026"/>
      <c r="O469" s="1026"/>
      <c r="P469" s="1026"/>
      <c r="Q469" s="1026"/>
      <c r="R469" s="1026"/>
      <c r="S469" s="1026"/>
      <c r="T469" s="1026"/>
      <c r="U469" s="1026"/>
      <c r="V469" s="1026"/>
      <c r="W469" s="1026"/>
      <c r="X469" s="1026"/>
      <c r="Y469" s="1026"/>
      <c r="Z469" s="1026"/>
      <c r="AA469" s="1026"/>
      <c r="AB469" s="1026"/>
      <c r="AC469" s="1026"/>
    </row>
    <row r="470" spans="1:29" x14ac:dyDescent="0.25">
      <c r="A470" s="847"/>
      <c r="B470" s="1026"/>
      <c r="C470" s="1026"/>
      <c r="D470" s="1026"/>
      <c r="E470" s="1026"/>
      <c r="F470" s="1026"/>
      <c r="G470" s="1026"/>
      <c r="H470" s="1026"/>
      <c r="I470" s="1026"/>
      <c r="J470" s="1026"/>
      <c r="K470" s="1026"/>
      <c r="L470" s="1026"/>
      <c r="M470" s="1026"/>
      <c r="N470" s="1026"/>
      <c r="O470" s="1026"/>
      <c r="P470" s="1026"/>
      <c r="Q470" s="1026"/>
      <c r="R470" s="1026"/>
      <c r="S470" s="1026"/>
      <c r="T470" s="1026"/>
      <c r="U470" s="1026"/>
      <c r="V470" s="1026"/>
      <c r="W470" s="1026"/>
      <c r="X470" s="1026"/>
      <c r="Y470" s="1026"/>
      <c r="Z470" s="1026"/>
      <c r="AA470" s="1026"/>
      <c r="AB470" s="1026"/>
      <c r="AC470" s="1026"/>
    </row>
    <row r="471" spans="1:29" x14ac:dyDescent="0.25">
      <c r="A471" s="847"/>
      <c r="B471" s="1026"/>
      <c r="C471" s="1026"/>
      <c r="D471" s="1026"/>
      <c r="E471" s="1026"/>
      <c r="F471" s="1026"/>
      <c r="G471" s="1026"/>
      <c r="H471" s="1026"/>
      <c r="I471" s="1026"/>
      <c r="J471" s="1026"/>
      <c r="K471" s="1026"/>
      <c r="L471" s="1026"/>
      <c r="M471" s="1026"/>
      <c r="N471" s="1026"/>
      <c r="O471" s="1026"/>
      <c r="P471" s="1026"/>
      <c r="Q471" s="1026"/>
      <c r="R471" s="1026"/>
      <c r="S471" s="1026"/>
      <c r="T471" s="1026"/>
      <c r="U471" s="1026"/>
      <c r="V471" s="1026"/>
      <c r="W471" s="1026"/>
      <c r="X471" s="1026"/>
      <c r="Y471" s="1026"/>
      <c r="Z471" s="1026"/>
      <c r="AA471" s="1026"/>
      <c r="AB471" s="1026"/>
      <c r="AC471" s="1026"/>
    </row>
    <row r="472" spans="1:29" x14ac:dyDescent="0.25">
      <c r="A472" s="847"/>
      <c r="B472" s="1026"/>
      <c r="C472" s="1026"/>
      <c r="D472" s="1026"/>
      <c r="E472" s="1026"/>
      <c r="F472" s="1026"/>
      <c r="G472" s="1026"/>
      <c r="H472" s="1026"/>
      <c r="I472" s="1026"/>
      <c r="J472" s="1026"/>
      <c r="K472" s="1026"/>
      <c r="L472" s="1026"/>
      <c r="M472" s="1026"/>
      <c r="N472" s="1026"/>
      <c r="O472" s="1026"/>
      <c r="P472" s="1026"/>
      <c r="Q472" s="1026"/>
      <c r="R472" s="1026"/>
      <c r="S472" s="1026"/>
      <c r="T472" s="1026"/>
      <c r="U472" s="1026"/>
      <c r="V472" s="1026"/>
      <c r="W472" s="1026"/>
      <c r="X472" s="1026"/>
      <c r="Y472" s="1026"/>
      <c r="Z472" s="1026"/>
      <c r="AA472" s="1026"/>
      <c r="AB472" s="1026"/>
      <c r="AC472" s="1026"/>
    </row>
    <row r="473" spans="1:29" x14ac:dyDescent="0.25">
      <c r="A473" s="847"/>
      <c r="B473" s="1026"/>
      <c r="C473" s="1026"/>
      <c r="D473" s="1026"/>
      <c r="E473" s="1026"/>
      <c r="F473" s="1026"/>
      <c r="G473" s="1026"/>
      <c r="H473" s="1026"/>
      <c r="I473" s="1026"/>
      <c r="J473" s="1026"/>
      <c r="K473" s="1026"/>
      <c r="L473" s="1026"/>
      <c r="M473" s="1026"/>
      <c r="N473" s="1026"/>
      <c r="O473" s="1026"/>
      <c r="P473" s="1026"/>
      <c r="Q473" s="1026"/>
      <c r="R473" s="1026"/>
      <c r="S473" s="1026"/>
      <c r="T473" s="1026"/>
      <c r="U473" s="1026"/>
      <c r="V473" s="1026"/>
      <c r="W473" s="1026"/>
      <c r="X473" s="1026"/>
      <c r="Y473" s="1026"/>
      <c r="Z473" s="1026"/>
      <c r="AA473" s="1026"/>
      <c r="AB473" s="1026"/>
      <c r="AC473" s="1026"/>
    </row>
    <row r="474" spans="1:29" x14ac:dyDescent="0.25">
      <c r="A474" s="847"/>
      <c r="B474" s="1026"/>
      <c r="C474" s="1026"/>
      <c r="D474" s="1026"/>
      <c r="E474" s="1026"/>
      <c r="F474" s="1026"/>
      <c r="G474" s="1026"/>
      <c r="H474" s="1026"/>
      <c r="I474" s="1026"/>
      <c r="J474" s="1026"/>
      <c r="K474" s="1026"/>
      <c r="L474" s="1026"/>
      <c r="M474" s="1026"/>
      <c r="N474" s="1026"/>
      <c r="O474" s="1026"/>
      <c r="P474" s="1026"/>
      <c r="Q474" s="1026"/>
      <c r="R474" s="1026"/>
      <c r="S474" s="1026"/>
      <c r="T474" s="1026"/>
      <c r="U474" s="1026"/>
      <c r="V474" s="1026"/>
      <c r="W474" s="1026"/>
      <c r="X474" s="1026"/>
      <c r="Y474" s="1026"/>
      <c r="Z474" s="1026"/>
      <c r="AA474" s="1026"/>
      <c r="AB474" s="1026"/>
      <c r="AC474" s="1026"/>
    </row>
    <row r="475" spans="1:29" x14ac:dyDescent="0.25">
      <c r="A475" s="847"/>
      <c r="B475" s="1026"/>
      <c r="C475" s="1026"/>
      <c r="D475" s="1026"/>
      <c r="E475" s="1026"/>
      <c r="F475" s="1026"/>
      <c r="G475" s="1026"/>
      <c r="H475" s="1026"/>
      <c r="I475" s="1026"/>
      <c r="J475" s="1026"/>
      <c r="K475" s="1026"/>
      <c r="L475" s="1026"/>
      <c r="M475" s="1026"/>
      <c r="N475" s="1026"/>
      <c r="O475" s="1026"/>
      <c r="P475" s="1026"/>
      <c r="Q475" s="1026"/>
      <c r="R475" s="1026"/>
      <c r="S475" s="1026"/>
      <c r="T475" s="1026"/>
      <c r="U475" s="1026"/>
      <c r="V475" s="1026"/>
      <c r="W475" s="1026"/>
      <c r="X475" s="1026"/>
      <c r="Y475" s="1026"/>
      <c r="Z475" s="1026"/>
      <c r="AA475" s="1026"/>
      <c r="AB475" s="1026"/>
      <c r="AC475" s="1026"/>
    </row>
    <row r="476" spans="1:29" x14ac:dyDescent="0.25">
      <c r="A476" s="847"/>
      <c r="B476" s="1026"/>
      <c r="C476" s="1026"/>
      <c r="D476" s="1026"/>
      <c r="E476" s="1026"/>
      <c r="F476" s="1026"/>
      <c r="G476" s="1026"/>
      <c r="H476" s="1026"/>
      <c r="I476" s="1026"/>
      <c r="J476" s="1026"/>
      <c r="K476" s="1026"/>
      <c r="L476" s="1026"/>
      <c r="M476" s="1026"/>
      <c r="N476" s="1026"/>
      <c r="O476" s="1026"/>
      <c r="P476" s="1026"/>
      <c r="Q476" s="1026"/>
      <c r="R476" s="1026"/>
      <c r="S476" s="1026"/>
      <c r="T476" s="1026"/>
      <c r="U476" s="1026"/>
      <c r="V476" s="1026"/>
      <c r="W476" s="1026"/>
      <c r="X476" s="1026"/>
      <c r="Y476" s="1026"/>
      <c r="Z476" s="1026"/>
      <c r="AA476" s="1026"/>
      <c r="AB476" s="1026"/>
      <c r="AC476" s="1026"/>
    </row>
    <row r="477" spans="1:29" x14ac:dyDescent="0.25">
      <c r="A477" s="847"/>
      <c r="B477" s="1026"/>
      <c r="C477" s="1026"/>
      <c r="D477" s="1026"/>
      <c r="E477" s="1026"/>
      <c r="F477" s="1026"/>
      <c r="G477" s="1026"/>
      <c r="H477" s="1026"/>
      <c r="I477" s="1026"/>
      <c r="J477" s="1026"/>
      <c r="K477" s="1026"/>
      <c r="L477" s="1026"/>
      <c r="M477" s="1026"/>
      <c r="N477" s="1026"/>
      <c r="O477" s="1026"/>
      <c r="P477" s="1026"/>
      <c r="Q477" s="1026"/>
      <c r="R477" s="1026"/>
      <c r="S477" s="1026"/>
      <c r="T477" s="1026"/>
      <c r="U477" s="1026"/>
      <c r="V477" s="1026"/>
      <c r="W477" s="1026"/>
      <c r="X477" s="1026"/>
      <c r="Y477" s="1026"/>
      <c r="Z477" s="1026"/>
      <c r="AA477" s="1026"/>
      <c r="AB477" s="1026"/>
      <c r="AC477" s="1026"/>
    </row>
    <row r="478" spans="1:29" x14ac:dyDescent="0.25">
      <c r="A478" s="847"/>
      <c r="B478" s="1026"/>
      <c r="C478" s="1026"/>
      <c r="D478" s="1026"/>
      <c r="E478" s="1026"/>
      <c r="F478" s="1026"/>
      <c r="G478" s="1026"/>
      <c r="H478" s="1026"/>
      <c r="I478" s="1026"/>
      <c r="J478" s="1026"/>
      <c r="K478" s="1026"/>
      <c r="L478" s="1026"/>
      <c r="M478" s="1026"/>
      <c r="N478" s="1026"/>
      <c r="O478" s="1026"/>
      <c r="P478" s="1026"/>
      <c r="Q478" s="1026"/>
      <c r="R478" s="1026"/>
      <c r="S478" s="1026"/>
      <c r="T478" s="1026"/>
      <c r="U478" s="1026"/>
      <c r="V478" s="1026"/>
      <c r="W478" s="1026"/>
      <c r="X478" s="1026"/>
      <c r="Y478" s="1026"/>
      <c r="Z478" s="1026"/>
      <c r="AA478" s="1026"/>
      <c r="AB478" s="1026"/>
      <c r="AC478" s="1026"/>
    </row>
    <row r="479" spans="1:29" x14ac:dyDescent="0.25">
      <c r="A479" s="847"/>
      <c r="B479" s="1026"/>
      <c r="C479" s="1026"/>
      <c r="D479" s="1026"/>
      <c r="E479" s="1026"/>
      <c r="F479" s="1026"/>
      <c r="G479" s="1026"/>
      <c r="H479" s="1026"/>
      <c r="I479" s="1026"/>
      <c r="J479" s="1026"/>
      <c r="K479" s="1026"/>
      <c r="L479" s="1026"/>
      <c r="M479" s="1026"/>
      <c r="N479" s="1026"/>
      <c r="O479" s="1026"/>
      <c r="P479" s="1026"/>
      <c r="Q479" s="1026"/>
      <c r="R479" s="1026"/>
      <c r="S479" s="1026"/>
      <c r="T479" s="1026"/>
      <c r="U479" s="1026"/>
      <c r="V479" s="1026"/>
      <c r="W479" s="1026"/>
      <c r="X479" s="1026"/>
      <c r="Y479" s="1026"/>
      <c r="Z479" s="1026"/>
      <c r="AA479" s="1026"/>
      <c r="AB479" s="1026"/>
      <c r="AC479" s="1026"/>
    </row>
    <row r="480" spans="1:29" x14ac:dyDescent="0.25">
      <c r="A480" s="847"/>
      <c r="B480" s="1026"/>
      <c r="C480" s="1026"/>
      <c r="D480" s="1026"/>
      <c r="E480" s="1026"/>
      <c r="F480" s="1026"/>
      <c r="G480" s="1026"/>
      <c r="H480" s="1026"/>
      <c r="I480" s="1026"/>
      <c r="J480" s="1026"/>
      <c r="K480" s="1026"/>
      <c r="L480" s="1026"/>
      <c r="M480" s="1026"/>
      <c r="N480" s="1026"/>
      <c r="O480" s="1026"/>
      <c r="P480" s="1026"/>
      <c r="Q480" s="1026"/>
      <c r="R480" s="1026"/>
      <c r="S480" s="1026"/>
      <c r="T480" s="1026"/>
      <c r="U480" s="1026"/>
      <c r="V480" s="1026"/>
      <c r="W480" s="1026"/>
      <c r="X480" s="1026"/>
      <c r="Y480" s="1026"/>
      <c r="Z480" s="1026"/>
      <c r="AA480" s="1026"/>
      <c r="AB480" s="1026"/>
      <c r="AC480" s="1026"/>
    </row>
    <row r="481" spans="1:29" x14ac:dyDescent="0.25">
      <c r="A481" s="847"/>
      <c r="B481" s="1026"/>
      <c r="C481" s="1026"/>
      <c r="D481" s="1026"/>
      <c r="E481" s="1026"/>
      <c r="F481" s="1026"/>
      <c r="G481" s="1026"/>
      <c r="H481" s="1026"/>
      <c r="I481" s="1026"/>
      <c r="J481" s="1026"/>
      <c r="K481" s="1026"/>
      <c r="L481" s="1026"/>
      <c r="M481" s="1026"/>
      <c r="N481" s="1026"/>
      <c r="O481" s="1026"/>
      <c r="P481" s="1026"/>
      <c r="Q481" s="1026"/>
      <c r="R481" s="1026"/>
      <c r="S481" s="1026"/>
      <c r="T481" s="1026"/>
      <c r="U481" s="1026"/>
      <c r="V481" s="1026"/>
      <c r="W481" s="1026"/>
      <c r="X481" s="1026"/>
      <c r="Y481" s="1026"/>
      <c r="Z481" s="1026"/>
      <c r="AA481" s="1026"/>
      <c r="AB481" s="1026"/>
      <c r="AC481" s="1026"/>
    </row>
    <row r="482" spans="1:29" x14ac:dyDescent="0.25">
      <c r="A482" s="847"/>
      <c r="B482" s="1026"/>
      <c r="C482" s="1026"/>
      <c r="D482" s="1026"/>
      <c r="E482" s="1026"/>
      <c r="F482" s="1026"/>
      <c r="G482" s="1026"/>
      <c r="H482" s="1026"/>
      <c r="I482" s="1026"/>
      <c r="J482" s="1026"/>
      <c r="K482" s="1026"/>
      <c r="L482" s="1026"/>
      <c r="M482" s="1026"/>
      <c r="N482" s="1026"/>
      <c r="O482" s="1026"/>
      <c r="P482" s="1026"/>
      <c r="Q482" s="1026"/>
      <c r="R482" s="1026"/>
      <c r="S482" s="1026"/>
      <c r="T482" s="1026"/>
      <c r="U482" s="1026"/>
      <c r="V482" s="1026"/>
      <c r="W482" s="1026"/>
      <c r="X482" s="1026"/>
      <c r="Y482" s="1026"/>
      <c r="Z482" s="1026"/>
      <c r="AA482" s="1026"/>
      <c r="AB482" s="1026"/>
      <c r="AC482" s="1026"/>
    </row>
    <row r="483" spans="1:29" x14ac:dyDescent="0.25">
      <c r="A483" s="847"/>
      <c r="B483" s="1026"/>
      <c r="C483" s="1026"/>
      <c r="D483" s="1026"/>
      <c r="E483" s="1026"/>
      <c r="F483" s="1026"/>
      <c r="G483" s="1026"/>
      <c r="H483" s="1026"/>
      <c r="I483" s="1026"/>
      <c r="J483" s="1026"/>
      <c r="K483" s="1026"/>
      <c r="L483" s="1026"/>
      <c r="M483" s="1026"/>
      <c r="N483" s="1026"/>
      <c r="O483" s="1026"/>
      <c r="P483" s="1026"/>
      <c r="Q483" s="1026"/>
      <c r="R483" s="1026"/>
      <c r="S483" s="1026"/>
      <c r="T483" s="1026"/>
      <c r="U483" s="1026"/>
      <c r="V483" s="1026"/>
      <c r="W483" s="1026"/>
      <c r="X483" s="1026"/>
      <c r="Y483" s="1026"/>
      <c r="Z483" s="1026"/>
      <c r="AA483" s="1026"/>
      <c r="AB483" s="1026"/>
      <c r="AC483" s="1026"/>
    </row>
    <row r="484" spans="1:29" x14ac:dyDescent="0.25">
      <c r="A484" s="847"/>
      <c r="B484" s="1026"/>
      <c r="C484" s="1026"/>
      <c r="D484" s="1026"/>
      <c r="E484" s="1026"/>
      <c r="F484" s="1026"/>
      <c r="G484" s="1026"/>
      <c r="H484" s="1026"/>
      <c r="I484" s="1026"/>
      <c r="J484" s="1026"/>
      <c r="K484" s="1026"/>
      <c r="L484" s="1026"/>
      <c r="M484" s="1026"/>
      <c r="N484" s="1026"/>
      <c r="O484" s="1026"/>
      <c r="P484" s="1026"/>
      <c r="Q484" s="1026"/>
      <c r="R484" s="1026"/>
      <c r="S484" s="1026"/>
      <c r="T484" s="1026"/>
      <c r="U484" s="1026"/>
      <c r="V484" s="1026"/>
      <c r="W484" s="1026"/>
      <c r="X484" s="1026"/>
      <c r="Y484" s="1026"/>
      <c r="Z484" s="1026"/>
      <c r="AA484" s="1026"/>
      <c r="AB484" s="1026"/>
      <c r="AC484" s="1026"/>
    </row>
    <row r="485" spans="1:29" x14ac:dyDescent="0.25">
      <c r="A485" s="847"/>
      <c r="B485" s="1026"/>
      <c r="C485" s="1026"/>
      <c r="D485" s="1026"/>
      <c r="E485" s="1026"/>
      <c r="F485" s="1026"/>
      <c r="G485" s="1026"/>
      <c r="H485" s="1026"/>
      <c r="I485" s="1026"/>
      <c r="J485" s="1026"/>
      <c r="K485" s="1026"/>
      <c r="L485" s="1026"/>
      <c r="M485" s="1026"/>
      <c r="N485" s="1026"/>
      <c r="O485" s="1026"/>
      <c r="P485" s="1026"/>
      <c r="Q485" s="1026"/>
      <c r="R485" s="1026"/>
      <c r="S485" s="1026"/>
      <c r="T485" s="1026"/>
      <c r="U485" s="1026"/>
      <c r="V485" s="1026"/>
      <c r="W485" s="1026"/>
      <c r="X485" s="1026"/>
      <c r="Y485" s="1026"/>
      <c r="Z485" s="1026"/>
      <c r="AA485" s="1026"/>
      <c r="AB485" s="1026"/>
      <c r="AC485" s="1026"/>
    </row>
    <row r="486" spans="1:29" x14ac:dyDescent="0.25">
      <c r="A486" s="847"/>
      <c r="B486" s="1026"/>
      <c r="C486" s="1026"/>
      <c r="D486" s="1026"/>
      <c r="E486" s="1026"/>
      <c r="F486" s="1026"/>
      <c r="G486" s="1026"/>
      <c r="H486" s="1026"/>
      <c r="I486" s="1026"/>
      <c r="J486" s="1026"/>
      <c r="K486" s="1026"/>
      <c r="L486" s="1026"/>
      <c r="M486" s="1026"/>
      <c r="N486" s="1026"/>
      <c r="O486" s="1026"/>
      <c r="P486" s="1026"/>
      <c r="Q486" s="1026"/>
      <c r="R486" s="1026"/>
      <c r="S486" s="1026"/>
      <c r="T486" s="1026"/>
      <c r="U486" s="1026"/>
      <c r="V486" s="1026"/>
      <c r="W486" s="1026"/>
      <c r="X486" s="1026"/>
      <c r="Y486" s="1026"/>
      <c r="Z486" s="1026"/>
      <c r="AA486" s="1026"/>
      <c r="AB486" s="1026"/>
      <c r="AC486" s="1026"/>
    </row>
    <row r="487" spans="1:29" x14ac:dyDescent="0.25">
      <c r="A487" s="847"/>
      <c r="B487" s="1026"/>
      <c r="C487" s="1026"/>
      <c r="D487" s="1026"/>
      <c r="E487" s="1026"/>
      <c r="F487" s="1026"/>
      <c r="G487" s="1026"/>
      <c r="H487" s="1026"/>
      <c r="I487" s="1026"/>
      <c r="J487" s="1026"/>
      <c r="K487" s="1026"/>
      <c r="L487" s="1026"/>
      <c r="M487" s="1026"/>
      <c r="N487" s="1026"/>
      <c r="O487" s="1026"/>
      <c r="P487" s="1026"/>
      <c r="Q487" s="1026"/>
      <c r="R487" s="1026"/>
      <c r="S487" s="1026"/>
      <c r="T487" s="1026"/>
      <c r="U487" s="1026"/>
      <c r="V487" s="1026"/>
      <c r="W487" s="1026"/>
      <c r="X487" s="1026"/>
      <c r="Y487" s="1026"/>
      <c r="Z487" s="1026"/>
      <c r="AA487" s="1026"/>
      <c r="AB487" s="1026"/>
      <c r="AC487" s="1026"/>
    </row>
    <row r="488" spans="1:29" x14ac:dyDescent="0.25">
      <c r="A488" s="847"/>
      <c r="B488" s="1026"/>
      <c r="C488" s="1026"/>
      <c r="D488" s="1026"/>
      <c r="E488" s="1026"/>
      <c r="F488" s="1026"/>
      <c r="G488" s="1026"/>
      <c r="H488" s="1026"/>
      <c r="I488" s="1026"/>
      <c r="J488" s="1026"/>
      <c r="K488" s="1026"/>
      <c r="L488" s="1026"/>
      <c r="M488" s="1026"/>
      <c r="N488" s="1026"/>
      <c r="O488" s="1026"/>
      <c r="P488" s="1026"/>
      <c r="Q488" s="1026"/>
      <c r="R488" s="1026"/>
      <c r="S488" s="1026"/>
      <c r="T488" s="1026"/>
      <c r="U488" s="1026"/>
      <c r="V488" s="1026"/>
      <c r="W488" s="1026"/>
      <c r="X488" s="1026"/>
      <c r="Y488" s="1026"/>
      <c r="Z488" s="1026"/>
      <c r="AA488" s="1026"/>
      <c r="AB488" s="1026"/>
      <c r="AC488" s="1026"/>
    </row>
    <row r="489" spans="1:29" x14ac:dyDescent="0.25">
      <c r="A489" s="847"/>
      <c r="B489" s="1026"/>
      <c r="C489" s="1026"/>
      <c r="D489" s="1026"/>
      <c r="E489" s="1026"/>
      <c r="F489" s="1026"/>
      <c r="G489" s="1026"/>
      <c r="H489" s="1026"/>
      <c r="I489" s="1026"/>
      <c r="J489" s="1026"/>
      <c r="K489" s="1026"/>
      <c r="L489" s="1026"/>
      <c r="M489" s="1026"/>
      <c r="N489" s="1026"/>
      <c r="O489" s="1026"/>
      <c r="P489" s="1026"/>
      <c r="Q489" s="1026"/>
      <c r="R489" s="1026"/>
      <c r="S489" s="1026"/>
      <c r="T489" s="1026"/>
      <c r="U489" s="1026"/>
      <c r="V489" s="1026"/>
      <c r="W489" s="1026"/>
      <c r="X489" s="1026"/>
      <c r="Y489" s="1026"/>
      <c r="Z489" s="1026"/>
      <c r="AA489" s="1026"/>
      <c r="AB489" s="1026"/>
      <c r="AC489" s="1026"/>
    </row>
    <row r="490" spans="1:29" x14ac:dyDescent="0.25">
      <c r="A490" s="847"/>
      <c r="B490" s="1026"/>
      <c r="C490" s="1026"/>
      <c r="D490" s="1026"/>
      <c r="E490" s="1026"/>
      <c r="F490" s="1026"/>
      <c r="G490" s="1026"/>
      <c r="H490" s="1026"/>
      <c r="I490" s="1026"/>
      <c r="J490" s="1026"/>
      <c r="K490" s="1026"/>
      <c r="L490" s="1026"/>
      <c r="M490" s="1026"/>
      <c r="N490" s="1026"/>
      <c r="O490" s="1026"/>
      <c r="P490" s="1026"/>
      <c r="Q490" s="1026"/>
      <c r="R490" s="1026"/>
      <c r="S490" s="1026"/>
      <c r="T490" s="1026"/>
      <c r="U490" s="1026"/>
      <c r="V490" s="1026"/>
      <c r="W490" s="1026"/>
      <c r="X490" s="1026"/>
      <c r="Y490" s="1026"/>
      <c r="Z490" s="1026"/>
      <c r="AA490" s="1026"/>
      <c r="AB490" s="1026"/>
      <c r="AC490" s="1026"/>
    </row>
    <row r="491" spans="1:29" x14ac:dyDescent="0.25">
      <c r="A491" s="847"/>
      <c r="B491" s="1026"/>
      <c r="C491" s="1026"/>
      <c r="D491" s="1026"/>
      <c r="E491" s="1026"/>
      <c r="F491" s="1026"/>
      <c r="G491" s="1026"/>
      <c r="H491" s="1026"/>
      <c r="I491" s="1026"/>
      <c r="J491" s="1026"/>
      <c r="K491" s="1026"/>
      <c r="L491" s="1026"/>
      <c r="M491" s="1026"/>
      <c r="N491" s="1026"/>
      <c r="O491" s="1026"/>
      <c r="P491" s="1026"/>
      <c r="Q491" s="1026"/>
      <c r="R491" s="1026"/>
      <c r="S491" s="1026"/>
      <c r="T491" s="1026"/>
      <c r="U491" s="1026"/>
      <c r="V491" s="1026"/>
      <c r="W491" s="1026"/>
      <c r="X491" s="1026"/>
      <c r="Y491" s="1026"/>
      <c r="Z491" s="1026"/>
      <c r="AA491" s="1026"/>
      <c r="AB491" s="1026"/>
      <c r="AC491" s="1026"/>
    </row>
    <row r="492" spans="1:29" x14ac:dyDescent="0.25">
      <c r="A492" s="847"/>
      <c r="B492" s="1026"/>
      <c r="C492" s="1026"/>
      <c r="D492" s="1026"/>
      <c r="E492" s="1026"/>
      <c r="F492" s="1026"/>
      <c r="G492" s="1026"/>
      <c r="H492" s="1026"/>
      <c r="I492" s="1026"/>
      <c r="J492" s="1026"/>
      <c r="K492" s="1026"/>
      <c r="L492" s="1026"/>
      <c r="M492" s="1026"/>
      <c r="N492" s="1026"/>
      <c r="O492" s="1026"/>
      <c r="P492" s="1026"/>
      <c r="Q492" s="1026"/>
      <c r="R492" s="1026"/>
      <c r="S492" s="1026"/>
      <c r="T492" s="1026"/>
      <c r="U492" s="1026"/>
      <c r="V492" s="1026"/>
      <c r="W492" s="1026"/>
      <c r="X492" s="1026"/>
      <c r="Y492" s="1026"/>
      <c r="Z492" s="1026"/>
      <c r="AA492" s="1026"/>
      <c r="AB492" s="1026"/>
      <c r="AC492" s="1026"/>
    </row>
    <row r="493" spans="1:29" x14ac:dyDescent="0.25">
      <c r="A493" s="847"/>
      <c r="B493" s="1026"/>
      <c r="C493" s="1026"/>
      <c r="D493" s="1026"/>
      <c r="E493" s="1026"/>
      <c r="F493" s="1026"/>
      <c r="G493" s="1026"/>
      <c r="H493" s="1026"/>
      <c r="I493" s="1026"/>
      <c r="J493" s="1026"/>
      <c r="K493" s="1026"/>
      <c r="L493" s="1026"/>
      <c r="M493" s="1026"/>
      <c r="N493" s="1026"/>
      <c r="O493" s="1026"/>
      <c r="P493" s="1026"/>
      <c r="Q493" s="1026"/>
      <c r="R493" s="1026"/>
      <c r="S493" s="1026"/>
      <c r="T493" s="1026"/>
      <c r="U493" s="1026"/>
      <c r="V493" s="1026"/>
      <c r="W493" s="1026"/>
      <c r="X493" s="1026"/>
      <c r="Y493" s="1026"/>
      <c r="Z493" s="1026"/>
      <c r="AA493" s="1026"/>
      <c r="AB493" s="1026"/>
      <c r="AC493" s="1026"/>
    </row>
    <row r="494" spans="1:29" x14ac:dyDescent="0.25">
      <c r="A494" s="847"/>
      <c r="B494" s="1026"/>
      <c r="C494" s="1026"/>
      <c r="D494" s="1026"/>
      <c r="E494" s="1026"/>
      <c r="F494" s="1026"/>
      <c r="G494" s="1026"/>
      <c r="H494" s="1026"/>
      <c r="I494" s="1026"/>
      <c r="J494" s="1026"/>
      <c r="K494" s="1026"/>
      <c r="L494" s="1026"/>
      <c r="M494" s="1026"/>
      <c r="N494" s="1026"/>
      <c r="O494" s="1026"/>
      <c r="P494" s="1026"/>
      <c r="Q494" s="1026"/>
      <c r="R494" s="1026"/>
      <c r="S494" s="1026"/>
      <c r="T494" s="1026"/>
      <c r="U494" s="1026"/>
      <c r="V494" s="1026"/>
      <c r="W494" s="1026"/>
      <c r="X494" s="1026"/>
      <c r="Y494" s="1026"/>
      <c r="Z494" s="1026"/>
      <c r="AA494" s="1026"/>
      <c r="AB494" s="1026"/>
      <c r="AC494" s="1026"/>
    </row>
    <row r="495" spans="1:29" x14ac:dyDescent="0.25">
      <c r="A495" s="847"/>
      <c r="B495" s="1026"/>
      <c r="C495" s="1026"/>
      <c r="D495" s="1026"/>
      <c r="E495" s="1026"/>
      <c r="F495" s="1026"/>
      <c r="G495" s="1026"/>
      <c r="H495" s="1026"/>
      <c r="I495" s="1026"/>
      <c r="J495" s="1026"/>
      <c r="K495" s="1026"/>
      <c r="L495" s="1026"/>
      <c r="M495" s="1026"/>
      <c r="N495" s="1026"/>
      <c r="O495" s="1026"/>
      <c r="P495" s="1026"/>
      <c r="Q495" s="1026"/>
      <c r="R495" s="1026"/>
      <c r="S495" s="1026"/>
      <c r="T495" s="1026"/>
      <c r="U495" s="1026"/>
      <c r="V495" s="1026"/>
      <c r="W495" s="1026"/>
      <c r="X495" s="1026"/>
      <c r="Y495" s="1026"/>
      <c r="Z495" s="1026"/>
      <c r="AA495" s="1026"/>
      <c r="AB495" s="1026"/>
      <c r="AC495" s="1026"/>
    </row>
    <row r="496" spans="1:29" x14ac:dyDescent="0.25">
      <c r="A496" s="847"/>
      <c r="B496" s="1026"/>
      <c r="C496" s="1026"/>
      <c r="D496" s="1026"/>
      <c r="E496" s="1026"/>
      <c r="F496" s="1026"/>
      <c r="G496" s="1026"/>
      <c r="H496" s="1026"/>
      <c r="I496" s="1026"/>
      <c r="J496" s="1026"/>
      <c r="K496" s="1026"/>
      <c r="L496" s="1026"/>
      <c r="M496" s="1026"/>
      <c r="N496" s="1026"/>
      <c r="O496" s="1026"/>
      <c r="P496" s="1026"/>
      <c r="Q496" s="1026"/>
      <c r="R496" s="1026"/>
      <c r="S496" s="1026"/>
      <c r="T496" s="1026"/>
      <c r="U496" s="1026"/>
      <c r="V496" s="1026"/>
      <c r="W496" s="1026"/>
      <c r="X496" s="1026"/>
      <c r="Y496" s="1026"/>
      <c r="Z496" s="1026"/>
      <c r="AA496" s="1026"/>
      <c r="AB496" s="1026"/>
      <c r="AC496" s="1026"/>
    </row>
    <row r="497" spans="1:29" x14ac:dyDescent="0.25">
      <c r="A497" s="847"/>
      <c r="B497" s="1026"/>
      <c r="C497" s="1026"/>
      <c r="D497" s="1026"/>
      <c r="E497" s="1026"/>
      <c r="F497" s="1026"/>
      <c r="G497" s="1026"/>
      <c r="H497" s="1026"/>
      <c r="I497" s="1026"/>
      <c r="J497" s="1026"/>
      <c r="K497" s="1026"/>
      <c r="L497" s="1026"/>
      <c r="M497" s="1026"/>
      <c r="N497" s="1026"/>
      <c r="O497" s="1026"/>
      <c r="P497" s="1026"/>
      <c r="Q497" s="1026"/>
      <c r="R497" s="1026"/>
      <c r="S497" s="1026"/>
      <c r="T497" s="1026"/>
      <c r="U497" s="1026"/>
      <c r="V497" s="1026"/>
      <c r="W497" s="1026"/>
      <c r="X497" s="1026"/>
      <c r="Y497" s="1026"/>
      <c r="Z497" s="1026"/>
      <c r="AA497" s="1026"/>
      <c r="AB497" s="1026"/>
      <c r="AC497" s="1026"/>
    </row>
    <row r="498" spans="1:29" x14ac:dyDescent="0.25">
      <c r="A498" s="847"/>
      <c r="B498" s="1026"/>
      <c r="C498" s="1026"/>
      <c r="D498" s="1026"/>
      <c r="E498" s="1026"/>
      <c r="F498" s="1026"/>
      <c r="G498" s="1026"/>
      <c r="H498" s="1026"/>
      <c r="I498" s="1026"/>
      <c r="J498" s="1026"/>
      <c r="K498" s="1026"/>
      <c r="L498" s="1026"/>
      <c r="M498" s="1026"/>
      <c r="N498" s="1026"/>
      <c r="O498" s="1026"/>
      <c r="P498" s="1026"/>
      <c r="Q498" s="1026"/>
      <c r="R498" s="1026"/>
      <c r="S498" s="1026"/>
      <c r="T498" s="1026"/>
      <c r="U498" s="1026"/>
      <c r="V498" s="1026"/>
      <c r="W498" s="1026"/>
      <c r="X498" s="1026"/>
      <c r="Y498" s="1026"/>
      <c r="Z498" s="1026"/>
      <c r="AA498" s="1026"/>
      <c r="AB498" s="1026"/>
      <c r="AC498" s="1026"/>
    </row>
    <row r="499" spans="1:29" x14ac:dyDescent="0.25">
      <c r="A499" s="847"/>
      <c r="B499" s="1026"/>
      <c r="C499" s="1026"/>
      <c r="D499" s="1026"/>
      <c r="E499" s="1026"/>
      <c r="F499" s="1026"/>
      <c r="G499" s="1026"/>
      <c r="H499" s="1026"/>
      <c r="I499" s="1026"/>
      <c r="J499" s="1026"/>
      <c r="K499" s="1026"/>
      <c r="L499" s="1026"/>
      <c r="M499" s="1026"/>
      <c r="N499" s="1026"/>
      <c r="O499" s="1026"/>
      <c r="P499" s="1026"/>
      <c r="Q499" s="1026"/>
      <c r="R499" s="1026"/>
      <c r="S499" s="1026"/>
      <c r="T499" s="1026"/>
      <c r="U499" s="1026"/>
      <c r="V499" s="1026"/>
      <c r="W499" s="1026"/>
      <c r="X499" s="1026"/>
      <c r="Y499" s="1026"/>
      <c r="Z499" s="1026"/>
      <c r="AA499" s="1026"/>
      <c r="AB499" s="1026"/>
      <c r="AC499" s="1026"/>
    </row>
    <row r="500" spans="1:29" x14ac:dyDescent="0.25">
      <c r="A500" s="847"/>
      <c r="B500" s="1026"/>
      <c r="C500" s="1026"/>
      <c r="D500" s="1026"/>
      <c r="E500" s="1026"/>
      <c r="F500" s="1026"/>
      <c r="G500" s="1026"/>
      <c r="H500" s="1026"/>
      <c r="I500" s="1026"/>
      <c r="J500" s="1026"/>
      <c r="K500" s="1026"/>
      <c r="L500" s="1026"/>
      <c r="M500" s="1026"/>
      <c r="N500" s="1026"/>
      <c r="O500" s="1026"/>
      <c r="P500" s="1026"/>
      <c r="Q500" s="1026"/>
      <c r="R500" s="1026"/>
      <c r="S500" s="1026"/>
      <c r="T500" s="1026"/>
      <c r="U500" s="1026"/>
      <c r="V500" s="1026"/>
      <c r="W500" s="1026"/>
      <c r="X500" s="1026"/>
      <c r="Y500" s="1026"/>
      <c r="Z500" s="1026"/>
      <c r="AA500" s="1026"/>
      <c r="AB500" s="1026"/>
      <c r="AC500" s="1026"/>
    </row>
    <row r="501" spans="1:29" x14ac:dyDescent="0.25">
      <c r="A501" s="847"/>
      <c r="B501" s="1026"/>
      <c r="C501" s="1026"/>
      <c r="D501" s="1026"/>
      <c r="E501" s="1026"/>
      <c r="F501" s="1026"/>
      <c r="G501" s="1026"/>
      <c r="H501" s="1026"/>
      <c r="I501" s="1026"/>
      <c r="J501" s="1026"/>
      <c r="K501" s="1026"/>
      <c r="L501" s="1026"/>
      <c r="M501" s="1026"/>
      <c r="N501" s="1026"/>
      <c r="O501" s="1026"/>
      <c r="P501" s="1026"/>
      <c r="Q501" s="1026"/>
      <c r="R501" s="1026"/>
      <c r="S501" s="1026"/>
      <c r="T501" s="1026"/>
      <c r="U501" s="1026"/>
      <c r="V501" s="1026"/>
      <c r="W501" s="1026"/>
      <c r="X501" s="1026"/>
      <c r="Y501" s="1026"/>
      <c r="Z501" s="1026"/>
      <c r="AA501" s="1026"/>
      <c r="AB501" s="1026"/>
      <c r="AC501" s="1026"/>
    </row>
    <row r="502" spans="1:29" x14ac:dyDescent="0.25">
      <c r="A502" s="847"/>
      <c r="B502" s="1026"/>
      <c r="C502" s="1026"/>
      <c r="D502" s="1026"/>
      <c r="E502" s="1026"/>
      <c r="F502" s="1026"/>
      <c r="G502" s="1026"/>
      <c r="H502" s="1026"/>
      <c r="I502" s="1026"/>
      <c r="J502" s="1026"/>
      <c r="K502" s="1026"/>
      <c r="L502" s="1026"/>
      <c r="M502" s="1026"/>
      <c r="N502" s="1026"/>
      <c r="O502" s="1026"/>
      <c r="P502" s="1026"/>
      <c r="Q502" s="1026"/>
      <c r="R502" s="1026"/>
      <c r="S502" s="1026"/>
      <c r="T502" s="1026"/>
      <c r="U502" s="1026"/>
      <c r="V502" s="1026"/>
      <c r="W502" s="1026"/>
      <c r="X502" s="1026"/>
      <c r="Y502" s="1026"/>
      <c r="Z502" s="1026"/>
      <c r="AA502" s="1026"/>
      <c r="AB502" s="1026"/>
      <c r="AC502" s="1026"/>
    </row>
    <row r="503" spans="1:29" x14ac:dyDescent="0.25">
      <c r="A503" s="847"/>
      <c r="B503" s="1026"/>
      <c r="C503" s="1026"/>
      <c r="D503" s="1026"/>
      <c r="E503" s="1026"/>
      <c r="F503" s="1026"/>
      <c r="G503" s="1026"/>
      <c r="H503" s="1026"/>
      <c r="I503" s="1026"/>
      <c r="J503" s="1026"/>
      <c r="K503" s="1026"/>
      <c r="L503" s="1026"/>
      <c r="M503" s="1026"/>
      <c r="N503" s="1026"/>
      <c r="O503" s="1026"/>
      <c r="P503" s="1026"/>
      <c r="Q503" s="1026"/>
      <c r="R503" s="1026"/>
      <c r="S503" s="1026"/>
      <c r="T503" s="1026"/>
      <c r="U503" s="1026"/>
      <c r="V503" s="1026"/>
      <c r="W503" s="1026"/>
      <c r="X503" s="1026"/>
      <c r="Y503" s="1026"/>
      <c r="Z503" s="1026"/>
      <c r="AA503" s="1026"/>
      <c r="AB503" s="1026"/>
      <c r="AC503" s="1026"/>
    </row>
    <row r="504" spans="1:29" x14ac:dyDescent="0.25">
      <c r="A504" s="847"/>
      <c r="B504" s="1026"/>
      <c r="C504" s="1026"/>
      <c r="D504" s="1026"/>
      <c r="E504" s="1026"/>
      <c r="F504" s="1026"/>
      <c r="G504" s="1026"/>
      <c r="H504" s="1026"/>
      <c r="I504" s="1026"/>
      <c r="J504" s="1026"/>
      <c r="K504" s="1026"/>
      <c r="L504" s="1026"/>
      <c r="M504" s="1026"/>
      <c r="N504" s="1026"/>
      <c r="O504" s="1026"/>
      <c r="P504" s="1026"/>
      <c r="Q504" s="1026"/>
      <c r="R504" s="1026"/>
      <c r="S504" s="1026"/>
      <c r="T504" s="1026"/>
      <c r="U504" s="1026"/>
      <c r="V504" s="1026"/>
      <c r="W504" s="1026"/>
      <c r="X504" s="1026"/>
      <c r="Y504" s="1026"/>
      <c r="Z504" s="1026"/>
      <c r="AA504" s="1026"/>
      <c r="AB504" s="1026"/>
      <c r="AC504" s="1026"/>
    </row>
    <row r="505" spans="1:29" x14ac:dyDescent="0.25">
      <c r="A505" s="847"/>
      <c r="B505" s="1026"/>
      <c r="C505" s="1026"/>
      <c r="D505" s="1026"/>
      <c r="E505" s="1026"/>
      <c r="F505" s="1026"/>
      <c r="G505" s="1026"/>
      <c r="H505" s="1026"/>
      <c r="I505" s="1026"/>
      <c r="J505" s="1026"/>
      <c r="K505" s="1026"/>
      <c r="L505" s="1026"/>
      <c r="M505" s="1026"/>
      <c r="N505" s="1026"/>
      <c r="O505" s="1026"/>
      <c r="P505" s="1026"/>
      <c r="Q505" s="1026"/>
      <c r="R505" s="1026"/>
      <c r="S505" s="1026"/>
      <c r="T505" s="1026"/>
      <c r="U505" s="1026"/>
      <c r="V505" s="1026"/>
      <c r="W505" s="1026"/>
      <c r="X505" s="1026"/>
      <c r="Y505" s="1026"/>
      <c r="Z505" s="1026"/>
      <c r="AA505" s="1026"/>
      <c r="AB505" s="1026"/>
      <c r="AC505" s="1026"/>
    </row>
    <row r="506" spans="1:29" x14ac:dyDescent="0.25">
      <c r="A506" s="847"/>
      <c r="B506" s="1026"/>
      <c r="C506" s="1026"/>
      <c r="D506" s="1026"/>
      <c r="E506" s="1026"/>
      <c r="F506" s="1026"/>
      <c r="G506" s="1026"/>
      <c r="H506" s="1026"/>
      <c r="I506" s="1026"/>
      <c r="J506" s="1026"/>
      <c r="K506" s="1026"/>
      <c r="L506" s="1026"/>
      <c r="M506" s="1026"/>
      <c r="N506" s="1026"/>
      <c r="O506" s="1026"/>
      <c r="P506" s="1026"/>
      <c r="Q506" s="1026"/>
      <c r="R506" s="1026"/>
      <c r="S506" s="1026"/>
      <c r="T506" s="1026"/>
      <c r="U506" s="1026"/>
      <c r="V506" s="1026"/>
      <c r="W506" s="1026"/>
      <c r="X506" s="1026"/>
      <c r="Y506" s="1026"/>
      <c r="Z506" s="1026"/>
      <c r="AA506" s="1026"/>
      <c r="AB506" s="1026"/>
      <c r="AC506" s="1026"/>
    </row>
    <row r="507" spans="1:29" x14ac:dyDescent="0.25">
      <c r="A507" s="847"/>
      <c r="B507" s="1026"/>
      <c r="C507" s="1026"/>
      <c r="D507" s="1026"/>
      <c r="E507" s="1026"/>
      <c r="F507" s="1026"/>
      <c r="G507" s="1026"/>
      <c r="H507" s="1026"/>
      <c r="I507" s="1026"/>
      <c r="J507" s="1026"/>
      <c r="K507" s="1026"/>
      <c r="L507" s="1026"/>
      <c r="M507" s="1026"/>
      <c r="N507" s="1026"/>
      <c r="O507" s="1026"/>
      <c r="P507" s="1026"/>
      <c r="Q507" s="1026"/>
      <c r="R507" s="1026"/>
      <c r="S507" s="1026"/>
      <c r="T507" s="1026"/>
      <c r="U507" s="1026"/>
      <c r="V507" s="1026"/>
      <c r="W507" s="1026"/>
      <c r="X507" s="1026"/>
      <c r="Y507" s="1026"/>
      <c r="Z507" s="1026"/>
      <c r="AA507" s="1026"/>
      <c r="AB507" s="1026"/>
      <c r="AC507" s="1026"/>
    </row>
    <row r="508" spans="1:29" x14ac:dyDescent="0.25">
      <c r="A508" s="847"/>
      <c r="B508" s="1026"/>
      <c r="C508" s="1026"/>
      <c r="D508" s="1026"/>
      <c r="E508" s="1026"/>
      <c r="F508" s="1026"/>
      <c r="G508" s="1026"/>
      <c r="H508" s="1026"/>
      <c r="I508" s="1026"/>
      <c r="J508" s="1026"/>
      <c r="K508" s="1026"/>
      <c r="L508" s="1026"/>
      <c r="M508" s="1026"/>
      <c r="N508" s="1026"/>
      <c r="O508" s="1026"/>
      <c r="P508" s="1026"/>
      <c r="Q508" s="1026"/>
      <c r="R508" s="1026"/>
      <c r="S508" s="1026"/>
      <c r="T508" s="1026"/>
      <c r="U508" s="1026"/>
      <c r="V508" s="1026"/>
      <c r="W508" s="1026"/>
      <c r="X508" s="1026"/>
      <c r="Y508" s="1026"/>
      <c r="Z508" s="1026"/>
      <c r="AA508" s="1026"/>
      <c r="AB508" s="1026"/>
      <c r="AC508" s="1026"/>
    </row>
    <row r="509" spans="1:29" x14ac:dyDescent="0.25">
      <c r="A509" s="847"/>
      <c r="B509" s="1026"/>
      <c r="C509" s="1026"/>
      <c r="D509" s="1026"/>
      <c r="E509" s="1026"/>
      <c r="F509" s="1026"/>
      <c r="G509" s="1026"/>
      <c r="H509" s="1026"/>
      <c r="I509" s="1026"/>
      <c r="J509" s="1026"/>
      <c r="K509" s="1026"/>
      <c r="L509" s="1026"/>
      <c r="M509" s="1026"/>
      <c r="N509" s="1026"/>
      <c r="O509" s="1026"/>
      <c r="P509" s="1026"/>
      <c r="Q509" s="1026"/>
      <c r="R509" s="1026"/>
      <c r="S509" s="1026"/>
      <c r="T509" s="1026"/>
      <c r="U509" s="1026"/>
      <c r="V509" s="1026"/>
      <c r="W509" s="1026"/>
      <c r="X509" s="1026"/>
      <c r="Y509" s="1026"/>
      <c r="Z509" s="1026"/>
      <c r="AA509" s="1026"/>
      <c r="AB509" s="1026"/>
      <c r="AC509" s="1026"/>
    </row>
    <row r="510" spans="1:29" x14ac:dyDescent="0.25">
      <c r="A510" s="847"/>
      <c r="B510" s="1026"/>
      <c r="C510" s="1026"/>
      <c r="D510" s="1026"/>
      <c r="E510" s="1026"/>
      <c r="F510" s="1026"/>
      <c r="G510" s="1026"/>
      <c r="H510" s="1026"/>
      <c r="I510" s="1026"/>
      <c r="J510" s="1026"/>
      <c r="K510" s="1026"/>
      <c r="L510" s="1026"/>
      <c r="M510" s="1026"/>
      <c r="N510" s="1026"/>
      <c r="O510" s="1026"/>
      <c r="P510" s="1026"/>
      <c r="Q510" s="1026"/>
      <c r="R510" s="1026"/>
      <c r="S510" s="1026"/>
      <c r="T510" s="1026"/>
      <c r="U510" s="1026"/>
      <c r="V510" s="1026"/>
      <c r="W510" s="1026"/>
      <c r="X510" s="1026"/>
      <c r="Y510" s="1026"/>
      <c r="Z510" s="1026"/>
      <c r="AA510" s="1026"/>
      <c r="AB510" s="1026"/>
      <c r="AC510" s="1026"/>
    </row>
    <row r="511" spans="1:29" x14ac:dyDescent="0.25">
      <c r="A511" s="847"/>
      <c r="B511" s="1026"/>
      <c r="C511" s="1026"/>
      <c r="D511" s="1026"/>
      <c r="E511" s="1026"/>
      <c r="F511" s="1026"/>
      <c r="G511" s="1026"/>
      <c r="H511" s="1026"/>
      <c r="I511" s="1026"/>
      <c r="J511" s="1026"/>
      <c r="K511" s="1026"/>
      <c r="L511" s="1026"/>
      <c r="M511" s="1026"/>
      <c r="N511" s="1026"/>
      <c r="O511" s="1026"/>
      <c r="P511" s="1026"/>
      <c r="Q511" s="1026"/>
      <c r="R511" s="1026"/>
      <c r="S511" s="1026"/>
      <c r="T511" s="1026"/>
      <c r="U511" s="1026"/>
      <c r="V511" s="1026"/>
      <c r="W511" s="1026"/>
      <c r="X511" s="1026"/>
      <c r="Y511" s="1026"/>
      <c r="Z511" s="1026"/>
      <c r="AA511" s="1026"/>
      <c r="AB511" s="1026"/>
      <c r="AC511" s="1026"/>
    </row>
    <row r="512" spans="1:29" x14ac:dyDescent="0.25">
      <c r="A512" s="847"/>
      <c r="B512" s="1026"/>
      <c r="C512" s="1026"/>
      <c r="D512" s="1026"/>
      <c r="E512" s="1026"/>
      <c r="F512" s="1026"/>
      <c r="G512" s="1026"/>
      <c r="H512" s="1026"/>
      <c r="I512" s="1026"/>
      <c r="J512" s="1026"/>
      <c r="K512" s="1026"/>
      <c r="L512" s="1026"/>
      <c r="M512" s="1026"/>
      <c r="N512" s="1026"/>
      <c r="O512" s="1026"/>
      <c r="P512" s="1026"/>
      <c r="Q512" s="1026"/>
      <c r="R512" s="1026"/>
      <c r="S512" s="1026"/>
      <c r="T512" s="1026"/>
      <c r="U512" s="1026"/>
      <c r="V512" s="1026"/>
      <c r="W512" s="1026"/>
      <c r="X512" s="1026"/>
      <c r="Y512" s="1026"/>
      <c r="Z512" s="1026"/>
      <c r="AA512" s="1026"/>
      <c r="AB512" s="1026"/>
      <c r="AC512" s="1026"/>
    </row>
    <row r="513" spans="1:29" x14ac:dyDescent="0.25">
      <c r="A513" s="847"/>
      <c r="B513" s="1026"/>
      <c r="C513" s="1026"/>
      <c r="D513" s="1026"/>
      <c r="E513" s="1026"/>
      <c r="F513" s="1026"/>
      <c r="G513" s="1026"/>
      <c r="H513" s="1026"/>
      <c r="I513" s="1026"/>
      <c r="J513" s="1026"/>
      <c r="K513" s="1026"/>
      <c r="L513" s="1026"/>
      <c r="M513" s="1026"/>
      <c r="N513" s="1026"/>
      <c r="O513" s="1026"/>
      <c r="P513" s="1026"/>
      <c r="Q513" s="1026"/>
      <c r="R513" s="1026"/>
      <c r="S513" s="1026"/>
      <c r="T513" s="1026"/>
      <c r="U513" s="1026"/>
      <c r="V513" s="1026"/>
      <c r="W513" s="1026"/>
      <c r="X513" s="1026"/>
      <c r="Y513" s="1026"/>
      <c r="Z513" s="1026"/>
      <c r="AA513" s="1026"/>
      <c r="AB513" s="1026"/>
      <c r="AC513" s="1026"/>
    </row>
    <row r="514" spans="1:29" x14ac:dyDescent="0.25">
      <c r="A514" s="847"/>
      <c r="B514" s="1026"/>
      <c r="C514" s="1026"/>
      <c r="D514" s="1026"/>
      <c r="E514" s="1026"/>
      <c r="F514" s="1026"/>
      <c r="G514" s="1026"/>
      <c r="H514" s="1026"/>
      <c r="I514" s="1026"/>
      <c r="J514" s="1026"/>
      <c r="K514" s="1026"/>
      <c r="L514" s="1026"/>
      <c r="M514" s="1026"/>
      <c r="N514" s="1026"/>
      <c r="O514" s="1026"/>
      <c r="P514" s="1026"/>
      <c r="Q514" s="1026"/>
      <c r="R514" s="1026"/>
      <c r="S514" s="1026"/>
      <c r="T514" s="1026"/>
      <c r="U514" s="1026"/>
      <c r="V514" s="1026"/>
      <c r="W514" s="1026"/>
      <c r="X514" s="1026"/>
      <c r="Y514" s="1026"/>
      <c r="Z514" s="1026"/>
      <c r="AA514" s="1026"/>
      <c r="AB514" s="1026"/>
      <c r="AC514" s="1026"/>
    </row>
    <row r="515" spans="1:29" x14ac:dyDescent="0.25">
      <c r="A515" s="847"/>
      <c r="B515" s="1026"/>
      <c r="C515" s="1026"/>
      <c r="D515" s="1026"/>
      <c r="E515" s="1026"/>
      <c r="F515" s="1026"/>
      <c r="G515" s="1026"/>
      <c r="H515" s="1026"/>
      <c r="I515" s="1026"/>
      <c r="J515" s="1026"/>
      <c r="K515" s="1026"/>
      <c r="L515" s="1026"/>
      <c r="M515" s="1026"/>
      <c r="N515" s="1026"/>
      <c r="O515" s="1026"/>
      <c r="P515" s="1026"/>
      <c r="Q515" s="1026"/>
      <c r="R515" s="1026"/>
      <c r="S515" s="1026"/>
      <c r="T515" s="1026"/>
      <c r="U515" s="1026"/>
      <c r="V515" s="1026"/>
      <c r="W515" s="1026"/>
      <c r="X515" s="1026"/>
      <c r="Y515" s="1026"/>
      <c r="Z515" s="1026"/>
      <c r="AA515" s="1026"/>
      <c r="AB515" s="1026"/>
      <c r="AC515" s="1026"/>
    </row>
    <row r="516" spans="1:29" x14ac:dyDescent="0.25">
      <c r="A516" s="847"/>
      <c r="B516" s="1026"/>
      <c r="C516" s="1026"/>
      <c r="D516" s="1026"/>
      <c r="E516" s="1026"/>
      <c r="F516" s="1026"/>
      <c r="G516" s="1026"/>
      <c r="H516" s="1026"/>
      <c r="I516" s="1026"/>
      <c r="J516" s="1026"/>
      <c r="K516" s="1026"/>
      <c r="L516" s="1026"/>
      <c r="M516" s="1026"/>
      <c r="N516" s="1026"/>
      <c r="O516" s="1026"/>
      <c r="P516" s="1026"/>
      <c r="Q516" s="1026"/>
      <c r="R516" s="1026"/>
      <c r="S516" s="1026"/>
      <c r="T516" s="1026"/>
      <c r="U516" s="1026"/>
      <c r="V516" s="1026"/>
      <c r="W516" s="1026"/>
      <c r="X516" s="1026"/>
      <c r="Y516" s="1026"/>
      <c r="Z516" s="1026"/>
      <c r="AA516" s="1026"/>
      <c r="AB516" s="1026"/>
      <c r="AC516" s="1026"/>
    </row>
    <row r="517" spans="1:29" x14ac:dyDescent="0.25">
      <c r="A517" s="847"/>
      <c r="B517" s="1026"/>
      <c r="C517" s="1026"/>
      <c r="D517" s="1026"/>
      <c r="E517" s="1026"/>
      <c r="F517" s="1026"/>
      <c r="G517" s="1026"/>
      <c r="H517" s="1026"/>
      <c r="I517" s="1026"/>
      <c r="J517" s="1026"/>
      <c r="K517" s="1026"/>
      <c r="L517" s="1026"/>
      <c r="M517" s="1026"/>
      <c r="N517" s="1026"/>
      <c r="O517" s="1026"/>
      <c r="P517" s="1026"/>
      <c r="Q517" s="1026"/>
      <c r="R517" s="1026"/>
      <c r="S517" s="1026"/>
      <c r="T517" s="1026"/>
      <c r="U517" s="1026"/>
      <c r="V517" s="1026"/>
      <c r="W517" s="1026"/>
      <c r="X517" s="1026"/>
      <c r="Y517" s="1026"/>
      <c r="Z517" s="1026"/>
      <c r="AA517" s="1026"/>
      <c r="AB517" s="1026"/>
      <c r="AC517" s="1026"/>
    </row>
    <row r="518" spans="1:29" x14ac:dyDescent="0.25">
      <c r="A518" s="847"/>
      <c r="B518" s="1026"/>
      <c r="C518" s="1026"/>
      <c r="D518" s="1026"/>
      <c r="E518" s="1026"/>
      <c r="F518" s="1026"/>
      <c r="G518" s="1026"/>
      <c r="H518" s="1026"/>
      <c r="I518" s="1026"/>
      <c r="J518" s="1026"/>
      <c r="K518" s="1026"/>
      <c r="L518" s="1026"/>
      <c r="M518" s="1026"/>
      <c r="N518" s="1026"/>
      <c r="O518" s="1026"/>
      <c r="P518" s="1026"/>
      <c r="Q518" s="1026"/>
      <c r="R518" s="1026"/>
      <c r="S518" s="1026"/>
      <c r="T518" s="1026"/>
      <c r="U518" s="1026"/>
      <c r="V518" s="1026"/>
      <c r="W518" s="1026"/>
      <c r="X518" s="1026"/>
      <c r="Y518" s="1026"/>
      <c r="Z518" s="1026"/>
      <c r="AA518" s="1026"/>
      <c r="AB518" s="1026"/>
      <c r="AC518" s="1026"/>
    </row>
    <row r="519" spans="1:29" x14ac:dyDescent="0.25">
      <c r="A519" s="847"/>
      <c r="B519" s="1026"/>
      <c r="C519" s="1026"/>
      <c r="D519" s="1026"/>
      <c r="E519" s="1026"/>
      <c r="F519" s="1026"/>
      <c r="G519" s="1026"/>
      <c r="H519" s="1026"/>
      <c r="I519" s="1026"/>
      <c r="J519" s="1026"/>
      <c r="K519" s="1026"/>
      <c r="L519" s="1026"/>
      <c r="M519" s="1026"/>
      <c r="N519" s="1026"/>
      <c r="O519" s="1026"/>
      <c r="P519" s="1026"/>
      <c r="Q519" s="1026"/>
      <c r="R519" s="1026"/>
      <c r="S519" s="1026"/>
      <c r="T519" s="1026"/>
      <c r="U519" s="1026"/>
      <c r="V519" s="1026"/>
      <c r="W519" s="1026"/>
      <c r="X519" s="1026"/>
      <c r="Y519" s="1026"/>
      <c r="Z519" s="1026"/>
      <c r="AA519" s="1026"/>
      <c r="AB519" s="1026"/>
      <c r="AC519" s="1026"/>
    </row>
    <row r="520" spans="1:29" x14ac:dyDescent="0.25">
      <c r="A520" s="847"/>
      <c r="B520" s="1026"/>
      <c r="C520" s="1026"/>
      <c r="D520" s="1026"/>
      <c r="E520" s="1026"/>
      <c r="F520" s="1026"/>
      <c r="G520" s="1026"/>
      <c r="H520" s="1026"/>
      <c r="I520" s="1026"/>
      <c r="J520" s="1026"/>
      <c r="K520" s="1026"/>
      <c r="L520" s="1026"/>
      <c r="M520" s="1026"/>
      <c r="N520" s="1026"/>
      <c r="O520" s="1026"/>
      <c r="P520" s="1026"/>
      <c r="Q520" s="1026"/>
      <c r="R520" s="1026"/>
      <c r="S520" s="1026"/>
      <c r="T520" s="1026"/>
      <c r="U520" s="1026"/>
      <c r="V520" s="1026"/>
      <c r="W520" s="1026"/>
      <c r="X520" s="1026"/>
      <c r="Y520" s="1026"/>
      <c r="Z520" s="1026"/>
      <c r="AA520" s="1026"/>
      <c r="AB520" s="1026"/>
      <c r="AC520" s="1026"/>
    </row>
    <row r="521" spans="1:29" x14ac:dyDescent="0.25">
      <c r="A521" s="847"/>
      <c r="B521" s="1026"/>
      <c r="C521" s="1026"/>
      <c r="D521" s="1026"/>
      <c r="E521" s="1026"/>
      <c r="F521" s="1026"/>
      <c r="G521" s="1026"/>
      <c r="H521" s="1026"/>
      <c r="I521" s="1026"/>
      <c r="J521" s="1026"/>
      <c r="K521" s="1026"/>
      <c r="L521" s="1026"/>
      <c r="M521" s="1026"/>
      <c r="N521" s="1026"/>
      <c r="O521" s="1026"/>
      <c r="P521" s="1026"/>
      <c r="Q521" s="1026"/>
      <c r="R521" s="1026"/>
      <c r="S521" s="1026"/>
      <c r="T521" s="1026"/>
      <c r="U521" s="1026"/>
      <c r="V521" s="1026"/>
      <c r="W521" s="1026"/>
      <c r="X521" s="1026"/>
      <c r="Y521" s="1026"/>
      <c r="Z521" s="1026"/>
      <c r="AA521" s="1026"/>
      <c r="AB521" s="1026"/>
      <c r="AC521" s="1026"/>
    </row>
    <row r="522" spans="1:29" x14ac:dyDescent="0.25">
      <c r="A522" s="847"/>
      <c r="B522" s="1026"/>
      <c r="C522" s="1026"/>
      <c r="D522" s="1026"/>
      <c r="E522" s="1026"/>
      <c r="F522" s="1026"/>
      <c r="G522" s="1026"/>
      <c r="H522" s="1026"/>
      <c r="I522" s="1026"/>
      <c r="J522" s="1026"/>
      <c r="K522" s="1026"/>
      <c r="L522" s="1026"/>
      <c r="M522" s="1026"/>
      <c r="N522" s="1026"/>
      <c r="O522" s="1026"/>
      <c r="P522" s="1026"/>
      <c r="Q522" s="1026"/>
      <c r="R522" s="1026"/>
      <c r="S522" s="1026"/>
      <c r="T522" s="1026"/>
      <c r="U522" s="1026"/>
      <c r="V522" s="1026"/>
      <c r="W522" s="1026"/>
      <c r="X522" s="1026"/>
      <c r="Y522" s="1026"/>
      <c r="Z522" s="1026"/>
      <c r="AA522" s="1026"/>
      <c r="AB522" s="1026"/>
      <c r="AC522" s="1026"/>
    </row>
    <row r="523" spans="1:29" x14ac:dyDescent="0.25">
      <c r="A523" s="847"/>
      <c r="B523" s="1026"/>
      <c r="C523" s="1026"/>
      <c r="D523" s="1026"/>
      <c r="E523" s="1026"/>
      <c r="F523" s="1026"/>
      <c r="G523" s="1026"/>
      <c r="H523" s="1026"/>
      <c r="I523" s="1026"/>
      <c r="J523" s="1026"/>
      <c r="K523" s="1026"/>
      <c r="L523" s="1026"/>
      <c r="M523" s="1026"/>
      <c r="N523" s="1026"/>
      <c r="O523" s="1026"/>
      <c r="P523" s="1026"/>
      <c r="Q523" s="1026"/>
      <c r="R523" s="1026"/>
      <c r="S523" s="1026"/>
      <c r="T523" s="1026"/>
      <c r="U523" s="1026"/>
      <c r="V523" s="1026"/>
      <c r="W523" s="1026"/>
      <c r="X523" s="1026"/>
      <c r="Y523" s="1026"/>
      <c r="Z523" s="1026"/>
      <c r="AA523" s="1026"/>
      <c r="AB523" s="1026"/>
      <c r="AC523" s="1026"/>
    </row>
    <row r="524" spans="1:29" x14ac:dyDescent="0.25">
      <c r="A524" s="847"/>
      <c r="B524" s="1026"/>
      <c r="C524" s="1026"/>
      <c r="D524" s="1026"/>
      <c r="E524" s="1026"/>
      <c r="F524" s="1026"/>
      <c r="G524" s="1026"/>
      <c r="H524" s="1026"/>
      <c r="I524" s="1026"/>
      <c r="J524" s="1026"/>
      <c r="K524" s="1026"/>
      <c r="L524" s="1026"/>
      <c r="M524" s="1026"/>
      <c r="N524" s="1026"/>
      <c r="O524" s="1026"/>
      <c r="P524" s="1026"/>
      <c r="Q524" s="1026"/>
      <c r="R524" s="1026"/>
      <c r="S524" s="1026"/>
      <c r="T524" s="1026"/>
      <c r="U524" s="1026"/>
      <c r="V524" s="1026"/>
      <c r="W524" s="1026"/>
      <c r="X524" s="1026"/>
      <c r="Y524" s="1026"/>
      <c r="Z524" s="1026"/>
      <c r="AA524" s="1026"/>
      <c r="AB524" s="1026"/>
      <c r="AC524" s="1026"/>
    </row>
    <row r="525" spans="1:29" x14ac:dyDescent="0.25">
      <c r="A525" s="847"/>
      <c r="B525" s="1026"/>
      <c r="C525" s="1026"/>
      <c r="D525" s="1026"/>
      <c r="E525" s="1026"/>
      <c r="F525" s="1026"/>
      <c r="G525" s="1026"/>
      <c r="H525" s="1026"/>
      <c r="I525" s="1026"/>
      <c r="J525" s="1026"/>
      <c r="K525" s="1026"/>
      <c r="L525" s="1026"/>
      <c r="M525" s="1026"/>
      <c r="N525" s="1026"/>
      <c r="O525" s="1026"/>
      <c r="P525" s="1026"/>
      <c r="Q525" s="1026"/>
      <c r="R525" s="1026"/>
      <c r="S525" s="1026"/>
      <c r="T525" s="1026"/>
      <c r="U525" s="1026"/>
      <c r="V525" s="1026"/>
      <c r="W525" s="1026"/>
      <c r="X525" s="1026"/>
      <c r="Y525" s="1026"/>
      <c r="Z525" s="1026"/>
      <c r="AA525" s="1026"/>
      <c r="AB525" s="1026"/>
      <c r="AC525" s="1026"/>
    </row>
    <row r="526" spans="1:29" x14ac:dyDescent="0.25">
      <c r="A526" s="847"/>
      <c r="B526" s="1026"/>
      <c r="C526" s="1026"/>
      <c r="D526" s="1026"/>
      <c r="E526" s="1026"/>
      <c r="F526" s="1026"/>
      <c r="G526" s="1026"/>
      <c r="H526" s="1026"/>
      <c r="I526" s="1026"/>
      <c r="J526" s="1026"/>
      <c r="K526" s="1026"/>
      <c r="L526" s="1026"/>
      <c r="M526" s="1026"/>
      <c r="N526" s="1026"/>
      <c r="O526" s="1026"/>
      <c r="P526" s="1026"/>
      <c r="Q526" s="1026"/>
      <c r="R526" s="1026"/>
      <c r="S526" s="1026"/>
      <c r="T526" s="1026"/>
      <c r="U526" s="1026"/>
      <c r="V526" s="1026"/>
      <c r="W526" s="1026"/>
      <c r="X526" s="1026"/>
      <c r="Y526" s="1026"/>
      <c r="Z526" s="1026"/>
      <c r="AA526" s="1026"/>
      <c r="AB526" s="1026"/>
      <c r="AC526" s="1026"/>
    </row>
    <row r="527" spans="1:29" x14ac:dyDescent="0.25">
      <c r="A527" s="847"/>
      <c r="B527" s="1026"/>
      <c r="C527" s="1026"/>
      <c r="D527" s="1026"/>
      <c r="E527" s="1026"/>
      <c r="F527" s="1026"/>
      <c r="G527" s="1026"/>
      <c r="H527" s="1026"/>
      <c r="I527" s="1026"/>
      <c r="J527" s="1026"/>
      <c r="K527" s="1026"/>
      <c r="L527" s="1026"/>
      <c r="M527" s="1026"/>
      <c r="N527" s="1026"/>
      <c r="O527" s="1026"/>
      <c r="P527" s="1026"/>
      <c r="Q527" s="1026"/>
      <c r="R527" s="1026"/>
      <c r="S527" s="1026"/>
      <c r="T527" s="1026"/>
      <c r="U527" s="1026"/>
      <c r="V527" s="1026"/>
      <c r="W527" s="1026"/>
      <c r="X527" s="1026"/>
      <c r="Y527" s="1026"/>
      <c r="Z527" s="1026"/>
      <c r="AA527" s="1026"/>
      <c r="AB527" s="1026"/>
      <c r="AC527" s="1026"/>
    </row>
    <row r="528" spans="1:29" x14ac:dyDescent="0.25">
      <c r="A528" s="847"/>
      <c r="B528" s="1026"/>
      <c r="C528" s="1026"/>
      <c r="D528" s="1026"/>
      <c r="E528" s="1026"/>
      <c r="F528" s="1026"/>
      <c r="G528" s="1026"/>
      <c r="H528" s="1026"/>
      <c r="I528" s="1026"/>
      <c r="J528" s="1026"/>
      <c r="K528" s="1026"/>
      <c r="L528" s="1026"/>
      <c r="M528" s="1026"/>
      <c r="N528" s="1026"/>
      <c r="O528" s="1026"/>
      <c r="P528" s="1026"/>
      <c r="Q528" s="1026"/>
      <c r="R528" s="1026"/>
      <c r="S528" s="1026"/>
      <c r="T528" s="1026"/>
      <c r="U528" s="1026"/>
      <c r="V528" s="1026"/>
      <c r="W528" s="1026"/>
      <c r="X528" s="1026"/>
      <c r="Y528" s="1026"/>
      <c r="Z528" s="1026"/>
      <c r="AA528" s="1026"/>
      <c r="AB528" s="1026"/>
      <c r="AC528" s="1026"/>
    </row>
    <row r="529" spans="1:29" x14ac:dyDescent="0.25">
      <c r="A529" s="847"/>
      <c r="B529" s="1026"/>
      <c r="C529" s="1026"/>
      <c r="D529" s="1026"/>
      <c r="E529" s="1026"/>
      <c r="F529" s="1026"/>
      <c r="G529" s="1026"/>
      <c r="H529" s="1026"/>
      <c r="I529" s="1026"/>
      <c r="J529" s="1026"/>
      <c r="K529" s="1026"/>
      <c r="L529" s="1026"/>
      <c r="M529" s="1026"/>
      <c r="N529" s="1026"/>
      <c r="O529" s="1026"/>
      <c r="P529" s="1026"/>
      <c r="Q529" s="1026"/>
      <c r="R529" s="1026"/>
      <c r="S529" s="1026"/>
      <c r="T529" s="1026"/>
      <c r="U529" s="1026"/>
      <c r="V529" s="1026"/>
      <c r="W529" s="1026"/>
      <c r="X529" s="1026"/>
      <c r="Y529" s="1026"/>
      <c r="Z529" s="1026"/>
      <c r="AA529" s="1026"/>
      <c r="AB529" s="1026"/>
      <c r="AC529" s="1026"/>
    </row>
    <row r="530" spans="1:29" x14ac:dyDescent="0.25">
      <c r="A530" s="847"/>
      <c r="B530" s="1026"/>
      <c r="C530" s="1026"/>
      <c r="D530" s="1026"/>
      <c r="E530" s="1026"/>
      <c r="F530" s="1026"/>
      <c r="G530" s="1026"/>
      <c r="H530" s="1026"/>
      <c r="I530" s="1026"/>
      <c r="J530" s="1026"/>
      <c r="K530" s="1026"/>
      <c r="L530" s="1026"/>
      <c r="M530" s="1026"/>
      <c r="N530" s="1026"/>
      <c r="O530" s="1026"/>
      <c r="P530" s="1026"/>
      <c r="Q530" s="1026"/>
      <c r="R530" s="1026"/>
      <c r="S530" s="1026"/>
      <c r="T530" s="1026"/>
      <c r="U530" s="1026"/>
      <c r="V530" s="1026"/>
      <c r="W530" s="1026"/>
      <c r="X530" s="1026"/>
      <c r="Y530" s="1026"/>
      <c r="Z530" s="1026"/>
      <c r="AA530" s="1026"/>
      <c r="AB530" s="1026"/>
      <c r="AC530" s="1026"/>
    </row>
    <row r="531" spans="1:29" x14ac:dyDescent="0.25">
      <c r="A531" s="847"/>
      <c r="B531" s="1026"/>
      <c r="C531" s="1026"/>
      <c r="D531" s="1026"/>
      <c r="E531" s="1026"/>
      <c r="F531" s="1026"/>
      <c r="G531" s="1026"/>
      <c r="H531" s="1026"/>
      <c r="I531" s="1026"/>
      <c r="J531" s="1026"/>
      <c r="K531" s="1026"/>
      <c r="L531" s="1026"/>
      <c r="M531" s="1026"/>
      <c r="N531" s="1026"/>
      <c r="O531" s="1026"/>
      <c r="P531" s="1026"/>
      <c r="Q531" s="1026"/>
      <c r="R531" s="1026"/>
      <c r="S531" s="1026"/>
      <c r="T531" s="1026"/>
      <c r="U531" s="1026"/>
      <c r="V531" s="1026"/>
      <c r="W531" s="1026"/>
      <c r="X531" s="1026"/>
      <c r="Y531" s="1026"/>
      <c r="Z531" s="1026"/>
      <c r="AA531" s="1026"/>
      <c r="AB531" s="1026"/>
      <c r="AC531" s="1026"/>
    </row>
    <row r="532" spans="1:29" x14ac:dyDescent="0.25">
      <c r="A532" s="847"/>
      <c r="B532" s="1026"/>
      <c r="C532" s="1026"/>
      <c r="D532" s="1026"/>
      <c r="E532" s="1026"/>
      <c r="F532" s="1026"/>
      <c r="G532" s="1026"/>
      <c r="H532" s="1026"/>
      <c r="I532" s="1026"/>
      <c r="J532" s="1026"/>
      <c r="K532" s="1026"/>
      <c r="L532" s="1026"/>
      <c r="M532" s="1026"/>
      <c r="N532" s="1026"/>
      <c r="O532" s="1026"/>
      <c r="P532" s="1026"/>
      <c r="Q532" s="1026"/>
      <c r="R532" s="1026"/>
      <c r="S532" s="1026"/>
      <c r="T532" s="1026"/>
      <c r="U532" s="1026"/>
      <c r="V532" s="1026"/>
      <c r="W532" s="1026"/>
      <c r="X532" s="1026"/>
      <c r="Y532" s="1026"/>
      <c r="Z532" s="1026"/>
      <c r="AA532" s="1026"/>
      <c r="AB532" s="1026"/>
      <c r="AC532" s="1026"/>
    </row>
    <row r="533" spans="1:29" x14ac:dyDescent="0.25">
      <c r="A533" s="847"/>
      <c r="B533" s="1026"/>
      <c r="C533" s="1026"/>
      <c r="D533" s="1026"/>
      <c r="E533" s="1026"/>
      <c r="F533" s="1026"/>
      <c r="G533" s="1026"/>
      <c r="H533" s="1026"/>
      <c r="I533" s="1026"/>
      <c r="J533" s="1026"/>
      <c r="K533" s="1026"/>
      <c r="L533" s="1026"/>
      <c r="M533" s="1026"/>
      <c r="N533" s="1026"/>
      <c r="O533" s="1026"/>
      <c r="P533" s="1026"/>
      <c r="Q533" s="1026"/>
      <c r="R533" s="1026"/>
      <c r="S533" s="1026"/>
      <c r="T533" s="1026"/>
      <c r="U533" s="1026"/>
      <c r="V533" s="1026"/>
      <c r="W533" s="1026"/>
      <c r="X533" s="1026"/>
      <c r="Y533" s="1026"/>
      <c r="Z533" s="1026"/>
      <c r="AA533" s="1026"/>
      <c r="AB533" s="1026"/>
      <c r="AC533" s="1026"/>
    </row>
    <row r="534" spans="1:29" x14ac:dyDescent="0.25">
      <c r="A534" s="847"/>
      <c r="B534" s="1026"/>
      <c r="C534" s="1026"/>
      <c r="D534" s="1026"/>
      <c r="E534" s="1026"/>
      <c r="F534" s="1026"/>
      <c r="G534" s="1026"/>
      <c r="H534" s="1026"/>
      <c r="I534" s="1026"/>
      <c r="J534" s="1026"/>
      <c r="K534" s="1026"/>
      <c r="L534" s="1026"/>
      <c r="M534" s="1026"/>
      <c r="N534" s="1026"/>
      <c r="O534" s="1026"/>
      <c r="P534" s="1026"/>
      <c r="Q534" s="1026"/>
      <c r="R534" s="1026"/>
      <c r="S534" s="1026"/>
      <c r="T534" s="1026"/>
      <c r="U534" s="1026"/>
      <c r="V534" s="1026"/>
      <c r="W534" s="1026"/>
      <c r="X534" s="1026"/>
      <c r="Y534" s="1026"/>
      <c r="Z534" s="1026"/>
      <c r="AA534" s="1026"/>
      <c r="AB534" s="1026"/>
      <c r="AC534" s="1026"/>
    </row>
    <row r="535" spans="1:29" x14ac:dyDescent="0.25">
      <c r="A535" s="847"/>
      <c r="B535" s="1026"/>
      <c r="C535" s="1026"/>
      <c r="D535" s="1026"/>
      <c r="E535" s="1026"/>
      <c r="F535" s="1026"/>
      <c r="G535" s="1026"/>
      <c r="H535" s="1026"/>
      <c r="I535" s="1026"/>
      <c r="J535" s="1026"/>
      <c r="K535" s="1026"/>
      <c r="L535" s="1026"/>
      <c r="M535" s="1026"/>
      <c r="N535" s="1026"/>
      <c r="O535" s="1026"/>
      <c r="P535" s="1026"/>
      <c r="Q535" s="1026"/>
      <c r="R535" s="1026"/>
      <c r="S535" s="1026"/>
      <c r="T535" s="1026"/>
      <c r="U535" s="1026"/>
      <c r="V535" s="1026"/>
      <c r="W535" s="1026"/>
      <c r="X535" s="1026"/>
      <c r="Y535" s="1026"/>
      <c r="Z535" s="1026"/>
      <c r="AA535" s="1026"/>
      <c r="AB535" s="1026"/>
      <c r="AC535" s="1026"/>
    </row>
    <row r="536" spans="1:29" x14ac:dyDescent="0.25">
      <c r="A536" s="847"/>
      <c r="B536" s="1026"/>
      <c r="C536" s="1026"/>
      <c r="D536" s="1026"/>
      <c r="E536" s="1026"/>
      <c r="F536" s="1026"/>
      <c r="G536" s="1026"/>
      <c r="H536" s="1026"/>
      <c r="I536" s="1026"/>
      <c r="J536" s="1026"/>
      <c r="K536" s="1026"/>
      <c r="L536" s="1026"/>
      <c r="M536" s="1026"/>
      <c r="N536" s="1026"/>
      <c r="O536" s="1026"/>
      <c r="P536" s="1026"/>
      <c r="Q536" s="1026"/>
      <c r="R536" s="1026"/>
      <c r="S536" s="1026"/>
      <c r="T536" s="1026"/>
      <c r="U536" s="1026"/>
      <c r="V536" s="1026"/>
      <c r="W536" s="1026"/>
      <c r="X536" s="1026"/>
      <c r="Y536" s="1026"/>
      <c r="Z536" s="1026"/>
      <c r="AA536" s="1026"/>
      <c r="AB536" s="1026"/>
      <c r="AC536" s="1026"/>
    </row>
    <row r="537" spans="1:29" x14ac:dyDescent="0.25">
      <c r="A537" s="847"/>
      <c r="B537" s="1026"/>
      <c r="C537" s="1026"/>
      <c r="D537" s="1026"/>
      <c r="E537" s="1026"/>
      <c r="F537" s="1026"/>
      <c r="G537" s="1026"/>
      <c r="H537" s="1026"/>
      <c r="I537" s="1026"/>
      <c r="J537" s="1026"/>
      <c r="K537" s="1026"/>
      <c r="L537" s="1026"/>
      <c r="M537" s="1026"/>
      <c r="N537" s="1026"/>
      <c r="O537" s="1026"/>
      <c r="P537" s="1026"/>
      <c r="Q537" s="1026"/>
      <c r="R537" s="1026"/>
      <c r="S537" s="1026"/>
      <c r="T537" s="1026"/>
      <c r="U537" s="1026"/>
      <c r="V537" s="1026"/>
      <c r="W537" s="1026"/>
      <c r="X537" s="1026"/>
      <c r="Y537" s="1026"/>
      <c r="Z537" s="1026"/>
      <c r="AA537" s="1026"/>
      <c r="AB537" s="1026"/>
      <c r="AC537" s="1026"/>
    </row>
    <row r="538" spans="1:29" x14ac:dyDescent="0.25">
      <c r="A538" s="847"/>
      <c r="B538" s="1026"/>
      <c r="C538" s="1026"/>
      <c r="D538" s="1026"/>
      <c r="E538" s="1026"/>
      <c r="F538" s="1026"/>
      <c r="G538" s="1026"/>
      <c r="H538" s="1026"/>
      <c r="I538" s="1026"/>
      <c r="J538" s="1026"/>
      <c r="K538" s="1026"/>
      <c r="L538" s="1026"/>
      <c r="M538" s="1026"/>
      <c r="N538" s="1026"/>
      <c r="O538" s="1026"/>
      <c r="P538" s="1026"/>
      <c r="Q538" s="1026"/>
      <c r="R538" s="1026"/>
      <c r="S538" s="1026"/>
      <c r="T538" s="1026"/>
      <c r="U538" s="1026"/>
      <c r="V538" s="1026"/>
      <c r="W538" s="1026"/>
      <c r="X538" s="1026"/>
      <c r="Y538" s="1026"/>
      <c r="Z538" s="1026"/>
      <c r="AA538" s="1026"/>
      <c r="AB538" s="1026"/>
      <c r="AC538" s="1026"/>
    </row>
    <row r="539" spans="1:29" x14ac:dyDescent="0.25">
      <c r="A539" s="847"/>
      <c r="B539" s="1026"/>
      <c r="C539" s="1026"/>
      <c r="D539" s="1026"/>
      <c r="E539" s="1026"/>
      <c r="F539" s="1026"/>
      <c r="G539" s="1026"/>
      <c r="H539" s="1026"/>
      <c r="I539" s="1026"/>
      <c r="J539" s="1026"/>
      <c r="K539" s="1026"/>
      <c r="L539" s="1026"/>
      <c r="M539" s="1026"/>
      <c r="N539" s="1026"/>
      <c r="O539" s="1026"/>
      <c r="P539" s="1026"/>
      <c r="Q539" s="1026"/>
      <c r="R539" s="1026"/>
      <c r="S539" s="1026"/>
      <c r="T539" s="1026"/>
      <c r="U539" s="1026"/>
      <c r="V539" s="1026"/>
      <c r="W539" s="1026"/>
      <c r="X539" s="1026"/>
      <c r="Y539" s="1026"/>
      <c r="Z539" s="1026"/>
      <c r="AA539" s="1026"/>
      <c r="AB539" s="1026"/>
      <c r="AC539" s="1026"/>
    </row>
    <row r="540" spans="1:29" x14ac:dyDescent="0.25">
      <c r="A540" s="847"/>
      <c r="B540" s="1026"/>
      <c r="C540" s="1026"/>
      <c r="D540" s="1026"/>
      <c r="E540" s="1026"/>
      <c r="F540" s="1026"/>
      <c r="G540" s="1026"/>
      <c r="H540" s="1026"/>
      <c r="I540" s="1026"/>
      <c r="J540" s="1026"/>
      <c r="K540" s="1026"/>
      <c r="L540" s="1026"/>
      <c r="M540" s="1026"/>
      <c r="N540" s="1026"/>
      <c r="O540" s="1026"/>
      <c r="P540" s="1026"/>
      <c r="Q540" s="1026"/>
      <c r="R540" s="1026"/>
      <c r="S540" s="1026"/>
      <c r="T540" s="1026"/>
      <c r="U540" s="1026"/>
      <c r="V540" s="1026"/>
      <c r="W540" s="1026"/>
      <c r="X540" s="1026"/>
      <c r="Y540" s="1026"/>
      <c r="Z540" s="1026"/>
      <c r="AA540" s="1026"/>
      <c r="AB540" s="1026"/>
      <c r="AC540" s="1026"/>
    </row>
    <row r="541" spans="1:29" x14ac:dyDescent="0.25">
      <c r="A541" s="847"/>
      <c r="B541" s="1026"/>
      <c r="C541" s="1026"/>
      <c r="D541" s="1026"/>
      <c r="E541" s="1026"/>
      <c r="F541" s="1026"/>
      <c r="G541" s="1026"/>
      <c r="H541" s="1026"/>
      <c r="I541" s="1026"/>
      <c r="J541" s="1026"/>
      <c r="K541" s="1026"/>
      <c r="L541" s="1026"/>
      <c r="M541" s="1026"/>
      <c r="N541" s="1026"/>
      <c r="O541" s="1026"/>
      <c r="P541" s="1026"/>
      <c r="Q541" s="1026"/>
      <c r="R541" s="1026"/>
      <c r="S541" s="1026"/>
      <c r="T541" s="1026"/>
      <c r="U541" s="1026"/>
      <c r="V541" s="1026"/>
      <c r="W541" s="1026"/>
      <c r="X541" s="1026"/>
      <c r="Y541" s="1026"/>
      <c r="Z541" s="1026"/>
      <c r="AA541" s="1026"/>
      <c r="AB541" s="1026"/>
      <c r="AC541" s="1026"/>
    </row>
    <row r="542" spans="1:29" x14ac:dyDescent="0.25">
      <c r="A542" s="847"/>
      <c r="B542" s="1026"/>
      <c r="C542" s="1026"/>
      <c r="D542" s="1026"/>
      <c r="E542" s="1026"/>
      <c r="F542" s="1026"/>
      <c r="G542" s="1026"/>
      <c r="H542" s="1026"/>
      <c r="I542" s="1026"/>
      <c r="J542" s="1026"/>
      <c r="K542" s="1026"/>
      <c r="L542" s="1026"/>
      <c r="M542" s="1026"/>
      <c r="N542" s="1026"/>
      <c r="O542" s="1026"/>
      <c r="P542" s="1026"/>
      <c r="Q542" s="1026"/>
      <c r="R542" s="1026"/>
      <c r="S542" s="1026"/>
      <c r="T542" s="1026"/>
      <c r="U542" s="1026"/>
      <c r="V542" s="1026"/>
      <c r="W542" s="1026"/>
      <c r="X542" s="1026"/>
      <c r="Y542" s="1026"/>
      <c r="Z542" s="1026"/>
      <c r="AA542" s="1026"/>
      <c r="AB542" s="1026"/>
      <c r="AC542" s="1026"/>
    </row>
    <row r="543" spans="1:29" x14ac:dyDescent="0.25">
      <c r="A543" s="847"/>
      <c r="B543" s="1026"/>
      <c r="C543" s="1026"/>
      <c r="D543" s="1026"/>
      <c r="E543" s="1026"/>
      <c r="F543" s="1026"/>
      <c r="G543" s="1026"/>
      <c r="H543" s="1026"/>
      <c r="I543" s="1026"/>
      <c r="J543" s="1026"/>
      <c r="K543" s="1026"/>
      <c r="L543" s="1026"/>
      <c r="M543" s="1026"/>
      <c r="N543" s="1026"/>
      <c r="O543" s="1026"/>
      <c r="P543" s="1026"/>
      <c r="Q543" s="1026"/>
      <c r="R543" s="1026"/>
      <c r="S543" s="1026"/>
      <c r="T543" s="1026"/>
      <c r="U543" s="1026"/>
      <c r="V543" s="1026"/>
      <c r="W543" s="1026"/>
      <c r="X543" s="1026"/>
      <c r="Y543" s="1026"/>
      <c r="Z543" s="1026"/>
      <c r="AA543" s="1026"/>
      <c r="AB543" s="1026"/>
      <c r="AC543" s="1026"/>
    </row>
    <row r="544" spans="1:29" x14ac:dyDescent="0.25">
      <c r="A544" s="847"/>
      <c r="B544" s="1026"/>
      <c r="C544" s="1026"/>
      <c r="D544" s="1026"/>
      <c r="E544" s="1026"/>
      <c r="F544" s="1026"/>
      <c r="G544" s="1026"/>
      <c r="H544" s="1026"/>
      <c r="I544" s="1026"/>
      <c r="J544" s="1026"/>
      <c r="K544" s="1026"/>
      <c r="L544" s="1026"/>
      <c r="M544" s="1026"/>
      <c r="N544" s="1026"/>
      <c r="O544" s="1026"/>
      <c r="P544" s="1026"/>
      <c r="Q544" s="1026"/>
      <c r="R544" s="1026"/>
      <c r="S544" s="1026"/>
      <c r="T544" s="1026"/>
      <c r="U544" s="1026"/>
      <c r="V544" s="1026"/>
      <c r="W544" s="1026"/>
      <c r="X544" s="1026"/>
      <c r="Y544" s="1026"/>
      <c r="Z544" s="1026"/>
      <c r="AA544" s="1026"/>
      <c r="AB544" s="1026"/>
      <c r="AC544" s="1026"/>
    </row>
    <row r="545" spans="1:29" x14ac:dyDescent="0.25">
      <c r="A545" s="847"/>
      <c r="B545" s="1026"/>
      <c r="C545" s="1026"/>
      <c r="D545" s="1026"/>
      <c r="E545" s="1026"/>
      <c r="F545" s="1026"/>
      <c r="G545" s="1026"/>
      <c r="H545" s="1026"/>
      <c r="I545" s="1026"/>
      <c r="J545" s="1026"/>
      <c r="K545" s="1026"/>
      <c r="L545" s="1026"/>
      <c r="M545" s="1026"/>
      <c r="N545" s="1026"/>
      <c r="O545" s="1026"/>
      <c r="P545" s="1026"/>
      <c r="Q545" s="1026"/>
      <c r="R545" s="1026"/>
      <c r="S545" s="1026"/>
      <c r="T545" s="1026"/>
      <c r="U545" s="1026"/>
      <c r="V545" s="1026"/>
      <c r="W545" s="1026"/>
      <c r="X545" s="1026"/>
      <c r="Y545" s="1026"/>
      <c r="Z545" s="1026"/>
      <c r="AA545" s="1026"/>
      <c r="AB545" s="1026"/>
      <c r="AC545" s="1026"/>
    </row>
    <row r="546" spans="1:29" x14ac:dyDescent="0.25">
      <c r="A546" s="847"/>
      <c r="B546" s="1026"/>
      <c r="C546" s="1026"/>
      <c r="D546" s="1026"/>
      <c r="E546" s="1026"/>
      <c r="F546" s="1026"/>
      <c r="G546" s="1026"/>
      <c r="H546" s="1026"/>
      <c r="I546" s="1026"/>
      <c r="J546" s="1026"/>
      <c r="K546" s="1026"/>
      <c r="L546" s="1026"/>
      <c r="M546" s="1026"/>
      <c r="N546" s="1026"/>
      <c r="O546" s="1026"/>
      <c r="P546" s="1026"/>
      <c r="Q546" s="1026"/>
      <c r="R546" s="1026"/>
      <c r="S546" s="1026"/>
      <c r="T546" s="1026"/>
      <c r="U546" s="1026"/>
      <c r="V546" s="1026"/>
      <c r="W546" s="1026"/>
      <c r="X546" s="1026"/>
      <c r="Y546" s="1026"/>
      <c r="Z546" s="1026"/>
      <c r="AA546" s="1026"/>
      <c r="AB546" s="1026"/>
      <c r="AC546" s="1026"/>
    </row>
    <row r="547" spans="1:29" x14ac:dyDescent="0.25">
      <c r="A547" s="847"/>
      <c r="B547" s="1026"/>
      <c r="C547" s="1026"/>
      <c r="D547" s="1026"/>
      <c r="E547" s="1026"/>
      <c r="F547" s="1026"/>
      <c r="G547" s="1026"/>
      <c r="H547" s="1026"/>
      <c r="I547" s="1026"/>
      <c r="J547" s="1026"/>
      <c r="K547" s="1026"/>
      <c r="L547" s="1026"/>
      <c r="M547" s="1026"/>
      <c r="N547" s="1026"/>
      <c r="O547" s="1026"/>
      <c r="P547" s="1026"/>
      <c r="Q547" s="1026"/>
      <c r="R547" s="1026"/>
      <c r="S547" s="1026"/>
      <c r="T547" s="1026"/>
      <c r="U547" s="1026"/>
      <c r="V547" s="1026"/>
      <c r="W547" s="1026"/>
      <c r="X547" s="1026"/>
      <c r="Y547" s="1026"/>
      <c r="Z547" s="1026"/>
      <c r="AA547" s="1026"/>
      <c r="AB547" s="1026"/>
      <c r="AC547" s="1026"/>
    </row>
    <row r="548" spans="1:29" x14ac:dyDescent="0.25">
      <c r="A548" s="847"/>
      <c r="B548" s="1026"/>
      <c r="C548" s="1026"/>
      <c r="D548" s="1026"/>
      <c r="E548" s="1026"/>
      <c r="F548" s="1026"/>
      <c r="G548" s="1026"/>
      <c r="H548" s="1026"/>
      <c r="I548" s="1026"/>
      <c r="J548" s="1026"/>
      <c r="K548" s="1026"/>
      <c r="L548" s="1026"/>
      <c r="M548" s="1026"/>
      <c r="N548" s="1026"/>
      <c r="O548" s="1026"/>
      <c r="P548" s="1026"/>
      <c r="Q548" s="1026"/>
      <c r="R548" s="1026"/>
      <c r="S548" s="1026"/>
      <c r="T548" s="1026"/>
      <c r="U548" s="1026"/>
      <c r="V548" s="1026"/>
      <c r="W548" s="1026"/>
      <c r="X548" s="1026"/>
      <c r="Y548" s="1026"/>
      <c r="Z548" s="1026"/>
      <c r="AA548" s="1026"/>
      <c r="AB548" s="1026"/>
      <c r="AC548" s="1026"/>
    </row>
    <row r="549" spans="1:29" x14ac:dyDescent="0.25">
      <c r="A549" s="847"/>
      <c r="B549" s="1026"/>
      <c r="C549" s="1026"/>
      <c r="D549" s="1026"/>
      <c r="E549" s="1026"/>
      <c r="F549" s="1026"/>
      <c r="G549" s="1026"/>
      <c r="H549" s="1026"/>
      <c r="I549" s="1026"/>
      <c r="J549" s="1026"/>
      <c r="K549" s="1026"/>
      <c r="L549" s="1026"/>
      <c r="M549" s="1026"/>
      <c r="N549" s="1026"/>
      <c r="O549" s="1026"/>
      <c r="P549" s="1026"/>
      <c r="Q549" s="1026"/>
      <c r="R549" s="1026"/>
      <c r="S549" s="1026"/>
      <c r="T549" s="1026"/>
      <c r="U549" s="1026"/>
      <c r="V549" s="1026"/>
      <c r="W549" s="1026"/>
      <c r="X549" s="1026"/>
      <c r="Y549" s="1026"/>
      <c r="Z549" s="1026"/>
      <c r="AA549" s="1026"/>
      <c r="AB549" s="1026"/>
      <c r="AC549" s="1026"/>
    </row>
    <row r="550" spans="1:29" x14ac:dyDescent="0.25">
      <c r="A550" s="847"/>
      <c r="B550" s="1026"/>
      <c r="C550" s="1026"/>
      <c r="D550" s="1026"/>
      <c r="E550" s="1026"/>
      <c r="F550" s="1026"/>
      <c r="G550" s="1026"/>
      <c r="H550" s="1026"/>
      <c r="I550" s="1026"/>
      <c r="J550" s="1026"/>
      <c r="K550" s="1026"/>
      <c r="L550" s="1026"/>
      <c r="M550" s="1026"/>
      <c r="N550" s="1026"/>
      <c r="O550" s="1026"/>
      <c r="P550" s="1026"/>
      <c r="Q550" s="1026"/>
      <c r="R550" s="1026"/>
      <c r="S550" s="1026"/>
      <c r="T550" s="1026"/>
      <c r="U550" s="1026"/>
      <c r="V550" s="1026"/>
      <c r="W550" s="1026"/>
      <c r="X550" s="1026"/>
      <c r="Y550" s="1026"/>
      <c r="Z550" s="1026"/>
      <c r="AA550" s="1026"/>
      <c r="AB550" s="1026"/>
      <c r="AC550" s="1026"/>
    </row>
    <row r="551" spans="1:29" x14ac:dyDescent="0.25">
      <c r="A551" s="847"/>
      <c r="B551" s="1026"/>
      <c r="C551" s="1026"/>
      <c r="D551" s="1026"/>
      <c r="E551" s="1026"/>
      <c r="F551" s="1026"/>
      <c r="G551" s="1026"/>
      <c r="H551" s="1026"/>
      <c r="I551" s="1026"/>
      <c r="J551" s="1026"/>
      <c r="K551" s="1026"/>
      <c r="L551" s="1026"/>
      <c r="M551" s="1026"/>
      <c r="N551" s="1026"/>
      <c r="O551" s="1026"/>
      <c r="P551" s="1026"/>
      <c r="Q551" s="1026"/>
      <c r="R551" s="1026"/>
      <c r="S551" s="1026"/>
      <c r="T551" s="1026"/>
      <c r="U551" s="1026"/>
      <c r="V551" s="1026"/>
      <c r="W551" s="1026"/>
      <c r="X551" s="1026"/>
      <c r="Y551" s="1026"/>
      <c r="Z551" s="1026"/>
      <c r="AA551" s="1026"/>
      <c r="AB551" s="1026"/>
      <c r="AC551" s="1026"/>
    </row>
    <row r="552" spans="1:29" x14ac:dyDescent="0.25">
      <c r="A552" s="847"/>
      <c r="B552" s="1026"/>
      <c r="C552" s="1026"/>
      <c r="D552" s="1026"/>
      <c r="E552" s="1026"/>
      <c r="F552" s="1026"/>
      <c r="G552" s="1026"/>
      <c r="H552" s="1026"/>
      <c r="I552" s="1026"/>
      <c r="J552" s="1026"/>
      <c r="K552" s="1026"/>
      <c r="L552" s="1026"/>
      <c r="M552" s="1026"/>
      <c r="N552" s="1026"/>
      <c r="O552" s="1026"/>
      <c r="P552" s="1026"/>
      <c r="Q552" s="1026"/>
      <c r="R552" s="1026"/>
      <c r="S552" s="1026"/>
      <c r="T552" s="1026"/>
      <c r="U552" s="1026"/>
      <c r="V552" s="1026"/>
      <c r="W552" s="1026"/>
      <c r="X552" s="1026"/>
      <c r="Y552" s="1026"/>
      <c r="Z552" s="1026"/>
      <c r="AA552" s="1026"/>
      <c r="AB552" s="1026"/>
      <c r="AC552" s="1026"/>
    </row>
    <row r="553" spans="1:29" x14ac:dyDescent="0.25">
      <c r="A553" s="847"/>
      <c r="B553" s="1026"/>
      <c r="C553" s="1026"/>
      <c r="D553" s="1026"/>
      <c r="E553" s="1026"/>
      <c r="F553" s="1026"/>
      <c r="G553" s="1026"/>
      <c r="H553" s="1026"/>
      <c r="I553" s="1026"/>
      <c r="J553" s="1026"/>
      <c r="K553" s="1026"/>
      <c r="L553" s="1026"/>
      <c r="M553" s="1026"/>
      <c r="N553" s="1026"/>
      <c r="O553" s="1026"/>
      <c r="P553" s="1026"/>
      <c r="Q553" s="1026"/>
      <c r="R553" s="1026"/>
      <c r="S553" s="1026"/>
      <c r="T553" s="1026"/>
      <c r="U553" s="1026"/>
      <c r="V553" s="1026"/>
      <c r="W553" s="1026"/>
      <c r="X553" s="1026"/>
      <c r="Y553" s="1026"/>
      <c r="Z553" s="1026"/>
      <c r="AA553" s="1026"/>
      <c r="AB553" s="1026"/>
      <c r="AC553" s="1026"/>
    </row>
    <row r="554" spans="1:29" x14ac:dyDescent="0.25">
      <c r="A554" s="847"/>
      <c r="B554" s="1026"/>
      <c r="C554" s="1026"/>
      <c r="D554" s="1026"/>
      <c r="E554" s="1026"/>
      <c r="F554" s="1026"/>
      <c r="G554" s="1026"/>
      <c r="H554" s="1026"/>
      <c r="I554" s="1026"/>
      <c r="J554" s="1026"/>
      <c r="K554" s="1026"/>
      <c r="L554" s="1026"/>
      <c r="M554" s="1026"/>
      <c r="N554" s="1026"/>
      <c r="O554" s="1026"/>
      <c r="P554" s="1026"/>
      <c r="Q554" s="1026"/>
      <c r="R554" s="1026"/>
      <c r="S554" s="1026"/>
      <c r="T554" s="1026"/>
      <c r="U554" s="1026"/>
      <c r="V554" s="1026"/>
      <c r="W554" s="1026"/>
      <c r="X554" s="1026"/>
      <c r="Y554" s="1026"/>
      <c r="Z554" s="1026"/>
      <c r="AA554" s="1026"/>
      <c r="AB554" s="1026"/>
      <c r="AC554" s="1026"/>
    </row>
    <row r="555" spans="1:29" x14ac:dyDescent="0.25">
      <c r="A555" s="847"/>
      <c r="B555" s="1026"/>
      <c r="C555" s="1026"/>
      <c r="D555" s="1026"/>
      <c r="E555" s="1026"/>
      <c r="F555" s="1026"/>
      <c r="G555" s="1026"/>
      <c r="H555" s="1026"/>
      <c r="I555" s="1026"/>
      <c r="J555" s="1026"/>
      <c r="K555" s="1026"/>
      <c r="L555" s="1026"/>
      <c r="M555" s="1026"/>
      <c r="N555" s="1026"/>
      <c r="O555" s="1026"/>
      <c r="P555" s="1026"/>
      <c r="Q555" s="1026"/>
      <c r="R555" s="1026"/>
      <c r="S555" s="1026"/>
      <c r="T555" s="1026"/>
      <c r="U555" s="1026"/>
      <c r="V555" s="1026"/>
      <c r="W555" s="1026"/>
      <c r="X555" s="1026"/>
      <c r="Y555" s="1026"/>
      <c r="Z555" s="1026"/>
      <c r="AA555" s="1026"/>
      <c r="AB555" s="1026"/>
      <c r="AC555" s="1026"/>
    </row>
    <row r="556" spans="1:29" x14ac:dyDescent="0.25">
      <c r="A556" s="847"/>
      <c r="B556" s="1026"/>
      <c r="C556" s="1026"/>
      <c r="D556" s="1026"/>
      <c r="E556" s="1026"/>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1026"/>
    </row>
    <row r="557" spans="1:29" x14ac:dyDescent="0.25">
      <c r="A557" s="847"/>
      <c r="B557" s="1026"/>
      <c r="C557" s="1026"/>
      <c r="D557" s="1026"/>
      <c r="E557" s="1026"/>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1026"/>
    </row>
    <row r="558" spans="1:29" x14ac:dyDescent="0.25">
      <c r="A558" s="847"/>
      <c r="B558" s="1026"/>
      <c r="C558" s="1026"/>
      <c r="D558" s="1026"/>
      <c r="E558" s="1026"/>
      <c r="F558" s="1026"/>
      <c r="G558" s="1026"/>
      <c r="H558" s="1026"/>
      <c r="I558" s="1026"/>
      <c r="J558" s="1026"/>
      <c r="K558" s="1026"/>
      <c r="L558" s="1026"/>
      <c r="M558" s="1026"/>
      <c r="N558" s="1026"/>
      <c r="O558" s="1026"/>
      <c r="P558" s="1026"/>
      <c r="Q558" s="1026"/>
      <c r="R558" s="1026"/>
      <c r="S558" s="1026"/>
      <c r="T558" s="1026"/>
      <c r="U558" s="1026"/>
      <c r="V558" s="1026"/>
      <c r="W558" s="1026"/>
      <c r="X558" s="1026"/>
      <c r="Y558" s="1026"/>
      <c r="Z558" s="1026"/>
      <c r="AA558" s="1026"/>
      <c r="AB558" s="1026"/>
      <c r="AC558" s="1026"/>
    </row>
    <row r="559" spans="1:29" x14ac:dyDescent="0.25">
      <c r="A559" s="847"/>
      <c r="B559" s="1026"/>
      <c r="C559" s="1026"/>
      <c r="D559" s="1026"/>
      <c r="E559" s="1026"/>
      <c r="F559" s="1026"/>
      <c r="G559" s="1026"/>
      <c r="H559" s="1026"/>
      <c r="I559" s="1026"/>
      <c r="J559" s="1026"/>
      <c r="K559" s="1026"/>
      <c r="L559" s="1026"/>
      <c r="M559" s="1026"/>
      <c r="N559" s="1026"/>
      <c r="O559" s="1026"/>
      <c r="P559" s="1026"/>
      <c r="Q559" s="1026"/>
      <c r="R559" s="1026"/>
      <c r="S559" s="1026"/>
      <c r="T559" s="1026"/>
      <c r="U559" s="1026"/>
      <c r="V559" s="1026"/>
      <c r="W559" s="1026"/>
      <c r="X559" s="1026"/>
      <c r="Y559" s="1026"/>
      <c r="Z559" s="1026"/>
      <c r="AA559" s="1026"/>
      <c r="AB559" s="1026"/>
      <c r="AC559" s="1026"/>
    </row>
    <row r="560" spans="1:29" x14ac:dyDescent="0.25">
      <c r="A560" s="847"/>
      <c r="B560" s="1026"/>
      <c r="C560" s="1026"/>
      <c r="D560" s="1026"/>
      <c r="E560" s="1026"/>
      <c r="F560" s="1026"/>
      <c r="G560" s="1026"/>
      <c r="H560" s="1026"/>
      <c r="I560" s="1026"/>
      <c r="J560" s="1026"/>
      <c r="K560" s="1026"/>
      <c r="L560" s="1026"/>
      <c r="M560" s="1026"/>
      <c r="N560" s="1026"/>
      <c r="O560" s="1026"/>
      <c r="P560" s="1026"/>
      <c r="Q560" s="1026"/>
      <c r="R560" s="1026"/>
      <c r="S560" s="1026"/>
      <c r="T560" s="1026"/>
      <c r="U560" s="1026"/>
      <c r="V560" s="1026"/>
      <c r="W560" s="1026"/>
      <c r="X560" s="1026"/>
      <c r="Y560" s="1026"/>
      <c r="Z560" s="1026"/>
      <c r="AA560" s="1026"/>
      <c r="AB560" s="1026"/>
      <c r="AC560" s="1026"/>
    </row>
    <row r="561" spans="1:29" x14ac:dyDescent="0.25">
      <c r="A561" s="847"/>
      <c r="B561" s="1026"/>
      <c r="C561" s="1026"/>
      <c r="D561" s="1026"/>
      <c r="E561" s="1026"/>
      <c r="F561" s="1026"/>
      <c r="G561" s="1026"/>
      <c r="H561" s="1026"/>
      <c r="I561" s="1026"/>
      <c r="J561" s="1026"/>
      <c r="K561" s="1026"/>
      <c r="L561" s="1026"/>
      <c r="M561" s="1026"/>
      <c r="N561" s="1026"/>
      <c r="O561" s="1026"/>
      <c r="P561" s="1026"/>
      <c r="Q561" s="1026"/>
      <c r="R561" s="1026"/>
      <c r="S561" s="1026"/>
      <c r="T561" s="1026"/>
      <c r="U561" s="1026"/>
      <c r="V561" s="1026"/>
      <c r="W561" s="1026"/>
      <c r="X561" s="1026"/>
      <c r="Y561" s="1026"/>
      <c r="Z561" s="1026"/>
      <c r="AA561" s="1026"/>
      <c r="AB561" s="1026"/>
      <c r="AC561" s="1026"/>
    </row>
    <row r="562" spans="1:29" x14ac:dyDescent="0.25">
      <c r="A562" s="847"/>
      <c r="B562" s="1026"/>
      <c r="C562" s="1026"/>
      <c r="D562" s="1026"/>
      <c r="E562" s="1026"/>
      <c r="F562" s="1026"/>
      <c r="G562" s="1026"/>
      <c r="H562" s="1026"/>
      <c r="I562" s="1026"/>
      <c r="J562" s="1026"/>
      <c r="K562" s="1026"/>
      <c r="L562" s="1026"/>
      <c r="M562" s="1026"/>
      <c r="N562" s="1026"/>
      <c r="O562" s="1026"/>
      <c r="P562" s="1026"/>
      <c r="Q562" s="1026"/>
      <c r="R562" s="1026"/>
      <c r="S562" s="1026"/>
      <c r="T562" s="1026"/>
      <c r="U562" s="1026"/>
      <c r="V562" s="1026"/>
      <c r="W562" s="1026"/>
      <c r="X562" s="1026"/>
      <c r="Y562" s="1026"/>
      <c r="Z562" s="1026"/>
      <c r="AA562" s="1026"/>
      <c r="AB562" s="1026"/>
      <c r="AC562" s="1026"/>
    </row>
    <row r="563" spans="1:29" x14ac:dyDescent="0.25">
      <c r="A563" s="847"/>
      <c r="B563" s="1026"/>
      <c r="C563" s="1026"/>
      <c r="D563" s="1026"/>
      <c r="E563" s="1026"/>
      <c r="F563" s="1026"/>
      <c r="G563" s="1026"/>
      <c r="H563" s="1026"/>
      <c r="I563" s="1026"/>
      <c r="J563" s="1026"/>
      <c r="K563" s="1026"/>
      <c r="L563" s="1026"/>
      <c r="M563" s="1026"/>
      <c r="N563" s="1026"/>
      <c r="O563" s="1026"/>
      <c r="P563" s="1026"/>
      <c r="Q563" s="1026"/>
      <c r="R563" s="1026"/>
      <c r="S563" s="1026"/>
      <c r="T563" s="1026"/>
      <c r="U563" s="1026"/>
      <c r="V563" s="1026"/>
      <c r="W563" s="1026"/>
      <c r="X563" s="1026"/>
      <c r="Y563" s="1026"/>
      <c r="Z563" s="1026"/>
      <c r="AA563" s="1026"/>
      <c r="AB563" s="1026"/>
      <c r="AC563" s="1026"/>
    </row>
    <row r="564" spans="1:29" x14ac:dyDescent="0.25">
      <c r="A564" s="847"/>
      <c r="B564" s="1026"/>
      <c r="C564" s="1026"/>
      <c r="D564" s="1026"/>
      <c r="E564" s="1026"/>
      <c r="F564" s="1026"/>
      <c r="G564" s="1026"/>
      <c r="H564" s="1026"/>
      <c r="I564" s="1026"/>
      <c r="J564" s="1026"/>
      <c r="K564" s="1026"/>
      <c r="L564" s="1026"/>
      <c r="M564" s="1026"/>
      <c r="N564" s="1026"/>
      <c r="O564" s="1026"/>
      <c r="P564" s="1026"/>
      <c r="Q564" s="1026"/>
      <c r="R564" s="1026"/>
      <c r="S564" s="1026"/>
      <c r="T564" s="1026"/>
      <c r="U564" s="1026"/>
      <c r="V564" s="1026"/>
      <c r="W564" s="1026"/>
      <c r="X564" s="1026"/>
      <c r="Y564" s="1026"/>
      <c r="Z564" s="1026"/>
      <c r="AA564" s="1026"/>
      <c r="AB564" s="1026"/>
      <c r="AC564" s="1026"/>
    </row>
    <row r="565" spans="1:29" x14ac:dyDescent="0.25">
      <c r="A565" s="847"/>
      <c r="B565" s="1026"/>
      <c r="C565" s="1026"/>
      <c r="D565" s="1026"/>
      <c r="E565" s="1026"/>
      <c r="F565" s="1026"/>
      <c r="G565" s="1026"/>
      <c r="H565" s="1026"/>
      <c r="I565" s="1026"/>
      <c r="J565" s="1026"/>
      <c r="K565" s="1026"/>
      <c r="L565" s="1026"/>
      <c r="M565" s="1026"/>
      <c r="N565" s="1026"/>
      <c r="O565" s="1026"/>
      <c r="P565" s="1026"/>
      <c r="Q565" s="1026"/>
      <c r="R565" s="1026"/>
      <c r="S565" s="1026"/>
      <c r="T565" s="1026"/>
      <c r="U565" s="1026"/>
      <c r="V565" s="1026"/>
      <c r="W565" s="1026"/>
      <c r="X565" s="1026"/>
      <c r="Y565" s="1026"/>
      <c r="Z565" s="1026"/>
      <c r="AA565" s="1026"/>
      <c r="AB565" s="1026"/>
      <c r="AC565" s="1026"/>
    </row>
    <row r="566" spans="1:29" x14ac:dyDescent="0.25">
      <c r="A566" s="847"/>
      <c r="B566" s="1026"/>
      <c r="C566" s="1026"/>
      <c r="D566" s="1026"/>
      <c r="E566" s="1026"/>
      <c r="F566" s="1026"/>
      <c r="G566" s="1026"/>
      <c r="H566" s="1026"/>
      <c r="I566" s="1026"/>
      <c r="J566" s="1026"/>
      <c r="K566" s="1026"/>
      <c r="L566" s="1026"/>
      <c r="M566" s="1026"/>
      <c r="N566" s="1026"/>
      <c r="O566" s="1026"/>
      <c r="P566" s="1026"/>
      <c r="Q566" s="1026"/>
      <c r="R566" s="1026"/>
      <c r="S566" s="1026"/>
      <c r="T566" s="1026"/>
      <c r="U566" s="1026"/>
      <c r="V566" s="1026"/>
      <c r="W566" s="1026"/>
      <c r="X566" s="1026"/>
      <c r="Y566" s="1026"/>
      <c r="Z566" s="1026"/>
      <c r="AA566" s="1026"/>
      <c r="AB566" s="1026"/>
      <c r="AC566" s="1026"/>
    </row>
    <row r="567" spans="1:29" x14ac:dyDescent="0.25">
      <c r="A567" s="847"/>
      <c r="B567" s="1026"/>
      <c r="C567" s="1026"/>
      <c r="D567" s="1026"/>
      <c r="E567" s="1026"/>
      <c r="F567" s="1026"/>
      <c r="G567" s="1026"/>
      <c r="H567" s="1026"/>
      <c r="I567" s="1026"/>
      <c r="J567" s="1026"/>
      <c r="K567" s="1026"/>
      <c r="L567" s="1026"/>
      <c r="M567" s="1026"/>
      <c r="N567" s="1026"/>
      <c r="O567" s="1026"/>
      <c r="P567" s="1026"/>
      <c r="Q567" s="1026"/>
      <c r="R567" s="1026"/>
      <c r="S567" s="1026"/>
      <c r="T567" s="1026"/>
      <c r="U567" s="1026"/>
      <c r="V567" s="1026"/>
      <c r="W567" s="1026"/>
      <c r="X567" s="1026"/>
      <c r="Y567" s="1026"/>
      <c r="Z567" s="1026"/>
      <c r="AA567" s="1026"/>
      <c r="AB567" s="1026"/>
      <c r="AC567" s="1026"/>
    </row>
    <row r="568" spans="1:29" x14ac:dyDescent="0.25">
      <c r="A568" s="847"/>
      <c r="B568" s="1026"/>
      <c r="C568" s="1026"/>
      <c r="D568" s="1026"/>
      <c r="E568" s="1026"/>
      <c r="F568" s="1026"/>
      <c r="G568" s="1026"/>
      <c r="H568" s="1026"/>
      <c r="I568" s="1026"/>
      <c r="J568" s="1026"/>
      <c r="K568" s="1026"/>
      <c r="L568" s="1026"/>
      <c r="M568" s="1026"/>
      <c r="N568" s="1026"/>
      <c r="O568" s="1026"/>
      <c r="P568" s="1026"/>
      <c r="Q568" s="1026"/>
      <c r="R568" s="1026"/>
      <c r="S568" s="1026"/>
      <c r="T568" s="1026"/>
      <c r="U568" s="1026"/>
      <c r="V568" s="1026"/>
      <c r="W568" s="1026"/>
      <c r="X568" s="1026"/>
      <c r="Y568" s="1026"/>
      <c r="Z568" s="1026"/>
      <c r="AA568" s="1026"/>
      <c r="AB568" s="1026"/>
      <c r="AC568" s="1026"/>
    </row>
    <row r="569" spans="1:29" x14ac:dyDescent="0.25">
      <c r="A569" s="847"/>
      <c r="B569" s="1026"/>
      <c r="C569" s="1026"/>
      <c r="D569" s="1026"/>
      <c r="E569" s="1026"/>
      <c r="F569" s="1026"/>
      <c r="G569" s="1026"/>
      <c r="H569" s="1026"/>
      <c r="I569" s="1026"/>
      <c r="J569" s="1026"/>
      <c r="K569" s="1026"/>
      <c r="L569" s="1026"/>
      <c r="M569" s="1026"/>
      <c r="N569" s="1026"/>
      <c r="O569" s="1026"/>
      <c r="P569" s="1026"/>
      <c r="Q569" s="1026"/>
      <c r="R569" s="1026"/>
      <c r="S569" s="1026"/>
      <c r="T569" s="1026"/>
      <c r="U569" s="1026"/>
      <c r="V569" s="1026"/>
      <c r="W569" s="1026"/>
      <c r="X569" s="1026"/>
      <c r="Y569" s="1026"/>
      <c r="Z569" s="1026"/>
      <c r="AA569" s="1026"/>
      <c r="AB569" s="1026"/>
      <c r="AC569" s="1026"/>
    </row>
    <row r="570" spans="1:29" x14ac:dyDescent="0.25">
      <c r="A570" s="847"/>
      <c r="B570" s="1026"/>
      <c r="C570" s="1026"/>
      <c r="D570" s="1026"/>
      <c r="E570" s="1026"/>
      <c r="F570" s="1026"/>
      <c r="G570" s="1026"/>
      <c r="H570" s="1026"/>
      <c r="I570" s="1026"/>
      <c r="J570" s="1026"/>
      <c r="K570" s="1026"/>
      <c r="L570" s="1026"/>
      <c r="M570" s="1026"/>
      <c r="N570" s="1026"/>
      <c r="O570" s="1026"/>
      <c r="P570" s="1026"/>
      <c r="Q570" s="1026"/>
      <c r="R570" s="1026"/>
      <c r="S570" s="1026"/>
      <c r="T570" s="1026"/>
      <c r="U570" s="1026"/>
      <c r="V570" s="1026"/>
      <c r="W570" s="1026"/>
      <c r="X570" s="1026"/>
      <c r="Y570" s="1026"/>
      <c r="Z570" s="1026"/>
      <c r="AA570" s="1026"/>
      <c r="AB570" s="1026"/>
      <c r="AC570" s="1026"/>
    </row>
    <row r="571" spans="1:29" x14ac:dyDescent="0.25">
      <c r="A571" s="847"/>
      <c r="B571" s="1026"/>
      <c r="C571" s="1026"/>
      <c r="D571" s="1026"/>
      <c r="E571" s="1026"/>
      <c r="F571" s="1026"/>
      <c r="G571" s="1026"/>
      <c r="H571" s="1026"/>
      <c r="I571" s="1026"/>
      <c r="J571" s="1026"/>
      <c r="K571" s="1026"/>
      <c r="L571" s="1026"/>
      <c r="M571" s="1026"/>
      <c r="N571" s="1026"/>
      <c r="O571" s="1026"/>
      <c r="P571" s="1026"/>
      <c r="Q571" s="1026"/>
      <c r="R571" s="1026"/>
      <c r="S571" s="1026"/>
      <c r="T571" s="1026"/>
      <c r="U571" s="1026"/>
      <c r="V571" s="1026"/>
      <c r="W571" s="1026"/>
      <c r="X571" s="1026"/>
      <c r="Y571" s="1026"/>
      <c r="Z571" s="1026"/>
      <c r="AA571" s="1026"/>
      <c r="AB571" s="1026"/>
      <c r="AC571" s="1026"/>
    </row>
    <row r="572" spans="1:29" x14ac:dyDescent="0.25">
      <c r="A572" s="847"/>
      <c r="B572" s="1026"/>
      <c r="C572" s="1026"/>
      <c r="D572" s="1026"/>
      <c r="E572" s="1026"/>
      <c r="F572" s="1026"/>
      <c r="G572" s="1026"/>
      <c r="H572" s="1026"/>
      <c r="I572" s="1026"/>
      <c r="J572" s="1026"/>
      <c r="K572" s="1026"/>
      <c r="L572" s="1026"/>
      <c r="M572" s="1026"/>
      <c r="N572" s="1026"/>
      <c r="O572" s="1026"/>
      <c r="P572" s="1026"/>
      <c r="Q572" s="1026"/>
      <c r="R572" s="1026"/>
      <c r="S572" s="1026"/>
      <c r="T572" s="1026"/>
      <c r="U572" s="1026"/>
      <c r="V572" s="1026"/>
      <c r="W572" s="1026"/>
      <c r="X572" s="1026"/>
      <c r="Y572" s="1026"/>
      <c r="Z572" s="1026"/>
      <c r="AA572" s="1026"/>
      <c r="AB572" s="1026"/>
      <c r="AC572" s="1026"/>
    </row>
    <row r="573" spans="1:29" x14ac:dyDescent="0.25">
      <c r="A573" s="847"/>
      <c r="B573" s="1026"/>
      <c r="C573" s="1026"/>
      <c r="D573" s="1026"/>
      <c r="E573" s="1026"/>
      <c r="F573" s="1026"/>
      <c r="G573" s="1026"/>
      <c r="H573" s="1026"/>
      <c r="I573" s="1026"/>
      <c r="J573" s="1026"/>
      <c r="K573" s="1026"/>
      <c r="L573" s="1026"/>
      <c r="M573" s="1026"/>
      <c r="N573" s="1026"/>
      <c r="O573" s="1026"/>
      <c r="P573" s="1026"/>
      <c r="Q573" s="1026"/>
      <c r="R573" s="1026"/>
      <c r="S573" s="1026"/>
      <c r="T573" s="1026"/>
      <c r="U573" s="1026"/>
      <c r="V573" s="1026"/>
      <c r="W573" s="1026"/>
      <c r="X573" s="1026"/>
      <c r="Y573" s="1026"/>
      <c r="Z573" s="1026"/>
      <c r="AA573" s="1026"/>
      <c r="AB573" s="1026"/>
      <c r="AC573" s="1026"/>
    </row>
    <row r="574" spans="1:29" x14ac:dyDescent="0.25">
      <c r="A574" s="847"/>
      <c r="B574" s="1026"/>
      <c r="C574" s="1026"/>
      <c r="D574" s="1026"/>
      <c r="E574" s="1026"/>
      <c r="F574" s="1026"/>
      <c r="G574" s="1026"/>
      <c r="H574" s="1026"/>
      <c r="I574" s="1026"/>
      <c r="J574" s="1026"/>
      <c r="K574" s="1026"/>
      <c r="L574" s="1026"/>
      <c r="M574" s="1026"/>
      <c r="N574" s="1026"/>
      <c r="O574" s="1026"/>
      <c r="P574" s="1026"/>
      <c r="Q574" s="1026"/>
      <c r="R574" s="1026"/>
      <c r="S574" s="1026"/>
      <c r="T574" s="1026"/>
      <c r="U574" s="1026"/>
      <c r="V574" s="1026"/>
      <c r="W574" s="1026"/>
      <c r="X574" s="1026"/>
      <c r="Y574" s="1026"/>
      <c r="Z574" s="1026"/>
      <c r="AA574" s="1026"/>
      <c r="AB574" s="1026"/>
      <c r="AC574" s="1026"/>
    </row>
    <row r="575" spans="1:29" x14ac:dyDescent="0.25">
      <c r="A575" s="847"/>
      <c r="B575" s="1026"/>
      <c r="C575" s="1026"/>
      <c r="D575" s="1026"/>
      <c r="E575" s="1026"/>
      <c r="F575" s="1026"/>
      <c r="G575" s="1026"/>
      <c r="H575" s="1026"/>
      <c r="I575" s="1026"/>
      <c r="J575" s="1026"/>
      <c r="K575" s="1026"/>
      <c r="L575" s="1026"/>
      <c r="M575" s="1026"/>
      <c r="N575" s="1026"/>
      <c r="O575" s="1026"/>
      <c r="P575" s="1026"/>
      <c r="Q575" s="1026"/>
      <c r="R575" s="1026"/>
      <c r="S575" s="1026"/>
      <c r="T575" s="1026"/>
      <c r="U575" s="1026"/>
      <c r="V575" s="1026"/>
      <c r="W575" s="1026"/>
      <c r="X575" s="1026"/>
      <c r="Y575" s="1026"/>
      <c r="Z575" s="1026"/>
      <c r="AA575" s="1026"/>
      <c r="AB575" s="1026"/>
      <c r="AC575" s="1026"/>
    </row>
    <row r="576" spans="1:29" x14ac:dyDescent="0.25">
      <c r="A576" s="847"/>
      <c r="B576" s="1026"/>
      <c r="C576" s="1026"/>
      <c r="D576" s="1026"/>
      <c r="E576" s="1026"/>
      <c r="F576" s="1026"/>
      <c r="G576" s="1026"/>
      <c r="H576" s="1026"/>
      <c r="I576" s="1026"/>
      <c r="J576" s="1026"/>
      <c r="K576" s="1026"/>
      <c r="L576" s="1026"/>
      <c r="M576" s="1026"/>
      <c r="N576" s="1026"/>
      <c r="O576" s="1026"/>
      <c r="P576" s="1026"/>
      <c r="Q576" s="1026"/>
      <c r="R576" s="1026"/>
      <c r="S576" s="1026"/>
      <c r="T576" s="1026"/>
      <c r="U576" s="1026"/>
      <c r="V576" s="1026"/>
      <c r="W576" s="1026"/>
      <c r="X576" s="1026"/>
      <c r="Y576" s="1026"/>
      <c r="Z576" s="1026"/>
      <c r="AA576" s="1026"/>
      <c r="AB576" s="1026"/>
      <c r="AC576" s="1026"/>
    </row>
    <row r="577" spans="1:29" x14ac:dyDescent="0.25">
      <c r="A577" s="847"/>
      <c r="B577" s="1026"/>
      <c r="C577" s="1026"/>
      <c r="D577" s="1026"/>
      <c r="E577" s="1026"/>
      <c r="F577" s="1026"/>
      <c r="G577" s="1026"/>
      <c r="H577" s="1026"/>
      <c r="I577" s="1026"/>
      <c r="J577" s="1026"/>
      <c r="K577" s="1026"/>
      <c r="L577" s="1026"/>
      <c r="M577" s="1026"/>
      <c r="N577" s="1026"/>
      <c r="O577" s="1026"/>
      <c r="P577" s="1026"/>
      <c r="Q577" s="1026"/>
      <c r="R577" s="1026"/>
      <c r="S577" s="1026"/>
      <c r="T577" s="1026"/>
      <c r="U577" s="1026"/>
      <c r="V577" s="1026"/>
      <c r="W577" s="1026"/>
      <c r="X577" s="1026"/>
      <c r="Y577" s="1026"/>
      <c r="Z577" s="1026"/>
      <c r="AA577" s="1026"/>
      <c r="AB577" s="1026"/>
      <c r="AC577" s="1026"/>
    </row>
    <row r="578" spans="1:29" x14ac:dyDescent="0.25">
      <c r="A578" s="847"/>
      <c r="B578" s="1026"/>
      <c r="C578" s="1026"/>
      <c r="D578" s="1026"/>
      <c r="E578" s="1026"/>
      <c r="F578" s="1026"/>
      <c r="G578" s="1026"/>
      <c r="H578" s="1026"/>
      <c r="I578" s="1026"/>
      <c r="J578" s="1026"/>
      <c r="K578" s="1026"/>
      <c r="L578" s="1026"/>
      <c r="M578" s="1026"/>
      <c r="N578" s="1026"/>
      <c r="O578" s="1026"/>
      <c r="P578" s="1026"/>
      <c r="Q578" s="1026"/>
      <c r="R578" s="1026"/>
      <c r="S578" s="1026"/>
      <c r="T578" s="1026"/>
      <c r="U578" s="1026"/>
      <c r="V578" s="1026"/>
      <c r="W578" s="1026"/>
      <c r="X578" s="1026"/>
      <c r="Y578" s="1026"/>
      <c r="Z578" s="1026"/>
      <c r="AA578" s="1026"/>
      <c r="AB578" s="1026"/>
      <c r="AC578" s="1026"/>
    </row>
    <row r="579" spans="1:29" x14ac:dyDescent="0.25">
      <c r="A579" s="847"/>
      <c r="B579" s="1026"/>
      <c r="C579" s="1026"/>
      <c r="D579" s="1026"/>
      <c r="E579" s="1026"/>
      <c r="F579" s="1026"/>
      <c r="G579" s="1026"/>
      <c r="H579" s="1026"/>
      <c r="I579" s="1026"/>
      <c r="J579" s="1026"/>
      <c r="K579" s="1026"/>
      <c r="L579" s="1026"/>
      <c r="M579" s="1026"/>
      <c r="N579" s="1026"/>
      <c r="O579" s="1026"/>
      <c r="P579" s="1026"/>
      <c r="Q579" s="1026"/>
      <c r="R579" s="1026"/>
      <c r="S579" s="1026"/>
      <c r="T579" s="1026"/>
      <c r="U579" s="1026"/>
      <c r="V579" s="1026"/>
      <c r="W579" s="1026"/>
      <c r="X579" s="1026"/>
      <c r="Y579" s="1026"/>
      <c r="Z579" s="1026"/>
      <c r="AA579" s="1026"/>
      <c r="AB579" s="1026"/>
      <c r="AC579" s="1026"/>
    </row>
    <row r="580" spans="1:29" x14ac:dyDescent="0.25">
      <c r="A580" s="847"/>
      <c r="B580" s="1026"/>
      <c r="C580" s="1026"/>
      <c r="D580" s="1026"/>
      <c r="E580" s="1026"/>
      <c r="F580" s="1026"/>
      <c r="G580" s="1026"/>
      <c r="H580" s="1026"/>
      <c r="I580" s="1026"/>
      <c r="J580" s="1026"/>
      <c r="K580" s="1026"/>
      <c r="L580" s="1026"/>
      <c r="M580" s="1026"/>
      <c r="N580" s="1026"/>
      <c r="O580" s="1026"/>
      <c r="P580" s="1026"/>
      <c r="Q580" s="1026"/>
      <c r="R580" s="1026"/>
      <c r="S580" s="1026"/>
      <c r="T580" s="1026"/>
      <c r="U580" s="1026"/>
      <c r="V580" s="1026"/>
      <c r="W580" s="1026"/>
      <c r="X580" s="1026"/>
      <c r="Y580" s="1026"/>
      <c r="Z580" s="1026"/>
      <c r="AA580" s="1026"/>
      <c r="AB580" s="1026"/>
      <c r="AC580" s="1026"/>
    </row>
    <row r="581" spans="1:29" x14ac:dyDescent="0.25">
      <c r="A581" s="847"/>
      <c r="B581" s="1026"/>
      <c r="C581" s="1026"/>
      <c r="D581" s="1026"/>
      <c r="E581" s="1026"/>
      <c r="F581" s="1026"/>
      <c r="G581" s="1026"/>
      <c r="H581" s="1026"/>
      <c r="I581" s="1026"/>
      <c r="J581" s="1026"/>
      <c r="K581" s="1026"/>
      <c r="L581" s="1026"/>
      <c r="M581" s="1026"/>
      <c r="N581" s="1026"/>
      <c r="O581" s="1026"/>
      <c r="P581" s="1026"/>
      <c r="Q581" s="1026"/>
      <c r="R581" s="1026"/>
      <c r="S581" s="1026"/>
      <c r="T581" s="1026"/>
      <c r="U581" s="1026"/>
      <c r="V581" s="1026"/>
      <c r="W581" s="1026"/>
      <c r="X581" s="1026"/>
      <c r="Y581" s="1026"/>
      <c r="Z581" s="1026"/>
      <c r="AA581" s="1026"/>
      <c r="AB581" s="1026"/>
      <c r="AC581" s="1026"/>
    </row>
    <row r="582" spans="1:29" x14ac:dyDescent="0.25">
      <c r="A582" s="847"/>
      <c r="B582" s="1026"/>
      <c r="C582" s="1026"/>
      <c r="D582" s="1026"/>
      <c r="E582" s="1026"/>
      <c r="F582" s="1026"/>
      <c r="G582" s="1026"/>
      <c r="H582" s="1026"/>
      <c r="I582" s="1026"/>
      <c r="J582" s="1026"/>
      <c r="K582" s="1026"/>
      <c r="L582" s="1026"/>
      <c r="M582" s="1026"/>
      <c r="N582" s="1026"/>
      <c r="O582" s="1026"/>
      <c r="P582" s="1026"/>
      <c r="Q582" s="1026"/>
      <c r="R582" s="1026"/>
      <c r="S582" s="1026"/>
      <c r="T582" s="1026"/>
      <c r="U582" s="1026"/>
      <c r="V582" s="1026"/>
      <c r="W582" s="1026"/>
      <c r="X582" s="1026"/>
      <c r="Y582" s="1026"/>
      <c r="Z582" s="1026"/>
      <c r="AA582" s="1026"/>
      <c r="AB582" s="1026"/>
      <c r="AC582" s="1026"/>
    </row>
    <row r="583" spans="1:29" x14ac:dyDescent="0.25">
      <c r="A583" s="847"/>
      <c r="B583" s="1026"/>
      <c r="C583" s="1026"/>
      <c r="D583" s="1026"/>
      <c r="E583" s="1026"/>
      <c r="F583" s="1026"/>
      <c r="G583" s="1026"/>
      <c r="H583" s="1026"/>
      <c r="I583" s="1026"/>
      <c r="J583" s="1026"/>
      <c r="K583" s="1026"/>
      <c r="L583" s="1026"/>
      <c r="M583" s="1026"/>
      <c r="N583" s="1026"/>
      <c r="O583" s="1026"/>
      <c r="P583" s="1026"/>
      <c r="Q583" s="1026"/>
      <c r="R583" s="1026"/>
      <c r="S583" s="1026"/>
      <c r="T583" s="1026"/>
      <c r="U583" s="1026"/>
      <c r="V583" s="1026"/>
      <c r="W583" s="1026"/>
      <c r="X583" s="1026"/>
      <c r="Y583" s="1026"/>
      <c r="Z583" s="1026"/>
      <c r="AA583" s="1026"/>
      <c r="AB583" s="1026"/>
      <c r="AC583" s="1026"/>
    </row>
    <row r="584" spans="1:29" x14ac:dyDescent="0.25">
      <c r="A584" s="847"/>
      <c r="B584" s="1026"/>
      <c r="C584" s="1026"/>
      <c r="D584" s="1026"/>
      <c r="E584" s="1026"/>
      <c r="F584" s="1026"/>
      <c r="G584" s="1026"/>
      <c r="H584" s="1026"/>
      <c r="I584" s="1026"/>
      <c r="J584" s="1026"/>
      <c r="K584" s="1026"/>
      <c r="L584" s="1026"/>
      <c r="M584" s="1026"/>
      <c r="N584" s="1026"/>
      <c r="O584" s="1026"/>
      <c r="P584" s="1026"/>
      <c r="Q584" s="1026"/>
      <c r="R584" s="1026"/>
      <c r="S584" s="1026"/>
      <c r="T584" s="1026"/>
      <c r="U584" s="1026"/>
      <c r="V584" s="1026"/>
      <c r="W584" s="1026"/>
      <c r="X584" s="1026"/>
      <c r="Y584" s="1026"/>
      <c r="Z584" s="1026"/>
      <c r="AA584" s="1026"/>
      <c r="AB584" s="1026"/>
      <c r="AC584" s="1026"/>
    </row>
    <row r="585" spans="1:29" x14ac:dyDescent="0.25">
      <c r="A585" s="847"/>
      <c r="B585" s="1026"/>
      <c r="C585" s="1026"/>
      <c r="D585" s="1026"/>
      <c r="E585" s="1026"/>
      <c r="F585" s="1026"/>
      <c r="G585" s="1026"/>
      <c r="H585" s="1026"/>
      <c r="I585" s="1026"/>
      <c r="J585" s="1026"/>
      <c r="K585" s="1026"/>
      <c r="L585" s="1026"/>
      <c r="M585" s="1026"/>
      <c r="N585" s="1026"/>
      <c r="O585" s="1026"/>
      <c r="P585" s="1026"/>
      <c r="Q585" s="1026"/>
      <c r="R585" s="1026"/>
      <c r="S585" s="1026"/>
      <c r="T585" s="1026"/>
      <c r="U585" s="1026"/>
      <c r="V585" s="1026"/>
      <c r="W585" s="1026"/>
      <c r="X585" s="1026"/>
      <c r="Y585" s="1026"/>
      <c r="Z585" s="1026"/>
      <c r="AA585" s="1026"/>
      <c r="AB585" s="1026"/>
      <c r="AC585" s="1026"/>
    </row>
    <row r="586" spans="1:29" x14ac:dyDescent="0.25">
      <c r="A586" s="847"/>
      <c r="B586" s="1026"/>
      <c r="C586" s="1026"/>
      <c r="D586" s="1026"/>
      <c r="E586" s="1026"/>
      <c r="F586" s="1026"/>
      <c r="G586" s="1026"/>
      <c r="H586" s="1026"/>
      <c r="I586" s="1026"/>
      <c r="J586" s="1026"/>
      <c r="K586" s="1026"/>
      <c r="L586" s="1026"/>
      <c r="M586" s="1026"/>
      <c r="N586" s="1026"/>
      <c r="O586" s="1026"/>
      <c r="P586" s="1026"/>
      <c r="Q586" s="1026"/>
      <c r="R586" s="1026"/>
      <c r="S586" s="1026"/>
      <c r="T586" s="1026"/>
      <c r="U586" s="1026"/>
      <c r="V586" s="1026"/>
      <c r="W586" s="1026"/>
      <c r="X586" s="1026"/>
      <c r="Y586" s="1026"/>
      <c r="Z586" s="1026"/>
      <c r="AA586" s="1026"/>
      <c r="AB586" s="1026"/>
      <c r="AC586" s="1026"/>
    </row>
    <row r="587" spans="1:29" x14ac:dyDescent="0.25">
      <c r="A587" s="847"/>
      <c r="B587" s="1026"/>
      <c r="C587" s="1026"/>
      <c r="D587" s="1026"/>
      <c r="E587" s="1026"/>
      <c r="F587" s="1026"/>
      <c r="G587" s="1026"/>
      <c r="H587" s="1026"/>
      <c r="I587" s="1026"/>
      <c r="J587" s="1026"/>
      <c r="K587" s="1026"/>
      <c r="L587" s="1026"/>
      <c r="M587" s="1026"/>
      <c r="N587" s="1026"/>
      <c r="O587" s="1026"/>
      <c r="P587" s="1026"/>
      <c r="Q587" s="1026"/>
      <c r="R587" s="1026"/>
      <c r="S587" s="1026"/>
      <c r="T587" s="1026"/>
      <c r="U587" s="1026"/>
      <c r="V587" s="1026"/>
      <c r="W587" s="1026"/>
      <c r="X587" s="1026"/>
      <c r="Y587" s="1026"/>
      <c r="Z587" s="1026"/>
      <c r="AA587" s="1026"/>
      <c r="AB587" s="1026"/>
      <c r="AC587" s="1026"/>
    </row>
    <row r="588" spans="1:29" x14ac:dyDescent="0.25">
      <c r="A588" s="847"/>
      <c r="B588" s="1026"/>
      <c r="C588" s="1026"/>
      <c r="D588" s="1026"/>
      <c r="E588" s="1026"/>
      <c r="F588" s="1026"/>
      <c r="G588" s="1026"/>
      <c r="H588" s="1026"/>
      <c r="I588" s="1026"/>
      <c r="J588" s="1026"/>
      <c r="K588" s="1026"/>
      <c r="L588" s="1026"/>
      <c r="M588" s="1026"/>
      <c r="N588" s="1026"/>
      <c r="O588" s="1026"/>
      <c r="P588" s="1026"/>
      <c r="Q588" s="1026"/>
      <c r="R588" s="1026"/>
      <c r="S588" s="1026"/>
      <c r="T588" s="1026"/>
      <c r="U588" s="1026"/>
      <c r="V588" s="1026"/>
      <c r="W588" s="1026"/>
      <c r="X588" s="1026"/>
      <c r="Y588" s="1026"/>
      <c r="Z588" s="1026"/>
      <c r="AA588" s="1026"/>
      <c r="AB588" s="1026"/>
      <c r="AC588" s="1026"/>
    </row>
    <row r="589" spans="1:29" x14ac:dyDescent="0.25">
      <c r="A589" s="847"/>
      <c r="B589" s="1026"/>
      <c r="C589" s="1026"/>
      <c r="D589" s="1026"/>
      <c r="E589" s="1026"/>
      <c r="F589" s="1026"/>
      <c r="G589" s="1026"/>
      <c r="H589" s="1026"/>
      <c r="I589" s="1026"/>
      <c r="J589" s="1026"/>
      <c r="K589" s="1026"/>
      <c r="L589" s="1026"/>
      <c r="M589" s="1026"/>
      <c r="N589" s="1026"/>
      <c r="O589" s="1026"/>
      <c r="P589" s="1026"/>
      <c r="Q589" s="1026"/>
      <c r="R589" s="1026"/>
      <c r="S589" s="1026"/>
      <c r="T589" s="1026"/>
      <c r="U589" s="1026"/>
      <c r="V589" s="1026"/>
      <c r="W589" s="1026"/>
      <c r="X589" s="1026"/>
      <c r="Y589" s="1026"/>
      <c r="Z589" s="1026"/>
      <c r="AA589" s="1026"/>
      <c r="AB589" s="1026"/>
      <c r="AC589" s="1026"/>
    </row>
    <row r="590" spans="1:29" x14ac:dyDescent="0.25">
      <c r="A590" s="847"/>
      <c r="B590" s="1026"/>
      <c r="C590" s="1026"/>
      <c r="D590" s="1026"/>
      <c r="E590" s="1026"/>
      <c r="F590" s="1026"/>
      <c r="G590" s="1026"/>
      <c r="H590" s="1026"/>
      <c r="I590" s="1026"/>
      <c r="J590" s="1026"/>
      <c r="K590" s="1026"/>
      <c r="L590" s="1026"/>
      <c r="M590" s="1026"/>
      <c r="N590" s="1026"/>
      <c r="O590" s="1026"/>
      <c r="P590" s="1026"/>
      <c r="Q590" s="1026"/>
      <c r="R590" s="1026"/>
      <c r="S590" s="1026"/>
      <c r="T590" s="1026"/>
      <c r="U590" s="1026"/>
      <c r="V590" s="1026"/>
      <c r="W590" s="1026"/>
      <c r="X590" s="1026"/>
      <c r="Y590" s="1026"/>
      <c r="Z590" s="1026"/>
      <c r="AA590" s="1026"/>
      <c r="AB590" s="1026"/>
      <c r="AC590" s="1026"/>
    </row>
    <row r="591" spans="1:29" x14ac:dyDescent="0.25">
      <c r="A591" s="847"/>
      <c r="B591" s="1026"/>
      <c r="C591" s="1026"/>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row>
    <row r="592" spans="1:29" x14ac:dyDescent="0.25">
      <c r="A592" s="847"/>
      <c r="B592" s="1026"/>
      <c r="C592" s="1026"/>
      <c r="D592" s="1026"/>
      <c r="E592" s="1026"/>
      <c r="F592" s="1026"/>
      <c r="G592" s="1026"/>
      <c r="H592" s="1026"/>
      <c r="I592" s="1026"/>
      <c r="J592" s="1026"/>
      <c r="K592" s="1026"/>
      <c r="L592" s="1026"/>
      <c r="M592" s="1026"/>
      <c r="N592" s="1026"/>
      <c r="O592" s="1026"/>
      <c r="P592" s="1026"/>
      <c r="Q592" s="1026"/>
      <c r="R592" s="1026"/>
      <c r="S592" s="1026"/>
      <c r="T592" s="1026"/>
      <c r="U592" s="1026"/>
      <c r="V592" s="1026"/>
      <c r="W592" s="1026"/>
      <c r="X592" s="1026"/>
      <c r="Y592" s="1026"/>
      <c r="Z592" s="1026"/>
      <c r="AA592" s="1026"/>
      <c r="AB592" s="1026"/>
      <c r="AC592" s="1026"/>
    </row>
    <row r="593" spans="1:29" x14ac:dyDescent="0.25">
      <c r="A593" s="847"/>
      <c r="B593" s="1026"/>
      <c r="C593" s="1026"/>
      <c r="D593" s="1026"/>
      <c r="E593" s="1026"/>
      <c r="F593" s="1026"/>
      <c r="G593" s="1026"/>
      <c r="H593" s="1026"/>
      <c r="I593" s="1026"/>
      <c r="J593" s="1026"/>
      <c r="K593" s="1026"/>
      <c r="L593" s="1026"/>
      <c r="M593" s="1026"/>
      <c r="N593" s="1026"/>
      <c r="O593" s="1026"/>
      <c r="P593" s="1026"/>
      <c r="Q593" s="1026"/>
      <c r="R593" s="1026"/>
      <c r="S593" s="1026"/>
      <c r="T593" s="1026"/>
      <c r="U593" s="1026"/>
      <c r="V593" s="1026"/>
      <c r="W593" s="1026"/>
      <c r="X593" s="1026"/>
      <c r="Y593" s="1026"/>
      <c r="Z593" s="1026"/>
      <c r="AA593" s="1026"/>
      <c r="AB593" s="1026"/>
      <c r="AC593" s="1026"/>
    </row>
    <row r="594" spans="1:29" x14ac:dyDescent="0.25">
      <c r="A594" s="847"/>
      <c r="B594" s="1026"/>
      <c r="C594" s="1026"/>
      <c r="D594" s="1026"/>
      <c r="E594" s="1026"/>
      <c r="F594" s="1026"/>
      <c r="G594" s="1026"/>
      <c r="H594" s="1026"/>
      <c r="I594" s="1026"/>
      <c r="J594" s="1026"/>
      <c r="K594" s="1026"/>
      <c r="L594" s="1026"/>
      <c r="M594" s="1026"/>
      <c r="N594" s="1026"/>
      <c r="O594" s="1026"/>
      <c r="P594" s="1026"/>
      <c r="Q594" s="1026"/>
      <c r="R594" s="1026"/>
      <c r="S594" s="1026"/>
      <c r="T594" s="1026"/>
      <c r="U594" s="1026"/>
      <c r="V594" s="1026"/>
      <c r="W594" s="1026"/>
      <c r="X594" s="1026"/>
      <c r="Y594" s="1026"/>
      <c r="Z594" s="1026"/>
      <c r="AA594" s="1026"/>
      <c r="AB594" s="1026"/>
      <c r="AC594" s="1026"/>
    </row>
    <row r="595" spans="1:29" x14ac:dyDescent="0.25">
      <c r="A595" s="847"/>
      <c r="B595" s="1026"/>
      <c r="C595" s="1026"/>
      <c r="D595" s="1026"/>
      <c r="E595" s="1026"/>
      <c r="F595" s="1026"/>
      <c r="G595" s="1026"/>
      <c r="H595" s="1026"/>
      <c r="I595" s="1026"/>
      <c r="J595" s="1026"/>
      <c r="K595" s="1026"/>
      <c r="L595" s="1026"/>
      <c r="M595" s="1026"/>
      <c r="N595" s="1026"/>
      <c r="O595" s="1026"/>
      <c r="P595" s="1026"/>
      <c r="Q595" s="1026"/>
      <c r="R595" s="1026"/>
      <c r="S595" s="1026"/>
      <c r="T595" s="1026"/>
      <c r="U595" s="1026"/>
      <c r="V595" s="1026"/>
      <c r="W595" s="1026"/>
      <c r="X595" s="1026"/>
      <c r="Y595" s="1026"/>
      <c r="Z595" s="1026"/>
      <c r="AA595" s="1026"/>
      <c r="AB595" s="1026"/>
      <c r="AC595" s="1026"/>
    </row>
    <row r="596" spans="1:29" x14ac:dyDescent="0.25">
      <c r="A596" s="847"/>
      <c r="B596" s="1026"/>
      <c r="C596" s="1026"/>
      <c r="D596" s="1026"/>
      <c r="E596" s="1026"/>
      <c r="F596" s="1026"/>
      <c r="G596" s="1026"/>
      <c r="H596" s="1026"/>
      <c r="I596" s="1026"/>
      <c r="J596" s="1026"/>
      <c r="K596" s="1026"/>
      <c r="L596" s="1026"/>
      <c r="M596" s="1026"/>
      <c r="N596" s="1026"/>
      <c r="O596" s="1026"/>
      <c r="P596" s="1026"/>
      <c r="Q596" s="1026"/>
      <c r="R596" s="1026"/>
      <c r="S596" s="1026"/>
      <c r="T596" s="1026"/>
      <c r="U596" s="1026"/>
      <c r="V596" s="1026"/>
      <c r="W596" s="1026"/>
      <c r="X596" s="1026"/>
      <c r="Y596" s="1026"/>
      <c r="Z596" s="1026"/>
      <c r="AA596" s="1026"/>
      <c r="AB596" s="1026"/>
      <c r="AC596" s="1026"/>
    </row>
    <row r="597" spans="1:29" x14ac:dyDescent="0.25">
      <c r="A597" s="847"/>
      <c r="B597" s="1026"/>
      <c r="C597" s="1026"/>
      <c r="D597" s="1026"/>
      <c r="E597" s="1026"/>
      <c r="F597" s="1026"/>
      <c r="G597" s="1026"/>
      <c r="H597" s="1026"/>
      <c r="I597" s="1026"/>
      <c r="J597" s="1026"/>
      <c r="K597" s="1026"/>
      <c r="L597" s="1026"/>
      <c r="M597" s="1026"/>
      <c r="N597" s="1026"/>
      <c r="O597" s="1026"/>
      <c r="P597" s="1026"/>
      <c r="Q597" s="1026"/>
      <c r="R597" s="1026"/>
      <c r="S597" s="1026"/>
      <c r="T597" s="1026"/>
      <c r="U597" s="1026"/>
      <c r="V597" s="1026"/>
      <c r="W597" s="1026"/>
      <c r="X597" s="1026"/>
      <c r="Y597" s="1026"/>
      <c r="Z597" s="1026"/>
      <c r="AA597" s="1026"/>
      <c r="AB597" s="1026"/>
      <c r="AC597" s="1026"/>
    </row>
    <row r="598" spans="1:29" x14ac:dyDescent="0.25">
      <c r="A598" s="847"/>
      <c r="B598" s="1026"/>
      <c r="C598" s="1026"/>
      <c r="D598" s="1026"/>
      <c r="E598" s="1026"/>
      <c r="F598" s="1026"/>
      <c r="G598" s="1026"/>
      <c r="H598" s="1026"/>
      <c r="I598" s="1026"/>
      <c r="J598" s="1026"/>
      <c r="K598" s="1026"/>
      <c r="L598" s="1026"/>
      <c r="M598" s="1026"/>
      <c r="N598" s="1026"/>
      <c r="O598" s="1026"/>
      <c r="P598" s="1026"/>
      <c r="Q598" s="1026"/>
      <c r="R598" s="1026"/>
      <c r="S598" s="1026"/>
      <c r="T598" s="1026"/>
      <c r="U598" s="1026"/>
      <c r="V598" s="1026"/>
      <c r="W598" s="1026"/>
      <c r="X598" s="1026"/>
      <c r="Y598" s="1026"/>
      <c r="Z598" s="1026"/>
      <c r="AA598" s="1026"/>
      <c r="AB598" s="1026"/>
      <c r="AC598" s="1026"/>
    </row>
    <row r="599" spans="1:29" x14ac:dyDescent="0.25">
      <c r="A599" s="847"/>
      <c r="B599" s="1026"/>
      <c r="C599" s="1026"/>
      <c r="D599" s="1026"/>
      <c r="E599" s="1026"/>
      <c r="F599" s="1026"/>
      <c r="G599" s="1026"/>
      <c r="H599" s="1026"/>
      <c r="I599" s="1026"/>
      <c r="J599" s="1026"/>
      <c r="K599" s="1026"/>
      <c r="L599" s="1026"/>
      <c r="M599" s="1026"/>
      <c r="N599" s="1026"/>
      <c r="O599" s="1026"/>
      <c r="P599" s="1026"/>
      <c r="Q599" s="1026"/>
      <c r="R599" s="1026"/>
      <c r="S599" s="1026"/>
      <c r="T599" s="1026"/>
      <c r="U599" s="1026"/>
      <c r="V599" s="1026"/>
      <c r="W599" s="1026"/>
      <c r="X599" s="1026"/>
      <c r="Y599" s="1026"/>
      <c r="Z599" s="1026"/>
      <c r="AA599" s="1026"/>
      <c r="AB599" s="1026"/>
      <c r="AC599" s="1026"/>
    </row>
    <row r="600" spans="1:29" x14ac:dyDescent="0.25">
      <c r="A600" s="847"/>
      <c r="B600" s="1026"/>
      <c r="C600" s="1026"/>
      <c r="D600" s="1026"/>
      <c r="E600" s="1026"/>
      <c r="F600" s="1026"/>
      <c r="G600" s="1026"/>
      <c r="H600" s="1026"/>
      <c r="I600" s="1026"/>
      <c r="J600" s="1026"/>
      <c r="K600" s="1026"/>
      <c r="L600" s="1026"/>
      <c r="M600" s="1026"/>
      <c r="N600" s="1026"/>
      <c r="O600" s="1026"/>
      <c r="P600" s="1026"/>
      <c r="Q600" s="1026"/>
      <c r="R600" s="1026"/>
      <c r="S600" s="1026"/>
      <c r="T600" s="1026"/>
      <c r="U600" s="1026"/>
      <c r="V600" s="1026"/>
      <c r="W600" s="1026"/>
      <c r="X600" s="1026"/>
      <c r="Y600" s="1026"/>
      <c r="Z600" s="1026"/>
      <c r="AA600" s="1026"/>
      <c r="AB600" s="1026"/>
      <c r="AC600" s="1026"/>
    </row>
    <row r="601" spans="1:29" x14ac:dyDescent="0.25">
      <c r="A601" s="847"/>
      <c r="B601" s="1026"/>
      <c r="C601" s="1026"/>
      <c r="D601" s="1026"/>
      <c r="E601" s="1026"/>
      <c r="F601" s="1026"/>
      <c r="G601" s="1026"/>
      <c r="H601" s="1026"/>
      <c r="I601" s="1026"/>
      <c r="J601" s="1026"/>
      <c r="K601" s="1026"/>
      <c r="L601" s="1026"/>
      <c r="M601" s="1026"/>
      <c r="N601" s="1026"/>
      <c r="O601" s="1026"/>
      <c r="P601" s="1026"/>
      <c r="Q601" s="1026"/>
      <c r="R601" s="1026"/>
      <c r="S601" s="1026"/>
      <c r="T601" s="1026"/>
      <c r="U601" s="1026"/>
      <c r="V601" s="1026"/>
      <c r="W601" s="1026"/>
      <c r="X601" s="1026"/>
      <c r="Y601" s="1026"/>
      <c r="Z601" s="1026"/>
      <c r="AA601" s="1026"/>
      <c r="AB601" s="1026"/>
      <c r="AC601" s="1026"/>
    </row>
    <row r="602" spans="1:29" x14ac:dyDescent="0.25">
      <c r="A602" s="847"/>
      <c r="B602" s="1026"/>
      <c r="C602" s="1026"/>
      <c r="D602" s="1026"/>
      <c r="E602" s="1026"/>
      <c r="F602" s="1026"/>
      <c r="G602" s="1026"/>
      <c r="H602" s="1026"/>
      <c r="I602" s="1026"/>
      <c r="J602" s="1026"/>
      <c r="K602" s="1026"/>
      <c r="L602" s="1026"/>
      <c r="M602" s="1026"/>
      <c r="N602" s="1026"/>
      <c r="O602" s="1026"/>
      <c r="P602" s="1026"/>
      <c r="Q602" s="1026"/>
      <c r="R602" s="1026"/>
      <c r="S602" s="1026"/>
      <c r="T602" s="1026"/>
      <c r="U602" s="1026"/>
      <c r="V602" s="1026"/>
      <c r="W602" s="1026"/>
      <c r="X602" s="1026"/>
      <c r="Y602" s="1026"/>
      <c r="Z602" s="1026"/>
      <c r="AA602" s="1026"/>
      <c r="AB602" s="1026"/>
      <c r="AC602" s="1026"/>
    </row>
    <row r="603" spans="1:29" x14ac:dyDescent="0.25">
      <c r="A603" s="847"/>
      <c r="B603" s="1026"/>
      <c r="C603" s="1026"/>
      <c r="D603" s="1026"/>
      <c r="E603" s="1026"/>
      <c r="F603" s="1026"/>
      <c r="G603" s="1026"/>
      <c r="H603" s="1026"/>
      <c r="I603" s="1026"/>
      <c r="J603" s="1026"/>
      <c r="K603" s="1026"/>
      <c r="L603" s="1026"/>
      <c r="M603" s="1026"/>
      <c r="N603" s="1026"/>
      <c r="O603" s="1026"/>
      <c r="P603" s="1026"/>
      <c r="Q603" s="1026"/>
      <c r="R603" s="1026"/>
      <c r="S603" s="1026"/>
      <c r="T603" s="1026"/>
      <c r="U603" s="1026"/>
      <c r="V603" s="1026"/>
      <c r="W603" s="1026"/>
      <c r="X603" s="1026"/>
      <c r="Y603" s="1026"/>
      <c r="Z603" s="1026"/>
      <c r="AA603" s="1026"/>
      <c r="AB603" s="1026"/>
      <c r="AC603" s="1026"/>
    </row>
    <row r="604" spans="1:29" x14ac:dyDescent="0.25">
      <c r="A604" s="847"/>
      <c r="B604" s="1026"/>
      <c r="C604" s="1026"/>
      <c r="D604" s="1026"/>
      <c r="E604" s="1026"/>
      <c r="F604" s="1026"/>
      <c r="G604" s="1026"/>
      <c r="H604" s="1026"/>
      <c r="I604" s="1026"/>
      <c r="J604" s="1026"/>
      <c r="K604" s="1026"/>
      <c r="L604" s="1026"/>
      <c r="M604" s="1026"/>
      <c r="N604" s="1026"/>
      <c r="O604" s="1026"/>
      <c r="P604" s="1026"/>
      <c r="Q604" s="1026"/>
      <c r="R604" s="1026"/>
      <c r="S604" s="1026"/>
      <c r="T604" s="1026"/>
      <c r="U604" s="1026"/>
      <c r="V604" s="1026"/>
      <c r="W604" s="1026"/>
      <c r="X604" s="1026"/>
      <c r="Y604" s="1026"/>
      <c r="Z604" s="1026"/>
      <c r="AA604" s="1026"/>
      <c r="AB604" s="1026"/>
      <c r="AC604" s="1026"/>
    </row>
    <row r="605" spans="1:29" x14ac:dyDescent="0.25">
      <c r="A605" s="847"/>
      <c r="B605" s="1026"/>
      <c r="C605" s="1026"/>
      <c r="D605" s="1026"/>
      <c r="E605" s="1026"/>
      <c r="F605" s="1026"/>
      <c r="G605" s="1026"/>
      <c r="H605" s="1026"/>
      <c r="I605" s="1026"/>
      <c r="J605" s="1026"/>
      <c r="K605" s="1026"/>
      <c r="L605" s="1026"/>
      <c r="M605" s="1026"/>
      <c r="N605" s="1026"/>
      <c r="O605" s="1026"/>
      <c r="P605" s="1026"/>
      <c r="Q605" s="1026"/>
      <c r="R605" s="1026"/>
      <c r="S605" s="1026"/>
      <c r="T605" s="1026"/>
      <c r="U605" s="1026"/>
      <c r="V605" s="1026"/>
      <c r="W605" s="1026"/>
      <c r="X605" s="1026"/>
      <c r="Y605" s="1026"/>
      <c r="Z605" s="1026"/>
      <c r="AA605" s="1026"/>
      <c r="AB605" s="1026"/>
      <c r="AC605" s="1026"/>
    </row>
    <row r="606" spans="1:29" x14ac:dyDescent="0.25">
      <c r="A606" s="847"/>
      <c r="B606" s="1026"/>
      <c r="C606" s="1026"/>
      <c r="D606" s="1026"/>
      <c r="E606" s="1026"/>
      <c r="F606" s="1026"/>
      <c r="G606" s="1026"/>
      <c r="H606" s="1026"/>
      <c r="I606" s="1026"/>
      <c r="J606" s="1026"/>
      <c r="K606" s="1026"/>
      <c r="L606" s="1026"/>
      <c r="M606" s="1026"/>
      <c r="N606" s="1026"/>
      <c r="O606" s="1026"/>
      <c r="P606" s="1026"/>
      <c r="Q606" s="1026"/>
      <c r="R606" s="1026"/>
      <c r="S606" s="1026"/>
      <c r="T606" s="1026"/>
      <c r="U606" s="1026"/>
      <c r="V606" s="1026"/>
      <c r="W606" s="1026"/>
      <c r="X606" s="1026"/>
      <c r="Y606" s="1026"/>
      <c r="Z606" s="1026"/>
      <c r="AA606" s="1026"/>
      <c r="AB606" s="1026"/>
      <c r="AC606" s="1026"/>
    </row>
    <row r="607" spans="1:29" x14ac:dyDescent="0.25">
      <c r="A607" s="847"/>
      <c r="B607" s="1026"/>
      <c r="C607" s="1026"/>
      <c r="D607" s="1026"/>
      <c r="E607" s="1026"/>
      <c r="F607" s="1026"/>
      <c r="G607" s="1026"/>
      <c r="H607" s="1026"/>
      <c r="I607" s="1026"/>
      <c r="J607" s="1026"/>
      <c r="K607" s="1026"/>
      <c r="L607" s="1026"/>
      <c r="M607" s="1026"/>
      <c r="N607" s="1026"/>
      <c r="O607" s="1026"/>
      <c r="P607" s="1026"/>
      <c r="Q607" s="1026"/>
      <c r="R607" s="1026"/>
      <c r="S607" s="1026"/>
      <c r="T607" s="1026"/>
      <c r="U607" s="1026"/>
      <c r="V607" s="1026"/>
      <c r="W607" s="1026"/>
      <c r="X607" s="1026"/>
      <c r="Y607" s="1026"/>
      <c r="Z607" s="1026"/>
      <c r="AA607" s="1026"/>
      <c r="AB607" s="1026"/>
      <c r="AC607" s="1026"/>
    </row>
    <row r="608" spans="1:29" x14ac:dyDescent="0.25">
      <c r="A608" s="847"/>
      <c r="B608" s="1026"/>
      <c r="C608" s="1026"/>
      <c r="D608" s="1026"/>
      <c r="E608" s="1026"/>
      <c r="F608" s="1026"/>
      <c r="G608" s="1026"/>
      <c r="H608" s="1026"/>
      <c r="I608" s="1026"/>
      <c r="J608" s="1026"/>
      <c r="K608" s="1026"/>
      <c r="L608" s="1026"/>
      <c r="M608" s="1026"/>
      <c r="N608" s="1026"/>
      <c r="O608" s="1026"/>
      <c r="P608" s="1026"/>
      <c r="Q608" s="1026"/>
      <c r="R608" s="1026"/>
      <c r="S608" s="1026"/>
      <c r="T608" s="1026"/>
      <c r="U608" s="1026"/>
      <c r="V608" s="1026"/>
      <c r="W608" s="1026"/>
      <c r="X608" s="1026"/>
      <c r="Y608" s="1026"/>
      <c r="Z608" s="1026"/>
      <c r="AA608" s="1026"/>
      <c r="AB608" s="1026"/>
      <c r="AC608" s="1026"/>
    </row>
    <row r="609" spans="1:29" x14ac:dyDescent="0.25">
      <c r="A609" s="847"/>
      <c r="B609" s="1026"/>
      <c r="C609" s="1026"/>
      <c r="D609" s="1026"/>
      <c r="E609" s="1026"/>
      <c r="F609" s="1026"/>
      <c r="G609" s="1026"/>
      <c r="H609" s="1026"/>
      <c r="I609" s="1026"/>
      <c r="J609" s="1026"/>
      <c r="K609" s="1026"/>
      <c r="L609" s="1026"/>
      <c r="M609" s="1026"/>
      <c r="N609" s="1026"/>
      <c r="O609" s="1026"/>
      <c r="P609" s="1026"/>
      <c r="Q609" s="1026"/>
      <c r="R609" s="1026"/>
      <c r="S609" s="1026"/>
      <c r="T609" s="1026"/>
      <c r="U609" s="1026"/>
      <c r="V609" s="1026"/>
      <c r="W609" s="1026"/>
      <c r="X609" s="1026"/>
      <c r="Y609" s="1026"/>
      <c r="Z609" s="1026"/>
      <c r="AA609" s="1026"/>
      <c r="AB609" s="1026"/>
      <c r="AC609" s="1026"/>
    </row>
    <row r="610" spans="1:29" x14ac:dyDescent="0.25">
      <c r="A610" s="847"/>
      <c r="B610" s="1026"/>
      <c r="C610" s="1026"/>
      <c r="D610" s="1026"/>
      <c r="E610" s="1026"/>
      <c r="F610" s="1026"/>
      <c r="G610" s="1026"/>
      <c r="H610" s="1026"/>
      <c r="I610" s="1026"/>
      <c r="J610" s="1026"/>
      <c r="K610" s="1026"/>
      <c r="L610" s="1026"/>
      <c r="M610" s="1026"/>
      <c r="N610" s="1026"/>
      <c r="O610" s="1026"/>
      <c r="P610" s="1026"/>
      <c r="Q610" s="1026"/>
      <c r="R610" s="1026"/>
      <c r="S610" s="1026"/>
      <c r="T610" s="1026"/>
      <c r="U610" s="1026"/>
      <c r="V610" s="1026"/>
      <c r="W610" s="1026"/>
      <c r="X610" s="1026"/>
      <c r="Y610" s="1026"/>
      <c r="Z610" s="1026"/>
      <c r="AA610" s="1026"/>
      <c r="AB610" s="1026"/>
      <c r="AC610" s="1026"/>
    </row>
    <row r="611" spans="1:29" x14ac:dyDescent="0.25">
      <c r="A611" s="847"/>
      <c r="B611" s="1026"/>
      <c r="C611" s="1026"/>
      <c r="D611" s="1026"/>
      <c r="E611" s="1026"/>
      <c r="F611" s="1026"/>
      <c r="G611" s="1026"/>
      <c r="H611" s="1026"/>
      <c r="I611" s="1026"/>
      <c r="J611" s="1026"/>
      <c r="K611" s="1026"/>
      <c r="L611" s="1026"/>
      <c r="M611" s="1026"/>
      <c r="N611" s="1026"/>
      <c r="O611" s="1026"/>
      <c r="P611" s="1026"/>
      <c r="Q611" s="1026"/>
      <c r="R611" s="1026"/>
      <c r="S611" s="1026"/>
      <c r="T611" s="1026"/>
      <c r="U611" s="1026"/>
      <c r="V611" s="1026"/>
      <c r="W611" s="1026"/>
      <c r="X611" s="1026"/>
      <c r="Y611" s="1026"/>
      <c r="Z611" s="1026"/>
      <c r="AA611" s="1026"/>
      <c r="AB611" s="1026"/>
      <c r="AC611" s="1026"/>
    </row>
    <row r="612" spans="1:29" x14ac:dyDescent="0.25">
      <c r="A612" s="847"/>
      <c r="B612" s="1026"/>
      <c r="C612" s="1026"/>
      <c r="D612" s="1026"/>
      <c r="E612" s="1026"/>
      <c r="F612" s="1026"/>
      <c r="G612" s="1026"/>
      <c r="H612" s="1026"/>
      <c r="I612" s="1026"/>
      <c r="J612" s="1026"/>
      <c r="K612" s="1026"/>
      <c r="L612" s="1026"/>
      <c r="M612" s="1026"/>
      <c r="N612" s="1026"/>
      <c r="O612" s="1026"/>
      <c r="P612" s="1026"/>
      <c r="Q612" s="1026"/>
      <c r="R612" s="1026"/>
      <c r="S612" s="1026"/>
      <c r="T612" s="1026"/>
      <c r="U612" s="1026"/>
      <c r="V612" s="1026"/>
      <c r="W612" s="1026"/>
      <c r="X612" s="1026"/>
      <c r="Y612" s="1026"/>
      <c r="Z612" s="1026"/>
      <c r="AA612" s="1026"/>
      <c r="AB612" s="1026"/>
      <c r="AC612" s="1026"/>
    </row>
    <row r="613" spans="1:29" x14ac:dyDescent="0.25">
      <c r="A613" s="847"/>
      <c r="B613" s="1026"/>
      <c r="C613" s="1026"/>
      <c r="D613" s="1026"/>
      <c r="E613" s="1026"/>
      <c r="F613" s="1026"/>
      <c r="G613" s="1026"/>
      <c r="H613" s="1026"/>
      <c r="I613" s="1026"/>
      <c r="J613" s="1026"/>
      <c r="K613" s="1026"/>
      <c r="L613" s="1026"/>
      <c r="M613" s="1026"/>
      <c r="N613" s="1026"/>
      <c r="O613" s="1026"/>
      <c r="P613" s="1026"/>
      <c r="Q613" s="1026"/>
      <c r="R613" s="1026"/>
      <c r="S613" s="1026"/>
      <c r="T613" s="1026"/>
      <c r="U613" s="1026"/>
      <c r="V613" s="1026"/>
      <c r="W613" s="1026"/>
      <c r="X613" s="1026"/>
      <c r="Y613" s="1026"/>
      <c r="Z613" s="1026"/>
      <c r="AA613" s="1026"/>
      <c r="AB613" s="1026"/>
      <c r="AC613" s="1026"/>
    </row>
    <row r="614" spans="1:29" x14ac:dyDescent="0.25">
      <c r="A614" s="847"/>
      <c r="B614" s="1026"/>
      <c r="C614" s="1026"/>
      <c r="D614" s="1026"/>
      <c r="E614" s="1026"/>
      <c r="F614" s="1026"/>
      <c r="G614" s="1026"/>
      <c r="H614" s="1026"/>
      <c r="I614" s="1026"/>
      <c r="J614" s="1026"/>
      <c r="K614" s="1026"/>
      <c r="L614" s="1026"/>
      <c r="M614" s="1026"/>
      <c r="N614" s="1026"/>
      <c r="O614" s="1026"/>
      <c r="P614" s="1026"/>
      <c r="Q614" s="1026"/>
      <c r="R614" s="1026"/>
      <c r="S614" s="1026"/>
      <c r="T614" s="1026"/>
      <c r="U614" s="1026"/>
      <c r="V614" s="1026"/>
      <c r="W614" s="1026"/>
      <c r="X614" s="1026"/>
      <c r="Y614" s="1026"/>
      <c r="Z614" s="1026"/>
      <c r="AA614" s="1026"/>
      <c r="AB614" s="1026"/>
      <c r="AC614" s="1026"/>
    </row>
    <row r="615" spans="1:29" x14ac:dyDescent="0.25">
      <c r="A615" s="847"/>
      <c r="B615" s="1026"/>
      <c r="C615" s="1026"/>
      <c r="D615" s="1026"/>
      <c r="E615" s="1026"/>
      <c r="F615" s="1026"/>
      <c r="G615" s="1026"/>
      <c r="H615" s="1026"/>
      <c r="I615" s="1026"/>
      <c r="J615" s="1026"/>
      <c r="K615" s="1026"/>
      <c r="L615" s="1026"/>
      <c r="M615" s="1026"/>
      <c r="N615" s="1026"/>
      <c r="O615" s="1026"/>
      <c r="P615" s="1026"/>
      <c r="Q615" s="1026"/>
      <c r="R615" s="1026"/>
      <c r="S615" s="1026"/>
      <c r="T615" s="1026"/>
      <c r="U615" s="1026"/>
      <c r="V615" s="1026"/>
      <c r="W615" s="1026"/>
      <c r="X615" s="1026"/>
      <c r="Y615" s="1026"/>
      <c r="Z615" s="1026"/>
      <c r="AA615" s="1026"/>
      <c r="AB615" s="1026"/>
      <c r="AC615" s="1026"/>
    </row>
    <row r="616" spans="1:29" x14ac:dyDescent="0.25">
      <c r="A616" s="847"/>
      <c r="B616" s="1026"/>
      <c r="C616" s="1026"/>
      <c r="D616" s="1026"/>
      <c r="E616" s="1026"/>
      <c r="F616" s="1026"/>
      <c r="G616" s="1026"/>
      <c r="H616" s="1026"/>
      <c r="I616" s="1026"/>
      <c r="J616" s="1026"/>
      <c r="K616" s="1026"/>
      <c r="L616" s="1026"/>
      <c r="M616" s="1026"/>
      <c r="N616" s="1026"/>
      <c r="O616" s="1026"/>
      <c r="P616" s="1026"/>
      <c r="Q616" s="1026"/>
      <c r="R616" s="1026"/>
      <c r="S616" s="1026"/>
      <c r="T616" s="1026"/>
      <c r="U616" s="1026"/>
      <c r="V616" s="1026"/>
      <c r="W616" s="1026"/>
      <c r="X616" s="1026"/>
      <c r="Y616" s="1026"/>
      <c r="Z616" s="1026"/>
      <c r="AA616" s="1026"/>
      <c r="AB616" s="1026"/>
      <c r="AC616" s="1026"/>
    </row>
    <row r="617" spans="1:29" x14ac:dyDescent="0.25">
      <c r="A617" s="847"/>
      <c r="B617" s="1026"/>
      <c r="C617" s="1026"/>
      <c r="D617" s="1026"/>
      <c r="E617" s="1026"/>
      <c r="F617" s="1026"/>
      <c r="G617" s="1026"/>
      <c r="H617" s="1026"/>
      <c r="I617" s="1026"/>
      <c r="J617" s="1026"/>
      <c r="K617" s="1026"/>
      <c r="L617" s="1026"/>
      <c r="M617" s="1026"/>
      <c r="N617" s="1026"/>
      <c r="O617" s="1026"/>
      <c r="P617" s="1026"/>
      <c r="Q617" s="1026"/>
      <c r="R617" s="1026"/>
      <c r="S617" s="1026"/>
      <c r="T617" s="1026"/>
      <c r="U617" s="1026"/>
      <c r="V617" s="1026"/>
      <c r="W617" s="1026"/>
      <c r="X617" s="1026"/>
      <c r="Y617" s="1026"/>
      <c r="Z617" s="1026"/>
      <c r="AA617" s="1026"/>
      <c r="AB617" s="1026"/>
      <c r="AC617" s="1026"/>
    </row>
    <row r="618" spans="1:29" x14ac:dyDescent="0.25">
      <c r="A618" s="847"/>
      <c r="B618" s="1026"/>
      <c r="C618" s="1026"/>
      <c r="D618" s="1026"/>
      <c r="E618" s="1026"/>
      <c r="F618" s="1026"/>
      <c r="G618" s="1026"/>
      <c r="H618" s="1026"/>
      <c r="I618" s="1026"/>
      <c r="J618" s="1026"/>
      <c r="K618" s="1026"/>
      <c r="L618" s="1026"/>
      <c r="M618" s="1026"/>
      <c r="N618" s="1026"/>
      <c r="O618" s="1026"/>
      <c r="P618" s="1026"/>
      <c r="Q618" s="1026"/>
      <c r="R618" s="1026"/>
      <c r="S618" s="1026"/>
      <c r="T618" s="1026"/>
      <c r="U618" s="1026"/>
      <c r="V618" s="1026"/>
      <c r="W618" s="1026"/>
      <c r="X618" s="1026"/>
      <c r="Y618" s="1026"/>
      <c r="Z618" s="1026"/>
      <c r="AA618" s="1026"/>
      <c r="AB618" s="1026"/>
      <c r="AC618" s="1026"/>
    </row>
    <row r="619" spans="1:29" x14ac:dyDescent="0.25">
      <c r="A619" s="847"/>
      <c r="B619" s="1026"/>
      <c r="C619" s="1026"/>
      <c r="D619" s="1026"/>
      <c r="E619" s="1026"/>
      <c r="F619" s="1026"/>
      <c r="G619" s="1026"/>
      <c r="H619" s="1026"/>
      <c r="I619" s="1026"/>
      <c r="J619" s="1026"/>
      <c r="K619" s="1026"/>
      <c r="L619" s="1026"/>
      <c r="M619" s="1026"/>
      <c r="N619" s="1026"/>
      <c r="O619" s="1026"/>
      <c r="P619" s="1026"/>
      <c r="Q619" s="1026"/>
      <c r="R619" s="1026"/>
      <c r="S619" s="1026"/>
      <c r="T619" s="1026"/>
      <c r="U619" s="1026"/>
      <c r="V619" s="1026"/>
      <c r="W619" s="1026"/>
      <c r="X619" s="1026"/>
      <c r="Y619" s="1026"/>
      <c r="Z619" s="1026"/>
      <c r="AA619" s="1026"/>
      <c r="AB619" s="1026"/>
      <c r="AC619" s="1026"/>
    </row>
    <row r="620" spans="1:29" x14ac:dyDescent="0.25">
      <c r="A620" s="847"/>
      <c r="B620" s="1026"/>
      <c r="C620" s="1026"/>
      <c r="D620" s="1026"/>
      <c r="E620" s="1026"/>
      <c r="F620" s="1026"/>
      <c r="G620" s="1026"/>
      <c r="H620" s="1026"/>
      <c r="I620" s="1026"/>
      <c r="J620" s="1026"/>
      <c r="K620" s="1026"/>
      <c r="L620" s="1026"/>
      <c r="M620" s="1026"/>
      <c r="N620" s="1026"/>
      <c r="O620" s="1026"/>
      <c r="P620" s="1026"/>
      <c r="Q620" s="1026"/>
      <c r="R620" s="1026"/>
      <c r="S620" s="1026"/>
      <c r="T620" s="1026"/>
      <c r="U620" s="1026"/>
      <c r="V620" s="1026"/>
      <c r="W620" s="1026"/>
      <c r="X620" s="1026"/>
      <c r="Y620" s="1026"/>
      <c r="Z620" s="1026"/>
      <c r="AA620" s="1026"/>
      <c r="AB620" s="1026"/>
      <c r="AC620" s="1026"/>
    </row>
    <row r="621" spans="1:29" x14ac:dyDescent="0.25">
      <c r="A621" s="847"/>
      <c r="B621" s="1026"/>
      <c r="C621" s="1026"/>
      <c r="D621" s="1026"/>
      <c r="E621" s="1026"/>
      <c r="F621" s="1026"/>
      <c r="G621" s="1026"/>
      <c r="H621" s="1026"/>
      <c r="I621" s="1026"/>
      <c r="J621" s="1026"/>
      <c r="K621" s="1026"/>
      <c r="L621" s="1026"/>
      <c r="M621" s="1026"/>
      <c r="N621" s="1026"/>
      <c r="O621" s="1026"/>
      <c r="P621" s="1026"/>
      <c r="Q621" s="1026"/>
      <c r="R621" s="1026"/>
      <c r="S621" s="1026"/>
      <c r="T621" s="1026"/>
      <c r="U621" s="1026"/>
      <c r="V621" s="1026"/>
      <c r="W621" s="1026"/>
      <c r="X621" s="1026"/>
      <c r="Y621" s="1026"/>
      <c r="Z621" s="1026"/>
      <c r="AA621" s="1026"/>
      <c r="AB621" s="1026"/>
      <c r="AC621" s="1026"/>
    </row>
    <row r="622" spans="1:29" x14ac:dyDescent="0.25">
      <c r="A622" s="847"/>
      <c r="B622" s="1026"/>
      <c r="C622" s="1026"/>
      <c r="D622" s="1026"/>
      <c r="E622" s="1026"/>
      <c r="F622" s="1026"/>
      <c r="G622" s="1026"/>
      <c r="H622" s="1026"/>
      <c r="I622" s="1026"/>
      <c r="J622" s="1026"/>
      <c r="K622" s="1026"/>
      <c r="L622" s="1026"/>
      <c r="M622" s="1026"/>
      <c r="N622" s="1026"/>
      <c r="O622" s="1026"/>
      <c r="P622" s="1026"/>
      <c r="Q622" s="1026"/>
      <c r="R622" s="1026"/>
      <c r="S622" s="1026"/>
      <c r="T622" s="1026"/>
      <c r="U622" s="1026"/>
      <c r="V622" s="1026"/>
      <c r="W622" s="1026"/>
      <c r="X622" s="1026"/>
      <c r="Y622" s="1026"/>
      <c r="Z622" s="1026"/>
      <c r="AA622" s="1026"/>
      <c r="AB622" s="1026"/>
      <c r="AC622" s="1026"/>
    </row>
    <row r="623" spans="1:29" x14ac:dyDescent="0.25">
      <c r="A623" s="847"/>
      <c r="B623" s="1026"/>
      <c r="C623" s="1026"/>
      <c r="D623" s="1026"/>
      <c r="E623" s="1026"/>
      <c r="F623" s="1026"/>
      <c r="G623" s="1026"/>
      <c r="H623" s="1026"/>
      <c r="I623" s="1026"/>
      <c r="J623" s="1026"/>
      <c r="K623" s="1026"/>
      <c r="L623" s="1026"/>
      <c r="M623" s="1026"/>
      <c r="N623" s="1026"/>
      <c r="O623" s="1026"/>
      <c r="P623" s="1026"/>
      <c r="Q623" s="1026"/>
      <c r="R623" s="1026"/>
      <c r="S623" s="1026"/>
      <c r="T623" s="1026"/>
      <c r="U623" s="1026"/>
      <c r="V623" s="1026"/>
      <c r="W623" s="1026"/>
      <c r="X623" s="1026"/>
      <c r="Y623" s="1026"/>
      <c r="Z623" s="1026"/>
      <c r="AA623" s="1026"/>
      <c r="AB623" s="1026"/>
      <c r="AC623" s="1026"/>
    </row>
    <row r="624" spans="1:29" x14ac:dyDescent="0.25">
      <c r="A624" s="847"/>
      <c r="B624" s="1026"/>
      <c r="C624" s="1026"/>
      <c r="D624" s="1026"/>
      <c r="E624" s="1026"/>
      <c r="F624" s="1026"/>
      <c r="G624" s="1026"/>
      <c r="H624" s="1026"/>
      <c r="I624" s="1026"/>
      <c r="J624" s="1026"/>
      <c r="K624" s="1026"/>
      <c r="L624" s="1026"/>
      <c r="M624" s="1026"/>
      <c r="N624" s="1026"/>
      <c r="O624" s="1026"/>
      <c r="P624" s="1026"/>
      <c r="Q624" s="1026"/>
      <c r="R624" s="1026"/>
      <c r="S624" s="1026"/>
      <c r="T624" s="1026"/>
      <c r="U624" s="1026"/>
      <c r="V624" s="1026"/>
      <c r="W624" s="1026"/>
      <c r="X624" s="1026"/>
      <c r="Y624" s="1026"/>
      <c r="Z624" s="1026"/>
      <c r="AA624" s="1026"/>
      <c r="AB624" s="1026"/>
      <c r="AC624" s="1026"/>
    </row>
    <row r="625" spans="1:29" x14ac:dyDescent="0.25">
      <c r="A625" s="847"/>
      <c r="B625" s="1026"/>
      <c r="C625" s="1026"/>
      <c r="D625" s="1026"/>
      <c r="E625" s="1026"/>
      <c r="F625" s="1026"/>
      <c r="G625" s="1026"/>
      <c r="H625" s="1026"/>
      <c r="I625" s="1026"/>
      <c r="J625" s="1026"/>
      <c r="K625" s="1026"/>
      <c r="L625" s="1026"/>
      <c r="M625" s="1026"/>
      <c r="N625" s="1026"/>
      <c r="O625" s="1026"/>
      <c r="P625" s="1026"/>
      <c r="Q625" s="1026"/>
      <c r="R625" s="1026"/>
      <c r="S625" s="1026"/>
      <c r="T625" s="1026"/>
      <c r="U625" s="1026"/>
      <c r="V625" s="1026"/>
      <c r="W625" s="1026"/>
      <c r="X625" s="1026"/>
      <c r="Y625" s="1026"/>
      <c r="Z625" s="1026"/>
      <c r="AA625" s="1026"/>
      <c r="AB625" s="1026"/>
      <c r="AC625" s="1026"/>
    </row>
    <row r="626" spans="1:29" x14ac:dyDescent="0.25">
      <c r="A626" s="847"/>
      <c r="B626" s="1026"/>
      <c r="C626" s="1026"/>
      <c r="D626" s="1026"/>
      <c r="E626" s="1026"/>
      <c r="F626" s="1026"/>
      <c r="G626" s="1026"/>
      <c r="H626" s="1026"/>
      <c r="I626" s="1026"/>
      <c r="J626" s="1026"/>
      <c r="K626" s="1026"/>
      <c r="L626" s="1026"/>
      <c r="M626" s="1026"/>
      <c r="N626" s="1026"/>
      <c r="O626" s="1026"/>
      <c r="P626" s="1026"/>
      <c r="Q626" s="1026"/>
      <c r="R626" s="1026"/>
      <c r="S626" s="1026"/>
      <c r="T626" s="1026"/>
      <c r="U626" s="1026"/>
      <c r="V626" s="1026"/>
      <c r="W626" s="1026"/>
      <c r="X626" s="1026"/>
      <c r="Y626" s="1026"/>
      <c r="Z626" s="1026"/>
      <c r="AA626" s="1026"/>
      <c r="AB626" s="1026"/>
      <c r="AC626" s="1026"/>
    </row>
    <row r="627" spans="1:29" x14ac:dyDescent="0.25">
      <c r="A627" s="847"/>
      <c r="B627" s="1026"/>
      <c r="C627" s="1026"/>
      <c r="D627" s="1026"/>
      <c r="E627" s="1026"/>
      <c r="F627" s="1026"/>
      <c r="G627" s="1026"/>
      <c r="H627" s="1026"/>
      <c r="I627" s="1026"/>
      <c r="J627" s="1026"/>
      <c r="K627" s="1026"/>
      <c r="L627" s="1026"/>
      <c r="M627" s="1026"/>
      <c r="N627" s="1026"/>
      <c r="O627" s="1026"/>
      <c r="P627" s="1026"/>
      <c r="Q627" s="1026"/>
      <c r="R627" s="1026"/>
      <c r="S627" s="1026"/>
      <c r="T627" s="1026"/>
      <c r="U627" s="1026"/>
      <c r="V627" s="1026"/>
      <c r="W627" s="1026"/>
      <c r="X627" s="1026"/>
      <c r="Y627" s="1026"/>
      <c r="Z627" s="1026"/>
      <c r="AA627" s="1026"/>
      <c r="AB627" s="1026"/>
      <c r="AC627" s="1026"/>
    </row>
    <row r="628" spans="1:29" x14ac:dyDescent="0.25">
      <c r="A628" s="847"/>
      <c r="B628" s="1026"/>
      <c r="C628" s="1026"/>
      <c r="D628" s="1026"/>
      <c r="E628" s="1026"/>
      <c r="F628" s="1026"/>
      <c r="G628" s="1026"/>
      <c r="H628" s="1026"/>
      <c r="I628" s="1026"/>
      <c r="J628" s="1026"/>
      <c r="K628" s="1026"/>
      <c r="L628" s="1026"/>
      <c r="M628" s="1026"/>
      <c r="N628" s="1026"/>
      <c r="O628" s="1026"/>
      <c r="P628" s="1026"/>
      <c r="Q628" s="1026"/>
      <c r="R628" s="1026"/>
      <c r="S628" s="1026"/>
      <c r="T628" s="1026"/>
      <c r="U628" s="1026"/>
      <c r="V628" s="1026"/>
      <c r="W628" s="1026"/>
      <c r="X628" s="1026"/>
      <c r="Y628" s="1026"/>
      <c r="Z628" s="1026"/>
      <c r="AA628" s="1026"/>
      <c r="AB628" s="1026"/>
      <c r="AC628" s="1026"/>
    </row>
    <row r="629" spans="1:29" x14ac:dyDescent="0.25">
      <c r="A629" s="847"/>
      <c r="B629" s="1026"/>
      <c r="C629" s="1026"/>
      <c r="D629" s="1026"/>
      <c r="E629" s="1026"/>
      <c r="F629" s="1026"/>
      <c r="G629" s="1026"/>
      <c r="H629" s="1026"/>
      <c r="I629" s="1026"/>
      <c r="J629" s="1026"/>
      <c r="K629" s="1026"/>
      <c r="L629" s="1026"/>
      <c r="M629" s="1026"/>
      <c r="N629" s="1026"/>
      <c r="O629" s="1026"/>
      <c r="P629" s="1026"/>
      <c r="Q629" s="1026"/>
      <c r="R629" s="1026"/>
      <c r="S629" s="1026"/>
      <c r="T629" s="1026"/>
      <c r="U629" s="1026"/>
      <c r="V629" s="1026"/>
      <c r="W629" s="1026"/>
      <c r="X629" s="1026"/>
      <c r="Y629" s="1026"/>
      <c r="Z629" s="1026"/>
      <c r="AA629" s="1026"/>
      <c r="AB629" s="1026"/>
      <c r="AC629" s="1026"/>
    </row>
    <row r="630" spans="1:29" x14ac:dyDescent="0.25">
      <c r="A630" s="847"/>
      <c r="B630" s="1026"/>
      <c r="C630" s="1026"/>
      <c r="D630" s="1026"/>
      <c r="E630" s="1026"/>
      <c r="F630" s="1026"/>
      <c r="G630" s="1026"/>
      <c r="H630" s="1026"/>
      <c r="I630" s="1026"/>
      <c r="J630" s="1026"/>
      <c r="K630" s="1026"/>
      <c r="L630" s="1026"/>
      <c r="M630" s="1026"/>
      <c r="N630" s="1026"/>
      <c r="O630" s="1026"/>
      <c r="P630" s="1026"/>
      <c r="Q630" s="1026"/>
      <c r="R630" s="1026"/>
      <c r="S630" s="1026"/>
      <c r="T630" s="1026"/>
      <c r="U630" s="1026"/>
      <c r="V630" s="1026"/>
      <c r="W630" s="1026"/>
      <c r="X630" s="1026"/>
      <c r="Y630" s="1026"/>
      <c r="Z630" s="1026"/>
      <c r="AA630" s="1026"/>
      <c r="AB630" s="1026"/>
      <c r="AC630" s="1026"/>
    </row>
    <row r="631" spans="1:29" x14ac:dyDescent="0.25">
      <c r="A631" s="847"/>
      <c r="B631" s="1026"/>
      <c r="C631" s="1026"/>
      <c r="D631" s="1026"/>
      <c r="E631" s="1026"/>
      <c r="F631" s="1026"/>
      <c r="G631" s="1026"/>
      <c r="H631" s="1026"/>
      <c r="I631" s="1026"/>
      <c r="J631" s="1026"/>
      <c r="K631" s="1026"/>
      <c r="L631" s="1026"/>
      <c r="M631" s="1026"/>
      <c r="N631" s="1026"/>
      <c r="O631" s="1026"/>
      <c r="P631" s="1026"/>
      <c r="Q631" s="1026"/>
      <c r="R631" s="1026"/>
      <c r="S631" s="1026"/>
      <c r="T631" s="1026"/>
      <c r="U631" s="1026"/>
      <c r="V631" s="1026"/>
      <c r="W631" s="1026"/>
      <c r="X631" s="1026"/>
      <c r="Y631" s="1026"/>
      <c r="Z631" s="1026"/>
      <c r="AA631" s="1026"/>
      <c r="AB631" s="1026"/>
      <c r="AC631" s="1026"/>
    </row>
    <row r="632" spans="1:29" x14ac:dyDescent="0.25">
      <c r="A632" s="847"/>
      <c r="B632" s="1026"/>
      <c r="C632" s="1026"/>
      <c r="D632" s="1026"/>
      <c r="E632" s="1026"/>
      <c r="F632" s="1026"/>
      <c r="G632" s="1026"/>
      <c r="H632" s="1026"/>
      <c r="I632" s="1026"/>
      <c r="J632" s="1026"/>
      <c r="K632" s="1026"/>
      <c r="L632" s="1026"/>
      <c r="M632" s="1026"/>
      <c r="N632" s="1026"/>
      <c r="O632" s="1026"/>
      <c r="P632" s="1026"/>
      <c r="Q632" s="1026"/>
      <c r="R632" s="1026"/>
      <c r="S632" s="1026"/>
      <c r="T632" s="1026"/>
      <c r="U632" s="1026"/>
      <c r="V632" s="1026"/>
      <c r="W632" s="1026"/>
      <c r="X632" s="1026"/>
      <c r="Y632" s="1026"/>
      <c r="Z632" s="1026"/>
      <c r="AA632" s="1026"/>
      <c r="AB632" s="1026"/>
      <c r="AC632" s="1026"/>
    </row>
    <row r="633" spans="1:29" x14ac:dyDescent="0.25">
      <c r="A633" s="847"/>
      <c r="B633" s="1026"/>
      <c r="C633" s="1026"/>
      <c r="D633" s="1026"/>
      <c r="E633" s="1026"/>
      <c r="F633" s="1026"/>
      <c r="G633" s="1026"/>
      <c r="H633" s="1026"/>
      <c r="I633" s="1026"/>
      <c r="J633" s="1026"/>
      <c r="K633" s="1026"/>
      <c r="L633" s="1026"/>
      <c r="M633" s="1026"/>
      <c r="N633" s="1026"/>
      <c r="O633" s="1026"/>
      <c r="P633" s="1026"/>
      <c r="Q633" s="1026"/>
      <c r="R633" s="1026"/>
      <c r="S633" s="1026"/>
      <c r="T633" s="1026"/>
      <c r="U633" s="1026"/>
      <c r="V633" s="1026"/>
      <c r="W633" s="1026"/>
      <c r="X633" s="1026"/>
      <c r="Y633" s="1026"/>
      <c r="Z633" s="1026"/>
      <c r="AA633" s="1026"/>
      <c r="AB633" s="1026"/>
      <c r="AC633" s="1026"/>
    </row>
    <row r="634" spans="1:29" x14ac:dyDescent="0.25">
      <c r="A634" s="847"/>
      <c r="B634" s="1026"/>
      <c r="C634" s="1026"/>
      <c r="D634" s="1026"/>
      <c r="E634" s="1026"/>
      <c r="F634" s="1026"/>
      <c r="G634" s="1026"/>
      <c r="H634" s="1026"/>
      <c r="I634" s="1026"/>
      <c r="J634" s="1026"/>
      <c r="K634" s="1026"/>
      <c r="L634" s="1026"/>
      <c r="M634" s="1026"/>
      <c r="N634" s="1026"/>
      <c r="O634" s="1026"/>
      <c r="P634" s="1026"/>
      <c r="Q634" s="1026"/>
      <c r="R634" s="1026"/>
      <c r="S634" s="1026"/>
      <c r="T634" s="1026"/>
      <c r="U634" s="1026"/>
      <c r="V634" s="1026"/>
      <c r="W634" s="1026"/>
      <c r="X634" s="1026"/>
      <c r="Y634" s="1026"/>
      <c r="Z634" s="1026"/>
      <c r="AA634" s="1026"/>
      <c r="AB634" s="1026"/>
      <c r="AC634" s="1026"/>
    </row>
    <row r="635" spans="1:29" x14ac:dyDescent="0.25">
      <c r="A635" s="847"/>
      <c r="B635" s="1026"/>
      <c r="C635" s="1026"/>
      <c r="D635" s="1026"/>
      <c r="E635" s="1026"/>
      <c r="F635" s="1026"/>
      <c r="G635" s="1026"/>
      <c r="H635" s="1026"/>
      <c r="I635" s="1026"/>
      <c r="J635" s="1026"/>
      <c r="K635" s="1026"/>
      <c r="L635" s="1026"/>
      <c r="M635" s="1026"/>
      <c r="N635" s="1026"/>
      <c r="O635" s="1026"/>
      <c r="P635" s="1026"/>
      <c r="Q635" s="1026"/>
      <c r="R635" s="1026"/>
      <c r="S635" s="1026"/>
      <c r="T635" s="1026"/>
      <c r="U635" s="1026"/>
      <c r="V635" s="1026"/>
      <c r="W635" s="1026"/>
      <c r="X635" s="1026"/>
      <c r="Y635" s="1026"/>
      <c r="Z635" s="1026"/>
      <c r="AA635" s="1026"/>
      <c r="AB635" s="1026"/>
      <c r="AC635" s="1026"/>
    </row>
    <row r="636" spans="1:29" x14ac:dyDescent="0.25">
      <c r="A636" s="847"/>
      <c r="B636" s="1026"/>
      <c r="C636" s="1026"/>
      <c r="D636" s="1026"/>
      <c r="E636" s="1026"/>
      <c r="F636" s="1026"/>
      <c r="G636" s="1026"/>
      <c r="H636" s="1026"/>
      <c r="I636" s="1026"/>
      <c r="J636" s="1026"/>
      <c r="K636" s="1026"/>
      <c r="L636" s="1026"/>
      <c r="M636" s="1026"/>
      <c r="N636" s="1026"/>
      <c r="O636" s="1026"/>
      <c r="P636" s="1026"/>
      <c r="Q636" s="1026"/>
      <c r="R636" s="1026"/>
      <c r="S636" s="1026"/>
      <c r="T636" s="1026"/>
      <c r="U636" s="1026"/>
      <c r="V636" s="1026"/>
      <c r="W636" s="1026"/>
      <c r="X636" s="1026"/>
      <c r="Y636" s="1026"/>
      <c r="Z636" s="1026"/>
      <c r="AA636" s="1026"/>
      <c r="AB636" s="1026"/>
      <c r="AC636" s="1026"/>
    </row>
    <row r="637" spans="1:29" x14ac:dyDescent="0.25">
      <c r="A637" s="847"/>
      <c r="B637" s="1026"/>
      <c r="C637" s="1026"/>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row>
    <row r="638" spans="1:29" x14ac:dyDescent="0.25">
      <c r="A638" s="847"/>
      <c r="B638" s="1026"/>
      <c r="C638" s="1026"/>
      <c r="D638" s="1026"/>
      <c r="E638" s="1026"/>
      <c r="F638" s="1026"/>
      <c r="G638" s="1026"/>
      <c r="H638" s="1026"/>
      <c r="I638" s="1026"/>
      <c r="J638" s="1026"/>
      <c r="K638" s="1026"/>
      <c r="L638" s="1026"/>
      <c r="M638" s="1026"/>
      <c r="N638" s="1026"/>
      <c r="O638" s="1026"/>
      <c r="P638" s="1026"/>
      <c r="Q638" s="1026"/>
      <c r="R638" s="1026"/>
      <c r="S638" s="1026"/>
      <c r="T638" s="1026"/>
      <c r="U638" s="1026"/>
      <c r="V638" s="1026"/>
      <c r="W638" s="1026"/>
      <c r="X638" s="1026"/>
      <c r="Y638" s="1026"/>
      <c r="Z638" s="1026"/>
      <c r="AA638" s="1026"/>
      <c r="AB638" s="1026"/>
      <c r="AC638" s="1026"/>
    </row>
    <row r="639" spans="1:29" x14ac:dyDescent="0.25">
      <c r="A639" s="847"/>
      <c r="B639" s="1026"/>
      <c r="C639" s="1026"/>
      <c r="D639" s="1026"/>
      <c r="E639" s="1026"/>
      <c r="F639" s="1026"/>
      <c r="G639" s="1026"/>
      <c r="H639" s="1026"/>
      <c r="I639" s="1026"/>
      <c r="J639" s="1026"/>
      <c r="K639" s="1026"/>
      <c r="L639" s="1026"/>
      <c r="M639" s="1026"/>
      <c r="N639" s="1026"/>
      <c r="O639" s="1026"/>
      <c r="P639" s="1026"/>
      <c r="Q639" s="1026"/>
      <c r="R639" s="1026"/>
      <c r="S639" s="1026"/>
      <c r="T639" s="1026"/>
      <c r="U639" s="1026"/>
      <c r="V639" s="1026"/>
      <c r="W639" s="1026"/>
      <c r="X639" s="1026"/>
      <c r="Y639" s="1026"/>
      <c r="Z639" s="1026"/>
      <c r="AA639" s="1026"/>
      <c r="AB639" s="1026"/>
      <c r="AC639" s="1026"/>
    </row>
    <row r="640" spans="1:29" x14ac:dyDescent="0.25">
      <c r="A640" s="847"/>
      <c r="B640" s="1026"/>
      <c r="C640" s="1026"/>
      <c r="D640" s="1026"/>
      <c r="E640" s="1026"/>
      <c r="F640" s="1026"/>
      <c r="G640" s="1026"/>
      <c r="H640" s="1026"/>
      <c r="I640" s="1026"/>
      <c r="J640" s="1026"/>
      <c r="K640" s="1026"/>
      <c r="L640" s="1026"/>
      <c r="M640" s="1026"/>
      <c r="N640" s="1026"/>
      <c r="O640" s="1026"/>
      <c r="P640" s="1026"/>
      <c r="Q640" s="1026"/>
      <c r="R640" s="1026"/>
      <c r="S640" s="1026"/>
      <c r="T640" s="1026"/>
      <c r="U640" s="1026"/>
      <c r="V640" s="1026"/>
      <c r="W640" s="1026"/>
      <c r="X640" s="1026"/>
      <c r="Y640" s="1026"/>
      <c r="Z640" s="1026"/>
      <c r="AA640" s="1026"/>
      <c r="AB640" s="1026"/>
      <c r="AC640" s="1026"/>
    </row>
    <row r="641" spans="1:29" x14ac:dyDescent="0.25">
      <c r="A641" s="847"/>
      <c r="B641" s="1026"/>
      <c r="C641" s="1026"/>
      <c r="D641" s="1026"/>
      <c r="E641" s="1026"/>
      <c r="F641" s="1026"/>
      <c r="G641" s="1026"/>
      <c r="H641" s="1026"/>
      <c r="I641" s="1026"/>
      <c r="J641" s="1026"/>
      <c r="K641" s="1026"/>
      <c r="L641" s="1026"/>
      <c r="M641" s="1026"/>
      <c r="N641" s="1026"/>
      <c r="O641" s="1026"/>
      <c r="P641" s="1026"/>
      <c r="Q641" s="1026"/>
      <c r="R641" s="1026"/>
      <c r="S641" s="1026"/>
      <c r="T641" s="1026"/>
      <c r="U641" s="1026"/>
      <c r="V641" s="1026"/>
      <c r="W641" s="1026"/>
      <c r="X641" s="1026"/>
      <c r="Y641" s="1026"/>
      <c r="Z641" s="1026"/>
      <c r="AA641" s="1026"/>
      <c r="AB641" s="1026"/>
      <c r="AC641" s="1026"/>
    </row>
    <row r="642" spans="1:29" x14ac:dyDescent="0.25">
      <c r="A642" s="847"/>
      <c r="B642" s="1026"/>
      <c r="C642" s="1026"/>
      <c r="D642" s="1026"/>
      <c r="E642" s="1026"/>
      <c r="F642" s="1026"/>
      <c r="G642" s="1026"/>
      <c r="H642" s="1026"/>
      <c r="I642" s="1026"/>
      <c r="J642" s="1026"/>
      <c r="K642" s="1026"/>
      <c r="L642" s="1026"/>
      <c r="M642" s="1026"/>
      <c r="N642" s="1026"/>
      <c r="O642" s="1026"/>
      <c r="P642" s="1026"/>
      <c r="Q642" s="1026"/>
      <c r="R642" s="1026"/>
      <c r="S642" s="1026"/>
      <c r="T642" s="1026"/>
      <c r="U642" s="1026"/>
      <c r="V642" s="1026"/>
      <c r="W642" s="1026"/>
      <c r="X642" s="1026"/>
      <c r="Y642" s="1026"/>
      <c r="Z642" s="1026"/>
      <c r="AA642" s="1026"/>
      <c r="AB642" s="1026"/>
      <c r="AC642" s="1026"/>
    </row>
    <row r="643" spans="1:29" x14ac:dyDescent="0.25">
      <c r="A643" s="847"/>
      <c r="B643" s="1026"/>
      <c r="C643" s="1026"/>
      <c r="D643" s="1026"/>
      <c r="E643" s="1026"/>
      <c r="F643" s="1026"/>
      <c r="G643" s="1026"/>
      <c r="H643" s="1026"/>
      <c r="I643" s="1026"/>
      <c r="J643" s="1026"/>
      <c r="K643" s="1026"/>
      <c r="L643" s="1026"/>
      <c r="M643" s="1026"/>
      <c r="N643" s="1026"/>
      <c r="O643" s="1026"/>
      <c r="P643" s="1026"/>
      <c r="Q643" s="1026"/>
      <c r="R643" s="1026"/>
      <c r="S643" s="1026"/>
      <c r="T643" s="1026"/>
      <c r="U643" s="1026"/>
      <c r="V643" s="1026"/>
      <c r="W643" s="1026"/>
      <c r="X643" s="1026"/>
      <c r="Y643" s="1026"/>
      <c r="Z643" s="1026"/>
      <c r="AA643" s="1026"/>
      <c r="AB643" s="1026"/>
      <c r="AC643" s="1026"/>
    </row>
    <row r="644" spans="1:29" x14ac:dyDescent="0.25">
      <c r="A644" s="847"/>
      <c r="B644" s="1026"/>
      <c r="C644" s="1026"/>
      <c r="D644" s="1026"/>
      <c r="E644" s="1026"/>
      <c r="F644" s="1026"/>
      <c r="G644" s="1026"/>
      <c r="H644" s="1026"/>
      <c r="I644" s="1026"/>
      <c r="J644" s="1026"/>
      <c r="K644" s="1026"/>
      <c r="L644" s="1026"/>
      <c r="M644" s="1026"/>
      <c r="N644" s="1026"/>
      <c r="O644" s="1026"/>
      <c r="P644" s="1026"/>
      <c r="Q644" s="1026"/>
      <c r="R644" s="1026"/>
      <c r="S644" s="1026"/>
      <c r="T644" s="1026"/>
      <c r="U644" s="1026"/>
      <c r="V644" s="1026"/>
      <c r="W644" s="1026"/>
      <c r="X644" s="1026"/>
      <c r="Y644" s="1026"/>
      <c r="Z644" s="1026"/>
      <c r="AA644" s="1026"/>
      <c r="AB644" s="1026"/>
      <c r="AC644" s="1026"/>
    </row>
    <row r="645" spans="1:29" x14ac:dyDescent="0.25">
      <c r="A645" s="847"/>
      <c r="B645" s="1026"/>
      <c r="C645" s="1026"/>
      <c r="D645" s="1026"/>
      <c r="E645" s="1026"/>
      <c r="F645" s="1026"/>
      <c r="G645" s="1026"/>
      <c r="H645" s="1026"/>
      <c r="I645" s="1026"/>
      <c r="J645" s="1026"/>
      <c r="K645" s="1026"/>
      <c r="L645" s="1026"/>
      <c r="M645" s="1026"/>
      <c r="N645" s="1026"/>
      <c r="O645" s="1026"/>
      <c r="P645" s="1026"/>
      <c r="Q645" s="1026"/>
      <c r="R645" s="1026"/>
      <c r="S645" s="1026"/>
      <c r="T645" s="1026"/>
      <c r="U645" s="1026"/>
      <c r="V645" s="1026"/>
      <c r="W645" s="1026"/>
      <c r="X645" s="1026"/>
      <c r="Y645" s="1026"/>
      <c r="Z645" s="1026"/>
      <c r="AA645" s="1026"/>
      <c r="AB645" s="1026"/>
      <c r="AC645" s="1026"/>
    </row>
    <row r="646" spans="1:29" x14ac:dyDescent="0.25">
      <c r="A646" s="847"/>
      <c r="B646" s="1026"/>
      <c r="C646" s="1026"/>
      <c r="D646" s="1026"/>
      <c r="E646" s="1026"/>
      <c r="F646" s="1026"/>
      <c r="G646" s="1026"/>
      <c r="H646" s="1026"/>
      <c r="I646" s="1026"/>
      <c r="J646" s="1026"/>
      <c r="K646" s="1026"/>
      <c r="L646" s="1026"/>
      <c r="M646" s="1026"/>
      <c r="N646" s="1026"/>
      <c r="O646" s="1026"/>
      <c r="P646" s="1026"/>
      <c r="Q646" s="1026"/>
      <c r="R646" s="1026"/>
      <c r="S646" s="1026"/>
      <c r="T646" s="1026"/>
      <c r="U646" s="1026"/>
      <c r="V646" s="1026"/>
      <c r="W646" s="1026"/>
      <c r="X646" s="1026"/>
      <c r="Y646" s="1026"/>
      <c r="Z646" s="1026"/>
      <c r="AA646" s="1026"/>
      <c r="AB646" s="1026"/>
      <c r="AC646" s="1026"/>
    </row>
    <row r="647" spans="1:29" x14ac:dyDescent="0.25">
      <c r="A647" s="847"/>
      <c r="B647" s="1026"/>
      <c r="C647" s="1026"/>
      <c r="D647" s="1026"/>
      <c r="E647" s="1026"/>
      <c r="F647" s="1026"/>
      <c r="G647" s="1026"/>
      <c r="H647" s="1026"/>
      <c r="I647" s="1026"/>
      <c r="J647" s="1026"/>
      <c r="K647" s="1026"/>
      <c r="L647" s="1026"/>
      <c r="M647" s="1026"/>
      <c r="N647" s="1026"/>
      <c r="O647" s="1026"/>
      <c r="P647" s="1026"/>
      <c r="Q647" s="1026"/>
      <c r="R647" s="1026"/>
      <c r="S647" s="1026"/>
      <c r="T647" s="1026"/>
      <c r="U647" s="1026"/>
      <c r="V647" s="1026"/>
      <c r="W647" s="1026"/>
      <c r="X647" s="1026"/>
      <c r="Y647" s="1026"/>
      <c r="Z647" s="1026"/>
      <c r="AA647" s="1026"/>
      <c r="AB647" s="1026"/>
      <c r="AC647" s="1026"/>
    </row>
    <row r="648" spans="1:29" x14ac:dyDescent="0.25">
      <c r="A648" s="847"/>
      <c r="B648" s="1026"/>
      <c r="C648" s="1026"/>
      <c r="D648" s="1026"/>
      <c r="E648" s="1026"/>
      <c r="F648" s="1026"/>
      <c r="G648" s="1026"/>
      <c r="H648" s="1026"/>
      <c r="I648" s="1026"/>
      <c r="J648" s="1026"/>
      <c r="K648" s="1026"/>
      <c r="L648" s="1026"/>
      <c r="M648" s="1026"/>
      <c r="N648" s="1026"/>
      <c r="O648" s="1026"/>
      <c r="P648" s="1026"/>
      <c r="Q648" s="1026"/>
      <c r="R648" s="1026"/>
      <c r="S648" s="1026"/>
      <c r="T648" s="1026"/>
      <c r="U648" s="1026"/>
      <c r="V648" s="1026"/>
      <c r="W648" s="1026"/>
      <c r="X648" s="1026"/>
      <c r="Y648" s="1026"/>
      <c r="Z648" s="1026"/>
      <c r="AA648" s="1026"/>
      <c r="AB648" s="1026"/>
      <c r="AC648" s="1026"/>
    </row>
    <row r="649" spans="1:29" x14ac:dyDescent="0.25">
      <c r="A649" s="847"/>
      <c r="B649" s="1026"/>
      <c r="C649" s="1026"/>
      <c r="D649" s="1026"/>
      <c r="E649" s="1026"/>
      <c r="F649" s="1026"/>
      <c r="G649" s="1026"/>
      <c r="H649" s="1026"/>
      <c r="I649" s="1026"/>
      <c r="J649" s="1026"/>
      <c r="K649" s="1026"/>
      <c r="L649" s="1026"/>
      <c r="M649" s="1026"/>
      <c r="N649" s="1026"/>
      <c r="O649" s="1026"/>
      <c r="P649" s="1026"/>
      <c r="Q649" s="1026"/>
      <c r="R649" s="1026"/>
      <c r="S649" s="1026"/>
      <c r="T649" s="1026"/>
      <c r="U649" s="1026"/>
      <c r="V649" s="1026"/>
      <c r="W649" s="1026"/>
      <c r="X649" s="1026"/>
      <c r="Y649" s="1026"/>
      <c r="Z649" s="1026"/>
      <c r="AA649" s="1026"/>
      <c r="AB649" s="1026"/>
      <c r="AC649" s="1026"/>
    </row>
    <row r="650" spans="1:29" x14ac:dyDescent="0.25">
      <c r="A650" s="847"/>
      <c r="B650" s="1026"/>
      <c r="C650" s="1026"/>
      <c r="D650" s="1026"/>
      <c r="E650" s="1026"/>
      <c r="F650" s="1026"/>
      <c r="G650" s="1026"/>
      <c r="H650" s="1026"/>
      <c r="I650" s="1026"/>
      <c r="J650" s="1026"/>
      <c r="K650" s="1026"/>
      <c r="L650" s="1026"/>
      <c r="M650" s="1026"/>
      <c r="N650" s="1026"/>
      <c r="O650" s="1026"/>
      <c r="P650" s="1026"/>
      <c r="Q650" s="1026"/>
      <c r="R650" s="1026"/>
      <c r="S650" s="1026"/>
      <c r="T650" s="1026"/>
      <c r="U650" s="1026"/>
      <c r="V650" s="1026"/>
      <c r="W650" s="1026"/>
      <c r="X650" s="1026"/>
      <c r="Y650" s="1026"/>
      <c r="Z650" s="1026"/>
      <c r="AA650" s="1026"/>
      <c r="AB650" s="1026"/>
      <c r="AC650" s="1026"/>
    </row>
    <row r="651" spans="1:29" x14ac:dyDescent="0.25">
      <c r="A651" s="847"/>
      <c r="B651" s="1026"/>
      <c r="C651" s="1026"/>
      <c r="D651" s="1026"/>
      <c r="E651" s="1026"/>
      <c r="F651" s="1026"/>
      <c r="G651" s="1026"/>
      <c r="H651" s="1026"/>
      <c r="I651" s="1026"/>
      <c r="J651" s="1026"/>
      <c r="K651" s="1026"/>
      <c r="L651" s="1026"/>
      <c r="M651" s="1026"/>
      <c r="N651" s="1026"/>
      <c r="O651" s="1026"/>
      <c r="P651" s="1026"/>
      <c r="Q651" s="1026"/>
      <c r="R651" s="1026"/>
      <c r="S651" s="1026"/>
      <c r="T651" s="1026"/>
      <c r="U651" s="1026"/>
      <c r="V651" s="1026"/>
      <c r="W651" s="1026"/>
      <c r="X651" s="1026"/>
      <c r="Y651" s="1026"/>
      <c r="Z651" s="1026"/>
      <c r="AA651" s="1026"/>
      <c r="AB651" s="1026"/>
      <c r="AC651" s="1026"/>
    </row>
    <row r="652" spans="1:29" x14ac:dyDescent="0.25">
      <c r="A652" s="847"/>
      <c r="B652" s="1026"/>
      <c r="C652" s="1026"/>
      <c r="D652" s="1026"/>
      <c r="E652" s="1026"/>
      <c r="F652" s="1026"/>
      <c r="G652" s="1026"/>
      <c r="H652" s="1026"/>
      <c r="I652" s="1026"/>
      <c r="J652" s="1026"/>
      <c r="K652" s="1026"/>
      <c r="L652" s="1026"/>
      <c r="M652" s="1026"/>
      <c r="N652" s="1026"/>
      <c r="O652" s="1026"/>
      <c r="P652" s="1026"/>
      <c r="Q652" s="1026"/>
      <c r="R652" s="1026"/>
      <c r="S652" s="1026"/>
      <c r="T652" s="1026"/>
      <c r="U652" s="1026"/>
      <c r="V652" s="1026"/>
      <c r="W652" s="1026"/>
      <c r="X652" s="1026"/>
      <c r="Y652" s="1026"/>
      <c r="Z652" s="1026"/>
      <c r="AA652" s="1026"/>
      <c r="AB652" s="1026"/>
      <c r="AC652" s="1026"/>
    </row>
    <row r="653" spans="1:29" x14ac:dyDescent="0.25">
      <c r="A653" s="847"/>
      <c r="B653" s="1026"/>
      <c r="C653" s="1026"/>
      <c r="D653" s="1026"/>
      <c r="E653" s="1026"/>
      <c r="F653" s="1026"/>
      <c r="G653" s="1026"/>
      <c r="H653" s="1026"/>
      <c r="I653" s="1026"/>
      <c r="J653" s="1026"/>
      <c r="K653" s="1026"/>
      <c r="L653" s="1026"/>
      <c r="M653" s="1026"/>
      <c r="N653" s="1026"/>
      <c r="O653" s="1026"/>
      <c r="P653" s="1026"/>
      <c r="Q653" s="1026"/>
      <c r="R653" s="1026"/>
      <c r="S653" s="1026"/>
      <c r="T653" s="1026"/>
      <c r="U653" s="1026"/>
      <c r="V653" s="1026"/>
      <c r="W653" s="1026"/>
      <c r="X653" s="1026"/>
      <c r="Y653" s="1026"/>
      <c r="Z653" s="1026"/>
      <c r="AA653" s="1026"/>
      <c r="AB653" s="1026"/>
      <c r="AC653" s="1026"/>
    </row>
    <row r="654" spans="1:29" x14ac:dyDescent="0.25">
      <c r="A654" s="847"/>
      <c r="B654" s="1026"/>
      <c r="C654" s="1026"/>
      <c r="D654" s="1026"/>
      <c r="E654" s="1026"/>
      <c r="F654" s="1026"/>
      <c r="G654" s="1026"/>
      <c r="H654" s="1026"/>
      <c r="I654" s="1026"/>
      <c r="J654" s="1026"/>
      <c r="K654" s="1026"/>
      <c r="L654" s="1026"/>
      <c r="M654" s="1026"/>
      <c r="N654" s="1026"/>
      <c r="O654" s="1026"/>
      <c r="P654" s="1026"/>
      <c r="Q654" s="1026"/>
      <c r="R654" s="1026"/>
      <c r="S654" s="1026"/>
      <c r="T654" s="1026"/>
      <c r="U654" s="1026"/>
      <c r="V654" s="1026"/>
      <c r="W654" s="1026"/>
      <c r="X654" s="1026"/>
      <c r="Y654" s="1026"/>
      <c r="Z654" s="1026"/>
      <c r="AA654" s="1026"/>
      <c r="AB654" s="1026"/>
      <c r="AC654" s="1026"/>
    </row>
    <row r="655" spans="1:29" x14ac:dyDescent="0.25">
      <c r="A655" s="847"/>
      <c r="B655" s="1026"/>
      <c r="C655" s="1026"/>
      <c r="D655" s="1026"/>
      <c r="E655" s="1026"/>
      <c r="F655" s="1026"/>
      <c r="G655" s="1026"/>
      <c r="H655" s="1026"/>
      <c r="I655" s="1026"/>
      <c r="J655" s="1026"/>
      <c r="K655" s="1026"/>
      <c r="L655" s="1026"/>
      <c r="M655" s="1026"/>
      <c r="N655" s="1026"/>
      <c r="O655" s="1026"/>
      <c r="P655" s="1026"/>
      <c r="Q655" s="1026"/>
      <c r="R655" s="1026"/>
      <c r="S655" s="1026"/>
      <c r="T655" s="1026"/>
      <c r="U655" s="1026"/>
      <c r="V655" s="1026"/>
      <c r="W655" s="1026"/>
      <c r="X655" s="1026"/>
      <c r="Y655" s="1026"/>
      <c r="Z655" s="1026"/>
      <c r="AA655" s="1026"/>
      <c r="AB655" s="1026"/>
      <c r="AC655" s="1026"/>
    </row>
    <row r="656" spans="1:29" x14ac:dyDescent="0.25">
      <c r="A656" s="847"/>
      <c r="B656" s="1026"/>
      <c r="C656" s="1026"/>
      <c r="D656" s="1026"/>
      <c r="E656" s="1026"/>
      <c r="F656" s="1026"/>
      <c r="G656" s="1026"/>
      <c r="H656" s="1026"/>
      <c r="I656" s="1026"/>
      <c r="J656" s="1026"/>
      <c r="K656" s="1026"/>
      <c r="L656" s="1026"/>
      <c r="M656" s="1026"/>
      <c r="N656" s="1026"/>
      <c r="O656" s="1026"/>
      <c r="P656" s="1026"/>
      <c r="Q656" s="1026"/>
      <c r="R656" s="1026"/>
      <c r="S656" s="1026"/>
      <c r="T656" s="1026"/>
      <c r="U656" s="1026"/>
      <c r="V656" s="1026"/>
      <c r="W656" s="1026"/>
      <c r="X656" s="1026"/>
      <c r="Y656" s="1026"/>
      <c r="Z656" s="1026"/>
      <c r="AA656" s="1026"/>
      <c r="AB656" s="1026"/>
      <c r="AC656" s="1026"/>
    </row>
    <row r="657" spans="1:29" x14ac:dyDescent="0.25">
      <c r="A657" s="847"/>
      <c r="B657" s="1026"/>
      <c r="C657" s="1026"/>
      <c r="D657" s="1026"/>
      <c r="E657" s="1026"/>
      <c r="F657" s="1026"/>
      <c r="G657" s="1026"/>
      <c r="H657" s="1026"/>
      <c r="I657" s="1026"/>
      <c r="J657" s="1026"/>
      <c r="K657" s="1026"/>
      <c r="L657" s="1026"/>
      <c r="M657" s="1026"/>
      <c r="N657" s="1026"/>
      <c r="O657" s="1026"/>
      <c r="P657" s="1026"/>
      <c r="Q657" s="1026"/>
      <c r="R657" s="1026"/>
      <c r="S657" s="1026"/>
      <c r="T657" s="1026"/>
      <c r="U657" s="1026"/>
      <c r="V657" s="1026"/>
      <c r="W657" s="1026"/>
      <c r="X657" s="1026"/>
      <c r="Y657" s="1026"/>
      <c r="Z657" s="1026"/>
      <c r="AA657" s="1026"/>
      <c r="AB657" s="1026"/>
      <c r="AC657" s="1026"/>
    </row>
    <row r="658" spans="1:29" x14ac:dyDescent="0.25">
      <c r="A658" s="847"/>
      <c r="B658" s="1026"/>
      <c r="C658" s="1026"/>
      <c r="D658" s="1026"/>
      <c r="E658" s="1026"/>
      <c r="F658" s="1026"/>
      <c r="G658" s="1026"/>
      <c r="H658" s="1026"/>
      <c r="I658" s="1026"/>
      <c r="J658" s="1026"/>
      <c r="K658" s="1026"/>
      <c r="L658" s="1026"/>
      <c r="M658" s="1026"/>
      <c r="N658" s="1026"/>
      <c r="O658" s="1026"/>
      <c r="P658" s="1026"/>
      <c r="Q658" s="1026"/>
      <c r="R658" s="1026"/>
      <c r="S658" s="1026"/>
      <c r="T658" s="1026"/>
      <c r="U658" s="1026"/>
      <c r="V658" s="1026"/>
      <c r="W658" s="1026"/>
      <c r="X658" s="1026"/>
      <c r="Y658" s="1026"/>
      <c r="Z658" s="1026"/>
      <c r="AA658" s="1026"/>
      <c r="AB658" s="1026"/>
      <c r="AC658" s="1026"/>
    </row>
    <row r="659" spans="1:29" x14ac:dyDescent="0.25">
      <c r="A659" s="847"/>
      <c r="B659" s="1026"/>
      <c r="C659" s="1026"/>
      <c r="D659" s="1026"/>
      <c r="E659" s="1026"/>
      <c r="F659" s="1026"/>
      <c r="G659" s="1026"/>
      <c r="H659" s="1026"/>
      <c r="I659" s="1026"/>
      <c r="J659" s="1026"/>
      <c r="K659" s="1026"/>
      <c r="L659" s="1026"/>
      <c r="M659" s="1026"/>
      <c r="N659" s="1026"/>
      <c r="O659" s="1026"/>
      <c r="P659" s="1026"/>
      <c r="Q659" s="1026"/>
      <c r="R659" s="1026"/>
      <c r="S659" s="1026"/>
      <c r="T659" s="1026"/>
      <c r="U659" s="1026"/>
      <c r="V659" s="1026"/>
      <c r="W659" s="1026"/>
      <c r="X659" s="1026"/>
      <c r="Y659" s="1026"/>
      <c r="Z659" s="1026"/>
      <c r="AA659" s="1026"/>
      <c r="AB659" s="1026"/>
      <c r="AC659" s="1026"/>
    </row>
    <row r="660" spans="1:29" x14ac:dyDescent="0.25">
      <c r="A660" s="847"/>
      <c r="B660" s="1026"/>
      <c r="C660" s="1026"/>
      <c r="D660" s="1026"/>
      <c r="E660" s="1026"/>
      <c r="F660" s="1026"/>
      <c r="G660" s="1026"/>
      <c r="H660" s="1026"/>
      <c r="I660" s="1026"/>
      <c r="J660" s="1026"/>
      <c r="K660" s="1026"/>
      <c r="L660" s="1026"/>
      <c r="M660" s="1026"/>
      <c r="N660" s="1026"/>
      <c r="O660" s="1026"/>
      <c r="P660" s="1026"/>
      <c r="Q660" s="1026"/>
      <c r="R660" s="1026"/>
      <c r="S660" s="1026"/>
      <c r="T660" s="1026"/>
      <c r="U660" s="1026"/>
      <c r="V660" s="1026"/>
      <c r="W660" s="1026"/>
      <c r="X660" s="1026"/>
      <c r="Y660" s="1026"/>
      <c r="Z660" s="1026"/>
      <c r="AA660" s="1026"/>
      <c r="AB660" s="1026"/>
      <c r="AC660" s="1026"/>
    </row>
    <row r="661" spans="1:29" x14ac:dyDescent="0.25">
      <c r="A661" s="847"/>
      <c r="B661" s="1026"/>
      <c r="C661" s="1026"/>
      <c r="D661" s="1026"/>
      <c r="E661" s="1026"/>
      <c r="F661" s="1026"/>
      <c r="G661" s="1026"/>
      <c r="H661" s="1026"/>
      <c r="I661" s="1026"/>
      <c r="J661" s="1026"/>
      <c r="K661" s="1026"/>
      <c r="L661" s="1026"/>
      <c r="M661" s="1026"/>
      <c r="N661" s="1026"/>
      <c r="O661" s="1026"/>
      <c r="P661" s="1026"/>
      <c r="Q661" s="1026"/>
      <c r="R661" s="1026"/>
      <c r="S661" s="1026"/>
      <c r="T661" s="1026"/>
      <c r="U661" s="1026"/>
      <c r="V661" s="1026"/>
      <c r="W661" s="1026"/>
      <c r="X661" s="1026"/>
      <c r="Y661" s="1026"/>
      <c r="Z661" s="1026"/>
      <c r="AA661" s="1026"/>
      <c r="AB661" s="1026"/>
      <c r="AC661" s="1026"/>
    </row>
    <row r="662" spans="1:29" x14ac:dyDescent="0.25">
      <c r="A662" s="847"/>
      <c r="B662" s="1026"/>
      <c r="C662" s="1026"/>
      <c r="D662" s="1026"/>
      <c r="E662" s="1026"/>
      <c r="F662" s="1026"/>
      <c r="G662" s="1026"/>
      <c r="H662" s="1026"/>
      <c r="I662" s="1026"/>
      <c r="J662" s="1026"/>
      <c r="K662" s="1026"/>
      <c r="L662" s="1026"/>
      <c r="M662" s="1026"/>
      <c r="N662" s="1026"/>
      <c r="O662" s="1026"/>
      <c r="P662" s="1026"/>
      <c r="Q662" s="1026"/>
      <c r="R662" s="1026"/>
      <c r="S662" s="1026"/>
      <c r="T662" s="1026"/>
      <c r="U662" s="1026"/>
      <c r="V662" s="1026"/>
      <c r="W662" s="1026"/>
      <c r="X662" s="1026"/>
      <c r="Y662" s="1026"/>
      <c r="Z662" s="1026"/>
      <c r="AA662" s="1026"/>
      <c r="AB662" s="1026"/>
      <c r="AC662" s="1026"/>
    </row>
    <row r="663" spans="1:29" x14ac:dyDescent="0.25">
      <c r="A663" s="847"/>
      <c r="B663" s="1026"/>
      <c r="C663" s="1026"/>
      <c r="D663" s="1026"/>
      <c r="E663" s="1026"/>
      <c r="F663" s="1026"/>
      <c r="G663" s="1026"/>
      <c r="H663" s="1026"/>
      <c r="I663" s="1026"/>
      <c r="J663" s="1026"/>
      <c r="K663" s="1026"/>
      <c r="L663" s="1026"/>
      <c r="M663" s="1026"/>
      <c r="N663" s="1026"/>
      <c r="O663" s="1026"/>
      <c r="P663" s="1026"/>
      <c r="Q663" s="1026"/>
      <c r="R663" s="1026"/>
      <c r="S663" s="1026"/>
      <c r="T663" s="1026"/>
      <c r="U663" s="1026"/>
      <c r="V663" s="1026"/>
      <c r="W663" s="1026"/>
      <c r="X663" s="1026"/>
      <c r="Y663" s="1026"/>
      <c r="Z663" s="1026"/>
      <c r="AA663" s="1026"/>
      <c r="AB663" s="1026"/>
      <c r="AC663" s="1026"/>
    </row>
    <row r="664" spans="1:29" x14ac:dyDescent="0.25">
      <c r="A664" s="847"/>
      <c r="B664" s="1026"/>
      <c r="C664" s="1026"/>
      <c r="D664" s="1026"/>
      <c r="E664" s="1026"/>
      <c r="F664" s="1026"/>
      <c r="G664" s="1026"/>
      <c r="H664" s="1026"/>
      <c r="I664" s="1026"/>
      <c r="J664" s="1026"/>
      <c r="K664" s="1026"/>
      <c r="L664" s="1026"/>
      <c r="M664" s="1026"/>
      <c r="N664" s="1026"/>
      <c r="O664" s="1026"/>
      <c r="P664" s="1026"/>
      <c r="Q664" s="1026"/>
      <c r="R664" s="1026"/>
      <c r="S664" s="1026"/>
      <c r="T664" s="1026"/>
      <c r="U664" s="1026"/>
      <c r="V664" s="1026"/>
      <c r="W664" s="1026"/>
      <c r="X664" s="1026"/>
      <c r="Y664" s="1026"/>
      <c r="Z664" s="1026"/>
      <c r="AA664" s="1026"/>
      <c r="AB664" s="1026"/>
      <c r="AC664" s="1026"/>
    </row>
    <row r="665" spans="1:29" x14ac:dyDescent="0.25">
      <c r="A665" s="847"/>
      <c r="B665" s="1026"/>
      <c r="C665" s="1026"/>
      <c r="D665" s="1026"/>
      <c r="E665" s="1026"/>
      <c r="F665" s="1026"/>
      <c r="G665" s="1026"/>
      <c r="H665" s="1026"/>
      <c r="I665" s="1026"/>
      <c r="J665" s="1026"/>
      <c r="K665" s="1026"/>
      <c r="L665" s="1026"/>
      <c r="M665" s="1026"/>
      <c r="N665" s="1026"/>
      <c r="O665" s="1026"/>
      <c r="P665" s="1026"/>
      <c r="Q665" s="1026"/>
      <c r="R665" s="1026"/>
      <c r="S665" s="1026"/>
      <c r="T665" s="1026"/>
      <c r="U665" s="1026"/>
      <c r="V665" s="1026"/>
      <c r="W665" s="1026"/>
      <c r="X665" s="1026"/>
      <c r="Y665" s="1026"/>
      <c r="Z665" s="1026"/>
      <c r="AA665" s="1026"/>
      <c r="AB665" s="1026"/>
      <c r="AC665" s="1026"/>
    </row>
    <row r="666" spans="1:29" x14ac:dyDescent="0.25">
      <c r="A666" s="847"/>
      <c r="B666" s="1026"/>
      <c r="C666" s="1026"/>
      <c r="D666" s="1026"/>
      <c r="E666" s="1026"/>
      <c r="F666" s="1026"/>
      <c r="G666" s="1026"/>
      <c r="H666" s="1026"/>
      <c r="I666" s="1026"/>
      <c r="J666" s="1026"/>
      <c r="K666" s="1026"/>
      <c r="L666" s="1026"/>
      <c r="M666" s="1026"/>
      <c r="N666" s="1026"/>
      <c r="O666" s="1026"/>
      <c r="P666" s="1026"/>
      <c r="Q666" s="1026"/>
      <c r="R666" s="1026"/>
      <c r="S666" s="1026"/>
      <c r="T666" s="1026"/>
      <c r="U666" s="1026"/>
      <c r="V666" s="1026"/>
      <c r="W666" s="1026"/>
      <c r="X666" s="1026"/>
      <c r="Y666" s="1026"/>
      <c r="Z666" s="1026"/>
      <c r="AA666" s="1026"/>
      <c r="AB666" s="1026"/>
      <c r="AC666" s="1026"/>
    </row>
    <row r="667" spans="1:29" x14ac:dyDescent="0.25">
      <c r="A667" s="847"/>
      <c r="B667" s="1026"/>
      <c r="C667" s="1026"/>
      <c r="D667" s="1026"/>
      <c r="E667" s="1026"/>
      <c r="F667" s="1026"/>
      <c r="G667" s="1026"/>
      <c r="H667" s="1026"/>
      <c r="I667" s="1026"/>
      <c r="J667" s="1026"/>
      <c r="K667" s="1026"/>
      <c r="L667" s="1026"/>
      <c r="M667" s="1026"/>
      <c r="N667" s="1026"/>
      <c r="O667" s="1026"/>
      <c r="P667" s="1026"/>
      <c r="Q667" s="1026"/>
      <c r="R667" s="1026"/>
      <c r="S667" s="1026"/>
      <c r="T667" s="1026"/>
      <c r="U667" s="1026"/>
      <c r="V667" s="1026"/>
      <c r="W667" s="1026"/>
      <c r="X667" s="1026"/>
      <c r="Y667" s="1026"/>
      <c r="Z667" s="1026"/>
      <c r="AA667" s="1026"/>
      <c r="AB667" s="1026"/>
      <c r="AC667" s="1026"/>
    </row>
    <row r="668" spans="1:29" x14ac:dyDescent="0.25">
      <c r="A668" s="847"/>
      <c r="B668" s="1026"/>
      <c r="C668" s="1026"/>
      <c r="D668" s="1026"/>
      <c r="E668" s="1026"/>
      <c r="F668" s="1026"/>
      <c r="G668" s="1026"/>
      <c r="H668" s="1026"/>
      <c r="I668" s="1026"/>
      <c r="J668" s="1026"/>
      <c r="K668" s="1026"/>
      <c r="L668" s="1026"/>
      <c r="M668" s="1026"/>
      <c r="N668" s="1026"/>
      <c r="O668" s="1026"/>
      <c r="P668" s="1026"/>
      <c r="Q668" s="1026"/>
      <c r="R668" s="1026"/>
      <c r="S668" s="1026"/>
      <c r="T668" s="1026"/>
      <c r="U668" s="1026"/>
      <c r="V668" s="1026"/>
      <c r="W668" s="1026"/>
      <c r="X668" s="1026"/>
      <c r="Y668" s="1026"/>
      <c r="Z668" s="1026"/>
      <c r="AA668" s="1026"/>
      <c r="AB668" s="1026"/>
      <c r="AC668" s="1026"/>
    </row>
    <row r="669" spans="1:29" x14ac:dyDescent="0.25">
      <c r="A669" s="847"/>
      <c r="B669" s="1026"/>
      <c r="C669" s="1026"/>
      <c r="D669" s="1026"/>
      <c r="E669" s="1026"/>
      <c r="F669" s="1026"/>
      <c r="G669" s="1026"/>
      <c r="H669" s="1026"/>
      <c r="I669" s="1026"/>
      <c r="J669" s="1026"/>
      <c r="K669" s="1026"/>
      <c r="L669" s="1026"/>
      <c r="M669" s="1026"/>
      <c r="N669" s="1026"/>
      <c r="O669" s="1026"/>
      <c r="P669" s="1026"/>
      <c r="Q669" s="1026"/>
      <c r="R669" s="1026"/>
      <c r="S669" s="1026"/>
      <c r="T669" s="1026"/>
      <c r="U669" s="1026"/>
      <c r="V669" s="1026"/>
      <c r="W669" s="1026"/>
      <c r="X669" s="1026"/>
      <c r="Y669" s="1026"/>
      <c r="Z669" s="1026"/>
      <c r="AA669" s="1026"/>
      <c r="AB669" s="1026"/>
      <c r="AC669" s="1026"/>
    </row>
    <row r="670" spans="1:29" x14ac:dyDescent="0.25">
      <c r="A670" s="847"/>
      <c r="B670" s="1026"/>
      <c r="C670" s="1026"/>
      <c r="D670" s="1026"/>
      <c r="E670" s="1026"/>
      <c r="F670" s="1026"/>
      <c r="G670" s="1026"/>
      <c r="H670" s="1026"/>
      <c r="I670" s="1026"/>
      <c r="J670" s="1026"/>
      <c r="K670" s="1026"/>
      <c r="L670" s="1026"/>
      <c r="M670" s="1026"/>
      <c r="N670" s="1026"/>
      <c r="O670" s="1026"/>
      <c r="P670" s="1026"/>
      <c r="Q670" s="1026"/>
      <c r="R670" s="1026"/>
      <c r="S670" s="1026"/>
      <c r="T670" s="1026"/>
      <c r="U670" s="1026"/>
      <c r="V670" s="1026"/>
      <c r="W670" s="1026"/>
      <c r="X670" s="1026"/>
      <c r="Y670" s="1026"/>
      <c r="Z670" s="1026"/>
      <c r="AA670" s="1026"/>
      <c r="AB670" s="1026"/>
      <c r="AC670" s="1026"/>
    </row>
    <row r="671" spans="1:29" x14ac:dyDescent="0.25">
      <c r="A671" s="847"/>
      <c r="B671" s="1026"/>
      <c r="C671" s="1026"/>
      <c r="D671" s="1026"/>
      <c r="E671" s="1026"/>
      <c r="F671" s="1026"/>
      <c r="G671" s="1026"/>
      <c r="H671" s="1026"/>
      <c r="I671" s="1026"/>
      <c r="J671" s="1026"/>
      <c r="K671" s="1026"/>
      <c r="L671" s="1026"/>
      <c r="M671" s="1026"/>
      <c r="N671" s="1026"/>
      <c r="O671" s="1026"/>
      <c r="P671" s="1026"/>
      <c r="Q671" s="1026"/>
      <c r="R671" s="1026"/>
      <c r="S671" s="1026"/>
      <c r="T671" s="1026"/>
      <c r="U671" s="1026"/>
      <c r="V671" s="1026"/>
      <c r="W671" s="1026"/>
      <c r="X671" s="1026"/>
      <c r="Y671" s="1026"/>
      <c r="Z671" s="1026"/>
      <c r="AA671" s="1026"/>
      <c r="AB671" s="1026"/>
      <c r="AC671" s="1026"/>
    </row>
    <row r="672" spans="1:29" x14ac:dyDescent="0.25">
      <c r="A672" s="847"/>
      <c r="B672" s="1026"/>
      <c r="C672" s="1026"/>
      <c r="D672" s="1026"/>
      <c r="E672" s="1026"/>
      <c r="F672" s="1026"/>
      <c r="G672" s="1026"/>
      <c r="H672" s="1026"/>
      <c r="I672" s="1026"/>
      <c r="J672" s="1026"/>
      <c r="K672" s="1026"/>
      <c r="L672" s="1026"/>
      <c r="M672" s="1026"/>
      <c r="N672" s="1026"/>
      <c r="O672" s="1026"/>
      <c r="P672" s="1026"/>
      <c r="Q672" s="1026"/>
      <c r="R672" s="1026"/>
      <c r="S672" s="1026"/>
      <c r="T672" s="1026"/>
      <c r="U672" s="1026"/>
      <c r="V672" s="1026"/>
      <c r="W672" s="1026"/>
      <c r="X672" s="1026"/>
      <c r="Y672" s="1026"/>
      <c r="Z672" s="1026"/>
      <c r="AA672" s="1026"/>
      <c r="AB672" s="1026"/>
      <c r="AC672" s="1026"/>
    </row>
    <row r="673" spans="1:29" x14ac:dyDescent="0.25">
      <c r="A673" s="847"/>
      <c r="B673" s="1026"/>
      <c r="C673" s="1026"/>
      <c r="D673" s="1026"/>
      <c r="E673" s="1026"/>
      <c r="F673" s="1026"/>
      <c r="G673" s="1026"/>
      <c r="H673" s="1026"/>
      <c r="I673" s="1026"/>
      <c r="J673" s="1026"/>
      <c r="K673" s="1026"/>
      <c r="L673" s="1026"/>
      <c r="M673" s="1026"/>
      <c r="N673" s="1026"/>
      <c r="O673" s="1026"/>
      <c r="P673" s="1026"/>
      <c r="Q673" s="1026"/>
      <c r="R673" s="1026"/>
      <c r="S673" s="1026"/>
      <c r="T673" s="1026"/>
      <c r="U673" s="1026"/>
      <c r="V673" s="1026"/>
      <c r="W673" s="1026"/>
      <c r="X673" s="1026"/>
      <c r="Y673" s="1026"/>
      <c r="Z673" s="1026"/>
      <c r="AA673" s="1026"/>
      <c r="AB673" s="1026"/>
      <c r="AC673" s="1026"/>
    </row>
    <row r="674" spans="1:29" x14ac:dyDescent="0.25">
      <c r="A674" s="847"/>
      <c r="B674" s="1026"/>
      <c r="C674" s="1026"/>
      <c r="D674" s="1026"/>
      <c r="E674" s="1026"/>
      <c r="F674" s="1026"/>
      <c r="G674" s="1026"/>
      <c r="H674" s="1026"/>
      <c r="I674" s="1026"/>
      <c r="J674" s="1026"/>
      <c r="K674" s="1026"/>
      <c r="L674" s="1026"/>
      <c r="M674" s="1026"/>
      <c r="N674" s="1026"/>
      <c r="O674" s="1026"/>
      <c r="P674" s="1026"/>
      <c r="Q674" s="1026"/>
      <c r="R674" s="1026"/>
      <c r="S674" s="1026"/>
      <c r="T674" s="1026"/>
      <c r="U674" s="1026"/>
      <c r="V674" s="1026"/>
      <c r="W674" s="1026"/>
      <c r="X674" s="1026"/>
      <c r="Y674" s="1026"/>
      <c r="Z674" s="1026"/>
      <c r="AA674" s="1026"/>
      <c r="AB674" s="1026"/>
      <c r="AC674" s="1026"/>
    </row>
    <row r="675" spans="1:29" x14ac:dyDescent="0.25">
      <c r="A675" s="847"/>
      <c r="B675" s="1026"/>
      <c r="C675" s="1026"/>
      <c r="D675" s="1026"/>
      <c r="E675" s="1026"/>
      <c r="F675" s="1026"/>
      <c r="G675" s="1026"/>
      <c r="H675" s="1026"/>
      <c r="I675" s="1026"/>
      <c r="J675" s="1026"/>
      <c r="K675" s="1026"/>
      <c r="L675" s="1026"/>
      <c r="M675" s="1026"/>
      <c r="N675" s="1026"/>
      <c r="O675" s="1026"/>
      <c r="P675" s="1026"/>
      <c r="Q675" s="1026"/>
      <c r="R675" s="1026"/>
      <c r="S675" s="1026"/>
      <c r="T675" s="1026"/>
      <c r="U675" s="1026"/>
      <c r="V675" s="1026"/>
      <c r="W675" s="1026"/>
      <c r="X675" s="1026"/>
      <c r="Y675" s="1026"/>
      <c r="Z675" s="1026"/>
      <c r="AA675" s="1026"/>
      <c r="AB675" s="1026"/>
      <c r="AC675" s="1026"/>
    </row>
    <row r="676" spans="1:29" x14ac:dyDescent="0.25">
      <c r="A676" s="847"/>
      <c r="B676" s="1026"/>
      <c r="C676" s="1026"/>
      <c r="D676" s="1026"/>
      <c r="E676" s="1026"/>
      <c r="F676" s="1026"/>
      <c r="G676" s="1026"/>
      <c r="H676" s="1026"/>
      <c r="I676" s="1026"/>
      <c r="J676" s="1026"/>
      <c r="K676" s="1026"/>
      <c r="L676" s="1026"/>
      <c r="M676" s="1026"/>
      <c r="N676" s="1026"/>
      <c r="O676" s="1026"/>
      <c r="P676" s="1026"/>
      <c r="Q676" s="1026"/>
      <c r="R676" s="1026"/>
      <c r="S676" s="1026"/>
      <c r="T676" s="1026"/>
      <c r="U676" s="1026"/>
      <c r="V676" s="1026"/>
      <c r="W676" s="1026"/>
      <c r="X676" s="1026"/>
      <c r="Y676" s="1026"/>
      <c r="Z676" s="1026"/>
      <c r="AA676" s="1026"/>
      <c r="AB676" s="1026"/>
      <c r="AC676" s="1026"/>
    </row>
    <row r="677" spans="1:29" x14ac:dyDescent="0.25">
      <c r="A677" s="847"/>
      <c r="B677" s="1026"/>
      <c r="C677" s="1026"/>
      <c r="D677" s="1026"/>
      <c r="E677" s="1026"/>
      <c r="F677" s="1026"/>
      <c r="G677" s="1026"/>
      <c r="H677" s="1026"/>
      <c r="I677" s="1026"/>
      <c r="J677" s="1026"/>
      <c r="K677" s="1026"/>
      <c r="L677" s="1026"/>
      <c r="M677" s="1026"/>
      <c r="N677" s="1026"/>
      <c r="O677" s="1026"/>
      <c r="P677" s="1026"/>
      <c r="Q677" s="1026"/>
      <c r="R677" s="1026"/>
      <c r="S677" s="1026"/>
      <c r="T677" s="1026"/>
      <c r="U677" s="1026"/>
      <c r="V677" s="1026"/>
      <c r="W677" s="1026"/>
      <c r="X677" s="1026"/>
      <c r="Y677" s="1026"/>
      <c r="Z677" s="1026"/>
      <c r="AA677" s="1026"/>
      <c r="AB677" s="1026"/>
      <c r="AC677" s="1026"/>
    </row>
    <row r="678" spans="1:29" x14ac:dyDescent="0.25">
      <c r="A678" s="847"/>
      <c r="B678" s="1026"/>
      <c r="C678" s="1026"/>
      <c r="D678" s="1026"/>
      <c r="E678" s="1026"/>
      <c r="F678" s="1026"/>
      <c r="G678" s="1026"/>
      <c r="H678" s="1026"/>
      <c r="I678" s="1026"/>
      <c r="J678" s="1026"/>
      <c r="K678" s="1026"/>
      <c r="L678" s="1026"/>
      <c r="M678" s="1026"/>
      <c r="N678" s="1026"/>
      <c r="O678" s="1026"/>
      <c r="P678" s="1026"/>
      <c r="Q678" s="1026"/>
      <c r="R678" s="1026"/>
      <c r="S678" s="1026"/>
      <c r="T678" s="1026"/>
      <c r="U678" s="1026"/>
      <c r="V678" s="1026"/>
      <c r="W678" s="1026"/>
      <c r="X678" s="1026"/>
      <c r="Y678" s="1026"/>
      <c r="Z678" s="1026"/>
      <c r="AA678" s="1026"/>
      <c r="AB678" s="1026"/>
      <c r="AC678" s="1026"/>
    </row>
    <row r="679" spans="1:29" x14ac:dyDescent="0.25">
      <c r="A679" s="847"/>
      <c r="B679" s="1026"/>
      <c r="C679" s="1026"/>
      <c r="D679" s="1026"/>
      <c r="E679" s="1026"/>
      <c r="F679" s="1026"/>
      <c r="G679" s="1026"/>
      <c r="H679" s="1026"/>
      <c r="I679" s="1026"/>
      <c r="J679" s="1026"/>
      <c r="K679" s="1026"/>
      <c r="L679" s="1026"/>
      <c r="M679" s="1026"/>
      <c r="N679" s="1026"/>
      <c r="O679" s="1026"/>
      <c r="P679" s="1026"/>
      <c r="Q679" s="1026"/>
      <c r="R679" s="1026"/>
      <c r="S679" s="1026"/>
      <c r="T679" s="1026"/>
      <c r="U679" s="1026"/>
      <c r="V679" s="1026"/>
      <c r="W679" s="1026"/>
      <c r="X679" s="1026"/>
      <c r="Y679" s="1026"/>
      <c r="Z679" s="1026"/>
      <c r="AA679" s="1026"/>
      <c r="AB679" s="1026"/>
      <c r="AC679" s="1026"/>
    </row>
    <row r="680" spans="1:29" x14ac:dyDescent="0.25">
      <c r="A680" s="847"/>
      <c r="B680" s="1026"/>
      <c r="C680" s="1026"/>
      <c r="D680" s="1026"/>
      <c r="E680" s="1026"/>
      <c r="F680" s="1026"/>
      <c r="G680" s="1026"/>
      <c r="H680" s="1026"/>
      <c r="I680" s="1026"/>
      <c r="J680" s="1026"/>
      <c r="K680" s="1026"/>
      <c r="L680" s="1026"/>
      <c r="M680" s="1026"/>
      <c r="N680" s="1026"/>
      <c r="O680" s="1026"/>
      <c r="P680" s="1026"/>
      <c r="Q680" s="1026"/>
      <c r="R680" s="1026"/>
      <c r="S680" s="1026"/>
      <c r="T680" s="1026"/>
      <c r="U680" s="1026"/>
      <c r="V680" s="1026"/>
      <c r="W680" s="1026"/>
      <c r="X680" s="1026"/>
      <c r="Y680" s="1026"/>
      <c r="Z680" s="1026"/>
      <c r="AA680" s="1026"/>
      <c r="AB680" s="1026"/>
      <c r="AC680" s="1026"/>
    </row>
    <row r="681" spans="1:29" x14ac:dyDescent="0.25">
      <c r="A681" s="847"/>
      <c r="B681" s="1026"/>
      <c r="C681" s="1026"/>
      <c r="D681" s="1026"/>
      <c r="E681" s="1026"/>
      <c r="F681" s="1026"/>
      <c r="G681" s="1026"/>
      <c r="H681" s="1026"/>
      <c r="I681" s="1026"/>
      <c r="J681" s="1026"/>
      <c r="K681" s="1026"/>
      <c r="L681" s="1026"/>
      <c r="M681" s="1026"/>
      <c r="N681" s="1026"/>
      <c r="O681" s="1026"/>
      <c r="P681" s="1026"/>
      <c r="Q681" s="1026"/>
      <c r="R681" s="1026"/>
      <c r="S681" s="1026"/>
      <c r="T681" s="1026"/>
      <c r="U681" s="1026"/>
      <c r="V681" s="1026"/>
      <c r="W681" s="1026"/>
      <c r="X681" s="1026"/>
      <c r="Y681" s="1026"/>
      <c r="Z681" s="1026"/>
      <c r="AA681" s="1026"/>
      <c r="AB681" s="1026"/>
      <c r="AC681" s="1026"/>
    </row>
    <row r="682" spans="1:29" x14ac:dyDescent="0.25">
      <c r="A682" s="847"/>
      <c r="B682" s="1026"/>
      <c r="C682" s="1026"/>
      <c r="D682" s="1026"/>
      <c r="E682" s="1026"/>
      <c r="F682" s="1026"/>
      <c r="G682" s="1026"/>
      <c r="H682" s="1026"/>
      <c r="I682" s="1026"/>
      <c r="J682" s="1026"/>
      <c r="K682" s="1026"/>
      <c r="L682" s="1026"/>
      <c r="M682" s="1026"/>
      <c r="N682" s="1026"/>
      <c r="O682" s="1026"/>
      <c r="P682" s="1026"/>
      <c r="Q682" s="1026"/>
      <c r="R682" s="1026"/>
      <c r="S682" s="1026"/>
      <c r="T682" s="1026"/>
      <c r="U682" s="1026"/>
      <c r="V682" s="1026"/>
      <c r="W682" s="1026"/>
      <c r="X682" s="1026"/>
      <c r="Y682" s="1026"/>
      <c r="Z682" s="1026"/>
      <c r="AA682" s="1026"/>
      <c r="AB682" s="1026"/>
      <c r="AC682" s="1026"/>
    </row>
    <row r="683" spans="1:29" x14ac:dyDescent="0.25">
      <c r="A683" s="847"/>
      <c r="B683" s="1026"/>
      <c r="C683" s="1026"/>
      <c r="D683" s="1026"/>
      <c r="E683" s="1026"/>
      <c r="F683" s="1026"/>
      <c r="G683" s="1026"/>
      <c r="H683" s="1026"/>
      <c r="I683" s="1026"/>
      <c r="J683" s="1026"/>
      <c r="K683" s="1026"/>
      <c r="L683" s="1026"/>
      <c r="M683" s="1026"/>
      <c r="N683" s="1026"/>
      <c r="O683" s="1026"/>
      <c r="P683" s="1026"/>
      <c r="Q683" s="1026"/>
      <c r="R683" s="1026"/>
      <c r="S683" s="1026"/>
      <c r="T683" s="1026"/>
      <c r="U683" s="1026"/>
      <c r="V683" s="1026"/>
      <c r="W683" s="1026"/>
      <c r="X683" s="1026"/>
      <c r="Y683" s="1026"/>
      <c r="Z683" s="1026"/>
      <c r="AA683" s="1026"/>
      <c r="AB683" s="1026"/>
      <c r="AC683" s="1026"/>
    </row>
    <row r="684" spans="1:29" x14ac:dyDescent="0.25">
      <c r="A684" s="847"/>
      <c r="B684" s="1026"/>
      <c r="C684" s="1026"/>
      <c r="D684" s="1026"/>
      <c r="E684" s="1026"/>
      <c r="F684" s="1026"/>
      <c r="G684" s="1026"/>
      <c r="H684" s="1026"/>
      <c r="I684" s="1026"/>
      <c r="J684" s="1026"/>
      <c r="K684" s="1026"/>
      <c r="L684" s="1026"/>
      <c r="M684" s="1026"/>
      <c r="N684" s="1026"/>
      <c r="O684" s="1026"/>
      <c r="P684" s="1026"/>
      <c r="Q684" s="1026"/>
      <c r="R684" s="1026"/>
      <c r="S684" s="1026"/>
      <c r="T684" s="1026"/>
      <c r="U684" s="1026"/>
      <c r="V684" s="1026"/>
      <c r="W684" s="1026"/>
      <c r="X684" s="1026"/>
      <c r="Y684" s="1026"/>
      <c r="Z684" s="1026"/>
      <c r="AA684" s="1026"/>
      <c r="AB684" s="1026"/>
      <c r="AC684" s="1026"/>
    </row>
    <row r="685" spans="1:29" x14ac:dyDescent="0.25">
      <c r="A685" s="847"/>
      <c r="B685" s="1026"/>
      <c r="C685" s="1026"/>
      <c r="D685" s="1026"/>
      <c r="E685" s="1026"/>
      <c r="F685" s="1026"/>
      <c r="G685" s="1026"/>
      <c r="H685" s="1026"/>
      <c r="I685" s="1026"/>
      <c r="J685" s="1026"/>
      <c r="K685" s="1026"/>
      <c r="L685" s="1026"/>
      <c r="M685" s="1026"/>
      <c r="N685" s="1026"/>
      <c r="O685" s="1026"/>
      <c r="P685" s="1026"/>
      <c r="Q685" s="1026"/>
      <c r="R685" s="1026"/>
      <c r="S685" s="1026"/>
      <c r="T685" s="1026"/>
      <c r="U685" s="1026"/>
      <c r="V685" s="1026"/>
      <c r="W685" s="1026"/>
      <c r="X685" s="1026"/>
      <c r="Y685" s="1026"/>
      <c r="Z685" s="1026"/>
      <c r="AA685" s="1026"/>
      <c r="AB685" s="1026"/>
      <c r="AC685" s="1026"/>
    </row>
    <row r="686" spans="1:29" x14ac:dyDescent="0.25">
      <c r="A686" s="847"/>
      <c r="B686" s="1026"/>
      <c r="C686" s="1026"/>
      <c r="D686" s="1026"/>
      <c r="E686" s="1026"/>
      <c r="F686" s="1026"/>
      <c r="G686" s="1026"/>
      <c r="H686" s="1026"/>
      <c r="I686" s="1026"/>
      <c r="J686" s="1026"/>
      <c r="K686" s="1026"/>
      <c r="L686" s="1026"/>
      <c r="M686" s="1026"/>
      <c r="N686" s="1026"/>
      <c r="O686" s="1026"/>
      <c r="P686" s="1026"/>
      <c r="Q686" s="1026"/>
      <c r="R686" s="1026"/>
      <c r="S686" s="1026"/>
      <c r="T686" s="1026"/>
      <c r="U686" s="1026"/>
      <c r="V686" s="1026"/>
      <c r="W686" s="1026"/>
      <c r="X686" s="1026"/>
      <c r="Y686" s="1026"/>
      <c r="Z686" s="1026"/>
      <c r="AA686" s="1026"/>
      <c r="AB686" s="1026"/>
      <c r="AC686" s="1026"/>
    </row>
    <row r="687" spans="1:29" x14ac:dyDescent="0.25">
      <c r="A687" s="847"/>
      <c r="B687" s="1026"/>
      <c r="C687" s="1026"/>
      <c r="D687" s="1026"/>
      <c r="E687" s="1026"/>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C687" s="1026"/>
    </row>
    <row r="688" spans="1:29" x14ac:dyDescent="0.25">
      <c r="A688" s="847"/>
      <c r="B688" s="1026"/>
      <c r="C688" s="1026"/>
      <c r="D688" s="1026"/>
      <c r="E688" s="1026"/>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C688" s="1026"/>
    </row>
    <row r="689" spans="1:29" x14ac:dyDescent="0.25">
      <c r="A689" s="847"/>
      <c r="B689" s="1026"/>
      <c r="C689" s="1026"/>
      <c r="D689" s="1026"/>
      <c r="E689" s="1026"/>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C689" s="1026"/>
    </row>
    <row r="690" spans="1:29" x14ac:dyDescent="0.25">
      <c r="A690" s="847"/>
      <c r="B690" s="1026"/>
      <c r="C690" s="1026"/>
      <c r="D690" s="1026"/>
      <c r="E690" s="1026"/>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C690" s="1026"/>
    </row>
    <row r="691" spans="1:29" x14ac:dyDescent="0.25">
      <c r="A691" s="847"/>
      <c r="B691" s="1026"/>
      <c r="C691" s="1026"/>
      <c r="D691" s="1026"/>
      <c r="E691" s="1026"/>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C691" s="1026"/>
    </row>
    <row r="692" spans="1:29" x14ac:dyDescent="0.25">
      <c r="A692" s="847"/>
      <c r="B692" s="1026"/>
      <c r="C692" s="1026"/>
      <c r="D692" s="1026"/>
      <c r="E692" s="1026"/>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C692" s="1026"/>
    </row>
    <row r="693" spans="1:29" x14ac:dyDescent="0.25">
      <c r="A693" s="847"/>
      <c r="B693" s="1026"/>
      <c r="C693" s="1026"/>
      <c r="D693" s="1026"/>
      <c r="E693" s="1026"/>
      <c r="F693" s="1026"/>
      <c r="G693" s="1026"/>
      <c r="H693" s="1026"/>
      <c r="I693" s="1026"/>
      <c r="J693" s="1026"/>
      <c r="K693" s="1026"/>
      <c r="L693" s="1026"/>
      <c r="M693" s="1026"/>
      <c r="N693" s="1026"/>
      <c r="O693" s="1026"/>
      <c r="P693" s="1026"/>
      <c r="Q693" s="1026"/>
      <c r="R693" s="1026"/>
      <c r="S693" s="1026"/>
      <c r="T693" s="1026"/>
      <c r="U693" s="1026"/>
      <c r="V693" s="1026"/>
      <c r="W693" s="1026"/>
      <c r="X693" s="1026"/>
      <c r="Y693" s="1026"/>
      <c r="Z693" s="1026"/>
      <c r="AA693" s="1026"/>
      <c r="AB693" s="1026"/>
      <c r="AC693" s="1026"/>
    </row>
    <row r="694" spans="1:29" x14ac:dyDescent="0.25">
      <c r="A694" s="847"/>
      <c r="B694" s="1026"/>
      <c r="C694" s="1026"/>
      <c r="D694" s="1026"/>
      <c r="E694" s="1026"/>
      <c r="F694" s="1026"/>
      <c r="G694" s="1026"/>
      <c r="H694" s="1026"/>
      <c r="I694" s="1026"/>
      <c r="J694" s="1026"/>
      <c r="K694" s="1026"/>
      <c r="L694" s="1026"/>
      <c r="M694" s="1026"/>
      <c r="N694" s="1026"/>
      <c r="O694" s="1026"/>
      <c r="P694" s="1026"/>
      <c r="Q694" s="1026"/>
      <c r="R694" s="1026"/>
      <c r="S694" s="1026"/>
      <c r="T694" s="1026"/>
      <c r="U694" s="1026"/>
      <c r="V694" s="1026"/>
      <c r="W694" s="1026"/>
      <c r="X694" s="1026"/>
      <c r="Y694" s="1026"/>
      <c r="Z694" s="1026"/>
      <c r="AA694" s="1026"/>
      <c r="AB694" s="1026"/>
      <c r="AC694" s="1026"/>
    </row>
    <row r="695" spans="1:29" x14ac:dyDescent="0.25">
      <c r="A695" s="847"/>
      <c r="B695" s="1026"/>
      <c r="C695" s="1026"/>
      <c r="D695" s="1026"/>
      <c r="E695" s="1026"/>
      <c r="F695" s="1026"/>
      <c r="G695" s="1026"/>
      <c r="H695" s="1026"/>
      <c r="I695" s="1026"/>
      <c r="J695" s="1026"/>
      <c r="K695" s="1026"/>
      <c r="L695" s="1026"/>
      <c r="M695" s="1026"/>
      <c r="N695" s="1026"/>
      <c r="O695" s="1026"/>
      <c r="P695" s="1026"/>
      <c r="Q695" s="1026"/>
      <c r="R695" s="1026"/>
      <c r="S695" s="1026"/>
      <c r="T695" s="1026"/>
      <c r="U695" s="1026"/>
      <c r="V695" s="1026"/>
      <c r="W695" s="1026"/>
      <c r="X695" s="1026"/>
      <c r="Y695" s="1026"/>
      <c r="Z695" s="1026"/>
      <c r="AA695" s="1026"/>
      <c r="AB695" s="1026"/>
      <c r="AC695" s="1026"/>
    </row>
    <row r="696" spans="1:29" x14ac:dyDescent="0.25">
      <c r="A696" s="847"/>
      <c r="B696" s="1026"/>
      <c r="C696" s="1026"/>
      <c r="D696" s="1026"/>
      <c r="E696" s="1026"/>
      <c r="F696" s="1026"/>
      <c r="G696" s="1026"/>
      <c r="H696" s="1026"/>
      <c r="I696" s="1026"/>
      <c r="J696" s="1026"/>
      <c r="K696" s="1026"/>
      <c r="L696" s="1026"/>
      <c r="M696" s="1026"/>
      <c r="N696" s="1026"/>
      <c r="O696" s="1026"/>
      <c r="P696" s="1026"/>
      <c r="Q696" s="1026"/>
      <c r="R696" s="1026"/>
      <c r="S696" s="1026"/>
      <c r="T696" s="1026"/>
      <c r="U696" s="1026"/>
      <c r="V696" s="1026"/>
      <c r="W696" s="1026"/>
      <c r="X696" s="1026"/>
      <c r="Y696" s="1026"/>
      <c r="Z696" s="1026"/>
      <c r="AA696" s="1026"/>
      <c r="AB696" s="1026"/>
      <c r="AC696" s="1026"/>
    </row>
    <row r="697" spans="1:29" x14ac:dyDescent="0.25">
      <c r="A697" s="847"/>
      <c r="B697" s="1026"/>
      <c r="C697" s="1026"/>
      <c r="D697" s="1026"/>
      <c r="E697" s="1026"/>
      <c r="F697" s="1026"/>
      <c r="G697" s="1026"/>
      <c r="H697" s="1026"/>
      <c r="I697" s="1026"/>
      <c r="J697" s="1026"/>
      <c r="K697" s="1026"/>
      <c r="L697" s="1026"/>
      <c r="M697" s="1026"/>
      <c r="N697" s="1026"/>
      <c r="O697" s="1026"/>
      <c r="P697" s="1026"/>
      <c r="Q697" s="1026"/>
      <c r="R697" s="1026"/>
      <c r="S697" s="1026"/>
      <c r="T697" s="1026"/>
      <c r="U697" s="1026"/>
      <c r="V697" s="1026"/>
      <c r="W697" s="1026"/>
      <c r="X697" s="1026"/>
      <c r="Y697" s="1026"/>
      <c r="Z697" s="1026"/>
      <c r="AA697" s="1026"/>
      <c r="AB697" s="1026"/>
      <c r="AC697" s="1026"/>
    </row>
    <row r="698" spans="1:29" x14ac:dyDescent="0.25">
      <c r="A698" s="847"/>
      <c r="B698" s="1026"/>
      <c r="C698" s="1026"/>
      <c r="D698" s="1026"/>
      <c r="E698" s="1026"/>
      <c r="F698" s="1026"/>
      <c r="G698" s="1026"/>
      <c r="H698" s="1026"/>
      <c r="I698" s="1026"/>
      <c r="J698" s="1026"/>
      <c r="K698" s="1026"/>
      <c r="L698" s="1026"/>
      <c r="M698" s="1026"/>
      <c r="N698" s="1026"/>
      <c r="O698" s="1026"/>
      <c r="P698" s="1026"/>
      <c r="Q698" s="1026"/>
      <c r="R698" s="1026"/>
      <c r="S698" s="1026"/>
      <c r="T698" s="1026"/>
      <c r="U698" s="1026"/>
      <c r="V698" s="1026"/>
      <c r="W698" s="1026"/>
      <c r="X698" s="1026"/>
      <c r="Y698" s="1026"/>
      <c r="Z698" s="1026"/>
      <c r="AA698" s="1026"/>
      <c r="AB698" s="1026"/>
      <c r="AC698" s="1026"/>
    </row>
    <row r="699" spans="1:29" x14ac:dyDescent="0.25">
      <c r="A699" s="847"/>
      <c r="B699" s="1026"/>
      <c r="C699" s="1026"/>
      <c r="D699" s="1026"/>
      <c r="E699" s="1026"/>
      <c r="F699" s="1026"/>
      <c r="G699" s="1026"/>
      <c r="H699" s="1026"/>
      <c r="I699" s="1026"/>
      <c r="J699" s="1026"/>
      <c r="K699" s="1026"/>
      <c r="L699" s="1026"/>
      <c r="M699" s="1026"/>
      <c r="N699" s="1026"/>
      <c r="O699" s="1026"/>
      <c r="P699" s="1026"/>
      <c r="Q699" s="1026"/>
      <c r="R699" s="1026"/>
      <c r="S699" s="1026"/>
      <c r="T699" s="1026"/>
      <c r="U699" s="1026"/>
      <c r="V699" s="1026"/>
      <c r="W699" s="1026"/>
      <c r="X699" s="1026"/>
      <c r="Y699" s="1026"/>
      <c r="Z699" s="1026"/>
      <c r="AA699" s="1026"/>
      <c r="AB699" s="1026"/>
      <c r="AC699" s="1026"/>
    </row>
    <row r="700" spans="1:29" x14ac:dyDescent="0.25">
      <c r="A700" s="847"/>
      <c r="B700" s="1026"/>
      <c r="C700" s="1026"/>
      <c r="D700" s="1026"/>
      <c r="E700" s="1026"/>
      <c r="F700" s="1026"/>
      <c r="G700" s="1026"/>
      <c r="H700" s="1026"/>
      <c r="I700" s="1026"/>
      <c r="J700" s="1026"/>
      <c r="K700" s="1026"/>
      <c r="L700" s="1026"/>
      <c r="M700" s="1026"/>
      <c r="N700" s="1026"/>
      <c r="O700" s="1026"/>
      <c r="P700" s="1026"/>
      <c r="Q700" s="1026"/>
      <c r="R700" s="1026"/>
      <c r="S700" s="1026"/>
      <c r="T700" s="1026"/>
      <c r="U700" s="1026"/>
      <c r="V700" s="1026"/>
      <c r="W700" s="1026"/>
      <c r="X700" s="1026"/>
      <c r="Y700" s="1026"/>
      <c r="Z700" s="1026"/>
      <c r="AA700" s="1026"/>
      <c r="AB700" s="1026"/>
      <c r="AC700" s="1026"/>
    </row>
    <row r="701" spans="1:29" x14ac:dyDescent="0.25">
      <c r="A701" s="847"/>
      <c r="B701" s="1026"/>
      <c r="C701" s="1026"/>
      <c r="D701" s="1026"/>
      <c r="E701" s="1026"/>
      <c r="F701" s="1026"/>
      <c r="G701" s="1026"/>
      <c r="H701" s="1026"/>
      <c r="I701" s="1026"/>
      <c r="J701" s="1026"/>
      <c r="K701" s="1026"/>
      <c r="L701" s="1026"/>
      <c r="M701" s="1026"/>
      <c r="N701" s="1026"/>
      <c r="O701" s="1026"/>
      <c r="P701" s="1026"/>
      <c r="Q701" s="1026"/>
      <c r="R701" s="1026"/>
      <c r="S701" s="1026"/>
      <c r="T701" s="1026"/>
      <c r="U701" s="1026"/>
      <c r="V701" s="1026"/>
      <c r="W701" s="1026"/>
      <c r="X701" s="1026"/>
      <c r="Y701" s="1026"/>
      <c r="Z701" s="1026"/>
      <c r="AA701" s="1026"/>
      <c r="AB701" s="1026"/>
      <c r="AC701" s="1026"/>
    </row>
    <row r="702" spans="1:29" x14ac:dyDescent="0.25">
      <c r="A702" s="847"/>
      <c r="B702" s="1026"/>
      <c r="C702" s="1026"/>
      <c r="D702" s="1026"/>
      <c r="E702" s="1026"/>
      <c r="F702" s="1026"/>
      <c r="G702" s="1026"/>
      <c r="H702" s="1026"/>
      <c r="I702" s="1026"/>
      <c r="J702" s="1026"/>
      <c r="K702" s="1026"/>
      <c r="L702" s="1026"/>
      <c r="M702" s="1026"/>
      <c r="N702" s="1026"/>
      <c r="O702" s="1026"/>
      <c r="P702" s="1026"/>
      <c r="Q702" s="1026"/>
      <c r="R702" s="1026"/>
      <c r="S702" s="1026"/>
      <c r="T702" s="1026"/>
      <c r="U702" s="1026"/>
      <c r="V702" s="1026"/>
      <c r="W702" s="1026"/>
      <c r="X702" s="1026"/>
      <c r="Y702" s="1026"/>
      <c r="Z702" s="1026"/>
      <c r="AA702" s="1026"/>
      <c r="AB702" s="1026"/>
      <c r="AC702" s="1026"/>
    </row>
    <row r="703" spans="1:29" x14ac:dyDescent="0.25">
      <c r="A703" s="847"/>
      <c r="B703" s="1026"/>
      <c r="C703" s="1026"/>
      <c r="D703" s="1026"/>
      <c r="E703" s="1026"/>
      <c r="F703" s="1026"/>
      <c r="G703" s="1026"/>
      <c r="H703" s="1026"/>
      <c r="I703" s="1026"/>
      <c r="J703" s="1026"/>
      <c r="K703" s="1026"/>
      <c r="L703" s="1026"/>
      <c r="M703" s="1026"/>
      <c r="N703" s="1026"/>
      <c r="O703" s="1026"/>
      <c r="P703" s="1026"/>
      <c r="Q703" s="1026"/>
      <c r="R703" s="1026"/>
      <c r="S703" s="1026"/>
      <c r="T703" s="1026"/>
      <c r="U703" s="1026"/>
      <c r="V703" s="1026"/>
      <c r="W703" s="1026"/>
      <c r="X703" s="1026"/>
      <c r="Y703" s="1026"/>
      <c r="Z703" s="1026"/>
      <c r="AA703" s="1026"/>
      <c r="AB703" s="1026"/>
      <c r="AC703" s="1026"/>
    </row>
    <row r="704" spans="1:29" x14ac:dyDescent="0.25">
      <c r="A704" s="847"/>
      <c r="B704" s="1026"/>
      <c r="C704" s="1026"/>
      <c r="D704" s="1026"/>
      <c r="E704" s="1026"/>
      <c r="F704" s="1026"/>
      <c r="G704" s="1026"/>
      <c r="H704" s="1026"/>
      <c r="I704" s="1026"/>
      <c r="J704" s="1026"/>
      <c r="K704" s="1026"/>
      <c r="L704" s="1026"/>
      <c r="M704" s="1026"/>
      <c r="N704" s="1026"/>
      <c r="O704" s="1026"/>
      <c r="P704" s="1026"/>
      <c r="Q704" s="1026"/>
      <c r="R704" s="1026"/>
      <c r="S704" s="1026"/>
      <c r="T704" s="1026"/>
      <c r="U704" s="1026"/>
      <c r="V704" s="1026"/>
      <c r="W704" s="1026"/>
      <c r="X704" s="1026"/>
      <c r="Y704" s="1026"/>
      <c r="Z704" s="1026"/>
      <c r="AA704" s="1026"/>
      <c r="AB704" s="1026"/>
      <c r="AC704" s="1026"/>
    </row>
    <row r="705" spans="1:29" x14ac:dyDescent="0.25">
      <c r="A705" s="847"/>
      <c r="B705" s="1026"/>
      <c r="C705" s="1026"/>
      <c r="D705" s="1026"/>
      <c r="E705" s="1026"/>
      <c r="F705" s="1026"/>
      <c r="G705" s="1026"/>
      <c r="H705" s="1026"/>
      <c r="I705" s="1026"/>
      <c r="J705" s="1026"/>
      <c r="K705" s="1026"/>
      <c r="L705" s="1026"/>
      <c r="M705" s="1026"/>
      <c r="N705" s="1026"/>
      <c r="O705" s="1026"/>
      <c r="P705" s="1026"/>
      <c r="Q705" s="1026"/>
      <c r="R705" s="1026"/>
      <c r="S705" s="1026"/>
      <c r="T705" s="1026"/>
      <c r="U705" s="1026"/>
      <c r="V705" s="1026"/>
      <c r="W705" s="1026"/>
      <c r="X705" s="1026"/>
      <c r="Y705" s="1026"/>
      <c r="Z705" s="1026"/>
      <c r="AA705" s="1026"/>
      <c r="AB705" s="1026"/>
      <c r="AC705" s="1026"/>
    </row>
    <row r="706" spans="1:29" x14ac:dyDescent="0.25">
      <c r="A706" s="847"/>
      <c r="B706" s="1026"/>
      <c r="C706" s="1026"/>
      <c r="D706" s="1026"/>
      <c r="E706" s="1026"/>
      <c r="F706" s="1026"/>
      <c r="G706" s="1026"/>
      <c r="H706" s="1026"/>
      <c r="I706" s="1026"/>
      <c r="J706" s="1026"/>
      <c r="K706" s="1026"/>
      <c r="L706" s="1026"/>
      <c r="M706" s="1026"/>
      <c r="N706" s="1026"/>
      <c r="O706" s="1026"/>
      <c r="P706" s="1026"/>
      <c r="Q706" s="1026"/>
      <c r="R706" s="1026"/>
      <c r="S706" s="1026"/>
      <c r="T706" s="1026"/>
      <c r="U706" s="1026"/>
      <c r="V706" s="1026"/>
      <c r="W706" s="1026"/>
      <c r="X706" s="1026"/>
      <c r="Y706" s="1026"/>
      <c r="Z706" s="1026"/>
      <c r="AA706" s="1026"/>
      <c r="AB706" s="1026"/>
      <c r="AC706" s="1026"/>
    </row>
    <row r="707" spans="1:29" x14ac:dyDescent="0.25">
      <c r="A707" s="847"/>
      <c r="B707" s="1026"/>
      <c r="C707" s="1026"/>
      <c r="D707" s="1026"/>
      <c r="E707" s="1026"/>
      <c r="F707" s="1026"/>
      <c r="G707" s="1026"/>
      <c r="H707" s="1026"/>
      <c r="I707" s="1026"/>
      <c r="J707" s="1026"/>
      <c r="K707" s="1026"/>
      <c r="L707" s="1026"/>
      <c r="M707" s="1026"/>
      <c r="N707" s="1026"/>
      <c r="O707" s="1026"/>
      <c r="P707" s="1026"/>
      <c r="Q707" s="1026"/>
      <c r="R707" s="1026"/>
      <c r="S707" s="1026"/>
      <c r="T707" s="1026"/>
      <c r="U707" s="1026"/>
      <c r="V707" s="1026"/>
      <c r="W707" s="1026"/>
      <c r="X707" s="1026"/>
      <c r="Y707" s="1026"/>
      <c r="Z707" s="1026"/>
      <c r="AA707" s="1026"/>
      <c r="AB707" s="1026"/>
      <c r="AC707" s="1026"/>
    </row>
    <row r="708" spans="1:29" x14ac:dyDescent="0.25">
      <c r="A708" s="847"/>
      <c r="B708" s="1026"/>
      <c r="C708" s="1026"/>
      <c r="D708" s="1026"/>
      <c r="E708" s="1026"/>
      <c r="F708" s="1026"/>
      <c r="G708" s="1026"/>
      <c r="H708" s="1026"/>
      <c r="I708" s="1026"/>
      <c r="J708" s="1026"/>
      <c r="K708" s="1026"/>
      <c r="L708" s="1026"/>
      <c r="M708" s="1026"/>
      <c r="N708" s="1026"/>
      <c r="O708" s="1026"/>
      <c r="P708" s="1026"/>
      <c r="Q708" s="1026"/>
      <c r="R708" s="1026"/>
      <c r="S708" s="1026"/>
      <c r="T708" s="1026"/>
      <c r="U708" s="1026"/>
      <c r="V708" s="1026"/>
      <c r="W708" s="1026"/>
      <c r="X708" s="1026"/>
      <c r="Y708" s="1026"/>
      <c r="Z708" s="1026"/>
      <c r="AA708" s="1026"/>
      <c r="AB708" s="1026"/>
      <c r="AC708" s="1026"/>
    </row>
    <row r="709" spans="1:29" x14ac:dyDescent="0.25">
      <c r="A709" s="847"/>
      <c r="B709" s="1026"/>
      <c r="C709" s="1026"/>
      <c r="D709" s="1026"/>
      <c r="E709" s="1026"/>
      <c r="F709" s="1026"/>
      <c r="G709" s="1026"/>
      <c r="H709" s="1026"/>
      <c r="I709" s="1026"/>
      <c r="J709" s="1026"/>
      <c r="K709" s="1026"/>
      <c r="L709" s="1026"/>
      <c r="M709" s="1026"/>
      <c r="N709" s="1026"/>
      <c r="O709" s="1026"/>
      <c r="P709" s="1026"/>
      <c r="Q709" s="1026"/>
      <c r="R709" s="1026"/>
      <c r="S709" s="1026"/>
      <c r="T709" s="1026"/>
      <c r="U709" s="1026"/>
      <c r="V709" s="1026"/>
      <c r="W709" s="1026"/>
      <c r="X709" s="1026"/>
      <c r="Y709" s="1026"/>
      <c r="Z709" s="1026"/>
      <c r="AA709" s="1026"/>
      <c r="AB709" s="1026"/>
      <c r="AC709" s="1026"/>
    </row>
    <row r="710" spans="1:29" x14ac:dyDescent="0.25">
      <c r="A710" s="847"/>
      <c r="B710" s="1026"/>
      <c r="C710" s="1026"/>
      <c r="D710" s="1026"/>
      <c r="E710" s="1026"/>
      <c r="F710" s="1026"/>
      <c r="G710" s="1026"/>
      <c r="H710" s="1026"/>
      <c r="I710" s="1026"/>
      <c r="J710" s="1026"/>
      <c r="K710" s="1026"/>
      <c r="L710" s="1026"/>
      <c r="M710" s="1026"/>
      <c r="N710" s="1026"/>
      <c r="O710" s="1026"/>
      <c r="P710" s="1026"/>
      <c r="Q710" s="1026"/>
      <c r="R710" s="1026"/>
      <c r="S710" s="1026"/>
      <c r="T710" s="1026"/>
      <c r="U710" s="1026"/>
      <c r="V710" s="1026"/>
      <c r="W710" s="1026"/>
      <c r="X710" s="1026"/>
      <c r="Y710" s="1026"/>
      <c r="Z710" s="1026"/>
      <c r="AA710" s="1026"/>
      <c r="AB710" s="1026"/>
      <c r="AC710" s="1026"/>
    </row>
    <row r="711" spans="1:29" x14ac:dyDescent="0.25">
      <c r="A711" s="847"/>
      <c r="B711" s="1026"/>
      <c r="C711" s="1026"/>
      <c r="D711" s="1026"/>
      <c r="E711" s="1026"/>
      <c r="F711" s="1026"/>
      <c r="G711" s="1026"/>
      <c r="H711" s="1026"/>
      <c r="I711" s="1026"/>
      <c r="J711" s="1026"/>
      <c r="K711" s="1026"/>
      <c r="L711" s="1026"/>
      <c r="M711" s="1026"/>
      <c r="N711" s="1026"/>
      <c r="O711" s="1026"/>
      <c r="P711" s="1026"/>
      <c r="Q711" s="1026"/>
      <c r="R711" s="1026"/>
      <c r="S711" s="1026"/>
      <c r="T711" s="1026"/>
      <c r="U711" s="1026"/>
      <c r="V711" s="1026"/>
      <c r="W711" s="1026"/>
      <c r="X711" s="1026"/>
      <c r="Y711" s="1026"/>
      <c r="Z711" s="1026"/>
      <c r="AA711" s="1026"/>
      <c r="AB711" s="1026"/>
      <c r="AC711" s="1026"/>
    </row>
    <row r="712" spans="1:29" x14ac:dyDescent="0.25">
      <c r="A712" s="847"/>
      <c r="B712" s="1026"/>
      <c r="C712" s="1026"/>
      <c r="D712" s="1026"/>
      <c r="E712" s="1026"/>
      <c r="F712" s="1026"/>
      <c r="G712" s="1026"/>
      <c r="H712" s="1026"/>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row>
    <row r="713" spans="1:29" x14ac:dyDescent="0.25">
      <c r="A713" s="847"/>
      <c r="B713" s="1026"/>
      <c r="C713" s="1026"/>
      <c r="D713" s="1026"/>
      <c r="E713" s="1026"/>
      <c r="F713" s="1026"/>
      <c r="G713" s="1026"/>
      <c r="H713" s="1026"/>
      <c r="I713" s="1026"/>
      <c r="J713" s="1026"/>
      <c r="K713" s="1026"/>
      <c r="L713" s="1026"/>
      <c r="M713" s="1026"/>
      <c r="N713" s="1026"/>
      <c r="O713" s="1026"/>
      <c r="P713" s="1026"/>
      <c r="Q713" s="1026"/>
      <c r="R713" s="1026"/>
      <c r="S713" s="1026"/>
      <c r="T713" s="1026"/>
      <c r="U713" s="1026"/>
      <c r="V713" s="1026"/>
      <c r="W713" s="1026"/>
      <c r="X713" s="1026"/>
      <c r="Y713" s="1026"/>
      <c r="Z713" s="1026"/>
      <c r="AA713" s="1026"/>
      <c r="AB713" s="1026"/>
      <c r="AC713" s="1026"/>
    </row>
    <row r="714" spans="1:29" x14ac:dyDescent="0.25">
      <c r="A714" s="847"/>
      <c r="B714" s="1026"/>
      <c r="C714" s="1026"/>
      <c r="D714" s="1026"/>
      <c r="E714" s="1026"/>
      <c r="F714" s="1026"/>
      <c r="G714" s="1026"/>
      <c r="H714" s="1026"/>
      <c r="I714" s="1026"/>
      <c r="J714" s="1026"/>
      <c r="K714" s="1026"/>
      <c r="L714" s="1026"/>
      <c r="M714" s="1026"/>
      <c r="N714" s="1026"/>
      <c r="O714" s="1026"/>
      <c r="P714" s="1026"/>
      <c r="Q714" s="1026"/>
      <c r="R714" s="1026"/>
      <c r="S714" s="1026"/>
      <c r="T714" s="1026"/>
      <c r="U714" s="1026"/>
      <c r="V714" s="1026"/>
      <c r="W714" s="1026"/>
      <c r="X714" s="1026"/>
      <c r="Y714" s="1026"/>
      <c r="Z714" s="1026"/>
      <c r="AA714" s="1026"/>
      <c r="AB714" s="1026"/>
      <c r="AC714" s="1026"/>
    </row>
    <row r="715" spans="1:29" x14ac:dyDescent="0.25">
      <c r="A715" s="847"/>
      <c r="B715" s="1026"/>
      <c r="C715" s="1026"/>
      <c r="D715" s="1026"/>
      <c r="E715" s="1026"/>
      <c r="F715" s="1026"/>
      <c r="G715" s="1026"/>
      <c r="H715" s="1026"/>
      <c r="I715" s="1026"/>
      <c r="J715" s="1026"/>
      <c r="K715" s="1026"/>
      <c r="L715" s="1026"/>
      <c r="M715" s="1026"/>
      <c r="N715" s="1026"/>
      <c r="O715" s="1026"/>
      <c r="P715" s="1026"/>
      <c r="Q715" s="1026"/>
      <c r="R715" s="1026"/>
      <c r="S715" s="1026"/>
      <c r="T715" s="1026"/>
      <c r="U715" s="1026"/>
      <c r="V715" s="1026"/>
      <c r="W715" s="1026"/>
      <c r="X715" s="1026"/>
      <c r="Y715" s="1026"/>
      <c r="Z715" s="1026"/>
      <c r="AA715" s="1026"/>
      <c r="AB715" s="1026"/>
      <c r="AC715" s="1026"/>
    </row>
    <row r="716" spans="1:29" x14ac:dyDescent="0.25">
      <c r="A716" s="847"/>
      <c r="B716" s="1026"/>
      <c r="C716" s="1026"/>
      <c r="D716" s="1026"/>
      <c r="E716" s="1026"/>
      <c r="F716" s="1026"/>
      <c r="G716" s="1026"/>
      <c r="H716" s="1026"/>
      <c r="I716" s="1026"/>
      <c r="J716" s="1026"/>
      <c r="K716" s="1026"/>
      <c r="L716" s="1026"/>
      <c r="M716" s="1026"/>
      <c r="N716" s="1026"/>
      <c r="O716" s="1026"/>
      <c r="P716" s="1026"/>
      <c r="Q716" s="1026"/>
      <c r="R716" s="1026"/>
      <c r="S716" s="1026"/>
      <c r="T716" s="1026"/>
      <c r="U716" s="1026"/>
      <c r="V716" s="1026"/>
      <c r="W716" s="1026"/>
      <c r="X716" s="1026"/>
      <c r="Y716" s="1026"/>
      <c r="Z716" s="1026"/>
      <c r="AA716" s="1026"/>
      <c r="AB716" s="1026"/>
      <c r="AC716" s="1026"/>
    </row>
    <row r="717" spans="1:29" x14ac:dyDescent="0.25">
      <c r="A717" s="847"/>
      <c r="B717" s="1026"/>
      <c r="C717" s="1026"/>
      <c r="D717" s="1026"/>
      <c r="E717" s="1026"/>
      <c r="F717" s="1026"/>
      <c r="G717" s="1026"/>
      <c r="H717" s="1026"/>
      <c r="I717" s="1026"/>
      <c r="J717" s="1026"/>
      <c r="K717" s="1026"/>
      <c r="L717" s="1026"/>
      <c r="M717" s="1026"/>
      <c r="N717" s="1026"/>
      <c r="O717" s="1026"/>
      <c r="P717" s="1026"/>
      <c r="Q717" s="1026"/>
      <c r="R717" s="1026"/>
      <c r="S717" s="1026"/>
      <c r="T717" s="1026"/>
      <c r="U717" s="1026"/>
      <c r="V717" s="1026"/>
      <c r="W717" s="1026"/>
      <c r="X717" s="1026"/>
      <c r="Y717" s="1026"/>
      <c r="Z717" s="1026"/>
      <c r="AA717" s="1026"/>
      <c r="AB717" s="1026"/>
      <c r="AC717" s="1026"/>
    </row>
    <row r="718" spans="1:29" x14ac:dyDescent="0.25">
      <c r="A718" s="847"/>
      <c r="B718" s="1026"/>
      <c r="C718" s="1026"/>
      <c r="D718" s="1026"/>
      <c r="E718" s="1026"/>
      <c r="F718" s="1026"/>
      <c r="G718" s="1026"/>
      <c r="H718" s="1026"/>
      <c r="I718" s="1026"/>
      <c r="J718" s="1026"/>
      <c r="K718" s="1026"/>
      <c r="L718" s="1026"/>
      <c r="M718" s="1026"/>
      <c r="N718" s="1026"/>
      <c r="O718" s="1026"/>
      <c r="P718" s="1026"/>
      <c r="Q718" s="1026"/>
      <c r="R718" s="1026"/>
      <c r="S718" s="1026"/>
      <c r="T718" s="1026"/>
      <c r="U718" s="1026"/>
      <c r="V718" s="1026"/>
      <c r="W718" s="1026"/>
      <c r="X718" s="1026"/>
      <c r="Y718" s="1026"/>
      <c r="Z718" s="1026"/>
      <c r="AA718" s="1026"/>
      <c r="AB718" s="1026"/>
      <c r="AC718" s="1026"/>
    </row>
    <row r="719" spans="1:29" x14ac:dyDescent="0.25">
      <c r="A719" s="847"/>
      <c r="B719" s="1026"/>
      <c r="C719" s="1026"/>
      <c r="D719" s="1026"/>
      <c r="E719" s="1026"/>
      <c r="F719" s="1026"/>
      <c r="G719" s="1026"/>
      <c r="H719" s="1026"/>
      <c r="I719" s="1026"/>
      <c r="J719" s="1026"/>
      <c r="K719" s="1026"/>
      <c r="L719" s="1026"/>
      <c r="M719" s="1026"/>
      <c r="N719" s="1026"/>
      <c r="O719" s="1026"/>
      <c r="P719" s="1026"/>
      <c r="Q719" s="1026"/>
      <c r="R719" s="1026"/>
      <c r="S719" s="1026"/>
      <c r="T719" s="1026"/>
      <c r="U719" s="1026"/>
      <c r="V719" s="1026"/>
      <c r="W719" s="1026"/>
      <c r="X719" s="1026"/>
      <c r="Y719" s="1026"/>
      <c r="Z719" s="1026"/>
      <c r="AA719" s="1026"/>
      <c r="AB719" s="1026"/>
      <c r="AC719" s="1026"/>
    </row>
    <row r="720" spans="1:29" x14ac:dyDescent="0.25">
      <c r="A720" s="847"/>
      <c r="B720" s="1026"/>
      <c r="C720" s="1026"/>
      <c r="D720" s="1026"/>
      <c r="E720" s="1026"/>
      <c r="F720" s="1026"/>
      <c r="G720" s="1026"/>
      <c r="H720" s="1026"/>
      <c r="I720" s="1026"/>
      <c r="J720" s="1026"/>
      <c r="K720" s="1026"/>
      <c r="L720" s="1026"/>
      <c r="M720" s="1026"/>
      <c r="N720" s="1026"/>
      <c r="O720" s="1026"/>
      <c r="P720" s="1026"/>
      <c r="Q720" s="1026"/>
      <c r="R720" s="1026"/>
      <c r="S720" s="1026"/>
      <c r="T720" s="1026"/>
      <c r="U720" s="1026"/>
      <c r="V720" s="1026"/>
      <c r="W720" s="1026"/>
      <c r="X720" s="1026"/>
      <c r="Y720" s="1026"/>
      <c r="Z720" s="1026"/>
      <c r="AA720" s="1026"/>
      <c r="AB720" s="1026"/>
      <c r="AC720" s="1026"/>
    </row>
    <row r="721" spans="1:29" x14ac:dyDescent="0.25">
      <c r="A721" s="847"/>
      <c r="B721" s="1026"/>
      <c r="C721" s="1026"/>
      <c r="D721" s="1026"/>
      <c r="E721" s="1026"/>
      <c r="F721" s="1026"/>
      <c r="G721" s="1026"/>
      <c r="H721" s="1026"/>
      <c r="I721" s="1026"/>
      <c r="J721" s="1026"/>
      <c r="K721" s="1026"/>
      <c r="L721" s="1026"/>
      <c r="M721" s="1026"/>
      <c r="N721" s="1026"/>
      <c r="O721" s="1026"/>
      <c r="P721" s="1026"/>
      <c r="Q721" s="1026"/>
      <c r="R721" s="1026"/>
      <c r="S721" s="1026"/>
      <c r="T721" s="1026"/>
      <c r="U721" s="1026"/>
      <c r="V721" s="1026"/>
      <c r="W721" s="1026"/>
      <c r="X721" s="1026"/>
      <c r="Y721" s="1026"/>
      <c r="Z721" s="1026"/>
      <c r="AA721" s="1026"/>
      <c r="AB721" s="1026"/>
      <c r="AC721" s="1026"/>
    </row>
    <row r="722" spans="1:29" x14ac:dyDescent="0.25">
      <c r="A722" s="847"/>
      <c r="B722" s="1026"/>
      <c r="C722" s="1026"/>
      <c r="D722" s="1026"/>
      <c r="E722" s="1026"/>
      <c r="F722" s="1026"/>
      <c r="G722" s="1026"/>
      <c r="H722" s="1026"/>
      <c r="I722" s="1026"/>
      <c r="J722" s="1026"/>
      <c r="K722" s="1026"/>
      <c r="L722" s="1026"/>
      <c r="M722" s="1026"/>
      <c r="N722" s="1026"/>
      <c r="O722" s="1026"/>
      <c r="P722" s="1026"/>
      <c r="Q722" s="1026"/>
      <c r="R722" s="1026"/>
      <c r="S722" s="1026"/>
      <c r="T722" s="1026"/>
      <c r="U722" s="1026"/>
      <c r="V722" s="1026"/>
      <c r="W722" s="1026"/>
      <c r="X722" s="1026"/>
      <c r="Y722" s="1026"/>
      <c r="Z722" s="1026"/>
      <c r="AA722" s="1026"/>
      <c r="AB722" s="1026"/>
      <c r="AC722" s="1026"/>
    </row>
    <row r="723" spans="1:29" x14ac:dyDescent="0.25">
      <c r="A723" s="847"/>
      <c r="B723" s="1026"/>
      <c r="C723" s="1026"/>
      <c r="D723" s="1026"/>
      <c r="E723" s="1026"/>
      <c r="F723" s="1026"/>
      <c r="G723" s="1026"/>
      <c r="H723" s="1026"/>
      <c r="I723" s="1026"/>
      <c r="J723" s="1026"/>
      <c r="K723" s="1026"/>
      <c r="L723" s="1026"/>
      <c r="M723" s="1026"/>
      <c r="N723" s="1026"/>
      <c r="O723" s="1026"/>
      <c r="P723" s="1026"/>
      <c r="Q723" s="1026"/>
      <c r="R723" s="1026"/>
      <c r="S723" s="1026"/>
      <c r="T723" s="1026"/>
      <c r="U723" s="1026"/>
      <c r="V723" s="1026"/>
      <c r="W723" s="1026"/>
      <c r="X723" s="1026"/>
      <c r="Y723" s="1026"/>
      <c r="Z723" s="1026"/>
      <c r="AA723" s="1026"/>
      <c r="AB723" s="1026"/>
      <c r="AC723" s="1026"/>
    </row>
    <row r="724" spans="1:29" x14ac:dyDescent="0.25">
      <c r="A724" s="847"/>
      <c r="B724" s="1026"/>
      <c r="C724" s="1026"/>
      <c r="D724" s="1026"/>
      <c r="E724" s="1026"/>
      <c r="F724" s="1026"/>
      <c r="G724" s="1026"/>
      <c r="H724" s="1026"/>
      <c r="I724" s="1026"/>
      <c r="J724" s="1026"/>
      <c r="K724" s="1026"/>
      <c r="L724" s="1026"/>
      <c r="M724" s="1026"/>
      <c r="N724" s="1026"/>
      <c r="O724" s="1026"/>
      <c r="P724" s="1026"/>
      <c r="Q724" s="1026"/>
      <c r="R724" s="1026"/>
      <c r="S724" s="1026"/>
      <c r="T724" s="1026"/>
      <c r="U724" s="1026"/>
      <c r="V724" s="1026"/>
      <c r="W724" s="1026"/>
      <c r="X724" s="1026"/>
      <c r="Y724" s="1026"/>
      <c r="Z724" s="1026"/>
      <c r="AA724" s="1026"/>
      <c r="AB724" s="1026"/>
      <c r="AC724" s="1026"/>
    </row>
    <row r="725" spans="1:29" x14ac:dyDescent="0.25">
      <c r="A725" s="847"/>
      <c r="B725" s="1026"/>
      <c r="C725" s="1026"/>
      <c r="D725" s="1026"/>
      <c r="E725" s="1026"/>
      <c r="F725" s="1026"/>
      <c r="G725" s="1026"/>
      <c r="H725" s="1026"/>
      <c r="I725" s="1026"/>
      <c r="J725" s="1026"/>
      <c r="K725" s="1026"/>
      <c r="L725" s="1026"/>
      <c r="M725" s="1026"/>
      <c r="N725" s="1026"/>
      <c r="O725" s="1026"/>
      <c r="P725" s="1026"/>
      <c r="Q725" s="1026"/>
      <c r="R725" s="1026"/>
      <c r="S725" s="1026"/>
      <c r="T725" s="1026"/>
      <c r="U725" s="1026"/>
      <c r="V725" s="1026"/>
      <c r="W725" s="1026"/>
      <c r="X725" s="1026"/>
      <c r="Y725" s="1026"/>
      <c r="Z725" s="1026"/>
      <c r="AA725" s="1026"/>
      <c r="AB725" s="1026"/>
      <c r="AC725" s="1026"/>
    </row>
    <row r="726" spans="1:29" x14ac:dyDescent="0.25">
      <c r="A726" s="847"/>
      <c r="B726" s="1026"/>
      <c r="C726" s="1026"/>
      <c r="D726" s="1026"/>
      <c r="E726" s="1026"/>
      <c r="F726" s="1026"/>
      <c r="G726" s="1026"/>
      <c r="H726" s="1026"/>
      <c r="I726" s="1026"/>
      <c r="J726" s="1026"/>
      <c r="K726" s="1026"/>
      <c r="L726" s="1026"/>
      <c r="M726" s="1026"/>
      <c r="N726" s="1026"/>
      <c r="O726" s="1026"/>
      <c r="P726" s="1026"/>
      <c r="Q726" s="1026"/>
      <c r="R726" s="1026"/>
      <c r="S726" s="1026"/>
      <c r="T726" s="1026"/>
      <c r="U726" s="1026"/>
      <c r="V726" s="1026"/>
      <c r="W726" s="1026"/>
      <c r="X726" s="1026"/>
      <c r="Y726" s="1026"/>
      <c r="Z726" s="1026"/>
      <c r="AA726" s="1026"/>
      <c r="AB726" s="1026"/>
      <c r="AC726" s="1026"/>
    </row>
    <row r="727" spans="1:29" x14ac:dyDescent="0.25">
      <c r="A727" s="847"/>
      <c r="B727" s="1026"/>
      <c r="C727" s="1026"/>
      <c r="D727" s="1026"/>
      <c r="E727" s="1026"/>
      <c r="F727" s="1026"/>
      <c r="G727" s="1026"/>
      <c r="H727" s="1026"/>
      <c r="I727" s="1026"/>
      <c r="J727" s="1026"/>
      <c r="K727" s="1026"/>
      <c r="L727" s="1026"/>
      <c r="M727" s="1026"/>
      <c r="N727" s="1026"/>
      <c r="O727" s="1026"/>
      <c r="P727" s="1026"/>
      <c r="Q727" s="1026"/>
      <c r="R727" s="1026"/>
      <c r="S727" s="1026"/>
      <c r="T727" s="1026"/>
      <c r="U727" s="1026"/>
      <c r="V727" s="1026"/>
      <c r="W727" s="1026"/>
      <c r="X727" s="1026"/>
      <c r="Y727" s="1026"/>
      <c r="Z727" s="1026"/>
      <c r="AA727" s="1026"/>
      <c r="AB727" s="1026"/>
      <c r="AC727" s="1026"/>
    </row>
    <row r="728" spans="1:29" x14ac:dyDescent="0.25">
      <c r="A728" s="847"/>
      <c r="B728" s="1026"/>
      <c r="C728" s="1026"/>
      <c r="D728" s="1026"/>
      <c r="E728" s="1026"/>
      <c r="F728" s="1026"/>
      <c r="G728" s="1026"/>
      <c r="H728" s="1026"/>
      <c r="I728" s="1026"/>
      <c r="J728" s="1026"/>
      <c r="K728" s="1026"/>
      <c r="L728" s="1026"/>
      <c r="M728" s="1026"/>
      <c r="N728" s="1026"/>
      <c r="O728" s="1026"/>
      <c r="P728" s="1026"/>
      <c r="Q728" s="1026"/>
      <c r="R728" s="1026"/>
      <c r="S728" s="1026"/>
      <c r="T728" s="1026"/>
      <c r="U728" s="1026"/>
      <c r="V728" s="1026"/>
      <c r="W728" s="1026"/>
      <c r="X728" s="1026"/>
      <c r="Y728" s="1026"/>
      <c r="Z728" s="1026"/>
      <c r="AA728" s="1026"/>
      <c r="AB728" s="1026"/>
      <c r="AC728" s="1026"/>
    </row>
    <row r="729" spans="1:29" x14ac:dyDescent="0.25">
      <c r="A729" s="847"/>
      <c r="B729" s="1026"/>
      <c r="C729" s="1026"/>
      <c r="D729" s="1026"/>
      <c r="E729" s="1026"/>
      <c r="F729" s="1026"/>
      <c r="G729" s="1026"/>
      <c r="H729" s="1026"/>
      <c r="I729" s="1026"/>
      <c r="J729" s="1026"/>
      <c r="K729" s="1026"/>
      <c r="L729" s="1026"/>
      <c r="M729" s="1026"/>
      <c r="N729" s="1026"/>
      <c r="O729" s="1026"/>
      <c r="P729" s="1026"/>
      <c r="Q729" s="1026"/>
      <c r="R729" s="1026"/>
      <c r="S729" s="1026"/>
      <c r="T729" s="1026"/>
      <c r="U729" s="1026"/>
      <c r="V729" s="1026"/>
      <c r="W729" s="1026"/>
      <c r="X729" s="1026"/>
      <c r="Y729" s="1026"/>
      <c r="Z729" s="1026"/>
      <c r="AA729" s="1026"/>
      <c r="AB729" s="1026"/>
      <c r="AC729" s="1026"/>
    </row>
    <row r="730" spans="1:29" x14ac:dyDescent="0.25">
      <c r="A730" s="847"/>
      <c r="B730" s="1026"/>
      <c r="C730" s="1026"/>
      <c r="D730" s="1026"/>
      <c r="E730" s="1026"/>
      <c r="F730" s="1026"/>
      <c r="G730" s="1026"/>
      <c r="H730" s="1026"/>
      <c r="I730" s="1026"/>
      <c r="J730" s="1026"/>
      <c r="K730" s="1026"/>
      <c r="L730" s="1026"/>
      <c r="M730" s="1026"/>
      <c r="N730" s="1026"/>
      <c r="O730" s="1026"/>
      <c r="P730" s="1026"/>
      <c r="Q730" s="1026"/>
      <c r="R730" s="1026"/>
      <c r="S730" s="1026"/>
      <c r="T730" s="1026"/>
      <c r="U730" s="1026"/>
      <c r="V730" s="1026"/>
      <c r="W730" s="1026"/>
      <c r="X730" s="1026"/>
      <c r="Y730" s="1026"/>
      <c r="Z730" s="1026"/>
      <c r="AA730" s="1026"/>
      <c r="AB730" s="1026"/>
      <c r="AC730" s="1026"/>
    </row>
    <row r="731" spans="1:29" x14ac:dyDescent="0.25">
      <c r="A731" s="847"/>
      <c r="B731" s="1026"/>
      <c r="C731" s="1026"/>
      <c r="D731" s="1026"/>
      <c r="E731" s="1026"/>
      <c r="F731" s="1026"/>
      <c r="G731" s="1026"/>
      <c r="H731" s="1026"/>
      <c r="I731" s="1026"/>
      <c r="J731" s="1026"/>
      <c r="K731" s="1026"/>
      <c r="L731" s="1026"/>
      <c r="M731" s="1026"/>
      <c r="N731" s="1026"/>
      <c r="O731" s="1026"/>
      <c r="P731" s="1026"/>
      <c r="Q731" s="1026"/>
      <c r="R731" s="1026"/>
      <c r="S731" s="1026"/>
      <c r="T731" s="1026"/>
      <c r="U731" s="1026"/>
      <c r="V731" s="1026"/>
      <c r="W731" s="1026"/>
      <c r="X731" s="1026"/>
      <c r="Y731" s="1026"/>
      <c r="Z731" s="1026"/>
      <c r="AA731" s="1026"/>
      <c r="AB731" s="1026"/>
      <c r="AC731" s="1026"/>
    </row>
    <row r="732" spans="1:29" x14ac:dyDescent="0.25">
      <c r="A732" s="847"/>
      <c r="B732" s="1026"/>
      <c r="C732" s="1026"/>
      <c r="D732" s="1026"/>
      <c r="E732" s="1026"/>
      <c r="F732" s="1026"/>
      <c r="G732" s="1026"/>
      <c r="H732" s="1026"/>
      <c r="I732" s="1026"/>
      <c r="J732" s="1026"/>
      <c r="K732" s="1026"/>
      <c r="L732" s="1026"/>
      <c r="M732" s="1026"/>
      <c r="N732" s="1026"/>
      <c r="O732" s="1026"/>
      <c r="P732" s="1026"/>
      <c r="Q732" s="1026"/>
      <c r="R732" s="1026"/>
      <c r="S732" s="1026"/>
      <c r="T732" s="1026"/>
      <c r="U732" s="1026"/>
      <c r="V732" s="1026"/>
      <c r="W732" s="1026"/>
      <c r="X732" s="1026"/>
      <c r="Y732" s="1026"/>
      <c r="Z732" s="1026"/>
      <c r="AA732" s="1026"/>
      <c r="AB732" s="1026"/>
      <c r="AC732" s="1026"/>
    </row>
    <row r="733" spans="1:29" x14ac:dyDescent="0.25">
      <c r="A733" s="847"/>
      <c r="B733" s="1026"/>
      <c r="C733" s="1026"/>
      <c r="D733" s="1026"/>
      <c r="E733" s="1026"/>
      <c r="F733" s="1026"/>
      <c r="G733" s="1026"/>
      <c r="H733" s="1026"/>
      <c r="I733" s="1026"/>
      <c r="J733" s="1026"/>
      <c r="K733" s="1026"/>
      <c r="L733" s="1026"/>
      <c r="M733" s="1026"/>
      <c r="N733" s="1026"/>
      <c r="O733" s="1026"/>
      <c r="P733" s="1026"/>
      <c r="Q733" s="1026"/>
      <c r="R733" s="1026"/>
      <c r="S733" s="1026"/>
      <c r="T733" s="1026"/>
      <c r="U733" s="1026"/>
      <c r="V733" s="1026"/>
      <c r="W733" s="1026"/>
      <c r="X733" s="1026"/>
      <c r="Y733" s="1026"/>
      <c r="Z733" s="1026"/>
      <c r="AA733" s="1026"/>
      <c r="AB733" s="1026"/>
      <c r="AC733" s="1026"/>
    </row>
    <row r="734" spans="1:29" x14ac:dyDescent="0.25">
      <c r="A734" s="847"/>
      <c r="B734" s="1026"/>
      <c r="C734" s="1026"/>
      <c r="D734" s="1026"/>
      <c r="E734" s="1026"/>
      <c r="F734" s="1026"/>
      <c r="G734" s="1026"/>
      <c r="H734" s="1026"/>
      <c r="I734" s="1026"/>
      <c r="J734" s="1026"/>
      <c r="K734" s="1026"/>
      <c r="L734" s="1026"/>
      <c r="M734" s="1026"/>
      <c r="N734" s="1026"/>
      <c r="O734" s="1026"/>
      <c r="P734" s="1026"/>
      <c r="Q734" s="1026"/>
      <c r="R734" s="1026"/>
      <c r="S734" s="1026"/>
      <c r="T734" s="1026"/>
      <c r="U734" s="1026"/>
      <c r="V734" s="1026"/>
      <c r="W734" s="1026"/>
      <c r="X734" s="1026"/>
      <c r="Y734" s="1026"/>
      <c r="Z734" s="1026"/>
      <c r="AA734" s="1026"/>
      <c r="AB734" s="1026"/>
      <c r="AC734" s="1026"/>
    </row>
    <row r="735" spans="1:29" x14ac:dyDescent="0.25">
      <c r="A735" s="847"/>
      <c r="B735" s="1026"/>
      <c r="C735" s="1026"/>
      <c r="D735" s="1026"/>
      <c r="E735" s="1026"/>
      <c r="F735" s="1026"/>
      <c r="G735" s="1026"/>
      <c r="H735" s="1026"/>
      <c r="I735" s="1026"/>
      <c r="J735" s="1026"/>
      <c r="K735" s="1026"/>
      <c r="L735" s="1026"/>
      <c r="M735" s="1026"/>
      <c r="N735" s="1026"/>
      <c r="O735" s="1026"/>
      <c r="P735" s="1026"/>
      <c r="Q735" s="1026"/>
      <c r="R735" s="1026"/>
      <c r="S735" s="1026"/>
      <c r="T735" s="1026"/>
      <c r="U735" s="1026"/>
      <c r="V735" s="1026"/>
      <c r="W735" s="1026"/>
      <c r="X735" s="1026"/>
      <c r="Y735" s="1026"/>
      <c r="Z735" s="1026"/>
      <c r="AA735" s="1026"/>
      <c r="AB735" s="1026"/>
      <c r="AC735" s="1026"/>
    </row>
    <row r="736" spans="1:29" x14ac:dyDescent="0.25">
      <c r="A736" s="847"/>
      <c r="B736" s="1026"/>
      <c r="C736" s="1026"/>
      <c r="D736" s="1026"/>
      <c r="E736" s="1026"/>
      <c r="F736" s="1026"/>
      <c r="G736" s="1026"/>
      <c r="H736" s="1026"/>
      <c r="I736" s="1026"/>
      <c r="J736" s="1026"/>
      <c r="K736" s="1026"/>
      <c r="L736" s="1026"/>
      <c r="M736" s="1026"/>
      <c r="N736" s="1026"/>
      <c r="O736" s="1026"/>
      <c r="P736" s="1026"/>
      <c r="Q736" s="1026"/>
      <c r="R736" s="1026"/>
      <c r="S736" s="1026"/>
      <c r="T736" s="1026"/>
      <c r="U736" s="1026"/>
      <c r="V736" s="1026"/>
      <c r="W736" s="1026"/>
      <c r="X736" s="1026"/>
      <c r="Y736" s="1026"/>
      <c r="Z736" s="1026"/>
      <c r="AA736" s="1026"/>
      <c r="AB736" s="1026"/>
      <c r="AC736" s="1026"/>
    </row>
    <row r="737" spans="1:29" x14ac:dyDescent="0.25">
      <c r="A737" s="847"/>
      <c r="B737" s="1026"/>
      <c r="C737" s="1026"/>
      <c r="D737" s="1026"/>
      <c r="E737" s="1026"/>
      <c r="F737" s="1026"/>
      <c r="G737" s="1026"/>
      <c r="H737" s="1026"/>
      <c r="I737" s="1026"/>
      <c r="J737" s="1026"/>
      <c r="K737" s="1026"/>
      <c r="L737" s="1026"/>
      <c r="M737" s="1026"/>
      <c r="N737" s="1026"/>
      <c r="O737" s="1026"/>
      <c r="P737" s="1026"/>
      <c r="Q737" s="1026"/>
      <c r="R737" s="1026"/>
      <c r="S737" s="1026"/>
      <c r="T737" s="1026"/>
      <c r="U737" s="1026"/>
      <c r="V737" s="1026"/>
      <c r="W737" s="1026"/>
      <c r="X737" s="1026"/>
      <c r="Y737" s="1026"/>
      <c r="Z737" s="1026"/>
      <c r="AA737" s="1026"/>
      <c r="AB737" s="1026"/>
      <c r="AC737" s="1026"/>
    </row>
    <row r="738" spans="1:29" x14ac:dyDescent="0.25">
      <c r="A738" s="847"/>
      <c r="B738" s="1026"/>
      <c r="C738" s="1026"/>
      <c r="D738" s="1026"/>
      <c r="E738" s="1026"/>
      <c r="F738" s="1026"/>
      <c r="G738" s="1026"/>
      <c r="H738" s="1026"/>
      <c r="I738" s="1026"/>
      <c r="J738" s="1026"/>
      <c r="K738" s="1026"/>
      <c r="L738" s="1026"/>
      <c r="M738" s="1026"/>
      <c r="N738" s="1026"/>
      <c r="O738" s="1026"/>
      <c r="P738" s="1026"/>
      <c r="Q738" s="1026"/>
      <c r="R738" s="1026"/>
      <c r="S738" s="1026"/>
      <c r="T738" s="1026"/>
      <c r="U738" s="1026"/>
      <c r="V738" s="1026"/>
      <c r="W738" s="1026"/>
      <c r="X738" s="1026"/>
      <c r="Y738" s="1026"/>
      <c r="Z738" s="1026"/>
      <c r="AA738" s="1026"/>
      <c r="AB738" s="1026"/>
      <c r="AC738" s="1026"/>
    </row>
    <row r="739" spans="1:29" x14ac:dyDescent="0.25">
      <c r="A739" s="847"/>
      <c r="B739" s="1026"/>
      <c r="C739" s="1026"/>
      <c r="D739" s="1026"/>
      <c r="E739" s="1026"/>
      <c r="F739" s="1026"/>
      <c r="G739" s="1026"/>
      <c r="H739" s="1026"/>
      <c r="I739" s="1026"/>
      <c r="J739" s="1026"/>
      <c r="K739" s="1026"/>
      <c r="L739" s="1026"/>
      <c r="M739" s="1026"/>
      <c r="N739" s="1026"/>
      <c r="O739" s="1026"/>
      <c r="P739" s="1026"/>
      <c r="Q739" s="1026"/>
      <c r="R739" s="1026"/>
      <c r="S739" s="1026"/>
      <c r="T739" s="1026"/>
      <c r="U739" s="1026"/>
      <c r="V739" s="1026"/>
      <c r="W739" s="1026"/>
      <c r="X739" s="1026"/>
      <c r="Y739" s="1026"/>
      <c r="Z739" s="1026"/>
      <c r="AA739" s="1026"/>
      <c r="AB739" s="1026"/>
      <c r="AC739" s="1026"/>
    </row>
    <row r="740" spans="1:29" x14ac:dyDescent="0.25">
      <c r="A740" s="847"/>
      <c r="B740" s="1026"/>
      <c r="C740" s="1026"/>
      <c r="D740" s="1026"/>
      <c r="E740" s="1026"/>
      <c r="F740" s="1026"/>
      <c r="G740" s="1026"/>
      <c r="H740" s="1026"/>
      <c r="I740" s="1026"/>
      <c r="J740" s="1026"/>
      <c r="K740" s="1026"/>
      <c r="L740" s="1026"/>
      <c r="M740" s="1026"/>
      <c r="N740" s="1026"/>
      <c r="O740" s="1026"/>
      <c r="P740" s="1026"/>
      <c r="Q740" s="1026"/>
      <c r="R740" s="1026"/>
      <c r="S740" s="1026"/>
      <c r="T740" s="1026"/>
      <c r="U740" s="1026"/>
      <c r="V740" s="1026"/>
      <c r="W740" s="1026"/>
      <c r="X740" s="1026"/>
      <c r="Y740" s="1026"/>
      <c r="Z740" s="1026"/>
      <c r="AA740" s="1026"/>
      <c r="AB740" s="1026"/>
      <c r="AC740" s="1026"/>
    </row>
    <row r="741" spans="1:29" x14ac:dyDescent="0.25">
      <c r="A741" s="847"/>
      <c r="B741" s="1026"/>
      <c r="C741" s="1026"/>
      <c r="D741" s="1026"/>
      <c r="E741" s="1026"/>
      <c r="F741" s="1026"/>
      <c r="G741" s="1026"/>
      <c r="H741" s="1026"/>
      <c r="I741" s="1026"/>
      <c r="J741" s="1026"/>
      <c r="K741" s="1026"/>
      <c r="L741" s="1026"/>
      <c r="M741" s="1026"/>
      <c r="N741" s="1026"/>
      <c r="O741" s="1026"/>
      <c r="P741" s="1026"/>
      <c r="Q741" s="1026"/>
      <c r="R741" s="1026"/>
      <c r="S741" s="1026"/>
      <c r="T741" s="1026"/>
      <c r="U741" s="1026"/>
      <c r="V741" s="1026"/>
      <c r="W741" s="1026"/>
      <c r="X741" s="1026"/>
      <c r="Y741" s="1026"/>
      <c r="Z741" s="1026"/>
      <c r="AA741" s="1026"/>
      <c r="AB741" s="1026"/>
      <c r="AC741" s="1026"/>
    </row>
    <row r="742" spans="1:29" x14ac:dyDescent="0.25">
      <c r="A742" s="847"/>
      <c r="B742" s="1026"/>
      <c r="C742" s="1026"/>
      <c r="D742" s="1026"/>
      <c r="E742" s="1026"/>
      <c r="F742" s="1026"/>
      <c r="G742" s="1026"/>
      <c r="H742" s="1026"/>
      <c r="I742" s="1026"/>
      <c r="J742" s="1026"/>
      <c r="K742" s="1026"/>
      <c r="L742" s="1026"/>
      <c r="M742" s="1026"/>
      <c r="N742" s="1026"/>
      <c r="O742" s="1026"/>
      <c r="P742" s="1026"/>
      <c r="Q742" s="1026"/>
      <c r="R742" s="1026"/>
      <c r="S742" s="1026"/>
      <c r="T742" s="1026"/>
      <c r="U742" s="1026"/>
      <c r="V742" s="1026"/>
      <c r="W742" s="1026"/>
      <c r="X742" s="1026"/>
      <c r="Y742" s="1026"/>
      <c r="Z742" s="1026"/>
      <c r="AA742" s="1026"/>
      <c r="AB742" s="1026"/>
      <c r="AC742" s="1026"/>
    </row>
    <row r="743" spans="1:29" x14ac:dyDescent="0.25">
      <c r="A743" s="847"/>
      <c r="B743" s="1026"/>
      <c r="C743" s="1026"/>
      <c r="D743" s="1026"/>
      <c r="E743" s="1026"/>
      <c r="F743" s="1026"/>
      <c r="G743" s="1026"/>
      <c r="H743" s="1026"/>
      <c r="I743" s="1026"/>
      <c r="J743" s="1026"/>
      <c r="K743" s="1026"/>
      <c r="L743" s="1026"/>
      <c r="M743" s="1026"/>
      <c r="N743" s="1026"/>
      <c r="O743" s="1026"/>
      <c r="P743" s="1026"/>
      <c r="Q743" s="1026"/>
      <c r="R743" s="1026"/>
      <c r="S743" s="1026"/>
      <c r="T743" s="1026"/>
      <c r="U743" s="1026"/>
      <c r="V743" s="1026"/>
      <c r="W743" s="1026"/>
      <c r="X743" s="1026"/>
      <c r="Y743" s="1026"/>
      <c r="Z743" s="1026"/>
      <c r="AA743" s="1026"/>
      <c r="AB743" s="1026"/>
      <c r="AC743" s="1026"/>
    </row>
    <row r="744" spans="1:29" x14ac:dyDescent="0.25">
      <c r="A744" s="847"/>
      <c r="B744" s="1026"/>
      <c r="C744" s="1026"/>
      <c r="D744" s="1026"/>
      <c r="E744" s="1026"/>
      <c r="F744" s="1026"/>
      <c r="G744" s="1026"/>
      <c r="H744" s="1026"/>
      <c r="I744" s="1026"/>
      <c r="J744" s="1026"/>
      <c r="K744" s="1026"/>
      <c r="L744" s="1026"/>
      <c r="M744" s="1026"/>
      <c r="N744" s="1026"/>
      <c r="O744" s="1026"/>
      <c r="P744" s="1026"/>
      <c r="Q744" s="1026"/>
      <c r="R744" s="1026"/>
      <c r="S744" s="1026"/>
      <c r="T744" s="1026"/>
      <c r="U744" s="1026"/>
      <c r="V744" s="1026"/>
      <c r="W744" s="1026"/>
      <c r="X744" s="1026"/>
      <c r="Y744" s="1026"/>
      <c r="Z744" s="1026"/>
      <c r="AA744" s="1026"/>
      <c r="AB744" s="1026"/>
      <c r="AC744" s="1026"/>
    </row>
    <row r="745" spans="1:29" x14ac:dyDescent="0.25">
      <c r="A745" s="847"/>
      <c r="B745" s="1026"/>
      <c r="C745" s="1026"/>
      <c r="D745" s="1026"/>
      <c r="E745" s="1026"/>
      <c r="F745" s="1026"/>
      <c r="G745" s="1026"/>
      <c r="H745" s="1026"/>
      <c r="I745" s="1026"/>
      <c r="J745" s="1026"/>
      <c r="K745" s="1026"/>
      <c r="L745" s="1026"/>
      <c r="M745" s="1026"/>
      <c r="N745" s="1026"/>
      <c r="O745" s="1026"/>
      <c r="P745" s="1026"/>
      <c r="Q745" s="1026"/>
      <c r="R745" s="1026"/>
      <c r="S745" s="1026"/>
      <c r="T745" s="1026"/>
      <c r="U745" s="1026"/>
      <c r="V745" s="1026"/>
      <c r="W745" s="1026"/>
      <c r="X745" s="1026"/>
      <c r="Y745" s="1026"/>
      <c r="Z745" s="1026"/>
      <c r="AA745" s="1026"/>
      <c r="AB745" s="1026"/>
      <c r="AC745" s="1026"/>
    </row>
    <row r="746" spans="1:29" x14ac:dyDescent="0.25">
      <c r="A746" s="847"/>
      <c r="B746" s="1026"/>
      <c r="C746" s="1026"/>
      <c r="D746" s="1026"/>
      <c r="E746" s="1026"/>
      <c r="F746" s="1026"/>
      <c r="G746" s="1026"/>
      <c r="H746" s="1026"/>
      <c r="I746" s="1026"/>
      <c r="J746" s="1026"/>
      <c r="K746" s="1026"/>
      <c r="L746" s="1026"/>
      <c r="M746" s="1026"/>
      <c r="N746" s="1026"/>
      <c r="O746" s="1026"/>
      <c r="P746" s="1026"/>
      <c r="Q746" s="1026"/>
      <c r="R746" s="1026"/>
      <c r="S746" s="1026"/>
      <c r="T746" s="1026"/>
      <c r="U746" s="1026"/>
      <c r="V746" s="1026"/>
      <c r="W746" s="1026"/>
      <c r="X746" s="1026"/>
      <c r="Y746" s="1026"/>
      <c r="Z746" s="1026"/>
      <c r="AA746" s="1026"/>
      <c r="AB746" s="1026"/>
      <c r="AC746" s="1026"/>
    </row>
    <row r="747" spans="1:29" x14ac:dyDescent="0.25">
      <c r="A747" s="847"/>
      <c r="B747" s="1026"/>
      <c r="C747" s="1026"/>
      <c r="D747" s="1026"/>
      <c r="E747" s="1026"/>
      <c r="F747" s="1026"/>
      <c r="G747" s="1026"/>
      <c r="H747" s="1026"/>
      <c r="I747" s="1026"/>
      <c r="J747" s="1026"/>
      <c r="K747" s="1026"/>
      <c r="L747" s="1026"/>
      <c r="M747" s="1026"/>
      <c r="N747" s="1026"/>
      <c r="O747" s="1026"/>
      <c r="P747" s="1026"/>
      <c r="Q747" s="1026"/>
      <c r="R747" s="1026"/>
      <c r="S747" s="1026"/>
      <c r="T747" s="1026"/>
      <c r="U747" s="1026"/>
      <c r="V747" s="1026"/>
      <c r="W747" s="1026"/>
      <c r="X747" s="1026"/>
      <c r="Y747" s="1026"/>
      <c r="Z747" s="1026"/>
      <c r="AA747" s="1026"/>
      <c r="AB747" s="1026"/>
      <c r="AC747" s="1026"/>
    </row>
    <row r="748" spans="1:29" x14ac:dyDescent="0.25">
      <c r="A748" s="847"/>
      <c r="B748" s="1026"/>
      <c r="C748" s="1026"/>
      <c r="D748" s="1026"/>
      <c r="E748" s="1026"/>
      <c r="F748" s="1026"/>
      <c r="G748" s="1026"/>
      <c r="H748" s="1026"/>
      <c r="I748" s="1026"/>
      <c r="J748" s="1026"/>
      <c r="K748" s="1026"/>
      <c r="L748" s="1026"/>
      <c r="M748" s="1026"/>
      <c r="N748" s="1026"/>
      <c r="O748" s="1026"/>
      <c r="P748" s="1026"/>
      <c r="Q748" s="1026"/>
      <c r="R748" s="1026"/>
      <c r="S748" s="1026"/>
      <c r="T748" s="1026"/>
      <c r="U748" s="1026"/>
      <c r="V748" s="1026"/>
      <c r="W748" s="1026"/>
      <c r="X748" s="1026"/>
      <c r="Y748" s="1026"/>
      <c r="Z748" s="1026"/>
      <c r="AA748" s="1026"/>
      <c r="AB748" s="1026"/>
      <c r="AC748" s="1026"/>
    </row>
    <row r="749" spans="1:29" x14ac:dyDescent="0.25">
      <c r="A749" s="847"/>
      <c r="B749" s="1026"/>
      <c r="C749" s="1026"/>
      <c r="D749" s="1026"/>
      <c r="E749" s="1026"/>
      <c r="F749" s="1026"/>
      <c r="G749" s="1026"/>
      <c r="H749" s="1026"/>
      <c r="I749" s="1026"/>
      <c r="J749" s="1026"/>
      <c r="K749" s="1026"/>
      <c r="L749" s="1026"/>
      <c r="M749" s="1026"/>
      <c r="N749" s="1026"/>
      <c r="O749" s="1026"/>
      <c r="P749" s="1026"/>
      <c r="Q749" s="1026"/>
      <c r="R749" s="1026"/>
      <c r="S749" s="1026"/>
      <c r="T749" s="1026"/>
      <c r="U749" s="1026"/>
      <c r="V749" s="1026"/>
      <c r="W749" s="1026"/>
      <c r="X749" s="1026"/>
      <c r="Y749" s="1026"/>
      <c r="Z749" s="1026"/>
      <c r="AA749" s="1026"/>
      <c r="AB749" s="1026"/>
      <c r="AC749" s="1026"/>
    </row>
    <row r="750" spans="1:29" x14ac:dyDescent="0.25">
      <c r="A750" s="847"/>
      <c r="B750" s="1026"/>
      <c r="C750" s="1026"/>
      <c r="D750" s="1026"/>
      <c r="E750" s="1026"/>
      <c r="F750" s="1026"/>
      <c r="G750" s="1026"/>
      <c r="H750" s="1026"/>
      <c r="I750" s="1026"/>
      <c r="J750" s="1026"/>
      <c r="K750" s="1026"/>
      <c r="L750" s="1026"/>
      <c r="M750" s="1026"/>
      <c r="N750" s="1026"/>
      <c r="O750" s="1026"/>
      <c r="P750" s="1026"/>
      <c r="Q750" s="1026"/>
      <c r="R750" s="1026"/>
      <c r="S750" s="1026"/>
      <c r="T750" s="1026"/>
      <c r="U750" s="1026"/>
      <c r="V750" s="1026"/>
      <c r="W750" s="1026"/>
      <c r="X750" s="1026"/>
      <c r="Y750" s="1026"/>
      <c r="Z750" s="1026"/>
      <c r="AA750" s="1026"/>
      <c r="AB750" s="1026"/>
      <c r="AC750" s="1026"/>
    </row>
    <row r="751" spans="1:29" x14ac:dyDescent="0.25">
      <c r="A751" s="847"/>
      <c r="B751" s="1026"/>
      <c r="C751" s="1026"/>
      <c r="D751" s="1026"/>
      <c r="E751" s="1026"/>
      <c r="F751" s="1026"/>
      <c r="G751" s="1026"/>
      <c r="H751" s="1026"/>
      <c r="I751" s="1026"/>
      <c r="J751" s="1026"/>
      <c r="K751" s="1026"/>
      <c r="L751" s="1026"/>
      <c r="M751" s="1026"/>
      <c r="N751" s="1026"/>
      <c r="O751" s="1026"/>
      <c r="P751" s="1026"/>
      <c r="Q751" s="1026"/>
      <c r="R751" s="1026"/>
      <c r="S751" s="1026"/>
      <c r="T751" s="1026"/>
      <c r="U751" s="1026"/>
      <c r="V751" s="1026"/>
      <c r="W751" s="1026"/>
      <c r="X751" s="1026"/>
      <c r="Y751" s="1026"/>
      <c r="Z751" s="1026"/>
      <c r="AA751" s="1026"/>
      <c r="AB751" s="1026"/>
      <c r="AC751" s="1026"/>
    </row>
    <row r="752" spans="1:29" x14ac:dyDescent="0.25">
      <c r="A752" s="847"/>
      <c r="B752" s="1026"/>
      <c r="C752" s="1026"/>
      <c r="D752" s="1026"/>
      <c r="E752" s="1026"/>
      <c r="F752" s="1026"/>
      <c r="G752" s="1026"/>
      <c r="H752" s="1026"/>
      <c r="I752" s="1026"/>
      <c r="J752" s="1026"/>
      <c r="K752" s="1026"/>
      <c r="L752" s="1026"/>
      <c r="M752" s="1026"/>
      <c r="N752" s="1026"/>
      <c r="O752" s="1026"/>
      <c r="P752" s="1026"/>
      <c r="Q752" s="1026"/>
      <c r="R752" s="1026"/>
      <c r="S752" s="1026"/>
      <c r="T752" s="1026"/>
      <c r="U752" s="1026"/>
      <c r="V752" s="1026"/>
      <c r="W752" s="1026"/>
      <c r="X752" s="1026"/>
      <c r="Y752" s="1026"/>
      <c r="Z752" s="1026"/>
      <c r="AA752" s="1026"/>
      <c r="AB752" s="1026"/>
      <c r="AC752" s="1026"/>
    </row>
    <row r="753" spans="1:29" x14ac:dyDescent="0.25">
      <c r="A753" s="847"/>
      <c r="B753" s="1026"/>
      <c r="C753" s="1026"/>
      <c r="D753" s="1026"/>
      <c r="E753" s="1026"/>
      <c r="F753" s="1026"/>
      <c r="G753" s="1026"/>
      <c r="H753" s="1026"/>
      <c r="I753" s="1026"/>
      <c r="J753" s="1026"/>
      <c r="K753" s="1026"/>
      <c r="L753" s="1026"/>
      <c r="M753" s="1026"/>
      <c r="N753" s="1026"/>
      <c r="O753" s="1026"/>
      <c r="P753" s="1026"/>
      <c r="Q753" s="1026"/>
      <c r="R753" s="1026"/>
      <c r="S753" s="1026"/>
      <c r="T753" s="1026"/>
      <c r="U753" s="1026"/>
      <c r="V753" s="1026"/>
      <c r="W753" s="1026"/>
      <c r="X753" s="1026"/>
      <c r="Y753" s="1026"/>
      <c r="Z753" s="1026"/>
      <c r="AA753" s="1026"/>
      <c r="AB753" s="1026"/>
      <c r="AC753" s="1026"/>
    </row>
    <row r="754" spans="1:29" x14ac:dyDescent="0.25">
      <c r="A754" s="847"/>
      <c r="B754" s="1026"/>
      <c r="C754" s="1026"/>
      <c r="D754" s="1026"/>
      <c r="E754" s="1026"/>
      <c r="F754" s="1026"/>
      <c r="G754" s="1026"/>
      <c r="H754" s="1026"/>
      <c r="I754" s="1026"/>
      <c r="J754" s="1026"/>
      <c r="K754" s="1026"/>
      <c r="L754" s="1026"/>
      <c r="M754" s="1026"/>
      <c r="N754" s="1026"/>
      <c r="O754" s="1026"/>
      <c r="P754" s="1026"/>
      <c r="Q754" s="1026"/>
      <c r="R754" s="1026"/>
      <c r="S754" s="1026"/>
      <c r="T754" s="1026"/>
      <c r="U754" s="1026"/>
      <c r="V754" s="1026"/>
      <c r="W754" s="1026"/>
      <c r="X754" s="1026"/>
      <c r="Y754" s="1026"/>
      <c r="Z754" s="1026"/>
      <c r="AA754" s="1026"/>
      <c r="AB754" s="1026"/>
      <c r="AC754" s="1026"/>
    </row>
    <row r="755" spans="1:29" x14ac:dyDescent="0.25">
      <c r="A755" s="847"/>
      <c r="B755" s="1026"/>
      <c r="C755" s="1026"/>
      <c r="D755" s="1026"/>
      <c r="E755" s="1026"/>
      <c r="F755" s="1026"/>
      <c r="G755" s="1026"/>
      <c r="H755" s="1026"/>
      <c r="I755" s="1026"/>
      <c r="J755" s="1026"/>
      <c r="K755" s="1026"/>
      <c r="L755" s="1026"/>
      <c r="M755" s="1026"/>
      <c r="N755" s="1026"/>
      <c r="O755" s="1026"/>
      <c r="P755" s="1026"/>
      <c r="Q755" s="1026"/>
      <c r="R755" s="1026"/>
      <c r="S755" s="1026"/>
      <c r="T755" s="1026"/>
      <c r="U755" s="1026"/>
      <c r="V755" s="1026"/>
      <c r="W755" s="1026"/>
      <c r="X755" s="1026"/>
      <c r="Y755" s="1026"/>
      <c r="Z755" s="1026"/>
      <c r="AA755" s="1026"/>
      <c r="AB755" s="1026"/>
      <c r="AC755" s="1026"/>
    </row>
    <row r="756" spans="1:29" x14ac:dyDescent="0.25">
      <c r="A756" s="847"/>
      <c r="B756" s="1026"/>
      <c r="C756" s="1026"/>
      <c r="D756" s="1026"/>
      <c r="E756" s="1026"/>
      <c r="F756" s="1026"/>
      <c r="G756" s="1026"/>
      <c r="H756" s="1026"/>
      <c r="I756" s="1026"/>
      <c r="J756" s="1026"/>
      <c r="K756" s="1026"/>
      <c r="L756" s="1026"/>
      <c r="M756" s="1026"/>
      <c r="N756" s="1026"/>
      <c r="O756" s="1026"/>
      <c r="P756" s="1026"/>
      <c r="Q756" s="1026"/>
      <c r="R756" s="1026"/>
      <c r="S756" s="1026"/>
      <c r="T756" s="1026"/>
      <c r="U756" s="1026"/>
      <c r="V756" s="1026"/>
      <c r="W756" s="1026"/>
      <c r="X756" s="1026"/>
      <c r="Y756" s="1026"/>
      <c r="Z756" s="1026"/>
      <c r="AA756" s="1026"/>
      <c r="AB756" s="1026"/>
      <c r="AC756" s="1026"/>
    </row>
    <row r="757" spans="1:29" x14ac:dyDescent="0.25">
      <c r="A757" s="847"/>
      <c r="B757" s="1026"/>
      <c r="C757" s="1026"/>
      <c r="D757" s="1026"/>
      <c r="E757" s="1026"/>
      <c r="F757" s="1026"/>
      <c r="G757" s="1026"/>
      <c r="H757" s="1026"/>
      <c r="I757" s="1026"/>
      <c r="J757" s="1026"/>
      <c r="K757" s="1026"/>
      <c r="L757" s="1026"/>
      <c r="M757" s="1026"/>
      <c r="N757" s="1026"/>
      <c r="O757" s="1026"/>
      <c r="P757" s="1026"/>
      <c r="Q757" s="1026"/>
      <c r="R757" s="1026"/>
      <c r="S757" s="1026"/>
      <c r="T757" s="1026"/>
      <c r="U757" s="1026"/>
      <c r="V757" s="1026"/>
      <c r="W757" s="1026"/>
      <c r="X757" s="1026"/>
      <c r="Y757" s="1026"/>
      <c r="Z757" s="1026"/>
      <c r="AA757" s="1026"/>
      <c r="AB757" s="1026"/>
      <c r="AC757" s="1026"/>
    </row>
    <row r="758" spans="1:29" x14ac:dyDescent="0.25">
      <c r="A758" s="847"/>
      <c r="B758" s="1026"/>
      <c r="C758" s="1026"/>
      <c r="D758" s="1026"/>
      <c r="E758" s="1026"/>
      <c r="F758" s="1026"/>
      <c r="G758" s="1026"/>
      <c r="H758" s="1026"/>
      <c r="I758" s="1026"/>
      <c r="J758" s="1026"/>
      <c r="K758" s="1026"/>
      <c r="L758" s="1026"/>
      <c r="M758" s="1026"/>
      <c r="N758" s="1026"/>
      <c r="O758" s="1026"/>
      <c r="P758" s="1026"/>
      <c r="Q758" s="1026"/>
      <c r="R758" s="1026"/>
      <c r="S758" s="1026"/>
      <c r="T758" s="1026"/>
      <c r="U758" s="1026"/>
      <c r="V758" s="1026"/>
      <c r="W758" s="1026"/>
      <c r="X758" s="1026"/>
      <c r="Y758" s="1026"/>
      <c r="Z758" s="1026"/>
      <c r="AA758" s="1026"/>
      <c r="AB758" s="1026"/>
      <c r="AC758" s="1026"/>
    </row>
    <row r="759" spans="1:29" x14ac:dyDescent="0.25">
      <c r="A759" s="847"/>
      <c r="B759" s="1026"/>
      <c r="C759" s="1026"/>
      <c r="D759" s="1026"/>
      <c r="E759" s="1026"/>
      <c r="F759" s="1026"/>
      <c r="G759" s="1026"/>
      <c r="H759" s="1026"/>
      <c r="I759" s="1026"/>
      <c r="J759" s="1026"/>
      <c r="K759" s="1026"/>
      <c r="L759" s="1026"/>
      <c r="M759" s="1026"/>
      <c r="N759" s="1026"/>
      <c r="O759" s="1026"/>
      <c r="P759" s="1026"/>
      <c r="Q759" s="1026"/>
      <c r="R759" s="1026"/>
      <c r="S759" s="1026"/>
      <c r="T759" s="1026"/>
      <c r="U759" s="1026"/>
      <c r="V759" s="1026"/>
      <c r="W759" s="1026"/>
      <c r="X759" s="1026"/>
      <c r="Y759" s="1026"/>
      <c r="Z759" s="1026"/>
      <c r="AA759" s="1026"/>
      <c r="AB759" s="1026"/>
      <c r="AC759" s="1026"/>
    </row>
    <row r="760" spans="1:29" x14ac:dyDescent="0.25">
      <c r="A760" s="847"/>
      <c r="B760" s="1026"/>
      <c r="C760" s="1026"/>
      <c r="D760" s="1026"/>
      <c r="E760" s="1026"/>
      <c r="F760" s="1026"/>
      <c r="G760" s="1026"/>
      <c r="H760" s="1026"/>
      <c r="I760" s="1026"/>
      <c r="J760" s="1026"/>
      <c r="K760" s="1026"/>
      <c r="L760" s="1026"/>
      <c r="M760" s="1026"/>
      <c r="N760" s="1026"/>
      <c r="O760" s="1026"/>
      <c r="P760" s="1026"/>
      <c r="Q760" s="1026"/>
      <c r="R760" s="1026"/>
      <c r="S760" s="1026"/>
      <c r="T760" s="1026"/>
      <c r="U760" s="1026"/>
      <c r="V760" s="1026"/>
      <c r="W760" s="1026"/>
      <c r="X760" s="1026"/>
      <c r="Y760" s="1026"/>
      <c r="Z760" s="1026"/>
      <c r="AA760" s="1026"/>
      <c r="AB760" s="1026"/>
      <c r="AC760" s="1026"/>
    </row>
    <row r="761" spans="1:29" x14ac:dyDescent="0.25">
      <c r="A761" s="847"/>
      <c r="B761" s="1026"/>
      <c r="C761" s="1026"/>
      <c r="D761" s="1026"/>
      <c r="E761" s="1026"/>
      <c r="F761" s="1026"/>
      <c r="G761" s="1026"/>
      <c r="H761" s="1026"/>
      <c r="I761" s="1026"/>
      <c r="J761" s="1026"/>
      <c r="K761" s="1026"/>
      <c r="L761" s="1026"/>
      <c r="M761" s="1026"/>
      <c r="N761" s="1026"/>
      <c r="O761" s="1026"/>
      <c r="P761" s="1026"/>
      <c r="Q761" s="1026"/>
      <c r="R761" s="1026"/>
      <c r="S761" s="1026"/>
      <c r="T761" s="1026"/>
      <c r="U761" s="1026"/>
      <c r="V761" s="1026"/>
      <c r="W761" s="1026"/>
      <c r="X761" s="1026"/>
      <c r="Y761" s="1026"/>
      <c r="Z761" s="1026"/>
      <c r="AA761" s="1026"/>
      <c r="AB761" s="1026"/>
      <c r="AC761" s="1026"/>
    </row>
    <row r="762" spans="1:29" x14ac:dyDescent="0.25">
      <c r="A762" s="847"/>
      <c r="B762" s="1026"/>
      <c r="C762" s="1026"/>
      <c r="D762" s="1026"/>
      <c r="E762" s="1026"/>
      <c r="F762" s="1026"/>
      <c r="G762" s="1026"/>
      <c r="H762" s="1026"/>
      <c r="I762" s="1026"/>
      <c r="J762" s="1026"/>
      <c r="K762" s="1026"/>
      <c r="L762" s="1026"/>
      <c r="M762" s="1026"/>
      <c r="N762" s="1026"/>
      <c r="O762" s="1026"/>
      <c r="P762" s="1026"/>
      <c r="Q762" s="1026"/>
      <c r="R762" s="1026"/>
      <c r="S762" s="1026"/>
      <c r="T762" s="1026"/>
      <c r="U762" s="1026"/>
      <c r="V762" s="1026"/>
      <c r="W762" s="1026"/>
      <c r="X762" s="1026"/>
      <c r="Y762" s="1026"/>
      <c r="Z762" s="1026"/>
      <c r="AA762" s="1026"/>
      <c r="AB762" s="1026"/>
      <c r="AC762" s="1026"/>
    </row>
    <row r="763" spans="1:29" x14ac:dyDescent="0.25">
      <c r="A763" s="847"/>
      <c r="B763" s="1026"/>
      <c r="C763" s="1026"/>
      <c r="D763" s="1026"/>
      <c r="E763" s="1026"/>
      <c r="F763" s="1026"/>
      <c r="G763" s="1026"/>
      <c r="H763" s="1026"/>
      <c r="I763" s="1026"/>
      <c r="J763" s="1026"/>
      <c r="K763" s="1026"/>
      <c r="L763" s="1026"/>
      <c r="M763" s="1026"/>
      <c r="N763" s="1026"/>
      <c r="O763" s="1026"/>
      <c r="P763" s="1026"/>
      <c r="Q763" s="1026"/>
      <c r="R763" s="1026"/>
      <c r="S763" s="1026"/>
      <c r="T763" s="1026"/>
      <c r="U763" s="1026"/>
      <c r="V763" s="1026"/>
      <c r="W763" s="1026"/>
      <c r="X763" s="1026"/>
      <c r="Y763" s="1026"/>
      <c r="Z763" s="1026"/>
      <c r="AA763" s="1026"/>
      <c r="AB763" s="1026"/>
      <c r="AC763" s="1026"/>
    </row>
    <row r="764" spans="1:29" x14ac:dyDescent="0.25">
      <c r="A764" s="847"/>
      <c r="B764" s="1026"/>
      <c r="C764" s="1026"/>
      <c r="D764" s="1026"/>
      <c r="E764" s="1026"/>
      <c r="F764" s="1026"/>
      <c r="G764" s="1026"/>
      <c r="H764" s="1026"/>
      <c r="I764" s="1026"/>
      <c r="J764" s="1026"/>
      <c r="K764" s="1026"/>
      <c r="L764" s="1026"/>
      <c r="M764" s="1026"/>
      <c r="N764" s="1026"/>
      <c r="O764" s="1026"/>
      <c r="P764" s="1026"/>
      <c r="Q764" s="1026"/>
      <c r="R764" s="1026"/>
      <c r="S764" s="1026"/>
      <c r="T764" s="1026"/>
      <c r="U764" s="1026"/>
      <c r="V764" s="1026"/>
      <c r="W764" s="1026"/>
      <c r="X764" s="1026"/>
      <c r="Y764" s="1026"/>
      <c r="Z764" s="1026"/>
      <c r="AA764" s="1026"/>
      <c r="AB764" s="1026"/>
      <c r="AC764" s="1026"/>
    </row>
    <row r="765" spans="1:29" x14ac:dyDescent="0.25">
      <c r="A765" s="847"/>
      <c r="B765" s="1026"/>
      <c r="C765" s="1026"/>
      <c r="D765" s="1026"/>
      <c r="E765" s="1026"/>
      <c r="F765" s="1026"/>
      <c r="G765" s="1026"/>
      <c r="H765" s="1026"/>
      <c r="I765" s="1026"/>
      <c r="J765" s="1026"/>
      <c r="K765" s="1026"/>
      <c r="L765" s="1026"/>
      <c r="M765" s="1026"/>
      <c r="N765" s="1026"/>
      <c r="O765" s="1026"/>
      <c r="P765" s="1026"/>
      <c r="Q765" s="1026"/>
      <c r="R765" s="1026"/>
      <c r="S765" s="1026"/>
      <c r="T765" s="1026"/>
      <c r="U765" s="1026"/>
      <c r="V765" s="1026"/>
      <c r="W765" s="1026"/>
      <c r="X765" s="1026"/>
      <c r="Y765" s="1026"/>
      <c r="Z765" s="1026"/>
      <c r="AA765" s="1026"/>
      <c r="AB765" s="1026"/>
      <c r="AC765" s="1026"/>
    </row>
    <row r="766" spans="1:29" x14ac:dyDescent="0.25">
      <c r="A766" s="847"/>
      <c r="B766" s="1026"/>
      <c r="C766" s="1026"/>
      <c r="D766" s="1026"/>
      <c r="E766" s="1026"/>
      <c r="F766" s="1026"/>
      <c r="G766" s="1026"/>
      <c r="H766" s="1026"/>
      <c r="I766" s="1026"/>
      <c r="J766" s="1026"/>
      <c r="K766" s="1026"/>
      <c r="L766" s="1026"/>
      <c r="M766" s="1026"/>
      <c r="N766" s="1026"/>
      <c r="O766" s="1026"/>
      <c r="P766" s="1026"/>
      <c r="Q766" s="1026"/>
      <c r="R766" s="1026"/>
      <c r="S766" s="1026"/>
      <c r="T766" s="1026"/>
      <c r="U766" s="1026"/>
      <c r="V766" s="1026"/>
      <c r="W766" s="1026"/>
      <c r="X766" s="1026"/>
      <c r="Y766" s="1026"/>
      <c r="Z766" s="1026"/>
      <c r="AA766" s="1026"/>
      <c r="AB766" s="1026"/>
      <c r="AC766" s="1026"/>
    </row>
    <row r="767" spans="1:29" x14ac:dyDescent="0.25">
      <c r="A767" s="847"/>
      <c r="B767" s="1026"/>
      <c r="C767" s="1026"/>
      <c r="D767" s="1026"/>
      <c r="E767" s="1026"/>
      <c r="F767" s="1026"/>
      <c r="G767" s="1026"/>
      <c r="H767" s="1026"/>
      <c r="I767" s="1026"/>
      <c r="J767" s="1026"/>
      <c r="K767" s="1026"/>
      <c r="L767" s="1026"/>
      <c r="M767" s="1026"/>
      <c r="N767" s="1026"/>
      <c r="O767" s="1026"/>
      <c r="P767" s="1026"/>
      <c r="Q767" s="1026"/>
      <c r="R767" s="1026"/>
      <c r="S767" s="1026"/>
      <c r="T767" s="1026"/>
      <c r="U767" s="1026"/>
      <c r="V767" s="1026"/>
      <c r="W767" s="1026"/>
      <c r="X767" s="1026"/>
      <c r="Y767" s="1026"/>
      <c r="Z767" s="1026"/>
      <c r="AA767" s="1026"/>
      <c r="AB767" s="1026"/>
      <c r="AC767" s="1026"/>
    </row>
    <row r="768" spans="1:29" x14ac:dyDescent="0.25">
      <c r="A768" s="847"/>
      <c r="B768" s="1026"/>
      <c r="C768" s="1026"/>
      <c r="D768" s="1026"/>
      <c r="E768" s="1026"/>
      <c r="F768" s="1026"/>
      <c r="G768" s="1026"/>
      <c r="H768" s="1026"/>
      <c r="I768" s="1026"/>
      <c r="J768" s="1026"/>
      <c r="K768" s="1026"/>
      <c r="L768" s="1026"/>
      <c r="M768" s="1026"/>
      <c r="N768" s="1026"/>
      <c r="O768" s="1026"/>
      <c r="P768" s="1026"/>
      <c r="Q768" s="1026"/>
      <c r="R768" s="1026"/>
      <c r="S768" s="1026"/>
      <c r="T768" s="1026"/>
      <c r="U768" s="1026"/>
      <c r="V768" s="1026"/>
      <c r="W768" s="1026"/>
      <c r="X768" s="1026"/>
      <c r="Y768" s="1026"/>
      <c r="Z768" s="1026"/>
      <c r="AA768" s="1026"/>
      <c r="AB768" s="1026"/>
      <c r="AC768" s="1026"/>
    </row>
    <row r="769" spans="1:29" x14ac:dyDescent="0.25">
      <c r="A769" s="847"/>
      <c r="B769" s="1026"/>
      <c r="C769" s="1026"/>
      <c r="D769" s="1026"/>
      <c r="E769" s="1026"/>
      <c r="F769" s="1026"/>
      <c r="G769" s="1026"/>
      <c r="H769" s="1026"/>
      <c r="I769" s="1026"/>
      <c r="J769" s="1026"/>
      <c r="K769" s="1026"/>
      <c r="L769" s="1026"/>
      <c r="M769" s="1026"/>
      <c r="N769" s="1026"/>
      <c r="O769" s="1026"/>
      <c r="P769" s="1026"/>
      <c r="Q769" s="1026"/>
      <c r="R769" s="1026"/>
      <c r="S769" s="1026"/>
      <c r="T769" s="1026"/>
      <c r="U769" s="1026"/>
      <c r="V769" s="1026"/>
      <c r="W769" s="1026"/>
      <c r="X769" s="1026"/>
      <c r="Y769" s="1026"/>
      <c r="Z769" s="1026"/>
      <c r="AA769" s="1026"/>
      <c r="AB769" s="1026"/>
      <c r="AC769" s="1026"/>
    </row>
    <row r="770" spans="1:29" x14ac:dyDescent="0.25">
      <c r="A770" s="847"/>
      <c r="B770" s="1026"/>
      <c r="C770" s="1026"/>
      <c r="D770" s="1026"/>
      <c r="E770" s="1026"/>
      <c r="F770" s="1026"/>
      <c r="G770" s="1026"/>
      <c r="H770" s="1026"/>
      <c r="I770" s="1026"/>
      <c r="J770" s="1026"/>
      <c r="K770" s="1026"/>
      <c r="L770" s="1026"/>
      <c r="M770" s="1026"/>
      <c r="N770" s="1026"/>
      <c r="O770" s="1026"/>
      <c r="P770" s="1026"/>
      <c r="Q770" s="1026"/>
      <c r="R770" s="1026"/>
      <c r="S770" s="1026"/>
      <c r="T770" s="1026"/>
      <c r="U770" s="1026"/>
      <c r="V770" s="1026"/>
      <c r="W770" s="1026"/>
      <c r="X770" s="1026"/>
      <c r="Y770" s="1026"/>
      <c r="Z770" s="1026"/>
      <c r="AA770" s="1026"/>
      <c r="AB770" s="1026"/>
      <c r="AC770" s="1026"/>
    </row>
    <row r="771" spans="1:29" x14ac:dyDescent="0.25">
      <c r="A771" s="847"/>
      <c r="B771" s="1026"/>
      <c r="C771" s="1026"/>
      <c r="D771" s="1026"/>
      <c r="E771" s="1026"/>
      <c r="F771" s="1026"/>
      <c r="G771" s="1026"/>
      <c r="H771" s="1026"/>
      <c r="I771" s="1026"/>
      <c r="J771" s="1026"/>
      <c r="K771" s="1026"/>
      <c r="L771" s="1026"/>
      <c r="M771" s="1026"/>
      <c r="N771" s="1026"/>
      <c r="O771" s="1026"/>
      <c r="P771" s="1026"/>
      <c r="Q771" s="1026"/>
      <c r="R771" s="1026"/>
      <c r="S771" s="1026"/>
      <c r="T771" s="1026"/>
      <c r="U771" s="1026"/>
      <c r="V771" s="1026"/>
      <c r="W771" s="1026"/>
      <c r="X771" s="1026"/>
      <c r="Y771" s="1026"/>
      <c r="Z771" s="1026"/>
      <c r="AA771" s="1026"/>
      <c r="AB771" s="1026"/>
      <c r="AC771" s="1026"/>
    </row>
    <row r="772" spans="1:29" x14ac:dyDescent="0.25">
      <c r="A772" s="847"/>
      <c r="B772" s="1026"/>
      <c r="C772" s="1026"/>
      <c r="D772" s="1026"/>
      <c r="E772" s="1026"/>
      <c r="F772" s="1026"/>
      <c r="G772" s="1026"/>
      <c r="H772" s="1026"/>
      <c r="I772" s="1026"/>
      <c r="J772" s="1026"/>
      <c r="K772" s="1026"/>
      <c r="L772" s="1026"/>
      <c r="M772" s="1026"/>
      <c r="N772" s="1026"/>
      <c r="O772" s="1026"/>
      <c r="P772" s="1026"/>
      <c r="Q772" s="1026"/>
      <c r="R772" s="1026"/>
      <c r="S772" s="1026"/>
      <c r="T772" s="1026"/>
      <c r="U772" s="1026"/>
      <c r="V772" s="1026"/>
      <c r="W772" s="1026"/>
      <c r="X772" s="1026"/>
      <c r="Y772" s="1026"/>
      <c r="Z772" s="1026"/>
      <c r="AA772" s="1026"/>
      <c r="AB772" s="1026"/>
      <c r="AC772" s="1026"/>
    </row>
    <row r="773" spans="1:29" x14ac:dyDescent="0.25">
      <c r="A773" s="847"/>
      <c r="B773" s="1026"/>
      <c r="C773" s="1026"/>
      <c r="D773" s="1026"/>
      <c r="E773" s="1026"/>
      <c r="F773" s="1026"/>
      <c r="G773" s="1026"/>
      <c r="H773" s="1026"/>
      <c r="I773" s="1026"/>
      <c r="J773" s="1026"/>
      <c r="K773" s="1026"/>
      <c r="L773" s="1026"/>
      <c r="M773" s="1026"/>
      <c r="N773" s="1026"/>
      <c r="O773" s="1026"/>
      <c r="P773" s="1026"/>
      <c r="Q773" s="1026"/>
      <c r="R773" s="1026"/>
      <c r="S773" s="1026"/>
      <c r="T773" s="1026"/>
      <c r="U773" s="1026"/>
      <c r="V773" s="1026"/>
      <c r="W773" s="1026"/>
      <c r="X773" s="1026"/>
      <c r="Y773" s="1026"/>
      <c r="Z773" s="1026"/>
      <c r="AA773" s="1026"/>
      <c r="AB773" s="1026"/>
      <c r="AC773" s="1026"/>
    </row>
    <row r="774" spans="1:29" x14ac:dyDescent="0.25">
      <c r="A774" s="847"/>
      <c r="B774" s="1026"/>
      <c r="C774" s="1026"/>
      <c r="D774" s="1026"/>
      <c r="E774" s="1026"/>
      <c r="F774" s="1026"/>
      <c r="G774" s="1026"/>
      <c r="H774" s="1026"/>
      <c r="I774" s="1026"/>
      <c r="J774" s="1026"/>
      <c r="K774" s="1026"/>
      <c r="L774" s="1026"/>
      <c r="M774" s="1026"/>
      <c r="N774" s="1026"/>
      <c r="O774" s="1026"/>
      <c r="P774" s="1026"/>
      <c r="Q774" s="1026"/>
      <c r="R774" s="1026"/>
      <c r="S774" s="1026"/>
      <c r="T774" s="1026"/>
      <c r="U774" s="1026"/>
      <c r="V774" s="1026"/>
      <c r="W774" s="1026"/>
      <c r="X774" s="1026"/>
      <c r="Y774" s="1026"/>
      <c r="Z774" s="1026"/>
      <c r="AA774" s="1026"/>
      <c r="AB774" s="1026"/>
      <c r="AC774" s="1026"/>
    </row>
    <row r="775" spans="1:29" x14ac:dyDescent="0.25">
      <c r="A775" s="847"/>
      <c r="B775" s="1026"/>
      <c r="C775" s="1026"/>
      <c r="D775" s="1026"/>
      <c r="E775" s="1026"/>
      <c r="F775" s="1026"/>
      <c r="G775" s="1026"/>
      <c r="H775" s="1026"/>
      <c r="I775" s="1026"/>
      <c r="J775" s="1026"/>
      <c r="K775" s="1026"/>
      <c r="L775" s="1026"/>
      <c r="M775" s="1026"/>
      <c r="N775" s="1026"/>
      <c r="O775" s="1026"/>
      <c r="P775" s="1026"/>
      <c r="Q775" s="1026"/>
      <c r="R775" s="1026"/>
      <c r="S775" s="1026"/>
      <c r="T775" s="1026"/>
      <c r="U775" s="1026"/>
      <c r="V775" s="1026"/>
      <c r="W775" s="1026"/>
      <c r="X775" s="1026"/>
      <c r="Y775" s="1026"/>
      <c r="Z775" s="1026"/>
      <c r="AA775" s="1026"/>
      <c r="AB775" s="1026"/>
      <c r="AC775" s="1026"/>
    </row>
    <row r="776" spans="1:29" x14ac:dyDescent="0.25">
      <c r="A776" s="847"/>
      <c r="B776" s="1026"/>
      <c r="C776" s="1026"/>
      <c r="D776" s="1026"/>
      <c r="E776" s="1026"/>
      <c r="F776" s="1026"/>
      <c r="G776" s="1026"/>
      <c r="H776" s="1026"/>
      <c r="I776" s="1026"/>
      <c r="J776" s="1026"/>
      <c r="K776" s="1026"/>
      <c r="L776" s="1026"/>
      <c r="M776" s="1026"/>
      <c r="N776" s="1026"/>
      <c r="O776" s="1026"/>
      <c r="P776" s="1026"/>
      <c r="Q776" s="1026"/>
      <c r="R776" s="1026"/>
      <c r="S776" s="1026"/>
      <c r="T776" s="1026"/>
      <c r="U776" s="1026"/>
      <c r="V776" s="1026"/>
      <c r="W776" s="1026"/>
      <c r="X776" s="1026"/>
      <c r="Y776" s="1026"/>
      <c r="Z776" s="1026"/>
      <c r="AA776" s="1026"/>
      <c r="AB776" s="1026"/>
      <c r="AC776" s="1026"/>
    </row>
    <row r="777" spans="1:29" x14ac:dyDescent="0.25">
      <c r="A777" s="847"/>
      <c r="B777" s="1026"/>
      <c r="C777" s="1026"/>
      <c r="D777" s="1026"/>
      <c r="E777" s="1026"/>
      <c r="F777" s="1026"/>
      <c r="G777" s="1026"/>
      <c r="H777" s="1026"/>
      <c r="I777" s="1026"/>
      <c r="J777" s="1026"/>
      <c r="K777" s="1026"/>
      <c r="L777" s="1026"/>
      <c r="M777" s="1026"/>
      <c r="N777" s="1026"/>
      <c r="O777" s="1026"/>
      <c r="P777" s="1026"/>
      <c r="Q777" s="1026"/>
      <c r="R777" s="1026"/>
      <c r="S777" s="1026"/>
      <c r="T777" s="1026"/>
      <c r="U777" s="1026"/>
      <c r="V777" s="1026"/>
      <c r="W777" s="1026"/>
      <c r="X777" s="1026"/>
      <c r="Y777" s="1026"/>
      <c r="Z777" s="1026"/>
      <c r="AA777" s="1026"/>
      <c r="AB777" s="1026"/>
      <c r="AC777" s="1026"/>
    </row>
    <row r="778" spans="1:29" x14ac:dyDescent="0.25">
      <c r="A778" s="847"/>
      <c r="B778" s="1026"/>
      <c r="C778" s="1026"/>
      <c r="D778" s="1026"/>
      <c r="E778" s="1026"/>
      <c r="F778" s="1026"/>
      <c r="G778" s="1026"/>
      <c r="H778" s="1026"/>
      <c r="I778" s="1026"/>
      <c r="J778" s="1026"/>
      <c r="K778" s="1026"/>
      <c r="L778" s="1026"/>
      <c r="M778" s="1026"/>
      <c r="N778" s="1026"/>
      <c r="O778" s="1026"/>
      <c r="P778" s="1026"/>
      <c r="Q778" s="1026"/>
      <c r="R778" s="1026"/>
      <c r="S778" s="1026"/>
      <c r="T778" s="1026"/>
      <c r="U778" s="1026"/>
      <c r="V778" s="1026"/>
      <c r="W778" s="1026"/>
      <c r="X778" s="1026"/>
      <c r="Y778" s="1026"/>
      <c r="Z778" s="1026"/>
      <c r="AA778" s="1026"/>
      <c r="AB778" s="1026"/>
      <c r="AC778" s="1026"/>
    </row>
    <row r="779" spans="1:29" x14ac:dyDescent="0.25">
      <c r="A779" s="847"/>
      <c r="B779" s="1026"/>
      <c r="C779" s="1026"/>
      <c r="D779" s="1026"/>
      <c r="E779" s="1026"/>
      <c r="F779" s="1026"/>
      <c r="G779" s="1026"/>
      <c r="H779" s="1026"/>
      <c r="I779" s="1026"/>
      <c r="J779" s="1026"/>
      <c r="K779" s="1026"/>
      <c r="L779" s="1026"/>
      <c r="M779" s="1026"/>
      <c r="N779" s="1026"/>
      <c r="O779" s="1026"/>
      <c r="P779" s="1026"/>
      <c r="Q779" s="1026"/>
      <c r="R779" s="1026"/>
      <c r="S779" s="1026"/>
      <c r="T779" s="1026"/>
      <c r="U779" s="1026"/>
      <c r="V779" s="1026"/>
      <c r="W779" s="1026"/>
      <c r="X779" s="1026"/>
      <c r="Y779" s="1026"/>
      <c r="Z779" s="1026"/>
      <c r="AA779" s="1026"/>
      <c r="AB779" s="1026"/>
      <c r="AC779" s="1026"/>
    </row>
    <row r="780" spans="1:29" x14ac:dyDescent="0.25">
      <c r="A780" s="847"/>
      <c r="B780" s="1026"/>
      <c r="C780" s="1026"/>
      <c r="D780" s="1026"/>
      <c r="E780" s="1026"/>
      <c r="F780" s="1026"/>
      <c r="G780" s="1026"/>
      <c r="H780" s="1026"/>
      <c r="I780" s="1026"/>
      <c r="J780" s="1026"/>
      <c r="K780" s="1026"/>
      <c r="L780" s="1026"/>
      <c r="M780" s="1026"/>
      <c r="N780" s="1026"/>
      <c r="O780" s="1026"/>
      <c r="P780" s="1026"/>
      <c r="Q780" s="1026"/>
      <c r="R780" s="1026"/>
      <c r="S780" s="1026"/>
      <c r="T780" s="1026"/>
      <c r="U780" s="1026"/>
      <c r="V780" s="1026"/>
      <c r="W780" s="1026"/>
      <c r="X780" s="1026"/>
      <c r="Y780" s="1026"/>
      <c r="Z780" s="1026"/>
      <c r="AA780" s="1026"/>
      <c r="AB780" s="1026"/>
      <c r="AC780" s="1026"/>
    </row>
    <row r="781" spans="1:29" x14ac:dyDescent="0.25">
      <c r="A781" s="847"/>
      <c r="B781" s="1026"/>
      <c r="C781" s="1026"/>
      <c r="D781" s="1026"/>
      <c r="E781" s="1026"/>
      <c r="F781" s="1026"/>
      <c r="G781" s="1026"/>
      <c r="H781" s="1026"/>
      <c r="I781" s="1026"/>
      <c r="J781" s="1026"/>
      <c r="K781" s="1026"/>
      <c r="L781" s="1026"/>
      <c r="M781" s="1026"/>
      <c r="N781" s="1026"/>
      <c r="O781" s="1026"/>
      <c r="P781" s="1026"/>
      <c r="Q781" s="1026"/>
      <c r="R781" s="1026"/>
      <c r="S781" s="1026"/>
      <c r="T781" s="1026"/>
      <c r="U781" s="1026"/>
      <c r="V781" s="1026"/>
      <c r="W781" s="1026"/>
      <c r="X781" s="1026"/>
      <c r="Y781" s="1026"/>
      <c r="Z781" s="1026"/>
      <c r="AA781" s="1026"/>
      <c r="AB781" s="1026"/>
      <c r="AC781" s="1026"/>
    </row>
    <row r="782" spans="1:29" x14ac:dyDescent="0.25">
      <c r="A782" s="847"/>
      <c r="B782" s="1026"/>
      <c r="C782" s="1026"/>
      <c r="D782" s="1026"/>
      <c r="E782" s="1026"/>
      <c r="F782" s="1026"/>
      <c r="G782" s="1026"/>
      <c r="H782" s="1026"/>
      <c r="I782" s="1026"/>
      <c r="J782" s="1026"/>
      <c r="K782" s="1026"/>
      <c r="L782" s="1026"/>
      <c r="M782" s="1026"/>
      <c r="N782" s="1026"/>
      <c r="O782" s="1026"/>
      <c r="P782" s="1026"/>
      <c r="Q782" s="1026"/>
      <c r="R782" s="1026"/>
      <c r="S782" s="1026"/>
      <c r="T782" s="1026"/>
      <c r="U782" s="1026"/>
      <c r="V782" s="1026"/>
      <c r="W782" s="1026"/>
      <c r="X782" s="1026"/>
      <c r="Y782" s="1026"/>
      <c r="Z782" s="1026"/>
      <c r="AA782" s="1026"/>
      <c r="AB782" s="1026"/>
      <c r="AC782" s="1026"/>
    </row>
    <row r="783" spans="1:29" x14ac:dyDescent="0.25">
      <c r="A783" s="847"/>
      <c r="B783" s="1026"/>
      <c r="C783" s="1026"/>
      <c r="D783" s="1026"/>
      <c r="E783" s="1026"/>
      <c r="F783" s="1026"/>
      <c r="G783" s="1026"/>
      <c r="H783" s="1026"/>
      <c r="I783" s="1026"/>
      <c r="J783" s="1026"/>
      <c r="K783" s="1026"/>
      <c r="L783" s="1026"/>
      <c r="M783" s="1026"/>
      <c r="N783" s="1026"/>
      <c r="O783" s="1026"/>
      <c r="P783" s="1026"/>
      <c r="Q783" s="1026"/>
      <c r="R783" s="1026"/>
      <c r="S783" s="1026"/>
      <c r="T783" s="1026"/>
      <c r="U783" s="1026"/>
      <c r="V783" s="1026"/>
      <c r="W783" s="1026"/>
      <c r="X783" s="1026"/>
      <c r="Y783" s="1026"/>
      <c r="Z783" s="1026"/>
      <c r="AA783" s="1026"/>
      <c r="AB783" s="1026"/>
      <c r="AC783" s="1026"/>
    </row>
    <row r="784" spans="1:29" x14ac:dyDescent="0.25">
      <c r="A784" s="847"/>
      <c r="B784" s="1026"/>
      <c r="C784" s="1026"/>
      <c r="D784" s="1026"/>
      <c r="E784" s="1026"/>
      <c r="F784" s="1026"/>
      <c r="G784" s="1026"/>
      <c r="H784" s="1026"/>
      <c r="I784" s="1026"/>
      <c r="J784" s="1026"/>
      <c r="K784" s="1026"/>
      <c r="L784" s="1026"/>
      <c r="M784" s="1026"/>
      <c r="N784" s="1026"/>
      <c r="O784" s="1026"/>
      <c r="P784" s="1026"/>
      <c r="Q784" s="1026"/>
      <c r="R784" s="1026"/>
      <c r="S784" s="1026"/>
      <c r="T784" s="1026"/>
      <c r="U784" s="1026"/>
      <c r="V784" s="1026"/>
      <c r="W784" s="1026"/>
      <c r="X784" s="1026"/>
      <c r="Y784" s="1026"/>
      <c r="Z784" s="1026"/>
      <c r="AA784" s="1026"/>
      <c r="AB784" s="1026"/>
      <c r="AC784" s="1026"/>
    </row>
    <row r="785" spans="1:29" x14ac:dyDescent="0.25">
      <c r="A785" s="847"/>
      <c r="B785" s="1026"/>
      <c r="C785" s="1026"/>
      <c r="D785" s="1026"/>
      <c r="E785" s="1026"/>
      <c r="F785" s="1026"/>
      <c r="G785" s="1026"/>
      <c r="H785" s="1026"/>
      <c r="I785" s="1026"/>
      <c r="J785" s="1026"/>
      <c r="K785" s="1026"/>
      <c r="L785" s="1026"/>
      <c r="M785" s="1026"/>
      <c r="N785" s="1026"/>
      <c r="O785" s="1026"/>
      <c r="P785" s="1026"/>
      <c r="Q785" s="1026"/>
      <c r="R785" s="1026"/>
      <c r="S785" s="1026"/>
      <c r="T785" s="1026"/>
      <c r="U785" s="1026"/>
      <c r="V785" s="1026"/>
      <c r="W785" s="1026"/>
      <c r="X785" s="1026"/>
      <c r="Y785" s="1026"/>
      <c r="Z785" s="1026"/>
      <c r="AA785" s="1026"/>
      <c r="AB785" s="1026"/>
      <c r="AC785" s="1026"/>
    </row>
    <row r="786" spans="1:29" x14ac:dyDescent="0.25">
      <c r="A786" s="847"/>
      <c r="B786" s="1026"/>
      <c r="C786" s="1026"/>
      <c r="D786" s="1026"/>
      <c r="E786" s="1026"/>
      <c r="F786" s="1026"/>
      <c r="G786" s="1026"/>
      <c r="H786" s="1026"/>
      <c r="I786" s="1026"/>
      <c r="J786" s="1026"/>
      <c r="K786" s="1026"/>
      <c r="L786" s="1026"/>
      <c r="M786" s="1026"/>
      <c r="N786" s="1026"/>
      <c r="O786" s="1026"/>
      <c r="P786" s="1026"/>
      <c r="Q786" s="1026"/>
      <c r="R786" s="1026"/>
      <c r="S786" s="1026"/>
      <c r="T786" s="1026"/>
      <c r="U786" s="1026"/>
      <c r="V786" s="1026"/>
      <c r="W786" s="1026"/>
      <c r="X786" s="1026"/>
      <c r="Y786" s="1026"/>
      <c r="Z786" s="1026"/>
      <c r="AA786" s="1026"/>
      <c r="AB786" s="1026"/>
      <c r="AC786" s="1026"/>
    </row>
    <row r="787" spans="1:29" x14ac:dyDescent="0.25">
      <c r="A787" s="847"/>
      <c r="B787" s="1026"/>
      <c r="C787" s="1026"/>
      <c r="D787" s="1026"/>
      <c r="E787" s="1026"/>
      <c r="F787" s="1026"/>
      <c r="G787" s="1026"/>
      <c r="H787" s="1026"/>
      <c r="I787" s="1026"/>
      <c r="J787" s="1026"/>
      <c r="K787" s="1026"/>
      <c r="L787" s="1026"/>
      <c r="M787" s="1026"/>
      <c r="N787" s="1026"/>
      <c r="O787" s="1026"/>
      <c r="P787" s="1026"/>
      <c r="Q787" s="1026"/>
      <c r="R787" s="1026"/>
      <c r="S787" s="1026"/>
      <c r="T787" s="1026"/>
      <c r="U787" s="1026"/>
      <c r="V787" s="1026"/>
      <c r="W787" s="1026"/>
      <c r="X787" s="1026"/>
      <c r="Y787" s="1026"/>
      <c r="Z787" s="1026"/>
      <c r="AA787" s="1026"/>
      <c r="AB787" s="1026"/>
      <c r="AC787" s="1026"/>
    </row>
    <row r="788" spans="1:29" x14ac:dyDescent="0.25">
      <c r="A788" s="847"/>
      <c r="B788" s="1026"/>
      <c r="C788" s="1026"/>
      <c r="D788" s="1026"/>
      <c r="E788" s="1026"/>
      <c r="F788" s="1026"/>
      <c r="G788" s="1026"/>
      <c r="H788" s="1026"/>
      <c r="I788" s="1026"/>
      <c r="J788" s="1026"/>
      <c r="K788" s="1026"/>
      <c r="L788" s="1026"/>
      <c r="M788" s="1026"/>
      <c r="N788" s="1026"/>
      <c r="O788" s="1026"/>
      <c r="P788" s="1026"/>
      <c r="Q788" s="1026"/>
      <c r="R788" s="1026"/>
      <c r="S788" s="1026"/>
      <c r="T788" s="1026"/>
      <c r="U788" s="1026"/>
      <c r="V788" s="1026"/>
      <c r="W788" s="1026"/>
      <c r="X788" s="1026"/>
      <c r="Y788" s="1026"/>
      <c r="Z788" s="1026"/>
      <c r="AA788" s="1026"/>
      <c r="AB788" s="1026"/>
      <c r="AC788" s="1026"/>
    </row>
    <row r="789" spans="1:29" x14ac:dyDescent="0.25">
      <c r="A789" s="847"/>
      <c r="B789" s="1026"/>
      <c r="C789" s="1026"/>
      <c r="D789" s="1026"/>
      <c r="E789" s="1026"/>
      <c r="F789" s="1026"/>
      <c r="G789" s="1026"/>
      <c r="H789" s="1026"/>
      <c r="I789" s="1026"/>
      <c r="J789" s="1026"/>
      <c r="K789" s="1026"/>
      <c r="L789" s="1026"/>
      <c r="M789" s="1026"/>
      <c r="N789" s="1026"/>
      <c r="O789" s="1026"/>
      <c r="P789" s="1026"/>
      <c r="Q789" s="1026"/>
      <c r="R789" s="1026"/>
      <c r="S789" s="1026"/>
      <c r="T789" s="1026"/>
      <c r="U789" s="1026"/>
      <c r="V789" s="1026"/>
      <c r="W789" s="1026"/>
      <c r="X789" s="1026"/>
      <c r="Y789" s="1026"/>
      <c r="Z789" s="1026"/>
      <c r="AA789" s="1026"/>
      <c r="AB789" s="1026"/>
      <c r="AC789" s="1026"/>
    </row>
    <row r="790" spans="1:29" x14ac:dyDescent="0.25">
      <c r="A790" s="847"/>
      <c r="B790" s="1026"/>
      <c r="C790" s="1026"/>
      <c r="D790" s="1026"/>
      <c r="E790" s="1026"/>
      <c r="F790" s="1026"/>
      <c r="G790" s="1026"/>
      <c r="H790" s="1026"/>
      <c r="I790" s="1026"/>
      <c r="J790" s="1026"/>
      <c r="K790" s="1026"/>
      <c r="L790" s="1026"/>
      <c r="M790" s="1026"/>
      <c r="N790" s="1026"/>
      <c r="O790" s="1026"/>
      <c r="P790" s="1026"/>
      <c r="Q790" s="1026"/>
      <c r="R790" s="1026"/>
      <c r="S790" s="1026"/>
      <c r="T790" s="1026"/>
      <c r="U790" s="1026"/>
      <c r="V790" s="1026"/>
      <c r="W790" s="1026"/>
      <c r="X790" s="1026"/>
      <c r="Y790" s="1026"/>
      <c r="Z790" s="1026"/>
      <c r="AA790" s="1026"/>
      <c r="AB790" s="1026"/>
      <c r="AC790" s="1026"/>
    </row>
    <row r="791" spans="1:29" x14ac:dyDescent="0.25">
      <c r="A791" s="847"/>
      <c r="B791" s="1026"/>
      <c r="C791" s="1026"/>
      <c r="D791" s="1026"/>
      <c r="E791" s="1026"/>
      <c r="F791" s="1026"/>
      <c r="G791" s="1026"/>
      <c r="H791" s="1026"/>
      <c r="I791" s="1026"/>
      <c r="J791" s="1026"/>
      <c r="K791" s="1026"/>
      <c r="L791" s="1026"/>
      <c r="M791" s="1026"/>
      <c r="N791" s="1026"/>
      <c r="O791" s="1026"/>
      <c r="P791" s="1026"/>
      <c r="Q791" s="1026"/>
      <c r="R791" s="1026"/>
      <c r="S791" s="1026"/>
      <c r="T791" s="1026"/>
      <c r="U791" s="1026"/>
      <c r="V791" s="1026"/>
      <c r="W791" s="1026"/>
      <c r="X791" s="1026"/>
      <c r="Y791" s="1026"/>
      <c r="Z791" s="1026"/>
      <c r="AA791" s="1026"/>
      <c r="AB791" s="1026"/>
      <c r="AC791" s="1026"/>
    </row>
    <row r="792" spans="1:29" x14ac:dyDescent="0.25">
      <c r="A792" s="847"/>
      <c r="B792" s="1026"/>
      <c r="C792" s="1026"/>
      <c r="D792" s="1026"/>
      <c r="E792" s="1026"/>
      <c r="F792" s="1026"/>
      <c r="G792" s="1026"/>
      <c r="H792" s="1026"/>
      <c r="I792" s="1026"/>
      <c r="J792" s="1026"/>
      <c r="K792" s="1026"/>
      <c r="L792" s="1026"/>
      <c r="M792" s="1026"/>
      <c r="N792" s="1026"/>
      <c r="O792" s="1026"/>
      <c r="P792" s="1026"/>
      <c r="Q792" s="1026"/>
      <c r="R792" s="1026"/>
      <c r="S792" s="1026"/>
      <c r="T792" s="1026"/>
      <c r="U792" s="1026"/>
      <c r="V792" s="1026"/>
      <c r="W792" s="1026"/>
      <c r="X792" s="1026"/>
      <c r="Y792" s="1026"/>
      <c r="Z792" s="1026"/>
      <c r="AA792" s="1026"/>
      <c r="AB792" s="1026"/>
      <c r="AC792" s="1026"/>
    </row>
    <row r="793" spans="1:29" x14ac:dyDescent="0.25">
      <c r="A793" s="847"/>
      <c r="B793" s="1026"/>
      <c r="C793" s="1026"/>
      <c r="D793" s="1026"/>
      <c r="E793" s="1026"/>
      <c r="F793" s="1026"/>
      <c r="G793" s="1026"/>
      <c r="H793" s="1026"/>
      <c r="I793" s="1026"/>
      <c r="J793" s="1026"/>
      <c r="K793" s="1026"/>
      <c r="L793" s="1026"/>
      <c r="M793" s="1026"/>
      <c r="N793" s="1026"/>
      <c r="O793" s="1026"/>
      <c r="P793" s="1026"/>
      <c r="Q793" s="1026"/>
      <c r="R793" s="1026"/>
      <c r="S793" s="1026"/>
      <c r="T793" s="1026"/>
      <c r="U793" s="1026"/>
      <c r="V793" s="1026"/>
      <c r="W793" s="1026"/>
      <c r="X793" s="1026"/>
      <c r="Y793" s="1026"/>
      <c r="Z793" s="1026"/>
      <c r="AA793" s="1026"/>
      <c r="AB793" s="1026"/>
      <c r="AC793" s="1026"/>
    </row>
    <row r="794" spans="1:29" x14ac:dyDescent="0.25">
      <c r="A794" s="847"/>
      <c r="B794" s="1026"/>
      <c r="C794" s="1026"/>
      <c r="D794" s="1026"/>
      <c r="E794" s="1026"/>
      <c r="F794" s="1026"/>
      <c r="G794" s="1026"/>
      <c r="H794" s="1026"/>
      <c r="I794" s="1026"/>
      <c r="J794" s="1026"/>
      <c r="K794" s="1026"/>
      <c r="L794" s="1026"/>
      <c r="M794" s="1026"/>
      <c r="N794" s="1026"/>
      <c r="O794" s="1026"/>
      <c r="P794" s="1026"/>
      <c r="Q794" s="1026"/>
      <c r="R794" s="1026"/>
      <c r="S794" s="1026"/>
      <c r="T794" s="1026"/>
      <c r="U794" s="1026"/>
      <c r="V794" s="1026"/>
      <c r="W794" s="1026"/>
      <c r="X794" s="1026"/>
      <c r="Y794" s="1026"/>
      <c r="Z794" s="1026"/>
      <c r="AA794" s="1026"/>
      <c r="AB794" s="1026"/>
      <c r="AC794" s="1026"/>
    </row>
    <row r="795" spans="1:29" x14ac:dyDescent="0.25">
      <c r="A795" s="847"/>
      <c r="B795" s="1026"/>
      <c r="C795" s="1026"/>
      <c r="D795" s="1026"/>
      <c r="E795" s="1026"/>
      <c r="F795" s="1026"/>
      <c r="G795" s="1026"/>
      <c r="H795" s="1026"/>
      <c r="I795" s="1026"/>
      <c r="J795" s="1026"/>
      <c r="K795" s="1026"/>
      <c r="L795" s="1026"/>
      <c r="M795" s="1026"/>
      <c r="N795" s="1026"/>
      <c r="O795" s="1026"/>
      <c r="P795" s="1026"/>
      <c r="Q795" s="1026"/>
      <c r="R795" s="1026"/>
      <c r="S795" s="1026"/>
      <c r="T795" s="1026"/>
      <c r="U795" s="1026"/>
      <c r="V795" s="1026"/>
      <c r="W795" s="1026"/>
      <c r="X795" s="1026"/>
      <c r="Y795" s="1026"/>
      <c r="Z795" s="1026"/>
      <c r="AA795" s="1026"/>
      <c r="AB795" s="1026"/>
      <c r="AC795" s="1026"/>
    </row>
    <row r="796" spans="1:29" x14ac:dyDescent="0.25">
      <c r="A796" s="847"/>
      <c r="B796" s="1026"/>
      <c r="C796" s="1026"/>
      <c r="D796" s="1026"/>
      <c r="E796" s="1026"/>
      <c r="F796" s="1026"/>
      <c r="G796" s="1026"/>
      <c r="H796" s="1026"/>
      <c r="I796" s="1026"/>
      <c r="J796" s="1026"/>
      <c r="K796" s="1026"/>
      <c r="L796" s="1026"/>
      <c r="M796" s="1026"/>
      <c r="N796" s="1026"/>
      <c r="O796" s="1026"/>
      <c r="P796" s="1026"/>
      <c r="Q796" s="1026"/>
      <c r="R796" s="1026"/>
      <c r="S796" s="1026"/>
      <c r="T796" s="1026"/>
      <c r="U796" s="1026"/>
      <c r="V796" s="1026"/>
      <c r="W796" s="1026"/>
      <c r="X796" s="1026"/>
      <c r="Y796" s="1026"/>
      <c r="Z796" s="1026"/>
      <c r="AA796" s="1026"/>
      <c r="AB796" s="1026"/>
      <c r="AC796" s="1026"/>
    </row>
    <row r="797" spans="1:29" x14ac:dyDescent="0.25">
      <c r="A797" s="847"/>
      <c r="B797" s="1026"/>
      <c r="C797" s="1026"/>
      <c r="D797" s="1026"/>
      <c r="E797" s="1026"/>
      <c r="F797" s="1026"/>
      <c r="G797" s="1026"/>
      <c r="H797" s="1026"/>
      <c r="I797" s="1026"/>
      <c r="J797" s="1026"/>
      <c r="K797" s="1026"/>
      <c r="L797" s="1026"/>
      <c r="M797" s="1026"/>
      <c r="N797" s="1026"/>
      <c r="O797" s="1026"/>
      <c r="P797" s="1026"/>
      <c r="Q797" s="1026"/>
      <c r="R797" s="1026"/>
      <c r="S797" s="1026"/>
      <c r="T797" s="1026"/>
      <c r="U797" s="1026"/>
      <c r="V797" s="1026"/>
      <c r="W797" s="1026"/>
      <c r="X797" s="1026"/>
      <c r="Y797" s="1026"/>
      <c r="Z797" s="1026"/>
      <c r="AA797" s="1026"/>
      <c r="AB797" s="1026"/>
      <c r="AC797" s="1026"/>
    </row>
    <row r="798" spans="1:29" x14ac:dyDescent="0.25">
      <c r="A798" s="847"/>
      <c r="B798" s="1026"/>
      <c r="C798" s="1026"/>
      <c r="D798" s="1026"/>
      <c r="E798" s="1026"/>
      <c r="F798" s="1026"/>
      <c r="G798" s="1026"/>
      <c r="H798" s="1026"/>
      <c r="I798" s="1026"/>
      <c r="J798" s="1026"/>
      <c r="K798" s="1026"/>
      <c r="L798" s="1026"/>
      <c r="M798" s="1026"/>
      <c r="N798" s="1026"/>
      <c r="O798" s="1026"/>
      <c r="P798" s="1026"/>
      <c r="Q798" s="1026"/>
      <c r="R798" s="1026"/>
      <c r="S798" s="1026"/>
      <c r="T798" s="1026"/>
      <c r="U798" s="1026"/>
      <c r="V798" s="1026"/>
      <c r="W798" s="1026"/>
      <c r="X798" s="1026"/>
      <c r="Y798" s="1026"/>
      <c r="Z798" s="1026"/>
      <c r="AA798" s="1026"/>
      <c r="AB798" s="1026"/>
      <c r="AC798" s="1026"/>
    </row>
    <row r="799" spans="1:29" x14ac:dyDescent="0.25">
      <c r="A799" s="847"/>
      <c r="B799" s="1026"/>
      <c r="C799" s="1026"/>
      <c r="D799" s="1026"/>
      <c r="E799" s="1026"/>
      <c r="F799" s="1026"/>
      <c r="G799" s="1026"/>
      <c r="H799" s="1026"/>
      <c r="I799" s="1026"/>
      <c r="J799" s="1026"/>
      <c r="K799" s="1026"/>
      <c r="L799" s="1026"/>
      <c r="M799" s="1026"/>
      <c r="N799" s="1026"/>
      <c r="O799" s="1026"/>
      <c r="P799" s="1026"/>
      <c r="Q799" s="1026"/>
      <c r="R799" s="1026"/>
      <c r="S799" s="1026"/>
      <c r="T799" s="1026"/>
      <c r="U799" s="1026"/>
      <c r="V799" s="1026"/>
      <c r="W799" s="1026"/>
      <c r="X799" s="1026"/>
      <c r="Y799" s="1026"/>
      <c r="Z799" s="1026"/>
      <c r="AA799" s="1026"/>
      <c r="AB799" s="1026"/>
      <c r="AC799" s="1026"/>
    </row>
    <row r="800" spans="1:29" x14ac:dyDescent="0.25">
      <c r="A800" s="847"/>
      <c r="B800" s="1026"/>
      <c r="C800" s="1026"/>
      <c r="D800" s="1026"/>
      <c r="E800" s="1026"/>
      <c r="F800" s="1026"/>
      <c r="G800" s="1026"/>
      <c r="H800" s="1026"/>
      <c r="I800" s="1026"/>
      <c r="J800" s="1026"/>
      <c r="K800" s="1026"/>
      <c r="L800" s="1026"/>
      <c r="M800" s="1026"/>
      <c r="N800" s="1026"/>
      <c r="O800" s="1026"/>
      <c r="P800" s="1026"/>
      <c r="Q800" s="1026"/>
      <c r="R800" s="1026"/>
      <c r="S800" s="1026"/>
      <c r="T800" s="1026"/>
      <c r="U800" s="1026"/>
      <c r="V800" s="1026"/>
      <c r="W800" s="1026"/>
      <c r="X800" s="1026"/>
      <c r="Y800" s="1026"/>
      <c r="Z800" s="1026"/>
      <c r="AA800" s="1026"/>
      <c r="AB800" s="1026"/>
      <c r="AC800" s="1026"/>
    </row>
    <row r="801" spans="1:29" x14ac:dyDescent="0.25">
      <c r="A801" s="847"/>
      <c r="B801" s="1026"/>
      <c r="C801" s="1026"/>
      <c r="D801" s="1026"/>
      <c r="E801" s="1026"/>
      <c r="F801" s="1026"/>
      <c r="G801" s="1026"/>
      <c r="H801" s="1026"/>
      <c r="I801" s="1026"/>
      <c r="J801" s="1026"/>
      <c r="K801" s="1026"/>
      <c r="L801" s="1026"/>
      <c r="M801" s="1026"/>
      <c r="N801" s="1026"/>
      <c r="O801" s="1026"/>
      <c r="P801" s="1026"/>
      <c r="Q801" s="1026"/>
      <c r="R801" s="1026"/>
      <c r="S801" s="1026"/>
      <c r="T801" s="1026"/>
      <c r="U801" s="1026"/>
      <c r="V801" s="1026"/>
      <c r="W801" s="1026"/>
      <c r="X801" s="1026"/>
      <c r="Y801" s="1026"/>
      <c r="Z801" s="1026"/>
      <c r="AA801" s="1026"/>
      <c r="AB801" s="1026"/>
      <c r="AC801" s="1026"/>
    </row>
    <row r="802" spans="1:29" x14ac:dyDescent="0.25">
      <c r="A802" s="847"/>
      <c r="B802" s="1026"/>
      <c r="C802" s="1026"/>
      <c r="D802" s="1026"/>
      <c r="E802" s="1026"/>
      <c r="F802" s="1026"/>
      <c r="G802" s="1026"/>
      <c r="H802" s="1026"/>
      <c r="I802" s="1026"/>
      <c r="J802" s="1026"/>
      <c r="K802" s="1026"/>
      <c r="L802" s="1026"/>
      <c r="M802" s="1026"/>
      <c r="N802" s="1026"/>
      <c r="O802" s="1026"/>
      <c r="P802" s="1026"/>
      <c r="Q802" s="1026"/>
      <c r="R802" s="1026"/>
      <c r="S802" s="1026"/>
      <c r="T802" s="1026"/>
      <c r="U802" s="1026"/>
      <c r="V802" s="1026"/>
      <c r="W802" s="1026"/>
      <c r="X802" s="1026"/>
      <c r="Y802" s="1026"/>
      <c r="Z802" s="1026"/>
      <c r="AA802" s="1026"/>
      <c r="AB802" s="1026"/>
      <c r="AC802" s="1026"/>
    </row>
    <row r="803" spans="1:29" x14ac:dyDescent="0.25">
      <c r="A803" s="847"/>
      <c r="B803" s="1026"/>
      <c r="C803" s="1026"/>
      <c r="D803" s="1026"/>
      <c r="E803" s="1026"/>
      <c r="F803" s="1026"/>
      <c r="G803" s="1026"/>
      <c r="H803" s="1026"/>
      <c r="I803" s="1026"/>
      <c r="J803" s="1026"/>
      <c r="K803" s="1026"/>
      <c r="L803" s="1026"/>
      <c r="M803" s="1026"/>
      <c r="N803" s="1026"/>
      <c r="O803" s="1026"/>
      <c r="P803" s="1026"/>
      <c r="Q803" s="1026"/>
      <c r="R803" s="1026"/>
      <c r="S803" s="1026"/>
      <c r="T803" s="1026"/>
      <c r="U803" s="1026"/>
      <c r="V803" s="1026"/>
      <c r="W803" s="1026"/>
      <c r="X803" s="1026"/>
      <c r="Y803" s="1026"/>
      <c r="Z803" s="1026"/>
      <c r="AA803" s="1026"/>
      <c r="AB803" s="1026"/>
      <c r="AC803" s="1026"/>
    </row>
    <row r="804" spans="1:29" x14ac:dyDescent="0.25">
      <c r="A804" s="847"/>
      <c r="B804" s="1026"/>
      <c r="C804" s="1026"/>
      <c r="D804" s="1026"/>
      <c r="E804" s="1026"/>
      <c r="F804" s="1026"/>
      <c r="G804" s="1026"/>
      <c r="H804" s="1026"/>
      <c r="I804" s="1026"/>
      <c r="J804" s="1026"/>
      <c r="K804" s="1026"/>
      <c r="L804" s="1026"/>
      <c r="M804" s="1026"/>
      <c r="N804" s="1026"/>
      <c r="O804" s="1026"/>
      <c r="P804" s="1026"/>
      <c r="Q804" s="1026"/>
      <c r="R804" s="1026"/>
      <c r="S804" s="1026"/>
      <c r="T804" s="1026"/>
      <c r="U804" s="1026"/>
      <c r="V804" s="1026"/>
      <c r="W804" s="1026"/>
      <c r="X804" s="1026"/>
      <c r="Y804" s="1026"/>
      <c r="Z804" s="1026"/>
      <c r="AA804" s="1026"/>
      <c r="AB804" s="1026"/>
      <c r="AC804" s="1026"/>
    </row>
    <row r="805" spans="1:29" x14ac:dyDescent="0.25">
      <c r="A805" s="847"/>
      <c r="B805" s="1026"/>
      <c r="C805" s="1026"/>
      <c r="D805" s="1026"/>
      <c r="E805" s="1026"/>
      <c r="F805" s="1026"/>
      <c r="G805" s="1026"/>
      <c r="H805" s="1026"/>
      <c r="I805" s="1026"/>
      <c r="J805" s="1026"/>
      <c r="K805" s="1026"/>
      <c r="L805" s="1026"/>
      <c r="M805" s="1026"/>
      <c r="N805" s="1026"/>
      <c r="O805" s="1026"/>
      <c r="P805" s="1026"/>
      <c r="Q805" s="1026"/>
      <c r="R805" s="1026"/>
      <c r="S805" s="1026"/>
      <c r="T805" s="1026"/>
      <c r="U805" s="1026"/>
      <c r="V805" s="1026"/>
      <c r="W805" s="1026"/>
      <c r="X805" s="1026"/>
      <c r="Y805" s="1026"/>
      <c r="Z805" s="1026"/>
      <c r="AA805" s="1026"/>
      <c r="AB805" s="1026"/>
      <c r="AC805" s="1026"/>
    </row>
    <row r="806" spans="1:29" x14ac:dyDescent="0.25">
      <c r="A806" s="847"/>
      <c r="B806" s="1026"/>
      <c r="C806" s="1026"/>
      <c r="D806" s="1026"/>
      <c r="E806" s="1026"/>
      <c r="F806" s="1026"/>
      <c r="G806" s="1026"/>
      <c r="H806" s="1026"/>
      <c r="I806" s="1026"/>
      <c r="J806" s="1026"/>
      <c r="K806" s="1026"/>
      <c r="L806" s="1026"/>
      <c r="M806" s="1026"/>
      <c r="N806" s="1026"/>
      <c r="O806" s="1026"/>
      <c r="P806" s="1026"/>
      <c r="Q806" s="1026"/>
      <c r="R806" s="1026"/>
      <c r="S806" s="1026"/>
      <c r="T806" s="1026"/>
      <c r="U806" s="1026"/>
      <c r="V806" s="1026"/>
      <c r="W806" s="1026"/>
      <c r="X806" s="1026"/>
      <c r="Y806" s="1026"/>
      <c r="Z806" s="1026"/>
      <c r="AA806" s="1026"/>
      <c r="AB806" s="1026"/>
      <c r="AC806" s="1026"/>
    </row>
    <row r="807" spans="1:29" x14ac:dyDescent="0.25">
      <c r="A807" s="847"/>
      <c r="B807" s="1026"/>
      <c r="C807" s="1026"/>
      <c r="D807" s="1026"/>
      <c r="E807" s="1026"/>
      <c r="F807" s="1026"/>
      <c r="G807" s="1026"/>
      <c r="H807" s="1026"/>
      <c r="I807" s="1026"/>
      <c r="J807" s="1026"/>
      <c r="K807" s="1026"/>
      <c r="L807" s="1026"/>
      <c r="M807" s="1026"/>
      <c r="N807" s="1026"/>
      <c r="O807" s="1026"/>
      <c r="P807" s="1026"/>
      <c r="Q807" s="1026"/>
      <c r="R807" s="1026"/>
      <c r="S807" s="1026"/>
      <c r="T807" s="1026"/>
      <c r="U807" s="1026"/>
      <c r="V807" s="1026"/>
      <c r="W807" s="1026"/>
      <c r="X807" s="1026"/>
      <c r="Y807" s="1026"/>
      <c r="Z807" s="1026"/>
      <c r="AA807" s="1026"/>
      <c r="AB807" s="1026"/>
      <c r="AC807" s="1026"/>
    </row>
    <row r="808" spans="1:29" x14ac:dyDescent="0.25">
      <c r="A808" s="847"/>
      <c r="B808" s="1026"/>
      <c r="C808" s="1026"/>
      <c r="D808" s="1026"/>
      <c r="E808" s="1026"/>
      <c r="F808" s="1026"/>
      <c r="G808" s="1026"/>
      <c r="H808" s="1026"/>
      <c r="I808" s="1026"/>
      <c r="J808" s="1026"/>
      <c r="K808" s="1026"/>
      <c r="L808" s="1026"/>
      <c r="M808" s="1026"/>
      <c r="N808" s="1026"/>
      <c r="O808" s="1026"/>
      <c r="P808" s="1026"/>
      <c r="Q808" s="1026"/>
      <c r="R808" s="1026"/>
      <c r="S808" s="1026"/>
      <c r="T808" s="1026"/>
      <c r="U808" s="1026"/>
      <c r="V808" s="1026"/>
      <c r="W808" s="1026"/>
      <c r="X808" s="1026"/>
      <c r="Y808" s="1026"/>
      <c r="Z808" s="1026"/>
      <c r="AA808" s="1026"/>
      <c r="AB808" s="1026"/>
      <c r="AC808" s="1026"/>
    </row>
    <row r="809" spans="1:29" x14ac:dyDescent="0.25">
      <c r="A809" s="847"/>
      <c r="B809" s="1026"/>
      <c r="C809" s="1026"/>
      <c r="D809" s="1026"/>
      <c r="E809" s="1026"/>
      <c r="F809" s="1026"/>
      <c r="G809" s="1026"/>
      <c r="H809" s="1026"/>
      <c r="I809" s="1026"/>
      <c r="J809" s="1026"/>
      <c r="K809" s="1026"/>
      <c r="L809" s="1026"/>
      <c r="M809" s="1026"/>
      <c r="N809" s="1026"/>
      <c r="O809" s="1026"/>
      <c r="P809" s="1026"/>
      <c r="Q809" s="1026"/>
      <c r="R809" s="1026"/>
      <c r="S809" s="1026"/>
      <c r="T809" s="1026"/>
      <c r="U809" s="1026"/>
      <c r="V809" s="1026"/>
      <c r="W809" s="1026"/>
      <c r="X809" s="1026"/>
      <c r="Y809" s="1026"/>
      <c r="Z809" s="1026"/>
      <c r="AA809" s="1026"/>
      <c r="AB809" s="1026"/>
      <c r="AC809" s="1026"/>
    </row>
    <row r="810" spans="1:29" x14ac:dyDescent="0.25">
      <c r="A810" s="847"/>
      <c r="B810" s="1026"/>
      <c r="C810" s="1026"/>
      <c r="D810" s="1026"/>
      <c r="E810" s="1026"/>
      <c r="F810" s="1026"/>
      <c r="G810" s="1026"/>
      <c r="H810" s="1026"/>
      <c r="I810" s="1026"/>
      <c r="J810" s="1026"/>
      <c r="K810" s="1026"/>
      <c r="L810" s="1026"/>
      <c r="M810" s="1026"/>
      <c r="N810" s="1026"/>
      <c r="O810" s="1026"/>
      <c r="P810" s="1026"/>
      <c r="Q810" s="1026"/>
      <c r="R810" s="1026"/>
      <c r="S810" s="1026"/>
      <c r="T810" s="1026"/>
      <c r="U810" s="1026"/>
      <c r="V810" s="1026"/>
      <c r="W810" s="1026"/>
      <c r="X810" s="1026"/>
      <c r="Y810" s="1026"/>
      <c r="Z810" s="1026"/>
      <c r="AA810" s="1026"/>
      <c r="AB810" s="1026"/>
      <c r="AC810" s="1026"/>
    </row>
    <row r="811" spans="1:29" x14ac:dyDescent="0.25">
      <c r="A811" s="847"/>
      <c r="B811" s="1026"/>
      <c r="C811" s="1026"/>
      <c r="D811" s="1026"/>
      <c r="E811" s="1026"/>
      <c r="F811" s="1026"/>
      <c r="G811" s="1026"/>
      <c r="H811" s="1026"/>
      <c r="I811" s="1026"/>
      <c r="J811" s="1026"/>
      <c r="K811" s="1026"/>
      <c r="L811" s="1026"/>
      <c r="M811" s="1026"/>
      <c r="N811" s="1026"/>
      <c r="O811" s="1026"/>
      <c r="P811" s="1026"/>
      <c r="Q811" s="1026"/>
      <c r="R811" s="1026"/>
      <c r="S811" s="1026"/>
      <c r="T811" s="1026"/>
      <c r="U811" s="1026"/>
      <c r="V811" s="1026"/>
      <c r="W811" s="1026"/>
      <c r="X811" s="1026"/>
      <c r="Y811" s="1026"/>
      <c r="Z811" s="1026"/>
      <c r="AA811" s="1026"/>
      <c r="AB811" s="1026"/>
      <c r="AC811" s="1026"/>
    </row>
    <row r="812" spans="1:29" x14ac:dyDescent="0.25">
      <c r="A812" s="847"/>
      <c r="B812" s="1026"/>
      <c r="C812" s="1026"/>
      <c r="D812" s="1026"/>
      <c r="E812" s="1026"/>
      <c r="F812" s="1026"/>
      <c r="G812" s="1026"/>
      <c r="H812" s="1026"/>
      <c r="I812" s="1026"/>
      <c r="J812" s="1026"/>
      <c r="K812" s="1026"/>
      <c r="L812" s="1026"/>
      <c r="M812" s="1026"/>
      <c r="N812" s="1026"/>
      <c r="O812" s="1026"/>
      <c r="P812" s="1026"/>
      <c r="Q812" s="1026"/>
      <c r="R812" s="1026"/>
      <c r="S812" s="1026"/>
      <c r="T812" s="1026"/>
      <c r="U812" s="1026"/>
      <c r="V812" s="1026"/>
      <c r="W812" s="1026"/>
      <c r="X812" s="1026"/>
      <c r="Y812" s="1026"/>
      <c r="Z812" s="1026"/>
      <c r="AA812" s="1026"/>
      <c r="AB812" s="1026"/>
      <c r="AC812" s="1026"/>
    </row>
    <row r="813" spans="1:29" x14ac:dyDescent="0.25">
      <c r="A813" s="847"/>
      <c r="B813" s="1026"/>
      <c r="C813" s="1026"/>
      <c r="D813" s="1026"/>
      <c r="E813" s="1026"/>
      <c r="F813" s="1026"/>
      <c r="G813" s="1026"/>
      <c r="H813" s="1026"/>
      <c r="I813" s="1026"/>
      <c r="J813" s="1026"/>
      <c r="K813" s="1026"/>
      <c r="L813" s="1026"/>
      <c r="M813" s="1026"/>
      <c r="N813" s="1026"/>
      <c r="O813" s="1026"/>
      <c r="P813" s="1026"/>
      <c r="Q813" s="1026"/>
      <c r="R813" s="1026"/>
      <c r="S813" s="1026"/>
      <c r="T813" s="1026"/>
      <c r="U813" s="1026"/>
      <c r="V813" s="1026"/>
      <c r="W813" s="1026"/>
      <c r="X813" s="1026"/>
      <c r="Y813" s="1026"/>
      <c r="Z813" s="1026"/>
      <c r="AA813" s="1026"/>
      <c r="AB813" s="1026"/>
      <c r="AC813" s="1026"/>
    </row>
    <row r="814" spans="1:29" x14ac:dyDescent="0.25">
      <c r="A814" s="847"/>
      <c r="B814" s="1026"/>
      <c r="C814" s="1026"/>
      <c r="D814" s="1026"/>
      <c r="E814" s="1026"/>
      <c r="F814" s="1026"/>
      <c r="G814" s="1026"/>
      <c r="H814" s="1026"/>
      <c r="I814" s="1026"/>
      <c r="J814" s="1026"/>
      <c r="K814" s="1026"/>
      <c r="L814" s="1026"/>
      <c r="M814" s="1026"/>
      <c r="N814" s="1026"/>
      <c r="O814" s="1026"/>
      <c r="P814" s="1026"/>
      <c r="Q814" s="1026"/>
      <c r="R814" s="1026"/>
      <c r="S814" s="1026"/>
      <c r="T814" s="1026"/>
      <c r="U814" s="1026"/>
      <c r="V814" s="1026"/>
      <c r="W814" s="1026"/>
      <c r="X814" s="1026"/>
      <c r="Y814" s="1026"/>
      <c r="Z814" s="1026"/>
      <c r="AA814" s="1026"/>
      <c r="AB814" s="1026"/>
      <c r="AC814" s="1026"/>
    </row>
    <row r="815" spans="1:29" x14ac:dyDescent="0.25">
      <c r="A815" s="847"/>
      <c r="B815" s="1026"/>
      <c r="C815" s="1026"/>
      <c r="D815" s="1026"/>
      <c r="E815" s="1026"/>
      <c r="F815" s="1026"/>
      <c r="G815" s="1026"/>
      <c r="H815" s="1026"/>
      <c r="I815" s="1026"/>
      <c r="J815" s="1026"/>
      <c r="K815" s="1026"/>
      <c r="L815" s="1026"/>
      <c r="M815" s="1026"/>
      <c r="N815" s="1026"/>
      <c r="O815" s="1026"/>
      <c r="P815" s="1026"/>
      <c r="Q815" s="1026"/>
      <c r="R815" s="1026"/>
      <c r="S815" s="1026"/>
      <c r="T815" s="1026"/>
      <c r="U815" s="1026"/>
      <c r="V815" s="1026"/>
      <c r="W815" s="1026"/>
      <c r="X815" s="1026"/>
      <c r="Y815" s="1026"/>
      <c r="Z815" s="1026"/>
      <c r="AA815" s="1026"/>
      <c r="AB815" s="1026"/>
      <c r="AC815" s="1026"/>
    </row>
    <row r="816" spans="1:29" x14ac:dyDescent="0.25">
      <c r="A816" s="847"/>
      <c r="B816" s="1026"/>
      <c r="C816" s="1026"/>
      <c r="D816" s="1026"/>
      <c r="E816" s="1026"/>
      <c r="F816" s="1026"/>
      <c r="G816" s="1026"/>
      <c r="H816" s="1026"/>
      <c r="I816" s="1026"/>
      <c r="J816" s="1026"/>
      <c r="K816" s="1026"/>
      <c r="L816" s="1026"/>
      <c r="M816" s="1026"/>
      <c r="N816" s="1026"/>
      <c r="O816" s="1026"/>
      <c r="P816" s="1026"/>
      <c r="Q816" s="1026"/>
      <c r="R816" s="1026"/>
      <c r="S816" s="1026"/>
      <c r="T816" s="1026"/>
      <c r="U816" s="1026"/>
      <c r="V816" s="1026"/>
      <c r="W816" s="1026"/>
      <c r="X816" s="1026"/>
      <c r="Y816" s="1026"/>
      <c r="Z816" s="1026"/>
      <c r="AA816" s="1026"/>
      <c r="AB816" s="1026"/>
      <c r="AC816" s="1026"/>
    </row>
    <row r="817" spans="1:29" x14ac:dyDescent="0.25">
      <c r="A817" s="847"/>
      <c r="B817" s="1026"/>
      <c r="C817" s="1026"/>
      <c r="D817" s="1026"/>
      <c r="E817" s="1026"/>
      <c r="F817" s="1026"/>
      <c r="G817" s="1026"/>
      <c r="H817" s="1026"/>
      <c r="I817" s="1026"/>
      <c r="J817" s="1026"/>
      <c r="K817" s="1026"/>
      <c r="L817" s="1026"/>
      <c r="M817" s="1026"/>
      <c r="N817" s="1026"/>
      <c r="O817" s="1026"/>
      <c r="P817" s="1026"/>
      <c r="Q817" s="1026"/>
      <c r="R817" s="1026"/>
      <c r="S817" s="1026"/>
      <c r="T817" s="1026"/>
      <c r="U817" s="1026"/>
      <c r="V817" s="1026"/>
      <c r="W817" s="1026"/>
      <c r="X817" s="1026"/>
      <c r="Y817" s="1026"/>
      <c r="Z817" s="1026"/>
      <c r="AA817" s="1026"/>
      <c r="AB817" s="1026"/>
      <c r="AC817" s="1026"/>
    </row>
    <row r="818" spans="1:29" x14ac:dyDescent="0.25">
      <c r="A818" s="847"/>
      <c r="B818" s="1026"/>
      <c r="C818" s="1026"/>
      <c r="D818" s="1026"/>
      <c r="E818" s="1026"/>
      <c r="F818" s="1026"/>
      <c r="G818" s="1026"/>
      <c r="H818" s="1026"/>
      <c r="I818" s="1026"/>
      <c r="J818" s="1026"/>
      <c r="K818" s="1026"/>
      <c r="L818" s="1026"/>
      <c r="M818" s="1026"/>
      <c r="N818" s="1026"/>
      <c r="O818" s="1026"/>
      <c r="P818" s="1026"/>
      <c r="Q818" s="1026"/>
      <c r="R818" s="1026"/>
      <c r="S818" s="1026"/>
      <c r="T818" s="1026"/>
      <c r="U818" s="1026"/>
      <c r="V818" s="1026"/>
      <c r="W818" s="1026"/>
      <c r="X818" s="1026"/>
      <c r="Y818" s="1026"/>
      <c r="Z818" s="1026"/>
      <c r="AA818" s="1026"/>
      <c r="AB818" s="1026"/>
      <c r="AC818" s="1026"/>
    </row>
    <row r="819" spans="1:29" x14ac:dyDescent="0.25">
      <c r="A819" s="847"/>
      <c r="B819" s="1026"/>
      <c r="C819" s="1026"/>
      <c r="D819" s="1026"/>
      <c r="E819" s="1026"/>
      <c r="F819" s="1026"/>
      <c r="G819" s="1026"/>
      <c r="H819" s="1026"/>
      <c r="I819" s="1026"/>
      <c r="J819" s="1026"/>
      <c r="K819" s="1026"/>
      <c r="L819" s="1026"/>
      <c r="M819" s="1026"/>
      <c r="N819" s="1026"/>
      <c r="O819" s="1026"/>
      <c r="P819" s="1026"/>
      <c r="Q819" s="1026"/>
      <c r="R819" s="1026"/>
      <c r="S819" s="1026"/>
      <c r="T819" s="1026"/>
      <c r="U819" s="1026"/>
      <c r="V819" s="1026"/>
      <c r="W819" s="1026"/>
      <c r="X819" s="1026"/>
      <c r="Y819" s="1026"/>
      <c r="Z819" s="1026"/>
      <c r="AA819" s="1026"/>
      <c r="AB819" s="1026"/>
      <c r="AC819" s="1026"/>
    </row>
    <row r="820" spans="1:29" x14ac:dyDescent="0.25">
      <c r="A820" s="847"/>
      <c r="B820" s="1026"/>
      <c r="C820" s="1026"/>
      <c r="D820" s="1026"/>
      <c r="E820" s="1026"/>
      <c r="F820" s="1026"/>
      <c r="G820" s="1026"/>
      <c r="H820" s="1026"/>
      <c r="I820" s="1026"/>
      <c r="J820" s="1026"/>
      <c r="K820" s="1026"/>
      <c r="L820" s="1026"/>
      <c r="M820" s="1026"/>
      <c r="N820" s="1026"/>
      <c r="O820" s="1026"/>
      <c r="P820" s="1026"/>
      <c r="Q820" s="1026"/>
      <c r="R820" s="1026"/>
      <c r="S820" s="1026"/>
      <c r="T820" s="1026"/>
      <c r="U820" s="1026"/>
      <c r="V820" s="1026"/>
      <c r="W820" s="1026"/>
      <c r="X820" s="1026"/>
      <c r="Y820" s="1026"/>
      <c r="Z820" s="1026"/>
      <c r="AA820" s="1026"/>
      <c r="AB820" s="1026"/>
      <c r="AC820" s="1026"/>
    </row>
    <row r="821" spans="1:29" x14ac:dyDescent="0.25">
      <c r="A821" s="847"/>
      <c r="B821" s="1026"/>
      <c r="C821" s="1026"/>
      <c r="D821" s="1026"/>
      <c r="E821" s="1026"/>
      <c r="F821" s="1026"/>
      <c r="G821" s="1026"/>
      <c r="H821" s="1026"/>
      <c r="I821" s="1026"/>
      <c r="J821" s="1026"/>
      <c r="K821" s="1026"/>
      <c r="L821" s="1026"/>
      <c r="M821" s="1026"/>
      <c r="N821" s="1026"/>
      <c r="O821" s="1026"/>
      <c r="P821" s="1026"/>
      <c r="Q821" s="1026"/>
      <c r="R821" s="1026"/>
      <c r="S821" s="1026"/>
      <c r="T821" s="1026"/>
      <c r="U821" s="1026"/>
      <c r="V821" s="1026"/>
      <c r="W821" s="1026"/>
      <c r="X821" s="1026"/>
      <c r="Y821" s="1026"/>
      <c r="Z821" s="1026"/>
      <c r="AA821" s="1026"/>
      <c r="AB821" s="1026"/>
      <c r="AC821" s="1026"/>
    </row>
    <row r="822" spans="1:29" x14ac:dyDescent="0.25">
      <c r="A822" s="847"/>
      <c r="B822" s="1026"/>
      <c r="C822" s="1026"/>
      <c r="D822" s="1026"/>
      <c r="E822" s="1026"/>
      <c r="F822" s="1026"/>
      <c r="G822" s="1026"/>
      <c r="H822" s="1026"/>
      <c r="I822" s="1026"/>
      <c r="J822" s="1026"/>
      <c r="K822" s="1026"/>
      <c r="L822" s="1026"/>
      <c r="M822" s="1026"/>
      <c r="N822" s="1026"/>
      <c r="O822" s="1026"/>
      <c r="P822" s="1026"/>
      <c r="Q822" s="1026"/>
      <c r="R822" s="1026"/>
      <c r="S822" s="1026"/>
      <c r="T822" s="1026"/>
      <c r="U822" s="1026"/>
      <c r="V822" s="1026"/>
      <c r="W822" s="1026"/>
      <c r="X822" s="1026"/>
      <c r="Y822" s="1026"/>
      <c r="Z822" s="1026"/>
      <c r="AA822" s="1026"/>
      <c r="AB822" s="1026"/>
      <c r="AC822" s="1026"/>
    </row>
    <row r="823" spans="1:29" x14ac:dyDescent="0.25">
      <c r="A823" s="847"/>
      <c r="B823" s="1026"/>
      <c r="C823" s="1026"/>
      <c r="D823" s="1026"/>
      <c r="E823" s="1026"/>
      <c r="F823" s="1026"/>
      <c r="G823" s="1026"/>
      <c r="H823" s="1026"/>
      <c r="I823" s="1026"/>
      <c r="J823" s="1026"/>
      <c r="K823" s="1026"/>
      <c r="L823" s="1026"/>
      <c r="M823" s="1026"/>
      <c r="N823" s="1026"/>
      <c r="O823" s="1026"/>
      <c r="P823" s="1026"/>
      <c r="Q823" s="1026"/>
      <c r="R823" s="1026"/>
      <c r="S823" s="1026"/>
      <c r="T823" s="1026"/>
      <c r="U823" s="1026"/>
      <c r="V823" s="1026"/>
      <c r="W823" s="1026"/>
      <c r="X823" s="1026"/>
      <c r="Y823" s="1026"/>
      <c r="Z823" s="1026"/>
      <c r="AA823" s="1026"/>
      <c r="AB823" s="1026"/>
      <c r="AC823" s="1026"/>
    </row>
    <row r="824" spans="1:29" x14ac:dyDescent="0.25">
      <c r="A824" s="847"/>
      <c r="B824" s="1026"/>
      <c r="C824" s="1026"/>
      <c r="D824" s="1026"/>
      <c r="E824" s="1026"/>
      <c r="F824" s="1026"/>
      <c r="G824" s="1026"/>
      <c r="H824" s="1026"/>
      <c r="I824" s="1026"/>
      <c r="J824" s="1026"/>
      <c r="K824" s="1026"/>
      <c r="L824" s="1026"/>
      <c r="M824" s="1026"/>
      <c r="N824" s="1026"/>
      <c r="O824" s="1026"/>
      <c r="P824" s="1026"/>
      <c r="Q824" s="1026"/>
      <c r="R824" s="1026"/>
      <c r="S824" s="1026"/>
      <c r="T824" s="1026"/>
      <c r="U824" s="1026"/>
      <c r="V824" s="1026"/>
      <c r="W824" s="1026"/>
      <c r="X824" s="1026"/>
      <c r="Y824" s="1026"/>
      <c r="Z824" s="1026"/>
      <c r="AA824" s="1026"/>
      <c r="AB824" s="1026"/>
      <c r="AC824" s="1026"/>
    </row>
    <row r="825" spans="1:29" x14ac:dyDescent="0.25">
      <c r="A825" s="847"/>
      <c r="B825" s="1026"/>
      <c r="C825" s="1026"/>
      <c r="D825" s="1026"/>
      <c r="E825" s="1026"/>
      <c r="F825" s="1026"/>
      <c r="G825" s="1026"/>
      <c r="H825" s="1026"/>
      <c r="I825" s="1026"/>
      <c r="J825" s="1026"/>
      <c r="K825" s="1026"/>
      <c r="L825" s="1026"/>
      <c r="M825" s="1026"/>
      <c r="N825" s="1026"/>
      <c r="O825" s="1026"/>
      <c r="P825" s="1026"/>
      <c r="Q825" s="1026"/>
      <c r="R825" s="1026"/>
      <c r="S825" s="1026"/>
      <c r="T825" s="1026"/>
      <c r="U825" s="1026"/>
      <c r="V825" s="1026"/>
      <c r="W825" s="1026"/>
      <c r="X825" s="1026"/>
      <c r="Y825" s="1026"/>
      <c r="Z825" s="1026"/>
      <c r="AA825" s="1026"/>
      <c r="AB825" s="1026"/>
      <c r="AC825" s="1026"/>
    </row>
    <row r="826" spans="1:29" x14ac:dyDescent="0.25">
      <c r="A826" s="847"/>
      <c r="B826" s="1026"/>
      <c r="C826" s="1026"/>
      <c r="D826" s="1026"/>
      <c r="E826" s="1026"/>
      <c r="F826" s="1026"/>
      <c r="G826" s="1026"/>
      <c r="H826" s="1026"/>
      <c r="I826" s="1026"/>
      <c r="J826" s="1026"/>
      <c r="K826" s="1026"/>
      <c r="L826" s="1026"/>
      <c r="M826" s="1026"/>
      <c r="N826" s="1026"/>
      <c r="O826" s="1026"/>
      <c r="P826" s="1026"/>
      <c r="Q826" s="1026"/>
      <c r="R826" s="1026"/>
      <c r="S826" s="1026"/>
      <c r="T826" s="1026"/>
      <c r="U826" s="1026"/>
      <c r="V826" s="1026"/>
      <c r="W826" s="1026"/>
      <c r="X826" s="1026"/>
      <c r="Y826" s="1026"/>
      <c r="Z826" s="1026"/>
      <c r="AA826" s="1026"/>
      <c r="AB826" s="1026"/>
      <c r="AC826" s="1026"/>
    </row>
    <row r="827" spans="1:29" x14ac:dyDescent="0.25">
      <c r="A827" s="847"/>
      <c r="B827" s="1026"/>
      <c r="C827" s="1026"/>
      <c r="D827" s="1026"/>
      <c r="E827" s="1026"/>
      <c r="F827" s="1026"/>
      <c r="G827" s="1026"/>
      <c r="H827" s="1026"/>
      <c r="I827" s="1026"/>
      <c r="J827" s="1026"/>
      <c r="K827" s="1026"/>
      <c r="L827" s="1026"/>
      <c r="M827" s="1026"/>
      <c r="N827" s="1026"/>
      <c r="O827" s="1026"/>
      <c r="P827" s="1026"/>
      <c r="Q827" s="1026"/>
      <c r="R827" s="1026"/>
      <c r="S827" s="1026"/>
      <c r="T827" s="1026"/>
      <c r="U827" s="1026"/>
      <c r="V827" s="1026"/>
      <c r="W827" s="1026"/>
      <c r="X827" s="1026"/>
      <c r="Y827" s="1026"/>
      <c r="Z827" s="1026"/>
      <c r="AA827" s="1026"/>
      <c r="AB827" s="1026"/>
      <c r="AC827" s="1026"/>
    </row>
    <row r="828" spans="1:29" x14ac:dyDescent="0.25">
      <c r="A828" s="847"/>
      <c r="B828" s="1026"/>
      <c r="C828" s="1026"/>
      <c r="D828" s="1026"/>
      <c r="E828" s="1026"/>
      <c r="F828" s="1026"/>
      <c r="G828" s="1026"/>
      <c r="H828" s="1026"/>
      <c r="I828" s="1026"/>
      <c r="J828" s="1026"/>
      <c r="K828" s="1026"/>
      <c r="L828" s="1026"/>
      <c r="M828" s="1026"/>
      <c r="N828" s="1026"/>
      <c r="O828" s="1026"/>
      <c r="P828" s="1026"/>
      <c r="Q828" s="1026"/>
      <c r="R828" s="1026"/>
      <c r="S828" s="1026"/>
      <c r="T828" s="1026"/>
      <c r="U828" s="1026"/>
      <c r="V828" s="1026"/>
      <c r="W828" s="1026"/>
      <c r="X828" s="1026"/>
      <c r="Y828" s="1026"/>
      <c r="Z828" s="1026"/>
      <c r="AA828" s="1026"/>
      <c r="AB828" s="1026"/>
      <c r="AC828" s="1026"/>
    </row>
    <row r="829" spans="1:29" x14ac:dyDescent="0.25">
      <c r="A829" s="847"/>
      <c r="B829" s="1026"/>
      <c r="C829" s="1026"/>
      <c r="D829" s="1026"/>
      <c r="E829" s="1026"/>
      <c r="F829" s="1026"/>
      <c r="G829" s="1026"/>
      <c r="H829" s="1026"/>
      <c r="I829" s="1026"/>
      <c r="J829" s="1026"/>
      <c r="K829" s="1026"/>
      <c r="L829" s="1026"/>
      <c r="M829" s="1026"/>
      <c r="N829" s="1026"/>
      <c r="O829" s="1026"/>
      <c r="P829" s="1026"/>
      <c r="Q829" s="1026"/>
      <c r="R829" s="1026"/>
      <c r="S829" s="1026"/>
      <c r="T829" s="1026"/>
      <c r="U829" s="1026"/>
      <c r="V829" s="1026"/>
      <c r="W829" s="1026"/>
      <c r="X829" s="1026"/>
      <c r="Y829" s="1026"/>
      <c r="Z829" s="1026"/>
      <c r="AA829" s="1026"/>
      <c r="AB829" s="1026"/>
      <c r="AC829" s="1026"/>
    </row>
    <row r="830" spans="1:29" x14ac:dyDescent="0.25">
      <c r="A830" s="847"/>
      <c r="B830" s="1026"/>
      <c r="C830" s="1026"/>
      <c r="D830" s="1026"/>
      <c r="E830" s="1026"/>
      <c r="F830" s="1026"/>
      <c r="G830" s="1026"/>
      <c r="H830" s="1026"/>
      <c r="I830" s="1026"/>
      <c r="J830" s="1026"/>
      <c r="K830" s="1026"/>
      <c r="L830" s="1026"/>
      <c r="M830" s="1026"/>
      <c r="N830" s="1026"/>
      <c r="O830" s="1026"/>
      <c r="P830" s="1026"/>
      <c r="Q830" s="1026"/>
      <c r="R830" s="1026"/>
      <c r="S830" s="1026"/>
      <c r="T830" s="1026"/>
      <c r="U830" s="1026"/>
      <c r="V830" s="1026"/>
      <c r="W830" s="1026"/>
      <c r="X830" s="1026"/>
      <c r="Y830" s="1026"/>
      <c r="Z830" s="1026"/>
      <c r="AA830" s="1026"/>
      <c r="AB830" s="1026"/>
      <c r="AC830" s="1026"/>
    </row>
    <row r="831" spans="1:29" x14ac:dyDescent="0.25">
      <c r="A831" s="847"/>
      <c r="B831" s="1026"/>
      <c r="C831" s="1026"/>
      <c r="D831" s="1026"/>
      <c r="E831" s="1026"/>
      <c r="F831" s="1026"/>
      <c r="G831" s="1026"/>
      <c r="H831" s="1026"/>
      <c r="I831" s="1026"/>
      <c r="J831" s="1026"/>
      <c r="K831" s="1026"/>
      <c r="L831" s="1026"/>
      <c r="M831" s="1026"/>
      <c r="N831" s="1026"/>
      <c r="O831" s="1026"/>
      <c r="P831" s="1026"/>
      <c r="Q831" s="1026"/>
      <c r="R831" s="1026"/>
      <c r="S831" s="1026"/>
      <c r="T831" s="1026"/>
      <c r="U831" s="1026"/>
      <c r="V831" s="1026"/>
      <c r="W831" s="1026"/>
      <c r="X831" s="1026"/>
      <c r="Y831" s="1026"/>
      <c r="Z831" s="1026"/>
      <c r="AA831" s="1026"/>
      <c r="AB831" s="1026"/>
      <c r="AC831" s="1026"/>
    </row>
    <row r="832" spans="1:29" x14ac:dyDescent="0.25">
      <c r="A832" s="847"/>
      <c r="B832" s="1026"/>
      <c r="C832" s="1026"/>
      <c r="D832" s="1026"/>
      <c r="E832" s="1026"/>
      <c r="F832" s="1026"/>
      <c r="G832" s="1026"/>
      <c r="H832" s="1026"/>
      <c r="I832" s="1026"/>
      <c r="J832" s="1026"/>
      <c r="K832" s="1026"/>
      <c r="L832" s="1026"/>
      <c r="M832" s="1026"/>
      <c r="N832" s="1026"/>
      <c r="O832" s="1026"/>
      <c r="P832" s="1026"/>
      <c r="Q832" s="1026"/>
      <c r="R832" s="1026"/>
      <c r="S832" s="1026"/>
      <c r="T832" s="1026"/>
      <c r="U832" s="1026"/>
      <c r="V832" s="1026"/>
      <c r="W832" s="1026"/>
      <c r="X832" s="1026"/>
      <c r="Y832" s="1026"/>
      <c r="Z832" s="1026"/>
      <c r="AA832" s="1026"/>
      <c r="AB832" s="1026"/>
      <c r="AC832" s="1026"/>
    </row>
    <row r="833" spans="1:29" x14ac:dyDescent="0.25">
      <c r="A833" s="847"/>
      <c r="B833" s="1026"/>
      <c r="C833" s="1026"/>
      <c r="D833" s="1026"/>
      <c r="E833" s="1026"/>
      <c r="F833" s="1026"/>
      <c r="G833" s="1026"/>
      <c r="H833" s="1026"/>
      <c r="I833" s="1026"/>
      <c r="J833" s="1026"/>
      <c r="K833" s="1026"/>
      <c r="L833" s="1026"/>
      <c r="M833" s="1026"/>
      <c r="N833" s="1026"/>
      <c r="O833" s="1026"/>
      <c r="P833" s="1026"/>
      <c r="Q833" s="1026"/>
      <c r="R833" s="1026"/>
      <c r="S833" s="1026"/>
      <c r="T833" s="1026"/>
      <c r="U833" s="1026"/>
      <c r="V833" s="1026"/>
      <c r="W833" s="1026"/>
      <c r="X833" s="1026"/>
      <c r="Y833" s="1026"/>
      <c r="Z833" s="1026"/>
      <c r="AA833" s="1026"/>
      <c r="AB833" s="1026"/>
      <c r="AC833" s="1026"/>
    </row>
    <row r="834" spans="1:29" x14ac:dyDescent="0.25">
      <c r="A834" s="847"/>
      <c r="B834" s="1026"/>
      <c r="C834" s="1026"/>
      <c r="D834" s="1026"/>
      <c r="E834" s="1026"/>
      <c r="F834" s="1026"/>
      <c r="G834" s="1026"/>
      <c r="H834" s="1026"/>
      <c r="I834" s="1026"/>
      <c r="J834" s="1026"/>
      <c r="K834" s="1026"/>
      <c r="L834" s="1026"/>
      <c r="M834" s="1026"/>
      <c r="N834" s="1026"/>
      <c r="O834" s="1026"/>
      <c r="P834" s="1026"/>
      <c r="Q834" s="1026"/>
      <c r="R834" s="1026"/>
      <c r="S834" s="1026"/>
      <c r="T834" s="1026"/>
      <c r="U834" s="1026"/>
      <c r="V834" s="1026"/>
      <c r="W834" s="1026"/>
      <c r="X834" s="1026"/>
      <c r="Y834" s="1026"/>
      <c r="Z834" s="1026"/>
      <c r="AA834" s="1026"/>
      <c r="AB834" s="1026"/>
      <c r="AC834" s="1026"/>
    </row>
    <row r="835" spans="1:29" x14ac:dyDescent="0.25">
      <c r="A835" s="847"/>
      <c r="B835" s="1026"/>
      <c r="C835" s="1026"/>
      <c r="D835" s="1026"/>
      <c r="E835" s="1026"/>
      <c r="F835" s="1026"/>
      <c r="G835" s="1026"/>
      <c r="H835" s="1026"/>
      <c r="I835" s="1026"/>
      <c r="J835" s="1026"/>
      <c r="K835" s="1026"/>
      <c r="L835" s="1026"/>
      <c r="M835" s="1026"/>
      <c r="N835" s="1026"/>
      <c r="O835" s="1026"/>
      <c r="P835" s="1026"/>
      <c r="Q835" s="1026"/>
      <c r="R835" s="1026"/>
      <c r="S835" s="1026"/>
      <c r="T835" s="1026"/>
      <c r="U835" s="1026"/>
      <c r="V835" s="1026"/>
      <c r="W835" s="1026"/>
      <c r="X835" s="1026"/>
      <c r="Y835" s="1026"/>
      <c r="Z835" s="1026"/>
      <c r="AA835" s="1026"/>
      <c r="AB835" s="1026"/>
      <c r="AC835" s="1026"/>
    </row>
    <row r="836" spans="1:29" x14ac:dyDescent="0.25">
      <c r="A836" s="847"/>
      <c r="B836" s="1026"/>
      <c r="C836" s="1026"/>
      <c r="D836" s="1026"/>
      <c r="E836" s="1026"/>
      <c r="F836" s="1026"/>
      <c r="G836" s="1026"/>
      <c r="H836" s="1026"/>
      <c r="I836" s="1026"/>
      <c r="J836" s="1026"/>
      <c r="K836" s="1026"/>
      <c r="L836" s="1026"/>
      <c r="M836" s="1026"/>
      <c r="N836" s="1026"/>
      <c r="O836" s="1026"/>
      <c r="P836" s="1026"/>
      <c r="Q836" s="1026"/>
      <c r="R836" s="1026"/>
      <c r="S836" s="1026"/>
      <c r="T836" s="1026"/>
      <c r="U836" s="1026"/>
      <c r="V836" s="1026"/>
      <c r="W836" s="1026"/>
      <c r="X836" s="1026"/>
      <c r="Y836" s="1026"/>
      <c r="Z836" s="1026"/>
      <c r="AA836" s="1026"/>
      <c r="AB836" s="1026"/>
      <c r="AC836" s="1026"/>
    </row>
    <row r="837" spans="1:29" x14ac:dyDescent="0.25">
      <c r="A837" s="847"/>
      <c r="B837" s="1026"/>
      <c r="C837" s="1026"/>
      <c r="D837" s="1026"/>
      <c r="E837" s="1026"/>
      <c r="F837" s="1026"/>
      <c r="G837" s="1026"/>
      <c r="H837" s="1026"/>
      <c r="I837" s="1026"/>
      <c r="J837" s="1026"/>
      <c r="K837" s="1026"/>
      <c r="L837" s="1026"/>
      <c r="M837" s="1026"/>
      <c r="N837" s="1026"/>
      <c r="O837" s="1026"/>
      <c r="P837" s="1026"/>
      <c r="Q837" s="1026"/>
      <c r="R837" s="1026"/>
      <c r="S837" s="1026"/>
      <c r="T837" s="1026"/>
      <c r="U837" s="1026"/>
      <c r="V837" s="1026"/>
      <c r="W837" s="1026"/>
      <c r="X837" s="1026"/>
      <c r="Y837" s="1026"/>
      <c r="Z837" s="1026"/>
      <c r="AA837" s="1026"/>
      <c r="AB837" s="1026"/>
      <c r="AC837" s="1026"/>
    </row>
    <row r="838" spans="1:29" x14ac:dyDescent="0.25">
      <c r="A838" s="847"/>
      <c r="B838" s="1026"/>
      <c r="C838" s="1026"/>
      <c r="D838" s="1026"/>
      <c r="E838" s="1026"/>
      <c r="F838" s="1026"/>
      <c r="G838" s="1026"/>
      <c r="H838" s="1026"/>
      <c r="I838" s="1026"/>
      <c r="J838" s="1026"/>
      <c r="K838" s="1026"/>
      <c r="L838" s="1026"/>
      <c r="M838" s="1026"/>
      <c r="N838" s="1026"/>
      <c r="O838" s="1026"/>
      <c r="P838" s="1026"/>
      <c r="Q838" s="1026"/>
      <c r="R838" s="1026"/>
      <c r="S838" s="1026"/>
      <c r="T838" s="1026"/>
      <c r="U838" s="1026"/>
      <c r="V838" s="1026"/>
      <c r="W838" s="1026"/>
      <c r="X838" s="1026"/>
      <c r="Y838" s="1026"/>
      <c r="Z838" s="1026"/>
      <c r="AA838" s="1026"/>
      <c r="AB838" s="1026"/>
      <c r="AC838" s="1026"/>
    </row>
    <row r="839" spans="1:29" x14ac:dyDescent="0.25">
      <c r="A839" s="847"/>
      <c r="B839" s="1026"/>
      <c r="C839" s="1026"/>
      <c r="D839" s="1026"/>
      <c r="E839" s="1026"/>
      <c r="F839" s="1026"/>
      <c r="G839" s="1026"/>
      <c r="H839" s="1026"/>
      <c r="I839" s="1026"/>
      <c r="J839" s="1026"/>
      <c r="K839" s="1026"/>
      <c r="L839" s="1026"/>
      <c r="M839" s="1026"/>
      <c r="N839" s="1026"/>
      <c r="O839" s="1026"/>
      <c r="P839" s="1026"/>
      <c r="Q839" s="1026"/>
      <c r="R839" s="1026"/>
      <c r="S839" s="1026"/>
      <c r="T839" s="1026"/>
      <c r="U839" s="1026"/>
      <c r="V839" s="1026"/>
      <c r="W839" s="1026"/>
      <c r="X839" s="1026"/>
      <c r="Y839" s="1026"/>
      <c r="Z839" s="1026"/>
      <c r="AA839" s="1026"/>
      <c r="AB839" s="1026"/>
      <c r="AC839" s="1026"/>
    </row>
    <row r="840" spans="1:29" x14ac:dyDescent="0.25">
      <c r="A840" s="847"/>
      <c r="B840" s="1026"/>
      <c r="C840" s="1026"/>
      <c r="D840" s="1026"/>
      <c r="E840" s="1026"/>
      <c r="F840" s="1026"/>
      <c r="G840" s="1026"/>
      <c r="H840" s="1026"/>
      <c r="I840" s="1026"/>
      <c r="J840" s="1026"/>
      <c r="K840" s="1026"/>
      <c r="L840" s="1026"/>
      <c r="M840" s="1026"/>
      <c r="N840" s="1026"/>
      <c r="O840" s="1026"/>
      <c r="P840" s="1026"/>
      <c r="Q840" s="1026"/>
      <c r="R840" s="1026"/>
      <c r="S840" s="1026"/>
      <c r="T840" s="1026"/>
      <c r="U840" s="1026"/>
      <c r="V840" s="1026"/>
      <c r="W840" s="1026"/>
      <c r="X840" s="1026"/>
      <c r="Y840" s="1026"/>
      <c r="Z840" s="1026"/>
      <c r="AA840" s="1026"/>
      <c r="AB840" s="1026"/>
      <c r="AC840" s="1026"/>
    </row>
    <row r="841" spans="1:29" x14ac:dyDescent="0.25">
      <c r="A841" s="847"/>
      <c r="B841" s="1026"/>
      <c r="C841" s="1026"/>
      <c r="D841" s="1026"/>
      <c r="E841" s="1026"/>
      <c r="F841" s="1026"/>
      <c r="G841" s="1026"/>
      <c r="H841" s="1026"/>
      <c r="I841" s="1026"/>
      <c r="J841" s="1026"/>
      <c r="K841" s="1026"/>
      <c r="L841" s="1026"/>
      <c r="M841" s="1026"/>
      <c r="N841" s="1026"/>
      <c r="O841" s="1026"/>
      <c r="P841" s="1026"/>
      <c r="Q841" s="1026"/>
      <c r="R841" s="1026"/>
      <c r="S841" s="1026"/>
      <c r="T841" s="1026"/>
      <c r="U841" s="1026"/>
      <c r="V841" s="1026"/>
      <c r="W841" s="1026"/>
      <c r="X841" s="1026"/>
      <c r="Y841" s="1026"/>
      <c r="Z841" s="1026"/>
      <c r="AA841" s="1026"/>
      <c r="AB841" s="1026"/>
      <c r="AC841" s="1026"/>
    </row>
    <row r="842" spans="1:29" x14ac:dyDescent="0.25">
      <c r="A842" s="847"/>
      <c r="B842" s="1026"/>
      <c r="C842" s="1026"/>
      <c r="D842" s="1026"/>
      <c r="E842" s="1026"/>
      <c r="F842" s="1026"/>
      <c r="G842" s="1026"/>
      <c r="H842" s="1026"/>
      <c r="I842" s="1026"/>
      <c r="J842" s="1026"/>
      <c r="K842" s="1026"/>
      <c r="L842" s="1026"/>
      <c r="M842" s="1026"/>
      <c r="N842" s="1026"/>
      <c r="O842" s="1026"/>
      <c r="P842" s="1026"/>
      <c r="Q842" s="1026"/>
      <c r="R842" s="1026"/>
      <c r="S842" s="1026"/>
      <c r="T842" s="1026"/>
      <c r="U842" s="1026"/>
      <c r="V842" s="1026"/>
      <c r="W842" s="1026"/>
      <c r="X842" s="1026"/>
      <c r="Y842" s="1026"/>
      <c r="Z842" s="1026"/>
      <c r="AA842" s="1026"/>
      <c r="AB842" s="1026"/>
      <c r="AC842" s="1026"/>
    </row>
    <row r="843" spans="1:29" x14ac:dyDescent="0.25">
      <c r="A843" s="847"/>
      <c r="B843" s="1026"/>
      <c r="C843" s="1026"/>
      <c r="D843" s="1026"/>
      <c r="E843" s="1026"/>
      <c r="F843" s="1026"/>
      <c r="G843" s="1026"/>
      <c r="H843" s="1026"/>
      <c r="I843" s="1026"/>
      <c r="J843" s="1026"/>
      <c r="K843" s="1026"/>
      <c r="L843" s="1026"/>
      <c r="M843" s="1026"/>
      <c r="N843" s="1026"/>
      <c r="O843" s="1026"/>
      <c r="P843" s="1026"/>
      <c r="Q843" s="1026"/>
      <c r="R843" s="1026"/>
      <c r="S843" s="1026"/>
      <c r="T843" s="1026"/>
      <c r="U843" s="1026"/>
      <c r="V843" s="1026"/>
      <c r="W843" s="1026"/>
      <c r="X843" s="1026"/>
      <c r="Y843" s="1026"/>
      <c r="Z843" s="1026"/>
      <c r="AA843" s="1026"/>
      <c r="AB843" s="1026"/>
      <c r="AC843" s="1026"/>
    </row>
    <row r="844" spans="1:29" x14ac:dyDescent="0.25">
      <c r="A844" s="847"/>
      <c r="B844" s="1026"/>
      <c r="C844" s="1026"/>
      <c r="D844" s="1026"/>
      <c r="E844" s="1026"/>
      <c r="F844" s="1026"/>
      <c r="G844" s="1026"/>
      <c r="H844" s="1026"/>
      <c r="I844" s="1026"/>
      <c r="J844" s="1026"/>
      <c r="K844" s="1026"/>
      <c r="L844" s="1026"/>
      <c r="M844" s="1026"/>
      <c r="N844" s="1026"/>
      <c r="O844" s="1026"/>
      <c r="P844" s="1026"/>
      <c r="Q844" s="1026"/>
      <c r="R844" s="1026"/>
      <c r="S844" s="1026"/>
      <c r="T844" s="1026"/>
      <c r="U844" s="1026"/>
      <c r="V844" s="1026"/>
      <c r="W844" s="1026"/>
      <c r="X844" s="1026"/>
      <c r="Y844" s="1026"/>
      <c r="Z844" s="1026"/>
      <c r="AA844" s="1026"/>
      <c r="AB844" s="1026"/>
      <c r="AC844" s="1026"/>
    </row>
    <row r="845" spans="1:29" x14ac:dyDescent="0.25">
      <c r="A845" s="847"/>
      <c r="B845" s="1026"/>
      <c r="C845" s="1026"/>
      <c r="D845" s="1026"/>
      <c r="E845" s="1026"/>
      <c r="F845" s="1026"/>
      <c r="G845" s="1026"/>
      <c r="H845" s="1026"/>
      <c r="I845" s="1026"/>
      <c r="J845" s="1026"/>
      <c r="K845" s="1026"/>
      <c r="L845" s="1026"/>
      <c r="M845" s="1026"/>
      <c r="N845" s="1026"/>
      <c r="O845" s="1026"/>
      <c r="P845" s="1026"/>
      <c r="Q845" s="1026"/>
      <c r="R845" s="1026"/>
      <c r="S845" s="1026"/>
      <c r="T845" s="1026"/>
      <c r="U845" s="1026"/>
      <c r="V845" s="1026"/>
      <c r="W845" s="1026"/>
      <c r="X845" s="1026"/>
      <c r="Y845" s="1026"/>
      <c r="Z845" s="1026"/>
      <c r="AA845" s="1026"/>
      <c r="AB845" s="1026"/>
      <c r="AC845" s="1026"/>
    </row>
    <row r="846" spans="1:29" x14ac:dyDescent="0.25">
      <c r="A846" s="847"/>
      <c r="B846" s="1026"/>
      <c r="C846" s="1026"/>
      <c r="D846" s="1026"/>
      <c r="E846" s="1026"/>
      <c r="F846" s="1026"/>
      <c r="G846" s="1026"/>
      <c r="H846" s="1026"/>
      <c r="I846" s="1026"/>
      <c r="J846" s="1026"/>
      <c r="K846" s="1026"/>
      <c r="L846" s="1026"/>
      <c r="M846" s="1026"/>
      <c r="N846" s="1026"/>
      <c r="O846" s="1026"/>
      <c r="P846" s="1026"/>
      <c r="Q846" s="1026"/>
      <c r="R846" s="1026"/>
      <c r="S846" s="1026"/>
      <c r="T846" s="1026"/>
      <c r="U846" s="1026"/>
      <c r="V846" s="1026"/>
      <c r="W846" s="1026"/>
      <c r="X846" s="1026"/>
      <c r="Y846" s="1026"/>
      <c r="Z846" s="1026"/>
      <c r="AA846" s="1026"/>
      <c r="AB846" s="1026"/>
      <c r="AC846" s="1026"/>
    </row>
    <row r="847" spans="1:29" x14ac:dyDescent="0.25">
      <c r="A847" s="847"/>
      <c r="B847" s="1026"/>
      <c r="C847" s="1026"/>
      <c r="D847" s="1026"/>
      <c r="E847" s="1026"/>
      <c r="F847" s="1026"/>
      <c r="G847" s="1026"/>
      <c r="H847" s="1026"/>
      <c r="I847" s="1026"/>
      <c r="J847" s="1026"/>
      <c r="K847" s="1026"/>
      <c r="L847" s="1026"/>
      <c r="M847" s="1026"/>
      <c r="N847" s="1026"/>
      <c r="O847" s="1026"/>
      <c r="P847" s="1026"/>
      <c r="Q847" s="1026"/>
      <c r="R847" s="1026"/>
      <c r="S847" s="1026"/>
      <c r="T847" s="1026"/>
      <c r="U847" s="1026"/>
      <c r="V847" s="1026"/>
      <c r="W847" s="1026"/>
      <c r="X847" s="1026"/>
      <c r="Y847" s="1026"/>
      <c r="Z847" s="1026"/>
      <c r="AA847" s="1026"/>
      <c r="AB847" s="1026"/>
      <c r="AC847" s="1026"/>
    </row>
    <row r="848" spans="1:29" x14ac:dyDescent="0.25">
      <c r="A848" s="847"/>
      <c r="B848" s="1026"/>
      <c r="C848" s="1026"/>
      <c r="D848" s="1026"/>
      <c r="E848" s="1026"/>
      <c r="F848" s="1026"/>
      <c r="G848" s="1026"/>
      <c r="H848" s="1026"/>
      <c r="I848" s="1026"/>
      <c r="J848" s="1026"/>
      <c r="K848" s="1026"/>
      <c r="L848" s="1026"/>
      <c r="M848" s="1026"/>
      <c r="N848" s="1026"/>
      <c r="O848" s="1026"/>
      <c r="P848" s="1026"/>
      <c r="Q848" s="1026"/>
      <c r="R848" s="1026"/>
      <c r="S848" s="1026"/>
      <c r="T848" s="1026"/>
      <c r="U848" s="1026"/>
      <c r="V848" s="1026"/>
      <c r="W848" s="1026"/>
      <c r="X848" s="1026"/>
      <c r="Y848" s="1026"/>
      <c r="Z848" s="1026"/>
      <c r="AA848" s="1026"/>
      <c r="AB848" s="1026"/>
      <c r="AC848" s="1026"/>
    </row>
    <row r="849" spans="1:29" x14ac:dyDescent="0.25">
      <c r="A849" s="847"/>
      <c r="B849" s="1026"/>
      <c r="C849" s="1026"/>
      <c r="D849" s="1026"/>
      <c r="E849" s="1026"/>
      <c r="F849" s="1026"/>
      <c r="G849" s="1026"/>
      <c r="H849" s="1026"/>
      <c r="I849" s="1026"/>
      <c r="J849" s="1026"/>
      <c r="K849" s="1026"/>
      <c r="L849" s="1026"/>
      <c r="M849" s="1026"/>
      <c r="N849" s="1026"/>
      <c r="O849" s="1026"/>
      <c r="P849" s="1026"/>
      <c r="Q849" s="1026"/>
      <c r="R849" s="1026"/>
      <c r="S849" s="1026"/>
      <c r="T849" s="1026"/>
      <c r="U849" s="1026"/>
      <c r="V849" s="1026"/>
      <c r="W849" s="1026"/>
      <c r="X849" s="1026"/>
      <c r="Y849" s="1026"/>
      <c r="Z849" s="1026"/>
      <c r="AA849" s="1026"/>
      <c r="AB849" s="1026"/>
      <c r="AC849" s="1026"/>
    </row>
    <row r="850" spans="1:29" x14ac:dyDescent="0.25">
      <c r="A850" s="847"/>
      <c r="B850" s="1026"/>
      <c r="C850" s="1026"/>
      <c r="D850" s="1026"/>
      <c r="E850" s="1026"/>
      <c r="F850" s="1026"/>
      <c r="G850" s="1026"/>
      <c r="H850" s="1026"/>
      <c r="I850" s="1026"/>
      <c r="J850" s="1026"/>
      <c r="K850" s="1026"/>
      <c r="L850" s="1026"/>
      <c r="M850" s="1026"/>
      <c r="N850" s="1026"/>
      <c r="O850" s="1026"/>
      <c r="P850" s="1026"/>
      <c r="Q850" s="1026"/>
      <c r="R850" s="1026"/>
      <c r="S850" s="1026"/>
      <c r="T850" s="1026"/>
      <c r="U850" s="1026"/>
      <c r="V850" s="1026"/>
      <c r="W850" s="1026"/>
      <c r="X850" s="1026"/>
      <c r="Y850" s="1026"/>
      <c r="Z850" s="1026"/>
      <c r="AA850" s="1026"/>
      <c r="AB850" s="1026"/>
      <c r="AC850" s="1026"/>
    </row>
    <row r="851" spans="1:29" x14ac:dyDescent="0.25">
      <c r="A851" s="847"/>
      <c r="B851" s="1026"/>
      <c r="C851" s="1026"/>
      <c r="D851" s="1026"/>
      <c r="E851" s="1026"/>
      <c r="F851" s="1026"/>
      <c r="G851" s="1026"/>
      <c r="H851" s="1026"/>
      <c r="I851" s="1026"/>
      <c r="J851" s="1026"/>
      <c r="K851" s="1026"/>
      <c r="L851" s="1026"/>
      <c r="M851" s="1026"/>
      <c r="N851" s="1026"/>
      <c r="O851" s="1026"/>
      <c r="P851" s="1026"/>
      <c r="Q851" s="1026"/>
      <c r="R851" s="1026"/>
      <c r="S851" s="1026"/>
      <c r="T851" s="1026"/>
      <c r="U851" s="1026"/>
      <c r="V851" s="1026"/>
      <c r="W851" s="1026"/>
      <c r="X851" s="1026"/>
      <c r="Y851" s="1026"/>
      <c r="Z851" s="1026"/>
      <c r="AA851" s="1026"/>
      <c r="AB851" s="1026"/>
      <c r="AC851" s="1026"/>
    </row>
    <row r="852" spans="1:29" x14ac:dyDescent="0.25">
      <c r="A852" s="847"/>
      <c r="B852" s="1026"/>
      <c r="C852" s="1026"/>
      <c r="D852" s="1026"/>
      <c r="E852" s="1026"/>
      <c r="F852" s="1026"/>
      <c r="G852" s="1026"/>
      <c r="H852" s="1026"/>
      <c r="I852" s="1026"/>
      <c r="J852" s="1026"/>
      <c r="K852" s="1026"/>
      <c r="L852" s="1026"/>
      <c r="M852" s="1026"/>
      <c r="N852" s="1026"/>
      <c r="O852" s="1026"/>
      <c r="P852" s="1026"/>
      <c r="Q852" s="1026"/>
      <c r="R852" s="1026"/>
      <c r="S852" s="1026"/>
      <c r="T852" s="1026"/>
      <c r="U852" s="1026"/>
      <c r="V852" s="1026"/>
      <c r="W852" s="1026"/>
      <c r="X852" s="1026"/>
      <c r="Y852" s="1026"/>
      <c r="Z852" s="1026"/>
      <c r="AA852" s="1026"/>
      <c r="AB852" s="1026"/>
      <c r="AC852" s="1026"/>
    </row>
    <row r="853" spans="1:29" x14ac:dyDescent="0.25">
      <c r="A853" s="847"/>
      <c r="B853" s="1026"/>
      <c r="C853" s="1026"/>
      <c r="D853" s="1026"/>
      <c r="E853" s="1026"/>
      <c r="F853" s="1026"/>
      <c r="G853" s="1026"/>
      <c r="H853" s="1026"/>
      <c r="I853" s="1026"/>
      <c r="J853" s="1026"/>
      <c r="K853" s="1026"/>
      <c r="L853" s="1026"/>
      <c r="M853" s="1026"/>
      <c r="N853" s="1026"/>
      <c r="O853" s="1026"/>
      <c r="P853" s="1026"/>
      <c r="Q853" s="1026"/>
      <c r="R853" s="1026"/>
      <c r="S853" s="1026"/>
      <c r="T853" s="1026"/>
      <c r="U853" s="1026"/>
      <c r="V853" s="1026"/>
      <c r="W853" s="1026"/>
      <c r="X853" s="1026"/>
      <c r="Y853" s="1026"/>
      <c r="Z853" s="1026"/>
      <c r="AA853" s="1026"/>
      <c r="AB853" s="1026"/>
      <c r="AC853" s="1026"/>
    </row>
    <row r="854" spans="1:29" x14ac:dyDescent="0.25">
      <c r="A854" s="847"/>
      <c r="B854" s="1026"/>
      <c r="C854" s="1026"/>
      <c r="D854" s="1026"/>
      <c r="E854" s="1026"/>
      <c r="F854" s="1026"/>
      <c r="G854" s="1026"/>
      <c r="H854" s="1026"/>
      <c r="I854" s="1026"/>
      <c r="J854" s="1026"/>
      <c r="K854" s="1026"/>
      <c r="L854" s="1026"/>
      <c r="M854" s="1026"/>
      <c r="N854" s="1026"/>
      <c r="O854" s="1026"/>
      <c r="P854" s="1026"/>
      <c r="Q854" s="1026"/>
      <c r="R854" s="1026"/>
      <c r="S854" s="1026"/>
      <c r="T854" s="1026"/>
      <c r="U854" s="1026"/>
      <c r="V854" s="1026"/>
      <c r="W854" s="1026"/>
      <c r="X854" s="1026"/>
      <c r="Y854" s="1026"/>
      <c r="Z854" s="1026"/>
      <c r="AA854" s="1026"/>
      <c r="AB854" s="1026"/>
      <c r="AC854" s="1026"/>
    </row>
    <row r="855" spans="1:29" x14ac:dyDescent="0.25">
      <c r="A855" s="847"/>
      <c r="B855" s="1026"/>
      <c r="C855" s="1026"/>
      <c r="D855" s="1026"/>
      <c r="E855" s="1026"/>
      <c r="F855" s="1026"/>
      <c r="G855" s="1026"/>
      <c r="H855" s="1026"/>
      <c r="I855" s="1026"/>
      <c r="J855" s="1026"/>
      <c r="K855" s="1026"/>
      <c r="L855" s="1026"/>
      <c r="M855" s="1026"/>
      <c r="N855" s="1026"/>
      <c r="O855" s="1026"/>
      <c r="P855" s="1026"/>
      <c r="Q855" s="1026"/>
      <c r="R855" s="1026"/>
      <c r="S855" s="1026"/>
      <c r="T855" s="1026"/>
      <c r="U855" s="1026"/>
      <c r="V855" s="1026"/>
      <c r="W855" s="1026"/>
      <c r="X855" s="1026"/>
      <c r="Y855" s="1026"/>
      <c r="Z855" s="1026"/>
      <c r="AA855" s="1026"/>
      <c r="AB855" s="1026"/>
      <c r="AC855" s="1026"/>
    </row>
    <row r="856" spans="1:29" x14ac:dyDescent="0.25">
      <c r="A856" s="847"/>
      <c r="B856" s="1026"/>
      <c r="C856" s="1026"/>
      <c r="D856" s="1026"/>
      <c r="E856" s="1026"/>
      <c r="F856" s="1026"/>
      <c r="G856" s="1026"/>
      <c r="H856" s="1026"/>
      <c r="I856" s="1026"/>
      <c r="J856" s="1026"/>
      <c r="K856" s="1026"/>
      <c r="L856" s="1026"/>
      <c r="M856" s="1026"/>
      <c r="N856" s="1026"/>
      <c r="O856" s="1026"/>
      <c r="P856" s="1026"/>
      <c r="Q856" s="1026"/>
      <c r="R856" s="1026"/>
      <c r="S856" s="1026"/>
      <c r="T856" s="1026"/>
      <c r="U856" s="1026"/>
      <c r="V856" s="1026"/>
      <c r="W856" s="1026"/>
      <c r="X856" s="1026"/>
      <c r="Y856" s="1026"/>
      <c r="Z856" s="1026"/>
      <c r="AA856" s="1026"/>
      <c r="AB856" s="1026"/>
      <c r="AC856" s="1026"/>
    </row>
    <row r="857" spans="1:29" x14ac:dyDescent="0.25">
      <c r="A857" s="847"/>
      <c r="B857" s="1026"/>
      <c r="C857" s="1026"/>
      <c r="D857" s="1026"/>
      <c r="E857" s="1026"/>
      <c r="F857" s="1026"/>
      <c r="G857" s="1026"/>
      <c r="H857" s="1026"/>
      <c r="I857" s="1026"/>
      <c r="J857" s="1026"/>
      <c r="K857" s="1026"/>
      <c r="L857" s="1026"/>
      <c r="M857" s="1026"/>
      <c r="N857" s="1026"/>
      <c r="O857" s="1026"/>
      <c r="P857" s="1026"/>
      <c r="Q857" s="1026"/>
      <c r="R857" s="1026"/>
      <c r="S857" s="1026"/>
      <c r="T857" s="1026"/>
      <c r="U857" s="1026"/>
      <c r="V857" s="1026"/>
      <c r="W857" s="1026"/>
      <c r="X857" s="1026"/>
      <c r="Y857" s="1026"/>
      <c r="Z857" s="1026"/>
      <c r="AA857" s="1026"/>
      <c r="AB857" s="1026"/>
      <c r="AC857" s="1026"/>
    </row>
    <row r="858" spans="1:29" x14ac:dyDescent="0.25">
      <c r="A858" s="847"/>
      <c r="B858" s="1026"/>
      <c r="C858" s="1026"/>
      <c r="D858" s="1026"/>
      <c r="E858" s="1026"/>
      <c r="F858" s="1026"/>
      <c r="G858" s="1026"/>
      <c r="H858" s="1026"/>
      <c r="I858" s="1026"/>
      <c r="J858" s="1026"/>
      <c r="K858" s="1026"/>
      <c r="L858" s="1026"/>
      <c r="M858" s="1026"/>
      <c r="N858" s="1026"/>
      <c r="O858" s="1026"/>
      <c r="P858" s="1026"/>
      <c r="Q858" s="1026"/>
      <c r="R858" s="1026"/>
      <c r="S858" s="1026"/>
      <c r="T858" s="1026"/>
      <c r="U858" s="1026"/>
      <c r="V858" s="1026"/>
      <c r="W858" s="1026"/>
      <c r="X858" s="1026"/>
      <c r="Y858" s="1026"/>
      <c r="Z858" s="1026"/>
      <c r="AA858" s="1026"/>
      <c r="AB858" s="1026"/>
      <c r="AC858" s="1026"/>
    </row>
    <row r="859" spans="1:29" x14ac:dyDescent="0.25">
      <c r="A859" s="847"/>
      <c r="B859" s="1026"/>
      <c r="C859" s="1026"/>
      <c r="D859" s="1026"/>
      <c r="E859" s="1026"/>
      <c r="F859" s="1026"/>
      <c r="G859" s="1026"/>
      <c r="H859" s="1026"/>
      <c r="I859" s="1026"/>
      <c r="J859" s="1026"/>
      <c r="K859" s="1026"/>
      <c r="L859" s="1026"/>
      <c r="M859" s="1026"/>
      <c r="N859" s="1026"/>
      <c r="O859" s="1026"/>
      <c r="P859" s="1026"/>
      <c r="Q859" s="1026"/>
      <c r="R859" s="1026"/>
      <c r="S859" s="1026"/>
      <c r="T859" s="1026"/>
      <c r="U859" s="1026"/>
      <c r="V859" s="1026"/>
      <c r="W859" s="1026"/>
      <c r="X859" s="1026"/>
      <c r="Y859" s="1026"/>
      <c r="Z859" s="1026"/>
      <c r="AA859" s="1026"/>
      <c r="AB859" s="1026"/>
      <c r="AC859" s="1026"/>
    </row>
    <row r="860" spans="1:29" x14ac:dyDescent="0.25">
      <c r="A860" s="847"/>
      <c r="B860" s="1026"/>
      <c r="C860" s="1026"/>
      <c r="D860" s="1026"/>
      <c r="E860" s="1026"/>
      <c r="F860" s="1026"/>
      <c r="G860" s="1026"/>
      <c r="H860" s="1026"/>
      <c r="I860" s="1026"/>
      <c r="J860" s="1026"/>
      <c r="K860" s="1026"/>
      <c r="L860" s="1026"/>
      <c r="M860" s="1026"/>
      <c r="N860" s="1026"/>
      <c r="O860" s="1026"/>
      <c r="P860" s="1026"/>
      <c r="Q860" s="1026"/>
      <c r="R860" s="1026"/>
      <c r="S860" s="1026"/>
      <c r="T860" s="1026"/>
      <c r="U860" s="1026"/>
      <c r="V860" s="1026"/>
      <c r="W860" s="1026"/>
      <c r="X860" s="1026"/>
      <c r="Y860" s="1026"/>
      <c r="Z860" s="1026"/>
      <c r="AA860" s="1026"/>
      <c r="AB860" s="1026"/>
      <c r="AC860" s="1026"/>
    </row>
    <row r="861" spans="1:29" x14ac:dyDescent="0.25">
      <c r="A861" s="847"/>
      <c r="B861" s="1026"/>
      <c r="C861" s="1026"/>
      <c r="D861" s="1026"/>
      <c r="E861" s="1026"/>
      <c r="F861" s="1026"/>
      <c r="G861" s="1026"/>
      <c r="H861" s="1026"/>
      <c r="I861" s="1026"/>
      <c r="J861" s="1026"/>
      <c r="K861" s="1026"/>
      <c r="L861" s="1026"/>
      <c r="M861" s="1026"/>
      <c r="N861" s="1026"/>
      <c r="O861" s="1026"/>
      <c r="P861" s="1026"/>
      <c r="Q861" s="1026"/>
      <c r="R861" s="1026"/>
      <c r="S861" s="1026"/>
      <c r="T861" s="1026"/>
      <c r="U861" s="1026"/>
      <c r="V861" s="1026"/>
      <c r="W861" s="1026"/>
      <c r="X861" s="1026"/>
      <c r="Y861" s="1026"/>
      <c r="Z861" s="1026"/>
      <c r="AA861" s="1026"/>
      <c r="AB861" s="1026"/>
      <c r="AC861" s="1026"/>
    </row>
    <row r="862" spans="1:29" x14ac:dyDescent="0.25">
      <c r="A862" s="847"/>
      <c r="B862" s="1026"/>
      <c r="C862" s="1026"/>
      <c r="D862" s="1026"/>
      <c r="E862" s="1026"/>
      <c r="F862" s="1026"/>
      <c r="G862" s="1026"/>
      <c r="H862" s="1026"/>
      <c r="I862" s="1026"/>
      <c r="J862" s="1026"/>
      <c r="K862" s="1026"/>
      <c r="L862" s="1026"/>
      <c r="M862" s="1026"/>
      <c r="N862" s="1026"/>
      <c r="O862" s="1026"/>
      <c r="P862" s="1026"/>
      <c r="Q862" s="1026"/>
      <c r="R862" s="1026"/>
      <c r="S862" s="1026"/>
      <c r="T862" s="1026"/>
      <c r="U862" s="1026"/>
      <c r="V862" s="1026"/>
      <c r="W862" s="1026"/>
      <c r="X862" s="1026"/>
      <c r="Y862" s="1026"/>
      <c r="Z862" s="1026"/>
      <c r="AA862" s="1026"/>
      <c r="AB862" s="1026"/>
      <c r="AC862" s="1026"/>
    </row>
    <row r="863" spans="1:29" x14ac:dyDescent="0.25">
      <c r="A863" s="847"/>
      <c r="B863" s="1026"/>
      <c r="C863" s="1026"/>
      <c r="D863" s="1026"/>
      <c r="E863" s="1026"/>
      <c r="F863" s="1026"/>
      <c r="G863" s="1026"/>
      <c r="H863" s="1026"/>
      <c r="I863" s="1026"/>
      <c r="J863" s="1026"/>
      <c r="K863" s="1026"/>
      <c r="L863" s="1026"/>
      <c r="M863" s="1026"/>
      <c r="N863" s="1026"/>
      <c r="O863" s="1026"/>
      <c r="P863" s="1026"/>
      <c r="Q863" s="1026"/>
      <c r="R863" s="1026"/>
      <c r="S863" s="1026"/>
      <c r="T863" s="1026"/>
      <c r="U863" s="1026"/>
      <c r="V863" s="1026"/>
      <c r="W863" s="1026"/>
      <c r="X863" s="1026"/>
      <c r="Y863" s="1026"/>
      <c r="Z863" s="1026"/>
      <c r="AA863" s="1026"/>
      <c r="AB863" s="1026"/>
      <c r="AC863" s="1026"/>
    </row>
    <row r="864" spans="1:29" x14ac:dyDescent="0.25">
      <c r="A864" s="847"/>
      <c r="B864" s="1026"/>
      <c r="C864" s="1026"/>
      <c r="D864" s="1026"/>
      <c r="E864" s="1026"/>
      <c r="F864" s="1026"/>
      <c r="G864" s="1026"/>
      <c r="H864" s="1026"/>
      <c r="I864" s="1026"/>
      <c r="J864" s="1026"/>
      <c r="K864" s="1026"/>
      <c r="L864" s="1026"/>
      <c r="M864" s="1026"/>
      <c r="N864" s="1026"/>
      <c r="O864" s="1026"/>
      <c r="P864" s="1026"/>
      <c r="Q864" s="1026"/>
      <c r="R864" s="1026"/>
      <c r="S864" s="1026"/>
      <c r="T864" s="1026"/>
      <c r="U864" s="1026"/>
      <c r="V864" s="1026"/>
      <c r="W864" s="1026"/>
      <c r="X864" s="1026"/>
      <c r="Y864" s="1026"/>
      <c r="Z864" s="1026"/>
      <c r="AA864" s="1026"/>
      <c r="AB864" s="1026"/>
      <c r="AC864" s="1026"/>
    </row>
    <row r="865" spans="1:29" x14ac:dyDescent="0.25">
      <c r="A865" s="847"/>
      <c r="B865" s="1026"/>
      <c r="C865" s="1026"/>
      <c r="D865" s="1026"/>
      <c r="E865" s="1026"/>
      <c r="F865" s="1026"/>
      <c r="G865" s="1026"/>
      <c r="H865" s="1026"/>
      <c r="I865" s="1026"/>
      <c r="J865" s="1026"/>
      <c r="K865" s="1026"/>
      <c r="L865" s="1026"/>
      <c r="M865" s="1026"/>
      <c r="N865" s="1026"/>
      <c r="O865" s="1026"/>
      <c r="P865" s="1026"/>
      <c r="Q865" s="1026"/>
      <c r="R865" s="1026"/>
      <c r="S865" s="1026"/>
      <c r="T865" s="1026"/>
      <c r="U865" s="1026"/>
      <c r="V865" s="1026"/>
      <c r="W865" s="1026"/>
      <c r="X865" s="1026"/>
      <c r="Y865" s="1026"/>
      <c r="Z865" s="1026"/>
      <c r="AA865" s="1026"/>
      <c r="AB865" s="1026"/>
      <c r="AC865" s="1026"/>
    </row>
    <row r="866" spans="1:29" x14ac:dyDescent="0.25">
      <c r="A866" s="847"/>
      <c r="B866" s="1026"/>
      <c r="C866" s="1026"/>
      <c r="D866" s="1026"/>
      <c r="E866" s="1026"/>
      <c r="F866" s="1026"/>
      <c r="G866" s="1026"/>
      <c r="H866" s="1026"/>
      <c r="I866" s="1026"/>
      <c r="J866" s="1026"/>
      <c r="K866" s="1026"/>
      <c r="L866" s="1026"/>
      <c r="M866" s="1026"/>
      <c r="N866" s="1026"/>
      <c r="O866" s="1026"/>
      <c r="P866" s="1026"/>
      <c r="Q866" s="1026"/>
      <c r="R866" s="1026"/>
      <c r="S866" s="1026"/>
      <c r="T866" s="1026"/>
      <c r="U866" s="1026"/>
      <c r="V866" s="1026"/>
      <c r="W866" s="1026"/>
      <c r="X866" s="1026"/>
      <c r="Y866" s="1026"/>
      <c r="Z866" s="1026"/>
      <c r="AA866" s="1026"/>
      <c r="AB866" s="1026"/>
      <c r="AC866" s="1026"/>
    </row>
    <row r="867" spans="1:29" x14ac:dyDescent="0.25">
      <c r="A867" s="847"/>
      <c r="B867" s="1026"/>
      <c r="C867" s="1026"/>
      <c r="D867" s="1026"/>
      <c r="E867" s="1026"/>
      <c r="F867" s="1026"/>
      <c r="G867" s="1026"/>
      <c r="H867" s="1026"/>
      <c r="I867" s="1026"/>
      <c r="J867" s="1026"/>
      <c r="K867" s="1026"/>
      <c r="L867" s="1026"/>
      <c r="M867" s="1026"/>
      <c r="N867" s="1026"/>
      <c r="O867" s="1026"/>
      <c r="P867" s="1026"/>
      <c r="Q867" s="1026"/>
      <c r="R867" s="1026"/>
      <c r="S867" s="1026"/>
      <c r="T867" s="1026"/>
      <c r="U867" s="1026"/>
      <c r="V867" s="1026"/>
      <c r="W867" s="1026"/>
      <c r="X867" s="1026"/>
      <c r="Y867" s="1026"/>
      <c r="Z867" s="1026"/>
      <c r="AA867" s="1026"/>
      <c r="AB867" s="1026"/>
      <c r="AC867" s="1026"/>
    </row>
    <row r="868" spans="1:29" x14ac:dyDescent="0.25">
      <c r="A868" s="847"/>
      <c r="B868" s="1026"/>
      <c r="C868" s="1026"/>
      <c r="D868" s="1026"/>
      <c r="E868" s="1026"/>
      <c r="F868" s="1026"/>
      <c r="G868" s="1026"/>
      <c r="H868" s="1026"/>
      <c r="I868" s="1026"/>
      <c r="J868" s="1026"/>
      <c r="K868" s="1026"/>
      <c r="L868" s="1026"/>
      <c r="M868" s="1026"/>
      <c r="N868" s="1026"/>
      <c r="O868" s="1026"/>
      <c r="P868" s="1026"/>
      <c r="Q868" s="1026"/>
      <c r="R868" s="1026"/>
      <c r="S868" s="1026"/>
      <c r="T868" s="1026"/>
      <c r="U868" s="1026"/>
      <c r="V868" s="1026"/>
      <c r="W868" s="1026"/>
      <c r="X868" s="1026"/>
      <c r="Y868" s="1026"/>
      <c r="Z868" s="1026"/>
      <c r="AA868" s="1026"/>
      <c r="AB868" s="1026"/>
      <c r="AC868" s="1026"/>
    </row>
    <row r="869" spans="1:29" x14ac:dyDescent="0.25">
      <c r="A869" s="847"/>
      <c r="B869" s="1026"/>
      <c r="C869" s="1026"/>
      <c r="D869" s="1026"/>
      <c r="E869" s="1026"/>
      <c r="F869" s="1026"/>
      <c r="G869" s="1026"/>
      <c r="H869" s="1026"/>
      <c r="I869" s="1026"/>
      <c r="J869" s="1026"/>
      <c r="K869" s="1026"/>
      <c r="L869" s="1026"/>
      <c r="M869" s="1026"/>
      <c r="N869" s="1026"/>
      <c r="O869" s="1026"/>
      <c r="P869" s="1026"/>
      <c r="Q869" s="1026"/>
      <c r="R869" s="1026"/>
      <c r="S869" s="1026"/>
      <c r="T869" s="1026"/>
      <c r="U869" s="1026"/>
      <c r="V869" s="1026"/>
      <c r="W869" s="1026"/>
      <c r="X869" s="1026"/>
      <c r="Y869" s="1026"/>
      <c r="Z869" s="1026"/>
      <c r="AA869" s="1026"/>
      <c r="AB869" s="1026"/>
      <c r="AC869" s="1026"/>
    </row>
    <row r="870" spans="1:29" x14ac:dyDescent="0.25">
      <c r="A870" s="847"/>
      <c r="B870" s="1026"/>
      <c r="C870" s="1026"/>
      <c r="D870" s="1026"/>
      <c r="E870" s="1026"/>
      <c r="F870" s="1026"/>
      <c r="G870" s="1026"/>
      <c r="H870" s="1026"/>
      <c r="I870" s="1026"/>
      <c r="J870" s="1026"/>
      <c r="K870" s="1026"/>
      <c r="L870" s="1026"/>
      <c r="M870" s="1026"/>
      <c r="N870" s="1026"/>
      <c r="O870" s="1026"/>
      <c r="P870" s="1026"/>
      <c r="Q870" s="1026"/>
      <c r="R870" s="1026"/>
      <c r="S870" s="1026"/>
      <c r="T870" s="1026"/>
      <c r="U870" s="1026"/>
      <c r="V870" s="1026"/>
      <c r="W870" s="1026"/>
      <c r="X870" s="1026"/>
      <c r="Y870" s="1026"/>
      <c r="Z870" s="1026"/>
      <c r="AA870" s="1026"/>
      <c r="AB870" s="1026"/>
      <c r="AC870" s="1026"/>
    </row>
    <row r="871" spans="1:29" x14ac:dyDescent="0.25">
      <c r="A871" s="847"/>
      <c r="B871" s="1026"/>
      <c r="C871" s="1026"/>
      <c r="D871" s="1026"/>
      <c r="E871" s="1026"/>
      <c r="F871" s="1026"/>
      <c r="G871" s="1026"/>
      <c r="H871" s="1026"/>
      <c r="I871" s="1026"/>
      <c r="J871" s="1026"/>
      <c r="K871" s="1026"/>
      <c r="L871" s="1026"/>
      <c r="M871" s="1026"/>
      <c r="N871" s="1026"/>
      <c r="O871" s="1026"/>
      <c r="P871" s="1026"/>
      <c r="Q871" s="1026"/>
      <c r="R871" s="1026"/>
      <c r="S871" s="1026"/>
      <c r="T871" s="1026"/>
      <c r="U871" s="1026"/>
      <c r="V871" s="1026"/>
      <c r="W871" s="1026"/>
      <c r="X871" s="1026"/>
      <c r="Y871" s="1026"/>
      <c r="Z871" s="1026"/>
      <c r="AA871" s="1026"/>
      <c r="AB871" s="1026"/>
      <c r="AC871" s="1026"/>
    </row>
    <row r="872" spans="1:29" x14ac:dyDescent="0.25">
      <c r="A872" s="847"/>
      <c r="B872" s="1026"/>
      <c r="C872" s="1026"/>
      <c r="D872" s="1026"/>
      <c r="E872" s="1026"/>
      <c r="F872" s="1026"/>
      <c r="G872" s="1026"/>
      <c r="H872" s="1026"/>
      <c r="I872" s="1026"/>
      <c r="J872" s="1026"/>
      <c r="K872" s="1026"/>
      <c r="L872" s="1026"/>
      <c r="M872" s="1026"/>
      <c r="N872" s="1026"/>
      <c r="O872" s="1026"/>
      <c r="P872" s="1026"/>
      <c r="Q872" s="1026"/>
      <c r="R872" s="1026"/>
      <c r="S872" s="1026"/>
      <c r="T872" s="1026"/>
      <c r="U872" s="1026"/>
      <c r="V872" s="1026"/>
      <c r="W872" s="1026"/>
      <c r="X872" s="1026"/>
      <c r="Y872" s="1026"/>
      <c r="Z872" s="1026"/>
      <c r="AA872" s="1026"/>
      <c r="AB872" s="1026"/>
      <c r="AC872" s="1026"/>
    </row>
    <row r="873" spans="1:29" x14ac:dyDescent="0.25">
      <c r="A873" s="847"/>
      <c r="B873" s="1026"/>
      <c r="C873" s="1026"/>
      <c r="D873" s="1026"/>
      <c r="E873" s="1026"/>
      <c r="F873" s="1026"/>
      <c r="G873" s="1026"/>
      <c r="H873" s="1026"/>
      <c r="I873" s="1026"/>
      <c r="J873" s="1026"/>
      <c r="K873" s="1026"/>
      <c r="L873" s="1026"/>
      <c r="M873" s="1026"/>
      <c r="N873" s="1026"/>
      <c r="O873" s="1026"/>
      <c r="P873" s="1026"/>
      <c r="Q873" s="1026"/>
      <c r="R873" s="1026"/>
      <c r="S873" s="1026"/>
      <c r="T873" s="1026"/>
      <c r="U873" s="1026"/>
      <c r="V873" s="1026"/>
      <c r="W873" s="1026"/>
      <c r="X873" s="1026"/>
      <c r="Y873" s="1026"/>
      <c r="Z873" s="1026"/>
      <c r="AA873" s="1026"/>
      <c r="AB873" s="1026"/>
      <c r="AC873" s="1026"/>
    </row>
    <row r="874" spans="1:29" x14ac:dyDescent="0.25">
      <c r="A874" s="847"/>
      <c r="B874" s="1026"/>
      <c r="C874" s="1026"/>
      <c r="D874" s="1026"/>
      <c r="E874" s="1026"/>
      <c r="F874" s="1026"/>
      <c r="G874" s="1026"/>
      <c r="H874" s="1026"/>
      <c r="I874" s="1026"/>
      <c r="J874" s="1026"/>
      <c r="K874" s="1026"/>
      <c r="L874" s="1026"/>
      <c r="M874" s="1026"/>
      <c r="N874" s="1026"/>
      <c r="O874" s="1026"/>
      <c r="P874" s="1026"/>
      <c r="Q874" s="1026"/>
      <c r="R874" s="1026"/>
      <c r="S874" s="1026"/>
      <c r="T874" s="1026"/>
      <c r="U874" s="1026"/>
      <c r="V874" s="1026"/>
      <c r="W874" s="1026"/>
      <c r="X874" s="1026"/>
      <c r="Y874" s="1026"/>
      <c r="Z874" s="1026"/>
      <c r="AA874" s="1026"/>
      <c r="AB874" s="1026"/>
      <c r="AC874" s="1026"/>
    </row>
    <row r="875" spans="1:29" x14ac:dyDescent="0.25">
      <c r="A875" s="847"/>
      <c r="B875" s="1026"/>
      <c r="C875" s="1026"/>
      <c r="D875" s="1026"/>
      <c r="E875" s="1026"/>
      <c r="F875" s="1026"/>
      <c r="G875" s="1026"/>
      <c r="H875" s="1026"/>
      <c r="I875" s="1026"/>
      <c r="J875" s="1026"/>
      <c r="K875" s="1026"/>
      <c r="L875" s="1026"/>
      <c r="M875" s="1026"/>
      <c r="N875" s="1026"/>
      <c r="O875" s="1026"/>
      <c r="P875" s="1026"/>
      <c r="Q875" s="1026"/>
      <c r="R875" s="1026"/>
      <c r="S875" s="1026"/>
      <c r="T875" s="1026"/>
      <c r="U875" s="1026"/>
      <c r="V875" s="1026"/>
      <c r="W875" s="1026"/>
      <c r="X875" s="1026"/>
      <c r="Y875" s="1026"/>
      <c r="Z875" s="1026"/>
      <c r="AA875" s="1026"/>
      <c r="AB875" s="1026"/>
      <c r="AC875" s="1026"/>
    </row>
    <row r="876" spans="1:29" x14ac:dyDescent="0.25">
      <c r="A876" s="847"/>
      <c r="B876" s="1026"/>
      <c r="C876" s="1026"/>
      <c r="D876" s="1026"/>
      <c r="E876" s="1026"/>
      <c r="F876" s="1026"/>
      <c r="G876" s="1026"/>
      <c r="H876" s="1026"/>
      <c r="I876" s="1026"/>
      <c r="J876" s="1026"/>
      <c r="K876" s="1026"/>
      <c r="L876" s="1026"/>
      <c r="M876" s="1026"/>
      <c r="N876" s="1026"/>
      <c r="O876" s="1026"/>
      <c r="P876" s="1026"/>
      <c r="Q876" s="1026"/>
      <c r="R876" s="1026"/>
      <c r="S876" s="1026"/>
      <c r="T876" s="1026"/>
      <c r="U876" s="1026"/>
      <c r="V876" s="1026"/>
      <c r="W876" s="1026"/>
      <c r="X876" s="1026"/>
      <c r="Y876" s="1026"/>
      <c r="Z876" s="1026"/>
      <c r="AA876" s="1026"/>
      <c r="AB876" s="1026"/>
      <c r="AC876" s="1026"/>
    </row>
    <row r="877" spans="1:29" x14ac:dyDescent="0.25">
      <c r="A877" s="847"/>
      <c r="B877" s="1026"/>
      <c r="C877" s="1026"/>
      <c r="D877" s="1026"/>
      <c r="E877" s="1026"/>
      <c r="F877" s="1026"/>
      <c r="G877" s="1026"/>
      <c r="H877" s="1026"/>
      <c r="I877" s="1026"/>
      <c r="J877" s="1026"/>
      <c r="K877" s="1026"/>
      <c r="L877" s="1026"/>
      <c r="M877" s="1026"/>
      <c r="N877" s="1026"/>
      <c r="O877" s="1026"/>
      <c r="P877" s="1026"/>
      <c r="Q877" s="1026"/>
      <c r="R877" s="1026"/>
      <c r="S877" s="1026"/>
      <c r="T877" s="1026"/>
      <c r="U877" s="1026"/>
      <c r="V877" s="1026"/>
      <c r="W877" s="1026"/>
      <c r="X877" s="1026"/>
      <c r="Y877" s="1026"/>
      <c r="Z877" s="1026"/>
      <c r="AA877" s="1026"/>
      <c r="AB877" s="1026"/>
      <c r="AC877" s="1026"/>
    </row>
    <row r="878" spans="1:29" x14ac:dyDescent="0.25">
      <c r="A878" s="847"/>
      <c r="B878" s="1026"/>
      <c r="C878" s="1026"/>
      <c r="D878" s="1026"/>
      <c r="E878" s="1026"/>
      <c r="F878" s="1026"/>
      <c r="G878" s="1026"/>
      <c r="H878" s="1026"/>
      <c r="I878" s="1026"/>
      <c r="J878" s="1026"/>
      <c r="K878" s="1026"/>
      <c r="L878" s="1026"/>
      <c r="M878" s="1026"/>
      <c r="N878" s="1026"/>
      <c r="O878" s="1026"/>
      <c r="P878" s="1026"/>
      <c r="Q878" s="1026"/>
      <c r="R878" s="1026"/>
      <c r="S878" s="1026"/>
      <c r="T878" s="1026"/>
      <c r="U878" s="1026"/>
      <c r="V878" s="1026"/>
      <c r="W878" s="1026"/>
      <c r="X878" s="1026"/>
      <c r="Y878" s="1026"/>
      <c r="Z878" s="1026"/>
      <c r="AA878" s="1026"/>
      <c r="AB878" s="1026"/>
      <c r="AC878" s="1026"/>
    </row>
    <row r="879" spans="1:29" x14ac:dyDescent="0.25">
      <c r="A879" s="847"/>
      <c r="B879" s="1026"/>
      <c r="C879" s="1026"/>
      <c r="D879" s="1026"/>
      <c r="E879" s="1026"/>
      <c r="F879" s="1026"/>
      <c r="G879" s="1026"/>
      <c r="H879" s="1026"/>
      <c r="I879" s="1026"/>
      <c r="J879" s="1026"/>
      <c r="K879" s="1026"/>
      <c r="L879" s="1026"/>
      <c r="M879" s="1026"/>
      <c r="N879" s="1026"/>
      <c r="O879" s="1026"/>
      <c r="P879" s="1026"/>
      <c r="Q879" s="1026"/>
      <c r="R879" s="1026"/>
      <c r="S879" s="1026"/>
      <c r="T879" s="1026"/>
      <c r="U879" s="1026"/>
      <c r="V879" s="1026"/>
      <c r="W879" s="1026"/>
      <c r="X879" s="1026"/>
      <c r="Y879" s="1026"/>
      <c r="Z879" s="1026"/>
      <c r="AA879" s="1026"/>
      <c r="AB879" s="1026"/>
      <c r="AC879" s="1026"/>
    </row>
    <row r="880" spans="1:29" x14ac:dyDescent="0.25">
      <c r="A880" s="847"/>
      <c r="B880" s="1026"/>
      <c r="C880" s="1026"/>
      <c r="D880" s="1026"/>
      <c r="E880" s="1026"/>
      <c r="F880" s="1026"/>
      <c r="G880" s="1026"/>
      <c r="H880" s="1026"/>
      <c r="I880" s="1026"/>
      <c r="J880" s="1026"/>
      <c r="K880" s="1026"/>
      <c r="L880" s="1026"/>
      <c r="M880" s="1026"/>
      <c r="N880" s="1026"/>
      <c r="O880" s="1026"/>
      <c r="P880" s="1026"/>
      <c r="Q880" s="1026"/>
      <c r="R880" s="1026"/>
      <c r="S880" s="1026"/>
      <c r="T880" s="1026"/>
      <c r="U880" s="1026"/>
      <c r="V880" s="1026"/>
      <c r="W880" s="1026"/>
      <c r="X880" s="1026"/>
      <c r="Y880" s="1026"/>
      <c r="Z880" s="1026"/>
      <c r="AA880" s="1026"/>
      <c r="AB880" s="1026"/>
      <c r="AC880" s="1026"/>
    </row>
    <row r="881" spans="1:29" x14ac:dyDescent="0.25">
      <c r="A881" s="847"/>
      <c r="B881" s="1026"/>
      <c r="C881" s="1026"/>
      <c r="D881" s="1026"/>
      <c r="E881" s="1026"/>
      <c r="F881" s="1026"/>
      <c r="G881" s="1026"/>
      <c r="H881" s="1026"/>
      <c r="I881" s="1026"/>
      <c r="J881" s="1026"/>
      <c r="K881" s="1026"/>
      <c r="L881" s="1026"/>
      <c r="M881" s="1026"/>
      <c r="N881" s="1026"/>
      <c r="O881" s="1026"/>
      <c r="P881" s="1026"/>
      <c r="Q881" s="1026"/>
      <c r="R881" s="1026"/>
      <c r="S881" s="1026"/>
      <c r="T881" s="1026"/>
      <c r="U881" s="1026"/>
      <c r="V881" s="1026"/>
      <c r="W881" s="1026"/>
      <c r="X881" s="1026"/>
      <c r="Y881" s="1026"/>
      <c r="Z881" s="1026"/>
      <c r="AA881" s="1026"/>
      <c r="AB881" s="1026"/>
      <c r="AC881" s="1026"/>
    </row>
    <row r="882" spans="1:29" x14ac:dyDescent="0.25">
      <c r="A882" s="847"/>
      <c r="B882" s="1026"/>
      <c r="C882" s="1026"/>
      <c r="D882" s="1026"/>
      <c r="E882" s="1026"/>
      <c r="F882" s="1026"/>
      <c r="G882" s="1026"/>
      <c r="H882" s="1026"/>
      <c r="I882" s="1026"/>
      <c r="J882" s="1026"/>
      <c r="K882" s="1026"/>
      <c r="L882" s="1026"/>
      <c r="M882" s="1026"/>
      <c r="N882" s="1026"/>
      <c r="O882" s="1026"/>
      <c r="P882" s="1026"/>
      <c r="Q882" s="1026"/>
      <c r="R882" s="1026"/>
      <c r="S882" s="1026"/>
      <c r="T882" s="1026"/>
      <c r="U882" s="1026"/>
      <c r="V882" s="1026"/>
      <c r="W882" s="1026"/>
      <c r="X882" s="1026"/>
      <c r="Y882" s="1026"/>
      <c r="Z882" s="1026"/>
      <c r="AA882" s="1026"/>
      <c r="AB882" s="1026"/>
      <c r="AC882" s="1026"/>
    </row>
    <row r="883" spans="1:29" x14ac:dyDescent="0.25">
      <c r="A883" s="847"/>
      <c r="B883" s="1026"/>
      <c r="C883" s="1026"/>
      <c r="D883" s="1026"/>
      <c r="E883" s="1026"/>
      <c r="F883" s="1026"/>
      <c r="G883" s="1026"/>
      <c r="H883" s="1026"/>
      <c r="I883" s="1026"/>
      <c r="J883" s="1026"/>
      <c r="K883" s="1026"/>
      <c r="L883" s="1026"/>
      <c r="M883" s="1026"/>
      <c r="N883" s="1026"/>
      <c r="O883" s="1026"/>
      <c r="P883" s="1026"/>
      <c r="Q883" s="1026"/>
      <c r="R883" s="1026"/>
      <c r="S883" s="1026"/>
      <c r="T883" s="1026"/>
      <c r="U883" s="1026"/>
      <c r="V883" s="1026"/>
      <c r="W883" s="1026"/>
      <c r="X883" s="1026"/>
      <c r="Y883" s="1026"/>
      <c r="Z883" s="1026"/>
      <c r="AA883" s="1026"/>
      <c r="AB883" s="1026"/>
      <c r="AC883" s="1026"/>
    </row>
    <row r="884" spans="1:29" x14ac:dyDescent="0.25">
      <c r="A884" s="847"/>
      <c r="B884" s="1026"/>
      <c r="C884" s="1026"/>
      <c r="D884" s="1026"/>
      <c r="E884" s="1026"/>
      <c r="F884" s="1026"/>
      <c r="G884" s="1026"/>
      <c r="H884" s="1026"/>
      <c r="I884" s="1026"/>
      <c r="J884" s="1026"/>
      <c r="K884" s="1026"/>
      <c r="L884" s="1026"/>
      <c r="M884" s="1026"/>
      <c r="N884" s="1026"/>
      <c r="O884" s="1026"/>
      <c r="P884" s="1026"/>
      <c r="Q884" s="1026"/>
      <c r="R884" s="1026"/>
      <c r="S884" s="1026"/>
      <c r="T884" s="1026"/>
      <c r="U884" s="1026"/>
      <c r="V884" s="1026"/>
      <c r="W884" s="1026"/>
      <c r="X884" s="1026"/>
      <c r="Y884" s="1026"/>
      <c r="Z884" s="1026"/>
      <c r="AA884" s="1026"/>
      <c r="AB884" s="1026"/>
      <c r="AC884" s="1026"/>
    </row>
    <row r="885" spans="1:29" x14ac:dyDescent="0.25">
      <c r="A885" s="847"/>
      <c r="B885" s="1026"/>
      <c r="C885" s="1026"/>
      <c r="D885" s="1026"/>
      <c r="E885" s="1026"/>
      <c r="F885" s="1026"/>
      <c r="G885" s="1026"/>
      <c r="H885" s="1026"/>
      <c r="I885" s="1026"/>
      <c r="J885" s="1026"/>
      <c r="K885" s="1026"/>
      <c r="L885" s="1026"/>
      <c r="M885" s="1026"/>
      <c r="N885" s="1026"/>
      <c r="O885" s="1026"/>
      <c r="P885" s="1026"/>
      <c r="Q885" s="1026"/>
      <c r="R885" s="1026"/>
      <c r="S885" s="1026"/>
      <c r="T885" s="1026"/>
      <c r="U885" s="1026"/>
      <c r="V885" s="1026"/>
      <c r="W885" s="1026"/>
      <c r="X885" s="1026"/>
      <c r="Y885" s="1026"/>
      <c r="Z885" s="1026"/>
      <c r="AA885" s="1026"/>
      <c r="AB885" s="1026"/>
      <c r="AC885" s="1026"/>
    </row>
    <row r="886" spans="1:29" x14ac:dyDescent="0.25">
      <c r="A886" s="847"/>
      <c r="B886" s="1026"/>
      <c r="C886" s="1026"/>
      <c r="D886" s="1026"/>
      <c r="E886" s="1026"/>
      <c r="F886" s="1026"/>
      <c r="G886" s="1026"/>
      <c r="H886" s="1026"/>
      <c r="I886" s="1026"/>
      <c r="J886" s="1026"/>
      <c r="K886" s="1026"/>
      <c r="L886" s="1026"/>
      <c r="M886" s="1026"/>
      <c r="N886" s="1026"/>
      <c r="O886" s="1026"/>
      <c r="P886" s="1026"/>
      <c r="Q886" s="1026"/>
      <c r="R886" s="1026"/>
      <c r="S886" s="1026"/>
      <c r="T886" s="1026"/>
      <c r="U886" s="1026"/>
      <c r="V886" s="1026"/>
      <c r="W886" s="1026"/>
      <c r="X886" s="1026"/>
      <c r="Y886" s="1026"/>
      <c r="Z886" s="1026"/>
      <c r="AA886" s="1026"/>
      <c r="AB886" s="1026"/>
      <c r="AC886" s="1026"/>
    </row>
    <row r="887" spans="1:29" x14ac:dyDescent="0.25">
      <c r="A887" s="847"/>
      <c r="B887" s="1026"/>
      <c r="C887" s="1026"/>
      <c r="D887" s="1026"/>
      <c r="E887" s="1026"/>
      <c r="F887" s="1026"/>
      <c r="G887" s="1026"/>
      <c r="H887" s="1026"/>
      <c r="I887" s="1026"/>
      <c r="J887" s="1026"/>
      <c r="K887" s="1026"/>
      <c r="L887" s="1026"/>
      <c r="M887" s="1026"/>
      <c r="N887" s="1026"/>
      <c r="O887" s="1026"/>
      <c r="P887" s="1026"/>
      <c r="Q887" s="1026"/>
      <c r="R887" s="1026"/>
      <c r="S887" s="1026"/>
      <c r="T887" s="1026"/>
      <c r="U887" s="1026"/>
      <c r="V887" s="1026"/>
      <c r="W887" s="1026"/>
      <c r="X887" s="1026"/>
      <c r="Y887" s="1026"/>
      <c r="Z887" s="1026"/>
      <c r="AA887" s="1026"/>
      <c r="AB887" s="1026"/>
      <c r="AC887" s="1026"/>
    </row>
    <row r="888" spans="1:29" x14ac:dyDescent="0.25">
      <c r="A888" s="847"/>
      <c r="B888" s="1026"/>
      <c r="C888" s="1026"/>
      <c r="D888" s="1026"/>
      <c r="E888" s="1026"/>
      <c r="F888" s="1026"/>
      <c r="G888" s="1026"/>
      <c r="H888" s="1026"/>
      <c r="I888" s="1026"/>
      <c r="J888" s="1026"/>
      <c r="K888" s="1026"/>
      <c r="L888" s="1026"/>
      <c r="M888" s="1026"/>
      <c r="N888" s="1026"/>
      <c r="O888" s="1026"/>
      <c r="P888" s="1026"/>
      <c r="Q888" s="1026"/>
      <c r="R888" s="1026"/>
      <c r="S888" s="1026"/>
      <c r="T888" s="1026"/>
      <c r="U888" s="1026"/>
      <c r="V888" s="1026"/>
      <c r="W888" s="1026"/>
      <c r="X888" s="1026"/>
      <c r="Y888" s="1026"/>
      <c r="Z888" s="1026"/>
      <c r="AA888" s="1026"/>
      <c r="AB888" s="1026"/>
      <c r="AC888" s="1026"/>
    </row>
    <row r="889" spans="1:29" x14ac:dyDescent="0.25">
      <c r="A889" s="847"/>
      <c r="B889" s="1026"/>
      <c r="C889" s="1026"/>
      <c r="D889" s="1026"/>
      <c r="E889" s="1026"/>
      <c r="F889" s="1026"/>
      <c r="G889" s="1026"/>
      <c r="H889" s="1026"/>
      <c r="I889" s="1026"/>
      <c r="J889" s="1026"/>
      <c r="K889" s="1026"/>
      <c r="L889" s="1026"/>
      <c r="M889" s="1026"/>
      <c r="N889" s="1026"/>
      <c r="O889" s="1026"/>
      <c r="P889" s="1026"/>
      <c r="Q889" s="1026"/>
      <c r="R889" s="1026"/>
      <c r="S889" s="1026"/>
      <c r="T889" s="1026"/>
      <c r="U889" s="1026"/>
      <c r="V889" s="1026"/>
      <c r="W889" s="1026"/>
      <c r="X889" s="1026"/>
      <c r="Y889" s="1026"/>
      <c r="Z889" s="1026"/>
      <c r="AA889" s="1026"/>
      <c r="AB889" s="1026"/>
      <c r="AC889" s="1026"/>
    </row>
    <row r="890" spans="1:29" x14ac:dyDescent="0.25">
      <c r="A890" s="847"/>
      <c r="B890" s="1026"/>
      <c r="C890" s="1026"/>
      <c r="D890" s="1026"/>
      <c r="E890" s="1026"/>
      <c r="F890" s="1026"/>
      <c r="G890" s="1026"/>
      <c r="H890" s="1026"/>
      <c r="I890" s="1026"/>
      <c r="J890" s="1026"/>
      <c r="K890" s="1026"/>
      <c r="L890" s="1026"/>
      <c r="M890" s="1026"/>
      <c r="N890" s="1026"/>
      <c r="O890" s="1026"/>
      <c r="P890" s="1026"/>
      <c r="Q890" s="1026"/>
      <c r="R890" s="1026"/>
      <c r="S890" s="1026"/>
      <c r="T890" s="1026"/>
      <c r="U890" s="1026"/>
      <c r="V890" s="1026"/>
      <c r="W890" s="1026"/>
      <c r="X890" s="1026"/>
      <c r="Y890" s="1026"/>
      <c r="Z890" s="1026"/>
      <c r="AA890" s="1026"/>
      <c r="AB890" s="1026"/>
      <c r="AC890" s="1026"/>
    </row>
    <row r="891" spans="1:29" x14ac:dyDescent="0.25">
      <c r="A891" s="847"/>
      <c r="B891" s="1026"/>
      <c r="C891" s="1026"/>
      <c r="D891" s="1026"/>
      <c r="E891" s="1026"/>
      <c r="F891" s="1026"/>
      <c r="G891" s="1026"/>
      <c r="H891" s="1026"/>
      <c r="I891" s="1026"/>
      <c r="J891" s="1026"/>
      <c r="K891" s="1026"/>
      <c r="L891" s="1026"/>
      <c r="M891" s="1026"/>
      <c r="N891" s="1026"/>
      <c r="O891" s="1026"/>
      <c r="P891" s="1026"/>
      <c r="Q891" s="1026"/>
      <c r="R891" s="1026"/>
      <c r="S891" s="1026"/>
      <c r="T891" s="1026"/>
      <c r="U891" s="1026"/>
      <c r="V891" s="1026"/>
      <c r="W891" s="1026"/>
      <c r="X891" s="1026"/>
      <c r="Y891" s="1026"/>
      <c r="Z891" s="1026"/>
      <c r="AA891" s="1026"/>
      <c r="AB891" s="1026"/>
      <c r="AC891" s="1026"/>
    </row>
    <row r="892" spans="1:29" x14ac:dyDescent="0.25">
      <c r="A892" s="847"/>
      <c r="B892" s="1026"/>
      <c r="C892" s="1026"/>
      <c r="D892" s="1026"/>
      <c r="E892" s="1026"/>
      <c r="F892" s="1026"/>
      <c r="G892" s="1026"/>
      <c r="H892" s="1026"/>
      <c r="I892" s="1026"/>
      <c r="J892" s="1026"/>
      <c r="K892" s="1026"/>
      <c r="L892" s="1026"/>
      <c r="M892" s="1026"/>
      <c r="N892" s="1026"/>
      <c r="O892" s="1026"/>
      <c r="P892" s="1026"/>
      <c r="Q892" s="1026"/>
      <c r="R892" s="1026"/>
      <c r="S892" s="1026"/>
      <c r="T892" s="1026"/>
      <c r="U892" s="1026"/>
      <c r="V892" s="1026"/>
      <c r="W892" s="1026"/>
      <c r="X892" s="1026"/>
      <c r="Y892" s="1026"/>
      <c r="Z892" s="1026"/>
      <c r="AA892" s="1026"/>
      <c r="AB892" s="1026"/>
      <c r="AC892" s="1026"/>
    </row>
    <row r="893" spans="1:29" x14ac:dyDescent="0.25">
      <c r="A893" s="847"/>
      <c r="B893" s="1026"/>
      <c r="C893" s="1026"/>
      <c r="D893" s="1026"/>
      <c r="E893" s="1026"/>
      <c r="F893" s="1026"/>
      <c r="G893" s="1026"/>
      <c r="H893" s="1026"/>
      <c r="I893" s="1026"/>
      <c r="J893" s="1026"/>
      <c r="K893" s="1026"/>
      <c r="L893" s="1026"/>
      <c r="M893" s="1026"/>
      <c r="N893" s="1026"/>
      <c r="O893" s="1026"/>
      <c r="P893" s="1026"/>
      <c r="Q893" s="1026"/>
      <c r="R893" s="1026"/>
      <c r="S893" s="1026"/>
      <c r="T893" s="1026"/>
      <c r="U893" s="1026"/>
      <c r="V893" s="1026"/>
      <c r="W893" s="1026"/>
      <c r="X893" s="1026"/>
      <c r="Y893" s="1026"/>
      <c r="Z893" s="1026"/>
      <c r="AA893" s="1026"/>
      <c r="AB893" s="1026"/>
      <c r="AC893" s="1026"/>
    </row>
    <row r="894" spans="1:29" x14ac:dyDescent="0.25">
      <c r="A894" s="847"/>
      <c r="B894" s="1026"/>
      <c r="C894" s="1026"/>
      <c r="D894" s="1026"/>
      <c r="E894" s="1026"/>
      <c r="F894" s="1026"/>
      <c r="G894" s="1026"/>
      <c r="H894" s="1026"/>
      <c r="I894" s="1026"/>
      <c r="J894" s="1026"/>
      <c r="K894" s="1026"/>
      <c r="L894" s="1026"/>
      <c r="M894" s="1026"/>
      <c r="N894" s="1026"/>
      <c r="O894" s="1026"/>
      <c r="P894" s="1026"/>
      <c r="Q894" s="1026"/>
      <c r="R894" s="1026"/>
      <c r="S894" s="1026"/>
      <c r="T894" s="1026"/>
      <c r="U894" s="1026"/>
      <c r="V894" s="1026"/>
      <c r="W894" s="1026"/>
      <c r="X894" s="1026"/>
      <c r="Y894" s="1026"/>
      <c r="Z894" s="1026"/>
      <c r="AA894" s="1026"/>
      <c r="AB894" s="1026"/>
      <c r="AC894" s="1026"/>
    </row>
    <row r="895" spans="1:29" x14ac:dyDescent="0.25">
      <c r="A895" s="847"/>
      <c r="B895" s="1026"/>
      <c r="C895" s="1026"/>
      <c r="D895" s="1026"/>
      <c r="E895" s="1026"/>
      <c r="F895" s="1026"/>
      <c r="G895" s="1026"/>
      <c r="H895" s="1026"/>
      <c r="I895" s="1026"/>
      <c r="J895" s="1026"/>
      <c r="K895" s="1026"/>
      <c r="L895" s="1026"/>
      <c r="M895" s="1026"/>
      <c r="N895" s="1026"/>
      <c r="O895" s="1026"/>
      <c r="P895" s="1026"/>
      <c r="Q895" s="1026"/>
      <c r="R895" s="1026"/>
      <c r="S895" s="1026"/>
      <c r="T895" s="1026"/>
      <c r="U895" s="1026"/>
      <c r="V895" s="1026"/>
      <c r="W895" s="1026"/>
      <c r="X895" s="1026"/>
      <c r="Y895" s="1026"/>
      <c r="Z895" s="1026"/>
      <c r="AA895" s="1026"/>
      <c r="AB895" s="1026"/>
      <c r="AC895" s="1026"/>
    </row>
    <row r="896" spans="1:29" x14ac:dyDescent="0.25">
      <c r="A896" s="847"/>
      <c r="B896" s="1026"/>
      <c r="C896" s="1026"/>
      <c r="D896" s="1026"/>
      <c r="E896" s="1026"/>
      <c r="F896" s="1026"/>
      <c r="G896" s="1026"/>
      <c r="H896" s="1026"/>
      <c r="I896" s="1026"/>
      <c r="J896" s="1026"/>
      <c r="K896" s="1026"/>
      <c r="L896" s="1026"/>
      <c r="M896" s="1026"/>
      <c r="N896" s="1026"/>
      <c r="O896" s="1026"/>
      <c r="P896" s="1026"/>
      <c r="Q896" s="1026"/>
      <c r="R896" s="1026"/>
      <c r="S896" s="1026"/>
      <c r="T896" s="1026"/>
      <c r="U896" s="1026"/>
      <c r="V896" s="1026"/>
      <c r="W896" s="1026"/>
      <c r="X896" s="1026"/>
      <c r="Y896" s="1026"/>
      <c r="Z896" s="1026"/>
      <c r="AA896" s="1026"/>
      <c r="AB896" s="1026"/>
      <c r="AC896" s="1026"/>
    </row>
    <row r="897" spans="1:29" x14ac:dyDescent="0.25">
      <c r="A897" s="847"/>
      <c r="B897" s="1026"/>
      <c r="C897" s="1026"/>
      <c r="D897" s="1026"/>
      <c r="E897" s="1026"/>
      <c r="F897" s="1026"/>
      <c r="G897" s="1026"/>
      <c r="H897" s="1026"/>
      <c r="I897" s="1026"/>
      <c r="J897" s="1026"/>
      <c r="K897" s="1026"/>
      <c r="L897" s="1026"/>
      <c r="M897" s="1026"/>
      <c r="N897" s="1026"/>
      <c r="O897" s="1026"/>
      <c r="P897" s="1026"/>
      <c r="Q897" s="1026"/>
      <c r="R897" s="1026"/>
      <c r="S897" s="1026"/>
      <c r="T897" s="1026"/>
      <c r="U897" s="1026"/>
      <c r="V897" s="1026"/>
      <c r="W897" s="1026"/>
      <c r="X897" s="1026"/>
      <c r="Y897" s="1026"/>
      <c r="Z897" s="1026"/>
      <c r="AA897" s="1026"/>
      <c r="AB897" s="1026"/>
      <c r="AC897" s="1026"/>
    </row>
    <row r="898" spans="1:29" x14ac:dyDescent="0.25">
      <c r="A898" s="847"/>
      <c r="B898" s="1026"/>
      <c r="C898" s="1026"/>
      <c r="D898" s="1026"/>
      <c r="E898" s="1026"/>
      <c r="F898" s="1026"/>
      <c r="G898" s="1026"/>
      <c r="H898" s="1026"/>
      <c r="I898" s="1026"/>
      <c r="J898" s="1026"/>
      <c r="K898" s="1026"/>
      <c r="L898" s="1026"/>
      <c r="M898" s="1026"/>
      <c r="N898" s="1026"/>
      <c r="O898" s="1026"/>
      <c r="P898" s="1026"/>
      <c r="Q898" s="1026"/>
      <c r="R898" s="1026"/>
      <c r="S898" s="1026"/>
      <c r="T898" s="1026"/>
      <c r="U898" s="1026"/>
      <c r="V898" s="1026"/>
      <c r="W898" s="1026"/>
      <c r="X898" s="1026"/>
      <c r="Y898" s="1026"/>
      <c r="Z898" s="1026"/>
      <c r="AA898" s="1026"/>
      <c r="AB898" s="1026"/>
      <c r="AC898" s="1026"/>
    </row>
    <row r="899" spans="1:29" x14ac:dyDescent="0.25">
      <c r="A899" s="847"/>
      <c r="B899" s="1026"/>
      <c r="C899" s="1026"/>
      <c r="D899" s="1026"/>
      <c r="E899" s="1026"/>
      <c r="F899" s="1026"/>
      <c r="G899" s="1026"/>
      <c r="H899" s="1026"/>
      <c r="I899" s="1026"/>
      <c r="J899" s="1026"/>
      <c r="K899" s="1026"/>
      <c r="L899" s="1026"/>
      <c r="M899" s="1026"/>
      <c r="N899" s="1026"/>
      <c r="O899" s="1026"/>
      <c r="P899" s="1026"/>
      <c r="Q899" s="1026"/>
      <c r="R899" s="1026"/>
      <c r="S899" s="1026"/>
      <c r="T899" s="1026"/>
      <c r="U899" s="1026"/>
      <c r="V899" s="1026"/>
      <c r="W899" s="1026"/>
      <c r="X899" s="1026"/>
      <c r="Y899" s="1026"/>
      <c r="Z899" s="1026"/>
      <c r="AA899" s="1026"/>
      <c r="AB899" s="1026"/>
      <c r="AC899" s="1026"/>
    </row>
    <row r="900" spans="1:29" x14ac:dyDescent="0.25">
      <c r="A900" s="847"/>
      <c r="B900" s="1026"/>
      <c r="C900" s="1026"/>
      <c r="D900" s="1026"/>
      <c r="E900" s="1026"/>
      <c r="F900" s="1026"/>
      <c r="G900" s="1026"/>
      <c r="H900" s="1026"/>
      <c r="I900" s="1026"/>
      <c r="J900" s="1026"/>
      <c r="K900" s="1026"/>
      <c r="L900" s="1026"/>
      <c r="M900" s="1026"/>
      <c r="N900" s="1026"/>
      <c r="O900" s="1026"/>
      <c r="P900" s="1026"/>
      <c r="Q900" s="1026"/>
      <c r="R900" s="1026"/>
      <c r="S900" s="1026"/>
      <c r="T900" s="1026"/>
      <c r="U900" s="1026"/>
      <c r="V900" s="1026"/>
      <c r="W900" s="1026"/>
      <c r="X900" s="1026"/>
      <c r="Y900" s="1026"/>
      <c r="Z900" s="1026"/>
      <c r="AA900" s="1026"/>
      <c r="AB900" s="1026"/>
      <c r="AC900" s="1026"/>
    </row>
    <row r="901" spans="1:29" x14ac:dyDescent="0.25">
      <c r="A901" s="847"/>
      <c r="B901" s="1026"/>
      <c r="C901" s="1026"/>
      <c r="D901" s="1026"/>
      <c r="E901" s="1026"/>
      <c r="F901" s="1026"/>
      <c r="G901" s="1026"/>
      <c r="H901" s="1026"/>
      <c r="I901" s="1026"/>
      <c r="J901" s="1026"/>
      <c r="K901" s="1026"/>
      <c r="L901" s="1026"/>
      <c r="M901" s="1026"/>
      <c r="N901" s="1026"/>
      <c r="O901" s="1026"/>
      <c r="P901" s="1026"/>
      <c r="Q901" s="1026"/>
      <c r="R901" s="1026"/>
      <c r="S901" s="1026"/>
      <c r="T901" s="1026"/>
      <c r="U901" s="1026"/>
      <c r="V901" s="1026"/>
      <c r="W901" s="1026"/>
      <c r="X901" s="1026"/>
      <c r="Y901" s="1026"/>
      <c r="Z901" s="1026"/>
      <c r="AA901" s="1026"/>
      <c r="AB901" s="1026"/>
      <c r="AC901" s="1026"/>
    </row>
    <row r="902" spans="1:29" x14ac:dyDescent="0.25">
      <c r="A902" s="847"/>
      <c r="B902" s="1026"/>
      <c r="C902" s="1026"/>
      <c r="D902" s="1026"/>
      <c r="E902" s="1026"/>
      <c r="F902" s="1026"/>
      <c r="G902" s="1026"/>
      <c r="H902" s="1026"/>
      <c r="I902" s="1026"/>
      <c r="J902" s="1026"/>
      <c r="K902" s="1026"/>
      <c r="L902" s="1026"/>
      <c r="M902" s="1026"/>
      <c r="N902" s="1026"/>
      <c r="O902" s="1026"/>
      <c r="P902" s="1026"/>
      <c r="Q902" s="1026"/>
      <c r="R902" s="1026"/>
      <c r="S902" s="1026"/>
      <c r="T902" s="1026"/>
      <c r="U902" s="1026"/>
      <c r="V902" s="1026"/>
      <c r="W902" s="1026"/>
      <c r="X902" s="1026"/>
      <c r="Y902" s="1026"/>
      <c r="Z902" s="1026"/>
      <c r="AA902" s="1026"/>
      <c r="AB902" s="1026"/>
      <c r="AC902" s="1026"/>
    </row>
    <row r="903" spans="1:29" x14ac:dyDescent="0.25">
      <c r="A903" s="847"/>
      <c r="B903" s="1026"/>
      <c r="C903" s="1026"/>
      <c r="D903" s="1026"/>
      <c r="E903" s="1026"/>
      <c r="F903" s="1026"/>
      <c r="G903" s="1026"/>
      <c r="H903" s="1026"/>
      <c r="I903" s="1026"/>
      <c r="J903" s="1026"/>
      <c r="K903" s="1026"/>
      <c r="L903" s="1026"/>
      <c r="M903" s="1026"/>
      <c r="N903" s="1026"/>
      <c r="O903" s="1026"/>
      <c r="P903" s="1026"/>
      <c r="Q903" s="1026"/>
      <c r="R903" s="1026"/>
      <c r="S903" s="1026"/>
      <c r="T903" s="1026"/>
      <c r="U903" s="1026"/>
      <c r="V903" s="1026"/>
      <c r="W903" s="1026"/>
      <c r="X903" s="1026"/>
      <c r="Y903" s="1026"/>
      <c r="Z903" s="1026"/>
      <c r="AA903" s="1026"/>
      <c r="AB903" s="1026"/>
      <c r="AC903" s="1026"/>
    </row>
    <row r="904" spans="1:29" x14ac:dyDescent="0.25">
      <c r="A904" s="847"/>
      <c r="B904" s="1026"/>
      <c r="C904" s="1026"/>
      <c r="D904" s="1026"/>
      <c r="E904" s="1026"/>
      <c r="F904" s="1026"/>
      <c r="G904" s="1026"/>
      <c r="H904" s="1026"/>
      <c r="I904" s="1026"/>
      <c r="J904" s="1026"/>
      <c r="K904" s="1026"/>
      <c r="L904" s="1026"/>
      <c r="M904" s="1026"/>
      <c r="N904" s="1026"/>
      <c r="O904" s="1026"/>
      <c r="P904" s="1026"/>
      <c r="Q904" s="1026"/>
      <c r="R904" s="1026"/>
      <c r="S904" s="1026"/>
      <c r="T904" s="1026"/>
      <c r="U904" s="1026"/>
      <c r="V904" s="1026"/>
      <c r="W904" s="1026"/>
      <c r="X904" s="1026"/>
      <c r="Y904" s="1026"/>
      <c r="Z904" s="1026"/>
      <c r="AA904" s="1026"/>
      <c r="AB904" s="1026"/>
      <c r="AC904" s="1026"/>
    </row>
    <row r="905" spans="1:29" x14ac:dyDescent="0.25">
      <c r="A905" s="847"/>
      <c r="B905" s="1026"/>
      <c r="C905" s="1026"/>
      <c r="D905" s="1026"/>
      <c r="E905" s="1026"/>
      <c r="F905" s="1026"/>
      <c r="G905" s="1026"/>
      <c r="H905" s="1026"/>
      <c r="I905" s="1026"/>
      <c r="J905" s="1026"/>
      <c r="K905" s="1026"/>
      <c r="L905" s="1026"/>
      <c r="M905" s="1026"/>
      <c r="N905" s="1026"/>
      <c r="O905" s="1026"/>
      <c r="P905" s="1026"/>
      <c r="Q905" s="1026"/>
      <c r="R905" s="1026"/>
      <c r="S905" s="1026"/>
      <c r="T905" s="1026"/>
      <c r="U905" s="1026"/>
      <c r="V905" s="1026"/>
      <c r="W905" s="1026"/>
      <c r="X905" s="1026"/>
      <c r="Y905" s="1026"/>
      <c r="Z905" s="1026"/>
      <c r="AA905" s="1026"/>
      <c r="AB905" s="1026"/>
      <c r="AC905" s="1026"/>
    </row>
    <row r="906" spans="1:29" x14ac:dyDescent="0.25">
      <c r="A906" s="847"/>
      <c r="B906" s="1026"/>
      <c r="C906" s="1026"/>
      <c r="D906" s="1026"/>
      <c r="E906" s="1026"/>
      <c r="F906" s="1026"/>
      <c r="G906" s="1026"/>
      <c r="H906" s="1026"/>
      <c r="I906" s="1026"/>
      <c r="J906" s="1026"/>
      <c r="K906" s="1026"/>
      <c r="L906" s="1026"/>
      <c r="M906" s="1026"/>
      <c r="N906" s="1026"/>
      <c r="O906" s="1026"/>
      <c r="P906" s="1026"/>
      <c r="Q906" s="1026"/>
      <c r="R906" s="1026"/>
      <c r="S906" s="1026"/>
      <c r="T906" s="1026"/>
      <c r="U906" s="1026"/>
      <c r="V906" s="1026"/>
      <c r="W906" s="1026"/>
      <c r="X906" s="1026"/>
      <c r="Y906" s="1026"/>
      <c r="Z906" s="1026"/>
      <c r="AA906" s="1026"/>
      <c r="AB906" s="1026"/>
      <c r="AC906" s="1026"/>
    </row>
    <row r="907" spans="1:29" x14ac:dyDescent="0.25">
      <c r="A907" s="847"/>
      <c r="B907" s="1026"/>
      <c r="C907" s="1026"/>
      <c r="D907" s="1026"/>
      <c r="E907" s="1026"/>
      <c r="F907" s="1026"/>
      <c r="G907" s="1026"/>
      <c r="H907" s="1026"/>
      <c r="I907" s="1026"/>
      <c r="J907" s="1026"/>
      <c r="K907" s="1026"/>
      <c r="L907" s="1026"/>
      <c r="M907" s="1026"/>
      <c r="N907" s="1026"/>
      <c r="O907" s="1026"/>
      <c r="P907" s="1026"/>
      <c r="Q907" s="1026"/>
      <c r="R907" s="1026"/>
      <c r="S907" s="1026"/>
      <c r="T907" s="1026"/>
      <c r="U907" s="1026"/>
      <c r="V907" s="1026"/>
      <c r="W907" s="1026"/>
      <c r="X907" s="1026"/>
      <c r="Y907" s="1026"/>
      <c r="Z907" s="1026"/>
      <c r="AA907" s="1026"/>
      <c r="AB907" s="1026"/>
      <c r="AC907" s="1026"/>
    </row>
    <row r="908" spans="1:29" x14ac:dyDescent="0.25">
      <c r="A908" s="847"/>
      <c r="B908" s="1026"/>
      <c r="C908" s="1026"/>
      <c r="D908" s="1026"/>
      <c r="E908" s="1026"/>
      <c r="F908" s="1026"/>
      <c r="G908" s="1026"/>
      <c r="H908" s="1026"/>
      <c r="I908" s="1026"/>
      <c r="J908" s="1026"/>
      <c r="K908" s="1026"/>
      <c r="L908" s="1026"/>
      <c r="M908" s="1026"/>
      <c r="N908" s="1026"/>
      <c r="O908" s="1026"/>
      <c r="P908" s="1026"/>
      <c r="Q908" s="1026"/>
      <c r="R908" s="1026"/>
      <c r="S908" s="1026"/>
      <c r="T908" s="1026"/>
      <c r="U908" s="1026"/>
      <c r="V908" s="1026"/>
      <c r="W908" s="1026"/>
      <c r="X908" s="1026"/>
      <c r="Y908" s="1026"/>
      <c r="Z908" s="1026"/>
      <c r="AA908" s="1026"/>
      <c r="AB908" s="1026"/>
      <c r="AC908" s="1026"/>
    </row>
    <row r="909" spans="1:29" x14ac:dyDescent="0.25">
      <c r="A909" s="847"/>
      <c r="B909" s="1026"/>
      <c r="C909" s="1026"/>
      <c r="D909" s="1026"/>
      <c r="E909" s="1026"/>
      <c r="F909" s="1026"/>
      <c r="G909" s="1026"/>
      <c r="H909" s="1026"/>
      <c r="I909" s="1026"/>
      <c r="J909" s="1026"/>
      <c r="K909" s="1026"/>
      <c r="L909" s="1026"/>
      <c r="M909" s="1026"/>
      <c r="N909" s="1026"/>
      <c r="O909" s="1026"/>
      <c r="P909" s="1026"/>
      <c r="Q909" s="1026"/>
      <c r="R909" s="1026"/>
      <c r="S909" s="1026"/>
      <c r="T909" s="1026"/>
      <c r="U909" s="1026"/>
      <c r="V909" s="1026"/>
      <c r="W909" s="1026"/>
      <c r="X909" s="1026"/>
      <c r="Y909" s="1026"/>
      <c r="Z909" s="1026"/>
      <c r="AA909" s="1026"/>
      <c r="AB909" s="1026"/>
      <c r="AC909" s="1026"/>
    </row>
    <row r="910" spans="1:29" x14ac:dyDescent="0.25">
      <c r="A910" s="847"/>
      <c r="B910" s="1026"/>
      <c r="C910" s="1026"/>
      <c r="D910" s="1026"/>
      <c r="E910" s="1026"/>
      <c r="F910" s="1026"/>
      <c r="G910" s="1026"/>
      <c r="H910" s="1026"/>
      <c r="I910" s="1026"/>
      <c r="J910" s="1026"/>
      <c r="K910" s="1026"/>
      <c r="L910" s="1026"/>
      <c r="M910" s="1026"/>
      <c r="N910" s="1026"/>
      <c r="O910" s="1026"/>
      <c r="P910" s="1026"/>
      <c r="Q910" s="1026"/>
      <c r="R910" s="1026"/>
      <c r="S910" s="1026"/>
      <c r="T910" s="1026"/>
      <c r="U910" s="1026"/>
      <c r="V910" s="1026"/>
      <c r="W910" s="1026"/>
      <c r="X910" s="1026"/>
      <c r="Y910" s="1026"/>
      <c r="Z910" s="1026"/>
      <c r="AA910" s="1026"/>
      <c r="AB910" s="1026"/>
      <c r="AC910" s="1026"/>
    </row>
    <row r="911" spans="1:29" x14ac:dyDescent="0.25">
      <c r="A911" s="847"/>
      <c r="B911" s="1026"/>
      <c r="C911" s="1026"/>
      <c r="D911" s="1026"/>
      <c r="E911" s="1026"/>
      <c r="F911" s="1026"/>
      <c r="G911" s="1026"/>
      <c r="H911" s="1026"/>
      <c r="I911" s="1026"/>
      <c r="J911" s="1026"/>
      <c r="K911" s="1026"/>
      <c r="L911" s="1026"/>
      <c r="M911" s="1026"/>
      <c r="N911" s="1026"/>
      <c r="O911" s="1026"/>
      <c r="P911" s="1026"/>
      <c r="Q911" s="1026"/>
      <c r="R911" s="1026"/>
      <c r="S911" s="1026"/>
      <c r="T911" s="1026"/>
      <c r="U911" s="1026"/>
      <c r="V911" s="1026"/>
      <c r="W911" s="1026"/>
      <c r="X911" s="1026"/>
      <c r="Y911" s="1026"/>
      <c r="Z911" s="1026"/>
      <c r="AA911" s="1026"/>
      <c r="AB911" s="1026"/>
      <c r="AC911" s="1026"/>
    </row>
    <row r="912" spans="1:29" x14ac:dyDescent="0.25">
      <c r="A912" s="847"/>
      <c r="B912" s="1026"/>
      <c r="C912" s="1026"/>
      <c r="D912" s="1026"/>
      <c r="E912" s="1026"/>
      <c r="F912" s="1026"/>
      <c r="G912" s="1026"/>
      <c r="H912" s="1026"/>
      <c r="I912" s="1026"/>
      <c r="J912" s="1026"/>
      <c r="K912" s="1026"/>
      <c r="L912" s="1026"/>
      <c r="M912" s="1026"/>
      <c r="N912" s="1026"/>
      <c r="O912" s="1026"/>
      <c r="P912" s="1026"/>
      <c r="Q912" s="1026"/>
      <c r="R912" s="1026"/>
      <c r="S912" s="1026"/>
      <c r="T912" s="1026"/>
      <c r="U912" s="1026"/>
      <c r="V912" s="1026"/>
      <c r="W912" s="1026"/>
      <c r="X912" s="1026"/>
      <c r="Y912" s="1026"/>
      <c r="Z912" s="1026"/>
      <c r="AA912" s="1026"/>
      <c r="AB912" s="1026"/>
      <c r="AC912" s="1026"/>
    </row>
    <row r="913" spans="1:29" x14ac:dyDescent="0.25">
      <c r="A913" s="847"/>
      <c r="B913" s="1026"/>
      <c r="C913" s="1026"/>
      <c r="D913" s="1026"/>
      <c r="E913" s="1026"/>
      <c r="F913" s="1026"/>
      <c r="G913" s="1026"/>
      <c r="H913" s="1026"/>
      <c r="I913" s="1026"/>
      <c r="J913" s="1026"/>
      <c r="K913" s="1026"/>
      <c r="L913" s="1026"/>
      <c r="M913" s="1026"/>
      <c r="N913" s="1026"/>
      <c r="O913" s="1026"/>
      <c r="P913" s="1026"/>
      <c r="Q913" s="1026"/>
      <c r="R913" s="1026"/>
      <c r="S913" s="1026"/>
      <c r="T913" s="1026"/>
      <c r="U913" s="1026"/>
      <c r="V913" s="1026"/>
      <c r="W913" s="1026"/>
      <c r="X913" s="1026"/>
      <c r="Y913" s="1026"/>
      <c r="Z913" s="1026"/>
      <c r="AA913" s="1026"/>
      <c r="AB913" s="1026"/>
      <c r="AC913" s="1026"/>
    </row>
    <row r="914" spans="1:29" x14ac:dyDescent="0.25">
      <c r="A914" s="847"/>
      <c r="B914" s="1026"/>
      <c r="C914" s="1026"/>
      <c r="D914" s="1026"/>
      <c r="E914" s="1026"/>
      <c r="F914" s="1026"/>
      <c r="G914" s="1026"/>
      <c r="H914" s="1026"/>
      <c r="I914" s="1026"/>
      <c r="J914" s="1026"/>
      <c r="K914" s="1026"/>
      <c r="L914" s="1026"/>
      <c r="M914" s="1026"/>
      <c r="N914" s="1026"/>
      <c r="O914" s="1026"/>
      <c r="P914" s="1026"/>
      <c r="Q914" s="1026"/>
      <c r="R914" s="1026"/>
      <c r="S914" s="1026"/>
      <c r="T914" s="1026"/>
      <c r="U914" s="1026"/>
      <c r="V914" s="1026"/>
      <c r="W914" s="1026"/>
      <c r="X914" s="1026"/>
      <c r="Y914" s="1026"/>
      <c r="Z914" s="1026"/>
      <c r="AA914" s="1026"/>
      <c r="AB914" s="1026"/>
      <c r="AC914" s="1026"/>
    </row>
    <row r="915" spans="1:29" x14ac:dyDescent="0.25">
      <c r="A915" s="847"/>
      <c r="B915" s="1026"/>
      <c r="C915" s="1026"/>
      <c r="D915" s="1026"/>
      <c r="E915" s="1026"/>
      <c r="F915" s="1026"/>
      <c r="G915" s="1026"/>
      <c r="H915" s="1026"/>
      <c r="I915" s="1026"/>
      <c r="J915" s="1026"/>
      <c r="K915" s="1026"/>
      <c r="L915" s="1026"/>
      <c r="M915" s="1026"/>
      <c r="N915" s="1026"/>
      <c r="O915" s="1026"/>
      <c r="P915" s="1026"/>
      <c r="Q915" s="1026"/>
      <c r="R915" s="1026"/>
      <c r="S915" s="1026"/>
      <c r="T915" s="1026"/>
      <c r="U915" s="1026"/>
      <c r="V915" s="1026"/>
      <c r="W915" s="1026"/>
      <c r="X915" s="1026"/>
      <c r="Y915" s="1026"/>
      <c r="Z915" s="1026"/>
      <c r="AA915" s="1026"/>
      <c r="AB915" s="1026"/>
      <c r="AC915" s="1026"/>
    </row>
    <row r="916" spans="1:29" x14ac:dyDescent="0.25">
      <c r="A916" s="847"/>
      <c r="B916" s="1026"/>
      <c r="C916" s="1026"/>
      <c r="D916" s="1026"/>
      <c r="E916" s="1026"/>
      <c r="F916" s="1026"/>
      <c r="G916" s="1026"/>
      <c r="H916" s="1026"/>
      <c r="I916" s="1026"/>
      <c r="J916" s="1026"/>
      <c r="K916" s="1026"/>
      <c r="L916" s="1026"/>
      <c r="M916" s="1026"/>
      <c r="N916" s="1026"/>
      <c r="O916" s="1026"/>
      <c r="P916" s="1026"/>
      <c r="Q916" s="1026"/>
      <c r="R916" s="1026"/>
      <c r="S916" s="1026"/>
      <c r="T916" s="1026"/>
      <c r="U916" s="1026"/>
      <c r="V916" s="1026"/>
      <c r="W916" s="1026"/>
      <c r="X916" s="1026"/>
      <c r="Y916" s="1026"/>
      <c r="Z916" s="1026"/>
      <c r="AA916" s="1026"/>
      <c r="AB916" s="1026"/>
      <c r="AC916" s="1026"/>
    </row>
    <row r="917" spans="1:29" x14ac:dyDescent="0.25">
      <c r="A917" s="847"/>
      <c r="B917" s="1026"/>
      <c r="C917" s="1026"/>
      <c r="D917" s="1026"/>
      <c r="E917" s="1026"/>
      <c r="F917" s="1026"/>
      <c r="G917" s="1026"/>
      <c r="H917" s="1026"/>
      <c r="I917" s="1026"/>
      <c r="J917" s="1026"/>
      <c r="K917" s="1026"/>
      <c r="L917" s="1026"/>
      <c r="M917" s="1026"/>
      <c r="N917" s="1026"/>
      <c r="O917" s="1026"/>
      <c r="P917" s="1026"/>
      <c r="Q917" s="1026"/>
      <c r="R917" s="1026"/>
      <c r="S917" s="1026"/>
      <c r="T917" s="1026"/>
      <c r="U917" s="1026"/>
      <c r="V917" s="1026"/>
      <c r="W917" s="1026"/>
      <c r="X917" s="1026"/>
      <c r="Y917" s="1026"/>
      <c r="Z917" s="1026"/>
      <c r="AA917" s="1026"/>
      <c r="AB917" s="1026"/>
      <c r="AC917" s="1026"/>
    </row>
    <row r="918" spans="1:29" x14ac:dyDescent="0.25">
      <c r="A918" s="847"/>
      <c r="B918" s="1026"/>
      <c r="C918" s="1026"/>
      <c r="D918" s="1026"/>
      <c r="E918" s="1026"/>
      <c r="F918" s="1026"/>
      <c r="G918" s="1026"/>
      <c r="H918" s="1026"/>
      <c r="I918" s="1026"/>
      <c r="J918" s="1026"/>
      <c r="K918" s="1026"/>
      <c r="L918" s="1026"/>
      <c r="M918" s="1026"/>
      <c r="N918" s="1026"/>
      <c r="O918" s="1026"/>
      <c r="P918" s="1026"/>
      <c r="Q918" s="1026"/>
      <c r="R918" s="1026"/>
      <c r="S918" s="1026"/>
      <c r="T918" s="1026"/>
      <c r="U918" s="1026"/>
      <c r="V918" s="1026"/>
      <c r="W918" s="1026"/>
      <c r="X918" s="1026"/>
      <c r="Y918" s="1026"/>
      <c r="Z918" s="1026"/>
      <c r="AA918" s="1026"/>
      <c r="AB918" s="1026"/>
      <c r="AC918" s="1026"/>
    </row>
    <row r="919" spans="1:29" x14ac:dyDescent="0.25">
      <c r="A919" s="847"/>
      <c r="B919" s="1026"/>
      <c r="C919" s="1026"/>
      <c r="D919" s="1026"/>
      <c r="E919" s="1026"/>
      <c r="F919" s="1026"/>
      <c r="G919" s="1026"/>
      <c r="H919" s="1026"/>
      <c r="I919" s="1026"/>
      <c r="J919" s="1026"/>
      <c r="K919" s="1026"/>
      <c r="L919" s="1026"/>
      <c r="M919" s="1026"/>
      <c r="N919" s="1026"/>
      <c r="O919" s="1026"/>
      <c r="P919" s="1026"/>
      <c r="Q919" s="1026"/>
      <c r="R919" s="1026"/>
      <c r="S919" s="1026"/>
      <c r="T919" s="1026"/>
      <c r="U919" s="1026"/>
      <c r="V919" s="1026"/>
      <c r="W919" s="1026"/>
      <c r="X919" s="1026"/>
      <c r="Y919" s="1026"/>
      <c r="Z919" s="1026"/>
      <c r="AA919" s="1026"/>
      <c r="AB919" s="1026"/>
      <c r="AC919" s="1026"/>
    </row>
    <row r="920" spans="1:29" x14ac:dyDescent="0.25">
      <c r="A920" s="847"/>
      <c r="B920" s="1026"/>
      <c r="C920" s="1026"/>
      <c r="D920" s="1026"/>
      <c r="E920" s="1026"/>
      <c r="F920" s="1026"/>
      <c r="G920" s="1026"/>
      <c r="H920" s="1026"/>
      <c r="I920" s="1026"/>
      <c r="J920" s="1026"/>
      <c r="K920" s="1026"/>
      <c r="L920" s="1026"/>
      <c r="M920" s="1026"/>
      <c r="N920" s="1026"/>
      <c r="O920" s="1026"/>
      <c r="P920" s="1026"/>
      <c r="Q920" s="1026"/>
      <c r="R920" s="1026"/>
      <c r="S920" s="1026"/>
      <c r="T920" s="1026"/>
      <c r="U920" s="1026"/>
      <c r="V920" s="1026"/>
      <c r="W920" s="1026"/>
      <c r="X920" s="1026"/>
      <c r="Y920" s="1026"/>
      <c r="Z920" s="1026"/>
      <c r="AA920" s="1026"/>
      <c r="AB920" s="1026"/>
      <c r="AC920" s="1026"/>
    </row>
    <row r="921" spans="1:29" x14ac:dyDescent="0.25">
      <c r="A921" s="847"/>
      <c r="B921" s="1026"/>
      <c r="C921" s="1026"/>
      <c r="D921" s="1026"/>
      <c r="E921" s="1026"/>
      <c r="F921" s="1026"/>
      <c r="G921" s="1026"/>
      <c r="H921" s="1026"/>
      <c r="I921" s="1026"/>
      <c r="J921" s="1026"/>
      <c r="K921" s="1026"/>
      <c r="L921" s="1026"/>
      <c r="M921" s="1026"/>
      <c r="N921" s="1026"/>
      <c r="O921" s="1026"/>
      <c r="P921" s="1026"/>
      <c r="Q921" s="1026"/>
      <c r="R921" s="1026"/>
      <c r="S921" s="1026"/>
      <c r="T921" s="1026"/>
      <c r="U921" s="1026"/>
      <c r="V921" s="1026"/>
      <c r="W921" s="1026"/>
      <c r="X921" s="1026"/>
      <c r="Y921" s="1026"/>
      <c r="Z921" s="1026"/>
      <c r="AA921" s="1026"/>
      <c r="AB921" s="1026"/>
      <c r="AC921" s="1026"/>
    </row>
    <row r="922" spans="1:29" x14ac:dyDescent="0.25">
      <c r="A922" s="847"/>
      <c r="B922" s="1026"/>
      <c r="C922" s="1026"/>
      <c r="D922" s="1026"/>
      <c r="E922" s="1026"/>
      <c r="F922" s="1026"/>
      <c r="G922" s="1026"/>
      <c r="H922" s="1026"/>
      <c r="I922" s="1026"/>
      <c r="J922" s="1026"/>
      <c r="K922" s="1026"/>
      <c r="L922" s="1026"/>
      <c r="M922" s="1026"/>
      <c r="N922" s="1026"/>
      <c r="O922" s="1026"/>
      <c r="P922" s="1026"/>
      <c r="Q922" s="1026"/>
      <c r="R922" s="1026"/>
      <c r="S922" s="1026"/>
      <c r="T922" s="1026"/>
      <c r="U922" s="1026"/>
      <c r="V922" s="1026"/>
      <c r="W922" s="1026"/>
      <c r="X922" s="1026"/>
      <c r="Y922" s="1026"/>
      <c r="Z922" s="1026"/>
      <c r="AA922" s="1026"/>
      <c r="AB922" s="1026"/>
      <c r="AC922" s="1026"/>
    </row>
    <row r="923" spans="1:29" x14ac:dyDescent="0.25">
      <c r="A923" s="847"/>
      <c r="B923" s="1026"/>
      <c r="C923" s="1026"/>
      <c r="D923" s="1026"/>
      <c r="E923" s="1026"/>
      <c r="F923" s="1026"/>
      <c r="G923" s="1026"/>
      <c r="H923" s="1026"/>
      <c r="I923" s="1026"/>
      <c r="J923" s="1026"/>
      <c r="K923" s="1026"/>
      <c r="L923" s="1026"/>
      <c r="M923" s="1026"/>
      <c r="N923" s="1026"/>
      <c r="O923" s="1026"/>
      <c r="P923" s="1026"/>
      <c r="Q923" s="1026"/>
      <c r="R923" s="1026"/>
      <c r="S923" s="1026"/>
      <c r="T923" s="1026"/>
      <c r="U923" s="1026"/>
      <c r="V923" s="1026"/>
      <c r="W923" s="1026"/>
      <c r="X923" s="1026"/>
      <c r="Y923" s="1026"/>
      <c r="Z923" s="1026"/>
      <c r="AA923" s="1026"/>
      <c r="AB923" s="1026"/>
      <c r="AC923" s="1026"/>
    </row>
    <row r="924" spans="1:29" x14ac:dyDescent="0.25">
      <c r="A924" s="847"/>
      <c r="B924" s="1026"/>
      <c r="C924" s="1026"/>
      <c r="D924" s="1026"/>
      <c r="E924" s="1026"/>
      <c r="F924" s="1026"/>
      <c r="G924" s="1026"/>
      <c r="H924" s="1026"/>
      <c r="I924" s="1026"/>
      <c r="J924" s="1026"/>
      <c r="K924" s="1026"/>
      <c r="L924" s="1026"/>
      <c r="M924" s="1026"/>
      <c r="N924" s="1026"/>
      <c r="O924" s="1026"/>
      <c r="P924" s="1026"/>
      <c r="Q924" s="1026"/>
      <c r="R924" s="1026"/>
      <c r="S924" s="1026"/>
      <c r="T924" s="1026"/>
      <c r="U924" s="1026"/>
      <c r="V924" s="1026"/>
      <c r="W924" s="1026"/>
      <c r="X924" s="1026"/>
      <c r="Y924" s="1026"/>
      <c r="Z924" s="1026"/>
      <c r="AA924" s="1026"/>
      <c r="AB924" s="1026"/>
      <c r="AC924" s="1026"/>
    </row>
    <row r="925" spans="1:29" x14ac:dyDescent="0.25">
      <c r="A925" s="847"/>
      <c r="B925" s="1026"/>
      <c r="C925" s="1026"/>
      <c r="D925" s="1026"/>
      <c r="E925" s="1026"/>
      <c r="F925" s="1026"/>
      <c r="G925" s="1026"/>
      <c r="H925" s="1026"/>
      <c r="I925" s="1026"/>
      <c r="J925" s="1026"/>
      <c r="K925" s="1026"/>
      <c r="L925" s="1026"/>
      <c r="M925" s="1026"/>
      <c r="N925" s="1026"/>
      <c r="O925" s="1026"/>
      <c r="P925" s="1026"/>
      <c r="Q925" s="1026"/>
      <c r="R925" s="1026"/>
      <c r="S925" s="1026"/>
      <c r="T925" s="1026"/>
      <c r="U925" s="1026"/>
      <c r="V925" s="1026"/>
      <c r="W925" s="1026"/>
      <c r="X925" s="1026"/>
      <c r="Y925" s="1026"/>
      <c r="Z925" s="1026"/>
      <c r="AA925" s="1026"/>
      <c r="AB925" s="1026"/>
      <c r="AC925" s="1026"/>
    </row>
    <row r="926" spans="1:29" x14ac:dyDescent="0.25">
      <c r="A926" s="847"/>
      <c r="B926" s="1026"/>
      <c r="C926" s="1026"/>
      <c r="D926" s="1026"/>
      <c r="E926" s="1026"/>
      <c r="F926" s="1026"/>
      <c r="G926" s="1026"/>
      <c r="H926" s="1026"/>
      <c r="I926" s="1026"/>
      <c r="J926" s="1026"/>
      <c r="K926" s="1026"/>
      <c r="L926" s="1026"/>
      <c r="M926" s="1026"/>
      <c r="N926" s="1026"/>
      <c r="O926" s="1026"/>
      <c r="P926" s="1026"/>
      <c r="Q926" s="1026"/>
      <c r="R926" s="1026"/>
      <c r="S926" s="1026"/>
      <c r="T926" s="1026"/>
      <c r="U926" s="1026"/>
      <c r="V926" s="1026"/>
      <c r="W926" s="1026"/>
      <c r="X926" s="1026"/>
      <c r="Y926" s="1026"/>
      <c r="Z926" s="1026"/>
      <c r="AA926" s="1026"/>
      <c r="AB926" s="1026"/>
      <c r="AC926" s="1026"/>
    </row>
    <row r="927" spans="1:29" x14ac:dyDescent="0.25">
      <c r="A927" s="847"/>
      <c r="B927" s="1026"/>
      <c r="C927" s="1026"/>
      <c r="D927" s="1026"/>
      <c r="E927" s="1026"/>
      <c r="F927" s="1026"/>
      <c r="G927" s="1026"/>
      <c r="H927" s="1026"/>
      <c r="I927" s="1026"/>
      <c r="J927" s="1026"/>
      <c r="K927" s="1026"/>
      <c r="L927" s="1026"/>
      <c r="M927" s="1026"/>
      <c r="N927" s="1026"/>
      <c r="O927" s="1026"/>
      <c r="P927" s="1026"/>
      <c r="Q927" s="1026"/>
      <c r="R927" s="1026"/>
      <c r="S927" s="1026"/>
      <c r="T927" s="1026"/>
      <c r="U927" s="1026"/>
      <c r="V927" s="1026"/>
      <c r="W927" s="1026"/>
      <c r="X927" s="1026"/>
      <c r="Y927" s="1026"/>
      <c r="Z927" s="1026"/>
      <c r="AA927" s="1026"/>
      <c r="AB927" s="1026"/>
      <c r="AC927" s="1026"/>
    </row>
    <row r="928" spans="1:29" x14ac:dyDescent="0.25">
      <c r="A928" s="847"/>
      <c r="B928" s="1026"/>
      <c r="C928" s="1026"/>
      <c r="D928" s="1026"/>
      <c r="E928" s="1026"/>
      <c r="F928" s="1026"/>
      <c r="G928" s="1026"/>
      <c r="H928" s="1026"/>
      <c r="I928" s="1026"/>
      <c r="J928" s="1026"/>
      <c r="K928" s="1026"/>
      <c r="L928" s="1026"/>
      <c r="M928" s="1026"/>
      <c r="N928" s="1026"/>
      <c r="O928" s="1026"/>
      <c r="P928" s="1026"/>
      <c r="Q928" s="1026"/>
      <c r="R928" s="1026"/>
      <c r="S928" s="1026"/>
      <c r="T928" s="1026"/>
      <c r="U928" s="1026"/>
      <c r="V928" s="1026"/>
      <c r="W928" s="1026"/>
      <c r="X928" s="1026"/>
      <c r="Y928" s="1026"/>
      <c r="Z928" s="1026"/>
      <c r="AA928" s="1026"/>
      <c r="AB928" s="1026"/>
      <c r="AC928" s="1026"/>
    </row>
    <row r="929" spans="1:29" x14ac:dyDescent="0.25">
      <c r="A929" s="847"/>
      <c r="B929" s="1026"/>
      <c r="C929" s="1026"/>
      <c r="D929" s="1026"/>
      <c r="E929" s="1026"/>
      <c r="F929" s="1026"/>
      <c r="G929" s="1026"/>
      <c r="H929" s="1026"/>
      <c r="I929" s="1026"/>
      <c r="J929" s="1026"/>
      <c r="K929" s="1026"/>
      <c r="L929" s="1026"/>
      <c r="M929" s="1026"/>
      <c r="N929" s="1026"/>
      <c r="O929" s="1026"/>
      <c r="P929" s="1026"/>
      <c r="Q929" s="1026"/>
      <c r="R929" s="1026"/>
      <c r="S929" s="1026"/>
      <c r="T929" s="1026"/>
      <c r="U929" s="1026"/>
      <c r="V929" s="1026"/>
      <c r="W929" s="1026"/>
      <c r="X929" s="1026"/>
      <c r="Y929" s="1026"/>
      <c r="Z929" s="1026"/>
      <c r="AA929" s="1026"/>
      <c r="AB929" s="1026"/>
      <c r="AC929" s="1026"/>
    </row>
    <row r="930" spans="1:29" x14ac:dyDescent="0.25">
      <c r="A930" s="847"/>
      <c r="B930" s="1026"/>
      <c r="C930" s="1026"/>
      <c r="D930" s="1026"/>
      <c r="E930" s="1026"/>
      <c r="F930" s="1026"/>
      <c r="G930" s="1026"/>
      <c r="H930" s="1026"/>
      <c r="I930" s="1026"/>
      <c r="J930" s="1026"/>
      <c r="K930" s="1026"/>
      <c r="L930" s="1026"/>
      <c r="M930" s="1026"/>
      <c r="N930" s="1026"/>
      <c r="O930" s="1026"/>
      <c r="P930" s="1026"/>
      <c r="Q930" s="1026"/>
      <c r="R930" s="1026"/>
      <c r="S930" s="1026"/>
      <c r="T930" s="1026"/>
      <c r="U930" s="1026"/>
      <c r="V930" s="1026"/>
      <c r="W930" s="1026"/>
      <c r="X930" s="1026"/>
      <c r="Y930" s="1026"/>
      <c r="Z930" s="1026"/>
      <c r="AA930" s="1026"/>
      <c r="AB930" s="1026"/>
      <c r="AC930" s="1026"/>
    </row>
    <row r="931" spans="1:29" x14ac:dyDescent="0.25">
      <c r="A931" s="847"/>
      <c r="B931" s="1026"/>
      <c r="C931" s="1026"/>
      <c r="D931" s="1026"/>
      <c r="E931" s="1026"/>
      <c r="F931" s="1026"/>
      <c r="G931" s="1026"/>
      <c r="H931" s="1026"/>
      <c r="I931" s="1026"/>
      <c r="J931" s="1026"/>
      <c r="K931" s="1026"/>
      <c r="L931" s="1026"/>
      <c r="M931" s="1026"/>
      <c r="N931" s="1026"/>
      <c r="O931" s="1026"/>
      <c r="P931" s="1026"/>
      <c r="Q931" s="1026"/>
      <c r="R931" s="1026"/>
      <c r="S931" s="1026"/>
      <c r="T931" s="1026"/>
      <c r="U931" s="1026"/>
      <c r="V931" s="1026"/>
      <c r="W931" s="1026"/>
      <c r="X931" s="1026"/>
      <c r="Y931" s="1026"/>
      <c r="Z931" s="1026"/>
      <c r="AA931" s="1026"/>
      <c r="AB931" s="1026"/>
      <c r="AC931" s="1026"/>
    </row>
    <row r="932" spans="1:29" x14ac:dyDescent="0.25">
      <c r="A932" s="847"/>
      <c r="B932" s="1026"/>
      <c r="C932" s="1026"/>
      <c r="D932" s="1026"/>
      <c r="E932" s="1026"/>
      <c r="F932" s="1026"/>
      <c r="G932" s="1026"/>
      <c r="H932" s="1026"/>
      <c r="I932" s="1026"/>
      <c r="J932" s="1026"/>
      <c r="K932" s="1026"/>
      <c r="L932" s="1026"/>
      <c r="M932" s="1026"/>
      <c r="N932" s="1026"/>
      <c r="O932" s="1026"/>
      <c r="P932" s="1026"/>
      <c r="Q932" s="1026"/>
      <c r="R932" s="1026"/>
      <c r="S932" s="1026"/>
      <c r="T932" s="1026"/>
      <c r="U932" s="1026"/>
      <c r="V932" s="1026"/>
      <c r="W932" s="1026"/>
      <c r="X932" s="1026"/>
      <c r="Y932" s="1026"/>
      <c r="Z932" s="1026"/>
      <c r="AA932" s="1026"/>
      <c r="AB932" s="1026"/>
      <c r="AC932" s="1026"/>
    </row>
    <row r="933" spans="1:29" x14ac:dyDescent="0.25">
      <c r="A933" s="847"/>
      <c r="B933" s="1026"/>
      <c r="C933" s="1026"/>
      <c r="D933" s="1026"/>
      <c r="E933" s="1026"/>
      <c r="F933" s="1026"/>
      <c r="G933" s="1026"/>
      <c r="H933" s="1026"/>
      <c r="I933" s="1026"/>
      <c r="J933" s="1026"/>
      <c r="K933" s="1026"/>
      <c r="L933" s="1026"/>
      <c r="M933" s="1026"/>
      <c r="N933" s="1026"/>
      <c r="O933" s="1026"/>
      <c r="P933" s="1026"/>
      <c r="Q933" s="1026"/>
      <c r="R933" s="1026"/>
      <c r="S933" s="1026"/>
      <c r="T933" s="1026"/>
      <c r="U933" s="1026"/>
      <c r="V933" s="1026"/>
      <c r="W933" s="1026"/>
      <c r="X933" s="1026"/>
      <c r="Y933" s="1026"/>
      <c r="Z933" s="1026"/>
      <c r="AA933" s="1026"/>
      <c r="AB933" s="1026"/>
      <c r="AC933" s="1026"/>
    </row>
    <row r="934" spans="1:29" x14ac:dyDescent="0.25">
      <c r="A934" s="847"/>
      <c r="B934" s="1026"/>
      <c r="C934" s="1026"/>
      <c r="D934" s="1026"/>
      <c r="E934" s="1026"/>
      <c r="F934" s="1026"/>
      <c r="G934" s="1026"/>
      <c r="H934" s="1026"/>
      <c r="I934" s="1026"/>
      <c r="J934" s="1026"/>
      <c r="K934" s="1026"/>
      <c r="L934" s="1026"/>
      <c r="M934" s="1026"/>
      <c r="N934" s="1026"/>
      <c r="O934" s="1026"/>
      <c r="P934" s="1026"/>
      <c r="Q934" s="1026"/>
      <c r="R934" s="1026"/>
      <c r="S934" s="1026"/>
      <c r="T934" s="1026"/>
      <c r="U934" s="1026"/>
      <c r="V934" s="1026"/>
      <c r="W934" s="1026"/>
      <c r="X934" s="1026"/>
      <c r="Y934" s="1026"/>
      <c r="Z934" s="1026"/>
      <c r="AA934" s="1026"/>
      <c r="AB934" s="1026"/>
      <c r="AC934" s="1026"/>
    </row>
    <row r="935" spans="1:29" x14ac:dyDescent="0.25">
      <c r="A935" s="847"/>
      <c r="B935" s="1026"/>
      <c r="C935" s="1026"/>
      <c r="D935" s="1026"/>
      <c r="E935" s="1026"/>
      <c r="F935" s="1026"/>
      <c r="G935" s="1026"/>
      <c r="H935" s="1026"/>
      <c r="I935" s="1026"/>
      <c r="J935" s="1026"/>
      <c r="K935" s="1026"/>
      <c r="L935" s="1026"/>
      <c r="M935" s="1026"/>
      <c r="N935" s="1026"/>
      <c r="O935" s="1026"/>
      <c r="P935" s="1026"/>
      <c r="Q935" s="1026"/>
      <c r="R935" s="1026"/>
      <c r="S935" s="1026"/>
      <c r="T935" s="1026"/>
      <c r="U935" s="1026"/>
      <c r="V935" s="1026"/>
      <c r="W935" s="1026"/>
      <c r="X935" s="1026"/>
      <c r="Y935" s="1026"/>
      <c r="Z935" s="1026"/>
      <c r="AA935" s="1026"/>
      <c r="AB935" s="1026"/>
      <c r="AC935" s="1026"/>
    </row>
    <row r="936" spans="1:29" x14ac:dyDescent="0.25">
      <c r="A936" s="847"/>
      <c r="B936" s="1026"/>
      <c r="C936" s="1026"/>
      <c r="D936" s="1026"/>
      <c r="E936" s="1026"/>
      <c r="F936" s="1026"/>
      <c r="G936" s="1026"/>
      <c r="H936" s="1026"/>
      <c r="I936" s="1026"/>
      <c r="J936" s="1026"/>
      <c r="K936" s="1026"/>
      <c r="L936" s="1026"/>
      <c r="M936" s="1026"/>
      <c r="N936" s="1026"/>
      <c r="O936" s="1026"/>
      <c r="P936" s="1026"/>
      <c r="Q936" s="1026"/>
      <c r="R936" s="1026"/>
      <c r="S936" s="1026"/>
      <c r="T936" s="1026"/>
      <c r="U936" s="1026"/>
      <c r="V936" s="1026"/>
      <c r="W936" s="1026"/>
      <c r="X936" s="1026"/>
      <c r="Y936" s="1026"/>
      <c r="Z936" s="1026"/>
      <c r="AA936" s="1026"/>
      <c r="AB936" s="1026"/>
      <c r="AC936" s="1026"/>
    </row>
    <row r="937" spans="1:29" x14ac:dyDescent="0.25">
      <c r="A937" s="847"/>
      <c r="B937" s="1026"/>
      <c r="C937" s="1026"/>
      <c r="D937" s="1026"/>
      <c r="E937" s="1026"/>
      <c r="F937" s="1026"/>
      <c r="G937" s="1026"/>
      <c r="H937" s="1026"/>
      <c r="I937" s="1026"/>
      <c r="J937" s="1026"/>
      <c r="K937" s="1026"/>
      <c r="L937" s="1026"/>
      <c r="M937" s="1026"/>
      <c r="N937" s="1026"/>
      <c r="O937" s="1026"/>
      <c r="P937" s="1026"/>
      <c r="Q937" s="1026"/>
      <c r="R937" s="1026"/>
      <c r="S937" s="1026"/>
      <c r="T937" s="1026"/>
      <c r="U937" s="1026"/>
      <c r="V937" s="1026"/>
      <c r="W937" s="1026"/>
      <c r="X937" s="1026"/>
      <c r="Y937" s="1026"/>
      <c r="Z937" s="1026"/>
      <c r="AA937" s="1026"/>
      <c r="AB937" s="1026"/>
      <c r="AC937" s="1026"/>
    </row>
    <row r="938" spans="1:29" x14ac:dyDescent="0.25">
      <c r="A938" s="847"/>
      <c r="B938" s="1026"/>
      <c r="C938" s="1026"/>
      <c r="D938" s="1026"/>
      <c r="E938" s="1026"/>
      <c r="F938" s="1026"/>
      <c r="G938" s="1026"/>
      <c r="H938" s="1026"/>
      <c r="I938" s="1026"/>
      <c r="J938" s="1026"/>
      <c r="K938" s="1026"/>
      <c r="L938" s="1026"/>
      <c r="M938" s="1026"/>
      <c r="N938" s="1026"/>
      <c r="O938" s="1026"/>
      <c r="P938" s="1026"/>
      <c r="Q938" s="1026"/>
      <c r="R938" s="1026"/>
      <c r="S938" s="1026"/>
      <c r="T938" s="1026"/>
      <c r="U938" s="1026"/>
      <c r="V938" s="1026"/>
      <c r="W938" s="1026"/>
      <c r="X938" s="1026"/>
      <c r="Y938" s="1026"/>
      <c r="Z938" s="1026"/>
      <c r="AA938" s="1026"/>
      <c r="AB938" s="1026"/>
      <c r="AC938" s="1026"/>
    </row>
    <row r="939" spans="1:29" x14ac:dyDescent="0.25">
      <c r="A939" s="847"/>
      <c r="B939" s="1026"/>
      <c r="C939" s="1026"/>
      <c r="D939" s="1026"/>
      <c r="E939" s="1026"/>
      <c r="F939" s="1026"/>
      <c r="G939" s="1026"/>
      <c r="H939" s="1026"/>
      <c r="I939" s="1026"/>
      <c r="J939" s="1026"/>
      <c r="K939" s="1026"/>
      <c r="L939" s="1026"/>
      <c r="M939" s="1026"/>
      <c r="N939" s="1026"/>
      <c r="O939" s="1026"/>
      <c r="P939" s="1026"/>
      <c r="Q939" s="1026"/>
      <c r="R939" s="1026"/>
      <c r="S939" s="1026"/>
      <c r="T939" s="1026"/>
      <c r="U939" s="1026"/>
      <c r="V939" s="1026"/>
      <c r="W939" s="1026"/>
      <c r="X939" s="1026"/>
      <c r="Y939" s="1026"/>
      <c r="Z939" s="1026"/>
      <c r="AA939" s="1026"/>
      <c r="AB939" s="1026"/>
      <c r="AC939" s="1026"/>
    </row>
    <row r="940" spans="1:29" x14ac:dyDescent="0.25">
      <c r="A940" s="847"/>
      <c r="B940" s="1026"/>
      <c r="C940" s="1026"/>
      <c r="D940" s="1026"/>
      <c r="E940" s="1026"/>
      <c r="F940" s="1026"/>
      <c r="G940" s="1026"/>
      <c r="H940" s="1026"/>
      <c r="I940" s="1026"/>
      <c r="J940" s="1026"/>
      <c r="K940" s="1026"/>
      <c r="L940" s="1026"/>
      <c r="M940" s="1026"/>
      <c r="N940" s="1026"/>
      <c r="O940" s="1026"/>
      <c r="P940" s="1026"/>
      <c r="Q940" s="1026"/>
      <c r="R940" s="1026"/>
      <c r="S940" s="1026"/>
      <c r="T940" s="1026"/>
      <c r="U940" s="1026"/>
      <c r="V940" s="1026"/>
      <c r="W940" s="1026"/>
      <c r="X940" s="1026"/>
      <c r="Y940" s="1026"/>
      <c r="Z940" s="1026"/>
      <c r="AA940" s="1026"/>
      <c r="AB940" s="1026"/>
      <c r="AC940" s="1026"/>
    </row>
    <row r="941" spans="1:29" x14ac:dyDescent="0.25">
      <c r="A941" s="847"/>
      <c r="B941" s="1026"/>
      <c r="C941" s="1026"/>
      <c r="D941" s="1026"/>
      <c r="E941" s="1026"/>
      <c r="F941" s="1026"/>
      <c r="G941" s="1026"/>
      <c r="H941" s="1026"/>
      <c r="I941" s="1026"/>
      <c r="J941" s="1026"/>
      <c r="K941" s="1026"/>
      <c r="L941" s="1026"/>
      <c r="M941" s="1026"/>
      <c r="N941" s="1026"/>
      <c r="O941" s="1026"/>
      <c r="P941" s="1026"/>
      <c r="Q941" s="1026"/>
      <c r="R941" s="1026"/>
      <c r="S941" s="1026"/>
      <c r="T941" s="1026"/>
      <c r="U941" s="1026"/>
      <c r="V941" s="1026"/>
      <c r="W941" s="1026"/>
      <c r="X941" s="1026"/>
      <c r="Y941" s="1026"/>
      <c r="Z941" s="1026"/>
      <c r="AA941" s="1026"/>
      <c r="AB941" s="1026"/>
      <c r="AC941" s="1026"/>
    </row>
    <row r="942" spans="1:29" x14ac:dyDescent="0.25">
      <c r="A942" s="847"/>
      <c r="B942" s="1026"/>
      <c r="C942" s="1026"/>
      <c r="D942" s="1026"/>
      <c r="E942" s="1026"/>
      <c r="F942" s="1026"/>
      <c r="G942" s="1026"/>
      <c r="H942" s="1026"/>
      <c r="I942" s="1026"/>
      <c r="J942" s="1026"/>
      <c r="K942" s="1026"/>
      <c r="L942" s="1026"/>
      <c r="M942" s="1026"/>
      <c r="N942" s="1026"/>
      <c r="O942" s="1026"/>
      <c r="P942" s="1026"/>
      <c r="Q942" s="1026"/>
      <c r="R942" s="1026"/>
      <c r="S942" s="1026"/>
      <c r="T942" s="1026"/>
      <c r="U942" s="1026"/>
      <c r="V942" s="1026"/>
      <c r="W942" s="1026"/>
      <c r="X942" s="1026"/>
      <c r="Y942" s="1026"/>
      <c r="Z942" s="1026"/>
      <c r="AA942" s="1026"/>
      <c r="AB942" s="1026"/>
      <c r="AC942" s="1026"/>
    </row>
    <row r="943" spans="1:29" x14ac:dyDescent="0.25">
      <c r="A943" s="847"/>
      <c r="B943" s="1026"/>
      <c r="C943" s="1026"/>
      <c r="D943" s="1026"/>
      <c r="E943" s="1026"/>
      <c r="F943" s="1026"/>
      <c r="G943" s="1026"/>
      <c r="H943" s="1026"/>
      <c r="I943" s="1026"/>
      <c r="J943" s="1026"/>
      <c r="K943" s="1026"/>
      <c r="L943" s="1026"/>
      <c r="M943" s="1026"/>
      <c r="N943" s="1026"/>
      <c r="O943" s="1026"/>
      <c r="P943" s="1026"/>
      <c r="Q943" s="1026"/>
      <c r="R943" s="1026"/>
      <c r="S943" s="1026"/>
      <c r="T943" s="1026"/>
      <c r="U943" s="1026"/>
      <c r="V943" s="1026"/>
      <c r="W943" s="1026"/>
      <c r="X943" s="1026"/>
      <c r="Y943" s="1026"/>
      <c r="Z943" s="1026"/>
      <c r="AA943" s="1026"/>
      <c r="AB943" s="1026"/>
      <c r="AC943" s="1026"/>
    </row>
    <row r="944" spans="1:29" x14ac:dyDescent="0.25">
      <c r="A944" s="847"/>
      <c r="B944" s="1026"/>
      <c r="C944" s="1026"/>
      <c r="D944" s="1026"/>
      <c r="E944" s="1026"/>
      <c r="F944" s="1026"/>
      <c r="G944" s="1026"/>
      <c r="H944" s="1026"/>
      <c r="I944" s="1026"/>
      <c r="J944" s="1026"/>
      <c r="K944" s="1026"/>
      <c r="L944" s="1026"/>
      <c r="M944" s="1026"/>
      <c r="N944" s="1026"/>
      <c r="O944" s="1026"/>
      <c r="P944" s="1026"/>
      <c r="Q944" s="1026"/>
      <c r="R944" s="1026"/>
      <c r="S944" s="1026"/>
      <c r="T944" s="1026"/>
      <c r="U944" s="1026"/>
      <c r="V944" s="1026"/>
      <c r="W944" s="1026"/>
      <c r="X944" s="1026"/>
      <c r="Y944" s="1026"/>
      <c r="Z944" s="1026"/>
      <c r="AA944" s="1026"/>
      <c r="AB944" s="1026"/>
      <c r="AC944" s="1026"/>
    </row>
    <row r="945" spans="1:29" x14ac:dyDescent="0.25">
      <c r="A945" s="847"/>
      <c r="B945" s="1026"/>
      <c r="C945" s="1026"/>
      <c r="D945" s="1026"/>
      <c r="E945" s="1026"/>
      <c r="F945" s="1026"/>
      <c r="G945" s="1026"/>
      <c r="H945" s="1026"/>
      <c r="I945" s="1026"/>
      <c r="J945" s="1026"/>
      <c r="K945" s="1026"/>
      <c r="L945" s="1026"/>
      <c r="M945" s="1026"/>
      <c r="N945" s="1026"/>
      <c r="O945" s="1026"/>
      <c r="P945" s="1026"/>
      <c r="Q945" s="1026"/>
      <c r="R945" s="1026"/>
      <c r="S945" s="1026"/>
      <c r="T945" s="1026"/>
      <c r="U945" s="1026"/>
      <c r="V945" s="1026"/>
      <c r="W945" s="1026"/>
      <c r="X945" s="1026"/>
      <c r="Y945" s="1026"/>
      <c r="Z945" s="1026"/>
      <c r="AA945" s="1026"/>
      <c r="AB945" s="1026"/>
      <c r="AC945" s="1026"/>
    </row>
    <row r="946" spans="1:29" x14ac:dyDescent="0.25">
      <c r="A946" s="847"/>
      <c r="B946" s="1026"/>
      <c r="C946" s="1026"/>
      <c r="D946" s="1026"/>
      <c r="E946" s="1026"/>
      <c r="F946" s="1026"/>
      <c r="G946" s="1026"/>
      <c r="H946" s="1026"/>
      <c r="I946" s="1026"/>
      <c r="J946" s="1026"/>
      <c r="K946" s="1026"/>
      <c r="L946" s="1026"/>
      <c r="M946" s="1026"/>
      <c r="N946" s="1026"/>
      <c r="O946" s="1026"/>
      <c r="P946" s="1026"/>
      <c r="Q946" s="1026"/>
      <c r="R946" s="1026"/>
      <c r="S946" s="1026"/>
      <c r="T946" s="1026"/>
      <c r="U946" s="1026"/>
      <c r="V946" s="1026"/>
      <c r="W946" s="1026"/>
      <c r="X946" s="1026"/>
      <c r="Y946" s="1026"/>
      <c r="Z946" s="1026"/>
      <c r="AA946" s="1026"/>
      <c r="AB946" s="1026"/>
      <c r="AC946" s="1026"/>
    </row>
    <row r="947" spans="1:29" x14ac:dyDescent="0.25">
      <c r="A947" s="847"/>
      <c r="B947" s="1026"/>
      <c r="C947" s="1026"/>
      <c r="D947" s="1026"/>
      <c r="E947" s="1026"/>
      <c r="F947" s="1026"/>
      <c r="G947" s="1026"/>
      <c r="H947" s="1026"/>
      <c r="I947" s="1026"/>
      <c r="J947" s="1026"/>
      <c r="K947" s="1026"/>
      <c r="L947" s="1026"/>
      <c r="M947" s="1026"/>
      <c r="N947" s="1026"/>
      <c r="O947" s="1026"/>
      <c r="P947" s="1026"/>
      <c r="Q947" s="1026"/>
      <c r="R947" s="1026"/>
      <c r="S947" s="1026"/>
      <c r="T947" s="1026"/>
      <c r="U947" s="1026"/>
      <c r="V947" s="1026"/>
      <c r="W947" s="1026"/>
      <c r="X947" s="1026"/>
      <c r="Y947" s="1026"/>
      <c r="Z947" s="1026"/>
      <c r="AA947" s="1026"/>
      <c r="AB947" s="1026"/>
      <c r="AC947" s="1026"/>
    </row>
    <row r="948" spans="1:29" x14ac:dyDescent="0.25">
      <c r="A948" s="847"/>
      <c r="B948" s="1026"/>
      <c r="C948" s="1026"/>
      <c r="D948" s="1026"/>
      <c r="E948" s="1026"/>
      <c r="F948" s="1026"/>
      <c r="G948" s="1026"/>
      <c r="H948" s="1026"/>
      <c r="I948" s="1026"/>
      <c r="J948" s="1026"/>
      <c r="K948" s="1026"/>
      <c r="L948" s="1026"/>
      <c r="M948" s="1026"/>
      <c r="N948" s="1026"/>
      <c r="O948" s="1026"/>
      <c r="P948" s="1026"/>
      <c r="Q948" s="1026"/>
      <c r="R948" s="1026"/>
      <c r="S948" s="1026"/>
      <c r="T948" s="1026"/>
      <c r="U948" s="1026"/>
      <c r="V948" s="1026"/>
      <c r="W948" s="1026"/>
      <c r="X948" s="1026"/>
      <c r="Y948" s="1026"/>
      <c r="Z948" s="1026"/>
      <c r="AA948" s="1026"/>
      <c r="AB948" s="1026"/>
      <c r="AC948" s="1026"/>
    </row>
    <row r="949" spans="1:29" x14ac:dyDescent="0.25">
      <c r="A949" s="847"/>
      <c r="B949" s="1026"/>
      <c r="C949" s="1026"/>
      <c r="D949" s="1026"/>
      <c r="E949" s="1026"/>
      <c r="F949" s="1026"/>
      <c r="G949" s="1026"/>
      <c r="H949" s="1026"/>
      <c r="I949" s="1026"/>
      <c r="J949" s="1026"/>
      <c r="K949" s="1026"/>
      <c r="L949" s="1026"/>
      <c r="M949" s="1026"/>
      <c r="N949" s="1026"/>
      <c r="O949" s="1026"/>
      <c r="P949" s="1026"/>
      <c r="Q949" s="1026"/>
      <c r="R949" s="1026"/>
      <c r="S949" s="1026"/>
      <c r="T949" s="1026"/>
      <c r="U949" s="1026"/>
      <c r="V949" s="1026"/>
      <c r="W949" s="1026"/>
      <c r="X949" s="1026"/>
      <c r="Y949" s="1026"/>
      <c r="Z949" s="1026"/>
      <c r="AA949" s="1026"/>
      <c r="AB949" s="1026"/>
      <c r="AC949" s="1026"/>
    </row>
    <row r="950" spans="1:29" x14ac:dyDescent="0.25">
      <c r="A950" s="847"/>
      <c r="B950" s="1026"/>
      <c r="C950" s="1026"/>
      <c r="D950" s="1026"/>
      <c r="E950" s="1026"/>
      <c r="F950" s="1026"/>
      <c r="G950" s="1026"/>
      <c r="H950" s="1026"/>
      <c r="I950" s="1026"/>
      <c r="J950" s="1026"/>
      <c r="K950" s="1026"/>
      <c r="L950" s="1026"/>
      <c r="M950" s="1026"/>
      <c r="N950" s="1026"/>
      <c r="O950" s="1026"/>
      <c r="P950" s="1026"/>
      <c r="Q950" s="1026"/>
      <c r="R950" s="1026"/>
      <c r="S950" s="1026"/>
      <c r="T950" s="1026"/>
      <c r="U950" s="1026"/>
      <c r="V950" s="1026"/>
      <c r="W950" s="1026"/>
      <c r="X950" s="1026"/>
      <c r="Y950" s="1026"/>
      <c r="Z950" s="1026"/>
      <c r="AA950" s="1026"/>
      <c r="AB950" s="1026"/>
      <c r="AC950" s="1026"/>
    </row>
    <row r="951" spans="1:29" x14ac:dyDescent="0.25">
      <c r="A951" s="847"/>
      <c r="B951" s="1026"/>
      <c r="C951" s="1026"/>
      <c r="D951" s="1026"/>
      <c r="E951" s="1026"/>
      <c r="F951" s="1026"/>
      <c r="G951" s="1026"/>
      <c r="H951" s="1026"/>
      <c r="I951" s="1026"/>
      <c r="J951" s="1026"/>
      <c r="K951" s="1026"/>
      <c r="L951" s="1026"/>
      <c r="M951" s="1026"/>
      <c r="N951" s="1026"/>
      <c r="O951" s="1026"/>
      <c r="P951" s="1026"/>
      <c r="Q951" s="1026"/>
      <c r="R951" s="1026"/>
      <c r="S951" s="1026"/>
      <c r="T951" s="1026"/>
      <c r="U951" s="1026"/>
      <c r="V951" s="1026"/>
      <c r="W951" s="1026"/>
      <c r="X951" s="1026"/>
      <c r="Y951" s="1026"/>
      <c r="Z951" s="1026"/>
      <c r="AA951" s="1026"/>
      <c r="AB951" s="1026"/>
      <c r="AC951" s="1026"/>
    </row>
    <row r="952" spans="1:29" x14ac:dyDescent="0.25">
      <c r="A952" s="847"/>
      <c r="B952" s="1026"/>
      <c r="C952" s="1026"/>
      <c r="D952" s="1026"/>
      <c r="E952" s="1026"/>
      <c r="F952" s="1026"/>
      <c r="G952" s="1026"/>
      <c r="H952" s="1026"/>
      <c r="I952" s="1026"/>
      <c r="J952" s="1026"/>
      <c r="K952" s="1026"/>
      <c r="L952" s="1026"/>
      <c r="M952" s="1026"/>
      <c r="N952" s="1026"/>
      <c r="O952" s="1026"/>
      <c r="P952" s="1026"/>
      <c r="Q952" s="1026"/>
      <c r="R952" s="1026"/>
      <c r="S952" s="1026"/>
      <c r="T952" s="1026"/>
      <c r="U952" s="1026"/>
      <c r="V952" s="1026"/>
      <c r="W952" s="1026"/>
      <c r="X952" s="1026"/>
      <c r="Y952" s="1026"/>
      <c r="Z952" s="1026"/>
      <c r="AA952" s="1026"/>
      <c r="AB952" s="1026"/>
      <c r="AC952" s="1026"/>
    </row>
    <row r="953" spans="1:29" x14ac:dyDescent="0.25">
      <c r="A953" s="847"/>
      <c r="B953" s="1026"/>
      <c r="C953" s="1026"/>
      <c r="D953" s="1026"/>
      <c r="E953" s="1026"/>
      <c r="F953" s="1026"/>
      <c r="G953" s="1026"/>
      <c r="H953" s="1026"/>
      <c r="I953" s="1026"/>
      <c r="J953" s="1026"/>
      <c r="K953" s="1026"/>
      <c r="L953" s="1026"/>
      <c r="M953" s="1026"/>
      <c r="N953" s="1026"/>
      <c r="O953" s="1026"/>
      <c r="P953" s="1026"/>
      <c r="Q953" s="1026"/>
      <c r="R953" s="1026"/>
      <c r="S953" s="1026"/>
      <c r="T953" s="1026"/>
      <c r="U953" s="1026"/>
      <c r="V953" s="1026"/>
      <c r="W953" s="1026"/>
      <c r="X953" s="1026"/>
      <c r="Y953" s="1026"/>
      <c r="Z953" s="1026"/>
      <c r="AA953" s="1026"/>
      <c r="AB953" s="1026"/>
      <c r="AC953" s="1026"/>
    </row>
    <row r="954" spans="1:29" x14ac:dyDescent="0.25">
      <c r="A954" s="847"/>
      <c r="B954" s="1026"/>
      <c r="C954" s="1026"/>
      <c r="D954" s="1026"/>
      <c r="E954" s="1026"/>
      <c r="F954" s="1026"/>
      <c r="G954" s="1026"/>
      <c r="H954" s="1026"/>
      <c r="I954" s="1026"/>
      <c r="J954" s="1026"/>
      <c r="K954" s="1026"/>
      <c r="L954" s="1026"/>
      <c r="M954" s="1026"/>
      <c r="N954" s="1026"/>
      <c r="O954" s="1026"/>
      <c r="P954" s="1026"/>
      <c r="Q954" s="1026"/>
      <c r="R954" s="1026"/>
      <c r="S954" s="1026"/>
      <c r="T954" s="1026"/>
      <c r="U954" s="1026"/>
      <c r="V954" s="1026"/>
      <c r="W954" s="1026"/>
      <c r="X954" s="1026"/>
      <c r="Y954" s="1026"/>
      <c r="Z954" s="1026"/>
      <c r="AA954" s="1026"/>
      <c r="AB954" s="1026"/>
      <c r="AC954" s="1026"/>
    </row>
    <row r="955" spans="1:29" x14ac:dyDescent="0.25">
      <c r="A955" s="847"/>
      <c r="B955" s="1026"/>
      <c r="C955" s="1026"/>
      <c r="D955" s="1026"/>
      <c r="E955" s="1026"/>
      <c r="F955" s="1026"/>
      <c r="G955" s="1026"/>
      <c r="H955" s="1026"/>
      <c r="I955" s="1026"/>
      <c r="J955" s="1026"/>
      <c r="K955" s="1026"/>
      <c r="L955" s="1026"/>
      <c r="M955" s="1026"/>
      <c r="N955" s="1026"/>
      <c r="O955" s="1026"/>
      <c r="P955" s="1026"/>
      <c r="Q955" s="1026"/>
      <c r="R955" s="1026"/>
      <c r="S955" s="1026"/>
      <c r="T955" s="1026"/>
      <c r="U955" s="1026"/>
      <c r="V955" s="1026"/>
      <c r="W955" s="1026"/>
      <c r="X955" s="1026"/>
      <c r="Y955" s="1026"/>
      <c r="Z955" s="1026"/>
      <c r="AA955" s="1026"/>
      <c r="AB955" s="1026"/>
      <c r="AC955" s="1026"/>
    </row>
    <row r="956" spans="1:29" x14ac:dyDescent="0.25">
      <c r="A956" s="847"/>
      <c r="B956" s="1026"/>
      <c r="C956" s="1026"/>
      <c r="D956" s="1026"/>
      <c r="E956" s="1026"/>
      <c r="F956" s="1026"/>
      <c r="G956" s="1026"/>
      <c r="H956" s="1026"/>
      <c r="I956" s="1026"/>
      <c r="J956" s="1026"/>
      <c r="K956" s="1026"/>
      <c r="L956" s="1026"/>
      <c r="M956" s="1026"/>
      <c r="N956" s="1026"/>
      <c r="O956" s="1026"/>
      <c r="P956" s="1026"/>
      <c r="Q956" s="1026"/>
      <c r="R956" s="1026"/>
      <c r="S956" s="1026"/>
      <c r="T956" s="1026"/>
      <c r="U956" s="1026"/>
      <c r="V956" s="1026"/>
      <c r="W956" s="1026"/>
      <c r="X956" s="1026"/>
      <c r="Y956" s="1026"/>
      <c r="Z956" s="1026"/>
      <c r="AA956" s="1026"/>
      <c r="AB956" s="1026"/>
      <c r="AC956" s="1026"/>
    </row>
    <row r="957" spans="1:29" x14ac:dyDescent="0.25">
      <c r="A957" s="847"/>
      <c r="B957" s="1026"/>
      <c r="C957" s="1026"/>
      <c r="D957" s="1026"/>
      <c r="E957" s="1026"/>
      <c r="F957" s="1026"/>
      <c r="G957" s="1026"/>
      <c r="H957" s="1026"/>
      <c r="I957" s="1026"/>
      <c r="J957" s="1026"/>
      <c r="K957" s="1026"/>
      <c r="L957" s="1026"/>
      <c r="M957" s="1026"/>
      <c r="N957" s="1026"/>
      <c r="O957" s="1026"/>
      <c r="P957" s="1026"/>
      <c r="Q957" s="1026"/>
      <c r="R957" s="1026"/>
      <c r="S957" s="1026"/>
      <c r="T957" s="1026"/>
      <c r="U957" s="1026"/>
      <c r="V957" s="1026"/>
      <c r="W957" s="1026"/>
      <c r="X957" s="1026"/>
      <c r="Y957" s="1026"/>
      <c r="Z957" s="1026"/>
      <c r="AA957" s="1026"/>
      <c r="AB957" s="1026"/>
      <c r="AC957" s="1026"/>
    </row>
    <row r="958" spans="1:29" x14ac:dyDescent="0.25">
      <c r="A958" s="847"/>
      <c r="B958" s="1026"/>
      <c r="C958" s="1026"/>
      <c r="D958" s="1026"/>
      <c r="E958" s="1026"/>
      <c r="F958" s="1026"/>
      <c r="G958" s="1026"/>
      <c r="H958" s="1026"/>
      <c r="I958" s="1026"/>
      <c r="J958" s="1026"/>
      <c r="K958" s="1026"/>
      <c r="L958" s="1026"/>
      <c r="M958" s="1026"/>
      <c r="N958" s="1026"/>
      <c r="O958" s="1026"/>
      <c r="P958" s="1026"/>
      <c r="Q958" s="1026"/>
      <c r="R958" s="1026"/>
      <c r="S958" s="1026"/>
      <c r="T958" s="1026"/>
      <c r="U958" s="1026"/>
      <c r="V958" s="1026"/>
      <c r="W958" s="1026"/>
      <c r="X958" s="1026"/>
      <c r="Y958" s="1026"/>
      <c r="Z958" s="1026"/>
      <c r="AA958" s="1026"/>
      <c r="AB958" s="1026"/>
      <c r="AC958" s="1026"/>
    </row>
    <row r="959" spans="1:29" x14ac:dyDescent="0.25">
      <c r="A959" s="847"/>
      <c r="B959" s="1026"/>
      <c r="C959" s="1026"/>
      <c r="D959" s="1026"/>
      <c r="E959" s="1026"/>
      <c r="F959" s="1026"/>
      <c r="G959" s="1026"/>
      <c r="H959" s="1026"/>
      <c r="I959" s="1026"/>
      <c r="J959" s="1026"/>
      <c r="K959" s="1026"/>
      <c r="L959" s="1026"/>
      <c r="M959" s="1026"/>
      <c r="N959" s="1026"/>
      <c r="O959" s="1026"/>
      <c r="P959" s="1026"/>
      <c r="Q959" s="1026"/>
      <c r="R959" s="1026"/>
      <c r="S959" s="1026"/>
      <c r="T959" s="1026"/>
      <c r="U959" s="1026"/>
      <c r="V959" s="1026"/>
      <c r="W959" s="1026"/>
      <c r="X959" s="1026"/>
      <c r="Y959" s="1026"/>
      <c r="Z959" s="1026"/>
      <c r="AA959" s="1026"/>
      <c r="AB959" s="1026"/>
      <c r="AC959" s="1026"/>
    </row>
    <row r="960" spans="1:29" x14ac:dyDescent="0.25">
      <c r="A960" s="847"/>
      <c r="B960" s="1026"/>
      <c r="C960" s="1026"/>
      <c r="D960" s="1026"/>
      <c r="E960" s="1026"/>
      <c r="F960" s="1026"/>
      <c r="G960" s="1026"/>
      <c r="H960" s="1026"/>
      <c r="I960" s="1026"/>
      <c r="J960" s="1026"/>
      <c r="K960" s="1026"/>
      <c r="L960" s="1026"/>
      <c r="M960" s="1026"/>
      <c r="N960" s="1026"/>
      <c r="O960" s="1026"/>
      <c r="P960" s="1026"/>
      <c r="Q960" s="1026"/>
      <c r="R960" s="1026"/>
      <c r="S960" s="1026"/>
      <c r="T960" s="1026"/>
      <c r="U960" s="1026"/>
      <c r="V960" s="1026"/>
      <c r="W960" s="1026"/>
      <c r="X960" s="1026"/>
      <c r="Y960" s="1026"/>
      <c r="Z960" s="1026"/>
      <c r="AA960" s="1026"/>
      <c r="AB960" s="1026"/>
      <c r="AC960" s="1026"/>
    </row>
    <row r="961" spans="1:29" x14ac:dyDescent="0.25">
      <c r="A961" s="847"/>
      <c r="B961" s="1026"/>
      <c r="C961" s="1026"/>
      <c r="D961" s="1026"/>
      <c r="E961" s="1026"/>
      <c r="F961" s="1026"/>
      <c r="G961" s="1026"/>
      <c r="H961" s="1026"/>
      <c r="I961" s="1026"/>
      <c r="J961" s="1026"/>
      <c r="K961" s="1026"/>
      <c r="L961" s="1026"/>
      <c r="M961" s="1026"/>
      <c r="N961" s="1026"/>
      <c r="O961" s="1026"/>
      <c r="P961" s="1026"/>
      <c r="Q961" s="1026"/>
      <c r="R961" s="1026"/>
      <c r="S961" s="1026"/>
      <c r="T961" s="1026"/>
      <c r="U961" s="1026"/>
      <c r="V961" s="1026"/>
      <c r="W961" s="1026"/>
      <c r="X961" s="1026"/>
      <c r="Y961" s="1026"/>
      <c r="Z961" s="1026"/>
      <c r="AA961" s="1026"/>
      <c r="AB961" s="1026"/>
      <c r="AC961" s="1026"/>
    </row>
    <row r="962" spans="1:29" x14ac:dyDescent="0.25">
      <c r="A962" s="847"/>
      <c r="B962" s="1026"/>
      <c r="C962" s="1026"/>
      <c r="D962" s="1026"/>
      <c r="E962" s="1026"/>
      <c r="F962" s="1026"/>
      <c r="G962" s="1026"/>
      <c r="H962" s="1026"/>
      <c r="I962" s="1026"/>
      <c r="J962" s="1026"/>
      <c r="K962" s="1026"/>
      <c r="L962" s="1026"/>
      <c r="M962" s="1026"/>
      <c r="N962" s="1026"/>
      <c r="O962" s="1026"/>
      <c r="P962" s="1026"/>
      <c r="Q962" s="1026"/>
      <c r="R962" s="1026"/>
      <c r="S962" s="1026"/>
      <c r="T962" s="1026"/>
      <c r="U962" s="1026"/>
      <c r="V962" s="1026"/>
      <c r="W962" s="1026"/>
      <c r="X962" s="1026"/>
      <c r="Y962" s="1026"/>
      <c r="Z962" s="1026"/>
      <c r="AA962" s="1026"/>
      <c r="AB962" s="1026"/>
      <c r="AC962" s="1026"/>
    </row>
    <row r="963" spans="1:29" x14ac:dyDescent="0.25">
      <c r="A963" s="847"/>
      <c r="B963" s="1026"/>
      <c r="C963" s="1026"/>
      <c r="D963" s="1026"/>
      <c r="E963" s="1026"/>
      <c r="F963" s="1026"/>
      <c r="G963" s="1026"/>
      <c r="H963" s="1026"/>
      <c r="I963" s="1026"/>
      <c r="J963" s="1026"/>
      <c r="K963" s="1026"/>
      <c r="L963" s="1026"/>
      <c r="M963" s="1026"/>
      <c r="N963" s="1026"/>
      <c r="O963" s="1026"/>
      <c r="P963" s="1026"/>
      <c r="Q963" s="1026"/>
      <c r="R963" s="1026"/>
      <c r="S963" s="1026"/>
      <c r="T963" s="1026"/>
      <c r="U963" s="1026"/>
      <c r="V963" s="1026"/>
      <c r="W963" s="1026"/>
      <c r="X963" s="1026"/>
      <c r="Y963" s="1026"/>
      <c r="Z963" s="1026"/>
      <c r="AA963" s="1026"/>
      <c r="AB963" s="1026"/>
      <c r="AC963" s="1026"/>
    </row>
    <row r="964" spans="1:29" x14ac:dyDescent="0.25">
      <c r="A964" s="847"/>
      <c r="B964" s="1026"/>
      <c r="C964" s="1026"/>
      <c r="D964" s="1026"/>
      <c r="E964" s="1026"/>
      <c r="F964" s="1026"/>
      <c r="G964" s="1026"/>
      <c r="H964" s="1026"/>
      <c r="I964" s="1026"/>
      <c r="J964" s="1026"/>
      <c r="K964" s="1026"/>
      <c r="L964" s="1026"/>
      <c r="M964" s="1026"/>
      <c r="N964" s="1026"/>
      <c r="O964" s="1026"/>
      <c r="P964" s="1026"/>
      <c r="Q964" s="1026"/>
      <c r="R964" s="1026"/>
      <c r="S964" s="1026"/>
      <c r="T964" s="1026"/>
      <c r="U964" s="1026"/>
      <c r="V964" s="1026"/>
      <c r="W964" s="1026"/>
      <c r="X964" s="1026"/>
      <c r="Y964" s="1026"/>
      <c r="Z964" s="1026"/>
      <c r="AA964" s="1026"/>
      <c r="AB964" s="1026"/>
      <c r="AC964" s="1026"/>
    </row>
    <row r="965" spans="1:29" x14ac:dyDescent="0.25">
      <c r="A965" s="847"/>
      <c r="B965" s="1026"/>
      <c r="C965" s="1026"/>
      <c r="D965" s="1026"/>
      <c r="E965" s="1026"/>
      <c r="F965" s="1026"/>
      <c r="G965" s="1026"/>
      <c r="H965" s="1026"/>
      <c r="I965" s="1026"/>
      <c r="J965" s="1026"/>
      <c r="K965" s="1026"/>
      <c r="L965" s="1026"/>
      <c r="M965" s="1026"/>
      <c r="N965" s="1026"/>
      <c r="O965" s="1026"/>
      <c r="P965" s="1026"/>
      <c r="Q965" s="1026"/>
      <c r="R965" s="1026"/>
      <c r="S965" s="1026"/>
      <c r="T965" s="1026"/>
      <c r="U965" s="1026"/>
      <c r="V965" s="1026"/>
      <c r="W965" s="1026"/>
      <c r="X965" s="1026"/>
      <c r="Y965" s="1026"/>
      <c r="Z965" s="1026"/>
      <c r="AA965" s="1026"/>
      <c r="AB965" s="1026"/>
      <c r="AC965" s="1026"/>
    </row>
    <row r="966" spans="1:29" x14ac:dyDescent="0.25">
      <c r="A966" s="847"/>
      <c r="B966" s="1026"/>
      <c r="C966" s="1026"/>
      <c r="D966" s="1026"/>
      <c r="E966" s="1026"/>
      <c r="F966" s="1026"/>
      <c r="G966" s="1026"/>
      <c r="H966" s="1026"/>
      <c r="I966" s="1026"/>
      <c r="J966" s="1026"/>
      <c r="K966" s="1026"/>
      <c r="L966" s="1026"/>
      <c r="M966" s="1026"/>
      <c r="N966" s="1026"/>
      <c r="O966" s="1026"/>
      <c r="P966" s="1026"/>
      <c r="Q966" s="1026"/>
      <c r="R966" s="1026"/>
      <c r="S966" s="1026"/>
      <c r="T966" s="1026"/>
      <c r="U966" s="1026"/>
      <c r="V966" s="1026"/>
      <c r="W966" s="1026"/>
      <c r="X966" s="1026"/>
      <c r="Y966" s="1026"/>
      <c r="Z966" s="1026"/>
      <c r="AA966" s="1026"/>
      <c r="AB966" s="1026"/>
      <c r="AC966" s="1026"/>
    </row>
    <row r="967" spans="1:29" x14ac:dyDescent="0.25">
      <c r="A967" s="847"/>
      <c r="B967" s="1026"/>
      <c r="C967" s="1026"/>
      <c r="D967" s="1026"/>
      <c r="E967" s="1026"/>
      <c r="F967" s="1026"/>
      <c r="G967" s="1026"/>
      <c r="H967" s="1026"/>
      <c r="I967" s="1026"/>
      <c r="J967" s="1026"/>
      <c r="K967" s="1026"/>
      <c r="L967" s="1026"/>
      <c r="M967" s="1026"/>
      <c r="N967" s="1026"/>
      <c r="O967" s="1026"/>
      <c r="P967" s="1026"/>
      <c r="Q967" s="1026"/>
      <c r="R967" s="1026"/>
      <c r="S967" s="1026"/>
      <c r="T967" s="1026"/>
      <c r="U967" s="1026"/>
      <c r="V967" s="1026"/>
      <c r="W967" s="1026"/>
      <c r="X967" s="1026"/>
      <c r="Y967" s="1026"/>
      <c r="Z967" s="1026"/>
      <c r="AA967" s="1026"/>
      <c r="AB967" s="1026"/>
      <c r="AC967" s="1026"/>
    </row>
    <row r="968" spans="1:29" x14ac:dyDescent="0.25">
      <c r="A968" s="847"/>
      <c r="B968" s="1026"/>
      <c r="C968" s="1026"/>
      <c r="D968" s="1026"/>
      <c r="E968" s="1026"/>
      <c r="F968" s="1026"/>
      <c r="G968" s="1026"/>
      <c r="H968" s="1026"/>
      <c r="I968" s="1026"/>
      <c r="J968" s="1026"/>
      <c r="K968" s="1026"/>
      <c r="L968" s="1026"/>
      <c r="M968" s="1026"/>
      <c r="N968" s="1026"/>
      <c r="O968" s="1026"/>
      <c r="P968" s="1026"/>
      <c r="Q968" s="1026"/>
      <c r="R968" s="1026"/>
      <c r="S968" s="1026"/>
      <c r="T968" s="1026"/>
      <c r="U968" s="1026"/>
      <c r="V968" s="1026"/>
      <c r="W968" s="1026"/>
      <c r="X968" s="1026"/>
      <c r="Y968" s="1026"/>
      <c r="Z968" s="1026"/>
      <c r="AA968" s="1026"/>
      <c r="AB968" s="1026"/>
      <c r="AC968" s="1026"/>
    </row>
    <row r="969" spans="1:29" x14ac:dyDescent="0.25">
      <c r="A969" s="847"/>
      <c r="B969" s="1026"/>
      <c r="C969" s="1026"/>
      <c r="D969" s="1026"/>
      <c r="E969" s="1026"/>
      <c r="F969" s="1026"/>
      <c r="G969" s="1026"/>
      <c r="H969" s="1026"/>
      <c r="I969" s="1026"/>
      <c r="J969" s="1026"/>
      <c r="K969" s="1026"/>
      <c r="L969" s="1026"/>
      <c r="M969" s="1026"/>
      <c r="N969" s="1026"/>
      <c r="O969" s="1026"/>
      <c r="P969" s="1026"/>
      <c r="Q969" s="1026"/>
      <c r="R969" s="1026"/>
      <c r="S969" s="1026"/>
      <c r="T969" s="1026"/>
      <c r="U969" s="1026"/>
      <c r="V969" s="1026"/>
      <c r="W969" s="1026"/>
      <c r="X969" s="1026"/>
      <c r="Y969" s="1026"/>
      <c r="Z969" s="1026"/>
      <c r="AA969" s="1026"/>
      <c r="AB969" s="1026"/>
      <c r="AC969" s="1026"/>
    </row>
    <row r="970" spans="1:29" x14ac:dyDescent="0.25">
      <c r="A970" s="847"/>
      <c r="B970" s="1026"/>
      <c r="C970" s="1026"/>
      <c r="D970" s="1026"/>
      <c r="E970" s="1026"/>
      <c r="F970" s="1026"/>
      <c r="G970" s="1026"/>
      <c r="H970" s="1026"/>
      <c r="I970" s="1026"/>
      <c r="J970" s="1026"/>
      <c r="K970" s="1026"/>
      <c r="L970" s="1026"/>
      <c r="M970" s="1026"/>
      <c r="N970" s="1026"/>
      <c r="O970" s="1026"/>
      <c r="P970" s="1026"/>
      <c r="Q970" s="1026"/>
      <c r="R970" s="1026"/>
      <c r="S970" s="1026"/>
      <c r="T970" s="1026"/>
      <c r="U970" s="1026"/>
      <c r="V970" s="1026"/>
      <c r="W970" s="1026"/>
      <c r="X970" s="1026"/>
      <c r="Y970" s="1026"/>
      <c r="Z970" s="1026"/>
      <c r="AA970" s="1026"/>
      <c r="AB970" s="1026"/>
      <c r="AC970" s="1026"/>
    </row>
    <row r="971" spans="1:29" x14ac:dyDescent="0.25">
      <c r="A971" s="847"/>
      <c r="B971" s="1026"/>
      <c r="C971" s="1026"/>
      <c r="D971" s="1026"/>
      <c r="E971" s="1026"/>
      <c r="F971" s="1026"/>
      <c r="G971" s="1026"/>
      <c r="H971" s="1026"/>
      <c r="I971" s="1026"/>
      <c r="J971" s="1026"/>
      <c r="K971" s="1026"/>
      <c r="L971" s="1026"/>
      <c r="M971" s="1026"/>
      <c r="N971" s="1026"/>
      <c r="O971" s="1026"/>
      <c r="P971" s="1026"/>
      <c r="Q971" s="1026"/>
      <c r="R971" s="1026"/>
      <c r="S971" s="1026"/>
      <c r="T971" s="1026"/>
      <c r="U971" s="1026"/>
      <c r="V971" s="1026"/>
      <c r="W971" s="1026"/>
      <c r="X971" s="1026"/>
      <c r="Y971" s="1026"/>
      <c r="Z971" s="1026"/>
      <c r="AA971" s="1026"/>
      <c r="AB971" s="1026"/>
      <c r="AC971" s="1026"/>
    </row>
    <row r="972" spans="1:29" x14ac:dyDescent="0.25">
      <c r="A972" s="847"/>
      <c r="B972" s="1026"/>
      <c r="C972" s="1026"/>
      <c r="D972" s="1026"/>
      <c r="E972" s="1026"/>
      <c r="F972" s="1026"/>
      <c r="G972" s="1026"/>
      <c r="H972" s="1026"/>
      <c r="I972" s="1026"/>
      <c r="J972" s="1026"/>
      <c r="K972" s="1026"/>
      <c r="L972" s="1026"/>
      <c r="M972" s="1026"/>
      <c r="N972" s="1026"/>
      <c r="O972" s="1026"/>
      <c r="P972" s="1026"/>
      <c r="Q972" s="1026"/>
      <c r="R972" s="1026"/>
      <c r="S972" s="1026"/>
      <c r="T972" s="1026"/>
      <c r="U972" s="1026"/>
      <c r="V972" s="1026"/>
      <c r="W972" s="1026"/>
      <c r="X972" s="1026"/>
      <c r="Y972" s="1026"/>
      <c r="Z972" s="1026"/>
      <c r="AA972" s="1026"/>
      <c r="AB972" s="1026"/>
      <c r="AC972" s="1026"/>
    </row>
    <row r="973" spans="1:29" x14ac:dyDescent="0.25">
      <c r="A973" s="847"/>
      <c r="B973" s="1026"/>
      <c r="C973" s="1026"/>
      <c r="D973" s="1026"/>
      <c r="E973" s="1026"/>
      <c r="F973" s="1026"/>
      <c r="G973" s="1026"/>
      <c r="H973" s="1026"/>
      <c r="I973" s="1026"/>
      <c r="J973" s="1026"/>
      <c r="K973" s="1026"/>
      <c r="L973" s="1026"/>
      <c r="M973" s="1026"/>
      <c r="N973" s="1026"/>
      <c r="O973" s="1026"/>
      <c r="P973" s="1026"/>
      <c r="Q973" s="1026"/>
      <c r="R973" s="1026"/>
      <c r="S973" s="1026"/>
      <c r="T973" s="1026"/>
      <c r="U973" s="1026"/>
      <c r="V973" s="1026"/>
      <c r="W973" s="1026"/>
      <c r="X973" s="1026"/>
      <c r="Y973" s="1026"/>
      <c r="Z973" s="1026"/>
      <c r="AA973" s="1026"/>
      <c r="AB973" s="1026"/>
      <c r="AC973" s="1026"/>
    </row>
    <row r="974" spans="1:29" x14ac:dyDescent="0.25">
      <c r="A974" s="847"/>
      <c r="B974" s="1026"/>
      <c r="C974" s="1026"/>
      <c r="D974" s="1026"/>
      <c r="E974" s="1026"/>
      <c r="F974" s="1026"/>
      <c r="G974" s="1026"/>
      <c r="H974" s="1026"/>
      <c r="I974" s="1026"/>
      <c r="J974" s="1026"/>
      <c r="K974" s="1026"/>
      <c r="L974" s="1026"/>
      <c r="M974" s="1026"/>
      <c r="N974" s="1026"/>
      <c r="O974" s="1026"/>
      <c r="P974" s="1026"/>
      <c r="Q974" s="1026"/>
      <c r="R974" s="1026"/>
      <c r="S974" s="1026"/>
      <c r="T974" s="1026"/>
      <c r="U974" s="1026"/>
      <c r="V974" s="1026"/>
      <c r="W974" s="1026"/>
      <c r="X974" s="1026"/>
      <c r="Y974" s="1026"/>
      <c r="Z974" s="1026"/>
      <c r="AA974" s="1026"/>
      <c r="AB974" s="1026"/>
      <c r="AC974" s="1026"/>
    </row>
    <row r="975" spans="1:29" x14ac:dyDescent="0.25">
      <c r="A975" s="847"/>
      <c r="B975" s="1026"/>
      <c r="C975" s="1026"/>
      <c r="D975" s="1026"/>
      <c r="E975" s="1026"/>
      <c r="F975" s="1026"/>
      <c r="G975" s="1026"/>
      <c r="H975" s="1026"/>
      <c r="I975" s="1026"/>
      <c r="J975" s="1026"/>
      <c r="K975" s="1026"/>
      <c r="L975" s="1026"/>
      <c r="M975" s="1026"/>
      <c r="N975" s="1026"/>
      <c r="O975" s="1026"/>
      <c r="P975" s="1026"/>
      <c r="Q975" s="1026"/>
      <c r="R975" s="1026"/>
      <c r="S975" s="1026"/>
      <c r="T975" s="1026"/>
      <c r="U975" s="1026"/>
      <c r="V975" s="1026"/>
      <c r="W975" s="1026"/>
      <c r="X975" s="1026"/>
      <c r="Y975" s="1026"/>
      <c r="Z975" s="1026"/>
      <c r="AA975" s="1026"/>
      <c r="AB975" s="1026"/>
      <c r="AC975" s="1026"/>
    </row>
    <row r="976" spans="1:29" x14ac:dyDescent="0.25">
      <c r="A976" s="847"/>
      <c r="B976" s="1026"/>
      <c r="C976" s="1026"/>
      <c r="D976" s="1026"/>
      <c r="E976" s="1026"/>
      <c r="F976" s="1026"/>
      <c r="G976" s="1026"/>
      <c r="H976" s="1026"/>
      <c r="I976" s="1026"/>
      <c r="J976" s="1026"/>
      <c r="K976" s="1026"/>
      <c r="L976" s="1026"/>
      <c r="M976" s="1026"/>
      <c r="N976" s="1026"/>
      <c r="O976" s="1026"/>
      <c r="P976" s="1026"/>
      <c r="Q976" s="1026"/>
      <c r="R976" s="1026"/>
      <c r="S976" s="1026"/>
      <c r="T976" s="1026"/>
      <c r="U976" s="1026"/>
      <c r="V976" s="1026"/>
      <c r="W976" s="1026"/>
      <c r="X976" s="1026"/>
      <c r="Y976" s="1026"/>
      <c r="Z976" s="1026"/>
      <c r="AA976" s="1026"/>
      <c r="AB976" s="1026"/>
      <c r="AC976" s="1026"/>
    </row>
    <row r="977" spans="1:29" x14ac:dyDescent="0.25">
      <c r="A977" s="847"/>
      <c r="B977" s="1026"/>
      <c r="C977" s="1026"/>
      <c r="D977" s="1026"/>
      <c r="E977" s="1026"/>
      <c r="F977" s="1026"/>
      <c r="G977" s="1026"/>
      <c r="H977" s="1026"/>
      <c r="I977" s="1026"/>
      <c r="J977" s="1026"/>
      <c r="K977" s="1026"/>
      <c r="L977" s="1026"/>
      <c r="M977" s="1026"/>
      <c r="N977" s="1026"/>
      <c r="O977" s="1026"/>
      <c r="P977" s="1026"/>
      <c r="Q977" s="1026"/>
      <c r="R977" s="1026"/>
      <c r="S977" s="1026"/>
      <c r="T977" s="1026"/>
      <c r="U977" s="1026"/>
      <c r="V977" s="1026"/>
      <c r="W977" s="1026"/>
      <c r="X977" s="1026"/>
      <c r="Y977" s="1026"/>
      <c r="Z977" s="1026"/>
      <c r="AA977" s="1026"/>
      <c r="AB977" s="1026"/>
      <c r="AC977" s="1026"/>
    </row>
    <row r="978" spans="1:29" x14ac:dyDescent="0.25">
      <c r="A978" s="847"/>
      <c r="B978" s="1026"/>
      <c r="C978" s="1026"/>
      <c r="D978" s="1026"/>
      <c r="E978" s="1026"/>
      <c r="F978" s="1026"/>
      <c r="G978" s="1026"/>
      <c r="H978" s="1026"/>
      <c r="I978" s="1026"/>
      <c r="J978" s="1026"/>
      <c r="K978" s="1026"/>
      <c r="L978" s="1026"/>
      <c r="M978" s="1026"/>
      <c r="N978" s="1026"/>
      <c r="O978" s="1026"/>
      <c r="P978" s="1026"/>
      <c r="Q978" s="1026"/>
      <c r="R978" s="1026"/>
      <c r="S978" s="1026"/>
      <c r="T978" s="1026"/>
      <c r="U978" s="1026"/>
      <c r="V978" s="1026"/>
      <c r="W978" s="1026"/>
      <c r="X978" s="1026"/>
      <c r="Y978" s="1026"/>
      <c r="Z978" s="1026"/>
      <c r="AA978" s="1026"/>
      <c r="AB978" s="1026"/>
      <c r="AC978" s="1026"/>
    </row>
    <row r="979" spans="1:29" x14ac:dyDescent="0.25">
      <c r="A979" s="847"/>
      <c r="B979" s="1026"/>
      <c r="C979" s="1026"/>
      <c r="D979" s="1026"/>
      <c r="E979" s="1026"/>
      <c r="F979" s="1026"/>
      <c r="G979" s="1026"/>
      <c r="H979" s="1026"/>
      <c r="I979" s="1026"/>
      <c r="J979" s="1026"/>
      <c r="K979" s="1026"/>
      <c r="L979" s="1026"/>
      <c r="M979" s="1026"/>
      <c r="N979" s="1026"/>
      <c r="O979" s="1026"/>
      <c r="P979" s="1026"/>
      <c r="Q979" s="1026"/>
      <c r="R979" s="1026"/>
      <c r="S979" s="1026"/>
      <c r="T979" s="1026"/>
      <c r="U979" s="1026"/>
      <c r="V979" s="1026"/>
      <c r="W979" s="1026"/>
      <c r="X979" s="1026"/>
      <c r="Y979" s="1026"/>
      <c r="Z979" s="1026"/>
      <c r="AA979" s="1026"/>
      <c r="AB979" s="1026"/>
      <c r="AC979" s="1026"/>
    </row>
    <row r="980" spans="1:29" x14ac:dyDescent="0.25">
      <c r="A980" s="847"/>
      <c r="B980" s="1026"/>
      <c r="C980" s="1026"/>
      <c r="D980" s="1026"/>
      <c r="E980" s="1026"/>
      <c r="F980" s="1026"/>
      <c r="G980" s="1026"/>
      <c r="H980" s="1026"/>
      <c r="I980" s="1026"/>
      <c r="J980" s="1026"/>
      <c r="K980" s="1026"/>
      <c r="L980" s="1026"/>
      <c r="M980" s="1026"/>
      <c r="N980" s="1026"/>
      <c r="O980" s="1026"/>
      <c r="P980" s="1026"/>
      <c r="Q980" s="1026"/>
      <c r="R980" s="1026"/>
      <c r="S980" s="1026"/>
      <c r="T980" s="1026"/>
      <c r="U980" s="1026"/>
      <c r="V980" s="1026"/>
      <c r="W980" s="1026"/>
      <c r="X980" s="1026"/>
      <c r="Y980" s="1026"/>
      <c r="Z980" s="1026"/>
      <c r="AA980" s="1026"/>
      <c r="AB980" s="1026"/>
      <c r="AC980" s="1026"/>
    </row>
    <row r="981" spans="1:29" x14ac:dyDescent="0.25">
      <c r="A981" s="847"/>
      <c r="B981" s="1026"/>
      <c r="C981" s="1026"/>
      <c r="D981" s="1026"/>
      <c r="E981" s="1026"/>
      <c r="F981" s="1026"/>
      <c r="G981" s="1026"/>
      <c r="H981" s="1026"/>
      <c r="I981" s="1026"/>
      <c r="J981" s="1026"/>
      <c r="K981" s="1026"/>
      <c r="L981" s="1026"/>
      <c r="M981" s="1026"/>
      <c r="N981" s="1026"/>
      <c r="O981" s="1026"/>
      <c r="P981" s="1026"/>
      <c r="Q981" s="1026"/>
      <c r="R981" s="1026"/>
      <c r="S981" s="1026"/>
      <c r="T981" s="1026"/>
      <c r="U981" s="1026"/>
      <c r="V981" s="1026"/>
      <c r="W981" s="1026"/>
      <c r="X981" s="1026"/>
      <c r="Y981" s="1026"/>
      <c r="Z981" s="1026"/>
      <c r="AA981" s="1026"/>
      <c r="AB981" s="1026"/>
      <c r="AC981" s="1026"/>
    </row>
    <row r="982" spans="1:29" x14ac:dyDescent="0.25">
      <c r="A982" s="847"/>
      <c r="B982" s="1026"/>
      <c r="C982" s="1026"/>
      <c r="D982" s="1026"/>
      <c r="E982" s="1026"/>
      <c r="F982" s="1026"/>
      <c r="G982" s="1026"/>
      <c r="H982" s="1026"/>
      <c r="I982" s="1026"/>
      <c r="J982" s="1026"/>
      <c r="K982" s="1026"/>
      <c r="L982" s="1026"/>
      <c r="M982" s="1026"/>
      <c r="N982" s="1026"/>
      <c r="O982" s="1026"/>
      <c r="P982" s="1026"/>
      <c r="Q982" s="1026"/>
      <c r="R982" s="1026"/>
      <c r="S982" s="1026"/>
      <c r="T982" s="1026"/>
      <c r="U982" s="1026"/>
      <c r="V982" s="1026"/>
      <c r="W982" s="1026"/>
      <c r="X982" s="1026"/>
      <c r="Y982" s="1026"/>
      <c r="Z982" s="1026"/>
      <c r="AA982" s="1026"/>
      <c r="AB982" s="1026"/>
      <c r="AC982" s="1026"/>
    </row>
    <row r="983" spans="1:29" x14ac:dyDescent="0.25">
      <c r="A983" s="847"/>
      <c r="B983" s="1026"/>
      <c r="C983" s="1026"/>
      <c r="D983" s="1026"/>
      <c r="E983" s="1026"/>
      <c r="F983" s="1026"/>
      <c r="G983" s="1026"/>
      <c r="H983" s="1026"/>
      <c r="I983" s="1026"/>
      <c r="J983" s="1026"/>
      <c r="K983" s="1026"/>
      <c r="L983" s="1026"/>
      <c r="M983" s="1026"/>
      <c r="N983" s="1026"/>
      <c r="O983" s="1026"/>
      <c r="P983" s="1026"/>
      <c r="Q983" s="1026"/>
      <c r="R983" s="1026"/>
      <c r="S983" s="1026"/>
      <c r="T983" s="1026"/>
      <c r="U983" s="1026"/>
      <c r="V983" s="1026"/>
      <c r="W983" s="1026"/>
      <c r="X983" s="1026"/>
      <c r="Y983" s="1026"/>
      <c r="Z983" s="1026"/>
      <c r="AA983" s="1026"/>
      <c r="AB983" s="1026"/>
      <c r="AC983" s="1026"/>
    </row>
    <row r="984" spans="1:29" x14ac:dyDescent="0.25">
      <c r="A984" s="847"/>
      <c r="B984" s="1026"/>
      <c r="C984" s="1026"/>
      <c r="D984" s="1026"/>
      <c r="E984" s="1026"/>
      <c r="F984" s="1026"/>
      <c r="G984" s="1026"/>
      <c r="H984" s="1026"/>
      <c r="I984" s="1026"/>
      <c r="J984" s="1026"/>
      <c r="K984" s="1026"/>
      <c r="L984" s="1026"/>
      <c r="M984" s="1026"/>
      <c r="N984" s="1026"/>
      <c r="O984" s="1026"/>
      <c r="P984" s="1026"/>
      <c r="Q984" s="1026"/>
      <c r="R984" s="1026"/>
      <c r="S984" s="1026"/>
      <c r="T984" s="1026"/>
      <c r="U984" s="1026"/>
      <c r="V984" s="1026"/>
      <c r="W984" s="1026"/>
      <c r="X984" s="1026"/>
      <c r="Y984" s="1026"/>
      <c r="Z984" s="1026"/>
      <c r="AA984" s="1026"/>
      <c r="AB984" s="1026"/>
      <c r="AC984" s="1026"/>
    </row>
    <row r="985" spans="1:29" x14ac:dyDescent="0.25">
      <c r="A985" s="847"/>
      <c r="B985" s="1026"/>
      <c r="C985" s="1026"/>
      <c r="D985" s="1026"/>
      <c r="E985" s="1026"/>
      <c r="F985" s="1026"/>
      <c r="G985" s="1026"/>
      <c r="H985" s="1026"/>
      <c r="I985" s="1026"/>
      <c r="J985" s="1026"/>
      <c r="K985" s="1026"/>
      <c r="L985" s="1026"/>
      <c r="M985" s="1026"/>
      <c r="N985" s="1026"/>
      <c r="O985" s="1026"/>
      <c r="P985" s="1026"/>
      <c r="Q985" s="1026"/>
      <c r="R985" s="1026"/>
      <c r="S985" s="1026"/>
      <c r="T985" s="1026"/>
      <c r="U985" s="1026"/>
      <c r="V985" s="1026"/>
      <c r="W985" s="1026"/>
      <c r="X985" s="1026"/>
      <c r="Y985" s="1026"/>
      <c r="Z985" s="1026"/>
      <c r="AA985" s="1026"/>
      <c r="AB985" s="1026"/>
      <c r="AC985" s="1026"/>
    </row>
    <row r="986" spans="1:29" x14ac:dyDescent="0.25">
      <c r="A986" s="847"/>
      <c r="B986" s="1026"/>
      <c r="C986" s="1026"/>
      <c r="D986" s="1026"/>
      <c r="E986" s="1026"/>
      <c r="F986" s="1026"/>
      <c r="G986" s="1026"/>
      <c r="H986" s="1026"/>
      <c r="I986" s="1026"/>
      <c r="J986" s="1026"/>
      <c r="K986" s="1026"/>
      <c r="L986" s="1026"/>
      <c r="M986" s="1026"/>
      <c r="N986" s="1026"/>
      <c r="O986" s="1026"/>
      <c r="P986" s="1026"/>
      <c r="Q986" s="1026"/>
      <c r="R986" s="1026"/>
      <c r="S986" s="1026"/>
      <c r="T986" s="1026"/>
      <c r="U986" s="1026"/>
      <c r="V986" s="1026"/>
      <c r="W986" s="1026"/>
      <c r="X986" s="1026"/>
      <c r="Y986" s="1026"/>
      <c r="Z986" s="1026"/>
      <c r="AA986" s="1026"/>
      <c r="AB986" s="1026"/>
      <c r="AC986" s="1026"/>
    </row>
    <row r="987" spans="1:29" x14ac:dyDescent="0.25">
      <c r="A987" s="847"/>
      <c r="B987" s="1026"/>
      <c r="C987" s="1026"/>
      <c r="D987" s="1026"/>
      <c r="E987" s="1026"/>
      <c r="F987" s="1026"/>
      <c r="G987" s="1026"/>
      <c r="H987" s="1026"/>
      <c r="I987" s="1026"/>
      <c r="J987" s="1026"/>
      <c r="K987" s="1026"/>
      <c r="L987" s="1026"/>
      <c r="M987" s="1026"/>
      <c r="N987" s="1026"/>
      <c r="O987" s="1026"/>
      <c r="P987" s="1026"/>
      <c r="Q987" s="1026"/>
      <c r="R987" s="1026"/>
      <c r="S987" s="1026"/>
      <c r="T987" s="1026"/>
      <c r="U987" s="1026"/>
      <c r="V987" s="1026"/>
      <c r="W987" s="1026"/>
      <c r="X987" s="1026"/>
      <c r="Y987" s="1026"/>
      <c r="Z987" s="1026"/>
      <c r="AA987" s="1026"/>
      <c r="AB987" s="1026"/>
      <c r="AC987" s="1026"/>
    </row>
    <row r="988" spans="1:29" x14ac:dyDescent="0.25">
      <c r="A988" s="847"/>
      <c r="B988" s="1026"/>
      <c r="C988" s="1026"/>
      <c r="D988" s="1026"/>
      <c r="E988" s="1026"/>
      <c r="F988" s="1026"/>
      <c r="G988" s="1026"/>
      <c r="H988" s="1026"/>
      <c r="I988" s="1026"/>
      <c r="J988" s="1026"/>
      <c r="K988" s="1026"/>
      <c r="L988" s="1026"/>
      <c r="M988" s="1026"/>
      <c r="N988" s="1026"/>
      <c r="O988" s="1026"/>
      <c r="P988" s="1026"/>
      <c r="Q988" s="1026"/>
      <c r="R988" s="1026"/>
      <c r="S988" s="1026"/>
      <c r="T988" s="1026"/>
      <c r="U988" s="1026"/>
      <c r="V988" s="1026"/>
      <c r="W988" s="1026"/>
      <c r="X988" s="1026"/>
      <c r="Y988" s="1026"/>
      <c r="Z988" s="1026"/>
      <c r="AA988" s="1026"/>
      <c r="AB988" s="1026"/>
      <c r="AC988" s="1026"/>
    </row>
    <row r="989" spans="1:29" x14ac:dyDescent="0.25">
      <c r="A989" s="847"/>
      <c r="B989" s="1026"/>
      <c r="C989" s="1026"/>
      <c r="D989" s="1026"/>
      <c r="E989" s="1026"/>
      <c r="F989" s="1026"/>
      <c r="G989" s="1026"/>
      <c r="H989" s="1026"/>
      <c r="I989" s="1026"/>
      <c r="J989" s="1026"/>
      <c r="K989" s="1026"/>
      <c r="L989" s="1026"/>
      <c r="M989" s="1026"/>
      <c r="N989" s="1026"/>
      <c r="O989" s="1026"/>
      <c r="P989" s="1026"/>
      <c r="Q989" s="1026"/>
      <c r="R989" s="1026"/>
      <c r="S989" s="1026"/>
      <c r="T989" s="1026"/>
      <c r="U989" s="1026"/>
      <c r="V989" s="1026"/>
      <c r="W989" s="1026"/>
      <c r="X989" s="1026"/>
      <c r="Y989" s="1026"/>
      <c r="Z989" s="1026"/>
      <c r="AA989" s="1026"/>
      <c r="AB989" s="1026"/>
      <c r="AC989" s="1026"/>
    </row>
    <row r="990" spans="1:29" x14ac:dyDescent="0.25">
      <c r="A990" s="847"/>
      <c r="B990" s="1026"/>
      <c r="C990" s="1026"/>
      <c r="D990" s="1026"/>
      <c r="E990" s="1026"/>
      <c r="F990" s="1026"/>
      <c r="G990" s="1026"/>
      <c r="H990" s="1026"/>
      <c r="I990" s="1026"/>
      <c r="J990" s="1026"/>
      <c r="K990" s="1026"/>
      <c r="L990" s="1026"/>
      <c r="M990" s="1026"/>
      <c r="N990" s="1026"/>
      <c r="O990" s="1026"/>
      <c r="P990" s="1026"/>
      <c r="Q990" s="1026"/>
      <c r="R990" s="1026"/>
      <c r="S990" s="1026"/>
      <c r="T990" s="1026"/>
      <c r="U990" s="1026"/>
      <c r="V990" s="1026"/>
      <c r="W990" s="1026"/>
      <c r="X990" s="1026"/>
      <c r="Y990" s="1026"/>
      <c r="Z990" s="1026"/>
      <c r="AA990" s="1026"/>
      <c r="AB990" s="1026"/>
      <c r="AC990" s="1026"/>
    </row>
    <row r="991" spans="1:29" x14ac:dyDescent="0.25">
      <c r="A991" s="847"/>
      <c r="B991" s="1026"/>
      <c r="C991" s="1026"/>
      <c r="D991" s="1026"/>
      <c r="E991" s="1026"/>
      <c r="F991" s="1026"/>
      <c r="G991" s="1026"/>
      <c r="H991" s="1026"/>
      <c r="I991" s="1026"/>
      <c r="J991" s="1026"/>
      <c r="K991" s="1026"/>
      <c r="L991" s="1026"/>
      <c r="M991" s="1026"/>
      <c r="N991" s="1026"/>
      <c r="O991" s="1026"/>
      <c r="P991" s="1026"/>
      <c r="Q991" s="1026"/>
      <c r="R991" s="1026"/>
      <c r="S991" s="1026"/>
      <c r="T991" s="1026"/>
      <c r="U991" s="1026"/>
      <c r="V991" s="1026"/>
      <c r="W991" s="1026"/>
      <c r="X991" s="1026"/>
      <c r="Y991" s="1026"/>
      <c r="Z991" s="1026"/>
      <c r="AA991" s="1026"/>
      <c r="AB991" s="1026"/>
      <c r="AC991" s="1026"/>
    </row>
    <row r="992" spans="1:29" x14ac:dyDescent="0.25">
      <c r="A992" s="847"/>
      <c r="B992" s="1026"/>
      <c r="C992" s="1026"/>
      <c r="D992" s="1026"/>
      <c r="E992" s="1026"/>
      <c r="F992" s="1026"/>
      <c r="G992" s="1026"/>
      <c r="H992" s="1026"/>
      <c r="I992" s="1026"/>
      <c r="J992" s="1026"/>
      <c r="K992" s="1026"/>
      <c r="L992" s="1026"/>
      <c r="M992" s="1026"/>
      <c r="N992" s="1026"/>
      <c r="O992" s="1026"/>
      <c r="P992" s="1026"/>
      <c r="Q992" s="1026"/>
      <c r="R992" s="1026"/>
      <c r="S992" s="1026"/>
      <c r="T992" s="1026"/>
      <c r="U992" s="1026"/>
      <c r="V992" s="1026"/>
      <c r="W992" s="1026"/>
      <c r="X992" s="1026"/>
      <c r="Y992" s="1026"/>
      <c r="Z992" s="1026"/>
      <c r="AA992" s="1026"/>
      <c r="AB992" s="1026"/>
      <c r="AC992" s="1026"/>
    </row>
    <row r="993" spans="1:29" x14ac:dyDescent="0.25">
      <c r="A993" s="847"/>
      <c r="B993" s="1026"/>
      <c r="C993" s="1026"/>
      <c r="D993" s="1026"/>
      <c r="E993" s="1026"/>
      <c r="F993" s="1026"/>
      <c r="G993" s="1026"/>
      <c r="H993" s="1026"/>
      <c r="I993" s="1026"/>
      <c r="J993" s="1026"/>
      <c r="K993" s="1026"/>
      <c r="L993" s="1026"/>
      <c r="M993" s="1026"/>
      <c r="N993" s="1026"/>
      <c r="O993" s="1026"/>
      <c r="P993" s="1026"/>
      <c r="Q993" s="1026"/>
      <c r="R993" s="1026"/>
      <c r="S993" s="1026"/>
      <c r="T993" s="1026"/>
      <c r="U993" s="1026"/>
      <c r="V993" s="1026"/>
      <c r="W993" s="1026"/>
      <c r="X993" s="1026"/>
      <c r="Y993" s="1026"/>
      <c r="Z993" s="1026"/>
      <c r="AA993" s="1026"/>
      <c r="AB993" s="1026"/>
      <c r="AC993" s="1026"/>
    </row>
    <row r="994" spans="1:29" x14ac:dyDescent="0.25">
      <c r="A994" s="847"/>
      <c r="B994" s="1026"/>
      <c r="C994" s="1026"/>
      <c r="D994" s="1026"/>
      <c r="E994" s="1026"/>
      <c r="F994" s="1026"/>
      <c r="G994" s="1026"/>
      <c r="H994" s="1026"/>
      <c r="I994" s="1026"/>
      <c r="J994" s="1026"/>
      <c r="K994" s="1026"/>
      <c r="L994" s="1026"/>
      <c r="M994" s="1026"/>
      <c r="N994" s="1026"/>
      <c r="O994" s="1026"/>
      <c r="P994" s="1026"/>
      <c r="Q994" s="1026"/>
      <c r="R994" s="1026"/>
      <c r="S994" s="1026"/>
      <c r="T994" s="1026"/>
      <c r="U994" s="1026"/>
      <c r="V994" s="1026"/>
      <c r="W994" s="1026"/>
      <c r="X994" s="1026"/>
      <c r="Y994" s="1026"/>
      <c r="Z994" s="1026"/>
      <c r="AA994" s="1026"/>
      <c r="AB994" s="1026"/>
      <c r="AC994" s="1026"/>
    </row>
    <row r="995" spans="1:29" x14ac:dyDescent="0.25">
      <c r="A995" s="847"/>
      <c r="B995" s="1026"/>
      <c r="C995" s="1026"/>
      <c r="D995" s="1026"/>
      <c r="E995" s="1026"/>
      <c r="F995" s="1026"/>
      <c r="G995" s="1026"/>
      <c r="H995" s="1026"/>
      <c r="I995" s="1026"/>
      <c r="J995" s="1026"/>
      <c r="K995" s="1026"/>
      <c r="L995" s="1026"/>
      <c r="M995" s="1026"/>
      <c r="N995" s="1026"/>
      <c r="O995" s="1026"/>
      <c r="P995" s="1026"/>
      <c r="Q995" s="1026"/>
      <c r="R995" s="1026"/>
      <c r="S995" s="1026"/>
      <c r="T995" s="1026"/>
      <c r="U995" s="1026"/>
      <c r="V995" s="1026"/>
      <c r="W995" s="1026"/>
      <c r="X995" s="1026"/>
      <c r="Y995" s="1026"/>
      <c r="Z995" s="1026"/>
      <c r="AA995" s="1026"/>
      <c r="AB995" s="1026"/>
      <c r="AC995" s="1026"/>
    </row>
    <row r="996" spans="1:29" x14ac:dyDescent="0.25">
      <c r="A996" s="847"/>
      <c r="B996" s="1026"/>
      <c r="C996" s="1026"/>
      <c r="D996" s="1026"/>
      <c r="E996" s="1026"/>
      <c r="F996" s="1026"/>
      <c r="G996" s="1026"/>
      <c r="H996" s="1026"/>
      <c r="I996" s="1026"/>
      <c r="J996" s="1026"/>
      <c r="K996" s="1026"/>
      <c r="L996" s="1026"/>
      <c r="M996" s="1026"/>
      <c r="N996" s="1026"/>
      <c r="O996" s="1026"/>
      <c r="P996" s="1026"/>
      <c r="Q996" s="1026"/>
      <c r="R996" s="1026"/>
      <c r="S996" s="1026"/>
      <c r="T996" s="1026"/>
      <c r="U996" s="1026"/>
      <c r="V996" s="1026"/>
      <c r="W996" s="1026"/>
      <c r="X996" s="1026"/>
      <c r="Y996" s="1026"/>
      <c r="Z996" s="1026"/>
      <c r="AA996" s="1026"/>
      <c r="AB996" s="1026"/>
      <c r="AC996" s="1026"/>
    </row>
    <row r="997" spans="1:29" x14ac:dyDescent="0.25">
      <c r="A997" s="847"/>
      <c r="B997" s="1026"/>
      <c r="C997" s="1026"/>
      <c r="D997" s="1026"/>
      <c r="E997" s="1026"/>
      <c r="F997" s="1026"/>
      <c r="G997" s="1026"/>
      <c r="H997" s="1026"/>
      <c r="I997" s="1026"/>
      <c r="J997" s="1026"/>
      <c r="K997" s="1026"/>
      <c r="L997" s="1026"/>
      <c r="M997" s="1026"/>
      <c r="N997" s="1026"/>
      <c r="O997" s="1026"/>
      <c r="P997" s="1026"/>
      <c r="Q997" s="1026"/>
      <c r="R997" s="1026"/>
      <c r="S997" s="1026"/>
      <c r="T997" s="1026"/>
      <c r="U997" s="1026"/>
      <c r="V997" s="1026"/>
      <c r="W997" s="1026"/>
      <c r="X997" s="1026"/>
      <c r="Y997" s="1026"/>
      <c r="Z997" s="1026"/>
      <c r="AA997" s="1026"/>
      <c r="AB997" s="1026"/>
      <c r="AC997" s="1026"/>
    </row>
    <row r="998" spans="1:29" x14ac:dyDescent="0.25">
      <c r="A998" s="847"/>
      <c r="B998" s="1026"/>
      <c r="C998" s="1026"/>
      <c r="D998" s="1026"/>
      <c r="E998" s="1026"/>
      <c r="F998" s="1026"/>
      <c r="G998" s="1026"/>
      <c r="H998" s="1026"/>
      <c r="I998" s="1026"/>
      <c r="J998" s="1026"/>
      <c r="K998" s="1026"/>
      <c r="L998" s="1026"/>
      <c r="M998" s="1026"/>
      <c r="N998" s="1026"/>
      <c r="O998" s="1026"/>
      <c r="P998" s="1026"/>
      <c r="Q998" s="1026"/>
      <c r="R998" s="1026"/>
      <c r="S998" s="1026"/>
      <c r="T998" s="1026"/>
      <c r="U998" s="1026"/>
      <c r="V998" s="1026"/>
      <c r="W998" s="1026"/>
      <c r="X998" s="1026"/>
      <c r="Y998" s="1026"/>
      <c r="Z998" s="1026"/>
      <c r="AA998" s="1026"/>
      <c r="AB998" s="1026"/>
      <c r="AC998" s="1026"/>
    </row>
    <row r="999" spans="1:29" x14ac:dyDescent="0.25">
      <c r="A999" s="847"/>
      <c r="B999" s="1026"/>
      <c r="C999" s="1026"/>
      <c r="D999" s="1026"/>
      <c r="E999" s="1026"/>
      <c r="F999" s="1026"/>
      <c r="G999" s="1026"/>
      <c r="H999" s="1026"/>
      <c r="I999" s="1026"/>
      <c r="J999" s="1026"/>
      <c r="K999" s="1026"/>
      <c r="L999" s="1026"/>
      <c r="M999" s="1026"/>
      <c r="N999" s="1026"/>
      <c r="O999" s="1026"/>
      <c r="P999" s="1026"/>
      <c r="Q999" s="1026"/>
      <c r="R999" s="1026"/>
      <c r="S999" s="1026"/>
      <c r="T999" s="1026"/>
      <c r="U999" s="1026"/>
      <c r="V999" s="1026"/>
      <c r="W999" s="1026"/>
      <c r="X999" s="1026"/>
      <c r="Y999" s="1026"/>
      <c r="Z999" s="1026"/>
      <c r="AA999" s="1026"/>
      <c r="AB999" s="1026"/>
      <c r="AC999" s="1026"/>
    </row>
  </sheetData>
  <sheetProtection algorithmName="SHA-512" hashValue="S+mgxYWdHHdmE/+Sd5NFxFT+K1fufW8v7zpYz7PEWZA8iZfV5OGfZGyKSnUprM28g1b0U5LXD4Zvo7QHlsaavw==" saltValue="r3SN60j09Mmx05woc5Lm5g==" spinCount="100000" sheet="1" objects="1" scenarios="1"/>
  <mergeCells count="14">
    <mergeCell ref="T14:T15"/>
    <mergeCell ref="U14:U15"/>
    <mergeCell ref="W14:W15"/>
    <mergeCell ref="O14:O15"/>
    <mergeCell ref="P14:P15"/>
    <mergeCell ref="Q14:Q15"/>
    <mergeCell ref="R14:R15"/>
    <mergeCell ref="S14:S15"/>
    <mergeCell ref="V14:V15"/>
    <mergeCell ref="A11:L12"/>
    <mergeCell ref="C14:C15"/>
    <mergeCell ref="D14:D15"/>
    <mergeCell ref="E14:E15"/>
    <mergeCell ref="F14:F15"/>
  </mergeCells>
  <pageMargins left="0.25" right="0.25" top="0.75" bottom="0.75" header="0.3" footer="0.3"/>
  <pageSetup paperSize="17" orientation="landscape" r:id="rId1"/>
  <headerFooter>
    <oddFooter>&amp;C&amp;A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4:AE791"/>
  <sheetViews>
    <sheetView showGridLines="0" topLeftCell="A26" zoomScaleNormal="100" workbookViewId="0">
      <selection activeCell="G33" activeCellId="1" sqref="G30 G33"/>
    </sheetView>
  </sheetViews>
  <sheetFormatPr defaultRowHeight="15" x14ac:dyDescent="0.25"/>
  <cols>
    <col min="1" max="1" width="8.140625" style="743" customWidth="1"/>
    <col min="2" max="2" width="70.140625" style="743" customWidth="1"/>
    <col min="3" max="3" width="20.28515625" style="743" customWidth="1"/>
    <col min="4" max="4" width="54" style="743" bestFit="1" customWidth="1"/>
    <col min="5" max="5" width="21.28515625" style="743" customWidth="1"/>
    <col min="6" max="7" width="20.5703125" style="743" customWidth="1"/>
    <col min="8" max="12" width="20.5703125" style="743" hidden="1" customWidth="1"/>
    <col min="13" max="13" width="17.85546875" style="743" hidden="1" customWidth="1"/>
    <col min="14" max="14" width="17" style="743" hidden="1" customWidth="1"/>
    <col min="15" max="15" width="19.140625" style="743" hidden="1" customWidth="1"/>
    <col min="16" max="17" width="9.140625" style="743" customWidth="1"/>
    <col min="18" max="16384" width="9.140625" style="743"/>
  </cols>
  <sheetData>
    <row r="14" spans="1:15" ht="30" x14ac:dyDescent="0.25">
      <c r="A14" s="874">
        <v>1</v>
      </c>
      <c r="B14" s="617" t="s">
        <v>6574</v>
      </c>
      <c r="C14" s="977">
        <v>2016</v>
      </c>
      <c r="D14" s="1779" t="s">
        <v>6050</v>
      </c>
      <c r="E14" s="1780"/>
      <c r="F14" s="1780"/>
      <c r="G14" s="1780"/>
      <c r="H14" s="1780"/>
      <c r="I14" s="1780"/>
      <c r="J14" s="1780"/>
      <c r="K14" s="1780"/>
    </row>
    <row r="15" spans="1:15" x14ac:dyDescent="0.25">
      <c r="B15" s="747"/>
    </row>
    <row r="16" spans="1:15" ht="30" hidden="1" customHeight="1" x14ac:dyDescent="0.25">
      <c r="B16" s="617"/>
      <c r="C16" s="1783" t="s">
        <v>2907</v>
      </c>
      <c r="D16" s="1784"/>
      <c r="E16" s="1646"/>
      <c r="F16" s="1777">
        <v>2016</v>
      </c>
      <c r="G16" s="1778"/>
      <c r="H16" s="1777">
        <v>2015</v>
      </c>
      <c r="I16" s="1778"/>
      <c r="J16" s="1777">
        <v>2014</v>
      </c>
      <c r="K16" s="1778"/>
      <c r="L16" s="1777">
        <v>2013</v>
      </c>
      <c r="M16" s="1778"/>
      <c r="N16" s="1777">
        <v>2012</v>
      </c>
      <c r="O16" s="1778"/>
    </row>
    <row r="17" spans="1:31" x14ac:dyDescent="0.25">
      <c r="A17" s="746"/>
    </row>
    <row r="18" spans="1:31" x14ac:dyDescent="0.25">
      <c r="E18" s="747"/>
    </row>
    <row r="19" spans="1:31" ht="72" customHeight="1" x14ac:dyDescent="0.25">
      <c r="A19" s="874" t="s">
        <v>2902</v>
      </c>
      <c r="B19" s="617" t="s">
        <v>6068</v>
      </c>
      <c r="C19" s="977" t="s">
        <v>6907</v>
      </c>
      <c r="D19" s="900" t="s">
        <v>6070</v>
      </c>
    </row>
    <row r="20" spans="1:31" ht="24" customHeight="1" x14ac:dyDescent="0.25"/>
    <row r="21" spans="1:31" ht="72.75" customHeight="1" x14ac:dyDescent="0.25">
      <c r="A21" s="874" t="s">
        <v>2903</v>
      </c>
      <c r="B21" s="896" t="s">
        <v>6067</v>
      </c>
      <c r="C21" s="977" t="s">
        <v>6907</v>
      </c>
      <c r="D21" s="900" t="s">
        <v>6069</v>
      </c>
    </row>
    <row r="22" spans="1:31" x14ac:dyDescent="0.25">
      <c r="B22" s="747"/>
    </row>
    <row r="23" spans="1:31" x14ac:dyDescent="0.25">
      <c r="B23" s="747"/>
    </row>
    <row r="24" spans="1:31" x14ac:dyDescent="0.25">
      <c r="A24" s="746"/>
    </row>
    <row r="25" spans="1:31" ht="30" x14ac:dyDescent="0.25">
      <c r="A25" s="874" t="s">
        <v>2547</v>
      </c>
      <c r="B25" s="617" t="s">
        <v>2905</v>
      </c>
      <c r="C25" s="978">
        <v>2</v>
      </c>
      <c r="P25" s="876"/>
      <c r="Q25" s="876"/>
      <c r="R25" s="876"/>
      <c r="S25" s="876"/>
      <c r="T25" s="876"/>
      <c r="U25" s="876"/>
      <c r="V25" s="876"/>
    </row>
    <row r="26" spans="1:31" x14ac:dyDescent="0.25">
      <c r="P26" s="876"/>
      <c r="Q26" s="876"/>
      <c r="R26" s="876"/>
      <c r="S26" s="876"/>
      <c r="T26" s="876"/>
      <c r="U26" s="876"/>
      <c r="V26" s="876"/>
      <c r="Z26" s="1354"/>
      <c r="AA26" s="1354"/>
      <c r="AB26" s="1354"/>
    </row>
    <row r="27" spans="1:31" x14ac:dyDescent="0.25">
      <c r="A27" s="876"/>
      <c r="B27" s="876"/>
      <c r="C27" s="748" t="s">
        <v>3029</v>
      </c>
      <c r="P27" s="876"/>
      <c r="Q27" s="876"/>
      <c r="R27" s="876"/>
      <c r="S27" s="876"/>
      <c r="T27" s="876"/>
      <c r="U27" s="876"/>
      <c r="V27" s="876"/>
      <c r="Z27" s="1354"/>
      <c r="AA27" s="1354"/>
      <c r="AB27" s="1354"/>
      <c r="AC27" s="876"/>
    </row>
    <row r="28" spans="1:31" x14ac:dyDescent="0.25">
      <c r="A28" s="876"/>
      <c r="B28" s="876"/>
      <c r="C28" s="1781" t="s">
        <v>2444</v>
      </c>
      <c r="D28" s="1781" t="s">
        <v>52</v>
      </c>
      <c r="E28" s="749"/>
      <c r="F28" s="1785">
        <v>2017</v>
      </c>
      <c r="G28" s="1776"/>
      <c r="H28" s="1785">
        <v>2016</v>
      </c>
      <c r="I28" s="1776"/>
      <c r="J28" s="1785">
        <v>2015</v>
      </c>
      <c r="K28" s="1776"/>
      <c r="L28" s="1785">
        <v>2014</v>
      </c>
      <c r="M28" s="1776"/>
      <c r="N28" s="1785">
        <v>2013</v>
      </c>
      <c r="O28" s="1776"/>
      <c r="P28" s="876"/>
      <c r="Q28" s="876"/>
      <c r="R28" s="876"/>
      <c r="S28" s="876"/>
      <c r="T28" s="876"/>
      <c r="U28" s="876"/>
      <c r="V28" s="876"/>
      <c r="Z28" s="1354"/>
      <c r="AA28" s="1354"/>
      <c r="AB28" s="1354"/>
      <c r="AC28" s="1354"/>
      <c r="AD28" s="1354"/>
      <c r="AE28" s="1354"/>
    </row>
    <row r="29" spans="1:31" x14ac:dyDescent="0.25">
      <c r="A29" s="876"/>
      <c r="B29" s="876"/>
      <c r="C29" s="1782"/>
      <c r="D29" s="1782"/>
      <c r="E29" s="750"/>
      <c r="F29" s="616" t="s">
        <v>2548</v>
      </c>
      <c r="G29" s="616" t="s">
        <v>2549</v>
      </c>
      <c r="H29" s="616" t="s">
        <v>2548</v>
      </c>
      <c r="I29" s="616" t="s">
        <v>2549</v>
      </c>
      <c r="J29" s="616" t="s">
        <v>2548</v>
      </c>
      <c r="K29" s="616" t="s">
        <v>2549</v>
      </c>
      <c r="L29" s="616" t="s">
        <v>2548</v>
      </c>
      <c r="M29" s="616" t="s">
        <v>2549</v>
      </c>
      <c r="N29" s="616" t="s">
        <v>2548</v>
      </c>
      <c r="O29" s="616" t="s">
        <v>2549</v>
      </c>
      <c r="P29" s="876"/>
      <c r="Q29" s="876"/>
      <c r="R29" s="876"/>
      <c r="S29" s="876"/>
      <c r="T29" s="876"/>
      <c r="U29" s="876"/>
      <c r="V29" s="876"/>
      <c r="Z29" s="1354"/>
      <c r="AA29" s="1354"/>
      <c r="AB29" s="1354"/>
      <c r="AC29" s="1354"/>
      <c r="AD29" s="1354"/>
      <c r="AE29" s="1354"/>
    </row>
    <row r="30" spans="1:31" x14ac:dyDescent="0.25">
      <c r="A30" s="876" t="str">
        <f>IF(AND(F32=G32,H32=I32,J32=K32,F32="A"),"2015 - kwh",IF(AND(F32=G32,H32=I32,J32&lt;&gt;K32,F32="A"),"2016 - kwh",IF(AND(F32=G32,H32&lt;&gt;I32,F32="A"),"2017 - kwh","N/A")))</f>
        <v>N/A</v>
      </c>
      <c r="B30" s="876" t="str">
        <f>IF(F32&lt;&gt;G32,"2017 - kwh",IF(H32&lt;&gt;I32,"2016 - kwh",IF(J32&lt;&gt;K32,"2015 - kwh","N/A")))</f>
        <v>2017 - kwh</v>
      </c>
      <c r="C30" s="751" t="s">
        <v>2467</v>
      </c>
      <c r="D30" s="979" t="s">
        <v>4819</v>
      </c>
      <c r="E30" s="813" t="s">
        <v>158</v>
      </c>
      <c r="F30" s="978">
        <v>607464</v>
      </c>
      <c r="G30" s="978">
        <v>475920</v>
      </c>
      <c r="H30" s="978"/>
      <c r="I30" s="978"/>
      <c r="J30" s="978"/>
      <c r="K30" s="978"/>
      <c r="L30" s="978"/>
      <c r="M30" s="978"/>
      <c r="N30" s="978"/>
      <c r="O30" s="978"/>
      <c r="P30" s="876"/>
      <c r="Q30" s="876"/>
      <c r="R30" s="876"/>
      <c r="S30" s="876"/>
      <c r="T30" s="876"/>
      <c r="U30" s="876"/>
      <c r="V30" s="876"/>
      <c r="Z30" s="1354"/>
      <c r="AA30" s="1354" t="str">
        <f>IF(AND(F32=G32,H32=I32,F32="A"),"2015 - kwh","")</f>
        <v/>
      </c>
      <c r="AB30" s="1354" t="str">
        <f>IF(OR(B30="2016 - kwh",B30="2017 - kwh"),"2015 - kwh","")</f>
        <v>2015 - kwh</v>
      </c>
      <c r="AC30" s="1354"/>
      <c r="AD30" s="1354"/>
      <c r="AE30" s="1354"/>
    </row>
    <row r="31" spans="1:31" x14ac:dyDescent="0.25">
      <c r="A31" s="876" t="str">
        <f>IF(AND(F32=G32,H32=I32,J32=K32,F32="A"),"2015 - kw",IF(AND(F32=G32,H32=I32,J32&lt;&gt;K32,F32="A"),"2016 - kw",IF(AND(F32=G32,H32&lt;&gt;I32,F32="A"),"2017 - kw","N/A")))</f>
        <v>N/A</v>
      </c>
      <c r="B31" s="876" t="str">
        <f>IF(F32&lt;&gt;G32,"2017 - kw",IF(H32&lt;&gt;I32,"2016 - kw",IF(J32&lt;&gt;K32,"2015 - kw","N/A")))</f>
        <v>2017 - kw</v>
      </c>
      <c r="C31" s="752"/>
      <c r="D31" s="809" t="str">
        <f>D30 &amp; "kW"</f>
        <v>GENERAL SERVICE 50 to 4,999 kW SERVICE CLASSIFICATIONkW</v>
      </c>
      <c r="E31" s="812" t="s">
        <v>159</v>
      </c>
      <c r="F31" s="978">
        <v>2860.2720000000004</v>
      </c>
      <c r="G31" s="978">
        <v>2479</v>
      </c>
      <c r="H31" s="978"/>
      <c r="I31" s="978"/>
      <c r="J31" s="978"/>
      <c r="K31" s="978"/>
      <c r="L31" s="978"/>
      <c r="M31" s="978"/>
      <c r="N31" s="978"/>
      <c r="O31" s="978"/>
      <c r="P31" s="876"/>
      <c r="Q31" s="876"/>
      <c r="R31" s="876"/>
      <c r="S31" s="876"/>
      <c r="T31" s="876"/>
      <c r="U31" s="876"/>
      <c r="V31" s="876"/>
      <c r="Z31" s="1354"/>
      <c r="AA31" s="1354" t="str">
        <f>IF(AND(F32=G32,H32=I32,F32="A"),"2015 - kw","")</f>
        <v/>
      </c>
      <c r="AB31" s="1354" t="str">
        <f>IF(OR(B31="2016 - kw",B31="2017 - kw"),"2015 - kw","")</f>
        <v>2015 - kw</v>
      </c>
      <c r="AC31" s="1354"/>
      <c r="AD31" s="1354"/>
      <c r="AE31" s="1354"/>
    </row>
    <row r="32" spans="1:31" x14ac:dyDescent="0.25">
      <c r="A32" s="876"/>
      <c r="B32" s="876"/>
      <c r="C32" s="755"/>
      <c r="D32" s="761"/>
      <c r="E32" s="811" t="s">
        <v>2550</v>
      </c>
      <c r="F32" s="977" t="s">
        <v>443</v>
      </c>
      <c r="G32" s="977" t="s">
        <v>442</v>
      </c>
      <c r="H32" s="977"/>
      <c r="I32" s="977"/>
      <c r="J32" s="977"/>
      <c r="K32" s="977"/>
      <c r="L32" s="977"/>
      <c r="M32" s="977"/>
      <c r="N32" s="977"/>
      <c r="O32" s="977"/>
      <c r="P32" s="876"/>
      <c r="Q32" s="876"/>
      <c r="R32" s="876"/>
      <c r="S32" s="876"/>
      <c r="T32" s="876"/>
      <c r="U32" s="876"/>
      <c r="V32" s="876"/>
      <c r="Z32" s="1354"/>
      <c r="AA32" s="1354"/>
      <c r="AB32" s="1354"/>
      <c r="AC32" s="1354"/>
      <c r="AD32" s="1354"/>
      <c r="AE32" s="1354"/>
    </row>
    <row r="33" spans="1:31" x14ac:dyDescent="0.25">
      <c r="A33" s="876" t="str">
        <f>IF(AND(F35=G35,H35=I35,J35=K35,F35="A"),"2015 - kwh",IF(AND(F35=G35,H35=I35,J35&lt;&gt;K35,F35="A"),"2016 - kwh",IF(AND(F35=G35,H35&lt;&gt;I35,F35="A"),"2017 - kwh","N/A")))</f>
        <v>N/A</v>
      </c>
      <c r="B33" s="876" t="str">
        <f>IF(F35&lt;&gt;G35,"2017 - kwh",IF(H35&lt;&gt;I35,"2016 - kwh",IF(J35&lt;&gt;K35,"2015 - kwh","N/A")))</f>
        <v>2017 - kwh</v>
      </c>
      <c r="C33" s="751" t="s">
        <v>2468</v>
      </c>
      <c r="D33" s="979" t="s">
        <v>4819</v>
      </c>
      <c r="E33" s="816" t="s">
        <v>158</v>
      </c>
      <c r="F33" s="978">
        <v>1666966.9400000002</v>
      </c>
      <c r="G33" s="978">
        <v>1717676</v>
      </c>
      <c r="H33" s="978"/>
      <c r="I33" s="978"/>
      <c r="J33" s="978"/>
      <c r="K33" s="978"/>
      <c r="L33" s="978"/>
      <c r="M33" s="978"/>
      <c r="N33" s="978"/>
      <c r="O33" s="978"/>
      <c r="P33" s="876"/>
      <c r="Q33" s="876"/>
      <c r="R33" s="876"/>
      <c r="S33" s="876"/>
      <c r="T33" s="876"/>
      <c r="U33" s="876"/>
      <c r="V33" s="876"/>
      <c r="Z33" s="1354"/>
      <c r="AA33" s="1354" t="str">
        <f>IF(AND(F35=G35,H35=I35,F35="A"),"2015 - kwh","")</f>
        <v/>
      </c>
      <c r="AB33" s="1354" t="str">
        <f>IF(OR(B33="2016 - kwh",B33="2017 - kwh"),"2015 - kwh","")</f>
        <v>2015 - kwh</v>
      </c>
      <c r="AC33" s="1354"/>
      <c r="AD33" s="1354"/>
      <c r="AE33" s="1354"/>
    </row>
    <row r="34" spans="1:31" x14ac:dyDescent="0.25">
      <c r="A34" s="876" t="str">
        <f>IF(AND(F35=G35,H35=I35,J35=K35,F35="A"),"2015 - kw",IF(AND(F35=G35,H35=I35,J35&lt;&gt;K35,F35="A"),"2016 - kw",IF(AND(F35=G35,H35&lt;&gt;I35,F35="A"),"2017 - kw","N/A")))</f>
        <v>N/A</v>
      </c>
      <c r="B34" s="876" t="str">
        <f>IF(F35&lt;&gt;G35,"2017 - kw",IF(H35&lt;&gt;I35,"2016 - kw",IF(J35&lt;&gt;K35,"2015 - kw","N/A")))</f>
        <v>2017 - kw</v>
      </c>
      <c r="C34" s="752"/>
      <c r="D34" s="809" t="str">
        <f>D33 &amp; "kW"</f>
        <v>GENERAL SERVICE 50 to 4,999 kW SERVICE CLASSIFICATIONkW</v>
      </c>
      <c r="E34" s="815" t="s">
        <v>159</v>
      </c>
      <c r="F34" s="978">
        <v>4614.3999999999996</v>
      </c>
      <c r="G34" s="978">
        <v>4896.6000000000004</v>
      </c>
      <c r="H34" s="978"/>
      <c r="I34" s="978"/>
      <c r="J34" s="978"/>
      <c r="K34" s="978"/>
      <c r="L34" s="978"/>
      <c r="M34" s="978"/>
      <c r="N34" s="978"/>
      <c r="O34" s="978"/>
      <c r="P34" s="876"/>
      <c r="Q34" s="876"/>
      <c r="R34" s="876"/>
      <c r="S34" s="876"/>
      <c r="T34" s="876"/>
      <c r="U34" s="876"/>
      <c r="V34" s="876"/>
      <c r="Z34" s="1354"/>
      <c r="AA34" s="1354" t="str">
        <f>IF(AND(F35=G35,H35=I35,F35="A"),"2015 - kw","")</f>
        <v/>
      </c>
      <c r="AB34" s="1354" t="str">
        <f>IF(OR(B34="2016 - kw",B34="2017 - kw"),"2015 - kw","")</f>
        <v>2015 - kw</v>
      </c>
      <c r="AC34" s="1354"/>
      <c r="AD34" s="1354"/>
      <c r="AE34" s="1354"/>
    </row>
    <row r="35" spans="1:31" x14ac:dyDescent="0.25">
      <c r="A35" s="876"/>
      <c r="B35" s="876"/>
      <c r="C35" s="755"/>
      <c r="D35" s="870"/>
      <c r="E35" s="814" t="s">
        <v>2550</v>
      </c>
      <c r="F35" s="977" t="s">
        <v>443</v>
      </c>
      <c r="G35" s="977" t="s">
        <v>442</v>
      </c>
      <c r="H35" s="977"/>
      <c r="I35" s="977"/>
      <c r="J35" s="977"/>
      <c r="K35" s="977"/>
      <c r="L35" s="977"/>
      <c r="M35" s="977"/>
      <c r="N35" s="977"/>
      <c r="O35" s="977"/>
      <c r="P35" s="876"/>
      <c r="Q35" s="876"/>
      <c r="R35" s="876"/>
      <c r="S35" s="876"/>
      <c r="T35" s="876"/>
      <c r="U35" s="876"/>
      <c r="V35" s="876"/>
      <c r="Z35" s="1354"/>
      <c r="AA35" s="1354"/>
      <c r="AB35" s="1354"/>
      <c r="AC35" s="1354"/>
      <c r="AD35" s="1354"/>
      <c r="AE35" s="1354"/>
    </row>
    <row r="36" spans="1:31" hidden="1" x14ac:dyDescent="0.25">
      <c r="A36" s="876" t="str">
        <f>IF(AND(F38=G38,H38=I38,J38=K38,F38="A"),"2015 - kwh",IF(AND(F38=G38,H38=I38,J38&lt;&gt;K38,F38="A"),"2016 - kwh",IF(AND(F38=G38,H38&lt;&gt;I38,F38="A"),"2017 - kwh","N/A")))</f>
        <v>N/A</v>
      </c>
      <c r="B36" s="876" t="str">
        <f>IF(F38&lt;&gt;G38,"2017 - kwh",IF(H38&lt;&gt;I38,"2016 - kwh",IF(J38&lt;&gt;K38,"2015 - kwh","N/A")))</f>
        <v>N/A</v>
      </c>
      <c r="C36" s="751" t="s">
        <v>2469</v>
      </c>
      <c r="D36" s="979"/>
      <c r="E36" s="819" t="s">
        <v>158</v>
      </c>
      <c r="F36" s="978"/>
      <c r="G36" s="978"/>
      <c r="H36" s="978"/>
      <c r="I36" s="978"/>
      <c r="J36" s="978"/>
      <c r="K36" s="978"/>
      <c r="L36" s="978"/>
      <c r="M36" s="978"/>
      <c r="N36" s="978"/>
      <c r="O36" s="978"/>
      <c r="P36" s="876"/>
      <c r="Q36" s="876"/>
      <c r="R36" s="876"/>
      <c r="S36" s="876"/>
      <c r="T36" s="876"/>
      <c r="U36" s="876"/>
      <c r="V36" s="876"/>
      <c r="Z36" s="1354"/>
      <c r="AA36" s="1354" t="str">
        <f>IF(AND(F38=G38,H38=I38,F38="A"),"2015 - kwh","")</f>
        <v/>
      </c>
      <c r="AB36" s="1354" t="str">
        <f>IF(OR(B36="2016 - kwh",B36="2017 - kwh"),"2015 - kwh","")</f>
        <v/>
      </c>
      <c r="AC36" s="1354"/>
      <c r="AD36" s="1354"/>
      <c r="AE36" s="1354"/>
    </row>
    <row r="37" spans="1:31" hidden="1" x14ac:dyDescent="0.25">
      <c r="A37" s="876" t="str">
        <f>IF(AND(F38=G38,H38=I38,J38=K38,F38="A"),"2015 - kw",IF(AND(F38=G38,H38=I38,J38&lt;&gt;K38,F38="A"),"2016 - kw",IF(AND(F38=G38,H38&lt;&gt;I38,F38="A"),"2017 - kw","N/A")))</f>
        <v>N/A</v>
      </c>
      <c r="B37" s="876" t="str">
        <f>IF(F38&lt;&gt;G38,"2017 - kw",IF(H38&lt;&gt;I38,"2016 - kw",IF(J38&lt;&gt;K38,"2015 - kw","N/A")))</f>
        <v>N/A</v>
      </c>
      <c r="C37" s="752"/>
      <c r="D37" s="809" t="str">
        <f>D36 &amp; "kW"</f>
        <v>kW</v>
      </c>
      <c r="E37" s="818" t="s">
        <v>159</v>
      </c>
      <c r="F37" s="978"/>
      <c r="G37" s="978"/>
      <c r="H37" s="978"/>
      <c r="I37" s="978"/>
      <c r="J37" s="978"/>
      <c r="K37" s="978"/>
      <c r="L37" s="978"/>
      <c r="M37" s="978"/>
      <c r="N37" s="978"/>
      <c r="O37" s="978"/>
      <c r="P37" s="876"/>
      <c r="Q37" s="876"/>
      <c r="R37" s="876"/>
      <c r="S37" s="876"/>
      <c r="T37" s="876"/>
      <c r="U37" s="876"/>
      <c r="V37" s="876"/>
      <c r="Z37" s="1354"/>
      <c r="AA37" s="1354" t="str">
        <f>IF(AND(F38=G38,H38=I38,F38="A"),"2015 - kw","")</f>
        <v/>
      </c>
      <c r="AB37" s="1354" t="str">
        <f>IF(OR(B37="2016 - kw",B37="2017 - kw"),"2015 - kw","")</f>
        <v/>
      </c>
      <c r="AC37" s="1354"/>
      <c r="AD37" s="1354"/>
      <c r="AE37" s="1354"/>
    </row>
    <row r="38" spans="1:31" hidden="1" x14ac:dyDescent="0.25">
      <c r="A38" s="876"/>
      <c r="B38" s="876"/>
      <c r="C38" s="755"/>
      <c r="D38" s="870"/>
      <c r="E38" s="817" t="s">
        <v>2550</v>
      </c>
      <c r="F38" s="977"/>
      <c r="G38" s="977"/>
      <c r="H38" s="977"/>
      <c r="I38" s="977"/>
      <c r="J38" s="977"/>
      <c r="K38" s="977"/>
      <c r="L38" s="977"/>
      <c r="M38" s="977"/>
      <c r="N38" s="977"/>
      <c r="O38" s="977"/>
      <c r="P38" s="876"/>
      <c r="Q38" s="876"/>
      <c r="R38" s="876"/>
      <c r="S38" s="876"/>
      <c r="T38" s="876"/>
      <c r="U38" s="876"/>
      <c r="V38" s="876"/>
      <c r="Z38" s="1354"/>
      <c r="AA38" s="1354"/>
      <c r="AB38" s="1354"/>
      <c r="AC38" s="1354"/>
      <c r="AD38" s="1354"/>
      <c r="AE38" s="1354"/>
    </row>
    <row r="39" spans="1:31" hidden="1" x14ac:dyDescent="0.25">
      <c r="A39" s="876" t="str">
        <f>IF(AND(F41=G41,H41=I41,J41=K41,F41="A"),"2015 - kwh",IF(AND(F41=G41,H41=I41,J41&lt;&gt;K41,F41="A"),"2016 - kwh",IF(AND(F41=G41,H41&lt;&gt;I41,F41="A"),"2017 - kwh","N/A")))</f>
        <v>N/A</v>
      </c>
      <c r="B39" s="876" t="str">
        <f>IF(F41&lt;&gt;G41,"2017 - kwh",IF(H41&lt;&gt;I41,"2016 - kwh",IF(J41&lt;&gt;K41,"2015 - kwh","N/A")))</f>
        <v>N/A</v>
      </c>
      <c r="C39" s="751" t="s">
        <v>2470</v>
      </c>
      <c r="D39" s="979"/>
      <c r="E39" s="822" t="s">
        <v>158</v>
      </c>
      <c r="F39" s="978"/>
      <c r="G39" s="978"/>
      <c r="H39" s="978"/>
      <c r="I39" s="978"/>
      <c r="J39" s="978"/>
      <c r="K39" s="978"/>
      <c r="L39" s="978"/>
      <c r="M39" s="978"/>
      <c r="N39" s="978"/>
      <c r="O39" s="978"/>
      <c r="P39" s="876"/>
      <c r="Q39" s="876"/>
      <c r="R39" s="876"/>
      <c r="S39" s="876"/>
      <c r="T39" s="876"/>
      <c r="U39" s="876"/>
      <c r="V39" s="876"/>
      <c r="Z39" s="1354"/>
      <c r="AA39" s="1354" t="str">
        <f>IF(AND(F41=G41,H41=I41,F41="A"),"2015 - kwh","")</f>
        <v/>
      </c>
      <c r="AB39" s="1354" t="str">
        <f>IF(OR(B39="2016 - kwh",B39="2017 - kwh"),"2015 - kwh","")</f>
        <v/>
      </c>
      <c r="AC39" s="1354"/>
      <c r="AD39" s="1354"/>
      <c r="AE39" s="1354"/>
    </row>
    <row r="40" spans="1:31" hidden="1" x14ac:dyDescent="0.25">
      <c r="A40" s="876" t="str">
        <f>IF(AND(F41=G41,H41=I41,J41=K41,F41="A"),"2015 - kw",IF(AND(F41=G41,H41=I41,J41&lt;&gt;K41,F41="A"),"2016 - kw",IF(AND(F41=G41,H41&lt;&gt;I41,F41="A"),"2017 - kw","N/A")))</f>
        <v>N/A</v>
      </c>
      <c r="B40" s="876" t="str">
        <f>IF(F41&lt;&gt;G41,"2017 - kw",IF(H41&lt;&gt;I41,"2016 - kw",IF(J41&lt;&gt;K41,"2015 - kw","N/A")))</f>
        <v>N/A</v>
      </c>
      <c r="C40" s="752"/>
      <c r="D40" s="809" t="str">
        <f>D39 &amp; "kW"</f>
        <v>kW</v>
      </c>
      <c r="E40" s="821" t="s">
        <v>159</v>
      </c>
      <c r="F40" s="978"/>
      <c r="G40" s="978"/>
      <c r="H40" s="978"/>
      <c r="I40" s="978"/>
      <c r="J40" s="978"/>
      <c r="K40" s="978"/>
      <c r="L40" s="978"/>
      <c r="M40" s="978"/>
      <c r="N40" s="978"/>
      <c r="O40" s="978"/>
      <c r="P40" s="876"/>
      <c r="Q40" s="876"/>
      <c r="R40" s="876"/>
      <c r="S40" s="876"/>
      <c r="T40" s="876"/>
      <c r="U40" s="876"/>
      <c r="V40" s="876"/>
      <c r="Z40" s="1354"/>
      <c r="AA40" s="1354" t="str">
        <f>IF(AND(F41=G41,H41=I41,F41="A"),"2015 - kw","")</f>
        <v/>
      </c>
      <c r="AB40" s="1354" t="str">
        <f>IF(OR(B40="2016 - kw",B40="2017 - kw"),"2015 - kw","")</f>
        <v/>
      </c>
      <c r="AC40" s="1354"/>
      <c r="AD40" s="1354"/>
      <c r="AE40" s="1354"/>
    </row>
    <row r="41" spans="1:31" hidden="1" x14ac:dyDescent="0.25">
      <c r="A41" s="876"/>
      <c r="B41" s="876"/>
      <c r="C41" s="755"/>
      <c r="D41" s="870"/>
      <c r="E41" s="820" t="s">
        <v>2550</v>
      </c>
      <c r="F41" s="977"/>
      <c r="G41" s="977"/>
      <c r="H41" s="977"/>
      <c r="I41" s="977"/>
      <c r="J41" s="977"/>
      <c r="K41" s="977"/>
      <c r="L41" s="977"/>
      <c r="M41" s="977"/>
      <c r="N41" s="977"/>
      <c r="O41" s="977"/>
      <c r="P41" s="876"/>
      <c r="Q41" s="876"/>
      <c r="R41" s="876"/>
      <c r="S41" s="876"/>
      <c r="T41" s="876"/>
      <c r="U41" s="876"/>
      <c r="V41" s="876"/>
      <c r="Z41" s="1354"/>
      <c r="AA41" s="1354"/>
      <c r="AB41" s="1354"/>
      <c r="AC41" s="1354"/>
      <c r="AD41" s="1354"/>
      <c r="AE41" s="1354"/>
    </row>
    <row r="42" spans="1:31" hidden="1" x14ac:dyDescent="0.25">
      <c r="A42" s="876" t="str">
        <f>IF(AND(F44=G44,H44=I44,J44=K44,F44="A"),"2015 - kwh",IF(AND(F44=G44,H44=I44,J44&lt;&gt;K44,F44="A"),"2016 - kwh",IF(AND(F44=G44,H44&lt;&gt;I44,F44="A"),"2017 - kwh","N/A")))</f>
        <v>N/A</v>
      </c>
      <c r="B42" s="876" t="str">
        <f>IF(F44&lt;&gt;G44,"2017 - kwh",IF(H44&lt;&gt;I44,"2016 - kwh",IF(J44&lt;&gt;K44,"2015 - kwh","N/A")))</f>
        <v>N/A</v>
      </c>
      <c r="C42" s="751" t="s">
        <v>2471</v>
      </c>
      <c r="D42" s="979"/>
      <c r="E42" s="825" t="s">
        <v>158</v>
      </c>
      <c r="F42" s="978"/>
      <c r="G42" s="978"/>
      <c r="H42" s="978"/>
      <c r="I42" s="978"/>
      <c r="J42" s="978"/>
      <c r="K42" s="978"/>
      <c r="L42" s="978"/>
      <c r="M42" s="978"/>
      <c r="N42" s="978"/>
      <c r="O42" s="978"/>
      <c r="P42" s="876"/>
      <c r="Q42" s="876"/>
      <c r="R42" s="876"/>
      <c r="S42" s="876"/>
      <c r="T42" s="876"/>
      <c r="U42" s="876"/>
      <c r="V42" s="876"/>
      <c r="Z42" s="1354"/>
      <c r="AA42" s="1354" t="str">
        <f>IF(AND(F44=G44,H44=I44,F44="A"),"2015 - kwh","")</f>
        <v/>
      </c>
      <c r="AB42" s="1354" t="str">
        <f>IF(OR(B42="2016 - kwh",B42="2017 - kwh"),"2015 - kwh","")</f>
        <v/>
      </c>
      <c r="AC42" s="1354"/>
      <c r="AD42" s="1354"/>
      <c r="AE42" s="1354"/>
    </row>
    <row r="43" spans="1:31" hidden="1" x14ac:dyDescent="0.25">
      <c r="A43" s="876" t="str">
        <f>IF(AND(F44=G44,H44=I44,J44=K44,F44="A"),"2015 - kw",IF(AND(F44=G44,H44=I44,J44&lt;&gt;K44,F44="A"),"2016 - kw",IF(AND(F44=G44,H44&lt;&gt;I44,F44="A"),"2017 - kw","N/A")))</f>
        <v>N/A</v>
      </c>
      <c r="B43" s="876" t="str">
        <f>IF(F44&lt;&gt;G44,"2017 - kw",IF(H44&lt;&gt;I44,"2016 - kw",IF(J44&lt;&gt;K44,"2015 - kw","N/A")))</f>
        <v>N/A</v>
      </c>
      <c r="C43" s="752"/>
      <c r="D43" s="809" t="str">
        <f>D42 &amp; "kW"</f>
        <v>kW</v>
      </c>
      <c r="E43" s="824" t="s">
        <v>159</v>
      </c>
      <c r="F43" s="978"/>
      <c r="G43" s="978"/>
      <c r="H43" s="978"/>
      <c r="I43" s="978"/>
      <c r="J43" s="978"/>
      <c r="K43" s="978"/>
      <c r="L43" s="978"/>
      <c r="M43" s="978"/>
      <c r="N43" s="978"/>
      <c r="O43" s="978"/>
      <c r="P43" s="876"/>
      <c r="Q43" s="876"/>
      <c r="R43" s="876"/>
      <c r="S43" s="876"/>
      <c r="T43" s="876"/>
      <c r="U43" s="876"/>
      <c r="V43" s="876"/>
      <c r="Z43" s="1354"/>
      <c r="AA43" s="1354" t="str">
        <f>IF(AND(F44=G44,H44=I44,F44="A"),"2015 - kw","")</f>
        <v/>
      </c>
      <c r="AB43" s="1354" t="str">
        <f>IF(OR(B43="2016 - kw",B43="2017 - kw"),"2015 - kw","")</f>
        <v/>
      </c>
      <c r="AC43" s="1354"/>
      <c r="AD43" s="1354"/>
      <c r="AE43" s="1354"/>
    </row>
    <row r="44" spans="1:31" hidden="1" x14ac:dyDescent="0.25">
      <c r="A44" s="876"/>
      <c r="B44" s="876"/>
      <c r="C44" s="755"/>
      <c r="D44" s="870"/>
      <c r="E44" s="823" t="s">
        <v>2550</v>
      </c>
      <c r="F44" s="977"/>
      <c r="G44" s="977"/>
      <c r="H44" s="977"/>
      <c r="I44" s="977"/>
      <c r="J44" s="977"/>
      <c r="K44" s="977"/>
      <c r="L44" s="977"/>
      <c r="M44" s="977"/>
      <c r="N44" s="977"/>
      <c r="O44" s="977"/>
      <c r="P44" s="876"/>
      <c r="Q44" s="876"/>
      <c r="R44" s="876"/>
      <c r="S44" s="876"/>
      <c r="T44" s="876"/>
      <c r="U44" s="876"/>
      <c r="V44" s="876"/>
      <c r="Z44" s="1354"/>
      <c r="AA44" s="1354"/>
      <c r="AB44" s="1354"/>
      <c r="AC44" s="1354"/>
      <c r="AD44" s="1354"/>
      <c r="AE44" s="1354"/>
    </row>
    <row r="45" spans="1:31" hidden="1" x14ac:dyDescent="0.25">
      <c r="A45" s="876" t="str">
        <f>IF(AND(F47=G47,H47=I47,J47=K47,F47="A"),"2015 - kwh",IF(AND(F47=G47,H47=I47,J47&lt;&gt;K47,F47="A"),"2016 - kwh",IF(AND(F47=G47,H47&lt;&gt;I47,F47="A"),"2017 - kwh","N/A")))</f>
        <v>N/A</v>
      </c>
      <c r="B45" s="876" t="str">
        <f>IF(F47&lt;&gt;G47,"2017 - kwh",IF(H47&lt;&gt;I47,"2016 - kwh",IF(J47&lt;&gt;K47,"2015 - kwh","N/A")))</f>
        <v>N/A</v>
      </c>
      <c r="C45" s="751" t="s">
        <v>2554</v>
      </c>
      <c r="D45" s="979"/>
      <c r="E45" s="828" t="s">
        <v>158</v>
      </c>
      <c r="F45" s="978"/>
      <c r="G45" s="978"/>
      <c r="H45" s="978"/>
      <c r="I45" s="978"/>
      <c r="J45" s="978"/>
      <c r="K45" s="978"/>
      <c r="L45" s="978"/>
      <c r="M45" s="978"/>
      <c r="N45" s="978"/>
      <c r="O45" s="978"/>
      <c r="P45" s="876"/>
      <c r="Q45" s="876"/>
      <c r="R45" s="876"/>
      <c r="S45" s="876"/>
      <c r="T45" s="876"/>
      <c r="U45" s="876"/>
      <c r="V45" s="876"/>
      <c r="Z45" s="1354"/>
      <c r="AA45" s="1354" t="str">
        <f>IF(AND(F47=G47,H47=I47,F47="A"),"2015 - kwh","")</f>
        <v/>
      </c>
      <c r="AB45" s="1354" t="str">
        <f>IF(OR(B45="2016 - kwh",B45="2017 - kwh"),"2015 - kwh","")</f>
        <v/>
      </c>
      <c r="AC45" s="1354"/>
      <c r="AD45" s="1354"/>
      <c r="AE45" s="1354"/>
    </row>
    <row r="46" spans="1:31" hidden="1" x14ac:dyDescent="0.25">
      <c r="A46" s="876" t="str">
        <f>IF(AND(F47=G47,H47=I47,J47=K47,F47="A"),"2015 - kw",IF(AND(F47=G47,H47=I47,J47&lt;&gt;K47,F47="A"),"2016 - kw",IF(AND(F47=G47,H47&lt;&gt;I47,F47="A"),"2017 - kw","N/A")))</f>
        <v>N/A</v>
      </c>
      <c r="B46" s="876" t="str">
        <f>IF(F47&lt;&gt;G47,"2017 - kw",IF(H47&lt;&gt;I47,"2016 - kw",IF(J47&lt;&gt;K47,"2015 - kw","N/A")))</f>
        <v>N/A</v>
      </c>
      <c r="C46" s="752"/>
      <c r="D46" s="809" t="str">
        <f>D45 &amp; "kW"</f>
        <v>kW</v>
      </c>
      <c r="E46" s="827" t="s">
        <v>159</v>
      </c>
      <c r="F46" s="978"/>
      <c r="G46" s="978"/>
      <c r="H46" s="978"/>
      <c r="I46" s="978"/>
      <c r="J46" s="978"/>
      <c r="K46" s="978"/>
      <c r="L46" s="978"/>
      <c r="M46" s="978"/>
      <c r="N46" s="978"/>
      <c r="O46" s="978"/>
      <c r="P46" s="876"/>
      <c r="Q46" s="876"/>
      <c r="R46" s="876"/>
      <c r="S46" s="876"/>
      <c r="T46" s="876"/>
      <c r="U46" s="876"/>
      <c r="V46" s="876"/>
      <c r="Z46" s="1354"/>
      <c r="AA46" s="1354" t="str">
        <f>IF(AND(F47=G47,H47=I47,F47="A"),"2015 - kw","")</f>
        <v/>
      </c>
      <c r="AB46" s="1354" t="str">
        <f>IF(OR(B46="2016 - kw",B46="2017 - kw"),"2015 - kw","")</f>
        <v/>
      </c>
      <c r="AC46" s="1354"/>
      <c r="AD46" s="1354"/>
      <c r="AE46" s="1354"/>
    </row>
    <row r="47" spans="1:31" hidden="1" x14ac:dyDescent="0.25">
      <c r="A47" s="876"/>
      <c r="B47" s="876"/>
      <c r="C47" s="755"/>
      <c r="D47" s="870"/>
      <c r="E47" s="826" t="s">
        <v>2550</v>
      </c>
      <c r="F47" s="977"/>
      <c r="G47" s="977"/>
      <c r="H47" s="977"/>
      <c r="I47" s="977"/>
      <c r="J47" s="977"/>
      <c r="K47" s="977"/>
      <c r="L47" s="977"/>
      <c r="M47" s="977"/>
      <c r="N47" s="977"/>
      <c r="O47" s="977"/>
      <c r="P47" s="876"/>
      <c r="Q47" s="876"/>
      <c r="R47" s="876"/>
      <c r="S47" s="876"/>
      <c r="T47" s="876"/>
      <c r="U47" s="876"/>
      <c r="V47" s="876"/>
      <c r="Z47" s="1354"/>
      <c r="AA47" s="1354"/>
      <c r="AB47" s="1354"/>
      <c r="AC47" s="1354"/>
      <c r="AD47" s="1354"/>
      <c r="AE47" s="1354"/>
    </row>
    <row r="48" spans="1:31" hidden="1" x14ac:dyDescent="0.25">
      <c r="A48" s="876" t="str">
        <f>IF(AND(F50=G50,H50=I50,J50=K50,F50="A"),"2015 - kwh",IF(AND(F50=G50,H50=I50,J50&lt;&gt;K50,F50="A"),"2016 - kwh",IF(AND(F50=G50,H50&lt;&gt;I50,F50="A"),"2017 - kwh","N/A")))</f>
        <v>N/A</v>
      </c>
      <c r="B48" s="876" t="str">
        <f>IF(F50&lt;&gt;G50,"2017 - kwh",IF(H50&lt;&gt;I50,"2016 - kwh",IF(J50&lt;&gt;K50,"2015 - kwh","N/A")))</f>
        <v>N/A</v>
      </c>
      <c r="C48" s="751" t="s">
        <v>2555</v>
      </c>
      <c r="D48" s="979"/>
      <c r="E48" s="831" t="s">
        <v>158</v>
      </c>
      <c r="F48" s="978"/>
      <c r="G48" s="978"/>
      <c r="H48" s="978"/>
      <c r="I48" s="978"/>
      <c r="J48" s="978"/>
      <c r="K48" s="978"/>
      <c r="L48" s="978"/>
      <c r="M48" s="978"/>
      <c r="N48" s="978"/>
      <c r="O48" s="978"/>
      <c r="P48" s="876"/>
      <c r="Q48" s="876"/>
      <c r="R48" s="876"/>
      <c r="S48" s="876"/>
      <c r="T48" s="876"/>
      <c r="U48" s="876"/>
      <c r="V48" s="876"/>
      <c r="Z48" s="1354"/>
      <c r="AA48" s="1354" t="str">
        <f>IF(AND(F50=G50,H50=I50,F50="A"),"2015 - kwh","")</f>
        <v/>
      </c>
      <c r="AB48" s="1354" t="str">
        <f>IF(OR(B48="2016 - kwh",B48="2017 - kwh"),"2015 - kwh","")</f>
        <v/>
      </c>
      <c r="AC48" s="1354"/>
      <c r="AD48" s="1354"/>
      <c r="AE48" s="1354"/>
    </row>
    <row r="49" spans="1:31" hidden="1" x14ac:dyDescent="0.25">
      <c r="A49" s="876" t="str">
        <f>IF(AND(F50=G50,H50=I50,J50=K50,F50="A"),"2015 - kw",IF(AND(F50=G50,H50=I50,J50&lt;&gt;K50,F50="A"),"2016 - kw",IF(AND(F50=G50,H50&lt;&gt;I50,F50="A"),"2017 - kw","N/A")))</f>
        <v>N/A</v>
      </c>
      <c r="B49" s="876" t="str">
        <f>IF(F50&lt;&gt;G50,"2017 - kw",IF(H50&lt;&gt;I50,"2016 - kw",IF(J50&lt;&gt;K50,"2015 - kw","N/A")))</f>
        <v>N/A</v>
      </c>
      <c r="C49" s="752"/>
      <c r="D49" s="809" t="str">
        <f>D48 &amp; "kW"</f>
        <v>kW</v>
      </c>
      <c r="E49" s="830" t="s">
        <v>159</v>
      </c>
      <c r="F49" s="978"/>
      <c r="G49" s="978"/>
      <c r="H49" s="978"/>
      <c r="I49" s="978"/>
      <c r="J49" s="978"/>
      <c r="K49" s="978"/>
      <c r="L49" s="978"/>
      <c r="M49" s="978"/>
      <c r="N49" s="978"/>
      <c r="O49" s="978"/>
      <c r="P49" s="876"/>
      <c r="Q49" s="876"/>
      <c r="R49" s="876"/>
      <c r="S49" s="876"/>
      <c r="T49" s="876"/>
      <c r="U49" s="876"/>
      <c r="V49" s="876"/>
      <c r="Z49" s="1354"/>
      <c r="AA49" s="1354" t="str">
        <f>IF(AND(F50=G50,H50=I50,F50="A"),"2015 - kw","")</f>
        <v/>
      </c>
      <c r="AB49" s="1354" t="str">
        <f>IF(OR(B49="2016 - kw",B49="2017 - kw"),"2015 - kw","")</f>
        <v/>
      </c>
      <c r="AC49" s="1354"/>
      <c r="AD49" s="1354"/>
      <c r="AE49" s="1354"/>
    </row>
    <row r="50" spans="1:31" hidden="1" x14ac:dyDescent="0.25">
      <c r="A50" s="876"/>
      <c r="B50" s="876"/>
      <c r="C50" s="755"/>
      <c r="D50" s="870"/>
      <c r="E50" s="829" t="s">
        <v>2550</v>
      </c>
      <c r="F50" s="977"/>
      <c r="G50" s="977"/>
      <c r="H50" s="977"/>
      <c r="I50" s="977"/>
      <c r="J50" s="977"/>
      <c r="K50" s="977"/>
      <c r="L50" s="977"/>
      <c r="M50" s="977"/>
      <c r="N50" s="977"/>
      <c r="O50" s="977"/>
      <c r="P50" s="876"/>
      <c r="Q50" s="876"/>
      <c r="R50" s="876"/>
      <c r="S50" s="876"/>
      <c r="T50" s="876"/>
      <c r="U50" s="876"/>
      <c r="V50" s="876"/>
      <c r="Z50" s="1354"/>
      <c r="AA50" s="1354"/>
      <c r="AB50" s="1354"/>
      <c r="AC50" s="1354"/>
      <c r="AD50" s="1354"/>
      <c r="AE50" s="1354"/>
    </row>
    <row r="51" spans="1:31" hidden="1" x14ac:dyDescent="0.25">
      <c r="A51" s="876" t="str">
        <f>IF(AND(F53=G53,H53=I53,J53=K53,F53="A"),"2015 - kwh",IF(AND(F53=G53,H53=I53,J53&lt;&gt;K53,F53="A"),"2016 - kwh",IF(AND(F53=G53,H53&lt;&gt;I53,F53="A"),"2017 - kwh","N/A")))</f>
        <v>N/A</v>
      </c>
      <c r="B51" s="876" t="str">
        <f>IF(F53&lt;&gt;G53,"2017 - kwh",IF(H53&lt;&gt;I53,"2016 - kwh",IF(J53&lt;&gt;K53,"2015 - kwh","N/A")))</f>
        <v>N/A</v>
      </c>
      <c r="C51" s="751" t="s">
        <v>2556</v>
      </c>
      <c r="D51" s="979"/>
      <c r="E51" s="834" t="s">
        <v>158</v>
      </c>
      <c r="F51" s="978"/>
      <c r="G51" s="978"/>
      <c r="H51" s="978"/>
      <c r="I51" s="978"/>
      <c r="J51" s="978"/>
      <c r="K51" s="978"/>
      <c r="L51" s="978"/>
      <c r="M51" s="978"/>
      <c r="N51" s="978"/>
      <c r="O51" s="978"/>
      <c r="P51" s="876"/>
      <c r="Q51" s="876"/>
      <c r="R51" s="876"/>
      <c r="S51" s="876"/>
      <c r="T51" s="876"/>
      <c r="U51" s="876"/>
      <c r="V51" s="876"/>
      <c r="Z51" s="1354"/>
      <c r="AA51" s="1354" t="str">
        <f>IF(AND(F53=G53,H53=I53,F53="A"),"2015 - kwh","")</f>
        <v/>
      </c>
      <c r="AB51" s="1354" t="str">
        <f>IF(OR(B51="2016 - kwh",B51="2017 - kwh"),"2015 - kwh","")</f>
        <v/>
      </c>
      <c r="AC51" s="1354"/>
      <c r="AD51" s="1354"/>
      <c r="AE51" s="1354"/>
    </row>
    <row r="52" spans="1:31" hidden="1" x14ac:dyDescent="0.25">
      <c r="A52" s="876" t="str">
        <f>IF(AND(F53=G53,H53=I53,J53=K53,F53="A"),"2015 - kw",IF(AND(F53=G53,H53=I53,J53&lt;&gt;K53,F53="A"),"2016 - kw",IF(AND(F53=G53,H53&lt;&gt;I53,F53="A"),"2017 - kw","N/A")))</f>
        <v>N/A</v>
      </c>
      <c r="B52" s="876" t="str">
        <f>IF(F53&lt;&gt;G53,"2017 - kw",IF(H53&lt;&gt;I53,"2016 - kw",IF(J53&lt;&gt;K53,"2015 - kw","N/A")))</f>
        <v>N/A</v>
      </c>
      <c r="C52" s="752"/>
      <c r="D52" s="809" t="str">
        <f>D51 &amp; "kW"</f>
        <v>kW</v>
      </c>
      <c r="E52" s="833" t="s">
        <v>159</v>
      </c>
      <c r="F52" s="978"/>
      <c r="G52" s="978"/>
      <c r="H52" s="978"/>
      <c r="I52" s="978"/>
      <c r="J52" s="978"/>
      <c r="K52" s="978"/>
      <c r="L52" s="978"/>
      <c r="M52" s="978"/>
      <c r="N52" s="978"/>
      <c r="O52" s="978"/>
      <c r="P52" s="876"/>
      <c r="Q52" s="876"/>
      <c r="R52" s="876"/>
      <c r="S52" s="876"/>
      <c r="T52" s="876"/>
      <c r="U52" s="876"/>
      <c r="V52" s="876"/>
      <c r="Z52" s="1354"/>
      <c r="AA52" s="1354" t="str">
        <f>IF(AND(F53=G53,H53=I53,F53="A"),"2015 - kw","")</f>
        <v/>
      </c>
      <c r="AB52" s="1354" t="str">
        <f>IF(OR(B52="2016 - kw",B52="2017 - kw"),"2015 - kw","")</f>
        <v/>
      </c>
      <c r="AC52" s="1354"/>
      <c r="AD52" s="1354"/>
      <c r="AE52" s="1354"/>
    </row>
    <row r="53" spans="1:31" hidden="1" x14ac:dyDescent="0.25">
      <c r="A53" s="876"/>
      <c r="B53" s="876"/>
      <c r="C53" s="755"/>
      <c r="D53" s="870"/>
      <c r="E53" s="832" t="s">
        <v>2550</v>
      </c>
      <c r="F53" s="977"/>
      <c r="G53" s="977"/>
      <c r="H53" s="977"/>
      <c r="I53" s="977"/>
      <c r="J53" s="977"/>
      <c r="K53" s="977"/>
      <c r="L53" s="977"/>
      <c r="M53" s="977"/>
      <c r="N53" s="977"/>
      <c r="O53" s="977"/>
      <c r="P53" s="876"/>
      <c r="Q53" s="876"/>
      <c r="R53" s="876"/>
      <c r="S53" s="876"/>
      <c r="T53" s="876"/>
      <c r="U53" s="876"/>
      <c r="V53" s="876"/>
      <c r="Z53" s="1354"/>
      <c r="AA53" s="1354"/>
      <c r="AB53" s="1354"/>
      <c r="AC53" s="1354"/>
      <c r="AD53" s="1354"/>
      <c r="AE53" s="1354"/>
    </row>
    <row r="54" spans="1:31" hidden="1" x14ac:dyDescent="0.25">
      <c r="A54" s="876" t="str">
        <f>IF(AND(F56=G56,H56=I56,J56=K56,F56="A"),"2015 - kwh",IF(AND(F56=G56,H56=I56,J56&lt;&gt;K56,F56="A"),"2016 - kwh",IF(AND(F56=G56,H56&lt;&gt;I56,F56="A"),"2017 - kwh","N/A")))</f>
        <v>N/A</v>
      </c>
      <c r="B54" s="876" t="str">
        <f>IF(F56&lt;&gt;G56,"2017 - kwh",IF(H56&lt;&gt;I56,"2016 - kwh",IF(J56&lt;&gt;K56,"2015 - kwh","N/A")))</f>
        <v>N/A</v>
      </c>
      <c r="C54" s="751" t="s">
        <v>2557</v>
      </c>
      <c r="D54" s="979"/>
      <c r="E54" s="837" t="s">
        <v>158</v>
      </c>
      <c r="F54" s="978"/>
      <c r="G54" s="978"/>
      <c r="H54" s="978"/>
      <c r="I54" s="978"/>
      <c r="J54" s="978"/>
      <c r="K54" s="978"/>
      <c r="L54" s="978"/>
      <c r="M54" s="978"/>
      <c r="N54" s="978"/>
      <c r="O54" s="978"/>
      <c r="P54" s="876"/>
      <c r="Q54" s="876"/>
      <c r="R54" s="876"/>
      <c r="S54" s="876"/>
      <c r="T54" s="876"/>
      <c r="U54" s="876"/>
      <c r="V54" s="876"/>
      <c r="Z54" s="1354"/>
      <c r="AA54" s="1354" t="str">
        <f>IF(AND(F56=G56,H56=I56,F56="A"),"2015 - kwh","")</f>
        <v/>
      </c>
      <c r="AB54" s="1354" t="str">
        <f>IF(OR(B54="2016 - kwh",B54="2017 - kwh"),"2015 - kwh","")</f>
        <v/>
      </c>
      <c r="AC54" s="1354"/>
      <c r="AD54" s="1354"/>
      <c r="AE54" s="1354"/>
    </row>
    <row r="55" spans="1:31" hidden="1" x14ac:dyDescent="0.25">
      <c r="A55" s="876" t="str">
        <f>IF(AND(F56=G56,H56=I56,J56=K56,F56="A"),"2015 - kw",IF(AND(F56=G56,H56=I56,J56&lt;&gt;K56,F56="A"),"2016 - kw",IF(AND(F56=G56,H56&lt;&gt;I56,F56="A"),"2017 - kw","N/A")))</f>
        <v>N/A</v>
      </c>
      <c r="B55" s="876" t="str">
        <f>IF(F56&lt;&gt;G56,"2017 - kw",IF(H56&lt;&gt;I56,"2016 - kw",IF(J56&lt;&gt;K56,"2015 - kw","N/A")))</f>
        <v>N/A</v>
      </c>
      <c r="C55" s="752"/>
      <c r="D55" s="809" t="str">
        <f>D54 &amp; "kW"</f>
        <v>kW</v>
      </c>
      <c r="E55" s="836" t="s">
        <v>159</v>
      </c>
      <c r="F55" s="978"/>
      <c r="G55" s="978"/>
      <c r="H55" s="978"/>
      <c r="I55" s="978"/>
      <c r="J55" s="978"/>
      <c r="K55" s="978"/>
      <c r="L55" s="978"/>
      <c r="M55" s="978"/>
      <c r="N55" s="978"/>
      <c r="O55" s="978"/>
      <c r="P55" s="876"/>
      <c r="Q55" s="876"/>
      <c r="R55" s="876"/>
      <c r="S55" s="876"/>
      <c r="T55" s="876"/>
      <c r="U55" s="876"/>
      <c r="V55" s="876"/>
      <c r="Z55" s="1354"/>
      <c r="AA55" s="1354" t="str">
        <f>IF(AND(F56=G56,H56=I56,F56="A"),"2015 - kw","")</f>
        <v/>
      </c>
      <c r="AB55" s="1354" t="str">
        <f>IF(OR(B55="2016 - kw",B55="2017 - kw"),"2015 - kw","")</f>
        <v/>
      </c>
      <c r="AC55" s="1354"/>
      <c r="AD55" s="1354"/>
      <c r="AE55" s="1354"/>
    </row>
    <row r="56" spans="1:31" hidden="1" x14ac:dyDescent="0.25">
      <c r="A56" s="876"/>
      <c r="B56" s="876"/>
      <c r="C56" s="755"/>
      <c r="D56" s="870"/>
      <c r="E56" s="835" t="s">
        <v>2550</v>
      </c>
      <c r="F56" s="977"/>
      <c r="G56" s="977"/>
      <c r="H56" s="977"/>
      <c r="I56" s="977"/>
      <c r="J56" s="977"/>
      <c r="K56" s="977"/>
      <c r="L56" s="977"/>
      <c r="M56" s="977"/>
      <c r="N56" s="977"/>
      <c r="O56" s="977"/>
      <c r="P56" s="876"/>
      <c r="Q56" s="876"/>
      <c r="R56" s="876"/>
      <c r="S56" s="876"/>
      <c r="T56" s="876"/>
      <c r="U56" s="876"/>
      <c r="V56" s="876"/>
      <c r="Z56" s="1354"/>
      <c r="AA56" s="1354"/>
      <c r="AB56" s="1354"/>
      <c r="AC56" s="1354"/>
      <c r="AD56" s="1354"/>
      <c r="AE56" s="1354"/>
    </row>
    <row r="57" spans="1:31" hidden="1" x14ac:dyDescent="0.25">
      <c r="A57" s="876" t="str">
        <f>IF(AND(F59=G59,H59=I59,J59=K59,F59="A"),"2015 - kwh",IF(AND(F59=G59,H59=I59,J59&lt;&gt;K59,F59="A"),"2016 - kwh",IF(AND(F59=G59,H59&lt;&gt;I59,F59="A"),"2017 - kwh","N/A")))</f>
        <v>N/A</v>
      </c>
      <c r="B57" s="876" t="str">
        <f>IF(F59&lt;&gt;G59,"2017 - kwh",IF(H59&lt;&gt;I59,"2016 - kwh",IF(J59&lt;&gt;K59,"2015 - kwh","N/A")))</f>
        <v>N/A</v>
      </c>
      <c r="C57" s="751" t="s">
        <v>2558</v>
      </c>
      <c r="D57" s="979"/>
      <c r="E57" s="840" t="s">
        <v>158</v>
      </c>
      <c r="F57" s="978"/>
      <c r="G57" s="978"/>
      <c r="H57" s="978"/>
      <c r="I57" s="978"/>
      <c r="J57" s="978"/>
      <c r="K57" s="978"/>
      <c r="L57" s="978"/>
      <c r="M57" s="978"/>
      <c r="N57" s="978"/>
      <c r="O57" s="978"/>
      <c r="P57" s="876"/>
      <c r="Q57" s="876"/>
      <c r="R57" s="876"/>
      <c r="S57" s="876"/>
      <c r="T57" s="876"/>
      <c r="U57" s="876"/>
      <c r="V57" s="876"/>
      <c r="Z57" s="1354"/>
      <c r="AA57" s="1354" t="str">
        <f>IF(AND(F59=G59,H59=I59,F59="A"),"2015 - kwh","")</f>
        <v/>
      </c>
      <c r="AB57" s="1354" t="str">
        <f>IF(OR(B57="2016 - kwh",B57="2017 - kwh"),"2015 - kwh","")</f>
        <v/>
      </c>
      <c r="AC57" s="1354"/>
      <c r="AD57" s="1354"/>
      <c r="AE57" s="1354"/>
    </row>
    <row r="58" spans="1:31" hidden="1" x14ac:dyDescent="0.25">
      <c r="A58" s="876" t="str">
        <f>IF(AND(F59=G59,H59=I59,J59=K59,F59="A"),"2015 - kw",IF(AND(F59=G59,H59=I59,J59&lt;&gt;K59,F59="A"),"2016 - kw",IF(AND(F59=G59,H59&lt;&gt;I59,F59="A"),"2017 - kw","N/A")))</f>
        <v>N/A</v>
      </c>
      <c r="B58" s="876" t="str">
        <f>IF(F59&lt;&gt;G59,"2017 - kw",IF(H59&lt;&gt;I59,"2016 - kw",IF(J59&lt;&gt;K59,"2015 - kw","N/A")))</f>
        <v>N/A</v>
      </c>
      <c r="C58" s="752"/>
      <c r="D58" s="809" t="str">
        <f>D57 &amp; "kW"</f>
        <v>kW</v>
      </c>
      <c r="E58" s="839" t="s">
        <v>159</v>
      </c>
      <c r="F58" s="978"/>
      <c r="G58" s="978"/>
      <c r="H58" s="978"/>
      <c r="I58" s="978"/>
      <c r="J58" s="978"/>
      <c r="K58" s="978"/>
      <c r="L58" s="978"/>
      <c r="M58" s="978"/>
      <c r="N58" s="978"/>
      <c r="O58" s="978"/>
      <c r="P58" s="876"/>
      <c r="Q58" s="876"/>
      <c r="R58" s="876"/>
      <c r="S58" s="876"/>
      <c r="T58" s="876"/>
      <c r="U58" s="876"/>
      <c r="V58" s="876"/>
      <c r="Z58" s="1354"/>
      <c r="AA58" s="1354" t="str">
        <f>IF(AND(F59=G59,H59=I59,F59="A"),"2015 - kw","")</f>
        <v/>
      </c>
      <c r="AB58" s="1354" t="str">
        <f>IF(OR(B58="2016 - kw",B58="2017 - kw"),"2015 - kw","")</f>
        <v/>
      </c>
      <c r="AC58" s="1354"/>
      <c r="AD58" s="1354"/>
      <c r="AE58" s="1354"/>
    </row>
    <row r="59" spans="1:31" hidden="1" x14ac:dyDescent="0.25">
      <c r="A59" s="876"/>
      <c r="B59" s="876"/>
      <c r="C59" s="755"/>
      <c r="D59" s="870"/>
      <c r="E59" s="838" t="s">
        <v>2550</v>
      </c>
      <c r="F59" s="977"/>
      <c r="G59" s="977"/>
      <c r="H59" s="977"/>
      <c r="I59" s="977"/>
      <c r="J59" s="977"/>
      <c r="K59" s="977"/>
      <c r="L59" s="977"/>
      <c r="M59" s="977"/>
      <c r="N59" s="977"/>
      <c r="O59" s="977"/>
      <c r="P59" s="876"/>
      <c r="Q59" s="876"/>
      <c r="R59" s="876"/>
      <c r="S59" s="876"/>
      <c r="T59" s="876"/>
      <c r="U59" s="876"/>
      <c r="V59" s="876"/>
      <c r="Z59" s="1354"/>
      <c r="AA59" s="1354"/>
      <c r="AB59" s="1354"/>
      <c r="AC59" s="1354"/>
      <c r="AD59" s="1354"/>
      <c r="AE59" s="1354"/>
    </row>
    <row r="60" spans="1:31" hidden="1" x14ac:dyDescent="0.25">
      <c r="A60" s="876" t="str">
        <f>IF(AND(F62=G62,H62=I62,J62=K62,F62="A"),"2015 - kwh",IF(AND(F62=G62,H62=I62,J62&lt;&gt;K62,F62="A"),"2016 - kwh",IF(AND(F62=G62,H62&lt;&gt;I62,F62="A"),"2017 - kwh","N/A")))</f>
        <v>N/A</v>
      </c>
      <c r="B60" s="876" t="str">
        <f>IF(F62&lt;&gt;G62,"2017 - kwh",IF(H62&lt;&gt;I62,"2016 - kwh",IF(J62&lt;&gt;K62,"2015 - kwh","N/A")))</f>
        <v>N/A</v>
      </c>
      <c r="C60" s="751" t="s">
        <v>2559</v>
      </c>
      <c r="D60" s="979"/>
      <c r="E60" s="873" t="s">
        <v>158</v>
      </c>
      <c r="F60" s="978"/>
      <c r="G60" s="978"/>
      <c r="H60" s="978"/>
      <c r="I60" s="978"/>
      <c r="J60" s="978"/>
      <c r="K60" s="978"/>
      <c r="L60" s="978"/>
      <c r="M60" s="978"/>
      <c r="N60" s="978"/>
      <c r="O60" s="978"/>
      <c r="P60" s="876"/>
      <c r="Q60" s="876"/>
      <c r="R60" s="876"/>
      <c r="S60" s="876"/>
      <c r="T60" s="876"/>
      <c r="U60" s="876"/>
      <c r="V60" s="876"/>
      <c r="Z60" s="1354"/>
      <c r="AA60" s="1354" t="str">
        <f>IF(AND(F62=G62,H62=I62,F62="A"),"2015 - kwh","")</f>
        <v/>
      </c>
      <c r="AB60" s="1354" t="str">
        <f>IF(OR(B60="2016 - kwh",B60="2017 - kwh"),"2015 - kwh","")</f>
        <v/>
      </c>
      <c r="AC60" s="1354"/>
      <c r="AD60" s="1354"/>
      <c r="AE60" s="1354"/>
    </row>
    <row r="61" spans="1:31" hidden="1" x14ac:dyDescent="0.25">
      <c r="A61" s="876" t="str">
        <f>IF(AND(F62=G62,H62=I62,J62=K62,F62="A"),"2015 - kw",IF(AND(F62=G62,H62=I62,J62&lt;&gt;K62,F62="A"),"2016 - kw",IF(AND(F62=G62,H62&lt;&gt;I62,F62="A"),"2017 - kw","N/A")))</f>
        <v>N/A</v>
      </c>
      <c r="B61" s="876" t="str">
        <f>IF(F62&lt;&gt;G62,"2017 - kw",IF(H62&lt;&gt;I62,"2016 - kw",IF(J62&lt;&gt;K62,"2015 - kw","N/A")))</f>
        <v>N/A</v>
      </c>
      <c r="C61" s="752"/>
      <c r="D61" s="809" t="str">
        <f>D60 &amp; "kW"</f>
        <v>kW</v>
      </c>
      <c r="E61" s="872" t="s">
        <v>159</v>
      </c>
      <c r="F61" s="978"/>
      <c r="G61" s="978"/>
      <c r="H61" s="978"/>
      <c r="I61" s="978"/>
      <c r="J61" s="978"/>
      <c r="K61" s="978"/>
      <c r="L61" s="978"/>
      <c r="M61" s="978"/>
      <c r="N61" s="978"/>
      <c r="O61" s="978"/>
      <c r="P61" s="876"/>
      <c r="Q61" s="876"/>
      <c r="R61" s="876"/>
      <c r="S61" s="876"/>
      <c r="T61" s="876"/>
      <c r="U61" s="876"/>
      <c r="V61" s="876"/>
      <c r="Z61" s="1354"/>
      <c r="AA61" s="1354" t="str">
        <f>IF(AND(F62=G62,H62=I62,F62="A"),"2015 - kw","")</f>
        <v/>
      </c>
      <c r="AB61" s="1354" t="str">
        <f>IF(OR(B61="2016 - kw",B61="2017 - kw"),"2015 - kw","")</f>
        <v/>
      </c>
      <c r="AC61" s="1354"/>
      <c r="AD61" s="1354"/>
      <c r="AE61" s="1354"/>
    </row>
    <row r="62" spans="1:31" hidden="1" x14ac:dyDescent="0.25">
      <c r="A62" s="876"/>
      <c r="B62" s="876"/>
      <c r="C62" s="755"/>
      <c r="D62" s="870"/>
      <c r="E62" s="871" t="s">
        <v>2550</v>
      </c>
      <c r="F62" s="977"/>
      <c r="G62" s="977"/>
      <c r="H62" s="977"/>
      <c r="I62" s="977"/>
      <c r="J62" s="977"/>
      <c r="K62" s="977"/>
      <c r="L62" s="977"/>
      <c r="M62" s="977"/>
      <c r="N62" s="977"/>
      <c r="O62" s="977"/>
      <c r="P62" s="876"/>
      <c r="Q62" s="876"/>
      <c r="R62" s="876"/>
      <c r="S62" s="876"/>
      <c r="T62" s="876"/>
      <c r="U62" s="876"/>
      <c r="V62" s="876"/>
      <c r="Z62" s="1354"/>
      <c r="AA62" s="1354"/>
      <c r="AB62" s="1354"/>
      <c r="AC62" s="1354"/>
      <c r="AD62" s="1354"/>
      <c r="AE62" s="1354"/>
    </row>
    <row r="63" spans="1:31" hidden="1" x14ac:dyDescent="0.25">
      <c r="A63" s="876" t="str">
        <f>IF(AND(F65=G65,H65=I65,J65=K65,F65="A"),"2015 - kwh",IF(AND(F65=G65,H65=I65,J65&lt;&gt;K65,F65="A"),"2016 - kwh",IF(AND(F65=G65,H65&lt;&gt;I65,F65="A"),"2017 - kwh","N/A")))</f>
        <v>N/A</v>
      </c>
      <c r="B63" s="876" t="str">
        <f>IF(F65&lt;&gt;G65,"2017 - kwh",IF(H65&lt;&gt;I65,"2016 - kwh",IF(J65&lt;&gt;K65,"2015 - kwh","N/A")))</f>
        <v>N/A</v>
      </c>
      <c r="C63" s="751" t="s">
        <v>2560</v>
      </c>
      <c r="D63" s="979"/>
      <c r="E63" s="873" t="s">
        <v>158</v>
      </c>
      <c r="F63" s="978"/>
      <c r="G63" s="978"/>
      <c r="H63" s="978"/>
      <c r="I63" s="978"/>
      <c r="J63" s="978"/>
      <c r="K63" s="978"/>
      <c r="L63" s="978"/>
      <c r="M63" s="978"/>
      <c r="N63" s="978"/>
      <c r="O63" s="978"/>
      <c r="P63" s="876"/>
      <c r="Q63" s="876"/>
      <c r="R63" s="876"/>
      <c r="S63" s="876"/>
      <c r="T63" s="876"/>
      <c r="U63" s="876"/>
      <c r="V63" s="876"/>
      <c r="Z63" s="1354"/>
      <c r="AA63" s="1354" t="str">
        <f>IF(AND(F65=G65,H65=I65,F65="A"),"2015 - kwh","")</f>
        <v/>
      </c>
      <c r="AB63" s="1354" t="str">
        <f>IF(OR(B63="2016 - kwh",B63="2017 - kwh"),"2015 - kwh","")</f>
        <v/>
      </c>
      <c r="AC63" s="1354"/>
      <c r="AD63" s="1354"/>
      <c r="AE63" s="1354"/>
    </row>
    <row r="64" spans="1:31" hidden="1" x14ac:dyDescent="0.25">
      <c r="A64" s="876" t="str">
        <f>IF(AND(F65=G65,H65=I65,J65=K65,F65="A"),"2015 - kw",IF(AND(F65=G65,H65=I65,J65&lt;&gt;K65,F65="A"),"2016 - kw",IF(AND(F65=G65,H65&lt;&gt;I65,F65="A"),"2017 - kw","N/A")))</f>
        <v>N/A</v>
      </c>
      <c r="B64" s="876" t="str">
        <f>IF(F65&lt;&gt;G65,"2017 - kw",IF(H65&lt;&gt;I65,"2016 - kw",IF(J65&lt;&gt;K65,"2015 - kw","N/A")))</f>
        <v>N/A</v>
      </c>
      <c r="C64" s="752"/>
      <c r="D64" s="809" t="str">
        <f>D63 &amp; "kW"</f>
        <v>kW</v>
      </c>
      <c r="E64" s="872" t="s">
        <v>159</v>
      </c>
      <c r="F64" s="978"/>
      <c r="G64" s="978"/>
      <c r="H64" s="978"/>
      <c r="I64" s="978"/>
      <c r="J64" s="978"/>
      <c r="K64" s="978"/>
      <c r="L64" s="978"/>
      <c r="M64" s="978"/>
      <c r="N64" s="978"/>
      <c r="O64" s="978"/>
      <c r="P64" s="876"/>
      <c r="Q64" s="876"/>
      <c r="R64" s="876"/>
      <c r="S64" s="876"/>
      <c r="T64" s="876"/>
      <c r="U64" s="876"/>
      <c r="V64" s="876"/>
      <c r="Z64" s="1354"/>
      <c r="AA64" s="1354" t="str">
        <f>IF(AND(F65=G65,H65=I65,F65="A"),"2015 - kw","")</f>
        <v/>
      </c>
      <c r="AB64" s="1354" t="str">
        <f>IF(OR(B64="2016 - kw",B64="2017 - kw"),"2015 - kw","")</f>
        <v/>
      </c>
      <c r="AC64" s="1354"/>
      <c r="AD64" s="1354"/>
      <c r="AE64" s="1354"/>
    </row>
    <row r="65" spans="1:31" hidden="1" x14ac:dyDescent="0.25">
      <c r="A65" s="876"/>
      <c r="B65" s="876"/>
      <c r="C65" s="755"/>
      <c r="D65" s="870"/>
      <c r="E65" s="871" t="s">
        <v>2550</v>
      </c>
      <c r="F65" s="977"/>
      <c r="G65" s="977"/>
      <c r="H65" s="977"/>
      <c r="I65" s="977"/>
      <c r="J65" s="977"/>
      <c r="K65" s="977"/>
      <c r="L65" s="977"/>
      <c r="M65" s="977"/>
      <c r="N65" s="977"/>
      <c r="O65" s="977"/>
      <c r="P65" s="876"/>
      <c r="Q65" s="876"/>
      <c r="R65" s="876"/>
      <c r="S65" s="876"/>
      <c r="T65" s="876"/>
      <c r="U65" s="876"/>
      <c r="V65" s="876"/>
      <c r="Z65" s="1354"/>
      <c r="AA65" s="1354"/>
      <c r="AB65" s="1354"/>
      <c r="AC65" s="1354"/>
      <c r="AD65" s="1354"/>
      <c r="AE65" s="1354"/>
    </row>
    <row r="66" spans="1:31" s="779" customFormat="1" hidden="1" x14ac:dyDescent="0.25">
      <c r="A66" s="876" t="str">
        <f>IF(AND(F68=G68,H68=I68,J68=K68,F68="A"),"2015 - kwh",IF(AND(F68=G68,H68=I68,J68&lt;&gt;K68,F68="A"),"2016 - kwh",IF(AND(F68=G68,H68&lt;&gt;I68,F68="A"),"2017 - kwh","N/A")))</f>
        <v>N/A</v>
      </c>
      <c r="B66" s="876" t="str">
        <f>IF(F68&lt;&gt;G68,"2017 - kwh",IF(H68&lt;&gt;I68,"2016 - kwh",IF(J68&lt;&gt;K68,"2015 - kwh","N/A")))</f>
        <v>N/A</v>
      </c>
      <c r="C66" s="751" t="s">
        <v>2597</v>
      </c>
      <c r="D66" s="979"/>
      <c r="E66" s="873" t="s">
        <v>158</v>
      </c>
      <c r="F66" s="978"/>
      <c r="G66" s="978"/>
      <c r="H66" s="978"/>
      <c r="I66" s="978"/>
      <c r="J66" s="978"/>
      <c r="K66" s="978"/>
      <c r="L66" s="978"/>
      <c r="M66" s="978"/>
      <c r="N66" s="978"/>
      <c r="O66" s="978"/>
      <c r="P66" s="876"/>
      <c r="Q66" s="876"/>
      <c r="R66" s="876"/>
      <c r="S66" s="876"/>
      <c r="T66" s="876"/>
      <c r="U66" s="876"/>
      <c r="V66" s="876"/>
      <c r="Z66" s="1354"/>
      <c r="AA66" s="1354" t="str">
        <f>IF(AND(F68=G68,H68=I68,F68="A"),"2015 - kwh","")</f>
        <v/>
      </c>
      <c r="AB66" s="1354" t="str">
        <f>IF(OR(B66="2016 - kwh",B66="2017 - kwh"),"2015 - kwh","")</f>
        <v/>
      </c>
      <c r="AC66" s="1354"/>
      <c r="AD66" s="1354"/>
      <c r="AE66" s="1354"/>
    </row>
    <row r="67" spans="1:31" s="779" customFormat="1" hidden="1" x14ac:dyDescent="0.25">
      <c r="A67" s="876" t="str">
        <f>IF(AND(F68=G68,H68=I68,J68=K68,F68="A"),"2015 - kw",IF(AND(F68=G68,H68=I68,J68&lt;&gt;K68,F68="A"),"2016 - kw",IF(AND(F68=G68,H68&lt;&gt;I68,F68="A"),"2017 - kw","N/A")))</f>
        <v>N/A</v>
      </c>
      <c r="B67" s="876" t="str">
        <f>IF(F68&lt;&gt;G68,"2017 - kw",IF(H68&lt;&gt;I68,"2016 - kw",IF(J68&lt;&gt;K68,"2015 - kw","N/A")))</f>
        <v>N/A</v>
      </c>
      <c r="C67" s="752"/>
      <c r="D67" s="809" t="str">
        <f>D66 &amp; "kW"</f>
        <v>kW</v>
      </c>
      <c r="E67" s="872" t="s">
        <v>159</v>
      </c>
      <c r="F67" s="978"/>
      <c r="G67" s="978"/>
      <c r="H67" s="978"/>
      <c r="I67" s="978"/>
      <c r="J67" s="978"/>
      <c r="K67" s="978"/>
      <c r="L67" s="978"/>
      <c r="M67" s="978"/>
      <c r="N67" s="978"/>
      <c r="O67" s="978"/>
      <c r="P67" s="876"/>
      <c r="Q67" s="876"/>
      <c r="R67" s="876"/>
      <c r="S67" s="876"/>
      <c r="T67" s="876"/>
      <c r="U67" s="876"/>
      <c r="V67" s="876"/>
      <c r="Z67" s="1354"/>
      <c r="AA67" s="1354" t="str">
        <f>IF(AND(F68=G68,H68=I68,F68="A"),"2015 - kw","")</f>
        <v/>
      </c>
      <c r="AB67" s="1354" t="str">
        <f>IF(OR(B67="2016 - kw",B67="2017 - kw"),"2015 - kw","")</f>
        <v/>
      </c>
      <c r="AC67" s="1354"/>
      <c r="AD67" s="1354"/>
      <c r="AE67" s="1354"/>
    </row>
    <row r="68" spans="1:31" s="779" customFormat="1" hidden="1" x14ac:dyDescent="0.25">
      <c r="A68" s="876"/>
      <c r="B68" s="876"/>
      <c r="C68" s="755"/>
      <c r="D68" s="870"/>
      <c r="E68" s="871" t="s">
        <v>2550</v>
      </c>
      <c r="F68" s="977"/>
      <c r="G68" s="977"/>
      <c r="H68" s="977"/>
      <c r="I68" s="977"/>
      <c r="J68" s="977"/>
      <c r="K68" s="977"/>
      <c r="L68" s="977"/>
      <c r="M68" s="977"/>
      <c r="N68" s="977"/>
      <c r="O68" s="977"/>
      <c r="P68" s="876"/>
      <c r="Q68" s="876"/>
      <c r="R68" s="876"/>
      <c r="S68" s="876"/>
      <c r="T68" s="876"/>
      <c r="U68" s="876"/>
      <c r="V68" s="876"/>
      <c r="Z68" s="1354"/>
      <c r="AA68" s="1354"/>
      <c r="AB68" s="1354"/>
      <c r="AC68" s="1354"/>
      <c r="AD68" s="1354"/>
      <c r="AE68" s="1354"/>
    </row>
    <row r="69" spans="1:31" s="779" customFormat="1" hidden="1" x14ac:dyDescent="0.25">
      <c r="A69" s="876" t="str">
        <f>IF(AND(F71=G71,H71=I71,J71=K71,F71="A"),"2015 - kwh",IF(AND(F71=G71,H71=I71,J71&lt;&gt;K71,F71="A"),"2016 - kwh",IF(AND(F71=G71,H71&lt;&gt;I71,F71="A"),"2017 - kwh","N/A")))</f>
        <v>N/A</v>
      </c>
      <c r="B69" s="876" t="str">
        <f>IF(F71&lt;&gt;G71,"2017 - kwh",IF(H71&lt;&gt;I71,"2016 - kwh",IF(J71&lt;&gt;K71,"2015 - kwh","N/A")))</f>
        <v>N/A</v>
      </c>
      <c r="C69" s="751" t="s">
        <v>2598</v>
      </c>
      <c r="D69" s="979"/>
      <c r="E69" s="873" t="s">
        <v>158</v>
      </c>
      <c r="F69" s="978"/>
      <c r="G69" s="978"/>
      <c r="H69" s="978"/>
      <c r="I69" s="978"/>
      <c r="J69" s="978"/>
      <c r="K69" s="978"/>
      <c r="L69" s="978"/>
      <c r="M69" s="978"/>
      <c r="N69" s="978"/>
      <c r="O69" s="978"/>
      <c r="P69" s="876"/>
      <c r="Q69" s="876"/>
      <c r="R69" s="876"/>
      <c r="S69" s="876"/>
      <c r="T69" s="876"/>
      <c r="U69" s="876"/>
      <c r="V69" s="876"/>
      <c r="Z69" s="1354"/>
      <c r="AA69" s="1354" t="str">
        <f>IF(AND(F71=G71,H71=I71,F71="A"),"2015 - kwh","")</f>
        <v/>
      </c>
      <c r="AB69" s="1354" t="str">
        <f>IF(OR(B69="2016 - kwh",B69="2017 - kwh"),"2015 - kwh","")</f>
        <v/>
      </c>
      <c r="AC69" s="1354"/>
      <c r="AD69" s="1354"/>
      <c r="AE69" s="1354"/>
    </row>
    <row r="70" spans="1:31" s="779" customFormat="1" hidden="1" x14ac:dyDescent="0.25">
      <c r="A70" s="876" t="str">
        <f>IF(AND(F71=G71,H71=I71,J71=K71,F71="A"),"2015 - kw",IF(AND(F71=G71,H71=I71,J71&lt;&gt;K71,F71="A"),"2016 - kw",IF(AND(F71=G71,H71&lt;&gt;I71,F71="A"),"2017 - kw","N/A")))</f>
        <v>N/A</v>
      </c>
      <c r="B70" s="876" t="str">
        <f>IF(F71&lt;&gt;G71,"2017 - kw",IF(H71&lt;&gt;I71,"2016 - kw",IF(J71&lt;&gt;K71,"2015 - kw","N/A")))</f>
        <v>N/A</v>
      </c>
      <c r="C70" s="752"/>
      <c r="D70" s="809" t="str">
        <f>D69 &amp; "kW"</f>
        <v>kW</v>
      </c>
      <c r="E70" s="872" t="s">
        <v>159</v>
      </c>
      <c r="F70" s="978"/>
      <c r="G70" s="978"/>
      <c r="H70" s="978"/>
      <c r="I70" s="978"/>
      <c r="J70" s="978"/>
      <c r="K70" s="978"/>
      <c r="L70" s="978"/>
      <c r="M70" s="978"/>
      <c r="N70" s="978"/>
      <c r="O70" s="978"/>
      <c r="P70" s="876"/>
      <c r="Q70" s="876"/>
      <c r="R70" s="876"/>
      <c r="S70" s="876"/>
      <c r="T70" s="876"/>
      <c r="U70" s="876"/>
      <c r="V70" s="876"/>
      <c r="Z70" s="1354"/>
      <c r="AA70" s="1354" t="str">
        <f>IF(AND(F71=G71,H71=I71,F71="A"),"2015 - kw","")</f>
        <v/>
      </c>
      <c r="AB70" s="1354" t="str">
        <f>IF(OR(B70="2016 - kw",B70="2017 - kw"),"2015 - kw","")</f>
        <v/>
      </c>
      <c r="AC70" s="1354"/>
      <c r="AD70" s="1354"/>
      <c r="AE70" s="1354"/>
    </row>
    <row r="71" spans="1:31" s="779" customFormat="1" hidden="1" x14ac:dyDescent="0.25">
      <c r="A71" s="876"/>
      <c r="B71" s="876"/>
      <c r="C71" s="755"/>
      <c r="D71" s="870"/>
      <c r="E71" s="871" t="s">
        <v>2550</v>
      </c>
      <c r="F71" s="977"/>
      <c r="G71" s="977"/>
      <c r="H71" s="977"/>
      <c r="I71" s="977"/>
      <c r="J71" s="977"/>
      <c r="K71" s="977"/>
      <c r="L71" s="977"/>
      <c r="M71" s="977"/>
      <c r="N71" s="977"/>
      <c r="O71" s="977"/>
      <c r="P71" s="876"/>
      <c r="Q71" s="876"/>
      <c r="R71" s="876"/>
      <c r="S71" s="876"/>
      <c r="T71" s="876"/>
      <c r="U71" s="876"/>
      <c r="V71" s="876"/>
      <c r="Z71" s="1354"/>
      <c r="AA71" s="1354"/>
      <c r="AB71" s="1354"/>
      <c r="AC71" s="1354"/>
      <c r="AD71" s="1354"/>
      <c r="AE71" s="1354"/>
    </row>
    <row r="72" spans="1:31" s="779" customFormat="1" hidden="1" x14ac:dyDescent="0.25">
      <c r="A72" s="876" t="str">
        <f>IF(AND(F74=G74,H74=I74,J74=K74,F74="A"),"2015 - kwh",IF(AND(F74=G74,H74=I74,J74&lt;&gt;K74,F74="A"),"2016 - kwh",IF(AND(F74=G74,H74&lt;&gt;I74,F74="A"),"2017 - kwh","N/A")))</f>
        <v>N/A</v>
      </c>
      <c r="B72" s="876" t="str">
        <f>IF(F74&lt;&gt;G74,"2017 - kwh",IF(H74&lt;&gt;I74,"2016 - kwh",IF(J74&lt;&gt;K74,"2015 - kwh","N/A")))</f>
        <v>N/A</v>
      </c>
      <c r="C72" s="751" t="s">
        <v>2599</v>
      </c>
      <c r="D72" s="979"/>
      <c r="E72" s="873" t="s">
        <v>158</v>
      </c>
      <c r="F72" s="978"/>
      <c r="G72" s="978"/>
      <c r="H72" s="978"/>
      <c r="I72" s="978"/>
      <c r="J72" s="978"/>
      <c r="K72" s="978"/>
      <c r="L72" s="978"/>
      <c r="M72" s="978"/>
      <c r="N72" s="978"/>
      <c r="O72" s="978"/>
      <c r="P72" s="876"/>
      <c r="Q72" s="876"/>
      <c r="R72" s="876"/>
      <c r="S72" s="876"/>
      <c r="T72" s="876"/>
      <c r="U72" s="876"/>
      <c r="V72" s="876"/>
      <c r="Z72" s="1354"/>
      <c r="AA72" s="1354" t="str">
        <f>IF(AND(F74=G74,H74=I74,F74="A"),"2015 - kwh","")</f>
        <v/>
      </c>
      <c r="AB72" s="1354" t="str">
        <f>IF(OR(B72="2016 - kwh",B72="2017 - kwh"),"2015 - kwh","")</f>
        <v/>
      </c>
      <c r="AC72" s="1354"/>
      <c r="AD72" s="1354"/>
      <c r="AE72" s="1354"/>
    </row>
    <row r="73" spans="1:31" s="779" customFormat="1" hidden="1" x14ac:dyDescent="0.25">
      <c r="A73" s="876" t="str">
        <f>IF(AND(F74=G74,H74=I74,J74=K74,F74="A"),"2015 - kw",IF(AND(F74=G74,H74=I74,J74&lt;&gt;K74,F74="A"),"2016 - kw",IF(AND(F74=G74,H74&lt;&gt;I74,F74="A"),"2017 - kw","N/A")))</f>
        <v>N/A</v>
      </c>
      <c r="B73" s="876" t="str">
        <f>IF(F74&lt;&gt;G74,"2017 - kw",IF(H74&lt;&gt;I74,"2016 - kw",IF(J74&lt;&gt;K74,"2015 - kw","N/A")))</f>
        <v>N/A</v>
      </c>
      <c r="C73" s="752"/>
      <c r="D73" s="809" t="str">
        <f>D72 &amp; "kW"</f>
        <v>kW</v>
      </c>
      <c r="E73" s="872" t="s">
        <v>159</v>
      </c>
      <c r="F73" s="978"/>
      <c r="G73" s="978"/>
      <c r="H73" s="978"/>
      <c r="I73" s="978"/>
      <c r="J73" s="978"/>
      <c r="K73" s="978"/>
      <c r="L73" s="978"/>
      <c r="M73" s="978"/>
      <c r="N73" s="978"/>
      <c r="O73" s="978"/>
      <c r="P73" s="876"/>
      <c r="Q73" s="876"/>
      <c r="R73" s="876"/>
      <c r="S73" s="876"/>
      <c r="T73" s="876"/>
      <c r="U73" s="876"/>
      <c r="V73" s="876"/>
      <c r="Z73" s="1354"/>
      <c r="AA73" s="1354" t="str">
        <f>IF(AND(F74=G74,H74=I74,F74="A"),"2015 - kw","")</f>
        <v/>
      </c>
      <c r="AB73" s="1354" t="str">
        <f>IF(OR(B73="2016 - kw",B73="2017 - kw"),"2015 - kw","")</f>
        <v/>
      </c>
      <c r="AC73" s="1354"/>
      <c r="AD73" s="1354"/>
      <c r="AE73" s="1354"/>
    </row>
    <row r="74" spans="1:31" s="779" customFormat="1" hidden="1" x14ac:dyDescent="0.25">
      <c r="A74" s="876"/>
      <c r="B74" s="876"/>
      <c r="C74" s="755"/>
      <c r="D74" s="870"/>
      <c r="E74" s="871" t="s">
        <v>2550</v>
      </c>
      <c r="F74" s="977"/>
      <c r="G74" s="977"/>
      <c r="H74" s="977"/>
      <c r="I74" s="977"/>
      <c r="J74" s="977"/>
      <c r="K74" s="977"/>
      <c r="L74" s="977"/>
      <c r="M74" s="977"/>
      <c r="N74" s="977"/>
      <c r="O74" s="977"/>
      <c r="P74" s="876"/>
      <c r="Q74" s="876"/>
      <c r="R74" s="876"/>
      <c r="S74" s="876"/>
      <c r="T74" s="876"/>
      <c r="U74" s="876"/>
      <c r="V74" s="876"/>
      <c r="Z74" s="1354"/>
      <c r="AA74" s="1354"/>
      <c r="AB74" s="1354"/>
      <c r="AC74" s="1354"/>
      <c r="AD74" s="1354"/>
      <c r="AE74" s="1354"/>
    </row>
    <row r="75" spans="1:31" s="779" customFormat="1" hidden="1" x14ac:dyDescent="0.25">
      <c r="A75" s="876" t="str">
        <f>IF(AND(F77=G77,H77=I77,J77=K77,F77="A"),"2015 - kwh",IF(AND(F77=G77,H77=I77,J77&lt;&gt;K77,F77="A"),"2016 - kwh",IF(AND(F77=G77,H77&lt;&gt;I77,F77="A"),"2017 - kwh","N/A")))</f>
        <v>N/A</v>
      </c>
      <c r="B75" s="876" t="str">
        <f>IF(F77&lt;&gt;G77,"2017 - kwh",IF(H77&lt;&gt;I77,"2016 - kwh",IF(J77&lt;&gt;K77,"2015 - kwh","N/A")))</f>
        <v>N/A</v>
      </c>
      <c r="C75" s="751" t="s">
        <v>2600</v>
      </c>
      <c r="D75" s="979"/>
      <c r="E75" s="873" t="s">
        <v>158</v>
      </c>
      <c r="F75" s="978"/>
      <c r="G75" s="978"/>
      <c r="H75" s="978"/>
      <c r="I75" s="978"/>
      <c r="J75" s="978"/>
      <c r="K75" s="978"/>
      <c r="L75" s="978"/>
      <c r="M75" s="978"/>
      <c r="N75" s="978"/>
      <c r="O75" s="978"/>
      <c r="P75" s="876"/>
      <c r="Q75" s="876"/>
      <c r="R75" s="876"/>
      <c r="S75" s="876"/>
      <c r="T75" s="876"/>
      <c r="U75" s="876"/>
      <c r="V75" s="876"/>
      <c r="Z75" s="1354"/>
      <c r="AA75" s="1354" t="str">
        <f>IF(AND(F77=G77,H77=I77,F77="A"),"2015 - kwh","")</f>
        <v/>
      </c>
      <c r="AB75" s="1354" t="str">
        <f>IF(OR(B75="2016 - kwh",B75="2017 - kwh"),"2015 - kwh","")</f>
        <v/>
      </c>
      <c r="AC75" s="1354"/>
      <c r="AD75" s="1354"/>
      <c r="AE75" s="1354"/>
    </row>
    <row r="76" spans="1:31" s="779" customFormat="1" hidden="1" x14ac:dyDescent="0.25">
      <c r="A76" s="876" t="str">
        <f>IF(AND(F77=G77,H77=I77,J77=K77,F77="A"),"2015 - kw",IF(AND(F77=G77,H77=I77,J77&lt;&gt;K77,F77="A"),"2016 - kw",IF(AND(F77=G77,H77&lt;&gt;I77,F77="A"),"2017 - kw","N/A")))</f>
        <v>N/A</v>
      </c>
      <c r="B76" s="876" t="str">
        <f>IF(F77&lt;&gt;G77,"2017 - kw",IF(H77&lt;&gt;I77,"2016 - kw",IF(J77&lt;&gt;K77,"2015 - kw","N/A")))</f>
        <v>N/A</v>
      </c>
      <c r="C76" s="752"/>
      <c r="D76" s="809" t="str">
        <f>D75 &amp; "kW"</f>
        <v>kW</v>
      </c>
      <c r="E76" s="872" t="s">
        <v>159</v>
      </c>
      <c r="F76" s="978"/>
      <c r="G76" s="978"/>
      <c r="H76" s="978"/>
      <c r="I76" s="978"/>
      <c r="J76" s="978"/>
      <c r="K76" s="978"/>
      <c r="L76" s="978"/>
      <c r="M76" s="978"/>
      <c r="N76" s="978"/>
      <c r="O76" s="978"/>
      <c r="P76" s="876"/>
      <c r="Q76" s="876"/>
      <c r="R76" s="876"/>
      <c r="S76" s="876"/>
      <c r="T76" s="876"/>
      <c r="U76" s="876"/>
      <c r="V76" s="876"/>
      <c r="Z76" s="1354"/>
      <c r="AA76" s="1354" t="str">
        <f>IF(AND(F77=G77,H77=I77,F77="A"),"2015 - kw","")</f>
        <v/>
      </c>
      <c r="AB76" s="1354" t="str">
        <f>IF(OR(B76="2016 - kw",B76="2017 - kw"),"2015 - kw","")</f>
        <v/>
      </c>
      <c r="AC76" s="1354"/>
      <c r="AD76" s="1354"/>
      <c r="AE76" s="1354"/>
    </row>
    <row r="77" spans="1:31" s="779" customFormat="1" hidden="1" x14ac:dyDescent="0.25">
      <c r="A77" s="876"/>
      <c r="B77" s="876"/>
      <c r="C77" s="755"/>
      <c r="D77" s="870"/>
      <c r="E77" s="871" t="s">
        <v>2550</v>
      </c>
      <c r="F77" s="977"/>
      <c r="G77" s="977"/>
      <c r="H77" s="977"/>
      <c r="I77" s="977"/>
      <c r="J77" s="977"/>
      <c r="K77" s="977"/>
      <c r="L77" s="977"/>
      <c r="M77" s="977"/>
      <c r="N77" s="977"/>
      <c r="O77" s="977"/>
      <c r="P77" s="876"/>
      <c r="Q77" s="876"/>
      <c r="R77" s="876"/>
      <c r="S77" s="876"/>
      <c r="T77" s="876"/>
      <c r="U77" s="876"/>
      <c r="V77" s="876"/>
      <c r="Z77" s="1354"/>
      <c r="AA77" s="1354"/>
      <c r="AB77" s="1354"/>
      <c r="AC77" s="1354"/>
      <c r="AD77" s="1354"/>
      <c r="AE77" s="1354"/>
    </row>
    <row r="78" spans="1:31" s="779" customFormat="1" hidden="1" x14ac:dyDescent="0.25">
      <c r="A78" s="876" t="str">
        <f>IF(AND(F80=G80,H80=I80,J80=K80,F80="A"),"2015 - kwh",IF(AND(F80=G80,H80=I80,J80&lt;&gt;K80,F80="A"),"2016 - kwh",IF(AND(F80=G80,H80&lt;&gt;I80,F80="A"),"2017 - kwh","N/A")))</f>
        <v>N/A</v>
      </c>
      <c r="B78" s="876" t="str">
        <f>IF(F80&lt;&gt;G80,"2017 - kwh",IF(H80&lt;&gt;I80,"2016 - kwh",IF(J80&lt;&gt;K80,"2015 - kwh","N/A")))</f>
        <v>N/A</v>
      </c>
      <c r="C78" s="751" t="s">
        <v>2601</v>
      </c>
      <c r="D78" s="979"/>
      <c r="E78" s="873" t="s">
        <v>158</v>
      </c>
      <c r="F78" s="978"/>
      <c r="G78" s="978"/>
      <c r="H78" s="978"/>
      <c r="I78" s="978"/>
      <c r="J78" s="978"/>
      <c r="K78" s="978"/>
      <c r="L78" s="978"/>
      <c r="M78" s="978"/>
      <c r="N78" s="978"/>
      <c r="O78" s="978"/>
      <c r="P78" s="876"/>
      <c r="Q78" s="876"/>
      <c r="R78" s="876"/>
      <c r="S78" s="876"/>
      <c r="T78" s="876"/>
      <c r="U78" s="876"/>
      <c r="V78" s="876"/>
      <c r="Z78" s="1354"/>
      <c r="AA78" s="1354" t="str">
        <f>IF(AND(F80=G80,H80=I80,F80="A"),"2015 - kwh","")</f>
        <v/>
      </c>
      <c r="AB78" s="1354" t="str">
        <f>IF(OR(B78="2016 - kwh",B78="2017 - kwh"),"2015 - kwh","")</f>
        <v/>
      </c>
      <c r="AC78" s="1354"/>
      <c r="AD78" s="1354"/>
      <c r="AE78" s="1354"/>
    </row>
    <row r="79" spans="1:31" s="779" customFormat="1" hidden="1" x14ac:dyDescent="0.25">
      <c r="A79" s="876" t="str">
        <f>IF(AND(F80=G80,H80=I80,J80=K80,F80="A"),"2015 - kw",IF(AND(F80=G80,H80=I80,J80&lt;&gt;K80,F80="A"),"2016 - kw",IF(AND(F80=G80,H80&lt;&gt;I80,F80="A"),"2017 - kw","N/A")))</f>
        <v>N/A</v>
      </c>
      <c r="B79" s="876" t="str">
        <f>IF(F80&lt;&gt;G80,"2017 - kw",IF(H80&lt;&gt;I80,"2016 - kw",IF(J80&lt;&gt;K80,"2015 - kw","N/A")))</f>
        <v>N/A</v>
      </c>
      <c r="C79" s="752"/>
      <c r="D79" s="809" t="str">
        <f>D78 &amp; "kW"</f>
        <v>kW</v>
      </c>
      <c r="E79" s="872" t="s">
        <v>159</v>
      </c>
      <c r="F79" s="978"/>
      <c r="G79" s="978"/>
      <c r="H79" s="978"/>
      <c r="I79" s="978"/>
      <c r="J79" s="978"/>
      <c r="K79" s="978"/>
      <c r="L79" s="978"/>
      <c r="M79" s="978"/>
      <c r="N79" s="978"/>
      <c r="O79" s="978"/>
      <c r="P79" s="876"/>
      <c r="Q79" s="876"/>
      <c r="R79" s="876"/>
      <c r="S79" s="876"/>
      <c r="T79" s="876"/>
      <c r="U79" s="876"/>
      <c r="V79" s="876"/>
      <c r="Z79" s="1354"/>
      <c r="AA79" s="1354" t="str">
        <f>IF(AND(F80=G80,H80=I80,F80="A"),"2015 - kw","")</f>
        <v/>
      </c>
      <c r="AB79" s="1354" t="str">
        <f>IF(OR(B79="2016 - kw",B79="2017 - kw"),"2015 - kw","")</f>
        <v/>
      </c>
      <c r="AC79" s="1354"/>
      <c r="AD79" s="1354"/>
      <c r="AE79" s="1354"/>
    </row>
    <row r="80" spans="1:31" s="779" customFormat="1" hidden="1" x14ac:dyDescent="0.25">
      <c r="A80" s="876"/>
      <c r="B80" s="876"/>
      <c r="C80" s="755"/>
      <c r="D80" s="870"/>
      <c r="E80" s="871" t="s">
        <v>2550</v>
      </c>
      <c r="F80" s="977"/>
      <c r="G80" s="977"/>
      <c r="H80" s="977"/>
      <c r="I80" s="977"/>
      <c r="J80" s="977"/>
      <c r="K80" s="977"/>
      <c r="L80" s="977"/>
      <c r="M80" s="977"/>
      <c r="N80" s="977"/>
      <c r="O80" s="977"/>
      <c r="P80" s="876"/>
      <c r="Q80" s="876"/>
      <c r="R80" s="876"/>
      <c r="S80" s="876"/>
      <c r="T80" s="876"/>
      <c r="U80" s="876"/>
      <c r="V80" s="876"/>
      <c r="Z80" s="1354"/>
      <c r="AA80" s="1354"/>
      <c r="AB80" s="1354"/>
      <c r="AC80" s="1354"/>
      <c r="AD80" s="1354"/>
      <c r="AE80" s="1354"/>
    </row>
    <row r="81" spans="1:31" s="779" customFormat="1" hidden="1" x14ac:dyDescent="0.25">
      <c r="A81" s="876" t="str">
        <f>IF(AND(F83=G83,H83=I83,J83=K83,F83="A"),"2015 - kwh",IF(AND(F83=G83,H83=I83,J83&lt;&gt;K83,F83="A"),"2016 - kwh",IF(AND(F83=G83,H83&lt;&gt;I83,F83="A"),"2017 - kwh","N/A")))</f>
        <v>N/A</v>
      </c>
      <c r="B81" s="876" t="str">
        <f>IF(F83&lt;&gt;G83,"2017 - kwh",IF(H83&lt;&gt;I83,"2016 - kwh",IF(J83&lt;&gt;K83,"2015 - kwh","N/A")))</f>
        <v>N/A</v>
      </c>
      <c r="C81" s="751" t="s">
        <v>2602</v>
      </c>
      <c r="D81" s="979"/>
      <c r="E81" s="873" t="s">
        <v>158</v>
      </c>
      <c r="F81" s="978"/>
      <c r="G81" s="978"/>
      <c r="H81" s="978"/>
      <c r="I81" s="978"/>
      <c r="J81" s="978"/>
      <c r="K81" s="978"/>
      <c r="L81" s="978"/>
      <c r="M81" s="978"/>
      <c r="N81" s="978"/>
      <c r="O81" s="978"/>
      <c r="P81" s="876"/>
      <c r="Q81" s="876"/>
      <c r="R81" s="876"/>
      <c r="S81" s="876"/>
      <c r="T81" s="876"/>
      <c r="U81" s="876"/>
      <c r="V81" s="876"/>
      <c r="Z81" s="1354"/>
      <c r="AA81" s="1354" t="str">
        <f>IF(AND(F83=G83,H83=I83,F83="A"),"2015 - kwh","")</f>
        <v/>
      </c>
      <c r="AB81" s="1354" t="str">
        <f>IF(OR(B81="2016 - kwh",B81="2017 - kwh"),"2015 - kwh","")</f>
        <v/>
      </c>
      <c r="AC81" s="1354"/>
      <c r="AD81" s="1354"/>
      <c r="AE81" s="1354"/>
    </row>
    <row r="82" spans="1:31" s="779" customFormat="1" hidden="1" x14ac:dyDescent="0.25">
      <c r="A82" s="876" t="str">
        <f>IF(AND(F83=G83,H83=I83,J83=K83,F83="A"),"2015 - kw",IF(AND(F83=G83,H83=I83,J83&lt;&gt;K83,F83="A"),"2016 - kw",IF(AND(F83=G83,H83&lt;&gt;I83,F83="A"),"2017 - kw","N/A")))</f>
        <v>N/A</v>
      </c>
      <c r="B82" s="876" t="str">
        <f>IF(F83&lt;&gt;G83,"2017 - kw",IF(H83&lt;&gt;I83,"2016 - kw",IF(J83&lt;&gt;K83,"2015 - kw","N/A")))</f>
        <v>N/A</v>
      </c>
      <c r="C82" s="752"/>
      <c r="D82" s="809" t="str">
        <f>D81 &amp; "kW"</f>
        <v>kW</v>
      </c>
      <c r="E82" s="872" t="s">
        <v>159</v>
      </c>
      <c r="F82" s="978"/>
      <c r="G82" s="978"/>
      <c r="H82" s="978"/>
      <c r="I82" s="978"/>
      <c r="J82" s="978"/>
      <c r="K82" s="978"/>
      <c r="L82" s="978"/>
      <c r="M82" s="978"/>
      <c r="N82" s="978"/>
      <c r="O82" s="978"/>
      <c r="P82" s="876"/>
      <c r="Q82" s="876"/>
      <c r="R82" s="876"/>
      <c r="S82" s="876"/>
      <c r="T82" s="876"/>
      <c r="U82" s="876"/>
      <c r="V82" s="876"/>
      <c r="Z82" s="1354"/>
      <c r="AA82" s="1354" t="str">
        <f>IF(AND(F83=G83,H83=I83,F83="A"),"2015 - kw","")</f>
        <v/>
      </c>
      <c r="AB82" s="1354" t="str">
        <f>IF(OR(B82="2016 - kw",B82="2017 - kw"),"2015 - kw","")</f>
        <v/>
      </c>
      <c r="AC82" s="1354"/>
      <c r="AD82" s="1354"/>
      <c r="AE82" s="1354"/>
    </row>
    <row r="83" spans="1:31" s="779" customFormat="1" hidden="1" x14ac:dyDescent="0.25">
      <c r="A83" s="876"/>
      <c r="B83" s="876"/>
      <c r="C83" s="755"/>
      <c r="D83" s="870"/>
      <c r="E83" s="871" t="s">
        <v>2550</v>
      </c>
      <c r="F83" s="977"/>
      <c r="G83" s="977"/>
      <c r="H83" s="977"/>
      <c r="I83" s="977"/>
      <c r="J83" s="977"/>
      <c r="K83" s="977"/>
      <c r="L83" s="977"/>
      <c r="M83" s="977"/>
      <c r="N83" s="977"/>
      <c r="O83" s="977"/>
      <c r="P83" s="876"/>
      <c r="Q83" s="876"/>
      <c r="R83" s="876"/>
      <c r="S83" s="876"/>
      <c r="T83" s="876"/>
      <c r="U83" s="876"/>
      <c r="V83" s="876"/>
      <c r="Z83" s="1354"/>
      <c r="AA83" s="1354"/>
      <c r="AB83" s="1354"/>
      <c r="AC83" s="1354"/>
      <c r="AD83" s="1354"/>
      <c r="AE83" s="1354"/>
    </row>
    <row r="84" spans="1:31" s="779" customFormat="1" hidden="1" x14ac:dyDescent="0.25">
      <c r="A84" s="876" t="str">
        <f>IF(AND(F86=G86,H86=I86,J86=K86,F86="A"),"2015 - kwh",IF(AND(F86=G86,H86=I86,J86&lt;&gt;K86,F86="A"),"2016 - kwh",IF(AND(F86=G86,H86&lt;&gt;I86,F86="A"),"2017 - kwh","N/A")))</f>
        <v>N/A</v>
      </c>
      <c r="B84" s="876" t="str">
        <f>IF(F86&lt;&gt;G86,"2017 - kwh",IF(H86&lt;&gt;I86,"2016 - kwh",IF(J86&lt;&gt;K86,"2015 - kwh","N/A")))</f>
        <v>N/A</v>
      </c>
      <c r="C84" s="751" t="s">
        <v>2603</v>
      </c>
      <c r="D84" s="979"/>
      <c r="E84" s="873" t="s">
        <v>158</v>
      </c>
      <c r="F84" s="978"/>
      <c r="G84" s="978"/>
      <c r="H84" s="978"/>
      <c r="I84" s="978"/>
      <c r="J84" s="978"/>
      <c r="K84" s="978"/>
      <c r="L84" s="978"/>
      <c r="M84" s="978"/>
      <c r="N84" s="978"/>
      <c r="O84" s="978"/>
      <c r="P84" s="876"/>
      <c r="Q84" s="876"/>
      <c r="R84" s="876"/>
      <c r="S84" s="876"/>
      <c r="T84" s="876"/>
      <c r="U84" s="876"/>
      <c r="V84" s="876"/>
      <c r="Z84" s="1354"/>
      <c r="AA84" s="1354" t="str">
        <f>IF(AND(F86=G86,H86=I86,F86="A"),"2015 - kwh","")</f>
        <v/>
      </c>
      <c r="AB84" s="1354" t="str">
        <f>IF(OR(B84="2016 - kwh",B84="2017 - kwh"),"2015 - kwh","")</f>
        <v/>
      </c>
      <c r="AC84" s="1354"/>
      <c r="AD84" s="1354"/>
      <c r="AE84" s="1354"/>
    </row>
    <row r="85" spans="1:31" s="779" customFormat="1" hidden="1" x14ac:dyDescent="0.25">
      <c r="A85" s="876" t="str">
        <f>IF(AND(F86=G86,H86=I86,J86=K86,F86="A"),"2015 - kw",IF(AND(F86=G86,H86=I86,J86&lt;&gt;K86,F86="A"),"2016 - kw",IF(AND(F86=G86,H86&lt;&gt;I86,F86="A"),"2017 - kw","N/A")))</f>
        <v>N/A</v>
      </c>
      <c r="B85" s="876" t="str">
        <f>IF(F86&lt;&gt;G86,"2017 - kw",IF(H86&lt;&gt;I86,"2016 - kw",IF(J86&lt;&gt;K86,"2015 - kw","N/A")))</f>
        <v>N/A</v>
      </c>
      <c r="C85" s="752"/>
      <c r="D85" s="809" t="str">
        <f>D84 &amp; "kW"</f>
        <v>kW</v>
      </c>
      <c r="E85" s="872" t="s">
        <v>159</v>
      </c>
      <c r="F85" s="978"/>
      <c r="G85" s="978"/>
      <c r="H85" s="978"/>
      <c r="I85" s="978"/>
      <c r="J85" s="978"/>
      <c r="K85" s="978"/>
      <c r="L85" s="978"/>
      <c r="M85" s="978"/>
      <c r="N85" s="978"/>
      <c r="O85" s="978"/>
      <c r="P85" s="876"/>
      <c r="Q85" s="876"/>
      <c r="R85" s="876"/>
      <c r="S85" s="876"/>
      <c r="T85" s="876"/>
      <c r="U85" s="876"/>
      <c r="V85" s="876"/>
      <c r="Z85" s="1354"/>
      <c r="AA85" s="1354" t="str">
        <f>IF(AND(F86=G86,H86=I86,F86="A"),"2015 - kw","")</f>
        <v/>
      </c>
      <c r="AB85" s="1354" t="str">
        <f>IF(OR(B85="2016 - kw",B85="2017 - kw"),"2015 - kw","")</f>
        <v/>
      </c>
      <c r="AC85" s="1354"/>
      <c r="AD85" s="1354"/>
      <c r="AE85" s="1354"/>
    </row>
    <row r="86" spans="1:31" s="779" customFormat="1" hidden="1" x14ac:dyDescent="0.25">
      <c r="A86" s="876"/>
      <c r="B86" s="876"/>
      <c r="C86" s="755"/>
      <c r="D86" s="870"/>
      <c r="E86" s="871" t="s">
        <v>2550</v>
      </c>
      <c r="F86" s="977"/>
      <c r="G86" s="977"/>
      <c r="H86" s="977"/>
      <c r="I86" s="977"/>
      <c r="J86" s="977"/>
      <c r="K86" s="977"/>
      <c r="L86" s="977"/>
      <c r="M86" s="977"/>
      <c r="N86" s="977"/>
      <c r="O86" s="977"/>
      <c r="P86" s="876"/>
      <c r="Q86" s="876"/>
      <c r="R86" s="876"/>
      <c r="S86" s="876"/>
      <c r="T86" s="876"/>
      <c r="U86" s="876"/>
      <c r="V86" s="876"/>
      <c r="Z86" s="1354"/>
      <c r="AA86" s="1354"/>
      <c r="AB86" s="1354"/>
      <c r="AC86" s="1354"/>
      <c r="AD86" s="1354"/>
      <c r="AE86" s="1354"/>
    </row>
    <row r="87" spans="1:31" s="779" customFormat="1" hidden="1" x14ac:dyDescent="0.25">
      <c r="A87" s="876" t="str">
        <f>IF(AND(F89=G89,H89=I89,J89=K89,F89="A"),"2015 - kwh",IF(AND(F89=G89,H89=I89,J89&lt;&gt;K89,F89="A"),"2016 - kwh",IF(AND(F89=G89,H89&lt;&gt;I89,F89="A"),"2017 - kwh","N/A")))</f>
        <v>N/A</v>
      </c>
      <c r="B87" s="876" t="str">
        <f>IF(F89&lt;&gt;G89,"2017 - kwh",IF(H89&lt;&gt;I89,"2016 - kwh",IF(J89&lt;&gt;K89,"2015 - kwh","N/A")))</f>
        <v>N/A</v>
      </c>
      <c r="C87" s="751" t="s">
        <v>2604</v>
      </c>
      <c r="D87" s="979"/>
      <c r="E87" s="873" t="s">
        <v>158</v>
      </c>
      <c r="F87" s="978"/>
      <c r="G87" s="978"/>
      <c r="H87" s="978"/>
      <c r="I87" s="978"/>
      <c r="J87" s="978"/>
      <c r="K87" s="978"/>
      <c r="L87" s="978"/>
      <c r="M87" s="978"/>
      <c r="N87" s="978"/>
      <c r="O87" s="978"/>
      <c r="P87" s="876"/>
      <c r="Q87" s="876"/>
      <c r="R87" s="876"/>
      <c r="S87" s="876"/>
      <c r="T87" s="876"/>
      <c r="U87" s="876"/>
      <c r="V87" s="876"/>
      <c r="Z87" s="1354"/>
      <c r="AA87" s="1354" t="str">
        <f>IF(AND(F89=G89,H89=I89,F89="A"),"2015 - kwh","")</f>
        <v/>
      </c>
      <c r="AB87" s="1354" t="str">
        <f>IF(OR(B87="2016 - kwh",B87="2017 - kwh"),"2015 - kwh","")</f>
        <v/>
      </c>
      <c r="AC87" s="1354"/>
      <c r="AD87" s="1354"/>
      <c r="AE87" s="1354"/>
    </row>
    <row r="88" spans="1:31" s="779" customFormat="1" hidden="1" x14ac:dyDescent="0.25">
      <c r="A88" s="876" t="str">
        <f>IF(AND(F89=G89,H89=I89,J89=K89,F89="A"),"2015 - kw",IF(AND(F89=G89,H89=I89,J89&lt;&gt;K89,F89="A"),"2016 - kw",IF(AND(F89=G89,H89&lt;&gt;I89,F89="A"),"2017 - kw","N/A")))</f>
        <v>N/A</v>
      </c>
      <c r="B88" s="876" t="str">
        <f>IF(F89&lt;&gt;G89,"2017 - kw",IF(H89&lt;&gt;I89,"2016 - kw",IF(J89&lt;&gt;K89,"2015 - kw","N/A")))</f>
        <v>N/A</v>
      </c>
      <c r="C88" s="752"/>
      <c r="D88" s="809" t="str">
        <f>D87 &amp; "kW"</f>
        <v>kW</v>
      </c>
      <c r="E88" s="872" t="s">
        <v>159</v>
      </c>
      <c r="F88" s="978"/>
      <c r="G88" s="978"/>
      <c r="H88" s="978"/>
      <c r="I88" s="978"/>
      <c r="J88" s="978"/>
      <c r="K88" s="978"/>
      <c r="L88" s="978"/>
      <c r="M88" s="978"/>
      <c r="N88" s="978"/>
      <c r="O88" s="978"/>
      <c r="P88" s="876"/>
      <c r="Q88" s="876"/>
      <c r="R88" s="876"/>
      <c r="S88" s="876"/>
      <c r="T88" s="876"/>
      <c r="U88" s="876"/>
      <c r="V88" s="876"/>
      <c r="Z88" s="1354"/>
      <c r="AA88" s="1354" t="str">
        <f>IF(AND(F89=G89,H89=I89,F89="A"),"2015 - kw","")</f>
        <v/>
      </c>
      <c r="AB88" s="1354" t="str">
        <f>IF(OR(B88="2016 - kw",B88="2017 - kw"),"2015 - kw","")</f>
        <v/>
      </c>
      <c r="AC88" s="1354"/>
      <c r="AD88" s="1354"/>
      <c r="AE88" s="1354"/>
    </row>
    <row r="89" spans="1:31" s="779" customFormat="1" hidden="1" x14ac:dyDescent="0.25">
      <c r="A89" s="876"/>
      <c r="B89" s="876"/>
      <c r="C89" s="755"/>
      <c r="D89" s="870"/>
      <c r="E89" s="871" t="s">
        <v>2550</v>
      </c>
      <c r="F89" s="977"/>
      <c r="G89" s="977"/>
      <c r="H89" s="977"/>
      <c r="I89" s="977"/>
      <c r="J89" s="977"/>
      <c r="K89" s="977"/>
      <c r="L89" s="977"/>
      <c r="M89" s="977"/>
      <c r="N89" s="977"/>
      <c r="O89" s="977"/>
      <c r="P89" s="876"/>
      <c r="Q89" s="876"/>
      <c r="R89" s="876"/>
      <c r="S89" s="876"/>
      <c r="T89" s="876"/>
      <c r="U89" s="876"/>
      <c r="V89" s="876"/>
      <c r="Z89" s="1354"/>
      <c r="AA89" s="1354"/>
      <c r="AB89" s="1354"/>
      <c r="AC89" s="1354"/>
      <c r="AD89" s="1354"/>
      <c r="AE89" s="1354"/>
    </row>
    <row r="90" spans="1:31" s="779" customFormat="1" hidden="1" x14ac:dyDescent="0.25">
      <c r="A90" s="876" t="str">
        <f>IF(AND(F92=G92,H92=I92,J92=K92,F92="A"),"2015 - kwh",IF(AND(F92=G92,H92=I92,J92&lt;&gt;K92,F92="A"),"2016 - kwh",IF(AND(F92=G92,H92&lt;&gt;I92,F92="A"),"2017 - kwh","N/A")))</f>
        <v>N/A</v>
      </c>
      <c r="B90" s="876" t="str">
        <f>IF(F92&lt;&gt;G92,"2017 - kwh",IF(H92&lt;&gt;I92,"2016 - kwh",IF(J92&lt;&gt;K92,"2015 - kwh","N/A")))</f>
        <v>N/A</v>
      </c>
      <c r="C90" s="751" t="s">
        <v>2605</v>
      </c>
      <c r="D90" s="979"/>
      <c r="E90" s="873" t="s">
        <v>158</v>
      </c>
      <c r="F90" s="978"/>
      <c r="G90" s="978"/>
      <c r="H90" s="978"/>
      <c r="I90" s="978"/>
      <c r="J90" s="978"/>
      <c r="K90" s="978"/>
      <c r="L90" s="978"/>
      <c r="M90" s="978"/>
      <c r="N90" s="978"/>
      <c r="O90" s="978"/>
      <c r="P90" s="876"/>
      <c r="Q90" s="876"/>
      <c r="R90" s="876"/>
      <c r="S90" s="876"/>
      <c r="T90" s="876"/>
      <c r="U90" s="876"/>
      <c r="V90" s="876"/>
      <c r="Z90" s="1354"/>
      <c r="AA90" s="1354" t="str">
        <f>IF(AND(F92=G92,H92=I92,F92="A"),"2015 - kwh","")</f>
        <v/>
      </c>
      <c r="AB90" s="1354" t="str">
        <f>IF(OR(B90="2016 - kwh",B90="2017 - kwh"),"2015 - kwh","")</f>
        <v/>
      </c>
      <c r="AC90" s="1354"/>
      <c r="AD90" s="1354"/>
      <c r="AE90" s="1354"/>
    </row>
    <row r="91" spans="1:31" s="779" customFormat="1" hidden="1" x14ac:dyDescent="0.25">
      <c r="A91" s="876" t="str">
        <f>IF(AND(F92=G92,H92=I92,J92=K92,F92="A"),"2015 - kw",IF(AND(F92=G92,H92=I92,J92&lt;&gt;K92,F92="A"),"2016 - kw",IF(AND(F92=G92,H92&lt;&gt;I92,F92="A"),"2017 - kw","N/A")))</f>
        <v>N/A</v>
      </c>
      <c r="B91" s="876" t="str">
        <f>IF(F92&lt;&gt;G92,"2017 - kw",IF(H92&lt;&gt;I92,"2016 - kw",IF(J92&lt;&gt;K92,"2015 - kw","N/A")))</f>
        <v>N/A</v>
      </c>
      <c r="C91" s="752"/>
      <c r="D91" s="809" t="str">
        <f>D90 &amp; "kW"</f>
        <v>kW</v>
      </c>
      <c r="E91" s="872" t="s">
        <v>159</v>
      </c>
      <c r="F91" s="978"/>
      <c r="G91" s="978"/>
      <c r="H91" s="978"/>
      <c r="I91" s="978"/>
      <c r="J91" s="978"/>
      <c r="K91" s="978"/>
      <c r="L91" s="978"/>
      <c r="M91" s="978"/>
      <c r="N91" s="978"/>
      <c r="O91" s="978"/>
      <c r="P91" s="876"/>
      <c r="Q91" s="876"/>
      <c r="R91" s="876"/>
      <c r="S91" s="876"/>
      <c r="T91" s="876"/>
      <c r="U91" s="876"/>
      <c r="V91" s="876"/>
      <c r="Z91" s="1354"/>
      <c r="AA91" s="1354" t="str">
        <f>IF(AND(F92=G92,H92=I92,F92="A"),"2015 - kw","")</f>
        <v/>
      </c>
      <c r="AB91" s="1354" t="str">
        <f>IF(OR(B91="2016 - kw",B91="2017 - kw"),"2015 - kw","")</f>
        <v/>
      </c>
      <c r="AC91" s="1354"/>
      <c r="AD91" s="1354"/>
      <c r="AE91" s="1354"/>
    </row>
    <row r="92" spans="1:31" s="779" customFormat="1" hidden="1" x14ac:dyDescent="0.25">
      <c r="A92" s="876"/>
      <c r="B92" s="876"/>
      <c r="C92" s="755"/>
      <c r="D92" s="870"/>
      <c r="E92" s="871" t="s">
        <v>2550</v>
      </c>
      <c r="F92" s="977"/>
      <c r="G92" s="977"/>
      <c r="H92" s="977"/>
      <c r="I92" s="977"/>
      <c r="J92" s="977"/>
      <c r="K92" s="977"/>
      <c r="L92" s="977"/>
      <c r="M92" s="977"/>
      <c r="N92" s="977"/>
      <c r="O92" s="977"/>
      <c r="P92" s="876"/>
      <c r="Q92" s="876"/>
      <c r="R92" s="876"/>
      <c r="S92" s="876"/>
      <c r="T92" s="876"/>
      <c r="U92" s="876"/>
      <c r="V92" s="876"/>
      <c r="Z92" s="1354"/>
      <c r="AA92" s="1354"/>
      <c r="AB92" s="1354"/>
      <c r="AC92" s="1354"/>
      <c r="AD92" s="1354"/>
      <c r="AE92" s="1354"/>
    </row>
    <row r="93" spans="1:31" s="779" customFormat="1" hidden="1" x14ac:dyDescent="0.25">
      <c r="A93" s="876" t="str">
        <f>IF(AND(F95=G95,H95=I95,J95=K95,F95="A"),"2015 - kwh",IF(AND(F95=G95,H95=I95,J95&lt;&gt;K95,F95="A"),"2016 - kwh",IF(AND(F95=G95,H95&lt;&gt;I95,F95="A"),"2017 - kwh","N/A")))</f>
        <v>N/A</v>
      </c>
      <c r="B93" s="876" t="str">
        <f>IF(F95&lt;&gt;G95,"2017 - kwh",IF(H95&lt;&gt;I95,"2016 - kwh",IF(J95&lt;&gt;K95,"2015 - kwh","N/A")))</f>
        <v>N/A</v>
      </c>
      <c r="C93" s="751" t="s">
        <v>2606</v>
      </c>
      <c r="D93" s="979"/>
      <c r="E93" s="873" t="s">
        <v>158</v>
      </c>
      <c r="F93" s="978"/>
      <c r="G93" s="978"/>
      <c r="H93" s="978"/>
      <c r="I93" s="978"/>
      <c r="J93" s="978"/>
      <c r="K93" s="978"/>
      <c r="L93" s="978"/>
      <c r="M93" s="978"/>
      <c r="N93" s="978"/>
      <c r="O93" s="978"/>
      <c r="P93" s="876"/>
      <c r="Q93" s="876"/>
      <c r="R93" s="876"/>
      <c r="S93" s="876"/>
      <c r="T93" s="876"/>
      <c r="U93" s="876"/>
      <c r="V93" s="876"/>
      <c r="Z93" s="1354"/>
      <c r="AA93" s="1354" t="str">
        <f>IF(AND(F95=G95,H95=I95,F95="A"),"2015 - kwh","")</f>
        <v/>
      </c>
      <c r="AB93" s="1354" t="str">
        <f>IF(OR(B93="2016 - kwh",B93="2017 - kwh"),"2015 - kwh","")</f>
        <v/>
      </c>
      <c r="AC93" s="1354"/>
      <c r="AD93" s="1354"/>
      <c r="AE93" s="1354"/>
    </row>
    <row r="94" spans="1:31" s="779" customFormat="1" hidden="1" x14ac:dyDescent="0.25">
      <c r="A94" s="876" t="str">
        <f>IF(AND(F95=G95,H95=I95,J95=K95,F95="A"),"2015 - kw",IF(AND(F95=G95,H95=I95,J95&lt;&gt;K95,F95="A"),"2016 - kw",IF(AND(F95=G95,H95&lt;&gt;I95,F95="A"),"2017 - kw","N/A")))</f>
        <v>N/A</v>
      </c>
      <c r="B94" s="876" t="str">
        <f>IF(F95&lt;&gt;G95,"2017 - kw",IF(H95&lt;&gt;I95,"2016 - kw",IF(J95&lt;&gt;K95,"2015 - kw","N/A")))</f>
        <v>N/A</v>
      </c>
      <c r="C94" s="752"/>
      <c r="D94" s="809" t="str">
        <f>D93 &amp; "kW"</f>
        <v>kW</v>
      </c>
      <c r="E94" s="872" t="s">
        <v>159</v>
      </c>
      <c r="F94" s="978"/>
      <c r="G94" s="978"/>
      <c r="H94" s="978"/>
      <c r="I94" s="978"/>
      <c r="J94" s="978"/>
      <c r="K94" s="978"/>
      <c r="L94" s="978"/>
      <c r="M94" s="978"/>
      <c r="N94" s="978"/>
      <c r="O94" s="978"/>
      <c r="P94" s="876"/>
      <c r="Q94" s="876"/>
      <c r="R94" s="876"/>
      <c r="S94" s="876"/>
      <c r="T94" s="876"/>
      <c r="U94" s="876"/>
      <c r="V94" s="876"/>
      <c r="Z94" s="1354"/>
      <c r="AA94" s="1354" t="str">
        <f>IF(AND(F95=G95,H95=I95,F95="A"),"2015 - kw","")</f>
        <v/>
      </c>
      <c r="AB94" s="1354" t="str">
        <f>IF(OR(B94="2016 - kw",B94="2017 - kw"),"2015 - kw","")</f>
        <v/>
      </c>
      <c r="AC94" s="1354"/>
      <c r="AD94" s="1354"/>
      <c r="AE94" s="1354"/>
    </row>
    <row r="95" spans="1:31" s="779" customFormat="1" hidden="1" x14ac:dyDescent="0.25">
      <c r="A95" s="876"/>
      <c r="B95" s="876"/>
      <c r="C95" s="755"/>
      <c r="D95" s="870"/>
      <c r="E95" s="871" t="s">
        <v>2550</v>
      </c>
      <c r="F95" s="977"/>
      <c r="G95" s="977"/>
      <c r="H95" s="977"/>
      <c r="I95" s="977"/>
      <c r="J95" s="977"/>
      <c r="K95" s="977"/>
      <c r="L95" s="977"/>
      <c r="M95" s="977"/>
      <c r="N95" s="977"/>
      <c r="O95" s="977"/>
      <c r="P95" s="876"/>
      <c r="Q95" s="876"/>
      <c r="R95" s="876"/>
      <c r="S95" s="876"/>
      <c r="T95" s="876"/>
      <c r="U95" s="876"/>
      <c r="V95" s="876"/>
      <c r="Z95" s="1354"/>
      <c r="AA95" s="1354"/>
      <c r="AB95" s="1354"/>
      <c r="AC95" s="1354"/>
      <c r="AD95" s="1354"/>
      <c r="AE95" s="1354"/>
    </row>
    <row r="96" spans="1:31" s="779" customFormat="1" hidden="1" x14ac:dyDescent="0.25">
      <c r="A96" s="876" t="str">
        <f>IF(AND(F98=G98,H98=I98,J98=K98,F98="A"),"2015 - kwh",IF(AND(F98=G98,H98=I98,J98&lt;&gt;K98,F98="A"),"2016 - kwh",IF(AND(F98=G98,H98&lt;&gt;I98,F98="A"),"2017 - kwh","N/A")))</f>
        <v>N/A</v>
      </c>
      <c r="B96" s="876" t="str">
        <f>IF(F98&lt;&gt;G98,"2017 - kwh",IF(H98&lt;&gt;I98,"2016 - kwh",IF(J98&lt;&gt;K98,"2015 - kwh","N/A")))</f>
        <v>N/A</v>
      </c>
      <c r="C96" s="751" t="s">
        <v>2607</v>
      </c>
      <c r="D96" s="979"/>
      <c r="E96" s="873" t="s">
        <v>158</v>
      </c>
      <c r="F96" s="978"/>
      <c r="G96" s="978"/>
      <c r="H96" s="978"/>
      <c r="I96" s="978"/>
      <c r="J96" s="978"/>
      <c r="K96" s="978"/>
      <c r="L96" s="978"/>
      <c r="M96" s="978"/>
      <c r="N96" s="978"/>
      <c r="O96" s="978"/>
      <c r="P96" s="876"/>
      <c r="Q96" s="876"/>
      <c r="R96" s="876"/>
      <c r="S96" s="876"/>
      <c r="T96" s="876"/>
      <c r="U96" s="876"/>
      <c r="V96" s="876"/>
      <c r="Z96" s="1354"/>
      <c r="AA96" s="1354" t="str">
        <f>IF(AND(F98=G98,H98=I98,F98="A"),"2015 - kwh","")</f>
        <v/>
      </c>
      <c r="AB96" s="1354" t="str">
        <f>IF(OR(B96="2016 - kwh",B96="2017 - kwh"),"2015 - kwh","")</f>
        <v/>
      </c>
      <c r="AC96" s="1354"/>
      <c r="AD96" s="1354"/>
      <c r="AE96" s="1354"/>
    </row>
    <row r="97" spans="1:31" s="779" customFormat="1" hidden="1" x14ac:dyDescent="0.25">
      <c r="A97" s="876" t="str">
        <f>IF(AND(F98=G98,H98=I98,J98=K98,F98="A"),"2015 - kw",IF(AND(F98=G98,H98=I98,J98&lt;&gt;K98,F98="A"),"2016 - kw",IF(AND(F98=G98,H98&lt;&gt;I98,F98="A"),"2017 - kw","N/A")))</f>
        <v>N/A</v>
      </c>
      <c r="B97" s="876" t="str">
        <f>IF(F98&lt;&gt;G98,"2017 - kw",IF(H98&lt;&gt;I98,"2016 - kw",IF(J98&lt;&gt;K98,"2015 - kw","N/A")))</f>
        <v>N/A</v>
      </c>
      <c r="C97" s="752"/>
      <c r="D97" s="809" t="str">
        <f>D96 &amp; "kW"</f>
        <v>kW</v>
      </c>
      <c r="E97" s="872" t="s">
        <v>159</v>
      </c>
      <c r="F97" s="978"/>
      <c r="G97" s="978"/>
      <c r="H97" s="978"/>
      <c r="I97" s="978"/>
      <c r="J97" s="978"/>
      <c r="K97" s="978"/>
      <c r="L97" s="978"/>
      <c r="M97" s="978"/>
      <c r="N97" s="978"/>
      <c r="O97" s="978"/>
      <c r="P97" s="876"/>
      <c r="Q97" s="876"/>
      <c r="R97" s="876"/>
      <c r="S97" s="876"/>
      <c r="T97" s="876"/>
      <c r="U97" s="876"/>
      <c r="V97" s="876"/>
      <c r="Z97" s="1354"/>
      <c r="AA97" s="1354" t="str">
        <f>IF(AND(F98=G98,H98=I98,F98="A"),"2015 - kw","")</f>
        <v/>
      </c>
      <c r="AB97" s="1354" t="str">
        <f>IF(OR(B97="2016 - kw",B97="2017 - kw"),"2015 - kw","")</f>
        <v/>
      </c>
      <c r="AC97" s="1354"/>
      <c r="AD97" s="1354"/>
      <c r="AE97" s="1354"/>
    </row>
    <row r="98" spans="1:31" s="779" customFormat="1" hidden="1" x14ac:dyDescent="0.25">
      <c r="A98" s="876"/>
      <c r="B98" s="876"/>
      <c r="C98" s="755"/>
      <c r="D98" s="870"/>
      <c r="E98" s="871" t="s">
        <v>2550</v>
      </c>
      <c r="F98" s="977"/>
      <c r="G98" s="977"/>
      <c r="H98" s="977"/>
      <c r="I98" s="977"/>
      <c r="J98" s="977"/>
      <c r="K98" s="977"/>
      <c r="L98" s="977"/>
      <c r="M98" s="977"/>
      <c r="N98" s="977"/>
      <c r="O98" s="977"/>
      <c r="P98" s="876"/>
      <c r="Q98" s="876"/>
      <c r="R98" s="876"/>
      <c r="S98" s="876"/>
      <c r="T98" s="876"/>
      <c r="U98" s="876"/>
      <c r="V98" s="876"/>
      <c r="Z98" s="1354"/>
      <c r="AA98" s="1354"/>
      <c r="AB98" s="1354"/>
      <c r="AC98" s="1354"/>
      <c r="AD98" s="1354"/>
      <c r="AE98" s="1354"/>
    </row>
    <row r="99" spans="1:31" s="779" customFormat="1" hidden="1" x14ac:dyDescent="0.25">
      <c r="A99" s="876" t="str">
        <f>IF(AND(F101=G101,H101=I101,J101=K101,F101="A"),"2015 - kwh",IF(AND(F101=G101,H101=I101,J101&lt;&gt;K101,F101="A"),"2016 - kwh",IF(AND(F101=G101,H101&lt;&gt;I101,F101="A"),"2017 - kwh","N/A")))</f>
        <v>N/A</v>
      </c>
      <c r="B99" s="876" t="str">
        <f>IF(F101&lt;&gt;G101,"2017 - kwh",IF(H101&lt;&gt;I101,"2016 - kwh",IF(J101&lt;&gt;K101,"2015 - kwh","N/A")))</f>
        <v>N/A</v>
      </c>
      <c r="C99" s="751" t="s">
        <v>2608</v>
      </c>
      <c r="D99" s="979"/>
      <c r="E99" s="873" t="s">
        <v>158</v>
      </c>
      <c r="F99" s="978"/>
      <c r="G99" s="978"/>
      <c r="H99" s="978"/>
      <c r="I99" s="978"/>
      <c r="J99" s="978"/>
      <c r="K99" s="978"/>
      <c r="L99" s="978"/>
      <c r="M99" s="978"/>
      <c r="N99" s="978"/>
      <c r="O99" s="978"/>
      <c r="P99" s="876"/>
      <c r="Q99" s="876"/>
      <c r="R99" s="876"/>
      <c r="S99" s="876"/>
      <c r="T99" s="876"/>
      <c r="U99" s="876"/>
      <c r="V99" s="876"/>
      <c r="Z99" s="1354"/>
      <c r="AA99" s="1354" t="str">
        <f>IF(AND(F101=G101,H101=I101,F101="A"),"2015 - kwh","")</f>
        <v/>
      </c>
      <c r="AB99" s="1354" t="str">
        <f>IF(OR(B99="2016 - kwh",B99="2017 - kwh"),"2015 - kwh","")</f>
        <v/>
      </c>
      <c r="AC99" s="1354"/>
      <c r="AD99" s="1354"/>
      <c r="AE99" s="1354"/>
    </row>
    <row r="100" spans="1:31" s="779" customFormat="1" hidden="1" x14ac:dyDescent="0.25">
      <c r="A100" s="876" t="str">
        <f>IF(AND(F101=G101,H101=I101,J101=K101,F101="A"),"2015 - kw",IF(AND(F101=G101,H101=I101,J101&lt;&gt;K101,F101="A"),"2016 - kw",IF(AND(F101=G101,H101&lt;&gt;I101,F101="A"),"2017 - kw","N/A")))</f>
        <v>N/A</v>
      </c>
      <c r="B100" s="876" t="str">
        <f>IF(F101&lt;&gt;G101,"2017 - kw",IF(H101&lt;&gt;I101,"2016 - kw",IF(J101&lt;&gt;K101,"2015 - kw","N/A")))</f>
        <v>N/A</v>
      </c>
      <c r="C100" s="752"/>
      <c r="D100" s="809" t="str">
        <f>D99 &amp; "kW"</f>
        <v>kW</v>
      </c>
      <c r="E100" s="872" t="s">
        <v>159</v>
      </c>
      <c r="F100" s="978"/>
      <c r="G100" s="978"/>
      <c r="H100" s="978"/>
      <c r="I100" s="978"/>
      <c r="J100" s="978"/>
      <c r="K100" s="978"/>
      <c r="L100" s="978"/>
      <c r="M100" s="978"/>
      <c r="N100" s="978"/>
      <c r="O100" s="978"/>
      <c r="P100" s="876"/>
      <c r="Q100" s="876"/>
      <c r="R100" s="876"/>
      <c r="S100" s="876"/>
      <c r="T100" s="876"/>
      <c r="U100" s="876"/>
      <c r="V100" s="876"/>
      <c r="Z100" s="1354"/>
      <c r="AA100" s="1354" t="str">
        <f>IF(AND(F101=G101,H101=I101,F101="A"),"2015 - kw","")</f>
        <v/>
      </c>
      <c r="AB100" s="1354" t="str">
        <f>IF(OR(B100="2016 - kw",B100="2017 - kw"),"2015 - kw","")</f>
        <v/>
      </c>
      <c r="AC100" s="1354"/>
      <c r="AD100" s="1354"/>
      <c r="AE100" s="1354"/>
    </row>
    <row r="101" spans="1:31" s="779" customFormat="1" hidden="1" x14ac:dyDescent="0.25">
      <c r="A101" s="876"/>
      <c r="B101" s="876"/>
      <c r="C101" s="755"/>
      <c r="D101" s="870"/>
      <c r="E101" s="871" t="s">
        <v>2550</v>
      </c>
      <c r="F101" s="977"/>
      <c r="G101" s="977"/>
      <c r="H101" s="977"/>
      <c r="I101" s="977"/>
      <c r="J101" s="977"/>
      <c r="K101" s="977"/>
      <c r="L101" s="977"/>
      <c r="M101" s="977"/>
      <c r="N101" s="977"/>
      <c r="O101" s="977"/>
      <c r="P101" s="876"/>
      <c r="Q101" s="876"/>
      <c r="R101" s="876"/>
      <c r="S101" s="876"/>
      <c r="T101" s="876"/>
      <c r="U101" s="876"/>
      <c r="V101" s="876"/>
      <c r="Z101" s="1354"/>
      <c r="AA101" s="1354"/>
      <c r="AB101" s="1354"/>
      <c r="AC101" s="1354"/>
      <c r="AD101" s="1354"/>
      <c r="AE101" s="1354"/>
    </row>
    <row r="102" spans="1:31" s="779" customFormat="1" hidden="1" x14ac:dyDescent="0.25">
      <c r="A102" s="876" t="str">
        <f>IF(AND(F104=G104,H104=I104,J104=K104,F104="A"),"2015 - kwh",IF(AND(F104=G104,H104=I104,J104&lt;&gt;K104,F104="A"),"2016 - kwh",IF(AND(F104=G104,H104&lt;&gt;I104,F104="A"),"2017 - kwh","N/A")))</f>
        <v>N/A</v>
      </c>
      <c r="B102" s="876" t="str">
        <f>IF(F104&lt;&gt;G104,"2017 - kwh",IF(H104&lt;&gt;I104,"2016 - kwh",IF(J104&lt;&gt;K104,"2015 - kwh","N/A")))</f>
        <v>N/A</v>
      </c>
      <c r="C102" s="751" t="s">
        <v>2609</v>
      </c>
      <c r="D102" s="979"/>
      <c r="E102" s="873" t="s">
        <v>158</v>
      </c>
      <c r="F102" s="978"/>
      <c r="G102" s="978"/>
      <c r="H102" s="978"/>
      <c r="I102" s="978"/>
      <c r="J102" s="978"/>
      <c r="K102" s="978"/>
      <c r="L102" s="978"/>
      <c r="M102" s="978"/>
      <c r="N102" s="978"/>
      <c r="O102" s="978"/>
      <c r="P102" s="876"/>
      <c r="Q102" s="876"/>
      <c r="R102" s="876"/>
      <c r="S102" s="876"/>
      <c r="T102" s="876"/>
      <c r="U102" s="876"/>
      <c r="V102" s="876"/>
      <c r="Z102" s="1354"/>
      <c r="AA102" s="1354" t="str">
        <f>IF(AND(F104=G104,H104=I104,F104="A"),"2015 - kwh","")</f>
        <v/>
      </c>
      <c r="AB102" s="1354" t="str">
        <f>IF(OR(B102="2016 - kwh",B102="2017 - kwh"),"2015 - kwh","")</f>
        <v/>
      </c>
      <c r="AC102" s="1354"/>
      <c r="AD102" s="1354"/>
      <c r="AE102" s="1354"/>
    </row>
    <row r="103" spans="1:31" s="779" customFormat="1" hidden="1" x14ac:dyDescent="0.25">
      <c r="A103" s="876" t="str">
        <f>IF(AND(F104=G104,H104=I104,J104=K104,F104="A"),"2015 - kw",IF(AND(F104=G104,H104=I104,J104&lt;&gt;K104,F104="A"),"2016 - kw",IF(AND(F104=G104,H104&lt;&gt;I104,F104="A"),"2017 - kw","N/A")))</f>
        <v>N/A</v>
      </c>
      <c r="B103" s="876" t="str">
        <f>IF(F104&lt;&gt;G104,"2017 - kw",IF(H104&lt;&gt;I104,"2016 - kw",IF(J104&lt;&gt;K104,"2015 - kw","N/A")))</f>
        <v>N/A</v>
      </c>
      <c r="C103" s="752"/>
      <c r="D103" s="809" t="str">
        <f>D102 &amp; "kW"</f>
        <v>kW</v>
      </c>
      <c r="E103" s="872" t="s">
        <v>159</v>
      </c>
      <c r="F103" s="978"/>
      <c r="G103" s="978"/>
      <c r="H103" s="978"/>
      <c r="I103" s="978"/>
      <c r="J103" s="978"/>
      <c r="K103" s="978"/>
      <c r="L103" s="978"/>
      <c r="M103" s="978"/>
      <c r="N103" s="978"/>
      <c r="O103" s="978"/>
      <c r="P103" s="876"/>
      <c r="Q103" s="876"/>
      <c r="R103" s="876"/>
      <c r="S103" s="876"/>
      <c r="T103" s="876"/>
      <c r="U103" s="876"/>
      <c r="V103" s="876"/>
      <c r="Z103" s="1354"/>
      <c r="AA103" s="1354" t="str">
        <f>IF(AND(F104=G104,H104=I104,F104="A"),"2015 - kw","")</f>
        <v/>
      </c>
      <c r="AB103" s="1354" t="str">
        <f>IF(OR(B103="2016 - kw",B103="2017 - kw"),"2015 - kw","")</f>
        <v/>
      </c>
      <c r="AC103" s="1354"/>
      <c r="AD103" s="1354"/>
      <c r="AE103" s="1354"/>
    </row>
    <row r="104" spans="1:31" s="779" customFormat="1" hidden="1" x14ac:dyDescent="0.25">
      <c r="A104" s="876"/>
      <c r="B104" s="876"/>
      <c r="C104" s="755"/>
      <c r="D104" s="870"/>
      <c r="E104" s="871" t="s">
        <v>2550</v>
      </c>
      <c r="F104" s="977"/>
      <c r="G104" s="977"/>
      <c r="H104" s="977"/>
      <c r="I104" s="977"/>
      <c r="J104" s="977"/>
      <c r="K104" s="977"/>
      <c r="L104" s="977"/>
      <c r="M104" s="977"/>
      <c r="N104" s="977"/>
      <c r="O104" s="977"/>
      <c r="P104" s="876"/>
      <c r="Q104" s="876"/>
      <c r="R104" s="876"/>
      <c r="S104" s="876"/>
      <c r="T104" s="876"/>
      <c r="U104" s="876"/>
      <c r="V104" s="876"/>
      <c r="Z104" s="1354"/>
      <c r="AA104" s="1354"/>
      <c r="AB104" s="1354"/>
      <c r="AC104" s="1354"/>
      <c r="AD104" s="1354"/>
      <c r="AE104" s="1354"/>
    </row>
    <row r="105" spans="1:31" s="779" customFormat="1" hidden="1" x14ac:dyDescent="0.25">
      <c r="A105" s="876" t="str">
        <f>IF(AND(F107=G107,H107=I107,J107=K107,F107="A"),"2015 - kwh",IF(AND(F107=G107,H107=I107,J107&lt;&gt;K107,F107="A"),"2016 - kwh",IF(AND(F107=G107,H107&lt;&gt;I107,F107="A"),"2017 - kwh","N/A")))</f>
        <v>N/A</v>
      </c>
      <c r="B105" s="876" t="str">
        <f>IF(F107&lt;&gt;G107,"2017 - kwh",IF(H107&lt;&gt;I107,"2016 - kwh",IF(J107&lt;&gt;K107,"2015 - kwh","N/A")))</f>
        <v>N/A</v>
      </c>
      <c r="C105" s="751" t="s">
        <v>2610</v>
      </c>
      <c r="D105" s="979"/>
      <c r="E105" s="873" t="s">
        <v>158</v>
      </c>
      <c r="F105" s="978"/>
      <c r="G105" s="978"/>
      <c r="H105" s="978"/>
      <c r="I105" s="978"/>
      <c r="J105" s="978"/>
      <c r="K105" s="978"/>
      <c r="L105" s="978"/>
      <c r="M105" s="978"/>
      <c r="N105" s="978"/>
      <c r="O105" s="978"/>
      <c r="P105" s="876"/>
      <c r="Q105" s="876"/>
      <c r="R105" s="876"/>
      <c r="S105" s="876"/>
      <c r="T105" s="876"/>
      <c r="U105" s="876"/>
      <c r="V105" s="876"/>
      <c r="Z105" s="1354"/>
      <c r="AA105" s="1354" t="str">
        <f>IF(AND(F107=G107,H107=I107,F107="A"),"2015 - kwh","")</f>
        <v/>
      </c>
      <c r="AB105" s="1354" t="str">
        <f>IF(OR(B105="2016 - kwh",B105="2017 - kwh"),"2015 - kwh","")</f>
        <v/>
      </c>
      <c r="AC105" s="1354"/>
      <c r="AD105" s="1354"/>
      <c r="AE105" s="1354"/>
    </row>
    <row r="106" spans="1:31" s="779" customFormat="1" hidden="1" x14ac:dyDescent="0.25">
      <c r="A106" s="876" t="str">
        <f>IF(AND(F107=G107,H107=I107,J107=K107,F107="A"),"2015 - kw",IF(AND(F107=G107,H107=I107,J107&lt;&gt;K107,F107="A"),"2016 - kw",IF(AND(F107=G107,H107&lt;&gt;I107,F107="A"),"2017 - kw","N/A")))</f>
        <v>N/A</v>
      </c>
      <c r="B106" s="876" t="str">
        <f>IF(F107&lt;&gt;G107,"2017 - kw",IF(H107&lt;&gt;I107,"2016 - kw",IF(J107&lt;&gt;K107,"2015 - kw","N/A")))</f>
        <v>N/A</v>
      </c>
      <c r="C106" s="752"/>
      <c r="D106" s="809" t="str">
        <f>D105 &amp; "kW"</f>
        <v>kW</v>
      </c>
      <c r="E106" s="872" t="s">
        <v>159</v>
      </c>
      <c r="F106" s="978"/>
      <c r="G106" s="978"/>
      <c r="H106" s="978"/>
      <c r="I106" s="978"/>
      <c r="J106" s="978"/>
      <c r="K106" s="978"/>
      <c r="L106" s="978"/>
      <c r="M106" s="978"/>
      <c r="N106" s="978"/>
      <c r="O106" s="978"/>
      <c r="P106" s="876"/>
      <c r="Q106" s="876"/>
      <c r="R106" s="876"/>
      <c r="S106" s="876"/>
      <c r="T106" s="876"/>
      <c r="U106" s="876"/>
      <c r="V106" s="876"/>
      <c r="Z106" s="1354"/>
      <c r="AA106" s="1354" t="str">
        <f>IF(AND(F107=G107,H107=I107,F107="A"),"2015 - kw","")</f>
        <v/>
      </c>
      <c r="AB106" s="1354" t="str">
        <f>IF(OR(B106="2016 - kw",B106="2017 - kw"),"2015 - kw","")</f>
        <v/>
      </c>
      <c r="AC106" s="1354"/>
      <c r="AD106" s="1354"/>
      <c r="AE106" s="1354"/>
    </row>
    <row r="107" spans="1:31" s="779" customFormat="1" hidden="1" x14ac:dyDescent="0.25">
      <c r="A107" s="876"/>
      <c r="B107" s="876"/>
      <c r="C107" s="755"/>
      <c r="D107" s="870"/>
      <c r="E107" s="871" t="s">
        <v>2550</v>
      </c>
      <c r="F107" s="977"/>
      <c r="G107" s="977"/>
      <c r="H107" s="977"/>
      <c r="I107" s="977"/>
      <c r="J107" s="977"/>
      <c r="K107" s="977"/>
      <c r="L107" s="977"/>
      <c r="M107" s="977"/>
      <c r="N107" s="977"/>
      <c r="O107" s="977"/>
      <c r="P107" s="876"/>
      <c r="Q107" s="876"/>
      <c r="R107" s="876"/>
      <c r="S107" s="876"/>
      <c r="T107" s="876"/>
      <c r="U107" s="876"/>
      <c r="V107" s="876"/>
      <c r="Z107" s="1354"/>
      <c r="AA107" s="1354"/>
      <c r="AB107" s="1354"/>
      <c r="AC107" s="1354"/>
      <c r="AD107" s="1354"/>
      <c r="AE107" s="1354"/>
    </row>
    <row r="108" spans="1:31" s="779" customFormat="1" hidden="1" x14ac:dyDescent="0.25">
      <c r="A108" s="876" t="str">
        <f>IF(AND(F110=G110,H110=I110,J110=K110,F110="A"),"2015 - kwh",IF(AND(F110=G110,H110=I110,J110&lt;&gt;K110,F110="A"),"2016 - kwh",IF(AND(F110=G110,H110&lt;&gt;I110,F110="A"),"2017 - kwh","N/A")))</f>
        <v>N/A</v>
      </c>
      <c r="B108" s="876" t="str">
        <f>IF(F110&lt;&gt;G110,"2017 - kwh",IF(H110&lt;&gt;I110,"2016 - kwh",IF(J110&lt;&gt;K110,"2015 - kwh","N/A")))</f>
        <v>N/A</v>
      </c>
      <c r="C108" s="751" t="s">
        <v>2611</v>
      </c>
      <c r="D108" s="979"/>
      <c r="E108" s="873" t="s">
        <v>158</v>
      </c>
      <c r="F108" s="978"/>
      <c r="G108" s="978"/>
      <c r="H108" s="978"/>
      <c r="I108" s="978"/>
      <c r="J108" s="978"/>
      <c r="K108" s="978"/>
      <c r="L108" s="978"/>
      <c r="M108" s="978"/>
      <c r="N108" s="978"/>
      <c r="O108" s="978"/>
      <c r="P108" s="876"/>
      <c r="Q108" s="876"/>
      <c r="R108" s="876"/>
      <c r="S108" s="876"/>
      <c r="T108" s="876"/>
      <c r="U108" s="876"/>
      <c r="V108" s="876"/>
      <c r="Z108" s="1354"/>
      <c r="AA108" s="1354" t="str">
        <f>IF(AND(F110=G110,H110=I110,F110="A"),"2015 - kwh","")</f>
        <v/>
      </c>
      <c r="AB108" s="1354" t="str">
        <f>IF(OR(B108="2016 - kwh",B108="2017 - kwh"),"2015 - kwh","")</f>
        <v/>
      </c>
      <c r="AC108" s="1354"/>
      <c r="AD108" s="1354"/>
      <c r="AE108" s="1354"/>
    </row>
    <row r="109" spans="1:31" s="779" customFormat="1" hidden="1" x14ac:dyDescent="0.25">
      <c r="A109" s="876" t="str">
        <f>IF(AND(F110=G110,H110=I110,J110=K110,F110="A"),"2015 - kw",IF(AND(F110=G110,H110=I110,J110&lt;&gt;K110,F110="A"),"2016 - kw",IF(AND(F110=G110,H110&lt;&gt;I110,F110="A"),"2017 - kw","N/A")))</f>
        <v>N/A</v>
      </c>
      <c r="B109" s="876" t="str">
        <f>IF(F110&lt;&gt;G110,"2017 - kw",IF(H110&lt;&gt;I110,"2016 - kw",IF(J110&lt;&gt;K110,"2015 - kw","N/A")))</f>
        <v>N/A</v>
      </c>
      <c r="C109" s="752"/>
      <c r="D109" s="809" t="str">
        <f>D108 &amp; "kW"</f>
        <v>kW</v>
      </c>
      <c r="E109" s="872" t="s">
        <v>159</v>
      </c>
      <c r="F109" s="978"/>
      <c r="G109" s="978"/>
      <c r="H109" s="978"/>
      <c r="I109" s="978"/>
      <c r="J109" s="978"/>
      <c r="K109" s="978"/>
      <c r="L109" s="978"/>
      <c r="M109" s="978"/>
      <c r="N109" s="978"/>
      <c r="O109" s="978"/>
      <c r="P109" s="876"/>
      <c r="Q109" s="876"/>
      <c r="R109" s="876"/>
      <c r="S109" s="876"/>
      <c r="T109" s="876"/>
      <c r="U109" s="876"/>
      <c r="V109" s="876"/>
      <c r="Z109" s="1354"/>
      <c r="AA109" s="1354" t="str">
        <f>IF(AND(F110=G110,H110=I110,F110="A"),"2015 - kw","")</f>
        <v/>
      </c>
      <c r="AB109" s="1354" t="str">
        <f>IF(OR(B109="2016 - kw",B109="2017 - kw"),"2015 - kw","")</f>
        <v/>
      </c>
      <c r="AC109" s="1354"/>
      <c r="AD109" s="1354"/>
      <c r="AE109" s="1354"/>
    </row>
    <row r="110" spans="1:31" s="779" customFormat="1" hidden="1" x14ac:dyDescent="0.25">
      <c r="A110" s="876"/>
      <c r="B110" s="876"/>
      <c r="C110" s="755"/>
      <c r="D110" s="870"/>
      <c r="E110" s="871" t="s">
        <v>2550</v>
      </c>
      <c r="F110" s="977"/>
      <c r="G110" s="977"/>
      <c r="H110" s="977"/>
      <c r="I110" s="977"/>
      <c r="J110" s="977"/>
      <c r="K110" s="977"/>
      <c r="L110" s="977"/>
      <c r="M110" s="977"/>
      <c r="N110" s="977"/>
      <c r="O110" s="977"/>
      <c r="P110" s="876"/>
      <c r="Q110" s="876"/>
      <c r="R110" s="876"/>
      <c r="S110" s="876"/>
      <c r="T110" s="876"/>
      <c r="U110" s="876"/>
      <c r="V110" s="876"/>
      <c r="Z110" s="1354"/>
      <c r="AA110" s="1354"/>
      <c r="AB110" s="1354"/>
      <c r="AC110" s="1354"/>
      <c r="AD110" s="1354"/>
      <c r="AE110" s="1354"/>
    </row>
    <row r="111" spans="1:31" s="779" customFormat="1" hidden="1" x14ac:dyDescent="0.25">
      <c r="A111" s="876" t="str">
        <f>IF(AND(F113=G113,H113=I113,J113=K113,F113="A"),"2015 - kwh",IF(AND(F113=G113,H113=I113,J113&lt;&gt;K113,F113="A"),"2016 - kwh",IF(AND(F113=G113,H113&lt;&gt;I113,F113="A"),"2017 - kwh","N/A")))</f>
        <v>N/A</v>
      </c>
      <c r="B111" s="876" t="str">
        <f>IF(F113&lt;&gt;G113,"2017 - kwh",IF(H113&lt;&gt;I113,"2016 - kwh",IF(J113&lt;&gt;K113,"2015 - kwh","N/A")))</f>
        <v>N/A</v>
      </c>
      <c r="C111" s="751" t="s">
        <v>2612</v>
      </c>
      <c r="D111" s="979"/>
      <c r="E111" s="873" t="s">
        <v>158</v>
      </c>
      <c r="F111" s="978"/>
      <c r="G111" s="978"/>
      <c r="H111" s="978"/>
      <c r="I111" s="978"/>
      <c r="J111" s="978"/>
      <c r="K111" s="978"/>
      <c r="L111" s="978"/>
      <c r="M111" s="978"/>
      <c r="N111" s="978"/>
      <c r="O111" s="978"/>
      <c r="P111" s="876"/>
      <c r="Q111" s="876"/>
      <c r="R111" s="876"/>
      <c r="S111" s="876"/>
      <c r="T111" s="876"/>
      <c r="U111" s="876"/>
      <c r="V111" s="876"/>
      <c r="Z111" s="1354"/>
      <c r="AA111" s="1354" t="str">
        <f>IF(AND(F113=G113,H113=I113,F113="A"),"2015 - kwh","")</f>
        <v/>
      </c>
      <c r="AB111" s="1354" t="str">
        <f>IF(OR(B111="2016 - kwh",B111="2017 - kwh"),"2015 - kwh","")</f>
        <v/>
      </c>
      <c r="AC111" s="1354"/>
      <c r="AD111" s="1354"/>
      <c r="AE111" s="1354"/>
    </row>
    <row r="112" spans="1:31" s="779" customFormat="1" hidden="1" x14ac:dyDescent="0.25">
      <c r="A112" s="876" t="str">
        <f>IF(AND(F113=G113,H113=I113,J113=K113,F113="A"),"2015 - kw",IF(AND(F113=G113,H113=I113,J113&lt;&gt;K113,F113="A"),"2016 - kw",IF(AND(F113=G113,H113&lt;&gt;I113,F113="A"),"2017 - kw","N/A")))</f>
        <v>N/A</v>
      </c>
      <c r="B112" s="876" t="str">
        <f>IF(F113&lt;&gt;G113,"2017 - kw",IF(H113&lt;&gt;I113,"2016 - kw",IF(J113&lt;&gt;K113,"2015 - kw","N/A")))</f>
        <v>N/A</v>
      </c>
      <c r="C112" s="752"/>
      <c r="D112" s="809" t="str">
        <f>D111 &amp; "kW"</f>
        <v>kW</v>
      </c>
      <c r="E112" s="872" t="s">
        <v>159</v>
      </c>
      <c r="F112" s="978"/>
      <c r="G112" s="978"/>
      <c r="H112" s="978"/>
      <c r="I112" s="978"/>
      <c r="J112" s="978"/>
      <c r="K112" s="978"/>
      <c r="L112" s="978"/>
      <c r="M112" s="978"/>
      <c r="N112" s="978"/>
      <c r="O112" s="978"/>
      <c r="P112" s="876"/>
      <c r="Q112" s="876"/>
      <c r="R112" s="876"/>
      <c r="S112" s="876"/>
      <c r="T112" s="876"/>
      <c r="U112" s="876"/>
      <c r="V112" s="876"/>
      <c r="Z112" s="1354"/>
      <c r="AA112" s="1354" t="str">
        <f>IF(AND(F113=G113,H113=I113,F113="A"),"2015 - kw","")</f>
        <v/>
      </c>
      <c r="AB112" s="1354" t="str">
        <f>IF(OR(B112="2016 - kw",B112="2017 - kw"),"2015 - kw","")</f>
        <v/>
      </c>
      <c r="AC112" s="1354"/>
      <c r="AD112" s="1354"/>
      <c r="AE112" s="1354"/>
    </row>
    <row r="113" spans="1:31" s="779" customFormat="1" hidden="1" x14ac:dyDescent="0.25">
      <c r="A113" s="876"/>
      <c r="B113" s="876"/>
      <c r="C113" s="755"/>
      <c r="D113" s="870"/>
      <c r="E113" s="871" t="s">
        <v>2550</v>
      </c>
      <c r="F113" s="977"/>
      <c r="G113" s="977"/>
      <c r="H113" s="977"/>
      <c r="I113" s="977"/>
      <c r="J113" s="977"/>
      <c r="K113" s="977"/>
      <c r="L113" s="977"/>
      <c r="M113" s="977"/>
      <c r="N113" s="977"/>
      <c r="O113" s="977"/>
      <c r="P113" s="876"/>
      <c r="Q113" s="876"/>
      <c r="R113" s="876"/>
      <c r="S113" s="876"/>
      <c r="T113" s="876"/>
      <c r="U113" s="876"/>
      <c r="V113" s="876"/>
      <c r="Z113" s="1354"/>
      <c r="AA113" s="1354"/>
      <c r="AB113" s="1354"/>
      <c r="AC113" s="1354"/>
      <c r="AD113" s="1354"/>
      <c r="AE113" s="1354"/>
    </row>
    <row r="114" spans="1:31" s="779" customFormat="1" hidden="1" x14ac:dyDescent="0.25">
      <c r="A114" s="876" t="str">
        <f>IF(AND(F116=G116,H116=I116,J116=K116,F116="A"),"2015 - kwh",IF(AND(F116=G116,H116=I116,J116&lt;&gt;K116,F116="A"),"2016 - kwh",IF(AND(F116=G116,H116&lt;&gt;I116,F116="A"),"2017 - kwh","N/A")))</f>
        <v>N/A</v>
      </c>
      <c r="B114" s="876" t="str">
        <f>IF(F116&lt;&gt;G116,"2017 - kwh",IF(H116&lt;&gt;I116,"2016 - kwh",IF(J116&lt;&gt;K116,"2015 - kwh","N/A")))</f>
        <v>N/A</v>
      </c>
      <c r="C114" s="751" t="s">
        <v>2613</v>
      </c>
      <c r="D114" s="979"/>
      <c r="E114" s="873" t="s">
        <v>158</v>
      </c>
      <c r="F114" s="978"/>
      <c r="G114" s="978"/>
      <c r="H114" s="978"/>
      <c r="I114" s="978"/>
      <c r="J114" s="978"/>
      <c r="K114" s="978"/>
      <c r="L114" s="978"/>
      <c r="M114" s="978"/>
      <c r="N114" s="978"/>
      <c r="O114" s="978"/>
      <c r="P114" s="876"/>
      <c r="Q114" s="876"/>
      <c r="R114" s="876"/>
      <c r="S114" s="876"/>
      <c r="T114" s="876"/>
      <c r="U114" s="876"/>
      <c r="V114" s="876"/>
      <c r="Z114" s="1354"/>
      <c r="AA114" s="1354" t="str">
        <f>IF(AND(F116=G116,H116=I116,F116="A"),"2015 - kwh","")</f>
        <v/>
      </c>
      <c r="AB114" s="1354" t="str">
        <f>IF(OR(B114="2016 - kwh",B114="2017 - kwh"),"2015 - kwh","")</f>
        <v/>
      </c>
      <c r="AC114" s="1354"/>
      <c r="AD114" s="1354"/>
      <c r="AE114" s="1354"/>
    </row>
    <row r="115" spans="1:31" s="779" customFormat="1" hidden="1" x14ac:dyDescent="0.25">
      <c r="A115" s="876" t="str">
        <f>IF(AND(F116=G116,H116=I116,J116=K116,F116="A"),"2015 - kw",IF(AND(F116=G116,H116=I116,J116&lt;&gt;K116,F116="A"),"2016 - kw",IF(AND(F116=G116,H116&lt;&gt;I116,F116="A"),"2017 - kw","N/A")))</f>
        <v>N/A</v>
      </c>
      <c r="B115" s="876" t="str">
        <f>IF(F116&lt;&gt;G116,"2017 - kw",IF(H116&lt;&gt;I116,"2016 - kw",IF(J116&lt;&gt;K116,"2015 - kw","N/A")))</f>
        <v>N/A</v>
      </c>
      <c r="C115" s="752"/>
      <c r="D115" s="809" t="str">
        <f>D114 &amp; "kW"</f>
        <v>kW</v>
      </c>
      <c r="E115" s="872" t="s">
        <v>159</v>
      </c>
      <c r="F115" s="978"/>
      <c r="G115" s="978"/>
      <c r="H115" s="978"/>
      <c r="I115" s="978"/>
      <c r="J115" s="978"/>
      <c r="K115" s="978"/>
      <c r="L115" s="978"/>
      <c r="M115" s="978"/>
      <c r="N115" s="978"/>
      <c r="O115" s="978"/>
      <c r="P115" s="876"/>
      <c r="Q115" s="876"/>
      <c r="R115" s="876"/>
      <c r="S115" s="876"/>
      <c r="T115" s="876"/>
      <c r="U115" s="876"/>
      <c r="V115" s="876"/>
      <c r="Z115" s="1354"/>
      <c r="AA115" s="1354" t="str">
        <f>IF(AND(F116=G116,H116=I116,F116="A"),"2015 - kw","")</f>
        <v/>
      </c>
      <c r="AB115" s="1354" t="str">
        <f>IF(OR(B115="2016 - kw",B115="2017 - kw"),"2015 - kw","")</f>
        <v/>
      </c>
      <c r="AC115" s="1354"/>
      <c r="AD115" s="1354"/>
      <c r="AE115" s="1354"/>
    </row>
    <row r="116" spans="1:31" s="779" customFormat="1" hidden="1" x14ac:dyDescent="0.25">
      <c r="A116" s="876"/>
      <c r="B116" s="876"/>
      <c r="C116" s="755"/>
      <c r="D116" s="870"/>
      <c r="E116" s="871" t="s">
        <v>2550</v>
      </c>
      <c r="F116" s="977"/>
      <c r="G116" s="977"/>
      <c r="H116" s="977"/>
      <c r="I116" s="977"/>
      <c r="J116" s="977"/>
      <c r="K116" s="977"/>
      <c r="L116" s="977"/>
      <c r="M116" s="977"/>
      <c r="N116" s="977"/>
      <c r="O116" s="977"/>
      <c r="P116" s="876"/>
      <c r="Q116" s="876"/>
      <c r="R116" s="876"/>
      <c r="S116" s="876"/>
      <c r="T116" s="876"/>
      <c r="U116" s="876"/>
      <c r="V116" s="876"/>
      <c r="Z116" s="1354"/>
      <c r="AA116" s="1354"/>
      <c r="AB116" s="1354"/>
      <c r="AC116" s="1354"/>
      <c r="AD116" s="1354"/>
      <c r="AE116" s="1354"/>
    </row>
    <row r="117" spans="1:31" s="779" customFormat="1" hidden="1" x14ac:dyDescent="0.25">
      <c r="A117" s="876" t="str">
        <f>IF(AND(F119=G119,H119=I119,J119=K119,F119="A"),"2015 - kwh",IF(AND(F119=G119,H119=I119,J119&lt;&gt;K119,F119="A"),"2016 - kwh",IF(AND(F119=G119,H119&lt;&gt;I119,F119="A"),"2017 - kwh","N/A")))</f>
        <v>N/A</v>
      </c>
      <c r="B117" s="876" t="str">
        <f>IF(F119&lt;&gt;G119,"2017 - kwh",IF(H119&lt;&gt;I119,"2016 - kwh",IF(J119&lt;&gt;K119,"2015 - kwh","N/A")))</f>
        <v>N/A</v>
      </c>
      <c r="C117" s="751" t="s">
        <v>2614</v>
      </c>
      <c r="D117" s="979"/>
      <c r="E117" s="873" t="s">
        <v>158</v>
      </c>
      <c r="F117" s="978"/>
      <c r="G117" s="978"/>
      <c r="H117" s="978"/>
      <c r="I117" s="978"/>
      <c r="J117" s="978"/>
      <c r="K117" s="978"/>
      <c r="L117" s="978"/>
      <c r="M117" s="978"/>
      <c r="N117" s="978"/>
      <c r="O117" s="978"/>
      <c r="P117" s="876"/>
      <c r="Q117" s="876"/>
      <c r="R117" s="876"/>
      <c r="S117" s="876"/>
      <c r="T117" s="876"/>
      <c r="U117" s="876"/>
      <c r="V117" s="876"/>
      <c r="Z117" s="1354"/>
      <c r="AA117" s="1354" t="str">
        <f>IF(AND(F119=G119,H119=I119,F119="A"),"2015 - kwh","")</f>
        <v/>
      </c>
      <c r="AB117" s="1354" t="str">
        <f>IF(OR(B117="2016 - kwh",B117="2017 - kwh"),"2015 - kwh","")</f>
        <v/>
      </c>
      <c r="AC117" s="1354"/>
      <c r="AD117" s="1354"/>
      <c r="AE117" s="1354"/>
    </row>
    <row r="118" spans="1:31" s="779" customFormat="1" hidden="1" x14ac:dyDescent="0.25">
      <c r="A118" s="876" t="str">
        <f>IF(AND(F119=G119,H119=I119,J119=K119,F119="A"),"2015 - kw",IF(AND(F119=G119,H119=I119,J119&lt;&gt;K119,F119="A"),"2016 - kw",IF(AND(F119=G119,H119&lt;&gt;I119,F119="A"),"2017 - kw","N/A")))</f>
        <v>N/A</v>
      </c>
      <c r="B118" s="876" t="str">
        <f>IF(F119&lt;&gt;G119,"2017 - kw",IF(H119&lt;&gt;I119,"2016 - kw",IF(J119&lt;&gt;K119,"2015 - kw","N/A")))</f>
        <v>N/A</v>
      </c>
      <c r="C118" s="752"/>
      <c r="D118" s="809" t="str">
        <f>D117 &amp; "kW"</f>
        <v>kW</v>
      </c>
      <c r="E118" s="872" t="s">
        <v>159</v>
      </c>
      <c r="F118" s="978"/>
      <c r="G118" s="978"/>
      <c r="H118" s="978"/>
      <c r="I118" s="978"/>
      <c r="J118" s="978"/>
      <c r="K118" s="978"/>
      <c r="L118" s="978"/>
      <c r="M118" s="978"/>
      <c r="N118" s="978"/>
      <c r="O118" s="978"/>
      <c r="P118" s="876"/>
      <c r="Q118" s="876"/>
      <c r="R118" s="876"/>
      <c r="S118" s="876"/>
      <c r="T118" s="876"/>
      <c r="U118" s="876"/>
      <c r="V118" s="876"/>
      <c r="Z118" s="1354"/>
      <c r="AA118" s="1354" t="str">
        <f>IF(AND(F119=G119,H119=I119,F119="A"),"2015 - kw","")</f>
        <v/>
      </c>
      <c r="AB118" s="1354" t="str">
        <f>IF(OR(B118="2016 - kw",B118="2017 - kw"),"2015 - kw","")</f>
        <v/>
      </c>
      <c r="AC118" s="1354"/>
      <c r="AD118" s="1354"/>
      <c r="AE118" s="1354"/>
    </row>
    <row r="119" spans="1:31" s="779" customFormat="1" hidden="1" x14ac:dyDescent="0.25">
      <c r="A119" s="876"/>
      <c r="B119" s="876"/>
      <c r="C119" s="755"/>
      <c r="D119" s="870"/>
      <c r="E119" s="871" t="s">
        <v>2550</v>
      </c>
      <c r="F119" s="977"/>
      <c r="G119" s="977"/>
      <c r="H119" s="977"/>
      <c r="I119" s="977"/>
      <c r="J119" s="977"/>
      <c r="K119" s="977"/>
      <c r="L119" s="977"/>
      <c r="M119" s="977"/>
      <c r="N119" s="977"/>
      <c r="O119" s="977"/>
      <c r="P119" s="876"/>
      <c r="Q119" s="876"/>
      <c r="R119" s="876"/>
      <c r="S119" s="876"/>
      <c r="T119" s="876"/>
      <c r="U119" s="876"/>
      <c r="V119" s="876"/>
      <c r="Z119" s="1354"/>
      <c r="AA119" s="1354"/>
      <c r="AB119" s="1354"/>
      <c r="AC119" s="1354"/>
      <c r="AD119" s="1354"/>
      <c r="AE119" s="1354"/>
    </row>
    <row r="120" spans="1:31" s="779" customFormat="1" hidden="1" x14ac:dyDescent="0.25">
      <c r="A120" s="876" t="str">
        <f>IF(AND(F122=G122,H122=I122,J122=K122,F122="A"),"2015 - kwh",IF(AND(F122=G122,H122=I122,J122&lt;&gt;K122,F122="A"),"2016 - kwh",IF(AND(F122=G122,H122&lt;&gt;I122,F122="A"),"2017 - kwh","N/A")))</f>
        <v>N/A</v>
      </c>
      <c r="B120" s="876" t="str">
        <f>IF(F122&lt;&gt;G122,"2017 - kwh",IF(H122&lt;&gt;I122,"2016 - kwh",IF(J122&lt;&gt;K122,"2015 - kwh","N/A")))</f>
        <v>N/A</v>
      </c>
      <c r="C120" s="751" t="s">
        <v>2615</v>
      </c>
      <c r="D120" s="979"/>
      <c r="E120" s="873" t="s">
        <v>158</v>
      </c>
      <c r="F120" s="978"/>
      <c r="G120" s="978"/>
      <c r="H120" s="978"/>
      <c r="I120" s="978"/>
      <c r="J120" s="978"/>
      <c r="K120" s="978"/>
      <c r="L120" s="978"/>
      <c r="M120" s="978"/>
      <c r="N120" s="978"/>
      <c r="O120" s="978"/>
      <c r="P120" s="876"/>
      <c r="Q120" s="876"/>
      <c r="R120" s="876"/>
      <c r="S120" s="876"/>
      <c r="T120" s="876"/>
      <c r="U120" s="876"/>
      <c r="V120" s="876"/>
      <c r="Z120" s="1354"/>
      <c r="AA120" s="1354" t="str">
        <f>IF(AND(F122=G122,H122=I122,F122="A"),"2015 - kwh","")</f>
        <v/>
      </c>
      <c r="AB120" s="1354" t="str">
        <f>IF(OR(B120="2016 - kwh",B120="2017 - kwh"),"2015 - kwh","")</f>
        <v/>
      </c>
      <c r="AC120" s="1354"/>
      <c r="AD120" s="1354"/>
      <c r="AE120" s="1354"/>
    </row>
    <row r="121" spans="1:31" s="779" customFormat="1" hidden="1" x14ac:dyDescent="0.25">
      <c r="A121" s="876" t="str">
        <f>IF(AND(F122=G122,H122=I122,J122=K122,F122="A"),"2015 - kw",IF(AND(F122=G122,H122=I122,J122&lt;&gt;K122,F122="A"),"2016 - kw",IF(AND(F122=G122,H122&lt;&gt;I122,F122="A"),"2017 - kw","N/A")))</f>
        <v>N/A</v>
      </c>
      <c r="B121" s="876" t="str">
        <f>IF(F122&lt;&gt;G122,"2017 - kw",IF(H122&lt;&gt;I122,"2016 - kw",IF(J122&lt;&gt;K122,"2015 - kw","N/A")))</f>
        <v>N/A</v>
      </c>
      <c r="C121" s="752"/>
      <c r="D121" s="809" t="str">
        <f>D120 &amp; "kW"</f>
        <v>kW</v>
      </c>
      <c r="E121" s="872" t="s">
        <v>159</v>
      </c>
      <c r="F121" s="978"/>
      <c r="G121" s="978"/>
      <c r="H121" s="978"/>
      <c r="I121" s="978"/>
      <c r="J121" s="978"/>
      <c r="K121" s="978"/>
      <c r="L121" s="978"/>
      <c r="M121" s="978"/>
      <c r="N121" s="978"/>
      <c r="O121" s="978"/>
      <c r="P121" s="876"/>
      <c r="Q121" s="876"/>
      <c r="R121" s="876"/>
      <c r="S121" s="876"/>
      <c r="T121" s="876"/>
      <c r="U121" s="876"/>
      <c r="V121" s="876"/>
      <c r="Z121" s="1354"/>
      <c r="AA121" s="1354" t="str">
        <f>IF(AND(F122=G122,H122=I122,F122="A"),"2015 - kw","")</f>
        <v/>
      </c>
      <c r="AB121" s="1354" t="str">
        <f>IF(OR(B121="2016 - kw",B121="2017 - kw"),"2015 - kw","")</f>
        <v/>
      </c>
      <c r="AC121" s="1354"/>
      <c r="AD121" s="1354"/>
      <c r="AE121" s="1354"/>
    </row>
    <row r="122" spans="1:31" s="779" customFormat="1" hidden="1" x14ac:dyDescent="0.25">
      <c r="A122" s="876"/>
      <c r="B122" s="876"/>
      <c r="C122" s="755"/>
      <c r="D122" s="870"/>
      <c r="E122" s="871" t="s">
        <v>2550</v>
      </c>
      <c r="F122" s="977"/>
      <c r="G122" s="977"/>
      <c r="H122" s="977"/>
      <c r="I122" s="977"/>
      <c r="J122" s="977"/>
      <c r="K122" s="977"/>
      <c r="L122" s="977"/>
      <c r="M122" s="977"/>
      <c r="N122" s="977"/>
      <c r="O122" s="977"/>
      <c r="P122" s="876"/>
      <c r="Q122" s="876"/>
      <c r="R122" s="876"/>
      <c r="S122" s="876"/>
      <c r="T122" s="876"/>
      <c r="U122" s="876"/>
      <c r="V122" s="876"/>
      <c r="Z122" s="1354"/>
      <c r="AA122" s="1354"/>
      <c r="AB122" s="1354"/>
      <c r="AC122" s="1354"/>
      <c r="AD122" s="1354"/>
      <c r="AE122" s="1354"/>
    </row>
    <row r="123" spans="1:31" s="779" customFormat="1" hidden="1" x14ac:dyDescent="0.25">
      <c r="A123" s="876" t="str">
        <f>IF(AND(F125=G125,H125=I125,J125=K125,F125="A"),"2015 - kwh",IF(AND(F125=G125,H125=I125,J125&lt;&gt;K125,F125="A"),"2016 - kwh",IF(AND(F125=G125,H125&lt;&gt;I125,F125="A"),"2017 - kwh","N/A")))</f>
        <v>N/A</v>
      </c>
      <c r="B123" s="876" t="str">
        <f>IF(F125&lt;&gt;G125,"2017 - kwh",IF(H125&lt;&gt;I125,"2016 - kwh",IF(J125&lt;&gt;K125,"2015 - kwh","N/A")))</f>
        <v>N/A</v>
      </c>
      <c r="C123" s="751" t="s">
        <v>2616</v>
      </c>
      <c r="D123" s="979"/>
      <c r="E123" s="873" t="s">
        <v>158</v>
      </c>
      <c r="F123" s="978"/>
      <c r="G123" s="978"/>
      <c r="H123" s="978"/>
      <c r="I123" s="978"/>
      <c r="J123" s="978"/>
      <c r="K123" s="978"/>
      <c r="L123" s="978"/>
      <c r="M123" s="978"/>
      <c r="N123" s="978"/>
      <c r="O123" s="978"/>
      <c r="P123" s="876"/>
      <c r="Q123" s="876"/>
      <c r="R123" s="876"/>
      <c r="S123" s="876"/>
      <c r="T123" s="876"/>
      <c r="U123" s="876"/>
      <c r="V123" s="876"/>
      <c r="Z123" s="1354"/>
      <c r="AA123" s="1354" t="str">
        <f>IF(AND(F125=G125,H125=I125,F125="A"),"2015 - kwh","")</f>
        <v/>
      </c>
      <c r="AB123" s="1354" t="str">
        <f>IF(OR(B123="2016 - kwh",B123="2017 - kwh"),"2015 - kwh","")</f>
        <v/>
      </c>
      <c r="AC123" s="1354"/>
      <c r="AD123" s="1354"/>
      <c r="AE123" s="1354"/>
    </row>
    <row r="124" spans="1:31" s="779" customFormat="1" hidden="1" x14ac:dyDescent="0.25">
      <c r="A124" s="876" t="str">
        <f>IF(AND(F125=G125,H125=I125,J125=K125,F125="A"),"2015 - kw",IF(AND(F125=G125,H125=I125,J125&lt;&gt;K125,F125="A"),"2016 - kw",IF(AND(F125=G125,H125&lt;&gt;I125,F125="A"),"2017 - kw","N/A")))</f>
        <v>N/A</v>
      </c>
      <c r="B124" s="876" t="str">
        <f>IF(F125&lt;&gt;G125,"2017 - kw",IF(H125&lt;&gt;I125,"2016 - kw",IF(J125&lt;&gt;K125,"2015 - kw","N/A")))</f>
        <v>N/A</v>
      </c>
      <c r="C124" s="752"/>
      <c r="D124" s="809" t="str">
        <f>D123 &amp; "kW"</f>
        <v>kW</v>
      </c>
      <c r="E124" s="872" t="s">
        <v>159</v>
      </c>
      <c r="F124" s="978"/>
      <c r="G124" s="978"/>
      <c r="H124" s="978"/>
      <c r="I124" s="978"/>
      <c r="J124" s="978"/>
      <c r="K124" s="978"/>
      <c r="L124" s="978"/>
      <c r="M124" s="978"/>
      <c r="N124" s="978"/>
      <c r="O124" s="978"/>
      <c r="P124" s="876"/>
      <c r="Q124" s="876"/>
      <c r="R124" s="876"/>
      <c r="S124" s="876"/>
      <c r="T124" s="876"/>
      <c r="U124" s="876"/>
      <c r="V124" s="876"/>
      <c r="Z124" s="1354"/>
      <c r="AA124" s="1354" t="str">
        <f>IF(AND(F125=G125,H125=I125,F125="A"),"2015 - kw","")</f>
        <v/>
      </c>
      <c r="AB124" s="1354" t="str">
        <f>IF(OR(B124="2016 - kw",B124="2017 - kw"),"2015 - kw","")</f>
        <v/>
      </c>
      <c r="AC124" s="1354"/>
      <c r="AD124" s="1354"/>
      <c r="AE124" s="1354"/>
    </row>
    <row r="125" spans="1:31" s="779" customFormat="1" hidden="1" x14ac:dyDescent="0.25">
      <c r="A125" s="876"/>
      <c r="B125" s="876"/>
      <c r="C125" s="755"/>
      <c r="D125" s="870"/>
      <c r="E125" s="871" t="s">
        <v>2550</v>
      </c>
      <c r="F125" s="977"/>
      <c r="G125" s="977"/>
      <c r="H125" s="977"/>
      <c r="I125" s="977"/>
      <c r="J125" s="977"/>
      <c r="K125" s="977"/>
      <c r="L125" s="977"/>
      <c r="M125" s="977"/>
      <c r="N125" s="977"/>
      <c r="O125" s="977"/>
      <c r="P125" s="876"/>
      <c r="Q125" s="876"/>
      <c r="R125" s="876"/>
      <c r="S125" s="876"/>
      <c r="T125" s="876"/>
      <c r="U125" s="876"/>
      <c r="V125" s="876"/>
      <c r="Z125" s="1354"/>
      <c r="AA125" s="1354"/>
      <c r="AB125" s="1354"/>
      <c r="AC125" s="1354"/>
      <c r="AD125" s="1354"/>
      <c r="AE125" s="1354"/>
    </row>
    <row r="126" spans="1:31" s="779" customFormat="1" hidden="1" x14ac:dyDescent="0.25">
      <c r="A126" s="876" t="str">
        <f>IF(AND(F128=G128,H128=I128,J128=K128,F128="A"),"2015 - kwh",IF(AND(F128=G128,H128=I128,J128&lt;&gt;K128,F128="A"),"2016 - kwh",IF(AND(F128=G128,H128&lt;&gt;I128,F128="A"),"2017 - kwh","N/A")))</f>
        <v>N/A</v>
      </c>
      <c r="B126" s="876" t="str">
        <f>IF(F128&lt;&gt;G128,"2017 - kwh",IF(H128&lt;&gt;I128,"2016 - kwh",IF(J128&lt;&gt;K128,"2015 - kwh","N/A")))</f>
        <v>N/A</v>
      </c>
      <c r="C126" s="751" t="s">
        <v>2617</v>
      </c>
      <c r="D126" s="979"/>
      <c r="E126" s="873" t="s">
        <v>158</v>
      </c>
      <c r="F126" s="978"/>
      <c r="G126" s="978"/>
      <c r="H126" s="978"/>
      <c r="I126" s="978"/>
      <c r="J126" s="978"/>
      <c r="K126" s="978"/>
      <c r="L126" s="978"/>
      <c r="M126" s="978"/>
      <c r="N126" s="978"/>
      <c r="O126" s="978"/>
      <c r="P126" s="876"/>
      <c r="Q126" s="876"/>
      <c r="R126" s="876"/>
      <c r="S126" s="876"/>
      <c r="T126" s="876"/>
      <c r="U126" s="876"/>
      <c r="V126" s="876"/>
      <c r="Z126" s="1354"/>
      <c r="AA126" s="1354" t="str">
        <f>IF(AND(F128=G128,H128=I128,F128="A"),"2015 - kwh","")</f>
        <v/>
      </c>
      <c r="AB126" s="1354" t="str">
        <f>IF(OR(B126="2016 - kwh",B126="2017 - kwh"),"2015 - kwh","")</f>
        <v/>
      </c>
      <c r="AC126" s="1354"/>
      <c r="AD126" s="1354"/>
      <c r="AE126" s="1354"/>
    </row>
    <row r="127" spans="1:31" s="779" customFormat="1" hidden="1" x14ac:dyDescent="0.25">
      <c r="A127" s="876" t="str">
        <f>IF(AND(F128=G128,H128=I128,J128=K128,F128="A"),"2015 - kw",IF(AND(F128=G128,H128=I128,J128&lt;&gt;K128,F128="A"),"2016 - kw",IF(AND(F128=G128,H128&lt;&gt;I128,F128="A"),"2017 - kw","N/A")))</f>
        <v>N/A</v>
      </c>
      <c r="B127" s="876" t="str">
        <f>IF(F128&lt;&gt;G128,"2017 - kw",IF(H128&lt;&gt;I128,"2016 - kw",IF(J128&lt;&gt;K128,"2015 - kw","N/A")))</f>
        <v>N/A</v>
      </c>
      <c r="C127" s="752"/>
      <c r="D127" s="809" t="str">
        <f>D126 &amp; "kW"</f>
        <v>kW</v>
      </c>
      <c r="E127" s="872" t="s">
        <v>159</v>
      </c>
      <c r="F127" s="978"/>
      <c r="G127" s="978"/>
      <c r="H127" s="978"/>
      <c r="I127" s="978"/>
      <c r="J127" s="978"/>
      <c r="K127" s="978"/>
      <c r="L127" s="978"/>
      <c r="M127" s="978"/>
      <c r="N127" s="978"/>
      <c r="O127" s="978"/>
      <c r="P127" s="876"/>
      <c r="Q127" s="876"/>
      <c r="R127" s="876"/>
      <c r="S127" s="876"/>
      <c r="T127" s="876"/>
      <c r="U127" s="876"/>
      <c r="V127" s="876"/>
      <c r="Z127" s="1354"/>
      <c r="AA127" s="1354" t="str">
        <f>IF(AND(F128=G128,H128=I128,F128="A"),"2015 - kw","")</f>
        <v/>
      </c>
      <c r="AB127" s="1354" t="str">
        <f>IF(OR(B127="2016 - kw",B127="2017 - kw"),"2015 - kw","")</f>
        <v/>
      </c>
      <c r="AC127" s="1354"/>
      <c r="AD127" s="1354"/>
      <c r="AE127" s="1354"/>
    </row>
    <row r="128" spans="1:31" s="779" customFormat="1" hidden="1" x14ac:dyDescent="0.25">
      <c r="A128" s="876"/>
      <c r="B128" s="876"/>
      <c r="C128" s="755"/>
      <c r="D128" s="870"/>
      <c r="E128" s="871" t="s">
        <v>2550</v>
      </c>
      <c r="F128" s="977"/>
      <c r="G128" s="977"/>
      <c r="H128" s="977"/>
      <c r="I128" s="977"/>
      <c r="J128" s="977"/>
      <c r="K128" s="977"/>
      <c r="L128" s="977"/>
      <c r="M128" s="977"/>
      <c r="N128" s="977"/>
      <c r="O128" s="977"/>
      <c r="P128" s="876"/>
      <c r="Q128" s="876"/>
      <c r="R128" s="876"/>
      <c r="S128" s="876"/>
      <c r="T128" s="876"/>
      <c r="U128" s="876"/>
      <c r="V128" s="876"/>
      <c r="Z128" s="1354"/>
      <c r="AA128" s="1354"/>
      <c r="AB128" s="1354"/>
      <c r="AC128" s="1354"/>
      <c r="AD128" s="1354"/>
      <c r="AE128" s="1354"/>
    </row>
    <row r="129" spans="1:31" s="779" customFormat="1" hidden="1" x14ac:dyDescent="0.25">
      <c r="A129" s="876" t="str">
        <f>IF(AND(F131=G131,H131=I131,J131=K131,F131="A"),"2015 - kwh",IF(AND(F131=G131,H131=I131,J131&lt;&gt;K131,F131="A"),"2016 - kwh",IF(AND(F131=G131,H131&lt;&gt;I131,F131="A"),"2017 - kwh","N/A")))</f>
        <v>N/A</v>
      </c>
      <c r="B129" s="876" t="str">
        <f>IF(F131&lt;&gt;G131,"2017 - kwh",IF(H131&lt;&gt;I131,"2016 - kwh",IF(J131&lt;&gt;K131,"2015 - kwh","N/A")))</f>
        <v>N/A</v>
      </c>
      <c r="C129" s="751" t="s">
        <v>2618</v>
      </c>
      <c r="D129" s="979"/>
      <c r="E129" s="873" t="s">
        <v>158</v>
      </c>
      <c r="F129" s="978"/>
      <c r="G129" s="978"/>
      <c r="H129" s="978"/>
      <c r="I129" s="978"/>
      <c r="J129" s="978"/>
      <c r="K129" s="978"/>
      <c r="L129" s="978"/>
      <c r="M129" s="978"/>
      <c r="N129" s="978"/>
      <c r="O129" s="978"/>
      <c r="P129" s="876"/>
      <c r="Q129" s="876"/>
      <c r="R129" s="876"/>
      <c r="S129" s="876"/>
      <c r="T129" s="876"/>
      <c r="U129" s="876"/>
      <c r="V129" s="876"/>
      <c r="Z129" s="1354"/>
      <c r="AA129" s="1354" t="str">
        <f>IF(AND(F131=G131,H131=I131,F131="A"),"2015 - kwh","")</f>
        <v/>
      </c>
      <c r="AB129" s="1354" t="str">
        <f>IF(OR(B129="2016 - kwh",B129="2017 - kwh"),"2015 - kwh","")</f>
        <v/>
      </c>
      <c r="AC129" s="1354"/>
      <c r="AD129" s="1354"/>
      <c r="AE129" s="1354"/>
    </row>
    <row r="130" spans="1:31" s="779" customFormat="1" hidden="1" x14ac:dyDescent="0.25">
      <c r="A130" s="876" t="str">
        <f>IF(AND(F131=G131,H131=I131,J131=K131,F131="A"),"2015 - kw",IF(AND(F131=G131,H131=I131,J131&lt;&gt;K131,F131="A"),"2016 - kw",IF(AND(F131=G131,H131&lt;&gt;I131,F131="A"),"2017 - kw","N/A")))</f>
        <v>N/A</v>
      </c>
      <c r="B130" s="876" t="str">
        <f>IF(F131&lt;&gt;G131,"2017 - kw",IF(H131&lt;&gt;I131,"2016 - kw",IF(J131&lt;&gt;K131,"2015 - kw","N/A")))</f>
        <v>N/A</v>
      </c>
      <c r="C130" s="752"/>
      <c r="D130" s="809" t="str">
        <f>D129 &amp; "kW"</f>
        <v>kW</v>
      </c>
      <c r="E130" s="872" t="s">
        <v>159</v>
      </c>
      <c r="F130" s="978"/>
      <c r="G130" s="978"/>
      <c r="H130" s="978"/>
      <c r="I130" s="978"/>
      <c r="J130" s="978"/>
      <c r="K130" s="978"/>
      <c r="L130" s="978"/>
      <c r="M130" s="978"/>
      <c r="N130" s="978"/>
      <c r="O130" s="978"/>
      <c r="P130" s="876"/>
      <c r="Q130" s="876"/>
      <c r="R130" s="876"/>
      <c r="S130" s="876"/>
      <c r="T130" s="876"/>
      <c r="U130" s="876"/>
      <c r="V130" s="876"/>
      <c r="Z130" s="1354"/>
      <c r="AA130" s="1354" t="str">
        <f>IF(AND(F131=G131,H131=I131,F131="A"),"2015 - kw","")</f>
        <v/>
      </c>
      <c r="AB130" s="1354" t="str">
        <f>IF(OR(B130="2016 - kw",B130="2017 - kw"),"2015 - kw","")</f>
        <v/>
      </c>
      <c r="AC130" s="1354"/>
      <c r="AD130" s="1354"/>
      <c r="AE130" s="1354"/>
    </row>
    <row r="131" spans="1:31" s="779" customFormat="1" hidden="1" x14ac:dyDescent="0.25">
      <c r="A131" s="876"/>
      <c r="B131" s="876"/>
      <c r="C131" s="755"/>
      <c r="D131" s="870"/>
      <c r="E131" s="871" t="s">
        <v>2550</v>
      </c>
      <c r="F131" s="977"/>
      <c r="G131" s="977"/>
      <c r="H131" s="977"/>
      <c r="I131" s="977"/>
      <c r="J131" s="977"/>
      <c r="K131" s="977"/>
      <c r="L131" s="977"/>
      <c r="M131" s="977"/>
      <c r="N131" s="977"/>
      <c r="O131" s="977"/>
      <c r="P131" s="876"/>
      <c r="Q131" s="876"/>
      <c r="R131" s="876"/>
      <c r="S131" s="876"/>
      <c r="T131" s="876"/>
      <c r="U131" s="876"/>
      <c r="V131" s="876"/>
      <c r="Z131" s="1354"/>
      <c r="AA131" s="1354"/>
      <c r="AB131" s="1354"/>
      <c r="AC131" s="1354"/>
      <c r="AD131" s="1354"/>
      <c r="AE131" s="1354"/>
    </row>
    <row r="132" spans="1:31" s="779" customFormat="1" hidden="1" x14ac:dyDescent="0.25">
      <c r="A132" s="876" t="str">
        <f>IF(AND(F134=G134,H134=I134,J134=K134,F134="A"),"2015 - kwh",IF(AND(F134=G134,H134=I134,J134&lt;&gt;K134,F134="A"),"2016 - kwh",IF(AND(F134=G134,H134&lt;&gt;I134,F134="A"),"2017 - kwh","N/A")))</f>
        <v>N/A</v>
      </c>
      <c r="B132" s="876" t="str">
        <f>IF(F134&lt;&gt;G134,"2017 - kwh",IF(H134&lt;&gt;I134,"2016 - kwh",IF(J134&lt;&gt;K134,"2015 - kwh","N/A")))</f>
        <v>N/A</v>
      </c>
      <c r="C132" s="751" t="s">
        <v>2619</v>
      </c>
      <c r="D132" s="979"/>
      <c r="E132" s="873" t="s">
        <v>158</v>
      </c>
      <c r="F132" s="978"/>
      <c r="G132" s="978"/>
      <c r="H132" s="978"/>
      <c r="I132" s="978"/>
      <c r="J132" s="978"/>
      <c r="K132" s="978"/>
      <c r="L132" s="978"/>
      <c r="M132" s="978"/>
      <c r="N132" s="978"/>
      <c r="O132" s="978"/>
      <c r="P132" s="876"/>
      <c r="Q132" s="876"/>
      <c r="R132" s="876"/>
      <c r="S132" s="876"/>
      <c r="T132" s="876"/>
      <c r="U132" s="876"/>
      <c r="V132" s="876"/>
      <c r="Z132" s="1354"/>
      <c r="AA132" s="1354" t="str">
        <f>IF(AND(F134=G134,H134=I134,F134="A"),"2015 - kwh","")</f>
        <v/>
      </c>
      <c r="AB132" s="1354" t="str">
        <f>IF(OR(B132="2016 - kwh",B132="2017 - kwh"),"2015 - kwh","")</f>
        <v/>
      </c>
      <c r="AC132" s="1354"/>
      <c r="AD132" s="1354"/>
      <c r="AE132" s="1354"/>
    </row>
    <row r="133" spans="1:31" s="779" customFormat="1" hidden="1" x14ac:dyDescent="0.25">
      <c r="A133" s="876" t="str">
        <f>IF(AND(F134=G134,H134=I134,J134=K134,F134="A"),"2015 - kw",IF(AND(F134=G134,H134=I134,J134&lt;&gt;K134,F134="A"),"2016 - kw",IF(AND(F134=G134,H134&lt;&gt;I134,F134="A"),"2017 - kw","N/A")))</f>
        <v>N/A</v>
      </c>
      <c r="B133" s="876" t="str">
        <f>IF(F134&lt;&gt;G134,"2017 - kw",IF(H134&lt;&gt;I134,"2016 - kw",IF(J134&lt;&gt;K134,"2015 - kw","N/A")))</f>
        <v>N/A</v>
      </c>
      <c r="C133" s="752"/>
      <c r="D133" s="809" t="str">
        <f>D132 &amp; "kW"</f>
        <v>kW</v>
      </c>
      <c r="E133" s="872" t="s">
        <v>159</v>
      </c>
      <c r="F133" s="978"/>
      <c r="G133" s="978"/>
      <c r="H133" s="978"/>
      <c r="I133" s="978"/>
      <c r="J133" s="978"/>
      <c r="K133" s="978"/>
      <c r="L133" s="978"/>
      <c r="M133" s="978"/>
      <c r="N133" s="978"/>
      <c r="O133" s="978"/>
      <c r="P133" s="876"/>
      <c r="Q133" s="876"/>
      <c r="R133" s="876"/>
      <c r="S133" s="876"/>
      <c r="T133" s="876"/>
      <c r="U133" s="876"/>
      <c r="V133" s="876"/>
      <c r="Z133" s="1354"/>
      <c r="AA133" s="1354" t="str">
        <f>IF(AND(F134=G134,H134=I134,F134="A"),"2015 - kw","")</f>
        <v/>
      </c>
      <c r="AB133" s="1354" t="str">
        <f>IF(OR(B133="2016 - kw",B133="2017 - kw"),"2015 - kw","")</f>
        <v/>
      </c>
      <c r="AC133" s="1354"/>
      <c r="AD133" s="1354"/>
      <c r="AE133" s="1354"/>
    </row>
    <row r="134" spans="1:31" s="779" customFormat="1" hidden="1" x14ac:dyDescent="0.25">
      <c r="A134" s="876"/>
      <c r="B134" s="876"/>
      <c r="C134" s="755"/>
      <c r="D134" s="870"/>
      <c r="E134" s="871" t="s">
        <v>2550</v>
      </c>
      <c r="F134" s="977"/>
      <c r="G134" s="977"/>
      <c r="H134" s="977"/>
      <c r="I134" s="977"/>
      <c r="J134" s="977"/>
      <c r="K134" s="977"/>
      <c r="L134" s="977"/>
      <c r="M134" s="977"/>
      <c r="N134" s="977"/>
      <c r="O134" s="977"/>
      <c r="P134" s="876"/>
      <c r="Q134" s="876"/>
      <c r="R134" s="876"/>
      <c r="S134" s="876"/>
      <c r="T134" s="876"/>
      <c r="U134" s="876"/>
      <c r="V134" s="876"/>
      <c r="Z134" s="1354"/>
      <c r="AA134" s="1354"/>
      <c r="AB134" s="1354"/>
      <c r="AC134" s="1354"/>
      <c r="AD134" s="1354"/>
      <c r="AE134" s="1354"/>
    </row>
    <row r="135" spans="1:31" s="779" customFormat="1" hidden="1" x14ac:dyDescent="0.25">
      <c r="A135" s="876" t="str">
        <f>IF(AND(F137=G137,H137=I137,J137=K137,F137="A"),"2015 - kwh",IF(AND(F137=G137,H137=I137,J137&lt;&gt;K137,F137="A"),"2016 - kwh",IF(AND(F137=G137,H137&lt;&gt;I137,F137="A"),"2017 - kwh","N/A")))</f>
        <v>N/A</v>
      </c>
      <c r="B135" s="876" t="str">
        <f>IF(F137&lt;&gt;G137,"2017 - kwh",IF(H137&lt;&gt;I137,"2016 - kwh",IF(J137&lt;&gt;K137,"2015 - kwh","N/A")))</f>
        <v>N/A</v>
      </c>
      <c r="C135" s="751" t="s">
        <v>2620</v>
      </c>
      <c r="D135" s="979"/>
      <c r="E135" s="873" t="s">
        <v>158</v>
      </c>
      <c r="F135" s="978"/>
      <c r="G135" s="978"/>
      <c r="H135" s="978"/>
      <c r="I135" s="978"/>
      <c r="J135" s="978"/>
      <c r="K135" s="978"/>
      <c r="L135" s="978"/>
      <c r="M135" s="978"/>
      <c r="N135" s="978"/>
      <c r="O135" s="978"/>
      <c r="P135" s="876"/>
      <c r="Q135" s="876"/>
      <c r="R135" s="876"/>
      <c r="S135" s="876"/>
      <c r="T135" s="876"/>
      <c r="U135" s="876"/>
      <c r="V135" s="876"/>
      <c r="Z135" s="1354"/>
      <c r="AA135" s="1354" t="str">
        <f>IF(AND(F137=G137,H137=I137,F137="A"),"2015 - kwh","")</f>
        <v/>
      </c>
      <c r="AB135" s="1354" t="str">
        <f>IF(OR(B135="2016 - kwh",B135="2017 - kwh"),"2015 - kwh","")</f>
        <v/>
      </c>
      <c r="AC135" s="1354"/>
      <c r="AD135" s="1354"/>
      <c r="AE135" s="1354"/>
    </row>
    <row r="136" spans="1:31" s="779" customFormat="1" hidden="1" x14ac:dyDescent="0.25">
      <c r="A136" s="876" t="str">
        <f>IF(AND(F137=G137,H137=I137,J137=K137,F137="A"),"2015 - kw",IF(AND(F137=G137,H137=I137,J137&lt;&gt;K137,F137="A"),"2016 - kw",IF(AND(F137=G137,H137&lt;&gt;I137,F137="A"),"2017 - kw","N/A")))</f>
        <v>N/A</v>
      </c>
      <c r="B136" s="876" t="str">
        <f>IF(F137&lt;&gt;G137,"2017 - kw",IF(H137&lt;&gt;I137,"2016 - kw",IF(J137&lt;&gt;K137,"2015 - kw","N/A")))</f>
        <v>N/A</v>
      </c>
      <c r="C136" s="752"/>
      <c r="D136" s="809" t="str">
        <f>D135 &amp; "kW"</f>
        <v>kW</v>
      </c>
      <c r="E136" s="872" t="s">
        <v>159</v>
      </c>
      <c r="F136" s="978"/>
      <c r="G136" s="978"/>
      <c r="H136" s="978"/>
      <c r="I136" s="978"/>
      <c r="J136" s="978"/>
      <c r="K136" s="978"/>
      <c r="L136" s="978"/>
      <c r="M136" s="978"/>
      <c r="N136" s="978"/>
      <c r="O136" s="978"/>
      <c r="P136" s="876"/>
      <c r="Q136" s="876"/>
      <c r="R136" s="876"/>
      <c r="S136" s="876"/>
      <c r="T136" s="876"/>
      <c r="U136" s="876"/>
      <c r="V136" s="876"/>
      <c r="Z136" s="1354"/>
      <c r="AA136" s="1354" t="str">
        <f>IF(AND(F137=G137,H137=I137,F137="A"),"2015 - kw","")</f>
        <v/>
      </c>
      <c r="AB136" s="1354" t="str">
        <f>IF(OR(B136="2016 - kw",B136="2017 - kw"),"2015 - kw","")</f>
        <v/>
      </c>
      <c r="AC136" s="1354"/>
      <c r="AD136" s="1354"/>
      <c r="AE136" s="1354"/>
    </row>
    <row r="137" spans="1:31" s="779" customFormat="1" hidden="1" x14ac:dyDescent="0.25">
      <c r="A137" s="876"/>
      <c r="B137" s="876"/>
      <c r="C137" s="755"/>
      <c r="D137" s="870"/>
      <c r="E137" s="871" t="s">
        <v>2550</v>
      </c>
      <c r="F137" s="977"/>
      <c r="G137" s="977"/>
      <c r="H137" s="977"/>
      <c r="I137" s="977"/>
      <c r="J137" s="977"/>
      <c r="K137" s="977"/>
      <c r="L137" s="977"/>
      <c r="M137" s="977"/>
      <c r="N137" s="977"/>
      <c r="O137" s="977"/>
      <c r="P137" s="876"/>
      <c r="Q137" s="876"/>
      <c r="R137" s="876"/>
      <c r="S137" s="876"/>
      <c r="T137" s="876"/>
      <c r="U137" s="876"/>
      <c r="V137" s="876"/>
      <c r="Z137" s="1354"/>
      <c r="AA137" s="1354"/>
      <c r="AB137" s="1354"/>
      <c r="AC137" s="1354"/>
      <c r="AD137" s="1354"/>
      <c r="AE137" s="1354"/>
    </row>
    <row r="138" spans="1:31" s="779" customFormat="1" hidden="1" x14ac:dyDescent="0.25">
      <c r="A138" s="876" t="str">
        <f>IF(AND(F140=G140,H140=I140,J140=K140,F140="A"),"2015 - kwh",IF(AND(F140=G140,H140=I140,J140&lt;&gt;K140,F140="A"),"2016 - kwh",IF(AND(F140=G140,H140&lt;&gt;I140,F140="A"),"2017 - kwh","N/A")))</f>
        <v>N/A</v>
      </c>
      <c r="B138" s="876" t="str">
        <f>IF(F140&lt;&gt;G140,"2017 - kwh",IF(H140&lt;&gt;I140,"2016 - kwh",IF(J140&lt;&gt;K140,"2015 - kwh","N/A")))</f>
        <v>N/A</v>
      </c>
      <c r="C138" s="751" t="s">
        <v>2621</v>
      </c>
      <c r="D138" s="979"/>
      <c r="E138" s="873" t="s">
        <v>158</v>
      </c>
      <c r="F138" s="978"/>
      <c r="G138" s="978"/>
      <c r="H138" s="978"/>
      <c r="I138" s="978"/>
      <c r="J138" s="978"/>
      <c r="K138" s="978"/>
      <c r="L138" s="978"/>
      <c r="M138" s="978"/>
      <c r="N138" s="978"/>
      <c r="O138" s="978"/>
      <c r="P138" s="876"/>
      <c r="Q138" s="876"/>
      <c r="R138" s="876"/>
      <c r="S138" s="876"/>
      <c r="T138" s="876"/>
      <c r="U138" s="876"/>
      <c r="V138" s="876"/>
      <c r="Z138" s="1354"/>
      <c r="AA138" s="1354" t="str">
        <f>IF(AND(F140=G140,H140=I140,F140="A"),"2015 - kwh","")</f>
        <v/>
      </c>
      <c r="AB138" s="1354" t="str">
        <f>IF(OR(B138="2016 - kwh",B138="2017 - kwh"),"2015 - kwh","")</f>
        <v/>
      </c>
      <c r="AC138" s="1354"/>
      <c r="AD138" s="1354"/>
      <c r="AE138" s="1354"/>
    </row>
    <row r="139" spans="1:31" s="779" customFormat="1" hidden="1" x14ac:dyDescent="0.25">
      <c r="A139" s="876" t="str">
        <f>IF(AND(F140=G140,H140=I140,J140=K140,F140="A"),"2015 - kw",IF(AND(F140=G140,H140=I140,J140&lt;&gt;K140,F140="A"),"2016 - kw",IF(AND(F140=G140,H140&lt;&gt;I140,F140="A"),"2017 - kw","N/A")))</f>
        <v>N/A</v>
      </c>
      <c r="B139" s="876" t="str">
        <f>IF(F140&lt;&gt;G140,"2017 - kw",IF(H140&lt;&gt;I140,"2016 - kw",IF(J140&lt;&gt;K140,"2015 - kw","N/A")))</f>
        <v>N/A</v>
      </c>
      <c r="C139" s="752"/>
      <c r="D139" s="809" t="str">
        <f>D138 &amp; "kW"</f>
        <v>kW</v>
      </c>
      <c r="E139" s="872" t="s">
        <v>159</v>
      </c>
      <c r="F139" s="978"/>
      <c r="G139" s="978"/>
      <c r="H139" s="978"/>
      <c r="I139" s="978"/>
      <c r="J139" s="978"/>
      <c r="K139" s="978"/>
      <c r="L139" s="978"/>
      <c r="M139" s="978"/>
      <c r="N139" s="978"/>
      <c r="O139" s="978"/>
      <c r="P139" s="876"/>
      <c r="Q139" s="876"/>
      <c r="R139" s="876"/>
      <c r="S139" s="876"/>
      <c r="T139" s="876"/>
      <c r="U139" s="876"/>
      <c r="V139" s="876"/>
      <c r="Z139" s="1354"/>
      <c r="AA139" s="1354" t="str">
        <f>IF(AND(F140=G140,H140=I140,F140="A"),"2015 - kw","")</f>
        <v/>
      </c>
      <c r="AB139" s="1354" t="str">
        <f>IF(OR(B139="2016 - kw",B139="2017 - kw"),"2015 - kw","")</f>
        <v/>
      </c>
      <c r="AC139" s="1354"/>
      <c r="AD139" s="1354"/>
      <c r="AE139" s="1354"/>
    </row>
    <row r="140" spans="1:31" s="779" customFormat="1" hidden="1" x14ac:dyDescent="0.25">
      <c r="A140" s="876"/>
      <c r="B140" s="876"/>
      <c r="C140" s="755"/>
      <c r="D140" s="870"/>
      <c r="E140" s="871" t="s">
        <v>2550</v>
      </c>
      <c r="F140" s="977"/>
      <c r="G140" s="977"/>
      <c r="H140" s="977"/>
      <c r="I140" s="977"/>
      <c r="J140" s="977"/>
      <c r="K140" s="977"/>
      <c r="L140" s="977"/>
      <c r="M140" s="977"/>
      <c r="N140" s="977"/>
      <c r="O140" s="977"/>
      <c r="P140" s="876"/>
      <c r="Q140" s="876"/>
      <c r="R140" s="876"/>
      <c r="S140" s="876"/>
      <c r="T140" s="876"/>
      <c r="U140" s="876"/>
      <c r="V140" s="876"/>
      <c r="Z140" s="1354"/>
      <c r="AA140" s="1354"/>
      <c r="AB140" s="1354"/>
      <c r="AC140" s="1354"/>
      <c r="AD140" s="1354"/>
      <c r="AE140" s="1354"/>
    </row>
    <row r="141" spans="1:31" s="779" customFormat="1" hidden="1" x14ac:dyDescent="0.25">
      <c r="A141" s="876" t="str">
        <f>IF(AND(F143=G143,H143=I143,J143=K143,F143="A"),"2015 - kwh",IF(AND(F143=G143,H143=I143,J143&lt;&gt;K143,F143="A"),"2016 - kwh",IF(AND(F143=G143,H143&lt;&gt;I143,F143="A"),"2017 - kwh","N/A")))</f>
        <v>N/A</v>
      </c>
      <c r="B141" s="876" t="str">
        <f>IF(F143&lt;&gt;G143,"2017 - kwh",IF(H143&lt;&gt;I143,"2016 - kwh",IF(J143&lt;&gt;K143,"2015 - kwh","N/A")))</f>
        <v>N/A</v>
      </c>
      <c r="C141" s="751" t="s">
        <v>2622</v>
      </c>
      <c r="D141" s="979"/>
      <c r="E141" s="873" t="s">
        <v>158</v>
      </c>
      <c r="F141" s="978"/>
      <c r="G141" s="978"/>
      <c r="H141" s="978"/>
      <c r="I141" s="978"/>
      <c r="J141" s="978"/>
      <c r="K141" s="978"/>
      <c r="L141" s="978"/>
      <c r="M141" s="978"/>
      <c r="N141" s="978"/>
      <c r="O141" s="978"/>
      <c r="P141" s="876"/>
      <c r="Q141" s="876"/>
      <c r="R141" s="876"/>
      <c r="S141" s="876"/>
      <c r="T141" s="876"/>
      <c r="U141" s="876"/>
      <c r="V141" s="876"/>
      <c r="Z141" s="1354"/>
      <c r="AA141" s="1354" t="str">
        <f>IF(AND(F143=G143,H143=I143,F143="A"),"2015 - kwh","")</f>
        <v/>
      </c>
      <c r="AB141" s="1354" t="str">
        <f>IF(OR(B141="2016 - kwh",B141="2017 - kwh"),"2015 - kwh","")</f>
        <v/>
      </c>
      <c r="AC141" s="1354"/>
      <c r="AD141" s="1354"/>
      <c r="AE141" s="1354"/>
    </row>
    <row r="142" spans="1:31" s="779" customFormat="1" hidden="1" x14ac:dyDescent="0.25">
      <c r="A142" s="876" t="str">
        <f>IF(AND(F143=G143,H143=I143,J143=K143,F143="A"),"2015 - kw",IF(AND(F143=G143,H143=I143,J143&lt;&gt;K143,F143="A"),"2016 - kw",IF(AND(F143=G143,H143&lt;&gt;I143,F143="A"),"2017 - kw","N/A")))</f>
        <v>N/A</v>
      </c>
      <c r="B142" s="876" t="str">
        <f>IF(F143&lt;&gt;G143,"2017 - kw",IF(H143&lt;&gt;I143,"2016 - kw",IF(J143&lt;&gt;K143,"2015 - kw","N/A")))</f>
        <v>N/A</v>
      </c>
      <c r="C142" s="752"/>
      <c r="D142" s="809" t="str">
        <f>D141 &amp; "kW"</f>
        <v>kW</v>
      </c>
      <c r="E142" s="872" t="s">
        <v>159</v>
      </c>
      <c r="F142" s="978"/>
      <c r="G142" s="978"/>
      <c r="H142" s="978"/>
      <c r="I142" s="978"/>
      <c r="J142" s="978"/>
      <c r="K142" s="978"/>
      <c r="L142" s="978"/>
      <c r="M142" s="978"/>
      <c r="N142" s="978"/>
      <c r="O142" s="978"/>
      <c r="P142" s="876"/>
      <c r="Q142" s="876"/>
      <c r="R142" s="876"/>
      <c r="S142" s="876"/>
      <c r="T142" s="876"/>
      <c r="U142" s="876"/>
      <c r="V142" s="876"/>
      <c r="Z142" s="1354"/>
      <c r="AA142" s="1354" t="str">
        <f>IF(AND(F143=G143,H143=I143,F143="A"),"2015 - kw","")</f>
        <v/>
      </c>
      <c r="AB142" s="1354" t="str">
        <f>IF(OR(B142="2016 - kw",B142="2017 - kw"),"2015 - kw","")</f>
        <v/>
      </c>
      <c r="AC142" s="1354"/>
      <c r="AD142" s="1354"/>
      <c r="AE142" s="1354"/>
    </row>
    <row r="143" spans="1:31" s="779" customFormat="1" hidden="1" x14ac:dyDescent="0.25">
      <c r="A143" s="876"/>
      <c r="B143" s="876"/>
      <c r="C143" s="755"/>
      <c r="D143" s="870"/>
      <c r="E143" s="871" t="s">
        <v>2550</v>
      </c>
      <c r="F143" s="977"/>
      <c r="G143" s="977"/>
      <c r="H143" s="977"/>
      <c r="I143" s="977"/>
      <c r="J143" s="977"/>
      <c r="K143" s="977"/>
      <c r="L143" s="977"/>
      <c r="M143" s="977"/>
      <c r="N143" s="977"/>
      <c r="O143" s="977"/>
      <c r="P143" s="876"/>
      <c r="Q143" s="876"/>
      <c r="R143" s="876"/>
      <c r="S143" s="876"/>
      <c r="T143" s="876"/>
      <c r="U143" s="876"/>
      <c r="V143" s="876"/>
      <c r="Z143" s="1354"/>
      <c r="AA143" s="1354"/>
      <c r="AB143" s="1354"/>
      <c r="AC143" s="1354"/>
      <c r="AD143" s="1354"/>
      <c r="AE143" s="1354"/>
    </row>
    <row r="144" spans="1:31" s="779" customFormat="1" hidden="1" x14ac:dyDescent="0.25">
      <c r="A144" s="876" t="str">
        <f>IF(AND(F146=G146,H146=I146,J146=K146,F146="A"),"2015 - kwh",IF(AND(F146=G146,H146=I146,J146&lt;&gt;K146,F146="A"),"2016 - kwh",IF(AND(F146=G146,H146&lt;&gt;I146,F146="A"),"2017 - kwh","N/A")))</f>
        <v>N/A</v>
      </c>
      <c r="B144" s="876" t="str">
        <f>IF(F146&lt;&gt;G146,"2017 - kwh",IF(H146&lt;&gt;I146,"2016 - kwh",IF(J146&lt;&gt;K146,"2015 - kwh","N/A")))</f>
        <v>N/A</v>
      </c>
      <c r="C144" s="751" t="s">
        <v>2623</v>
      </c>
      <c r="D144" s="979"/>
      <c r="E144" s="873" t="s">
        <v>158</v>
      </c>
      <c r="F144" s="978"/>
      <c r="G144" s="978"/>
      <c r="H144" s="978"/>
      <c r="I144" s="978"/>
      <c r="J144" s="978"/>
      <c r="K144" s="978"/>
      <c r="L144" s="978"/>
      <c r="M144" s="978"/>
      <c r="N144" s="978"/>
      <c r="O144" s="978"/>
      <c r="P144" s="876"/>
      <c r="Q144" s="876"/>
      <c r="R144" s="876"/>
      <c r="S144" s="876"/>
      <c r="T144" s="876"/>
      <c r="U144" s="876"/>
      <c r="V144" s="876"/>
      <c r="Z144" s="1354"/>
      <c r="AA144" s="1354" t="str">
        <f>IF(AND(F146=G146,H146=I146,F146="A"),"2015 - kwh","")</f>
        <v/>
      </c>
      <c r="AB144" s="1354" t="str">
        <f>IF(OR(B144="2016 - kwh",B144="2017 - kwh"),"2015 - kwh","")</f>
        <v/>
      </c>
      <c r="AC144" s="1354"/>
      <c r="AD144" s="1354"/>
      <c r="AE144" s="1354"/>
    </row>
    <row r="145" spans="1:31" s="779" customFormat="1" hidden="1" x14ac:dyDescent="0.25">
      <c r="A145" s="876" t="str">
        <f>IF(AND(F146=G146,H146=I146,J146=K146,F146="A"),"2015 - kw",IF(AND(F146=G146,H146=I146,J146&lt;&gt;K146,F146="A"),"2016 - kw",IF(AND(F146=G146,H146&lt;&gt;I146,F146="A"),"2017 - kw","N/A")))</f>
        <v>N/A</v>
      </c>
      <c r="B145" s="876" t="str">
        <f>IF(F146&lt;&gt;G146,"2017 - kw",IF(H146&lt;&gt;I146,"2016 - kw",IF(J146&lt;&gt;K146,"2015 - kw","N/A")))</f>
        <v>N/A</v>
      </c>
      <c r="C145" s="752"/>
      <c r="D145" s="809" t="str">
        <f>D144 &amp; "kW"</f>
        <v>kW</v>
      </c>
      <c r="E145" s="872" t="s">
        <v>159</v>
      </c>
      <c r="F145" s="978"/>
      <c r="G145" s="978"/>
      <c r="H145" s="978"/>
      <c r="I145" s="978"/>
      <c r="J145" s="978"/>
      <c r="K145" s="978"/>
      <c r="L145" s="978"/>
      <c r="M145" s="978"/>
      <c r="N145" s="978"/>
      <c r="O145" s="978"/>
      <c r="P145" s="876"/>
      <c r="Q145" s="876"/>
      <c r="R145" s="876"/>
      <c r="S145" s="876"/>
      <c r="T145" s="876"/>
      <c r="U145" s="876"/>
      <c r="V145" s="876"/>
      <c r="Z145" s="1354"/>
      <c r="AA145" s="1354" t="str">
        <f>IF(AND(F146=G146,H146=I146,F146="A"),"2015 - kw","")</f>
        <v/>
      </c>
      <c r="AB145" s="1354" t="str">
        <f>IF(OR(B145="2016 - kw",B145="2017 - kw"),"2015 - kw","")</f>
        <v/>
      </c>
      <c r="AC145" s="1354"/>
      <c r="AD145" s="1354"/>
      <c r="AE145" s="1354"/>
    </row>
    <row r="146" spans="1:31" s="779" customFormat="1" hidden="1" x14ac:dyDescent="0.25">
      <c r="A146" s="876"/>
      <c r="B146" s="876"/>
      <c r="C146" s="755"/>
      <c r="D146" s="870"/>
      <c r="E146" s="871" t="s">
        <v>2550</v>
      </c>
      <c r="F146" s="977"/>
      <c r="G146" s="977"/>
      <c r="H146" s="977"/>
      <c r="I146" s="977"/>
      <c r="J146" s="977"/>
      <c r="K146" s="977"/>
      <c r="L146" s="977"/>
      <c r="M146" s="977"/>
      <c r="N146" s="977"/>
      <c r="O146" s="977"/>
      <c r="P146" s="876"/>
      <c r="Q146" s="876"/>
      <c r="R146" s="876"/>
      <c r="S146" s="876"/>
      <c r="T146" s="876"/>
      <c r="U146" s="876"/>
      <c r="V146" s="876"/>
      <c r="Z146" s="1354"/>
      <c r="AA146" s="1354"/>
      <c r="AB146" s="1354"/>
      <c r="AC146" s="1354"/>
      <c r="AD146" s="1354"/>
      <c r="AE146" s="1354"/>
    </row>
    <row r="147" spans="1:31" s="779" customFormat="1" hidden="1" x14ac:dyDescent="0.25">
      <c r="A147" s="876" t="str">
        <f>IF(AND(F149=G149,H149=I149,J149=K149,F149="A"),"2015 - kwh",IF(AND(F149=G149,H149=I149,J149&lt;&gt;K149,F149="A"),"2016 - kwh",IF(AND(F149=G149,H149&lt;&gt;I149,F149="A"),"2017 - kwh","N/A")))</f>
        <v>N/A</v>
      </c>
      <c r="B147" s="876" t="str">
        <f>IF(F149&lt;&gt;G149,"2017 - kwh",IF(H149&lt;&gt;I149,"2016 - kwh",IF(J149&lt;&gt;K149,"2015 - kwh","N/A")))</f>
        <v>N/A</v>
      </c>
      <c r="C147" s="751" t="s">
        <v>2624</v>
      </c>
      <c r="D147" s="979"/>
      <c r="E147" s="873" t="s">
        <v>158</v>
      </c>
      <c r="F147" s="978"/>
      <c r="G147" s="978"/>
      <c r="H147" s="978"/>
      <c r="I147" s="978"/>
      <c r="J147" s="978"/>
      <c r="K147" s="978"/>
      <c r="L147" s="978"/>
      <c r="M147" s="978"/>
      <c r="N147" s="978"/>
      <c r="O147" s="978"/>
      <c r="P147" s="876"/>
      <c r="Q147" s="876"/>
      <c r="R147" s="876"/>
      <c r="S147" s="876"/>
      <c r="T147" s="876"/>
      <c r="U147" s="876"/>
      <c r="V147" s="876"/>
      <c r="Z147" s="1354"/>
      <c r="AA147" s="1354" t="str">
        <f>IF(AND(F149=G149,H149=I149,F149="A"),"2015 - kwh","")</f>
        <v/>
      </c>
      <c r="AB147" s="1354" t="str">
        <f>IF(OR(B147="2016 - kwh",B147="2017 - kwh"),"2015 - kwh","")</f>
        <v/>
      </c>
      <c r="AC147" s="1354"/>
      <c r="AD147" s="1354"/>
      <c r="AE147" s="1354"/>
    </row>
    <row r="148" spans="1:31" s="779" customFormat="1" hidden="1" x14ac:dyDescent="0.25">
      <c r="A148" s="876" t="str">
        <f>IF(AND(F149=G149,H149=I149,J149=K149,F149="A"),"2015 - kw",IF(AND(F149=G149,H149=I149,J149&lt;&gt;K149,F149="A"),"2016 - kw",IF(AND(F149=G149,H149&lt;&gt;I149,F149="A"),"2017 - kw","N/A")))</f>
        <v>N/A</v>
      </c>
      <c r="B148" s="876" t="str">
        <f>IF(F149&lt;&gt;G149,"2017 - kw",IF(H149&lt;&gt;I149,"2016 - kw",IF(J149&lt;&gt;K149,"2015 - kw","N/A")))</f>
        <v>N/A</v>
      </c>
      <c r="C148" s="752"/>
      <c r="D148" s="809" t="str">
        <f>D147 &amp; "kW"</f>
        <v>kW</v>
      </c>
      <c r="E148" s="872" t="s">
        <v>159</v>
      </c>
      <c r="F148" s="978"/>
      <c r="G148" s="978"/>
      <c r="H148" s="978"/>
      <c r="I148" s="978"/>
      <c r="J148" s="978"/>
      <c r="K148" s="978"/>
      <c r="L148" s="978"/>
      <c r="M148" s="978"/>
      <c r="N148" s="978"/>
      <c r="O148" s="978"/>
      <c r="P148" s="876"/>
      <c r="Q148" s="876"/>
      <c r="R148" s="876"/>
      <c r="S148" s="876"/>
      <c r="T148" s="876"/>
      <c r="U148" s="876"/>
      <c r="V148" s="876"/>
      <c r="Z148" s="1354"/>
      <c r="AA148" s="1354" t="str">
        <f>IF(AND(F149=G149,H149=I149,F149="A"),"2015 - kw","")</f>
        <v/>
      </c>
      <c r="AB148" s="1354" t="str">
        <f>IF(OR(B148="2016 - kw",B148="2017 - kw"),"2015 - kw","")</f>
        <v/>
      </c>
      <c r="AC148" s="1354"/>
      <c r="AD148" s="1354"/>
      <c r="AE148" s="1354"/>
    </row>
    <row r="149" spans="1:31" s="779" customFormat="1" hidden="1" x14ac:dyDescent="0.25">
      <c r="A149" s="876"/>
      <c r="B149" s="876"/>
      <c r="C149" s="755"/>
      <c r="D149" s="870"/>
      <c r="E149" s="871" t="s">
        <v>2550</v>
      </c>
      <c r="F149" s="977"/>
      <c r="G149" s="977"/>
      <c r="H149" s="977"/>
      <c r="I149" s="977"/>
      <c r="J149" s="977"/>
      <c r="K149" s="977"/>
      <c r="L149" s="977"/>
      <c r="M149" s="977"/>
      <c r="N149" s="977"/>
      <c r="O149" s="977"/>
      <c r="P149" s="876"/>
      <c r="Q149" s="876"/>
      <c r="R149" s="876"/>
      <c r="S149" s="876"/>
      <c r="T149" s="876"/>
      <c r="U149" s="876"/>
      <c r="V149" s="876"/>
      <c r="Z149" s="1354"/>
      <c r="AA149" s="1354"/>
      <c r="AB149" s="1354"/>
      <c r="AC149" s="1354"/>
      <c r="AD149" s="1354"/>
      <c r="AE149" s="1354"/>
    </row>
    <row r="150" spans="1:31" s="779" customFormat="1" hidden="1" x14ac:dyDescent="0.25">
      <c r="A150" s="876" t="str">
        <f>IF(AND(F152=G152,H152=I152,J152=K152,F152="A"),"2015 - kwh",IF(AND(F152=G152,H152=I152,J152&lt;&gt;K152,F152="A"),"2016 - kwh",IF(AND(F152=G152,H152&lt;&gt;I152,F152="A"),"2017 - kwh","N/A")))</f>
        <v>N/A</v>
      </c>
      <c r="B150" s="876" t="str">
        <f>IF(F152&lt;&gt;G152,"2017 - kwh",IF(H152&lt;&gt;I152,"2016 - kwh",IF(J152&lt;&gt;K152,"2015 - kwh","N/A")))</f>
        <v>N/A</v>
      </c>
      <c r="C150" s="751" t="s">
        <v>2625</v>
      </c>
      <c r="D150" s="979"/>
      <c r="E150" s="873" t="s">
        <v>158</v>
      </c>
      <c r="F150" s="978"/>
      <c r="G150" s="978"/>
      <c r="H150" s="978"/>
      <c r="I150" s="978"/>
      <c r="J150" s="978"/>
      <c r="K150" s="978"/>
      <c r="L150" s="978"/>
      <c r="M150" s="978"/>
      <c r="N150" s="978"/>
      <c r="O150" s="978"/>
      <c r="P150" s="876"/>
      <c r="Q150" s="876"/>
      <c r="R150" s="876"/>
      <c r="S150" s="876"/>
      <c r="T150" s="876"/>
      <c r="U150" s="876"/>
      <c r="V150" s="876"/>
      <c r="Z150" s="1354"/>
      <c r="AA150" s="1354" t="str">
        <f>IF(AND(F152=G152,H152=I152,F152="A"),"2015 - kwh","")</f>
        <v/>
      </c>
      <c r="AB150" s="1354" t="str">
        <f>IF(OR(B150="2016 - kwh",B150="2017 - kwh"),"2015 - kwh","")</f>
        <v/>
      </c>
      <c r="AC150" s="1354"/>
      <c r="AD150" s="1354"/>
      <c r="AE150" s="1354"/>
    </row>
    <row r="151" spans="1:31" s="779" customFormat="1" hidden="1" x14ac:dyDescent="0.25">
      <c r="A151" s="876" t="str">
        <f>IF(AND(F152=G152,H152=I152,J152=K152,F152="A"),"2015 - kw",IF(AND(F152=G152,H152=I152,J152&lt;&gt;K152,F152="A"),"2016 - kw",IF(AND(F152=G152,H152&lt;&gt;I152,F152="A"),"2017 - kw","N/A")))</f>
        <v>N/A</v>
      </c>
      <c r="B151" s="876" t="str">
        <f>IF(F152&lt;&gt;G152,"2017 - kw",IF(H152&lt;&gt;I152,"2016 - kw",IF(J152&lt;&gt;K152,"2015 - kw","N/A")))</f>
        <v>N/A</v>
      </c>
      <c r="C151" s="752"/>
      <c r="D151" s="809" t="str">
        <f>D150 &amp; "kW"</f>
        <v>kW</v>
      </c>
      <c r="E151" s="872" t="s">
        <v>159</v>
      </c>
      <c r="F151" s="978"/>
      <c r="G151" s="978"/>
      <c r="H151" s="978"/>
      <c r="I151" s="978"/>
      <c r="J151" s="978"/>
      <c r="K151" s="978"/>
      <c r="L151" s="978"/>
      <c r="M151" s="978"/>
      <c r="N151" s="978"/>
      <c r="O151" s="978"/>
      <c r="P151" s="876"/>
      <c r="Q151" s="876"/>
      <c r="R151" s="876"/>
      <c r="S151" s="876"/>
      <c r="T151" s="876"/>
      <c r="U151" s="876"/>
      <c r="V151" s="876"/>
      <c r="Z151" s="1354"/>
      <c r="AA151" s="1354" t="str">
        <f>IF(AND(F152=G152,H152=I152,F152="A"),"2015 - kw","")</f>
        <v/>
      </c>
      <c r="AB151" s="1354" t="str">
        <f>IF(OR(B151="2016 - kw",B151="2017 - kw"),"2015 - kw","")</f>
        <v/>
      </c>
      <c r="AC151" s="1354"/>
      <c r="AD151" s="1354"/>
      <c r="AE151" s="1354"/>
    </row>
    <row r="152" spans="1:31" s="779" customFormat="1" hidden="1" x14ac:dyDescent="0.25">
      <c r="A152" s="876"/>
      <c r="B152" s="876"/>
      <c r="C152" s="755"/>
      <c r="D152" s="870"/>
      <c r="E152" s="871" t="s">
        <v>2550</v>
      </c>
      <c r="F152" s="977"/>
      <c r="G152" s="977"/>
      <c r="H152" s="977"/>
      <c r="I152" s="977"/>
      <c r="J152" s="977"/>
      <c r="K152" s="977"/>
      <c r="L152" s="977"/>
      <c r="M152" s="977"/>
      <c r="N152" s="977"/>
      <c r="O152" s="977"/>
      <c r="P152" s="876"/>
      <c r="Q152" s="876"/>
      <c r="R152" s="876"/>
      <c r="S152" s="876"/>
      <c r="T152" s="876"/>
      <c r="U152" s="876"/>
      <c r="V152" s="876"/>
      <c r="Z152" s="1354"/>
      <c r="AA152" s="1354"/>
      <c r="AB152" s="1354"/>
      <c r="AC152" s="1354"/>
      <c r="AD152" s="1354"/>
      <c r="AE152" s="1354"/>
    </row>
    <row r="153" spans="1:31" s="779" customFormat="1" hidden="1" x14ac:dyDescent="0.25">
      <c r="A153" s="876" t="str">
        <f>IF(AND(F155=G155,H155=I155,J155=K155,F155="A"),"2015 - kwh",IF(AND(F155=G155,H155=I155,J155&lt;&gt;K155,F155="A"),"2016 - kwh",IF(AND(F155=G155,H155&lt;&gt;I155,F155="A"),"2017 - kwh","N/A")))</f>
        <v>N/A</v>
      </c>
      <c r="B153" s="876" t="str">
        <f>IF(F155&lt;&gt;G155,"2017 - kwh",IF(H155&lt;&gt;I155,"2016 - kwh",IF(J155&lt;&gt;K155,"2015 - kwh","N/A")))</f>
        <v>N/A</v>
      </c>
      <c r="C153" s="751" t="s">
        <v>2626</v>
      </c>
      <c r="D153" s="979"/>
      <c r="E153" s="873" t="s">
        <v>158</v>
      </c>
      <c r="F153" s="978"/>
      <c r="G153" s="978"/>
      <c r="H153" s="978"/>
      <c r="I153" s="978"/>
      <c r="J153" s="978"/>
      <c r="K153" s="978"/>
      <c r="L153" s="978"/>
      <c r="M153" s="978"/>
      <c r="N153" s="978"/>
      <c r="O153" s="978"/>
      <c r="P153" s="876"/>
      <c r="Q153" s="876"/>
      <c r="R153" s="876"/>
      <c r="S153" s="876"/>
      <c r="T153" s="876"/>
      <c r="U153" s="876"/>
      <c r="V153" s="876"/>
      <c r="Z153" s="1354"/>
      <c r="AA153" s="1354" t="str">
        <f>IF(AND(F155=G155,H155=I155,F155="A"),"2015 - kwh","")</f>
        <v/>
      </c>
      <c r="AB153" s="1354" t="str">
        <f>IF(OR(B153="2016 - kwh",B153="2017 - kwh"),"2015 - kwh","")</f>
        <v/>
      </c>
      <c r="AC153" s="1354"/>
      <c r="AD153" s="1354"/>
      <c r="AE153" s="1354"/>
    </row>
    <row r="154" spans="1:31" s="779" customFormat="1" hidden="1" x14ac:dyDescent="0.25">
      <c r="A154" s="876" t="str">
        <f>IF(AND(F155=G155,H155=I155,J155=K155,F155="A"),"2015 - kw",IF(AND(F155=G155,H155=I155,J155&lt;&gt;K155,F155="A"),"2016 - kw",IF(AND(F155=G155,H155&lt;&gt;I155,F155="A"),"2017 - kw","N/A")))</f>
        <v>N/A</v>
      </c>
      <c r="B154" s="876" t="str">
        <f>IF(F155&lt;&gt;G155,"2017 - kw",IF(H155&lt;&gt;I155,"2016 - kw",IF(J155&lt;&gt;K155,"2015 - kw","N/A")))</f>
        <v>N/A</v>
      </c>
      <c r="C154" s="752"/>
      <c r="D154" s="809" t="str">
        <f>D153 &amp; "kW"</f>
        <v>kW</v>
      </c>
      <c r="E154" s="872" t="s">
        <v>159</v>
      </c>
      <c r="F154" s="978"/>
      <c r="G154" s="978"/>
      <c r="H154" s="978"/>
      <c r="I154" s="978"/>
      <c r="J154" s="978"/>
      <c r="K154" s="978"/>
      <c r="L154" s="978"/>
      <c r="M154" s="978"/>
      <c r="N154" s="978"/>
      <c r="O154" s="978"/>
      <c r="P154" s="876"/>
      <c r="Q154" s="876"/>
      <c r="R154" s="876"/>
      <c r="S154" s="876"/>
      <c r="T154" s="876"/>
      <c r="U154" s="876"/>
      <c r="V154" s="876"/>
      <c r="Z154" s="1354"/>
      <c r="AA154" s="1354" t="str">
        <f>IF(AND(F155=G155,H155=I155,F155="A"),"2015 - kw","")</f>
        <v/>
      </c>
      <c r="AB154" s="1354" t="str">
        <f>IF(OR(B154="2016 - kw",B154="2017 - kw"),"2015 - kw","")</f>
        <v/>
      </c>
      <c r="AC154" s="1354"/>
      <c r="AD154" s="1354"/>
      <c r="AE154" s="1354"/>
    </row>
    <row r="155" spans="1:31" s="779" customFormat="1" hidden="1" x14ac:dyDescent="0.25">
      <c r="A155" s="876"/>
      <c r="B155" s="876"/>
      <c r="C155" s="755"/>
      <c r="D155" s="870"/>
      <c r="E155" s="871" t="s">
        <v>2550</v>
      </c>
      <c r="F155" s="977"/>
      <c r="G155" s="977"/>
      <c r="H155" s="977"/>
      <c r="I155" s="977"/>
      <c r="J155" s="977"/>
      <c r="K155" s="977"/>
      <c r="L155" s="977"/>
      <c r="M155" s="977"/>
      <c r="N155" s="977"/>
      <c r="O155" s="977"/>
      <c r="P155" s="876"/>
      <c r="Q155" s="876"/>
      <c r="R155" s="876"/>
      <c r="S155" s="876"/>
      <c r="T155" s="876"/>
      <c r="U155" s="876"/>
      <c r="V155" s="876"/>
      <c r="Z155" s="1354"/>
      <c r="AA155" s="1354"/>
      <c r="AB155" s="1354"/>
      <c r="AC155" s="1354"/>
      <c r="AD155" s="1354"/>
      <c r="AE155" s="1354"/>
    </row>
    <row r="156" spans="1:31" s="779" customFormat="1" hidden="1" x14ac:dyDescent="0.25">
      <c r="A156" s="876" t="str">
        <f>IF(AND(F158=G158,H158=I158,J158=K158,F158="A"),"2015 - kwh",IF(AND(F158=G158,H158=I158,J158&lt;&gt;K158,F158="A"),"2016 - kwh",IF(AND(F158=G158,H158&lt;&gt;I158,F158="A"),"2017 - kwh","N/A")))</f>
        <v>N/A</v>
      </c>
      <c r="B156" s="876" t="str">
        <f>IF(F158&lt;&gt;G158,"2017 - kwh",IF(H158&lt;&gt;I158,"2016 - kwh",IF(J158&lt;&gt;K158,"2015 - kwh","N/A")))</f>
        <v>N/A</v>
      </c>
      <c r="C156" s="751" t="s">
        <v>2627</v>
      </c>
      <c r="D156" s="979"/>
      <c r="E156" s="873" t="s">
        <v>158</v>
      </c>
      <c r="F156" s="978"/>
      <c r="G156" s="978"/>
      <c r="H156" s="978"/>
      <c r="I156" s="978"/>
      <c r="J156" s="978"/>
      <c r="K156" s="978"/>
      <c r="L156" s="978"/>
      <c r="M156" s="978"/>
      <c r="N156" s="978"/>
      <c r="O156" s="978"/>
      <c r="P156" s="876"/>
      <c r="Q156" s="876"/>
      <c r="R156" s="876"/>
      <c r="S156" s="876"/>
      <c r="T156" s="876"/>
      <c r="U156" s="876"/>
      <c r="V156" s="876"/>
      <c r="Z156" s="1354"/>
      <c r="AA156" s="1354" t="str">
        <f>IF(AND(F158=G158,H158=I158,F158="A"),"2015 - kwh","")</f>
        <v/>
      </c>
      <c r="AB156" s="1354" t="str">
        <f>IF(OR(B156="2016 - kwh",B156="2017 - kwh"),"2015 - kwh","")</f>
        <v/>
      </c>
      <c r="AC156" s="1354"/>
      <c r="AD156" s="1354"/>
      <c r="AE156" s="1354"/>
    </row>
    <row r="157" spans="1:31" s="779" customFormat="1" hidden="1" x14ac:dyDescent="0.25">
      <c r="A157" s="876" t="str">
        <f>IF(AND(F158=G158,H158=I158,J158=K158,F158="A"),"2015 - kw",IF(AND(F158=G158,H158=I158,J158&lt;&gt;K158,F158="A"),"2016 - kw",IF(AND(F158=G158,H158&lt;&gt;I158,F158="A"),"2017 - kw","N/A")))</f>
        <v>N/A</v>
      </c>
      <c r="B157" s="876" t="str">
        <f>IF(F158&lt;&gt;G158,"2017 - kw",IF(H158&lt;&gt;I158,"2016 - kw",IF(J158&lt;&gt;K158,"2015 - kw","N/A")))</f>
        <v>N/A</v>
      </c>
      <c r="C157" s="752"/>
      <c r="D157" s="809" t="str">
        <f>D156 &amp; "kW"</f>
        <v>kW</v>
      </c>
      <c r="E157" s="872" t="s">
        <v>159</v>
      </c>
      <c r="F157" s="978"/>
      <c r="G157" s="978"/>
      <c r="H157" s="978"/>
      <c r="I157" s="978"/>
      <c r="J157" s="978"/>
      <c r="K157" s="978"/>
      <c r="L157" s="978"/>
      <c r="M157" s="978"/>
      <c r="N157" s="978"/>
      <c r="O157" s="978"/>
      <c r="P157" s="876"/>
      <c r="Q157" s="876"/>
      <c r="R157" s="876"/>
      <c r="S157" s="876"/>
      <c r="T157" s="876"/>
      <c r="U157" s="876"/>
      <c r="V157" s="876"/>
      <c r="Z157" s="1354"/>
      <c r="AA157" s="1354" t="str">
        <f>IF(AND(F158=G158,H158=I158,F158="A"),"2015 - kw","")</f>
        <v/>
      </c>
      <c r="AB157" s="1354" t="str">
        <f>IF(OR(B157="2016 - kw",B157="2017 - kw"),"2015 - kw","")</f>
        <v/>
      </c>
      <c r="AC157" s="1354"/>
      <c r="AD157" s="1354"/>
      <c r="AE157" s="1354"/>
    </row>
    <row r="158" spans="1:31" s="779" customFormat="1" hidden="1" x14ac:dyDescent="0.25">
      <c r="A158" s="876"/>
      <c r="B158" s="876"/>
      <c r="C158" s="755"/>
      <c r="D158" s="870"/>
      <c r="E158" s="871" t="s">
        <v>2550</v>
      </c>
      <c r="F158" s="977"/>
      <c r="G158" s="977"/>
      <c r="H158" s="977"/>
      <c r="I158" s="977"/>
      <c r="J158" s="977"/>
      <c r="K158" s="977"/>
      <c r="L158" s="977"/>
      <c r="M158" s="977"/>
      <c r="N158" s="977"/>
      <c r="O158" s="977"/>
      <c r="P158" s="876"/>
      <c r="Q158" s="876"/>
      <c r="R158" s="876"/>
      <c r="S158" s="876"/>
      <c r="T158" s="876"/>
      <c r="U158" s="876"/>
      <c r="V158" s="876"/>
      <c r="Z158" s="1354"/>
      <c r="AA158" s="1354"/>
      <c r="AB158" s="1354"/>
      <c r="AC158" s="1354"/>
      <c r="AD158" s="1354"/>
      <c r="AE158" s="1354"/>
    </row>
    <row r="159" spans="1:31" s="779" customFormat="1" hidden="1" x14ac:dyDescent="0.25">
      <c r="A159" s="876" t="str">
        <f>IF(AND(F161=G161,H161=I161,J161=K161,F161="A"),"2015 - kwh",IF(AND(F161=G161,H161=I161,J161&lt;&gt;K161,F161="A"),"2016 - kwh",IF(AND(F161=G161,H161&lt;&gt;I161,F161="A"),"2017 - kwh","N/A")))</f>
        <v>N/A</v>
      </c>
      <c r="B159" s="876" t="str">
        <f>IF(F161&lt;&gt;G161,"2017 - kwh",IF(H161&lt;&gt;I161,"2016 - kwh",IF(J161&lt;&gt;K161,"2015 - kwh","N/A")))</f>
        <v>N/A</v>
      </c>
      <c r="C159" s="751" t="s">
        <v>2628</v>
      </c>
      <c r="D159" s="979"/>
      <c r="E159" s="873" t="s">
        <v>158</v>
      </c>
      <c r="F159" s="978"/>
      <c r="G159" s="978"/>
      <c r="H159" s="978"/>
      <c r="I159" s="978"/>
      <c r="J159" s="978"/>
      <c r="K159" s="978"/>
      <c r="L159" s="978"/>
      <c r="M159" s="978"/>
      <c r="N159" s="978"/>
      <c r="O159" s="978"/>
      <c r="P159" s="876"/>
      <c r="Q159" s="876"/>
      <c r="R159" s="876"/>
      <c r="S159" s="876"/>
      <c r="T159" s="876"/>
      <c r="U159" s="876"/>
      <c r="V159" s="876"/>
      <c r="Z159" s="1354"/>
      <c r="AA159" s="1354" t="str">
        <f>IF(AND(F161=G161,H161=I161,F161="A"),"2015 - kwh","")</f>
        <v/>
      </c>
      <c r="AB159" s="1354" t="str">
        <f>IF(OR(B159="2016 - kwh",B159="2017 - kwh"),"2015 - kwh","")</f>
        <v/>
      </c>
      <c r="AC159" s="1354"/>
      <c r="AD159" s="1354"/>
      <c r="AE159" s="1354"/>
    </row>
    <row r="160" spans="1:31" s="779" customFormat="1" hidden="1" x14ac:dyDescent="0.25">
      <c r="A160" s="876" t="str">
        <f>IF(AND(F161=G161,H161=I161,J161=K161,F161="A"),"2015 - kw",IF(AND(F161=G161,H161=I161,J161&lt;&gt;K161,F161="A"),"2016 - kw",IF(AND(F161=G161,H161&lt;&gt;I161,F161="A"),"2017 - kw","N/A")))</f>
        <v>N/A</v>
      </c>
      <c r="B160" s="876" t="str">
        <f>IF(F161&lt;&gt;G161,"2017 - kw",IF(H161&lt;&gt;I161,"2016 - kw",IF(J161&lt;&gt;K161,"2015 - kw","N/A")))</f>
        <v>N/A</v>
      </c>
      <c r="C160" s="752"/>
      <c r="D160" s="809" t="str">
        <f>D159 &amp; "kW"</f>
        <v>kW</v>
      </c>
      <c r="E160" s="872" t="s">
        <v>159</v>
      </c>
      <c r="F160" s="978"/>
      <c r="G160" s="978"/>
      <c r="H160" s="978"/>
      <c r="I160" s="978"/>
      <c r="J160" s="978"/>
      <c r="K160" s="978"/>
      <c r="L160" s="978"/>
      <c r="M160" s="978"/>
      <c r="N160" s="978"/>
      <c r="O160" s="978"/>
      <c r="P160" s="876"/>
      <c r="Q160" s="876"/>
      <c r="R160" s="876"/>
      <c r="S160" s="876"/>
      <c r="T160" s="876"/>
      <c r="U160" s="876"/>
      <c r="V160" s="876"/>
      <c r="Z160" s="1354"/>
      <c r="AA160" s="1354" t="str">
        <f>IF(AND(F161=G161,H161=I161,F161="A"),"2015 - kw","")</f>
        <v/>
      </c>
      <c r="AB160" s="1354" t="str">
        <f>IF(OR(B160="2016 - kw",B160="2017 - kw"),"2015 - kw","")</f>
        <v/>
      </c>
      <c r="AC160" s="1354"/>
      <c r="AD160" s="1354"/>
      <c r="AE160" s="1354"/>
    </row>
    <row r="161" spans="1:31" s="779" customFormat="1" hidden="1" x14ac:dyDescent="0.25">
      <c r="A161" s="876"/>
      <c r="B161" s="876"/>
      <c r="C161" s="755"/>
      <c r="D161" s="870"/>
      <c r="E161" s="871" t="s">
        <v>2550</v>
      </c>
      <c r="F161" s="977"/>
      <c r="G161" s="977"/>
      <c r="H161" s="977"/>
      <c r="I161" s="977"/>
      <c r="J161" s="977"/>
      <c r="K161" s="977"/>
      <c r="L161" s="977"/>
      <c r="M161" s="977"/>
      <c r="N161" s="977"/>
      <c r="O161" s="977"/>
      <c r="P161" s="876"/>
      <c r="Q161" s="876"/>
      <c r="R161" s="876"/>
      <c r="S161" s="876"/>
      <c r="T161" s="876"/>
      <c r="U161" s="876"/>
      <c r="V161" s="876"/>
      <c r="Z161" s="1354"/>
      <c r="AA161" s="1354"/>
      <c r="AB161" s="1354"/>
      <c r="AC161" s="1354"/>
      <c r="AD161" s="1354"/>
      <c r="AE161" s="1354"/>
    </row>
    <row r="162" spans="1:31" s="779" customFormat="1" hidden="1" x14ac:dyDescent="0.25">
      <c r="A162" s="876" t="str">
        <f>IF(AND(F164=G164,H164=I164,J164=K164,F164="A"),"2015 - kwh",IF(AND(F164=G164,H164=I164,J164&lt;&gt;K164,F164="A"),"2016 - kwh",IF(AND(F164=G164,H164&lt;&gt;I164,F164="A"),"2017 - kwh","N/A")))</f>
        <v>N/A</v>
      </c>
      <c r="B162" s="876" t="str">
        <f>IF(F164&lt;&gt;G164,"2017 - kwh",IF(H164&lt;&gt;I164,"2016 - kwh",IF(J164&lt;&gt;K164,"2015 - kwh","N/A")))</f>
        <v>N/A</v>
      </c>
      <c r="C162" s="751" t="s">
        <v>2629</v>
      </c>
      <c r="D162" s="979"/>
      <c r="E162" s="873" t="s">
        <v>158</v>
      </c>
      <c r="F162" s="978"/>
      <c r="G162" s="978"/>
      <c r="H162" s="978"/>
      <c r="I162" s="978"/>
      <c r="J162" s="978"/>
      <c r="K162" s="978"/>
      <c r="L162" s="978"/>
      <c r="M162" s="978"/>
      <c r="N162" s="978"/>
      <c r="O162" s="978"/>
      <c r="P162" s="876"/>
      <c r="Q162" s="876"/>
      <c r="R162" s="876"/>
      <c r="S162" s="876"/>
      <c r="T162" s="876"/>
      <c r="U162" s="876"/>
      <c r="V162" s="876"/>
      <c r="Z162" s="1354"/>
      <c r="AA162" s="1354" t="str">
        <f>IF(AND(F164=G164,H164=I164,F164="A"),"2015 - kwh","")</f>
        <v/>
      </c>
      <c r="AB162" s="1354" t="str">
        <f>IF(OR(B162="2016 - kwh",B162="2017 - kwh"),"2015 - kwh","")</f>
        <v/>
      </c>
      <c r="AC162" s="1354"/>
      <c r="AD162" s="1354"/>
      <c r="AE162" s="1354"/>
    </row>
    <row r="163" spans="1:31" s="779" customFormat="1" hidden="1" x14ac:dyDescent="0.25">
      <c r="A163" s="876" t="str">
        <f>IF(AND(F164=G164,H164=I164,J164=K164,F164="A"),"2015 - kw",IF(AND(F164=G164,H164=I164,J164&lt;&gt;K164,F164="A"),"2016 - kw",IF(AND(F164=G164,H164&lt;&gt;I164,F164="A"),"2017 - kw","N/A")))</f>
        <v>N/A</v>
      </c>
      <c r="B163" s="876" t="str">
        <f>IF(F164&lt;&gt;G164,"2017 - kw",IF(H164&lt;&gt;I164,"2016 - kw",IF(J164&lt;&gt;K164,"2015 - kw","N/A")))</f>
        <v>N/A</v>
      </c>
      <c r="C163" s="752"/>
      <c r="D163" s="809" t="str">
        <f>D162 &amp; "kW"</f>
        <v>kW</v>
      </c>
      <c r="E163" s="872" t="s">
        <v>159</v>
      </c>
      <c r="F163" s="978"/>
      <c r="G163" s="978"/>
      <c r="H163" s="978"/>
      <c r="I163" s="978"/>
      <c r="J163" s="978"/>
      <c r="K163" s="978"/>
      <c r="L163" s="978"/>
      <c r="M163" s="978"/>
      <c r="N163" s="978"/>
      <c r="O163" s="978"/>
      <c r="P163" s="876"/>
      <c r="Q163" s="876"/>
      <c r="R163" s="876"/>
      <c r="S163" s="876"/>
      <c r="T163" s="876"/>
      <c r="U163" s="876"/>
      <c r="V163" s="876"/>
      <c r="Z163" s="1354"/>
      <c r="AA163" s="1354" t="str">
        <f>IF(AND(F164=G164,H164=I164,F164="A"),"2015 - kw","")</f>
        <v/>
      </c>
      <c r="AB163" s="1354" t="str">
        <f>IF(OR(B163="2016 - kw",B163="2017 - kw"),"2015 - kw","")</f>
        <v/>
      </c>
      <c r="AC163" s="1354"/>
      <c r="AD163" s="1354"/>
      <c r="AE163" s="1354"/>
    </row>
    <row r="164" spans="1:31" s="779" customFormat="1" hidden="1" x14ac:dyDescent="0.25">
      <c r="A164" s="876"/>
      <c r="B164" s="876"/>
      <c r="C164" s="755"/>
      <c r="D164" s="870"/>
      <c r="E164" s="871" t="s">
        <v>2550</v>
      </c>
      <c r="F164" s="977"/>
      <c r="G164" s="977"/>
      <c r="H164" s="977"/>
      <c r="I164" s="977"/>
      <c r="J164" s="977"/>
      <c r="K164" s="977"/>
      <c r="L164" s="977"/>
      <c r="M164" s="977"/>
      <c r="N164" s="977"/>
      <c r="O164" s="977"/>
      <c r="P164" s="876"/>
      <c r="Q164" s="876"/>
      <c r="R164" s="876"/>
      <c r="S164" s="876"/>
      <c r="T164" s="876"/>
      <c r="U164" s="876"/>
      <c r="V164" s="876"/>
      <c r="Z164" s="1354"/>
      <c r="AA164" s="1354"/>
      <c r="AB164" s="1354"/>
      <c r="AC164" s="1354"/>
      <c r="AD164" s="1354"/>
      <c r="AE164" s="1354"/>
    </row>
    <row r="165" spans="1:31" s="779" customFormat="1" hidden="1" x14ac:dyDescent="0.25">
      <c r="A165" s="876" t="str">
        <f>IF(AND(F167=G167,H167=I167,J167=K167,F167="A"),"2015 - kwh",IF(AND(F167=G167,H167=I167,J167&lt;&gt;K167,F167="A"),"2016 - kwh",IF(AND(F167=G167,H167&lt;&gt;I167,F167="A"),"2017 - kwh","N/A")))</f>
        <v>N/A</v>
      </c>
      <c r="B165" s="876" t="str">
        <f>IF(F167&lt;&gt;G167,"2017 - kwh",IF(H167&lt;&gt;I167,"2016 - kwh",IF(J167&lt;&gt;K167,"2015 - kwh","N/A")))</f>
        <v>N/A</v>
      </c>
      <c r="C165" s="751" t="s">
        <v>2630</v>
      </c>
      <c r="D165" s="979"/>
      <c r="E165" s="873" t="s">
        <v>158</v>
      </c>
      <c r="F165" s="978"/>
      <c r="G165" s="978"/>
      <c r="H165" s="978"/>
      <c r="I165" s="978"/>
      <c r="J165" s="978"/>
      <c r="K165" s="978"/>
      <c r="L165" s="978"/>
      <c r="M165" s="978"/>
      <c r="N165" s="978"/>
      <c r="O165" s="978"/>
      <c r="P165" s="876"/>
      <c r="Q165" s="876"/>
      <c r="R165" s="876"/>
      <c r="S165" s="876"/>
      <c r="T165" s="876"/>
      <c r="U165" s="876"/>
      <c r="V165" s="876"/>
      <c r="Z165" s="1354"/>
      <c r="AA165" s="1354" t="str">
        <f>IF(AND(F167=G167,H167=I167,F167="A"),"2015 - kwh","")</f>
        <v/>
      </c>
      <c r="AB165" s="1354" t="str">
        <f>IF(OR(B165="2016 - kwh",B165="2017 - kwh"),"2015 - kwh","")</f>
        <v/>
      </c>
      <c r="AC165" s="1354"/>
      <c r="AD165" s="1354"/>
      <c r="AE165" s="1354"/>
    </row>
    <row r="166" spans="1:31" s="779" customFormat="1" hidden="1" x14ac:dyDescent="0.25">
      <c r="A166" s="876" t="str">
        <f>IF(AND(F167=G167,H167=I167,J167=K167,F167="A"),"2015 - kw",IF(AND(F167=G167,H167=I167,J167&lt;&gt;K167,F167="A"),"2016 - kw",IF(AND(F167=G167,H167&lt;&gt;I167,F167="A"),"2017 - kw","N/A")))</f>
        <v>N/A</v>
      </c>
      <c r="B166" s="876" t="str">
        <f>IF(F167&lt;&gt;G167,"2017 - kw",IF(H167&lt;&gt;I167,"2016 - kw",IF(J167&lt;&gt;K167,"2015 - kw","N/A")))</f>
        <v>N/A</v>
      </c>
      <c r="C166" s="752"/>
      <c r="D166" s="809" t="str">
        <f>D165 &amp; "kW"</f>
        <v>kW</v>
      </c>
      <c r="E166" s="872" t="s">
        <v>159</v>
      </c>
      <c r="F166" s="978"/>
      <c r="G166" s="978"/>
      <c r="H166" s="978"/>
      <c r="I166" s="978"/>
      <c r="J166" s="978"/>
      <c r="K166" s="978"/>
      <c r="L166" s="978"/>
      <c r="M166" s="978"/>
      <c r="N166" s="978"/>
      <c r="O166" s="978"/>
      <c r="P166" s="876"/>
      <c r="Q166" s="876"/>
      <c r="R166" s="876"/>
      <c r="S166" s="876"/>
      <c r="T166" s="876"/>
      <c r="U166" s="876"/>
      <c r="V166" s="876"/>
      <c r="Z166" s="1354"/>
      <c r="AA166" s="1354" t="str">
        <f>IF(AND(F167=G167,H167=I167,F167="A"),"2015 - kw","")</f>
        <v/>
      </c>
      <c r="AB166" s="1354" t="str">
        <f>IF(OR(B166="2016 - kw",B166="2017 - kw"),"2015 - kw","")</f>
        <v/>
      </c>
      <c r="AC166" s="1354"/>
      <c r="AD166" s="1354"/>
      <c r="AE166" s="1354"/>
    </row>
    <row r="167" spans="1:31" s="779" customFormat="1" hidden="1" x14ac:dyDescent="0.25">
      <c r="A167" s="876"/>
      <c r="B167" s="876"/>
      <c r="C167" s="755"/>
      <c r="D167" s="870"/>
      <c r="E167" s="871" t="s">
        <v>2550</v>
      </c>
      <c r="F167" s="977"/>
      <c r="G167" s="977"/>
      <c r="H167" s="977"/>
      <c r="I167" s="977"/>
      <c r="J167" s="977"/>
      <c r="K167" s="977"/>
      <c r="L167" s="977"/>
      <c r="M167" s="977"/>
      <c r="N167" s="977"/>
      <c r="O167" s="977"/>
      <c r="P167" s="876"/>
      <c r="Q167" s="876"/>
      <c r="R167" s="876"/>
      <c r="S167" s="876"/>
      <c r="T167" s="876"/>
      <c r="U167" s="876"/>
      <c r="V167" s="876"/>
      <c r="Z167" s="1354"/>
      <c r="AA167" s="1354"/>
      <c r="AB167" s="1354"/>
      <c r="AC167" s="1354"/>
      <c r="AD167" s="1354"/>
      <c r="AE167" s="1354"/>
    </row>
    <row r="168" spans="1:31" s="779" customFormat="1" hidden="1" x14ac:dyDescent="0.25">
      <c r="A168" s="876" t="str">
        <f>IF(AND(F170=G170,H170=I170,J170=K170,F170="A"),"2015 - kwh",IF(AND(F170=G170,H170=I170,J170&lt;&gt;K170,F170="A"),"2016 - kwh",IF(AND(F170=G170,H170&lt;&gt;I170,F170="A"),"2017 - kwh","N/A")))</f>
        <v>N/A</v>
      </c>
      <c r="B168" s="876" t="str">
        <f>IF(F170&lt;&gt;G170,"2017 - kwh",IF(H170&lt;&gt;I170,"2016 - kwh",IF(J170&lt;&gt;K170,"2015 - kwh","N/A")))</f>
        <v>N/A</v>
      </c>
      <c r="C168" s="751" t="s">
        <v>2631</v>
      </c>
      <c r="D168" s="979"/>
      <c r="E168" s="873" t="s">
        <v>158</v>
      </c>
      <c r="F168" s="978"/>
      <c r="G168" s="978"/>
      <c r="H168" s="978"/>
      <c r="I168" s="978"/>
      <c r="J168" s="978"/>
      <c r="K168" s="978"/>
      <c r="L168" s="978"/>
      <c r="M168" s="978"/>
      <c r="N168" s="978"/>
      <c r="O168" s="978"/>
      <c r="P168" s="876"/>
      <c r="Q168" s="876"/>
      <c r="R168" s="876"/>
      <c r="S168" s="876"/>
      <c r="T168" s="876"/>
      <c r="U168" s="876"/>
      <c r="V168" s="876"/>
      <c r="Z168" s="1354"/>
      <c r="AA168" s="1354" t="str">
        <f>IF(AND(F170=G170,H170=I170,F170="A"),"2015 - kwh","")</f>
        <v/>
      </c>
      <c r="AB168" s="1354" t="str">
        <f>IF(OR(B168="2016 - kwh",B168="2017 - kwh"),"2015 - kwh","")</f>
        <v/>
      </c>
      <c r="AC168" s="1354"/>
      <c r="AD168" s="1354"/>
      <c r="AE168" s="1354"/>
    </row>
    <row r="169" spans="1:31" s="779" customFormat="1" hidden="1" x14ac:dyDescent="0.25">
      <c r="A169" s="876" t="str">
        <f>IF(AND(F170=G170,H170=I170,J170=K170,F170="A"),"2015 - kw",IF(AND(F170=G170,H170=I170,J170&lt;&gt;K170,F170="A"),"2016 - kw",IF(AND(F170=G170,H170&lt;&gt;I170,F170="A"),"2017 - kw","N/A")))</f>
        <v>N/A</v>
      </c>
      <c r="B169" s="876" t="str">
        <f>IF(F170&lt;&gt;G170,"2017 - kw",IF(H170&lt;&gt;I170,"2016 - kw",IF(J170&lt;&gt;K170,"2015 - kw","N/A")))</f>
        <v>N/A</v>
      </c>
      <c r="C169" s="752"/>
      <c r="D169" s="809" t="str">
        <f>D168 &amp; "kW"</f>
        <v>kW</v>
      </c>
      <c r="E169" s="872" t="s">
        <v>159</v>
      </c>
      <c r="F169" s="978"/>
      <c r="G169" s="978"/>
      <c r="H169" s="978"/>
      <c r="I169" s="978"/>
      <c r="J169" s="978"/>
      <c r="K169" s="978"/>
      <c r="L169" s="978"/>
      <c r="M169" s="978"/>
      <c r="N169" s="978"/>
      <c r="O169" s="978"/>
      <c r="P169" s="876"/>
      <c r="Q169" s="876"/>
      <c r="R169" s="876"/>
      <c r="S169" s="876"/>
      <c r="T169" s="876"/>
      <c r="U169" s="876"/>
      <c r="V169" s="876"/>
      <c r="Z169" s="1354"/>
      <c r="AA169" s="1354" t="str">
        <f>IF(AND(F170=G170,H170=I170,F170="A"),"2015 - kw","")</f>
        <v/>
      </c>
      <c r="AB169" s="1354" t="str">
        <f>IF(OR(B169="2016 - kw",B169="2017 - kw"),"2015 - kw","")</f>
        <v/>
      </c>
      <c r="AC169" s="1354"/>
      <c r="AD169" s="1354"/>
      <c r="AE169" s="1354"/>
    </row>
    <row r="170" spans="1:31" s="779" customFormat="1" hidden="1" x14ac:dyDescent="0.25">
      <c r="A170" s="876"/>
      <c r="B170" s="876"/>
      <c r="C170" s="755"/>
      <c r="D170" s="870"/>
      <c r="E170" s="871" t="s">
        <v>2550</v>
      </c>
      <c r="F170" s="977"/>
      <c r="G170" s="977"/>
      <c r="H170" s="977"/>
      <c r="I170" s="977"/>
      <c r="J170" s="977"/>
      <c r="K170" s="977"/>
      <c r="L170" s="977"/>
      <c r="M170" s="977"/>
      <c r="N170" s="977"/>
      <c r="O170" s="977"/>
      <c r="P170" s="876"/>
      <c r="Q170" s="876"/>
      <c r="R170" s="876"/>
      <c r="S170" s="876"/>
      <c r="T170" s="876"/>
      <c r="U170" s="876"/>
      <c r="V170" s="876"/>
      <c r="Z170" s="1354"/>
      <c r="AA170" s="1354"/>
      <c r="AB170" s="1354"/>
      <c r="AC170" s="1354"/>
      <c r="AD170" s="1354"/>
      <c r="AE170" s="1354"/>
    </row>
    <row r="171" spans="1:31" s="779" customFormat="1" hidden="1" x14ac:dyDescent="0.25">
      <c r="A171" s="876" t="str">
        <f>IF(AND(F173=G173,H173=I173,J173=K173,F173="A"),"2015 - kwh",IF(AND(F173=G173,H173=I173,J173&lt;&gt;K173,F173="A"),"2016 - kwh",IF(AND(F173=G173,H173&lt;&gt;I173,F173="A"),"2017 - kwh","N/A")))</f>
        <v>N/A</v>
      </c>
      <c r="B171" s="876" t="str">
        <f>IF(F173&lt;&gt;G173,"2017 - kwh",IF(H173&lt;&gt;I173,"2016 - kwh",IF(J173&lt;&gt;K173,"2015 - kwh","N/A")))</f>
        <v>N/A</v>
      </c>
      <c r="C171" s="751" t="s">
        <v>2632</v>
      </c>
      <c r="D171" s="979"/>
      <c r="E171" s="873" t="s">
        <v>158</v>
      </c>
      <c r="F171" s="978"/>
      <c r="G171" s="978"/>
      <c r="H171" s="978"/>
      <c r="I171" s="978"/>
      <c r="J171" s="978"/>
      <c r="K171" s="978"/>
      <c r="L171" s="978"/>
      <c r="M171" s="978"/>
      <c r="N171" s="978"/>
      <c r="O171" s="978"/>
      <c r="P171" s="876"/>
      <c r="Q171" s="876"/>
      <c r="R171" s="876"/>
      <c r="S171" s="876"/>
      <c r="T171" s="876"/>
      <c r="U171" s="876"/>
      <c r="V171" s="876"/>
      <c r="Z171" s="1354"/>
      <c r="AA171" s="1354" t="str">
        <f>IF(AND(F173=G173,H173=I173,F173="A"),"2015 - kwh","")</f>
        <v/>
      </c>
      <c r="AB171" s="1354" t="str">
        <f>IF(OR(B171="2016 - kwh",B171="2017 - kwh"),"2015 - kwh","")</f>
        <v/>
      </c>
      <c r="AC171" s="1354"/>
      <c r="AD171" s="1354"/>
      <c r="AE171" s="1354"/>
    </row>
    <row r="172" spans="1:31" s="779" customFormat="1" hidden="1" x14ac:dyDescent="0.25">
      <c r="A172" s="876" t="str">
        <f>IF(AND(F173=G173,H173=I173,J173=K173,F173="A"),"2015 - kw",IF(AND(F173=G173,H173=I173,J173&lt;&gt;K173,F173="A"),"2016 - kw",IF(AND(F173=G173,H173&lt;&gt;I173,F173="A"),"2017 - kw","N/A")))</f>
        <v>N/A</v>
      </c>
      <c r="B172" s="876" t="str">
        <f>IF(F173&lt;&gt;G173,"2017 - kw",IF(H173&lt;&gt;I173,"2016 - kw",IF(J173&lt;&gt;K173,"2015 - kw","N/A")))</f>
        <v>N/A</v>
      </c>
      <c r="C172" s="752"/>
      <c r="D172" s="809" t="str">
        <f>D171 &amp; "kW"</f>
        <v>kW</v>
      </c>
      <c r="E172" s="872" t="s">
        <v>159</v>
      </c>
      <c r="F172" s="978"/>
      <c r="G172" s="978"/>
      <c r="H172" s="978"/>
      <c r="I172" s="978"/>
      <c r="J172" s="978"/>
      <c r="K172" s="978"/>
      <c r="L172" s="978"/>
      <c r="M172" s="978"/>
      <c r="N172" s="978"/>
      <c r="O172" s="978"/>
      <c r="P172" s="876"/>
      <c r="Q172" s="876"/>
      <c r="R172" s="876"/>
      <c r="S172" s="876"/>
      <c r="T172" s="876"/>
      <c r="U172" s="876"/>
      <c r="V172" s="876"/>
      <c r="Z172" s="1354"/>
      <c r="AA172" s="1354" t="str">
        <f>IF(AND(F173=G173,H173=I173,F173="A"),"2015 - kw","")</f>
        <v/>
      </c>
      <c r="AB172" s="1354" t="str">
        <f>IF(OR(B172="2016 - kw",B172="2017 - kw"),"2015 - kw","")</f>
        <v/>
      </c>
      <c r="AC172" s="1354"/>
      <c r="AD172" s="1354"/>
      <c r="AE172" s="1354"/>
    </row>
    <row r="173" spans="1:31" s="779" customFormat="1" hidden="1" x14ac:dyDescent="0.25">
      <c r="A173" s="876"/>
      <c r="B173" s="876"/>
      <c r="C173" s="755"/>
      <c r="D173" s="870"/>
      <c r="E173" s="871" t="s">
        <v>2550</v>
      </c>
      <c r="F173" s="977"/>
      <c r="G173" s="977"/>
      <c r="H173" s="977"/>
      <c r="I173" s="977"/>
      <c r="J173" s="977"/>
      <c r="K173" s="977"/>
      <c r="L173" s="977"/>
      <c r="M173" s="977"/>
      <c r="N173" s="977"/>
      <c r="O173" s="977"/>
      <c r="P173" s="876"/>
      <c r="Q173" s="876"/>
      <c r="R173" s="876"/>
      <c r="S173" s="876"/>
      <c r="T173" s="876"/>
      <c r="U173" s="876"/>
      <c r="V173" s="876"/>
      <c r="Z173" s="1354"/>
      <c r="AA173" s="1354"/>
      <c r="AB173" s="1354"/>
      <c r="AC173" s="1354"/>
      <c r="AD173" s="1354"/>
      <c r="AE173" s="1354"/>
    </row>
    <row r="174" spans="1:31" s="779" customFormat="1" hidden="1" x14ac:dyDescent="0.25">
      <c r="A174" s="876" t="str">
        <f>IF(AND(F176=G176,H176=I176,J176=K176,F176="A"),"2015 - kwh",IF(AND(F176=G176,H176=I176,J176&lt;&gt;K176,F176="A"),"2016 - kwh",IF(AND(F176=G176,H176&lt;&gt;I176,F176="A"),"2017 - kwh","N/A")))</f>
        <v>N/A</v>
      </c>
      <c r="B174" s="876" t="str">
        <f>IF(F176&lt;&gt;G176,"2017 - kwh",IF(H176&lt;&gt;I176,"2016 - kwh",IF(J176&lt;&gt;K176,"2015 - kwh","N/A")))</f>
        <v>N/A</v>
      </c>
      <c r="C174" s="751" t="s">
        <v>2633</v>
      </c>
      <c r="D174" s="979"/>
      <c r="E174" s="873" t="s">
        <v>158</v>
      </c>
      <c r="F174" s="978"/>
      <c r="G174" s="978"/>
      <c r="H174" s="978"/>
      <c r="I174" s="978"/>
      <c r="J174" s="978"/>
      <c r="K174" s="978"/>
      <c r="L174" s="978"/>
      <c r="M174" s="978"/>
      <c r="N174" s="978"/>
      <c r="O174" s="978"/>
      <c r="P174" s="876"/>
      <c r="Q174" s="876"/>
      <c r="R174" s="876"/>
      <c r="S174" s="876"/>
      <c r="T174" s="876"/>
      <c r="U174" s="876"/>
      <c r="V174" s="876"/>
      <c r="Z174" s="1354"/>
      <c r="AA174" s="1354" t="str">
        <f>IF(AND(F176=G176,H176=I176,F176="A"),"2015 - kwh","")</f>
        <v/>
      </c>
      <c r="AB174" s="1354" t="str">
        <f>IF(OR(B174="2016 - kwh",B174="2017 - kwh"),"2015 - kwh","")</f>
        <v/>
      </c>
      <c r="AC174" s="1354"/>
      <c r="AD174" s="1354"/>
      <c r="AE174" s="1354"/>
    </row>
    <row r="175" spans="1:31" s="779" customFormat="1" hidden="1" x14ac:dyDescent="0.25">
      <c r="A175" s="876" t="str">
        <f>IF(AND(F176=G176,H176=I176,J176=K176,F176="A"),"2015 - kw",IF(AND(F176=G176,H176=I176,J176&lt;&gt;K176,F176="A"),"2016 - kw",IF(AND(F176=G176,H176&lt;&gt;I176,F176="A"),"2017 - kw","N/A")))</f>
        <v>N/A</v>
      </c>
      <c r="B175" s="876" t="str">
        <f>IF(F176&lt;&gt;G176,"2017 - kw",IF(H176&lt;&gt;I176,"2016 - kw",IF(J176&lt;&gt;K176,"2015 - kw","N/A")))</f>
        <v>N/A</v>
      </c>
      <c r="C175" s="752"/>
      <c r="D175" s="809" t="str">
        <f>D174 &amp; "kW"</f>
        <v>kW</v>
      </c>
      <c r="E175" s="872" t="s">
        <v>159</v>
      </c>
      <c r="F175" s="978"/>
      <c r="G175" s="978"/>
      <c r="H175" s="978"/>
      <c r="I175" s="978"/>
      <c r="J175" s="978"/>
      <c r="K175" s="978"/>
      <c r="L175" s="978"/>
      <c r="M175" s="978"/>
      <c r="N175" s="978"/>
      <c r="O175" s="978"/>
      <c r="P175" s="876"/>
      <c r="Q175" s="876"/>
      <c r="R175" s="876"/>
      <c r="S175" s="876"/>
      <c r="T175" s="876"/>
      <c r="U175" s="876"/>
      <c r="V175" s="876"/>
      <c r="Z175" s="1354"/>
      <c r="AA175" s="1354" t="str">
        <f>IF(AND(F176=G176,H176=I176,F176="A"),"2015 - kw","")</f>
        <v/>
      </c>
      <c r="AB175" s="1354" t="str">
        <f>IF(OR(B175="2016 - kw",B175="2017 - kw"),"2015 - kw","")</f>
        <v/>
      </c>
      <c r="AC175" s="1354"/>
      <c r="AD175" s="1354"/>
      <c r="AE175" s="1354"/>
    </row>
    <row r="176" spans="1:31" s="779" customFormat="1" hidden="1" x14ac:dyDescent="0.25">
      <c r="A176" s="876"/>
      <c r="B176" s="876"/>
      <c r="C176" s="755"/>
      <c r="D176" s="870"/>
      <c r="E176" s="871" t="s">
        <v>2550</v>
      </c>
      <c r="F176" s="977"/>
      <c r="G176" s="977"/>
      <c r="H176" s="977"/>
      <c r="I176" s="977"/>
      <c r="J176" s="977"/>
      <c r="K176" s="977"/>
      <c r="L176" s="977"/>
      <c r="M176" s="977"/>
      <c r="N176" s="977"/>
      <c r="O176" s="977"/>
      <c r="P176" s="876"/>
      <c r="Q176" s="876"/>
      <c r="R176" s="876"/>
      <c r="S176" s="876"/>
      <c r="T176" s="876"/>
      <c r="U176" s="876"/>
      <c r="V176" s="876"/>
      <c r="Z176" s="1354"/>
      <c r="AA176" s="1354"/>
      <c r="AB176" s="1354"/>
      <c r="AC176" s="1354"/>
      <c r="AD176" s="1354"/>
      <c r="AE176" s="1354"/>
    </row>
    <row r="177" spans="1:31" s="779" customFormat="1" hidden="1" x14ac:dyDescent="0.25">
      <c r="A177" s="876" t="str">
        <f>IF(AND(F179=G179,H179=I179,J179=K179,F179="A"),"2015 - kwh",IF(AND(F179=G179,H179=I179,J179&lt;&gt;K179,F179="A"),"2016 - kwh",IF(AND(F179=G179,H179&lt;&gt;I179,F179="A"),"2017 - kwh","N/A")))</f>
        <v>N/A</v>
      </c>
      <c r="B177" s="876" t="str">
        <f>IF(F179&lt;&gt;G179,"2017 - kwh",IF(H179&lt;&gt;I179,"2016 - kwh",IF(J179&lt;&gt;K179,"2015 - kwh","N/A")))</f>
        <v>N/A</v>
      </c>
      <c r="C177" s="751" t="s">
        <v>2634</v>
      </c>
      <c r="D177" s="979"/>
      <c r="E177" s="873" t="s">
        <v>158</v>
      </c>
      <c r="F177" s="978"/>
      <c r="G177" s="978"/>
      <c r="H177" s="978"/>
      <c r="I177" s="978"/>
      <c r="J177" s="978"/>
      <c r="K177" s="978"/>
      <c r="L177" s="978"/>
      <c r="M177" s="978"/>
      <c r="N177" s="978"/>
      <c r="O177" s="978"/>
      <c r="P177" s="876"/>
      <c r="Q177" s="876"/>
      <c r="R177" s="876"/>
      <c r="S177" s="876"/>
      <c r="T177" s="876"/>
      <c r="U177" s="876"/>
      <c r="V177" s="876"/>
      <c r="Z177" s="1354"/>
      <c r="AA177" s="1354" t="str">
        <f>IF(AND(F179=G179,H179=I179,F179="A"),"2015 - kwh","")</f>
        <v/>
      </c>
      <c r="AB177" s="1354" t="str">
        <f>IF(OR(B177="2016 - kwh",B177="2017 - kwh"),"2015 - kwh","")</f>
        <v/>
      </c>
      <c r="AC177" s="1354"/>
      <c r="AD177" s="1354"/>
      <c r="AE177" s="1354"/>
    </row>
    <row r="178" spans="1:31" s="779" customFormat="1" hidden="1" x14ac:dyDescent="0.25">
      <c r="A178" s="876" t="str">
        <f>IF(AND(F179=G179,H179=I179,J179=K179,F179="A"),"2015 - kw",IF(AND(F179=G179,H179=I179,J179&lt;&gt;K179,F179="A"),"2016 - kw",IF(AND(F179=G179,H179&lt;&gt;I179,F179="A"),"2017 - kw","N/A")))</f>
        <v>N/A</v>
      </c>
      <c r="B178" s="876" t="str">
        <f>IF(F179&lt;&gt;G179,"2017 - kw",IF(H179&lt;&gt;I179,"2016 - kw",IF(J179&lt;&gt;K179,"2015 - kw","N/A")))</f>
        <v>N/A</v>
      </c>
      <c r="C178" s="752"/>
      <c r="D178" s="809" t="str">
        <f>D177 &amp; "kW"</f>
        <v>kW</v>
      </c>
      <c r="E178" s="872" t="s">
        <v>159</v>
      </c>
      <c r="F178" s="978"/>
      <c r="G178" s="978"/>
      <c r="H178" s="978"/>
      <c r="I178" s="978"/>
      <c r="J178" s="978"/>
      <c r="K178" s="978"/>
      <c r="L178" s="978"/>
      <c r="M178" s="978"/>
      <c r="N178" s="978"/>
      <c r="O178" s="978"/>
      <c r="P178" s="876"/>
      <c r="Q178" s="876"/>
      <c r="R178" s="876"/>
      <c r="S178" s="876"/>
      <c r="T178" s="876"/>
      <c r="U178" s="876"/>
      <c r="V178" s="876"/>
      <c r="Z178" s="1354"/>
      <c r="AA178" s="1354" t="str">
        <f>IF(AND(F179=G179,H179=I179,F179="A"),"2015 - kw","")</f>
        <v/>
      </c>
      <c r="AB178" s="1354" t="str">
        <f>IF(OR(B178="2016 - kw",B178="2017 - kw"),"2015 - kw","")</f>
        <v/>
      </c>
      <c r="AC178" s="1354"/>
      <c r="AD178" s="1354"/>
      <c r="AE178" s="1354"/>
    </row>
    <row r="179" spans="1:31" s="779" customFormat="1" hidden="1" x14ac:dyDescent="0.25">
      <c r="A179" s="876"/>
      <c r="B179" s="876"/>
      <c r="C179" s="755"/>
      <c r="D179" s="870"/>
      <c r="E179" s="871" t="s">
        <v>2550</v>
      </c>
      <c r="F179" s="977"/>
      <c r="G179" s="977"/>
      <c r="H179" s="977"/>
      <c r="I179" s="977"/>
      <c r="J179" s="977"/>
      <c r="K179" s="977"/>
      <c r="L179" s="977"/>
      <c r="M179" s="977"/>
      <c r="N179" s="977"/>
      <c r="O179" s="977"/>
      <c r="P179" s="876"/>
      <c r="Q179" s="876"/>
      <c r="R179" s="876"/>
      <c r="S179" s="876"/>
      <c r="T179" s="876"/>
      <c r="U179" s="876"/>
      <c r="V179" s="876"/>
      <c r="Z179" s="1354"/>
      <c r="AA179" s="1354"/>
      <c r="AB179" s="1354"/>
      <c r="AC179" s="1354"/>
      <c r="AD179" s="1354"/>
      <c r="AE179" s="1354"/>
    </row>
    <row r="180" spans="1:31" s="779" customFormat="1" hidden="1" x14ac:dyDescent="0.25">
      <c r="A180" s="876" t="str">
        <f>IF(AND(F182=G182,H182=I182,J182=K182,F182="A"),"2015 - kwh",IF(AND(F182=G182,H182=I182,J182&lt;&gt;K182,F182="A"),"2016 - kwh",IF(AND(F182=G182,H182&lt;&gt;I182,F182="A"),"2017 - kwh","N/A")))</f>
        <v>N/A</v>
      </c>
      <c r="B180" s="876" t="str">
        <f>IF(F182&lt;&gt;G182,"2017 - kwh",IF(H182&lt;&gt;I182,"2016 - kwh",IF(J182&lt;&gt;K182,"2015 - kwh","N/A")))</f>
        <v>N/A</v>
      </c>
      <c r="C180" s="751" t="s">
        <v>2635</v>
      </c>
      <c r="D180" s="979"/>
      <c r="E180" s="873" t="s">
        <v>158</v>
      </c>
      <c r="F180" s="978"/>
      <c r="G180" s="978"/>
      <c r="H180" s="978"/>
      <c r="I180" s="978"/>
      <c r="J180" s="978"/>
      <c r="K180" s="978"/>
      <c r="L180" s="978"/>
      <c r="M180" s="978"/>
      <c r="N180" s="978"/>
      <c r="O180" s="978"/>
      <c r="P180" s="876"/>
      <c r="Q180" s="876"/>
      <c r="R180" s="876"/>
      <c r="S180" s="876"/>
      <c r="T180" s="876"/>
      <c r="U180" s="876"/>
      <c r="V180" s="876"/>
      <c r="Z180" s="1354"/>
      <c r="AA180" s="1354" t="str">
        <f>IF(AND(F182=G182,H182=I182,F182="A"),"2015 - kwh","")</f>
        <v/>
      </c>
      <c r="AB180" s="1354" t="str">
        <f>IF(OR(B180="2016 - kwh",B180="2017 - kwh"),"2015 - kwh","")</f>
        <v/>
      </c>
      <c r="AC180" s="1354"/>
      <c r="AD180" s="1354"/>
      <c r="AE180" s="1354"/>
    </row>
    <row r="181" spans="1:31" s="779" customFormat="1" hidden="1" x14ac:dyDescent="0.25">
      <c r="A181" s="876" t="str">
        <f>IF(AND(F182=G182,H182=I182,J182=K182,F182="A"),"2015 - kw",IF(AND(F182=G182,H182=I182,J182&lt;&gt;K182,F182="A"),"2016 - kw",IF(AND(F182=G182,H182&lt;&gt;I182,F182="A"),"2017 - kw","N/A")))</f>
        <v>N/A</v>
      </c>
      <c r="B181" s="876" t="str">
        <f>IF(F182&lt;&gt;G182,"2017 - kw",IF(H182&lt;&gt;I182,"2016 - kw",IF(J182&lt;&gt;K182,"2015 - kw","N/A")))</f>
        <v>N/A</v>
      </c>
      <c r="C181" s="752"/>
      <c r="D181" s="809" t="str">
        <f>D180 &amp; "kW"</f>
        <v>kW</v>
      </c>
      <c r="E181" s="872" t="s">
        <v>159</v>
      </c>
      <c r="F181" s="978"/>
      <c r="G181" s="978"/>
      <c r="H181" s="978"/>
      <c r="I181" s="978"/>
      <c r="J181" s="978"/>
      <c r="K181" s="978"/>
      <c r="L181" s="978"/>
      <c r="M181" s="978"/>
      <c r="N181" s="978"/>
      <c r="O181" s="978"/>
      <c r="P181" s="876"/>
      <c r="Q181" s="876"/>
      <c r="R181" s="876"/>
      <c r="S181" s="876"/>
      <c r="T181" s="876"/>
      <c r="U181" s="876"/>
      <c r="V181" s="876"/>
      <c r="Z181" s="1354"/>
      <c r="AA181" s="1354" t="str">
        <f>IF(AND(F182=G182,H182=I182,F182="A"),"2015 - kw","")</f>
        <v/>
      </c>
      <c r="AB181" s="1354" t="str">
        <f>IF(OR(B181="2016 - kw",B181="2017 - kw"),"2015 - kw","")</f>
        <v/>
      </c>
      <c r="AC181" s="1354"/>
      <c r="AD181" s="1354"/>
      <c r="AE181" s="1354"/>
    </row>
    <row r="182" spans="1:31" s="779" customFormat="1" hidden="1" x14ac:dyDescent="0.25">
      <c r="A182" s="876"/>
      <c r="B182" s="876"/>
      <c r="C182" s="755"/>
      <c r="D182" s="870"/>
      <c r="E182" s="871" t="s">
        <v>2550</v>
      </c>
      <c r="F182" s="977"/>
      <c r="G182" s="977"/>
      <c r="H182" s="977"/>
      <c r="I182" s="977"/>
      <c r="J182" s="977"/>
      <c r="K182" s="977"/>
      <c r="L182" s="977"/>
      <c r="M182" s="977"/>
      <c r="N182" s="977"/>
      <c r="O182" s="977"/>
      <c r="P182" s="876"/>
      <c r="Q182" s="876"/>
      <c r="R182" s="876"/>
      <c r="S182" s="876"/>
      <c r="T182" s="876"/>
      <c r="U182" s="876"/>
      <c r="V182" s="876"/>
      <c r="Z182" s="1354"/>
      <c r="AA182" s="1354"/>
      <c r="AB182" s="1354"/>
      <c r="AC182" s="1354"/>
      <c r="AD182" s="1354"/>
      <c r="AE182" s="1354"/>
    </row>
    <row r="183" spans="1:31" s="779" customFormat="1" hidden="1" x14ac:dyDescent="0.25">
      <c r="A183" s="876" t="str">
        <f>IF(AND(F185=G185,H185=I185,J185=K185,F185="A"),"2015 - kwh",IF(AND(F185=G185,H185=I185,J185&lt;&gt;K185,F185="A"),"2016 - kwh",IF(AND(F185=G185,H185&lt;&gt;I185,F185="A"),"2017 - kwh","N/A")))</f>
        <v>N/A</v>
      </c>
      <c r="B183" s="876" t="str">
        <f>IF(F185&lt;&gt;G185,"2017 - kwh",IF(H185&lt;&gt;I185,"2016 - kwh",IF(J185&lt;&gt;K185,"2015 - kwh","N/A")))</f>
        <v>N/A</v>
      </c>
      <c r="C183" s="751" t="s">
        <v>2636</v>
      </c>
      <c r="D183" s="979"/>
      <c r="E183" s="873" t="s">
        <v>158</v>
      </c>
      <c r="F183" s="978"/>
      <c r="G183" s="978"/>
      <c r="H183" s="978"/>
      <c r="I183" s="978"/>
      <c r="J183" s="978"/>
      <c r="K183" s="978"/>
      <c r="L183" s="978"/>
      <c r="M183" s="978"/>
      <c r="N183" s="978"/>
      <c r="O183" s="978"/>
      <c r="P183" s="876"/>
      <c r="Q183" s="876"/>
      <c r="R183" s="876"/>
      <c r="S183" s="876"/>
      <c r="T183" s="876"/>
      <c r="U183" s="876"/>
      <c r="V183" s="876"/>
      <c r="Z183" s="1354"/>
      <c r="AA183" s="1354" t="str">
        <f>IF(AND(F185=G185,H185=I185,F185="A"),"2015 - kwh","")</f>
        <v/>
      </c>
      <c r="AB183" s="1354" t="str">
        <f>IF(OR(B183="2016 - kwh",B183="2017 - kwh"),"2015 - kwh","")</f>
        <v/>
      </c>
      <c r="AC183" s="1354"/>
      <c r="AD183" s="1354"/>
      <c r="AE183" s="1354"/>
    </row>
    <row r="184" spans="1:31" s="779" customFormat="1" hidden="1" x14ac:dyDescent="0.25">
      <c r="A184" s="876" t="str">
        <f>IF(AND(F185=G185,H185=I185,J185=K185,F185="A"),"2015 - kw",IF(AND(F185=G185,H185=I185,J185&lt;&gt;K185,F185="A"),"2016 - kw",IF(AND(F185=G185,H185&lt;&gt;I185,F185="A"),"2017 - kw","N/A")))</f>
        <v>N/A</v>
      </c>
      <c r="B184" s="876" t="str">
        <f>IF(F185&lt;&gt;G185,"2017 - kw",IF(H185&lt;&gt;I185,"2016 - kw",IF(J185&lt;&gt;K185,"2015 - kw","N/A")))</f>
        <v>N/A</v>
      </c>
      <c r="C184" s="752"/>
      <c r="D184" s="809" t="str">
        <f>D183 &amp; "kW"</f>
        <v>kW</v>
      </c>
      <c r="E184" s="872" t="s">
        <v>159</v>
      </c>
      <c r="F184" s="978"/>
      <c r="G184" s="978"/>
      <c r="H184" s="978"/>
      <c r="I184" s="978"/>
      <c r="J184" s="978"/>
      <c r="K184" s="978"/>
      <c r="L184" s="978"/>
      <c r="M184" s="978"/>
      <c r="N184" s="978"/>
      <c r="O184" s="978"/>
      <c r="P184" s="876"/>
      <c r="Q184" s="876"/>
      <c r="R184" s="876"/>
      <c r="S184" s="876"/>
      <c r="T184" s="876"/>
      <c r="U184" s="876"/>
      <c r="V184" s="876"/>
      <c r="Z184" s="1354"/>
      <c r="AA184" s="1354" t="str">
        <f>IF(AND(F185=G185,H185=I185,F185="A"),"2015 - kw","")</f>
        <v/>
      </c>
      <c r="AB184" s="1354" t="str">
        <f>IF(OR(B184="2016 - kw",B184="2017 - kw"),"2015 - kw","")</f>
        <v/>
      </c>
      <c r="AC184" s="1354"/>
      <c r="AD184" s="1354"/>
      <c r="AE184" s="1354"/>
    </row>
    <row r="185" spans="1:31" s="779" customFormat="1" hidden="1" x14ac:dyDescent="0.25">
      <c r="A185" s="876"/>
      <c r="B185" s="876"/>
      <c r="C185" s="755"/>
      <c r="D185" s="870"/>
      <c r="E185" s="871" t="s">
        <v>2550</v>
      </c>
      <c r="F185" s="977"/>
      <c r="G185" s="977"/>
      <c r="H185" s="977"/>
      <c r="I185" s="977"/>
      <c r="J185" s="977"/>
      <c r="K185" s="977"/>
      <c r="L185" s="977"/>
      <c r="M185" s="977"/>
      <c r="N185" s="977"/>
      <c r="O185" s="977"/>
      <c r="P185" s="876"/>
      <c r="Q185" s="876"/>
      <c r="R185" s="876"/>
      <c r="S185" s="876"/>
      <c r="T185" s="876"/>
      <c r="U185" s="876"/>
      <c r="V185" s="876"/>
      <c r="Z185" s="1354"/>
      <c r="AA185" s="1354"/>
      <c r="AB185" s="1354"/>
      <c r="AC185" s="1354"/>
      <c r="AD185" s="1354"/>
      <c r="AE185" s="1354"/>
    </row>
    <row r="186" spans="1:31" s="779" customFormat="1" hidden="1" x14ac:dyDescent="0.25">
      <c r="A186" s="876" t="str">
        <f>IF(AND(F188=G188,H188=I188,J188=K188,F188="A"),"2015 - kwh",IF(AND(F188=G188,H188=I188,J188&lt;&gt;K188,F188="A"),"2016 - kwh",IF(AND(F188=G188,H188&lt;&gt;I188,F188="A"),"2017 - kwh","N/A")))</f>
        <v>N/A</v>
      </c>
      <c r="B186" s="876" t="str">
        <f>IF(F188&lt;&gt;G188,"2017 - kwh",IF(H188&lt;&gt;I188,"2016 - kwh",IF(J188&lt;&gt;K188,"2015 - kwh","N/A")))</f>
        <v>N/A</v>
      </c>
      <c r="C186" s="751" t="s">
        <v>2637</v>
      </c>
      <c r="D186" s="979"/>
      <c r="E186" s="873" t="s">
        <v>158</v>
      </c>
      <c r="F186" s="978"/>
      <c r="G186" s="978"/>
      <c r="H186" s="978"/>
      <c r="I186" s="978"/>
      <c r="J186" s="978"/>
      <c r="K186" s="978"/>
      <c r="L186" s="978"/>
      <c r="M186" s="978"/>
      <c r="N186" s="978"/>
      <c r="O186" s="978"/>
      <c r="P186" s="876"/>
      <c r="Q186" s="876"/>
      <c r="R186" s="876"/>
      <c r="S186" s="876"/>
      <c r="T186" s="876"/>
      <c r="U186" s="876"/>
      <c r="V186" s="876"/>
      <c r="Z186" s="1354"/>
      <c r="AA186" s="1354" t="str">
        <f>IF(AND(F188=G188,H188=I188,F188="A"),"2015 - kwh","")</f>
        <v/>
      </c>
      <c r="AB186" s="1354" t="str">
        <f>IF(OR(B186="2016 - kwh",B186="2017 - kwh"),"2015 - kwh","")</f>
        <v/>
      </c>
      <c r="AC186" s="1354"/>
      <c r="AD186" s="1354"/>
      <c r="AE186" s="1354"/>
    </row>
    <row r="187" spans="1:31" s="779" customFormat="1" hidden="1" x14ac:dyDescent="0.25">
      <c r="A187" s="876" t="str">
        <f>IF(AND(F188=G188,H188=I188,J188=K188,F188="A"),"2015 - kw",IF(AND(F188=G188,H188=I188,J188&lt;&gt;K188,F188="A"),"2016 - kw",IF(AND(F188=G188,H188&lt;&gt;I188,F188="A"),"2017 - kw","N/A")))</f>
        <v>N/A</v>
      </c>
      <c r="B187" s="876" t="str">
        <f>IF(F188&lt;&gt;G188,"2017 - kw",IF(H188&lt;&gt;I188,"2016 - kw",IF(J188&lt;&gt;K188,"2015 - kw","N/A")))</f>
        <v>N/A</v>
      </c>
      <c r="C187" s="752"/>
      <c r="D187" s="809" t="str">
        <f>D186 &amp; "kW"</f>
        <v>kW</v>
      </c>
      <c r="E187" s="872" t="s">
        <v>159</v>
      </c>
      <c r="F187" s="978"/>
      <c r="G187" s="978"/>
      <c r="H187" s="978"/>
      <c r="I187" s="978"/>
      <c r="J187" s="978"/>
      <c r="K187" s="978"/>
      <c r="L187" s="978"/>
      <c r="M187" s="978"/>
      <c r="N187" s="978"/>
      <c r="O187" s="978"/>
      <c r="P187" s="876"/>
      <c r="Q187" s="876"/>
      <c r="R187" s="876"/>
      <c r="S187" s="876"/>
      <c r="T187" s="876"/>
      <c r="U187" s="876"/>
      <c r="V187" s="876"/>
      <c r="Z187" s="1354"/>
      <c r="AA187" s="1354" t="str">
        <f>IF(AND(F188=G188,H188=I188,F188="A"),"2015 - kw","")</f>
        <v/>
      </c>
      <c r="AB187" s="1354" t="str">
        <f>IF(OR(B187="2016 - kw",B187="2017 - kw"),"2015 - kw","")</f>
        <v/>
      </c>
      <c r="AC187" s="1354"/>
      <c r="AD187" s="1354"/>
      <c r="AE187" s="1354"/>
    </row>
    <row r="188" spans="1:31" s="779" customFormat="1" hidden="1" x14ac:dyDescent="0.25">
      <c r="A188" s="876"/>
      <c r="B188" s="876"/>
      <c r="C188" s="755"/>
      <c r="D188" s="870"/>
      <c r="E188" s="871" t="s">
        <v>2550</v>
      </c>
      <c r="F188" s="977"/>
      <c r="G188" s="977"/>
      <c r="H188" s="977"/>
      <c r="I188" s="977"/>
      <c r="J188" s="977"/>
      <c r="K188" s="977"/>
      <c r="L188" s="977"/>
      <c r="M188" s="977"/>
      <c r="N188" s="977"/>
      <c r="O188" s="977"/>
      <c r="P188" s="876"/>
      <c r="Q188" s="876"/>
      <c r="R188" s="876"/>
      <c r="S188" s="876"/>
      <c r="T188" s="876"/>
      <c r="U188" s="876"/>
      <c r="V188" s="876"/>
      <c r="Z188" s="1354"/>
      <c r="AA188" s="1354"/>
      <c r="AB188" s="1354"/>
      <c r="AC188" s="1354"/>
      <c r="AD188" s="1354"/>
      <c r="AE188" s="1354"/>
    </row>
    <row r="189" spans="1:31" s="779" customFormat="1" hidden="1" x14ac:dyDescent="0.25">
      <c r="A189" s="876" t="str">
        <f>IF(AND(F191=G191,H191=I191,J191=K191,F191="A"),"2015 - kwh",IF(AND(F191=G191,H191=I191,J191&lt;&gt;K191,F191="A"),"2016 - kwh",IF(AND(F191=G191,H191&lt;&gt;I191,F191="A"),"2017 - kwh","N/A")))</f>
        <v>N/A</v>
      </c>
      <c r="B189" s="876" t="str">
        <f>IF(F191&lt;&gt;G191,"2017 - kwh",IF(H191&lt;&gt;I191,"2016 - kwh",IF(J191&lt;&gt;K191,"2015 - kwh","N/A")))</f>
        <v>N/A</v>
      </c>
      <c r="C189" s="751" t="s">
        <v>2638</v>
      </c>
      <c r="D189" s="979"/>
      <c r="E189" s="873" t="s">
        <v>158</v>
      </c>
      <c r="F189" s="978"/>
      <c r="G189" s="978"/>
      <c r="H189" s="978"/>
      <c r="I189" s="978"/>
      <c r="J189" s="978"/>
      <c r="K189" s="978"/>
      <c r="L189" s="978"/>
      <c r="M189" s="978"/>
      <c r="N189" s="978"/>
      <c r="O189" s="978"/>
      <c r="P189" s="876"/>
      <c r="Q189" s="876"/>
      <c r="R189" s="876"/>
      <c r="S189" s="876"/>
      <c r="T189" s="876"/>
      <c r="U189" s="876"/>
      <c r="V189" s="876"/>
      <c r="Z189" s="1354"/>
      <c r="AA189" s="1354" t="str">
        <f>IF(AND(F191=G191,H191=I191,F191="A"),"2015 - kwh","")</f>
        <v/>
      </c>
      <c r="AB189" s="1354" t="str">
        <f>IF(OR(B189="2016 - kwh",B189="2017 - kwh"),"2015 - kwh","")</f>
        <v/>
      </c>
      <c r="AC189" s="1354"/>
      <c r="AD189" s="1354"/>
      <c r="AE189" s="1354"/>
    </row>
    <row r="190" spans="1:31" s="779" customFormat="1" hidden="1" x14ac:dyDescent="0.25">
      <c r="A190" s="876" t="str">
        <f>IF(AND(F191=G191,H191=I191,J191=K191,F191="A"),"2015 - kw",IF(AND(F191=G191,H191=I191,J191&lt;&gt;K191,F191="A"),"2016 - kw",IF(AND(F191=G191,H191&lt;&gt;I191,F191="A"),"2017 - kw","N/A")))</f>
        <v>N/A</v>
      </c>
      <c r="B190" s="876" t="str">
        <f>IF(F191&lt;&gt;G191,"2017 - kw",IF(H191&lt;&gt;I191,"2016 - kw",IF(J191&lt;&gt;K191,"2015 - kw","N/A")))</f>
        <v>N/A</v>
      </c>
      <c r="C190" s="752"/>
      <c r="D190" s="809" t="str">
        <f>D189 &amp; "kW"</f>
        <v>kW</v>
      </c>
      <c r="E190" s="872" t="s">
        <v>159</v>
      </c>
      <c r="F190" s="978"/>
      <c r="G190" s="978"/>
      <c r="H190" s="978"/>
      <c r="I190" s="978"/>
      <c r="J190" s="978"/>
      <c r="K190" s="978"/>
      <c r="L190" s="978"/>
      <c r="M190" s="978"/>
      <c r="N190" s="978"/>
      <c r="O190" s="978"/>
      <c r="P190" s="876"/>
      <c r="Q190" s="876"/>
      <c r="R190" s="876"/>
      <c r="S190" s="876"/>
      <c r="T190" s="876"/>
      <c r="U190" s="876"/>
      <c r="V190" s="876"/>
      <c r="Z190" s="1354"/>
      <c r="AA190" s="1354" t="str">
        <f>IF(AND(F191=G191,H191=I191,F191="A"),"2015 - kw","")</f>
        <v/>
      </c>
      <c r="AB190" s="1354" t="str">
        <f>IF(OR(B190="2016 - kw",B190="2017 - kw"),"2015 - kw","")</f>
        <v/>
      </c>
      <c r="AC190" s="1354"/>
      <c r="AD190" s="1354"/>
      <c r="AE190" s="1354"/>
    </row>
    <row r="191" spans="1:31" s="779" customFormat="1" hidden="1" x14ac:dyDescent="0.25">
      <c r="A191" s="876"/>
      <c r="B191" s="876"/>
      <c r="C191" s="755"/>
      <c r="D191" s="870"/>
      <c r="E191" s="871" t="s">
        <v>2550</v>
      </c>
      <c r="F191" s="977"/>
      <c r="G191" s="977"/>
      <c r="H191" s="977"/>
      <c r="I191" s="977"/>
      <c r="J191" s="977"/>
      <c r="K191" s="977"/>
      <c r="L191" s="977"/>
      <c r="M191" s="977"/>
      <c r="N191" s="977"/>
      <c r="O191" s="977"/>
      <c r="P191" s="876"/>
      <c r="Q191" s="876"/>
      <c r="R191" s="876"/>
      <c r="S191" s="876"/>
      <c r="T191" s="876"/>
      <c r="U191" s="876"/>
      <c r="V191" s="876"/>
      <c r="Z191" s="1354"/>
      <c r="AA191" s="1354"/>
      <c r="AB191" s="1354"/>
      <c r="AC191" s="1354"/>
      <c r="AD191" s="1354"/>
      <c r="AE191" s="1354"/>
    </row>
    <row r="192" spans="1:31" s="779" customFormat="1" hidden="1" x14ac:dyDescent="0.25">
      <c r="A192" s="876" t="str">
        <f>IF(AND(F194=G194,H194=I194,J194=K194,F194="A"),"2015 - kwh",IF(AND(F194=G194,H194=I194,J194&lt;&gt;K194,F194="A"),"2016 - kwh",IF(AND(F194=G194,H194&lt;&gt;I194,F194="A"),"2017 - kwh","N/A")))</f>
        <v>N/A</v>
      </c>
      <c r="B192" s="876" t="str">
        <f>IF(F194&lt;&gt;G194,"2017 - kwh",IF(H194&lt;&gt;I194,"2016 - kwh",IF(J194&lt;&gt;K194,"2015 - kwh","N/A")))</f>
        <v>N/A</v>
      </c>
      <c r="C192" s="751" t="s">
        <v>2639</v>
      </c>
      <c r="D192" s="979"/>
      <c r="E192" s="873" t="s">
        <v>158</v>
      </c>
      <c r="F192" s="978"/>
      <c r="G192" s="978"/>
      <c r="H192" s="978"/>
      <c r="I192" s="978"/>
      <c r="J192" s="978"/>
      <c r="K192" s="978"/>
      <c r="L192" s="978"/>
      <c r="M192" s="978"/>
      <c r="N192" s="978"/>
      <c r="O192" s="978"/>
      <c r="P192" s="876"/>
      <c r="Q192" s="876"/>
      <c r="R192" s="876"/>
      <c r="S192" s="876"/>
      <c r="T192" s="876"/>
      <c r="U192" s="876"/>
      <c r="V192" s="876"/>
      <c r="Z192" s="1354"/>
      <c r="AA192" s="1354" t="str">
        <f>IF(AND(F194=G194,H194=I194,F194="A"),"2015 - kwh","")</f>
        <v/>
      </c>
      <c r="AB192" s="1354" t="str">
        <f>IF(OR(B192="2016 - kwh",B192="2017 - kwh"),"2015 - kwh","")</f>
        <v/>
      </c>
      <c r="AC192" s="1354"/>
      <c r="AD192" s="1354"/>
      <c r="AE192" s="1354"/>
    </row>
    <row r="193" spans="1:31" s="779" customFormat="1" hidden="1" x14ac:dyDescent="0.25">
      <c r="A193" s="876" t="str">
        <f>IF(AND(F194=G194,H194=I194,J194=K194,F194="A"),"2015 - kw",IF(AND(F194=G194,H194=I194,J194&lt;&gt;K194,F194="A"),"2016 - kw",IF(AND(F194=G194,H194&lt;&gt;I194,F194="A"),"2017 - kw","N/A")))</f>
        <v>N/A</v>
      </c>
      <c r="B193" s="876" t="str">
        <f>IF(F194&lt;&gt;G194,"2017 - kw",IF(H194&lt;&gt;I194,"2016 - kw",IF(J194&lt;&gt;K194,"2015 - kw","N/A")))</f>
        <v>N/A</v>
      </c>
      <c r="C193" s="752"/>
      <c r="D193" s="809" t="str">
        <f>D192 &amp; "kW"</f>
        <v>kW</v>
      </c>
      <c r="E193" s="872" t="s">
        <v>159</v>
      </c>
      <c r="F193" s="978"/>
      <c r="G193" s="978"/>
      <c r="H193" s="978"/>
      <c r="I193" s="978"/>
      <c r="J193" s="978"/>
      <c r="K193" s="978"/>
      <c r="L193" s="978"/>
      <c r="M193" s="978"/>
      <c r="N193" s="978"/>
      <c r="O193" s="978"/>
      <c r="P193" s="876"/>
      <c r="Q193" s="876"/>
      <c r="R193" s="876"/>
      <c r="S193" s="876"/>
      <c r="T193" s="876"/>
      <c r="U193" s="876"/>
      <c r="V193" s="876"/>
      <c r="Z193" s="1354"/>
      <c r="AA193" s="1354" t="str">
        <f>IF(AND(F194=G194,H194=I194,F194="A"),"2015 - kw","")</f>
        <v/>
      </c>
      <c r="AB193" s="1354" t="str">
        <f>IF(OR(B193="2016 - kw",B193="2017 - kw"),"2015 - kw","")</f>
        <v/>
      </c>
      <c r="AC193" s="1354"/>
      <c r="AD193" s="1354"/>
      <c r="AE193" s="1354"/>
    </row>
    <row r="194" spans="1:31" s="779" customFormat="1" hidden="1" x14ac:dyDescent="0.25">
      <c r="A194" s="876"/>
      <c r="B194" s="876"/>
      <c r="C194" s="755"/>
      <c r="D194" s="870"/>
      <c r="E194" s="871" t="s">
        <v>2550</v>
      </c>
      <c r="F194" s="977"/>
      <c r="G194" s="977"/>
      <c r="H194" s="977"/>
      <c r="I194" s="977"/>
      <c r="J194" s="977"/>
      <c r="K194" s="977"/>
      <c r="L194" s="977"/>
      <c r="M194" s="977"/>
      <c r="N194" s="977"/>
      <c r="O194" s="977"/>
      <c r="P194" s="876"/>
      <c r="Q194" s="876"/>
      <c r="R194" s="876"/>
      <c r="S194" s="876"/>
      <c r="T194" s="876"/>
      <c r="U194" s="876"/>
      <c r="V194" s="876"/>
      <c r="Z194" s="1354"/>
      <c r="AA194" s="1354"/>
      <c r="AB194" s="1354"/>
      <c r="AC194" s="1354"/>
      <c r="AD194" s="1354"/>
      <c r="AE194" s="1354"/>
    </row>
    <row r="195" spans="1:31" s="779" customFormat="1" hidden="1" x14ac:dyDescent="0.25">
      <c r="A195" s="876" t="str">
        <f>IF(AND(F197=G197,H197=I197,J197=K197,F197="A"),"2015 - kwh",IF(AND(F197=G197,H197=I197,J197&lt;&gt;K197,F197="A"),"2016 - kwh",IF(AND(F197=G197,H197&lt;&gt;I197,F197="A"),"2017 - kwh","N/A")))</f>
        <v>N/A</v>
      </c>
      <c r="B195" s="876" t="str">
        <f>IF(F197&lt;&gt;G197,"2017 - kwh",IF(H197&lt;&gt;I197,"2016 - kwh",IF(J197&lt;&gt;K197,"2015 - kwh","N/A")))</f>
        <v>N/A</v>
      </c>
      <c r="C195" s="751" t="s">
        <v>2640</v>
      </c>
      <c r="D195" s="979"/>
      <c r="E195" s="873" t="s">
        <v>158</v>
      </c>
      <c r="F195" s="978"/>
      <c r="G195" s="978"/>
      <c r="H195" s="978"/>
      <c r="I195" s="978"/>
      <c r="J195" s="978"/>
      <c r="K195" s="978"/>
      <c r="L195" s="978"/>
      <c r="M195" s="978"/>
      <c r="N195" s="978"/>
      <c r="O195" s="978"/>
      <c r="P195" s="876"/>
      <c r="Q195" s="876"/>
      <c r="R195" s="876"/>
      <c r="S195" s="876"/>
      <c r="T195" s="876"/>
      <c r="U195" s="876"/>
      <c r="V195" s="876"/>
      <c r="Z195" s="1354"/>
      <c r="AA195" s="1354" t="str">
        <f>IF(AND(F197=G197,H197=I197,F197="A"),"2015 - kwh","")</f>
        <v/>
      </c>
      <c r="AB195" s="1354" t="str">
        <f>IF(OR(B195="2016 - kwh",B195="2017 - kwh"),"2015 - kwh","")</f>
        <v/>
      </c>
      <c r="AC195" s="1354"/>
      <c r="AD195" s="1354"/>
      <c r="AE195" s="1354"/>
    </row>
    <row r="196" spans="1:31" s="779" customFormat="1" hidden="1" x14ac:dyDescent="0.25">
      <c r="A196" s="876" t="str">
        <f>IF(AND(F197=G197,H197=I197,J197=K197,F197="A"),"2015 - kw",IF(AND(F197=G197,H197=I197,J197&lt;&gt;K197,F197="A"),"2016 - kw",IF(AND(F197=G197,H197&lt;&gt;I197,F197="A"),"2017 - kw","N/A")))</f>
        <v>N/A</v>
      </c>
      <c r="B196" s="876" t="str">
        <f>IF(F197&lt;&gt;G197,"2017 - kw",IF(H197&lt;&gt;I197,"2016 - kw",IF(J197&lt;&gt;K197,"2015 - kw","N/A")))</f>
        <v>N/A</v>
      </c>
      <c r="C196" s="752"/>
      <c r="D196" s="809" t="str">
        <f>D195 &amp; "kW"</f>
        <v>kW</v>
      </c>
      <c r="E196" s="872" t="s">
        <v>159</v>
      </c>
      <c r="F196" s="978"/>
      <c r="G196" s="978"/>
      <c r="H196" s="978"/>
      <c r="I196" s="978"/>
      <c r="J196" s="978"/>
      <c r="K196" s="978"/>
      <c r="L196" s="978"/>
      <c r="M196" s="978"/>
      <c r="N196" s="978"/>
      <c r="O196" s="978"/>
      <c r="P196" s="876"/>
      <c r="Q196" s="876"/>
      <c r="R196" s="876"/>
      <c r="S196" s="876"/>
      <c r="T196" s="876"/>
      <c r="U196" s="876"/>
      <c r="V196" s="876"/>
      <c r="Z196" s="1354"/>
      <c r="AA196" s="1354" t="str">
        <f>IF(AND(F197=G197,H197=I197,F197="A"),"2015 - kw","")</f>
        <v/>
      </c>
      <c r="AB196" s="1354" t="str">
        <f>IF(OR(B196="2016 - kw",B196="2017 - kw"),"2015 - kw","")</f>
        <v/>
      </c>
      <c r="AC196" s="1354"/>
      <c r="AD196" s="1354"/>
      <c r="AE196" s="1354"/>
    </row>
    <row r="197" spans="1:31" s="779" customFormat="1" hidden="1" x14ac:dyDescent="0.25">
      <c r="A197" s="876"/>
      <c r="B197" s="876"/>
      <c r="C197" s="755"/>
      <c r="D197" s="870"/>
      <c r="E197" s="871" t="s">
        <v>2550</v>
      </c>
      <c r="F197" s="977"/>
      <c r="G197" s="977"/>
      <c r="H197" s="977"/>
      <c r="I197" s="977"/>
      <c r="J197" s="977"/>
      <c r="K197" s="977"/>
      <c r="L197" s="977"/>
      <c r="M197" s="977"/>
      <c r="N197" s="977"/>
      <c r="O197" s="977"/>
      <c r="P197" s="876"/>
      <c r="Q197" s="876"/>
      <c r="R197" s="876"/>
      <c r="S197" s="876"/>
      <c r="T197" s="876"/>
      <c r="U197" s="876"/>
      <c r="V197" s="876"/>
      <c r="Z197" s="1354"/>
      <c r="AA197" s="1354"/>
      <c r="AB197" s="1354"/>
      <c r="AC197" s="1354"/>
      <c r="AD197" s="1354"/>
      <c r="AE197" s="1354"/>
    </row>
    <row r="198" spans="1:31" s="779" customFormat="1" hidden="1" x14ac:dyDescent="0.25">
      <c r="A198" s="876" t="str">
        <f>IF(AND(F200=G200,H200=I200,J200=K200,F200="A"),"2015 - kwh",IF(AND(F200=G200,H200=I200,J200&lt;&gt;K200,F200="A"),"2016 - kwh",IF(AND(F200=G200,H200&lt;&gt;I200,F200="A"),"2017 - kwh","N/A")))</f>
        <v>N/A</v>
      </c>
      <c r="B198" s="876" t="str">
        <f>IF(F200&lt;&gt;G200,"2017 - kwh",IF(H200&lt;&gt;I200,"2016 - kwh",IF(J200&lt;&gt;K200,"2015 - kwh","N/A")))</f>
        <v>N/A</v>
      </c>
      <c r="C198" s="751" t="s">
        <v>2641</v>
      </c>
      <c r="D198" s="979"/>
      <c r="E198" s="873" t="s">
        <v>158</v>
      </c>
      <c r="F198" s="978"/>
      <c r="G198" s="978"/>
      <c r="H198" s="978"/>
      <c r="I198" s="978"/>
      <c r="J198" s="978"/>
      <c r="K198" s="978"/>
      <c r="L198" s="978"/>
      <c r="M198" s="978"/>
      <c r="N198" s="978"/>
      <c r="O198" s="978"/>
      <c r="P198" s="876"/>
      <c r="Q198" s="876"/>
      <c r="R198" s="876"/>
      <c r="S198" s="876"/>
      <c r="T198" s="876"/>
      <c r="U198" s="876"/>
      <c r="V198" s="876"/>
      <c r="Z198" s="1354"/>
      <c r="AA198" s="1354" t="str">
        <f>IF(AND(F200=G200,H200=I200,F200="A"),"2015 - kwh","")</f>
        <v/>
      </c>
      <c r="AB198" s="1354" t="str">
        <f>IF(OR(B198="2016 - kwh",B198="2017 - kwh"),"2015 - kwh","")</f>
        <v/>
      </c>
      <c r="AC198" s="1354"/>
      <c r="AD198" s="1354"/>
      <c r="AE198" s="1354"/>
    </row>
    <row r="199" spans="1:31" s="779" customFormat="1" hidden="1" x14ac:dyDescent="0.25">
      <c r="A199" s="876" t="str">
        <f>IF(AND(F200=G200,H200=I200,J200=K200,F200="A"),"2015 - kw",IF(AND(F200=G200,H200=I200,J200&lt;&gt;K200,F200="A"),"2016 - kw",IF(AND(F200=G200,H200&lt;&gt;I200,F200="A"),"2017 - kw","N/A")))</f>
        <v>N/A</v>
      </c>
      <c r="B199" s="876" t="str">
        <f>IF(F200&lt;&gt;G200,"2017 - kw",IF(H200&lt;&gt;I200,"2016 - kw",IF(J200&lt;&gt;K200,"2015 - kw","N/A")))</f>
        <v>N/A</v>
      </c>
      <c r="C199" s="752"/>
      <c r="D199" s="809" t="str">
        <f>D198 &amp; "kW"</f>
        <v>kW</v>
      </c>
      <c r="E199" s="872" t="s">
        <v>159</v>
      </c>
      <c r="F199" s="978"/>
      <c r="G199" s="978"/>
      <c r="H199" s="978"/>
      <c r="I199" s="978"/>
      <c r="J199" s="978"/>
      <c r="K199" s="978"/>
      <c r="L199" s="978"/>
      <c r="M199" s="978"/>
      <c r="N199" s="978"/>
      <c r="O199" s="978"/>
      <c r="P199" s="876"/>
      <c r="Q199" s="876"/>
      <c r="R199" s="876"/>
      <c r="S199" s="876"/>
      <c r="T199" s="876"/>
      <c r="U199" s="876"/>
      <c r="V199" s="876"/>
      <c r="Z199" s="1354"/>
      <c r="AA199" s="1354" t="str">
        <f>IF(AND(F200=G200,H200=I200,F200="A"),"2015 - kw","")</f>
        <v/>
      </c>
      <c r="AB199" s="1354" t="str">
        <f>IF(OR(B199="2016 - kw",B199="2017 - kw"),"2015 - kw","")</f>
        <v/>
      </c>
      <c r="AC199" s="1354"/>
      <c r="AD199" s="1354"/>
      <c r="AE199" s="1354"/>
    </row>
    <row r="200" spans="1:31" s="779" customFormat="1" hidden="1" x14ac:dyDescent="0.25">
      <c r="A200" s="876"/>
      <c r="B200" s="876"/>
      <c r="C200" s="755"/>
      <c r="D200" s="870"/>
      <c r="E200" s="871" t="s">
        <v>2550</v>
      </c>
      <c r="F200" s="977"/>
      <c r="G200" s="977"/>
      <c r="H200" s="977"/>
      <c r="I200" s="977"/>
      <c r="J200" s="977"/>
      <c r="K200" s="977"/>
      <c r="L200" s="977"/>
      <c r="M200" s="977"/>
      <c r="N200" s="977"/>
      <c r="O200" s="977"/>
      <c r="P200" s="876"/>
      <c r="Q200" s="876"/>
      <c r="R200" s="876"/>
      <c r="S200" s="876"/>
      <c r="T200" s="876"/>
      <c r="U200" s="876"/>
      <c r="V200" s="876"/>
      <c r="Z200" s="1354"/>
      <c r="AA200" s="1354"/>
      <c r="AB200" s="1354"/>
      <c r="AC200" s="1354"/>
      <c r="AD200" s="1354"/>
      <c r="AE200" s="1354"/>
    </row>
    <row r="201" spans="1:31" s="779" customFormat="1" hidden="1" x14ac:dyDescent="0.25">
      <c r="A201" s="876" t="str">
        <f>IF(AND(F203=G203,H203=I203,J203=K203,F203="A"),"2015 - kwh",IF(AND(F203=G203,H203=I203,J203&lt;&gt;K203,F203="A"),"2016 - kwh",IF(AND(F203=G203,H203&lt;&gt;I203,F203="A"),"2017 - kwh","N/A")))</f>
        <v>N/A</v>
      </c>
      <c r="B201" s="876" t="str">
        <f>IF(F203&lt;&gt;G203,"2017 - kwh",IF(H203&lt;&gt;I203,"2016 - kwh",IF(J203&lt;&gt;K203,"2015 - kwh","N/A")))</f>
        <v>N/A</v>
      </c>
      <c r="C201" s="751" t="s">
        <v>2642</v>
      </c>
      <c r="D201" s="979"/>
      <c r="E201" s="873" t="s">
        <v>158</v>
      </c>
      <c r="F201" s="978"/>
      <c r="G201" s="978"/>
      <c r="H201" s="978"/>
      <c r="I201" s="978"/>
      <c r="J201" s="978"/>
      <c r="K201" s="978"/>
      <c r="L201" s="978"/>
      <c r="M201" s="978"/>
      <c r="N201" s="978"/>
      <c r="O201" s="978"/>
      <c r="P201" s="876"/>
      <c r="Q201" s="876"/>
      <c r="R201" s="876"/>
      <c r="S201" s="876"/>
      <c r="T201" s="876"/>
      <c r="U201" s="876"/>
      <c r="V201" s="876"/>
      <c r="Z201" s="1354"/>
      <c r="AA201" s="1354" t="str">
        <f>IF(AND(F203=G203,H203=I203,F203="A"),"2015 - kwh","")</f>
        <v/>
      </c>
      <c r="AB201" s="1354" t="str">
        <f>IF(OR(B201="2016 - kwh",B201="2017 - kwh"),"2015 - kwh","")</f>
        <v/>
      </c>
      <c r="AC201" s="1354"/>
      <c r="AD201" s="1354"/>
      <c r="AE201" s="1354"/>
    </row>
    <row r="202" spans="1:31" s="779" customFormat="1" hidden="1" x14ac:dyDescent="0.25">
      <c r="A202" s="876" t="str">
        <f>IF(AND(F203=G203,H203=I203,J203=K203,F203="A"),"2015 - kw",IF(AND(F203=G203,H203=I203,J203&lt;&gt;K203,F203="A"),"2016 - kw",IF(AND(F203=G203,H203&lt;&gt;I203,F203="A"),"2017 - kw","N/A")))</f>
        <v>N/A</v>
      </c>
      <c r="B202" s="876" t="str">
        <f>IF(F203&lt;&gt;G203,"2017 - kw",IF(H203&lt;&gt;I203,"2016 - kw",IF(J203&lt;&gt;K203,"2015 - kw","N/A")))</f>
        <v>N/A</v>
      </c>
      <c r="C202" s="752"/>
      <c r="D202" s="809" t="str">
        <f>D201 &amp; "kW"</f>
        <v>kW</v>
      </c>
      <c r="E202" s="872" t="s">
        <v>159</v>
      </c>
      <c r="F202" s="978"/>
      <c r="G202" s="978"/>
      <c r="H202" s="978"/>
      <c r="I202" s="978"/>
      <c r="J202" s="978"/>
      <c r="K202" s="978"/>
      <c r="L202" s="978"/>
      <c r="M202" s="978"/>
      <c r="N202" s="978"/>
      <c r="O202" s="978"/>
      <c r="P202" s="876"/>
      <c r="Q202" s="876"/>
      <c r="R202" s="876"/>
      <c r="S202" s="876"/>
      <c r="T202" s="876"/>
      <c r="U202" s="876"/>
      <c r="V202" s="876"/>
      <c r="Z202" s="1354"/>
      <c r="AA202" s="1354" t="str">
        <f>IF(AND(F203=G203,H203=I203,F203="A"),"2015 - kw","")</f>
        <v/>
      </c>
      <c r="AB202" s="1354" t="str">
        <f>IF(OR(B202="2016 - kw",B202="2017 - kw"),"2015 - kw","")</f>
        <v/>
      </c>
      <c r="AC202" s="1354"/>
      <c r="AD202" s="1354"/>
      <c r="AE202" s="1354"/>
    </row>
    <row r="203" spans="1:31" s="779" customFormat="1" hidden="1" x14ac:dyDescent="0.25">
      <c r="A203" s="876"/>
      <c r="B203" s="876"/>
      <c r="C203" s="755"/>
      <c r="D203" s="870"/>
      <c r="E203" s="871" t="s">
        <v>2550</v>
      </c>
      <c r="F203" s="977"/>
      <c r="G203" s="977"/>
      <c r="H203" s="977"/>
      <c r="I203" s="977"/>
      <c r="J203" s="977"/>
      <c r="K203" s="977"/>
      <c r="L203" s="977"/>
      <c r="M203" s="977"/>
      <c r="N203" s="977"/>
      <c r="O203" s="977"/>
      <c r="P203" s="876"/>
      <c r="Q203" s="876"/>
      <c r="R203" s="876"/>
      <c r="S203" s="876"/>
      <c r="T203" s="876"/>
      <c r="U203" s="876"/>
      <c r="V203" s="876"/>
      <c r="Z203" s="1354"/>
      <c r="AA203" s="1354"/>
      <c r="AB203" s="1354"/>
      <c r="AC203" s="1354"/>
      <c r="AD203" s="1354"/>
      <c r="AE203" s="1354"/>
    </row>
    <row r="204" spans="1:31" s="779" customFormat="1" hidden="1" x14ac:dyDescent="0.25">
      <c r="A204" s="876" t="str">
        <f>IF(AND(F206=G206,H206=I206,J206=K206,F206="A"),"2015 - kwh",IF(AND(F206=G206,H206=I206,J206&lt;&gt;K206,F206="A"),"2016 - kwh",IF(AND(F206=G206,H206&lt;&gt;I206,F206="A"),"2017 - kwh","N/A")))</f>
        <v>N/A</v>
      </c>
      <c r="B204" s="876" t="str">
        <f>IF(F206&lt;&gt;G206,"2017 - kwh",IF(H206&lt;&gt;I206,"2016 - kwh",IF(J206&lt;&gt;K206,"2015 - kwh","N/A")))</f>
        <v>N/A</v>
      </c>
      <c r="C204" s="751" t="s">
        <v>2643</v>
      </c>
      <c r="D204" s="979"/>
      <c r="E204" s="873" t="s">
        <v>158</v>
      </c>
      <c r="F204" s="978"/>
      <c r="G204" s="978"/>
      <c r="H204" s="978"/>
      <c r="I204" s="978"/>
      <c r="J204" s="978"/>
      <c r="K204" s="978"/>
      <c r="L204" s="978"/>
      <c r="M204" s="978"/>
      <c r="N204" s="978"/>
      <c r="O204" s="978"/>
      <c r="P204" s="876"/>
      <c r="Q204" s="876"/>
      <c r="R204" s="876"/>
      <c r="S204" s="876"/>
      <c r="T204" s="876"/>
      <c r="U204" s="876"/>
      <c r="V204" s="876"/>
      <c r="Z204" s="1354"/>
      <c r="AA204" s="1354" t="str">
        <f>IF(AND(F206=G206,H206=I206,F206="A"),"2015 - kwh","")</f>
        <v/>
      </c>
      <c r="AB204" s="1354" t="str">
        <f>IF(OR(B204="2016 - kwh",B204="2017 - kwh"),"2015 - kwh","")</f>
        <v/>
      </c>
      <c r="AC204" s="1354"/>
      <c r="AD204" s="1354"/>
      <c r="AE204" s="1354"/>
    </row>
    <row r="205" spans="1:31" s="779" customFormat="1" hidden="1" x14ac:dyDescent="0.25">
      <c r="A205" s="876" t="str">
        <f>IF(AND(F206=G206,H206=I206,J206=K206,F206="A"),"2015 - kw",IF(AND(F206=G206,H206=I206,J206&lt;&gt;K206,F206="A"),"2016 - kw",IF(AND(F206=G206,H206&lt;&gt;I206,F206="A"),"2017 - kw","N/A")))</f>
        <v>N/A</v>
      </c>
      <c r="B205" s="876" t="str">
        <f>IF(F206&lt;&gt;G206,"2017 - kw",IF(H206&lt;&gt;I206,"2016 - kw",IF(J206&lt;&gt;K206,"2015 - kw","N/A")))</f>
        <v>N/A</v>
      </c>
      <c r="C205" s="752"/>
      <c r="D205" s="809" t="str">
        <f>D204 &amp; "kW"</f>
        <v>kW</v>
      </c>
      <c r="E205" s="872" t="s">
        <v>159</v>
      </c>
      <c r="F205" s="978"/>
      <c r="G205" s="978"/>
      <c r="H205" s="978"/>
      <c r="I205" s="978"/>
      <c r="J205" s="978"/>
      <c r="K205" s="978"/>
      <c r="L205" s="978"/>
      <c r="M205" s="978"/>
      <c r="N205" s="978"/>
      <c r="O205" s="978"/>
      <c r="P205" s="876"/>
      <c r="Q205" s="876"/>
      <c r="R205" s="876"/>
      <c r="S205" s="876"/>
      <c r="T205" s="876"/>
      <c r="U205" s="876"/>
      <c r="V205" s="876"/>
      <c r="Z205" s="1354"/>
      <c r="AA205" s="1354" t="str">
        <f>IF(AND(F206=G206,H206=I206,F206="A"),"2015 - kw","")</f>
        <v/>
      </c>
      <c r="AB205" s="1354" t="str">
        <f>IF(OR(B205="2016 - kw",B205="2017 - kw"),"2015 - kw","")</f>
        <v/>
      </c>
      <c r="AC205" s="1354"/>
      <c r="AD205" s="1354"/>
      <c r="AE205" s="1354"/>
    </row>
    <row r="206" spans="1:31" s="779" customFormat="1" hidden="1" x14ac:dyDescent="0.25">
      <c r="A206" s="876"/>
      <c r="B206" s="876"/>
      <c r="C206" s="755"/>
      <c r="D206" s="870"/>
      <c r="E206" s="871" t="s">
        <v>2550</v>
      </c>
      <c r="F206" s="977"/>
      <c r="G206" s="977"/>
      <c r="H206" s="977"/>
      <c r="I206" s="977"/>
      <c r="J206" s="977"/>
      <c r="K206" s="977"/>
      <c r="L206" s="977"/>
      <c r="M206" s="977"/>
      <c r="N206" s="977"/>
      <c r="O206" s="977"/>
      <c r="P206" s="876"/>
      <c r="Q206" s="876"/>
      <c r="R206" s="876"/>
      <c r="S206" s="876"/>
      <c r="T206" s="876"/>
      <c r="U206" s="876"/>
      <c r="V206" s="876"/>
      <c r="Z206" s="1354"/>
      <c r="AA206" s="1354"/>
      <c r="AB206" s="1354"/>
      <c r="AC206" s="1354"/>
      <c r="AD206" s="1354"/>
      <c r="AE206" s="1354"/>
    </row>
    <row r="207" spans="1:31" s="779" customFormat="1" hidden="1" x14ac:dyDescent="0.25">
      <c r="A207" s="876" t="str">
        <f>IF(AND(F209=G209,H209=I209,J209=K209,F209="A"),"2015 - kwh",IF(AND(F209=G209,H209=I209,J209&lt;&gt;K209,F209="A"),"2016 - kwh",IF(AND(F209=G209,H209&lt;&gt;I209,F209="A"),"2017 - kwh","N/A")))</f>
        <v>N/A</v>
      </c>
      <c r="B207" s="876" t="str">
        <f>IF(F209&lt;&gt;G209,"2017 - kwh",IF(H209&lt;&gt;I209,"2016 - kwh",IF(J209&lt;&gt;K209,"2015 - kwh","N/A")))</f>
        <v>N/A</v>
      </c>
      <c r="C207" s="751" t="s">
        <v>2644</v>
      </c>
      <c r="D207" s="979"/>
      <c r="E207" s="873" t="s">
        <v>158</v>
      </c>
      <c r="F207" s="978"/>
      <c r="G207" s="978"/>
      <c r="H207" s="978"/>
      <c r="I207" s="978"/>
      <c r="J207" s="978"/>
      <c r="K207" s="978"/>
      <c r="L207" s="978"/>
      <c r="M207" s="978"/>
      <c r="N207" s="978"/>
      <c r="O207" s="978"/>
      <c r="P207" s="876"/>
      <c r="Q207" s="876"/>
      <c r="R207" s="876"/>
      <c r="S207" s="876"/>
      <c r="T207" s="876"/>
      <c r="U207" s="876"/>
      <c r="V207" s="876"/>
      <c r="Z207" s="1354"/>
      <c r="AA207" s="1354" t="str">
        <f>IF(AND(F209=G209,H209=I209,F209="A"),"2015 - kwh","")</f>
        <v/>
      </c>
      <c r="AB207" s="1354" t="str">
        <f>IF(OR(B207="2016 - kwh",B207="2017 - kwh"),"2015 - kwh","")</f>
        <v/>
      </c>
      <c r="AC207" s="1354"/>
      <c r="AD207" s="1354"/>
      <c r="AE207" s="1354"/>
    </row>
    <row r="208" spans="1:31" s="779" customFormat="1" hidden="1" x14ac:dyDescent="0.25">
      <c r="A208" s="876" t="str">
        <f>IF(AND(F209=G209,H209=I209,J209=K209,F209="A"),"2015 - kw",IF(AND(F209=G209,H209=I209,J209&lt;&gt;K209,F209="A"),"2016 - kw",IF(AND(F209=G209,H209&lt;&gt;I209,F209="A"),"2017 - kw","N/A")))</f>
        <v>N/A</v>
      </c>
      <c r="B208" s="876" t="str">
        <f>IF(F209&lt;&gt;G209,"2017 - kw",IF(H209&lt;&gt;I209,"2016 - kw",IF(J209&lt;&gt;K209,"2015 - kw","N/A")))</f>
        <v>N/A</v>
      </c>
      <c r="C208" s="752"/>
      <c r="D208" s="809" t="str">
        <f>D207 &amp; "kW"</f>
        <v>kW</v>
      </c>
      <c r="E208" s="872" t="s">
        <v>159</v>
      </c>
      <c r="F208" s="978"/>
      <c r="G208" s="978"/>
      <c r="H208" s="978"/>
      <c r="I208" s="978"/>
      <c r="J208" s="978"/>
      <c r="K208" s="978"/>
      <c r="L208" s="978"/>
      <c r="M208" s="978"/>
      <c r="N208" s="978"/>
      <c r="O208" s="978"/>
      <c r="P208" s="876"/>
      <c r="Q208" s="876"/>
      <c r="R208" s="876"/>
      <c r="S208" s="876"/>
      <c r="T208" s="876"/>
      <c r="U208" s="876"/>
      <c r="V208" s="876"/>
      <c r="Z208" s="1354"/>
      <c r="AA208" s="1354" t="str">
        <f>IF(AND(F209=G209,H209=I209,F209="A"),"2015 - kw","")</f>
        <v/>
      </c>
      <c r="AB208" s="1354" t="str">
        <f>IF(OR(B208="2016 - kw",B208="2017 - kw"),"2015 - kw","")</f>
        <v/>
      </c>
      <c r="AC208" s="1354"/>
      <c r="AD208" s="1354"/>
      <c r="AE208" s="1354"/>
    </row>
    <row r="209" spans="1:31" s="779" customFormat="1" hidden="1" x14ac:dyDescent="0.25">
      <c r="A209" s="876"/>
      <c r="B209" s="876"/>
      <c r="C209" s="755"/>
      <c r="D209" s="870"/>
      <c r="E209" s="871" t="s">
        <v>2550</v>
      </c>
      <c r="F209" s="977"/>
      <c r="G209" s="977"/>
      <c r="H209" s="977"/>
      <c r="I209" s="977"/>
      <c r="J209" s="977"/>
      <c r="K209" s="977"/>
      <c r="L209" s="977"/>
      <c r="M209" s="977"/>
      <c r="N209" s="977"/>
      <c r="O209" s="977"/>
      <c r="P209" s="876"/>
      <c r="Q209" s="876"/>
      <c r="R209" s="876"/>
      <c r="S209" s="876"/>
      <c r="T209" s="876"/>
      <c r="U209" s="876"/>
      <c r="V209" s="876"/>
      <c r="Z209" s="1354"/>
      <c r="AA209" s="1354"/>
      <c r="AB209" s="1354"/>
      <c r="AC209" s="1354"/>
      <c r="AD209" s="1354"/>
      <c r="AE209" s="1354"/>
    </row>
    <row r="210" spans="1:31" s="779" customFormat="1" hidden="1" x14ac:dyDescent="0.25">
      <c r="A210" s="876" t="str">
        <f>IF(AND(F212=G212,H212=I212,J212=K212,F212="A"),"2015 - kwh",IF(AND(F212=G212,H212=I212,J212&lt;&gt;K212,F212="A"),"2016 - kwh",IF(AND(F212=G212,H212&lt;&gt;I212,F212="A"),"2017 - kwh","N/A")))</f>
        <v>N/A</v>
      </c>
      <c r="B210" s="876" t="str">
        <f>IF(F212&lt;&gt;G212,"2017 - kwh",IF(H212&lt;&gt;I212,"2016 - kwh",IF(J212&lt;&gt;K212,"2015 - kwh","N/A")))</f>
        <v>N/A</v>
      </c>
      <c r="C210" s="751" t="s">
        <v>2645</v>
      </c>
      <c r="D210" s="979"/>
      <c r="E210" s="873" t="s">
        <v>158</v>
      </c>
      <c r="F210" s="978"/>
      <c r="G210" s="978"/>
      <c r="H210" s="978"/>
      <c r="I210" s="978"/>
      <c r="J210" s="978"/>
      <c r="K210" s="978"/>
      <c r="L210" s="978"/>
      <c r="M210" s="978"/>
      <c r="N210" s="978"/>
      <c r="O210" s="978"/>
      <c r="P210" s="876"/>
      <c r="Q210" s="876"/>
      <c r="R210" s="876"/>
      <c r="S210" s="876"/>
      <c r="T210" s="876"/>
      <c r="U210" s="876"/>
      <c r="V210" s="876"/>
      <c r="Z210" s="1354"/>
      <c r="AA210" s="1354" t="str">
        <f>IF(AND(F212=G212,H212=I212,F212="A"),"2015 - kwh","")</f>
        <v/>
      </c>
      <c r="AB210" s="1354" t="str">
        <f>IF(OR(B210="2016 - kwh",B210="2017 - kwh"),"2015 - kwh","")</f>
        <v/>
      </c>
      <c r="AC210" s="1354"/>
      <c r="AD210" s="1354"/>
      <c r="AE210" s="1354"/>
    </row>
    <row r="211" spans="1:31" s="779" customFormat="1" hidden="1" x14ac:dyDescent="0.25">
      <c r="A211" s="876" t="str">
        <f>IF(AND(F212=G212,H212=I212,J212=K212,F212="A"),"2015 - kw",IF(AND(F212=G212,H212=I212,J212&lt;&gt;K212,F212="A"),"2016 - kw",IF(AND(F212=G212,H212&lt;&gt;I212,F212="A"),"2017 - kw","N/A")))</f>
        <v>N/A</v>
      </c>
      <c r="B211" s="876" t="str">
        <f>IF(F212&lt;&gt;G212,"2017 - kw",IF(H212&lt;&gt;I212,"2016 - kw",IF(J212&lt;&gt;K212,"2015 - kw","N/A")))</f>
        <v>N/A</v>
      </c>
      <c r="C211" s="752"/>
      <c r="D211" s="809" t="str">
        <f>D210 &amp; "kW"</f>
        <v>kW</v>
      </c>
      <c r="E211" s="872" t="s">
        <v>159</v>
      </c>
      <c r="F211" s="978"/>
      <c r="G211" s="978"/>
      <c r="H211" s="978"/>
      <c r="I211" s="978"/>
      <c r="J211" s="978"/>
      <c r="K211" s="978"/>
      <c r="L211" s="978"/>
      <c r="M211" s="978"/>
      <c r="N211" s="978"/>
      <c r="O211" s="978"/>
      <c r="P211" s="876"/>
      <c r="Q211" s="876"/>
      <c r="R211" s="876"/>
      <c r="S211" s="876"/>
      <c r="T211" s="876"/>
      <c r="U211" s="876"/>
      <c r="V211" s="876"/>
      <c r="Z211" s="1354"/>
      <c r="AA211" s="1354" t="str">
        <f>IF(AND(F212=G212,H212=I212,F212="A"),"2015 - kw","")</f>
        <v/>
      </c>
      <c r="AB211" s="1354" t="str">
        <f>IF(OR(B211="2016 - kw",B211="2017 - kw"),"2015 - kw","")</f>
        <v/>
      </c>
      <c r="AC211" s="1354"/>
      <c r="AD211" s="1354"/>
      <c r="AE211" s="1354"/>
    </row>
    <row r="212" spans="1:31" s="779" customFormat="1" hidden="1" x14ac:dyDescent="0.25">
      <c r="A212" s="876"/>
      <c r="B212" s="876"/>
      <c r="C212" s="755"/>
      <c r="D212" s="870"/>
      <c r="E212" s="871" t="s">
        <v>2550</v>
      </c>
      <c r="F212" s="977"/>
      <c r="G212" s="977"/>
      <c r="H212" s="977"/>
      <c r="I212" s="977"/>
      <c r="J212" s="977"/>
      <c r="K212" s="977"/>
      <c r="L212" s="977"/>
      <c r="M212" s="977"/>
      <c r="N212" s="977"/>
      <c r="O212" s="977"/>
      <c r="P212" s="876"/>
      <c r="Q212" s="876"/>
      <c r="R212" s="876"/>
      <c r="S212" s="876"/>
      <c r="T212" s="876"/>
      <c r="U212" s="876"/>
      <c r="V212" s="876"/>
      <c r="Z212" s="1354"/>
      <c r="AA212" s="1354"/>
      <c r="AB212" s="1354"/>
      <c r="AC212" s="1354"/>
      <c r="AD212" s="1354"/>
      <c r="AE212" s="1354"/>
    </row>
    <row r="213" spans="1:31" s="779" customFormat="1" hidden="1" x14ac:dyDescent="0.25">
      <c r="A213" s="876" t="str">
        <f>IF(AND(F215=G215,H215=I215,J215=K215,F215="A"),"2015 - kwh",IF(AND(F215=G215,H215=I215,J215&lt;&gt;K215,F215="A"),"2016 - kwh",IF(AND(F215=G215,H215&lt;&gt;I215,F215="A"),"2017 - kwh","N/A")))</f>
        <v>N/A</v>
      </c>
      <c r="B213" s="876" t="str">
        <f>IF(F215&lt;&gt;G215,"2017 - kwh",IF(H215&lt;&gt;I215,"2016 - kwh",IF(J215&lt;&gt;K215,"2015 - kwh","N/A")))</f>
        <v>N/A</v>
      </c>
      <c r="C213" s="751" t="s">
        <v>2646</v>
      </c>
      <c r="D213" s="979"/>
      <c r="E213" s="873" t="s">
        <v>158</v>
      </c>
      <c r="F213" s="978"/>
      <c r="G213" s="978"/>
      <c r="H213" s="978"/>
      <c r="I213" s="978"/>
      <c r="J213" s="978"/>
      <c r="K213" s="978"/>
      <c r="L213" s="978"/>
      <c r="M213" s="978"/>
      <c r="N213" s="978"/>
      <c r="O213" s="978"/>
      <c r="P213" s="876"/>
      <c r="Q213" s="876"/>
      <c r="R213" s="876"/>
      <c r="S213" s="876"/>
      <c r="T213" s="876"/>
      <c r="U213" s="876"/>
      <c r="V213" s="876"/>
      <c r="Z213" s="1354"/>
      <c r="AA213" s="1354" t="str">
        <f>IF(AND(F215=G215,H215=I215,F215="A"),"2015 - kwh","")</f>
        <v/>
      </c>
      <c r="AB213" s="1354" t="str">
        <f>IF(OR(B213="2016 - kwh",B213="2017 - kwh"),"2015 - kwh","")</f>
        <v/>
      </c>
      <c r="AC213" s="1354"/>
      <c r="AD213" s="1354"/>
      <c r="AE213" s="1354"/>
    </row>
    <row r="214" spans="1:31" s="779" customFormat="1" hidden="1" x14ac:dyDescent="0.25">
      <c r="A214" s="876" t="str">
        <f>IF(AND(F215=G215,H215=I215,J215=K215,F215="A"),"2015 - kw",IF(AND(F215=G215,H215=I215,J215&lt;&gt;K215,F215="A"),"2016 - kw",IF(AND(F215=G215,H215&lt;&gt;I215,F215="A"),"2017 - kw","N/A")))</f>
        <v>N/A</v>
      </c>
      <c r="B214" s="876" t="str">
        <f>IF(F215&lt;&gt;G215,"2017 - kw",IF(H215&lt;&gt;I215,"2016 - kw",IF(J215&lt;&gt;K215,"2015 - kw","N/A")))</f>
        <v>N/A</v>
      </c>
      <c r="C214" s="752"/>
      <c r="D214" s="809" t="str">
        <f>D213 &amp; "kW"</f>
        <v>kW</v>
      </c>
      <c r="E214" s="872" t="s">
        <v>159</v>
      </c>
      <c r="F214" s="978"/>
      <c r="G214" s="978"/>
      <c r="H214" s="978"/>
      <c r="I214" s="978"/>
      <c r="J214" s="978"/>
      <c r="K214" s="978"/>
      <c r="L214" s="978"/>
      <c r="M214" s="978"/>
      <c r="N214" s="978"/>
      <c r="O214" s="978"/>
      <c r="P214" s="876"/>
      <c r="Q214" s="876"/>
      <c r="R214" s="876"/>
      <c r="S214" s="876"/>
      <c r="T214" s="876"/>
      <c r="U214" s="876"/>
      <c r="V214" s="876"/>
      <c r="Z214" s="1354"/>
      <c r="AA214" s="1354" t="str">
        <f>IF(AND(F215=G215,H215=I215,F215="A"),"2015 - kw","")</f>
        <v/>
      </c>
      <c r="AB214" s="1354" t="str">
        <f>IF(OR(B214="2016 - kw",B214="2017 - kw"),"2015 - kw","")</f>
        <v/>
      </c>
      <c r="AC214" s="1354"/>
      <c r="AD214" s="1354"/>
      <c r="AE214" s="1354"/>
    </row>
    <row r="215" spans="1:31" s="779" customFormat="1" hidden="1" x14ac:dyDescent="0.25">
      <c r="A215" s="876"/>
      <c r="B215" s="876"/>
      <c r="C215" s="755"/>
      <c r="D215" s="870"/>
      <c r="E215" s="871" t="s">
        <v>2550</v>
      </c>
      <c r="F215" s="977"/>
      <c r="G215" s="977"/>
      <c r="H215" s="977"/>
      <c r="I215" s="977"/>
      <c r="J215" s="977"/>
      <c r="K215" s="977"/>
      <c r="L215" s="977"/>
      <c r="M215" s="977"/>
      <c r="N215" s="977"/>
      <c r="O215" s="977"/>
      <c r="P215" s="876"/>
      <c r="Q215" s="876"/>
      <c r="R215" s="876"/>
      <c r="S215" s="876"/>
      <c r="T215" s="876"/>
      <c r="U215" s="876"/>
      <c r="V215" s="876"/>
      <c r="Z215" s="1354"/>
      <c r="AA215" s="1354"/>
      <c r="AB215" s="1354"/>
      <c r="AC215" s="1354"/>
      <c r="AD215" s="1354"/>
      <c r="AE215" s="1354"/>
    </row>
    <row r="216" spans="1:31" s="779" customFormat="1" hidden="1" x14ac:dyDescent="0.25">
      <c r="A216" s="876" t="str">
        <f>IF(AND(F218=G218,H218=I218,J218=K218,F218="A"),"2015 - kwh",IF(AND(F218=G218,H218=I218,J218&lt;&gt;K218,F218="A"),"2016 - kwh",IF(AND(F218=G218,H218&lt;&gt;I218,F218="A"),"2017 - kwh","N/A")))</f>
        <v>N/A</v>
      </c>
      <c r="B216" s="876" t="str">
        <f>IF(F218&lt;&gt;G218,"2017 - kwh",IF(H218&lt;&gt;I218,"2016 - kwh",IF(J218&lt;&gt;K218,"2015 - kwh","N/A")))</f>
        <v>N/A</v>
      </c>
      <c r="C216" s="751" t="s">
        <v>2647</v>
      </c>
      <c r="D216" s="979"/>
      <c r="E216" s="873" t="s">
        <v>158</v>
      </c>
      <c r="F216" s="978"/>
      <c r="G216" s="978"/>
      <c r="H216" s="978"/>
      <c r="I216" s="978"/>
      <c r="J216" s="978"/>
      <c r="K216" s="978"/>
      <c r="L216" s="978"/>
      <c r="M216" s="978"/>
      <c r="N216" s="978"/>
      <c r="O216" s="978"/>
      <c r="P216" s="876"/>
      <c r="Q216" s="876"/>
      <c r="R216" s="876"/>
      <c r="S216" s="876"/>
      <c r="T216" s="876"/>
      <c r="U216" s="876"/>
      <c r="V216" s="876"/>
      <c r="Z216" s="1354"/>
      <c r="AA216" s="1354" t="str">
        <f>IF(AND(F218=G218,H218=I218,F218="A"),"2015 - kwh","")</f>
        <v/>
      </c>
      <c r="AB216" s="1354" t="str">
        <f>IF(OR(B216="2016 - kwh",B216="2017 - kwh"),"2015 - kwh","")</f>
        <v/>
      </c>
      <c r="AC216" s="1354"/>
      <c r="AD216" s="1354"/>
      <c r="AE216" s="1354"/>
    </row>
    <row r="217" spans="1:31" s="779" customFormat="1" hidden="1" x14ac:dyDescent="0.25">
      <c r="A217" s="876" t="str">
        <f>IF(AND(F218=G218,H218=I218,J218=K218,F218="A"),"2015 - kw",IF(AND(F218=G218,H218=I218,J218&lt;&gt;K218,F218="A"),"2016 - kw",IF(AND(F218=G218,H218&lt;&gt;I218,F218="A"),"2017 - kw","N/A")))</f>
        <v>N/A</v>
      </c>
      <c r="B217" s="876" t="str">
        <f>IF(F218&lt;&gt;G218,"2017 - kw",IF(H218&lt;&gt;I218,"2016 - kw",IF(J218&lt;&gt;K218,"2015 - kw","N/A")))</f>
        <v>N/A</v>
      </c>
      <c r="C217" s="752"/>
      <c r="D217" s="809" t="str">
        <f>D216 &amp; "kW"</f>
        <v>kW</v>
      </c>
      <c r="E217" s="872" t="s">
        <v>159</v>
      </c>
      <c r="F217" s="978"/>
      <c r="G217" s="978"/>
      <c r="H217" s="978"/>
      <c r="I217" s="978"/>
      <c r="J217" s="978"/>
      <c r="K217" s="978"/>
      <c r="L217" s="978"/>
      <c r="M217" s="978"/>
      <c r="N217" s="978"/>
      <c r="O217" s="978"/>
      <c r="P217" s="876"/>
      <c r="Q217" s="876"/>
      <c r="R217" s="876"/>
      <c r="S217" s="876"/>
      <c r="T217" s="876"/>
      <c r="U217" s="876"/>
      <c r="V217" s="876"/>
      <c r="Z217" s="1354"/>
      <c r="AA217" s="1354" t="str">
        <f>IF(AND(F218=G218,H218=I218,F218="A"),"2015 - kw","")</f>
        <v/>
      </c>
      <c r="AB217" s="1354" t="str">
        <f>IF(OR(B217="2016 - kw",B217="2017 - kw"),"2015 - kw","")</f>
        <v/>
      </c>
      <c r="AC217" s="1354"/>
      <c r="AD217" s="1354"/>
      <c r="AE217" s="1354"/>
    </row>
    <row r="218" spans="1:31" s="779" customFormat="1" hidden="1" x14ac:dyDescent="0.25">
      <c r="A218" s="876"/>
      <c r="B218" s="876"/>
      <c r="C218" s="755"/>
      <c r="D218" s="870"/>
      <c r="E218" s="871" t="s">
        <v>2550</v>
      </c>
      <c r="F218" s="977"/>
      <c r="G218" s="977"/>
      <c r="H218" s="977"/>
      <c r="I218" s="977"/>
      <c r="J218" s="977"/>
      <c r="K218" s="977"/>
      <c r="L218" s="977"/>
      <c r="M218" s="977"/>
      <c r="N218" s="977"/>
      <c r="O218" s="977"/>
      <c r="P218" s="876"/>
      <c r="Q218" s="876"/>
      <c r="R218" s="876"/>
      <c r="S218" s="876"/>
      <c r="T218" s="876"/>
      <c r="U218" s="876"/>
      <c r="V218" s="876"/>
      <c r="Z218" s="1354"/>
      <c r="AA218" s="1354"/>
      <c r="AB218" s="1354"/>
      <c r="AC218" s="1354"/>
      <c r="AD218" s="1354"/>
      <c r="AE218" s="1354"/>
    </row>
    <row r="219" spans="1:31" s="779" customFormat="1" hidden="1" x14ac:dyDescent="0.25">
      <c r="A219" s="876" t="str">
        <f>IF(AND(F221=G221,H221=I221,J221=K221,F221="A"),"2015 - kwh",IF(AND(F221=G221,H221=I221,J221&lt;&gt;K221,F221="A"),"2016 - kwh",IF(AND(F221=G221,H221&lt;&gt;I221,F221="A"),"2017 - kwh","N/A")))</f>
        <v>N/A</v>
      </c>
      <c r="B219" s="876" t="str">
        <f>IF(F221&lt;&gt;G221,"2017 - kwh",IF(H221&lt;&gt;I221,"2016 - kwh",IF(J221&lt;&gt;K221,"2015 - kwh","N/A")))</f>
        <v>N/A</v>
      </c>
      <c r="C219" s="751" t="s">
        <v>2648</v>
      </c>
      <c r="D219" s="979"/>
      <c r="E219" s="873" t="s">
        <v>158</v>
      </c>
      <c r="F219" s="978"/>
      <c r="G219" s="978"/>
      <c r="H219" s="978"/>
      <c r="I219" s="978"/>
      <c r="J219" s="978"/>
      <c r="K219" s="978"/>
      <c r="L219" s="978"/>
      <c r="M219" s="978"/>
      <c r="N219" s="978"/>
      <c r="O219" s="978"/>
      <c r="P219" s="876"/>
      <c r="Q219" s="876"/>
      <c r="R219" s="876"/>
      <c r="S219" s="876"/>
      <c r="T219" s="876"/>
      <c r="U219" s="876"/>
      <c r="V219" s="876"/>
      <c r="Z219" s="1354"/>
      <c r="AA219" s="1354" t="str">
        <f>IF(AND(F221=G221,H221=I221,F221="A"),"2015 - kwh","")</f>
        <v/>
      </c>
      <c r="AB219" s="1354" t="str">
        <f>IF(OR(B219="2016 - kwh",B219="2017 - kwh"),"2015 - kwh","")</f>
        <v/>
      </c>
      <c r="AC219" s="1354"/>
      <c r="AD219" s="1354"/>
      <c r="AE219" s="1354"/>
    </row>
    <row r="220" spans="1:31" s="779" customFormat="1" hidden="1" x14ac:dyDescent="0.25">
      <c r="A220" s="876" t="str">
        <f>IF(AND(F221=G221,H221=I221,J221=K221,F221="A"),"2015 - kw",IF(AND(F221=G221,H221=I221,J221&lt;&gt;K221,F221="A"),"2016 - kw",IF(AND(F221=G221,H221&lt;&gt;I221,F221="A"),"2017 - kw","N/A")))</f>
        <v>N/A</v>
      </c>
      <c r="B220" s="876" t="str">
        <f>IF(F221&lt;&gt;G221,"2017 - kw",IF(H221&lt;&gt;I221,"2016 - kw",IF(J221&lt;&gt;K221,"2015 - kw","N/A")))</f>
        <v>N/A</v>
      </c>
      <c r="C220" s="752"/>
      <c r="D220" s="809" t="str">
        <f>D219 &amp; "kW"</f>
        <v>kW</v>
      </c>
      <c r="E220" s="872" t="s">
        <v>159</v>
      </c>
      <c r="F220" s="978"/>
      <c r="G220" s="978"/>
      <c r="H220" s="978"/>
      <c r="I220" s="978"/>
      <c r="J220" s="978"/>
      <c r="K220" s="978"/>
      <c r="L220" s="978"/>
      <c r="M220" s="978"/>
      <c r="N220" s="978"/>
      <c r="O220" s="978"/>
      <c r="P220" s="876"/>
      <c r="Q220" s="876"/>
      <c r="R220" s="876"/>
      <c r="S220" s="876"/>
      <c r="T220" s="876"/>
      <c r="U220" s="876"/>
      <c r="V220" s="876"/>
      <c r="Z220" s="1354"/>
      <c r="AA220" s="1354" t="str">
        <f>IF(AND(F221=G221,H221=I221,F221="A"),"2015 - kw","")</f>
        <v/>
      </c>
      <c r="AB220" s="1354" t="str">
        <f>IF(OR(B220="2016 - kw",B220="2017 - kw"),"2015 - kw","")</f>
        <v/>
      </c>
      <c r="AC220" s="1354"/>
      <c r="AD220" s="1354"/>
      <c r="AE220" s="1354"/>
    </row>
    <row r="221" spans="1:31" s="779" customFormat="1" hidden="1" x14ac:dyDescent="0.25">
      <c r="A221" s="876"/>
      <c r="B221" s="876"/>
      <c r="C221" s="755"/>
      <c r="D221" s="870"/>
      <c r="E221" s="871" t="s">
        <v>2550</v>
      </c>
      <c r="F221" s="977"/>
      <c r="G221" s="977"/>
      <c r="H221" s="977"/>
      <c r="I221" s="977"/>
      <c r="J221" s="977"/>
      <c r="K221" s="977"/>
      <c r="L221" s="977"/>
      <c r="M221" s="977"/>
      <c r="N221" s="977"/>
      <c r="O221" s="977"/>
      <c r="P221" s="876"/>
      <c r="Q221" s="876"/>
      <c r="R221" s="876"/>
      <c r="S221" s="876"/>
      <c r="T221" s="876"/>
      <c r="U221" s="876"/>
      <c r="V221" s="876"/>
      <c r="Z221" s="1354"/>
      <c r="AA221" s="1354"/>
      <c r="AB221" s="1354"/>
      <c r="AC221" s="1354"/>
      <c r="AD221" s="1354"/>
      <c r="AE221" s="1354"/>
    </row>
    <row r="222" spans="1:31" s="779" customFormat="1" hidden="1" x14ac:dyDescent="0.25">
      <c r="A222" s="876" t="str">
        <f>IF(AND(F224=G224,H224=I224,J224=K224,F224="A"),"2015 - kwh",IF(AND(F224=G224,H224=I224,J224&lt;&gt;K224,F224="A"),"2016 - kwh",IF(AND(F224=G224,H224&lt;&gt;I224,F224="A"),"2017 - kwh","N/A")))</f>
        <v>N/A</v>
      </c>
      <c r="B222" s="876" t="str">
        <f>IF(F224&lt;&gt;G224,"2017 - kwh",IF(H224&lt;&gt;I224,"2016 - kwh",IF(J224&lt;&gt;K224,"2015 - kwh","N/A")))</f>
        <v>N/A</v>
      </c>
      <c r="C222" s="751" t="s">
        <v>2649</v>
      </c>
      <c r="D222" s="979"/>
      <c r="E222" s="873" t="s">
        <v>158</v>
      </c>
      <c r="F222" s="978"/>
      <c r="G222" s="978"/>
      <c r="H222" s="978"/>
      <c r="I222" s="978"/>
      <c r="J222" s="978"/>
      <c r="K222" s="978"/>
      <c r="L222" s="978"/>
      <c r="M222" s="978"/>
      <c r="N222" s="978"/>
      <c r="O222" s="978"/>
      <c r="P222" s="876"/>
      <c r="Q222" s="876"/>
      <c r="R222" s="876"/>
      <c r="S222" s="876"/>
      <c r="T222" s="876"/>
      <c r="U222" s="876"/>
      <c r="V222" s="876"/>
      <c r="Z222" s="1354"/>
      <c r="AA222" s="1354" t="str">
        <f>IF(AND(F224=G224,H224=I224,F224="A"),"2015 - kwh","")</f>
        <v/>
      </c>
      <c r="AB222" s="1354" t="str">
        <f>IF(OR(B222="2016 - kwh",B222="2017 - kwh"),"2015 - kwh","")</f>
        <v/>
      </c>
      <c r="AC222" s="1354"/>
      <c r="AD222" s="1354"/>
      <c r="AE222" s="1354"/>
    </row>
    <row r="223" spans="1:31" s="779" customFormat="1" hidden="1" x14ac:dyDescent="0.25">
      <c r="A223" s="876" t="str">
        <f>IF(AND(F224=G224,H224=I224,J224=K224,F224="A"),"2015 - kw",IF(AND(F224=G224,H224=I224,J224&lt;&gt;K224,F224="A"),"2016 - kw",IF(AND(F224=G224,H224&lt;&gt;I224,F224="A"),"2017 - kw","N/A")))</f>
        <v>N/A</v>
      </c>
      <c r="B223" s="876" t="str">
        <f>IF(F224&lt;&gt;G224,"2017 - kw",IF(H224&lt;&gt;I224,"2016 - kw",IF(J224&lt;&gt;K224,"2015 - kw","N/A")))</f>
        <v>N/A</v>
      </c>
      <c r="C223" s="752"/>
      <c r="D223" s="809" t="str">
        <f>D222 &amp; "kW"</f>
        <v>kW</v>
      </c>
      <c r="E223" s="872" t="s">
        <v>159</v>
      </c>
      <c r="F223" s="978"/>
      <c r="G223" s="978"/>
      <c r="H223" s="978"/>
      <c r="I223" s="978"/>
      <c r="J223" s="978"/>
      <c r="K223" s="978"/>
      <c r="L223" s="978"/>
      <c r="M223" s="978"/>
      <c r="N223" s="978"/>
      <c r="O223" s="978"/>
      <c r="P223" s="876"/>
      <c r="Q223" s="876"/>
      <c r="R223" s="876"/>
      <c r="S223" s="876"/>
      <c r="T223" s="876"/>
      <c r="U223" s="876"/>
      <c r="V223" s="876"/>
      <c r="Z223" s="1354"/>
      <c r="AA223" s="1354" t="str">
        <f>IF(AND(F224=G224,H224=I224,F224="A"),"2015 - kw","")</f>
        <v/>
      </c>
      <c r="AB223" s="1354" t="str">
        <f>IF(OR(B223="2016 - kw",B223="2017 - kw"),"2015 - kw","")</f>
        <v/>
      </c>
      <c r="AC223" s="1354"/>
      <c r="AD223" s="1354"/>
      <c r="AE223" s="1354"/>
    </row>
    <row r="224" spans="1:31" s="779" customFormat="1" hidden="1" x14ac:dyDescent="0.25">
      <c r="A224" s="876"/>
      <c r="B224" s="876"/>
      <c r="C224" s="755"/>
      <c r="D224" s="870"/>
      <c r="E224" s="871" t="s">
        <v>2550</v>
      </c>
      <c r="F224" s="977"/>
      <c r="G224" s="977"/>
      <c r="H224" s="977"/>
      <c r="I224" s="977"/>
      <c r="J224" s="977"/>
      <c r="K224" s="977"/>
      <c r="L224" s="977"/>
      <c r="M224" s="977"/>
      <c r="N224" s="977"/>
      <c r="O224" s="977"/>
      <c r="P224" s="876"/>
      <c r="Q224" s="876"/>
      <c r="R224" s="876"/>
      <c r="S224" s="876"/>
      <c r="T224" s="876"/>
      <c r="U224" s="876"/>
      <c r="V224" s="876"/>
      <c r="Z224" s="1354"/>
      <c r="AA224" s="1354"/>
      <c r="AB224" s="1354"/>
      <c r="AC224" s="1354"/>
      <c r="AD224" s="1354"/>
      <c r="AE224" s="1354"/>
    </row>
    <row r="225" spans="1:31" s="779" customFormat="1" hidden="1" x14ac:dyDescent="0.25">
      <c r="A225" s="876" t="str">
        <f>IF(AND(F227=G227,H227=I227,J227=K227,F227="A"),"2015 - kwh",IF(AND(F227=G227,H227=I227,J227&lt;&gt;K227,F227="A"),"2016 - kwh",IF(AND(F227=G227,H227&lt;&gt;I227,F227="A"),"2017 - kwh","N/A")))</f>
        <v>N/A</v>
      </c>
      <c r="B225" s="876" t="str">
        <f>IF(F227&lt;&gt;G227,"2017 - kwh",IF(H227&lt;&gt;I227,"2016 - kwh",IF(J227&lt;&gt;K227,"2015 - kwh","N/A")))</f>
        <v>N/A</v>
      </c>
      <c r="C225" s="751" t="s">
        <v>2650</v>
      </c>
      <c r="D225" s="979"/>
      <c r="E225" s="873" t="s">
        <v>158</v>
      </c>
      <c r="F225" s="978"/>
      <c r="G225" s="978"/>
      <c r="H225" s="978"/>
      <c r="I225" s="978"/>
      <c r="J225" s="978"/>
      <c r="K225" s="978"/>
      <c r="L225" s="978"/>
      <c r="M225" s="978"/>
      <c r="N225" s="978"/>
      <c r="O225" s="978"/>
      <c r="P225" s="876"/>
      <c r="Q225" s="876"/>
      <c r="R225" s="876"/>
      <c r="S225" s="876"/>
      <c r="T225" s="876"/>
      <c r="U225" s="876"/>
      <c r="V225" s="876"/>
      <c r="Z225" s="1354"/>
      <c r="AA225" s="1354" t="str">
        <f>IF(AND(F227=G227,H227=I227,F227="A"),"2015 - kwh","")</f>
        <v/>
      </c>
      <c r="AB225" s="1354" t="str">
        <f>IF(OR(B225="2016 - kwh",B225="2017 - kwh"),"2015 - kwh","")</f>
        <v/>
      </c>
      <c r="AC225" s="1354"/>
      <c r="AD225" s="1354"/>
      <c r="AE225" s="1354"/>
    </row>
    <row r="226" spans="1:31" s="779" customFormat="1" hidden="1" x14ac:dyDescent="0.25">
      <c r="A226" s="876" t="str">
        <f>IF(AND(F227=G227,H227=I227,J227=K227,F227="A"),"2015 - kw",IF(AND(F227=G227,H227=I227,J227&lt;&gt;K227,F227="A"),"2016 - kw",IF(AND(F227=G227,H227&lt;&gt;I227,F227="A"),"2017 - kw","N/A")))</f>
        <v>N/A</v>
      </c>
      <c r="B226" s="876" t="str">
        <f>IF(F227&lt;&gt;G227,"2017 - kw",IF(H227&lt;&gt;I227,"2016 - kw",IF(J227&lt;&gt;K227,"2015 - kw","N/A")))</f>
        <v>N/A</v>
      </c>
      <c r="C226" s="752"/>
      <c r="D226" s="809" t="str">
        <f>D225 &amp; "kW"</f>
        <v>kW</v>
      </c>
      <c r="E226" s="872" t="s">
        <v>159</v>
      </c>
      <c r="F226" s="978"/>
      <c r="G226" s="978"/>
      <c r="H226" s="978"/>
      <c r="I226" s="978"/>
      <c r="J226" s="978"/>
      <c r="K226" s="978"/>
      <c r="L226" s="978"/>
      <c r="M226" s="978"/>
      <c r="N226" s="978"/>
      <c r="O226" s="978"/>
      <c r="P226" s="876"/>
      <c r="Q226" s="876"/>
      <c r="R226" s="876"/>
      <c r="S226" s="876"/>
      <c r="T226" s="876"/>
      <c r="U226" s="876"/>
      <c r="V226" s="876"/>
      <c r="Z226" s="1354"/>
      <c r="AA226" s="1354" t="str">
        <f>IF(AND(F227=G227,H227=I227,F227="A"),"2015 - kw","")</f>
        <v/>
      </c>
      <c r="AB226" s="1354" t="str">
        <f>IF(OR(B226="2016 - kw",B226="2017 - kw"),"2015 - kw","")</f>
        <v/>
      </c>
      <c r="AC226" s="1354"/>
      <c r="AD226" s="1354"/>
      <c r="AE226" s="1354"/>
    </row>
    <row r="227" spans="1:31" s="779" customFormat="1" hidden="1" x14ac:dyDescent="0.25">
      <c r="A227" s="876"/>
      <c r="B227" s="876"/>
      <c r="C227" s="755"/>
      <c r="D227" s="870"/>
      <c r="E227" s="871" t="s">
        <v>2550</v>
      </c>
      <c r="F227" s="977"/>
      <c r="G227" s="977"/>
      <c r="H227" s="977"/>
      <c r="I227" s="977"/>
      <c r="J227" s="977"/>
      <c r="K227" s="977"/>
      <c r="L227" s="977"/>
      <c r="M227" s="977"/>
      <c r="N227" s="977"/>
      <c r="O227" s="977"/>
      <c r="P227" s="876"/>
      <c r="Q227" s="876"/>
      <c r="R227" s="876"/>
      <c r="S227" s="876"/>
      <c r="T227" s="876"/>
      <c r="U227" s="876"/>
      <c r="V227" s="876"/>
      <c r="Z227" s="1354"/>
      <c r="AA227" s="1354"/>
      <c r="AB227" s="1354"/>
      <c r="AC227" s="1354"/>
      <c r="AD227" s="1354"/>
      <c r="AE227" s="1354"/>
    </row>
    <row r="228" spans="1:31" s="779" customFormat="1" hidden="1" x14ac:dyDescent="0.25">
      <c r="A228" s="876" t="str">
        <f>IF(AND(F230=G230,H230=I230,J230=K230,F230="A"),"2015 - kwh",IF(AND(F230=G230,H230=I230,J230&lt;&gt;K230,F230="A"),"2016 - kwh",IF(AND(F230=G230,H230&lt;&gt;I230,F230="A"),"2017 - kwh","N/A")))</f>
        <v>N/A</v>
      </c>
      <c r="B228" s="876" t="str">
        <f>IF(F230&lt;&gt;G230,"2017 - kwh",IF(H230&lt;&gt;I230,"2016 - kwh",IF(J230&lt;&gt;K230,"2015 - kwh","N/A")))</f>
        <v>N/A</v>
      </c>
      <c r="C228" s="751" t="s">
        <v>2651</v>
      </c>
      <c r="D228" s="979"/>
      <c r="E228" s="873" t="s">
        <v>158</v>
      </c>
      <c r="F228" s="978"/>
      <c r="G228" s="978"/>
      <c r="H228" s="978"/>
      <c r="I228" s="978"/>
      <c r="J228" s="978"/>
      <c r="K228" s="978"/>
      <c r="L228" s="978"/>
      <c r="M228" s="978"/>
      <c r="N228" s="978"/>
      <c r="O228" s="978"/>
      <c r="P228" s="876"/>
      <c r="Q228" s="876"/>
      <c r="R228" s="876"/>
      <c r="S228" s="876"/>
      <c r="T228" s="876"/>
      <c r="U228" s="876"/>
      <c r="V228" s="876"/>
      <c r="Z228" s="1354"/>
      <c r="AA228" s="1354" t="str">
        <f>IF(AND(F230=G230,H230=I230,F230="A"),"2015 - kwh","")</f>
        <v/>
      </c>
      <c r="AB228" s="1354" t="str">
        <f>IF(OR(B228="2016 - kwh",B228="2017 - kwh"),"2015 - kwh","")</f>
        <v/>
      </c>
      <c r="AC228" s="1354"/>
      <c r="AD228" s="1354"/>
      <c r="AE228" s="1354"/>
    </row>
    <row r="229" spans="1:31" s="779" customFormat="1" hidden="1" x14ac:dyDescent="0.25">
      <c r="A229" s="876" t="str">
        <f>IF(AND(F230=G230,H230=I230,J230=K230,F230="A"),"2015 - kw",IF(AND(F230=G230,H230=I230,J230&lt;&gt;K230,F230="A"),"2016 - kw",IF(AND(F230=G230,H230&lt;&gt;I230,F230="A"),"2017 - kw","N/A")))</f>
        <v>N/A</v>
      </c>
      <c r="B229" s="876" t="str">
        <f>IF(F230&lt;&gt;G230,"2017 - kw",IF(H230&lt;&gt;I230,"2016 - kw",IF(J230&lt;&gt;K230,"2015 - kw","N/A")))</f>
        <v>N/A</v>
      </c>
      <c r="C229" s="752"/>
      <c r="D229" s="809" t="str">
        <f>D228 &amp; "kW"</f>
        <v>kW</v>
      </c>
      <c r="E229" s="872" t="s">
        <v>159</v>
      </c>
      <c r="F229" s="978"/>
      <c r="G229" s="978"/>
      <c r="H229" s="978"/>
      <c r="I229" s="978"/>
      <c r="J229" s="978"/>
      <c r="K229" s="978"/>
      <c r="L229" s="978"/>
      <c r="M229" s="978"/>
      <c r="N229" s="978"/>
      <c r="O229" s="978"/>
      <c r="P229" s="876"/>
      <c r="Q229" s="876"/>
      <c r="R229" s="876"/>
      <c r="S229" s="876"/>
      <c r="T229" s="876"/>
      <c r="U229" s="876"/>
      <c r="V229" s="876"/>
      <c r="Z229" s="1354"/>
      <c r="AA229" s="1354" t="str">
        <f>IF(AND(F230=G230,H230=I230,F230="A"),"2015 - kw","")</f>
        <v/>
      </c>
      <c r="AB229" s="1354" t="str">
        <f>IF(OR(B229="2016 - kw",B229="2017 - kw"),"2015 - kw","")</f>
        <v/>
      </c>
      <c r="AC229" s="1354"/>
      <c r="AD229" s="1354"/>
      <c r="AE229" s="1354"/>
    </row>
    <row r="230" spans="1:31" s="779" customFormat="1" hidden="1" x14ac:dyDescent="0.25">
      <c r="A230" s="876"/>
      <c r="B230" s="876"/>
      <c r="C230" s="755"/>
      <c r="D230" s="870"/>
      <c r="E230" s="871" t="s">
        <v>2550</v>
      </c>
      <c r="F230" s="977"/>
      <c r="G230" s="977"/>
      <c r="H230" s="977"/>
      <c r="I230" s="977"/>
      <c r="J230" s="977"/>
      <c r="K230" s="977"/>
      <c r="L230" s="977"/>
      <c r="M230" s="977"/>
      <c r="N230" s="977"/>
      <c r="O230" s="977"/>
      <c r="P230" s="876"/>
      <c r="Q230" s="876"/>
      <c r="R230" s="876"/>
      <c r="S230" s="876"/>
      <c r="T230" s="876"/>
      <c r="U230" s="876"/>
      <c r="V230" s="876"/>
      <c r="Z230" s="1354"/>
      <c r="AA230" s="1354"/>
      <c r="AB230" s="1354"/>
      <c r="AC230" s="1354"/>
      <c r="AD230" s="1354"/>
      <c r="AE230" s="1354"/>
    </row>
    <row r="231" spans="1:31" s="779" customFormat="1" hidden="1" x14ac:dyDescent="0.25">
      <c r="A231" s="876" t="str">
        <f>IF(AND(F233=G233,H233=I233,J233=K233,F233="A"),"2015 - kwh",IF(AND(F233=G233,H233=I233,J233&lt;&gt;K233,F233="A"),"2016 - kwh",IF(AND(F233=G233,H233&lt;&gt;I233,F233="A"),"2017 - kwh","N/A")))</f>
        <v>N/A</v>
      </c>
      <c r="B231" s="876" t="str">
        <f>IF(F233&lt;&gt;G233,"2017 - kwh",IF(H233&lt;&gt;I233,"2016 - kwh",IF(J233&lt;&gt;K233,"2015 - kwh","N/A")))</f>
        <v>N/A</v>
      </c>
      <c r="C231" s="751" t="s">
        <v>2652</v>
      </c>
      <c r="D231" s="979"/>
      <c r="E231" s="873" t="s">
        <v>158</v>
      </c>
      <c r="F231" s="978"/>
      <c r="G231" s="978"/>
      <c r="H231" s="978"/>
      <c r="I231" s="978"/>
      <c r="J231" s="978"/>
      <c r="K231" s="978"/>
      <c r="L231" s="978"/>
      <c r="M231" s="978"/>
      <c r="N231" s="978"/>
      <c r="O231" s="978"/>
      <c r="P231" s="876"/>
      <c r="Q231" s="876"/>
      <c r="R231" s="876"/>
      <c r="S231" s="876"/>
      <c r="T231" s="876"/>
      <c r="U231" s="876"/>
      <c r="V231" s="876"/>
      <c r="Z231" s="1354"/>
      <c r="AA231" s="1354" t="str">
        <f>IF(AND(F233=G233,H233=I233,F233="A"),"2015 - kwh","")</f>
        <v/>
      </c>
      <c r="AB231" s="1354" t="str">
        <f>IF(OR(B231="2016 - kwh",B231="2017 - kwh"),"2015 - kwh","")</f>
        <v/>
      </c>
      <c r="AC231" s="1354"/>
      <c r="AD231" s="1354"/>
      <c r="AE231" s="1354"/>
    </row>
    <row r="232" spans="1:31" s="779" customFormat="1" hidden="1" x14ac:dyDescent="0.25">
      <c r="A232" s="876" t="str">
        <f>IF(AND(F233=G233,H233=I233,J233=K233,F233="A"),"2015 - kw",IF(AND(F233=G233,H233=I233,J233&lt;&gt;K233,F233="A"),"2016 - kw",IF(AND(F233=G233,H233&lt;&gt;I233,F233="A"),"2017 - kw","N/A")))</f>
        <v>N/A</v>
      </c>
      <c r="B232" s="876" t="str">
        <f>IF(F233&lt;&gt;G233,"2017 - kw",IF(H233&lt;&gt;I233,"2016 - kw",IF(J233&lt;&gt;K233,"2015 - kw","N/A")))</f>
        <v>N/A</v>
      </c>
      <c r="C232" s="752"/>
      <c r="D232" s="809" t="str">
        <f>D231 &amp; "kW"</f>
        <v>kW</v>
      </c>
      <c r="E232" s="872" t="s">
        <v>159</v>
      </c>
      <c r="F232" s="978"/>
      <c r="G232" s="978"/>
      <c r="H232" s="978"/>
      <c r="I232" s="978"/>
      <c r="J232" s="978"/>
      <c r="K232" s="978"/>
      <c r="L232" s="978"/>
      <c r="M232" s="978"/>
      <c r="N232" s="978"/>
      <c r="O232" s="978"/>
      <c r="P232" s="876"/>
      <c r="Q232" s="876"/>
      <c r="R232" s="876"/>
      <c r="S232" s="876"/>
      <c r="T232" s="876"/>
      <c r="U232" s="876"/>
      <c r="V232" s="876"/>
      <c r="Z232" s="1354"/>
      <c r="AA232" s="1354" t="str">
        <f>IF(AND(F233=G233,H233=I233,F233="A"),"2015 - kw","")</f>
        <v/>
      </c>
      <c r="AB232" s="1354" t="str">
        <f>IF(OR(B232="2016 - kw",B232="2017 - kw"),"2015 - kw","")</f>
        <v/>
      </c>
      <c r="AC232" s="1354"/>
      <c r="AD232" s="1354"/>
      <c r="AE232" s="1354"/>
    </row>
    <row r="233" spans="1:31" s="779" customFormat="1" hidden="1" x14ac:dyDescent="0.25">
      <c r="A233" s="876"/>
      <c r="B233" s="876"/>
      <c r="C233" s="755"/>
      <c r="D233" s="870"/>
      <c r="E233" s="871" t="s">
        <v>2550</v>
      </c>
      <c r="F233" s="977"/>
      <c r="G233" s="977"/>
      <c r="H233" s="977"/>
      <c r="I233" s="977"/>
      <c r="J233" s="977"/>
      <c r="K233" s="977"/>
      <c r="L233" s="977"/>
      <c r="M233" s="977"/>
      <c r="N233" s="977"/>
      <c r="O233" s="977"/>
      <c r="P233" s="876"/>
      <c r="Q233" s="876"/>
      <c r="R233" s="876"/>
      <c r="S233" s="876"/>
      <c r="T233" s="876"/>
      <c r="U233" s="876"/>
      <c r="V233" s="876"/>
      <c r="Z233" s="1354"/>
      <c r="AA233" s="1354"/>
      <c r="AB233" s="1354"/>
      <c r="AC233" s="1354"/>
      <c r="AD233" s="1354"/>
      <c r="AE233" s="1354"/>
    </row>
    <row r="234" spans="1:31" s="779" customFormat="1" hidden="1" x14ac:dyDescent="0.25">
      <c r="A234" s="876" t="str">
        <f>IF(AND(F236=G236,H236=I236,J236=K236,F236="A"),"2015 - kwh",IF(AND(F236=G236,H236=I236,J236&lt;&gt;K236,F236="A"),"2016 - kwh",IF(AND(F236=G236,H236&lt;&gt;I236,F236="A"),"2017 - kwh","N/A")))</f>
        <v>N/A</v>
      </c>
      <c r="B234" s="876" t="str">
        <f>IF(F236&lt;&gt;G236,"2017 - kwh",IF(H236&lt;&gt;I236,"2016 - kwh",IF(J236&lt;&gt;K236,"2015 - kwh","N/A")))</f>
        <v>N/A</v>
      </c>
      <c r="C234" s="751" t="s">
        <v>2653</v>
      </c>
      <c r="D234" s="979"/>
      <c r="E234" s="873" t="s">
        <v>158</v>
      </c>
      <c r="F234" s="978"/>
      <c r="G234" s="978"/>
      <c r="H234" s="978"/>
      <c r="I234" s="978"/>
      <c r="J234" s="978"/>
      <c r="K234" s="978"/>
      <c r="L234" s="978"/>
      <c r="M234" s="978"/>
      <c r="N234" s="978"/>
      <c r="O234" s="978"/>
      <c r="P234" s="876"/>
      <c r="Q234" s="876"/>
      <c r="R234" s="876"/>
      <c r="S234" s="876"/>
      <c r="T234" s="876"/>
      <c r="U234" s="876"/>
      <c r="V234" s="876"/>
      <c r="Z234" s="1354"/>
      <c r="AA234" s="1354" t="str">
        <f>IF(AND(F236=G236,H236=I236,F236="A"),"2015 - kwh","")</f>
        <v/>
      </c>
      <c r="AB234" s="1354" t="str">
        <f>IF(OR(B234="2016 - kwh",B234="2017 - kwh"),"2015 - kwh","")</f>
        <v/>
      </c>
      <c r="AC234" s="1354"/>
      <c r="AD234" s="1354"/>
      <c r="AE234" s="1354"/>
    </row>
    <row r="235" spans="1:31" s="779" customFormat="1" hidden="1" x14ac:dyDescent="0.25">
      <c r="A235" s="876" t="str">
        <f>IF(AND(F236=G236,H236=I236,J236=K236,F236="A"),"2015 - kw",IF(AND(F236=G236,H236=I236,J236&lt;&gt;K236,F236="A"),"2016 - kw",IF(AND(F236=G236,H236&lt;&gt;I236,F236="A"),"2017 - kw","N/A")))</f>
        <v>N/A</v>
      </c>
      <c r="B235" s="876" t="str">
        <f>IF(F236&lt;&gt;G236,"2017 - kw",IF(H236&lt;&gt;I236,"2016 - kw",IF(J236&lt;&gt;K236,"2015 - kw","N/A")))</f>
        <v>N/A</v>
      </c>
      <c r="C235" s="752"/>
      <c r="D235" s="809" t="str">
        <f>D234 &amp; "kW"</f>
        <v>kW</v>
      </c>
      <c r="E235" s="872" t="s">
        <v>159</v>
      </c>
      <c r="F235" s="978"/>
      <c r="G235" s="978"/>
      <c r="H235" s="978"/>
      <c r="I235" s="978"/>
      <c r="J235" s="978"/>
      <c r="K235" s="978"/>
      <c r="L235" s="978"/>
      <c r="M235" s="978"/>
      <c r="N235" s="978"/>
      <c r="O235" s="978"/>
      <c r="P235" s="876"/>
      <c r="Q235" s="876"/>
      <c r="R235" s="876"/>
      <c r="S235" s="876"/>
      <c r="T235" s="876"/>
      <c r="U235" s="876"/>
      <c r="V235" s="876"/>
      <c r="Z235" s="1354"/>
      <c r="AA235" s="1354" t="str">
        <f>IF(AND(F236=G236,H236=I236,F236="A"),"2015 - kw","")</f>
        <v/>
      </c>
      <c r="AB235" s="1354" t="str">
        <f>IF(OR(B235="2016 - kw",B235="2017 - kw"),"2015 - kw","")</f>
        <v/>
      </c>
      <c r="AC235" s="1354"/>
      <c r="AD235" s="1354"/>
      <c r="AE235" s="1354"/>
    </row>
    <row r="236" spans="1:31" s="779" customFormat="1" hidden="1" x14ac:dyDescent="0.25">
      <c r="A236" s="876"/>
      <c r="B236" s="876"/>
      <c r="C236" s="755"/>
      <c r="D236" s="870"/>
      <c r="E236" s="871" t="s">
        <v>2550</v>
      </c>
      <c r="F236" s="977"/>
      <c r="G236" s="977"/>
      <c r="H236" s="977"/>
      <c r="I236" s="977"/>
      <c r="J236" s="977"/>
      <c r="K236" s="977"/>
      <c r="L236" s="977"/>
      <c r="M236" s="977"/>
      <c r="N236" s="977"/>
      <c r="O236" s="977"/>
      <c r="P236" s="876"/>
      <c r="Q236" s="876"/>
      <c r="R236" s="876"/>
      <c r="S236" s="876"/>
      <c r="T236" s="876"/>
      <c r="U236" s="876"/>
      <c r="V236" s="876"/>
      <c r="Z236" s="1354"/>
      <c r="AA236" s="1354"/>
      <c r="AB236" s="1354"/>
      <c r="AC236" s="1354"/>
      <c r="AD236" s="1354"/>
      <c r="AE236" s="1354"/>
    </row>
    <row r="237" spans="1:31" s="779" customFormat="1" hidden="1" x14ac:dyDescent="0.25">
      <c r="A237" s="876" t="str">
        <f>IF(AND(F239=G239,H239=I239,J239=K239,F239="A"),"2015 - kwh",IF(AND(F239=G239,H239=I239,J239&lt;&gt;K239,F239="A"),"2016 - kwh",IF(AND(F239=G239,H239&lt;&gt;I239,F239="A"),"2017 - kwh","N/A")))</f>
        <v>N/A</v>
      </c>
      <c r="B237" s="876" t="str">
        <f>IF(F239&lt;&gt;G239,"2017 - kwh",IF(H239&lt;&gt;I239,"2016 - kwh",IF(J239&lt;&gt;K239,"2015 - kwh","N/A")))</f>
        <v>N/A</v>
      </c>
      <c r="C237" s="751" t="s">
        <v>2654</v>
      </c>
      <c r="D237" s="979"/>
      <c r="E237" s="873" t="s">
        <v>158</v>
      </c>
      <c r="F237" s="978"/>
      <c r="G237" s="978"/>
      <c r="H237" s="978"/>
      <c r="I237" s="978"/>
      <c r="J237" s="978"/>
      <c r="K237" s="978"/>
      <c r="L237" s="978"/>
      <c r="M237" s="978"/>
      <c r="N237" s="978"/>
      <c r="O237" s="978"/>
      <c r="P237" s="876"/>
      <c r="Q237" s="876"/>
      <c r="R237" s="876"/>
      <c r="S237" s="876"/>
      <c r="T237" s="876"/>
      <c r="U237" s="876"/>
      <c r="V237" s="876"/>
      <c r="Z237" s="1354"/>
      <c r="AA237" s="1354" t="str">
        <f>IF(AND(F239=G239,H239=I239,F239="A"),"2015 - kwh","")</f>
        <v/>
      </c>
      <c r="AB237" s="1354" t="str">
        <f>IF(OR(B237="2016 - kwh",B237="2017 - kwh"),"2015 - kwh","")</f>
        <v/>
      </c>
      <c r="AC237" s="1354"/>
      <c r="AD237" s="1354"/>
      <c r="AE237" s="1354"/>
    </row>
    <row r="238" spans="1:31" s="779" customFormat="1" hidden="1" x14ac:dyDescent="0.25">
      <c r="A238" s="876" t="str">
        <f>IF(AND(F239=G239,H239=I239,J239=K239,F239="A"),"2015 - kw",IF(AND(F239=G239,H239=I239,J239&lt;&gt;K239,F239="A"),"2016 - kw",IF(AND(F239=G239,H239&lt;&gt;I239,F239="A"),"2017 - kw","N/A")))</f>
        <v>N/A</v>
      </c>
      <c r="B238" s="876" t="str">
        <f>IF(F239&lt;&gt;G239,"2017 - kw",IF(H239&lt;&gt;I239,"2016 - kw",IF(J239&lt;&gt;K239,"2015 - kw","N/A")))</f>
        <v>N/A</v>
      </c>
      <c r="C238" s="752"/>
      <c r="D238" s="809" t="str">
        <f>D237 &amp; "kW"</f>
        <v>kW</v>
      </c>
      <c r="E238" s="872" t="s">
        <v>159</v>
      </c>
      <c r="F238" s="978"/>
      <c r="G238" s="978"/>
      <c r="H238" s="978"/>
      <c r="I238" s="978"/>
      <c r="J238" s="978"/>
      <c r="K238" s="978"/>
      <c r="L238" s="978"/>
      <c r="M238" s="978"/>
      <c r="N238" s="978"/>
      <c r="O238" s="978"/>
      <c r="P238" s="876"/>
      <c r="Q238" s="876"/>
      <c r="R238" s="876"/>
      <c r="S238" s="876"/>
      <c r="T238" s="876"/>
      <c r="U238" s="876"/>
      <c r="V238" s="876"/>
      <c r="Z238" s="1354"/>
      <c r="AA238" s="1354" t="str">
        <f>IF(AND(F239=G239,H239=I239,F239="A"),"2015 - kw","")</f>
        <v/>
      </c>
      <c r="AB238" s="1354" t="str">
        <f>IF(OR(B238="2016 - kw",B238="2017 - kw"),"2015 - kw","")</f>
        <v/>
      </c>
      <c r="AC238" s="1354"/>
      <c r="AD238" s="1354"/>
      <c r="AE238" s="1354"/>
    </row>
    <row r="239" spans="1:31" s="779" customFormat="1" hidden="1" x14ac:dyDescent="0.25">
      <c r="A239" s="876"/>
      <c r="B239" s="876"/>
      <c r="C239" s="755"/>
      <c r="D239" s="870"/>
      <c r="E239" s="871" t="s">
        <v>2550</v>
      </c>
      <c r="F239" s="977"/>
      <c r="G239" s="977"/>
      <c r="H239" s="977"/>
      <c r="I239" s="977"/>
      <c r="J239" s="977"/>
      <c r="K239" s="977"/>
      <c r="L239" s="977"/>
      <c r="M239" s="977"/>
      <c r="N239" s="977"/>
      <c r="O239" s="977"/>
      <c r="P239" s="876"/>
      <c r="Q239" s="876"/>
      <c r="R239" s="876"/>
      <c r="S239" s="876"/>
      <c r="T239" s="876"/>
      <c r="U239" s="876"/>
      <c r="V239" s="876"/>
      <c r="Z239" s="1354"/>
      <c r="AA239" s="1354"/>
      <c r="AB239" s="1354"/>
      <c r="AC239" s="1354"/>
      <c r="AD239" s="1354"/>
      <c r="AE239" s="1354"/>
    </row>
    <row r="240" spans="1:31" s="779" customFormat="1" hidden="1" x14ac:dyDescent="0.25">
      <c r="A240" s="876" t="str">
        <f>IF(AND(F242=G242,H242=I242,J242=K242,F242="A"),"2015 - kwh",IF(AND(F242=G242,H242=I242,J242&lt;&gt;K242,F242="A"),"2016 - kwh",IF(AND(F242=G242,H242&lt;&gt;I242,F242="A"),"2017 - kwh","N/A")))</f>
        <v>N/A</v>
      </c>
      <c r="B240" s="876" t="str">
        <f>IF(F242&lt;&gt;G242,"2017 - kwh",IF(H242&lt;&gt;I242,"2016 - kwh",IF(J242&lt;&gt;K242,"2015 - kwh","N/A")))</f>
        <v>N/A</v>
      </c>
      <c r="C240" s="751" t="s">
        <v>2655</v>
      </c>
      <c r="D240" s="979"/>
      <c r="E240" s="873" t="s">
        <v>158</v>
      </c>
      <c r="F240" s="978"/>
      <c r="G240" s="978"/>
      <c r="H240" s="978"/>
      <c r="I240" s="978"/>
      <c r="J240" s="978"/>
      <c r="K240" s="978"/>
      <c r="L240" s="978"/>
      <c r="M240" s="978"/>
      <c r="N240" s="978"/>
      <c r="O240" s="978"/>
      <c r="P240" s="876"/>
      <c r="Q240" s="876"/>
      <c r="R240" s="876"/>
      <c r="S240" s="876"/>
      <c r="T240" s="876"/>
      <c r="U240" s="876"/>
      <c r="V240" s="876"/>
      <c r="Z240" s="1354"/>
      <c r="AA240" s="1354" t="str">
        <f>IF(AND(F242=G242,H242=I242,F242="A"),"2015 - kwh","")</f>
        <v/>
      </c>
      <c r="AB240" s="1354" t="str">
        <f>IF(OR(B240="2016 - kwh",B240="2017 - kwh"),"2015 - kwh","")</f>
        <v/>
      </c>
      <c r="AC240" s="1354"/>
      <c r="AD240" s="1354"/>
      <c r="AE240" s="1354"/>
    </row>
    <row r="241" spans="1:31" s="779" customFormat="1" hidden="1" x14ac:dyDescent="0.25">
      <c r="A241" s="876" t="str">
        <f>IF(AND(F242=G242,H242=I242,J242=K242,F242="A"),"2015 - kw",IF(AND(F242=G242,H242=I242,J242&lt;&gt;K242,F242="A"),"2016 - kw",IF(AND(F242=G242,H242&lt;&gt;I242,F242="A"),"2017 - kw","N/A")))</f>
        <v>N/A</v>
      </c>
      <c r="B241" s="876" t="str">
        <f>IF(F242&lt;&gt;G242,"2017 - kw",IF(H242&lt;&gt;I242,"2016 - kw",IF(J242&lt;&gt;K242,"2015 - kw","N/A")))</f>
        <v>N/A</v>
      </c>
      <c r="C241" s="752"/>
      <c r="D241" s="809" t="str">
        <f>D240 &amp; "kW"</f>
        <v>kW</v>
      </c>
      <c r="E241" s="872" t="s">
        <v>159</v>
      </c>
      <c r="F241" s="978"/>
      <c r="G241" s="978"/>
      <c r="H241" s="978"/>
      <c r="I241" s="978"/>
      <c r="J241" s="978"/>
      <c r="K241" s="978"/>
      <c r="L241" s="978"/>
      <c r="M241" s="978"/>
      <c r="N241" s="978"/>
      <c r="O241" s="978"/>
      <c r="P241" s="876"/>
      <c r="Q241" s="876"/>
      <c r="R241" s="876"/>
      <c r="S241" s="876"/>
      <c r="T241" s="876"/>
      <c r="U241" s="876"/>
      <c r="V241" s="876"/>
      <c r="Z241" s="1354"/>
      <c r="AA241" s="1354" t="str">
        <f>IF(AND(F242=G242,H242=I242,F242="A"),"2015 - kw","")</f>
        <v/>
      </c>
      <c r="AB241" s="1354" t="str">
        <f>IF(OR(B241="2016 - kw",B241="2017 - kw"),"2015 - kw","")</f>
        <v/>
      </c>
      <c r="AC241" s="1354"/>
      <c r="AD241" s="1354"/>
      <c r="AE241" s="1354"/>
    </row>
    <row r="242" spans="1:31" s="779" customFormat="1" hidden="1" x14ac:dyDescent="0.25">
      <c r="A242" s="876"/>
      <c r="B242" s="876"/>
      <c r="C242" s="755"/>
      <c r="D242" s="870"/>
      <c r="E242" s="871" t="s">
        <v>2550</v>
      </c>
      <c r="F242" s="977"/>
      <c r="G242" s="977"/>
      <c r="H242" s="977"/>
      <c r="I242" s="977"/>
      <c r="J242" s="977"/>
      <c r="K242" s="977"/>
      <c r="L242" s="977"/>
      <c r="M242" s="977"/>
      <c r="N242" s="977"/>
      <c r="O242" s="977"/>
      <c r="P242" s="876"/>
      <c r="Q242" s="876"/>
      <c r="R242" s="876"/>
      <c r="S242" s="876"/>
      <c r="T242" s="876"/>
      <c r="U242" s="876"/>
      <c r="V242" s="876"/>
      <c r="Z242" s="1354"/>
      <c r="AA242" s="1354"/>
      <c r="AB242" s="1354"/>
      <c r="AC242" s="1354"/>
      <c r="AD242" s="1354"/>
      <c r="AE242" s="1354"/>
    </row>
    <row r="243" spans="1:31" s="779" customFormat="1" hidden="1" x14ac:dyDescent="0.25">
      <c r="A243" s="876" t="str">
        <f>IF(AND(F245=G245,H245=I245,J245=K245,F245="A"),"2015 - kwh",IF(AND(F245=G245,H245=I245,J245&lt;&gt;K245,F245="A"),"2016 - kwh",IF(AND(F245=G245,H245&lt;&gt;I245,F245="A"),"2017 - kwh","N/A")))</f>
        <v>N/A</v>
      </c>
      <c r="B243" s="876" t="str">
        <f>IF(F245&lt;&gt;G245,"2017 - kwh",IF(H245&lt;&gt;I245,"2016 - kwh",IF(J245&lt;&gt;K245,"2015 - kwh","N/A")))</f>
        <v>N/A</v>
      </c>
      <c r="C243" s="751" t="s">
        <v>2656</v>
      </c>
      <c r="D243" s="979"/>
      <c r="E243" s="873" t="s">
        <v>158</v>
      </c>
      <c r="F243" s="978"/>
      <c r="G243" s="978"/>
      <c r="H243" s="978"/>
      <c r="I243" s="978"/>
      <c r="J243" s="978"/>
      <c r="K243" s="978"/>
      <c r="L243" s="978"/>
      <c r="M243" s="978"/>
      <c r="N243" s="978"/>
      <c r="O243" s="978"/>
      <c r="P243" s="876"/>
      <c r="Q243" s="876"/>
      <c r="R243" s="876"/>
      <c r="S243" s="876"/>
      <c r="T243" s="876"/>
      <c r="U243" s="876"/>
      <c r="V243" s="876"/>
      <c r="Z243" s="1354"/>
      <c r="AA243" s="1354" t="str">
        <f>IF(AND(F245=G245,H245=I245,F245="A"),"2015 - kwh","")</f>
        <v/>
      </c>
      <c r="AB243" s="1354" t="str">
        <f>IF(OR(B243="2016 - kwh",B243="2017 - kwh"),"2015 - kwh","")</f>
        <v/>
      </c>
      <c r="AC243" s="1354"/>
      <c r="AD243" s="1354"/>
      <c r="AE243" s="1354"/>
    </row>
    <row r="244" spans="1:31" s="779" customFormat="1" hidden="1" x14ac:dyDescent="0.25">
      <c r="A244" s="876" t="str">
        <f>IF(AND(F245=G245,H245=I245,J245=K245,F245="A"),"2015 - kw",IF(AND(F245=G245,H245=I245,J245&lt;&gt;K245,F245="A"),"2016 - kw",IF(AND(F245=G245,H245&lt;&gt;I245,F245="A"),"2017 - kw","N/A")))</f>
        <v>N/A</v>
      </c>
      <c r="B244" s="876" t="str">
        <f>IF(F245&lt;&gt;G245,"2017 - kw",IF(H245&lt;&gt;I245,"2016 - kw",IF(J245&lt;&gt;K245,"2015 - kw","N/A")))</f>
        <v>N/A</v>
      </c>
      <c r="C244" s="752"/>
      <c r="D244" s="809" t="str">
        <f>D243 &amp; "kW"</f>
        <v>kW</v>
      </c>
      <c r="E244" s="872" t="s">
        <v>159</v>
      </c>
      <c r="F244" s="978"/>
      <c r="G244" s="978"/>
      <c r="H244" s="978"/>
      <c r="I244" s="978"/>
      <c r="J244" s="978"/>
      <c r="K244" s="978"/>
      <c r="L244" s="978"/>
      <c r="M244" s="978"/>
      <c r="N244" s="978"/>
      <c r="O244" s="978"/>
      <c r="P244" s="876"/>
      <c r="Q244" s="876"/>
      <c r="R244" s="876"/>
      <c r="S244" s="876"/>
      <c r="T244" s="876"/>
      <c r="U244" s="876"/>
      <c r="V244" s="876"/>
      <c r="Z244" s="1354"/>
      <c r="AA244" s="1354" t="str">
        <f>IF(AND(F245=G245,H245=I245,F245="A"),"2015 - kw","")</f>
        <v/>
      </c>
      <c r="AB244" s="1354" t="str">
        <f>IF(OR(B244="2016 - kw",B244="2017 - kw"),"2015 - kw","")</f>
        <v/>
      </c>
      <c r="AC244" s="1354"/>
      <c r="AD244" s="1354"/>
      <c r="AE244" s="1354"/>
    </row>
    <row r="245" spans="1:31" s="779" customFormat="1" hidden="1" x14ac:dyDescent="0.25">
      <c r="A245" s="876"/>
      <c r="B245" s="876"/>
      <c r="C245" s="755"/>
      <c r="D245" s="870"/>
      <c r="E245" s="871" t="s">
        <v>2550</v>
      </c>
      <c r="F245" s="977"/>
      <c r="G245" s="977"/>
      <c r="H245" s="977"/>
      <c r="I245" s="977"/>
      <c r="J245" s="977"/>
      <c r="K245" s="977"/>
      <c r="L245" s="977"/>
      <c r="M245" s="977"/>
      <c r="N245" s="977"/>
      <c r="O245" s="977"/>
      <c r="P245" s="876"/>
      <c r="Q245" s="876"/>
      <c r="R245" s="876"/>
      <c r="S245" s="876"/>
      <c r="T245" s="876"/>
      <c r="U245" s="876"/>
      <c r="V245" s="876"/>
      <c r="Z245" s="1354"/>
      <c r="AA245" s="1354"/>
      <c r="AB245" s="1354"/>
      <c r="AC245" s="1354"/>
      <c r="AD245" s="1354"/>
      <c r="AE245" s="1354"/>
    </row>
    <row r="246" spans="1:31" s="779" customFormat="1" hidden="1" x14ac:dyDescent="0.25">
      <c r="A246" s="876" t="str">
        <f>IF(AND(F248=G248,H248=I248,J248=K248,F248="A"),"2015 - kwh",IF(AND(F248=G248,H248=I248,J248&lt;&gt;K248,F248="A"),"2016 - kwh",IF(AND(F248=G248,H248&lt;&gt;I248,F248="A"),"2017 - kwh","N/A")))</f>
        <v>N/A</v>
      </c>
      <c r="B246" s="876" t="str">
        <f>IF(F248&lt;&gt;G248,"2017 - kwh",IF(H248&lt;&gt;I248,"2016 - kwh",IF(J248&lt;&gt;K248,"2015 - kwh","N/A")))</f>
        <v>N/A</v>
      </c>
      <c r="C246" s="751" t="s">
        <v>2657</v>
      </c>
      <c r="D246" s="979"/>
      <c r="E246" s="873" t="s">
        <v>158</v>
      </c>
      <c r="F246" s="978"/>
      <c r="G246" s="978"/>
      <c r="H246" s="978"/>
      <c r="I246" s="978"/>
      <c r="J246" s="978"/>
      <c r="K246" s="978"/>
      <c r="L246" s="978"/>
      <c r="M246" s="978"/>
      <c r="N246" s="978"/>
      <c r="O246" s="978"/>
      <c r="P246" s="876"/>
      <c r="Q246" s="876"/>
      <c r="R246" s="876"/>
      <c r="S246" s="876"/>
      <c r="T246" s="876"/>
      <c r="U246" s="876"/>
      <c r="V246" s="876"/>
      <c r="Z246" s="1354"/>
      <c r="AA246" s="1354" t="str">
        <f>IF(AND(F248=G248,H248=I248,F248="A"),"2015 - kwh","")</f>
        <v/>
      </c>
      <c r="AB246" s="1354" t="str">
        <f>IF(OR(B246="2016 - kwh",B246="2017 - kwh"),"2015 - kwh","")</f>
        <v/>
      </c>
      <c r="AC246" s="1354"/>
      <c r="AD246" s="1354"/>
      <c r="AE246" s="1354"/>
    </row>
    <row r="247" spans="1:31" s="779" customFormat="1" hidden="1" x14ac:dyDescent="0.25">
      <c r="A247" s="876" t="str">
        <f>IF(AND(F248=G248,H248=I248,J248=K248,F248="A"),"2015 - kw",IF(AND(F248=G248,H248=I248,J248&lt;&gt;K248,F248="A"),"2016 - kw",IF(AND(F248=G248,H248&lt;&gt;I248,F248="A"),"2017 - kw","N/A")))</f>
        <v>N/A</v>
      </c>
      <c r="B247" s="876" t="str">
        <f>IF(F248&lt;&gt;G248,"2017 - kw",IF(H248&lt;&gt;I248,"2016 - kw",IF(J248&lt;&gt;K248,"2015 - kw","N/A")))</f>
        <v>N/A</v>
      </c>
      <c r="C247" s="752"/>
      <c r="D247" s="809" t="str">
        <f>D246 &amp; "kW"</f>
        <v>kW</v>
      </c>
      <c r="E247" s="872" t="s">
        <v>159</v>
      </c>
      <c r="F247" s="978"/>
      <c r="G247" s="978"/>
      <c r="H247" s="978"/>
      <c r="I247" s="978"/>
      <c r="J247" s="978"/>
      <c r="K247" s="978"/>
      <c r="L247" s="978"/>
      <c r="M247" s="978"/>
      <c r="N247" s="978"/>
      <c r="O247" s="978"/>
      <c r="P247" s="876"/>
      <c r="Q247" s="876"/>
      <c r="R247" s="876"/>
      <c r="S247" s="876"/>
      <c r="T247" s="876"/>
      <c r="U247" s="876"/>
      <c r="V247" s="876"/>
      <c r="Z247" s="1354"/>
      <c r="AA247" s="1354" t="str">
        <f>IF(AND(F248=G248,H248=I248,F248="A"),"2015 - kw","")</f>
        <v/>
      </c>
      <c r="AB247" s="1354" t="str">
        <f>IF(OR(B247="2016 - kw",B247="2017 - kw"),"2015 - kw","")</f>
        <v/>
      </c>
      <c r="AC247" s="1354"/>
      <c r="AD247" s="1354"/>
      <c r="AE247" s="1354"/>
    </row>
    <row r="248" spans="1:31" s="779" customFormat="1" hidden="1" x14ac:dyDescent="0.25">
      <c r="A248" s="876"/>
      <c r="B248" s="876"/>
      <c r="C248" s="755"/>
      <c r="D248" s="870"/>
      <c r="E248" s="871" t="s">
        <v>2550</v>
      </c>
      <c r="F248" s="977"/>
      <c r="G248" s="977"/>
      <c r="H248" s="977"/>
      <c r="I248" s="977"/>
      <c r="J248" s="977"/>
      <c r="K248" s="977"/>
      <c r="L248" s="977"/>
      <c r="M248" s="977"/>
      <c r="N248" s="977"/>
      <c r="O248" s="977"/>
      <c r="P248" s="876"/>
      <c r="Q248" s="876"/>
      <c r="R248" s="876"/>
      <c r="S248" s="876"/>
      <c r="T248" s="876"/>
      <c r="U248" s="876"/>
      <c r="V248" s="876"/>
      <c r="Z248" s="1354"/>
      <c r="AA248" s="1354"/>
      <c r="AB248" s="1354"/>
      <c r="AC248" s="1354"/>
      <c r="AD248" s="1354"/>
      <c r="AE248" s="1354"/>
    </row>
    <row r="249" spans="1:31" s="779" customFormat="1" hidden="1" x14ac:dyDescent="0.25">
      <c r="A249" s="876" t="str">
        <f>IF(AND(F251=G251,H251=I251,J251=K251,F251="A"),"2015 - kwh",IF(AND(F251=G251,H251=I251,J251&lt;&gt;K251,F251="A"),"2016 - kwh",IF(AND(F251=G251,H251&lt;&gt;I251,F251="A"),"2017 - kwh","N/A")))</f>
        <v>N/A</v>
      </c>
      <c r="B249" s="876" t="str">
        <f>IF(F251&lt;&gt;G251,"2017 - kwh",IF(H251&lt;&gt;I251,"2016 - kwh",IF(J251&lt;&gt;K251,"2015 - kwh","N/A")))</f>
        <v>N/A</v>
      </c>
      <c r="C249" s="751" t="s">
        <v>2658</v>
      </c>
      <c r="D249" s="979"/>
      <c r="E249" s="873" t="s">
        <v>158</v>
      </c>
      <c r="F249" s="978"/>
      <c r="G249" s="978"/>
      <c r="H249" s="978"/>
      <c r="I249" s="978"/>
      <c r="J249" s="978"/>
      <c r="K249" s="978"/>
      <c r="L249" s="978"/>
      <c r="M249" s="978"/>
      <c r="N249" s="978"/>
      <c r="O249" s="978"/>
      <c r="P249" s="876"/>
      <c r="Q249" s="876"/>
      <c r="R249" s="876"/>
      <c r="S249" s="876"/>
      <c r="T249" s="876"/>
      <c r="U249" s="876"/>
      <c r="V249" s="876"/>
      <c r="Z249" s="1354"/>
      <c r="AA249" s="1354" t="str">
        <f>IF(AND(F251=G251,H251=I251,F251="A"),"2015 - kwh","")</f>
        <v/>
      </c>
      <c r="AB249" s="1354" t="str">
        <f>IF(OR(B249="2016 - kwh",B249="2017 - kwh"),"2015 - kwh","")</f>
        <v/>
      </c>
      <c r="AC249" s="1354"/>
      <c r="AD249" s="1354"/>
      <c r="AE249" s="1354"/>
    </row>
    <row r="250" spans="1:31" s="779" customFormat="1" hidden="1" x14ac:dyDescent="0.25">
      <c r="A250" s="876" t="str">
        <f>IF(AND(F251=G251,H251=I251,J251=K251,F251="A"),"2015 - kw",IF(AND(F251=G251,H251=I251,J251&lt;&gt;K251,F251="A"),"2016 - kw",IF(AND(F251=G251,H251&lt;&gt;I251,F251="A"),"2017 - kw","N/A")))</f>
        <v>N/A</v>
      </c>
      <c r="B250" s="876" t="str">
        <f>IF(F251&lt;&gt;G251,"2017 - kw",IF(H251&lt;&gt;I251,"2016 - kw",IF(J251&lt;&gt;K251,"2015 - kw","N/A")))</f>
        <v>N/A</v>
      </c>
      <c r="C250" s="752"/>
      <c r="D250" s="809" t="str">
        <f>D249 &amp; "kW"</f>
        <v>kW</v>
      </c>
      <c r="E250" s="872" t="s">
        <v>159</v>
      </c>
      <c r="F250" s="978"/>
      <c r="G250" s="978"/>
      <c r="H250" s="978"/>
      <c r="I250" s="978"/>
      <c r="J250" s="978"/>
      <c r="K250" s="978"/>
      <c r="L250" s="978"/>
      <c r="M250" s="978"/>
      <c r="N250" s="978"/>
      <c r="O250" s="978"/>
      <c r="P250" s="876"/>
      <c r="Q250" s="876"/>
      <c r="R250" s="876"/>
      <c r="S250" s="876"/>
      <c r="T250" s="876"/>
      <c r="U250" s="876"/>
      <c r="V250" s="876"/>
      <c r="Z250" s="1354"/>
      <c r="AA250" s="1354" t="str">
        <f>IF(AND(F251=G251,H251=I251,F251="A"),"2015 - kw","")</f>
        <v/>
      </c>
      <c r="AB250" s="1354" t="str">
        <f>IF(OR(B250="2016 - kw",B250="2017 - kw"),"2015 - kw","")</f>
        <v/>
      </c>
      <c r="AC250" s="1354"/>
      <c r="AD250" s="1354"/>
      <c r="AE250" s="1354"/>
    </row>
    <row r="251" spans="1:31" s="779" customFormat="1" hidden="1" x14ac:dyDescent="0.25">
      <c r="A251" s="876"/>
      <c r="B251" s="876"/>
      <c r="C251" s="755"/>
      <c r="D251" s="870"/>
      <c r="E251" s="871" t="s">
        <v>2550</v>
      </c>
      <c r="F251" s="977"/>
      <c r="G251" s="977"/>
      <c r="H251" s="977"/>
      <c r="I251" s="977"/>
      <c r="J251" s="977"/>
      <c r="K251" s="977"/>
      <c r="L251" s="977"/>
      <c r="M251" s="977"/>
      <c r="N251" s="977"/>
      <c r="O251" s="977"/>
      <c r="P251" s="876"/>
      <c r="Q251" s="876"/>
      <c r="R251" s="876"/>
      <c r="S251" s="876"/>
      <c r="T251" s="876"/>
      <c r="U251" s="876"/>
      <c r="V251" s="876"/>
      <c r="Z251" s="1354"/>
      <c r="AA251" s="1354"/>
      <c r="AB251" s="1354"/>
      <c r="AC251" s="1354"/>
      <c r="AD251" s="1354"/>
      <c r="AE251" s="1354"/>
    </row>
    <row r="252" spans="1:31" s="779" customFormat="1" hidden="1" x14ac:dyDescent="0.25">
      <c r="A252" s="876" t="str">
        <f>IF(AND(F254=G254,H254=I254,J254=K254,F254="A"),"2015 - kwh",IF(AND(F254=G254,H254=I254,J254&lt;&gt;K254,F254="A"),"2016 - kwh",IF(AND(F254=G254,H254&lt;&gt;I254,F254="A"),"2017 - kwh","N/A")))</f>
        <v>N/A</v>
      </c>
      <c r="B252" s="876" t="str">
        <f>IF(F254&lt;&gt;G254,"2017 - kwh",IF(H254&lt;&gt;I254,"2016 - kwh",IF(J254&lt;&gt;K254,"2015 - kwh","N/A")))</f>
        <v>N/A</v>
      </c>
      <c r="C252" s="751" t="s">
        <v>2659</v>
      </c>
      <c r="D252" s="979"/>
      <c r="E252" s="873" t="s">
        <v>158</v>
      </c>
      <c r="F252" s="978"/>
      <c r="G252" s="978"/>
      <c r="H252" s="978"/>
      <c r="I252" s="978"/>
      <c r="J252" s="978"/>
      <c r="K252" s="978"/>
      <c r="L252" s="978"/>
      <c r="M252" s="978"/>
      <c r="N252" s="978"/>
      <c r="O252" s="978"/>
      <c r="P252" s="876"/>
      <c r="Q252" s="876"/>
      <c r="R252" s="876"/>
      <c r="S252" s="876"/>
      <c r="T252" s="876"/>
      <c r="U252" s="876"/>
      <c r="V252" s="876"/>
      <c r="Z252" s="1354"/>
      <c r="AA252" s="1354" t="str">
        <f>IF(AND(F254=G254,H254=I254,F254="A"),"2015 - kwh","")</f>
        <v/>
      </c>
      <c r="AB252" s="1354" t="str">
        <f>IF(OR(B252="2016 - kwh",B252="2017 - kwh"),"2015 - kwh","")</f>
        <v/>
      </c>
      <c r="AC252" s="1354"/>
      <c r="AD252" s="1354"/>
      <c r="AE252" s="1354"/>
    </row>
    <row r="253" spans="1:31" s="779" customFormat="1" hidden="1" x14ac:dyDescent="0.25">
      <c r="A253" s="876" t="str">
        <f>IF(AND(F254=G254,H254=I254,J254=K254,F254="A"),"2015 - kw",IF(AND(F254=G254,H254=I254,J254&lt;&gt;K254,F254="A"),"2016 - kw",IF(AND(F254=G254,H254&lt;&gt;I254,F254="A"),"2017 - kw","N/A")))</f>
        <v>N/A</v>
      </c>
      <c r="B253" s="876" t="str">
        <f>IF(F254&lt;&gt;G254,"2017 - kw",IF(H254&lt;&gt;I254,"2016 - kw",IF(J254&lt;&gt;K254,"2015 - kw","N/A")))</f>
        <v>N/A</v>
      </c>
      <c r="C253" s="752"/>
      <c r="D253" s="809" t="str">
        <f>D252 &amp; "kW"</f>
        <v>kW</v>
      </c>
      <c r="E253" s="872" t="s">
        <v>159</v>
      </c>
      <c r="F253" s="978"/>
      <c r="G253" s="978"/>
      <c r="H253" s="978"/>
      <c r="I253" s="978"/>
      <c r="J253" s="978"/>
      <c r="K253" s="978"/>
      <c r="L253" s="978"/>
      <c r="M253" s="978"/>
      <c r="N253" s="978"/>
      <c r="O253" s="978"/>
      <c r="P253" s="876"/>
      <c r="Q253" s="876"/>
      <c r="R253" s="876"/>
      <c r="S253" s="876"/>
      <c r="T253" s="876"/>
      <c r="U253" s="876"/>
      <c r="V253" s="876"/>
      <c r="Z253" s="1354"/>
      <c r="AA253" s="1354" t="str">
        <f>IF(AND(F254=G254,H254=I254,F254="A"),"2015 - kw","")</f>
        <v/>
      </c>
      <c r="AB253" s="1354" t="str">
        <f>IF(OR(B253="2016 - kw",B253="2017 - kw"),"2015 - kw","")</f>
        <v/>
      </c>
      <c r="AC253" s="1354"/>
      <c r="AD253" s="1354"/>
      <c r="AE253" s="1354"/>
    </row>
    <row r="254" spans="1:31" s="779" customFormat="1" hidden="1" x14ac:dyDescent="0.25">
      <c r="A254" s="876"/>
      <c r="B254" s="876"/>
      <c r="C254" s="755"/>
      <c r="D254" s="870"/>
      <c r="E254" s="871" t="s">
        <v>2550</v>
      </c>
      <c r="F254" s="977"/>
      <c r="G254" s="977"/>
      <c r="H254" s="977"/>
      <c r="I254" s="977"/>
      <c r="J254" s="977"/>
      <c r="K254" s="977"/>
      <c r="L254" s="977"/>
      <c r="M254" s="977"/>
      <c r="N254" s="977"/>
      <c r="O254" s="977"/>
      <c r="P254" s="876"/>
      <c r="Q254" s="876"/>
      <c r="R254" s="876"/>
      <c r="S254" s="876"/>
      <c r="T254" s="876"/>
      <c r="U254" s="876"/>
      <c r="V254" s="876"/>
      <c r="Z254" s="1354"/>
      <c r="AA254" s="1354"/>
      <c r="AB254" s="1354"/>
      <c r="AC254" s="1354"/>
      <c r="AD254" s="1354"/>
      <c r="AE254" s="1354"/>
    </row>
    <row r="255" spans="1:31" s="779" customFormat="1" hidden="1" x14ac:dyDescent="0.25">
      <c r="A255" s="876" t="str">
        <f>IF(AND(F257=G257,H257=I257,J257=K257,F257="A"),"2015 - kwh",IF(AND(F257=G257,H257=I257,J257&lt;&gt;K257,F257="A"),"2016 - kwh",IF(AND(F257=G257,H257&lt;&gt;I257,F257="A"),"2017 - kwh","N/A")))</f>
        <v>N/A</v>
      </c>
      <c r="B255" s="876" t="str">
        <f>IF(F257&lt;&gt;G257,"2017 - kwh",IF(H257&lt;&gt;I257,"2016 - kwh",IF(J257&lt;&gt;K257,"2015 - kwh","N/A")))</f>
        <v>N/A</v>
      </c>
      <c r="C255" s="751" t="s">
        <v>2660</v>
      </c>
      <c r="D255" s="979"/>
      <c r="E255" s="873" t="s">
        <v>158</v>
      </c>
      <c r="F255" s="978"/>
      <c r="G255" s="978"/>
      <c r="H255" s="978"/>
      <c r="I255" s="978"/>
      <c r="J255" s="978"/>
      <c r="K255" s="978"/>
      <c r="L255" s="978"/>
      <c r="M255" s="978"/>
      <c r="N255" s="978"/>
      <c r="O255" s="978"/>
      <c r="P255" s="876"/>
      <c r="Q255" s="876"/>
      <c r="R255" s="876"/>
      <c r="S255" s="876"/>
      <c r="T255" s="876"/>
      <c r="U255" s="876"/>
      <c r="V255" s="876"/>
      <c r="Z255" s="1354"/>
      <c r="AA255" s="1354" t="str">
        <f>IF(AND(F257=G257,H257=I257,F257="A"),"2015 - kwh","")</f>
        <v/>
      </c>
      <c r="AB255" s="1354" t="str">
        <f>IF(OR(B255="2016 - kwh",B255="2017 - kwh"),"2015 - kwh","")</f>
        <v/>
      </c>
      <c r="AC255" s="1354"/>
      <c r="AD255" s="1354"/>
      <c r="AE255" s="1354"/>
    </row>
    <row r="256" spans="1:31" s="779" customFormat="1" hidden="1" x14ac:dyDescent="0.25">
      <c r="A256" s="876" t="str">
        <f>IF(AND(F257=G257,H257=I257,J257=K257,F257="A"),"2015 - kw",IF(AND(F257=G257,H257=I257,J257&lt;&gt;K257,F257="A"),"2016 - kw",IF(AND(F257=G257,H257&lt;&gt;I257,F257="A"),"2017 - kw","N/A")))</f>
        <v>N/A</v>
      </c>
      <c r="B256" s="876" t="str">
        <f>IF(F257&lt;&gt;G257,"2017 - kw",IF(H257&lt;&gt;I257,"2016 - kw",IF(J257&lt;&gt;K257,"2015 - kw","N/A")))</f>
        <v>N/A</v>
      </c>
      <c r="C256" s="752"/>
      <c r="D256" s="809" t="str">
        <f>D255 &amp; "kW"</f>
        <v>kW</v>
      </c>
      <c r="E256" s="872" t="s">
        <v>159</v>
      </c>
      <c r="F256" s="978"/>
      <c r="G256" s="978"/>
      <c r="H256" s="978"/>
      <c r="I256" s="978"/>
      <c r="J256" s="978"/>
      <c r="K256" s="978"/>
      <c r="L256" s="978"/>
      <c r="M256" s="978"/>
      <c r="N256" s="978"/>
      <c r="O256" s="978"/>
      <c r="P256" s="876"/>
      <c r="Q256" s="876"/>
      <c r="R256" s="876"/>
      <c r="S256" s="876"/>
      <c r="T256" s="876"/>
      <c r="U256" s="876"/>
      <c r="V256" s="876"/>
      <c r="Z256" s="1354"/>
      <c r="AA256" s="1354" t="str">
        <f>IF(AND(F257=G257,H257=I257,F257="A"),"2015 - kw","")</f>
        <v/>
      </c>
      <c r="AB256" s="1354" t="str">
        <f>IF(OR(B256="2016 - kw",B256="2017 - kw"),"2015 - kw","")</f>
        <v/>
      </c>
      <c r="AC256" s="1354"/>
      <c r="AD256" s="1354"/>
      <c r="AE256" s="1354"/>
    </row>
    <row r="257" spans="1:31" s="779" customFormat="1" hidden="1" x14ac:dyDescent="0.25">
      <c r="A257" s="876"/>
      <c r="B257" s="876"/>
      <c r="C257" s="755"/>
      <c r="D257" s="870"/>
      <c r="E257" s="871" t="s">
        <v>2550</v>
      </c>
      <c r="F257" s="977"/>
      <c r="G257" s="977"/>
      <c r="H257" s="977"/>
      <c r="I257" s="977"/>
      <c r="J257" s="977"/>
      <c r="K257" s="977"/>
      <c r="L257" s="977"/>
      <c r="M257" s="977"/>
      <c r="N257" s="977"/>
      <c r="O257" s="977"/>
      <c r="P257" s="876"/>
      <c r="Q257" s="876"/>
      <c r="R257" s="876"/>
      <c r="S257" s="876"/>
      <c r="T257" s="876"/>
      <c r="U257" s="876"/>
      <c r="V257" s="876"/>
      <c r="Z257" s="1354"/>
      <c r="AA257" s="1354"/>
      <c r="AB257" s="1354"/>
      <c r="AC257" s="1354"/>
      <c r="AD257" s="1354"/>
      <c r="AE257" s="1354"/>
    </row>
    <row r="258" spans="1:31" s="779" customFormat="1" hidden="1" x14ac:dyDescent="0.25">
      <c r="A258" s="876" t="str">
        <f>IF(AND(F260=G260,H260=I260,J260=K260,F260="A"),"2015 - kwh",IF(AND(F260=G260,H260=I260,J260&lt;&gt;K260,F260="A"),"2016 - kwh",IF(AND(F260=G260,H260&lt;&gt;I260,F260="A"),"2017 - kwh","N/A")))</f>
        <v>N/A</v>
      </c>
      <c r="B258" s="876" t="str">
        <f>IF(F260&lt;&gt;G260,"2017 - kwh",IF(H260&lt;&gt;I260,"2016 - kwh",IF(J260&lt;&gt;K260,"2015 - kwh","N/A")))</f>
        <v>N/A</v>
      </c>
      <c r="C258" s="751" t="s">
        <v>2661</v>
      </c>
      <c r="D258" s="979"/>
      <c r="E258" s="873" t="s">
        <v>158</v>
      </c>
      <c r="F258" s="978"/>
      <c r="G258" s="978"/>
      <c r="H258" s="978"/>
      <c r="I258" s="978"/>
      <c r="J258" s="978"/>
      <c r="K258" s="978"/>
      <c r="L258" s="978"/>
      <c r="M258" s="978"/>
      <c r="N258" s="978"/>
      <c r="O258" s="978"/>
      <c r="P258" s="876"/>
      <c r="Q258" s="876"/>
      <c r="R258" s="876"/>
      <c r="S258" s="876"/>
      <c r="T258" s="876"/>
      <c r="U258" s="876"/>
      <c r="V258" s="876"/>
      <c r="Z258" s="1354"/>
      <c r="AA258" s="1354" t="str">
        <f>IF(AND(F260=G260,H260=I260,F260="A"),"2015 - kwh","")</f>
        <v/>
      </c>
      <c r="AB258" s="1354" t="str">
        <f>IF(OR(B258="2016 - kwh",B258="2017 - kwh"),"2015 - kwh","")</f>
        <v/>
      </c>
      <c r="AC258" s="1354"/>
      <c r="AD258" s="1354"/>
      <c r="AE258" s="1354"/>
    </row>
    <row r="259" spans="1:31" s="779" customFormat="1" hidden="1" x14ac:dyDescent="0.25">
      <c r="A259" s="876" t="str">
        <f>IF(AND(F260=G260,H260=I260,J260=K260,F260="A"),"2015 - kw",IF(AND(F260=G260,H260=I260,J260&lt;&gt;K260,F260="A"),"2016 - kw",IF(AND(F260=G260,H260&lt;&gt;I260,F260="A"),"2017 - kw","N/A")))</f>
        <v>N/A</v>
      </c>
      <c r="B259" s="876" t="str">
        <f>IF(F260&lt;&gt;G260,"2017 - kw",IF(H260&lt;&gt;I260,"2016 - kw",IF(J260&lt;&gt;K260,"2015 - kw","N/A")))</f>
        <v>N/A</v>
      </c>
      <c r="C259" s="752"/>
      <c r="D259" s="809" t="str">
        <f>D258 &amp; "kW"</f>
        <v>kW</v>
      </c>
      <c r="E259" s="872" t="s">
        <v>159</v>
      </c>
      <c r="F259" s="978"/>
      <c r="G259" s="978"/>
      <c r="H259" s="978"/>
      <c r="I259" s="978"/>
      <c r="J259" s="978"/>
      <c r="K259" s="978"/>
      <c r="L259" s="978"/>
      <c r="M259" s="978"/>
      <c r="N259" s="978"/>
      <c r="O259" s="978"/>
      <c r="P259" s="876"/>
      <c r="Q259" s="876"/>
      <c r="R259" s="876"/>
      <c r="S259" s="876"/>
      <c r="T259" s="876"/>
      <c r="U259" s="876"/>
      <c r="V259" s="876"/>
      <c r="Z259" s="1354"/>
      <c r="AA259" s="1354" t="str">
        <f>IF(AND(F260=G260,H260=I260,F260="A"),"2015 - kw","")</f>
        <v/>
      </c>
      <c r="AB259" s="1354" t="str">
        <f>IF(OR(B259="2016 - kw",B259="2017 - kw"),"2015 - kw","")</f>
        <v/>
      </c>
      <c r="AC259" s="1354"/>
      <c r="AD259" s="1354"/>
      <c r="AE259" s="1354"/>
    </row>
    <row r="260" spans="1:31" s="779" customFormat="1" hidden="1" x14ac:dyDescent="0.25">
      <c r="A260" s="876"/>
      <c r="B260" s="876"/>
      <c r="C260" s="755"/>
      <c r="D260" s="870"/>
      <c r="E260" s="871" t="s">
        <v>2550</v>
      </c>
      <c r="F260" s="977"/>
      <c r="G260" s="977"/>
      <c r="H260" s="977"/>
      <c r="I260" s="977"/>
      <c r="J260" s="977"/>
      <c r="K260" s="977"/>
      <c r="L260" s="977"/>
      <c r="M260" s="977"/>
      <c r="N260" s="977"/>
      <c r="O260" s="977"/>
      <c r="P260" s="876"/>
      <c r="Q260" s="876"/>
      <c r="R260" s="876"/>
      <c r="S260" s="876"/>
      <c r="T260" s="876"/>
      <c r="U260" s="876"/>
      <c r="V260" s="876"/>
      <c r="Z260" s="1354"/>
      <c r="AA260" s="1354"/>
      <c r="AB260" s="1354"/>
      <c r="AC260" s="1354"/>
      <c r="AD260" s="1354"/>
      <c r="AE260" s="1354"/>
    </row>
    <row r="261" spans="1:31" s="779" customFormat="1" hidden="1" x14ac:dyDescent="0.25">
      <c r="A261" s="876" t="str">
        <f>IF(AND(F263=G263,H263=I263,J263=K263,F263="A"),"2015 - kwh",IF(AND(F263=G263,H263=I263,J263&lt;&gt;K263,F263="A"),"2016 - kwh",IF(AND(F263=G263,H263&lt;&gt;I263,F263="A"),"2017 - kwh","N/A")))</f>
        <v>N/A</v>
      </c>
      <c r="B261" s="876" t="str">
        <f>IF(F263&lt;&gt;G263,"2017 - kwh",IF(H263&lt;&gt;I263,"2016 - kwh",IF(J263&lt;&gt;K263,"2015 - kwh","N/A")))</f>
        <v>N/A</v>
      </c>
      <c r="C261" s="751" t="s">
        <v>2662</v>
      </c>
      <c r="D261" s="979"/>
      <c r="E261" s="873" t="s">
        <v>158</v>
      </c>
      <c r="F261" s="978"/>
      <c r="G261" s="978"/>
      <c r="H261" s="978"/>
      <c r="I261" s="978"/>
      <c r="J261" s="978"/>
      <c r="K261" s="978"/>
      <c r="L261" s="978"/>
      <c r="M261" s="978"/>
      <c r="N261" s="978"/>
      <c r="O261" s="978"/>
      <c r="P261" s="876"/>
      <c r="Q261" s="876"/>
      <c r="R261" s="876"/>
      <c r="S261" s="876"/>
      <c r="T261" s="876"/>
      <c r="U261" s="876"/>
      <c r="V261" s="876"/>
      <c r="Z261" s="1354"/>
      <c r="AA261" s="1354" t="str">
        <f>IF(AND(F263=G263,H263=I263,F263="A"),"2015 - kwh","")</f>
        <v/>
      </c>
      <c r="AB261" s="1354" t="str">
        <f>IF(OR(B261="2016 - kwh",B261="2017 - kwh"),"2015 - kwh","")</f>
        <v/>
      </c>
      <c r="AC261" s="1354"/>
      <c r="AD261" s="1354"/>
      <c r="AE261" s="1354"/>
    </row>
    <row r="262" spans="1:31" s="779" customFormat="1" hidden="1" x14ac:dyDescent="0.25">
      <c r="A262" s="876" t="str">
        <f>IF(AND(F263=G263,H263=I263,J263=K263,F263="A"),"2015 - kw",IF(AND(F263=G263,H263=I263,J263&lt;&gt;K263,F263="A"),"2016 - kw",IF(AND(F263=G263,H263&lt;&gt;I263,F263="A"),"2017 - kw","N/A")))</f>
        <v>N/A</v>
      </c>
      <c r="B262" s="876" t="str">
        <f>IF(F263&lt;&gt;G263,"2017 - kw",IF(H263&lt;&gt;I263,"2016 - kw",IF(J263&lt;&gt;K263,"2015 - kw","N/A")))</f>
        <v>N/A</v>
      </c>
      <c r="C262" s="752"/>
      <c r="D262" s="809" t="str">
        <f>D261 &amp; "kW"</f>
        <v>kW</v>
      </c>
      <c r="E262" s="872" t="s">
        <v>159</v>
      </c>
      <c r="F262" s="978"/>
      <c r="G262" s="978"/>
      <c r="H262" s="978"/>
      <c r="I262" s="978"/>
      <c r="J262" s="978"/>
      <c r="K262" s="978"/>
      <c r="L262" s="978"/>
      <c r="M262" s="978"/>
      <c r="N262" s="978"/>
      <c r="O262" s="978"/>
      <c r="P262" s="876"/>
      <c r="Q262" s="876"/>
      <c r="R262" s="876"/>
      <c r="S262" s="876"/>
      <c r="T262" s="876"/>
      <c r="U262" s="876"/>
      <c r="V262" s="876"/>
      <c r="Z262" s="1354"/>
      <c r="AA262" s="1354" t="str">
        <f>IF(AND(F263=G263,H263=I263,F263="A"),"2015 - kw","")</f>
        <v/>
      </c>
      <c r="AB262" s="1354" t="str">
        <f>IF(OR(B262="2016 - kw",B262="2017 - kw"),"2015 - kw","")</f>
        <v/>
      </c>
      <c r="AC262" s="1354"/>
      <c r="AD262" s="1354"/>
      <c r="AE262" s="1354"/>
    </row>
    <row r="263" spans="1:31" s="779" customFormat="1" hidden="1" x14ac:dyDescent="0.25">
      <c r="A263" s="876"/>
      <c r="B263" s="876"/>
      <c r="C263" s="755"/>
      <c r="D263" s="870"/>
      <c r="E263" s="871" t="s">
        <v>2550</v>
      </c>
      <c r="F263" s="977"/>
      <c r="G263" s="977"/>
      <c r="H263" s="977"/>
      <c r="I263" s="977"/>
      <c r="J263" s="977"/>
      <c r="K263" s="977"/>
      <c r="L263" s="977"/>
      <c r="M263" s="977"/>
      <c r="N263" s="977"/>
      <c r="O263" s="977"/>
      <c r="P263" s="876"/>
      <c r="Q263" s="876"/>
      <c r="R263" s="876"/>
      <c r="S263" s="876"/>
      <c r="T263" s="876"/>
      <c r="U263" s="876"/>
      <c r="V263" s="876"/>
      <c r="Z263" s="1354"/>
      <c r="AA263" s="1354"/>
      <c r="AB263" s="1354"/>
      <c r="AC263" s="1354"/>
      <c r="AD263" s="1354"/>
      <c r="AE263" s="1354"/>
    </row>
    <row r="264" spans="1:31" s="779" customFormat="1" hidden="1" x14ac:dyDescent="0.25">
      <c r="A264" s="876" t="str">
        <f>IF(AND(F266=G266,H266=I266,J266=K266,F266="A"),"2015 - kwh",IF(AND(F266=G266,H266=I266,J266&lt;&gt;K266,F266="A"),"2016 - kwh",IF(AND(F266=G266,H266&lt;&gt;I266,F266="A"),"2017 - kwh","N/A")))</f>
        <v>N/A</v>
      </c>
      <c r="B264" s="876" t="str">
        <f>IF(F266&lt;&gt;G266,"2017 - kwh",IF(H266&lt;&gt;I266,"2016 - kwh",IF(J266&lt;&gt;K266,"2015 - kwh","N/A")))</f>
        <v>N/A</v>
      </c>
      <c r="C264" s="751" t="s">
        <v>2663</v>
      </c>
      <c r="D264" s="979"/>
      <c r="E264" s="873" t="s">
        <v>158</v>
      </c>
      <c r="F264" s="978"/>
      <c r="G264" s="978"/>
      <c r="H264" s="978"/>
      <c r="I264" s="978"/>
      <c r="J264" s="978"/>
      <c r="K264" s="978"/>
      <c r="L264" s="978"/>
      <c r="M264" s="978"/>
      <c r="N264" s="978"/>
      <c r="O264" s="978"/>
      <c r="P264" s="876"/>
      <c r="Q264" s="876"/>
      <c r="R264" s="876"/>
      <c r="S264" s="876"/>
      <c r="T264" s="876"/>
      <c r="U264" s="876"/>
      <c r="V264" s="876"/>
      <c r="Z264" s="1354"/>
      <c r="AA264" s="1354" t="str">
        <f>IF(AND(F266=G266,H266=I266,F266="A"),"2015 - kwh","")</f>
        <v/>
      </c>
      <c r="AB264" s="1354" t="str">
        <f>IF(OR(B264="2016 - kwh",B264="2017 - kwh"),"2015 - kwh","")</f>
        <v/>
      </c>
      <c r="AC264" s="1354"/>
      <c r="AD264" s="1354"/>
      <c r="AE264" s="1354"/>
    </row>
    <row r="265" spans="1:31" s="779" customFormat="1" hidden="1" x14ac:dyDescent="0.25">
      <c r="A265" s="876" t="str">
        <f>IF(AND(F266=G266,H266=I266,J266=K266,F266="A"),"2015 - kw",IF(AND(F266=G266,H266=I266,J266&lt;&gt;K266,F266="A"),"2016 - kw",IF(AND(F266=G266,H266&lt;&gt;I266,F266="A"),"2017 - kw","N/A")))</f>
        <v>N/A</v>
      </c>
      <c r="B265" s="876" t="str">
        <f>IF(F266&lt;&gt;G266,"2017 - kw",IF(H266&lt;&gt;I266,"2016 - kw",IF(J266&lt;&gt;K266,"2015 - kw","N/A")))</f>
        <v>N/A</v>
      </c>
      <c r="C265" s="752"/>
      <c r="D265" s="809" t="str">
        <f>D264 &amp; "kW"</f>
        <v>kW</v>
      </c>
      <c r="E265" s="872" t="s">
        <v>159</v>
      </c>
      <c r="F265" s="978"/>
      <c r="G265" s="978"/>
      <c r="H265" s="978"/>
      <c r="I265" s="978"/>
      <c r="J265" s="978"/>
      <c r="K265" s="978"/>
      <c r="L265" s="978"/>
      <c r="M265" s="978"/>
      <c r="N265" s="978"/>
      <c r="O265" s="978"/>
      <c r="P265" s="876"/>
      <c r="Q265" s="876"/>
      <c r="R265" s="876"/>
      <c r="S265" s="876"/>
      <c r="T265" s="876"/>
      <c r="U265" s="876"/>
      <c r="V265" s="876"/>
      <c r="Z265" s="1354"/>
      <c r="AA265" s="1354" t="str">
        <f>IF(AND(F266=G266,H266=I266,F266="A"),"2015 - kw","")</f>
        <v/>
      </c>
      <c r="AB265" s="1354" t="str">
        <f>IF(OR(B265="2016 - kw",B265="2017 - kw"),"2015 - kw","")</f>
        <v/>
      </c>
      <c r="AC265" s="1354"/>
      <c r="AD265" s="1354"/>
      <c r="AE265" s="1354"/>
    </row>
    <row r="266" spans="1:31" s="779" customFormat="1" hidden="1" x14ac:dyDescent="0.25">
      <c r="A266" s="876"/>
      <c r="B266" s="876"/>
      <c r="C266" s="755"/>
      <c r="D266" s="870"/>
      <c r="E266" s="871" t="s">
        <v>2550</v>
      </c>
      <c r="F266" s="977"/>
      <c r="G266" s="977"/>
      <c r="H266" s="977"/>
      <c r="I266" s="977"/>
      <c r="J266" s="977"/>
      <c r="K266" s="977"/>
      <c r="L266" s="977"/>
      <c r="M266" s="977"/>
      <c r="N266" s="977"/>
      <c r="O266" s="977"/>
      <c r="P266" s="876"/>
      <c r="Q266" s="876"/>
      <c r="R266" s="876"/>
      <c r="S266" s="876"/>
      <c r="T266" s="876"/>
      <c r="U266" s="876"/>
      <c r="V266" s="876"/>
      <c r="Z266" s="1354"/>
      <c r="AA266" s="1354"/>
      <c r="AB266" s="1354"/>
      <c r="AC266" s="1354"/>
      <c r="AD266" s="1354"/>
      <c r="AE266" s="1354"/>
    </row>
    <row r="267" spans="1:31" s="779" customFormat="1" hidden="1" x14ac:dyDescent="0.25">
      <c r="A267" s="876" t="str">
        <f>IF(AND(F269=G269,H269=I269,J269=K269,F269="A"),"2015 - kwh",IF(AND(F269=G269,H269=I269,J269&lt;&gt;K269,F269="A"),"2016 - kwh",IF(AND(F269=G269,H269&lt;&gt;I269,F269="A"),"2017 - kwh","N/A")))</f>
        <v>N/A</v>
      </c>
      <c r="B267" s="876" t="str">
        <f>IF(F269&lt;&gt;G269,"2017 - kwh",IF(H269&lt;&gt;I269,"2016 - kwh",IF(J269&lt;&gt;K269,"2015 - kwh","N/A")))</f>
        <v>N/A</v>
      </c>
      <c r="C267" s="751" t="s">
        <v>2664</v>
      </c>
      <c r="D267" s="979"/>
      <c r="E267" s="873" t="s">
        <v>158</v>
      </c>
      <c r="F267" s="978"/>
      <c r="G267" s="978"/>
      <c r="H267" s="978"/>
      <c r="I267" s="978"/>
      <c r="J267" s="978"/>
      <c r="K267" s="978"/>
      <c r="L267" s="978"/>
      <c r="M267" s="978"/>
      <c r="N267" s="978"/>
      <c r="O267" s="978"/>
      <c r="P267" s="876"/>
      <c r="Q267" s="876"/>
      <c r="R267" s="876"/>
      <c r="S267" s="876"/>
      <c r="T267" s="876"/>
      <c r="U267" s="876"/>
      <c r="V267" s="876"/>
      <c r="Z267" s="1354"/>
      <c r="AA267" s="1354" t="str">
        <f>IF(AND(F269=G269,H269=I269,F269="A"),"2015 - kwh","")</f>
        <v/>
      </c>
      <c r="AB267" s="1354" t="str">
        <f>IF(OR(B267="2016 - kwh",B267="2017 - kwh"),"2015 - kwh","")</f>
        <v/>
      </c>
      <c r="AC267" s="1354"/>
      <c r="AD267" s="1354"/>
      <c r="AE267" s="1354"/>
    </row>
    <row r="268" spans="1:31" s="779" customFormat="1" hidden="1" x14ac:dyDescent="0.25">
      <c r="A268" s="876" t="str">
        <f>IF(AND(F269=G269,H269=I269,J269=K269,F269="A"),"2015 - kw",IF(AND(F269=G269,H269=I269,J269&lt;&gt;K269,F269="A"),"2016 - kw",IF(AND(F269=G269,H269&lt;&gt;I269,F269="A"),"2017 - kw","N/A")))</f>
        <v>N/A</v>
      </c>
      <c r="B268" s="876" t="str">
        <f>IF(F269&lt;&gt;G269,"2017 - kw",IF(H269&lt;&gt;I269,"2016 - kw",IF(J269&lt;&gt;K269,"2015 - kw","N/A")))</f>
        <v>N/A</v>
      </c>
      <c r="C268" s="752"/>
      <c r="D268" s="809" t="str">
        <f>D267 &amp; "kW"</f>
        <v>kW</v>
      </c>
      <c r="E268" s="872" t="s">
        <v>159</v>
      </c>
      <c r="F268" s="978"/>
      <c r="G268" s="978"/>
      <c r="H268" s="978"/>
      <c r="I268" s="978"/>
      <c r="J268" s="978"/>
      <c r="K268" s="978"/>
      <c r="L268" s="978"/>
      <c r="M268" s="978"/>
      <c r="N268" s="978"/>
      <c r="O268" s="978"/>
      <c r="P268" s="876"/>
      <c r="Q268" s="876"/>
      <c r="R268" s="876"/>
      <c r="S268" s="876"/>
      <c r="T268" s="876"/>
      <c r="U268" s="876"/>
      <c r="V268" s="876"/>
      <c r="Z268" s="1354"/>
      <c r="AA268" s="1354" t="str">
        <f>IF(AND(F269=G269,H269=I269,F269="A"),"2015 - kw","")</f>
        <v/>
      </c>
      <c r="AB268" s="1354" t="str">
        <f>IF(OR(B268="2016 - kw",B268="2017 - kw"),"2015 - kw","")</f>
        <v/>
      </c>
      <c r="AC268" s="1354"/>
      <c r="AD268" s="1354"/>
      <c r="AE268" s="1354"/>
    </row>
    <row r="269" spans="1:31" s="779" customFormat="1" hidden="1" x14ac:dyDescent="0.25">
      <c r="A269" s="876"/>
      <c r="B269" s="876"/>
      <c r="C269" s="755"/>
      <c r="D269" s="870"/>
      <c r="E269" s="871" t="s">
        <v>2550</v>
      </c>
      <c r="F269" s="977"/>
      <c r="G269" s="977"/>
      <c r="H269" s="977"/>
      <c r="I269" s="977"/>
      <c r="J269" s="977"/>
      <c r="K269" s="977"/>
      <c r="L269" s="977"/>
      <c r="M269" s="977"/>
      <c r="N269" s="977"/>
      <c r="O269" s="977"/>
      <c r="P269" s="876"/>
      <c r="Q269" s="876"/>
      <c r="R269" s="876"/>
      <c r="S269" s="876"/>
      <c r="T269" s="876"/>
      <c r="U269" s="876"/>
      <c r="V269" s="876"/>
      <c r="Z269" s="1354"/>
      <c r="AA269" s="1354"/>
      <c r="AB269" s="1354"/>
      <c r="AC269" s="1354"/>
      <c r="AD269" s="1354"/>
      <c r="AE269" s="1354"/>
    </row>
    <row r="270" spans="1:31" s="779" customFormat="1" hidden="1" x14ac:dyDescent="0.25">
      <c r="A270" s="876" t="str">
        <f>IF(AND(F272=G272,H272=I272,J272=K272,F272="A"),"2015 - kwh",IF(AND(F272=G272,H272=I272,J272&lt;&gt;K272,F272="A"),"2016 - kwh",IF(AND(F272=G272,H272&lt;&gt;I272,F272="A"),"2017 - kwh","N/A")))</f>
        <v>N/A</v>
      </c>
      <c r="B270" s="876" t="str">
        <f>IF(F272&lt;&gt;G272,"2017 - kwh",IF(H272&lt;&gt;I272,"2016 - kwh",IF(J272&lt;&gt;K272,"2015 - kwh","N/A")))</f>
        <v>N/A</v>
      </c>
      <c r="C270" s="751" t="s">
        <v>2665</v>
      </c>
      <c r="D270" s="979"/>
      <c r="E270" s="873" t="s">
        <v>158</v>
      </c>
      <c r="F270" s="978"/>
      <c r="G270" s="978"/>
      <c r="H270" s="978"/>
      <c r="I270" s="978"/>
      <c r="J270" s="978"/>
      <c r="K270" s="978"/>
      <c r="L270" s="978"/>
      <c r="M270" s="978"/>
      <c r="N270" s="978"/>
      <c r="O270" s="978"/>
      <c r="P270" s="876"/>
      <c r="Q270" s="876"/>
      <c r="R270" s="876"/>
      <c r="S270" s="876"/>
      <c r="T270" s="876"/>
      <c r="U270" s="876"/>
      <c r="V270" s="876"/>
      <c r="Z270" s="1354"/>
      <c r="AA270" s="1354" t="str">
        <f>IF(AND(F272=G272,H272=I272,F272="A"),"2015 - kwh","")</f>
        <v/>
      </c>
      <c r="AB270" s="1354" t="str">
        <f>IF(OR(B270="2016 - kwh",B270="2017 - kwh"),"2015 - kwh","")</f>
        <v/>
      </c>
      <c r="AC270" s="1354"/>
      <c r="AD270" s="1354"/>
      <c r="AE270" s="1354"/>
    </row>
    <row r="271" spans="1:31" s="779" customFormat="1" hidden="1" x14ac:dyDescent="0.25">
      <c r="A271" s="876" t="str">
        <f>IF(AND(F272=G272,H272=I272,J272=K272,F272="A"),"2015 - kw",IF(AND(F272=G272,H272=I272,J272&lt;&gt;K272,F272="A"),"2016 - kw",IF(AND(F272=G272,H272&lt;&gt;I272,F272="A"),"2017 - kw","N/A")))</f>
        <v>N/A</v>
      </c>
      <c r="B271" s="876" t="str">
        <f>IF(F272&lt;&gt;G272,"2017 - kw",IF(H272&lt;&gt;I272,"2016 - kw",IF(J272&lt;&gt;K272,"2015 - kw","N/A")))</f>
        <v>N/A</v>
      </c>
      <c r="C271" s="752"/>
      <c r="D271" s="809" t="str">
        <f>D270 &amp; "kW"</f>
        <v>kW</v>
      </c>
      <c r="E271" s="872" t="s">
        <v>159</v>
      </c>
      <c r="F271" s="978"/>
      <c r="G271" s="978"/>
      <c r="H271" s="978"/>
      <c r="I271" s="978"/>
      <c r="J271" s="978"/>
      <c r="K271" s="978"/>
      <c r="L271" s="978"/>
      <c r="M271" s="978"/>
      <c r="N271" s="978"/>
      <c r="O271" s="978"/>
      <c r="P271" s="876"/>
      <c r="Q271" s="876"/>
      <c r="R271" s="876"/>
      <c r="S271" s="876"/>
      <c r="T271" s="876"/>
      <c r="U271" s="876"/>
      <c r="V271" s="876"/>
      <c r="Z271" s="1354"/>
      <c r="AA271" s="1354" t="str">
        <f>IF(AND(F272=G272,H272=I272,F272="A"),"2015 - kw","")</f>
        <v/>
      </c>
      <c r="AB271" s="1354" t="str">
        <f>IF(OR(B271="2016 - kw",B271="2017 - kw"),"2015 - kw","")</f>
        <v/>
      </c>
      <c r="AC271" s="1354"/>
      <c r="AD271" s="1354"/>
      <c r="AE271" s="1354"/>
    </row>
    <row r="272" spans="1:31" s="779" customFormat="1" hidden="1" x14ac:dyDescent="0.25">
      <c r="A272" s="876"/>
      <c r="B272" s="876"/>
      <c r="C272" s="755"/>
      <c r="D272" s="870"/>
      <c r="E272" s="871" t="s">
        <v>2550</v>
      </c>
      <c r="F272" s="977"/>
      <c r="G272" s="977"/>
      <c r="H272" s="977"/>
      <c r="I272" s="977"/>
      <c r="J272" s="977"/>
      <c r="K272" s="977"/>
      <c r="L272" s="977"/>
      <c r="M272" s="977"/>
      <c r="N272" s="977"/>
      <c r="O272" s="977"/>
      <c r="P272" s="876"/>
      <c r="Q272" s="876"/>
      <c r="R272" s="876"/>
      <c r="S272" s="876"/>
      <c r="T272" s="876"/>
      <c r="U272" s="876"/>
      <c r="V272" s="876"/>
      <c r="Z272" s="1354"/>
      <c r="AA272" s="1354"/>
      <c r="AB272" s="1354"/>
      <c r="AC272" s="1354"/>
      <c r="AD272" s="1354"/>
      <c r="AE272" s="1354"/>
    </row>
    <row r="273" spans="1:31" s="779" customFormat="1" hidden="1" x14ac:dyDescent="0.25">
      <c r="A273" s="876" t="str">
        <f>IF(AND(F275=G275,H275=I275,J275=K275,F275="A"),"2015 - kwh",IF(AND(F275=G275,H275=I275,J275&lt;&gt;K275,F275="A"),"2016 - kwh",IF(AND(F275=G275,H275&lt;&gt;I275,F275="A"),"2017 - kwh","N/A")))</f>
        <v>N/A</v>
      </c>
      <c r="B273" s="876" t="str">
        <f>IF(F275&lt;&gt;G275,"2017 - kwh",IF(H275&lt;&gt;I275,"2016 - kwh",IF(J275&lt;&gt;K275,"2015 - kwh","N/A")))</f>
        <v>N/A</v>
      </c>
      <c r="C273" s="751" t="s">
        <v>2666</v>
      </c>
      <c r="D273" s="979"/>
      <c r="E273" s="873" t="s">
        <v>158</v>
      </c>
      <c r="F273" s="978"/>
      <c r="G273" s="978"/>
      <c r="H273" s="978"/>
      <c r="I273" s="978"/>
      <c r="J273" s="978"/>
      <c r="K273" s="978"/>
      <c r="L273" s="978"/>
      <c r="M273" s="978"/>
      <c r="N273" s="978"/>
      <c r="O273" s="978"/>
      <c r="P273" s="876"/>
      <c r="Q273" s="876"/>
      <c r="R273" s="876"/>
      <c r="S273" s="876"/>
      <c r="T273" s="876"/>
      <c r="U273" s="876"/>
      <c r="V273" s="876"/>
      <c r="Z273" s="1354"/>
      <c r="AA273" s="1354" t="str">
        <f>IF(AND(F275=G275,H275=I275,F275="A"),"2015 - kwh","")</f>
        <v/>
      </c>
      <c r="AB273" s="1354" t="str">
        <f>IF(OR(B273="2016 - kwh",B273="2017 - kwh"),"2015 - kwh","")</f>
        <v/>
      </c>
      <c r="AC273" s="1354"/>
      <c r="AD273" s="1354"/>
      <c r="AE273" s="1354"/>
    </row>
    <row r="274" spans="1:31" s="779" customFormat="1" hidden="1" x14ac:dyDescent="0.25">
      <c r="A274" s="876" t="str">
        <f>IF(AND(F275=G275,H275=I275,J275=K275,F275="A"),"2015 - kw",IF(AND(F275=G275,H275=I275,J275&lt;&gt;K275,F275="A"),"2016 - kw",IF(AND(F275=G275,H275&lt;&gt;I275,F275="A"),"2017 - kw","N/A")))</f>
        <v>N/A</v>
      </c>
      <c r="B274" s="876" t="str">
        <f>IF(F275&lt;&gt;G275,"2017 - kw",IF(H275&lt;&gt;I275,"2016 - kw",IF(J275&lt;&gt;K275,"2015 - kw","N/A")))</f>
        <v>N/A</v>
      </c>
      <c r="C274" s="752"/>
      <c r="D274" s="809" t="str">
        <f>D273 &amp; "kW"</f>
        <v>kW</v>
      </c>
      <c r="E274" s="872" t="s">
        <v>159</v>
      </c>
      <c r="F274" s="978"/>
      <c r="G274" s="978"/>
      <c r="H274" s="978"/>
      <c r="I274" s="978"/>
      <c r="J274" s="978"/>
      <c r="K274" s="978"/>
      <c r="L274" s="978"/>
      <c r="M274" s="978"/>
      <c r="N274" s="978"/>
      <c r="O274" s="978"/>
      <c r="P274" s="876"/>
      <c r="Q274" s="876"/>
      <c r="R274" s="876"/>
      <c r="S274" s="876"/>
      <c r="T274" s="876"/>
      <c r="U274" s="876"/>
      <c r="V274" s="876"/>
      <c r="Z274" s="1354"/>
      <c r="AA274" s="1354" t="str">
        <f>IF(AND(F275=G275,H275=I275,F275="A"),"2015 - kw","")</f>
        <v/>
      </c>
      <c r="AB274" s="1354" t="str">
        <f>IF(OR(B274="2016 - kw",B274="2017 - kw"),"2015 - kw","")</f>
        <v/>
      </c>
      <c r="AC274" s="1354"/>
      <c r="AD274" s="1354"/>
      <c r="AE274" s="1354"/>
    </row>
    <row r="275" spans="1:31" s="779" customFormat="1" hidden="1" x14ac:dyDescent="0.25">
      <c r="A275" s="876"/>
      <c r="B275" s="876"/>
      <c r="C275" s="755"/>
      <c r="D275" s="870"/>
      <c r="E275" s="871" t="s">
        <v>2550</v>
      </c>
      <c r="F275" s="977"/>
      <c r="G275" s="977"/>
      <c r="H275" s="977"/>
      <c r="I275" s="977"/>
      <c r="J275" s="977"/>
      <c r="K275" s="977"/>
      <c r="L275" s="977"/>
      <c r="M275" s="977"/>
      <c r="N275" s="977"/>
      <c r="O275" s="977"/>
      <c r="P275" s="876"/>
      <c r="Q275" s="876"/>
      <c r="R275" s="876"/>
      <c r="S275" s="876"/>
      <c r="T275" s="876"/>
      <c r="U275" s="876"/>
      <c r="V275" s="876"/>
      <c r="Z275" s="1354"/>
      <c r="AA275" s="1354"/>
      <c r="AB275" s="1354"/>
      <c r="AC275" s="1354"/>
      <c r="AD275" s="1354"/>
      <c r="AE275" s="1354"/>
    </row>
    <row r="276" spans="1:31" s="779" customFormat="1" hidden="1" x14ac:dyDescent="0.25">
      <c r="A276" s="876" t="str">
        <f>IF(AND(F278=G278,H278=I278,J278=K278,F278="A"),"2015 - kwh",IF(AND(F278=G278,H278=I278,J278&lt;&gt;K278,F278="A"),"2016 - kwh",IF(AND(F278=G278,H278&lt;&gt;I278,F278="A"),"2017 - kwh","N/A")))</f>
        <v>N/A</v>
      </c>
      <c r="B276" s="876" t="str">
        <f>IF(F278&lt;&gt;G278,"2017 - kwh",IF(H278&lt;&gt;I278,"2016 - kwh",IF(J278&lt;&gt;K278,"2015 - kwh","N/A")))</f>
        <v>N/A</v>
      </c>
      <c r="C276" s="751" t="s">
        <v>2667</v>
      </c>
      <c r="D276" s="979"/>
      <c r="E276" s="873" t="s">
        <v>158</v>
      </c>
      <c r="F276" s="978"/>
      <c r="G276" s="978"/>
      <c r="H276" s="978"/>
      <c r="I276" s="978"/>
      <c r="J276" s="978"/>
      <c r="K276" s="978"/>
      <c r="L276" s="978"/>
      <c r="M276" s="978"/>
      <c r="N276" s="978"/>
      <c r="O276" s="978"/>
      <c r="P276" s="876"/>
      <c r="Q276" s="876"/>
      <c r="R276" s="876"/>
      <c r="S276" s="876"/>
      <c r="T276" s="876"/>
      <c r="U276" s="876"/>
      <c r="V276" s="876"/>
      <c r="Z276" s="1354"/>
      <c r="AA276" s="1354" t="str">
        <f>IF(AND(F278=G278,H278=I278,F278="A"),"2015 - kwh","")</f>
        <v/>
      </c>
      <c r="AB276" s="1354" t="str">
        <f>IF(OR(B276="2016 - kwh",B276="2017 - kwh"),"2015 - kwh","")</f>
        <v/>
      </c>
      <c r="AC276" s="1354"/>
      <c r="AD276" s="1354"/>
      <c r="AE276" s="1354"/>
    </row>
    <row r="277" spans="1:31" s="779" customFormat="1" hidden="1" x14ac:dyDescent="0.25">
      <c r="A277" s="876" t="str">
        <f>IF(AND(F278=G278,H278=I278,J278=K278,F278="A"),"2015 - kw",IF(AND(F278=G278,H278=I278,J278&lt;&gt;K278,F278="A"),"2016 - kw",IF(AND(F278=G278,H278&lt;&gt;I278,F278="A"),"2017 - kw","N/A")))</f>
        <v>N/A</v>
      </c>
      <c r="B277" s="876" t="str">
        <f>IF(F278&lt;&gt;G278,"2017 - kw",IF(H278&lt;&gt;I278,"2016 - kw",IF(J278&lt;&gt;K278,"2015 - kw","N/A")))</f>
        <v>N/A</v>
      </c>
      <c r="C277" s="752"/>
      <c r="D277" s="809" t="str">
        <f>D276 &amp; "kW"</f>
        <v>kW</v>
      </c>
      <c r="E277" s="872" t="s">
        <v>159</v>
      </c>
      <c r="F277" s="978"/>
      <c r="G277" s="978"/>
      <c r="H277" s="978"/>
      <c r="I277" s="978"/>
      <c r="J277" s="978"/>
      <c r="K277" s="978"/>
      <c r="L277" s="978"/>
      <c r="M277" s="978"/>
      <c r="N277" s="978"/>
      <c r="O277" s="978"/>
      <c r="P277" s="876"/>
      <c r="Q277" s="876"/>
      <c r="R277" s="876"/>
      <c r="S277" s="876"/>
      <c r="T277" s="876"/>
      <c r="U277" s="876"/>
      <c r="V277" s="876"/>
      <c r="Z277" s="1354"/>
      <c r="AA277" s="1354" t="str">
        <f>IF(AND(F278=G278,H278=I278,F278="A"),"2015 - kw","")</f>
        <v/>
      </c>
      <c r="AB277" s="1354" t="str">
        <f>IF(OR(B277="2016 - kw",B277="2017 - kw"),"2015 - kw","")</f>
        <v/>
      </c>
      <c r="AC277" s="1354"/>
      <c r="AD277" s="1354"/>
      <c r="AE277" s="1354"/>
    </row>
    <row r="278" spans="1:31" s="779" customFormat="1" hidden="1" x14ac:dyDescent="0.25">
      <c r="A278" s="876"/>
      <c r="B278" s="876"/>
      <c r="C278" s="755"/>
      <c r="D278" s="870"/>
      <c r="E278" s="871" t="s">
        <v>2550</v>
      </c>
      <c r="F278" s="977"/>
      <c r="G278" s="977"/>
      <c r="H278" s="977"/>
      <c r="I278" s="977"/>
      <c r="J278" s="977"/>
      <c r="K278" s="977"/>
      <c r="L278" s="977"/>
      <c r="M278" s="977"/>
      <c r="N278" s="977"/>
      <c r="O278" s="977"/>
      <c r="P278" s="876"/>
      <c r="Q278" s="876"/>
      <c r="R278" s="876"/>
      <c r="S278" s="876"/>
      <c r="T278" s="876"/>
      <c r="U278" s="876"/>
      <c r="V278" s="876"/>
      <c r="Z278" s="1354"/>
      <c r="AA278" s="1354"/>
      <c r="AB278" s="1354"/>
      <c r="AC278" s="1354"/>
      <c r="AD278" s="1354"/>
      <c r="AE278" s="1354"/>
    </row>
    <row r="279" spans="1:31" s="779" customFormat="1" hidden="1" x14ac:dyDescent="0.25">
      <c r="A279" s="876" t="str">
        <f>IF(AND(F281=G281,H281=I281,J281=K281,F281="A"),"2015 - kwh",IF(AND(F281=G281,H281=I281,J281&lt;&gt;K281,F281="A"),"2016 - kwh",IF(AND(F281=G281,H281&lt;&gt;I281,F281="A"),"2017 - kwh","N/A")))</f>
        <v>N/A</v>
      </c>
      <c r="B279" s="876" t="str">
        <f>IF(F281&lt;&gt;G281,"2017 - kwh",IF(H281&lt;&gt;I281,"2016 - kwh",IF(J281&lt;&gt;K281,"2015 - kwh","N/A")))</f>
        <v>N/A</v>
      </c>
      <c r="C279" s="751" t="s">
        <v>2668</v>
      </c>
      <c r="D279" s="979"/>
      <c r="E279" s="873" t="s">
        <v>158</v>
      </c>
      <c r="F279" s="978"/>
      <c r="G279" s="978"/>
      <c r="H279" s="978"/>
      <c r="I279" s="978"/>
      <c r="J279" s="978"/>
      <c r="K279" s="978"/>
      <c r="L279" s="978"/>
      <c r="M279" s="978"/>
      <c r="N279" s="978"/>
      <c r="O279" s="978"/>
      <c r="P279" s="876"/>
      <c r="Q279" s="876"/>
      <c r="R279" s="876"/>
      <c r="S279" s="876"/>
      <c r="T279" s="876"/>
      <c r="U279" s="876"/>
      <c r="V279" s="876"/>
      <c r="Z279" s="1354"/>
      <c r="AA279" s="1354" t="str">
        <f>IF(AND(F281=G281,H281=I281,F281="A"),"2015 - kwh","")</f>
        <v/>
      </c>
      <c r="AB279" s="1354" t="str">
        <f>IF(OR(B279="2016 - kwh",B279="2017 - kwh"),"2015 - kwh","")</f>
        <v/>
      </c>
      <c r="AC279" s="1354"/>
      <c r="AD279" s="1354"/>
      <c r="AE279" s="1354"/>
    </row>
    <row r="280" spans="1:31" s="779" customFormat="1" hidden="1" x14ac:dyDescent="0.25">
      <c r="A280" s="876" t="str">
        <f>IF(AND(F281=G281,H281=I281,J281=K281,F281="A"),"2015 - kw",IF(AND(F281=G281,H281=I281,J281&lt;&gt;K281,F281="A"),"2016 - kw",IF(AND(F281=G281,H281&lt;&gt;I281,F281="A"),"2017 - kw","N/A")))</f>
        <v>N/A</v>
      </c>
      <c r="B280" s="876" t="str">
        <f>IF(F281&lt;&gt;G281,"2017 - kw",IF(H281&lt;&gt;I281,"2016 - kw",IF(J281&lt;&gt;K281,"2015 - kw","N/A")))</f>
        <v>N/A</v>
      </c>
      <c r="C280" s="752"/>
      <c r="D280" s="809" t="str">
        <f>D279 &amp; "kW"</f>
        <v>kW</v>
      </c>
      <c r="E280" s="872" t="s">
        <v>159</v>
      </c>
      <c r="F280" s="978"/>
      <c r="G280" s="978"/>
      <c r="H280" s="978"/>
      <c r="I280" s="978"/>
      <c r="J280" s="978"/>
      <c r="K280" s="978"/>
      <c r="L280" s="978"/>
      <c r="M280" s="978"/>
      <c r="N280" s="978"/>
      <c r="O280" s="978"/>
      <c r="P280" s="876"/>
      <c r="Q280" s="876"/>
      <c r="R280" s="876"/>
      <c r="S280" s="876"/>
      <c r="T280" s="876"/>
      <c r="U280" s="876"/>
      <c r="V280" s="876"/>
      <c r="Z280" s="1354"/>
      <c r="AA280" s="1354" t="str">
        <f>IF(AND(F281=G281,H281=I281,F281="A"),"2015 - kw","")</f>
        <v/>
      </c>
      <c r="AB280" s="1354" t="str">
        <f>IF(OR(B280="2016 - kw",B280="2017 - kw"),"2015 - kw","")</f>
        <v/>
      </c>
      <c r="AC280" s="1354"/>
      <c r="AD280" s="1354"/>
      <c r="AE280" s="1354"/>
    </row>
    <row r="281" spans="1:31" s="779" customFormat="1" hidden="1" x14ac:dyDescent="0.25">
      <c r="A281" s="876"/>
      <c r="B281" s="876"/>
      <c r="C281" s="755"/>
      <c r="D281" s="870"/>
      <c r="E281" s="871" t="s">
        <v>2550</v>
      </c>
      <c r="F281" s="977"/>
      <c r="G281" s="977"/>
      <c r="H281" s="977"/>
      <c r="I281" s="977"/>
      <c r="J281" s="977"/>
      <c r="K281" s="977"/>
      <c r="L281" s="977"/>
      <c r="M281" s="977"/>
      <c r="N281" s="977"/>
      <c r="O281" s="977"/>
      <c r="P281" s="876"/>
      <c r="Q281" s="876"/>
      <c r="R281" s="876"/>
      <c r="S281" s="876"/>
      <c r="T281" s="876"/>
      <c r="U281" s="876"/>
      <c r="V281" s="876"/>
      <c r="Z281" s="1354"/>
      <c r="AA281" s="1354"/>
      <c r="AB281" s="1354"/>
      <c r="AC281" s="1354"/>
      <c r="AD281" s="1354"/>
      <c r="AE281" s="1354"/>
    </row>
    <row r="282" spans="1:31" s="779" customFormat="1" hidden="1" x14ac:dyDescent="0.25">
      <c r="A282" s="876" t="str">
        <f>IF(AND(F284=G284,H284=I284,J284=K284,F284="A"),"2015 - kwh",IF(AND(F284=G284,H284=I284,J284&lt;&gt;K284,F284="A"),"2016 - kwh",IF(AND(F284=G284,H284&lt;&gt;I284,F284="A"),"2017 - kwh","N/A")))</f>
        <v>N/A</v>
      </c>
      <c r="B282" s="876" t="str">
        <f>IF(F284&lt;&gt;G284,"2017 - kwh",IF(H284&lt;&gt;I284,"2016 - kwh",IF(J284&lt;&gt;K284,"2015 - kwh","N/A")))</f>
        <v>N/A</v>
      </c>
      <c r="C282" s="751" t="s">
        <v>2669</v>
      </c>
      <c r="D282" s="979"/>
      <c r="E282" s="873" t="s">
        <v>158</v>
      </c>
      <c r="F282" s="978"/>
      <c r="G282" s="978"/>
      <c r="H282" s="978"/>
      <c r="I282" s="978"/>
      <c r="J282" s="978"/>
      <c r="K282" s="978"/>
      <c r="L282" s="978"/>
      <c r="M282" s="978"/>
      <c r="N282" s="978"/>
      <c r="O282" s="978"/>
      <c r="P282" s="876"/>
      <c r="Q282" s="876"/>
      <c r="R282" s="876"/>
      <c r="S282" s="876"/>
      <c r="T282" s="876"/>
      <c r="U282" s="876"/>
      <c r="V282" s="876"/>
      <c r="Z282" s="1354"/>
      <c r="AA282" s="1354" t="str">
        <f>IF(AND(F284=G284,H284=I284,F284="A"),"2015 - kwh","")</f>
        <v/>
      </c>
      <c r="AB282" s="1354" t="str">
        <f>IF(OR(B282="2016 - kwh",B282="2017 - kwh"),"2015 - kwh","")</f>
        <v/>
      </c>
      <c r="AC282" s="1354"/>
      <c r="AD282" s="1354"/>
      <c r="AE282" s="1354"/>
    </row>
    <row r="283" spans="1:31" s="779" customFormat="1" hidden="1" x14ac:dyDescent="0.25">
      <c r="A283" s="876" t="str">
        <f>IF(AND(F284=G284,H284=I284,J284=K284,F284="A"),"2015 - kw",IF(AND(F284=G284,H284=I284,J284&lt;&gt;K284,F284="A"),"2016 - kw",IF(AND(F284=G284,H284&lt;&gt;I284,F284="A"),"2017 - kw","N/A")))</f>
        <v>N/A</v>
      </c>
      <c r="B283" s="876" t="str">
        <f>IF(F284&lt;&gt;G284,"2017 - kw",IF(H284&lt;&gt;I284,"2016 - kw",IF(J284&lt;&gt;K284,"2015 - kw","N/A")))</f>
        <v>N/A</v>
      </c>
      <c r="C283" s="752"/>
      <c r="D283" s="809" t="str">
        <f>D282 &amp; "kW"</f>
        <v>kW</v>
      </c>
      <c r="E283" s="872" t="s">
        <v>159</v>
      </c>
      <c r="F283" s="978"/>
      <c r="G283" s="978"/>
      <c r="H283" s="978"/>
      <c r="I283" s="978"/>
      <c r="J283" s="978"/>
      <c r="K283" s="978"/>
      <c r="L283" s="978"/>
      <c r="M283" s="978"/>
      <c r="N283" s="978"/>
      <c r="O283" s="978"/>
      <c r="P283" s="876"/>
      <c r="Q283" s="876"/>
      <c r="R283" s="876"/>
      <c r="S283" s="876"/>
      <c r="T283" s="876"/>
      <c r="U283" s="876"/>
      <c r="V283" s="876"/>
      <c r="Z283" s="1354"/>
      <c r="AA283" s="1354" t="str">
        <f>IF(AND(F284=G284,H284=I284,F284="A"),"2015 - kw","")</f>
        <v/>
      </c>
      <c r="AB283" s="1354" t="str">
        <f>IF(OR(B283="2016 - kw",B283="2017 - kw"),"2015 - kw","")</f>
        <v/>
      </c>
      <c r="AC283" s="1354"/>
      <c r="AD283" s="1354"/>
      <c r="AE283" s="1354"/>
    </row>
    <row r="284" spans="1:31" s="779" customFormat="1" hidden="1" x14ac:dyDescent="0.25">
      <c r="A284" s="876"/>
      <c r="B284" s="876"/>
      <c r="C284" s="755"/>
      <c r="D284" s="870"/>
      <c r="E284" s="871" t="s">
        <v>2550</v>
      </c>
      <c r="F284" s="977"/>
      <c r="G284" s="977"/>
      <c r="H284" s="977"/>
      <c r="I284" s="977"/>
      <c r="J284" s="977"/>
      <c r="K284" s="977"/>
      <c r="L284" s="977"/>
      <c r="M284" s="977"/>
      <c r="N284" s="977"/>
      <c r="O284" s="977"/>
      <c r="P284" s="876"/>
      <c r="Q284" s="876"/>
      <c r="R284" s="876"/>
      <c r="S284" s="876"/>
      <c r="T284" s="876"/>
      <c r="U284" s="876"/>
      <c r="V284" s="876"/>
      <c r="Z284" s="1354"/>
      <c r="AA284" s="1354"/>
      <c r="AB284" s="1354"/>
      <c r="AC284" s="1354"/>
      <c r="AD284" s="1354"/>
      <c r="AE284" s="1354"/>
    </row>
    <row r="285" spans="1:31" s="779" customFormat="1" hidden="1" x14ac:dyDescent="0.25">
      <c r="A285" s="876" t="str">
        <f>IF(AND(F287=G287,H287=I287,J287=K287,F287="A"),"2015 - kwh",IF(AND(F287=G287,H287=I287,J287&lt;&gt;K287,F287="A"),"2016 - kwh",IF(AND(F287=G287,H287&lt;&gt;I287,F287="A"),"2017 - kwh","N/A")))</f>
        <v>N/A</v>
      </c>
      <c r="B285" s="876" t="str">
        <f>IF(F287&lt;&gt;G287,"2017 - kwh",IF(H287&lt;&gt;I287,"2016 - kwh",IF(J287&lt;&gt;K287,"2015 - kwh","N/A")))</f>
        <v>N/A</v>
      </c>
      <c r="C285" s="751" t="s">
        <v>2670</v>
      </c>
      <c r="D285" s="979"/>
      <c r="E285" s="873" t="s">
        <v>158</v>
      </c>
      <c r="F285" s="978"/>
      <c r="G285" s="978"/>
      <c r="H285" s="978"/>
      <c r="I285" s="978"/>
      <c r="J285" s="978"/>
      <c r="K285" s="978"/>
      <c r="L285" s="978"/>
      <c r="M285" s="978"/>
      <c r="N285" s="978"/>
      <c r="O285" s="978"/>
      <c r="P285" s="876"/>
      <c r="Q285" s="876"/>
      <c r="R285" s="876"/>
      <c r="S285" s="876"/>
      <c r="T285" s="876"/>
      <c r="U285" s="876"/>
      <c r="V285" s="876"/>
      <c r="Z285" s="1354"/>
      <c r="AA285" s="1354" t="str">
        <f>IF(AND(F287=G287,H287=I287,F287="A"),"2015 - kwh","")</f>
        <v/>
      </c>
      <c r="AB285" s="1354" t="str">
        <f>IF(OR(B285="2016 - kwh",B285="2017 - kwh"),"2015 - kwh","")</f>
        <v/>
      </c>
      <c r="AC285" s="1354"/>
      <c r="AD285" s="1354"/>
      <c r="AE285" s="1354"/>
    </row>
    <row r="286" spans="1:31" s="779" customFormat="1" hidden="1" x14ac:dyDescent="0.25">
      <c r="A286" s="876" t="str">
        <f>IF(AND(F287=G287,H287=I287,J287=K287,F287="A"),"2015 - kw",IF(AND(F287=G287,H287=I287,J287&lt;&gt;K287,F287="A"),"2016 - kw",IF(AND(F287=G287,H287&lt;&gt;I287,F287="A"),"2017 - kw","N/A")))</f>
        <v>N/A</v>
      </c>
      <c r="B286" s="876" t="str">
        <f>IF(F287&lt;&gt;G287,"2017 - kw",IF(H287&lt;&gt;I287,"2016 - kw",IF(J287&lt;&gt;K287,"2015 - kw","N/A")))</f>
        <v>N/A</v>
      </c>
      <c r="C286" s="752"/>
      <c r="D286" s="809" t="str">
        <f>D285 &amp; "kW"</f>
        <v>kW</v>
      </c>
      <c r="E286" s="872" t="s">
        <v>159</v>
      </c>
      <c r="F286" s="978"/>
      <c r="G286" s="978"/>
      <c r="H286" s="978"/>
      <c r="I286" s="978"/>
      <c r="J286" s="978"/>
      <c r="K286" s="978"/>
      <c r="L286" s="978"/>
      <c r="M286" s="978"/>
      <c r="N286" s="978"/>
      <c r="O286" s="978"/>
      <c r="P286" s="876"/>
      <c r="Q286" s="876"/>
      <c r="R286" s="876"/>
      <c r="S286" s="876"/>
      <c r="T286" s="876"/>
      <c r="U286" s="876"/>
      <c r="V286" s="876"/>
      <c r="Z286" s="1354"/>
      <c r="AA286" s="1354" t="str">
        <f>IF(AND(F287=G287,H287=I287,F287="A"),"2015 - kw","")</f>
        <v/>
      </c>
      <c r="AB286" s="1354" t="str">
        <f>IF(OR(B286="2016 - kw",B286="2017 - kw"),"2015 - kw","")</f>
        <v/>
      </c>
      <c r="AC286" s="1354"/>
      <c r="AD286" s="1354"/>
      <c r="AE286" s="1354"/>
    </row>
    <row r="287" spans="1:31" s="779" customFormat="1" hidden="1" x14ac:dyDescent="0.25">
      <c r="A287" s="876"/>
      <c r="B287" s="876"/>
      <c r="C287" s="755"/>
      <c r="D287" s="870"/>
      <c r="E287" s="871" t="s">
        <v>2550</v>
      </c>
      <c r="F287" s="977"/>
      <c r="G287" s="977"/>
      <c r="H287" s="977"/>
      <c r="I287" s="977"/>
      <c r="J287" s="977"/>
      <c r="K287" s="977"/>
      <c r="L287" s="977"/>
      <c r="M287" s="977"/>
      <c r="N287" s="977"/>
      <c r="O287" s="977"/>
      <c r="P287" s="876"/>
      <c r="Q287" s="876"/>
      <c r="R287" s="876"/>
      <c r="S287" s="876"/>
      <c r="T287" s="876"/>
      <c r="U287" s="876"/>
      <c r="V287" s="876"/>
      <c r="Z287" s="1354"/>
      <c r="AA287" s="1354"/>
      <c r="AB287" s="1354"/>
      <c r="AC287" s="1354"/>
      <c r="AD287" s="1354"/>
      <c r="AE287" s="1354"/>
    </row>
    <row r="288" spans="1:31" s="779" customFormat="1" hidden="1" x14ac:dyDescent="0.25">
      <c r="A288" s="876" t="str">
        <f>IF(AND(F290=G290,H290=I290,J290=K290,F290="A"),"2015 - kwh",IF(AND(F290=G290,H290=I290,J290&lt;&gt;K290,F290="A"),"2016 - kwh",IF(AND(F290=G290,H290&lt;&gt;I290,F290="A"),"2017 - kwh","N/A")))</f>
        <v>N/A</v>
      </c>
      <c r="B288" s="876" t="str">
        <f>IF(F290&lt;&gt;G290,"2017 - kwh",IF(H290&lt;&gt;I290,"2016 - kwh",IF(J290&lt;&gt;K290,"2015 - kwh","N/A")))</f>
        <v>N/A</v>
      </c>
      <c r="C288" s="751" t="s">
        <v>2671</v>
      </c>
      <c r="D288" s="979"/>
      <c r="E288" s="873" t="s">
        <v>158</v>
      </c>
      <c r="F288" s="978"/>
      <c r="G288" s="978"/>
      <c r="H288" s="978"/>
      <c r="I288" s="978"/>
      <c r="J288" s="978"/>
      <c r="K288" s="978"/>
      <c r="L288" s="978"/>
      <c r="M288" s="978"/>
      <c r="N288" s="978"/>
      <c r="O288" s="978"/>
      <c r="P288" s="876"/>
      <c r="Q288" s="876"/>
      <c r="R288" s="876"/>
      <c r="S288" s="876"/>
      <c r="T288" s="876"/>
      <c r="U288" s="876"/>
      <c r="V288" s="876"/>
      <c r="Z288" s="1354"/>
      <c r="AA288" s="1354" t="str">
        <f>IF(AND(F290=G290,H290=I290,F290="A"),"2015 - kwh","")</f>
        <v/>
      </c>
      <c r="AB288" s="1354" t="str">
        <f>IF(OR(B288="2016 - kwh",B288="2017 - kwh"),"2015 - kwh","")</f>
        <v/>
      </c>
      <c r="AC288" s="1354"/>
      <c r="AD288" s="1354"/>
      <c r="AE288" s="1354"/>
    </row>
    <row r="289" spans="1:31" s="779" customFormat="1" hidden="1" x14ac:dyDescent="0.25">
      <c r="A289" s="876" t="str">
        <f>IF(AND(F290=G290,H290=I290,J290=K290,F290="A"),"2015 - kw",IF(AND(F290=G290,H290=I290,J290&lt;&gt;K290,F290="A"),"2016 - kw",IF(AND(F290=G290,H290&lt;&gt;I290,F290="A"),"2017 - kw","N/A")))</f>
        <v>N/A</v>
      </c>
      <c r="B289" s="876" t="str">
        <f>IF(F290&lt;&gt;G290,"2017 - kw",IF(H290&lt;&gt;I290,"2016 - kw",IF(J290&lt;&gt;K290,"2015 - kw","N/A")))</f>
        <v>N/A</v>
      </c>
      <c r="C289" s="752"/>
      <c r="D289" s="809" t="str">
        <f>D288 &amp; "kW"</f>
        <v>kW</v>
      </c>
      <c r="E289" s="872" t="s">
        <v>159</v>
      </c>
      <c r="F289" s="978"/>
      <c r="G289" s="978"/>
      <c r="H289" s="978"/>
      <c r="I289" s="978"/>
      <c r="J289" s="978"/>
      <c r="K289" s="978"/>
      <c r="L289" s="978"/>
      <c r="M289" s="978"/>
      <c r="N289" s="978"/>
      <c r="O289" s="978"/>
      <c r="P289" s="876"/>
      <c r="Q289" s="876"/>
      <c r="R289" s="876"/>
      <c r="S289" s="876"/>
      <c r="T289" s="876"/>
      <c r="U289" s="876"/>
      <c r="V289" s="876"/>
      <c r="Z289" s="1354"/>
      <c r="AA289" s="1354" t="str">
        <f>IF(AND(F290=G290,H290=I290,F290="A"),"2015 - kw","")</f>
        <v/>
      </c>
      <c r="AB289" s="1354" t="str">
        <f>IF(OR(B289="2016 - kw",B289="2017 - kw"),"2015 - kw","")</f>
        <v/>
      </c>
      <c r="AC289" s="1354"/>
      <c r="AD289" s="1354"/>
      <c r="AE289" s="1354"/>
    </row>
    <row r="290" spans="1:31" s="779" customFormat="1" hidden="1" x14ac:dyDescent="0.25">
      <c r="A290" s="876"/>
      <c r="B290" s="876"/>
      <c r="C290" s="755"/>
      <c r="D290" s="870"/>
      <c r="E290" s="871" t="s">
        <v>2550</v>
      </c>
      <c r="F290" s="977"/>
      <c r="G290" s="977"/>
      <c r="H290" s="977"/>
      <c r="I290" s="977"/>
      <c r="J290" s="977"/>
      <c r="K290" s="977"/>
      <c r="L290" s="977"/>
      <c r="M290" s="977"/>
      <c r="N290" s="977"/>
      <c r="O290" s="977"/>
      <c r="P290" s="876"/>
      <c r="Q290" s="876"/>
      <c r="R290" s="876"/>
      <c r="S290" s="876"/>
      <c r="T290" s="876"/>
      <c r="U290" s="876"/>
      <c r="V290" s="876"/>
      <c r="Z290" s="1354"/>
      <c r="AA290" s="1354"/>
      <c r="AB290" s="1354"/>
      <c r="AC290" s="1354"/>
      <c r="AD290" s="1354"/>
      <c r="AE290" s="1354"/>
    </row>
    <row r="291" spans="1:31" s="779" customFormat="1" hidden="1" x14ac:dyDescent="0.25">
      <c r="A291" s="876" t="str">
        <f>IF(AND(F293=G293,H293=I293,J293=K293,F293="A"),"2015 - kwh",IF(AND(F293=G293,H293=I293,J293&lt;&gt;K293,F293="A"),"2016 - kwh",IF(AND(F293=G293,H293&lt;&gt;I293,F293="A"),"2017 - kwh","N/A")))</f>
        <v>N/A</v>
      </c>
      <c r="B291" s="876" t="str">
        <f>IF(F293&lt;&gt;G293,"2017 - kwh",IF(H293&lt;&gt;I293,"2016 - kwh",IF(J293&lt;&gt;K293,"2015 - kwh","N/A")))</f>
        <v>N/A</v>
      </c>
      <c r="C291" s="751" t="s">
        <v>2672</v>
      </c>
      <c r="D291" s="979"/>
      <c r="E291" s="873" t="s">
        <v>158</v>
      </c>
      <c r="F291" s="978"/>
      <c r="G291" s="978"/>
      <c r="H291" s="978"/>
      <c r="I291" s="978"/>
      <c r="J291" s="978"/>
      <c r="K291" s="978"/>
      <c r="L291" s="978"/>
      <c r="M291" s="978"/>
      <c r="N291" s="978"/>
      <c r="O291" s="978"/>
      <c r="P291" s="876"/>
      <c r="Q291" s="876"/>
      <c r="R291" s="876"/>
      <c r="S291" s="876"/>
      <c r="T291" s="876"/>
      <c r="U291" s="876"/>
      <c r="V291" s="876"/>
      <c r="Z291" s="1354"/>
      <c r="AA291" s="1354" t="str">
        <f>IF(AND(F293=G293,H293=I293,F293="A"),"2015 - kwh","")</f>
        <v/>
      </c>
      <c r="AB291" s="1354" t="str">
        <f>IF(OR(B291="2016 - kwh",B291="2017 - kwh"),"2015 - kwh","")</f>
        <v/>
      </c>
      <c r="AC291" s="1354"/>
      <c r="AD291" s="1354"/>
      <c r="AE291" s="1354"/>
    </row>
    <row r="292" spans="1:31" s="779" customFormat="1" hidden="1" x14ac:dyDescent="0.25">
      <c r="A292" s="876" t="str">
        <f>IF(AND(F293=G293,H293=I293,J293=K293,F293="A"),"2015 - kw",IF(AND(F293=G293,H293=I293,J293&lt;&gt;K293,F293="A"),"2016 - kw",IF(AND(F293=G293,H293&lt;&gt;I293,F293="A"),"2017 - kw","N/A")))</f>
        <v>N/A</v>
      </c>
      <c r="B292" s="876" t="str">
        <f>IF(F293&lt;&gt;G293,"2017 - kw",IF(H293&lt;&gt;I293,"2016 - kw",IF(J293&lt;&gt;K293,"2015 - kw","N/A")))</f>
        <v>N/A</v>
      </c>
      <c r="C292" s="752"/>
      <c r="D292" s="809" t="str">
        <f>D291 &amp; "kW"</f>
        <v>kW</v>
      </c>
      <c r="E292" s="872" t="s">
        <v>159</v>
      </c>
      <c r="F292" s="978"/>
      <c r="G292" s="978"/>
      <c r="H292" s="978"/>
      <c r="I292" s="978"/>
      <c r="J292" s="978"/>
      <c r="K292" s="978"/>
      <c r="L292" s="978"/>
      <c r="M292" s="978"/>
      <c r="N292" s="978"/>
      <c r="O292" s="978"/>
      <c r="P292" s="876"/>
      <c r="Q292" s="876"/>
      <c r="R292" s="876"/>
      <c r="S292" s="876"/>
      <c r="T292" s="876"/>
      <c r="U292" s="876"/>
      <c r="V292" s="876"/>
      <c r="Z292" s="1354"/>
      <c r="AA292" s="1354" t="str">
        <f>IF(AND(F293=G293,H293=I293,F293="A"),"2015 - kw","")</f>
        <v/>
      </c>
      <c r="AB292" s="1354" t="str">
        <f>IF(OR(B292="2016 - kw",B292="2017 - kw"),"2015 - kw","")</f>
        <v/>
      </c>
      <c r="AC292" s="1354"/>
      <c r="AD292" s="1354"/>
      <c r="AE292" s="1354"/>
    </row>
    <row r="293" spans="1:31" s="779" customFormat="1" hidden="1" x14ac:dyDescent="0.25">
      <c r="A293" s="876"/>
      <c r="B293" s="876"/>
      <c r="C293" s="755"/>
      <c r="D293" s="870"/>
      <c r="E293" s="871" t="s">
        <v>2550</v>
      </c>
      <c r="F293" s="977"/>
      <c r="G293" s="977"/>
      <c r="H293" s="977"/>
      <c r="I293" s="977"/>
      <c r="J293" s="977"/>
      <c r="K293" s="977"/>
      <c r="L293" s="977"/>
      <c r="M293" s="977"/>
      <c r="N293" s="977"/>
      <c r="O293" s="977"/>
      <c r="P293" s="876"/>
      <c r="Q293" s="876"/>
      <c r="R293" s="876"/>
      <c r="S293" s="876"/>
      <c r="T293" s="876"/>
      <c r="U293" s="876"/>
      <c r="V293" s="876"/>
      <c r="Z293" s="1354"/>
      <c r="AA293" s="1354"/>
      <c r="AB293" s="1354"/>
      <c r="AC293" s="1354"/>
      <c r="AD293" s="1354"/>
      <c r="AE293" s="1354"/>
    </row>
    <row r="294" spans="1:31" s="779" customFormat="1" hidden="1" x14ac:dyDescent="0.25">
      <c r="A294" s="876" t="str">
        <f>IF(AND(F296=G296,H296=I296,J296=K296,F296="A"),"2015 - kwh",IF(AND(F296=G296,H296=I296,J296&lt;&gt;K296,F296="A"),"2016 - kwh",IF(AND(F296=G296,H296&lt;&gt;I296,F296="A"),"2017 - kwh","N/A")))</f>
        <v>N/A</v>
      </c>
      <c r="B294" s="876" t="str">
        <f>IF(F296&lt;&gt;G296,"2017 - kwh",IF(H296&lt;&gt;I296,"2016 - kwh",IF(J296&lt;&gt;K296,"2015 - kwh","N/A")))</f>
        <v>N/A</v>
      </c>
      <c r="C294" s="751" t="s">
        <v>2673</v>
      </c>
      <c r="D294" s="979"/>
      <c r="E294" s="873" t="s">
        <v>158</v>
      </c>
      <c r="F294" s="978"/>
      <c r="G294" s="978"/>
      <c r="H294" s="978"/>
      <c r="I294" s="978"/>
      <c r="J294" s="978"/>
      <c r="K294" s="978"/>
      <c r="L294" s="978"/>
      <c r="M294" s="978"/>
      <c r="N294" s="978"/>
      <c r="O294" s="978"/>
      <c r="P294" s="876"/>
      <c r="Q294" s="876"/>
      <c r="R294" s="876"/>
      <c r="S294" s="876"/>
      <c r="T294" s="876"/>
      <c r="U294" s="876"/>
      <c r="V294" s="876"/>
      <c r="Z294" s="1354"/>
      <c r="AA294" s="1354" t="str">
        <f>IF(AND(F296=G296,H296=I296,F296="A"),"2015 - kwh","")</f>
        <v/>
      </c>
      <c r="AB294" s="1354" t="str">
        <f>IF(OR(B294="2016 - kwh",B294="2017 - kwh"),"2015 - kwh","")</f>
        <v/>
      </c>
      <c r="AC294" s="1354"/>
      <c r="AD294" s="1354"/>
      <c r="AE294" s="1354"/>
    </row>
    <row r="295" spans="1:31" s="779" customFormat="1" hidden="1" x14ac:dyDescent="0.25">
      <c r="A295" s="876" t="str">
        <f>IF(AND(F296=G296,H296=I296,J296=K296,F296="A"),"2015 - kw",IF(AND(F296=G296,H296=I296,J296&lt;&gt;K296,F296="A"),"2016 - kw",IF(AND(F296=G296,H296&lt;&gt;I296,F296="A"),"2017 - kw","N/A")))</f>
        <v>N/A</v>
      </c>
      <c r="B295" s="876" t="str">
        <f>IF(F296&lt;&gt;G296,"2017 - kw",IF(H296&lt;&gt;I296,"2016 - kw",IF(J296&lt;&gt;K296,"2015 - kw","N/A")))</f>
        <v>N/A</v>
      </c>
      <c r="C295" s="752"/>
      <c r="D295" s="809" t="str">
        <f>D294 &amp; "kW"</f>
        <v>kW</v>
      </c>
      <c r="E295" s="872" t="s">
        <v>159</v>
      </c>
      <c r="F295" s="978"/>
      <c r="G295" s="978"/>
      <c r="H295" s="978"/>
      <c r="I295" s="978"/>
      <c r="J295" s="978"/>
      <c r="K295" s="978"/>
      <c r="L295" s="978"/>
      <c r="M295" s="978"/>
      <c r="N295" s="978"/>
      <c r="O295" s="978"/>
      <c r="P295" s="876"/>
      <c r="Q295" s="876"/>
      <c r="R295" s="876"/>
      <c r="S295" s="876"/>
      <c r="T295" s="876"/>
      <c r="U295" s="876"/>
      <c r="V295" s="876"/>
      <c r="Z295" s="1354"/>
      <c r="AA295" s="1354" t="str">
        <f>IF(AND(F296=G296,H296=I296,F296="A"),"2015 - kw","")</f>
        <v/>
      </c>
      <c r="AB295" s="1354" t="str">
        <f>IF(OR(B295="2016 - kw",B295="2017 - kw"),"2015 - kw","")</f>
        <v/>
      </c>
      <c r="AC295" s="1354"/>
      <c r="AD295" s="1354"/>
      <c r="AE295" s="1354"/>
    </row>
    <row r="296" spans="1:31" s="779" customFormat="1" hidden="1" x14ac:dyDescent="0.25">
      <c r="A296" s="876"/>
      <c r="B296" s="876"/>
      <c r="C296" s="755"/>
      <c r="D296" s="870"/>
      <c r="E296" s="871" t="s">
        <v>2550</v>
      </c>
      <c r="F296" s="977"/>
      <c r="G296" s="977"/>
      <c r="H296" s="977"/>
      <c r="I296" s="977"/>
      <c r="J296" s="977"/>
      <c r="K296" s="977"/>
      <c r="L296" s="977"/>
      <c r="M296" s="977"/>
      <c r="N296" s="977"/>
      <c r="O296" s="977"/>
      <c r="P296" s="876"/>
      <c r="Q296" s="876"/>
      <c r="R296" s="876"/>
      <c r="S296" s="876"/>
      <c r="T296" s="876"/>
      <c r="U296" s="876"/>
      <c r="V296" s="876"/>
      <c r="Z296" s="1354"/>
      <c r="AA296" s="1354"/>
      <c r="AB296" s="1354"/>
      <c r="AC296" s="1354"/>
      <c r="AD296" s="1354"/>
      <c r="AE296" s="1354"/>
    </row>
    <row r="297" spans="1:31" s="779" customFormat="1" hidden="1" x14ac:dyDescent="0.25">
      <c r="A297" s="876" t="str">
        <f>IF(AND(F299=G299,H299=I299,J299=K299,F299="A"),"2015 - kwh",IF(AND(F299=G299,H299=I299,J299&lt;&gt;K299,F299="A"),"2016 - kwh",IF(AND(F299=G299,H299&lt;&gt;I299,F299="A"),"2017 - kwh","N/A")))</f>
        <v>N/A</v>
      </c>
      <c r="B297" s="876" t="str">
        <f>IF(F299&lt;&gt;G299,"2017 - kwh",IF(H299&lt;&gt;I299,"2016 - kwh",IF(J299&lt;&gt;K299,"2015 - kwh","N/A")))</f>
        <v>N/A</v>
      </c>
      <c r="C297" s="751" t="s">
        <v>2674</v>
      </c>
      <c r="D297" s="979"/>
      <c r="E297" s="873" t="s">
        <v>158</v>
      </c>
      <c r="F297" s="978"/>
      <c r="G297" s="978"/>
      <c r="H297" s="978"/>
      <c r="I297" s="978"/>
      <c r="J297" s="978"/>
      <c r="K297" s="978"/>
      <c r="L297" s="978"/>
      <c r="M297" s="978"/>
      <c r="N297" s="978"/>
      <c r="O297" s="978"/>
      <c r="P297" s="876"/>
      <c r="Q297" s="876"/>
      <c r="R297" s="876"/>
      <c r="S297" s="876"/>
      <c r="T297" s="876"/>
      <c r="U297" s="876"/>
      <c r="V297" s="876"/>
      <c r="Z297" s="1354"/>
      <c r="AA297" s="1354" t="str">
        <f>IF(AND(F299=G299,H299=I299,F299="A"),"2015 - kwh","")</f>
        <v/>
      </c>
      <c r="AB297" s="1354" t="str">
        <f>IF(OR(B297="2016 - kwh",B297="2017 - kwh"),"2015 - kwh","")</f>
        <v/>
      </c>
      <c r="AC297" s="1354"/>
      <c r="AD297" s="1354"/>
      <c r="AE297" s="1354"/>
    </row>
    <row r="298" spans="1:31" s="779" customFormat="1" hidden="1" x14ac:dyDescent="0.25">
      <c r="A298" s="876" t="str">
        <f>IF(AND(F299=G299,H299=I299,J299=K299,F299="A"),"2015 - kw",IF(AND(F299=G299,H299=I299,J299&lt;&gt;K299,F299="A"),"2016 - kw",IF(AND(F299=G299,H299&lt;&gt;I299,F299="A"),"2017 - kw","N/A")))</f>
        <v>N/A</v>
      </c>
      <c r="B298" s="876" t="str">
        <f>IF(F299&lt;&gt;G299,"2017 - kw",IF(H299&lt;&gt;I299,"2016 - kw",IF(J299&lt;&gt;K299,"2015 - kw","N/A")))</f>
        <v>N/A</v>
      </c>
      <c r="C298" s="752"/>
      <c r="D298" s="809" t="str">
        <f>D297 &amp; "kW"</f>
        <v>kW</v>
      </c>
      <c r="E298" s="872" t="s">
        <v>159</v>
      </c>
      <c r="F298" s="978"/>
      <c r="G298" s="978"/>
      <c r="H298" s="978"/>
      <c r="I298" s="978"/>
      <c r="J298" s="978"/>
      <c r="K298" s="978"/>
      <c r="L298" s="978"/>
      <c r="M298" s="978"/>
      <c r="N298" s="978"/>
      <c r="O298" s="978"/>
      <c r="P298" s="876"/>
      <c r="Q298" s="876"/>
      <c r="R298" s="876"/>
      <c r="S298" s="876"/>
      <c r="T298" s="876"/>
      <c r="U298" s="876"/>
      <c r="V298" s="876"/>
      <c r="Z298" s="1354"/>
      <c r="AA298" s="1354" t="str">
        <f>IF(AND(F299=G299,H299=I299,F299="A"),"2015 - kw","")</f>
        <v/>
      </c>
      <c r="AB298" s="1354" t="str">
        <f>IF(OR(B298="2016 - kw",B298="2017 - kw"),"2015 - kw","")</f>
        <v/>
      </c>
      <c r="AC298" s="1354"/>
      <c r="AD298" s="1354"/>
      <c r="AE298" s="1354"/>
    </row>
    <row r="299" spans="1:31" s="779" customFormat="1" hidden="1" x14ac:dyDescent="0.25">
      <c r="A299" s="876"/>
      <c r="B299" s="876"/>
      <c r="C299" s="755"/>
      <c r="D299" s="870"/>
      <c r="E299" s="871" t="s">
        <v>2550</v>
      </c>
      <c r="F299" s="977"/>
      <c r="G299" s="977"/>
      <c r="H299" s="977"/>
      <c r="I299" s="977"/>
      <c r="J299" s="977"/>
      <c r="K299" s="977"/>
      <c r="L299" s="977"/>
      <c r="M299" s="977"/>
      <c r="N299" s="977"/>
      <c r="O299" s="977"/>
      <c r="P299" s="876"/>
      <c r="Q299" s="876"/>
      <c r="R299" s="876"/>
      <c r="S299" s="876"/>
      <c r="T299" s="876"/>
      <c r="U299" s="876"/>
      <c r="V299" s="876"/>
      <c r="Z299" s="1354"/>
      <c r="AA299" s="1354"/>
      <c r="AB299" s="1354"/>
      <c r="AC299" s="1354"/>
      <c r="AD299" s="1354"/>
      <c r="AE299" s="1354"/>
    </row>
    <row r="300" spans="1:31" s="779" customFormat="1" hidden="1" x14ac:dyDescent="0.25">
      <c r="A300" s="876" t="str">
        <f>IF(AND(F302=G302,H302=I302,J302=K302,F302="A"),"2015 - kwh",IF(AND(F302=G302,H302=I302,J302&lt;&gt;K302,F302="A"),"2016 - kwh",IF(AND(F302=G302,H302&lt;&gt;I302,F302="A"),"2017 - kwh","N/A")))</f>
        <v>N/A</v>
      </c>
      <c r="B300" s="876" t="str">
        <f>IF(F302&lt;&gt;G302,"2017 - kwh",IF(H302&lt;&gt;I302,"2016 - kwh",IF(J302&lt;&gt;K302,"2015 - kwh","N/A")))</f>
        <v>N/A</v>
      </c>
      <c r="C300" s="751" t="s">
        <v>2675</v>
      </c>
      <c r="D300" s="979"/>
      <c r="E300" s="873" t="s">
        <v>158</v>
      </c>
      <c r="F300" s="978"/>
      <c r="G300" s="978"/>
      <c r="H300" s="978"/>
      <c r="I300" s="978"/>
      <c r="J300" s="978"/>
      <c r="K300" s="978"/>
      <c r="L300" s="978"/>
      <c r="M300" s="978"/>
      <c r="N300" s="978"/>
      <c r="O300" s="978"/>
      <c r="P300" s="876"/>
      <c r="Q300" s="876"/>
      <c r="R300" s="876"/>
      <c r="S300" s="876"/>
      <c r="T300" s="876"/>
      <c r="U300" s="876"/>
      <c r="V300" s="876"/>
      <c r="Z300" s="1354"/>
      <c r="AA300" s="1354" t="str">
        <f>IF(AND(F302=G302,H302=I302,F302="A"),"2015 - kwh","")</f>
        <v/>
      </c>
      <c r="AB300" s="1354" t="str">
        <f>IF(OR(B300="2016 - kwh",B300="2017 - kwh"),"2015 - kwh","")</f>
        <v/>
      </c>
      <c r="AC300" s="1354"/>
      <c r="AD300" s="1354"/>
      <c r="AE300" s="1354"/>
    </row>
    <row r="301" spans="1:31" s="779" customFormat="1" hidden="1" x14ac:dyDescent="0.25">
      <c r="A301" s="876" t="str">
        <f>IF(AND(F302=G302,H302=I302,J302=K302,F302="A"),"2015 - kw",IF(AND(F302=G302,H302=I302,J302&lt;&gt;K302,F302="A"),"2016 - kw",IF(AND(F302=G302,H302&lt;&gt;I302,F302="A"),"2017 - kw","N/A")))</f>
        <v>N/A</v>
      </c>
      <c r="B301" s="876" t="str">
        <f>IF(F302&lt;&gt;G302,"2017 - kw",IF(H302&lt;&gt;I302,"2016 - kw",IF(J302&lt;&gt;K302,"2015 - kw","N/A")))</f>
        <v>N/A</v>
      </c>
      <c r="C301" s="752"/>
      <c r="D301" s="809" t="str">
        <f>D300 &amp; "kW"</f>
        <v>kW</v>
      </c>
      <c r="E301" s="872" t="s">
        <v>159</v>
      </c>
      <c r="F301" s="978"/>
      <c r="G301" s="978"/>
      <c r="H301" s="978"/>
      <c r="I301" s="978"/>
      <c r="J301" s="978"/>
      <c r="K301" s="978"/>
      <c r="L301" s="978"/>
      <c r="M301" s="978"/>
      <c r="N301" s="978"/>
      <c r="O301" s="978"/>
      <c r="P301" s="876"/>
      <c r="Q301" s="876"/>
      <c r="R301" s="876"/>
      <c r="S301" s="876"/>
      <c r="T301" s="876"/>
      <c r="U301" s="876"/>
      <c r="V301" s="876"/>
      <c r="Z301" s="1354"/>
      <c r="AA301" s="1354" t="str">
        <f>IF(AND(F302=G302,H302=I302,F302="A"),"2015 - kw","")</f>
        <v/>
      </c>
      <c r="AB301" s="1354" t="str">
        <f>IF(OR(B301="2016 - kw",B301="2017 - kw"),"2015 - kw","")</f>
        <v/>
      </c>
      <c r="AC301" s="1354"/>
      <c r="AD301" s="1354"/>
      <c r="AE301" s="1354"/>
    </row>
    <row r="302" spans="1:31" s="779" customFormat="1" hidden="1" x14ac:dyDescent="0.25">
      <c r="A302" s="876"/>
      <c r="B302" s="876"/>
      <c r="C302" s="755"/>
      <c r="D302" s="870"/>
      <c r="E302" s="871" t="s">
        <v>2550</v>
      </c>
      <c r="F302" s="977"/>
      <c r="G302" s="977"/>
      <c r="H302" s="977"/>
      <c r="I302" s="977"/>
      <c r="J302" s="977"/>
      <c r="K302" s="977"/>
      <c r="L302" s="977"/>
      <c r="M302" s="977"/>
      <c r="N302" s="977"/>
      <c r="O302" s="977"/>
      <c r="P302" s="876"/>
      <c r="Q302" s="876"/>
      <c r="R302" s="876"/>
      <c r="S302" s="876"/>
      <c r="T302" s="876"/>
      <c r="U302" s="876"/>
      <c r="V302" s="876"/>
      <c r="Z302" s="1354"/>
      <c r="AA302" s="1354"/>
      <c r="AB302" s="1354"/>
      <c r="AC302" s="1354"/>
      <c r="AD302" s="1354"/>
      <c r="AE302" s="1354"/>
    </row>
    <row r="303" spans="1:31" s="779" customFormat="1" hidden="1" x14ac:dyDescent="0.25">
      <c r="A303" s="876" t="str">
        <f>IF(AND(F305=G305,H305=I305,J305=K305,F305="A"),"2015 - kwh",IF(AND(F305=G305,H305=I305,J305&lt;&gt;K305,F305="A"),"2016 - kwh",IF(AND(F305=G305,H305&lt;&gt;I305,F305="A"),"2017 - kwh","N/A")))</f>
        <v>N/A</v>
      </c>
      <c r="B303" s="876" t="str">
        <f>IF(F305&lt;&gt;G305,"2017 - kwh",IF(H305&lt;&gt;I305,"2016 - kwh",IF(J305&lt;&gt;K305,"2015 - kwh","N/A")))</f>
        <v>N/A</v>
      </c>
      <c r="C303" s="751" t="s">
        <v>2676</v>
      </c>
      <c r="D303" s="979"/>
      <c r="E303" s="873" t="s">
        <v>158</v>
      </c>
      <c r="F303" s="978"/>
      <c r="G303" s="978"/>
      <c r="H303" s="978"/>
      <c r="I303" s="978"/>
      <c r="J303" s="978"/>
      <c r="K303" s="978"/>
      <c r="L303" s="978"/>
      <c r="M303" s="978"/>
      <c r="N303" s="978"/>
      <c r="O303" s="978"/>
      <c r="P303" s="876"/>
      <c r="Q303" s="876"/>
      <c r="R303" s="876"/>
      <c r="S303" s="876"/>
      <c r="T303" s="876"/>
      <c r="U303" s="876"/>
      <c r="V303" s="876"/>
      <c r="Z303" s="1354"/>
      <c r="AA303" s="1354" t="str">
        <f>IF(AND(F305=G305,H305=I305,F305="A"),"2015 - kwh","")</f>
        <v/>
      </c>
      <c r="AB303" s="1354" t="str">
        <f>IF(OR(B303="2016 - kwh",B303="2017 - kwh"),"2015 - kwh","")</f>
        <v/>
      </c>
      <c r="AC303" s="1354"/>
      <c r="AD303" s="1354"/>
      <c r="AE303" s="1354"/>
    </row>
    <row r="304" spans="1:31" s="779" customFormat="1" hidden="1" x14ac:dyDescent="0.25">
      <c r="A304" s="876" t="str">
        <f>IF(AND(F305=G305,H305=I305,J305=K305,F305="A"),"2015 - kw",IF(AND(F305=G305,H305=I305,J305&lt;&gt;K305,F305="A"),"2016 - kw",IF(AND(F305=G305,H305&lt;&gt;I305,F305="A"),"2017 - kw","N/A")))</f>
        <v>N/A</v>
      </c>
      <c r="B304" s="876" t="str">
        <f>IF(F305&lt;&gt;G305,"2017 - kw",IF(H305&lt;&gt;I305,"2016 - kw",IF(J305&lt;&gt;K305,"2015 - kw","N/A")))</f>
        <v>N/A</v>
      </c>
      <c r="C304" s="752"/>
      <c r="D304" s="809" t="str">
        <f>D303 &amp; "kW"</f>
        <v>kW</v>
      </c>
      <c r="E304" s="872" t="s">
        <v>159</v>
      </c>
      <c r="F304" s="978"/>
      <c r="G304" s="978"/>
      <c r="H304" s="978"/>
      <c r="I304" s="978"/>
      <c r="J304" s="978"/>
      <c r="K304" s="978"/>
      <c r="L304" s="978"/>
      <c r="M304" s="978"/>
      <c r="N304" s="978"/>
      <c r="O304" s="978"/>
      <c r="P304" s="876"/>
      <c r="Q304" s="876"/>
      <c r="R304" s="876"/>
      <c r="S304" s="876"/>
      <c r="T304" s="876"/>
      <c r="U304" s="876"/>
      <c r="V304" s="876"/>
      <c r="Z304" s="1354"/>
      <c r="AA304" s="1354" t="str">
        <f>IF(AND(F305=G305,H305=I305,F305="A"),"2015 - kw","")</f>
        <v/>
      </c>
      <c r="AB304" s="1354" t="str">
        <f>IF(OR(B304="2016 - kw",B304="2017 - kw"),"2015 - kw","")</f>
        <v/>
      </c>
      <c r="AC304" s="1354"/>
      <c r="AD304" s="1354"/>
      <c r="AE304" s="1354"/>
    </row>
    <row r="305" spans="1:31" s="779" customFormat="1" hidden="1" x14ac:dyDescent="0.25">
      <c r="A305" s="876"/>
      <c r="B305" s="876"/>
      <c r="C305" s="755"/>
      <c r="D305" s="870"/>
      <c r="E305" s="871" t="s">
        <v>2550</v>
      </c>
      <c r="F305" s="977"/>
      <c r="G305" s="977"/>
      <c r="H305" s="977"/>
      <c r="I305" s="977"/>
      <c r="J305" s="977"/>
      <c r="K305" s="977"/>
      <c r="L305" s="977"/>
      <c r="M305" s="977"/>
      <c r="N305" s="977"/>
      <c r="O305" s="977"/>
      <c r="P305" s="876"/>
      <c r="Q305" s="876"/>
      <c r="R305" s="876"/>
      <c r="S305" s="876"/>
      <c r="T305" s="876"/>
      <c r="U305" s="876"/>
      <c r="V305" s="876"/>
      <c r="Z305" s="1354"/>
      <c r="AA305" s="1354"/>
      <c r="AB305" s="1354"/>
      <c r="AC305" s="1354"/>
      <c r="AD305" s="1354"/>
      <c r="AE305" s="1354"/>
    </row>
    <row r="306" spans="1:31" s="779" customFormat="1" hidden="1" x14ac:dyDescent="0.25">
      <c r="A306" s="876" t="str">
        <f>IF(AND(F308=G308,H308=I308,J308=K308,F308="A"),"2015 - kwh",IF(AND(F308=G308,H308=I308,J308&lt;&gt;K308,F308="A"),"2016 - kwh",IF(AND(F308=G308,H308&lt;&gt;I308,F308="A"),"2017 - kwh","N/A")))</f>
        <v>N/A</v>
      </c>
      <c r="B306" s="876" t="str">
        <f>IF(F308&lt;&gt;G308,"2017 - kwh",IF(H308&lt;&gt;I308,"2016 - kwh",IF(J308&lt;&gt;K308,"2015 - kwh","N/A")))</f>
        <v>N/A</v>
      </c>
      <c r="C306" s="751" t="s">
        <v>2677</v>
      </c>
      <c r="D306" s="979"/>
      <c r="E306" s="873" t="s">
        <v>158</v>
      </c>
      <c r="F306" s="978"/>
      <c r="G306" s="978"/>
      <c r="H306" s="978"/>
      <c r="I306" s="978"/>
      <c r="J306" s="978"/>
      <c r="K306" s="978"/>
      <c r="L306" s="978"/>
      <c r="M306" s="978"/>
      <c r="N306" s="978"/>
      <c r="O306" s="978"/>
      <c r="P306" s="876"/>
      <c r="Q306" s="876"/>
      <c r="R306" s="876"/>
      <c r="S306" s="876"/>
      <c r="T306" s="876"/>
      <c r="U306" s="876"/>
      <c r="V306" s="876"/>
      <c r="Z306" s="1354"/>
      <c r="AA306" s="1354" t="str">
        <f>IF(AND(F308=G308,H308=I308,F308="A"),"2015 - kwh","")</f>
        <v/>
      </c>
      <c r="AB306" s="1354" t="str">
        <f>IF(OR(B306="2016 - kwh",B306="2017 - kwh"),"2015 - kwh","")</f>
        <v/>
      </c>
      <c r="AC306" s="1354"/>
      <c r="AD306" s="1354"/>
      <c r="AE306" s="1354"/>
    </row>
    <row r="307" spans="1:31" s="779" customFormat="1" hidden="1" x14ac:dyDescent="0.25">
      <c r="A307" s="876" t="str">
        <f>IF(AND(F308=G308,H308=I308,J308=K308,F308="A"),"2015 - kw",IF(AND(F308=G308,H308=I308,J308&lt;&gt;K308,F308="A"),"2016 - kw",IF(AND(F308=G308,H308&lt;&gt;I308,F308="A"),"2017 - kw","N/A")))</f>
        <v>N/A</v>
      </c>
      <c r="B307" s="876" t="str">
        <f>IF(F308&lt;&gt;G308,"2017 - kw",IF(H308&lt;&gt;I308,"2016 - kw",IF(J308&lt;&gt;K308,"2015 - kw","N/A")))</f>
        <v>N/A</v>
      </c>
      <c r="C307" s="752"/>
      <c r="D307" s="809" t="str">
        <f>D306 &amp; "kW"</f>
        <v>kW</v>
      </c>
      <c r="E307" s="872" t="s">
        <v>159</v>
      </c>
      <c r="F307" s="978"/>
      <c r="G307" s="978"/>
      <c r="H307" s="978"/>
      <c r="I307" s="978"/>
      <c r="J307" s="978"/>
      <c r="K307" s="978"/>
      <c r="L307" s="978"/>
      <c r="M307" s="978"/>
      <c r="N307" s="978"/>
      <c r="O307" s="978"/>
      <c r="P307" s="876"/>
      <c r="Q307" s="876"/>
      <c r="R307" s="876"/>
      <c r="S307" s="876"/>
      <c r="T307" s="876"/>
      <c r="U307" s="876"/>
      <c r="V307" s="876"/>
      <c r="Z307" s="1354"/>
      <c r="AA307" s="1354" t="str">
        <f>IF(AND(F308=G308,H308=I308,F308="A"),"2015 - kw","")</f>
        <v/>
      </c>
      <c r="AB307" s="1354" t="str">
        <f>IF(OR(B307="2016 - kw",B307="2017 - kw"),"2015 - kw","")</f>
        <v/>
      </c>
      <c r="AC307" s="1354"/>
      <c r="AD307" s="1354"/>
      <c r="AE307" s="1354"/>
    </row>
    <row r="308" spans="1:31" s="779" customFormat="1" hidden="1" x14ac:dyDescent="0.25">
      <c r="A308" s="876"/>
      <c r="B308" s="876"/>
      <c r="C308" s="755"/>
      <c r="D308" s="870"/>
      <c r="E308" s="871" t="s">
        <v>2550</v>
      </c>
      <c r="F308" s="977"/>
      <c r="G308" s="977"/>
      <c r="H308" s="977"/>
      <c r="I308" s="977"/>
      <c r="J308" s="977"/>
      <c r="K308" s="977"/>
      <c r="L308" s="977"/>
      <c r="M308" s="977"/>
      <c r="N308" s="977"/>
      <c r="O308" s="977"/>
      <c r="P308" s="876"/>
      <c r="Q308" s="876"/>
      <c r="R308" s="876"/>
      <c r="S308" s="876"/>
      <c r="T308" s="876"/>
      <c r="U308" s="876"/>
      <c r="V308" s="876"/>
      <c r="Z308" s="1354"/>
      <c r="AA308" s="1354"/>
      <c r="AB308" s="1354"/>
      <c r="AC308" s="1354"/>
      <c r="AD308" s="1354"/>
      <c r="AE308" s="1354"/>
    </row>
    <row r="309" spans="1:31" s="779" customFormat="1" hidden="1" x14ac:dyDescent="0.25">
      <c r="A309" s="876" t="str">
        <f>IF(AND(F311=G311,H311=I311,J311=K311,F311="A"),"2015 - kwh",IF(AND(F311=G311,H311=I311,J311&lt;&gt;K311,F311="A"),"2016 - kwh",IF(AND(F311=G311,H311&lt;&gt;I311,F311="A"),"2017 - kwh","N/A")))</f>
        <v>N/A</v>
      </c>
      <c r="B309" s="876" t="str">
        <f>IF(F311&lt;&gt;G311,"2017 - kwh",IF(H311&lt;&gt;I311,"2016 - kwh",IF(J311&lt;&gt;K311,"2015 - kwh","N/A")))</f>
        <v>N/A</v>
      </c>
      <c r="C309" s="751" t="s">
        <v>2678</v>
      </c>
      <c r="D309" s="979"/>
      <c r="E309" s="873" t="s">
        <v>158</v>
      </c>
      <c r="F309" s="978"/>
      <c r="G309" s="978"/>
      <c r="H309" s="978"/>
      <c r="I309" s="978"/>
      <c r="J309" s="978"/>
      <c r="K309" s="978"/>
      <c r="L309" s="978"/>
      <c r="M309" s="978"/>
      <c r="N309" s="978"/>
      <c r="O309" s="978"/>
      <c r="P309" s="876"/>
      <c r="Q309" s="876"/>
      <c r="R309" s="876"/>
      <c r="S309" s="876"/>
      <c r="T309" s="876"/>
      <c r="U309" s="876"/>
      <c r="V309" s="876"/>
      <c r="Z309" s="1354"/>
      <c r="AA309" s="1354" t="str">
        <f>IF(AND(F311=G311,H311=I311,F311="A"),"2015 - kwh","")</f>
        <v/>
      </c>
      <c r="AB309" s="1354" t="str">
        <f>IF(OR(B309="2016 - kwh",B309="2017 - kwh"),"2015 - kwh","")</f>
        <v/>
      </c>
      <c r="AC309" s="1354"/>
      <c r="AD309" s="1354"/>
      <c r="AE309" s="1354"/>
    </row>
    <row r="310" spans="1:31" s="779" customFormat="1" hidden="1" x14ac:dyDescent="0.25">
      <c r="A310" s="876" t="str">
        <f>IF(AND(F311=G311,H311=I311,J311=K311,F311="A"),"2015 - kw",IF(AND(F311=G311,H311=I311,J311&lt;&gt;K311,F311="A"),"2016 - kw",IF(AND(F311=G311,H311&lt;&gt;I311,F311="A"),"2017 - kw","N/A")))</f>
        <v>N/A</v>
      </c>
      <c r="B310" s="876" t="str">
        <f>IF(F311&lt;&gt;G311,"2017 - kw",IF(H311&lt;&gt;I311,"2016 - kw",IF(J311&lt;&gt;K311,"2015 - kw","N/A")))</f>
        <v>N/A</v>
      </c>
      <c r="C310" s="752"/>
      <c r="D310" s="809" t="str">
        <f>D309 &amp; "kW"</f>
        <v>kW</v>
      </c>
      <c r="E310" s="872" t="s">
        <v>159</v>
      </c>
      <c r="F310" s="978"/>
      <c r="G310" s="978"/>
      <c r="H310" s="978"/>
      <c r="I310" s="978"/>
      <c r="J310" s="978"/>
      <c r="K310" s="978"/>
      <c r="L310" s="978"/>
      <c r="M310" s="978"/>
      <c r="N310" s="978"/>
      <c r="O310" s="978"/>
      <c r="P310" s="876"/>
      <c r="Q310" s="876"/>
      <c r="R310" s="876"/>
      <c r="S310" s="876"/>
      <c r="T310" s="876"/>
      <c r="U310" s="876"/>
      <c r="V310" s="876"/>
      <c r="Z310" s="1354"/>
      <c r="AA310" s="1354" t="str">
        <f>IF(AND(F311=G311,H311=I311,F311="A"),"2015 - kw","")</f>
        <v/>
      </c>
      <c r="AB310" s="1354" t="str">
        <f>IF(OR(B310="2016 - kw",B310="2017 - kw"),"2015 - kw","")</f>
        <v/>
      </c>
      <c r="AC310" s="1354"/>
      <c r="AD310" s="1354"/>
      <c r="AE310" s="1354"/>
    </row>
    <row r="311" spans="1:31" s="779" customFormat="1" hidden="1" x14ac:dyDescent="0.25">
      <c r="A311" s="876"/>
      <c r="B311" s="876"/>
      <c r="C311" s="755"/>
      <c r="D311" s="870"/>
      <c r="E311" s="871" t="s">
        <v>2550</v>
      </c>
      <c r="F311" s="977"/>
      <c r="G311" s="977"/>
      <c r="H311" s="977"/>
      <c r="I311" s="977"/>
      <c r="J311" s="977"/>
      <c r="K311" s="977"/>
      <c r="L311" s="977"/>
      <c r="M311" s="977"/>
      <c r="N311" s="977"/>
      <c r="O311" s="977"/>
      <c r="P311" s="876"/>
      <c r="Q311" s="876"/>
      <c r="R311" s="876"/>
      <c r="S311" s="876"/>
      <c r="T311" s="876"/>
      <c r="U311" s="876"/>
      <c r="V311" s="876"/>
      <c r="Z311" s="1354"/>
      <c r="AA311" s="1354"/>
      <c r="AB311" s="1354"/>
      <c r="AC311" s="1354"/>
      <c r="AD311" s="1354"/>
      <c r="AE311" s="1354"/>
    </row>
    <row r="312" spans="1:31" s="779" customFormat="1" hidden="1" x14ac:dyDescent="0.25">
      <c r="A312" s="876" t="str">
        <f>IF(AND(F314=G314,H314=I314,J314=K314,F314="A"),"2015 - kwh",IF(AND(F314=G314,H314=I314,J314&lt;&gt;K314,F314="A"),"2016 - kwh",IF(AND(F314=G314,H314&lt;&gt;I314,F314="A"),"2017 - kwh","N/A")))</f>
        <v>N/A</v>
      </c>
      <c r="B312" s="876" t="str">
        <f>IF(F314&lt;&gt;G314,"2017 - kwh",IF(H314&lt;&gt;I314,"2016 - kwh",IF(J314&lt;&gt;K314,"2015 - kwh","N/A")))</f>
        <v>N/A</v>
      </c>
      <c r="C312" s="751" t="s">
        <v>2679</v>
      </c>
      <c r="D312" s="979"/>
      <c r="E312" s="873" t="s">
        <v>158</v>
      </c>
      <c r="F312" s="978"/>
      <c r="G312" s="978"/>
      <c r="H312" s="978"/>
      <c r="I312" s="978"/>
      <c r="J312" s="978"/>
      <c r="K312" s="978"/>
      <c r="L312" s="978"/>
      <c r="M312" s="978"/>
      <c r="N312" s="978"/>
      <c r="O312" s="978"/>
      <c r="P312" s="876"/>
      <c r="Q312" s="876"/>
      <c r="R312" s="876"/>
      <c r="S312" s="876"/>
      <c r="T312" s="876"/>
      <c r="U312" s="876"/>
      <c r="V312" s="876"/>
      <c r="Z312" s="1354"/>
      <c r="AA312" s="1354" t="str">
        <f>IF(AND(F314=G314,H314=I314,F314="A"),"2015 - kwh","")</f>
        <v/>
      </c>
      <c r="AB312" s="1354" t="str">
        <f>IF(OR(B312="2016 - kwh",B312="2017 - kwh"),"2015 - kwh","")</f>
        <v/>
      </c>
      <c r="AC312" s="1354"/>
      <c r="AD312" s="1354"/>
      <c r="AE312" s="1354"/>
    </row>
    <row r="313" spans="1:31" s="779" customFormat="1" hidden="1" x14ac:dyDescent="0.25">
      <c r="A313" s="876" t="str">
        <f>IF(AND(F314=G314,H314=I314,J314=K314,F314="A"),"2015 - kw",IF(AND(F314=G314,H314=I314,J314&lt;&gt;K314,F314="A"),"2016 - kw",IF(AND(F314=G314,H314&lt;&gt;I314,F314="A"),"2017 - kw","N/A")))</f>
        <v>N/A</v>
      </c>
      <c r="B313" s="876" t="str">
        <f>IF(F314&lt;&gt;G314,"2017 - kw",IF(H314&lt;&gt;I314,"2016 - kw",IF(J314&lt;&gt;K314,"2015 - kw","N/A")))</f>
        <v>N/A</v>
      </c>
      <c r="C313" s="752"/>
      <c r="D313" s="809" t="str">
        <f>D312 &amp; "kW"</f>
        <v>kW</v>
      </c>
      <c r="E313" s="872" t="s">
        <v>159</v>
      </c>
      <c r="F313" s="978"/>
      <c r="G313" s="978"/>
      <c r="H313" s="978"/>
      <c r="I313" s="978"/>
      <c r="J313" s="978"/>
      <c r="K313" s="978"/>
      <c r="L313" s="978"/>
      <c r="M313" s="978"/>
      <c r="N313" s="978"/>
      <c r="O313" s="978"/>
      <c r="P313" s="876"/>
      <c r="Q313" s="876"/>
      <c r="R313" s="876"/>
      <c r="S313" s="876"/>
      <c r="T313" s="876"/>
      <c r="U313" s="876"/>
      <c r="V313" s="876"/>
      <c r="Z313" s="1354"/>
      <c r="AA313" s="1354" t="str">
        <f>IF(AND(F314=G314,H314=I314,F314="A"),"2015 - kw","")</f>
        <v/>
      </c>
      <c r="AB313" s="1354" t="str">
        <f>IF(OR(B313="2016 - kw",B313="2017 - kw"),"2015 - kw","")</f>
        <v/>
      </c>
      <c r="AC313" s="1354"/>
      <c r="AD313" s="1354"/>
      <c r="AE313" s="1354"/>
    </row>
    <row r="314" spans="1:31" s="779" customFormat="1" hidden="1" x14ac:dyDescent="0.25">
      <c r="A314" s="876"/>
      <c r="B314" s="876"/>
      <c r="C314" s="755"/>
      <c r="D314" s="870"/>
      <c r="E314" s="871" t="s">
        <v>2550</v>
      </c>
      <c r="F314" s="977"/>
      <c r="G314" s="977"/>
      <c r="H314" s="977"/>
      <c r="I314" s="977"/>
      <c r="J314" s="977"/>
      <c r="K314" s="977"/>
      <c r="L314" s="977"/>
      <c r="M314" s="977"/>
      <c r="N314" s="977"/>
      <c r="O314" s="977"/>
      <c r="P314" s="876"/>
      <c r="Q314" s="876"/>
      <c r="R314" s="876"/>
      <c r="S314" s="876"/>
      <c r="T314" s="876"/>
      <c r="U314" s="876"/>
      <c r="V314" s="876"/>
      <c r="Z314" s="1354"/>
      <c r="AA314" s="1354"/>
      <c r="AB314" s="1354"/>
      <c r="AC314" s="1354"/>
      <c r="AD314" s="1354"/>
      <c r="AE314" s="1354"/>
    </row>
    <row r="315" spans="1:31" s="779" customFormat="1" hidden="1" x14ac:dyDescent="0.25">
      <c r="A315" s="876" t="str">
        <f>IF(AND(F317=G317,H317=I317,J317=K317,F317="A"),"2015 - kwh",IF(AND(F317=G317,H317=I317,J317&lt;&gt;K317,F317="A"),"2016 - kwh",IF(AND(F317=G317,H317&lt;&gt;I317,F317="A"),"2017 - kwh","N/A")))</f>
        <v>N/A</v>
      </c>
      <c r="B315" s="876" t="str">
        <f>IF(F317&lt;&gt;G317,"2017 - kwh",IF(H317&lt;&gt;I317,"2016 - kwh",IF(J317&lt;&gt;K317,"2015 - kwh","N/A")))</f>
        <v>N/A</v>
      </c>
      <c r="C315" s="751" t="s">
        <v>2680</v>
      </c>
      <c r="D315" s="979"/>
      <c r="E315" s="873" t="s">
        <v>158</v>
      </c>
      <c r="F315" s="978"/>
      <c r="G315" s="978"/>
      <c r="H315" s="978"/>
      <c r="I315" s="978"/>
      <c r="J315" s="978"/>
      <c r="K315" s="978"/>
      <c r="L315" s="978"/>
      <c r="M315" s="978"/>
      <c r="N315" s="978"/>
      <c r="O315" s="978"/>
      <c r="P315" s="876"/>
      <c r="Q315" s="876"/>
      <c r="R315" s="876"/>
      <c r="S315" s="876"/>
      <c r="T315" s="876"/>
      <c r="U315" s="876"/>
      <c r="V315" s="876"/>
      <c r="Z315" s="1354"/>
      <c r="AA315" s="1354" t="str">
        <f>IF(AND(F317=G317,H317=I317,F317="A"),"2015 - kwh","")</f>
        <v/>
      </c>
      <c r="AB315" s="1354" t="str">
        <f>IF(OR(B315="2016 - kwh",B315="2017 - kwh"),"2015 - kwh","")</f>
        <v/>
      </c>
      <c r="AC315" s="1354"/>
      <c r="AD315" s="1354"/>
      <c r="AE315" s="1354"/>
    </row>
    <row r="316" spans="1:31" s="779" customFormat="1" hidden="1" x14ac:dyDescent="0.25">
      <c r="A316" s="876" t="str">
        <f>IF(AND(F317=G317,H317=I317,J317=K317,F317="A"),"2015 - kw",IF(AND(F317=G317,H317=I317,J317&lt;&gt;K317,F317="A"),"2016 - kw",IF(AND(F317=G317,H317&lt;&gt;I317,F317="A"),"2017 - kw","N/A")))</f>
        <v>N/A</v>
      </c>
      <c r="B316" s="876" t="str">
        <f>IF(F317&lt;&gt;G317,"2017 - kw",IF(H317&lt;&gt;I317,"2016 - kw",IF(J317&lt;&gt;K317,"2015 - kw","N/A")))</f>
        <v>N/A</v>
      </c>
      <c r="C316" s="752"/>
      <c r="D316" s="809" t="str">
        <f>D315 &amp; "kW"</f>
        <v>kW</v>
      </c>
      <c r="E316" s="872" t="s">
        <v>159</v>
      </c>
      <c r="F316" s="978"/>
      <c r="G316" s="978"/>
      <c r="H316" s="978"/>
      <c r="I316" s="978"/>
      <c r="J316" s="978"/>
      <c r="K316" s="978"/>
      <c r="L316" s="978"/>
      <c r="M316" s="978"/>
      <c r="N316" s="978"/>
      <c r="O316" s="978"/>
      <c r="P316" s="876"/>
      <c r="Q316" s="876"/>
      <c r="R316" s="876"/>
      <c r="S316" s="876"/>
      <c r="T316" s="876"/>
      <c r="U316" s="876"/>
      <c r="V316" s="876"/>
      <c r="Z316" s="1354"/>
      <c r="AA316" s="1354" t="str">
        <f>IF(AND(F317=G317,H317=I317,F317="A"),"2015 - kw","")</f>
        <v/>
      </c>
      <c r="AB316" s="1354" t="str">
        <f>IF(OR(B316="2016 - kw",B316="2017 - kw"),"2015 - kw","")</f>
        <v/>
      </c>
      <c r="AC316" s="1354"/>
      <c r="AD316" s="1354"/>
      <c r="AE316" s="1354"/>
    </row>
    <row r="317" spans="1:31" s="779" customFormat="1" hidden="1" x14ac:dyDescent="0.25">
      <c r="A317" s="876"/>
      <c r="B317" s="876"/>
      <c r="C317" s="755"/>
      <c r="D317" s="870"/>
      <c r="E317" s="871" t="s">
        <v>2550</v>
      </c>
      <c r="F317" s="977"/>
      <c r="G317" s="977"/>
      <c r="H317" s="977"/>
      <c r="I317" s="977"/>
      <c r="J317" s="977"/>
      <c r="K317" s="977"/>
      <c r="L317" s="977"/>
      <c r="M317" s="977"/>
      <c r="N317" s="977"/>
      <c r="O317" s="977"/>
      <c r="P317" s="876"/>
      <c r="Q317" s="876"/>
      <c r="R317" s="876"/>
      <c r="S317" s="876"/>
      <c r="T317" s="876"/>
      <c r="U317" s="876"/>
      <c r="V317" s="876"/>
      <c r="Z317" s="1354"/>
      <c r="AA317" s="1354"/>
      <c r="AB317" s="1354"/>
      <c r="AC317" s="1354"/>
      <c r="AD317" s="1354"/>
      <c r="AE317" s="1354"/>
    </row>
    <row r="318" spans="1:31" s="779" customFormat="1" hidden="1" x14ac:dyDescent="0.25">
      <c r="A318" s="876" t="str">
        <f>IF(AND(F320=G320,H320=I320,J320=K320,F320="A"),"2015 - kwh",IF(AND(F320=G320,H320=I320,J320&lt;&gt;K320,F320="A"),"2016 - kwh",IF(AND(F320=G320,H320&lt;&gt;I320,F320="A"),"2017 - kwh","N/A")))</f>
        <v>N/A</v>
      </c>
      <c r="B318" s="876" t="str">
        <f>IF(F320&lt;&gt;G320,"2017 - kwh",IF(H320&lt;&gt;I320,"2016 - kwh",IF(J320&lt;&gt;K320,"2015 - kwh","N/A")))</f>
        <v>N/A</v>
      </c>
      <c r="C318" s="751" t="s">
        <v>2681</v>
      </c>
      <c r="D318" s="979"/>
      <c r="E318" s="873" t="s">
        <v>158</v>
      </c>
      <c r="F318" s="978"/>
      <c r="G318" s="978"/>
      <c r="H318" s="978"/>
      <c r="I318" s="978"/>
      <c r="J318" s="978"/>
      <c r="K318" s="978"/>
      <c r="L318" s="978"/>
      <c r="M318" s="978"/>
      <c r="N318" s="978"/>
      <c r="O318" s="978"/>
      <c r="P318" s="876"/>
      <c r="Q318" s="876"/>
      <c r="R318" s="876"/>
      <c r="S318" s="876"/>
      <c r="T318" s="876"/>
      <c r="U318" s="876"/>
      <c r="V318" s="876"/>
      <c r="Z318" s="1354"/>
      <c r="AA318" s="1354" t="str">
        <f>IF(AND(F320=G320,H320=I320,F320="A"),"2015 - kwh","")</f>
        <v/>
      </c>
      <c r="AB318" s="1354" t="str">
        <f>IF(OR(B318="2016 - kwh",B318="2017 - kwh"),"2015 - kwh","")</f>
        <v/>
      </c>
      <c r="AC318" s="1354"/>
      <c r="AD318" s="1354"/>
      <c r="AE318" s="1354"/>
    </row>
    <row r="319" spans="1:31" s="779" customFormat="1" hidden="1" x14ac:dyDescent="0.25">
      <c r="A319" s="876" t="str">
        <f>IF(AND(F320=G320,H320=I320,J320=K320,F320="A"),"2015 - kw",IF(AND(F320=G320,H320=I320,J320&lt;&gt;K320,F320="A"),"2016 - kw",IF(AND(F320=G320,H320&lt;&gt;I320,F320="A"),"2017 - kw","N/A")))</f>
        <v>N/A</v>
      </c>
      <c r="B319" s="876" t="str">
        <f>IF(F320&lt;&gt;G320,"2017 - kw",IF(H320&lt;&gt;I320,"2016 - kw",IF(J320&lt;&gt;K320,"2015 - kw","N/A")))</f>
        <v>N/A</v>
      </c>
      <c r="C319" s="752"/>
      <c r="D319" s="809" t="str">
        <f>D318 &amp; "kW"</f>
        <v>kW</v>
      </c>
      <c r="E319" s="872" t="s">
        <v>159</v>
      </c>
      <c r="F319" s="978"/>
      <c r="G319" s="978"/>
      <c r="H319" s="978"/>
      <c r="I319" s="978"/>
      <c r="J319" s="978"/>
      <c r="K319" s="978"/>
      <c r="L319" s="978"/>
      <c r="M319" s="978"/>
      <c r="N319" s="978"/>
      <c r="O319" s="978"/>
      <c r="P319" s="876"/>
      <c r="Q319" s="876"/>
      <c r="R319" s="876"/>
      <c r="S319" s="876"/>
      <c r="T319" s="876"/>
      <c r="U319" s="876"/>
      <c r="V319" s="876"/>
      <c r="Z319" s="1354"/>
      <c r="AA319" s="1354" t="str">
        <f>IF(AND(F320=G320,H320=I320,F320="A"),"2015 - kw","")</f>
        <v/>
      </c>
      <c r="AB319" s="1354" t="str">
        <f>IF(OR(B319="2016 - kw",B319="2017 - kw"),"2015 - kw","")</f>
        <v/>
      </c>
      <c r="AC319" s="1354"/>
      <c r="AD319" s="1354"/>
      <c r="AE319" s="1354"/>
    </row>
    <row r="320" spans="1:31" s="779" customFormat="1" hidden="1" x14ac:dyDescent="0.25">
      <c r="A320" s="876"/>
      <c r="B320" s="876"/>
      <c r="C320" s="755"/>
      <c r="D320" s="870"/>
      <c r="E320" s="871" t="s">
        <v>2550</v>
      </c>
      <c r="F320" s="977"/>
      <c r="G320" s="977"/>
      <c r="H320" s="977"/>
      <c r="I320" s="977"/>
      <c r="J320" s="977"/>
      <c r="K320" s="977"/>
      <c r="L320" s="977"/>
      <c r="M320" s="977"/>
      <c r="N320" s="977"/>
      <c r="O320" s="977"/>
      <c r="P320" s="876"/>
      <c r="Q320" s="876"/>
      <c r="R320" s="876"/>
      <c r="S320" s="876"/>
      <c r="T320" s="876"/>
      <c r="U320" s="876"/>
      <c r="V320" s="876"/>
      <c r="Z320" s="1354"/>
      <c r="AA320" s="1354"/>
      <c r="AB320" s="1354"/>
      <c r="AC320" s="1354"/>
      <c r="AD320" s="1354"/>
      <c r="AE320" s="1354"/>
    </row>
    <row r="321" spans="1:31" s="779" customFormat="1" hidden="1" x14ac:dyDescent="0.25">
      <c r="A321" s="876" t="str">
        <f>IF(AND(F323=G323,H323=I323,J323=K323,F323="A"),"2015 - kwh",IF(AND(F323=G323,H323=I323,J323&lt;&gt;K323,F323="A"),"2016 - kwh",IF(AND(F323=G323,H323&lt;&gt;I323,F323="A"),"2017 - kwh","N/A")))</f>
        <v>N/A</v>
      </c>
      <c r="B321" s="876" t="str">
        <f>IF(F323&lt;&gt;G323,"2017 - kwh",IF(H323&lt;&gt;I323,"2016 - kwh",IF(J323&lt;&gt;K323,"2015 - kwh","N/A")))</f>
        <v>N/A</v>
      </c>
      <c r="C321" s="751" t="s">
        <v>2682</v>
      </c>
      <c r="D321" s="979"/>
      <c r="E321" s="873" t="s">
        <v>158</v>
      </c>
      <c r="F321" s="978"/>
      <c r="G321" s="978"/>
      <c r="H321" s="978"/>
      <c r="I321" s="978"/>
      <c r="J321" s="978"/>
      <c r="K321" s="978"/>
      <c r="L321" s="978"/>
      <c r="M321" s="978"/>
      <c r="N321" s="978"/>
      <c r="O321" s="978"/>
      <c r="P321" s="876"/>
      <c r="Q321" s="876"/>
      <c r="R321" s="876"/>
      <c r="S321" s="876"/>
      <c r="T321" s="876"/>
      <c r="U321" s="876"/>
      <c r="V321" s="876"/>
      <c r="Z321" s="1354"/>
      <c r="AA321" s="1354" t="str">
        <f>IF(AND(F323=G323,H323=I323,F323="A"),"2015 - kwh","")</f>
        <v/>
      </c>
      <c r="AB321" s="1354" t="str">
        <f>IF(OR(B321="2016 - kwh",B321="2017 - kwh"),"2015 - kwh","")</f>
        <v/>
      </c>
      <c r="AC321" s="1354"/>
      <c r="AD321" s="1354"/>
      <c r="AE321" s="1354"/>
    </row>
    <row r="322" spans="1:31" s="779" customFormat="1" hidden="1" x14ac:dyDescent="0.25">
      <c r="A322" s="876" t="str">
        <f>IF(AND(F323=G323,H323=I323,J323=K323,F323="A"),"2015 - kw",IF(AND(F323=G323,H323=I323,J323&lt;&gt;K323,F323="A"),"2016 - kw",IF(AND(F323=G323,H323&lt;&gt;I323,F323="A"),"2017 - kw","N/A")))</f>
        <v>N/A</v>
      </c>
      <c r="B322" s="876" t="str">
        <f>IF(F323&lt;&gt;G323,"2017 - kw",IF(H323&lt;&gt;I323,"2016 - kw",IF(J323&lt;&gt;K323,"2015 - kw","N/A")))</f>
        <v>N/A</v>
      </c>
      <c r="C322" s="752"/>
      <c r="D322" s="809" t="str">
        <f>D321 &amp; "kW"</f>
        <v>kW</v>
      </c>
      <c r="E322" s="872" t="s">
        <v>159</v>
      </c>
      <c r="F322" s="978"/>
      <c r="G322" s="978"/>
      <c r="H322" s="978"/>
      <c r="I322" s="978"/>
      <c r="J322" s="978"/>
      <c r="K322" s="978"/>
      <c r="L322" s="978"/>
      <c r="M322" s="978"/>
      <c r="N322" s="978"/>
      <c r="O322" s="978"/>
      <c r="P322" s="876"/>
      <c r="Q322" s="876"/>
      <c r="R322" s="876"/>
      <c r="S322" s="876"/>
      <c r="T322" s="876"/>
      <c r="U322" s="876"/>
      <c r="V322" s="876"/>
      <c r="Z322" s="1354"/>
      <c r="AA322" s="1354" t="str">
        <f>IF(AND(F323=G323,H323=I323,F323="A"),"2015 - kw","")</f>
        <v/>
      </c>
      <c r="AB322" s="1354" t="str">
        <f>IF(OR(B322="2016 - kw",B322="2017 - kw"),"2015 - kw","")</f>
        <v/>
      </c>
      <c r="AC322" s="1354"/>
      <c r="AD322" s="1354"/>
      <c r="AE322" s="1354"/>
    </row>
    <row r="323" spans="1:31" s="779" customFormat="1" hidden="1" x14ac:dyDescent="0.25">
      <c r="A323" s="876"/>
      <c r="B323" s="876"/>
      <c r="C323" s="755"/>
      <c r="D323" s="870"/>
      <c r="E323" s="871" t="s">
        <v>2550</v>
      </c>
      <c r="F323" s="977"/>
      <c r="G323" s="977"/>
      <c r="H323" s="977"/>
      <c r="I323" s="977"/>
      <c r="J323" s="977"/>
      <c r="K323" s="977"/>
      <c r="L323" s="977"/>
      <c r="M323" s="977"/>
      <c r="N323" s="977"/>
      <c r="O323" s="977"/>
      <c r="P323" s="876"/>
      <c r="Q323" s="876"/>
      <c r="R323" s="876"/>
      <c r="S323" s="876"/>
      <c r="T323" s="876"/>
      <c r="U323" s="876"/>
      <c r="V323" s="876"/>
      <c r="Z323" s="1354"/>
      <c r="AA323" s="1354"/>
      <c r="AB323" s="1354"/>
      <c r="AC323" s="1354"/>
      <c r="AD323" s="1354"/>
      <c r="AE323" s="1354"/>
    </row>
    <row r="324" spans="1:31" s="779" customFormat="1" hidden="1" x14ac:dyDescent="0.25">
      <c r="A324" s="876" t="str">
        <f>IF(AND(F326=G326,H326=I326,J326=K326,F326="A"),"2015 - kwh",IF(AND(F326=G326,H326=I326,J326&lt;&gt;K326,F326="A"),"2016 - kwh",IF(AND(F326=G326,H326&lt;&gt;I326,F326="A"),"2017 - kwh","N/A")))</f>
        <v>N/A</v>
      </c>
      <c r="B324" s="876" t="str">
        <f>IF(F326&lt;&gt;G326,"2017 - kwh",IF(H326&lt;&gt;I326,"2016 - kwh",IF(J326&lt;&gt;K326,"2015 - kwh","N/A")))</f>
        <v>N/A</v>
      </c>
      <c r="C324" s="751" t="s">
        <v>2683</v>
      </c>
      <c r="D324" s="979"/>
      <c r="E324" s="873" t="s">
        <v>158</v>
      </c>
      <c r="F324" s="978"/>
      <c r="G324" s="978"/>
      <c r="H324" s="978"/>
      <c r="I324" s="978"/>
      <c r="J324" s="978"/>
      <c r="K324" s="978"/>
      <c r="L324" s="978"/>
      <c r="M324" s="978"/>
      <c r="N324" s="978"/>
      <c r="O324" s="978"/>
      <c r="P324" s="876"/>
      <c r="Q324" s="876"/>
      <c r="R324" s="876"/>
      <c r="S324" s="876"/>
      <c r="T324" s="876"/>
      <c r="U324" s="876"/>
      <c r="V324" s="876"/>
      <c r="Z324" s="1354"/>
      <c r="AA324" s="1354" t="str">
        <f>IF(AND(F326=G326,H326=I326,F326="A"),"2015 - kwh","")</f>
        <v/>
      </c>
      <c r="AB324" s="1354" t="str">
        <f>IF(OR(B324="2016 - kwh",B324="2017 - kwh"),"2015 - kwh","")</f>
        <v/>
      </c>
      <c r="AC324" s="1354"/>
      <c r="AD324" s="1354"/>
      <c r="AE324" s="1354"/>
    </row>
    <row r="325" spans="1:31" s="779" customFormat="1" hidden="1" x14ac:dyDescent="0.25">
      <c r="A325" s="876" t="str">
        <f>IF(AND(F326=G326,H326=I326,J326=K326,F326="A"),"2015 - kw",IF(AND(F326=G326,H326=I326,J326&lt;&gt;K326,F326="A"),"2016 - kw",IF(AND(F326=G326,H326&lt;&gt;I326,F326="A"),"2017 - kw","N/A")))</f>
        <v>N/A</v>
      </c>
      <c r="B325" s="876" t="str">
        <f>IF(F326&lt;&gt;G326,"2017 - kw",IF(H326&lt;&gt;I326,"2016 - kw",IF(J326&lt;&gt;K326,"2015 - kw","N/A")))</f>
        <v>N/A</v>
      </c>
      <c r="C325" s="752"/>
      <c r="D325" s="809" t="str">
        <f>D324 &amp; "kW"</f>
        <v>kW</v>
      </c>
      <c r="E325" s="872" t="s">
        <v>159</v>
      </c>
      <c r="F325" s="978"/>
      <c r="G325" s="978"/>
      <c r="H325" s="978"/>
      <c r="I325" s="978"/>
      <c r="J325" s="978"/>
      <c r="K325" s="978"/>
      <c r="L325" s="978"/>
      <c r="M325" s="978"/>
      <c r="N325" s="978"/>
      <c r="O325" s="978"/>
      <c r="P325" s="876"/>
      <c r="Q325" s="876"/>
      <c r="R325" s="876"/>
      <c r="S325" s="876"/>
      <c r="T325" s="876"/>
      <c r="U325" s="876"/>
      <c r="V325" s="876"/>
      <c r="Z325" s="1354"/>
      <c r="AA325" s="1354" t="str">
        <f>IF(AND(F326=G326,H326=I326,F326="A"),"2015 - kw","")</f>
        <v/>
      </c>
      <c r="AB325" s="1354" t="str">
        <f>IF(OR(B325="2016 - kw",B325="2017 - kw"),"2015 - kw","")</f>
        <v/>
      </c>
      <c r="AC325" s="1354"/>
      <c r="AD325" s="1354"/>
      <c r="AE325" s="1354"/>
    </row>
    <row r="326" spans="1:31" s="779" customFormat="1" hidden="1" x14ac:dyDescent="0.25">
      <c r="A326" s="876"/>
      <c r="B326" s="876"/>
      <c r="C326" s="755"/>
      <c r="D326" s="870"/>
      <c r="E326" s="871" t="s">
        <v>2550</v>
      </c>
      <c r="F326" s="977"/>
      <c r="G326" s="977"/>
      <c r="H326" s="977"/>
      <c r="I326" s="977"/>
      <c r="J326" s="977"/>
      <c r="K326" s="977"/>
      <c r="L326" s="977"/>
      <c r="M326" s="977"/>
      <c r="N326" s="977"/>
      <c r="O326" s="977"/>
      <c r="P326" s="876"/>
      <c r="Q326" s="876"/>
      <c r="R326" s="876"/>
      <c r="S326" s="876"/>
      <c r="T326" s="876"/>
      <c r="U326" s="876"/>
      <c r="V326" s="876"/>
      <c r="Z326" s="1354"/>
      <c r="AA326" s="1354"/>
      <c r="AB326" s="1354"/>
      <c r="AC326" s="1354"/>
      <c r="AD326" s="1354"/>
      <c r="AE326" s="1354"/>
    </row>
    <row r="327" spans="1:31" s="779" customFormat="1" hidden="1" x14ac:dyDescent="0.25">
      <c r="A327" s="876" t="str">
        <f>IF(AND(F329=G329,H329=I329,J329=K329,F329="A"),"2015 - kwh",IF(AND(F329=G329,H329=I329,J329&lt;&gt;K329,F329="A"),"2016 - kwh",IF(AND(F329=G329,H329&lt;&gt;I329,F329="A"),"2017 - kwh","N/A")))</f>
        <v>N/A</v>
      </c>
      <c r="B327" s="876" t="str">
        <f>IF(F329&lt;&gt;G329,"2017 - kwh",IF(H329&lt;&gt;I329,"2016 - kwh",IF(J329&lt;&gt;K329,"2015 - kwh","N/A")))</f>
        <v>N/A</v>
      </c>
      <c r="C327" s="751" t="s">
        <v>2684</v>
      </c>
      <c r="D327" s="979"/>
      <c r="E327" s="873" t="s">
        <v>158</v>
      </c>
      <c r="F327" s="978"/>
      <c r="G327" s="978"/>
      <c r="H327" s="978"/>
      <c r="I327" s="978"/>
      <c r="J327" s="978"/>
      <c r="K327" s="978"/>
      <c r="L327" s="978"/>
      <c r="M327" s="978"/>
      <c r="N327" s="978"/>
      <c r="O327" s="978"/>
      <c r="P327" s="876"/>
      <c r="Q327" s="876"/>
      <c r="R327" s="876"/>
      <c r="S327" s="876"/>
      <c r="T327" s="876"/>
      <c r="U327" s="876"/>
      <c r="V327" s="876"/>
      <c r="Z327" s="1354"/>
      <c r="AA327" s="1354" t="str">
        <f>IF(AND(F329=G329,H329=I329,F329="A"),"2015 - kwh","")</f>
        <v/>
      </c>
      <c r="AB327" s="1354" t="str">
        <f>IF(OR(B327="2016 - kwh",B327="2017 - kwh"),"2015 - kwh","")</f>
        <v/>
      </c>
      <c r="AC327" s="1354"/>
      <c r="AD327" s="1354"/>
      <c r="AE327" s="1354"/>
    </row>
    <row r="328" spans="1:31" s="779" customFormat="1" hidden="1" x14ac:dyDescent="0.25">
      <c r="A328" s="876" t="str">
        <f>IF(AND(F329=G329,H329=I329,J329=K329,F329="A"),"2015 - kw",IF(AND(F329=G329,H329=I329,J329&lt;&gt;K329,F329="A"),"2016 - kw",IF(AND(F329=G329,H329&lt;&gt;I329,F329="A"),"2017 - kw","N/A")))</f>
        <v>N/A</v>
      </c>
      <c r="B328" s="876" t="str">
        <f>IF(F329&lt;&gt;G329,"2017 - kw",IF(H329&lt;&gt;I329,"2016 - kw",IF(J329&lt;&gt;K329,"2015 - kw","N/A")))</f>
        <v>N/A</v>
      </c>
      <c r="C328" s="752"/>
      <c r="D328" s="809" t="str">
        <f>D327 &amp; "kW"</f>
        <v>kW</v>
      </c>
      <c r="E328" s="872" t="s">
        <v>159</v>
      </c>
      <c r="F328" s="978"/>
      <c r="G328" s="978"/>
      <c r="H328" s="978"/>
      <c r="I328" s="978"/>
      <c r="J328" s="978"/>
      <c r="K328" s="978"/>
      <c r="L328" s="978"/>
      <c r="M328" s="978"/>
      <c r="N328" s="978"/>
      <c r="O328" s="978"/>
      <c r="P328" s="876"/>
      <c r="Q328" s="876"/>
      <c r="R328" s="876"/>
      <c r="S328" s="876"/>
      <c r="T328" s="876"/>
      <c r="U328" s="876"/>
      <c r="V328" s="876"/>
      <c r="Z328" s="1354"/>
      <c r="AA328" s="1354" t="str">
        <f>IF(AND(F329=G329,H329=I329,F329="A"),"2015 - kw","")</f>
        <v/>
      </c>
      <c r="AB328" s="1354" t="str">
        <f>IF(OR(B328="2016 - kw",B328="2017 - kw"),"2015 - kw","")</f>
        <v/>
      </c>
      <c r="AC328" s="1354"/>
      <c r="AD328" s="1354"/>
      <c r="AE328" s="1354"/>
    </row>
    <row r="329" spans="1:31" s="779" customFormat="1" hidden="1" x14ac:dyDescent="0.25">
      <c r="A329" s="876"/>
      <c r="B329" s="876"/>
      <c r="C329" s="755"/>
      <c r="D329" s="870"/>
      <c r="E329" s="871" t="s">
        <v>2550</v>
      </c>
      <c r="F329" s="977"/>
      <c r="G329" s="977"/>
      <c r="H329" s="977"/>
      <c r="I329" s="977"/>
      <c r="J329" s="977"/>
      <c r="K329" s="977"/>
      <c r="L329" s="977"/>
      <c r="M329" s="977"/>
      <c r="N329" s="977"/>
      <c r="O329" s="977"/>
      <c r="P329" s="876"/>
      <c r="Q329" s="876"/>
      <c r="R329" s="876"/>
      <c r="S329" s="876"/>
      <c r="T329" s="876"/>
      <c r="U329" s="876"/>
      <c r="V329" s="876"/>
      <c r="Z329" s="1354"/>
      <c r="AA329" s="1354"/>
      <c r="AB329" s="1354"/>
      <c r="AC329" s="1354"/>
      <c r="AD329" s="1354"/>
      <c r="AE329" s="1354"/>
    </row>
    <row r="330" spans="1:31" s="779" customFormat="1" hidden="1" x14ac:dyDescent="0.25">
      <c r="A330" s="876" t="str">
        <f>IF(AND(F332=G332,H332=I332,J332=K332,F332="A"),"2015 - kwh",IF(AND(F332=G332,H332=I332,J332&lt;&gt;K332,F332="A"),"2016 - kwh",IF(AND(F332=G332,H332&lt;&gt;I332,F332="A"),"2017 - kwh","N/A")))</f>
        <v>N/A</v>
      </c>
      <c r="B330" s="876" t="str">
        <f>IF(F332&lt;&gt;G332,"2017 - kwh",IF(H332&lt;&gt;I332,"2016 - kwh",IF(J332&lt;&gt;K332,"2015 - kwh","N/A")))</f>
        <v>N/A</v>
      </c>
      <c r="C330" s="751" t="s">
        <v>2685</v>
      </c>
      <c r="D330" s="979"/>
      <c r="E330" s="873" t="s">
        <v>158</v>
      </c>
      <c r="F330" s="978"/>
      <c r="G330" s="978"/>
      <c r="H330" s="978"/>
      <c r="I330" s="978"/>
      <c r="J330" s="978"/>
      <c r="K330" s="978"/>
      <c r="L330" s="978"/>
      <c r="M330" s="978"/>
      <c r="N330" s="978"/>
      <c r="O330" s="978"/>
      <c r="P330" s="876"/>
      <c r="Q330" s="876"/>
      <c r="R330" s="876"/>
      <c r="S330" s="876"/>
      <c r="T330" s="876"/>
      <c r="U330" s="876"/>
      <c r="V330" s="876"/>
      <c r="Z330" s="1354"/>
      <c r="AA330" s="1354" t="str">
        <f>IF(AND(F332=G332,H332=I332,F332="A"),"2015 - kwh","")</f>
        <v/>
      </c>
      <c r="AB330" s="1354" t="str">
        <f>IF(OR(B330="2016 - kwh",B330="2017 - kwh"),"2015 - kwh","")</f>
        <v/>
      </c>
      <c r="AC330" s="1354"/>
      <c r="AD330" s="1354"/>
      <c r="AE330" s="1354"/>
    </row>
    <row r="331" spans="1:31" s="779" customFormat="1" hidden="1" x14ac:dyDescent="0.25">
      <c r="A331" s="876" t="str">
        <f>IF(AND(F332=G332,H332=I332,J332=K332,F332="A"),"2015 - kw",IF(AND(F332=G332,H332=I332,J332&lt;&gt;K332,F332="A"),"2016 - kw",IF(AND(F332=G332,H332&lt;&gt;I332,F332="A"),"2017 - kw","N/A")))</f>
        <v>N/A</v>
      </c>
      <c r="B331" s="876" t="str">
        <f>IF(F332&lt;&gt;G332,"2017 - kw",IF(H332&lt;&gt;I332,"2016 - kw",IF(J332&lt;&gt;K332,"2015 - kw","N/A")))</f>
        <v>N/A</v>
      </c>
      <c r="C331" s="752"/>
      <c r="D331" s="809" t="str">
        <f>D330 &amp; "kW"</f>
        <v>kW</v>
      </c>
      <c r="E331" s="872" t="s">
        <v>159</v>
      </c>
      <c r="F331" s="978"/>
      <c r="G331" s="978"/>
      <c r="H331" s="978"/>
      <c r="I331" s="978"/>
      <c r="J331" s="978"/>
      <c r="K331" s="978"/>
      <c r="L331" s="978"/>
      <c r="M331" s="978"/>
      <c r="N331" s="978"/>
      <c r="O331" s="978"/>
      <c r="P331" s="876"/>
      <c r="Q331" s="876"/>
      <c r="R331" s="876"/>
      <c r="S331" s="876"/>
      <c r="T331" s="876"/>
      <c r="U331" s="876"/>
      <c r="V331" s="876"/>
      <c r="Z331" s="1354"/>
      <c r="AA331" s="1354" t="str">
        <f>IF(AND(F332=G332,H332=I332,F332="A"),"2015 - kw","")</f>
        <v/>
      </c>
      <c r="AB331" s="1354" t="str">
        <f>IF(OR(B331="2016 - kw",B331="2017 - kw"),"2015 - kw","")</f>
        <v/>
      </c>
      <c r="AC331" s="1354"/>
      <c r="AD331" s="1354"/>
      <c r="AE331" s="1354"/>
    </row>
    <row r="332" spans="1:31" s="779" customFormat="1" hidden="1" x14ac:dyDescent="0.25">
      <c r="A332" s="876"/>
      <c r="B332" s="876"/>
      <c r="C332" s="755"/>
      <c r="D332" s="870"/>
      <c r="E332" s="871" t="s">
        <v>2550</v>
      </c>
      <c r="F332" s="977"/>
      <c r="G332" s="977"/>
      <c r="H332" s="977"/>
      <c r="I332" s="977"/>
      <c r="J332" s="977"/>
      <c r="K332" s="977"/>
      <c r="L332" s="977"/>
      <c r="M332" s="977"/>
      <c r="N332" s="977"/>
      <c r="O332" s="977"/>
      <c r="P332" s="876"/>
      <c r="Q332" s="876"/>
      <c r="R332" s="876"/>
      <c r="S332" s="876"/>
      <c r="T332" s="876"/>
      <c r="U332" s="876"/>
      <c r="V332" s="876"/>
      <c r="Z332" s="1354"/>
      <c r="AA332" s="1354"/>
      <c r="AB332" s="1354"/>
      <c r="AC332" s="1354"/>
      <c r="AD332" s="1354"/>
      <c r="AE332" s="1354"/>
    </row>
    <row r="333" spans="1:31" s="779" customFormat="1" hidden="1" x14ac:dyDescent="0.25">
      <c r="A333" s="876" t="str">
        <f>IF(AND(F335=G335,H335=I335,J335=K335,F335="A"),"2015 - kwh",IF(AND(F335=G335,H335=I335,J335&lt;&gt;K335,F335="A"),"2016 - kwh",IF(AND(F335=G335,H335&lt;&gt;I335,F335="A"),"2017 - kwh","N/A")))</f>
        <v>N/A</v>
      </c>
      <c r="B333" s="876" t="str">
        <f>IF(F335&lt;&gt;G335,"2017 - kwh",IF(H335&lt;&gt;I335,"2016 - kwh",IF(J335&lt;&gt;K335,"2015 - kwh","N/A")))</f>
        <v>N/A</v>
      </c>
      <c r="C333" s="751" t="s">
        <v>2686</v>
      </c>
      <c r="D333" s="979"/>
      <c r="E333" s="873" t="s">
        <v>158</v>
      </c>
      <c r="F333" s="978"/>
      <c r="G333" s="978"/>
      <c r="H333" s="978"/>
      <c r="I333" s="978"/>
      <c r="J333" s="978"/>
      <c r="K333" s="978"/>
      <c r="L333" s="978"/>
      <c r="M333" s="978"/>
      <c r="N333" s="978"/>
      <c r="O333" s="978"/>
      <c r="P333" s="876"/>
      <c r="Q333" s="876"/>
      <c r="R333" s="876"/>
      <c r="S333" s="876"/>
      <c r="T333" s="876"/>
      <c r="U333" s="876"/>
      <c r="V333" s="876"/>
      <c r="Z333" s="1354"/>
      <c r="AA333" s="1354" t="str">
        <f>IF(AND(F335=G335,H335=I335,F335="A"),"2015 - kwh","")</f>
        <v/>
      </c>
      <c r="AB333" s="1354" t="str">
        <f>IF(OR(B333="2016 - kwh",B333="2017 - kwh"),"2015 - kwh","")</f>
        <v/>
      </c>
      <c r="AC333" s="1354"/>
      <c r="AD333" s="1354"/>
      <c r="AE333" s="1354"/>
    </row>
    <row r="334" spans="1:31" s="779" customFormat="1" hidden="1" x14ac:dyDescent="0.25">
      <c r="A334" s="876" t="str">
        <f>IF(AND(F335=G335,H335=I335,J335=K335,F335="A"),"2015 - kw",IF(AND(F335=G335,H335=I335,J335&lt;&gt;K335,F335="A"),"2016 - kw",IF(AND(F335=G335,H335&lt;&gt;I335,F335="A"),"2017 - kw","N/A")))</f>
        <v>N/A</v>
      </c>
      <c r="B334" s="876" t="str">
        <f>IF(F335&lt;&gt;G335,"2017 - kw",IF(H335&lt;&gt;I335,"2016 - kw",IF(J335&lt;&gt;K335,"2015 - kw","N/A")))</f>
        <v>N/A</v>
      </c>
      <c r="C334" s="752"/>
      <c r="D334" s="809" t="str">
        <f>D333 &amp; "kW"</f>
        <v>kW</v>
      </c>
      <c r="E334" s="872" t="s">
        <v>159</v>
      </c>
      <c r="F334" s="978"/>
      <c r="G334" s="978"/>
      <c r="H334" s="978"/>
      <c r="I334" s="978"/>
      <c r="J334" s="978"/>
      <c r="K334" s="978"/>
      <c r="L334" s="978"/>
      <c r="M334" s="978"/>
      <c r="N334" s="978"/>
      <c r="O334" s="978"/>
      <c r="P334" s="876"/>
      <c r="Q334" s="876"/>
      <c r="R334" s="876"/>
      <c r="S334" s="876"/>
      <c r="T334" s="876"/>
      <c r="U334" s="876"/>
      <c r="V334" s="876"/>
      <c r="Z334" s="1354"/>
      <c r="AA334" s="1354" t="str">
        <f>IF(AND(F335=G335,H335=I335,F335="A"),"2015 - kw","")</f>
        <v/>
      </c>
      <c r="AB334" s="1354" t="str">
        <f>IF(OR(B334="2016 - kw",B334="2017 - kw"),"2015 - kw","")</f>
        <v/>
      </c>
      <c r="AC334" s="1354"/>
      <c r="AD334" s="1354"/>
      <c r="AE334" s="1354"/>
    </row>
    <row r="335" spans="1:31" s="779" customFormat="1" hidden="1" x14ac:dyDescent="0.25">
      <c r="A335" s="876"/>
      <c r="B335" s="876"/>
      <c r="C335" s="755"/>
      <c r="D335" s="870"/>
      <c r="E335" s="871" t="s">
        <v>2550</v>
      </c>
      <c r="F335" s="977"/>
      <c r="G335" s="977"/>
      <c r="H335" s="977"/>
      <c r="I335" s="977"/>
      <c r="J335" s="977"/>
      <c r="K335" s="977"/>
      <c r="L335" s="977"/>
      <c r="M335" s="977"/>
      <c r="N335" s="977"/>
      <c r="O335" s="977"/>
      <c r="P335" s="876"/>
      <c r="Q335" s="876"/>
      <c r="R335" s="876"/>
      <c r="S335" s="876"/>
      <c r="T335" s="876"/>
      <c r="U335" s="876"/>
      <c r="V335" s="876"/>
      <c r="Z335" s="1354"/>
      <c r="AA335" s="1354"/>
      <c r="AB335" s="1354"/>
      <c r="AC335" s="1354"/>
      <c r="AD335" s="1354"/>
      <c r="AE335" s="1354"/>
    </row>
    <row r="336" spans="1:31" s="779" customFormat="1" hidden="1" x14ac:dyDescent="0.25">
      <c r="A336" s="876" t="str">
        <f>IF(AND(F338=G338,H338=I338,J338=K338,F338="A"),"2015 - kwh",IF(AND(F338=G338,H338=I338,J338&lt;&gt;K338,F338="A"),"2016 - kwh",IF(AND(F338=G338,H338&lt;&gt;I338,F338="A"),"2017 - kwh","N/A")))</f>
        <v>N/A</v>
      </c>
      <c r="B336" s="876" t="str">
        <f>IF(F338&lt;&gt;G338,"2017 - kwh",IF(H338&lt;&gt;I338,"2016 - kwh",IF(J338&lt;&gt;K338,"2015 - kwh","N/A")))</f>
        <v>N/A</v>
      </c>
      <c r="C336" s="751" t="s">
        <v>2687</v>
      </c>
      <c r="D336" s="979"/>
      <c r="E336" s="873" t="s">
        <v>158</v>
      </c>
      <c r="F336" s="978"/>
      <c r="G336" s="978"/>
      <c r="H336" s="978"/>
      <c r="I336" s="978"/>
      <c r="J336" s="978"/>
      <c r="K336" s="978"/>
      <c r="L336" s="978"/>
      <c r="M336" s="978"/>
      <c r="N336" s="978"/>
      <c r="O336" s="978"/>
      <c r="P336" s="876"/>
      <c r="Q336" s="876"/>
      <c r="R336" s="876"/>
      <c r="S336" s="876"/>
      <c r="T336" s="876"/>
      <c r="U336" s="876"/>
      <c r="V336" s="876"/>
      <c r="Z336" s="1354"/>
      <c r="AA336" s="1354" t="str">
        <f>IF(AND(F338=G338,H338=I338,F338="A"),"2015 - kwh","")</f>
        <v/>
      </c>
      <c r="AB336" s="1354" t="str">
        <f>IF(OR(B336="2016 - kwh",B336="2017 - kwh"),"2015 - kwh","")</f>
        <v/>
      </c>
      <c r="AC336" s="1354"/>
      <c r="AD336" s="1354"/>
      <c r="AE336" s="1354"/>
    </row>
    <row r="337" spans="1:31" s="779" customFormat="1" hidden="1" x14ac:dyDescent="0.25">
      <c r="A337" s="876" t="str">
        <f>IF(AND(F338=G338,H338=I338,J338=K338,F338="A"),"2015 - kw",IF(AND(F338=G338,H338=I338,J338&lt;&gt;K338,F338="A"),"2016 - kw",IF(AND(F338=G338,H338&lt;&gt;I338,F338="A"),"2017 - kw","N/A")))</f>
        <v>N/A</v>
      </c>
      <c r="B337" s="876" t="str">
        <f>IF(F338&lt;&gt;G338,"2017 - kw",IF(H338&lt;&gt;I338,"2016 - kw",IF(J338&lt;&gt;K338,"2015 - kw","N/A")))</f>
        <v>N/A</v>
      </c>
      <c r="C337" s="752"/>
      <c r="D337" s="809" t="str">
        <f>D336 &amp; "kW"</f>
        <v>kW</v>
      </c>
      <c r="E337" s="872" t="s">
        <v>159</v>
      </c>
      <c r="F337" s="978"/>
      <c r="G337" s="978"/>
      <c r="H337" s="978"/>
      <c r="I337" s="978"/>
      <c r="J337" s="978"/>
      <c r="K337" s="978"/>
      <c r="L337" s="978"/>
      <c r="M337" s="978"/>
      <c r="N337" s="978"/>
      <c r="O337" s="978"/>
      <c r="P337" s="876"/>
      <c r="Q337" s="876"/>
      <c r="R337" s="876"/>
      <c r="S337" s="876"/>
      <c r="T337" s="876"/>
      <c r="U337" s="876"/>
      <c r="V337" s="876"/>
      <c r="Z337" s="1354"/>
      <c r="AA337" s="1354" t="str">
        <f>IF(AND(F338=G338,H338=I338,F338="A"),"2015 - kw","")</f>
        <v/>
      </c>
      <c r="AB337" s="1354" t="str">
        <f>IF(OR(B337="2016 - kw",B337="2017 - kw"),"2015 - kw","")</f>
        <v/>
      </c>
      <c r="AC337" s="1354"/>
      <c r="AD337" s="1354"/>
      <c r="AE337" s="1354"/>
    </row>
    <row r="338" spans="1:31" s="779" customFormat="1" hidden="1" x14ac:dyDescent="0.25">
      <c r="A338" s="876"/>
      <c r="B338" s="876"/>
      <c r="C338" s="755"/>
      <c r="D338" s="870"/>
      <c r="E338" s="871" t="s">
        <v>2550</v>
      </c>
      <c r="F338" s="977"/>
      <c r="G338" s="977"/>
      <c r="H338" s="977"/>
      <c r="I338" s="977"/>
      <c r="J338" s="977"/>
      <c r="K338" s="977"/>
      <c r="L338" s="977"/>
      <c r="M338" s="977"/>
      <c r="N338" s="977"/>
      <c r="O338" s="977"/>
      <c r="P338" s="876"/>
      <c r="Q338" s="876"/>
      <c r="R338" s="876"/>
      <c r="S338" s="876"/>
      <c r="T338" s="876"/>
      <c r="U338" s="876"/>
      <c r="V338" s="876"/>
      <c r="Z338" s="1354"/>
      <c r="AA338" s="1354"/>
      <c r="AB338" s="1354"/>
      <c r="AC338" s="1354"/>
      <c r="AD338" s="1354"/>
      <c r="AE338" s="1354"/>
    </row>
    <row r="339" spans="1:31" s="779" customFormat="1" hidden="1" x14ac:dyDescent="0.25">
      <c r="A339" s="876" t="str">
        <f>IF(AND(F341=G341,H341=I341,J341=K341,F341="A"),"2015 - kwh",IF(AND(F341=G341,H341=I341,J341&lt;&gt;K341,F341="A"),"2016 - kwh",IF(AND(F341=G341,H341&lt;&gt;I341,F341="A"),"2017 - kwh","N/A")))</f>
        <v>N/A</v>
      </c>
      <c r="B339" s="876" t="str">
        <f>IF(F341&lt;&gt;G341,"2017 - kwh",IF(H341&lt;&gt;I341,"2016 - kwh",IF(J341&lt;&gt;K341,"2015 - kwh","N/A")))</f>
        <v>N/A</v>
      </c>
      <c r="C339" s="751" t="s">
        <v>2688</v>
      </c>
      <c r="D339" s="979"/>
      <c r="E339" s="873" t="s">
        <v>158</v>
      </c>
      <c r="F339" s="978"/>
      <c r="G339" s="978"/>
      <c r="H339" s="978"/>
      <c r="I339" s="978"/>
      <c r="J339" s="978"/>
      <c r="K339" s="978"/>
      <c r="L339" s="978"/>
      <c r="M339" s="978"/>
      <c r="N339" s="978"/>
      <c r="O339" s="978"/>
      <c r="P339" s="876"/>
      <c r="Q339" s="876"/>
      <c r="R339" s="876"/>
      <c r="S339" s="876"/>
      <c r="T339" s="876"/>
      <c r="U339" s="876"/>
      <c r="V339" s="876"/>
      <c r="Z339" s="1354"/>
      <c r="AA339" s="1354" t="str">
        <f>IF(AND(F341=G341,H341=I341,F341="A"),"2015 - kwh","")</f>
        <v/>
      </c>
      <c r="AB339" s="1354" t="str">
        <f>IF(OR(B339="2016 - kwh",B339="2017 - kwh"),"2015 - kwh","")</f>
        <v/>
      </c>
      <c r="AC339" s="1354"/>
      <c r="AD339" s="1354"/>
      <c r="AE339" s="1354"/>
    </row>
    <row r="340" spans="1:31" s="779" customFormat="1" hidden="1" x14ac:dyDescent="0.25">
      <c r="A340" s="876" t="str">
        <f>IF(AND(F341=G341,H341=I341,J341=K341,F341="A"),"2015 - kw",IF(AND(F341=G341,H341=I341,J341&lt;&gt;K341,F341="A"),"2016 - kw",IF(AND(F341=G341,H341&lt;&gt;I341,F341="A"),"2017 - kw","N/A")))</f>
        <v>N/A</v>
      </c>
      <c r="B340" s="876" t="str">
        <f>IF(F341&lt;&gt;G341,"2017 - kw",IF(H341&lt;&gt;I341,"2016 - kw",IF(J341&lt;&gt;K341,"2015 - kw","N/A")))</f>
        <v>N/A</v>
      </c>
      <c r="C340" s="752"/>
      <c r="D340" s="809" t="str">
        <f>D339 &amp; "kW"</f>
        <v>kW</v>
      </c>
      <c r="E340" s="872" t="s">
        <v>159</v>
      </c>
      <c r="F340" s="978"/>
      <c r="G340" s="978"/>
      <c r="H340" s="978"/>
      <c r="I340" s="978"/>
      <c r="J340" s="978"/>
      <c r="K340" s="978"/>
      <c r="L340" s="978"/>
      <c r="M340" s="978"/>
      <c r="N340" s="978"/>
      <c r="O340" s="978"/>
      <c r="P340" s="876"/>
      <c r="Q340" s="876"/>
      <c r="R340" s="876"/>
      <c r="S340" s="876"/>
      <c r="T340" s="876"/>
      <c r="U340" s="876"/>
      <c r="V340" s="876"/>
      <c r="Z340" s="1354"/>
      <c r="AA340" s="1354" t="str">
        <f>IF(AND(F341=G341,H341=I341,F341="A"),"2015 - kw","")</f>
        <v/>
      </c>
      <c r="AB340" s="1354" t="str">
        <f>IF(OR(B340="2016 - kw",B340="2017 - kw"),"2015 - kw","")</f>
        <v/>
      </c>
      <c r="AC340" s="1354"/>
      <c r="AD340" s="1354"/>
      <c r="AE340" s="1354"/>
    </row>
    <row r="341" spans="1:31" s="779" customFormat="1" hidden="1" x14ac:dyDescent="0.25">
      <c r="A341" s="876"/>
      <c r="B341" s="876"/>
      <c r="C341" s="755"/>
      <c r="D341" s="870"/>
      <c r="E341" s="871" t="s">
        <v>2550</v>
      </c>
      <c r="F341" s="977"/>
      <c r="G341" s="977"/>
      <c r="H341" s="977"/>
      <c r="I341" s="977"/>
      <c r="J341" s="977"/>
      <c r="K341" s="977"/>
      <c r="L341" s="977"/>
      <c r="M341" s="977"/>
      <c r="N341" s="977"/>
      <c r="O341" s="977"/>
      <c r="P341" s="876"/>
      <c r="Q341" s="876"/>
      <c r="R341" s="876"/>
      <c r="S341" s="876"/>
      <c r="T341" s="876"/>
      <c r="U341" s="876"/>
      <c r="V341" s="876"/>
      <c r="Z341" s="1354"/>
      <c r="AA341" s="1354"/>
      <c r="AB341" s="1354"/>
      <c r="AC341" s="1354"/>
      <c r="AD341" s="1354"/>
      <c r="AE341" s="1354"/>
    </row>
    <row r="342" spans="1:31" s="779" customFormat="1" hidden="1" x14ac:dyDescent="0.25">
      <c r="A342" s="876" t="str">
        <f>IF(AND(F344=G344,H344=I344,J344=K344,F344="A"),"2015 - kwh",IF(AND(F344=G344,H344=I344,J344&lt;&gt;K344,F344="A"),"2016 - kwh",IF(AND(F344=G344,H344&lt;&gt;I344,F344="A"),"2017 - kwh","N/A")))</f>
        <v>N/A</v>
      </c>
      <c r="B342" s="876" t="str">
        <f>IF(F344&lt;&gt;G344,"2017 - kwh",IF(H344&lt;&gt;I344,"2016 - kwh",IF(J344&lt;&gt;K344,"2015 - kwh","N/A")))</f>
        <v>N/A</v>
      </c>
      <c r="C342" s="751" t="s">
        <v>2689</v>
      </c>
      <c r="D342" s="979"/>
      <c r="E342" s="873" t="s">
        <v>158</v>
      </c>
      <c r="F342" s="978"/>
      <c r="G342" s="978"/>
      <c r="H342" s="978"/>
      <c r="I342" s="978"/>
      <c r="J342" s="978"/>
      <c r="K342" s="978"/>
      <c r="L342" s="978"/>
      <c r="M342" s="978"/>
      <c r="N342" s="978"/>
      <c r="O342" s="978"/>
      <c r="P342" s="876"/>
      <c r="Q342" s="876"/>
      <c r="R342" s="876"/>
      <c r="S342" s="876"/>
      <c r="T342" s="876"/>
      <c r="U342" s="876"/>
      <c r="V342" s="876"/>
      <c r="Z342" s="1354"/>
      <c r="AA342" s="1354" t="str">
        <f>IF(AND(F344=G344,H344=I344,F344="A"),"2015 - kwh","")</f>
        <v/>
      </c>
      <c r="AB342" s="1354" t="str">
        <f>IF(OR(B342="2016 - kwh",B342="2017 - kwh"),"2015 - kwh","")</f>
        <v/>
      </c>
      <c r="AC342" s="1354"/>
      <c r="AD342" s="1354"/>
      <c r="AE342" s="1354"/>
    </row>
    <row r="343" spans="1:31" s="779" customFormat="1" hidden="1" x14ac:dyDescent="0.25">
      <c r="A343" s="876" t="str">
        <f>IF(AND(F344=G344,H344=I344,J344=K344,F344="A"),"2015 - kw",IF(AND(F344=G344,H344=I344,J344&lt;&gt;K344,F344="A"),"2016 - kw",IF(AND(F344=G344,H344&lt;&gt;I344,F344="A"),"2017 - kw","N/A")))</f>
        <v>N/A</v>
      </c>
      <c r="B343" s="876" t="str">
        <f>IF(F344&lt;&gt;G344,"2017 - kw",IF(H344&lt;&gt;I344,"2016 - kw",IF(J344&lt;&gt;K344,"2015 - kw","N/A")))</f>
        <v>N/A</v>
      </c>
      <c r="C343" s="752"/>
      <c r="D343" s="809" t="str">
        <f>D342 &amp; "kW"</f>
        <v>kW</v>
      </c>
      <c r="E343" s="872" t="s">
        <v>159</v>
      </c>
      <c r="F343" s="978"/>
      <c r="G343" s="978"/>
      <c r="H343" s="978"/>
      <c r="I343" s="978"/>
      <c r="J343" s="978"/>
      <c r="K343" s="978"/>
      <c r="L343" s="978"/>
      <c r="M343" s="978"/>
      <c r="N343" s="978"/>
      <c r="O343" s="978"/>
      <c r="P343" s="876"/>
      <c r="Q343" s="876"/>
      <c r="R343" s="876"/>
      <c r="S343" s="876"/>
      <c r="T343" s="876"/>
      <c r="U343" s="876"/>
      <c r="V343" s="876"/>
      <c r="Z343" s="1354"/>
      <c r="AA343" s="1354" t="str">
        <f>IF(AND(F344=G344,H344=I344,F344="A"),"2015 - kw","")</f>
        <v/>
      </c>
      <c r="AB343" s="1354" t="str">
        <f>IF(OR(B343="2016 - kw",B343="2017 - kw"),"2015 - kw","")</f>
        <v/>
      </c>
      <c r="AC343" s="1354"/>
      <c r="AD343" s="1354"/>
      <c r="AE343" s="1354"/>
    </row>
    <row r="344" spans="1:31" s="779" customFormat="1" hidden="1" x14ac:dyDescent="0.25">
      <c r="A344" s="876"/>
      <c r="B344" s="876"/>
      <c r="C344" s="755"/>
      <c r="D344" s="870"/>
      <c r="E344" s="871" t="s">
        <v>2550</v>
      </c>
      <c r="F344" s="977"/>
      <c r="G344" s="977"/>
      <c r="H344" s="977"/>
      <c r="I344" s="977"/>
      <c r="J344" s="977"/>
      <c r="K344" s="977"/>
      <c r="L344" s="977"/>
      <c r="M344" s="977"/>
      <c r="N344" s="977"/>
      <c r="O344" s="977"/>
      <c r="P344" s="876"/>
      <c r="Q344" s="876"/>
      <c r="R344" s="876"/>
      <c r="S344" s="876"/>
      <c r="T344" s="876"/>
      <c r="U344" s="876"/>
      <c r="V344" s="876"/>
      <c r="Z344" s="1354"/>
      <c r="AA344" s="1354"/>
      <c r="AB344" s="1354"/>
      <c r="AC344" s="1354"/>
      <c r="AD344" s="1354"/>
      <c r="AE344" s="1354"/>
    </row>
    <row r="345" spans="1:31" s="779" customFormat="1" hidden="1" x14ac:dyDescent="0.25">
      <c r="A345" s="876" t="str">
        <f>IF(AND(F347=G347,H347=I347,J347=K347,F347="A"),"2015 - kwh",IF(AND(F347=G347,H347=I347,J347&lt;&gt;K347,F347="A"),"2016 - kwh",IF(AND(F347=G347,H347&lt;&gt;I347,F347="A"),"2017 - kwh","N/A")))</f>
        <v>N/A</v>
      </c>
      <c r="B345" s="876" t="str">
        <f>IF(F347&lt;&gt;G347,"2017 - kwh",IF(H347&lt;&gt;I347,"2016 - kwh",IF(J347&lt;&gt;K347,"2015 - kwh","N/A")))</f>
        <v>N/A</v>
      </c>
      <c r="C345" s="751" t="s">
        <v>2690</v>
      </c>
      <c r="D345" s="979"/>
      <c r="E345" s="873" t="s">
        <v>158</v>
      </c>
      <c r="F345" s="978"/>
      <c r="G345" s="978"/>
      <c r="H345" s="978"/>
      <c r="I345" s="978"/>
      <c r="J345" s="978"/>
      <c r="K345" s="978"/>
      <c r="L345" s="978"/>
      <c r="M345" s="978"/>
      <c r="N345" s="978"/>
      <c r="O345" s="978"/>
      <c r="P345" s="876"/>
      <c r="Q345" s="876"/>
      <c r="R345" s="876"/>
      <c r="S345" s="876"/>
      <c r="T345" s="876"/>
      <c r="U345" s="876"/>
      <c r="V345" s="876"/>
      <c r="Z345" s="1354"/>
      <c r="AA345" s="1354" t="str">
        <f>IF(AND(F347=G347,H347=I347,F347="A"),"2015 - kwh","")</f>
        <v/>
      </c>
      <c r="AB345" s="1354" t="str">
        <f>IF(OR(B345="2016 - kwh",B345="2017 - kwh"),"2015 - kwh","")</f>
        <v/>
      </c>
      <c r="AC345" s="1354"/>
      <c r="AD345" s="1354"/>
      <c r="AE345" s="1354"/>
    </row>
    <row r="346" spans="1:31" s="779" customFormat="1" hidden="1" x14ac:dyDescent="0.25">
      <c r="A346" s="876" t="str">
        <f>IF(AND(F347=G347,H347=I347,J347=K347,F347="A"),"2015 - kw",IF(AND(F347=G347,H347=I347,J347&lt;&gt;K347,F347="A"),"2016 - kw",IF(AND(F347=G347,H347&lt;&gt;I347,F347="A"),"2017 - kw","N/A")))</f>
        <v>N/A</v>
      </c>
      <c r="B346" s="876" t="str">
        <f>IF(F347&lt;&gt;G347,"2017 - kw",IF(H347&lt;&gt;I347,"2016 - kw",IF(J347&lt;&gt;K347,"2015 - kw","N/A")))</f>
        <v>N/A</v>
      </c>
      <c r="C346" s="752"/>
      <c r="D346" s="809" t="str">
        <f>D345 &amp; "kW"</f>
        <v>kW</v>
      </c>
      <c r="E346" s="872" t="s">
        <v>159</v>
      </c>
      <c r="F346" s="978"/>
      <c r="G346" s="978"/>
      <c r="H346" s="978"/>
      <c r="I346" s="978"/>
      <c r="J346" s="978"/>
      <c r="K346" s="978"/>
      <c r="L346" s="978"/>
      <c r="M346" s="978"/>
      <c r="N346" s="978"/>
      <c r="O346" s="978"/>
      <c r="P346" s="876"/>
      <c r="Q346" s="876"/>
      <c r="R346" s="876"/>
      <c r="S346" s="876"/>
      <c r="T346" s="876"/>
      <c r="U346" s="876"/>
      <c r="V346" s="876"/>
      <c r="Z346" s="1354"/>
      <c r="AA346" s="1354" t="str">
        <f>IF(AND(F347=G347,H347=I347,F347="A"),"2015 - kw","")</f>
        <v/>
      </c>
      <c r="AB346" s="1354" t="str">
        <f>IF(OR(B346="2016 - kw",B346="2017 - kw"),"2015 - kw","")</f>
        <v/>
      </c>
      <c r="AC346" s="1354"/>
      <c r="AD346" s="1354"/>
      <c r="AE346" s="1354"/>
    </row>
    <row r="347" spans="1:31" s="779" customFormat="1" hidden="1" x14ac:dyDescent="0.25">
      <c r="A347" s="876"/>
      <c r="B347" s="876"/>
      <c r="C347" s="755"/>
      <c r="D347" s="870"/>
      <c r="E347" s="871" t="s">
        <v>2550</v>
      </c>
      <c r="F347" s="977"/>
      <c r="G347" s="977"/>
      <c r="H347" s="977"/>
      <c r="I347" s="977"/>
      <c r="J347" s="977"/>
      <c r="K347" s="977"/>
      <c r="L347" s="977"/>
      <c r="M347" s="977"/>
      <c r="N347" s="977"/>
      <c r="O347" s="977"/>
      <c r="P347" s="876"/>
      <c r="Q347" s="876"/>
      <c r="R347" s="876"/>
      <c r="S347" s="876"/>
      <c r="T347" s="876"/>
      <c r="U347" s="876"/>
      <c r="V347" s="876"/>
      <c r="Z347" s="1354"/>
      <c r="AA347" s="1354"/>
      <c r="AB347" s="1354"/>
      <c r="AC347" s="1354"/>
      <c r="AD347" s="1354"/>
      <c r="AE347" s="1354"/>
    </row>
    <row r="348" spans="1:31" s="779" customFormat="1" hidden="1" x14ac:dyDescent="0.25">
      <c r="A348" s="876" t="str">
        <f>IF(AND(F350=G350,H350=I350,J350=K350,F350="A"),"2015 - kwh",IF(AND(F350=G350,H350=I350,J350&lt;&gt;K350,F350="A"),"2016 - kwh",IF(AND(F350=G350,H350&lt;&gt;I350,F350="A"),"2017 - kwh","N/A")))</f>
        <v>N/A</v>
      </c>
      <c r="B348" s="876" t="str">
        <f>IF(F350&lt;&gt;G350,"2017 - kwh",IF(H350&lt;&gt;I350,"2016 - kwh",IF(J350&lt;&gt;K350,"2015 - kwh","N/A")))</f>
        <v>N/A</v>
      </c>
      <c r="C348" s="751" t="s">
        <v>2691</v>
      </c>
      <c r="D348" s="979"/>
      <c r="E348" s="873" t="s">
        <v>158</v>
      </c>
      <c r="F348" s="978"/>
      <c r="G348" s="978"/>
      <c r="H348" s="978"/>
      <c r="I348" s="978"/>
      <c r="J348" s="978"/>
      <c r="K348" s="978"/>
      <c r="L348" s="978"/>
      <c r="M348" s="978"/>
      <c r="N348" s="978"/>
      <c r="O348" s="978"/>
      <c r="P348" s="876"/>
      <c r="Q348" s="876"/>
      <c r="R348" s="876"/>
      <c r="S348" s="876"/>
      <c r="T348" s="876"/>
      <c r="U348" s="876"/>
      <c r="V348" s="876"/>
      <c r="Z348" s="1354"/>
      <c r="AA348" s="1354" t="str">
        <f>IF(AND(F350=G350,H350=I350,F350="A"),"2015 - kwh","")</f>
        <v/>
      </c>
      <c r="AB348" s="1354" t="str">
        <f>IF(OR(B348="2016 - kwh",B348="2017 - kwh"),"2015 - kwh","")</f>
        <v/>
      </c>
      <c r="AC348" s="1354"/>
      <c r="AD348" s="1354"/>
      <c r="AE348" s="1354"/>
    </row>
    <row r="349" spans="1:31" s="779" customFormat="1" hidden="1" x14ac:dyDescent="0.25">
      <c r="A349" s="876" t="str">
        <f>IF(AND(F350=G350,H350=I350,J350=K350,F350="A"),"2015 - kw",IF(AND(F350=G350,H350=I350,J350&lt;&gt;K350,F350="A"),"2016 - kw",IF(AND(F350=G350,H350&lt;&gt;I350,F350="A"),"2017 - kw","N/A")))</f>
        <v>N/A</v>
      </c>
      <c r="B349" s="876" t="str">
        <f>IF(F350&lt;&gt;G350,"2017 - kw",IF(H350&lt;&gt;I350,"2016 - kw",IF(J350&lt;&gt;K350,"2015 - kw","N/A")))</f>
        <v>N/A</v>
      </c>
      <c r="C349" s="752"/>
      <c r="D349" s="809" t="str">
        <f>D348 &amp; "kW"</f>
        <v>kW</v>
      </c>
      <c r="E349" s="872" t="s">
        <v>159</v>
      </c>
      <c r="F349" s="978"/>
      <c r="G349" s="978"/>
      <c r="H349" s="978"/>
      <c r="I349" s="978"/>
      <c r="J349" s="978"/>
      <c r="K349" s="978"/>
      <c r="L349" s="978"/>
      <c r="M349" s="978"/>
      <c r="N349" s="978"/>
      <c r="O349" s="978"/>
      <c r="P349" s="876"/>
      <c r="Q349" s="876"/>
      <c r="R349" s="876"/>
      <c r="S349" s="876"/>
      <c r="T349" s="876"/>
      <c r="U349" s="876"/>
      <c r="V349" s="876"/>
      <c r="Z349" s="1354"/>
      <c r="AA349" s="1354" t="str">
        <f>IF(AND(F350=G350,H350=I350,F350="A"),"2015 - kw","")</f>
        <v/>
      </c>
      <c r="AB349" s="1354" t="str">
        <f>IF(OR(B349="2016 - kw",B349="2017 - kw"),"2015 - kw","")</f>
        <v/>
      </c>
      <c r="AC349" s="1354"/>
      <c r="AD349" s="1354"/>
      <c r="AE349" s="1354"/>
    </row>
    <row r="350" spans="1:31" s="779" customFormat="1" hidden="1" x14ac:dyDescent="0.25">
      <c r="A350" s="876"/>
      <c r="B350" s="876"/>
      <c r="C350" s="755"/>
      <c r="D350" s="870"/>
      <c r="E350" s="871" t="s">
        <v>2550</v>
      </c>
      <c r="F350" s="977"/>
      <c r="G350" s="977"/>
      <c r="H350" s="977"/>
      <c r="I350" s="977"/>
      <c r="J350" s="977"/>
      <c r="K350" s="977"/>
      <c r="L350" s="977"/>
      <c r="M350" s="977"/>
      <c r="N350" s="977"/>
      <c r="O350" s="977"/>
      <c r="P350" s="876"/>
      <c r="Q350" s="876"/>
      <c r="R350" s="876"/>
      <c r="S350" s="876"/>
      <c r="T350" s="876"/>
      <c r="U350" s="876"/>
      <c r="V350" s="876"/>
      <c r="Z350" s="1354"/>
      <c r="AA350" s="1354"/>
      <c r="AB350" s="1354"/>
      <c r="AC350" s="1354"/>
      <c r="AD350" s="1354"/>
      <c r="AE350" s="1354"/>
    </row>
    <row r="351" spans="1:31" s="779" customFormat="1" hidden="1" x14ac:dyDescent="0.25">
      <c r="A351" s="876" t="str">
        <f>IF(AND(F353=G353,H353=I353,J353=K353,F353="A"),"2015 - kwh",IF(AND(F353=G353,H353=I353,J353&lt;&gt;K353,F353="A"),"2016 - kwh",IF(AND(F353=G353,H353&lt;&gt;I353,F353="A"),"2017 - kwh","N/A")))</f>
        <v>N/A</v>
      </c>
      <c r="B351" s="876" t="str">
        <f>IF(F353&lt;&gt;G353,"2017 - kwh",IF(H353&lt;&gt;I353,"2016 - kwh",IF(J353&lt;&gt;K353,"2015 - kwh","N/A")))</f>
        <v>N/A</v>
      </c>
      <c r="C351" s="751" t="s">
        <v>2692</v>
      </c>
      <c r="D351" s="979"/>
      <c r="E351" s="873" t="s">
        <v>158</v>
      </c>
      <c r="F351" s="978"/>
      <c r="G351" s="978"/>
      <c r="H351" s="978"/>
      <c r="I351" s="978"/>
      <c r="J351" s="978"/>
      <c r="K351" s="978"/>
      <c r="L351" s="978"/>
      <c r="M351" s="978"/>
      <c r="N351" s="978"/>
      <c r="O351" s="978"/>
      <c r="P351" s="876"/>
      <c r="Q351" s="876"/>
      <c r="R351" s="876"/>
      <c r="S351" s="876"/>
      <c r="T351" s="876"/>
      <c r="U351" s="876"/>
      <c r="V351" s="876"/>
      <c r="Z351" s="1354"/>
      <c r="AA351" s="1354" t="str">
        <f>IF(AND(F353=G353,H353=I353,F353="A"),"2015 - kwh","")</f>
        <v/>
      </c>
      <c r="AB351" s="1354" t="str">
        <f>IF(OR(B351="2016 - kwh",B351="2017 - kwh"),"2015 - kwh","")</f>
        <v/>
      </c>
      <c r="AC351" s="1354"/>
      <c r="AD351" s="1354"/>
      <c r="AE351" s="1354"/>
    </row>
    <row r="352" spans="1:31" s="779" customFormat="1" hidden="1" x14ac:dyDescent="0.25">
      <c r="A352" s="876" t="str">
        <f>IF(AND(F353=G353,H353=I353,J353=K353,F353="A"),"2015 - kw",IF(AND(F353=G353,H353=I353,J353&lt;&gt;K353,F353="A"),"2016 - kw",IF(AND(F353=G353,H353&lt;&gt;I353,F353="A"),"2017 - kw","N/A")))</f>
        <v>N/A</v>
      </c>
      <c r="B352" s="876" t="str">
        <f>IF(F353&lt;&gt;G353,"2017 - kw",IF(H353&lt;&gt;I353,"2016 - kw",IF(J353&lt;&gt;K353,"2015 - kw","N/A")))</f>
        <v>N/A</v>
      </c>
      <c r="C352" s="752"/>
      <c r="D352" s="809" t="str">
        <f>D351 &amp; "kW"</f>
        <v>kW</v>
      </c>
      <c r="E352" s="872" t="s">
        <v>159</v>
      </c>
      <c r="F352" s="978"/>
      <c r="G352" s="978"/>
      <c r="H352" s="978"/>
      <c r="I352" s="978"/>
      <c r="J352" s="978"/>
      <c r="K352" s="978"/>
      <c r="L352" s="978"/>
      <c r="M352" s="978"/>
      <c r="N352" s="978"/>
      <c r="O352" s="978"/>
      <c r="P352" s="876"/>
      <c r="Q352" s="876"/>
      <c r="R352" s="876"/>
      <c r="S352" s="876"/>
      <c r="T352" s="876"/>
      <c r="U352" s="876"/>
      <c r="V352" s="876"/>
      <c r="Z352" s="1354"/>
      <c r="AA352" s="1354" t="str">
        <f>IF(AND(F353=G353,H353=I353,F353="A"),"2015 - kw","")</f>
        <v/>
      </c>
      <c r="AB352" s="1354" t="str">
        <f>IF(OR(B352="2016 - kw",B352="2017 - kw"),"2015 - kw","")</f>
        <v/>
      </c>
      <c r="AC352" s="1354"/>
      <c r="AD352" s="1354"/>
      <c r="AE352" s="1354"/>
    </row>
    <row r="353" spans="1:31" s="779" customFormat="1" hidden="1" x14ac:dyDescent="0.25">
      <c r="A353" s="876"/>
      <c r="B353" s="876"/>
      <c r="C353" s="755"/>
      <c r="D353" s="870"/>
      <c r="E353" s="871" t="s">
        <v>2550</v>
      </c>
      <c r="F353" s="977"/>
      <c r="G353" s="977"/>
      <c r="H353" s="977"/>
      <c r="I353" s="977"/>
      <c r="J353" s="977"/>
      <c r="K353" s="977"/>
      <c r="L353" s="977"/>
      <c r="M353" s="977"/>
      <c r="N353" s="977"/>
      <c r="O353" s="977"/>
      <c r="P353" s="876"/>
      <c r="Q353" s="876"/>
      <c r="R353" s="876"/>
      <c r="S353" s="876"/>
      <c r="T353" s="876"/>
      <c r="U353" s="876"/>
      <c r="V353" s="876"/>
      <c r="Z353" s="1354"/>
      <c r="AA353" s="1354"/>
      <c r="AB353" s="1354"/>
      <c r="AC353" s="1354"/>
      <c r="AD353" s="1354"/>
      <c r="AE353" s="1354"/>
    </row>
    <row r="354" spans="1:31" s="779" customFormat="1" hidden="1" x14ac:dyDescent="0.25">
      <c r="A354" s="876" t="str">
        <f>IF(AND(F356=G356,H356=I356,J356=K356,F356="A"),"2015 - kwh",IF(AND(F356=G356,H356=I356,J356&lt;&gt;K356,F356="A"),"2016 - kwh",IF(AND(F356=G356,H356&lt;&gt;I356,F356="A"),"2017 - kwh","N/A")))</f>
        <v>N/A</v>
      </c>
      <c r="B354" s="876" t="str">
        <f>IF(F356&lt;&gt;G356,"2017 - kwh",IF(H356&lt;&gt;I356,"2016 - kwh",IF(J356&lt;&gt;K356,"2015 - kwh","N/A")))</f>
        <v>N/A</v>
      </c>
      <c r="C354" s="751" t="s">
        <v>2693</v>
      </c>
      <c r="D354" s="979"/>
      <c r="E354" s="873" t="s">
        <v>158</v>
      </c>
      <c r="F354" s="978"/>
      <c r="G354" s="978"/>
      <c r="H354" s="978"/>
      <c r="I354" s="978"/>
      <c r="J354" s="978"/>
      <c r="K354" s="978"/>
      <c r="L354" s="978"/>
      <c r="M354" s="978"/>
      <c r="N354" s="978"/>
      <c r="O354" s="978"/>
      <c r="P354" s="876"/>
      <c r="Q354" s="876"/>
      <c r="R354" s="876"/>
      <c r="S354" s="876"/>
      <c r="T354" s="876"/>
      <c r="U354" s="876"/>
      <c r="V354" s="876"/>
      <c r="Z354" s="1354"/>
      <c r="AA354" s="1354" t="str">
        <f>IF(AND(F356=G356,H356=I356,F356="A"),"2015 - kwh","")</f>
        <v/>
      </c>
      <c r="AB354" s="1354" t="str">
        <f>IF(OR(B354="2016 - kwh",B354="2017 - kwh"),"2015 - kwh","")</f>
        <v/>
      </c>
      <c r="AC354" s="1354"/>
      <c r="AD354" s="1354"/>
      <c r="AE354" s="1354"/>
    </row>
    <row r="355" spans="1:31" s="779" customFormat="1" hidden="1" x14ac:dyDescent="0.25">
      <c r="A355" s="876" t="str">
        <f>IF(AND(F356=G356,H356=I356,J356=K356,F356="A"),"2015 - kw",IF(AND(F356=G356,H356=I356,J356&lt;&gt;K356,F356="A"),"2016 - kw",IF(AND(F356=G356,H356&lt;&gt;I356,F356="A"),"2017 - kw","N/A")))</f>
        <v>N/A</v>
      </c>
      <c r="B355" s="876" t="str">
        <f>IF(F356&lt;&gt;G356,"2017 - kw",IF(H356&lt;&gt;I356,"2016 - kw",IF(J356&lt;&gt;K356,"2015 - kw","N/A")))</f>
        <v>N/A</v>
      </c>
      <c r="C355" s="752"/>
      <c r="D355" s="809" t="str">
        <f>D354 &amp; "kW"</f>
        <v>kW</v>
      </c>
      <c r="E355" s="872" t="s">
        <v>159</v>
      </c>
      <c r="F355" s="978"/>
      <c r="G355" s="978"/>
      <c r="H355" s="978"/>
      <c r="I355" s="978"/>
      <c r="J355" s="978"/>
      <c r="K355" s="978"/>
      <c r="L355" s="978"/>
      <c r="M355" s="978"/>
      <c r="N355" s="978"/>
      <c r="O355" s="978"/>
      <c r="P355" s="876"/>
      <c r="Q355" s="876"/>
      <c r="R355" s="876"/>
      <c r="S355" s="876"/>
      <c r="T355" s="876"/>
      <c r="U355" s="876"/>
      <c r="V355" s="876"/>
      <c r="Z355" s="1354"/>
      <c r="AA355" s="1354" t="str">
        <f>IF(AND(F356=G356,H356=I356,F356="A"),"2015 - kw","")</f>
        <v/>
      </c>
      <c r="AB355" s="1354" t="str">
        <f>IF(OR(B355="2016 - kw",B355="2017 - kw"),"2015 - kw","")</f>
        <v/>
      </c>
      <c r="AC355" s="1354"/>
      <c r="AD355" s="1354"/>
      <c r="AE355" s="1354"/>
    </row>
    <row r="356" spans="1:31" s="779" customFormat="1" hidden="1" x14ac:dyDescent="0.25">
      <c r="A356" s="876"/>
      <c r="B356" s="876"/>
      <c r="C356" s="755"/>
      <c r="D356" s="870"/>
      <c r="E356" s="871" t="s">
        <v>2550</v>
      </c>
      <c r="F356" s="977"/>
      <c r="G356" s="977"/>
      <c r="H356" s="977"/>
      <c r="I356" s="977"/>
      <c r="J356" s="977"/>
      <c r="K356" s="977"/>
      <c r="L356" s="977"/>
      <c r="M356" s="977"/>
      <c r="N356" s="977"/>
      <c r="O356" s="977"/>
      <c r="P356" s="876"/>
      <c r="Q356" s="876"/>
      <c r="R356" s="876"/>
      <c r="S356" s="876"/>
      <c r="T356" s="876"/>
      <c r="U356" s="876"/>
      <c r="V356" s="876"/>
      <c r="Z356" s="1354"/>
      <c r="AA356" s="1354"/>
      <c r="AB356" s="1354"/>
      <c r="AC356" s="1354"/>
      <c r="AD356" s="1354"/>
      <c r="AE356" s="1354"/>
    </row>
    <row r="357" spans="1:31" s="779" customFormat="1" hidden="1" x14ac:dyDescent="0.25">
      <c r="A357" s="876" t="str">
        <f>IF(AND(F359=G359,H359=I359,J359=K359,F359="A"),"2015 - kwh",IF(AND(F359=G359,H359=I359,J359&lt;&gt;K359,F359="A"),"2016 - kwh",IF(AND(F359=G359,H359&lt;&gt;I359,F359="A"),"2017 - kwh","N/A")))</f>
        <v>N/A</v>
      </c>
      <c r="B357" s="876" t="str">
        <f>IF(F359&lt;&gt;G359,"2017 - kwh",IF(H359&lt;&gt;I359,"2016 - kwh",IF(J359&lt;&gt;K359,"2015 - kwh","N/A")))</f>
        <v>N/A</v>
      </c>
      <c r="C357" s="751" t="s">
        <v>2694</v>
      </c>
      <c r="D357" s="979"/>
      <c r="E357" s="873" t="s">
        <v>158</v>
      </c>
      <c r="F357" s="978"/>
      <c r="G357" s="978"/>
      <c r="H357" s="978"/>
      <c r="I357" s="978"/>
      <c r="J357" s="978"/>
      <c r="K357" s="978"/>
      <c r="L357" s="978"/>
      <c r="M357" s="978"/>
      <c r="N357" s="978"/>
      <c r="O357" s="978"/>
      <c r="P357" s="876"/>
      <c r="Q357" s="876"/>
      <c r="R357" s="876"/>
      <c r="S357" s="876"/>
      <c r="T357" s="876"/>
      <c r="U357" s="876"/>
      <c r="V357" s="876"/>
      <c r="Z357" s="1354"/>
      <c r="AA357" s="1354" t="str">
        <f>IF(AND(F359=G359,H359=I359,F359="A"),"2015 - kwh","")</f>
        <v/>
      </c>
      <c r="AB357" s="1354" t="str">
        <f>IF(OR(B357="2016 - kwh",B357="2017 - kwh"),"2015 - kwh","")</f>
        <v/>
      </c>
      <c r="AC357" s="1354"/>
      <c r="AD357" s="1354"/>
      <c r="AE357" s="1354"/>
    </row>
    <row r="358" spans="1:31" s="779" customFormat="1" hidden="1" x14ac:dyDescent="0.25">
      <c r="A358" s="876" t="str">
        <f>IF(AND(F359=G359,H359=I359,J359=K359,F359="A"),"2015 - kw",IF(AND(F359=G359,H359=I359,J359&lt;&gt;K359,F359="A"),"2016 - kw",IF(AND(F359=G359,H359&lt;&gt;I359,F359="A"),"2017 - kw","N/A")))</f>
        <v>N/A</v>
      </c>
      <c r="B358" s="876" t="str">
        <f>IF(F359&lt;&gt;G359,"2017 - kw",IF(H359&lt;&gt;I359,"2016 - kw",IF(J359&lt;&gt;K359,"2015 - kw","N/A")))</f>
        <v>N/A</v>
      </c>
      <c r="C358" s="752"/>
      <c r="D358" s="809" t="str">
        <f>D357 &amp; "kW"</f>
        <v>kW</v>
      </c>
      <c r="E358" s="872" t="s">
        <v>159</v>
      </c>
      <c r="F358" s="978"/>
      <c r="G358" s="978"/>
      <c r="H358" s="978"/>
      <c r="I358" s="978"/>
      <c r="J358" s="978"/>
      <c r="K358" s="978"/>
      <c r="L358" s="978"/>
      <c r="M358" s="978"/>
      <c r="N358" s="978"/>
      <c r="O358" s="978"/>
      <c r="P358" s="876"/>
      <c r="Q358" s="876"/>
      <c r="R358" s="876"/>
      <c r="S358" s="876"/>
      <c r="T358" s="876"/>
      <c r="U358" s="876"/>
      <c r="V358" s="876"/>
      <c r="Z358" s="1354"/>
      <c r="AA358" s="1354" t="str">
        <f>IF(AND(F359=G359,H359=I359,F359="A"),"2015 - kw","")</f>
        <v/>
      </c>
      <c r="AB358" s="1354" t="str">
        <f>IF(OR(B358="2016 - kw",B358="2017 - kw"),"2015 - kw","")</f>
        <v/>
      </c>
      <c r="AC358" s="1354"/>
      <c r="AD358" s="1354"/>
      <c r="AE358" s="1354"/>
    </row>
    <row r="359" spans="1:31" s="779" customFormat="1" hidden="1" x14ac:dyDescent="0.25">
      <c r="A359" s="876"/>
      <c r="B359" s="876"/>
      <c r="C359" s="755"/>
      <c r="D359" s="870"/>
      <c r="E359" s="871" t="s">
        <v>2550</v>
      </c>
      <c r="F359" s="977"/>
      <c r="G359" s="977"/>
      <c r="H359" s="977"/>
      <c r="I359" s="977"/>
      <c r="J359" s="977"/>
      <c r="K359" s="977"/>
      <c r="L359" s="977"/>
      <c r="M359" s="977"/>
      <c r="N359" s="977"/>
      <c r="O359" s="977"/>
      <c r="P359" s="876"/>
      <c r="Q359" s="876"/>
      <c r="R359" s="876"/>
      <c r="S359" s="876"/>
      <c r="T359" s="876"/>
      <c r="U359" s="876"/>
      <c r="V359" s="876"/>
      <c r="Z359" s="1354"/>
      <c r="AA359" s="1354"/>
      <c r="AB359" s="1354"/>
      <c r="AC359" s="1354"/>
      <c r="AD359" s="1354"/>
      <c r="AE359" s="1354"/>
    </row>
    <row r="360" spans="1:31" s="779" customFormat="1" hidden="1" x14ac:dyDescent="0.25">
      <c r="A360" s="876" t="str">
        <f>IF(AND(F362=G362,H362=I362,J362=K362,F362="A"),"2015 - kwh",IF(AND(F362=G362,H362=I362,J362&lt;&gt;K362,F362="A"),"2016 - kwh",IF(AND(F362=G362,H362&lt;&gt;I362,F362="A"),"2017 - kwh","N/A")))</f>
        <v>N/A</v>
      </c>
      <c r="B360" s="876" t="str">
        <f>IF(F362&lt;&gt;G362,"2017 - kwh",IF(H362&lt;&gt;I362,"2016 - kwh",IF(J362&lt;&gt;K362,"2015 - kwh","N/A")))</f>
        <v>N/A</v>
      </c>
      <c r="C360" s="751" t="s">
        <v>2695</v>
      </c>
      <c r="D360" s="979"/>
      <c r="E360" s="873" t="s">
        <v>158</v>
      </c>
      <c r="F360" s="978"/>
      <c r="G360" s="978"/>
      <c r="H360" s="978"/>
      <c r="I360" s="978"/>
      <c r="J360" s="978"/>
      <c r="K360" s="978"/>
      <c r="L360" s="978"/>
      <c r="M360" s="978"/>
      <c r="N360" s="978"/>
      <c r="O360" s="978"/>
      <c r="P360" s="876"/>
      <c r="Q360" s="876"/>
      <c r="R360" s="876"/>
      <c r="S360" s="876"/>
      <c r="T360" s="876"/>
      <c r="U360" s="876"/>
      <c r="V360" s="876"/>
      <c r="Z360" s="1354"/>
      <c r="AA360" s="1354" t="str">
        <f>IF(AND(F362=G362,H362=I362,F362="A"),"2015 - kwh","")</f>
        <v/>
      </c>
      <c r="AB360" s="1354" t="str">
        <f>IF(OR(B360="2016 - kwh",B360="2017 - kwh"),"2015 - kwh","")</f>
        <v/>
      </c>
      <c r="AC360" s="1354"/>
      <c r="AD360" s="1354"/>
      <c r="AE360" s="1354"/>
    </row>
    <row r="361" spans="1:31" s="779" customFormat="1" hidden="1" x14ac:dyDescent="0.25">
      <c r="A361" s="876" t="str">
        <f>IF(AND(F362=G362,H362=I362,J362=K362,F362="A"),"2015 - kw",IF(AND(F362=G362,H362=I362,J362&lt;&gt;K362,F362="A"),"2016 - kw",IF(AND(F362=G362,H362&lt;&gt;I362,F362="A"),"2017 - kw","N/A")))</f>
        <v>N/A</v>
      </c>
      <c r="B361" s="876" t="str">
        <f>IF(F362&lt;&gt;G362,"2017 - kw",IF(H362&lt;&gt;I362,"2016 - kw",IF(J362&lt;&gt;K362,"2015 - kw","N/A")))</f>
        <v>N/A</v>
      </c>
      <c r="C361" s="752"/>
      <c r="D361" s="809" t="str">
        <f>D360 &amp; "kW"</f>
        <v>kW</v>
      </c>
      <c r="E361" s="872" t="s">
        <v>159</v>
      </c>
      <c r="F361" s="978"/>
      <c r="G361" s="978"/>
      <c r="H361" s="978"/>
      <c r="I361" s="978"/>
      <c r="J361" s="978"/>
      <c r="K361" s="978"/>
      <c r="L361" s="978"/>
      <c r="M361" s="978"/>
      <c r="N361" s="978"/>
      <c r="O361" s="978"/>
      <c r="P361" s="876"/>
      <c r="Q361" s="876"/>
      <c r="R361" s="876"/>
      <c r="S361" s="876"/>
      <c r="T361" s="876"/>
      <c r="U361" s="876"/>
      <c r="V361" s="876"/>
      <c r="Z361" s="1354"/>
      <c r="AA361" s="1354" t="str">
        <f>IF(AND(F362=G362,H362=I362,F362="A"),"2015 - kw","")</f>
        <v/>
      </c>
      <c r="AB361" s="1354" t="str">
        <f>IF(OR(B361="2016 - kw",B361="2017 - kw"),"2015 - kw","")</f>
        <v/>
      </c>
      <c r="AC361" s="1354"/>
      <c r="AD361" s="1354"/>
      <c r="AE361" s="1354"/>
    </row>
    <row r="362" spans="1:31" s="779" customFormat="1" hidden="1" x14ac:dyDescent="0.25">
      <c r="A362" s="876"/>
      <c r="B362" s="876"/>
      <c r="C362" s="755"/>
      <c r="D362" s="870"/>
      <c r="E362" s="871" t="s">
        <v>2550</v>
      </c>
      <c r="F362" s="977"/>
      <c r="G362" s="977"/>
      <c r="H362" s="977"/>
      <c r="I362" s="977"/>
      <c r="J362" s="977"/>
      <c r="K362" s="977"/>
      <c r="L362" s="977"/>
      <c r="M362" s="977"/>
      <c r="N362" s="977"/>
      <c r="O362" s="977"/>
      <c r="P362" s="876"/>
      <c r="Q362" s="876"/>
      <c r="R362" s="876"/>
      <c r="S362" s="876"/>
      <c r="T362" s="876"/>
      <c r="U362" s="876"/>
      <c r="V362" s="876"/>
      <c r="Z362" s="1354"/>
      <c r="AA362" s="1354"/>
      <c r="AB362" s="1354"/>
      <c r="AC362" s="1354"/>
      <c r="AD362" s="1354"/>
      <c r="AE362" s="1354"/>
    </row>
    <row r="363" spans="1:31" s="779" customFormat="1" hidden="1" x14ac:dyDescent="0.25">
      <c r="A363" s="876" t="str">
        <f>IF(AND(F365=G365,H365=I365,J365=K365,F365="A"),"2015 - kwh",IF(AND(F365=G365,H365=I365,J365&lt;&gt;K365,F365="A"),"2016 - kwh",IF(AND(F365=G365,H365&lt;&gt;I365,F365="A"),"2017 - kwh","N/A")))</f>
        <v>N/A</v>
      </c>
      <c r="B363" s="876" t="str">
        <f>IF(F365&lt;&gt;G365,"2017 - kwh",IF(H365&lt;&gt;I365,"2016 - kwh",IF(J365&lt;&gt;K365,"2015 - kwh","N/A")))</f>
        <v>N/A</v>
      </c>
      <c r="C363" s="751" t="s">
        <v>2696</v>
      </c>
      <c r="D363" s="979"/>
      <c r="E363" s="873" t="s">
        <v>158</v>
      </c>
      <c r="F363" s="978"/>
      <c r="G363" s="978"/>
      <c r="H363" s="978"/>
      <c r="I363" s="978"/>
      <c r="J363" s="978"/>
      <c r="K363" s="978"/>
      <c r="L363" s="978"/>
      <c r="M363" s="978"/>
      <c r="N363" s="978"/>
      <c r="O363" s="978"/>
      <c r="P363" s="876"/>
      <c r="Q363" s="876"/>
      <c r="R363" s="876"/>
      <c r="S363" s="876"/>
      <c r="T363" s="876"/>
      <c r="U363" s="876"/>
      <c r="V363" s="876"/>
      <c r="Z363" s="1354"/>
      <c r="AA363" s="1354" t="str">
        <f>IF(AND(F365=G365,H365=I365,F365="A"),"2015 - kwh","")</f>
        <v/>
      </c>
      <c r="AB363" s="1354" t="str">
        <f>IF(OR(B363="2016 - kwh",B363="2017 - kwh"),"2015 - kwh","")</f>
        <v/>
      </c>
      <c r="AC363" s="1354"/>
      <c r="AD363" s="1354"/>
      <c r="AE363" s="1354"/>
    </row>
    <row r="364" spans="1:31" s="779" customFormat="1" hidden="1" x14ac:dyDescent="0.25">
      <c r="A364" s="876" t="str">
        <f>IF(AND(F365=G365,H365=I365,J365=K365,F365="A"),"2015 - kw",IF(AND(F365=G365,H365=I365,J365&lt;&gt;K365,F365="A"),"2016 - kw",IF(AND(F365=G365,H365&lt;&gt;I365,F365="A"),"2017 - kw","N/A")))</f>
        <v>N/A</v>
      </c>
      <c r="B364" s="876" t="str">
        <f>IF(F365&lt;&gt;G365,"2017 - kw",IF(H365&lt;&gt;I365,"2016 - kw",IF(J365&lt;&gt;K365,"2015 - kw","N/A")))</f>
        <v>N/A</v>
      </c>
      <c r="C364" s="752"/>
      <c r="D364" s="809" t="str">
        <f>D363 &amp; "kW"</f>
        <v>kW</v>
      </c>
      <c r="E364" s="872" t="s">
        <v>159</v>
      </c>
      <c r="F364" s="978"/>
      <c r="G364" s="978"/>
      <c r="H364" s="978"/>
      <c r="I364" s="978"/>
      <c r="J364" s="978"/>
      <c r="K364" s="978"/>
      <c r="L364" s="978"/>
      <c r="M364" s="978"/>
      <c r="N364" s="978"/>
      <c r="O364" s="978"/>
      <c r="P364" s="876"/>
      <c r="Q364" s="876"/>
      <c r="R364" s="876"/>
      <c r="S364" s="876"/>
      <c r="T364" s="876"/>
      <c r="U364" s="876"/>
      <c r="V364" s="876"/>
      <c r="Z364" s="1354"/>
      <c r="AA364" s="1354" t="str">
        <f>IF(AND(F365=G365,H365=I365,F365="A"),"2015 - kw","")</f>
        <v/>
      </c>
      <c r="AB364" s="1354" t="str">
        <f>IF(OR(B364="2016 - kw",B364="2017 - kw"),"2015 - kw","")</f>
        <v/>
      </c>
      <c r="AC364" s="1354"/>
      <c r="AD364" s="1354"/>
      <c r="AE364" s="1354"/>
    </row>
    <row r="365" spans="1:31" s="779" customFormat="1" hidden="1" x14ac:dyDescent="0.25">
      <c r="A365" s="876"/>
      <c r="B365" s="876"/>
      <c r="C365" s="755"/>
      <c r="D365" s="870"/>
      <c r="E365" s="871" t="s">
        <v>2550</v>
      </c>
      <c r="F365" s="977"/>
      <c r="G365" s="977"/>
      <c r="H365" s="977"/>
      <c r="I365" s="977"/>
      <c r="J365" s="977"/>
      <c r="K365" s="977"/>
      <c r="L365" s="977"/>
      <c r="M365" s="977"/>
      <c r="N365" s="977"/>
      <c r="O365" s="977"/>
      <c r="P365" s="876"/>
      <c r="Q365" s="876"/>
      <c r="R365" s="876"/>
      <c r="S365" s="876"/>
      <c r="T365" s="876"/>
      <c r="U365" s="876"/>
      <c r="V365" s="876"/>
      <c r="Z365" s="1354"/>
      <c r="AA365" s="1354"/>
      <c r="AB365" s="1354"/>
      <c r="AC365" s="1354"/>
      <c r="AD365" s="1354"/>
      <c r="AE365" s="1354"/>
    </row>
    <row r="366" spans="1:31" s="779" customFormat="1" hidden="1" x14ac:dyDescent="0.25">
      <c r="A366" s="876" t="str">
        <f>IF(AND(F368=G368,H368=I368,J368=K368,F368="A"),"2015 - kwh",IF(AND(F368=G368,H368=I368,J368&lt;&gt;K368,F368="A"),"2016 - kwh",IF(AND(F368=G368,H368&lt;&gt;I368,F368="A"),"2017 - kwh","N/A")))</f>
        <v>N/A</v>
      </c>
      <c r="B366" s="876" t="str">
        <f>IF(F368&lt;&gt;G368,"2017 - kwh",IF(H368&lt;&gt;I368,"2016 - kwh",IF(J368&lt;&gt;K368,"2015 - kwh","N/A")))</f>
        <v>N/A</v>
      </c>
      <c r="C366" s="751" t="s">
        <v>2697</v>
      </c>
      <c r="D366" s="979"/>
      <c r="E366" s="873" t="s">
        <v>158</v>
      </c>
      <c r="F366" s="978"/>
      <c r="G366" s="978"/>
      <c r="H366" s="978"/>
      <c r="I366" s="978"/>
      <c r="J366" s="978"/>
      <c r="K366" s="978"/>
      <c r="L366" s="978"/>
      <c r="M366" s="978"/>
      <c r="N366" s="978"/>
      <c r="O366" s="978"/>
      <c r="P366" s="876"/>
      <c r="Q366" s="876"/>
      <c r="R366" s="876"/>
      <c r="S366" s="876"/>
      <c r="T366" s="876"/>
      <c r="U366" s="876"/>
      <c r="V366" s="876"/>
      <c r="Z366" s="1354"/>
      <c r="AA366" s="1354" t="str">
        <f>IF(AND(F368=G368,H368=I368,F368="A"),"2015 - kwh","")</f>
        <v/>
      </c>
      <c r="AB366" s="1354" t="str">
        <f>IF(OR(B366="2016 - kwh",B366="2017 - kwh"),"2015 - kwh","")</f>
        <v/>
      </c>
      <c r="AC366" s="1354"/>
      <c r="AD366" s="1354"/>
      <c r="AE366" s="1354"/>
    </row>
    <row r="367" spans="1:31" s="779" customFormat="1" hidden="1" x14ac:dyDescent="0.25">
      <c r="A367" s="876" t="str">
        <f>IF(AND(F368=G368,H368=I368,J368=K368,F368="A"),"2015 - kw",IF(AND(F368=G368,H368=I368,J368&lt;&gt;K368,F368="A"),"2016 - kw",IF(AND(F368=G368,H368&lt;&gt;I368,F368="A"),"2017 - kw","N/A")))</f>
        <v>N/A</v>
      </c>
      <c r="B367" s="876" t="str">
        <f>IF(F368&lt;&gt;G368,"2017 - kw",IF(H368&lt;&gt;I368,"2016 - kw",IF(J368&lt;&gt;K368,"2015 - kw","N/A")))</f>
        <v>N/A</v>
      </c>
      <c r="C367" s="752"/>
      <c r="D367" s="809" t="str">
        <f>D366 &amp; "kW"</f>
        <v>kW</v>
      </c>
      <c r="E367" s="872" t="s">
        <v>159</v>
      </c>
      <c r="F367" s="978"/>
      <c r="G367" s="978"/>
      <c r="H367" s="978"/>
      <c r="I367" s="978"/>
      <c r="J367" s="978"/>
      <c r="K367" s="978"/>
      <c r="L367" s="978"/>
      <c r="M367" s="978"/>
      <c r="N367" s="978"/>
      <c r="O367" s="978"/>
      <c r="P367" s="876"/>
      <c r="Q367" s="876"/>
      <c r="R367" s="876"/>
      <c r="S367" s="876"/>
      <c r="T367" s="876"/>
      <c r="U367" s="876"/>
      <c r="V367" s="876"/>
      <c r="Z367" s="1354"/>
      <c r="AA367" s="1354" t="str">
        <f>IF(AND(F368=G368,H368=I368,F368="A"),"2015 - kw","")</f>
        <v/>
      </c>
      <c r="AB367" s="1354" t="str">
        <f>IF(OR(B367="2016 - kw",B367="2017 - kw"),"2015 - kw","")</f>
        <v/>
      </c>
      <c r="AC367" s="1354"/>
      <c r="AD367" s="1354"/>
      <c r="AE367" s="1354"/>
    </row>
    <row r="368" spans="1:31" s="779" customFormat="1" hidden="1" x14ac:dyDescent="0.25">
      <c r="A368" s="876"/>
      <c r="B368" s="876"/>
      <c r="C368" s="755"/>
      <c r="D368" s="870"/>
      <c r="E368" s="871" t="s">
        <v>2550</v>
      </c>
      <c r="F368" s="977"/>
      <c r="G368" s="977"/>
      <c r="H368" s="977"/>
      <c r="I368" s="977"/>
      <c r="J368" s="977"/>
      <c r="K368" s="977"/>
      <c r="L368" s="977"/>
      <c r="M368" s="977"/>
      <c r="N368" s="977"/>
      <c r="O368" s="977"/>
      <c r="P368" s="876"/>
      <c r="Q368" s="876"/>
      <c r="R368" s="876"/>
      <c r="S368" s="876"/>
      <c r="T368" s="876"/>
      <c r="U368" s="876"/>
      <c r="V368" s="876"/>
      <c r="Z368" s="1354"/>
      <c r="AA368" s="1354"/>
      <c r="AB368" s="1354"/>
      <c r="AC368" s="1354"/>
      <c r="AD368" s="1354"/>
      <c r="AE368" s="1354"/>
    </row>
    <row r="369" spans="1:31" s="779" customFormat="1" hidden="1" x14ac:dyDescent="0.25">
      <c r="A369" s="876" t="str">
        <f>IF(AND(F371=G371,H371=I371,J371=K371,F371="A"),"2015 - kwh",IF(AND(F371=G371,H371=I371,J371&lt;&gt;K371,F371="A"),"2016 - kwh",IF(AND(F371=G371,H371&lt;&gt;I371,F371="A"),"2017 - kwh","N/A")))</f>
        <v>N/A</v>
      </c>
      <c r="B369" s="876" t="str">
        <f>IF(F371&lt;&gt;G371,"2017 - kwh",IF(H371&lt;&gt;I371,"2016 - kwh",IF(J371&lt;&gt;K371,"2015 - kwh","N/A")))</f>
        <v>N/A</v>
      </c>
      <c r="C369" s="751" t="s">
        <v>2698</v>
      </c>
      <c r="D369" s="979"/>
      <c r="E369" s="873" t="s">
        <v>158</v>
      </c>
      <c r="F369" s="978"/>
      <c r="G369" s="978"/>
      <c r="H369" s="978"/>
      <c r="I369" s="978"/>
      <c r="J369" s="978"/>
      <c r="K369" s="978"/>
      <c r="L369" s="978"/>
      <c r="M369" s="978"/>
      <c r="N369" s="978"/>
      <c r="O369" s="978"/>
      <c r="P369" s="876"/>
      <c r="Q369" s="876"/>
      <c r="R369" s="876"/>
      <c r="S369" s="876"/>
      <c r="T369" s="876"/>
      <c r="U369" s="876"/>
      <c r="V369" s="876"/>
      <c r="Z369" s="1354"/>
      <c r="AA369" s="1354" t="str">
        <f>IF(AND(F371=G371,H371=I371,F371="A"),"2015 - kwh","")</f>
        <v/>
      </c>
      <c r="AB369" s="1354" t="str">
        <f>IF(OR(B369="2016 - kwh",B369="2017 - kwh"),"2015 - kwh","")</f>
        <v/>
      </c>
      <c r="AC369" s="1354"/>
      <c r="AD369" s="1354"/>
      <c r="AE369" s="1354"/>
    </row>
    <row r="370" spans="1:31" s="779" customFormat="1" hidden="1" x14ac:dyDescent="0.25">
      <c r="A370" s="876" t="str">
        <f>IF(AND(F371=G371,H371=I371,J371=K371,F371="A"),"2015 - kw",IF(AND(F371=G371,H371=I371,J371&lt;&gt;K371,F371="A"),"2016 - kw",IF(AND(F371=G371,H371&lt;&gt;I371,F371="A"),"2017 - kw","N/A")))</f>
        <v>N/A</v>
      </c>
      <c r="B370" s="876" t="str">
        <f>IF(F371&lt;&gt;G371,"2017 - kw",IF(H371&lt;&gt;I371,"2016 - kw",IF(J371&lt;&gt;K371,"2015 - kw","N/A")))</f>
        <v>N/A</v>
      </c>
      <c r="C370" s="752"/>
      <c r="D370" s="809" t="str">
        <f>D369 &amp; "kW"</f>
        <v>kW</v>
      </c>
      <c r="E370" s="872" t="s">
        <v>159</v>
      </c>
      <c r="F370" s="978"/>
      <c r="G370" s="978"/>
      <c r="H370" s="978"/>
      <c r="I370" s="978"/>
      <c r="J370" s="978"/>
      <c r="K370" s="978"/>
      <c r="L370" s="978"/>
      <c r="M370" s="978"/>
      <c r="N370" s="978"/>
      <c r="O370" s="978"/>
      <c r="P370" s="876"/>
      <c r="Q370" s="876"/>
      <c r="R370" s="876"/>
      <c r="S370" s="876"/>
      <c r="T370" s="876"/>
      <c r="U370" s="876"/>
      <c r="V370" s="876"/>
      <c r="Z370" s="1354"/>
      <c r="AA370" s="1354" t="str">
        <f>IF(AND(F371=G371,H371=I371,F371="A"),"2015 - kw","")</f>
        <v/>
      </c>
      <c r="AB370" s="1354" t="str">
        <f>IF(OR(B370="2016 - kw",B370="2017 - kw"),"2015 - kw","")</f>
        <v/>
      </c>
      <c r="AC370" s="1354"/>
      <c r="AD370" s="1354"/>
      <c r="AE370" s="1354"/>
    </row>
    <row r="371" spans="1:31" s="779" customFormat="1" hidden="1" x14ac:dyDescent="0.25">
      <c r="A371" s="876"/>
      <c r="B371" s="876"/>
      <c r="C371" s="755"/>
      <c r="D371" s="870"/>
      <c r="E371" s="871" t="s">
        <v>2550</v>
      </c>
      <c r="F371" s="977"/>
      <c r="G371" s="977"/>
      <c r="H371" s="977"/>
      <c r="I371" s="977"/>
      <c r="J371" s="977"/>
      <c r="K371" s="977"/>
      <c r="L371" s="977"/>
      <c r="M371" s="977"/>
      <c r="N371" s="977"/>
      <c r="O371" s="977"/>
      <c r="P371" s="876"/>
      <c r="Q371" s="876"/>
      <c r="R371" s="876"/>
      <c r="S371" s="876"/>
      <c r="T371" s="876"/>
      <c r="U371" s="876"/>
      <c r="V371" s="876"/>
      <c r="Z371" s="1354"/>
      <c r="AA371" s="1354"/>
      <c r="AB371" s="1354"/>
      <c r="AC371" s="1354"/>
      <c r="AD371" s="1354"/>
      <c r="AE371" s="1354"/>
    </row>
    <row r="372" spans="1:31" s="779" customFormat="1" hidden="1" x14ac:dyDescent="0.25">
      <c r="A372" s="876" t="str">
        <f>IF(AND(F374=G374,H374=I374,J374=K374,F374="A"),"2015 - kwh",IF(AND(F374=G374,H374=I374,J374&lt;&gt;K374,F374="A"),"2016 - kwh",IF(AND(F374=G374,H374&lt;&gt;I374,F374="A"),"2017 - kwh","N/A")))</f>
        <v>N/A</v>
      </c>
      <c r="B372" s="876" t="str">
        <f>IF(F374&lt;&gt;G374,"2017 - kwh",IF(H374&lt;&gt;I374,"2016 - kwh",IF(J374&lt;&gt;K374,"2015 - kwh","N/A")))</f>
        <v>N/A</v>
      </c>
      <c r="C372" s="751" t="s">
        <v>2699</v>
      </c>
      <c r="D372" s="979"/>
      <c r="E372" s="873" t="s">
        <v>158</v>
      </c>
      <c r="F372" s="978"/>
      <c r="G372" s="978"/>
      <c r="H372" s="978"/>
      <c r="I372" s="978"/>
      <c r="J372" s="978"/>
      <c r="K372" s="978"/>
      <c r="L372" s="978"/>
      <c r="M372" s="978"/>
      <c r="N372" s="978"/>
      <c r="O372" s="978"/>
      <c r="P372" s="876"/>
      <c r="Q372" s="876"/>
      <c r="R372" s="876"/>
      <c r="S372" s="876"/>
      <c r="T372" s="876"/>
      <c r="U372" s="876"/>
      <c r="V372" s="876"/>
      <c r="Z372" s="1354"/>
      <c r="AA372" s="1354" t="str">
        <f>IF(AND(F374=G374,H374=I374,F374="A"),"2015 - kwh","")</f>
        <v/>
      </c>
      <c r="AB372" s="1354" t="str">
        <f>IF(OR(B372="2016 - kwh",B372="2017 - kwh"),"2015 - kwh","")</f>
        <v/>
      </c>
      <c r="AC372" s="1354"/>
      <c r="AD372" s="1354"/>
      <c r="AE372" s="1354"/>
    </row>
    <row r="373" spans="1:31" s="779" customFormat="1" hidden="1" x14ac:dyDescent="0.25">
      <c r="A373" s="876" t="str">
        <f>IF(AND(F374=G374,H374=I374,J374=K374,F374="A"),"2015 - kw",IF(AND(F374=G374,H374=I374,J374&lt;&gt;K374,F374="A"),"2016 - kw",IF(AND(F374=G374,H374&lt;&gt;I374,F374="A"),"2017 - kw","N/A")))</f>
        <v>N/A</v>
      </c>
      <c r="B373" s="876" t="str">
        <f>IF(F374&lt;&gt;G374,"2017 - kw",IF(H374&lt;&gt;I374,"2016 - kw",IF(J374&lt;&gt;K374,"2015 - kw","N/A")))</f>
        <v>N/A</v>
      </c>
      <c r="C373" s="752"/>
      <c r="D373" s="809" t="str">
        <f>D372 &amp; "kW"</f>
        <v>kW</v>
      </c>
      <c r="E373" s="872" t="s">
        <v>159</v>
      </c>
      <c r="F373" s="978"/>
      <c r="G373" s="978"/>
      <c r="H373" s="978"/>
      <c r="I373" s="978"/>
      <c r="J373" s="978"/>
      <c r="K373" s="978"/>
      <c r="L373" s="978"/>
      <c r="M373" s="978"/>
      <c r="N373" s="978"/>
      <c r="O373" s="978"/>
      <c r="P373" s="876"/>
      <c r="Q373" s="876"/>
      <c r="R373" s="876"/>
      <c r="S373" s="876"/>
      <c r="T373" s="876"/>
      <c r="U373" s="876"/>
      <c r="V373" s="876"/>
      <c r="Z373" s="1354"/>
      <c r="AA373" s="1354" t="str">
        <f>IF(AND(F374=G374,H374=I374,F374="A"),"2015 - kw","")</f>
        <v/>
      </c>
      <c r="AB373" s="1354" t="str">
        <f>IF(OR(B373="2016 - kw",B373="2017 - kw"),"2015 - kw","")</f>
        <v/>
      </c>
      <c r="AC373" s="1354"/>
      <c r="AD373" s="1354"/>
      <c r="AE373" s="1354"/>
    </row>
    <row r="374" spans="1:31" s="779" customFormat="1" hidden="1" x14ac:dyDescent="0.25">
      <c r="A374" s="876"/>
      <c r="B374" s="876"/>
      <c r="C374" s="755"/>
      <c r="D374" s="870"/>
      <c r="E374" s="871" t="s">
        <v>2550</v>
      </c>
      <c r="F374" s="977"/>
      <c r="G374" s="977"/>
      <c r="H374" s="977"/>
      <c r="I374" s="977"/>
      <c r="J374" s="977"/>
      <c r="K374" s="977"/>
      <c r="L374" s="977"/>
      <c r="M374" s="977"/>
      <c r="N374" s="977"/>
      <c r="O374" s="977"/>
      <c r="P374" s="876"/>
      <c r="Q374" s="876"/>
      <c r="R374" s="876"/>
      <c r="S374" s="876"/>
      <c r="T374" s="876"/>
      <c r="U374" s="876"/>
      <c r="V374" s="876"/>
      <c r="Z374" s="1354"/>
      <c r="AA374" s="1354"/>
      <c r="AB374" s="1354"/>
      <c r="AC374" s="1354"/>
      <c r="AD374" s="1354"/>
      <c r="AE374" s="1354"/>
    </row>
    <row r="375" spans="1:31" s="779" customFormat="1" hidden="1" x14ac:dyDescent="0.25">
      <c r="A375" s="876" t="str">
        <f>IF(AND(F377=G377,H377=I377,J377=K377,F377="A"),"2015 - kwh",IF(AND(F377=G377,H377=I377,J377&lt;&gt;K377,F377="A"),"2016 - kwh",IF(AND(F377=G377,H377&lt;&gt;I377,F377="A"),"2017 - kwh","N/A")))</f>
        <v>N/A</v>
      </c>
      <c r="B375" s="876" t="str">
        <f>IF(F377&lt;&gt;G377,"2017 - kwh",IF(H377&lt;&gt;I377,"2016 - kwh",IF(J377&lt;&gt;K377,"2015 - kwh","N/A")))</f>
        <v>N/A</v>
      </c>
      <c r="C375" s="751" t="s">
        <v>2700</v>
      </c>
      <c r="D375" s="979"/>
      <c r="E375" s="873" t="s">
        <v>158</v>
      </c>
      <c r="F375" s="978"/>
      <c r="G375" s="978"/>
      <c r="H375" s="978"/>
      <c r="I375" s="978"/>
      <c r="J375" s="978"/>
      <c r="K375" s="978"/>
      <c r="L375" s="978"/>
      <c r="M375" s="978"/>
      <c r="N375" s="978"/>
      <c r="O375" s="978"/>
      <c r="P375" s="876"/>
      <c r="Q375" s="876"/>
      <c r="R375" s="876"/>
      <c r="S375" s="876"/>
      <c r="T375" s="876"/>
      <c r="U375" s="876"/>
      <c r="V375" s="876"/>
      <c r="Z375" s="1354"/>
      <c r="AA375" s="1354" t="str">
        <f>IF(AND(F377=G377,H377=I377,F377="A"),"2015 - kwh","")</f>
        <v/>
      </c>
      <c r="AB375" s="1354" t="str">
        <f>IF(OR(B375="2016 - kwh",B375="2017 - kwh"),"2015 - kwh","")</f>
        <v/>
      </c>
      <c r="AC375" s="1354"/>
      <c r="AD375" s="1354"/>
      <c r="AE375" s="1354"/>
    </row>
    <row r="376" spans="1:31" s="779" customFormat="1" hidden="1" x14ac:dyDescent="0.25">
      <c r="A376" s="876" t="str">
        <f>IF(AND(F377=G377,H377=I377,J377=K377,F377="A"),"2015 - kw",IF(AND(F377=G377,H377=I377,J377&lt;&gt;K377,F377="A"),"2016 - kw",IF(AND(F377=G377,H377&lt;&gt;I377,F377="A"),"2017 - kw","N/A")))</f>
        <v>N/A</v>
      </c>
      <c r="B376" s="876" t="str">
        <f>IF(F377&lt;&gt;G377,"2017 - kw",IF(H377&lt;&gt;I377,"2016 - kw",IF(J377&lt;&gt;K377,"2015 - kw","N/A")))</f>
        <v>N/A</v>
      </c>
      <c r="C376" s="752"/>
      <c r="D376" s="809" t="str">
        <f>D375 &amp; "kW"</f>
        <v>kW</v>
      </c>
      <c r="E376" s="872" t="s">
        <v>159</v>
      </c>
      <c r="F376" s="978"/>
      <c r="G376" s="978"/>
      <c r="H376" s="978"/>
      <c r="I376" s="978"/>
      <c r="J376" s="978"/>
      <c r="K376" s="978"/>
      <c r="L376" s="978"/>
      <c r="M376" s="978"/>
      <c r="N376" s="978"/>
      <c r="O376" s="978"/>
      <c r="P376" s="876"/>
      <c r="Q376" s="876"/>
      <c r="R376" s="876"/>
      <c r="S376" s="876"/>
      <c r="T376" s="876"/>
      <c r="U376" s="876"/>
      <c r="V376" s="876"/>
      <c r="Z376" s="1354"/>
      <c r="AA376" s="1354" t="str">
        <f>IF(AND(F377=G377,H377=I377,F377="A"),"2015 - kw","")</f>
        <v/>
      </c>
      <c r="AB376" s="1354" t="str">
        <f>IF(OR(B376="2016 - kw",B376="2017 - kw"),"2015 - kw","")</f>
        <v/>
      </c>
      <c r="AC376" s="1354"/>
      <c r="AD376" s="1354"/>
      <c r="AE376" s="1354"/>
    </row>
    <row r="377" spans="1:31" s="779" customFormat="1" hidden="1" x14ac:dyDescent="0.25">
      <c r="A377" s="876"/>
      <c r="B377" s="876"/>
      <c r="C377" s="755"/>
      <c r="D377" s="870"/>
      <c r="E377" s="871" t="s">
        <v>2550</v>
      </c>
      <c r="F377" s="977"/>
      <c r="G377" s="977"/>
      <c r="H377" s="977"/>
      <c r="I377" s="977"/>
      <c r="J377" s="977"/>
      <c r="K377" s="977"/>
      <c r="L377" s="977"/>
      <c r="M377" s="977"/>
      <c r="N377" s="977"/>
      <c r="O377" s="977"/>
      <c r="P377" s="876"/>
      <c r="Q377" s="876"/>
      <c r="R377" s="876"/>
      <c r="S377" s="876"/>
      <c r="T377" s="876"/>
      <c r="U377" s="876"/>
      <c r="V377" s="876"/>
      <c r="Z377" s="1354"/>
      <c r="AA377" s="1354"/>
      <c r="AB377" s="1354"/>
      <c r="AC377" s="1354"/>
      <c r="AD377" s="1354"/>
      <c r="AE377" s="1354"/>
    </row>
    <row r="378" spans="1:31" s="779" customFormat="1" hidden="1" x14ac:dyDescent="0.25">
      <c r="A378" s="876" t="str">
        <f>IF(AND(F380=G380,H380=I380,J380=K380,F380="A"),"2015 - kwh",IF(AND(F380=G380,H380=I380,J380&lt;&gt;K380,F380="A"),"2016 - kwh",IF(AND(F380=G380,H380&lt;&gt;I380,F380="A"),"2017 - kwh","N/A")))</f>
        <v>N/A</v>
      </c>
      <c r="B378" s="876" t="str">
        <f>IF(F380&lt;&gt;G380,"2017 - kwh",IF(H380&lt;&gt;I380,"2016 - kwh",IF(J380&lt;&gt;K380,"2015 - kwh","N/A")))</f>
        <v>N/A</v>
      </c>
      <c r="C378" s="751" t="s">
        <v>2701</v>
      </c>
      <c r="D378" s="979"/>
      <c r="E378" s="873" t="s">
        <v>158</v>
      </c>
      <c r="F378" s="978"/>
      <c r="G378" s="978"/>
      <c r="H378" s="978"/>
      <c r="I378" s="978"/>
      <c r="J378" s="978"/>
      <c r="K378" s="978"/>
      <c r="L378" s="978"/>
      <c r="M378" s="978"/>
      <c r="N378" s="978"/>
      <c r="O378" s="978"/>
      <c r="P378" s="876"/>
      <c r="Q378" s="876"/>
      <c r="R378" s="876"/>
      <c r="S378" s="876"/>
      <c r="T378" s="876"/>
      <c r="U378" s="876"/>
      <c r="V378" s="876"/>
      <c r="Z378" s="1354"/>
      <c r="AA378" s="1354" t="str">
        <f>IF(AND(F380=G380,H380=I380,F380="A"),"2015 - kwh","")</f>
        <v/>
      </c>
      <c r="AB378" s="1354" t="str">
        <f>IF(OR(B378="2016 - kwh",B378="2017 - kwh"),"2015 - kwh","")</f>
        <v/>
      </c>
      <c r="AC378" s="1354"/>
      <c r="AD378" s="1354"/>
      <c r="AE378" s="1354"/>
    </row>
    <row r="379" spans="1:31" s="779" customFormat="1" hidden="1" x14ac:dyDescent="0.25">
      <c r="A379" s="876" t="str">
        <f>IF(AND(F380=G380,H380=I380,J380=K380,F380="A"),"2015 - kw",IF(AND(F380=G380,H380=I380,J380&lt;&gt;K380,F380="A"),"2016 - kw",IF(AND(F380=G380,H380&lt;&gt;I380,F380="A"),"2017 - kw","N/A")))</f>
        <v>N/A</v>
      </c>
      <c r="B379" s="876" t="str">
        <f>IF(F380&lt;&gt;G380,"2017 - kw",IF(H380&lt;&gt;I380,"2016 - kw",IF(J380&lt;&gt;K380,"2015 - kw","N/A")))</f>
        <v>N/A</v>
      </c>
      <c r="C379" s="752"/>
      <c r="D379" s="809" t="str">
        <f>D378 &amp; "kW"</f>
        <v>kW</v>
      </c>
      <c r="E379" s="872" t="s">
        <v>159</v>
      </c>
      <c r="F379" s="978"/>
      <c r="G379" s="978"/>
      <c r="H379" s="978"/>
      <c r="I379" s="978"/>
      <c r="J379" s="978"/>
      <c r="K379" s="978"/>
      <c r="L379" s="978"/>
      <c r="M379" s="978"/>
      <c r="N379" s="978"/>
      <c r="O379" s="978"/>
      <c r="P379" s="876"/>
      <c r="Q379" s="876"/>
      <c r="R379" s="876"/>
      <c r="S379" s="876"/>
      <c r="T379" s="876"/>
      <c r="U379" s="876"/>
      <c r="V379" s="876"/>
      <c r="Z379" s="1354"/>
      <c r="AA379" s="1354" t="str">
        <f>IF(AND(F380=G380,H380=I380,F380="A"),"2015 - kw","")</f>
        <v/>
      </c>
      <c r="AB379" s="1354" t="str">
        <f>IF(OR(B379="2016 - kw",B379="2017 - kw"),"2015 - kw","")</f>
        <v/>
      </c>
      <c r="AC379" s="1354"/>
      <c r="AD379" s="1354"/>
      <c r="AE379" s="1354"/>
    </row>
    <row r="380" spans="1:31" s="779" customFormat="1" hidden="1" x14ac:dyDescent="0.25">
      <c r="A380" s="876"/>
      <c r="B380" s="876"/>
      <c r="C380" s="755"/>
      <c r="D380" s="870"/>
      <c r="E380" s="871" t="s">
        <v>2550</v>
      </c>
      <c r="F380" s="977"/>
      <c r="G380" s="977"/>
      <c r="H380" s="977"/>
      <c r="I380" s="977"/>
      <c r="J380" s="977"/>
      <c r="K380" s="977"/>
      <c r="L380" s="977"/>
      <c r="M380" s="977"/>
      <c r="N380" s="977"/>
      <c r="O380" s="977"/>
      <c r="P380" s="876"/>
      <c r="Q380" s="876"/>
      <c r="R380" s="876"/>
      <c r="S380" s="876"/>
      <c r="T380" s="876"/>
      <c r="U380" s="876"/>
      <c r="V380" s="876"/>
      <c r="Z380" s="1354"/>
      <c r="AA380" s="1354"/>
      <c r="AB380" s="1354"/>
      <c r="AC380" s="1354"/>
      <c r="AD380" s="1354"/>
      <c r="AE380" s="1354"/>
    </row>
    <row r="381" spans="1:31" s="779" customFormat="1" hidden="1" x14ac:dyDescent="0.25">
      <c r="A381" s="876" t="str">
        <f>IF(AND(F383=G383,H383=I383,J383=K383,F383="A"),"2015 - kwh",IF(AND(F383=G383,H383=I383,J383&lt;&gt;K383,F383="A"),"2016 - kwh",IF(AND(F383=G383,H383&lt;&gt;I383,F383="A"),"2017 - kwh","N/A")))</f>
        <v>N/A</v>
      </c>
      <c r="B381" s="876" t="str">
        <f>IF(F383&lt;&gt;G383,"2017 - kwh",IF(H383&lt;&gt;I383,"2016 - kwh",IF(J383&lt;&gt;K383,"2015 - kwh","N/A")))</f>
        <v>N/A</v>
      </c>
      <c r="C381" s="751" t="s">
        <v>2702</v>
      </c>
      <c r="D381" s="979"/>
      <c r="E381" s="873" t="s">
        <v>158</v>
      </c>
      <c r="F381" s="978"/>
      <c r="G381" s="978"/>
      <c r="H381" s="978"/>
      <c r="I381" s="978"/>
      <c r="J381" s="978"/>
      <c r="K381" s="978"/>
      <c r="L381" s="978"/>
      <c r="M381" s="978"/>
      <c r="N381" s="978"/>
      <c r="O381" s="978"/>
      <c r="P381" s="876"/>
      <c r="Q381" s="876"/>
      <c r="R381" s="876"/>
      <c r="S381" s="876"/>
      <c r="T381" s="876"/>
      <c r="U381" s="876"/>
      <c r="V381" s="876"/>
      <c r="Z381" s="1354"/>
      <c r="AA381" s="1354" t="str">
        <f>IF(AND(F383=G383,H383=I383,F383="A"),"2015 - kwh","")</f>
        <v/>
      </c>
      <c r="AB381" s="1354" t="str">
        <f>IF(OR(B381="2016 - kwh",B381="2017 - kwh"),"2015 - kwh","")</f>
        <v/>
      </c>
      <c r="AC381" s="1354"/>
      <c r="AD381" s="1354"/>
      <c r="AE381" s="1354"/>
    </row>
    <row r="382" spans="1:31" s="779" customFormat="1" hidden="1" x14ac:dyDescent="0.25">
      <c r="A382" s="876" t="str">
        <f>IF(AND(F383=G383,H383=I383,J383=K383,F383="A"),"2015 - kw",IF(AND(F383=G383,H383=I383,J383&lt;&gt;K383,F383="A"),"2016 - kw",IF(AND(F383=G383,H383&lt;&gt;I383,F383="A"),"2017 - kw","N/A")))</f>
        <v>N/A</v>
      </c>
      <c r="B382" s="876" t="str">
        <f>IF(F383&lt;&gt;G383,"2017 - kw",IF(H383&lt;&gt;I383,"2016 - kw",IF(J383&lt;&gt;K383,"2015 - kw","N/A")))</f>
        <v>N/A</v>
      </c>
      <c r="C382" s="752"/>
      <c r="D382" s="809" t="str">
        <f>D381 &amp; "kW"</f>
        <v>kW</v>
      </c>
      <c r="E382" s="872" t="s">
        <v>159</v>
      </c>
      <c r="F382" s="978"/>
      <c r="G382" s="978"/>
      <c r="H382" s="978"/>
      <c r="I382" s="978"/>
      <c r="J382" s="978"/>
      <c r="K382" s="978"/>
      <c r="L382" s="978"/>
      <c r="M382" s="978"/>
      <c r="N382" s="978"/>
      <c r="O382" s="978"/>
      <c r="P382" s="876"/>
      <c r="Q382" s="876"/>
      <c r="R382" s="876"/>
      <c r="S382" s="876"/>
      <c r="T382" s="876"/>
      <c r="U382" s="876"/>
      <c r="V382" s="876"/>
      <c r="Z382" s="1354"/>
      <c r="AA382" s="1354" t="str">
        <f>IF(AND(F383=G383,H383=I383,F383="A"),"2015 - kw","")</f>
        <v/>
      </c>
      <c r="AB382" s="1354" t="str">
        <f>IF(OR(B382="2016 - kw",B382="2017 - kw"),"2015 - kw","")</f>
        <v/>
      </c>
      <c r="AC382" s="1354"/>
      <c r="AD382" s="1354"/>
      <c r="AE382" s="1354"/>
    </row>
    <row r="383" spans="1:31" s="779" customFormat="1" hidden="1" x14ac:dyDescent="0.25">
      <c r="A383" s="876"/>
      <c r="B383" s="876"/>
      <c r="C383" s="755"/>
      <c r="D383" s="870"/>
      <c r="E383" s="871" t="s">
        <v>2550</v>
      </c>
      <c r="F383" s="977"/>
      <c r="G383" s="977"/>
      <c r="H383" s="977"/>
      <c r="I383" s="977"/>
      <c r="J383" s="977"/>
      <c r="K383" s="977"/>
      <c r="L383" s="977"/>
      <c r="M383" s="977"/>
      <c r="N383" s="977"/>
      <c r="O383" s="977"/>
      <c r="P383" s="876"/>
      <c r="Q383" s="876"/>
      <c r="R383" s="876"/>
      <c r="S383" s="876"/>
      <c r="T383" s="876"/>
      <c r="U383" s="876"/>
      <c r="V383" s="876"/>
      <c r="Z383" s="1354"/>
      <c r="AA383" s="1354"/>
      <c r="AB383" s="1354"/>
      <c r="AC383" s="1354"/>
      <c r="AD383" s="1354"/>
      <c r="AE383" s="1354"/>
    </row>
    <row r="384" spans="1:31" s="779" customFormat="1" hidden="1" x14ac:dyDescent="0.25">
      <c r="A384" s="876" t="str">
        <f>IF(AND(F386=G386,H386=I386,J386=K386,F386="A"),"2015 - kwh",IF(AND(F386=G386,H386=I386,J386&lt;&gt;K386,F386="A"),"2016 - kwh",IF(AND(F386=G386,H386&lt;&gt;I386,F386="A"),"2017 - kwh","N/A")))</f>
        <v>N/A</v>
      </c>
      <c r="B384" s="876" t="str">
        <f>IF(F386&lt;&gt;G386,"2017 - kwh",IF(H386&lt;&gt;I386,"2016 - kwh",IF(J386&lt;&gt;K386,"2015 - kwh","N/A")))</f>
        <v>N/A</v>
      </c>
      <c r="C384" s="751" t="s">
        <v>2703</v>
      </c>
      <c r="D384" s="979"/>
      <c r="E384" s="873" t="s">
        <v>158</v>
      </c>
      <c r="F384" s="978"/>
      <c r="G384" s="978"/>
      <c r="H384" s="978"/>
      <c r="I384" s="978"/>
      <c r="J384" s="978"/>
      <c r="K384" s="978"/>
      <c r="L384" s="978"/>
      <c r="M384" s="978"/>
      <c r="N384" s="978"/>
      <c r="O384" s="978"/>
      <c r="P384" s="876"/>
      <c r="Q384" s="876"/>
      <c r="R384" s="876"/>
      <c r="S384" s="876"/>
      <c r="T384" s="876"/>
      <c r="U384" s="876"/>
      <c r="V384" s="876"/>
      <c r="Z384" s="1354"/>
      <c r="AA384" s="1354" t="str">
        <f>IF(AND(F386=G386,H386=I386,F386="A"),"2015 - kwh","")</f>
        <v/>
      </c>
      <c r="AB384" s="1354" t="str">
        <f>IF(OR(B384="2016 - kwh",B384="2017 - kwh"),"2015 - kwh","")</f>
        <v/>
      </c>
      <c r="AC384" s="1354"/>
      <c r="AD384" s="1354"/>
      <c r="AE384" s="1354"/>
    </row>
    <row r="385" spans="1:31" s="779" customFormat="1" hidden="1" x14ac:dyDescent="0.25">
      <c r="A385" s="876" t="str">
        <f>IF(AND(F386=G386,H386=I386,J386=K386,F386="A"),"2015 - kw",IF(AND(F386=G386,H386=I386,J386&lt;&gt;K386,F386="A"),"2016 - kw",IF(AND(F386=G386,H386&lt;&gt;I386,F386="A"),"2017 - kw","N/A")))</f>
        <v>N/A</v>
      </c>
      <c r="B385" s="876" t="str">
        <f>IF(F386&lt;&gt;G386,"2017 - kw",IF(H386&lt;&gt;I386,"2016 - kw",IF(J386&lt;&gt;K386,"2015 - kw","N/A")))</f>
        <v>N/A</v>
      </c>
      <c r="C385" s="752"/>
      <c r="D385" s="809" t="str">
        <f>D384 &amp; "kW"</f>
        <v>kW</v>
      </c>
      <c r="E385" s="872" t="s">
        <v>159</v>
      </c>
      <c r="F385" s="978"/>
      <c r="G385" s="978"/>
      <c r="H385" s="978"/>
      <c r="I385" s="978"/>
      <c r="J385" s="978"/>
      <c r="K385" s="978"/>
      <c r="L385" s="978"/>
      <c r="M385" s="978"/>
      <c r="N385" s="978"/>
      <c r="O385" s="978"/>
      <c r="P385" s="876"/>
      <c r="Q385" s="876"/>
      <c r="R385" s="876"/>
      <c r="S385" s="876"/>
      <c r="T385" s="876"/>
      <c r="U385" s="876"/>
      <c r="V385" s="876"/>
      <c r="Z385" s="1354"/>
      <c r="AA385" s="1354" t="str">
        <f>IF(AND(F386=G386,H386=I386,F386="A"),"2015 - kw","")</f>
        <v/>
      </c>
      <c r="AB385" s="1354" t="str">
        <f>IF(OR(B385="2016 - kw",B385="2017 - kw"),"2015 - kw","")</f>
        <v/>
      </c>
      <c r="AC385" s="1354"/>
      <c r="AD385" s="1354"/>
      <c r="AE385" s="1354"/>
    </row>
    <row r="386" spans="1:31" s="779" customFormat="1" hidden="1" x14ac:dyDescent="0.25">
      <c r="A386" s="876"/>
      <c r="B386" s="876"/>
      <c r="C386" s="755"/>
      <c r="D386" s="870"/>
      <c r="E386" s="871" t="s">
        <v>2550</v>
      </c>
      <c r="F386" s="977"/>
      <c r="G386" s="977"/>
      <c r="H386" s="977"/>
      <c r="I386" s="977"/>
      <c r="J386" s="977"/>
      <c r="K386" s="977"/>
      <c r="L386" s="977"/>
      <c r="M386" s="977"/>
      <c r="N386" s="977"/>
      <c r="O386" s="977"/>
      <c r="P386" s="876"/>
      <c r="Q386" s="876"/>
      <c r="R386" s="876"/>
      <c r="S386" s="876"/>
      <c r="T386" s="876"/>
      <c r="U386" s="876"/>
      <c r="V386" s="876"/>
      <c r="Z386" s="1354"/>
      <c r="AA386" s="1354"/>
      <c r="AB386" s="1354"/>
      <c r="AC386" s="1354"/>
      <c r="AD386" s="1354"/>
      <c r="AE386" s="1354"/>
    </row>
    <row r="387" spans="1:31" s="779" customFormat="1" hidden="1" x14ac:dyDescent="0.25">
      <c r="A387" s="876" t="str">
        <f>IF(AND(F389=G389,H389=I389,J389=K389,F389="A"),"2015 - kwh",IF(AND(F389=G389,H389=I389,J389&lt;&gt;K389,F389="A"),"2016 - kwh",IF(AND(F389=G389,H389&lt;&gt;I389,F389="A"),"2017 - kwh","N/A")))</f>
        <v>N/A</v>
      </c>
      <c r="B387" s="876" t="str">
        <f>IF(F389&lt;&gt;G389,"2017 - kwh",IF(H389&lt;&gt;I389,"2016 - kwh",IF(J389&lt;&gt;K389,"2015 - kwh","N/A")))</f>
        <v>N/A</v>
      </c>
      <c r="C387" s="751" t="s">
        <v>2704</v>
      </c>
      <c r="D387" s="979"/>
      <c r="E387" s="873" t="s">
        <v>158</v>
      </c>
      <c r="F387" s="978"/>
      <c r="G387" s="978"/>
      <c r="H387" s="978"/>
      <c r="I387" s="978"/>
      <c r="J387" s="978"/>
      <c r="K387" s="978"/>
      <c r="L387" s="978"/>
      <c r="M387" s="978"/>
      <c r="N387" s="978"/>
      <c r="O387" s="978"/>
      <c r="P387" s="876"/>
      <c r="Q387" s="876"/>
      <c r="R387" s="876"/>
      <c r="S387" s="876"/>
      <c r="T387" s="876"/>
      <c r="U387" s="876"/>
      <c r="V387" s="876"/>
      <c r="Z387" s="1354"/>
      <c r="AA387" s="1354" t="str">
        <f>IF(AND(F389=G389,H389=I389,F389="A"),"2015 - kwh","")</f>
        <v/>
      </c>
      <c r="AB387" s="1354" t="str">
        <f>IF(OR(B387="2016 - kwh",B387="2017 - kwh"),"2015 - kwh","")</f>
        <v/>
      </c>
      <c r="AC387" s="1354"/>
      <c r="AD387" s="1354"/>
      <c r="AE387" s="1354"/>
    </row>
    <row r="388" spans="1:31" s="779" customFormat="1" hidden="1" x14ac:dyDescent="0.25">
      <c r="A388" s="876" t="str">
        <f>IF(AND(F389=G389,H389=I389,J389=K389,F389="A"),"2015 - kw",IF(AND(F389=G389,H389=I389,J389&lt;&gt;K389,F389="A"),"2016 - kw",IF(AND(F389=G389,H389&lt;&gt;I389,F389="A"),"2017 - kw","N/A")))</f>
        <v>N/A</v>
      </c>
      <c r="B388" s="876" t="str">
        <f>IF(F389&lt;&gt;G389,"2017 - kw",IF(H389&lt;&gt;I389,"2016 - kw",IF(J389&lt;&gt;K389,"2015 - kw","N/A")))</f>
        <v>N/A</v>
      </c>
      <c r="C388" s="752"/>
      <c r="D388" s="809" t="str">
        <f>D387 &amp; "kW"</f>
        <v>kW</v>
      </c>
      <c r="E388" s="872" t="s">
        <v>159</v>
      </c>
      <c r="F388" s="978"/>
      <c r="G388" s="978"/>
      <c r="H388" s="978"/>
      <c r="I388" s="978"/>
      <c r="J388" s="978"/>
      <c r="K388" s="978"/>
      <c r="L388" s="978"/>
      <c r="M388" s="978"/>
      <c r="N388" s="978"/>
      <c r="O388" s="978"/>
      <c r="P388" s="876"/>
      <c r="Q388" s="876"/>
      <c r="R388" s="876"/>
      <c r="S388" s="876"/>
      <c r="T388" s="876"/>
      <c r="U388" s="876"/>
      <c r="V388" s="876"/>
      <c r="Z388" s="1354"/>
      <c r="AA388" s="1354" t="str">
        <f>IF(AND(F389=G389,H389=I389,F389="A"),"2015 - kw","")</f>
        <v/>
      </c>
      <c r="AB388" s="1354" t="str">
        <f>IF(OR(B388="2016 - kw",B388="2017 - kw"),"2015 - kw","")</f>
        <v/>
      </c>
      <c r="AC388" s="1354"/>
      <c r="AD388" s="1354"/>
      <c r="AE388" s="1354"/>
    </row>
    <row r="389" spans="1:31" s="779" customFormat="1" hidden="1" x14ac:dyDescent="0.25">
      <c r="A389" s="876"/>
      <c r="B389" s="876"/>
      <c r="C389" s="755"/>
      <c r="D389" s="870"/>
      <c r="E389" s="871" t="s">
        <v>2550</v>
      </c>
      <c r="F389" s="977"/>
      <c r="G389" s="977"/>
      <c r="H389" s="977"/>
      <c r="I389" s="977"/>
      <c r="J389" s="977"/>
      <c r="K389" s="977"/>
      <c r="L389" s="977"/>
      <c r="M389" s="977"/>
      <c r="N389" s="977"/>
      <c r="O389" s="977"/>
      <c r="P389" s="876"/>
      <c r="Q389" s="876"/>
      <c r="R389" s="876"/>
      <c r="S389" s="876"/>
      <c r="T389" s="876"/>
      <c r="U389" s="876"/>
      <c r="V389" s="876"/>
      <c r="Z389" s="1354"/>
      <c r="AA389" s="1354"/>
      <c r="AB389" s="1354"/>
      <c r="AC389" s="1354"/>
      <c r="AD389" s="1354"/>
      <c r="AE389" s="1354"/>
    </row>
    <row r="390" spans="1:31" s="779" customFormat="1" hidden="1" x14ac:dyDescent="0.25">
      <c r="A390" s="876" t="str">
        <f>IF(AND(F392=G392,H392=I392,J392=K392,F392="A"),"2015 - kwh",IF(AND(F392=G392,H392=I392,J392&lt;&gt;K392,F392="A"),"2016 - kwh",IF(AND(F392=G392,H392&lt;&gt;I392,F392="A"),"2017 - kwh","N/A")))</f>
        <v>N/A</v>
      </c>
      <c r="B390" s="876" t="str">
        <f>IF(F392&lt;&gt;G392,"2017 - kwh",IF(H392&lt;&gt;I392,"2016 - kwh",IF(J392&lt;&gt;K392,"2015 - kwh","N/A")))</f>
        <v>N/A</v>
      </c>
      <c r="C390" s="751" t="s">
        <v>2705</v>
      </c>
      <c r="D390" s="979"/>
      <c r="E390" s="873" t="s">
        <v>158</v>
      </c>
      <c r="F390" s="978"/>
      <c r="G390" s="978"/>
      <c r="H390" s="978"/>
      <c r="I390" s="978"/>
      <c r="J390" s="978"/>
      <c r="K390" s="978"/>
      <c r="L390" s="978"/>
      <c r="M390" s="978"/>
      <c r="N390" s="978"/>
      <c r="O390" s="978"/>
      <c r="P390" s="876"/>
      <c r="Q390" s="876"/>
      <c r="R390" s="876"/>
      <c r="S390" s="876"/>
      <c r="T390" s="876"/>
      <c r="U390" s="876"/>
      <c r="V390" s="876"/>
      <c r="Z390" s="1354"/>
      <c r="AA390" s="1354" t="str">
        <f>IF(AND(F392=G392,H392=I392,F392="A"),"2015 - kwh","")</f>
        <v/>
      </c>
      <c r="AB390" s="1354" t="str">
        <f>IF(OR(B390="2016 - kwh",B390="2017 - kwh"),"2015 - kwh","")</f>
        <v/>
      </c>
      <c r="AC390" s="1354"/>
      <c r="AD390" s="1354"/>
      <c r="AE390" s="1354"/>
    </row>
    <row r="391" spans="1:31" s="779" customFormat="1" hidden="1" x14ac:dyDescent="0.25">
      <c r="A391" s="876" t="str">
        <f>IF(AND(F392=G392,H392=I392,J392=K392,F392="A"),"2015 - kw",IF(AND(F392=G392,H392=I392,J392&lt;&gt;K392,F392="A"),"2016 - kw",IF(AND(F392=G392,H392&lt;&gt;I392,F392="A"),"2017 - kw","N/A")))</f>
        <v>N/A</v>
      </c>
      <c r="B391" s="876" t="str">
        <f>IF(F392&lt;&gt;G392,"2017 - kw",IF(H392&lt;&gt;I392,"2016 - kw",IF(J392&lt;&gt;K392,"2015 - kw","N/A")))</f>
        <v>N/A</v>
      </c>
      <c r="C391" s="752"/>
      <c r="D391" s="809" t="str">
        <f>D390 &amp; "kW"</f>
        <v>kW</v>
      </c>
      <c r="E391" s="872" t="s">
        <v>159</v>
      </c>
      <c r="F391" s="978"/>
      <c r="G391" s="978"/>
      <c r="H391" s="978"/>
      <c r="I391" s="978"/>
      <c r="J391" s="978"/>
      <c r="K391" s="978"/>
      <c r="L391" s="978"/>
      <c r="M391" s="978"/>
      <c r="N391" s="978"/>
      <c r="O391" s="978"/>
      <c r="P391" s="876"/>
      <c r="Q391" s="876"/>
      <c r="R391" s="876"/>
      <c r="S391" s="876"/>
      <c r="T391" s="876"/>
      <c r="U391" s="876"/>
      <c r="V391" s="876"/>
      <c r="Z391" s="1354"/>
      <c r="AA391" s="1354" t="str">
        <f>IF(AND(F392=G392,H392=I392,F392="A"),"2015 - kw","")</f>
        <v/>
      </c>
      <c r="AB391" s="1354" t="str">
        <f>IF(OR(B391="2016 - kw",B391="2017 - kw"),"2015 - kw","")</f>
        <v/>
      </c>
      <c r="AC391" s="1354"/>
      <c r="AD391" s="1354"/>
      <c r="AE391" s="1354"/>
    </row>
    <row r="392" spans="1:31" s="779" customFormat="1" hidden="1" x14ac:dyDescent="0.25">
      <c r="A392" s="876"/>
      <c r="B392" s="876"/>
      <c r="C392" s="755"/>
      <c r="D392" s="870"/>
      <c r="E392" s="871" t="s">
        <v>2550</v>
      </c>
      <c r="F392" s="977"/>
      <c r="G392" s="977"/>
      <c r="H392" s="977"/>
      <c r="I392" s="977"/>
      <c r="J392" s="977"/>
      <c r="K392" s="977"/>
      <c r="L392" s="977"/>
      <c r="M392" s="977"/>
      <c r="N392" s="977"/>
      <c r="O392" s="977"/>
      <c r="P392" s="876"/>
      <c r="Q392" s="876"/>
      <c r="R392" s="876"/>
      <c r="S392" s="876"/>
      <c r="T392" s="876"/>
      <c r="U392" s="876"/>
      <c r="V392" s="876"/>
      <c r="Z392" s="1354"/>
      <c r="AA392" s="1354"/>
      <c r="AB392" s="1354"/>
      <c r="AC392" s="1354"/>
      <c r="AD392" s="1354"/>
      <c r="AE392" s="1354"/>
    </row>
    <row r="393" spans="1:31" s="779" customFormat="1" hidden="1" x14ac:dyDescent="0.25">
      <c r="A393" s="876" t="str">
        <f>IF(AND(F395=G395,H395=I395,J395=K395,F395="A"),"2015 - kwh",IF(AND(F395=G395,H395=I395,J395&lt;&gt;K395,F395="A"),"2016 - kwh",IF(AND(F395=G395,H395&lt;&gt;I395,F395="A"),"2017 - kwh","N/A")))</f>
        <v>N/A</v>
      </c>
      <c r="B393" s="876" t="str">
        <f>IF(F395&lt;&gt;G395,"2017 - kwh",IF(H395&lt;&gt;I395,"2016 - kwh",IF(J395&lt;&gt;K395,"2015 - kwh","N/A")))</f>
        <v>N/A</v>
      </c>
      <c r="C393" s="751" t="s">
        <v>2706</v>
      </c>
      <c r="D393" s="979"/>
      <c r="E393" s="873" t="s">
        <v>158</v>
      </c>
      <c r="F393" s="978"/>
      <c r="G393" s="978"/>
      <c r="H393" s="978"/>
      <c r="I393" s="978"/>
      <c r="J393" s="978"/>
      <c r="K393" s="978"/>
      <c r="L393" s="978"/>
      <c r="M393" s="978"/>
      <c r="N393" s="978"/>
      <c r="O393" s="978"/>
      <c r="P393" s="876"/>
      <c r="Q393" s="876"/>
      <c r="R393" s="876"/>
      <c r="S393" s="876"/>
      <c r="T393" s="876"/>
      <c r="U393" s="876"/>
      <c r="V393" s="876"/>
      <c r="Z393" s="1354"/>
      <c r="AA393" s="1354" t="str">
        <f>IF(AND(F395=G395,H395=I395,F395="A"),"2015 - kwh","")</f>
        <v/>
      </c>
      <c r="AB393" s="1354" t="str">
        <f>IF(OR(B393="2016 - kwh",B393="2017 - kwh"),"2015 - kwh","")</f>
        <v/>
      </c>
      <c r="AC393" s="1354"/>
      <c r="AD393" s="1354"/>
      <c r="AE393" s="1354"/>
    </row>
    <row r="394" spans="1:31" s="779" customFormat="1" hidden="1" x14ac:dyDescent="0.25">
      <c r="A394" s="876" t="str">
        <f>IF(AND(F395=G395,H395=I395,J395=K395,F395="A"),"2015 - kw",IF(AND(F395=G395,H395=I395,J395&lt;&gt;K395,F395="A"),"2016 - kw",IF(AND(F395=G395,H395&lt;&gt;I395,F395="A"),"2017 - kw","N/A")))</f>
        <v>N/A</v>
      </c>
      <c r="B394" s="876" t="str">
        <f>IF(F395&lt;&gt;G395,"2017 - kw",IF(H395&lt;&gt;I395,"2016 - kw",IF(J395&lt;&gt;K395,"2015 - kw","N/A")))</f>
        <v>N/A</v>
      </c>
      <c r="C394" s="752"/>
      <c r="D394" s="809" t="str">
        <f>D393 &amp; "kW"</f>
        <v>kW</v>
      </c>
      <c r="E394" s="872" t="s">
        <v>159</v>
      </c>
      <c r="F394" s="978"/>
      <c r="G394" s="978"/>
      <c r="H394" s="978"/>
      <c r="I394" s="978"/>
      <c r="J394" s="978"/>
      <c r="K394" s="978"/>
      <c r="L394" s="978"/>
      <c r="M394" s="978"/>
      <c r="N394" s="978"/>
      <c r="O394" s="978"/>
      <c r="P394" s="876"/>
      <c r="Q394" s="876"/>
      <c r="R394" s="876"/>
      <c r="S394" s="876"/>
      <c r="T394" s="876"/>
      <c r="U394" s="876"/>
      <c r="V394" s="876"/>
      <c r="Z394" s="1354"/>
      <c r="AA394" s="1354" t="str">
        <f>IF(AND(F395=G395,H395=I395,F395="A"),"2015 - kw","")</f>
        <v/>
      </c>
      <c r="AB394" s="1354" t="str">
        <f>IF(OR(B394="2016 - kw",B394="2017 - kw"),"2015 - kw","")</f>
        <v/>
      </c>
      <c r="AC394" s="1354"/>
      <c r="AD394" s="1354"/>
      <c r="AE394" s="1354"/>
    </row>
    <row r="395" spans="1:31" s="779" customFormat="1" hidden="1" x14ac:dyDescent="0.25">
      <c r="A395" s="876"/>
      <c r="B395" s="876"/>
      <c r="C395" s="755"/>
      <c r="D395" s="870"/>
      <c r="E395" s="871" t="s">
        <v>2550</v>
      </c>
      <c r="F395" s="977"/>
      <c r="G395" s="977"/>
      <c r="H395" s="977"/>
      <c r="I395" s="977"/>
      <c r="J395" s="977"/>
      <c r="K395" s="977"/>
      <c r="L395" s="977"/>
      <c r="M395" s="977"/>
      <c r="N395" s="977"/>
      <c r="O395" s="977"/>
      <c r="P395" s="876"/>
      <c r="Q395" s="876"/>
      <c r="R395" s="876"/>
      <c r="S395" s="876"/>
      <c r="T395" s="876"/>
      <c r="U395" s="876"/>
      <c r="V395" s="876"/>
      <c r="Z395" s="1354"/>
      <c r="AA395" s="1354"/>
      <c r="AB395" s="1354"/>
      <c r="AC395" s="1354"/>
      <c r="AD395" s="1354"/>
      <c r="AE395" s="1354"/>
    </row>
    <row r="396" spans="1:31" s="779" customFormat="1" hidden="1" x14ac:dyDescent="0.25">
      <c r="A396" s="876" t="str">
        <f>IF(AND(F398=G398,H398=I398,J398=K398,F398="A"),"2015 - kwh",IF(AND(F398=G398,H398=I398,J398&lt;&gt;K398,F398="A"),"2016 - kwh",IF(AND(F398=G398,H398&lt;&gt;I398,F398="A"),"2017 - kwh","N/A")))</f>
        <v>N/A</v>
      </c>
      <c r="B396" s="876" t="str">
        <f>IF(F398&lt;&gt;G398,"2017 - kwh",IF(H398&lt;&gt;I398,"2016 - kwh",IF(J398&lt;&gt;K398,"2015 - kwh","N/A")))</f>
        <v>N/A</v>
      </c>
      <c r="C396" s="751" t="s">
        <v>2707</v>
      </c>
      <c r="D396" s="979"/>
      <c r="E396" s="873" t="s">
        <v>158</v>
      </c>
      <c r="F396" s="978"/>
      <c r="G396" s="978"/>
      <c r="H396" s="978"/>
      <c r="I396" s="978"/>
      <c r="J396" s="978"/>
      <c r="K396" s="978"/>
      <c r="L396" s="978"/>
      <c r="M396" s="978"/>
      <c r="N396" s="978"/>
      <c r="O396" s="978"/>
      <c r="P396" s="876"/>
      <c r="Q396" s="876"/>
      <c r="R396" s="876"/>
      <c r="S396" s="876"/>
      <c r="T396" s="876"/>
      <c r="U396" s="876"/>
      <c r="V396" s="876"/>
      <c r="Z396" s="1354"/>
      <c r="AA396" s="1354" t="str">
        <f>IF(AND(F398=G398,H398=I398,F398="A"),"2015 - kwh","")</f>
        <v/>
      </c>
      <c r="AB396" s="1354" t="str">
        <f>IF(OR(B396="2016 - kwh",B396="2017 - kwh"),"2015 - kwh","")</f>
        <v/>
      </c>
      <c r="AC396" s="1354"/>
      <c r="AD396" s="1354"/>
      <c r="AE396" s="1354"/>
    </row>
    <row r="397" spans="1:31" s="779" customFormat="1" hidden="1" x14ac:dyDescent="0.25">
      <c r="A397" s="876" t="str">
        <f>IF(AND(F398=G398,H398=I398,J398=K398,F398="A"),"2015 - kw",IF(AND(F398=G398,H398=I398,J398&lt;&gt;K398,F398="A"),"2016 - kw",IF(AND(F398=G398,H398&lt;&gt;I398,F398="A"),"2017 - kw","N/A")))</f>
        <v>N/A</v>
      </c>
      <c r="B397" s="876" t="str">
        <f>IF(F398&lt;&gt;G398,"2017 - kw",IF(H398&lt;&gt;I398,"2016 - kw",IF(J398&lt;&gt;K398,"2015 - kw","N/A")))</f>
        <v>N/A</v>
      </c>
      <c r="C397" s="752"/>
      <c r="D397" s="809" t="str">
        <f>D396 &amp; "kW"</f>
        <v>kW</v>
      </c>
      <c r="E397" s="872" t="s">
        <v>159</v>
      </c>
      <c r="F397" s="978"/>
      <c r="G397" s="978"/>
      <c r="H397" s="978"/>
      <c r="I397" s="978"/>
      <c r="J397" s="978"/>
      <c r="K397" s="978"/>
      <c r="L397" s="978"/>
      <c r="M397" s="978"/>
      <c r="N397" s="978"/>
      <c r="O397" s="978"/>
      <c r="P397" s="876"/>
      <c r="Q397" s="876"/>
      <c r="R397" s="876"/>
      <c r="S397" s="876"/>
      <c r="T397" s="876"/>
      <c r="U397" s="876"/>
      <c r="V397" s="876"/>
      <c r="Z397" s="1354"/>
      <c r="AA397" s="1354" t="str">
        <f>IF(AND(F398=G398,H398=I398,F398="A"),"2015 - kw","")</f>
        <v/>
      </c>
      <c r="AB397" s="1354" t="str">
        <f>IF(OR(B397="2016 - kw",B397="2017 - kw"),"2015 - kw","")</f>
        <v/>
      </c>
      <c r="AC397" s="1354"/>
      <c r="AD397" s="1354"/>
      <c r="AE397" s="1354"/>
    </row>
    <row r="398" spans="1:31" s="779" customFormat="1" hidden="1" x14ac:dyDescent="0.25">
      <c r="A398" s="876"/>
      <c r="B398" s="876"/>
      <c r="C398" s="755"/>
      <c r="D398" s="870"/>
      <c r="E398" s="871" t="s">
        <v>2550</v>
      </c>
      <c r="F398" s="977"/>
      <c r="G398" s="977"/>
      <c r="H398" s="977"/>
      <c r="I398" s="977"/>
      <c r="J398" s="977"/>
      <c r="K398" s="977"/>
      <c r="L398" s="977"/>
      <c r="M398" s="977"/>
      <c r="N398" s="977"/>
      <c r="O398" s="977"/>
      <c r="P398" s="876"/>
      <c r="Q398" s="876"/>
      <c r="R398" s="876"/>
      <c r="S398" s="876"/>
      <c r="T398" s="876"/>
      <c r="U398" s="876"/>
      <c r="V398" s="876"/>
      <c r="Z398" s="1354"/>
      <c r="AA398" s="1354"/>
      <c r="AB398" s="1354"/>
      <c r="AC398" s="1354"/>
      <c r="AD398" s="1354"/>
      <c r="AE398" s="1354"/>
    </row>
    <row r="399" spans="1:31" s="779" customFormat="1" hidden="1" x14ac:dyDescent="0.25">
      <c r="A399" s="876" t="str">
        <f>IF(AND(F401=G401,H401=I401,J401=K401,F401="A"),"2015 - kwh",IF(AND(F401=G401,H401=I401,J401&lt;&gt;K401,F401="A"),"2016 - kwh",IF(AND(F401=G401,H401&lt;&gt;I401,F401="A"),"2017 - kwh","N/A")))</f>
        <v>N/A</v>
      </c>
      <c r="B399" s="876" t="str">
        <f>IF(F401&lt;&gt;G401,"2017 - kwh",IF(H401&lt;&gt;I401,"2016 - kwh",IF(J401&lt;&gt;K401,"2015 - kwh","N/A")))</f>
        <v>N/A</v>
      </c>
      <c r="C399" s="751" t="s">
        <v>2708</v>
      </c>
      <c r="D399" s="979"/>
      <c r="E399" s="873" t="s">
        <v>158</v>
      </c>
      <c r="F399" s="978"/>
      <c r="G399" s="978"/>
      <c r="H399" s="978"/>
      <c r="I399" s="978"/>
      <c r="J399" s="978"/>
      <c r="K399" s="978"/>
      <c r="L399" s="978"/>
      <c r="M399" s="978"/>
      <c r="N399" s="978"/>
      <c r="O399" s="978"/>
      <c r="P399" s="876"/>
      <c r="Q399" s="876"/>
      <c r="R399" s="876"/>
      <c r="S399" s="876"/>
      <c r="T399" s="876"/>
      <c r="U399" s="876"/>
      <c r="V399" s="876"/>
      <c r="Z399" s="1354"/>
      <c r="AA399" s="1354" t="str">
        <f>IF(AND(F401=G401,H401=I401,F401="A"),"2015 - kwh","")</f>
        <v/>
      </c>
      <c r="AB399" s="1354" t="str">
        <f>IF(OR(B399="2016 - kwh",B399="2017 - kwh"),"2015 - kwh","")</f>
        <v/>
      </c>
      <c r="AC399" s="1354"/>
      <c r="AD399" s="1354"/>
      <c r="AE399" s="1354"/>
    </row>
    <row r="400" spans="1:31" s="779" customFormat="1" hidden="1" x14ac:dyDescent="0.25">
      <c r="A400" s="876" t="str">
        <f>IF(AND(F401=G401,H401=I401,J401=K401,F401="A"),"2015 - kw",IF(AND(F401=G401,H401=I401,J401&lt;&gt;K401,F401="A"),"2016 - kw",IF(AND(F401=G401,H401&lt;&gt;I401,F401="A"),"2017 - kw","N/A")))</f>
        <v>N/A</v>
      </c>
      <c r="B400" s="876" t="str">
        <f>IF(F401&lt;&gt;G401,"2017 - kw",IF(H401&lt;&gt;I401,"2016 - kw",IF(J401&lt;&gt;K401,"2015 - kw","N/A")))</f>
        <v>N/A</v>
      </c>
      <c r="C400" s="752"/>
      <c r="D400" s="809" t="str">
        <f>D399 &amp; "kW"</f>
        <v>kW</v>
      </c>
      <c r="E400" s="872" t="s">
        <v>159</v>
      </c>
      <c r="F400" s="978"/>
      <c r="G400" s="978"/>
      <c r="H400" s="978"/>
      <c r="I400" s="978"/>
      <c r="J400" s="978"/>
      <c r="K400" s="978"/>
      <c r="L400" s="978"/>
      <c r="M400" s="978"/>
      <c r="N400" s="978"/>
      <c r="O400" s="978"/>
      <c r="P400" s="876"/>
      <c r="Q400" s="876"/>
      <c r="R400" s="876"/>
      <c r="S400" s="876"/>
      <c r="T400" s="876"/>
      <c r="U400" s="876"/>
      <c r="V400" s="876"/>
      <c r="Z400" s="1354"/>
      <c r="AA400" s="1354" t="str">
        <f>IF(AND(F401=G401,H401=I401,F401="A"),"2015 - kw","")</f>
        <v/>
      </c>
      <c r="AB400" s="1354" t="str">
        <f>IF(OR(B400="2016 - kw",B400="2017 - kw"),"2015 - kw","")</f>
        <v/>
      </c>
      <c r="AC400" s="1354"/>
      <c r="AD400" s="1354"/>
      <c r="AE400" s="1354"/>
    </row>
    <row r="401" spans="1:31" s="779" customFormat="1" hidden="1" x14ac:dyDescent="0.25">
      <c r="A401" s="876"/>
      <c r="B401" s="876"/>
      <c r="C401" s="755"/>
      <c r="D401" s="870"/>
      <c r="E401" s="871" t="s">
        <v>2550</v>
      </c>
      <c r="F401" s="977"/>
      <c r="G401" s="977"/>
      <c r="H401" s="977"/>
      <c r="I401" s="977"/>
      <c r="J401" s="977"/>
      <c r="K401" s="977"/>
      <c r="L401" s="977"/>
      <c r="M401" s="977"/>
      <c r="N401" s="977"/>
      <c r="O401" s="977"/>
      <c r="P401" s="876"/>
      <c r="Q401" s="876"/>
      <c r="R401" s="876"/>
      <c r="S401" s="876"/>
      <c r="T401" s="876"/>
      <c r="U401" s="876"/>
      <c r="V401" s="876"/>
      <c r="Z401" s="1354"/>
      <c r="AA401" s="1354"/>
      <c r="AB401" s="1354"/>
      <c r="AC401" s="1354"/>
      <c r="AD401" s="1354"/>
      <c r="AE401" s="1354"/>
    </row>
    <row r="402" spans="1:31" s="779" customFormat="1" hidden="1" x14ac:dyDescent="0.25">
      <c r="A402" s="876" t="str">
        <f>IF(AND(F404=G404,H404=I404,J404=K404,F404="A"),"2015 - kwh",IF(AND(F404=G404,H404=I404,J404&lt;&gt;K404,F404="A"),"2016 - kwh",IF(AND(F404=G404,H404&lt;&gt;I404,F404="A"),"2017 - kwh","N/A")))</f>
        <v>N/A</v>
      </c>
      <c r="B402" s="876" t="str">
        <f>IF(F404&lt;&gt;G404,"2017 - kwh",IF(H404&lt;&gt;I404,"2016 - kwh",IF(J404&lt;&gt;K404,"2015 - kwh","N/A")))</f>
        <v>N/A</v>
      </c>
      <c r="C402" s="751" t="s">
        <v>2709</v>
      </c>
      <c r="D402" s="979"/>
      <c r="E402" s="873" t="s">
        <v>158</v>
      </c>
      <c r="F402" s="978"/>
      <c r="G402" s="978"/>
      <c r="H402" s="978"/>
      <c r="I402" s="978"/>
      <c r="J402" s="978"/>
      <c r="K402" s="978"/>
      <c r="L402" s="978"/>
      <c r="M402" s="978"/>
      <c r="N402" s="978"/>
      <c r="O402" s="978"/>
      <c r="P402" s="876"/>
      <c r="Q402" s="876"/>
      <c r="R402" s="876"/>
      <c r="S402" s="876"/>
      <c r="T402" s="876"/>
      <c r="U402" s="876"/>
      <c r="V402" s="876"/>
      <c r="Z402" s="1354"/>
      <c r="AA402" s="1354" t="str">
        <f>IF(AND(F404=G404,H404=I404,F404="A"),"2015 - kwh","")</f>
        <v/>
      </c>
      <c r="AB402" s="1354" t="str">
        <f>IF(OR(B402="2016 - kwh",B402="2017 - kwh"),"2015 - kwh","")</f>
        <v/>
      </c>
      <c r="AC402" s="1354"/>
      <c r="AD402" s="1354"/>
      <c r="AE402" s="1354"/>
    </row>
    <row r="403" spans="1:31" s="779" customFormat="1" hidden="1" x14ac:dyDescent="0.25">
      <c r="A403" s="876" t="str">
        <f>IF(AND(F404=G404,H404=I404,J404=K404,F404="A"),"2015 - kw",IF(AND(F404=G404,H404=I404,J404&lt;&gt;K404,F404="A"),"2016 - kw",IF(AND(F404=G404,H404&lt;&gt;I404,F404="A"),"2017 - kw","N/A")))</f>
        <v>N/A</v>
      </c>
      <c r="B403" s="876" t="str">
        <f>IF(F404&lt;&gt;G404,"2017 - kw",IF(H404&lt;&gt;I404,"2016 - kw",IF(J404&lt;&gt;K404,"2015 - kw","N/A")))</f>
        <v>N/A</v>
      </c>
      <c r="C403" s="752"/>
      <c r="D403" s="809" t="str">
        <f>D402 &amp; "kW"</f>
        <v>kW</v>
      </c>
      <c r="E403" s="872" t="s">
        <v>159</v>
      </c>
      <c r="F403" s="978"/>
      <c r="G403" s="978"/>
      <c r="H403" s="978"/>
      <c r="I403" s="978"/>
      <c r="J403" s="978"/>
      <c r="K403" s="978"/>
      <c r="L403" s="978"/>
      <c r="M403" s="978"/>
      <c r="N403" s="978"/>
      <c r="O403" s="978"/>
      <c r="P403" s="876"/>
      <c r="Q403" s="876"/>
      <c r="R403" s="876"/>
      <c r="S403" s="876"/>
      <c r="T403" s="876"/>
      <c r="U403" s="876"/>
      <c r="V403" s="876"/>
      <c r="Z403" s="1354"/>
      <c r="AA403" s="1354" t="str">
        <f>IF(AND(F404=G404,H404=I404,F404="A"),"2015 - kw","")</f>
        <v/>
      </c>
      <c r="AB403" s="1354" t="str">
        <f>IF(OR(B403="2016 - kw",B403="2017 - kw"),"2015 - kw","")</f>
        <v/>
      </c>
      <c r="AC403" s="1354"/>
      <c r="AD403" s="1354"/>
      <c r="AE403" s="1354"/>
    </row>
    <row r="404" spans="1:31" s="779" customFormat="1" hidden="1" x14ac:dyDescent="0.25">
      <c r="A404" s="876"/>
      <c r="B404" s="876"/>
      <c r="C404" s="755"/>
      <c r="D404" s="870"/>
      <c r="E404" s="871" t="s">
        <v>2550</v>
      </c>
      <c r="F404" s="977"/>
      <c r="G404" s="977"/>
      <c r="H404" s="977"/>
      <c r="I404" s="977"/>
      <c r="J404" s="977"/>
      <c r="K404" s="977"/>
      <c r="L404" s="977"/>
      <c r="M404" s="977"/>
      <c r="N404" s="977"/>
      <c r="O404" s="977"/>
      <c r="P404" s="876"/>
      <c r="Q404" s="876"/>
      <c r="R404" s="876"/>
      <c r="S404" s="876"/>
      <c r="T404" s="876"/>
      <c r="U404" s="876"/>
      <c r="V404" s="876"/>
      <c r="Z404" s="1354"/>
      <c r="AA404" s="1354"/>
      <c r="AB404" s="1354"/>
      <c r="AC404" s="1354"/>
      <c r="AD404" s="1354"/>
      <c r="AE404" s="1354"/>
    </row>
    <row r="405" spans="1:31" s="779" customFormat="1" hidden="1" x14ac:dyDescent="0.25">
      <c r="A405" s="876" t="str">
        <f>IF(AND(F407=G407,H407=I407,J407=K407,F407="A"),"2015 - kwh",IF(AND(F407=G407,H407=I407,J407&lt;&gt;K407,F407="A"),"2016 - kwh",IF(AND(F407=G407,H407&lt;&gt;I407,F407="A"),"2017 - kwh","N/A")))</f>
        <v>N/A</v>
      </c>
      <c r="B405" s="876" t="str">
        <f>IF(F407&lt;&gt;G407,"2017 - kwh",IF(H407&lt;&gt;I407,"2016 - kwh",IF(J407&lt;&gt;K407,"2015 - kwh","N/A")))</f>
        <v>N/A</v>
      </c>
      <c r="C405" s="751" t="s">
        <v>2710</v>
      </c>
      <c r="D405" s="979"/>
      <c r="E405" s="873" t="s">
        <v>158</v>
      </c>
      <c r="F405" s="978"/>
      <c r="G405" s="978"/>
      <c r="H405" s="978"/>
      <c r="I405" s="978"/>
      <c r="J405" s="978"/>
      <c r="K405" s="978"/>
      <c r="L405" s="978"/>
      <c r="M405" s="978"/>
      <c r="N405" s="978"/>
      <c r="O405" s="978"/>
      <c r="P405" s="876"/>
      <c r="Q405" s="876"/>
      <c r="R405" s="876"/>
      <c r="S405" s="876"/>
      <c r="T405" s="876"/>
      <c r="U405" s="876"/>
      <c r="V405" s="876"/>
      <c r="Z405" s="1354"/>
      <c r="AA405" s="1354" t="str">
        <f>IF(AND(F407=G407,H407=I407,F407="A"),"2015 - kwh","")</f>
        <v/>
      </c>
      <c r="AB405" s="1354" t="str">
        <f>IF(OR(B405="2016 - kwh",B405="2017 - kwh"),"2015 - kwh","")</f>
        <v/>
      </c>
      <c r="AC405" s="1354"/>
      <c r="AD405" s="1354"/>
      <c r="AE405" s="1354"/>
    </row>
    <row r="406" spans="1:31" s="779" customFormat="1" hidden="1" x14ac:dyDescent="0.25">
      <c r="A406" s="876" t="str">
        <f>IF(AND(F407=G407,H407=I407,J407=K407,F407="A"),"2015 - kw",IF(AND(F407=G407,H407=I407,J407&lt;&gt;K407,F407="A"),"2016 - kw",IF(AND(F407=G407,H407&lt;&gt;I407,F407="A"),"2017 - kw","N/A")))</f>
        <v>N/A</v>
      </c>
      <c r="B406" s="876" t="str">
        <f>IF(F407&lt;&gt;G407,"2017 - kw",IF(H407&lt;&gt;I407,"2016 - kw",IF(J407&lt;&gt;K407,"2015 - kw","N/A")))</f>
        <v>N/A</v>
      </c>
      <c r="C406" s="752"/>
      <c r="D406" s="809" t="str">
        <f>D405 &amp; "kW"</f>
        <v>kW</v>
      </c>
      <c r="E406" s="872" t="s">
        <v>159</v>
      </c>
      <c r="F406" s="978"/>
      <c r="G406" s="978"/>
      <c r="H406" s="978"/>
      <c r="I406" s="978"/>
      <c r="J406" s="978"/>
      <c r="K406" s="978"/>
      <c r="L406" s="978"/>
      <c r="M406" s="978"/>
      <c r="N406" s="978"/>
      <c r="O406" s="978"/>
      <c r="P406" s="876"/>
      <c r="Q406" s="876"/>
      <c r="R406" s="876"/>
      <c r="S406" s="876"/>
      <c r="T406" s="876"/>
      <c r="U406" s="876"/>
      <c r="V406" s="876"/>
      <c r="Z406" s="1354"/>
      <c r="AA406" s="1354" t="str">
        <f>IF(AND(F407=G407,H407=I407,F407="A"),"2015 - kw","")</f>
        <v/>
      </c>
      <c r="AB406" s="1354" t="str">
        <f>IF(OR(B406="2016 - kw",B406="2017 - kw"),"2015 - kw","")</f>
        <v/>
      </c>
      <c r="AC406" s="1354"/>
      <c r="AD406" s="1354"/>
      <c r="AE406" s="1354"/>
    </row>
    <row r="407" spans="1:31" s="779" customFormat="1" hidden="1" x14ac:dyDescent="0.25">
      <c r="A407" s="876"/>
      <c r="B407" s="876"/>
      <c r="C407" s="755"/>
      <c r="D407" s="870"/>
      <c r="E407" s="871" t="s">
        <v>2550</v>
      </c>
      <c r="F407" s="977"/>
      <c r="G407" s="977"/>
      <c r="H407" s="977"/>
      <c r="I407" s="977"/>
      <c r="J407" s="977"/>
      <c r="K407" s="977"/>
      <c r="L407" s="977"/>
      <c r="M407" s="977"/>
      <c r="N407" s="977"/>
      <c r="O407" s="977"/>
      <c r="P407" s="876"/>
      <c r="Q407" s="876"/>
      <c r="R407" s="876"/>
      <c r="S407" s="876"/>
      <c r="T407" s="876"/>
      <c r="U407" s="876"/>
      <c r="V407" s="876"/>
      <c r="Z407" s="1354"/>
      <c r="AA407" s="1354"/>
      <c r="AB407" s="1354"/>
      <c r="AC407" s="1354"/>
      <c r="AD407" s="1354"/>
      <c r="AE407" s="1354"/>
    </row>
    <row r="408" spans="1:31" s="779" customFormat="1" hidden="1" x14ac:dyDescent="0.25">
      <c r="A408" s="876" t="str">
        <f>IF(AND(F410=G410,H410=I410,J410=K410,F410="A"),"2015 - kwh",IF(AND(F410=G410,H410=I410,J410&lt;&gt;K410,F410="A"),"2016 - kwh",IF(AND(F410=G410,H410&lt;&gt;I410,F410="A"),"2017 - kwh","N/A")))</f>
        <v>N/A</v>
      </c>
      <c r="B408" s="876" t="str">
        <f>IF(F410&lt;&gt;G410,"2017 - kwh",IF(H410&lt;&gt;I410,"2016 - kwh",IF(J410&lt;&gt;K410,"2015 - kwh","N/A")))</f>
        <v>N/A</v>
      </c>
      <c r="C408" s="751" t="s">
        <v>2711</v>
      </c>
      <c r="D408" s="979"/>
      <c r="E408" s="873" t="s">
        <v>158</v>
      </c>
      <c r="F408" s="978"/>
      <c r="G408" s="978"/>
      <c r="H408" s="978"/>
      <c r="I408" s="978"/>
      <c r="J408" s="978"/>
      <c r="K408" s="978"/>
      <c r="L408" s="978"/>
      <c r="M408" s="978"/>
      <c r="N408" s="978"/>
      <c r="O408" s="978"/>
      <c r="P408" s="876"/>
      <c r="Q408" s="876"/>
      <c r="R408" s="876"/>
      <c r="S408" s="876"/>
      <c r="T408" s="876"/>
      <c r="U408" s="876"/>
      <c r="V408" s="876"/>
      <c r="Z408" s="1354"/>
      <c r="AA408" s="1354" t="str">
        <f>IF(AND(F410=G410,H410=I410,F410="A"),"2015 - kwh","")</f>
        <v/>
      </c>
      <c r="AB408" s="1354" t="str">
        <f>IF(OR(B408="2016 - kwh",B408="2017 - kwh"),"2015 - kwh","")</f>
        <v/>
      </c>
      <c r="AC408" s="1354"/>
      <c r="AD408" s="1354"/>
      <c r="AE408" s="1354"/>
    </row>
    <row r="409" spans="1:31" s="779" customFormat="1" hidden="1" x14ac:dyDescent="0.25">
      <c r="A409" s="876" t="str">
        <f>IF(AND(F410=G410,H410=I410,J410=K410,F410="A"),"2015 - kw",IF(AND(F410=G410,H410=I410,J410&lt;&gt;K410,F410="A"),"2016 - kw",IF(AND(F410=G410,H410&lt;&gt;I410,F410="A"),"2017 - kw","N/A")))</f>
        <v>N/A</v>
      </c>
      <c r="B409" s="876" t="str">
        <f>IF(F410&lt;&gt;G410,"2017 - kw",IF(H410&lt;&gt;I410,"2016 - kw",IF(J410&lt;&gt;K410,"2015 - kw","N/A")))</f>
        <v>N/A</v>
      </c>
      <c r="C409" s="752"/>
      <c r="D409" s="809" t="str">
        <f>D408 &amp; "kW"</f>
        <v>kW</v>
      </c>
      <c r="E409" s="872" t="s">
        <v>159</v>
      </c>
      <c r="F409" s="978"/>
      <c r="G409" s="978"/>
      <c r="H409" s="978"/>
      <c r="I409" s="978"/>
      <c r="J409" s="978"/>
      <c r="K409" s="978"/>
      <c r="L409" s="978"/>
      <c r="M409" s="978"/>
      <c r="N409" s="978"/>
      <c r="O409" s="978"/>
      <c r="P409" s="876"/>
      <c r="Q409" s="876"/>
      <c r="R409" s="876"/>
      <c r="S409" s="876"/>
      <c r="T409" s="876"/>
      <c r="U409" s="876"/>
      <c r="V409" s="876"/>
      <c r="Z409" s="1354"/>
      <c r="AA409" s="1354" t="str">
        <f>IF(AND(F410=G410,H410=I410,F410="A"),"2015 - kw","")</f>
        <v/>
      </c>
      <c r="AB409" s="1354" t="str">
        <f>IF(OR(B409="2016 - kw",B409="2017 - kw"),"2015 - kw","")</f>
        <v/>
      </c>
      <c r="AC409" s="1354"/>
      <c r="AD409" s="1354"/>
      <c r="AE409" s="1354"/>
    </row>
    <row r="410" spans="1:31" s="779" customFormat="1" hidden="1" x14ac:dyDescent="0.25">
      <c r="A410" s="876"/>
      <c r="B410" s="876"/>
      <c r="C410" s="755"/>
      <c r="D410" s="870"/>
      <c r="E410" s="871" t="s">
        <v>2550</v>
      </c>
      <c r="F410" s="977"/>
      <c r="G410" s="977"/>
      <c r="H410" s="977"/>
      <c r="I410" s="977"/>
      <c r="J410" s="977"/>
      <c r="K410" s="977"/>
      <c r="L410" s="977"/>
      <c r="M410" s="977"/>
      <c r="N410" s="977"/>
      <c r="O410" s="977"/>
      <c r="P410" s="876"/>
      <c r="Q410" s="876"/>
      <c r="R410" s="876"/>
      <c r="S410" s="876"/>
      <c r="T410" s="876"/>
      <c r="U410" s="876"/>
      <c r="V410" s="876"/>
      <c r="Z410" s="1354"/>
      <c r="AA410" s="1354"/>
      <c r="AB410" s="1354"/>
      <c r="AC410" s="1354"/>
      <c r="AD410" s="1354"/>
      <c r="AE410" s="1354"/>
    </row>
    <row r="411" spans="1:31" s="779" customFormat="1" hidden="1" x14ac:dyDescent="0.25">
      <c r="A411" s="876" t="str">
        <f>IF(AND(F413=G413,H413=I413,J413=K413,F413="A"),"2015 - kwh",IF(AND(F413=G413,H413=I413,J413&lt;&gt;K413,F413="A"),"2016 - kwh",IF(AND(F413=G413,H413&lt;&gt;I413,F413="A"),"2017 - kwh","N/A")))</f>
        <v>N/A</v>
      </c>
      <c r="B411" s="876" t="str">
        <f>IF(F413&lt;&gt;G413,"2017 - kwh",IF(H413&lt;&gt;I413,"2016 - kwh",IF(J413&lt;&gt;K413,"2015 - kwh","N/A")))</f>
        <v>N/A</v>
      </c>
      <c r="C411" s="751" t="s">
        <v>2712</v>
      </c>
      <c r="D411" s="979"/>
      <c r="E411" s="873" t="s">
        <v>158</v>
      </c>
      <c r="F411" s="978"/>
      <c r="G411" s="978"/>
      <c r="H411" s="978"/>
      <c r="I411" s="978"/>
      <c r="J411" s="978"/>
      <c r="K411" s="978"/>
      <c r="L411" s="978"/>
      <c r="M411" s="978"/>
      <c r="N411" s="978"/>
      <c r="O411" s="978"/>
      <c r="P411" s="876"/>
      <c r="Q411" s="876"/>
      <c r="R411" s="876"/>
      <c r="S411" s="876"/>
      <c r="T411" s="876"/>
      <c r="U411" s="876"/>
      <c r="V411" s="876"/>
      <c r="Z411" s="1354"/>
      <c r="AA411" s="1354" t="str">
        <f>IF(AND(F413=G413,H413=I413,F413="A"),"2015 - kwh","")</f>
        <v/>
      </c>
      <c r="AB411" s="1354" t="str">
        <f>IF(OR(B411="2016 - kwh",B411="2017 - kwh"),"2015 - kwh","")</f>
        <v/>
      </c>
      <c r="AC411" s="1354"/>
      <c r="AD411" s="1354"/>
      <c r="AE411" s="1354"/>
    </row>
    <row r="412" spans="1:31" s="779" customFormat="1" hidden="1" x14ac:dyDescent="0.25">
      <c r="A412" s="876" t="str">
        <f>IF(AND(F413=G413,H413=I413,J413=K413,F413="A"),"2015 - kw",IF(AND(F413=G413,H413=I413,J413&lt;&gt;K413,F413="A"),"2016 - kw",IF(AND(F413=G413,H413&lt;&gt;I413,F413="A"),"2017 - kw","N/A")))</f>
        <v>N/A</v>
      </c>
      <c r="B412" s="876" t="str">
        <f>IF(F413&lt;&gt;G413,"2017 - kw",IF(H413&lt;&gt;I413,"2016 - kw",IF(J413&lt;&gt;K413,"2015 - kw","N/A")))</f>
        <v>N/A</v>
      </c>
      <c r="C412" s="752"/>
      <c r="D412" s="809" t="str">
        <f>D411 &amp; "kW"</f>
        <v>kW</v>
      </c>
      <c r="E412" s="872" t="s">
        <v>159</v>
      </c>
      <c r="F412" s="978"/>
      <c r="G412" s="978"/>
      <c r="H412" s="978"/>
      <c r="I412" s="978"/>
      <c r="J412" s="978"/>
      <c r="K412" s="978"/>
      <c r="L412" s="978"/>
      <c r="M412" s="978"/>
      <c r="N412" s="978"/>
      <c r="O412" s="978"/>
      <c r="P412" s="876"/>
      <c r="Q412" s="876"/>
      <c r="R412" s="876"/>
      <c r="S412" s="876"/>
      <c r="T412" s="876"/>
      <c r="U412" s="876"/>
      <c r="V412" s="876"/>
      <c r="Z412" s="1354"/>
      <c r="AA412" s="1354" t="str">
        <f>IF(AND(F413=G413,H413=I413,F413="A"),"2015 - kw","")</f>
        <v/>
      </c>
      <c r="AB412" s="1354" t="str">
        <f>IF(OR(B412="2016 - kw",B412="2017 - kw"),"2015 - kw","")</f>
        <v/>
      </c>
      <c r="AC412" s="1354"/>
      <c r="AD412" s="1354"/>
      <c r="AE412" s="1354"/>
    </row>
    <row r="413" spans="1:31" s="779" customFormat="1" hidden="1" x14ac:dyDescent="0.25">
      <c r="A413" s="876"/>
      <c r="B413" s="876"/>
      <c r="C413" s="755"/>
      <c r="D413" s="870"/>
      <c r="E413" s="871" t="s">
        <v>2550</v>
      </c>
      <c r="F413" s="977"/>
      <c r="G413" s="977"/>
      <c r="H413" s="977"/>
      <c r="I413" s="977"/>
      <c r="J413" s="977"/>
      <c r="K413" s="977"/>
      <c r="L413" s="977"/>
      <c r="M413" s="977"/>
      <c r="N413" s="977"/>
      <c r="O413" s="977"/>
      <c r="P413" s="876"/>
      <c r="Q413" s="876"/>
      <c r="R413" s="876"/>
      <c r="S413" s="876"/>
      <c r="T413" s="876"/>
      <c r="U413" s="876"/>
      <c r="V413" s="876"/>
      <c r="Z413" s="1354"/>
      <c r="AA413" s="1354"/>
      <c r="AB413" s="1354"/>
      <c r="AC413" s="1354"/>
      <c r="AD413" s="1354"/>
      <c r="AE413" s="1354"/>
    </row>
    <row r="414" spans="1:31" s="779" customFormat="1" hidden="1" x14ac:dyDescent="0.25">
      <c r="A414" s="876" t="str">
        <f>IF(AND(F416=G416,H416=I416,J416=K416,F416="A"),"2015 - kwh",IF(AND(F416=G416,H416=I416,J416&lt;&gt;K416,F416="A"),"2016 - kwh",IF(AND(F416=G416,H416&lt;&gt;I416,F416="A"),"2017 - kwh","N/A")))</f>
        <v>N/A</v>
      </c>
      <c r="B414" s="876" t="str">
        <f>IF(F416&lt;&gt;G416,"2017 - kwh",IF(H416&lt;&gt;I416,"2016 - kwh",IF(J416&lt;&gt;K416,"2015 - kwh","N/A")))</f>
        <v>N/A</v>
      </c>
      <c r="C414" s="751" t="s">
        <v>2713</v>
      </c>
      <c r="D414" s="979"/>
      <c r="E414" s="873" t="s">
        <v>158</v>
      </c>
      <c r="F414" s="978"/>
      <c r="G414" s="978"/>
      <c r="H414" s="978"/>
      <c r="I414" s="978"/>
      <c r="J414" s="978"/>
      <c r="K414" s="978"/>
      <c r="L414" s="978"/>
      <c r="M414" s="978"/>
      <c r="N414" s="978"/>
      <c r="O414" s="978"/>
      <c r="P414" s="876"/>
      <c r="Q414" s="876"/>
      <c r="R414" s="876"/>
      <c r="S414" s="876"/>
      <c r="T414" s="876"/>
      <c r="U414" s="876"/>
      <c r="V414" s="876"/>
      <c r="Z414" s="1354"/>
      <c r="AA414" s="1354" t="str">
        <f>IF(AND(F416=G416,H416=I416,F416="A"),"2015 - kwh","")</f>
        <v/>
      </c>
      <c r="AB414" s="1354" t="str">
        <f>IF(OR(B414="2016 - kwh",B414="2017 - kwh"),"2015 - kwh","")</f>
        <v/>
      </c>
      <c r="AC414" s="1354"/>
      <c r="AD414" s="1354"/>
      <c r="AE414" s="1354"/>
    </row>
    <row r="415" spans="1:31" s="779" customFormat="1" hidden="1" x14ac:dyDescent="0.25">
      <c r="A415" s="876" t="str">
        <f>IF(AND(F416=G416,H416=I416,J416=K416,F416="A"),"2015 - kw",IF(AND(F416=G416,H416=I416,J416&lt;&gt;K416,F416="A"),"2016 - kw",IF(AND(F416=G416,H416&lt;&gt;I416,F416="A"),"2017 - kw","N/A")))</f>
        <v>N/A</v>
      </c>
      <c r="B415" s="876" t="str">
        <f>IF(F416&lt;&gt;G416,"2017 - kw",IF(H416&lt;&gt;I416,"2016 - kw",IF(J416&lt;&gt;K416,"2015 - kw","N/A")))</f>
        <v>N/A</v>
      </c>
      <c r="C415" s="752"/>
      <c r="D415" s="809" t="str">
        <f>D414 &amp; "kW"</f>
        <v>kW</v>
      </c>
      <c r="E415" s="872" t="s">
        <v>159</v>
      </c>
      <c r="F415" s="978"/>
      <c r="G415" s="978"/>
      <c r="H415" s="978"/>
      <c r="I415" s="978"/>
      <c r="J415" s="978"/>
      <c r="K415" s="978"/>
      <c r="L415" s="978"/>
      <c r="M415" s="978"/>
      <c r="N415" s="978"/>
      <c r="O415" s="978"/>
      <c r="P415" s="876"/>
      <c r="Q415" s="876"/>
      <c r="R415" s="876"/>
      <c r="S415" s="876"/>
      <c r="T415" s="876"/>
      <c r="U415" s="876"/>
      <c r="V415" s="876"/>
      <c r="Z415" s="1354"/>
      <c r="AA415" s="1354" t="str">
        <f>IF(AND(F416=G416,H416=I416,F416="A"),"2015 - kw","")</f>
        <v/>
      </c>
      <c r="AB415" s="1354" t="str">
        <f>IF(OR(B415="2016 - kw",B415="2017 - kw"),"2015 - kw","")</f>
        <v/>
      </c>
      <c r="AC415" s="1354"/>
      <c r="AD415" s="1354"/>
      <c r="AE415" s="1354"/>
    </row>
    <row r="416" spans="1:31" s="779" customFormat="1" hidden="1" x14ac:dyDescent="0.25">
      <c r="A416" s="876"/>
      <c r="B416" s="876"/>
      <c r="C416" s="755"/>
      <c r="D416" s="870"/>
      <c r="E416" s="871" t="s">
        <v>2550</v>
      </c>
      <c r="F416" s="977"/>
      <c r="G416" s="977"/>
      <c r="H416" s="977"/>
      <c r="I416" s="977"/>
      <c r="J416" s="977"/>
      <c r="K416" s="977"/>
      <c r="L416" s="977"/>
      <c r="M416" s="977"/>
      <c r="N416" s="977"/>
      <c r="O416" s="977"/>
      <c r="P416" s="876"/>
      <c r="Q416" s="876"/>
      <c r="R416" s="876"/>
      <c r="S416" s="876"/>
      <c r="T416" s="876"/>
      <c r="U416" s="876"/>
      <c r="V416" s="876"/>
      <c r="Z416" s="1354"/>
      <c r="AA416" s="1354"/>
      <c r="AB416" s="1354"/>
      <c r="AC416" s="1354"/>
      <c r="AD416" s="1354"/>
      <c r="AE416" s="1354"/>
    </row>
    <row r="417" spans="1:31" s="779" customFormat="1" hidden="1" x14ac:dyDescent="0.25">
      <c r="A417" s="876" t="str">
        <f>IF(AND(F419=G419,H419=I419,J419=K419,F419="A"),"2015 - kwh",IF(AND(F419=G419,H419=I419,J419&lt;&gt;K419,F419="A"),"2016 - kwh",IF(AND(F419=G419,H419&lt;&gt;I419,F419="A"),"2017 - kwh","N/A")))</f>
        <v>N/A</v>
      </c>
      <c r="B417" s="876" t="str">
        <f>IF(F419&lt;&gt;G419,"2017 - kwh",IF(H419&lt;&gt;I419,"2016 - kwh",IF(J419&lt;&gt;K419,"2015 - kwh","N/A")))</f>
        <v>N/A</v>
      </c>
      <c r="C417" s="751" t="s">
        <v>2714</v>
      </c>
      <c r="D417" s="979"/>
      <c r="E417" s="873" t="s">
        <v>158</v>
      </c>
      <c r="F417" s="978"/>
      <c r="G417" s="978"/>
      <c r="H417" s="978"/>
      <c r="I417" s="978"/>
      <c r="J417" s="978"/>
      <c r="K417" s="978"/>
      <c r="L417" s="978"/>
      <c r="M417" s="978"/>
      <c r="N417" s="978"/>
      <c r="O417" s="978"/>
      <c r="P417" s="876"/>
      <c r="Q417" s="876"/>
      <c r="R417" s="876"/>
      <c r="S417" s="876"/>
      <c r="T417" s="876"/>
      <c r="U417" s="876"/>
      <c r="V417" s="876"/>
      <c r="Z417" s="1354"/>
      <c r="AA417" s="1354" t="str">
        <f>IF(AND(F419=G419,H419=I419,F419="A"),"2015 - kwh","")</f>
        <v/>
      </c>
      <c r="AB417" s="1354" t="str">
        <f>IF(OR(B417="2016 - kwh",B417="2017 - kwh"),"2015 - kwh","")</f>
        <v/>
      </c>
      <c r="AC417" s="1354"/>
      <c r="AD417" s="1354"/>
      <c r="AE417" s="1354"/>
    </row>
    <row r="418" spans="1:31" s="779" customFormat="1" hidden="1" x14ac:dyDescent="0.25">
      <c r="A418" s="876" t="str">
        <f>IF(AND(F419=G419,H419=I419,J419=K419,F419="A"),"2015 - kw",IF(AND(F419=G419,H419=I419,J419&lt;&gt;K419,F419="A"),"2016 - kw",IF(AND(F419=G419,H419&lt;&gt;I419,F419="A"),"2017 - kw","N/A")))</f>
        <v>N/A</v>
      </c>
      <c r="B418" s="876" t="str">
        <f>IF(F419&lt;&gt;G419,"2017 - kw",IF(H419&lt;&gt;I419,"2016 - kw",IF(J419&lt;&gt;K419,"2015 - kw","N/A")))</f>
        <v>N/A</v>
      </c>
      <c r="C418" s="752"/>
      <c r="D418" s="809" t="str">
        <f>D417 &amp; "kW"</f>
        <v>kW</v>
      </c>
      <c r="E418" s="872" t="s">
        <v>159</v>
      </c>
      <c r="F418" s="978"/>
      <c r="G418" s="978"/>
      <c r="H418" s="978"/>
      <c r="I418" s="978"/>
      <c r="J418" s="978"/>
      <c r="K418" s="978"/>
      <c r="L418" s="978"/>
      <c r="M418" s="978"/>
      <c r="N418" s="978"/>
      <c r="O418" s="978"/>
      <c r="P418" s="876"/>
      <c r="Q418" s="876"/>
      <c r="R418" s="876"/>
      <c r="S418" s="876"/>
      <c r="T418" s="876"/>
      <c r="U418" s="876"/>
      <c r="V418" s="876"/>
      <c r="Z418" s="1354"/>
      <c r="AA418" s="1354" t="str">
        <f>IF(AND(F419=G419,H419=I419,F419="A"),"2015 - kw","")</f>
        <v/>
      </c>
      <c r="AB418" s="1354" t="str">
        <f>IF(OR(B418="2016 - kw",B418="2017 - kw"),"2015 - kw","")</f>
        <v/>
      </c>
      <c r="AC418" s="1354"/>
      <c r="AD418" s="1354"/>
      <c r="AE418" s="1354"/>
    </row>
    <row r="419" spans="1:31" s="779" customFormat="1" hidden="1" x14ac:dyDescent="0.25">
      <c r="A419" s="876"/>
      <c r="B419" s="876"/>
      <c r="C419" s="755"/>
      <c r="D419" s="870"/>
      <c r="E419" s="871" t="s">
        <v>2550</v>
      </c>
      <c r="F419" s="977"/>
      <c r="G419" s="977"/>
      <c r="H419" s="977"/>
      <c r="I419" s="977"/>
      <c r="J419" s="977"/>
      <c r="K419" s="977"/>
      <c r="L419" s="977"/>
      <c r="M419" s="977"/>
      <c r="N419" s="977"/>
      <c r="O419" s="977"/>
      <c r="P419" s="876"/>
      <c r="Q419" s="876"/>
      <c r="R419" s="876"/>
      <c r="S419" s="876"/>
      <c r="T419" s="876"/>
      <c r="U419" s="876"/>
      <c r="V419" s="876"/>
      <c r="Z419" s="1354"/>
      <c r="AA419" s="1354"/>
      <c r="AB419" s="1354"/>
      <c r="AC419" s="1354"/>
      <c r="AD419" s="1354"/>
      <c r="AE419" s="1354"/>
    </row>
    <row r="420" spans="1:31" s="779" customFormat="1" hidden="1" x14ac:dyDescent="0.25">
      <c r="A420" s="876" t="str">
        <f>IF(AND(F422=G422,H422=I422,J422=K422,F422="A"),"2015 - kwh",IF(AND(F422=G422,H422=I422,J422&lt;&gt;K422,F422="A"),"2016 - kwh",IF(AND(F422=G422,H422&lt;&gt;I422,F422="A"),"2017 - kwh","N/A")))</f>
        <v>N/A</v>
      </c>
      <c r="B420" s="876" t="str">
        <f>IF(F422&lt;&gt;G422,"2017 - kwh",IF(H422&lt;&gt;I422,"2016 - kwh",IF(J422&lt;&gt;K422,"2015 - kwh","N/A")))</f>
        <v>N/A</v>
      </c>
      <c r="C420" s="751" t="s">
        <v>2715</v>
      </c>
      <c r="D420" s="979"/>
      <c r="E420" s="873" t="s">
        <v>158</v>
      </c>
      <c r="F420" s="978"/>
      <c r="G420" s="978"/>
      <c r="H420" s="978"/>
      <c r="I420" s="978"/>
      <c r="J420" s="978"/>
      <c r="K420" s="978"/>
      <c r="L420" s="978"/>
      <c r="M420" s="978"/>
      <c r="N420" s="978"/>
      <c r="O420" s="978"/>
      <c r="P420" s="876"/>
      <c r="Q420" s="876"/>
      <c r="R420" s="876"/>
      <c r="S420" s="876"/>
      <c r="T420" s="876"/>
      <c r="U420" s="876"/>
      <c r="V420" s="876"/>
      <c r="Z420" s="1354"/>
      <c r="AA420" s="1354" t="str">
        <f>IF(AND(F422=G422,H422=I422,F422="A"),"2015 - kwh","")</f>
        <v/>
      </c>
      <c r="AB420" s="1354" t="str">
        <f>IF(OR(B420="2016 - kwh",B420="2017 - kwh"),"2015 - kwh","")</f>
        <v/>
      </c>
      <c r="AC420" s="1354"/>
      <c r="AD420" s="1354"/>
      <c r="AE420" s="1354"/>
    </row>
    <row r="421" spans="1:31" s="779" customFormat="1" hidden="1" x14ac:dyDescent="0.25">
      <c r="A421" s="876" t="str">
        <f>IF(AND(F422=G422,H422=I422,J422=K422,F422="A"),"2015 - kw",IF(AND(F422=G422,H422=I422,J422&lt;&gt;K422,F422="A"),"2016 - kw",IF(AND(F422=G422,H422&lt;&gt;I422,F422="A"),"2017 - kw","N/A")))</f>
        <v>N/A</v>
      </c>
      <c r="B421" s="876" t="str">
        <f>IF(F422&lt;&gt;G422,"2017 - kw",IF(H422&lt;&gt;I422,"2016 - kw",IF(J422&lt;&gt;K422,"2015 - kw","N/A")))</f>
        <v>N/A</v>
      </c>
      <c r="C421" s="752"/>
      <c r="D421" s="809" t="str">
        <f>D420 &amp; "kW"</f>
        <v>kW</v>
      </c>
      <c r="E421" s="872" t="s">
        <v>159</v>
      </c>
      <c r="F421" s="978"/>
      <c r="G421" s="978"/>
      <c r="H421" s="978"/>
      <c r="I421" s="978"/>
      <c r="J421" s="978"/>
      <c r="K421" s="978"/>
      <c r="L421" s="978"/>
      <c r="M421" s="978"/>
      <c r="N421" s="978"/>
      <c r="O421" s="978"/>
      <c r="P421" s="876"/>
      <c r="Q421" s="876"/>
      <c r="R421" s="876"/>
      <c r="S421" s="876"/>
      <c r="T421" s="876"/>
      <c r="U421" s="876"/>
      <c r="V421" s="876"/>
      <c r="Z421" s="1354"/>
      <c r="AA421" s="1354" t="str">
        <f>IF(AND(F422=G422,H422=I422,F422="A"),"2015 - kw","")</f>
        <v/>
      </c>
      <c r="AB421" s="1354" t="str">
        <f>IF(OR(B421="2016 - kw",B421="2017 - kw"),"2015 - kw","")</f>
        <v/>
      </c>
      <c r="AC421" s="1354"/>
      <c r="AD421" s="1354"/>
      <c r="AE421" s="1354"/>
    </row>
    <row r="422" spans="1:31" s="779" customFormat="1" hidden="1" x14ac:dyDescent="0.25">
      <c r="A422" s="876"/>
      <c r="B422" s="876"/>
      <c r="C422" s="755"/>
      <c r="D422" s="870"/>
      <c r="E422" s="871" t="s">
        <v>2550</v>
      </c>
      <c r="F422" s="977"/>
      <c r="G422" s="977"/>
      <c r="H422" s="977"/>
      <c r="I422" s="977"/>
      <c r="J422" s="977"/>
      <c r="K422" s="977"/>
      <c r="L422" s="977"/>
      <c r="M422" s="977"/>
      <c r="N422" s="977"/>
      <c r="O422" s="977"/>
      <c r="P422" s="876"/>
      <c r="Q422" s="876"/>
      <c r="R422" s="876"/>
      <c r="S422" s="876"/>
      <c r="T422" s="876"/>
      <c r="U422" s="876"/>
      <c r="V422" s="876"/>
      <c r="Z422" s="1354"/>
      <c r="AA422" s="1354"/>
      <c r="AB422" s="1354"/>
      <c r="AC422" s="1354"/>
      <c r="AD422" s="1354"/>
      <c r="AE422" s="1354"/>
    </row>
    <row r="423" spans="1:31" s="779" customFormat="1" hidden="1" x14ac:dyDescent="0.25">
      <c r="A423" s="876" t="str">
        <f>IF(AND(F425=G425,H425=I425,J425=K425,F425="A"),"2015 - kwh",IF(AND(F425=G425,H425=I425,J425&lt;&gt;K425,F425="A"),"2016 - kwh",IF(AND(F425=G425,H425&lt;&gt;I425,F425="A"),"2017 - kwh","N/A")))</f>
        <v>N/A</v>
      </c>
      <c r="B423" s="876" t="str">
        <f>IF(F425&lt;&gt;G425,"2017 - kwh",IF(H425&lt;&gt;I425,"2016 - kwh",IF(J425&lt;&gt;K425,"2015 - kwh","N/A")))</f>
        <v>N/A</v>
      </c>
      <c r="C423" s="751" t="s">
        <v>2716</v>
      </c>
      <c r="D423" s="979"/>
      <c r="E423" s="873" t="s">
        <v>158</v>
      </c>
      <c r="F423" s="978"/>
      <c r="G423" s="978"/>
      <c r="H423" s="978"/>
      <c r="I423" s="978"/>
      <c r="J423" s="978"/>
      <c r="K423" s="978"/>
      <c r="L423" s="978"/>
      <c r="M423" s="978"/>
      <c r="N423" s="978"/>
      <c r="O423" s="978"/>
      <c r="P423" s="876"/>
      <c r="Q423" s="876"/>
      <c r="R423" s="876"/>
      <c r="S423" s="876"/>
      <c r="T423" s="876"/>
      <c r="U423" s="876"/>
      <c r="V423" s="876"/>
      <c r="Z423" s="1354"/>
      <c r="AA423" s="1354" t="str">
        <f>IF(AND(F425=G425,H425=I425,F425="A"),"2015 - kwh","")</f>
        <v/>
      </c>
      <c r="AB423" s="1354" t="str">
        <f>IF(OR(B423="2016 - kwh",B423="2017 - kwh"),"2015 - kwh","")</f>
        <v/>
      </c>
      <c r="AC423" s="1354"/>
      <c r="AD423" s="1354"/>
      <c r="AE423" s="1354"/>
    </row>
    <row r="424" spans="1:31" s="779" customFormat="1" hidden="1" x14ac:dyDescent="0.25">
      <c r="A424" s="876" t="str">
        <f>IF(AND(F425=G425,H425=I425,J425=K425,F425="A"),"2015 - kw",IF(AND(F425=G425,H425=I425,J425&lt;&gt;K425,F425="A"),"2016 - kw",IF(AND(F425=G425,H425&lt;&gt;I425,F425="A"),"2017 - kw","N/A")))</f>
        <v>N/A</v>
      </c>
      <c r="B424" s="876" t="str">
        <f>IF(F425&lt;&gt;G425,"2017 - kw",IF(H425&lt;&gt;I425,"2016 - kw",IF(J425&lt;&gt;K425,"2015 - kw","N/A")))</f>
        <v>N/A</v>
      </c>
      <c r="C424" s="752"/>
      <c r="D424" s="809" t="str">
        <f>D423 &amp; "kW"</f>
        <v>kW</v>
      </c>
      <c r="E424" s="872" t="s">
        <v>159</v>
      </c>
      <c r="F424" s="978"/>
      <c r="G424" s="978"/>
      <c r="H424" s="978"/>
      <c r="I424" s="978"/>
      <c r="J424" s="978"/>
      <c r="K424" s="978"/>
      <c r="L424" s="978"/>
      <c r="M424" s="978"/>
      <c r="N424" s="978"/>
      <c r="O424" s="978"/>
      <c r="P424" s="876"/>
      <c r="Q424" s="876"/>
      <c r="R424" s="876"/>
      <c r="S424" s="876"/>
      <c r="T424" s="876"/>
      <c r="U424" s="876"/>
      <c r="V424" s="876"/>
      <c r="Z424" s="1354"/>
      <c r="AA424" s="1354" t="str">
        <f>IF(AND(F425=G425,H425=I425,F425="A"),"2015 - kw","")</f>
        <v/>
      </c>
      <c r="AB424" s="1354" t="str">
        <f>IF(OR(B424="2016 - kw",B424="2017 - kw"),"2015 - kw","")</f>
        <v/>
      </c>
      <c r="AC424" s="1354"/>
      <c r="AD424" s="1354"/>
      <c r="AE424" s="1354"/>
    </row>
    <row r="425" spans="1:31" s="779" customFormat="1" hidden="1" x14ac:dyDescent="0.25">
      <c r="A425" s="876"/>
      <c r="B425" s="876"/>
      <c r="C425" s="755"/>
      <c r="D425" s="870"/>
      <c r="E425" s="871" t="s">
        <v>2550</v>
      </c>
      <c r="F425" s="977"/>
      <c r="G425" s="977"/>
      <c r="H425" s="977"/>
      <c r="I425" s="977"/>
      <c r="J425" s="977"/>
      <c r="K425" s="977"/>
      <c r="L425" s="977"/>
      <c r="M425" s="977"/>
      <c r="N425" s="977"/>
      <c r="O425" s="977"/>
      <c r="P425" s="876"/>
      <c r="Q425" s="876"/>
      <c r="R425" s="876"/>
      <c r="S425" s="876"/>
      <c r="T425" s="876"/>
      <c r="U425" s="876"/>
      <c r="V425" s="876"/>
      <c r="Z425" s="1354"/>
      <c r="AA425" s="1354"/>
      <c r="AB425" s="1354"/>
      <c r="AC425" s="1354"/>
      <c r="AD425" s="1354"/>
      <c r="AE425" s="1354"/>
    </row>
    <row r="426" spans="1:31" s="779" customFormat="1" hidden="1" x14ac:dyDescent="0.25">
      <c r="A426" s="876" t="str">
        <f>IF(AND(F428=G428,H428=I428,J428=K428,F428="A"),"2015 - kwh",IF(AND(F428=G428,H428=I428,J428&lt;&gt;K428,F428="A"),"2016 - kwh",IF(AND(F428=G428,H428&lt;&gt;I428,F428="A"),"2017 - kwh","N/A")))</f>
        <v>N/A</v>
      </c>
      <c r="B426" s="876" t="str">
        <f>IF(F428&lt;&gt;G428,"2017 - kwh",IF(H428&lt;&gt;I428,"2016 - kwh",IF(J428&lt;&gt;K428,"2015 - kwh","N/A")))</f>
        <v>N/A</v>
      </c>
      <c r="C426" s="751" t="s">
        <v>2717</v>
      </c>
      <c r="D426" s="979"/>
      <c r="E426" s="873" t="s">
        <v>158</v>
      </c>
      <c r="F426" s="978"/>
      <c r="G426" s="978"/>
      <c r="H426" s="978"/>
      <c r="I426" s="978"/>
      <c r="J426" s="978"/>
      <c r="K426" s="978"/>
      <c r="L426" s="978"/>
      <c r="M426" s="978"/>
      <c r="N426" s="978"/>
      <c r="O426" s="978"/>
      <c r="P426" s="876"/>
      <c r="Q426" s="876"/>
      <c r="R426" s="876"/>
      <c r="S426" s="876"/>
      <c r="T426" s="876"/>
      <c r="U426" s="876"/>
      <c r="V426" s="876"/>
      <c r="Z426" s="1354"/>
      <c r="AA426" s="1354" t="str">
        <f>IF(AND(F428=G428,H428=I428,F428="A"),"2015 - kwh","")</f>
        <v/>
      </c>
      <c r="AB426" s="1354" t="str">
        <f>IF(OR(B426="2016 - kwh",B426="2017 - kwh"),"2015 - kwh","")</f>
        <v/>
      </c>
      <c r="AC426" s="1354"/>
      <c r="AD426" s="1354"/>
      <c r="AE426" s="1354"/>
    </row>
    <row r="427" spans="1:31" s="779" customFormat="1" hidden="1" x14ac:dyDescent="0.25">
      <c r="A427" s="876" t="str">
        <f>IF(AND(F428=G428,H428=I428,J428=K428,F428="A"),"2015 - kw",IF(AND(F428=G428,H428=I428,J428&lt;&gt;K428,F428="A"),"2016 - kw",IF(AND(F428=G428,H428&lt;&gt;I428,F428="A"),"2017 - kw","N/A")))</f>
        <v>N/A</v>
      </c>
      <c r="B427" s="876" t="str">
        <f>IF(F428&lt;&gt;G428,"2017 - kw",IF(H428&lt;&gt;I428,"2016 - kw",IF(J428&lt;&gt;K428,"2015 - kw","N/A")))</f>
        <v>N/A</v>
      </c>
      <c r="C427" s="752"/>
      <c r="D427" s="809" t="str">
        <f>D426 &amp; "kW"</f>
        <v>kW</v>
      </c>
      <c r="E427" s="872" t="s">
        <v>159</v>
      </c>
      <c r="F427" s="978"/>
      <c r="G427" s="978"/>
      <c r="H427" s="978"/>
      <c r="I427" s="978"/>
      <c r="J427" s="978"/>
      <c r="K427" s="978"/>
      <c r="L427" s="978"/>
      <c r="M427" s="978"/>
      <c r="N427" s="978"/>
      <c r="O427" s="978"/>
      <c r="P427" s="876"/>
      <c r="Q427" s="876"/>
      <c r="R427" s="876"/>
      <c r="S427" s="876"/>
      <c r="T427" s="876"/>
      <c r="U427" s="876"/>
      <c r="V427" s="876"/>
      <c r="Z427" s="1354"/>
      <c r="AA427" s="1354" t="str">
        <f>IF(AND(F428=G428,H428=I428,F428="A"),"2015 - kw","")</f>
        <v/>
      </c>
      <c r="AB427" s="1354" t="str">
        <f>IF(OR(B427="2016 - kw",B427="2017 - kw"),"2015 - kw","")</f>
        <v/>
      </c>
      <c r="AC427" s="1354"/>
      <c r="AD427" s="1354"/>
      <c r="AE427" s="1354"/>
    </row>
    <row r="428" spans="1:31" s="779" customFormat="1" hidden="1" x14ac:dyDescent="0.25">
      <c r="A428" s="876"/>
      <c r="B428" s="876"/>
      <c r="C428" s="755"/>
      <c r="D428" s="870"/>
      <c r="E428" s="871" t="s">
        <v>2550</v>
      </c>
      <c r="F428" s="977"/>
      <c r="G428" s="977"/>
      <c r="H428" s="977"/>
      <c r="I428" s="977"/>
      <c r="J428" s="977"/>
      <c r="K428" s="977"/>
      <c r="L428" s="977"/>
      <c r="M428" s="977"/>
      <c r="N428" s="977"/>
      <c r="O428" s="977"/>
      <c r="P428" s="876"/>
      <c r="Q428" s="876"/>
      <c r="R428" s="876"/>
      <c r="S428" s="876"/>
      <c r="T428" s="876"/>
      <c r="U428" s="876"/>
      <c r="V428" s="876"/>
      <c r="Z428" s="1354"/>
      <c r="AA428" s="1354"/>
      <c r="AB428" s="1354"/>
      <c r="AC428" s="1354"/>
      <c r="AD428" s="1354"/>
      <c r="AE428" s="1354"/>
    </row>
    <row r="429" spans="1:31" s="779" customFormat="1" hidden="1" x14ac:dyDescent="0.25">
      <c r="A429" s="876" t="str">
        <f>IF(AND(F431=G431,H431=I431,J431=K431,F431="A"),"2015 - kwh",IF(AND(F431=G431,H431=I431,J431&lt;&gt;K431,F431="A"),"2016 - kwh",IF(AND(F431=G431,H431&lt;&gt;I431,F431="A"),"2017 - kwh","N/A")))</f>
        <v>N/A</v>
      </c>
      <c r="B429" s="876" t="str">
        <f>IF(F431&lt;&gt;G431,"2017 - kwh",IF(H431&lt;&gt;I431,"2016 - kwh",IF(J431&lt;&gt;K431,"2015 - kwh","N/A")))</f>
        <v>N/A</v>
      </c>
      <c r="C429" s="751" t="s">
        <v>2718</v>
      </c>
      <c r="D429" s="979"/>
      <c r="E429" s="873" t="s">
        <v>158</v>
      </c>
      <c r="F429" s="978"/>
      <c r="G429" s="978"/>
      <c r="H429" s="978"/>
      <c r="I429" s="978"/>
      <c r="J429" s="978"/>
      <c r="K429" s="978"/>
      <c r="L429" s="978"/>
      <c r="M429" s="978"/>
      <c r="N429" s="978"/>
      <c r="O429" s="978"/>
      <c r="P429" s="876"/>
      <c r="Q429" s="876"/>
      <c r="R429" s="876"/>
      <c r="S429" s="876"/>
      <c r="T429" s="876"/>
      <c r="U429" s="876"/>
      <c r="V429" s="876"/>
      <c r="Z429" s="1354"/>
      <c r="AA429" s="1354" t="str">
        <f>IF(AND(F431=G431,H431=I431,F431="A"),"2015 - kwh","")</f>
        <v/>
      </c>
      <c r="AB429" s="1354" t="str">
        <f>IF(OR(B429="2016 - kwh",B429="2017 - kwh"),"2015 - kwh","")</f>
        <v/>
      </c>
      <c r="AC429" s="1354"/>
      <c r="AD429" s="1354"/>
      <c r="AE429" s="1354"/>
    </row>
    <row r="430" spans="1:31" s="779" customFormat="1" hidden="1" x14ac:dyDescent="0.25">
      <c r="A430" s="876" t="str">
        <f>IF(AND(F431=G431,H431=I431,J431=K431,F431="A"),"2015 - kw",IF(AND(F431=G431,H431=I431,J431&lt;&gt;K431,F431="A"),"2016 - kw",IF(AND(F431=G431,H431&lt;&gt;I431,F431="A"),"2017 - kw","N/A")))</f>
        <v>N/A</v>
      </c>
      <c r="B430" s="876" t="str">
        <f>IF(F431&lt;&gt;G431,"2017 - kw",IF(H431&lt;&gt;I431,"2016 - kw",IF(J431&lt;&gt;K431,"2015 - kw","N/A")))</f>
        <v>N/A</v>
      </c>
      <c r="C430" s="752"/>
      <c r="D430" s="809" t="str">
        <f>D429 &amp; "kW"</f>
        <v>kW</v>
      </c>
      <c r="E430" s="872" t="s">
        <v>159</v>
      </c>
      <c r="F430" s="978"/>
      <c r="G430" s="978"/>
      <c r="H430" s="978"/>
      <c r="I430" s="978"/>
      <c r="J430" s="978"/>
      <c r="K430" s="978"/>
      <c r="L430" s="978"/>
      <c r="M430" s="978"/>
      <c r="N430" s="978"/>
      <c r="O430" s="978"/>
      <c r="P430" s="876"/>
      <c r="Q430" s="876"/>
      <c r="R430" s="876"/>
      <c r="S430" s="876"/>
      <c r="T430" s="876"/>
      <c r="U430" s="876"/>
      <c r="V430" s="876"/>
      <c r="Z430" s="1354"/>
      <c r="AA430" s="1354" t="str">
        <f>IF(AND(F431=G431,H431=I431,F431="A"),"2015 - kw","")</f>
        <v/>
      </c>
      <c r="AB430" s="1354" t="str">
        <f>IF(OR(B430="2016 - kw",B430="2017 - kw"),"2015 - kw","")</f>
        <v/>
      </c>
      <c r="AC430" s="1354"/>
      <c r="AD430" s="1354"/>
      <c r="AE430" s="1354"/>
    </row>
    <row r="431" spans="1:31" s="779" customFormat="1" hidden="1" x14ac:dyDescent="0.25">
      <c r="A431" s="876"/>
      <c r="B431" s="876"/>
      <c r="C431" s="755"/>
      <c r="D431" s="980"/>
      <c r="E431" s="871" t="s">
        <v>2550</v>
      </c>
      <c r="F431" s="977"/>
      <c r="G431" s="977"/>
      <c r="H431" s="977"/>
      <c r="I431" s="977"/>
      <c r="J431" s="977"/>
      <c r="K431" s="977"/>
      <c r="L431" s="977"/>
      <c r="M431" s="977"/>
      <c r="N431" s="977"/>
      <c r="O431" s="977"/>
      <c r="P431" s="876"/>
      <c r="Q431" s="876"/>
      <c r="R431" s="876"/>
      <c r="S431" s="876"/>
      <c r="T431" s="876"/>
      <c r="U431" s="876"/>
      <c r="V431" s="876"/>
      <c r="Z431" s="1354"/>
      <c r="AA431" s="1354"/>
      <c r="AB431" s="1354"/>
      <c r="AC431" s="1354"/>
      <c r="AD431" s="1354"/>
      <c r="AE431" s="1354"/>
    </row>
    <row r="432" spans="1:31" s="779" customFormat="1" hidden="1" x14ac:dyDescent="0.25">
      <c r="A432" s="876" t="str">
        <f>IF(AND(F434=G434,H434=I434,J434=K434,F434="A"),"2015 - kwh",IF(AND(F434=G434,H434=I434,J434&lt;&gt;K434,F434="A"),"2016 - kwh",IF(AND(F434=G434,H434&lt;&gt;I434,F434="A"),"2017 - kwh","N/A")))</f>
        <v>N/A</v>
      </c>
      <c r="B432" s="876" t="str">
        <f>IF(F434&lt;&gt;G434,"2017 - kwh",IF(H434&lt;&gt;I434,"2016 - kwh",IF(J434&lt;&gt;K434,"2015 - kwh","N/A")))</f>
        <v>N/A</v>
      </c>
      <c r="C432" s="751" t="s">
        <v>2719</v>
      </c>
      <c r="D432" s="979"/>
      <c r="E432" s="873" t="s">
        <v>158</v>
      </c>
      <c r="F432" s="978"/>
      <c r="G432" s="978"/>
      <c r="H432" s="978"/>
      <c r="I432" s="978"/>
      <c r="J432" s="978"/>
      <c r="K432" s="978"/>
      <c r="L432" s="978"/>
      <c r="M432" s="978"/>
      <c r="N432" s="978"/>
      <c r="O432" s="978"/>
      <c r="P432" s="876"/>
      <c r="Q432" s="876"/>
      <c r="R432" s="876"/>
      <c r="S432" s="876"/>
      <c r="T432" s="876"/>
      <c r="U432" s="876"/>
      <c r="V432" s="876"/>
      <c r="Z432" s="1354"/>
      <c r="AA432" s="1354" t="str">
        <f>IF(AND(F434=G434,H434=I434,F434="A"),"2015 - kwh","")</f>
        <v/>
      </c>
      <c r="AB432" s="1354" t="str">
        <f>IF(OR(B432="2016 - kwh",B432="2017 - kwh"),"2015 - kwh","")</f>
        <v/>
      </c>
      <c r="AC432" s="1354"/>
      <c r="AD432" s="1354"/>
      <c r="AE432" s="1354"/>
    </row>
    <row r="433" spans="1:31" s="779" customFormat="1" hidden="1" x14ac:dyDescent="0.25">
      <c r="A433" s="876" t="str">
        <f>IF(AND(F434=G434,H434=I434,J434=K434,F434="A"),"2015 - kw",IF(AND(F434=G434,H434=I434,J434&lt;&gt;K434,F434="A"),"2016 - kw",IF(AND(F434=G434,H434&lt;&gt;I434,F434="A"),"2017 - kw","N/A")))</f>
        <v>N/A</v>
      </c>
      <c r="B433" s="876" t="str">
        <f>IF(F434&lt;&gt;G434,"2017 - kw",IF(H434&lt;&gt;I434,"2016 - kw",IF(J434&lt;&gt;K434,"2015 - kw","N/A")))</f>
        <v>N/A</v>
      </c>
      <c r="C433" s="752"/>
      <c r="D433" s="809" t="str">
        <f>D432 &amp; "kW"</f>
        <v>kW</v>
      </c>
      <c r="E433" s="872" t="s">
        <v>159</v>
      </c>
      <c r="F433" s="978"/>
      <c r="G433" s="978"/>
      <c r="H433" s="978"/>
      <c r="I433" s="978"/>
      <c r="J433" s="978"/>
      <c r="K433" s="978"/>
      <c r="L433" s="978"/>
      <c r="M433" s="978"/>
      <c r="N433" s="978"/>
      <c r="O433" s="978"/>
      <c r="P433" s="876"/>
      <c r="Q433" s="876"/>
      <c r="R433" s="876"/>
      <c r="S433" s="876"/>
      <c r="T433" s="876"/>
      <c r="U433" s="876"/>
      <c r="V433" s="876"/>
      <c r="Z433" s="1354"/>
      <c r="AA433" s="1354" t="str">
        <f>IF(AND(F434=G434,H434=I434,F434="A"),"2015 - kw","")</f>
        <v/>
      </c>
      <c r="AB433" s="1354" t="str">
        <f>IF(OR(B433="2016 - kw",B433="2017 - kw"),"2015 - kw","")</f>
        <v/>
      </c>
      <c r="AC433" s="1354"/>
      <c r="AD433" s="1354"/>
      <c r="AE433" s="1354"/>
    </row>
    <row r="434" spans="1:31" s="779" customFormat="1" hidden="1" x14ac:dyDescent="0.25">
      <c r="A434" s="876"/>
      <c r="B434" s="876"/>
      <c r="C434" s="755"/>
      <c r="D434" s="870"/>
      <c r="E434" s="871" t="s">
        <v>2550</v>
      </c>
      <c r="F434" s="977"/>
      <c r="G434" s="977"/>
      <c r="H434" s="977"/>
      <c r="I434" s="977"/>
      <c r="J434" s="977"/>
      <c r="K434" s="977"/>
      <c r="L434" s="977"/>
      <c r="M434" s="977"/>
      <c r="N434" s="977"/>
      <c r="O434" s="977"/>
      <c r="P434" s="876"/>
      <c r="Q434" s="876"/>
      <c r="R434" s="876"/>
      <c r="S434" s="876"/>
      <c r="T434" s="876"/>
      <c r="U434" s="876"/>
      <c r="V434" s="876"/>
      <c r="Z434" s="1354"/>
      <c r="AA434" s="1354"/>
      <c r="AB434" s="1354"/>
      <c r="AC434" s="1354"/>
      <c r="AD434" s="1354"/>
      <c r="AE434" s="1354"/>
    </row>
    <row r="435" spans="1:31" s="779" customFormat="1" hidden="1" x14ac:dyDescent="0.25">
      <c r="A435" s="876" t="str">
        <f>IF(AND(F437=G437,H437=I437,J437=K437,F437="A"),"2015 - kwh",IF(AND(F437=G437,H437=I437,J437&lt;&gt;K437,F437="A"),"2016 - kwh",IF(AND(F437=G437,H437&lt;&gt;I437,F437="A"),"2017 - kwh","N/A")))</f>
        <v>N/A</v>
      </c>
      <c r="B435" s="876" t="str">
        <f>IF(F437&lt;&gt;G437,"2017 - kwh",IF(H437&lt;&gt;I437,"2016 - kwh",IF(J437&lt;&gt;K437,"2015 - kwh","N/A")))</f>
        <v>N/A</v>
      </c>
      <c r="C435" s="751" t="s">
        <v>2720</v>
      </c>
      <c r="D435" s="979"/>
      <c r="E435" s="873" t="s">
        <v>158</v>
      </c>
      <c r="F435" s="978"/>
      <c r="G435" s="978"/>
      <c r="H435" s="978"/>
      <c r="I435" s="978"/>
      <c r="J435" s="978"/>
      <c r="K435" s="978"/>
      <c r="L435" s="978"/>
      <c r="M435" s="978"/>
      <c r="N435" s="978"/>
      <c r="O435" s="978"/>
      <c r="P435" s="876"/>
      <c r="Q435" s="876"/>
      <c r="R435" s="876"/>
      <c r="S435" s="876"/>
      <c r="T435" s="876"/>
      <c r="U435" s="876"/>
      <c r="V435" s="876"/>
      <c r="Z435" s="1354"/>
      <c r="AA435" s="1354" t="str">
        <f>IF(AND(F437=G437,H437=I437,F437="A"),"2015 - kwh","")</f>
        <v/>
      </c>
      <c r="AB435" s="1354" t="str">
        <f>IF(OR(B435="2016 - kwh",B435="2017 - kwh"),"2015 - kwh","")</f>
        <v/>
      </c>
      <c r="AC435" s="1354"/>
      <c r="AD435" s="1354"/>
      <c r="AE435" s="1354"/>
    </row>
    <row r="436" spans="1:31" s="779" customFormat="1" hidden="1" x14ac:dyDescent="0.25">
      <c r="A436" s="876" t="str">
        <f>IF(AND(F437=G437,H437=I437,J437=K437,F437="A"),"2015 - kw",IF(AND(F437=G437,H437=I437,J437&lt;&gt;K437,F437="A"),"2016 - kw",IF(AND(F437=G437,H437&lt;&gt;I437,F437="A"),"2017 - kw","N/A")))</f>
        <v>N/A</v>
      </c>
      <c r="B436" s="876" t="str">
        <f>IF(F437&lt;&gt;G437,"2017 - kw",IF(H437&lt;&gt;I437,"2016 - kw",IF(J437&lt;&gt;K437,"2015 - kw","N/A")))</f>
        <v>N/A</v>
      </c>
      <c r="C436" s="752"/>
      <c r="D436" s="809" t="str">
        <f>D435 &amp; "kW"</f>
        <v>kW</v>
      </c>
      <c r="E436" s="872" t="s">
        <v>159</v>
      </c>
      <c r="F436" s="978"/>
      <c r="G436" s="978"/>
      <c r="H436" s="978"/>
      <c r="I436" s="978"/>
      <c r="J436" s="978"/>
      <c r="K436" s="978"/>
      <c r="L436" s="978"/>
      <c r="M436" s="978"/>
      <c r="N436" s="978"/>
      <c r="O436" s="978"/>
      <c r="P436" s="876"/>
      <c r="Q436" s="876"/>
      <c r="R436" s="876"/>
      <c r="S436" s="876"/>
      <c r="T436" s="876"/>
      <c r="U436" s="876"/>
      <c r="V436" s="876"/>
      <c r="Z436" s="1354"/>
      <c r="AA436" s="1354" t="str">
        <f>IF(AND(F437=G437,H437=I437,F437="A"),"2015 - kw","")</f>
        <v/>
      </c>
      <c r="AB436" s="1354" t="str">
        <f>IF(OR(B436="2016 - kw",B436="2017 - kw"),"2015 - kw","")</f>
        <v/>
      </c>
      <c r="AC436" s="1354"/>
      <c r="AD436" s="1354"/>
      <c r="AE436" s="1354"/>
    </row>
    <row r="437" spans="1:31" s="779" customFormat="1" hidden="1" x14ac:dyDescent="0.25">
      <c r="A437" s="876"/>
      <c r="B437" s="876"/>
      <c r="C437" s="755"/>
      <c r="D437" s="870"/>
      <c r="E437" s="871" t="s">
        <v>2550</v>
      </c>
      <c r="F437" s="977"/>
      <c r="G437" s="977"/>
      <c r="H437" s="977"/>
      <c r="I437" s="977"/>
      <c r="J437" s="977"/>
      <c r="K437" s="977"/>
      <c r="L437" s="977"/>
      <c r="M437" s="977"/>
      <c r="N437" s="977"/>
      <c r="O437" s="977"/>
      <c r="P437" s="876"/>
      <c r="Q437" s="876"/>
      <c r="R437" s="876"/>
      <c r="S437" s="876"/>
      <c r="T437" s="876"/>
      <c r="U437" s="876"/>
      <c r="V437" s="876"/>
      <c r="Z437" s="1354"/>
      <c r="AA437" s="1354"/>
      <c r="AB437" s="1354"/>
      <c r="AC437" s="1354"/>
      <c r="AD437" s="1354"/>
      <c r="AE437" s="1354"/>
    </row>
    <row r="438" spans="1:31" s="779" customFormat="1" hidden="1" x14ac:dyDescent="0.25">
      <c r="A438" s="876" t="str">
        <f>IF(AND(F440=G440,H440=I440,J440=K440,F440="A"),"2015 - kwh",IF(AND(F440=G440,H440=I440,J440&lt;&gt;K440,F440="A"),"2016 - kwh",IF(AND(F440=G440,H440&lt;&gt;I440,F440="A"),"2017 - kwh","N/A")))</f>
        <v>N/A</v>
      </c>
      <c r="B438" s="876" t="str">
        <f>IF(F440&lt;&gt;G440,"2017 - kwh",IF(H440&lt;&gt;I440,"2016 - kwh",IF(J440&lt;&gt;K440,"2015 - kwh","N/A")))</f>
        <v>N/A</v>
      </c>
      <c r="C438" s="751" t="s">
        <v>2721</v>
      </c>
      <c r="D438" s="979"/>
      <c r="E438" s="873" t="s">
        <v>158</v>
      </c>
      <c r="F438" s="978"/>
      <c r="G438" s="978"/>
      <c r="H438" s="978"/>
      <c r="I438" s="978"/>
      <c r="J438" s="978"/>
      <c r="K438" s="978"/>
      <c r="L438" s="978"/>
      <c r="M438" s="978"/>
      <c r="N438" s="978"/>
      <c r="O438" s="978"/>
      <c r="P438" s="876"/>
      <c r="Q438" s="876"/>
      <c r="R438" s="876"/>
      <c r="S438" s="876"/>
      <c r="T438" s="876"/>
      <c r="U438" s="876"/>
      <c r="V438" s="876"/>
      <c r="Z438" s="1354"/>
      <c r="AA438" s="1354" t="str">
        <f>IF(AND(F440=G440,H440=I440,F440="A"),"2015 - kwh","")</f>
        <v/>
      </c>
      <c r="AB438" s="1354" t="str">
        <f>IF(OR(B438="2016 - kwh",B438="2017 - kwh"),"2015 - kwh","")</f>
        <v/>
      </c>
      <c r="AC438" s="1354"/>
      <c r="AD438" s="1354"/>
      <c r="AE438" s="1354"/>
    </row>
    <row r="439" spans="1:31" s="779" customFormat="1" hidden="1" x14ac:dyDescent="0.25">
      <c r="A439" s="876" t="str">
        <f>IF(AND(F440=G440,H440=I440,J440=K440,F440="A"),"2015 - kw",IF(AND(F440=G440,H440=I440,J440&lt;&gt;K440,F440="A"),"2016 - kw",IF(AND(F440=G440,H440&lt;&gt;I440,F440="A"),"2017 - kw","N/A")))</f>
        <v>N/A</v>
      </c>
      <c r="B439" s="876" t="str">
        <f>IF(F440&lt;&gt;G440,"2017 - kw",IF(H440&lt;&gt;I440,"2016 - kw",IF(J440&lt;&gt;K440,"2015 - kw","N/A")))</f>
        <v>N/A</v>
      </c>
      <c r="C439" s="752"/>
      <c r="D439" s="809" t="str">
        <f>D438 &amp; "kW"</f>
        <v>kW</v>
      </c>
      <c r="E439" s="872" t="s">
        <v>159</v>
      </c>
      <c r="F439" s="978"/>
      <c r="G439" s="978"/>
      <c r="H439" s="978"/>
      <c r="I439" s="978"/>
      <c r="J439" s="978"/>
      <c r="K439" s="978"/>
      <c r="L439" s="978"/>
      <c r="M439" s="978"/>
      <c r="N439" s="978"/>
      <c r="O439" s="978"/>
      <c r="P439" s="876"/>
      <c r="Q439" s="876"/>
      <c r="R439" s="876"/>
      <c r="S439" s="876"/>
      <c r="T439" s="876"/>
      <c r="U439" s="876"/>
      <c r="V439" s="876"/>
      <c r="Z439" s="1354"/>
      <c r="AA439" s="1354" t="str">
        <f>IF(AND(F440=G440,H440=I440,F440="A"),"2015 - kw","")</f>
        <v/>
      </c>
      <c r="AB439" s="1354" t="str">
        <f>IF(OR(B439="2016 - kw",B439="2017 - kw"),"2015 - kw","")</f>
        <v/>
      </c>
      <c r="AC439" s="1354"/>
      <c r="AD439" s="1354"/>
      <c r="AE439" s="1354"/>
    </row>
    <row r="440" spans="1:31" s="779" customFormat="1" hidden="1" x14ac:dyDescent="0.25">
      <c r="A440" s="876"/>
      <c r="B440" s="876"/>
      <c r="C440" s="755"/>
      <c r="D440" s="870"/>
      <c r="E440" s="871" t="s">
        <v>2550</v>
      </c>
      <c r="F440" s="977"/>
      <c r="G440" s="977"/>
      <c r="H440" s="977"/>
      <c r="I440" s="977"/>
      <c r="J440" s="977"/>
      <c r="K440" s="977"/>
      <c r="L440" s="977"/>
      <c r="M440" s="977"/>
      <c r="N440" s="977"/>
      <c r="O440" s="977"/>
      <c r="P440" s="876"/>
      <c r="Q440" s="876"/>
      <c r="R440" s="876"/>
      <c r="S440" s="876"/>
      <c r="T440" s="876"/>
      <c r="U440" s="876"/>
      <c r="V440" s="876"/>
      <c r="Z440" s="1354"/>
      <c r="AA440" s="1354"/>
      <c r="AB440" s="1354"/>
      <c r="AC440" s="1354"/>
      <c r="AD440" s="1354"/>
      <c r="AE440" s="1354"/>
    </row>
    <row r="441" spans="1:31" s="779" customFormat="1" hidden="1" x14ac:dyDescent="0.25">
      <c r="A441" s="876" t="str">
        <f>IF(AND(F443=G443,H443=I443,J443=K443,F443="A"),"2015 - kwh",IF(AND(F443=G443,H443=I443,J443&lt;&gt;K443,F443="A"),"2016 - kwh",IF(AND(F443=G443,H443&lt;&gt;I443,F443="A"),"2017 - kwh","N/A")))</f>
        <v>N/A</v>
      </c>
      <c r="B441" s="876" t="str">
        <f>IF(F443&lt;&gt;G443,"2017 - kwh",IF(H443&lt;&gt;I443,"2016 - kwh",IF(J443&lt;&gt;K443,"2015 - kwh","N/A")))</f>
        <v>N/A</v>
      </c>
      <c r="C441" s="751" t="s">
        <v>2722</v>
      </c>
      <c r="D441" s="979"/>
      <c r="E441" s="873" t="s">
        <v>158</v>
      </c>
      <c r="F441" s="978"/>
      <c r="G441" s="978"/>
      <c r="H441" s="978"/>
      <c r="I441" s="978"/>
      <c r="J441" s="978"/>
      <c r="K441" s="978"/>
      <c r="L441" s="978"/>
      <c r="M441" s="978"/>
      <c r="N441" s="978"/>
      <c r="O441" s="978"/>
      <c r="P441" s="876"/>
      <c r="Q441" s="876"/>
      <c r="R441" s="876"/>
      <c r="S441" s="876"/>
      <c r="T441" s="876"/>
      <c r="U441" s="876"/>
      <c r="V441" s="876"/>
      <c r="Z441" s="1354"/>
      <c r="AA441" s="1354" t="str">
        <f>IF(AND(F443=G443,H443=I443,F443="A"),"2015 - kwh","")</f>
        <v/>
      </c>
      <c r="AB441" s="1354" t="str">
        <f>IF(OR(B441="2016 - kwh",B441="2017 - kwh"),"2015 - kwh","")</f>
        <v/>
      </c>
      <c r="AC441" s="1354"/>
      <c r="AD441" s="1354"/>
      <c r="AE441" s="1354"/>
    </row>
    <row r="442" spans="1:31" s="779" customFormat="1" hidden="1" x14ac:dyDescent="0.25">
      <c r="A442" s="876" t="str">
        <f>IF(AND(F443=G443,H443=I443,J443=K443,F443="A"),"2015 - kw",IF(AND(F443=G443,H443=I443,J443&lt;&gt;K443,F443="A"),"2016 - kw",IF(AND(F443=G443,H443&lt;&gt;I443,F443="A"),"2017 - kw","N/A")))</f>
        <v>N/A</v>
      </c>
      <c r="B442" s="876" t="str">
        <f>IF(F443&lt;&gt;G443,"2017 - kw",IF(H443&lt;&gt;I443,"2016 - kw",IF(J443&lt;&gt;K443,"2015 - kw","N/A")))</f>
        <v>N/A</v>
      </c>
      <c r="C442" s="752"/>
      <c r="D442" s="809" t="str">
        <f>D441 &amp; "kW"</f>
        <v>kW</v>
      </c>
      <c r="E442" s="872" t="s">
        <v>159</v>
      </c>
      <c r="F442" s="978"/>
      <c r="G442" s="978"/>
      <c r="H442" s="978"/>
      <c r="I442" s="978"/>
      <c r="J442" s="978"/>
      <c r="K442" s="978"/>
      <c r="L442" s="978"/>
      <c r="M442" s="978"/>
      <c r="N442" s="978"/>
      <c r="O442" s="978"/>
      <c r="P442" s="876"/>
      <c r="Q442" s="876"/>
      <c r="R442" s="876"/>
      <c r="S442" s="876"/>
      <c r="T442" s="876"/>
      <c r="U442" s="876"/>
      <c r="V442" s="876"/>
      <c r="Z442" s="1354"/>
      <c r="AA442" s="1354" t="str">
        <f>IF(AND(F443=G443,H443=I443,F443="A"),"2015 - kw","")</f>
        <v/>
      </c>
      <c r="AB442" s="1354" t="str">
        <f>IF(OR(B442="2016 - kw",B442="2017 - kw"),"2015 - kw","")</f>
        <v/>
      </c>
      <c r="AC442" s="1354"/>
      <c r="AD442" s="1354"/>
      <c r="AE442" s="1354"/>
    </row>
    <row r="443" spans="1:31" s="779" customFormat="1" hidden="1" x14ac:dyDescent="0.25">
      <c r="A443" s="876"/>
      <c r="B443" s="876"/>
      <c r="C443" s="755"/>
      <c r="D443" s="870"/>
      <c r="E443" s="871" t="s">
        <v>2550</v>
      </c>
      <c r="F443" s="977"/>
      <c r="G443" s="977"/>
      <c r="H443" s="977"/>
      <c r="I443" s="977"/>
      <c r="J443" s="977"/>
      <c r="K443" s="977"/>
      <c r="L443" s="977"/>
      <c r="M443" s="977"/>
      <c r="N443" s="977"/>
      <c r="O443" s="977"/>
      <c r="P443" s="876"/>
      <c r="Q443" s="876"/>
      <c r="R443" s="876"/>
      <c r="S443" s="876"/>
      <c r="T443" s="876"/>
      <c r="U443" s="876"/>
      <c r="V443" s="876"/>
      <c r="Z443" s="1354"/>
      <c r="AA443" s="1354"/>
      <c r="AB443" s="1354"/>
      <c r="AC443" s="1354"/>
      <c r="AD443" s="1354"/>
      <c r="AE443" s="1354"/>
    </row>
    <row r="444" spans="1:31" s="779" customFormat="1" hidden="1" x14ac:dyDescent="0.25">
      <c r="A444" s="876" t="str">
        <f>IF(AND(F446=G446,H446=I446,J446=K446,F446="A"),"2015 - kwh",IF(AND(F446=G446,H446=I446,J446&lt;&gt;K446,F446="A"),"2016 - kwh",IF(AND(F446=G446,H446&lt;&gt;I446,F446="A"),"2017 - kwh","N/A")))</f>
        <v>N/A</v>
      </c>
      <c r="B444" s="876" t="str">
        <f>IF(F446&lt;&gt;G446,"2017 - kwh",IF(H446&lt;&gt;I446,"2016 - kwh",IF(J446&lt;&gt;K446,"2015 - kwh","N/A")))</f>
        <v>N/A</v>
      </c>
      <c r="C444" s="751" t="s">
        <v>2723</v>
      </c>
      <c r="D444" s="979"/>
      <c r="E444" s="873" t="s">
        <v>158</v>
      </c>
      <c r="F444" s="978"/>
      <c r="G444" s="978"/>
      <c r="H444" s="978"/>
      <c r="I444" s="978"/>
      <c r="J444" s="978"/>
      <c r="K444" s="978"/>
      <c r="L444" s="978"/>
      <c r="M444" s="978"/>
      <c r="N444" s="978"/>
      <c r="O444" s="978"/>
      <c r="P444" s="876"/>
      <c r="Q444" s="876"/>
      <c r="R444" s="876"/>
      <c r="S444" s="876"/>
      <c r="T444" s="876"/>
      <c r="U444" s="876"/>
      <c r="V444" s="876"/>
      <c r="Z444" s="1354"/>
      <c r="AA444" s="1354" t="str">
        <f>IF(AND(F446=G446,H446=I446,F446="A"),"2015 - kwh","")</f>
        <v/>
      </c>
      <c r="AB444" s="1354" t="str">
        <f>IF(OR(B444="2016 - kwh",B444="2017 - kwh"),"2015 - kwh","")</f>
        <v/>
      </c>
      <c r="AC444" s="1354"/>
      <c r="AD444" s="1354"/>
      <c r="AE444" s="1354"/>
    </row>
    <row r="445" spans="1:31" s="779" customFormat="1" hidden="1" x14ac:dyDescent="0.25">
      <c r="A445" s="876" t="str">
        <f>IF(AND(F446=G446,H446=I446,J446=K446,F446="A"),"2015 - kw",IF(AND(F446=G446,H446=I446,J446&lt;&gt;K446,F446="A"),"2016 - kw",IF(AND(F446=G446,H446&lt;&gt;I446,F446="A"),"2017 - kw","N/A")))</f>
        <v>N/A</v>
      </c>
      <c r="B445" s="876" t="str">
        <f>IF(F446&lt;&gt;G446,"2017 - kw",IF(H446&lt;&gt;I446,"2016 - kw",IF(J446&lt;&gt;K446,"2015 - kw","N/A")))</f>
        <v>N/A</v>
      </c>
      <c r="C445" s="752"/>
      <c r="D445" s="809" t="str">
        <f>D444 &amp; "kW"</f>
        <v>kW</v>
      </c>
      <c r="E445" s="872" t="s">
        <v>159</v>
      </c>
      <c r="F445" s="978"/>
      <c r="G445" s="978"/>
      <c r="H445" s="978"/>
      <c r="I445" s="978"/>
      <c r="J445" s="978"/>
      <c r="K445" s="978"/>
      <c r="L445" s="978"/>
      <c r="M445" s="978"/>
      <c r="N445" s="978"/>
      <c r="O445" s="978"/>
      <c r="P445" s="876"/>
      <c r="Q445" s="876"/>
      <c r="R445" s="876"/>
      <c r="S445" s="876"/>
      <c r="T445" s="876"/>
      <c r="U445" s="876"/>
      <c r="V445" s="876"/>
      <c r="Z445" s="1354"/>
      <c r="AA445" s="1354" t="str">
        <f>IF(AND(F446=G446,H446=I446,F446="A"),"2015 - kw","")</f>
        <v/>
      </c>
      <c r="AB445" s="1354" t="str">
        <f>IF(OR(B445="2016 - kw",B445="2017 - kw"),"2015 - kw","")</f>
        <v/>
      </c>
      <c r="AC445" s="1354"/>
      <c r="AD445" s="1354"/>
      <c r="AE445" s="1354"/>
    </row>
    <row r="446" spans="1:31" s="779" customFormat="1" hidden="1" x14ac:dyDescent="0.25">
      <c r="A446" s="876"/>
      <c r="B446" s="876"/>
      <c r="C446" s="755"/>
      <c r="D446" s="870"/>
      <c r="E446" s="871" t="s">
        <v>2550</v>
      </c>
      <c r="F446" s="977"/>
      <c r="G446" s="977"/>
      <c r="H446" s="977"/>
      <c r="I446" s="977"/>
      <c r="J446" s="977"/>
      <c r="K446" s="977"/>
      <c r="L446" s="977"/>
      <c r="M446" s="977"/>
      <c r="N446" s="977"/>
      <c r="O446" s="977"/>
      <c r="P446" s="876"/>
      <c r="Q446" s="876"/>
      <c r="R446" s="876"/>
      <c r="S446" s="876"/>
      <c r="T446" s="876"/>
      <c r="U446" s="876"/>
      <c r="V446" s="876"/>
      <c r="Z446" s="1354"/>
      <c r="AA446" s="1354"/>
      <c r="AB446" s="1354"/>
      <c r="AC446" s="1354"/>
      <c r="AD446" s="1354"/>
      <c r="AE446" s="1354"/>
    </row>
    <row r="447" spans="1:31" s="779" customFormat="1" hidden="1" x14ac:dyDescent="0.25">
      <c r="A447" s="876" t="str">
        <f>IF(AND(F449=G449,H449=I449,J449=K449,F449="A"),"2015 - kwh",IF(AND(F449=G449,H449=I449,J449&lt;&gt;K449,F449="A"),"2016 - kwh",IF(AND(F449=G449,H449&lt;&gt;I449,F449="A"),"2017 - kwh","N/A")))</f>
        <v>N/A</v>
      </c>
      <c r="B447" s="876" t="str">
        <f>IF(F449&lt;&gt;G449,"2017 - kwh",IF(H449&lt;&gt;I449,"2016 - kwh",IF(J449&lt;&gt;K449,"2015 - kwh","N/A")))</f>
        <v>N/A</v>
      </c>
      <c r="C447" s="751" t="s">
        <v>2724</v>
      </c>
      <c r="D447" s="979"/>
      <c r="E447" s="873" t="s">
        <v>158</v>
      </c>
      <c r="F447" s="978"/>
      <c r="G447" s="978"/>
      <c r="H447" s="978"/>
      <c r="I447" s="978"/>
      <c r="J447" s="978"/>
      <c r="K447" s="978"/>
      <c r="L447" s="978"/>
      <c r="M447" s="978"/>
      <c r="N447" s="978"/>
      <c r="O447" s="978"/>
      <c r="P447" s="876"/>
      <c r="Q447" s="876"/>
      <c r="R447" s="876"/>
      <c r="S447" s="876"/>
      <c r="T447" s="876"/>
      <c r="U447" s="876"/>
      <c r="V447" s="876"/>
      <c r="Z447" s="1354"/>
      <c r="AA447" s="1354" t="str">
        <f>IF(AND(F449=G449,H449=I449,F449="A"),"2015 - kwh","")</f>
        <v/>
      </c>
      <c r="AB447" s="1354" t="str">
        <f>IF(OR(B447="2016 - kwh",B447="2017 - kwh"),"2015 - kwh","")</f>
        <v/>
      </c>
      <c r="AC447" s="1354"/>
      <c r="AD447" s="1354"/>
      <c r="AE447" s="1354"/>
    </row>
    <row r="448" spans="1:31" s="779" customFormat="1" hidden="1" x14ac:dyDescent="0.25">
      <c r="A448" s="876" t="str">
        <f>IF(AND(F449=G449,H449=I449,J449=K449,F449="A"),"2015 - kw",IF(AND(F449=G449,H449=I449,J449&lt;&gt;K449,F449="A"),"2016 - kw",IF(AND(F449=G449,H449&lt;&gt;I449,F449="A"),"2017 - kw","N/A")))</f>
        <v>N/A</v>
      </c>
      <c r="B448" s="876" t="str">
        <f>IF(F449&lt;&gt;G449,"2017 - kw",IF(H449&lt;&gt;I449,"2016 - kw",IF(J449&lt;&gt;K449,"2015 - kw","N/A")))</f>
        <v>N/A</v>
      </c>
      <c r="C448" s="752"/>
      <c r="D448" s="809" t="str">
        <f>D447 &amp; "kW"</f>
        <v>kW</v>
      </c>
      <c r="E448" s="872" t="s">
        <v>159</v>
      </c>
      <c r="F448" s="978"/>
      <c r="G448" s="978"/>
      <c r="H448" s="978"/>
      <c r="I448" s="978"/>
      <c r="J448" s="978"/>
      <c r="K448" s="978"/>
      <c r="L448" s="978"/>
      <c r="M448" s="978"/>
      <c r="N448" s="978"/>
      <c r="O448" s="978"/>
      <c r="P448" s="876"/>
      <c r="Q448" s="876"/>
      <c r="R448" s="876"/>
      <c r="S448" s="876"/>
      <c r="T448" s="876"/>
      <c r="U448" s="876"/>
      <c r="V448" s="876"/>
      <c r="Z448" s="1354"/>
      <c r="AA448" s="1354" t="str">
        <f>IF(AND(F449=G449,H449=I449,F449="A"),"2015 - kw","")</f>
        <v/>
      </c>
      <c r="AB448" s="1354" t="str">
        <f>IF(OR(B448="2016 - kw",B448="2017 - kw"),"2015 - kw","")</f>
        <v/>
      </c>
      <c r="AC448" s="1354"/>
      <c r="AD448" s="1354"/>
      <c r="AE448" s="1354"/>
    </row>
    <row r="449" spans="1:31" s="779" customFormat="1" hidden="1" x14ac:dyDescent="0.25">
      <c r="A449" s="876"/>
      <c r="B449" s="876"/>
      <c r="C449" s="755"/>
      <c r="D449" s="870"/>
      <c r="E449" s="871" t="s">
        <v>2550</v>
      </c>
      <c r="F449" s="977"/>
      <c r="G449" s="977"/>
      <c r="H449" s="977"/>
      <c r="I449" s="977"/>
      <c r="J449" s="977"/>
      <c r="K449" s="977"/>
      <c r="L449" s="977"/>
      <c r="M449" s="977"/>
      <c r="N449" s="977"/>
      <c r="O449" s="977"/>
      <c r="P449" s="876"/>
      <c r="Q449" s="876"/>
      <c r="R449" s="876"/>
      <c r="S449" s="876"/>
      <c r="T449" s="876"/>
      <c r="U449" s="876"/>
      <c r="V449" s="876"/>
      <c r="Z449" s="1354"/>
      <c r="AA449" s="1354"/>
      <c r="AB449" s="1354"/>
      <c r="AC449" s="1354"/>
      <c r="AD449" s="1354"/>
      <c r="AE449" s="1354"/>
    </row>
    <row r="450" spans="1:31" s="779" customFormat="1" hidden="1" x14ac:dyDescent="0.25">
      <c r="A450" s="876" t="str">
        <f>IF(AND(F452=G452,H452=I452,J452=K452,F452="A"),"2015 - kwh",IF(AND(F452=G452,H452=I452,J452&lt;&gt;K452,F452="A"),"2016 - kwh",IF(AND(F452=G452,H452&lt;&gt;I452,F452="A"),"2017 - kwh","N/A")))</f>
        <v>N/A</v>
      </c>
      <c r="B450" s="876" t="str">
        <f>IF(F452&lt;&gt;G452,"2017 - kwh",IF(H452&lt;&gt;I452,"2016 - kwh",IF(J452&lt;&gt;K452,"2015 - kwh","N/A")))</f>
        <v>N/A</v>
      </c>
      <c r="C450" s="751" t="s">
        <v>2725</v>
      </c>
      <c r="D450" s="979"/>
      <c r="E450" s="873" t="s">
        <v>158</v>
      </c>
      <c r="F450" s="978"/>
      <c r="G450" s="978"/>
      <c r="H450" s="978"/>
      <c r="I450" s="978"/>
      <c r="J450" s="978"/>
      <c r="K450" s="978"/>
      <c r="L450" s="978"/>
      <c r="M450" s="978"/>
      <c r="N450" s="978"/>
      <c r="O450" s="978"/>
      <c r="P450" s="876"/>
      <c r="Q450" s="876"/>
      <c r="R450" s="876"/>
      <c r="S450" s="876"/>
      <c r="T450" s="876"/>
      <c r="U450" s="876"/>
      <c r="V450" s="876"/>
      <c r="Z450" s="1354"/>
      <c r="AA450" s="1354" t="str">
        <f>IF(AND(F452=G452,H452=I452,F452="A"),"2015 - kwh","")</f>
        <v/>
      </c>
      <c r="AB450" s="1354" t="str">
        <f>IF(OR(B450="2016 - kwh",B450="2017 - kwh"),"2015 - kwh","")</f>
        <v/>
      </c>
      <c r="AC450" s="1354"/>
      <c r="AD450" s="1354"/>
      <c r="AE450" s="1354"/>
    </row>
    <row r="451" spans="1:31" s="779" customFormat="1" hidden="1" x14ac:dyDescent="0.25">
      <c r="A451" s="876" t="str">
        <f>IF(AND(F452=G452,H452=I452,J452=K452,F452="A"),"2015 - kw",IF(AND(F452=G452,H452=I452,J452&lt;&gt;K452,F452="A"),"2016 - kw",IF(AND(F452=G452,H452&lt;&gt;I452,F452="A"),"2017 - kw","N/A")))</f>
        <v>N/A</v>
      </c>
      <c r="B451" s="876" t="str">
        <f>IF(F452&lt;&gt;G452,"2017 - kw",IF(H452&lt;&gt;I452,"2016 - kw",IF(J452&lt;&gt;K452,"2015 - kw","N/A")))</f>
        <v>N/A</v>
      </c>
      <c r="C451" s="752"/>
      <c r="D451" s="809" t="str">
        <f>D450 &amp; "kW"</f>
        <v>kW</v>
      </c>
      <c r="E451" s="872" t="s">
        <v>159</v>
      </c>
      <c r="F451" s="978"/>
      <c r="G451" s="978"/>
      <c r="H451" s="978"/>
      <c r="I451" s="978"/>
      <c r="J451" s="978"/>
      <c r="K451" s="978"/>
      <c r="L451" s="978"/>
      <c r="M451" s="978"/>
      <c r="N451" s="978"/>
      <c r="O451" s="978"/>
      <c r="P451" s="876"/>
      <c r="Q451" s="876"/>
      <c r="R451" s="876"/>
      <c r="S451" s="876"/>
      <c r="T451" s="876"/>
      <c r="U451" s="876"/>
      <c r="V451" s="876"/>
      <c r="Z451" s="1354"/>
      <c r="AA451" s="1354" t="str">
        <f>IF(AND(F452=G452,H452=I452,F452="A"),"2015 - kw","")</f>
        <v/>
      </c>
      <c r="AB451" s="1354" t="str">
        <f>IF(OR(B451="2016 - kw",B451="2017 - kw"),"2015 - kw","")</f>
        <v/>
      </c>
      <c r="AC451" s="1354"/>
      <c r="AD451" s="1354"/>
      <c r="AE451" s="1354"/>
    </row>
    <row r="452" spans="1:31" s="779" customFormat="1" hidden="1" x14ac:dyDescent="0.25">
      <c r="A452" s="876"/>
      <c r="B452" s="876"/>
      <c r="C452" s="755"/>
      <c r="D452" s="870"/>
      <c r="E452" s="871" t="s">
        <v>2550</v>
      </c>
      <c r="F452" s="977"/>
      <c r="G452" s="977"/>
      <c r="H452" s="977"/>
      <c r="I452" s="977"/>
      <c r="J452" s="977"/>
      <c r="K452" s="977"/>
      <c r="L452" s="977"/>
      <c r="M452" s="977"/>
      <c r="N452" s="977"/>
      <c r="O452" s="977"/>
      <c r="P452" s="876"/>
      <c r="Q452" s="876"/>
      <c r="R452" s="876"/>
      <c r="S452" s="876"/>
      <c r="T452" s="876"/>
      <c r="U452" s="876"/>
      <c r="V452" s="876"/>
      <c r="Z452" s="1354"/>
      <c r="AA452" s="1354"/>
      <c r="AB452" s="1354"/>
      <c r="AC452" s="1354"/>
      <c r="AD452" s="1354"/>
      <c r="AE452" s="1354"/>
    </row>
    <row r="453" spans="1:31" s="779" customFormat="1" hidden="1" x14ac:dyDescent="0.25">
      <c r="A453" s="876" t="str">
        <f>IF(AND(F455=G455,H455=I455,J455=K455,F455="A"),"2015 - kwh",IF(AND(F455=G455,H455=I455,J455&lt;&gt;K455,F455="A"),"2016 - kwh",IF(AND(F455=G455,H455&lt;&gt;I455,F455="A"),"2017 - kwh","N/A")))</f>
        <v>N/A</v>
      </c>
      <c r="B453" s="876" t="str">
        <f>IF(F455&lt;&gt;G455,"2017 - kwh",IF(H455&lt;&gt;I455,"2016 - kwh",IF(J455&lt;&gt;K455,"2015 - kwh","N/A")))</f>
        <v>N/A</v>
      </c>
      <c r="C453" s="751" t="s">
        <v>2726</v>
      </c>
      <c r="D453" s="979"/>
      <c r="E453" s="873" t="s">
        <v>158</v>
      </c>
      <c r="F453" s="978"/>
      <c r="G453" s="978"/>
      <c r="H453" s="978"/>
      <c r="I453" s="978"/>
      <c r="J453" s="978"/>
      <c r="K453" s="978"/>
      <c r="L453" s="978"/>
      <c r="M453" s="978"/>
      <c r="N453" s="978"/>
      <c r="O453" s="978"/>
      <c r="P453" s="876"/>
      <c r="Q453" s="876"/>
      <c r="R453" s="876"/>
      <c r="S453" s="876"/>
      <c r="T453" s="876"/>
      <c r="U453" s="876"/>
      <c r="V453" s="876"/>
      <c r="Z453" s="1354"/>
      <c r="AA453" s="1354" t="str">
        <f>IF(AND(F455=G455,H455=I455,F455="A"),"2015 - kwh","")</f>
        <v/>
      </c>
      <c r="AB453" s="1354" t="str">
        <f>IF(OR(B453="2016 - kwh",B453="2017 - kwh"),"2015 - kwh","")</f>
        <v/>
      </c>
      <c r="AC453" s="1354"/>
      <c r="AD453" s="1354"/>
      <c r="AE453" s="1354"/>
    </row>
    <row r="454" spans="1:31" s="779" customFormat="1" hidden="1" x14ac:dyDescent="0.25">
      <c r="A454" s="876" t="str">
        <f>IF(AND(F455=G455,H455=I455,J455=K455,F455="A"),"2015 - kw",IF(AND(F455=G455,H455=I455,J455&lt;&gt;K455,F455="A"),"2016 - kw",IF(AND(F455=G455,H455&lt;&gt;I455,F455="A"),"2017 - kw","N/A")))</f>
        <v>N/A</v>
      </c>
      <c r="B454" s="876" t="str">
        <f>IF(F455&lt;&gt;G455,"2017 - kw",IF(H455&lt;&gt;I455,"2016 - kw",IF(J455&lt;&gt;K455,"2015 - kw","N/A")))</f>
        <v>N/A</v>
      </c>
      <c r="C454" s="752"/>
      <c r="D454" s="809" t="str">
        <f>D453 &amp; "kW"</f>
        <v>kW</v>
      </c>
      <c r="E454" s="872" t="s">
        <v>159</v>
      </c>
      <c r="F454" s="978"/>
      <c r="G454" s="978"/>
      <c r="H454" s="978"/>
      <c r="I454" s="978"/>
      <c r="J454" s="978"/>
      <c r="K454" s="978"/>
      <c r="L454" s="978"/>
      <c r="M454" s="978"/>
      <c r="N454" s="978"/>
      <c r="O454" s="978"/>
      <c r="P454" s="876"/>
      <c r="Q454" s="876"/>
      <c r="R454" s="876"/>
      <c r="S454" s="876"/>
      <c r="T454" s="876"/>
      <c r="U454" s="876"/>
      <c r="V454" s="876"/>
      <c r="Z454" s="1354"/>
      <c r="AA454" s="1354" t="str">
        <f>IF(AND(F455=G455,H455=I455,F455="A"),"2015 - kw","")</f>
        <v/>
      </c>
      <c r="AB454" s="1354" t="str">
        <f>IF(OR(B454="2016 - kw",B454="2017 - kw"),"2015 - kw","")</f>
        <v/>
      </c>
      <c r="AC454" s="1354"/>
      <c r="AD454" s="1354"/>
      <c r="AE454" s="1354"/>
    </row>
    <row r="455" spans="1:31" s="779" customFormat="1" hidden="1" x14ac:dyDescent="0.25">
      <c r="A455" s="876"/>
      <c r="B455" s="876"/>
      <c r="C455" s="755"/>
      <c r="D455" s="870"/>
      <c r="E455" s="871" t="s">
        <v>2550</v>
      </c>
      <c r="F455" s="977"/>
      <c r="G455" s="977"/>
      <c r="H455" s="977"/>
      <c r="I455" s="977"/>
      <c r="J455" s="977"/>
      <c r="K455" s="977"/>
      <c r="L455" s="977"/>
      <c r="M455" s="977"/>
      <c r="N455" s="977"/>
      <c r="O455" s="977"/>
      <c r="P455" s="876"/>
      <c r="Q455" s="876"/>
      <c r="R455" s="876"/>
      <c r="S455" s="876"/>
      <c r="T455" s="876"/>
      <c r="U455" s="876"/>
      <c r="V455" s="876"/>
      <c r="Z455" s="1354"/>
      <c r="AA455" s="1354"/>
      <c r="AB455" s="1354"/>
      <c r="AC455" s="1354"/>
      <c r="AD455" s="1354"/>
      <c r="AE455" s="1354"/>
    </row>
    <row r="456" spans="1:31" s="779" customFormat="1" hidden="1" x14ac:dyDescent="0.25">
      <c r="A456" s="876" t="str">
        <f>IF(AND(F458=G458,H458=I458,J458=K458,F458="A"),"2015 - kwh",IF(AND(F458=G458,H458=I458,J458&lt;&gt;K458,F458="A"),"2016 - kwh",IF(AND(F458=G458,H458&lt;&gt;I458,F458="A"),"2017 - kwh","N/A")))</f>
        <v>N/A</v>
      </c>
      <c r="B456" s="876" t="str">
        <f>IF(F458&lt;&gt;G458,"2017 - kwh",IF(H458&lt;&gt;I458,"2016 - kwh",IF(J458&lt;&gt;K458,"2015 - kwh","N/A")))</f>
        <v>N/A</v>
      </c>
      <c r="C456" s="751" t="s">
        <v>2727</v>
      </c>
      <c r="D456" s="979"/>
      <c r="E456" s="873" t="s">
        <v>158</v>
      </c>
      <c r="F456" s="978"/>
      <c r="G456" s="978"/>
      <c r="H456" s="978"/>
      <c r="I456" s="978"/>
      <c r="J456" s="978"/>
      <c r="K456" s="978"/>
      <c r="L456" s="978"/>
      <c r="M456" s="978"/>
      <c r="N456" s="978"/>
      <c r="O456" s="978"/>
      <c r="P456" s="876"/>
      <c r="Q456" s="876"/>
      <c r="R456" s="876"/>
      <c r="S456" s="876"/>
      <c r="T456" s="876"/>
      <c r="U456" s="876"/>
      <c r="V456" s="876"/>
      <c r="Z456" s="1354"/>
      <c r="AA456" s="1354" t="str">
        <f>IF(AND(F458=G458,H458=I458,F458="A"),"2015 - kwh","")</f>
        <v/>
      </c>
      <c r="AB456" s="1354" t="str">
        <f>IF(OR(B456="2016 - kwh",B456="2017 - kwh"),"2015 - kwh","")</f>
        <v/>
      </c>
      <c r="AC456" s="1354"/>
      <c r="AD456" s="1354"/>
      <c r="AE456" s="1354"/>
    </row>
    <row r="457" spans="1:31" s="779" customFormat="1" hidden="1" x14ac:dyDescent="0.25">
      <c r="A457" s="876" t="str">
        <f>IF(AND(F458=G458,H458=I458,J458=K458,F458="A"),"2015 - kw",IF(AND(F458=G458,H458=I458,J458&lt;&gt;K458,F458="A"),"2016 - kw",IF(AND(F458=G458,H458&lt;&gt;I458,F458="A"),"2017 - kw","N/A")))</f>
        <v>N/A</v>
      </c>
      <c r="B457" s="876" t="str">
        <f>IF(F458&lt;&gt;G458,"2017 - kw",IF(H458&lt;&gt;I458,"2016 - kw",IF(J458&lt;&gt;K458,"2015 - kw","N/A")))</f>
        <v>N/A</v>
      </c>
      <c r="C457" s="752"/>
      <c r="D457" s="809" t="str">
        <f>D456 &amp; "kW"</f>
        <v>kW</v>
      </c>
      <c r="E457" s="872" t="s">
        <v>159</v>
      </c>
      <c r="F457" s="978"/>
      <c r="G457" s="978"/>
      <c r="H457" s="978"/>
      <c r="I457" s="978"/>
      <c r="J457" s="978"/>
      <c r="K457" s="978"/>
      <c r="L457" s="978"/>
      <c r="M457" s="978"/>
      <c r="N457" s="978"/>
      <c r="O457" s="978"/>
      <c r="P457" s="876"/>
      <c r="Q457" s="876"/>
      <c r="R457" s="876"/>
      <c r="S457" s="876"/>
      <c r="T457" s="876"/>
      <c r="U457" s="876"/>
      <c r="V457" s="876"/>
      <c r="Z457" s="1354"/>
      <c r="AA457" s="1354" t="str">
        <f>IF(AND(F458=G458,H458=I458,F458="A"),"2015 - kw","")</f>
        <v/>
      </c>
      <c r="AB457" s="1354" t="str">
        <f>IF(OR(B457="2016 - kw",B457="2017 - kw"),"2015 - kw","")</f>
        <v/>
      </c>
      <c r="AC457" s="1354"/>
      <c r="AD457" s="1354"/>
      <c r="AE457" s="1354"/>
    </row>
    <row r="458" spans="1:31" s="779" customFormat="1" hidden="1" x14ac:dyDescent="0.25">
      <c r="A458" s="876"/>
      <c r="B458" s="876"/>
      <c r="C458" s="755"/>
      <c r="D458" s="870"/>
      <c r="E458" s="871" t="s">
        <v>2550</v>
      </c>
      <c r="F458" s="977"/>
      <c r="G458" s="977"/>
      <c r="H458" s="977"/>
      <c r="I458" s="977"/>
      <c r="J458" s="977"/>
      <c r="K458" s="977"/>
      <c r="L458" s="977"/>
      <c r="M458" s="977"/>
      <c r="N458" s="977"/>
      <c r="O458" s="977"/>
      <c r="P458" s="876"/>
      <c r="Q458" s="876"/>
      <c r="R458" s="876"/>
      <c r="S458" s="876"/>
      <c r="T458" s="876"/>
      <c r="U458" s="876"/>
      <c r="V458" s="876"/>
      <c r="Z458" s="1354"/>
      <c r="AA458" s="1354"/>
      <c r="AB458" s="1354"/>
      <c r="AC458" s="1354"/>
      <c r="AD458" s="1354"/>
      <c r="AE458" s="1354"/>
    </row>
    <row r="459" spans="1:31" s="779" customFormat="1" hidden="1" x14ac:dyDescent="0.25">
      <c r="A459" s="876" t="str">
        <f>IF(AND(F461=G461,H461=I461,J461=K461,F461="A"),"2015 - kwh",IF(AND(F461=G461,H461=I461,J461&lt;&gt;K461,F461="A"),"2016 - kwh",IF(AND(F461=G461,H461&lt;&gt;I461,F461="A"),"2017 - kwh","N/A")))</f>
        <v>N/A</v>
      </c>
      <c r="B459" s="876" t="str">
        <f>IF(F461&lt;&gt;G461,"2017 - kwh",IF(H461&lt;&gt;I461,"2016 - kwh",IF(J461&lt;&gt;K461,"2015 - kwh","N/A")))</f>
        <v>N/A</v>
      </c>
      <c r="C459" s="751" t="s">
        <v>2728</v>
      </c>
      <c r="D459" s="979"/>
      <c r="E459" s="873" t="s">
        <v>158</v>
      </c>
      <c r="F459" s="978"/>
      <c r="G459" s="978"/>
      <c r="H459" s="978"/>
      <c r="I459" s="978"/>
      <c r="J459" s="978"/>
      <c r="K459" s="978"/>
      <c r="L459" s="978"/>
      <c r="M459" s="978"/>
      <c r="N459" s="978"/>
      <c r="O459" s="978"/>
      <c r="P459" s="876"/>
      <c r="Q459" s="876"/>
      <c r="R459" s="876"/>
      <c r="S459" s="876"/>
      <c r="T459" s="876"/>
      <c r="U459" s="876"/>
      <c r="V459" s="876"/>
      <c r="Z459" s="1354"/>
      <c r="AA459" s="1354" t="str">
        <f>IF(AND(F461=G461,H461=I461,F461="A"),"2015 - kwh","")</f>
        <v/>
      </c>
      <c r="AB459" s="1354" t="str">
        <f>IF(OR(B459="2016 - kwh",B459="2017 - kwh"),"2015 - kwh","")</f>
        <v/>
      </c>
      <c r="AC459" s="1354"/>
      <c r="AD459" s="1354"/>
      <c r="AE459" s="1354"/>
    </row>
    <row r="460" spans="1:31" s="779" customFormat="1" hidden="1" x14ac:dyDescent="0.25">
      <c r="A460" s="876" t="str">
        <f>IF(AND(F461=G461,H461=I461,J461=K461,F461="A"),"2015 - kw",IF(AND(F461=G461,H461=I461,J461&lt;&gt;K461,F461="A"),"2016 - kw",IF(AND(F461=G461,H461&lt;&gt;I461,F461="A"),"2017 - kw","N/A")))</f>
        <v>N/A</v>
      </c>
      <c r="B460" s="876" t="str">
        <f>IF(F461&lt;&gt;G461,"2017 - kw",IF(H461&lt;&gt;I461,"2016 - kw",IF(J461&lt;&gt;K461,"2015 - kw","N/A")))</f>
        <v>N/A</v>
      </c>
      <c r="C460" s="752"/>
      <c r="D460" s="809" t="str">
        <f>D459 &amp; "kW"</f>
        <v>kW</v>
      </c>
      <c r="E460" s="872" t="s">
        <v>159</v>
      </c>
      <c r="F460" s="978"/>
      <c r="G460" s="978"/>
      <c r="H460" s="978"/>
      <c r="I460" s="978"/>
      <c r="J460" s="978"/>
      <c r="K460" s="978"/>
      <c r="L460" s="978"/>
      <c r="M460" s="978"/>
      <c r="N460" s="978"/>
      <c r="O460" s="978"/>
      <c r="P460" s="876"/>
      <c r="Q460" s="876"/>
      <c r="R460" s="876"/>
      <c r="S460" s="876"/>
      <c r="T460" s="876"/>
      <c r="U460" s="876"/>
      <c r="V460" s="876"/>
      <c r="Z460" s="1354"/>
      <c r="AA460" s="1354" t="str">
        <f>IF(AND(F461=G461,H461=I461,F461="A"),"2015 - kw","")</f>
        <v/>
      </c>
      <c r="AB460" s="1354" t="str">
        <f>IF(OR(B460="2016 - kw",B460="2017 - kw"),"2015 - kw","")</f>
        <v/>
      </c>
      <c r="AC460" s="1354"/>
      <c r="AD460" s="1354"/>
      <c r="AE460" s="1354"/>
    </row>
    <row r="461" spans="1:31" s="779" customFormat="1" hidden="1" x14ac:dyDescent="0.25">
      <c r="A461" s="876"/>
      <c r="B461" s="876"/>
      <c r="C461" s="755"/>
      <c r="D461" s="870"/>
      <c r="E461" s="871" t="s">
        <v>2550</v>
      </c>
      <c r="F461" s="977"/>
      <c r="G461" s="977"/>
      <c r="H461" s="977"/>
      <c r="I461" s="977"/>
      <c r="J461" s="977"/>
      <c r="K461" s="977"/>
      <c r="L461" s="977"/>
      <c r="M461" s="977"/>
      <c r="N461" s="977"/>
      <c r="O461" s="977"/>
      <c r="P461" s="876"/>
      <c r="Q461" s="876"/>
      <c r="R461" s="876"/>
      <c r="S461" s="876"/>
      <c r="T461" s="876"/>
      <c r="U461" s="876"/>
      <c r="V461" s="876"/>
      <c r="Z461" s="1354"/>
      <c r="AA461" s="1354"/>
      <c r="AB461" s="1354"/>
      <c r="AC461" s="1354"/>
      <c r="AD461" s="1354"/>
      <c r="AE461" s="1354"/>
    </row>
    <row r="462" spans="1:31" s="779" customFormat="1" hidden="1" x14ac:dyDescent="0.25">
      <c r="A462" s="876" t="str">
        <f>IF(AND(F464=G464,H464=I464,J464=K464,F464="A"),"2015 - kwh",IF(AND(F464=G464,H464=I464,J464&lt;&gt;K464,F464="A"),"2016 - kwh",IF(AND(F464=G464,H464&lt;&gt;I464,F464="A"),"2017 - kwh","N/A")))</f>
        <v>N/A</v>
      </c>
      <c r="B462" s="876" t="str">
        <f>IF(F464&lt;&gt;G464,"2017 - kwh",IF(H464&lt;&gt;I464,"2016 - kwh",IF(J464&lt;&gt;K464,"2015 - kwh","N/A")))</f>
        <v>N/A</v>
      </c>
      <c r="C462" s="751" t="s">
        <v>2729</v>
      </c>
      <c r="D462" s="979"/>
      <c r="E462" s="873" t="s">
        <v>158</v>
      </c>
      <c r="F462" s="978"/>
      <c r="G462" s="978"/>
      <c r="H462" s="978"/>
      <c r="I462" s="978"/>
      <c r="J462" s="978"/>
      <c r="K462" s="978"/>
      <c r="L462" s="978"/>
      <c r="M462" s="978"/>
      <c r="N462" s="978"/>
      <c r="O462" s="978"/>
      <c r="P462" s="876"/>
      <c r="Q462" s="876"/>
      <c r="R462" s="876"/>
      <c r="S462" s="876"/>
      <c r="T462" s="876"/>
      <c r="U462" s="876"/>
      <c r="V462" s="876"/>
      <c r="Z462" s="1354"/>
      <c r="AA462" s="1354" t="str">
        <f>IF(AND(F464=G464,H464=I464,F464="A"),"2015 - kwh","")</f>
        <v/>
      </c>
      <c r="AB462" s="1354" t="str">
        <f>IF(OR(B462="2016 - kwh",B462="2017 - kwh"),"2015 - kwh","")</f>
        <v/>
      </c>
      <c r="AC462" s="1354"/>
      <c r="AD462" s="1354"/>
      <c r="AE462" s="1354"/>
    </row>
    <row r="463" spans="1:31" s="779" customFormat="1" hidden="1" x14ac:dyDescent="0.25">
      <c r="A463" s="876" t="str">
        <f>IF(AND(F464=G464,H464=I464,J464=K464,F464="A"),"2015 - kw",IF(AND(F464=G464,H464=I464,J464&lt;&gt;K464,F464="A"),"2016 - kw",IF(AND(F464=G464,H464&lt;&gt;I464,F464="A"),"2017 - kw","N/A")))</f>
        <v>N/A</v>
      </c>
      <c r="B463" s="876" t="str">
        <f>IF(F464&lt;&gt;G464,"2017 - kw",IF(H464&lt;&gt;I464,"2016 - kw",IF(J464&lt;&gt;K464,"2015 - kw","N/A")))</f>
        <v>N/A</v>
      </c>
      <c r="C463" s="752"/>
      <c r="D463" s="809" t="str">
        <f>D462 &amp; "kW"</f>
        <v>kW</v>
      </c>
      <c r="E463" s="872" t="s">
        <v>159</v>
      </c>
      <c r="F463" s="978"/>
      <c r="G463" s="978"/>
      <c r="H463" s="978"/>
      <c r="I463" s="978"/>
      <c r="J463" s="978"/>
      <c r="K463" s="978"/>
      <c r="L463" s="978"/>
      <c r="M463" s="978"/>
      <c r="N463" s="978"/>
      <c r="O463" s="978"/>
      <c r="P463" s="876"/>
      <c r="Q463" s="876"/>
      <c r="R463" s="876"/>
      <c r="S463" s="876"/>
      <c r="T463" s="876"/>
      <c r="U463" s="876"/>
      <c r="V463" s="876"/>
      <c r="Z463" s="1354"/>
      <c r="AA463" s="1354" t="str">
        <f>IF(AND(F464=G464,H464=I464,F464="A"),"2015 - kw","")</f>
        <v/>
      </c>
      <c r="AB463" s="1354" t="str">
        <f>IF(OR(B463="2016 - kw",B463="2017 - kw"),"2015 - kw","")</f>
        <v/>
      </c>
      <c r="AC463" s="1354"/>
      <c r="AD463" s="1354"/>
      <c r="AE463" s="1354"/>
    </row>
    <row r="464" spans="1:31" s="779" customFormat="1" hidden="1" x14ac:dyDescent="0.25">
      <c r="A464" s="876"/>
      <c r="B464" s="876"/>
      <c r="C464" s="755"/>
      <c r="D464" s="870"/>
      <c r="E464" s="871" t="s">
        <v>2550</v>
      </c>
      <c r="F464" s="977"/>
      <c r="G464" s="977"/>
      <c r="H464" s="977"/>
      <c r="I464" s="977"/>
      <c r="J464" s="977"/>
      <c r="K464" s="977"/>
      <c r="L464" s="977"/>
      <c r="M464" s="977"/>
      <c r="N464" s="977"/>
      <c r="O464" s="977"/>
      <c r="P464" s="876"/>
      <c r="Q464" s="876"/>
      <c r="R464" s="876"/>
      <c r="S464" s="876"/>
      <c r="T464" s="876"/>
      <c r="U464" s="876"/>
      <c r="V464" s="876"/>
      <c r="Z464" s="1354"/>
      <c r="AA464" s="1354"/>
      <c r="AB464" s="1354"/>
      <c r="AC464" s="1354"/>
      <c r="AD464" s="1354"/>
      <c r="AE464" s="1354"/>
    </row>
    <row r="465" spans="1:31" s="779" customFormat="1" hidden="1" x14ac:dyDescent="0.25">
      <c r="A465" s="876" t="str">
        <f>IF(AND(F467=G467,H467=I467,J467=K467,F467="A"),"2015 - kwh",IF(AND(F467=G467,H467=I467,J467&lt;&gt;K467,F467="A"),"2016 - kwh",IF(AND(F467=G467,H467&lt;&gt;I467,F467="A"),"2017 - kwh","N/A")))</f>
        <v>N/A</v>
      </c>
      <c r="B465" s="876" t="str">
        <f>IF(F467&lt;&gt;G467,"2017 - kwh",IF(H467&lt;&gt;I467,"2016 - kwh",IF(J467&lt;&gt;K467,"2015 - kwh","N/A")))</f>
        <v>N/A</v>
      </c>
      <c r="C465" s="751" t="s">
        <v>2730</v>
      </c>
      <c r="D465" s="979"/>
      <c r="E465" s="873" t="s">
        <v>158</v>
      </c>
      <c r="F465" s="978"/>
      <c r="G465" s="978"/>
      <c r="H465" s="978"/>
      <c r="I465" s="978"/>
      <c r="J465" s="978"/>
      <c r="K465" s="978"/>
      <c r="L465" s="978"/>
      <c r="M465" s="978"/>
      <c r="N465" s="978"/>
      <c r="O465" s="978"/>
      <c r="P465" s="876"/>
      <c r="Q465" s="876"/>
      <c r="R465" s="876"/>
      <c r="S465" s="876"/>
      <c r="T465" s="876"/>
      <c r="U465" s="876"/>
      <c r="V465" s="876"/>
      <c r="Z465" s="1354"/>
      <c r="AA465" s="1354" t="str">
        <f>IF(AND(F467=G467,H467=I467,F467="A"),"2015 - kwh","")</f>
        <v/>
      </c>
      <c r="AB465" s="1354" t="str">
        <f>IF(OR(B465="2016 - kwh",B465="2017 - kwh"),"2015 - kwh","")</f>
        <v/>
      </c>
      <c r="AC465" s="1354"/>
      <c r="AD465" s="1354"/>
      <c r="AE465" s="1354"/>
    </row>
    <row r="466" spans="1:31" s="779" customFormat="1" hidden="1" x14ac:dyDescent="0.25">
      <c r="A466" s="876" t="str">
        <f>IF(AND(F467=G467,H467=I467,J467=K467,F467="A"),"2015 - kw",IF(AND(F467=G467,H467=I467,J467&lt;&gt;K467,F467="A"),"2016 - kw",IF(AND(F467=G467,H467&lt;&gt;I467,F467="A"),"2017 - kw","N/A")))</f>
        <v>N/A</v>
      </c>
      <c r="B466" s="876" t="str">
        <f>IF(F467&lt;&gt;G467,"2017 - kw",IF(H467&lt;&gt;I467,"2016 - kw",IF(J467&lt;&gt;K467,"2015 - kw","N/A")))</f>
        <v>N/A</v>
      </c>
      <c r="C466" s="752"/>
      <c r="D466" s="809" t="str">
        <f>D465 &amp; "kW"</f>
        <v>kW</v>
      </c>
      <c r="E466" s="872" t="s">
        <v>159</v>
      </c>
      <c r="F466" s="978"/>
      <c r="G466" s="978"/>
      <c r="H466" s="978"/>
      <c r="I466" s="978"/>
      <c r="J466" s="978"/>
      <c r="K466" s="978"/>
      <c r="L466" s="978"/>
      <c r="M466" s="978"/>
      <c r="N466" s="978"/>
      <c r="O466" s="978"/>
      <c r="P466" s="876"/>
      <c r="Q466" s="876"/>
      <c r="R466" s="876"/>
      <c r="S466" s="876"/>
      <c r="T466" s="876"/>
      <c r="U466" s="876"/>
      <c r="V466" s="876"/>
      <c r="Z466" s="1354"/>
      <c r="AA466" s="1354" t="str">
        <f>IF(AND(F467=G467,H467=I467,F467="A"),"2015 - kw","")</f>
        <v/>
      </c>
      <c r="AB466" s="1354" t="str">
        <f>IF(OR(B466="2016 - kw",B466="2017 - kw"),"2015 - kw","")</f>
        <v/>
      </c>
      <c r="AC466" s="1354"/>
      <c r="AD466" s="1354"/>
      <c r="AE466" s="1354"/>
    </row>
    <row r="467" spans="1:31" s="779" customFormat="1" hidden="1" x14ac:dyDescent="0.25">
      <c r="A467" s="876"/>
      <c r="B467" s="876"/>
      <c r="C467" s="755"/>
      <c r="D467" s="870"/>
      <c r="E467" s="871" t="s">
        <v>2550</v>
      </c>
      <c r="F467" s="977"/>
      <c r="G467" s="977"/>
      <c r="H467" s="977"/>
      <c r="I467" s="977"/>
      <c r="J467" s="977"/>
      <c r="K467" s="977"/>
      <c r="L467" s="977"/>
      <c r="M467" s="977"/>
      <c r="N467" s="977"/>
      <c r="O467" s="977"/>
      <c r="P467" s="876"/>
      <c r="Q467" s="876"/>
      <c r="R467" s="876"/>
      <c r="S467" s="876"/>
      <c r="T467" s="876"/>
      <c r="U467" s="876"/>
      <c r="V467" s="876"/>
      <c r="Z467" s="1354"/>
      <c r="AA467" s="1354"/>
      <c r="AB467" s="1354"/>
      <c r="AC467" s="1354"/>
      <c r="AD467" s="1354"/>
      <c r="AE467" s="1354"/>
    </row>
    <row r="468" spans="1:31" s="779" customFormat="1" hidden="1" x14ac:dyDescent="0.25">
      <c r="A468" s="876" t="str">
        <f>IF(AND(F470=G470,H470=I470,J470=K470,F470="A"),"2015 - kwh",IF(AND(F470=G470,H470=I470,J470&lt;&gt;K470,F470="A"),"2016 - kwh",IF(AND(F470=G470,H470&lt;&gt;I470,F470="A"),"2017 - kwh","N/A")))</f>
        <v>N/A</v>
      </c>
      <c r="B468" s="876" t="str">
        <f>IF(F470&lt;&gt;G470,"2017 - kwh",IF(H470&lt;&gt;I470,"2016 - kwh",IF(J470&lt;&gt;K470,"2015 - kwh","N/A")))</f>
        <v>N/A</v>
      </c>
      <c r="C468" s="751" t="s">
        <v>2731</v>
      </c>
      <c r="D468" s="979"/>
      <c r="E468" s="873" t="s">
        <v>158</v>
      </c>
      <c r="F468" s="978"/>
      <c r="G468" s="978"/>
      <c r="H468" s="978"/>
      <c r="I468" s="978"/>
      <c r="J468" s="978"/>
      <c r="K468" s="978"/>
      <c r="L468" s="978"/>
      <c r="M468" s="978"/>
      <c r="N468" s="978"/>
      <c r="O468" s="978"/>
      <c r="P468" s="876"/>
      <c r="Q468" s="876"/>
      <c r="R468" s="876"/>
      <c r="S468" s="876"/>
      <c r="T468" s="876"/>
      <c r="U468" s="876"/>
      <c r="V468" s="876"/>
      <c r="Z468" s="1354"/>
      <c r="AA468" s="1354" t="str">
        <f>IF(AND(F470=G470,H470=I470,F470="A"),"2015 - kwh","")</f>
        <v/>
      </c>
      <c r="AB468" s="1354" t="str">
        <f>IF(OR(B468="2016 - kwh",B468="2017 - kwh"),"2015 - kwh","")</f>
        <v/>
      </c>
      <c r="AC468" s="1354"/>
      <c r="AD468" s="1354"/>
      <c r="AE468" s="1354"/>
    </row>
    <row r="469" spans="1:31" s="779" customFormat="1" hidden="1" x14ac:dyDescent="0.25">
      <c r="A469" s="876" t="str">
        <f>IF(AND(F470=G470,H470=I470,J470=K470,F470="A"),"2015 - kw",IF(AND(F470=G470,H470=I470,J470&lt;&gt;K470,F470="A"),"2016 - kw",IF(AND(F470=G470,H470&lt;&gt;I470,F470="A"),"2017 - kw","N/A")))</f>
        <v>N/A</v>
      </c>
      <c r="B469" s="876" t="str">
        <f>IF(F470&lt;&gt;G470,"2017 - kw",IF(H470&lt;&gt;I470,"2016 - kw",IF(J470&lt;&gt;K470,"2015 - kw","N/A")))</f>
        <v>N/A</v>
      </c>
      <c r="C469" s="752"/>
      <c r="D469" s="809" t="str">
        <f>D468 &amp; "kW"</f>
        <v>kW</v>
      </c>
      <c r="E469" s="872" t="s">
        <v>159</v>
      </c>
      <c r="F469" s="978"/>
      <c r="G469" s="978"/>
      <c r="H469" s="978"/>
      <c r="I469" s="978"/>
      <c r="J469" s="978"/>
      <c r="K469" s="978"/>
      <c r="L469" s="978"/>
      <c r="M469" s="978"/>
      <c r="N469" s="978"/>
      <c r="O469" s="978"/>
      <c r="P469" s="876"/>
      <c r="Q469" s="876"/>
      <c r="R469" s="876"/>
      <c r="S469" s="876"/>
      <c r="T469" s="876"/>
      <c r="U469" s="876"/>
      <c r="V469" s="876"/>
      <c r="Z469" s="1354"/>
      <c r="AA469" s="1354" t="str">
        <f>IF(AND(F470=G470,H470=I470,F470="A"),"2015 - kw","")</f>
        <v/>
      </c>
      <c r="AB469" s="1354" t="str">
        <f>IF(OR(B469="2016 - kw",B469="2017 - kw"),"2015 - kw","")</f>
        <v/>
      </c>
      <c r="AC469" s="1354"/>
      <c r="AD469" s="1354"/>
      <c r="AE469" s="1354"/>
    </row>
    <row r="470" spans="1:31" s="779" customFormat="1" hidden="1" x14ac:dyDescent="0.25">
      <c r="A470" s="876"/>
      <c r="B470" s="876"/>
      <c r="C470" s="755"/>
      <c r="D470" s="870"/>
      <c r="E470" s="871" t="s">
        <v>2550</v>
      </c>
      <c r="F470" s="977"/>
      <c r="G470" s="977"/>
      <c r="H470" s="977"/>
      <c r="I470" s="977"/>
      <c r="J470" s="977"/>
      <c r="K470" s="977"/>
      <c r="L470" s="977"/>
      <c r="M470" s="977"/>
      <c r="N470" s="977"/>
      <c r="O470" s="977"/>
      <c r="P470" s="876"/>
      <c r="Q470" s="876"/>
      <c r="R470" s="876"/>
      <c r="S470" s="876"/>
      <c r="T470" s="876"/>
      <c r="U470" s="876"/>
      <c r="V470" s="876"/>
      <c r="Z470" s="1354"/>
      <c r="AA470" s="1354"/>
      <c r="AB470" s="1354"/>
      <c r="AC470" s="1354"/>
      <c r="AD470" s="1354"/>
      <c r="AE470" s="1354"/>
    </row>
    <row r="471" spans="1:31" s="779" customFormat="1" hidden="1" x14ac:dyDescent="0.25">
      <c r="A471" s="876" t="str">
        <f>IF(AND(F473=G473,H473=I473,J473=K473,F473="A"),"2015 - kwh",IF(AND(F473=G473,H473=I473,J473&lt;&gt;K473,F473="A"),"2016 - kwh",IF(AND(F473=G473,H473&lt;&gt;I473,F473="A"),"2017 - kwh","N/A")))</f>
        <v>N/A</v>
      </c>
      <c r="B471" s="876" t="str">
        <f>IF(F473&lt;&gt;G473,"2017 - kwh",IF(H473&lt;&gt;I473,"2016 - kwh",IF(J473&lt;&gt;K473,"2015 - kwh","N/A")))</f>
        <v>N/A</v>
      </c>
      <c r="C471" s="751" t="s">
        <v>2732</v>
      </c>
      <c r="D471" s="979"/>
      <c r="E471" s="873" t="s">
        <v>158</v>
      </c>
      <c r="F471" s="978"/>
      <c r="G471" s="978"/>
      <c r="H471" s="978"/>
      <c r="I471" s="978"/>
      <c r="J471" s="978"/>
      <c r="K471" s="978"/>
      <c r="L471" s="978"/>
      <c r="M471" s="978"/>
      <c r="N471" s="978"/>
      <c r="O471" s="978"/>
      <c r="P471" s="876"/>
      <c r="Q471" s="876"/>
      <c r="R471" s="876"/>
      <c r="S471" s="876"/>
      <c r="T471" s="876"/>
      <c r="U471" s="876"/>
      <c r="V471" s="876"/>
      <c r="Z471" s="1354"/>
      <c r="AA471" s="1354" t="str">
        <f>IF(AND(F473=G473,H473=I473,F473="A"),"2015 - kwh","")</f>
        <v/>
      </c>
      <c r="AB471" s="1354" t="str">
        <f>IF(OR(B471="2016 - kwh",B471="2017 - kwh"),"2015 - kwh","")</f>
        <v/>
      </c>
      <c r="AC471" s="1354"/>
      <c r="AD471" s="1354"/>
      <c r="AE471" s="1354"/>
    </row>
    <row r="472" spans="1:31" s="779" customFormat="1" hidden="1" x14ac:dyDescent="0.25">
      <c r="A472" s="876" t="str">
        <f>IF(AND(F473=G473,H473=I473,J473=K473,F473="A"),"2015 - kw",IF(AND(F473=G473,H473=I473,J473&lt;&gt;K473,F473="A"),"2016 - kw",IF(AND(F473=G473,H473&lt;&gt;I473,F473="A"),"2017 - kw","N/A")))</f>
        <v>N/A</v>
      </c>
      <c r="B472" s="876" t="str">
        <f>IF(F473&lt;&gt;G473,"2017 - kw",IF(H473&lt;&gt;I473,"2016 - kw",IF(J473&lt;&gt;K473,"2015 - kw","N/A")))</f>
        <v>N/A</v>
      </c>
      <c r="C472" s="752"/>
      <c r="D472" s="809" t="str">
        <f>D471 &amp; "kW"</f>
        <v>kW</v>
      </c>
      <c r="E472" s="872" t="s">
        <v>159</v>
      </c>
      <c r="F472" s="978"/>
      <c r="G472" s="978"/>
      <c r="H472" s="978"/>
      <c r="I472" s="978"/>
      <c r="J472" s="978"/>
      <c r="K472" s="978"/>
      <c r="L472" s="978"/>
      <c r="M472" s="978"/>
      <c r="N472" s="978"/>
      <c r="O472" s="978"/>
      <c r="P472" s="876"/>
      <c r="Q472" s="876"/>
      <c r="R472" s="876"/>
      <c r="S472" s="876"/>
      <c r="T472" s="876"/>
      <c r="U472" s="876"/>
      <c r="V472" s="876"/>
      <c r="Z472" s="1354"/>
      <c r="AA472" s="1354" t="str">
        <f>IF(AND(F473=G473,H473=I473,F473="A"),"2015 - kw","")</f>
        <v/>
      </c>
      <c r="AB472" s="1354" t="str">
        <f>IF(OR(B472="2016 - kw",B472="2017 - kw"),"2015 - kw","")</f>
        <v/>
      </c>
      <c r="AC472" s="1354"/>
      <c r="AD472" s="1354"/>
      <c r="AE472" s="1354"/>
    </row>
    <row r="473" spans="1:31" s="779" customFormat="1" hidden="1" x14ac:dyDescent="0.25">
      <c r="A473" s="876"/>
      <c r="B473" s="876"/>
      <c r="C473" s="755"/>
      <c r="D473" s="870"/>
      <c r="E473" s="871" t="s">
        <v>2550</v>
      </c>
      <c r="F473" s="977"/>
      <c r="G473" s="977"/>
      <c r="H473" s="977"/>
      <c r="I473" s="977"/>
      <c r="J473" s="977"/>
      <c r="K473" s="977"/>
      <c r="L473" s="977"/>
      <c r="M473" s="977"/>
      <c r="N473" s="977"/>
      <c r="O473" s="977"/>
      <c r="P473" s="876"/>
      <c r="Q473" s="876"/>
      <c r="R473" s="876"/>
      <c r="S473" s="876"/>
      <c r="T473" s="876"/>
      <c r="U473" s="876"/>
      <c r="V473" s="876"/>
      <c r="Z473" s="1354"/>
      <c r="AA473" s="1354"/>
      <c r="AB473" s="1354"/>
      <c r="AC473" s="1354"/>
      <c r="AD473" s="1354"/>
      <c r="AE473" s="1354"/>
    </row>
    <row r="474" spans="1:31" s="779" customFormat="1" hidden="1" x14ac:dyDescent="0.25">
      <c r="A474" s="876" t="str">
        <f>IF(AND(F476=G476,H476=I476,J476=K476,F476="A"),"2015 - kwh",IF(AND(F476=G476,H476=I476,J476&lt;&gt;K476,F476="A"),"2016 - kwh",IF(AND(F476=G476,H476&lt;&gt;I476,F476="A"),"2017 - kwh","N/A")))</f>
        <v>N/A</v>
      </c>
      <c r="B474" s="876" t="str">
        <f>IF(F476&lt;&gt;G476,"2017 - kwh",IF(H476&lt;&gt;I476,"2016 - kwh",IF(J476&lt;&gt;K476,"2015 - kwh","N/A")))</f>
        <v>N/A</v>
      </c>
      <c r="C474" s="751" t="s">
        <v>2733</v>
      </c>
      <c r="D474" s="979"/>
      <c r="E474" s="873" t="s">
        <v>158</v>
      </c>
      <c r="F474" s="978"/>
      <c r="G474" s="978"/>
      <c r="H474" s="978"/>
      <c r="I474" s="978"/>
      <c r="J474" s="978"/>
      <c r="K474" s="978"/>
      <c r="L474" s="978"/>
      <c r="M474" s="978"/>
      <c r="N474" s="978"/>
      <c r="O474" s="978"/>
      <c r="P474" s="876"/>
      <c r="Q474" s="876"/>
      <c r="R474" s="876"/>
      <c r="S474" s="876"/>
      <c r="T474" s="876"/>
      <c r="U474" s="876"/>
      <c r="V474" s="876"/>
      <c r="Z474" s="1354"/>
      <c r="AA474" s="1354" t="str">
        <f>IF(AND(F476=G476,H476=I476,F476="A"),"2015 - kwh","")</f>
        <v/>
      </c>
      <c r="AB474" s="1354" t="str">
        <f>IF(OR(B474="2016 - kwh",B474="2017 - kwh"),"2015 - kwh","")</f>
        <v/>
      </c>
      <c r="AC474" s="1354"/>
      <c r="AD474" s="1354"/>
      <c r="AE474" s="1354"/>
    </row>
    <row r="475" spans="1:31" s="779" customFormat="1" hidden="1" x14ac:dyDescent="0.25">
      <c r="A475" s="876" t="str">
        <f>IF(AND(F476=G476,H476=I476,J476=K476,F476="A"),"2015 - kw",IF(AND(F476=G476,H476=I476,J476&lt;&gt;K476,F476="A"),"2016 - kw",IF(AND(F476=G476,H476&lt;&gt;I476,F476="A"),"2017 - kw","N/A")))</f>
        <v>N/A</v>
      </c>
      <c r="B475" s="876" t="str">
        <f>IF(F476&lt;&gt;G476,"2017 - kw",IF(H476&lt;&gt;I476,"2016 - kw",IF(J476&lt;&gt;K476,"2015 - kw","N/A")))</f>
        <v>N/A</v>
      </c>
      <c r="C475" s="752"/>
      <c r="D475" s="809" t="str">
        <f>D474 &amp; "kW"</f>
        <v>kW</v>
      </c>
      <c r="E475" s="872" t="s">
        <v>159</v>
      </c>
      <c r="F475" s="978"/>
      <c r="G475" s="978"/>
      <c r="H475" s="978"/>
      <c r="I475" s="978"/>
      <c r="J475" s="978"/>
      <c r="K475" s="978"/>
      <c r="L475" s="978"/>
      <c r="M475" s="978"/>
      <c r="N475" s="978"/>
      <c r="O475" s="978"/>
      <c r="P475" s="876"/>
      <c r="Q475" s="876"/>
      <c r="R475" s="876"/>
      <c r="S475" s="876"/>
      <c r="T475" s="876"/>
      <c r="U475" s="876"/>
      <c r="V475" s="876"/>
      <c r="Z475" s="1354"/>
      <c r="AA475" s="1354" t="str">
        <f>IF(AND(F476=G476,H476=I476,F476="A"),"2015 - kw","")</f>
        <v/>
      </c>
      <c r="AB475" s="1354" t="str">
        <f>IF(OR(B475="2016 - kw",B475="2017 - kw"),"2015 - kw","")</f>
        <v/>
      </c>
      <c r="AC475" s="1354"/>
      <c r="AD475" s="1354"/>
      <c r="AE475" s="1354"/>
    </row>
    <row r="476" spans="1:31" s="779" customFormat="1" hidden="1" x14ac:dyDescent="0.25">
      <c r="A476" s="876"/>
      <c r="B476" s="876"/>
      <c r="C476" s="755"/>
      <c r="D476" s="870"/>
      <c r="E476" s="871" t="s">
        <v>2550</v>
      </c>
      <c r="F476" s="977"/>
      <c r="G476" s="977"/>
      <c r="H476" s="977"/>
      <c r="I476" s="977"/>
      <c r="J476" s="977"/>
      <c r="K476" s="977"/>
      <c r="L476" s="977"/>
      <c r="M476" s="977"/>
      <c r="N476" s="977"/>
      <c r="O476" s="977"/>
      <c r="P476" s="876"/>
      <c r="Q476" s="876"/>
      <c r="R476" s="876"/>
      <c r="S476" s="876"/>
      <c r="T476" s="876"/>
      <c r="U476" s="876"/>
      <c r="V476" s="876"/>
      <c r="Z476" s="1354"/>
      <c r="AA476" s="1354"/>
      <c r="AB476" s="1354"/>
      <c r="AC476" s="1354"/>
      <c r="AD476" s="1354"/>
      <c r="AE476" s="1354"/>
    </row>
    <row r="477" spans="1:31" s="779" customFormat="1" hidden="1" x14ac:dyDescent="0.25">
      <c r="A477" s="876" t="str">
        <f>IF(AND(F479=G479,H479=I479,J479=K479,F479="A"),"2015 - kwh",IF(AND(F479=G479,H479=I479,J479&lt;&gt;K479,F479="A"),"2016 - kwh",IF(AND(F479=G479,H479&lt;&gt;I479,F479="A"),"2017 - kwh","N/A")))</f>
        <v>N/A</v>
      </c>
      <c r="B477" s="876" t="str">
        <f>IF(F479&lt;&gt;G479,"2017 - kwh",IF(H479&lt;&gt;I479,"2016 - kwh",IF(J479&lt;&gt;K479,"2015 - kwh","N/A")))</f>
        <v>N/A</v>
      </c>
      <c r="C477" s="754" t="s">
        <v>2734</v>
      </c>
      <c r="D477" s="979"/>
      <c r="E477" s="873" t="s">
        <v>158</v>
      </c>
      <c r="F477" s="978"/>
      <c r="G477" s="978"/>
      <c r="H477" s="978"/>
      <c r="I477" s="978"/>
      <c r="J477" s="978"/>
      <c r="K477" s="978"/>
      <c r="L477" s="978"/>
      <c r="M477" s="978"/>
      <c r="N477" s="978"/>
      <c r="O477" s="978"/>
      <c r="P477" s="876"/>
      <c r="Q477" s="876"/>
      <c r="R477" s="876"/>
      <c r="S477" s="876"/>
      <c r="T477" s="876"/>
      <c r="U477" s="876"/>
      <c r="V477" s="876"/>
      <c r="Z477" s="1354"/>
      <c r="AA477" s="1354" t="str">
        <f>IF(AND(F479=G479,H479=I479,F479="A"),"2015 - kwh","")</f>
        <v/>
      </c>
      <c r="AB477" s="1354" t="str">
        <f>IF(OR(B477="2016 - kwh",B477="2017 - kwh"),"2015 - kwh","")</f>
        <v/>
      </c>
      <c r="AC477" s="1354"/>
      <c r="AD477" s="1354"/>
      <c r="AE477" s="1354"/>
    </row>
    <row r="478" spans="1:31" s="779" customFormat="1" hidden="1" x14ac:dyDescent="0.25">
      <c r="A478" s="876" t="str">
        <f>IF(AND(F479=G479,H479=I479,J479=K479,F479="A"),"2015 - kw",IF(AND(F479=G479,H479=I479,J479&lt;&gt;K479,F479="A"),"2016 - kw",IF(AND(F479=G479,H479&lt;&gt;I479,F479="A"),"2017 - kw","N/A")))</f>
        <v>N/A</v>
      </c>
      <c r="B478" s="876" t="str">
        <f>IF(F479&lt;&gt;G479,"2017 - kw",IF(H479&lt;&gt;I479,"2016 - kw",IF(J479&lt;&gt;K479,"2015 - kw","N/A")))</f>
        <v>N/A</v>
      </c>
      <c r="C478" s="753"/>
      <c r="D478" s="809" t="str">
        <f>D477 &amp; "kW"</f>
        <v>kW</v>
      </c>
      <c r="E478" s="872" t="s">
        <v>159</v>
      </c>
      <c r="F478" s="978"/>
      <c r="G478" s="978"/>
      <c r="H478" s="978"/>
      <c r="I478" s="978"/>
      <c r="J478" s="978"/>
      <c r="K478" s="978"/>
      <c r="L478" s="978"/>
      <c r="M478" s="978"/>
      <c r="N478" s="978"/>
      <c r="O478" s="978"/>
      <c r="P478" s="876"/>
      <c r="Q478" s="876"/>
      <c r="R478" s="876"/>
      <c r="S478" s="876"/>
      <c r="T478" s="876"/>
      <c r="U478" s="876"/>
      <c r="V478" s="876"/>
      <c r="Z478" s="1354"/>
      <c r="AA478" s="1354" t="str">
        <f>IF(AND(F479=G479,H479=I479,F479="A"),"2015 - kw","")</f>
        <v/>
      </c>
      <c r="AB478" s="1354" t="str">
        <f>IF(OR(B478="2016 - kw",B478="2017 - kw"),"2015 - kw","")</f>
        <v/>
      </c>
      <c r="AC478" s="1354"/>
      <c r="AD478" s="1354"/>
      <c r="AE478" s="1354"/>
    </row>
    <row r="479" spans="1:31" s="779" customFormat="1" hidden="1" x14ac:dyDescent="0.25">
      <c r="A479" s="876"/>
      <c r="B479" s="876"/>
      <c r="C479" s="755"/>
      <c r="D479" s="870"/>
      <c r="E479" s="871" t="s">
        <v>2550</v>
      </c>
      <c r="F479" s="977"/>
      <c r="G479" s="977"/>
      <c r="H479" s="977"/>
      <c r="I479" s="977"/>
      <c r="J479" s="977"/>
      <c r="K479" s="977"/>
      <c r="L479" s="977"/>
      <c r="M479" s="977"/>
      <c r="N479" s="977"/>
      <c r="O479" s="977"/>
      <c r="P479" s="876"/>
      <c r="Q479" s="876"/>
      <c r="R479" s="876"/>
      <c r="S479" s="876"/>
      <c r="T479" s="876"/>
      <c r="U479" s="876"/>
      <c r="V479" s="876"/>
      <c r="Z479" s="1354"/>
      <c r="AA479" s="1354"/>
      <c r="AB479" s="1354"/>
      <c r="AC479" s="1354"/>
      <c r="AD479" s="1354"/>
      <c r="AE479" s="1354"/>
    </row>
    <row r="480" spans="1:31" ht="14.25" customHeight="1" x14ac:dyDescent="0.25">
      <c r="A480" s="876"/>
      <c r="B480" s="876"/>
      <c r="D480" s="745"/>
      <c r="P480" s="876"/>
      <c r="Q480" s="876"/>
      <c r="R480" s="876"/>
      <c r="S480" s="876"/>
      <c r="T480" s="876"/>
      <c r="U480" s="876"/>
      <c r="V480" s="876"/>
      <c r="Z480" s="1354"/>
      <c r="AA480" s="1354"/>
      <c r="AB480" s="1354"/>
      <c r="AC480" s="1354"/>
      <c r="AD480" s="1354"/>
      <c r="AE480" s="1354"/>
    </row>
    <row r="481" spans="1:29" x14ac:dyDescent="0.25">
      <c r="A481" s="876"/>
      <c r="B481" s="876"/>
      <c r="F481" s="757"/>
      <c r="P481" s="876"/>
      <c r="Q481" s="876"/>
      <c r="R481" s="876"/>
      <c r="S481" s="876"/>
      <c r="T481" s="876"/>
      <c r="U481" s="876"/>
      <c r="V481" s="876"/>
      <c r="Z481" s="876"/>
      <c r="AA481" s="876"/>
      <c r="AB481" s="876"/>
      <c r="AC481" s="876"/>
    </row>
    <row r="482" spans="1:29" x14ac:dyDescent="0.25">
      <c r="A482" s="876"/>
      <c r="B482" s="876"/>
      <c r="E482" s="756"/>
      <c r="F482" s="1"/>
      <c r="P482" s="876"/>
      <c r="Q482" s="876"/>
      <c r="R482" s="876"/>
      <c r="S482" s="876"/>
      <c r="T482" s="876"/>
      <c r="U482" s="876"/>
      <c r="V482" s="876"/>
    </row>
    <row r="483" spans="1:29" x14ac:dyDescent="0.25">
      <c r="A483" s="876"/>
      <c r="B483" s="876"/>
      <c r="F483" s="757"/>
      <c r="P483" s="876"/>
      <c r="Q483" s="876"/>
      <c r="R483" s="876"/>
      <c r="S483" s="876"/>
      <c r="T483" s="876"/>
      <c r="U483" s="876"/>
      <c r="V483" s="876"/>
    </row>
    <row r="484" spans="1:29" x14ac:dyDescent="0.25">
      <c r="C484" s="758"/>
      <c r="F484" s="757"/>
      <c r="P484" s="876"/>
      <c r="Q484" s="876"/>
      <c r="R484" s="876"/>
      <c r="S484" s="876"/>
      <c r="T484" s="876"/>
      <c r="U484" s="876"/>
      <c r="V484" s="876"/>
    </row>
    <row r="485" spans="1:29" x14ac:dyDescent="0.25">
      <c r="P485" s="876"/>
      <c r="Q485" s="876"/>
      <c r="R485" s="876"/>
      <c r="S485" s="876"/>
      <c r="T485" s="876"/>
      <c r="U485" s="876"/>
      <c r="V485" s="876"/>
    </row>
    <row r="487" spans="1:29" ht="51.75" customHeight="1" x14ac:dyDescent="0.25">
      <c r="A487" s="874" t="s">
        <v>2551</v>
      </c>
      <c r="B487" s="617" t="s">
        <v>2906</v>
      </c>
      <c r="C487" s="978">
        <v>0</v>
      </c>
      <c r="E487" s="779"/>
    </row>
    <row r="490" spans="1:29" x14ac:dyDescent="0.25">
      <c r="C490" s="748" t="s">
        <v>2878</v>
      </c>
      <c r="F490" s="757"/>
    </row>
    <row r="491" spans="1:29" x14ac:dyDescent="0.25">
      <c r="A491" s="876"/>
      <c r="B491" s="876"/>
      <c r="C491" s="616" t="s">
        <v>2444</v>
      </c>
      <c r="D491" s="616" t="s">
        <v>52</v>
      </c>
      <c r="E491" s="616"/>
      <c r="F491" s="1775">
        <v>2017</v>
      </c>
      <c r="G491" s="1776"/>
      <c r="H491" s="1775">
        <v>2016</v>
      </c>
      <c r="I491" s="1776"/>
      <c r="J491" s="1775">
        <v>2015</v>
      </c>
      <c r="K491" s="1776"/>
      <c r="L491" s="1775">
        <v>2014</v>
      </c>
      <c r="M491" s="1776"/>
      <c r="N491" s="1775">
        <v>2013</v>
      </c>
      <c r="O491" s="1776"/>
      <c r="P491" s="876"/>
      <c r="Q491" s="876"/>
      <c r="R491" s="876"/>
      <c r="S491" s="876"/>
      <c r="T491" s="876"/>
      <c r="U491" s="876"/>
      <c r="V491" s="876"/>
      <c r="W491" s="876"/>
    </row>
    <row r="492" spans="1:29" hidden="1" x14ac:dyDescent="0.25">
      <c r="A492" s="876"/>
      <c r="B492" s="876"/>
      <c r="C492" s="759" t="s">
        <v>2552</v>
      </c>
      <c r="D492" s="979"/>
      <c r="E492" s="760" t="s">
        <v>158</v>
      </c>
      <c r="F492" s="1773"/>
      <c r="G492" s="1774"/>
      <c r="H492" s="1773"/>
      <c r="I492" s="1774"/>
      <c r="J492" s="1773"/>
      <c r="K492" s="1774"/>
      <c r="L492" s="1773"/>
      <c r="M492" s="1774"/>
      <c r="N492" s="1773"/>
      <c r="O492" s="1774"/>
      <c r="P492" s="876"/>
      <c r="Q492" s="876"/>
      <c r="R492" s="876"/>
      <c r="S492" s="876"/>
      <c r="T492" s="876"/>
      <c r="U492" s="876"/>
      <c r="V492" s="876"/>
      <c r="W492" s="876"/>
    </row>
    <row r="493" spans="1:29" hidden="1" x14ac:dyDescent="0.25">
      <c r="A493" s="876"/>
      <c r="B493" s="876"/>
      <c r="C493" s="759"/>
      <c r="D493" s="810" t="str">
        <f>D492&amp;"KW"</f>
        <v>KW</v>
      </c>
      <c r="E493" s="760" t="s">
        <v>159</v>
      </c>
      <c r="F493" s="1773"/>
      <c r="G493" s="1774"/>
      <c r="H493" s="1773"/>
      <c r="I493" s="1774"/>
      <c r="J493" s="1773"/>
      <c r="K493" s="1774"/>
      <c r="L493" s="1773"/>
      <c r="M493" s="1774"/>
      <c r="N493" s="1773"/>
      <c r="O493" s="1774"/>
      <c r="P493" s="876"/>
      <c r="Q493" s="876"/>
      <c r="R493" s="876"/>
      <c r="S493" s="876"/>
      <c r="T493" s="876"/>
      <c r="U493" s="876"/>
      <c r="V493" s="876"/>
      <c r="W493" s="876"/>
    </row>
    <row r="494" spans="1:29" hidden="1" x14ac:dyDescent="0.25">
      <c r="A494" s="876"/>
      <c r="B494" s="876"/>
      <c r="C494" s="762" t="s">
        <v>2553</v>
      </c>
      <c r="D494" s="979"/>
      <c r="E494" s="760" t="s">
        <v>158</v>
      </c>
      <c r="F494" s="1773"/>
      <c r="G494" s="1774"/>
      <c r="H494" s="1773"/>
      <c r="I494" s="1774"/>
      <c r="J494" s="1773"/>
      <c r="K494" s="1774"/>
      <c r="L494" s="1773"/>
      <c r="M494" s="1774"/>
      <c r="N494" s="1773"/>
      <c r="O494" s="1774"/>
      <c r="P494" s="876"/>
      <c r="Q494" s="876"/>
      <c r="R494" s="876"/>
      <c r="S494" s="876"/>
      <c r="T494" s="876"/>
      <c r="U494" s="876"/>
      <c r="V494" s="876"/>
      <c r="W494" s="876"/>
    </row>
    <row r="495" spans="1:29" hidden="1" x14ac:dyDescent="0.25">
      <c r="A495" s="876"/>
      <c r="B495" s="876"/>
      <c r="C495" s="762"/>
      <c r="D495" s="810" t="str">
        <f>D494&amp;"KW"</f>
        <v>KW</v>
      </c>
      <c r="E495" s="760" t="s">
        <v>159</v>
      </c>
      <c r="F495" s="1773"/>
      <c r="G495" s="1774"/>
      <c r="H495" s="1773"/>
      <c r="I495" s="1774"/>
      <c r="J495" s="1773"/>
      <c r="K495" s="1774"/>
      <c r="L495" s="1773"/>
      <c r="M495" s="1774"/>
      <c r="N495" s="1773"/>
      <c r="O495" s="1774"/>
      <c r="P495" s="876"/>
      <c r="Q495" s="876"/>
      <c r="R495" s="876"/>
      <c r="S495" s="876"/>
      <c r="T495" s="876"/>
      <c r="U495" s="876"/>
      <c r="V495" s="876"/>
      <c r="W495" s="876"/>
    </row>
    <row r="496" spans="1:29" hidden="1" x14ac:dyDescent="0.25">
      <c r="A496" s="876"/>
      <c r="B496" s="876"/>
      <c r="C496" s="762" t="s">
        <v>2561</v>
      </c>
      <c r="D496" s="979"/>
      <c r="E496" s="760" t="s">
        <v>158</v>
      </c>
      <c r="F496" s="1773"/>
      <c r="G496" s="1774"/>
      <c r="H496" s="1773"/>
      <c r="I496" s="1774"/>
      <c r="J496" s="1773"/>
      <c r="K496" s="1774"/>
      <c r="L496" s="1773"/>
      <c r="M496" s="1774"/>
      <c r="N496" s="1773"/>
      <c r="O496" s="1774"/>
      <c r="P496" s="876"/>
      <c r="Q496" s="876"/>
      <c r="R496" s="876"/>
      <c r="S496" s="876"/>
      <c r="T496" s="876"/>
      <c r="U496" s="876"/>
      <c r="V496" s="876"/>
      <c r="W496" s="876"/>
    </row>
    <row r="497" spans="1:23" hidden="1" x14ac:dyDescent="0.25">
      <c r="A497" s="876"/>
      <c r="B497" s="876"/>
      <c r="C497" s="762"/>
      <c r="D497" s="810" t="str">
        <f>D496&amp;"KW"</f>
        <v>KW</v>
      </c>
      <c r="E497" s="760" t="s">
        <v>159</v>
      </c>
      <c r="F497" s="1773"/>
      <c r="G497" s="1774"/>
      <c r="H497" s="1773"/>
      <c r="I497" s="1774"/>
      <c r="J497" s="1773"/>
      <c r="K497" s="1774"/>
      <c r="L497" s="1773"/>
      <c r="M497" s="1774"/>
      <c r="N497" s="1773"/>
      <c r="O497" s="1774"/>
      <c r="P497" s="876"/>
      <c r="Q497" s="876"/>
      <c r="R497" s="876"/>
      <c r="S497" s="876"/>
      <c r="T497" s="876"/>
      <c r="U497" s="876"/>
      <c r="V497" s="876"/>
      <c r="W497" s="876"/>
    </row>
    <row r="498" spans="1:23" hidden="1" x14ac:dyDescent="0.25">
      <c r="A498" s="876"/>
      <c r="B498" s="876"/>
      <c r="C498" s="762" t="s">
        <v>2562</v>
      </c>
      <c r="D498" s="979"/>
      <c r="E498" s="760" t="s">
        <v>158</v>
      </c>
      <c r="F498" s="1773"/>
      <c r="G498" s="1774"/>
      <c r="H498" s="1773"/>
      <c r="I498" s="1774"/>
      <c r="J498" s="1773"/>
      <c r="K498" s="1774"/>
      <c r="L498" s="1773"/>
      <c r="M498" s="1774"/>
      <c r="N498" s="1773"/>
      <c r="O498" s="1774"/>
      <c r="P498" s="876"/>
      <c r="Q498" s="876"/>
      <c r="R498" s="876"/>
      <c r="S498" s="876"/>
      <c r="T498" s="876"/>
      <c r="U498" s="876"/>
      <c r="V498" s="876"/>
      <c r="W498" s="876"/>
    </row>
    <row r="499" spans="1:23" hidden="1" x14ac:dyDescent="0.25">
      <c r="A499" s="876"/>
      <c r="B499" s="876"/>
      <c r="C499" s="762"/>
      <c r="D499" s="810" t="str">
        <f>D498&amp;"KW"</f>
        <v>KW</v>
      </c>
      <c r="E499" s="760" t="s">
        <v>159</v>
      </c>
      <c r="F499" s="1773"/>
      <c r="G499" s="1774"/>
      <c r="H499" s="1773"/>
      <c r="I499" s="1774"/>
      <c r="J499" s="1773"/>
      <c r="K499" s="1774"/>
      <c r="L499" s="1773"/>
      <c r="M499" s="1774"/>
      <c r="N499" s="1773"/>
      <c r="O499" s="1774"/>
      <c r="P499" s="876"/>
      <c r="Q499" s="876"/>
      <c r="R499" s="876"/>
      <c r="S499" s="876"/>
      <c r="T499" s="876"/>
      <c r="U499" s="876"/>
      <c r="V499" s="876"/>
      <c r="W499" s="876"/>
    </row>
    <row r="500" spans="1:23" hidden="1" x14ac:dyDescent="0.25">
      <c r="A500" s="876"/>
      <c r="B500" s="876"/>
      <c r="C500" s="762" t="s">
        <v>2563</v>
      </c>
      <c r="D500" s="979"/>
      <c r="E500" s="760" t="s">
        <v>158</v>
      </c>
      <c r="F500" s="1773"/>
      <c r="G500" s="1774"/>
      <c r="H500" s="1773"/>
      <c r="I500" s="1774"/>
      <c r="J500" s="1773"/>
      <c r="K500" s="1774"/>
      <c r="L500" s="1773"/>
      <c r="M500" s="1774"/>
      <c r="N500" s="1773"/>
      <c r="O500" s="1774"/>
      <c r="P500" s="876"/>
      <c r="Q500" s="876"/>
      <c r="R500" s="876"/>
      <c r="S500" s="876"/>
      <c r="T500" s="876"/>
      <c r="U500" s="876"/>
      <c r="V500" s="876"/>
      <c r="W500" s="876"/>
    </row>
    <row r="501" spans="1:23" hidden="1" x14ac:dyDescent="0.25">
      <c r="A501" s="876"/>
      <c r="B501" s="876"/>
      <c r="C501" s="762"/>
      <c r="D501" s="810" t="str">
        <f>D500&amp;"KW"</f>
        <v>KW</v>
      </c>
      <c r="E501" s="760" t="s">
        <v>159</v>
      </c>
      <c r="F501" s="1773"/>
      <c r="G501" s="1774"/>
      <c r="H501" s="1773"/>
      <c r="I501" s="1774"/>
      <c r="J501" s="1773"/>
      <c r="K501" s="1774"/>
      <c r="L501" s="1773"/>
      <c r="M501" s="1774"/>
      <c r="N501" s="1773"/>
      <c r="O501" s="1774"/>
      <c r="P501" s="876"/>
      <c r="Q501" s="876"/>
      <c r="R501" s="876"/>
      <c r="S501" s="876"/>
      <c r="T501" s="876"/>
      <c r="U501" s="876"/>
      <c r="V501" s="876"/>
      <c r="W501" s="876"/>
    </row>
    <row r="502" spans="1:23" hidden="1" x14ac:dyDescent="0.25">
      <c r="A502" s="876"/>
      <c r="B502" s="876"/>
      <c r="C502" s="762" t="s">
        <v>2564</v>
      </c>
      <c r="D502" s="979"/>
      <c r="E502" s="760" t="s">
        <v>158</v>
      </c>
      <c r="F502" s="1773"/>
      <c r="G502" s="1774"/>
      <c r="H502" s="1773"/>
      <c r="I502" s="1774"/>
      <c r="J502" s="1773"/>
      <c r="K502" s="1774"/>
      <c r="L502" s="1773"/>
      <c r="M502" s="1774"/>
      <c r="N502" s="1773"/>
      <c r="O502" s="1774"/>
      <c r="P502" s="876"/>
      <c r="Q502" s="876"/>
      <c r="R502" s="876"/>
      <c r="S502" s="876"/>
      <c r="T502" s="876"/>
      <c r="U502" s="876"/>
      <c r="V502" s="876"/>
      <c r="W502" s="876"/>
    </row>
    <row r="503" spans="1:23" hidden="1" x14ac:dyDescent="0.25">
      <c r="A503" s="876"/>
      <c r="B503" s="876"/>
      <c r="C503" s="762"/>
      <c r="D503" s="810" t="str">
        <f>D502&amp;"KW"</f>
        <v>KW</v>
      </c>
      <c r="E503" s="760" t="s">
        <v>159</v>
      </c>
      <c r="F503" s="1773"/>
      <c r="G503" s="1774"/>
      <c r="H503" s="1773"/>
      <c r="I503" s="1774"/>
      <c r="J503" s="1773"/>
      <c r="K503" s="1774"/>
      <c r="L503" s="1773"/>
      <c r="M503" s="1774"/>
      <c r="N503" s="1773"/>
      <c r="O503" s="1774"/>
      <c r="P503" s="876"/>
      <c r="Q503" s="876"/>
      <c r="R503" s="876"/>
      <c r="S503" s="876"/>
      <c r="T503" s="876"/>
      <c r="U503" s="876"/>
      <c r="V503" s="876"/>
      <c r="W503" s="876"/>
    </row>
    <row r="504" spans="1:23" hidden="1" x14ac:dyDescent="0.25">
      <c r="A504" s="876"/>
      <c r="B504" s="876"/>
      <c r="C504" s="762" t="s">
        <v>2565</v>
      </c>
      <c r="D504" s="979"/>
      <c r="E504" s="760" t="s">
        <v>158</v>
      </c>
      <c r="F504" s="1773"/>
      <c r="G504" s="1774"/>
      <c r="H504" s="1773"/>
      <c r="I504" s="1774"/>
      <c r="J504" s="1773"/>
      <c r="K504" s="1774"/>
      <c r="L504" s="1773"/>
      <c r="M504" s="1774"/>
      <c r="N504" s="1773"/>
      <c r="O504" s="1774"/>
      <c r="P504" s="876"/>
      <c r="Q504" s="876"/>
      <c r="R504" s="876"/>
      <c r="S504" s="876"/>
      <c r="T504" s="876"/>
      <c r="U504" s="876"/>
      <c r="V504" s="876"/>
      <c r="W504" s="876"/>
    </row>
    <row r="505" spans="1:23" hidden="1" x14ac:dyDescent="0.25">
      <c r="A505" s="876"/>
      <c r="B505" s="876"/>
      <c r="C505" s="762"/>
      <c r="D505" s="810" t="str">
        <f>D504&amp;"KW"</f>
        <v>KW</v>
      </c>
      <c r="E505" s="760" t="s">
        <v>159</v>
      </c>
      <c r="F505" s="1773"/>
      <c r="G505" s="1774"/>
      <c r="H505" s="1773"/>
      <c r="I505" s="1774"/>
      <c r="J505" s="1773"/>
      <c r="K505" s="1774"/>
      <c r="L505" s="1773"/>
      <c r="M505" s="1774"/>
      <c r="N505" s="1773"/>
      <c r="O505" s="1774"/>
      <c r="P505" s="876"/>
      <c r="Q505" s="876"/>
      <c r="R505" s="876"/>
      <c r="S505" s="876"/>
      <c r="T505" s="876"/>
      <c r="U505" s="876"/>
      <c r="V505" s="876"/>
      <c r="W505" s="876"/>
    </row>
    <row r="506" spans="1:23" hidden="1" x14ac:dyDescent="0.25">
      <c r="A506" s="876"/>
      <c r="B506" s="876"/>
      <c r="C506" s="762" t="s">
        <v>2566</v>
      </c>
      <c r="D506" s="979"/>
      <c r="E506" s="760" t="s">
        <v>158</v>
      </c>
      <c r="F506" s="1773"/>
      <c r="G506" s="1774"/>
      <c r="H506" s="1773"/>
      <c r="I506" s="1774"/>
      <c r="J506" s="1773"/>
      <c r="K506" s="1774"/>
      <c r="L506" s="1773"/>
      <c r="M506" s="1774"/>
      <c r="N506" s="1773"/>
      <c r="O506" s="1774"/>
      <c r="P506" s="876"/>
      <c r="Q506" s="876"/>
      <c r="R506" s="876"/>
      <c r="S506" s="876"/>
      <c r="T506" s="876"/>
      <c r="U506" s="876"/>
      <c r="V506" s="876"/>
      <c r="W506" s="876"/>
    </row>
    <row r="507" spans="1:23" hidden="1" x14ac:dyDescent="0.25">
      <c r="A507" s="876"/>
      <c r="B507" s="876"/>
      <c r="C507" s="762"/>
      <c r="D507" s="810" t="str">
        <f>D506&amp;"KW"</f>
        <v>KW</v>
      </c>
      <c r="E507" s="760" t="s">
        <v>159</v>
      </c>
      <c r="F507" s="1773"/>
      <c r="G507" s="1774"/>
      <c r="H507" s="1773"/>
      <c r="I507" s="1774"/>
      <c r="J507" s="1773"/>
      <c r="K507" s="1774"/>
      <c r="L507" s="1773"/>
      <c r="M507" s="1774"/>
      <c r="N507" s="1773"/>
      <c r="O507" s="1774"/>
      <c r="P507" s="876"/>
      <c r="Q507" s="876"/>
      <c r="R507" s="876"/>
      <c r="S507" s="876"/>
      <c r="T507" s="876"/>
      <c r="U507" s="876"/>
      <c r="V507" s="876"/>
      <c r="W507" s="876"/>
    </row>
    <row r="508" spans="1:23" hidden="1" x14ac:dyDescent="0.25">
      <c r="A508" s="876"/>
      <c r="B508" s="876"/>
      <c r="C508" s="762" t="s">
        <v>2567</v>
      </c>
      <c r="D508" s="979"/>
      <c r="E508" s="760" t="s">
        <v>158</v>
      </c>
      <c r="F508" s="1773"/>
      <c r="G508" s="1774"/>
      <c r="H508" s="1773"/>
      <c r="I508" s="1774"/>
      <c r="J508" s="1773"/>
      <c r="K508" s="1774"/>
      <c r="L508" s="1773"/>
      <c r="M508" s="1774"/>
      <c r="N508" s="1773"/>
      <c r="O508" s="1774"/>
      <c r="P508" s="876"/>
      <c r="Q508" s="876"/>
      <c r="R508" s="876"/>
      <c r="S508" s="876"/>
      <c r="T508" s="876"/>
      <c r="U508" s="876"/>
      <c r="V508" s="876"/>
      <c r="W508" s="876"/>
    </row>
    <row r="509" spans="1:23" hidden="1" x14ac:dyDescent="0.25">
      <c r="A509" s="876"/>
      <c r="B509" s="876"/>
      <c r="C509" s="762"/>
      <c r="D509" s="810" t="str">
        <f>D508&amp;"KW"</f>
        <v>KW</v>
      </c>
      <c r="E509" s="760" t="s">
        <v>159</v>
      </c>
      <c r="F509" s="1773"/>
      <c r="G509" s="1774"/>
      <c r="H509" s="1773"/>
      <c r="I509" s="1774"/>
      <c r="J509" s="1773"/>
      <c r="K509" s="1774"/>
      <c r="L509" s="1773"/>
      <c r="M509" s="1774"/>
      <c r="N509" s="1773"/>
      <c r="O509" s="1774"/>
      <c r="P509" s="876"/>
      <c r="Q509" s="876"/>
      <c r="R509" s="876"/>
      <c r="S509" s="876"/>
      <c r="T509" s="876"/>
      <c r="U509" s="876"/>
      <c r="V509" s="876"/>
      <c r="W509" s="876"/>
    </row>
    <row r="510" spans="1:23" hidden="1" x14ac:dyDescent="0.25">
      <c r="A510" s="876"/>
      <c r="B510" s="876"/>
      <c r="C510" s="762" t="s">
        <v>2568</v>
      </c>
      <c r="D510" s="979"/>
      <c r="E510" s="760" t="s">
        <v>158</v>
      </c>
      <c r="F510" s="1773"/>
      <c r="G510" s="1774"/>
      <c r="H510" s="1773"/>
      <c r="I510" s="1774"/>
      <c r="J510" s="1773"/>
      <c r="K510" s="1774"/>
      <c r="L510" s="1773"/>
      <c r="M510" s="1774"/>
      <c r="N510" s="1773"/>
      <c r="O510" s="1774"/>
      <c r="P510" s="876"/>
      <c r="Q510" s="876"/>
      <c r="R510" s="876"/>
      <c r="S510" s="876"/>
      <c r="T510" s="876"/>
      <c r="U510" s="876"/>
      <c r="V510" s="876"/>
      <c r="W510" s="876"/>
    </row>
    <row r="511" spans="1:23" hidden="1" x14ac:dyDescent="0.25">
      <c r="A511" s="876"/>
      <c r="B511" s="876"/>
      <c r="C511" s="762"/>
      <c r="D511" s="810" t="str">
        <f>D510&amp;"KW"</f>
        <v>KW</v>
      </c>
      <c r="E511" s="760" t="s">
        <v>159</v>
      </c>
      <c r="F511" s="1773"/>
      <c r="G511" s="1774"/>
      <c r="H511" s="1773"/>
      <c r="I511" s="1774"/>
      <c r="J511" s="1773"/>
      <c r="K511" s="1774"/>
      <c r="L511" s="1773"/>
      <c r="M511" s="1774"/>
      <c r="N511" s="1773"/>
      <c r="O511" s="1774"/>
      <c r="P511" s="876"/>
      <c r="Q511" s="876"/>
      <c r="R511" s="876"/>
      <c r="S511" s="876"/>
      <c r="T511" s="876"/>
      <c r="U511" s="876"/>
      <c r="V511" s="876"/>
      <c r="W511" s="876"/>
    </row>
    <row r="512" spans="1:23" hidden="1" x14ac:dyDescent="0.25">
      <c r="A512" s="876"/>
      <c r="B512" s="876"/>
      <c r="C512" s="762" t="s">
        <v>2569</v>
      </c>
      <c r="D512" s="979"/>
      <c r="E512" s="760" t="s">
        <v>158</v>
      </c>
      <c r="F512" s="1773"/>
      <c r="G512" s="1774"/>
      <c r="H512" s="1773"/>
      <c r="I512" s="1774"/>
      <c r="J512" s="1773"/>
      <c r="K512" s="1774"/>
      <c r="L512" s="1773"/>
      <c r="M512" s="1774"/>
      <c r="N512" s="1773"/>
      <c r="O512" s="1774"/>
      <c r="P512" s="876"/>
      <c r="Q512" s="876"/>
      <c r="R512" s="876"/>
      <c r="S512" s="876"/>
      <c r="T512" s="876"/>
      <c r="U512" s="876"/>
      <c r="V512" s="876"/>
      <c r="W512" s="876"/>
    </row>
    <row r="513" spans="1:23" hidden="1" x14ac:dyDescent="0.25">
      <c r="A513" s="876"/>
      <c r="B513" s="876"/>
      <c r="C513" s="762"/>
      <c r="D513" s="810" t="str">
        <f>D512&amp;"KW"</f>
        <v>KW</v>
      </c>
      <c r="E513" s="760" t="s">
        <v>159</v>
      </c>
      <c r="F513" s="1773"/>
      <c r="G513" s="1774"/>
      <c r="H513" s="1773"/>
      <c r="I513" s="1774"/>
      <c r="J513" s="1773"/>
      <c r="K513" s="1774"/>
      <c r="L513" s="1773"/>
      <c r="M513" s="1774"/>
      <c r="N513" s="1773"/>
      <c r="O513" s="1774"/>
      <c r="P513" s="876"/>
      <c r="Q513" s="876"/>
      <c r="R513" s="876"/>
      <c r="S513" s="876"/>
      <c r="T513" s="876"/>
      <c r="U513" s="876"/>
      <c r="V513" s="876"/>
      <c r="W513" s="876"/>
    </row>
    <row r="514" spans="1:23" hidden="1" x14ac:dyDescent="0.25">
      <c r="A514" s="876"/>
      <c r="B514" s="876"/>
      <c r="C514" s="762" t="s">
        <v>2570</v>
      </c>
      <c r="D514" s="979"/>
      <c r="E514" s="760" t="s">
        <v>158</v>
      </c>
      <c r="F514" s="1773"/>
      <c r="G514" s="1774"/>
      <c r="H514" s="1773"/>
      <c r="I514" s="1774"/>
      <c r="J514" s="1773"/>
      <c r="K514" s="1774"/>
      <c r="L514" s="1773"/>
      <c r="M514" s="1774"/>
      <c r="N514" s="1773"/>
      <c r="O514" s="1774"/>
      <c r="P514" s="876"/>
      <c r="Q514" s="876"/>
      <c r="R514" s="876"/>
      <c r="S514" s="876"/>
      <c r="T514" s="876"/>
      <c r="U514" s="876"/>
      <c r="V514" s="876"/>
      <c r="W514" s="876"/>
    </row>
    <row r="515" spans="1:23" hidden="1" x14ac:dyDescent="0.25">
      <c r="A515" s="876"/>
      <c r="B515" s="876"/>
      <c r="C515" s="762"/>
      <c r="D515" s="810" t="str">
        <f>D514&amp;"KW"</f>
        <v>KW</v>
      </c>
      <c r="E515" s="760" t="s">
        <v>159</v>
      </c>
      <c r="F515" s="1773"/>
      <c r="G515" s="1774"/>
      <c r="H515" s="1773"/>
      <c r="I515" s="1774"/>
      <c r="J515" s="1773"/>
      <c r="K515" s="1774"/>
      <c r="L515" s="1773"/>
      <c r="M515" s="1774"/>
      <c r="N515" s="1773"/>
      <c r="O515" s="1774"/>
      <c r="P515" s="876"/>
      <c r="Q515" s="876"/>
      <c r="R515" s="876"/>
      <c r="S515" s="876"/>
      <c r="T515" s="876"/>
      <c r="U515" s="876"/>
      <c r="V515" s="876"/>
      <c r="W515" s="876"/>
    </row>
    <row r="516" spans="1:23" hidden="1" x14ac:dyDescent="0.25">
      <c r="A516" s="876"/>
      <c r="B516" s="876"/>
      <c r="C516" s="762" t="s">
        <v>2735</v>
      </c>
      <c r="D516" s="979"/>
      <c r="E516" s="760" t="s">
        <v>158</v>
      </c>
      <c r="F516" s="1773"/>
      <c r="G516" s="1774"/>
      <c r="H516" s="1773"/>
      <c r="I516" s="1774"/>
      <c r="J516" s="1773"/>
      <c r="K516" s="1774"/>
      <c r="L516" s="1773"/>
      <c r="M516" s="1774"/>
      <c r="N516" s="1773"/>
      <c r="O516" s="1774"/>
      <c r="P516" s="876"/>
      <c r="Q516" s="876"/>
      <c r="R516" s="876"/>
      <c r="S516" s="876"/>
      <c r="T516" s="876"/>
      <c r="U516" s="876"/>
      <c r="V516" s="876"/>
      <c r="W516" s="876"/>
    </row>
    <row r="517" spans="1:23" hidden="1" x14ac:dyDescent="0.25">
      <c r="A517" s="876"/>
      <c r="B517" s="876"/>
      <c r="C517" s="762"/>
      <c r="D517" s="810" t="str">
        <f>D516&amp;"KW"</f>
        <v>KW</v>
      </c>
      <c r="E517" s="760" t="s">
        <v>159</v>
      </c>
      <c r="F517" s="1773"/>
      <c r="G517" s="1774"/>
      <c r="H517" s="1773"/>
      <c r="I517" s="1774"/>
      <c r="J517" s="1773"/>
      <c r="K517" s="1774"/>
      <c r="L517" s="1773"/>
      <c r="M517" s="1774"/>
      <c r="N517" s="1773"/>
      <c r="O517" s="1774"/>
      <c r="P517" s="876"/>
      <c r="Q517" s="876"/>
      <c r="R517" s="876"/>
      <c r="S517" s="876"/>
      <c r="T517" s="876"/>
      <c r="U517" s="876"/>
      <c r="V517" s="876"/>
      <c r="W517" s="876"/>
    </row>
    <row r="518" spans="1:23" hidden="1" x14ac:dyDescent="0.25">
      <c r="A518" s="876"/>
      <c r="B518" s="876"/>
      <c r="C518" s="762" t="s">
        <v>2736</v>
      </c>
      <c r="D518" s="979"/>
      <c r="E518" s="760" t="s">
        <v>158</v>
      </c>
      <c r="F518" s="1773"/>
      <c r="G518" s="1774"/>
      <c r="H518" s="1773"/>
      <c r="I518" s="1774"/>
      <c r="J518" s="1773"/>
      <c r="K518" s="1774"/>
      <c r="L518" s="1773"/>
      <c r="M518" s="1774"/>
      <c r="N518" s="1773"/>
      <c r="O518" s="1774"/>
      <c r="P518" s="876"/>
      <c r="Q518" s="876"/>
      <c r="R518" s="876"/>
      <c r="S518" s="876"/>
      <c r="T518" s="876"/>
      <c r="U518" s="876"/>
      <c r="V518" s="876"/>
      <c r="W518" s="876"/>
    </row>
    <row r="519" spans="1:23" hidden="1" x14ac:dyDescent="0.25">
      <c r="A519" s="876"/>
      <c r="B519" s="876"/>
      <c r="C519" s="762"/>
      <c r="D519" s="810" t="str">
        <f>D518&amp;"KW"</f>
        <v>KW</v>
      </c>
      <c r="E519" s="760" t="s">
        <v>159</v>
      </c>
      <c r="F519" s="1773"/>
      <c r="G519" s="1774"/>
      <c r="H519" s="1773"/>
      <c r="I519" s="1774"/>
      <c r="J519" s="1773"/>
      <c r="K519" s="1774"/>
      <c r="L519" s="1773"/>
      <c r="M519" s="1774"/>
      <c r="N519" s="1773"/>
      <c r="O519" s="1774"/>
      <c r="P519" s="876"/>
      <c r="Q519" s="876"/>
      <c r="R519" s="876"/>
      <c r="S519" s="876"/>
      <c r="T519" s="876"/>
      <c r="U519" s="876"/>
      <c r="V519" s="876"/>
      <c r="W519" s="876"/>
    </row>
    <row r="520" spans="1:23" hidden="1" x14ac:dyDescent="0.25">
      <c r="A520" s="876"/>
      <c r="B520" s="876"/>
      <c r="C520" s="762" t="s">
        <v>2737</v>
      </c>
      <c r="D520" s="979"/>
      <c r="E520" s="760" t="s">
        <v>158</v>
      </c>
      <c r="F520" s="1773"/>
      <c r="G520" s="1774"/>
      <c r="H520" s="1773"/>
      <c r="I520" s="1774"/>
      <c r="J520" s="1773"/>
      <c r="K520" s="1774"/>
      <c r="L520" s="1773"/>
      <c r="M520" s="1774"/>
      <c r="N520" s="1773"/>
      <c r="O520" s="1774"/>
      <c r="P520" s="876"/>
      <c r="Q520" s="876"/>
      <c r="R520" s="876"/>
      <c r="S520" s="876"/>
      <c r="T520" s="876"/>
      <c r="U520" s="876"/>
      <c r="V520" s="876"/>
      <c r="W520" s="876"/>
    </row>
    <row r="521" spans="1:23" hidden="1" x14ac:dyDescent="0.25">
      <c r="A521" s="876"/>
      <c r="B521" s="876"/>
      <c r="C521" s="762"/>
      <c r="D521" s="810" t="str">
        <f>D520&amp;"KW"</f>
        <v>KW</v>
      </c>
      <c r="E521" s="760" t="s">
        <v>159</v>
      </c>
      <c r="F521" s="1773"/>
      <c r="G521" s="1774"/>
      <c r="H521" s="1773"/>
      <c r="I521" s="1774"/>
      <c r="J521" s="1773"/>
      <c r="K521" s="1774"/>
      <c r="L521" s="1773"/>
      <c r="M521" s="1774"/>
      <c r="N521" s="1773"/>
      <c r="O521" s="1774"/>
      <c r="P521" s="876"/>
      <c r="Q521" s="876"/>
      <c r="R521" s="876"/>
      <c r="S521" s="876"/>
      <c r="T521" s="876"/>
      <c r="U521" s="876"/>
      <c r="V521" s="876"/>
      <c r="W521" s="876"/>
    </row>
    <row r="522" spans="1:23" hidden="1" x14ac:dyDescent="0.25">
      <c r="A522" s="876"/>
      <c r="B522" s="876"/>
      <c r="C522" s="762" t="s">
        <v>2738</v>
      </c>
      <c r="D522" s="979"/>
      <c r="E522" s="760" t="s">
        <v>158</v>
      </c>
      <c r="F522" s="1773"/>
      <c r="G522" s="1774"/>
      <c r="H522" s="1773"/>
      <c r="I522" s="1774"/>
      <c r="J522" s="1773"/>
      <c r="K522" s="1774"/>
      <c r="L522" s="1773"/>
      <c r="M522" s="1774"/>
      <c r="N522" s="1773"/>
      <c r="O522" s="1774"/>
      <c r="P522" s="876"/>
      <c r="Q522" s="876"/>
      <c r="R522" s="876"/>
      <c r="S522" s="876"/>
      <c r="T522" s="876"/>
      <c r="U522" s="876"/>
      <c r="V522" s="876"/>
      <c r="W522" s="876"/>
    </row>
    <row r="523" spans="1:23" hidden="1" x14ac:dyDescent="0.25">
      <c r="A523" s="876"/>
      <c r="B523" s="876"/>
      <c r="C523" s="762"/>
      <c r="D523" s="810" t="str">
        <f>D522&amp;"KW"</f>
        <v>KW</v>
      </c>
      <c r="E523" s="760" t="s">
        <v>159</v>
      </c>
      <c r="F523" s="1773"/>
      <c r="G523" s="1774"/>
      <c r="H523" s="1773"/>
      <c r="I523" s="1774"/>
      <c r="J523" s="1773"/>
      <c r="K523" s="1774"/>
      <c r="L523" s="1773"/>
      <c r="M523" s="1774"/>
      <c r="N523" s="1773"/>
      <c r="O523" s="1774"/>
      <c r="P523" s="876"/>
      <c r="Q523" s="876"/>
      <c r="R523" s="876"/>
      <c r="S523" s="876"/>
      <c r="T523" s="876"/>
      <c r="U523" s="876"/>
      <c r="V523" s="876"/>
      <c r="W523" s="876"/>
    </row>
    <row r="524" spans="1:23" hidden="1" x14ac:dyDescent="0.25">
      <c r="A524" s="876"/>
      <c r="B524" s="876"/>
      <c r="C524" s="762" t="s">
        <v>2739</v>
      </c>
      <c r="D524" s="979"/>
      <c r="E524" s="760" t="s">
        <v>158</v>
      </c>
      <c r="F524" s="1773"/>
      <c r="G524" s="1774"/>
      <c r="H524" s="1773"/>
      <c r="I524" s="1774"/>
      <c r="J524" s="1773"/>
      <c r="K524" s="1774"/>
      <c r="L524" s="1773"/>
      <c r="M524" s="1774"/>
      <c r="N524" s="1773"/>
      <c r="O524" s="1774"/>
      <c r="P524" s="876"/>
      <c r="Q524" s="876"/>
      <c r="R524" s="876"/>
      <c r="S524" s="876"/>
      <c r="T524" s="876"/>
      <c r="U524" s="876"/>
      <c r="V524" s="876"/>
      <c r="W524" s="876"/>
    </row>
    <row r="525" spans="1:23" hidden="1" x14ac:dyDescent="0.25">
      <c r="A525" s="876"/>
      <c r="B525" s="876"/>
      <c r="C525" s="762"/>
      <c r="D525" s="810" t="str">
        <f>D524&amp;"KW"</f>
        <v>KW</v>
      </c>
      <c r="E525" s="760" t="s">
        <v>159</v>
      </c>
      <c r="F525" s="1773"/>
      <c r="G525" s="1774"/>
      <c r="H525" s="1773"/>
      <c r="I525" s="1774"/>
      <c r="J525" s="1773"/>
      <c r="K525" s="1774"/>
      <c r="L525" s="1773"/>
      <c r="M525" s="1774"/>
      <c r="N525" s="1773"/>
      <c r="O525" s="1774"/>
      <c r="P525" s="876"/>
      <c r="Q525" s="876"/>
      <c r="R525" s="876"/>
      <c r="S525" s="876"/>
      <c r="T525" s="876"/>
      <c r="U525" s="876"/>
      <c r="V525" s="876"/>
      <c r="W525" s="876"/>
    </row>
    <row r="526" spans="1:23" hidden="1" x14ac:dyDescent="0.25">
      <c r="A526" s="876"/>
      <c r="B526" s="876"/>
      <c r="C526" s="762" t="s">
        <v>2740</v>
      </c>
      <c r="D526" s="979"/>
      <c r="E526" s="760" t="s">
        <v>158</v>
      </c>
      <c r="F526" s="1773"/>
      <c r="G526" s="1774"/>
      <c r="H526" s="1773"/>
      <c r="I526" s="1774"/>
      <c r="J526" s="1773"/>
      <c r="K526" s="1774"/>
      <c r="L526" s="1773"/>
      <c r="M526" s="1774"/>
      <c r="N526" s="1773"/>
      <c r="O526" s="1774"/>
      <c r="P526" s="876"/>
      <c r="Q526" s="876"/>
      <c r="R526" s="876"/>
      <c r="S526" s="876"/>
      <c r="T526" s="876"/>
      <c r="U526" s="876"/>
      <c r="V526" s="876"/>
      <c r="W526" s="876"/>
    </row>
    <row r="527" spans="1:23" hidden="1" x14ac:dyDescent="0.25">
      <c r="A527" s="876"/>
      <c r="B527" s="876"/>
      <c r="C527" s="762"/>
      <c r="D527" s="810" t="str">
        <f>D526&amp;"KW"</f>
        <v>KW</v>
      </c>
      <c r="E527" s="760" t="s">
        <v>159</v>
      </c>
      <c r="F527" s="1773"/>
      <c r="G527" s="1774"/>
      <c r="H527" s="1773"/>
      <c r="I527" s="1774"/>
      <c r="J527" s="1773"/>
      <c r="K527" s="1774"/>
      <c r="L527" s="1773"/>
      <c r="M527" s="1774"/>
      <c r="N527" s="1773"/>
      <c r="O527" s="1774"/>
      <c r="P527" s="876"/>
      <c r="Q527" s="876"/>
      <c r="R527" s="876"/>
      <c r="S527" s="876"/>
      <c r="T527" s="876"/>
      <c r="U527" s="876"/>
      <c r="V527" s="876"/>
      <c r="W527" s="876"/>
    </row>
    <row r="528" spans="1:23" hidden="1" x14ac:dyDescent="0.25">
      <c r="A528" s="876"/>
      <c r="B528" s="876"/>
      <c r="C528" s="762" t="s">
        <v>2741</v>
      </c>
      <c r="D528" s="979"/>
      <c r="E528" s="760" t="s">
        <v>158</v>
      </c>
      <c r="F528" s="1773"/>
      <c r="G528" s="1774"/>
      <c r="H528" s="1773"/>
      <c r="I528" s="1774"/>
      <c r="J528" s="1773"/>
      <c r="K528" s="1774"/>
      <c r="L528" s="1773"/>
      <c r="M528" s="1774"/>
      <c r="N528" s="1773"/>
      <c r="O528" s="1774"/>
      <c r="P528" s="876"/>
      <c r="Q528" s="876"/>
      <c r="R528" s="876"/>
      <c r="S528" s="876"/>
      <c r="T528" s="876"/>
      <c r="U528" s="876"/>
      <c r="V528" s="876"/>
      <c r="W528" s="876"/>
    </row>
    <row r="529" spans="1:23" hidden="1" x14ac:dyDescent="0.25">
      <c r="A529" s="876"/>
      <c r="B529" s="876"/>
      <c r="C529" s="762"/>
      <c r="D529" s="810" t="str">
        <f>D528&amp;"KW"</f>
        <v>KW</v>
      </c>
      <c r="E529" s="760" t="s">
        <v>159</v>
      </c>
      <c r="F529" s="1773"/>
      <c r="G529" s="1774"/>
      <c r="H529" s="1773"/>
      <c r="I529" s="1774"/>
      <c r="J529" s="1773"/>
      <c r="K529" s="1774"/>
      <c r="L529" s="1773"/>
      <c r="M529" s="1774"/>
      <c r="N529" s="1773"/>
      <c r="O529" s="1774"/>
      <c r="P529" s="876"/>
      <c r="Q529" s="876"/>
      <c r="R529" s="876"/>
      <c r="S529" s="876"/>
      <c r="T529" s="876"/>
      <c r="U529" s="876"/>
      <c r="V529" s="876"/>
      <c r="W529" s="876"/>
    </row>
    <row r="530" spans="1:23" hidden="1" x14ac:dyDescent="0.25">
      <c r="A530" s="876"/>
      <c r="B530" s="876"/>
      <c r="C530" s="762" t="s">
        <v>2742</v>
      </c>
      <c r="D530" s="979"/>
      <c r="E530" s="760" t="s">
        <v>158</v>
      </c>
      <c r="F530" s="1773"/>
      <c r="G530" s="1774"/>
      <c r="H530" s="1773"/>
      <c r="I530" s="1774"/>
      <c r="J530" s="1773"/>
      <c r="K530" s="1774"/>
      <c r="L530" s="1773"/>
      <c r="M530" s="1774"/>
      <c r="N530" s="1773"/>
      <c r="O530" s="1774"/>
      <c r="P530" s="876"/>
      <c r="Q530" s="876"/>
      <c r="R530" s="876"/>
      <c r="S530" s="876"/>
      <c r="T530" s="876"/>
      <c r="U530" s="876"/>
      <c r="V530" s="876"/>
      <c r="W530" s="876"/>
    </row>
    <row r="531" spans="1:23" hidden="1" x14ac:dyDescent="0.25">
      <c r="A531" s="876"/>
      <c r="B531" s="876"/>
      <c r="C531" s="762"/>
      <c r="D531" s="810" t="str">
        <f>D530&amp;"KW"</f>
        <v>KW</v>
      </c>
      <c r="E531" s="760" t="s">
        <v>159</v>
      </c>
      <c r="F531" s="1773"/>
      <c r="G531" s="1774"/>
      <c r="H531" s="1773"/>
      <c r="I531" s="1774"/>
      <c r="J531" s="1773"/>
      <c r="K531" s="1774"/>
      <c r="L531" s="1773"/>
      <c r="M531" s="1774"/>
      <c r="N531" s="1773"/>
      <c r="O531" s="1774"/>
      <c r="P531" s="876"/>
      <c r="Q531" s="876"/>
      <c r="R531" s="876"/>
      <c r="S531" s="876"/>
      <c r="T531" s="876"/>
      <c r="U531" s="876"/>
      <c r="V531" s="876"/>
      <c r="W531" s="876"/>
    </row>
    <row r="532" spans="1:23" hidden="1" x14ac:dyDescent="0.25">
      <c r="A532" s="876"/>
      <c r="B532" s="876"/>
      <c r="C532" s="762" t="s">
        <v>2743</v>
      </c>
      <c r="D532" s="979"/>
      <c r="E532" s="760" t="s">
        <v>158</v>
      </c>
      <c r="F532" s="1773"/>
      <c r="G532" s="1774"/>
      <c r="H532" s="1773"/>
      <c r="I532" s="1774"/>
      <c r="J532" s="1773"/>
      <c r="K532" s="1774"/>
      <c r="L532" s="1773"/>
      <c r="M532" s="1774"/>
      <c r="N532" s="1773"/>
      <c r="O532" s="1774"/>
      <c r="P532" s="876"/>
      <c r="Q532" s="876"/>
      <c r="R532" s="876"/>
      <c r="S532" s="876"/>
      <c r="T532" s="876"/>
      <c r="U532" s="876"/>
      <c r="V532" s="876"/>
      <c r="W532" s="876"/>
    </row>
    <row r="533" spans="1:23" hidden="1" x14ac:dyDescent="0.25">
      <c r="A533" s="876"/>
      <c r="B533" s="876"/>
      <c r="C533" s="762"/>
      <c r="D533" s="810" t="str">
        <f>D532&amp;"KW"</f>
        <v>KW</v>
      </c>
      <c r="E533" s="760" t="s">
        <v>159</v>
      </c>
      <c r="F533" s="1773"/>
      <c r="G533" s="1774"/>
      <c r="H533" s="1773"/>
      <c r="I533" s="1774"/>
      <c r="J533" s="1773"/>
      <c r="K533" s="1774"/>
      <c r="L533" s="1773"/>
      <c r="M533" s="1774"/>
      <c r="N533" s="1773"/>
      <c r="O533" s="1774"/>
      <c r="P533" s="876"/>
      <c r="Q533" s="876"/>
      <c r="R533" s="876"/>
      <c r="S533" s="876"/>
      <c r="T533" s="876"/>
      <c r="U533" s="876"/>
      <c r="V533" s="876"/>
      <c r="W533" s="876"/>
    </row>
    <row r="534" spans="1:23" hidden="1" x14ac:dyDescent="0.25">
      <c r="A534" s="876"/>
      <c r="B534" s="876"/>
      <c r="C534" s="762" t="s">
        <v>2744</v>
      </c>
      <c r="D534" s="979"/>
      <c r="E534" s="760" t="s">
        <v>158</v>
      </c>
      <c r="F534" s="1773"/>
      <c r="G534" s="1774"/>
      <c r="H534" s="1773"/>
      <c r="I534" s="1774"/>
      <c r="J534" s="1773"/>
      <c r="K534" s="1774"/>
      <c r="L534" s="1773"/>
      <c r="M534" s="1774"/>
      <c r="N534" s="1773"/>
      <c r="O534" s="1774"/>
      <c r="P534" s="876"/>
      <c r="Q534" s="876"/>
      <c r="R534" s="876"/>
      <c r="S534" s="876"/>
      <c r="T534" s="876"/>
      <c r="U534" s="876"/>
      <c r="V534" s="876"/>
      <c r="W534" s="876"/>
    </row>
    <row r="535" spans="1:23" hidden="1" x14ac:dyDescent="0.25">
      <c r="A535" s="876"/>
      <c r="B535" s="876"/>
      <c r="C535" s="762"/>
      <c r="D535" s="810" t="str">
        <f>D534&amp;"KW"</f>
        <v>KW</v>
      </c>
      <c r="E535" s="760" t="s">
        <v>159</v>
      </c>
      <c r="F535" s="1773"/>
      <c r="G535" s="1774"/>
      <c r="H535" s="1773"/>
      <c r="I535" s="1774"/>
      <c r="J535" s="1773"/>
      <c r="K535" s="1774"/>
      <c r="L535" s="1773"/>
      <c r="M535" s="1774"/>
      <c r="N535" s="1773"/>
      <c r="O535" s="1774"/>
      <c r="P535" s="876"/>
      <c r="Q535" s="876"/>
      <c r="R535" s="876"/>
      <c r="S535" s="876"/>
      <c r="T535" s="876"/>
      <c r="U535" s="876"/>
      <c r="V535" s="876"/>
      <c r="W535" s="876"/>
    </row>
    <row r="536" spans="1:23" hidden="1" x14ac:dyDescent="0.25">
      <c r="A536" s="876"/>
      <c r="B536" s="876"/>
      <c r="C536" s="762" t="s">
        <v>2745</v>
      </c>
      <c r="D536" s="979"/>
      <c r="E536" s="760" t="s">
        <v>158</v>
      </c>
      <c r="F536" s="1773"/>
      <c r="G536" s="1774"/>
      <c r="H536" s="1773"/>
      <c r="I536" s="1774"/>
      <c r="J536" s="1773"/>
      <c r="K536" s="1774"/>
      <c r="L536" s="1773"/>
      <c r="M536" s="1774"/>
      <c r="N536" s="1773"/>
      <c r="O536" s="1774"/>
      <c r="P536" s="876"/>
      <c r="Q536" s="876"/>
      <c r="R536" s="876"/>
      <c r="S536" s="876"/>
      <c r="T536" s="876"/>
      <c r="U536" s="876"/>
      <c r="V536" s="876"/>
      <c r="W536" s="876"/>
    </row>
    <row r="537" spans="1:23" hidden="1" x14ac:dyDescent="0.25">
      <c r="A537" s="876"/>
      <c r="B537" s="876"/>
      <c r="C537" s="762"/>
      <c r="D537" s="810" t="str">
        <f>D536&amp;"KW"</f>
        <v>KW</v>
      </c>
      <c r="E537" s="760" t="s">
        <v>159</v>
      </c>
      <c r="F537" s="1773"/>
      <c r="G537" s="1774"/>
      <c r="H537" s="1773"/>
      <c r="I537" s="1774"/>
      <c r="J537" s="1773"/>
      <c r="K537" s="1774"/>
      <c r="L537" s="1773"/>
      <c r="M537" s="1774"/>
      <c r="N537" s="1773"/>
      <c r="O537" s="1774"/>
      <c r="P537" s="876"/>
      <c r="Q537" s="876"/>
      <c r="R537" s="876"/>
      <c r="S537" s="876"/>
      <c r="T537" s="876"/>
      <c r="U537" s="876"/>
      <c r="V537" s="876"/>
      <c r="W537" s="876"/>
    </row>
    <row r="538" spans="1:23" hidden="1" x14ac:dyDescent="0.25">
      <c r="A538" s="876"/>
      <c r="B538" s="876"/>
      <c r="C538" s="762" t="s">
        <v>2746</v>
      </c>
      <c r="D538" s="979"/>
      <c r="E538" s="760" t="s">
        <v>158</v>
      </c>
      <c r="F538" s="1773"/>
      <c r="G538" s="1774"/>
      <c r="H538" s="1773"/>
      <c r="I538" s="1774"/>
      <c r="J538" s="1773"/>
      <c r="K538" s="1774"/>
      <c r="L538" s="1773"/>
      <c r="M538" s="1774"/>
      <c r="N538" s="1773"/>
      <c r="O538" s="1774"/>
      <c r="P538" s="876"/>
      <c r="Q538" s="876"/>
      <c r="R538" s="876"/>
      <c r="S538" s="876"/>
      <c r="T538" s="876"/>
      <c r="U538" s="876"/>
      <c r="V538" s="876"/>
      <c r="W538" s="876"/>
    </row>
    <row r="539" spans="1:23" hidden="1" x14ac:dyDescent="0.25">
      <c r="A539" s="876"/>
      <c r="B539" s="876"/>
      <c r="C539" s="762"/>
      <c r="D539" s="810" t="str">
        <f>D538&amp;"KW"</f>
        <v>KW</v>
      </c>
      <c r="E539" s="760" t="s">
        <v>159</v>
      </c>
      <c r="F539" s="1773"/>
      <c r="G539" s="1774"/>
      <c r="H539" s="1773"/>
      <c r="I539" s="1774"/>
      <c r="J539" s="1773"/>
      <c r="K539" s="1774"/>
      <c r="L539" s="1773"/>
      <c r="M539" s="1774"/>
      <c r="N539" s="1773"/>
      <c r="O539" s="1774"/>
      <c r="P539" s="876"/>
      <c r="Q539" s="876"/>
      <c r="R539" s="876"/>
      <c r="S539" s="876"/>
      <c r="T539" s="876"/>
      <c r="U539" s="876"/>
      <c r="V539" s="876"/>
      <c r="W539" s="876"/>
    </row>
    <row r="540" spans="1:23" hidden="1" x14ac:dyDescent="0.25">
      <c r="A540" s="876"/>
      <c r="B540" s="876"/>
      <c r="C540" s="762" t="s">
        <v>2747</v>
      </c>
      <c r="D540" s="979"/>
      <c r="E540" s="760" t="s">
        <v>158</v>
      </c>
      <c r="F540" s="1773"/>
      <c r="G540" s="1774"/>
      <c r="H540" s="1773"/>
      <c r="I540" s="1774"/>
      <c r="J540" s="1773"/>
      <c r="K540" s="1774"/>
      <c r="L540" s="1773"/>
      <c r="M540" s="1774"/>
      <c r="N540" s="1773"/>
      <c r="O540" s="1774"/>
      <c r="P540" s="876"/>
      <c r="Q540" s="876"/>
      <c r="R540" s="876"/>
      <c r="S540" s="876"/>
      <c r="T540" s="876"/>
      <c r="U540" s="876"/>
      <c r="V540" s="876"/>
      <c r="W540" s="876"/>
    </row>
    <row r="541" spans="1:23" hidden="1" x14ac:dyDescent="0.25">
      <c r="A541" s="876"/>
      <c r="B541" s="876"/>
      <c r="C541" s="762"/>
      <c r="D541" s="810" t="str">
        <f>D540&amp;"KW"</f>
        <v>KW</v>
      </c>
      <c r="E541" s="760" t="s">
        <v>159</v>
      </c>
      <c r="F541" s="1773"/>
      <c r="G541" s="1774"/>
      <c r="H541" s="1773"/>
      <c r="I541" s="1774"/>
      <c r="J541" s="1773"/>
      <c r="K541" s="1774"/>
      <c r="L541" s="1773"/>
      <c r="M541" s="1774"/>
      <c r="N541" s="1773"/>
      <c r="O541" s="1774"/>
      <c r="P541" s="876"/>
      <c r="Q541" s="876"/>
      <c r="R541" s="876"/>
      <c r="S541" s="876"/>
      <c r="T541" s="876"/>
      <c r="U541" s="876"/>
      <c r="V541" s="876"/>
      <c r="W541" s="876"/>
    </row>
    <row r="542" spans="1:23" hidden="1" x14ac:dyDescent="0.25">
      <c r="A542" s="876"/>
      <c r="B542" s="876"/>
      <c r="C542" s="762" t="s">
        <v>2748</v>
      </c>
      <c r="D542" s="979"/>
      <c r="E542" s="760" t="s">
        <v>158</v>
      </c>
      <c r="F542" s="1773"/>
      <c r="G542" s="1774"/>
      <c r="H542" s="1773"/>
      <c r="I542" s="1774"/>
      <c r="J542" s="1773"/>
      <c r="K542" s="1774"/>
      <c r="L542" s="1773"/>
      <c r="M542" s="1774"/>
      <c r="N542" s="1773"/>
      <c r="O542" s="1774"/>
      <c r="P542" s="876"/>
      <c r="Q542" s="876"/>
      <c r="R542" s="876"/>
      <c r="S542" s="876"/>
      <c r="T542" s="876"/>
      <c r="U542" s="876"/>
      <c r="V542" s="876"/>
      <c r="W542" s="876"/>
    </row>
    <row r="543" spans="1:23" hidden="1" x14ac:dyDescent="0.25">
      <c r="A543" s="876"/>
      <c r="B543" s="876"/>
      <c r="C543" s="762"/>
      <c r="D543" s="810" t="str">
        <f>D542&amp;"KW"</f>
        <v>KW</v>
      </c>
      <c r="E543" s="760" t="s">
        <v>159</v>
      </c>
      <c r="F543" s="1773"/>
      <c r="G543" s="1774"/>
      <c r="H543" s="1773"/>
      <c r="I543" s="1774"/>
      <c r="J543" s="1773"/>
      <c r="K543" s="1774"/>
      <c r="L543" s="1773"/>
      <c r="M543" s="1774"/>
      <c r="N543" s="1773"/>
      <c r="O543" s="1774"/>
      <c r="P543" s="876"/>
      <c r="Q543" s="876"/>
      <c r="R543" s="876"/>
      <c r="S543" s="876"/>
      <c r="T543" s="876"/>
      <c r="U543" s="876"/>
      <c r="V543" s="876"/>
      <c r="W543" s="876"/>
    </row>
    <row r="544" spans="1:23" hidden="1" x14ac:dyDescent="0.25">
      <c r="A544" s="876"/>
      <c r="B544" s="876"/>
      <c r="C544" s="762" t="s">
        <v>2749</v>
      </c>
      <c r="D544" s="979"/>
      <c r="E544" s="760" t="s">
        <v>158</v>
      </c>
      <c r="F544" s="1773"/>
      <c r="G544" s="1774"/>
      <c r="H544" s="1773"/>
      <c r="I544" s="1774"/>
      <c r="J544" s="1773"/>
      <c r="K544" s="1774"/>
      <c r="L544" s="1773"/>
      <c r="M544" s="1774"/>
      <c r="N544" s="1773"/>
      <c r="O544" s="1774"/>
      <c r="P544" s="876"/>
      <c r="Q544" s="876"/>
      <c r="R544" s="876"/>
      <c r="S544" s="876"/>
      <c r="T544" s="876"/>
      <c r="U544" s="876"/>
      <c r="V544" s="876"/>
      <c r="W544" s="876"/>
    </row>
    <row r="545" spans="1:23" hidden="1" x14ac:dyDescent="0.25">
      <c r="A545" s="876"/>
      <c r="B545" s="876"/>
      <c r="C545" s="762"/>
      <c r="D545" s="810" t="str">
        <f>D544&amp;"KW"</f>
        <v>KW</v>
      </c>
      <c r="E545" s="760" t="s">
        <v>159</v>
      </c>
      <c r="F545" s="1773"/>
      <c r="G545" s="1774"/>
      <c r="H545" s="1773"/>
      <c r="I545" s="1774"/>
      <c r="J545" s="1773"/>
      <c r="K545" s="1774"/>
      <c r="L545" s="1773"/>
      <c r="M545" s="1774"/>
      <c r="N545" s="1773"/>
      <c r="O545" s="1774"/>
      <c r="P545" s="876"/>
      <c r="Q545" s="876"/>
      <c r="R545" s="876"/>
      <c r="S545" s="876"/>
      <c r="T545" s="876"/>
      <c r="U545" s="876"/>
      <c r="V545" s="876"/>
      <c r="W545" s="876"/>
    </row>
    <row r="546" spans="1:23" hidden="1" x14ac:dyDescent="0.25">
      <c r="A546" s="876"/>
      <c r="B546" s="876"/>
      <c r="C546" s="762" t="s">
        <v>2750</v>
      </c>
      <c r="D546" s="979"/>
      <c r="E546" s="760" t="s">
        <v>158</v>
      </c>
      <c r="F546" s="1773"/>
      <c r="G546" s="1774"/>
      <c r="H546" s="1773"/>
      <c r="I546" s="1774"/>
      <c r="J546" s="1773"/>
      <c r="K546" s="1774"/>
      <c r="L546" s="1773"/>
      <c r="M546" s="1774"/>
      <c r="N546" s="1773"/>
      <c r="O546" s="1774"/>
      <c r="P546" s="876"/>
      <c r="Q546" s="876"/>
      <c r="R546" s="876"/>
      <c r="S546" s="876"/>
      <c r="T546" s="876"/>
      <c r="U546" s="876"/>
      <c r="V546" s="876"/>
      <c r="W546" s="876"/>
    </row>
    <row r="547" spans="1:23" hidden="1" x14ac:dyDescent="0.25">
      <c r="A547" s="876"/>
      <c r="B547" s="876"/>
      <c r="C547" s="762"/>
      <c r="D547" s="810" t="str">
        <f>D546&amp;"KW"</f>
        <v>KW</v>
      </c>
      <c r="E547" s="760" t="s">
        <v>159</v>
      </c>
      <c r="F547" s="1773"/>
      <c r="G547" s="1774"/>
      <c r="H547" s="1773"/>
      <c r="I547" s="1774"/>
      <c r="J547" s="1773"/>
      <c r="K547" s="1774"/>
      <c r="L547" s="1773"/>
      <c r="M547" s="1774"/>
      <c r="N547" s="1773"/>
      <c r="O547" s="1774"/>
      <c r="P547" s="876"/>
      <c r="Q547" s="876"/>
      <c r="R547" s="876"/>
      <c r="S547" s="876"/>
      <c r="T547" s="876"/>
      <c r="U547" s="876"/>
      <c r="V547" s="876"/>
      <c r="W547" s="876"/>
    </row>
    <row r="548" spans="1:23" hidden="1" x14ac:dyDescent="0.25">
      <c r="A548" s="876"/>
      <c r="B548" s="876"/>
      <c r="C548" s="762" t="s">
        <v>2751</v>
      </c>
      <c r="D548" s="979"/>
      <c r="E548" s="760" t="s">
        <v>158</v>
      </c>
      <c r="F548" s="1773"/>
      <c r="G548" s="1774"/>
      <c r="H548" s="1773"/>
      <c r="I548" s="1774"/>
      <c r="J548" s="1773"/>
      <c r="K548" s="1774"/>
      <c r="L548" s="1773"/>
      <c r="M548" s="1774"/>
      <c r="N548" s="1773"/>
      <c r="O548" s="1774"/>
      <c r="P548" s="876"/>
      <c r="Q548" s="876"/>
      <c r="R548" s="876"/>
      <c r="S548" s="876"/>
      <c r="T548" s="876"/>
      <c r="U548" s="876"/>
      <c r="V548" s="876"/>
      <c r="W548" s="876"/>
    </row>
    <row r="549" spans="1:23" hidden="1" x14ac:dyDescent="0.25">
      <c r="A549" s="876"/>
      <c r="B549" s="876"/>
      <c r="C549" s="762"/>
      <c r="D549" s="810" t="str">
        <f>D548&amp;"KW"</f>
        <v>KW</v>
      </c>
      <c r="E549" s="760" t="s">
        <v>159</v>
      </c>
      <c r="F549" s="1773"/>
      <c r="G549" s="1774"/>
      <c r="H549" s="1773"/>
      <c r="I549" s="1774"/>
      <c r="J549" s="1773"/>
      <c r="K549" s="1774"/>
      <c r="L549" s="1773"/>
      <c r="M549" s="1774"/>
      <c r="N549" s="1773"/>
      <c r="O549" s="1774"/>
      <c r="P549" s="876"/>
      <c r="Q549" s="876"/>
      <c r="R549" s="876"/>
      <c r="S549" s="876"/>
      <c r="T549" s="876"/>
      <c r="U549" s="876"/>
      <c r="V549" s="876"/>
      <c r="W549" s="876"/>
    </row>
    <row r="550" spans="1:23" hidden="1" x14ac:dyDescent="0.25">
      <c r="A550" s="876"/>
      <c r="B550" s="876"/>
      <c r="C550" s="762" t="s">
        <v>2752</v>
      </c>
      <c r="D550" s="979"/>
      <c r="E550" s="760" t="s">
        <v>158</v>
      </c>
      <c r="F550" s="1773"/>
      <c r="G550" s="1774"/>
      <c r="H550" s="1773"/>
      <c r="I550" s="1774"/>
      <c r="J550" s="1773"/>
      <c r="K550" s="1774"/>
      <c r="L550" s="1773"/>
      <c r="M550" s="1774"/>
      <c r="N550" s="1773"/>
      <c r="O550" s="1774"/>
      <c r="P550" s="876"/>
      <c r="Q550" s="876"/>
      <c r="R550" s="876"/>
      <c r="S550" s="876"/>
      <c r="T550" s="876"/>
      <c r="U550" s="876"/>
      <c r="V550" s="876"/>
      <c r="W550" s="876"/>
    </row>
    <row r="551" spans="1:23" hidden="1" x14ac:dyDescent="0.25">
      <c r="A551" s="876"/>
      <c r="B551" s="876"/>
      <c r="C551" s="762"/>
      <c r="D551" s="810" t="str">
        <f>D550&amp;"KW"</f>
        <v>KW</v>
      </c>
      <c r="E551" s="760" t="s">
        <v>159</v>
      </c>
      <c r="F551" s="1773"/>
      <c r="G551" s="1774"/>
      <c r="H551" s="1773"/>
      <c r="I551" s="1774"/>
      <c r="J551" s="1773"/>
      <c r="K551" s="1774"/>
      <c r="L551" s="1773"/>
      <c r="M551" s="1774"/>
      <c r="N551" s="1773"/>
      <c r="O551" s="1774"/>
      <c r="P551" s="876"/>
      <c r="Q551" s="876"/>
      <c r="R551" s="876"/>
      <c r="S551" s="876"/>
      <c r="T551" s="876"/>
      <c r="U551" s="876"/>
      <c r="V551" s="876"/>
      <c r="W551" s="876"/>
    </row>
    <row r="552" spans="1:23" hidden="1" x14ac:dyDescent="0.25">
      <c r="A552" s="876"/>
      <c r="B552" s="876"/>
      <c r="C552" s="762" t="s">
        <v>2753</v>
      </c>
      <c r="D552" s="979"/>
      <c r="E552" s="760" t="s">
        <v>158</v>
      </c>
      <c r="F552" s="1773"/>
      <c r="G552" s="1774"/>
      <c r="H552" s="1773"/>
      <c r="I552" s="1774"/>
      <c r="J552" s="1773"/>
      <c r="K552" s="1774"/>
      <c r="L552" s="1773"/>
      <c r="M552" s="1774"/>
      <c r="N552" s="1773"/>
      <c r="O552" s="1774"/>
      <c r="P552" s="876"/>
      <c r="Q552" s="876"/>
      <c r="R552" s="876"/>
      <c r="S552" s="876"/>
      <c r="T552" s="876"/>
      <c r="U552" s="876"/>
      <c r="V552" s="876"/>
      <c r="W552" s="876"/>
    </row>
    <row r="553" spans="1:23" hidden="1" x14ac:dyDescent="0.25">
      <c r="A553" s="876"/>
      <c r="B553" s="876"/>
      <c r="C553" s="762"/>
      <c r="D553" s="810" t="str">
        <f>D552&amp;"KW"</f>
        <v>KW</v>
      </c>
      <c r="E553" s="760" t="s">
        <v>159</v>
      </c>
      <c r="F553" s="1773"/>
      <c r="G553" s="1774"/>
      <c r="H553" s="1773"/>
      <c r="I553" s="1774"/>
      <c r="J553" s="1773"/>
      <c r="K553" s="1774"/>
      <c r="L553" s="1773"/>
      <c r="M553" s="1774"/>
      <c r="N553" s="1773"/>
      <c r="O553" s="1774"/>
      <c r="P553" s="876"/>
      <c r="Q553" s="876"/>
      <c r="R553" s="876"/>
      <c r="S553" s="876"/>
      <c r="T553" s="876"/>
      <c r="U553" s="876"/>
      <c r="V553" s="876"/>
      <c r="W553" s="876"/>
    </row>
    <row r="554" spans="1:23" hidden="1" x14ac:dyDescent="0.25">
      <c r="A554" s="876"/>
      <c r="B554" s="876"/>
      <c r="C554" s="762" t="s">
        <v>2754</v>
      </c>
      <c r="D554" s="979"/>
      <c r="E554" s="760" t="s">
        <v>158</v>
      </c>
      <c r="F554" s="1773"/>
      <c r="G554" s="1774"/>
      <c r="H554" s="1773"/>
      <c r="I554" s="1774"/>
      <c r="J554" s="1773"/>
      <c r="K554" s="1774"/>
      <c r="L554" s="1773"/>
      <c r="M554" s="1774"/>
      <c r="N554" s="1773"/>
      <c r="O554" s="1774"/>
      <c r="P554" s="876"/>
      <c r="Q554" s="876"/>
      <c r="R554" s="876"/>
      <c r="S554" s="876"/>
      <c r="T554" s="876"/>
      <c r="U554" s="876"/>
      <c r="V554" s="876"/>
      <c r="W554" s="876"/>
    </row>
    <row r="555" spans="1:23" hidden="1" x14ac:dyDescent="0.25">
      <c r="A555" s="876"/>
      <c r="B555" s="876"/>
      <c r="C555" s="762"/>
      <c r="D555" s="810" t="str">
        <f>D554&amp;"KW"</f>
        <v>KW</v>
      </c>
      <c r="E555" s="760" t="s">
        <v>159</v>
      </c>
      <c r="F555" s="1773"/>
      <c r="G555" s="1774"/>
      <c r="H555" s="1773"/>
      <c r="I555" s="1774"/>
      <c r="J555" s="1773"/>
      <c r="K555" s="1774"/>
      <c r="L555" s="1773"/>
      <c r="M555" s="1774"/>
      <c r="N555" s="1773"/>
      <c r="O555" s="1774"/>
      <c r="P555" s="876"/>
      <c r="Q555" s="876"/>
      <c r="R555" s="876"/>
      <c r="S555" s="876"/>
      <c r="T555" s="876"/>
      <c r="U555" s="876"/>
      <c r="V555" s="876"/>
      <c r="W555" s="876"/>
    </row>
    <row r="556" spans="1:23" hidden="1" x14ac:dyDescent="0.25">
      <c r="A556" s="876"/>
      <c r="B556" s="876"/>
      <c r="C556" s="762" t="s">
        <v>2755</v>
      </c>
      <c r="D556" s="979"/>
      <c r="E556" s="760" t="s">
        <v>158</v>
      </c>
      <c r="F556" s="1773"/>
      <c r="G556" s="1774"/>
      <c r="H556" s="1773"/>
      <c r="I556" s="1774"/>
      <c r="J556" s="1773"/>
      <c r="K556" s="1774"/>
      <c r="L556" s="1773"/>
      <c r="M556" s="1774"/>
      <c r="N556" s="1773"/>
      <c r="O556" s="1774"/>
      <c r="P556" s="876"/>
      <c r="Q556" s="876"/>
      <c r="R556" s="876"/>
      <c r="S556" s="876"/>
      <c r="T556" s="876"/>
      <c r="U556" s="876"/>
      <c r="V556" s="876"/>
      <c r="W556" s="876"/>
    </row>
    <row r="557" spans="1:23" hidden="1" x14ac:dyDescent="0.25">
      <c r="A557" s="876"/>
      <c r="B557" s="876"/>
      <c r="C557" s="762"/>
      <c r="D557" s="810" t="str">
        <f>D556&amp;"KW"</f>
        <v>KW</v>
      </c>
      <c r="E557" s="760" t="s">
        <v>159</v>
      </c>
      <c r="F557" s="1773"/>
      <c r="G557" s="1774"/>
      <c r="H557" s="1773"/>
      <c r="I557" s="1774"/>
      <c r="J557" s="1773"/>
      <c r="K557" s="1774"/>
      <c r="L557" s="1773"/>
      <c r="M557" s="1774"/>
      <c r="N557" s="1773"/>
      <c r="O557" s="1774"/>
      <c r="P557" s="876"/>
      <c r="Q557" s="876"/>
      <c r="R557" s="876"/>
      <c r="S557" s="876"/>
      <c r="T557" s="876"/>
      <c r="U557" s="876"/>
      <c r="V557" s="876"/>
      <c r="W557" s="876"/>
    </row>
    <row r="558" spans="1:23" hidden="1" x14ac:dyDescent="0.25">
      <c r="A558" s="876"/>
      <c r="B558" s="876"/>
      <c r="C558" s="762" t="s">
        <v>2756</v>
      </c>
      <c r="D558" s="979"/>
      <c r="E558" s="760" t="s">
        <v>158</v>
      </c>
      <c r="F558" s="1773"/>
      <c r="G558" s="1774"/>
      <c r="H558" s="1773"/>
      <c r="I558" s="1774"/>
      <c r="J558" s="1773"/>
      <c r="K558" s="1774"/>
      <c r="L558" s="1773"/>
      <c r="M558" s="1774"/>
      <c r="N558" s="1773"/>
      <c r="O558" s="1774"/>
      <c r="P558" s="876"/>
      <c r="Q558" s="876"/>
      <c r="R558" s="876"/>
      <c r="S558" s="876"/>
      <c r="T558" s="876"/>
      <c r="U558" s="876"/>
      <c r="V558" s="876"/>
      <c r="W558" s="876"/>
    </row>
    <row r="559" spans="1:23" hidden="1" x14ac:dyDescent="0.25">
      <c r="A559" s="876"/>
      <c r="B559" s="876"/>
      <c r="C559" s="762"/>
      <c r="D559" s="810" t="str">
        <f>D558&amp;"KW"</f>
        <v>KW</v>
      </c>
      <c r="E559" s="760" t="s">
        <v>159</v>
      </c>
      <c r="F559" s="1773"/>
      <c r="G559" s="1774"/>
      <c r="H559" s="1773"/>
      <c r="I559" s="1774"/>
      <c r="J559" s="1773"/>
      <c r="K559" s="1774"/>
      <c r="L559" s="1773"/>
      <c r="M559" s="1774"/>
      <c r="N559" s="1773"/>
      <c r="O559" s="1774"/>
      <c r="P559" s="876"/>
      <c r="Q559" s="876"/>
      <c r="R559" s="876"/>
      <c r="S559" s="876"/>
      <c r="T559" s="876"/>
      <c r="U559" s="876"/>
      <c r="V559" s="876"/>
      <c r="W559" s="876"/>
    </row>
    <row r="560" spans="1:23" hidden="1" x14ac:dyDescent="0.25">
      <c r="A560" s="876"/>
      <c r="B560" s="876"/>
      <c r="C560" s="762" t="s">
        <v>2757</v>
      </c>
      <c r="D560" s="979"/>
      <c r="E560" s="760" t="s">
        <v>158</v>
      </c>
      <c r="F560" s="1773"/>
      <c r="G560" s="1774"/>
      <c r="H560" s="1773"/>
      <c r="I560" s="1774"/>
      <c r="J560" s="1773"/>
      <c r="K560" s="1774"/>
      <c r="L560" s="1773"/>
      <c r="M560" s="1774"/>
      <c r="N560" s="1773"/>
      <c r="O560" s="1774"/>
      <c r="P560" s="876"/>
      <c r="Q560" s="876"/>
      <c r="R560" s="876"/>
      <c r="S560" s="876"/>
      <c r="T560" s="876"/>
      <c r="U560" s="876"/>
      <c r="V560" s="876"/>
      <c r="W560" s="876"/>
    </row>
    <row r="561" spans="1:23" hidden="1" x14ac:dyDescent="0.25">
      <c r="A561" s="876"/>
      <c r="B561" s="876"/>
      <c r="C561" s="762"/>
      <c r="D561" s="810" t="str">
        <f>D560&amp;"KW"</f>
        <v>KW</v>
      </c>
      <c r="E561" s="760" t="s">
        <v>159</v>
      </c>
      <c r="F561" s="1773"/>
      <c r="G561" s="1774"/>
      <c r="H561" s="1773"/>
      <c r="I561" s="1774"/>
      <c r="J561" s="1773"/>
      <c r="K561" s="1774"/>
      <c r="L561" s="1773"/>
      <c r="M561" s="1774"/>
      <c r="N561" s="1773"/>
      <c r="O561" s="1774"/>
      <c r="P561" s="876"/>
      <c r="Q561" s="876"/>
      <c r="R561" s="876"/>
      <c r="S561" s="876"/>
      <c r="T561" s="876"/>
      <c r="U561" s="876"/>
      <c r="V561" s="876"/>
      <c r="W561" s="876"/>
    </row>
    <row r="562" spans="1:23" hidden="1" x14ac:dyDescent="0.25">
      <c r="A562" s="876"/>
      <c r="B562" s="876"/>
      <c r="C562" s="762" t="s">
        <v>2758</v>
      </c>
      <c r="D562" s="979"/>
      <c r="E562" s="760" t="s">
        <v>158</v>
      </c>
      <c r="F562" s="1773"/>
      <c r="G562" s="1774"/>
      <c r="H562" s="1773"/>
      <c r="I562" s="1774"/>
      <c r="J562" s="1773"/>
      <c r="K562" s="1774"/>
      <c r="L562" s="1773"/>
      <c r="M562" s="1774"/>
      <c r="N562" s="1773"/>
      <c r="O562" s="1774"/>
      <c r="P562" s="876"/>
      <c r="Q562" s="876"/>
      <c r="R562" s="876"/>
      <c r="S562" s="876"/>
      <c r="T562" s="876"/>
      <c r="U562" s="876"/>
      <c r="V562" s="876"/>
      <c r="W562" s="876"/>
    </row>
    <row r="563" spans="1:23" hidden="1" x14ac:dyDescent="0.25">
      <c r="A563" s="876"/>
      <c r="B563" s="876"/>
      <c r="C563" s="762"/>
      <c r="D563" s="810" t="str">
        <f>D562&amp;"KW"</f>
        <v>KW</v>
      </c>
      <c r="E563" s="760" t="s">
        <v>159</v>
      </c>
      <c r="F563" s="1773"/>
      <c r="G563" s="1774"/>
      <c r="H563" s="1773"/>
      <c r="I563" s="1774"/>
      <c r="J563" s="1773"/>
      <c r="K563" s="1774"/>
      <c r="L563" s="1773"/>
      <c r="M563" s="1774"/>
      <c r="N563" s="1773"/>
      <c r="O563" s="1774"/>
      <c r="P563" s="876"/>
      <c r="Q563" s="876"/>
      <c r="R563" s="876"/>
      <c r="S563" s="876"/>
      <c r="T563" s="876"/>
      <c r="U563" s="876"/>
      <c r="V563" s="876"/>
      <c r="W563" s="876"/>
    </row>
    <row r="564" spans="1:23" hidden="1" x14ac:dyDescent="0.25">
      <c r="A564" s="876"/>
      <c r="B564" s="876"/>
      <c r="C564" s="762" t="s">
        <v>2759</v>
      </c>
      <c r="D564" s="979"/>
      <c r="E564" s="760" t="s">
        <v>158</v>
      </c>
      <c r="F564" s="1773"/>
      <c r="G564" s="1774"/>
      <c r="H564" s="1773"/>
      <c r="I564" s="1774"/>
      <c r="J564" s="1773"/>
      <c r="K564" s="1774"/>
      <c r="L564" s="1773"/>
      <c r="M564" s="1774"/>
      <c r="N564" s="1773"/>
      <c r="O564" s="1774"/>
      <c r="P564" s="876"/>
      <c r="Q564" s="876"/>
      <c r="R564" s="876"/>
      <c r="S564" s="876"/>
      <c r="T564" s="876"/>
      <c r="U564" s="876"/>
      <c r="V564" s="876"/>
      <c r="W564" s="876"/>
    </row>
    <row r="565" spans="1:23" hidden="1" x14ac:dyDescent="0.25">
      <c r="A565" s="876"/>
      <c r="B565" s="876"/>
      <c r="C565" s="762"/>
      <c r="D565" s="810" t="str">
        <f>D564&amp;"KW"</f>
        <v>KW</v>
      </c>
      <c r="E565" s="760" t="s">
        <v>159</v>
      </c>
      <c r="F565" s="1773"/>
      <c r="G565" s="1774"/>
      <c r="H565" s="1773"/>
      <c r="I565" s="1774"/>
      <c r="J565" s="1773"/>
      <c r="K565" s="1774"/>
      <c r="L565" s="1773"/>
      <c r="M565" s="1774"/>
      <c r="N565" s="1773"/>
      <c r="O565" s="1774"/>
      <c r="P565" s="876"/>
      <c r="Q565" s="876"/>
      <c r="R565" s="876"/>
      <c r="S565" s="876"/>
      <c r="T565" s="876"/>
      <c r="U565" s="876"/>
      <c r="V565" s="876"/>
      <c r="W565" s="876"/>
    </row>
    <row r="566" spans="1:23" hidden="1" x14ac:dyDescent="0.25">
      <c r="A566" s="876"/>
      <c r="B566" s="876"/>
      <c r="C566" s="762" t="s">
        <v>2760</v>
      </c>
      <c r="D566" s="979"/>
      <c r="E566" s="760" t="s">
        <v>158</v>
      </c>
      <c r="F566" s="1773"/>
      <c r="G566" s="1774"/>
      <c r="H566" s="1773"/>
      <c r="I566" s="1774"/>
      <c r="J566" s="1773"/>
      <c r="K566" s="1774"/>
      <c r="L566" s="1773"/>
      <c r="M566" s="1774"/>
      <c r="N566" s="1773"/>
      <c r="O566" s="1774"/>
      <c r="P566" s="876"/>
      <c r="Q566" s="876"/>
      <c r="R566" s="876"/>
      <c r="S566" s="876"/>
      <c r="T566" s="876"/>
      <c r="U566" s="876"/>
      <c r="V566" s="876"/>
      <c r="W566" s="876"/>
    </row>
    <row r="567" spans="1:23" hidden="1" x14ac:dyDescent="0.25">
      <c r="A567" s="876"/>
      <c r="B567" s="876"/>
      <c r="C567" s="762"/>
      <c r="D567" s="810" t="str">
        <f>D566&amp;"KW"</f>
        <v>KW</v>
      </c>
      <c r="E567" s="760" t="s">
        <v>159</v>
      </c>
      <c r="F567" s="1773"/>
      <c r="G567" s="1774"/>
      <c r="H567" s="1773"/>
      <c r="I567" s="1774"/>
      <c r="J567" s="1773"/>
      <c r="K567" s="1774"/>
      <c r="L567" s="1773"/>
      <c r="M567" s="1774"/>
      <c r="N567" s="1773"/>
      <c r="O567" s="1774"/>
      <c r="P567" s="876"/>
      <c r="Q567" s="876"/>
      <c r="R567" s="876"/>
      <c r="S567" s="876"/>
      <c r="T567" s="876"/>
      <c r="U567" s="876"/>
      <c r="V567" s="876"/>
      <c r="W567" s="876"/>
    </row>
    <row r="568" spans="1:23" hidden="1" x14ac:dyDescent="0.25">
      <c r="A568" s="876"/>
      <c r="B568" s="876"/>
      <c r="C568" s="762" t="s">
        <v>2761</v>
      </c>
      <c r="D568" s="979"/>
      <c r="E568" s="760" t="s">
        <v>158</v>
      </c>
      <c r="F568" s="1773"/>
      <c r="G568" s="1774"/>
      <c r="H568" s="1773"/>
      <c r="I568" s="1774"/>
      <c r="J568" s="1773"/>
      <c r="K568" s="1774"/>
      <c r="L568" s="1773"/>
      <c r="M568" s="1774"/>
      <c r="N568" s="1773"/>
      <c r="O568" s="1774"/>
      <c r="P568" s="876"/>
      <c r="Q568" s="876"/>
      <c r="R568" s="876"/>
      <c r="S568" s="876"/>
      <c r="T568" s="876"/>
      <c r="U568" s="876"/>
      <c r="V568" s="876"/>
      <c r="W568" s="876"/>
    </row>
    <row r="569" spans="1:23" hidden="1" x14ac:dyDescent="0.25">
      <c r="A569" s="876"/>
      <c r="B569" s="876"/>
      <c r="C569" s="762"/>
      <c r="D569" s="810" t="str">
        <f>D568&amp;"KW"</f>
        <v>KW</v>
      </c>
      <c r="E569" s="760" t="s">
        <v>159</v>
      </c>
      <c r="F569" s="1773"/>
      <c r="G569" s="1774"/>
      <c r="H569" s="1773"/>
      <c r="I569" s="1774"/>
      <c r="J569" s="1773"/>
      <c r="K569" s="1774"/>
      <c r="L569" s="1773"/>
      <c r="M569" s="1774"/>
      <c r="N569" s="1773"/>
      <c r="O569" s="1774"/>
      <c r="P569" s="876"/>
      <c r="Q569" s="876"/>
      <c r="R569" s="876"/>
      <c r="S569" s="876"/>
      <c r="T569" s="876"/>
      <c r="U569" s="876"/>
      <c r="V569" s="876"/>
      <c r="W569" s="876"/>
    </row>
    <row r="570" spans="1:23" hidden="1" x14ac:dyDescent="0.25">
      <c r="A570" s="876"/>
      <c r="B570" s="876"/>
      <c r="C570" s="762" t="s">
        <v>2762</v>
      </c>
      <c r="D570" s="979"/>
      <c r="E570" s="760" t="s">
        <v>158</v>
      </c>
      <c r="F570" s="1773"/>
      <c r="G570" s="1774"/>
      <c r="H570" s="1773"/>
      <c r="I570" s="1774"/>
      <c r="J570" s="1773"/>
      <c r="K570" s="1774"/>
      <c r="L570" s="1773"/>
      <c r="M570" s="1774"/>
      <c r="N570" s="1773"/>
      <c r="O570" s="1774"/>
      <c r="P570" s="876"/>
      <c r="Q570" s="876"/>
      <c r="R570" s="876"/>
      <c r="S570" s="876"/>
      <c r="T570" s="876"/>
      <c r="U570" s="876"/>
      <c r="V570" s="876"/>
      <c r="W570" s="876"/>
    </row>
    <row r="571" spans="1:23" hidden="1" x14ac:dyDescent="0.25">
      <c r="A571" s="876"/>
      <c r="B571" s="876"/>
      <c r="C571" s="762"/>
      <c r="D571" s="810" t="str">
        <f>D570&amp;"KW"</f>
        <v>KW</v>
      </c>
      <c r="E571" s="760" t="s">
        <v>159</v>
      </c>
      <c r="F571" s="1773"/>
      <c r="G571" s="1774"/>
      <c r="H571" s="1773"/>
      <c r="I571" s="1774"/>
      <c r="J571" s="1773"/>
      <c r="K571" s="1774"/>
      <c r="L571" s="1773"/>
      <c r="M571" s="1774"/>
      <c r="N571" s="1773"/>
      <c r="O571" s="1774"/>
      <c r="P571" s="876"/>
      <c r="Q571" s="876"/>
      <c r="R571" s="876"/>
      <c r="S571" s="876"/>
      <c r="T571" s="876"/>
      <c r="U571" s="876"/>
      <c r="V571" s="876"/>
      <c r="W571" s="876"/>
    </row>
    <row r="572" spans="1:23" hidden="1" x14ac:dyDescent="0.25">
      <c r="A572" s="876"/>
      <c r="B572" s="876"/>
      <c r="C572" s="762" t="s">
        <v>2763</v>
      </c>
      <c r="D572" s="979"/>
      <c r="E572" s="760" t="s">
        <v>158</v>
      </c>
      <c r="F572" s="1773"/>
      <c r="G572" s="1774"/>
      <c r="H572" s="1773"/>
      <c r="I572" s="1774"/>
      <c r="J572" s="1773"/>
      <c r="K572" s="1774"/>
      <c r="L572" s="1773"/>
      <c r="M572" s="1774"/>
      <c r="N572" s="1773"/>
      <c r="O572" s="1774"/>
      <c r="P572" s="876"/>
      <c r="Q572" s="876"/>
      <c r="R572" s="876"/>
      <c r="S572" s="876"/>
      <c r="T572" s="876"/>
      <c r="U572" s="876"/>
      <c r="V572" s="876"/>
      <c r="W572" s="876"/>
    </row>
    <row r="573" spans="1:23" hidden="1" x14ac:dyDescent="0.25">
      <c r="A573" s="876"/>
      <c r="B573" s="876"/>
      <c r="C573" s="762"/>
      <c r="D573" s="810" t="str">
        <f>D572&amp;"KW"</f>
        <v>KW</v>
      </c>
      <c r="E573" s="760" t="s">
        <v>159</v>
      </c>
      <c r="F573" s="1773"/>
      <c r="G573" s="1774"/>
      <c r="H573" s="1773"/>
      <c r="I573" s="1774"/>
      <c r="J573" s="1773"/>
      <c r="K573" s="1774"/>
      <c r="L573" s="1773"/>
      <c r="M573" s="1774"/>
      <c r="N573" s="1773"/>
      <c r="O573" s="1774"/>
      <c r="P573" s="876"/>
      <c r="Q573" s="876"/>
      <c r="R573" s="876"/>
      <c r="S573" s="876"/>
      <c r="T573" s="876"/>
      <c r="U573" s="876"/>
      <c r="V573" s="876"/>
      <c r="W573" s="876"/>
    </row>
    <row r="574" spans="1:23" hidden="1" x14ac:dyDescent="0.25">
      <c r="A574" s="876"/>
      <c r="B574" s="876"/>
      <c r="C574" s="762" t="s">
        <v>2764</v>
      </c>
      <c r="D574" s="979"/>
      <c r="E574" s="760" t="s">
        <v>158</v>
      </c>
      <c r="F574" s="1773"/>
      <c r="G574" s="1774"/>
      <c r="H574" s="1773"/>
      <c r="I574" s="1774"/>
      <c r="J574" s="1773"/>
      <c r="K574" s="1774"/>
      <c r="L574" s="1773"/>
      <c r="M574" s="1774"/>
      <c r="N574" s="1773"/>
      <c r="O574" s="1774"/>
      <c r="P574" s="876"/>
      <c r="Q574" s="876"/>
      <c r="R574" s="876"/>
      <c r="S574" s="876"/>
      <c r="T574" s="876"/>
      <c r="U574" s="876"/>
      <c r="V574" s="876"/>
      <c r="W574" s="876"/>
    </row>
    <row r="575" spans="1:23" hidden="1" x14ac:dyDescent="0.25">
      <c r="A575" s="876"/>
      <c r="B575" s="876"/>
      <c r="C575" s="762"/>
      <c r="D575" s="810" t="str">
        <f>D574&amp;"KW"</f>
        <v>KW</v>
      </c>
      <c r="E575" s="760" t="s">
        <v>159</v>
      </c>
      <c r="F575" s="1773"/>
      <c r="G575" s="1774"/>
      <c r="H575" s="1773"/>
      <c r="I575" s="1774"/>
      <c r="J575" s="1773"/>
      <c r="K575" s="1774"/>
      <c r="L575" s="1773"/>
      <c r="M575" s="1774"/>
      <c r="N575" s="1773"/>
      <c r="O575" s="1774"/>
      <c r="P575" s="876"/>
      <c r="Q575" s="876"/>
      <c r="R575" s="876"/>
      <c r="S575" s="876"/>
      <c r="T575" s="876"/>
      <c r="U575" s="876"/>
      <c r="V575" s="876"/>
      <c r="W575" s="876"/>
    </row>
    <row r="576" spans="1:23" hidden="1" x14ac:dyDescent="0.25">
      <c r="A576" s="876"/>
      <c r="B576" s="876"/>
      <c r="C576" s="762" t="s">
        <v>2765</v>
      </c>
      <c r="D576" s="979"/>
      <c r="E576" s="760" t="s">
        <v>158</v>
      </c>
      <c r="F576" s="1773"/>
      <c r="G576" s="1774"/>
      <c r="H576" s="1773"/>
      <c r="I576" s="1774"/>
      <c r="J576" s="1773"/>
      <c r="K576" s="1774"/>
      <c r="L576" s="1773"/>
      <c r="M576" s="1774"/>
      <c r="N576" s="1773"/>
      <c r="O576" s="1774"/>
      <c r="P576" s="876"/>
      <c r="Q576" s="876"/>
      <c r="R576" s="876"/>
      <c r="S576" s="876"/>
      <c r="T576" s="876"/>
      <c r="U576" s="876"/>
      <c r="V576" s="876"/>
      <c r="W576" s="876"/>
    </row>
    <row r="577" spans="1:23" hidden="1" x14ac:dyDescent="0.25">
      <c r="A577" s="876"/>
      <c r="B577" s="876"/>
      <c r="C577" s="762"/>
      <c r="D577" s="981" t="str">
        <f>D576&amp;"KW"</f>
        <v>KW</v>
      </c>
      <c r="E577" s="760" t="s">
        <v>159</v>
      </c>
      <c r="F577" s="1773"/>
      <c r="G577" s="1774"/>
      <c r="H577" s="1773"/>
      <c r="I577" s="1774"/>
      <c r="J577" s="1773"/>
      <c r="K577" s="1774"/>
      <c r="L577" s="1773"/>
      <c r="M577" s="1774"/>
      <c r="N577" s="1773"/>
      <c r="O577" s="1774"/>
      <c r="P577" s="876"/>
      <c r="Q577" s="876"/>
      <c r="R577" s="876"/>
      <c r="S577" s="876"/>
      <c r="T577" s="876"/>
      <c r="U577" s="876"/>
      <c r="V577" s="876"/>
      <c r="W577" s="876"/>
    </row>
    <row r="578" spans="1:23" hidden="1" x14ac:dyDescent="0.25">
      <c r="A578" s="876"/>
      <c r="B578" s="876"/>
      <c r="C578" s="762" t="s">
        <v>2766</v>
      </c>
      <c r="D578" s="979"/>
      <c r="E578" s="760" t="s">
        <v>158</v>
      </c>
      <c r="F578" s="1773"/>
      <c r="G578" s="1774"/>
      <c r="H578" s="1773"/>
      <c r="I578" s="1774"/>
      <c r="J578" s="1773"/>
      <c r="K578" s="1774"/>
      <c r="L578" s="1773"/>
      <c r="M578" s="1774"/>
      <c r="N578" s="1773"/>
      <c r="O578" s="1774"/>
      <c r="P578" s="876"/>
      <c r="Q578" s="876"/>
      <c r="R578" s="876"/>
      <c r="S578" s="876"/>
      <c r="T578" s="876"/>
      <c r="U578" s="876"/>
      <c r="V578" s="876"/>
      <c r="W578" s="876"/>
    </row>
    <row r="579" spans="1:23" hidden="1" x14ac:dyDescent="0.25">
      <c r="A579" s="876"/>
      <c r="B579" s="876"/>
      <c r="C579" s="762"/>
      <c r="D579" s="810" t="str">
        <f>D578&amp;"KW"</f>
        <v>KW</v>
      </c>
      <c r="E579" s="760" t="s">
        <v>159</v>
      </c>
      <c r="F579" s="1773"/>
      <c r="G579" s="1774"/>
      <c r="H579" s="1773"/>
      <c r="I579" s="1774"/>
      <c r="J579" s="1773"/>
      <c r="K579" s="1774"/>
      <c r="L579" s="1773"/>
      <c r="M579" s="1774"/>
      <c r="N579" s="1773"/>
      <c r="O579" s="1774"/>
      <c r="P579" s="876"/>
      <c r="Q579" s="876"/>
      <c r="R579" s="876"/>
      <c r="S579" s="876"/>
      <c r="T579" s="876"/>
      <c r="U579" s="876"/>
      <c r="V579" s="876"/>
      <c r="W579" s="876"/>
    </row>
    <row r="580" spans="1:23" hidden="1" x14ac:dyDescent="0.25">
      <c r="A580" s="876"/>
      <c r="B580" s="876"/>
      <c r="C580" s="762" t="s">
        <v>2767</v>
      </c>
      <c r="D580" s="979"/>
      <c r="E580" s="760" t="s">
        <v>158</v>
      </c>
      <c r="F580" s="1773"/>
      <c r="G580" s="1774"/>
      <c r="H580" s="1773"/>
      <c r="I580" s="1774"/>
      <c r="J580" s="1773"/>
      <c r="K580" s="1774"/>
      <c r="L580" s="1773"/>
      <c r="M580" s="1774"/>
      <c r="N580" s="1773"/>
      <c r="O580" s="1774"/>
      <c r="P580" s="876"/>
      <c r="Q580" s="876"/>
      <c r="R580" s="876"/>
      <c r="S580" s="876"/>
      <c r="T580" s="876"/>
      <c r="U580" s="876"/>
      <c r="V580" s="876"/>
      <c r="W580" s="876"/>
    </row>
    <row r="581" spans="1:23" hidden="1" x14ac:dyDescent="0.25">
      <c r="A581" s="876"/>
      <c r="B581" s="876"/>
      <c r="C581" s="762"/>
      <c r="D581" s="810" t="str">
        <f>D580&amp;"KW"</f>
        <v>KW</v>
      </c>
      <c r="E581" s="760" t="s">
        <v>159</v>
      </c>
      <c r="F581" s="1773"/>
      <c r="G581" s="1774"/>
      <c r="H581" s="1773"/>
      <c r="I581" s="1774"/>
      <c r="J581" s="1773"/>
      <c r="K581" s="1774"/>
      <c r="L581" s="1773"/>
      <c r="M581" s="1774"/>
      <c r="N581" s="1773"/>
      <c r="O581" s="1774"/>
      <c r="P581" s="876"/>
      <c r="Q581" s="876"/>
      <c r="R581" s="876"/>
      <c r="S581" s="876"/>
      <c r="T581" s="876"/>
      <c r="U581" s="876"/>
      <c r="V581" s="876"/>
      <c r="W581" s="876"/>
    </row>
    <row r="582" spans="1:23" hidden="1" x14ac:dyDescent="0.25">
      <c r="A582" s="876"/>
      <c r="B582" s="876"/>
      <c r="C582" s="762" t="s">
        <v>2768</v>
      </c>
      <c r="D582" s="979"/>
      <c r="E582" s="760" t="s">
        <v>158</v>
      </c>
      <c r="F582" s="1773"/>
      <c r="G582" s="1774"/>
      <c r="H582" s="1773"/>
      <c r="I582" s="1774"/>
      <c r="J582" s="1773"/>
      <c r="K582" s="1774"/>
      <c r="L582" s="1773"/>
      <c r="M582" s="1774"/>
      <c r="N582" s="1773"/>
      <c r="O582" s="1774"/>
      <c r="P582" s="876"/>
      <c r="Q582" s="876"/>
      <c r="R582" s="876"/>
      <c r="S582" s="876"/>
      <c r="T582" s="876"/>
      <c r="U582" s="876"/>
      <c r="V582" s="876"/>
      <c r="W582" s="876"/>
    </row>
    <row r="583" spans="1:23" hidden="1" x14ac:dyDescent="0.25">
      <c r="A583" s="876"/>
      <c r="B583" s="876"/>
      <c r="C583" s="762"/>
      <c r="D583" s="810" t="str">
        <f>D582&amp;"KW"</f>
        <v>KW</v>
      </c>
      <c r="E583" s="760" t="s">
        <v>159</v>
      </c>
      <c r="F583" s="1773"/>
      <c r="G583" s="1774"/>
      <c r="H583" s="1773"/>
      <c r="I583" s="1774"/>
      <c r="J583" s="1773"/>
      <c r="K583" s="1774"/>
      <c r="L583" s="1773"/>
      <c r="M583" s="1774"/>
      <c r="N583" s="1773"/>
      <c r="O583" s="1774"/>
      <c r="P583" s="876"/>
      <c r="Q583" s="876"/>
      <c r="R583" s="876"/>
      <c r="S583" s="876"/>
      <c r="T583" s="876"/>
      <c r="U583" s="876"/>
      <c r="V583" s="876"/>
      <c r="W583" s="876"/>
    </row>
    <row r="584" spans="1:23" hidden="1" x14ac:dyDescent="0.25">
      <c r="A584" s="876"/>
      <c r="B584" s="876"/>
      <c r="C584" s="762" t="s">
        <v>2769</v>
      </c>
      <c r="D584" s="979"/>
      <c r="E584" s="760" t="s">
        <v>158</v>
      </c>
      <c r="F584" s="1773"/>
      <c r="G584" s="1774"/>
      <c r="H584" s="1773"/>
      <c r="I584" s="1774"/>
      <c r="J584" s="1773"/>
      <c r="K584" s="1774"/>
      <c r="L584" s="1773"/>
      <c r="M584" s="1774"/>
      <c r="N584" s="1773"/>
      <c r="O584" s="1774"/>
      <c r="P584" s="876"/>
      <c r="Q584" s="876"/>
      <c r="R584" s="876"/>
      <c r="S584" s="876"/>
      <c r="T584" s="876"/>
      <c r="U584" s="876"/>
      <c r="V584" s="876"/>
      <c r="W584" s="876"/>
    </row>
    <row r="585" spans="1:23" hidden="1" x14ac:dyDescent="0.25">
      <c r="A585" s="876"/>
      <c r="B585" s="876"/>
      <c r="C585" s="762"/>
      <c r="D585" s="810" t="str">
        <f>D584&amp;"KW"</f>
        <v>KW</v>
      </c>
      <c r="E585" s="760" t="s">
        <v>159</v>
      </c>
      <c r="F585" s="1773"/>
      <c r="G585" s="1774"/>
      <c r="H585" s="1773"/>
      <c r="I585" s="1774"/>
      <c r="J585" s="1773"/>
      <c r="K585" s="1774"/>
      <c r="L585" s="1773"/>
      <c r="M585" s="1774"/>
      <c r="N585" s="1773"/>
      <c r="O585" s="1774"/>
      <c r="P585" s="876"/>
      <c r="Q585" s="876"/>
      <c r="R585" s="876"/>
      <c r="S585" s="876"/>
      <c r="T585" s="876"/>
      <c r="U585" s="876"/>
      <c r="V585" s="876"/>
      <c r="W585" s="876"/>
    </row>
    <row r="586" spans="1:23" hidden="1" x14ac:dyDescent="0.25">
      <c r="A586" s="876"/>
      <c r="B586" s="876"/>
      <c r="C586" s="762" t="s">
        <v>2770</v>
      </c>
      <c r="D586" s="979"/>
      <c r="E586" s="760" t="s">
        <v>158</v>
      </c>
      <c r="F586" s="1773"/>
      <c r="G586" s="1774"/>
      <c r="H586" s="1773"/>
      <c r="I586" s="1774"/>
      <c r="J586" s="1773"/>
      <c r="K586" s="1774"/>
      <c r="L586" s="1773"/>
      <c r="M586" s="1774"/>
      <c r="N586" s="1773"/>
      <c r="O586" s="1774"/>
      <c r="P586" s="876"/>
      <c r="Q586" s="876"/>
      <c r="R586" s="876"/>
      <c r="S586" s="876"/>
      <c r="T586" s="876"/>
      <c r="U586" s="876"/>
      <c r="V586" s="876"/>
      <c r="W586" s="876"/>
    </row>
    <row r="587" spans="1:23" hidden="1" x14ac:dyDescent="0.25">
      <c r="A587" s="876"/>
      <c r="B587" s="876"/>
      <c r="C587" s="762"/>
      <c r="D587" s="810" t="str">
        <f>D586&amp;"KW"</f>
        <v>KW</v>
      </c>
      <c r="E587" s="760" t="s">
        <v>159</v>
      </c>
      <c r="F587" s="1773"/>
      <c r="G587" s="1774"/>
      <c r="H587" s="1773"/>
      <c r="I587" s="1774"/>
      <c r="J587" s="1773"/>
      <c r="K587" s="1774"/>
      <c r="L587" s="1773"/>
      <c r="M587" s="1774"/>
      <c r="N587" s="1773"/>
      <c r="O587" s="1774"/>
      <c r="P587" s="876"/>
      <c r="Q587" s="876"/>
      <c r="R587" s="876"/>
      <c r="S587" s="876"/>
      <c r="T587" s="876"/>
      <c r="U587" s="876"/>
      <c r="V587" s="876"/>
      <c r="W587" s="876"/>
    </row>
    <row r="588" spans="1:23" hidden="1" x14ac:dyDescent="0.25">
      <c r="A588" s="876"/>
      <c r="B588" s="876"/>
      <c r="C588" s="762" t="s">
        <v>2771</v>
      </c>
      <c r="D588" s="979"/>
      <c r="E588" s="760" t="s">
        <v>158</v>
      </c>
      <c r="F588" s="1773"/>
      <c r="G588" s="1774"/>
      <c r="H588" s="1773"/>
      <c r="I588" s="1774"/>
      <c r="J588" s="1773"/>
      <c r="K588" s="1774"/>
      <c r="L588" s="1773"/>
      <c r="M588" s="1774"/>
      <c r="N588" s="1773"/>
      <c r="O588" s="1774"/>
      <c r="P588" s="876"/>
      <c r="Q588" s="876"/>
      <c r="R588" s="876"/>
      <c r="S588" s="876"/>
      <c r="T588" s="876"/>
      <c r="U588" s="876"/>
      <c r="V588" s="876"/>
      <c r="W588" s="876"/>
    </row>
    <row r="589" spans="1:23" hidden="1" x14ac:dyDescent="0.25">
      <c r="A589" s="876"/>
      <c r="B589" s="876"/>
      <c r="C589" s="762"/>
      <c r="D589" s="810" t="str">
        <f>D588&amp;"KW"</f>
        <v>KW</v>
      </c>
      <c r="E589" s="760" t="s">
        <v>159</v>
      </c>
      <c r="F589" s="1773"/>
      <c r="G589" s="1774"/>
      <c r="H589" s="1773"/>
      <c r="I589" s="1774"/>
      <c r="J589" s="1773"/>
      <c r="K589" s="1774"/>
      <c r="L589" s="1773"/>
      <c r="M589" s="1774"/>
      <c r="N589" s="1773"/>
      <c r="O589" s="1774"/>
      <c r="P589" s="876"/>
      <c r="Q589" s="876"/>
      <c r="R589" s="876"/>
      <c r="S589" s="876"/>
      <c r="T589" s="876"/>
      <c r="U589" s="876"/>
      <c r="V589" s="876"/>
      <c r="W589" s="876"/>
    </row>
    <row r="590" spans="1:23" hidden="1" x14ac:dyDescent="0.25">
      <c r="A590" s="876"/>
      <c r="B590" s="876"/>
      <c r="C590" s="762" t="s">
        <v>2772</v>
      </c>
      <c r="D590" s="979"/>
      <c r="E590" s="760" t="s">
        <v>158</v>
      </c>
      <c r="F590" s="1773"/>
      <c r="G590" s="1774"/>
      <c r="H590" s="1773"/>
      <c r="I590" s="1774"/>
      <c r="J590" s="1773"/>
      <c r="K590" s="1774"/>
      <c r="L590" s="1773"/>
      <c r="M590" s="1774"/>
      <c r="N590" s="1773"/>
      <c r="O590" s="1774"/>
      <c r="P590" s="876"/>
      <c r="Q590" s="876"/>
      <c r="R590" s="876"/>
      <c r="S590" s="876"/>
      <c r="T590" s="876"/>
      <c r="U590" s="876"/>
      <c r="V590" s="876"/>
      <c r="W590" s="876"/>
    </row>
    <row r="591" spans="1:23" hidden="1" x14ac:dyDescent="0.25">
      <c r="A591" s="876"/>
      <c r="B591" s="876"/>
      <c r="C591" s="762"/>
      <c r="D591" s="810" t="str">
        <f>D590&amp;"KW"</f>
        <v>KW</v>
      </c>
      <c r="E591" s="760" t="s">
        <v>159</v>
      </c>
      <c r="F591" s="1773"/>
      <c r="G591" s="1774"/>
      <c r="H591" s="1773"/>
      <c r="I591" s="1774"/>
      <c r="J591" s="1773"/>
      <c r="K591" s="1774"/>
      <c r="L591" s="1773"/>
      <c r="M591" s="1774"/>
      <c r="N591" s="1773"/>
      <c r="O591" s="1774"/>
      <c r="P591" s="876"/>
      <c r="Q591" s="876"/>
      <c r="R591" s="876"/>
      <c r="S591" s="876"/>
      <c r="T591" s="876"/>
      <c r="U591" s="876"/>
      <c r="V591" s="876"/>
      <c r="W591" s="876"/>
    </row>
    <row r="592" spans="1:23" hidden="1" x14ac:dyDescent="0.25">
      <c r="A592" s="876"/>
      <c r="B592" s="876"/>
      <c r="C592" s="762" t="s">
        <v>2773</v>
      </c>
      <c r="D592" s="979"/>
      <c r="E592" s="760" t="s">
        <v>158</v>
      </c>
      <c r="F592" s="1773"/>
      <c r="G592" s="1774"/>
      <c r="H592" s="1773"/>
      <c r="I592" s="1774"/>
      <c r="J592" s="1773"/>
      <c r="K592" s="1774"/>
      <c r="L592" s="1773"/>
      <c r="M592" s="1774"/>
      <c r="N592" s="1773"/>
      <c r="O592" s="1774"/>
      <c r="P592" s="876"/>
      <c r="Q592" s="876"/>
      <c r="R592" s="876"/>
      <c r="S592" s="876"/>
      <c r="T592" s="876"/>
      <c r="U592" s="876"/>
      <c r="V592" s="876"/>
      <c r="W592" s="876"/>
    </row>
    <row r="593" spans="1:23" hidden="1" x14ac:dyDescent="0.25">
      <c r="A593" s="876"/>
      <c r="B593" s="876"/>
      <c r="C593" s="762"/>
      <c r="D593" s="810" t="str">
        <f>D592&amp;"KW"</f>
        <v>KW</v>
      </c>
      <c r="E593" s="760" t="s">
        <v>159</v>
      </c>
      <c r="F593" s="1773"/>
      <c r="G593" s="1774"/>
      <c r="H593" s="1773"/>
      <c r="I593" s="1774"/>
      <c r="J593" s="1773"/>
      <c r="K593" s="1774"/>
      <c r="L593" s="1773"/>
      <c r="M593" s="1774"/>
      <c r="N593" s="1773"/>
      <c r="O593" s="1774"/>
      <c r="P593" s="876"/>
      <c r="Q593" s="876"/>
      <c r="R593" s="876"/>
      <c r="S593" s="876"/>
      <c r="T593" s="876"/>
      <c r="U593" s="876"/>
      <c r="V593" s="876"/>
      <c r="W593" s="876"/>
    </row>
    <row r="594" spans="1:23" hidden="1" x14ac:dyDescent="0.25">
      <c r="A594" s="876"/>
      <c r="B594" s="876"/>
      <c r="C594" s="762" t="s">
        <v>2774</v>
      </c>
      <c r="D594" s="979"/>
      <c r="E594" s="760" t="s">
        <v>158</v>
      </c>
      <c r="F594" s="1773"/>
      <c r="G594" s="1774"/>
      <c r="H594" s="1773"/>
      <c r="I594" s="1774"/>
      <c r="J594" s="1773"/>
      <c r="K594" s="1774"/>
      <c r="L594" s="1773"/>
      <c r="M594" s="1774"/>
      <c r="N594" s="1773"/>
      <c r="O594" s="1774"/>
      <c r="P594" s="876"/>
      <c r="Q594" s="876"/>
      <c r="R594" s="876"/>
      <c r="S594" s="876"/>
      <c r="T594" s="876"/>
      <c r="U594" s="876"/>
      <c r="V594" s="876"/>
      <c r="W594" s="876"/>
    </row>
    <row r="595" spans="1:23" hidden="1" x14ac:dyDescent="0.25">
      <c r="A595" s="876"/>
      <c r="B595" s="876"/>
      <c r="C595" s="762"/>
      <c r="D595" s="810" t="str">
        <f>D594&amp;"KW"</f>
        <v>KW</v>
      </c>
      <c r="E595" s="760" t="s">
        <v>159</v>
      </c>
      <c r="F595" s="1773"/>
      <c r="G595" s="1774"/>
      <c r="H595" s="1773"/>
      <c r="I595" s="1774"/>
      <c r="J595" s="1773"/>
      <c r="K595" s="1774"/>
      <c r="L595" s="1773"/>
      <c r="M595" s="1774"/>
      <c r="N595" s="1773"/>
      <c r="O595" s="1774"/>
      <c r="P595" s="876"/>
      <c r="Q595" s="876"/>
      <c r="R595" s="876"/>
      <c r="S595" s="876"/>
      <c r="T595" s="876"/>
      <c r="U595" s="876"/>
      <c r="V595" s="876"/>
      <c r="W595" s="876"/>
    </row>
    <row r="596" spans="1:23" hidden="1" x14ac:dyDescent="0.25">
      <c r="A596" s="876"/>
      <c r="B596" s="876"/>
      <c r="C596" s="762" t="s">
        <v>2775</v>
      </c>
      <c r="D596" s="979"/>
      <c r="E596" s="760" t="s">
        <v>158</v>
      </c>
      <c r="F596" s="1773"/>
      <c r="G596" s="1774"/>
      <c r="H596" s="1773"/>
      <c r="I596" s="1774"/>
      <c r="J596" s="1773"/>
      <c r="K596" s="1774"/>
      <c r="L596" s="1773"/>
      <c r="M596" s="1774"/>
      <c r="N596" s="1773"/>
      <c r="O596" s="1774"/>
      <c r="P596" s="876"/>
      <c r="Q596" s="876"/>
      <c r="R596" s="876"/>
      <c r="S596" s="876"/>
      <c r="T596" s="876"/>
      <c r="U596" s="876"/>
      <c r="V596" s="876"/>
      <c r="W596" s="876"/>
    </row>
    <row r="597" spans="1:23" hidden="1" x14ac:dyDescent="0.25">
      <c r="A597" s="876"/>
      <c r="B597" s="876"/>
      <c r="C597" s="762"/>
      <c r="D597" s="810" t="str">
        <f>D596&amp;"KW"</f>
        <v>KW</v>
      </c>
      <c r="E597" s="760" t="s">
        <v>159</v>
      </c>
      <c r="F597" s="1773"/>
      <c r="G597" s="1774"/>
      <c r="H597" s="1773"/>
      <c r="I597" s="1774"/>
      <c r="J597" s="1773"/>
      <c r="K597" s="1774"/>
      <c r="L597" s="1773"/>
      <c r="M597" s="1774"/>
      <c r="N597" s="1773"/>
      <c r="O597" s="1774"/>
      <c r="P597" s="876"/>
      <c r="Q597" s="876"/>
      <c r="R597" s="876"/>
      <c r="S597" s="876"/>
      <c r="T597" s="876"/>
      <c r="U597" s="876"/>
      <c r="V597" s="876"/>
      <c r="W597" s="876"/>
    </row>
    <row r="598" spans="1:23" hidden="1" x14ac:dyDescent="0.25">
      <c r="A598" s="876"/>
      <c r="B598" s="876"/>
      <c r="C598" s="762" t="s">
        <v>2776</v>
      </c>
      <c r="D598" s="979"/>
      <c r="E598" s="760" t="s">
        <v>158</v>
      </c>
      <c r="F598" s="1773"/>
      <c r="G598" s="1774"/>
      <c r="H598" s="1773"/>
      <c r="I598" s="1774"/>
      <c r="J598" s="1773"/>
      <c r="K598" s="1774"/>
      <c r="L598" s="1773"/>
      <c r="M598" s="1774"/>
      <c r="N598" s="1773"/>
      <c r="O598" s="1774"/>
      <c r="P598" s="876"/>
      <c r="Q598" s="876"/>
      <c r="R598" s="876"/>
      <c r="S598" s="876"/>
      <c r="T598" s="876"/>
      <c r="U598" s="876"/>
      <c r="V598" s="876"/>
      <c r="W598" s="876"/>
    </row>
    <row r="599" spans="1:23" hidden="1" x14ac:dyDescent="0.25">
      <c r="A599" s="876"/>
      <c r="B599" s="876"/>
      <c r="C599" s="762"/>
      <c r="D599" s="810" t="str">
        <f>D598&amp;"KW"</f>
        <v>KW</v>
      </c>
      <c r="E599" s="760" t="s">
        <v>159</v>
      </c>
      <c r="F599" s="1773"/>
      <c r="G599" s="1774"/>
      <c r="H599" s="1773"/>
      <c r="I599" s="1774"/>
      <c r="J599" s="1773"/>
      <c r="K599" s="1774"/>
      <c r="L599" s="1773"/>
      <c r="M599" s="1774"/>
      <c r="N599" s="1773"/>
      <c r="O599" s="1774"/>
      <c r="P599" s="876"/>
      <c r="Q599" s="876"/>
      <c r="R599" s="876"/>
      <c r="S599" s="876"/>
      <c r="T599" s="876"/>
      <c r="U599" s="876"/>
      <c r="V599" s="876"/>
      <c r="W599" s="876"/>
    </row>
    <row r="600" spans="1:23" hidden="1" x14ac:dyDescent="0.25">
      <c r="A600" s="876"/>
      <c r="B600" s="876"/>
      <c r="C600" s="762" t="s">
        <v>2777</v>
      </c>
      <c r="D600" s="979"/>
      <c r="E600" s="760" t="s">
        <v>158</v>
      </c>
      <c r="F600" s="1773"/>
      <c r="G600" s="1774"/>
      <c r="H600" s="1773"/>
      <c r="I600" s="1774"/>
      <c r="J600" s="1773"/>
      <c r="K600" s="1774"/>
      <c r="L600" s="1773"/>
      <c r="M600" s="1774"/>
      <c r="N600" s="1773"/>
      <c r="O600" s="1774"/>
      <c r="P600" s="876"/>
      <c r="Q600" s="876"/>
      <c r="R600" s="876"/>
      <c r="S600" s="876"/>
      <c r="T600" s="876"/>
      <c r="U600" s="876"/>
      <c r="V600" s="876"/>
      <c r="W600" s="876"/>
    </row>
    <row r="601" spans="1:23" hidden="1" x14ac:dyDescent="0.25">
      <c r="A601" s="876"/>
      <c r="B601" s="876"/>
      <c r="C601" s="762"/>
      <c r="D601" s="810" t="str">
        <f>D600&amp;"KW"</f>
        <v>KW</v>
      </c>
      <c r="E601" s="760" t="s">
        <v>159</v>
      </c>
      <c r="F601" s="1773"/>
      <c r="G601" s="1774"/>
      <c r="H601" s="1773"/>
      <c r="I601" s="1774"/>
      <c r="J601" s="1773"/>
      <c r="K601" s="1774"/>
      <c r="L601" s="1773"/>
      <c r="M601" s="1774"/>
      <c r="N601" s="1773"/>
      <c r="O601" s="1774"/>
      <c r="P601" s="876"/>
      <c r="Q601" s="876"/>
      <c r="R601" s="876"/>
      <c r="S601" s="876"/>
      <c r="T601" s="876"/>
      <c r="U601" s="876"/>
      <c r="V601" s="876"/>
      <c r="W601" s="876"/>
    </row>
    <row r="602" spans="1:23" hidden="1" x14ac:dyDescent="0.25">
      <c r="A602" s="876"/>
      <c r="B602" s="876"/>
      <c r="C602" s="762" t="s">
        <v>2778</v>
      </c>
      <c r="D602" s="979"/>
      <c r="E602" s="760" t="s">
        <v>158</v>
      </c>
      <c r="F602" s="1773"/>
      <c r="G602" s="1774"/>
      <c r="H602" s="1773"/>
      <c r="I602" s="1774"/>
      <c r="J602" s="1773"/>
      <c r="K602" s="1774"/>
      <c r="L602" s="1773"/>
      <c r="M602" s="1774"/>
      <c r="N602" s="1773"/>
      <c r="O602" s="1774"/>
      <c r="P602" s="876"/>
      <c r="Q602" s="876"/>
      <c r="R602" s="876"/>
      <c r="S602" s="876"/>
      <c r="T602" s="876"/>
      <c r="U602" s="876"/>
      <c r="V602" s="876"/>
      <c r="W602" s="876"/>
    </row>
    <row r="603" spans="1:23" hidden="1" x14ac:dyDescent="0.25">
      <c r="A603" s="876"/>
      <c r="B603" s="876"/>
      <c r="C603" s="762"/>
      <c r="D603" s="810" t="str">
        <f>D602&amp;"KW"</f>
        <v>KW</v>
      </c>
      <c r="E603" s="760" t="s">
        <v>159</v>
      </c>
      <c r="F603" s="1773"/>
      <c r="G603" s="1774"/>
      <c r="H603" s="1773"/>
      <c r="I603" s="1774"/>
      <c r="J603" s="1773"/>
      <c r="K603" s="1774"/>
      <c r="L603" s="1773"/>
      <c r="M603" s="1774"/>
      <c r="N603" s="1773"/>
      <c r="O603" s="1774"/>
      <c r="P603" s="876"/>
      <c r="Q603" s="876"/>
      <c r="R603" s="876"/>
      <c r="S603" s="876"/>
      <c r="T603" s="876"/>
      <c r="U603" s="876"/>
      <c r="V603" s="876"/>
      <c r="W603" s="876"/>
    </row>
    <row r="604" spans="1:23" hidden="1" x14ac:dyDescent="0.25">
      <c r="A604" s="876"/>
      <c r="B604" s="876"/>
      <c r="C604" s="762" t="s">
        <v>2779</v>
      </c>
      <c r="D604" s="979"/>
      <c r="E604" s="760" t="s">
        <v>158</v>
      </c>
      <c r="F604" s="1773"/>
      <c r="G604" s="1774"/>
      <c r="H604" s="1773"/>
      <c r="I604" s="1774"/>
      <c r="J604" s="1773"/>
      <c r="K604" s="1774"/>
      <c r="L604" s="1773"/>
      <c r="M604" s="1774"/>
      <c r="N604" s="1773"/>
      <c r="O604" s="1774"/>
      <c r="P604" s="876"/>
      <c r="Q604" s="876"/>
      <c r="R604" s="876"/>
      <c r="S604" s="876"/>
      <c r="T604" s="876"/>
      <c r="U604" s="876"/>
      <c r="V604" s="876"/>
      <c r="W604" s="876"/>
    </row>
    <row r="605" spans="1:23" hidden="1" x14ac:dyDescent="0.25">
      <c r="A605" s="876"/>
      <c r="B605" s="876"/>
      <c r="C605" s="762"/>
      <c r="D605" s="810" t="str">
        <f>D604&amp;"KW"</f>
        <v>KW</v>
      </c>
      <c r="E605" s="760" t="s">
        <v>159</v>
      </c>
      <c r="F605" s="1773"/>
      <c r="G605" s="1774"/>
      <c r="H605" s="1773"/>
      <c r="I605" s="1774"/>
      <c r="J605" s="1773"/>
      <c r="K605" s="1774"/>
      <c r="L605" s="1773"/>
      <c r="M605" s="1774"/>
      <c r="N605" s="1773"/>
      <c r="O605" s="1774"/>
      <c r="P605" s="876"/>
      <c r="Q605" s="876"/>
      <c r="R605" s="876"/>
      <c r="S605" s="876"/>
      <c r="T605" s="876"/>
      <c r="U605" s="876"/>
      <c r="V605" s="876"/>
      <c r="W605" s="876"/>
    </row>
    <row r="606" spans="1:23" hidden="1" x14ac:dyDescent="0.25">
      <c r="A606" s="876"/>
      <c r="B606" s="876"/>
      <c r="C606" s="762" t="s">
        <v>2780</v>
      </c>
      <c r="D606" s="979"/>
      <c r="E606" s="760" t="s">
        <v>158</v>
      </c>
      <c r="F606" s="1773"/>
      <c r="G606" s="1774"/>
      <c r="H606" s="1773"/>
      <c r="I606" s="1774"/>
      <c r="J606" s="1773"/>
      <c r="K606" s="1774"/>
      <c r="L606" s="1773"/>
      <c r="M606" s="1774"/>
      <c r="N606" s="1773"/>
      <c r="O606" s="1774"/>
      <c r="P606" s="876"/>
      <c r="Q606" s="876"/>
      <c r="R606" s="876"/>
      <c r="S606" s="876"/>
      <c r="T606" s="876"/>
      <c r="U606" s="876"/>
      <c r="V606" s="876"/>
      <c r="W606" s="876"/>
    </row>
    <row r="607" spans="1:23" hidden="1" x14ac:dyDescent="0.25">
      <c r="A607" s="876"/>
      <c r="B607" s="876"/>
      <c r="C607" s="762"/>
      <c r="D607" s="810" t="str">
        <f>D606&amp;"KW"</f>
        <v>KW</v>
      </c>
      <c r="E607" s="760" t="s">
        <v>159</v>
      </c>
      <c r="F607" s="1773"/>
      <c r="G607" s="1774"/>
      <c r="H607" s="1773"/>
      <c r="I607" s="1774"/>
      <c r="J607" s="1773"/>
      <c r="K607" s="1774"/>
      <c r="L607" s="1773"/>
      <c r="M607" s="1774"/>
      <c r="N607" s="1773"/>
      <c r="O607" s="1774"/>
      <c r="P607" s="876"/>
      <c r="Q607" s="876"/>
      <c r="R607" s="876"/>
      <c r="S607" s="876"/>
      <c r="T607" s="876"/>
      <c r="U607" s="876"/>
      <c r="V607" s="876"/>
      <c r="W607" s="876"/>
    </row>
    <row r="608" spans="1:23" hidden="1" x14ac:dyDescent="0.25">
      <c r="A608" s="876"/>
      <c r="B608" s="876"/>
      <c r="C608" s="762" t="s">
        <v>2781</v>
      </c>
      <c r="D608" s="979"/>
      <c r="E608" s="760" t="s">
        <v>158</v>
      </c>
      <c r="F608" s="1773"/>
      <c r="G608" s="1774"/>
      <c r="H608" s="1773"/>
      <c r="I608" s="1774"/>
      <c r="J608" s="1773"/>
      <c r="K608" s="1774"/>
      <c r="L608" s="1773"/>
      <c r="M608" s="1774"/>
      <c r="N608" s="1773"/>
      <c r="O608" s="1774"/>
      <c r="P608" s="876"/>
      <c r="Q608" s="876"/>
      <c r="R608" s="876"/>
      <c r="S608" s="876"/>
      <c r="T608" s="876"/>
      <c r="U608" s="876"/>
      <c r="V608" s="876"/>
      <c r="W608" s="876"/>
    </row>
    <row r="609" spans="1:23" hidden="1" x14ac:dyDescent="0.25">
      <c r="A609" s="876"/>
      <c r="B609" s="876"/>
      <c r="C609" s="762"/>
      <c r="D609" s="810" t="str">
        <f>D608&amp;"KW"</f>
        <v>KW</v>
      </c>
      <c r="E609" s="760" t="s">
        <v>159</v>
      </c>
      <c r="F609" s="1773"/>
      <c r="G609" s="1774"/>
      <c r="H609" s="1773"/>
      <c r="I609" s="1774"/>
      <c r="J609" s="1773"/>
      <c r="K609" s="1774"/>
      <c r="L609" s="1773"/>
      <c r="M609" s="1774"/>
      <c r="N609" s="1773"/>
      <c r="O609" s="1774"/>
      <c r="P609" s="876"/>
      <c r="Q609" s="876"/>
      <c r="R609" s="876"/>
      <c r="S609" s="876"/>
      <c r="T609" s="876"/>
      <c r="U609" s="876"/>
      <c r="V609" s="876"/>
      <c r="W609" s="876"/>
    </row>
    <row r="610" spans="1:23" hidden="1" x14ac:dyDescent="0.25">
      <c r="A610" s="876"/>
      <c r="B610" s="876"/>
      <c r="C610" s="762" t="s">
        <v>2782</v>
      </c>
      <c r="D610" s="979"/>
      <c r="E610" s="760" t="s">
        <v>158</v>
      </c>
      <c r="F610" s="1773"/>
      <c r="G610" s="1774"/>
      <c r="H610" s="1773"/>
      <c r="I610" s="1774"/>
      <c r="J610" s="1773"/>
      <c r="K610" s="1774"/>
      <c r="L610" s="1773"/>
      <c r="M610" s="1774"/>
      <c r="N610" s="1773"/>
      <c r="O610" s="1774"/>
      <c r="P610" s="876"/>
      <c r="Q610" s="876"/>
      <c r="R610" s="876"/>
      <c r="S610" s="876"/>
      <c r="T610" s="876"/>
      <c r="U610" s="876"/>
      <c r="V610" s="876"/>
      <c r="W610" s="876"/>
    </row>
    <row r="611" spans="1:23" hidden="1" x14ac:dyDescent="0.25">
      <c r="A611" s="876"/>
      <c r="B611" s="876"/>
      <c r="C611" s="762"/>
      <c r="D611" s="810" t="str">
        <f>D610&amp;"KW"</f>
        <v>KW</v>
      </c>
      <c r="E611" s="760" t="s">
        <v>159</v>
      </c>
      <c r="F611" s="1773"/>
      <c r="G611" s="1774"/>
      <c r="H611" s="1773"/>
      <c r="I611" s="1774"/>
      <c r="J611" s="1773"/>
      <c r="K611" s="1774"/>
      <c r="L611" s="1773"/>
      <c r="M611" s="1774"/>
      <c r="N611" s="1773"/>
      <c r="O611" s="1774"/>
      <c r="P611" s="876"/>
      <c r="Q611" s="876"/>
      <c r="R611" s="876"/>
      <c r="S611" s="876"/>
      <c r="T611" s="876"/>
      <c r="U611" s="876"/>
      <c r="V611" s="876"/>
      <c r="W611" s="876"/>
    </row>
    <row r="612" spans="1:23" hidden="1" x14ac:dyDescent="0.25">
      <c r="A612" s="876"/>
      <c r="B612" s="876"/>
      <c r="C612" s="762" t="s">
        <v>2783</v>
      </c>
      <c r="D612" s="979"/>
      <c r="E612" s="760" t="s">
        <v>158</v>
      </c>
      <c r="F612" s="1773"/>
      <c r="G612" s="1774"/>
      <c r="H612" s="1773"/>
      <c r="I612" s="1774"/>
      <c r="J612" s="1773"/>
      <c r="K612" s="1774"/>
      <c r="L612" s="1773"/>
      <c r="M612" s="1774"/>
      <c r="N612" s="1773"/>
      <c r="O612" s="1774"/>
      <c r="P612" s="876"/>
      <c r="Q612" s="876"/>
      <c r="R612" s="876"/>
      <c r="S612" s="876"/>
      <c r="T612" s="876"/>
      <c r="U612" s="876"/>
      <c r="V612" s="876"/>
      <c r="W612" s="876"/>
    </row>
    <row r="613" spans="1:23" hidden="1" x14ac:dyDescent="0.25">
      <c r="A613" s="876"/>
      <c r="B613" s="876"/>
      <c r="C613" s="762"/>
      <c r="D613" s="810" t="str">
        <f>D612&amp;"KW"</f>
        <v>KW</v>
      </c>
      <c r="E613" s="760" t="s">
        <v>159</v>
      </c>
      <c r="F613" s="1773"/>
      <c r="G613" s="1774"/>
      <c r="H613" s="1773"/>
      <c r="I613" s="1774"/>
      <c r="J613" s="1773"/>
      <c r="K613" s="1774"/>
      <c r="L613" s="1773"/>
      <c r="M613" s="1774"/>
      <c r="N613" s="1773"/>
      <c r="O613" s="1774"/>
      <c r="P613" s="876"/>
      <c r="Q613" s="876"/>
      <c r="R613" s="876"/>
      <c r="S613" s="876"/>
      <c r="T613" s="876"/>
      <c r="U613" s="876"/>
      <c r="V613" s="876"/>
      <c r="W613" s="876"/>
    </row>
    <row r="614" spans="1:23" hidden="1" x14ac:dyDescent="0.25">
      <c r="A614" s="876"/>
      <c r="B614" s="876"/>
      <c r="C614" s="762" t="s">
        <v>2784</v>
      </c>
      <c r="D614" s="979"/>
      <c r="E614" s="760" t="s">
        <v>158</v>
      </c>
      <c r="F614" s="1773"/>
      <c r="G614" s="1774"/>
      <c r="H614" s="1773"/>
      <c r="I614" s="1774"/>
      <c r="J614" s="1773"/>
      <c r="K614" s="1774"/>
      <c r="L614" s="1773"/>
      <c r="M614" s="1774"/>
      <c r="N614" s="1773"/>
      <c r="O614" s="1774"/>
      <c r="P614" s="876"/>
      <c r="Q614" s="876"/>
      <c r="R614" s="876"/>
      <c r="S614" s="876"/>
      <c r="T614" s="876"/>
      <c r="U614" s="876"/>
      <c r="V614" s="876"/>
      <c r="W614" s="876"/>
    </row>
    <row r="615" spans="1:23" hidden="1" x14ac:dyDescent="0.25">
      <c r="A615" s="876"/>
      <c r="B615" s="876"/>
      <c r="C615" s="762"/>
      <c r="D615" s="810" t="str">
        <f>D614&amp;"KW"</f>
        <v>KW</v>
      </c>
      <c r="E615" s="760" t="s">
        <v>159</v>
      </c>
      <c r="F615" s="1773"/>
      <c r="G615" s="1774"/>
      <c r="H615" s="1773"/>
      <c r="I615" s="1774"/>
      <c r="J615" s="1773"/>
      <c r="K615" s="1774"/>
      <c r="L615" s="1773"/>
      <c r="M615" s="1774"/>
      <c r="N615" s="1773"/>
      <c r="O615" s="1774"/>
      <c r="P615" s="876"/>
      <c r="Q615" s="876"/>
      <c r="R615" s="876"/>
      <c r="S615" s="876"/>
      <c r="T615" s="876"/>
      <c r="U615" s="876"/>
      <c r="V615" s="876"/>
      <c r="W615" s="876"/>
    </row>
    <row r="616" spans="1:23" hidden="1" x14ac:dyDescent="0.25">
      <c r="A616" s="876"/>
      <c r="B616" s="876"/>
      <c r="C616" s="762" t="s">
        <v>2785</v>
      </c>
      <c r="D616" s="979"/>
      <c r="E616" s="760" t="s">
        <v>158</v>
      </c>
      <c r="F616" s="1773"/>
      <c r="G616" s="1774"/>
      <c r="H616" s="1773"/>
      <c r="I616" s="1774"/>
      <c r="J616" s="1773"/>
      <c r="K616" s="1774"/>
      <c r="L616" s="1773"/>
      <c r="M616" s="1774"/>
      <c r="N616" s="1773"/>
      <c r="O616" s="1774"/>
      <c r="P616" s="876"/>
      <c r="Q616" s="876"/>
      <c r="R616" s="876"/>
      <c r="S616" s="876"/>
      <c r="T616" s="876"/>
      <c r="U616" s="876"/>
      <c r="V616" s="876"/>
      <c r="W616" s="876"/>
    </row>
    <row r="617" spans="1:23" hidden="1" x14ac:dyDescent="0.25">
      <c r="A617" s="876"/>
      <c r="B617" s="876"/>
      <c r="C617" s="762"/>
      <c r="D617" s="810" t="str">
        <f>D616&amp;"KW"</f>
        <v>KW</v>
      </c>
      <c r="E617" s="760" t="s">
        <v>159</v>
      </c>
      <c r="F617" s="1773"/>
      <c r="G617" s="1774"/>
      <c r="H617" s="1773"/>
      <c r="I617" s="1774"/>
      <c r="J617" s="1773"/>
      <c r="K617" s="1774"/>
      <c r="L617" s="1773"/>
      <c r="M617" s="1774"/>
      <c r="N617" s="1773"/>
      <c r="O617" s="1774"/>
      <c r="P617" s="876"/>
      <c r="Q617" s="876"/>
      <c r="R617" s="876"/>
      <c r="S617" s="876"/>
      <c r="T617" s="876"/>
      <c r="U617" s="876"/>
      <c r="V617" s="876"/>
      <c r="W617" s="876"/>
    </row>
    <row r="618" spans="1:23" hidden="1" x14ac:dyDescent="0.25">
      <c r="A618" s="876"/>
      <c r="B618" s="876"/>
      <c r="C618" s="762" t="s">
        <v>2786</v>
      </c>
      <c r="D618" s="979"/>
      <c r="E618" s="760" t="s">
        <v>158</v>
      </c>
      <c r="F618" s="1773"/>
      <c r="G618" s="1774"/>
      <c r="H618" s="1773"/>
      <c r="I618" s="1774"/>
      <c r="J618" s="1773"/>
      <c r="K618" s="1774"/>
      <c r="L618" s="1773"/>
      <c r="M618" s="1774"/>
      <c r="N618" s="1773"/>
      <c r="O618" s="1774"/>
      <c r="P618" s="876"/>
      <c r="Q618" s="876"/>
      <c r="R618" s="876"/>
      <c r="S618" s="876"/>
      <c r="T618" s="876"/>
      <c r="U618" s="876"/>
      <c r="V618" s="876"/>
      <c r="W618" s="876"/>
    </row>
    <row r="619" spans="1:23" hidden="1" x14ac:dyDescent="0.25">
      <c r="A619" s="876"/>
      <c r="B619" s="876"/>
      <c r="C619" s="762"/>
      <c r="D619" s="810" t="str">
        <f>D618&amp;"KW"</f>
        <v>KW</v>
      </c>
      <c r="E619" s="760" t="s">
        <v>159</v>
      </c>
      <c r="F619" s="1773"/>
      <c r="G619" s="1774"/>
      <c r="H619" s="1773"/>
      <c r="I619" s="1774"/>
      <c r="J619" s="1773"/>
      <c r="K619" s="1774"/>
      <c r="L619" s="1773"/>
      <c r="M619" s="1774"/>
      <c r="N619" s="1773"/>
      <c r="O619" s="1774"/>
      <c r="P619" s="876"/>
      <c r="Q619" s="876"/>
      <c r="R619" s="876"/>
      <c r="S619" s="876"/>
      <c r="T619" s="876"/>
      <c r="U619" s="876"/>
      <c r="V619" s="876"/>
      <c r="W619" s="876"/>
    </row>
    <row r="620" spans="1:23" hidden="1" x14ac:dyDescent="0.25">
      <c r="A620" s="876"/>
      <c r="B620" s="876"/>
      <c r="C620" s="762" t="s">
        <v>2787</v>
      </c>
      <c r="D620" s="979"/>
      <c r="E620" s="760" t="s">
        <v>158</v>
      </c>
      <c r="F620" s="1773"/>
      <c r="G620" s="1774"/>
      <c r="H620" s="1773"/>
      <c r="I620" s="1774"/>
      <c r="J620" s="1773"/>
      <c r="K620" s="1774"/>
      <c r="L620" s="1773"/>
      <c r="M620" s="1774"/>
      <c r="N620" s="1773"/>
      <c r="O620" s="1774"/>
      <c r="P620" s="876"/>
      <c r="Q620" s="876"/>
      <c r="R620" s="876"/>
      <c r="S620" s="876"/>
      <c r="T620" s="876"/>
      <c r="U620" s="876"/>
      <c r="V620" s="876"/>
      <c r="W620" s="876"/>
    </row>
    <row r="621" spans="1:23" hidden="1" x14ac:dyDescent="0.25">
      <c r="A621" s="876"/>
      <c r="B621" s="876"/>
      <c r="C621" s="762"/>
      <c r="D621" s="810" t="str">
        <f>D620&amp;"KW"</f>
        <v>KW</v>
      </c>
      <c r="E621" s="760" t="s">
        <v>159</v>
      </c>
      <c r="F621" s="1773"/>
      <c r="G621" s="1774"/>
      <c r="H621" s="1773"/>
      <c r="I621" s="1774"/>
      <c r="J621" s="1773"/>
      <c r="K621" s="1774"/>
      <c r="L621" s="1773"/>
      <c r="M621" s="1774"/>
      <c r="N621" s="1773"/>
      <c r="O621" s="1774"/>
      <c r="P621" s="876"/>
      <c r="Q621" s="876"/>
      <c r="R621" s="876"/>
      <c r="S621" s="876"/>
      <c r="T621" s="876"/>
      <c r="U621" s="876"/>
      <c r="V621" s="876"/>
      <c r="W621" s="876"/>
    </row>
    <row r="622" spans="1:23" hidden="1" x14ac:dyDescent="0.25">
      <c r="A622" s="876"/>
      <c r="B622" s="876"/>
      <c r="C622" s="762" t="s">
        <v>2788</v>
      </c>
      <c r="D622" s="979"/>
      <c r="E622" s="760" t="s">
        <v>158</v>
      </c>
      <c r="F622" s="1773"/>
      <c r="G622" s="1774"/>
      <c r="H622" s="1773"/>
      <c r="I622" s="1774"/>
      <c r="J622" s="1773"/>
      <c r="K622" s="1774"/>
      <c r="L622" s="1773"/>
      <c r="M622" s="1774"/>
      <c r="N622" s="1773"/>
      <c r="O622" s="1774"/>
      <c r="P622" s="876"/>
      <c r="Q622" s="876"/>
      <c r="R622" s="876"/>
      <c r="S622" s="876"/>
      <c r="T622" s="876"/>
      <c r="U622" s="876"/>
      <c r="V622" s="876"/>
      <c r="W622" s="876"/>
    </row>
    <row r="623" spans="1:23" hidden="1" x14ac:dyDescent="0.25">
      <c r="A623" s="876"/>
      <c r="B623" s="876"/>
      <c r="C623" s="762"/>
      <c r="D623" s="810" t="str">
        <f>D622&amp;"KW"</f>
        <v>KW</v>
      </c>
      <c r="E623" s="760" t="s">
        <v>159</v>
      </c>
      <c r="F623" s="1773"/>
      <c r="G623" s="1774"/>
      <c r="H623" s="1773"/>
      <c r="I623" s="1774"/>
      <c r="J623" s="1773"/>
      <c r="K623" s="1774"/>
      <c r="L623" s="1773"/>
      <c r="M623" s="1774"/>
      <c r="N623" s="1773"/>
      <c r="O623" s="1774"/>
      <c r="P623" s="876"/>
      <c r="Q623" s="876"/>
      <c r="R623" s="876"/>
      <c r="S623" s="876"/>
      <c r="T623" s="876"/>
      <c r="U623" s="876"/>
      <c r="V623" s="876"/>
      <c r="W623" s="876"/>
    </row>
    <row r="624" spans="1:23" hidden="1" x14ac:dyDescent="0.25">
      <c r="A624" s="876"/>
      <c r="B624" s="876"/>
      <c r="C624" s="762" t="s">
        <v>2789</v>
      </c>
      <c r="D624" s="979"/>
      <c r="E624" s="760" t="s">
        <v>158</v>
      </c>
      <c r="F624" s="1773"/>
      <c r="G624" s="1774"/>
      <c r="H624" s="1773"/>
      <c r="I624" s="1774"/>
      <c r="J624" s="1773"/>
      <c r="K624" s="1774"/>
      <c r="L624" s="1773"/>
      <c r="M624" s="1774"/>
      <c r="N624" s="1773"/>
      <c r="O624" s="1774"/>
      <c r="P624" s="876"/>
      <c r="Q624" s="876"/>
      <c r="R624" s="876"/>
      <c r="S624" s="876"/>
      <c r="T624" s="876"/>
      <c r="U624" s="876"/>
      <c r="V624" s="876"/>
      <c r="W624" s="876"/>
    </row>
    <row r="625" spans="1:23" hidden="1" x14ac:dyDescent="0.25">
      <c r="A625" s="876"/>
      <c r="B625" s="876"/>
      <c r="C625" s="762"/>
      <c r="D625" s="810" t="str">
        <f>D624&amp;"KW"</f>
        <v>KW</v>
      </c>
      <c r="E625" s="760" t="s">
        <v>159</v>
      </c>
      <c r="F625" s="1773"/>
      <c r="G625" s="1774"/>
      <c r="H625" s="1773"/>
      <c r="I625" s="1774"/>
      <c r="J625" s="1773"/>
      <c r="K625" s="1774"/>
      <c r="L625" s="1773"/>
      <c r="M625" s="1774"/>
      <c r="N625" s="1773"/>
      <c r="O625" s="1774"/>
      <c r="P625" s="876"/>
      <c r="Q625" s="876"/>
      <c r="R625" s="876"/>
      <c r="S625" s="876"/>
      <c r="T625" s="876"/>
      <c r="U625" s="876"/>
      <c r="V625" s="876"/>
      <c r="W625" s="876"/>
    </row>
    <row r="626" spans="1:23" hidden="1" x14ac:dyDescent="0.25">
      <c r="A626" s="876"/>
      <c r="B626" s="876"/>
      <c r="C626" s="762" t="s">
        <v>2790</v>
      </c>
      <c r="D626" s="979"/>
      <c r="E626" s="760" t="s">
        <v>158</v>
      </c>
      <c r="F626" s="1773"/>
      <c r="G626" s="1774"/>
      <c r="H626" s="1773"/>
      <c r="I626" s="1774"/>
      <c r="J626" s="1773"/>
      <c r="K626" s="1774"/>
      <c r="L626" s="1773"/>
      <c r="M626" s="1774"/>
      <c r="N626" s="1773"/>
      <c r="O626" s="1774"/>
      <c r="P626" s="876"/>
      <c r="Q626" s="876"/>
      <c r="R626" s="876"/>
      <c r="S626" s="876"/>
      <c r="T626" s="876"/>
      <c r="U626" s="876"/>
      <c r="V626" s="876"/>
      <c r="W626" s="876"/>
    </row>
    <row r="627" spans="1:23" hidden="1" x14ac:dyDescent="0.25">
      <c r="A627" s="876"/>
      <c r="B627" s="876"/>
      <c r="C627" s="762"/>
      <c r="D627" s="810" t="str">
        <f>D626&amp;"KW"</f>
        <v>KW</v>
      </c>
      <c r="E627" s="760" t="s">
        <v>159</v>
      </c>
      <c r="F627" s="1773"/>
      <c r="G627" s="1774"/>
      <c r="H627" s="1773"/>
      <c r="I627" s="1774"/>
      <c r="J627" s="1773"/>
      <c r="K627" s="1774"/>
      <c r="L627" s="1773"/>
      <c r="M627" s="1774"/>
      <c r="N627" s="1773"/>
      <c r="O627" s="1774"/>
      <c r="P627" s="876"/>
      <c r="Q627" s="876"/>
      <c r="R627" s="876"/>
      <c r="S627" s="876"/>
      <c r="T627" s="876"/>
      <c r="U627" s="876"/>
      <c r="V627" s="876"/>
      <c r="W627" s="876"/>
    </row>
    <row r="628" spans="1:23" hidden="1" x14ac:dyDescent="0.25">
      <c r="A628" s="876"/>
      <c r="B628" s="876"/>
      <c r="C628" s="762" t="s">
        <v>2791</v>
      </c>
      <c r="D628" s="979"/>
      <c r="E628" s="760" t="s">
        <v>158</v>
      </c>
      <c r="F628" s="1773"/>
      <c r="G628" s="1774"/>
      <c r="H628" s="1773"/>
      <c r="I628" s="1774"/>
      <c r="J628" s="1773"/>
      <c r="K628" s="1774"/>
      <c r="L628" s="1773"/>
      <c r="M628" s="1774"/>
      <c r="N628" s="1773"/>
      <c r="O628" s="1774"/>
      <c r="P628" s="876"/>
      <c r="Q628" s="876"/>
      <c r="R628" s="876"/>
      <c r="S628" s="876"/>
      <c r="T628" s="876"/>
      <c r="U628" s="876"/>
      <c r="V628" s="876"/>
      <c r="W628" s="876"/>
    </row>
    <row r="629" spans="1:23" hidden="1" x14ac:dyDescent="0.25">
      <c r="A629" s="876"/>
      <c r="B629" s="876"/>
      <c r="C629" s="762"/>
      <c r="D629" s="810" t="str">
        <f>D628&amp;"KW"</f>
        <v>KW</v>
      </c>
      <c r="E629" s="760" t="s">
        <v>159</v>
      </c>
      <c r="F629" s="1773"/>
      <c r="G629" s="1774"/>
      <c r="H629" s="1773"/>
      <c r="I629" s="1774"/>
      <c r="J629" s="1773"/>
      <c r="K629" s="1774"/>
      <c r="L629" s="1773"/>
      <c r="M629" s="1774"/>
      <c r="N629" s="1773"/>
      <c r="O629" s="1774"/>
      <c r="P629" s="876"/>
      <c r="Q629" s="876"/>
      <c r="R629" s="876"/>
      <c r="S629" s="876"/>
      <c r="T629" s="876"/>
      <c r="U629" s="876"/>
      <c r="V629" s="876"/>
      <c r="W629" s="876"/>
    </row>
    <row r="630" spans="1:23" hidden="1" x14ac:dyDescent="0.25">
      <c r="A630" s="876"/>
      <c r="B630" s="876"/>
      <c r="C630" s="762" t="s">
        <v>2792</v>
      </c>
      <c r="D630" s="979"/>
      <c r="E630" s="760" t="s">
        <v>158</v>
      </c>
      <c r="F630" s="1773"/>
      <c r="G630" s="1774"/>
      <c r="H630" s="1773"/>
      <c r="I630" s="1774"/>
      <c r="J630" s="1773"/>
      <c r="K630" s="1774"/>
      <c r="L630" s="1773"/>
      <c r="M630" s="1774"/>
      <c r="N630" s="1773"/>
      <c r="O630" s="1774"/>
      <c r="P630" s="876"/>
      <c r="Q630" s="876"/>
      <c r="R630" s="876"/>
      <c r="S630" s="876"/>
      <c r="T630" s="876"/>
      <c r="U630" s="876"/>
      <c r="V630" s="876"/>
      <c r="W630" s="876"/>
    </row>
    <row r="631" spans="1:23" hidden="1" x14ac:dyDescent="0.25">
      <c r="A631" s="876"/>
      <c r="B631" s="876"/>
      <c r="C631" s="762"/>
      <c r="D631" s="810" t="str">
        <f>D630&amp;"KW"</f>
        <v>KW</v>
      </c>
      <c r="E631" s="760" t="s">
        <v>159</v>
      </c>
      <c r="F631" s="1773"/>
      <c r="G631" s="1774"/>
      <c r="H631" s="1773"/>
      <c r="I631" s="1774"/>
      <c r="J631" s="1773"/>
      <c r="K631" s="1774"/>
      <c r="L631" s="1773"/>
      <c r="M631" s="1774"/>
      <c r="N631" s="1773"/>
      <c r="O631" s="1774"/>
      <c r="P631" s="876"/>
      <c r="Q631" s="876"/>
      <c r="R631" s="876"/>
      <c r="S631" s="876"/>
      <c r="T631" s="876"/>
      <c r="U631" s="876"/>
      <c r="V631" s="876"/>
      <c r="W631" s="876"/>
    </row>
    <row r="632" spans="1:23" hidden="1" x14ac:dyDescent="0.25">
      <c r="A632" s="876"/>
      <c r="B632" s="876"/>
      <c r="C632" s="762" t="s">
        <v>2793</v>
      </c>
      <c r="D632" s="979"/>
      <c r="E632" s="760" t="s">
        <v>158</v>
      </c>
      <c r="F632" s="1773"/>
      <c r="G632" s="1774"/>
      <c r="H632" s="1773"/>
      <c r="I632" s="1774"/>
      <c r="J632" s="1773"/>
      <c r="K632" s="1774"/>
      <c r="L632" s="1773"/>
      <c r="M632" s="1774"/>
      <c r="N632" s="1773"/>
      <c r="O632" s="1774"/>
      <c r="P632" s="876"/>
      <c r="Q632" s="876"/>
      <c r="R632" s="876"/>
      <c r="S632" s="876"/>
      <c r="T632" s="876"/>
      <c r="U632" s="876"/>
      <c r="V632" s="876"/>
      <c r="W632" s="876"/>
    </row>
    <row r="633" spans="1:23" hidden="1" x14ac:dyDescent="0.25">
      <c r="A633" s="876"/>
      <c r="B633" s="876"/>
      <c r="C633" s="762"/>
      <c r="D633" s="810" t="str">
        <f>D632&amp;"KW"</f>
        <v>KW</v>
      </c>
      <c r="E633" s="760" t="s">
        <v>159</v>
      </c>
      <c r="F633" s="1773"/>
      <c r="G633" s="1774"/>
      <c r="H633" s="1773"/>
      <c r="I633" s="1774"/>
      <c r="J633" s="1773"/>
      <c r="K633" s="1774"/>
      <c r="L633" s="1773"/>
      <c r="M633" s="1774"/>
      <c r="N633" s="1773"/>
      <c r="O633" s="1774"/>
      <c r="P633" s="876"/>
      <c r="Q633" s="876"/>
      <c r="R633" s="876"/>
      <c r="S633" s="876"/>
      <c r="T633" s="876"/>
      <c r="U633" s="876"/>
      <c r="V633" s="876"/>
      <c r="W633" s="876"/>
    </row>
    <row r="634" spans="1:23" hidden="1" x14ac:dyDescent="0.25">
      <c r="A634" s="876"/>
      <c r="B634" s="876"/>
      <c r="C634" s="762" t="s">
        <v>2794</v>
      </c>
      <c r="D634" s="979"/>
      <c r="E634" s="760" t="s">
        <v>158</v>
      </c>
      <c r="F634" s="1773"/>
      <c r="G634" s="1774"/>
      <c r="H634" s="1773"/>
      <c r="I634" s="1774"/>
      <c r="J634" s="1773"/>
      <c r="K634" s="1774"/>
      <c r="L634" s="1773"/>
      <c r="M634" s="1774"/>
      <c r="N634" s="1773"/>
      <c r="O634" s="1774"/>
      <c r="P634" s="876"/>
      <c r="Q634" s="876"/>
      <c r="R634" s="876"/>
      <c r="S634" s="876"/>
      <c r="T634" s="876"/>
      <c r="U634" s="876"/>
      <c r="V634" s="876"/>
      <c r="W634" s="876"/>
    </row>
    <row r="635" spans="1:23" hidden="1" x14ac:dyDescent="0.25">
      <c r="A635" s="876"/>
      <c r="B635" s="876"/>
      <c r="C635" s="762"/>
      <c r="D635" s="810" t="str">
        <f>D634&amp;"KW"</f>
        <v>KW</v>
      </c>
      <c r="E635" s="760" t="s">
        <v>159</v>
      </c>
      <c r="F635" s="1773"/>
      <c r="G635" s="1774"/>
      <c r="H635" s="1773"/>
      <c r="I635" s="1774"/>
      <c r="J635" s="1773"/>
      <c r="K635" s="1774"/>
      <c r="L635" s="1773"/>
      <c r="M635" s="1774"/>
      <c r="N635" s="1773"/>
      <c r="O635" s="1774"/>
      <c r="P635" s="876"/>
      <c r="Q635" s="876"/>
      <c r="R635" s="876"/>
      <c r="S635" s="876"/>
      <c r="T635" s="876"/>
      <c r="U635" s="876"/>
      <c r="V635" s="876"/>
      <c r="W635" s="876"/>
    </row>
    <row r="636" spans="1:23" hidden="1" x14ac:dyDescent="0.25">
      <c r="A636" s="876"/>
      <c r="B636" s="876"/>
      <c r="C636" s="762" t="s">
        <v>2795</v>
      </c>
      <c r="D636" s="979"/>
      <c r="E636" s="760" t="s">
        <v>158</v>
      </c>
      <c r="F636" s="1773"/>
      <c r="G636" s="1774"/>
      <c r="H636" s="1773"/>
      <c r="I636" s="1774"/>
      <c r="J636" s="1773"/>
      <c r="K636" s="1774"/>
      <c r="L636" s="1773"/>
      <c r="M636" s="1774"/>
      <c r="N636" s="1773"/>
      <c r="O636" s="1774"/>
      <c r="P636" s="876"/>
      <c r="Q636" s="876"/>
      <c r="R636" s="876"/>
      <c r="S636" s="876"/>
      <c r="T636" s="876"/>
      <c r="U636" s="876"/>
      <c r="V636" s="876"/>
      <c r="W636" s="876"/>
    </row>
    <row r="637" spans="1:23" hidden="1" x14ac:dyDescent="0.25">
      <c r="A637" s="876"/>
      <c r="B637" s="876"/>
      <c r="C637" s="762"/>
      <c r="D637" s="810" t="str">
        <f>D636&amp;"KW"</f>
        <v>KW</v>
      </c>
      <c r="E637" s="760" t="s">
        <v>159</v>
      </c>
      <c r="F637" s="1773"/>
      <c r="G637" s="1774"/>
      <c r="H637" s="1773"/>
      <c r="I637" s="1774"/>
      <c r="J637" s="1773"/>
      <c r="K637" s="1774"/>
      <c r="L637" s="1773"/>
      <c r="M637" s="1774"/>
      <c r="N637" s="1773"/>
      <c r="O637" s="1774"/>
      <c r="P637" s="876"/>
      <c r="Q637" s="876"/>
      <c r="R637" s="876"/>
      <c r="S637" s="876"/>
      <c r="T637" s="876"/>
      <c r="U637" s="876"/>
      <c r="V637" s="876"/>
      <c r="W637" s="876"/>
    </row>
    <row r="638" spans="1:23" hidden="1" x14ac:dyDescent="0.25">
      <c r="A638" s="876"/>
      <c r="B638" s="876"/>
      <c r="C638" s="762" t="s">
        <v>2796</v>
      </c>
      <c r="D638" s="979"/>
      <c r="E638" s="760" t="s">
        <v>158</v>
      </c>
      <c r="F638" s="1773"/>
      <c r="G638" s="1774"/>
      <c r="H638" s="1773"/>
      <c r="I638" s="1774"/>
      <c r="J638" s="1773"/>
      <c r="K638" s="1774"/>
      <c r="L638" s="1773"/>
      <c r="M638" s="1774"/>
      <c r="N638" s="1773"/>
      <c r="O638" s="1774"/>
      <c r="P638" s="876"/>
      <c r="Q638" s="876"/>
      <c r="R638" s="876"/>
      <c r="S638" s="876"/>
      <c r="T638" s="876"/>
      <c r="U638" s="876"/>
      <c r="V638" s="876"/>
      <c r="W638" s="876"/>
    </row>
    <row r="639" spans="1:23" hidden="1" x14ac:dyDescent="0.25">
      <c r="A639" s="876"/>
      <c r="B639" s="876"/>
      <c r="C639" s="762"/>
      <c r="D639" s="810" t="str">
        <f>D638&amp;"KW"</f>
        <v>KW</v>
      </c>
      <c r="E639" s="760" t="s">
        <v>159</v>
      </c>
      <c r="F639" s="1773"/>
      <c r="G639" s="1774"/>
      <c r="H639" s="1773"/>
      <c r="I639" s="1774"/>
      <c r="J639" s="1773"/>
      <c r="K639" s="1774"/>
      <c r="L639" s="1773"/>
      <c r="M639" s="1774"/>
      <c r="N639" s="1773"/>
      <c r="O639" s="1774"/>
      <c r="P639" s="876"/>
      <c r="Q639" s="876"/>
      <c r="R639" s="876"/>
      <c r="S639" s="876"/>
      <c r="T639" s="876"/>
      <c r="U639" s="876"/>
      <c r="V639" s="876"/>
      <c r="W639" s="876"/>
    </row>
    <row r="640" spans="1:23" hidden="1" x14ac:dyDescent="0.25">
      <c r="A640" s="876"/>
      <c r="B640" s="876"/>
      <c r="C640" s="762" t="s">
        <v>2797</v>
      </c>
      <c r="D640" s="979"/>
      <c r="E640" s="760" t="s">
        <v>158</v>
      </c>
      <c r="F640" s="1773"/>
      <c r="G640" s="1774"/>
      <c r="H640" s="1773"/>
      <c r="I640" s="1774"/>
      <c r="J640" s="1773"/>
      <c r="K640" s="1774"/>
      <c r="L640" s="1773"/>
      <c r="M640" s="1774"/>
      <c r="N640" s="1773"/>
      <c r="O640" s="1774"/>
      <c r="P640" s="876"/>
      <c r="Q640" s="876"/>
      <c r="R640" s="876"/>
      <c r="S640" s="876"/>
      <c r="T640" s="876"/>
      <c r="U640" s="876"/>
      <c r="V640" s="876"/>
      <c r="W640" s="876"/>
    </row>
    <row r="641" spans="1:23" hidden="1" x14ac:dyDescent="0.25">
      <c r="A641" s="876"/>
      <c r="B641" s="876"/>
      <c r="C641" s="762"/>
      <c r="D641" s="810" t="str">
        <f>D640&amp;"KW"</f>
        <v>KW</v>
      </c>
      <c r="E641" s="760" t="s">
        <v>159</v>
      </c>
      <c r="F641" s="1773"/>
      <c r="G641" s="1774"/>
      <c r="H641" s="1773"/>
      <c r="I641" s="1774"/>
      <c r="J641" s="1773"/>
      <c r="K641" s="1774"/>
      <c r="L641" s="1773"/>
      <c r="M641" s="1774"/>
      <c r="N641" s="1773"/>
      <c r="O641" s="1774"/>
      <c r="P641" s="876"/>
      <c r="Q641" s="876"/>
      <c r="R641" s="876"/>
      <c r="S641" s="876"/>
      <c r="T641" s="876"/>
      <c r="U641" s="876"/>
      <c r="V641" s="876"/>
      <c r="W641" s="876"/>
    </row>
    <row r="642" spans="1:23" hidden="1" x14ac:dyDescent="0.25">
      <c r="A642" s="876"/>
      <c r="B642" s="876"/>
      <c r="C642" s="762" t="s">
        <v>2798</v>
      </c>
      <c r="D642" s="979"/>
      <c r="E642" s="760" t="s">
        <v>158</v>
      </c>
      <c r="F642" s="1773"/>
      <c r="G642" s="1774"/>
      <c r="H642" s="1773"/>
      <c r="I642" s="1774"/>
      <c r="J642" s="1773"/>
      <c r="K642" s="1774"/>
      <c r="L642" s="1773"/>
      <c r="M642" s="1774"/>
      <c r="N642" s="1773"/>
      <c r="O642" s="1774"/>
      <c r="P642" s="876"/>
      <c r="Q642" s="876"/>
      <c r="R642" s="876"/>
      <c r="S642" s="876"/>
      <c r="T642" s="876"/>
      <c r="U642" s="876"/>
      <c r="V642" s="876"/>
      <c r="W642" s="876"/>
    </row>
    <row r="643" spans="1:23" hidden="1" x14ac:dyDescent="0.25">
      <c r="A643" s="876"/>
      <c r="B643" s="876"/>
      <c r="C643" s="762"/>
      <c r="D643" s="810" t="str">
        <f>D642&amp;"KW"</f>
        <v>KW</v>
      </c>
      <c r="E643" s="760" t="s">
        <v>159</v>
      </c>
      <c r="F643" s="1773"/>
      <c r="G643" s="1774"/>
      <c r="H643" s="1773"/>
      <c r="I643" s="1774"/>
      <c r="J643" s="1773"/>
      <c r="K643" s="1774"/>
      <c r="L643" s="1773"/>
      <c r="M643" s="1774"/>
      <c r="N643" s="1773"/>
      <c r="O643" s="1774"/>
      <c r="P643" s="876"/>
      <c r="Q643" s="876"/>
      <c r="R643" s="876"/>
      <c r="S643" s="876"/>
      <c r="T643" s="876"/>
      <c r="U643" s="876"/>
      <c r="V643" s="876"/>
      <c r="W643" s="876"/>
    </row>
    <row r="644" spans="1:23" hidden="1" x14ac:dyDescent="0.25">
      <c r="A644" s="876"/>
      <c r="B644" s="876"/>
      <c r="C644" s="762" t="s">
        <v>2799</v>
      </c>
      <c r="D644" s="979"/>
      <c r="E644" s="760" t="s">
        <v>158</v>
      </c>
      <c r="F644" s="1773"/>
      <c r="G644" s="1774"/>
      <c r="H644" s="1773"/>
      <c r="I644" s="1774"/>
      <c r="J644" s="1773"/>
      <c r="K644" s="1774"/>
      <c r="L644" s="1773"/>
      <c r="M644" s="1774"/>
      <c r="N644" s="1773"/>
      <c r="O644" s="1774"/>
      <c r="P644" s="876"/>
      <c r="Q644" s="876"/>
      <c r="R644" s="876"/>
      <c r="S644" s="876"/>
      <c r="T644" s="876"/>
      <c r="U644" s="876"/>
      <c r="V644" s="876"/>
      <c r="W644" s="876"/>
    </row>
    <row r="645" spans="1:23" hidden="1" x14ac:dyDescent="0.25">
      <c r="A645" s="876"/>
      <c r="B645" s="876"/>
      <c r="C645" s="762"/>
      <c r="D645" s="810" t="str">
        <f>D644&amp;"KW"</f>
        <v>KW</v>
      </c>
      <c r="E645" s="760" t="s">
        <v>159</v>
      </c>
      <c r="F645" s="1773"/>
      <c r="G645" s="1774"/>
      <c r="H645" s="1773"/>
      <c r="I645" s="1774"/>
      <c r="J645" s="1773"/>
      <c r="K645" s="1774"/>
      <c r="L645" s="1773"/>
      <c r="M645" s="1774"/>
      <c r="N645" s="1773"/>
      <c r="O645" s="1774"/>
      <c r="P645" s="876"/>
      <c r="Q645" s="876"/>
      <c r="R645" s="876"/>
      <c r="S645" s="876"/>
      <c r="T645" s="876"/>
      <c r="U645" s="876"/>
      <c r="V645" s="876"/>
      <c r="W645" s="876"/>
    </row>
    <row r="646" spans="1:23" hidden="1" x14ac:dyDescent="0.25">
      <c r="A646" s="876"/>
      <c r="B646" s="876"/>
      <c r="C646" s="762" t="s">
        <v>2800</v>
      </c>
      <c r="D646" s="979"/>
      <c r="E646" s="760" t="s">
        <v>158</v>
      </c>
      <c r="F646" s="1773"/>
      <c r="G646" s="1774"/>
      <c r="H646" s="1773"/>
      <c r="I646" s="1774"/>
      <c r="J646" s="1773"/>
      <c r="K646" s="1774"/>
      <c r="L646" s="1773"/>
      <c r="M646" s="1774"/>
      <c r="N646" s="1773"/>
      <c r="O646" s="1774"/>
      <c r="P646" s="876"/>
      <c r="Q646" s="876"/>
      <c r="R646" s="876"/>
      <c r="S646" s="876"/>
      <c r="T646" s="876"/>
      <c r="U646" s="876"/>
      <c r="V646" s="876"/>
      <c r="W646" s="876"/>
    </row>
    <row r="647" spans="1:23" hidden="1" x14ac:dyDescent="0.25">
      <c r="A647" s="876"/>
      <c r="B647" s="876"/>
      <c r="C647" s="762"/>
      <c r="D647" s="810" t="str">
        <f>D646&amp;"KW"</f>
        <v>KW</v>
      </c>
      <c r="E647" s="760" t="s">
        <v>159</v>
      </c>
      <c r="F647" s="1773"/>
      <c r="G647" s="1774"/>
      <c r="H647" s="1773"/>
      <c r="I647" s="1774"/>
      <c r="J647" s="1773"/>
      <c r="K647" s="1774"/>
      <c r="L647" s="1773"/>
      <c r="M647" s="1774"/>
      <c r="N647" s="1773"/>
      <c r="O647" s="1774"/>
      <c r="P647" s="876"/>
      <c r="Q647" s="876"/>
      <c r="R647" s="876"/>
      <c r="S647" s="876"/>
      <c r="T647" s="876"/>
      <c r="U647" s="876"/>
      <c r="V647" s="876"/>
      <c r="W647" s="876"/>
    </row>
    <row r="648" spans="1:23" hidden="1" x14ac:dyDescent="0.25">
      <c r="A648" s="876"/>
      <c r="B648" s="876"/>
      <c r="C648" s="762" t="s">
        <v>2801</v>
      </c>
      <c r="D648" s="979"/>
      <c r="E648" s="760" t="s">
        <v>158</v>
      </c>
      <c r="F648" s="1773"/>
      <c r="G648" s="1774"/>
      <c r="H648" s="1773"/>
      <c r="I648" s="1774"/>
      <c r="J648" s="1773"/>
      <c r="K648" s="1774"/>
      <c r="L648" s="1773"/>
      <c r="M648" s="1774"/>
      <c r="N648" s="1773"/>
      <c r="O648" s="1774"/>
      <c r="P648" s="876"/>
      <c r="Q648" s="876"/>
      <c r="R648" s="876"/>
      <c r="S648" s="876"/>
      <c r="T648" s="876"/>
      <c r="U648" s="876"/>
      <c r="V648" s="876"/>
      <c r="W648" s="876"/>
    </row>
    <row r="649" spans="1:23" hidden="1" x14ac:dyDescent="0.25">
      <c r="A649" s="876"/>
      <c r="B649" s="876"/>
      <c r="C649" s="762"/>
      <c r="D649" s="810" t="str">
        <f>D648&amp;"KW"</f>
        <v>KW</v>
      </c>
      <c r="E649" s="760" t="s">
        <v>159</v>
      </c>
      <c r="F649" s="1773"/>
      <c r="G649" s="1774"/>
      <c r="H649" s="1773"/>
      <c r="I649" s="1774"/>
      <c r="J649" s="1773"/>
      <c r="K649" s="1774"/>
      <c r="L649" s="1773"/>
      <c r="M649" s="1774"/>
      <c r="N649" s="1773"/>
      <c r="O649" s="1774"/>
      <c r="P649" s="876"/>
      <c r="Q649" s="876"/>
      <c r="R649" s="876"/>
      <c r="S649" s="876"/>
      <c r="T649" s="876"/>
      <c r="U649" s="876"/>
      <c r="V649" s="876"/>
      <c r="W649" s="876"/>
    </row>
    <row r="650" spans="1:23" hidden="1" x14ac:dyDescent="0.25">
      <c r="A650" s="876"/>
      <c r="B650" s="876"/>
      <c r="C650" s="762" t="s">
        <v>2802</v>
      </c>
      <c r="D650" s="979"/>
      <c r="E650" s="760" t="s">
        <v>158</v>
      </c>
      <c r="F650" s="1773"/>
      <c r="G650" s="1774"/>
      <c r="H650" s="1773"/>
      <c r="I650" s="1774"/>
      <c r="J650" s="1773"/>
      <c r="K650" s="1774"/>
      <c r="L650" s="1773"/>
      <c r="M650" s="1774"/>
      <c r="N650" s="1773"/>
      <c r="O650" s="1774"/>
      <c r="P650" s="876"/>
      <c r="Q650" s="876"/>
      <c r="R650" s="876"/>
      <c r="S650" s="876"/>
      <c r="T650" s="876"/>
      <c r="U650" s="876"/>
      <c r="V650" s="876"/>
      <c r="W650" s="876"/>
    </row>
    <row r="651" spans="1:23" hidden="1" x14ac:dyDescent="0.25">
      <c r="A651" s="876"/>
      <c r="B651" s="876"/>
      <c r="C651" s="762"/>
      <c r="D651" s="810" t="str">
        <f>D650&amp;"KW"</f>
        <v>KW</v>
      </c>
      <c r="E651" s="760" t="s">
        <v>159</v>
      </c>
      <c r="F651" s="1773"/>
      <c r="G651" s="1774"/>
      <c r="H651" s="1773"/>
      <c r="I651" s="1774"/>
      <c r="J651" s="1773"/>
      <c r="K651" s="1774"/>
      <c r="L651" s="1773"/>
      <c r="M651" s="1774"/>
      <c r="N651" s="1773"/>
      <c r="O651" s="1774"/>
      <c r="P651" s="876"/>
      <c r="Q651" s="876"/>
      <c r="R651" s="876"/>
      <c r="S651" s="876"/>
      <c r="T651" s="876"/>
      <c r="U651" s="876"/>
      <c r="V651" s="876"/>
      <c r="W651" s="876"/>
    </row>
    <row r="652" spans="1:23" hidden="1" x14ac:dyDescent="0.25">
      <c r="A652" s="876"/>
      <c r="B652" s="876"/>
      <c r="C652" s="762" t="s">
        <v>2803</v>
      </c>
      <c r="D652" s="979"/>
      <c r="E652" s="760" t="s">
        <v>158</v>
      </c>
      <c r="F652" s="1773"/>
      <c r="G652" s="1774"/>
      <c r="H652" s="1773"/>
      <c r="I652" s="1774"/>
      <c r="J652" s="1773"/>
      <c r="K652" s="1774"/>
      <c r="L652" s="1773"/>
      <c r="M652" s="1774"/>
      <c r="N652" s="1773"/>
      <c r="O652" s="1774"/>
      <c r="P652" s="876"/>
      <c r="Q652" s="876"/>
      <c r="R652" s="876"/>
      <c r="S652" s="876"/>
      <c r="T652" s="876"/>
      <c r="U652" s="876"/>
      <c r="V652" s="876"/>
      <c r="W652" s="876"/>
    </row>
    <row r="653" spans="1:23" hidden="1" x14ac:dyDescent="0.25">
      <c r="A653" s="876"/>
      <c r="B653" s="876"/>
      <c r="C653" s="762"/>
      <c r="D653" s="810" t="str">
        <f>D652&amp;"KW"</f>
        <v>KW</v>
      </c>
      <c r="E653" s="760" t="s">
        <v>159</v>
      </c>
      <c r="F653" s="1773"/>
      <c r="G653" s="1774"/>
      <c r="H653" s="1773"/>
      <c r="I653" s="1774"/>
      <c r="J653" s="1773"/>
      <c r="K653" s="1774"/>
      <c r="L653" s="1773"/>
      <c r="M653" s="1774"/>
      <c r="N653" s="1773"/>
      <c r="O653" s="1774"/>
      <c r="P653" s="876"/>
      <c r="Q653" s="876"/>
      <c r="R653" s="876"/>
      <c r="S653" s="876"/>
      <c r="T653" s="876"/>
      <c r="U653" s="876"/>
      <c r="V653" s="876"/>
      <c r="W653" s="876"/>
    </row>
    <row r="654" spans="1:23" hidden="1" x14ac:dyDescent="0.25">
      <c r="A654" s="876"/>
      <c r="B654" s="876"/>
      <c r="C654" s="762" t="s">
        <v>2804</v>
      </c>
      <c r="D654" s="979"/>
      <c r="E654" s="760" t="s">
        <v>158</v>
      </c>
      <c r="F654" s="1773"/>
      <c r="G654" s="1774"/>
      <c r="H654" s="1773"/>
      <c r="I654" s="1774"/>
      <c r="J654" s="1773"/>
      <c r="K654" s="1774"/>
      <c r="L654" s="1773"/>
      <c r="M654" s="1774"/>
      <c r="N654" s="1773"/>
      <c r="O654" s="1774"/>
      <c r="P654" s="876"/>
      <c r="Q654" s="876"/>
      <c r="R654" s="876"/>
      <c r="S654" s="876"/>
      <c r="T654" s="876"/>
      <c r="U654" s="876"/>
      <c r="V654" s="876"/>
      <c r="W654" s="876"/>
    </row>
    <row r="655" spans="1:23" hidden="1" x14ac:dyDescent="0.25">
      <c r="A655" s="876"/>
      <c r="B655" s="876"/>
      <c r="C655" s="762"/>
      <c r="D655" s="810" t="str">
        <f>D654&amp;"KW"</f>
        <v>KW</v>
      </c>
      <c r="E655" s="760" t="s">
        <v>159</v>
      </c>
      <c r="F655" s="1773"/>
      <c r="G655" s="1774"/>
      <c r="H655" s="1773"/>
      <c r="I655" s="1774"/>
      <c r="J655" s="1773"/>
      <c r="K655" s="1774"/>
      <c r="L655" s="1773"/>
      <c r="M655" s="1774"/>
      <c r="N655" s="1773"/>
      <c r="O655" s="1774"/>
      <c r="P655" s="876"/>
      <c r="Q655" s="876"/>
      <c r="R655" s="876"/>
      <c r="S655" s="876"/>
      <c r="T655" s="876"/>
      <c r="U655" s="876"/>
      <c r="V655" s="876"/>
      <c r="W655" s="876"/>
    </row>
    <row r="656" spans="1:23" hidden="1" x14ac:dyDescent="0.25">
      <c r="A656" s="876"/>
      <c r="B656" s="876"/>
      <c r="C656" s="762" t="s">
        <v>2805</v>
      </c>
      <c r="D656" s="979"/>
      <c r="E656" s="760" t="s">
        <v>158</v>
      </c>
      <c r="F656" s="1773"/>
      <c r="G656" s="1774"/>
      <c r="H656" s="1773"/>
      <c r="I656" s="1774"/>
      <c r="J656" s="1773"/>
      <c r="K656" s="1774"/>
      <c r="L656" s="1773"/>
      <c r="M656" s="1774"/>
      <c r="N656" s="1773"/>
      <c r="O656" s="1774"/>
      <c r="P656" s="876"/>
      <c r="Q656" s="876"/>
      <c r="R656" s="876"/>
      <c r="S656" s="876"/>
      <c r="T656" s="876"/>
      <c r="U656" s="876"/>
      <c r="V656" s="876"/>
      <c r="W656" s="876"/>
    </row>
    <row r="657" spans="1:23" hidden="1" x14ac:dyDescent="0.25">
      <c r="A657" s="876"/>
      <c r="B657" s="876"/>
      <c r="C657" s="762"/>
      <c r="D657" s="810" t="str">
        <f>D656&amp;"KW"</f>
        <v>KW</v>
      </c>
      <c r="E657" s="760" t="s">
        <v>159</v>
      </c>
      <c r="F657" s="1773"/>
      <c r="G657" s="1774"/>
      <c r="H657" s="1773"/>
      <c r="I657" s="1774"/>
      <c r="J657" s="1773"/>
      <c r="K657" s="1774"/>
      <c r="L657" s="1773"/>
      <c r="M657" s="1774"/>
      <c r="N657" s="1773"/>
      <c r="O657" s="1774"/>
      <c r="P657" s="876"/>
      <c r="Q657" s="876"/>
      <c r="R657" s="876"/>
      <c r="S657" s="876"/>
      <c r="T657" s="876"/>
      <c r="U657" s="876"/>
      <c r="V657" s="876"/>
      <c r="W657" s="876"/>
    </row>
    <row r="658" spans="1:23" hidden="1" x14ac:dyDescent="0.25">
      <c r="A658" s="876"/>
      <c r="B658" s="876"/>
      <c r="C658" s="762" t="s">
        <v>2806</v>
      </c>
      <c r="D658" s="979"/>
      <c r="E658" s="760" t="s">
        <v>158</v>
      </c>
      <c r="F658" s="1773"/>
      <c r="G658" s="1774"/>
      <c r="H658" s="1773"/>
      <c r="I658" s="1774"/>
      <c r="J658" s="1773"/>
      <c r="K658" s="1774"/>
      <c r="L658" s="1773"/>
      <c r="M658" s="1774"/>
      <c r="N658" s="1773"/>
      <c r="O658" s="1774"/>
      <c r="P658" s="876"/>
      <c r="Q658" s="876"/>
      <c r="R658" s="876"/>
      <c r="S658" s="876"/>
      <c r="T658" s="876"/>
      <c r="U658" s="876"/>
      <c r="V658" s="876"/>
      <c r="W658" s="876"/>
    </row>
    <row r="659" spans="1:23" hidden="1" x14ac:dyDescent="0.25">
      <c r="A659" s="876"/>
      <c r="B659" s="876"/>
      <c r="C659" s="762"/>
      <c r="D659" s="810" t="str">
        <f>D658&amp;"KW"</f>
        <v>KW</v>
      </c>
      <c r="E659" s="760" t="s">
        <v>159</v>
      </c>
      <c r="F659" s="1773"/>
      <c r="G659" s="1774"/>
      <c r="H659" s="1773"/>
      <c r="I659" s="1774"/>
      <c r="J659" s="1773"/>
      <c r="K659" s="1774"/>
      <c r="L659" s="1773"/>
      <c r="M659" s="1774"/>
      <c r="N659" s="1773"/>
      <c r="O659" s="1774"/>
      <c r="P659" s="876"/>
      <c r="Q659" s="876"/>
      <c r="R659" s="876"/>
      <c r="S659" s="876"/>
      <c r="T659" s="876"/>
      <c r="U659" s="876"/>
      <c r="V659" s="876"/>
      <c r="W659" s="876"/>
    </row>
    <row r="660" spans="1:23" hidden="1" x14ac:dyDescent="0.25">
      <c r="A660" s="876"/>
      <c r="B660" s="876"/>
      <c r="C660" s="762" t="s">
        <v>2807</v>
      </c>
      <c r="D660" s="979"/>
      <c r="E660" s="760" t="s">
        <v>158</v>
      </c>
      <c r="F660" s="1773"/>
      <c r="G660" s="1774"/>
      <c r="H660" s="1773"/>
      <c r="I660" s="1774"/>
      <c r="J660" s="1773"/>
      <c r="K660" s="1774"/>
      <c r="L660" s="1773"/>
      <c r="M660" s="1774"/>
      <c r="N660" s="1773"/>
      <c r="O660" s="1774"/>
      <c r="P660" s="876"/>
      <c r="Q660" s="876"/>
      <c r="R660" s="876"/>
      <c r="S660" s="876"/>
      <c r="T660" s="876"/>
      <c r="U660" s="876"/>
      <c r="V660" s="876"/>
      <c r="W660" s="876"/>
    </row>
    <row r="661" spans="1:23" hidden="1" x14ac:dyDescent="0.25">
      <c r="A661" s="876"/>
      <c r="B661" s="876"/>
      <c r="C661" s="762"/>
      <c r="D661" s="810" t="str">
        <f>D660&amp;"KW"</f>
        <v>KW</v>
      </c>
      <c r="E661" s="760" t="s">
        <v>159</v>
      </c>
      <c r="F661" s="1773"/>
      <c r="G661" s="1774"/>
      <c r="H661" s="1773"/>
      <c r="I661" s="1774"/>
      <c r="J661" s="1773"/>
      <c r="K661" s="1774"/>
      <c r="L661" s="1773"/>
      <c r="M661" s="1774"/>
      <c r="N661" s="1773"/>
      <c r="O661" s="1774"/>
      <c r="P661" s="876"/>
      <c r="Q661" s="876"/>
      <c r="R661" s="876"/>
      <c r="S661" s="876"/>
      <c r="T661" s="876"/>
      <c r="U661" s="876"/>
      <c r="V661" s="876"/>
      <c r="W661" s="876"/>
    </row>
    <row r="662" spans="1:23" hidden="1" x14ac:dyDescent="0.25">
      <c r="A662" s="876"/>
      <c r="B662" s="876"/>
      <c r="C662" s="762" t="s">
        <v>2808</v>
      </c>
      <c r="D662" s="979"/>
      <c r="E662" s="760" t="s">
        <v>158</v>
      </c>
      <c r="F662" s="1773"/>
      <c r="G662" s="1774"/>
      <c r="H662" s="1773"/>
      <c r="I662" s="1774"/>
      <c r="J662" s="1773"/>
      <c r="K662" s="1774"/>
      <c r="L662" s="1773"/>
      <c r="M662" s="1774"/>
      <c r="N662" s="1773"/>
      <c r="O662" s="1774"/>
      <c r="P662" s="876"/>
      <c r="Q662" s="876"/>
      <c r="R662" s="876"/>
      <c r="S662" s="876"/>
      <c r="T662" s="876"/>
      <c r="U662" s="876"/>
      <c r="V662" s="876"/>
      <c r="W662" s="876"/>
    </row>
    <row r="663" spans="1:23" hidden="1" x14ac:dyDescent="0.25">
      <c r="A663" s="876"/>
      <c r="B663" s="876"/>
      <c r="C663" s="762"/>
      <c r="D663" s="810" t="str">
        <f>D662&amp;"KW"</f>
        <v>KW</v>
      </c>
      <c r="E663" s="760" t="s">
        <v>159</v>
      </c>
      <c r="F663" s="1773"/>
      <c r="G663" s="1774"/>
      <c r="H663" s="1773"/>
      <c r="I663" s="1774"/>
      <c r="J663" s="1773"/>
      <c r="K663" s="1774"/>
      <c r="L663" s="1773"/>
      <c r="M663" s="1774"/>
      <c r="N663" s="1773"/>
      <c r="O663" s="1774"/>
      <c r="P663" s="876"/>
      <c r="Q663" s="876"/>
      <c r="R663" s="876"/>
      <c r="S663" s="876"/>
      <c r="T663" s="876"/>
      <c r="U663" s="876"/>
      <c r="V663" s="876"/>
      <c r="W663" s="876"/>
    </row>
    <row r="664" spans="1:23" hidden="1" x14ac:dyDescent="0.25">
      <c r="A664" s="876"/>
      <c r="B664" s="876"/>
      <c r="C664" s="762" t="s">
        <v>2809</v>
      </c>
      <c r="D664" s="979"/>
      <c r="E664" s="760" t="s">
        <v>158</v>
      </c>
      <c r="F664" s="1773"/>
      <c r="G664" s="1774"/>
      <c r="H664" s="1773"/>
      <c r="I664" s="1774"/>
      <c r="J664" s="1773"/>
      <c r="K664" s="1774"/>
      <c r="L664" s="1773"/>
      <c r="M664" s="1774"/>
      <c r="N664" s="1773"/>
      <c r="O664" s="1774"/>
      <c r="P664" s="876"/>
      <c r="Q664" s="876"/>
      <c r="R664" s="876"/>
      <c r="S664" s="876"/>
      <c r="T664" s="876"/>
      <c r="U664" s="876"/>
      <c r="V664" s="876"/>
      <c r="W664" s="876"/>
    </row>
    <row r="665" spans="1:23" hidden="1" x14ac:dyDescent="0.25">
      <c r="A665" s="876"/>
      <c r="B665" s="876"/>
      <c r="C665" s="762"/>
      <c r="D665" s="810" t="str">
        <f>D664&amp;"KW"</f>
        <v>KW</v>
      </c>
      <c r="E665" s="760" t="s">
        <v>159</v>
      </c>
      <c r="F665" s="1773"/>
      <c r="G665" s="1774"/>
      <c r="H665" s="1773"/>
      <c r="I665" s="1774"/>
      <c r="J665" s="1773"/>
      <c r="K665" s="1774"/>
      <c r="L665" s="1773"/>
      <c r="M665" s="1774"/>
      <c r="N665" s="1773"/>
      <c r="O665" s="1774"/>
      <c r="P665" s="876"/>
      <c r="Q665" s="876"/>
      <c r="R665" s="876"/>
      <c r="S665" s="876"/>
      <c r="T665" s="876"/>
      <c r="U665" s="876"/>
      <c r="V665" s="876"/>
      <c r="W665" s="876"/>
    </row>
    <row r="666" spans="1:23" hidden="1" x14ac:dyDescent="0.25">
      <c r="A666" s="876"/>
      <c r="B666" s="876"/>
      <c r="C666" s="762" t="s">
        <v>2810</v>
      </c>
      <c r="D666" s="979"/>
      <c r="E666" s="760" t="s">
        <v>158</v>
      </c>
      <c r="F666" s="1773"/>
      <c r="G666" s="1774"/>
      <c r="H666" s="1773"/>
      <c r="I666" s="1774"/>
      <c r="J666" s="1773"/>
      <c r="K666" s="1774"/>
      <c r="L666" s="1773"/>
      <c r="M666" s="1774"/>
      <c r="N666" s="1773"/>
      <c r="O666" s="1774"/>
      <c r="P666" s="876"/>
      <c r="Q666" s="876"/>
      <c r="R666" s="876"/>
      <c r="S666" s="876"/>
      <c r="T666" s="876"/>
      <c r="U666" s="876"/>
      <c r="V666" s="876"/>
      <c r="W666" s="876"/>
    </row>
    <row r="667" spans="1:23" hidden="1" x14ac:dyDescent="0.25">
      <c r="A667" s="876"/>
      <c r="B667" s="876"/>
      <c r="C667" s="762"/>
      <c r="D667" s="810" t="str">
        <f>D666&amp;"KW"</f>
        <v>KW</v>
      </c>
      <c r="E667" s="760" t="s">
        <v>159</v>
      </c>
      <c r="F667" s="1773"/>
      <c r="G667" s="1774"/>
      <c r="H667" s="1773"/>
      <c r="I667" s="1774"/>
      <c r="J667" s="1773"/>
      <c r="K667" s="1774"/>
      <c r="L667" s="1773"/>
      <c r="M667" s="1774"/>
      <c r="N667" s="1773"/>
      <c r="O667" s="1774"/>
      <c r="P667" s="876"/>
      <c r="Q667" s="876"/>
      <c r="R667" s="876"/>
      <c r="S667" s="876"/>
      <c r="T667" s="876"/>
      <c r="U667" s="876"/>
      <c r="V667" s="876"/>
      <c r="W667" s="876"/>
    </row>
    <row r="668" spans="1:23" hidden="1" x14ac:dyDescent="0.25">
      <c r="A668" s="876"/>
      <c r="B668" s="876"/>
      <c r="C668" s="762" t="s">
        <v>2811</v>
      </c>
      <c r="D668" s="979"/>
      <c r="E668" s="760" t="s">
        <v>158</v>
      </c>
      <c r="F668" s="1773"/>
      <c r="G668" s="1774"/>
      <c r="H668" s="1773"/>
      <c r="I668" s="1774"/>
      <c r="J668" s="1773"/>
      <c r="K668" s="1774"/>
      <c r="L668" s="1773"/>
      <c r="M668" s="1774"/>
      <c r="N668" s="1773"/>
      <c r="O668" s="1774"/>
      <c r="P668" s="876"/>
      <c r="Q668" s="876"/>
      <c r="R668" s="876"/>
      <c r="S668" s="876"/>
      <c r="T668" s="876"/>
      <c r="U668" s="876"/>
      <c r="V668" s="876"/>
      <c r="W668" s="876"/>
    </row>
    <row r="669" spans="1:23" hidden="1" x14ac:dyDescent="0.25">
      <c r="A669" s="876"/>
      <c r="B669" s="876"/>
      <c r="C669" s="762"/>
      <c r="D669" s="810" t="str">
        <f>D668&amp;"KW"</f>
        <v>KW</v>
      </c>
      <c r="E669" s="760" t="s">
        <v>159</v>
      </c>
      <c r="F669" s="1773"/>
      <c r="G669" s="1774"/>
      <c r="H669" s="1773"/>
      <c r="I669" s="1774"/>
      <c r="J669" s="1773"/>
      <c r="K669" s="1774"/>
      <c r="L669" s="1773"/>
      <c r="M669" s="1774"/>
      <c r="N669" s="1773"/>
      <c r="O669" s="1774"/>
      <c r="P669" s="876"/>
      <c r="Q669" s="876"/>
      <c r="R669" s="876"/>
      <c r="S669" s="876"/>
      <c r="T669" s="876"/>
      <c r="U669" s="876"/>
      <c r="V669" s="876"/>
      <c r="W669" s="876"/>
    </row>
    <row r="670" spans="1:23" hidden="1" x14ac:dyDescent="0.25">
      <c r="A670" s="876"/>
      <c r="B670" s="876"/>
      <c r="C670" s="762" t="s">
        <v>2812</v>
      </c>
      <c r="D670" s="979"/>
      <c r="E670" s="760" t="s">
        <v>158</v>
      </c>
      <c r="F670" s="1773"/>
      <c r="G670" s="1774"/>
      <c r="H670" s="1773"/>
      <c r="I670" s="1774"/>
      <c r="J670" s="1773"/>
      <c r="K670" s="1774"/>
      <c r="L670" s="1773"/>
      <c r="M670" s="1774"/>
      <c r="N670" s="1773"/>
      <c r="O670" s="1774"/>
      <c r="P670" s="876"/>
      <c r="Q670" s="876"/>
      <c r="R670" s="876"/>
      <c r="S670" s="876"/>
      <c r="T670" s="876"/>
      <c r="U670" s="876"/>
      <c r="V670" s="876"/>
      <c r="W670" s="876"/>
    </row>
    <row r="671" spans="1:23" hidden="1" x14ac:dyDescent="0.25">
      <c r="A671" s="876"/>
      <c r="B671" s="876"/>
      <c r="C671" s="762"/>
      <c r="D671" s="810" t="str">
        <f>D670&amp;"KW"</f>
        <v>KW</v>
      </c>
      <c r="E671" s="760" t="s">
        <v>159</v>
      </c>
      <c r="F671" s="1773"/>
      <c r="G671" s="1774"/>
      <c r="H671" s="1773"/>
      <c r="I671" s="1774"/>
      <c r="J671" s="1773"/>
      <c r="K671" s="1774"/>
      <c r="L671" s="1773"/>
      <c r="M671" s="1774"/>
      <c r="N671" s="1773"/>
      <c r="O671" s="1774"/>
      <c r="P671" s="876"/>
      <c r="Q671" s="876"/>
      <c r="R671" s="876"/>
      <c r="S671" s="876"/>
      <c r="T671" s="876"/>
      <c r="U671" s="876"/>
      <c r="V671" s="876"/>
      <c r="W671" s="876"/>
    </row>
    <row r="672" spans="1:23" hidden="1" x14ac:dyDescent="0.25">
      <c r="A672" s="876"/>
      <c r="B672" s="876"/>
      <c r="C672" s="762" t="s">
        <v>2813</v>
      </c>
      <c r="D672" s="979"/>
      <c r="E672" s="760" t="s">
        <v>158</v>
      </c>
      <c r="F672" s="1773"/>
      <c r="G672" s="1774"/>
      <c r="H672" s="1773"/>
      <c r="I672" s="1774"/>
      <c r="J672" s="1773"/>
      <c r="K672" s="1774"/>
      <c r="L672" s="1773"/>
      <c r="M672" s="1774"/>
      <c r="N672" s="1773"/>
      <c r="O672" s="1774"/>
      <c r="P672" s="876"/>
      <c r="Q672" s="876"/>
      <c r="R672" s="876"/>
      <c r="S672" s="876"/>
      <c r="T672" s="876"/>
      <c r="U672" s="876"/>
      <c r="V672" s="876"/>
      <c r="W672" s="876"/>
    </row>
    <row r="673" spans="1:23" hidden="1" x14ac:dyDescent="0.25">
      <c r="A673" s="876"/>
      <c r="B673" s="876"/>
      <c r="C673" s="762"/>
      <c r="D673" s="810" t="str">
        <f>D672&amp;"KW"</f>
        <v>KW</v>
      </c>
      <c r="E673" s="760" t="s">
        <v>159</v>
      </c>
      <c r="F673" s="1773"/>
      <c r="G673" s="1774"/>
      <c r="H673" s="1773"/>
      <c r="I673" s="1774"/>
      <c r="J673" s="1773"/>
      <c r="K673" s="1774"/>
      <c r="L673" s="1773"/>
      <c r="M673" s="1774"/>
      <c r="N673" s="1773"/>
      <c r="O673" s="1774"/>
      <c r="P673" s="876"/>
      <c r="Q673" s="876"/>
      <c r="R673" s="876"/>
      <c r="S673" s="876"/>
      <c r="T673" s="876"/>
      <c r="U673" s="876"/>
      <c r="V673" s="876"/>
      <c r="W673" s="876"/>
    </row>
    <row r="674" spans="1:23" hidden="1" x14ac:dyDescent="0.25">
      <c r="A674" s="876"/>
      <c r="B674" s="876"/>
      <c r="C674" s="762" t="s">
        <v>2814</v>
      </c>
      <c r="D674" s="979"/>
      <c r="E674" s="760" t="s">
        <v>158</v>
      </c>
      <c r="F674" s="1773"/>
      <c r="G674" s="1774"/>
      <c r="H674" s="1773"/>
      <c r="I674" s="1774"/>
      <c r="J674" s="1773"/>
      <c r="K674" s="1774"/>
      <c r="L674" s="1773"/>
      <c r="M674" s="1774"/>
      <c r="N674" s="1773"/>
      <c r="O674" s="1774"/>
      <c r="P674" s="876"/>
      <c r="Q674" s="876"/>
      <c r="R674" s="876"/>
      <c r="S674" s="876"/>
      <c r="T674" s="876"/>
      <c r="U674" s="876"/>
      <c r="V674" s="876"/>
      <c r="W674" s="876"/>
    </row>
    <row r="675" spans="1:23" hidden="1" x14ac:dyDescent="0.25">
      <c r="A675" s="876"/>
      <c r="B675" s="876"/>
      <c r="C675" s="762"/>
      <c r="D675" s="810" t="str">
        <f>D674&amp;"KW"</f>
        <v>KW</v>
      </c>
      <c r="E675" s="760" t="s">
        <v>159</v>
      </c>
      <c r="F675" s="1773"/>
      <c r="G675" s="1774"/>
      <c r="H675" s="1773"/>
      <c r="I675" s="1774"/>
      <c r="J675" s="1773"/>
      <c r="K675" s="1774"/>
      <c r="L675" s="1773"/>
      <c r="M675" s="1774"/>
      <c r="N675" s="1773"/>
      <c r="O675" s="1774"/>
      <c r="P675" s="876"/>
      <c r="Q675" s="876"/>
      <c r="R675" s="876"/>
      <c r="S675" s="876"/>
      <c r="T675" s="876"/>
      <c r="U675" s="876"/>
      <c r="V675" s="876"/>
      <c r="W675" s="876"/>
    </row>
    <row r="676" spans="1:23" hidden="1" x14ac:dyDescent="0.25">
      <c r="A676" s="876"/>
      <c r="B676" s="876"/>
      <c r="C676" s="762" t="s">
        <v>2815</v>
      </c>
      <c r="D676" s="979"/>
      <c r="E676" s="760" t="s">
        <v>158</v>
      </c>
      <c r="F676" s="1773"/>
      <c r="G676" s="1774"/>
      <c r="H676" s="1773"/>
      <c r="I676" s="1774"/>
      <c r="J676" s="1773"/>
      <c r="K676" s="1774"/>
      <c r="L676" s="1773"/>
      <c r="M676" s="1774"/>
      <c r="N676" s="1773"/>
      <c r="O676" s="1774"/>
      <c r="P676" s="876"/>
      <c r="Q676" s="876"/>
      <c r="R676" s="876"/>
      <c r="S676" s="876"/>
      <c r="T676" s="876"/>
      <c r="U676" s="876"/>
      <c r="V676" s="876"/>
      <c r="W676" s="876"/>
    </row>
    <row r="677" spans="1:23" hidden="1" x14ac:dyDescent="0.25">
      <c r="A677" s="876"/>
      <c r="B677" s="876"/>
      <c r="C677" s="762"/>
      <c r="D677" s="810" t="str">
        <f>D676&amp;"KW"</f>
        <v>KW</v>
      </c>
      <c r="E677" s="760" t="s">
        <v>159</v>
      </c>
      <c r="F677" s="1773"/>
      <c r="G677" s="1774"/>
      <c r="H677" s="1773"/>
      <c r="I677" s="1774"/>
      <c r="J677" s="1773"/>
      <c r="K677" s="1774"/>
      <c r="L677" s="1773"/>
      <c r="M677" s="1774"/>
      <c r="N677" s="1773"/>
      <c r="O677" s="1774"/>
      <c r="P677" s="876"/>
      <c r="Q677" s="876"/>
      <c r="R677" s="876"/>
      <c r="S677" s="876"/>
      <c r="T677" s="876"/>
      <c r="U677" s="876"/>
      <c r="V677" s="876"/>
      <c r="W677" s="876"/>
    </row>
    <row r="678" spans="1:23" hidden="1" x14ac:dyDescent="0.25">
      <c r="A678" s="876"/>
      <c r="B678" s="876"/>
      <c r="C678" s="762" t="s">
        <v>2816</v>
      </c>
      <c r="D678" s="979"/>
      <c r="E678" s="760" t="s">
        <v>158</v>
      </c>
      <c r="F678" s="1773"/>
      <c r="G678" s="1774"/>
      <c r="H678" s="1773"/>
      <c r="I678" s="1774"/>
      <c r="J678" s="1773"/>
      <c r="K678" s="1774"/>
      <c r="L678" s="1773"/>
      <c r="M678" s="1774"/>
      <c r="N678" s="1773"/>
      <c r="O678" s="1774"/>
      <c r="P678" s="876"/>
      <c r="Q678" s="876"/>
      <c r="R678" s="876"/>
      <c r="S678" s="876"/>
      <c r="T678" s="876"/>
      <c r="U678" s="876"/>
      <c r="V678" s="876"/>
      <c r="W678" s="876"/>
    </row>
    <row r="679" spans="1:23" hidden="1" x14ac:dyDescent="0.25">
      <c r="A679" s="876"/>
      <c r="B679" s="876"/>
      <c r="C679" s="762"/>
      <c r="D679" s="810" t="str">
        <f>D678&amp;"KW"</f>
        <v>KW</v>
      </c>
      <c r="E679" s="760" t="s">
        <v>159</v>
      </c>
      <c r="F679" s="1773"/>
      <c r="G679" s="1774"/>
      <c r="H679" s="1773"/>
      <c r="I679" s="1774"/>
      <c r="J679" s="1773"/>
      <c r="K679" s="1774"/>
      <c r="L679" s="1773"/>
      <c r="M679" s="1774"/>
      <c r="N679" s="1773"/>
      <c r="O679" s="1774"/>
      <c r="P679" s="876"/>
      <c r="Q679" s="876"/>
      <c r="R679" s="876"/>
      <c r="S679" s="876"/>
      <c r="T679" s="876"/>
      <c r="U679" s="876"/>
      <c r="V679" s="876"/>
      <c r="W679" s="876"/>
    </row>
    <row r="680" spans="1:23" hidden="1" x14ac:dyDescent="0.25">
      <c r="A680" s="876"/>
      <c r="B680" s="876"/>
      <c r="C680" s="762" t="s">
        <v>2817</v>
      </c>
      <c r="D680" s="979"/>
      <c r="E680" s="760" t="s">
        <v>158</v>
      </c>
      <c r="F680" s="1773"/>
      <c r="G680" s="1774"/>
      <c r="H680" s="1773"/>
      <c r="I680" s="1774"/>
      <c r="J680" s="1773"/>
      <c r="K680" s="1774"/>
      <c r="L680" s="1773"/>
      <c r="M680" s="1774"/>
      <c r="N680" s="1773"/>
      <c r="O680" s="1774"/>
      <c r="P680" s="876"/>
      <c r="Q680" s="876"/>
      <c r="R680" s="876"/>
      <c r="S680" s="876"/>
      <c r="T680" s="876"/>
      <c r="U680" s="876"/>
      <c r="V680" s="876"/>
      <c r="W680" s="876"/>
    </row>
    <row r="681" spans="1:23" hidden="1" x14ac:dyDescent="0.25">
      <c r="A681" s="876"/>
      <c r="B681" s="876"/>
      <c r="C681" s="762"/>
      <c r="D681" s="810" t="str">
        <f>D680&amp;"KW"</f>
        <v>KW</v>
      </c>
      <c r="E681" s="760" t="s">
        <v>159</v>
      </c>
      <c r="F681" s="1773"/>
      <c r="G681" s="1774"/>
      <c r="H681" s="1773"/>
      <c r="I681" s="1774"/>
      <c r="J681" s="1773"/>
      <c r="K681" s="1774"/>
      <c r="L681" s="1773"/>
      <c r="M681" s="1774"/>
      <c r="N681" s="1773"/>
      <c r="O681" s="1774"/>
      <c r="P681" s="876"/>
      <c r="Q681" s="876"/>
      <c r="R681" s="876"/>
      <c r="S681" s="876"/>
      <c r="T681" s="876"/>
      <c r="U681" s="876"/>
      <c r="V681" s="876"/>
      <c r="W681" s="876"/>
    </row>
    <row r="682" spans="1:23" hidden="1" x14ac:dyDescent="0.25">
      <c r="A682" s="876"/>
      <c r="B682" s="876"/>
      <c r="C682" s="762" t="s">
        <v>2818</v>
      </c>
      <c r="D682" s="979"/>
      <c r="E682" s="760" t="s">
        <v>158</v>
      </c>
      <c r="F682" s="1773"/>
      <c r="G682" s="1774"/>
      <c r="H682" s="1773"/>
      <c r="I682" s="1774"/>
      <c r="J682" s="1773"/>
      <c r="K682" s="1774"/>
      <c r="L682" s="1773"/>
      <c r="M682" s="1774"/>
      <c r="N682" s="1773"/>
      <c r="O682" s="1774"/>
      <c r="P682" s="876"/>
      <c r="Q682" s="876"/>
      <c r="R682" s="876"/>
      <c r="S682" s="876"/>
      <c r="T682" s="876"/>
      <c r="U682" s="876"/>
      <c r="V682" s="876"/>
      <c r="W682" s="876"/>
    </row>
    <row r="683" spans="1:23" hidden="1" x14ac:dyDescent="0.25">
      <c r="A683" s="876"/>
      <c r="B683" s="876"/>
      <c r="C683" s="762"/>
      <c r="D683" s="810" t="str">
        <f>D682&amp;"KW"</f>
        <v>KW</v>
      </c>
      <c r="E683" s="760" t="s">
        <v>159</v>
      </c>
      <c r="F683" s="1773"/>
      <c r="G683" s="1774"/>
      <c r="H683" s="1773"/>
      <c r="I683" s="1774"/>
      <c r="J683" s="1773"/>
      <c r="K683" s="1774"/>
      <c r="L683" s="1773"/>
      <c r="M683" s="1774"/>
      <c r="N683" s="1773"/>
      <c r="O683" s="1774"/>
      <c r="P683" s="876"/>
      <c r="Q683" s="876"/>
      <c r="R683" s="876"/>
      <c r="S683" s="876"/>
      <c r="T683" s="876"/>
      <c r="U683" s="876"/>
      <c r="V683" s="876"/>
      <c r="W683" s="876"/>
    </row>
    <row r="684" spans="1:23" hidden="1" x14ac:dyDescent="0.25">
      <c r="A684" s="876"/>
      <c r="B684" s="876"/>
      <c r="C684" s="762" t="s">
        <v>2819</v>
      </c>
      <c r="D684" s="979"/>
      <c r="E684" s="760" t="s">
        <v>158</v>
      </c>
      <c r="F684" s="1773"/>
      <c r="G684" s="1774"/>
      <c r="H684" s="1773"/>
      <c r="I684" s="1774"/>
      <c r="J684" s="1773"/>
      <c r="K684" s="1774"/>
      <c r="L684" s="1773"/>
      <c r="M684" s="1774"/>
      <c r="N684" s="1773"/>
      <c r="O684" s="1774"/>
      <c r="P684" s="876"/>
      <c r="Q684" s="876"/>
      <c r="R684" s="876"/>
      <c r="S684" s="876"/>
      <c r="T684" s="876"/>
      <c r="U684" s="876"/>
      <c r="V684" s="876"/>
      <c r="W684" s="876"/>
    </row>
    <row r="685" spans="1:23" hidden="1" x14ac:dyDescent="0.25">
      <c r="A685" s="876"/>
      <c r="B685" s="876"/>
      <c r="C685" s="762"/>
      <c r="D685" s="810" t="str">
        <f>D684&amp;"KW"</f>
        <v>KW</v>
      </c>
      <c r="E685" s="760" t="s">
        <v>159</v>
      </c>
      <c r="F685" s="1773"/>
      <c r="G685" s="1774"/>
      <c r="H685" s="1773"/>
      <c r="I685" s="1774"/>
      <c r="J685" s="1773"/>
      <c r="K685" s="1774"/>
      <c r="L685" s="1773"/>
      <c r="M685" s="1774"/>
      <c r="N685" s="1773"/>
      <c r="O685" s="1774"/>
      <c r="P685" s="876"/>
      <c r="Q685" s="876"/>
      <c r="R685" s="876"/>
      <c r="S685" s="876"/>
      <c r="T685" s="876"/>
      <c r="U685" s="876"/>
      <c r="V685" s="876"/>
      <c r="W685" s="876"/>
    </row>
    <row r="686" spans="1:23" hidden="1" x14ac:dyDescent="0.25">
      <c r="A686" s="876"/>
      <c r="B686" s="876"/>
      <c r="C686" s="762" t="s">
        <v>2820</v>
      </c>
      <c r="D686" s="979"/>
      <c r="E686" s="760" t="s">
        <v>158</v>
      </c>
      <c r="F686" s="1773"/>
      <c r="G686" s="1774"/>
      <c r="H686" s="1773"/>
      <c r="I686" s="1774"/>
      <c r="J686" s="1773"/>
      <c r="K686" s="1774"/>
      <c r="L686" s="1773"/>
      <c r="M686" s="1774"/>
      <c r="N686" s="1773"/>
      <c r="O686" s="1774"/>
      <c r="P686" s="876"/>
      <c r="Q686" s="876"/>
      <c r="R686" s="876"/>
      <c r="S686" s="876"/>
      <c r="T686" s="876"/>
      <c r="U686" s="876"/>
      <c r="V686" s="876"/>
      <c r="W686" s="876"/>
    </row>
    <row r="687" spans="1:23" hidden="1" x14ac:dyDescent="0.25">
      <c r="A687" s="876"/>
      <c r="B687" s="876"/>
      <c r="C687" s="762"/>
      <c r="D687" s="810" t="str">
        <f>D686&amp;"KW"</f>
        <v>KW</v>
      </c>
      <c r="E687" s="760" t="s">
        <v>159</v>
      </c>
      <c r="F687" s="1773"/>
      <c r="G687" s="1774"/>
      <c r="H687" s="1773"/>
      <c r="I687" s="1774"/>
      <c r="J687" s="1773"/>
      <c r="K687" s="1774"/>
      <c r="L687" s="1773"/>
      <c r="M687" s="1774"/>
      <c r="N687" s="1773"/>
      <c r="O687" s="1774"/>
      <c r="P687" s="876"/>
      <c r="Q687" s="876"/>
      <c r="R687" s="876"/>
      <c r="S687" s="876"/>
      <c r="T687" s="876"/>
      <c r="U687" s="876"/>
      <c r="V687" s="876"/>
      <c r="W687" s="876"/>
    </row>
    <row r="688" spans="1:23" hidden="1" x14ac:dyDescent="0.25">
      <c r="A688" s="876"/>
      <c r="B688" s="876"/>
      <c r="C688" s="762" t="s">
        <v>2821</v>
      </c>
      <c r="D688" s="979"/>
      <c r="E688" s="760" t="s">
        <v>158</v>
      </c>
      <c r="F688" s="1773"/>
      <c r="G688" s="1774"/>
      <c r="H688" s="1773"/>
      <c r="I688" s="1774"/>
      <c r="J688" s="1773"/>
      <c r="K688" s="1774"/>
      <c r="L688" s="1773"/>
      <c r="M688" s="1774"/>
      <c r="N688" s="1773"/>
      <c r="O688" s="1774"/>
      <c r="P688" s="876"/>
      <c r="Q688" s="876"/>
      <c r="R688" s="876"/>
      <c r="S688" s="876"/>
      <c r="T688" s="876"/>
      <c r="U688" s="876"/>
      <c r="V688" s="876"/>
      <c r="W688" s="876"/>
    </row>
    <row r="689" spans="1:23" hidden="1" x14ac:dyDescent="0.25">
      <c r="A689" s="876"/>
      <c r="B689" s="876"/>
      <c r="C689" s="762"/>
      <c r="D689" s="810" t="str">
        <f>D688&amp;"KW"</f>
        <v>KW</v>
      </c>
      <c r="E689" s="760" t="s">
        <v>159</v>
      </c>
      <c r="F689" s="1773"/>
      <c r="G689" s="1774"/>
      <c r="H689" s="1773"/>
      <c r="I689" s="1774"/>
      <c r="J689" s="1773"/>
      <c r="K689" s="1774"/>
      <c r="L689" s="1773"/>
      <c r="M689" s="1774"/>
      <c r="N689" s="1773"/>
      <c r="O689" s="1774"/>
      <c r="P689" s="876"/>
      <c r="Q689" s="876"/>
      <c r="R689" s="876"/>
      <c r="S689" s="876"/>
      <c r="T689" s="876"/>
      <c r="U689" s="876"/>
      <c r="V689" s="876"/>
      <c r="W689" s="876"/>
    </row>
    <row r="690" spans="1:23" hidden="1" x14ac:dyDescent="0.25">
      <c r="A690" s="876"/>
      <c r="B690" s="876"/>
      <c r="C690" s="762" t="s">
        <v>2822</v>
      </c>
      <c r="D690" s="979"/>
      <c r="E690" s="760" t="s">
        <v>158</v>
      </c>
      <c r="F690" s="1773"/>
      <c r="G690" s="1774"/>
      <c r="H690" s="1773"/>
      <c r="I690" s="1774"/>
      <c r="J690" s="1773"/>
      <c r="K690" s="1774"/>
      <c r="L690" s="1773"/>
      <c r="M690" s="1774"/>
      <c r="N690" s="1773"/>
      <c r="O690" s="1774"/>
      <c r="P690" s="876"/>
      <c r="Q690" s="876"/>
      <c r="R690" s="876"/>
      <c r="S690" s="876"/>
      <c r="T690" s="876"/>
      <c r="U690" s="876"/>
      <c r="V690" s="876"/>
      <c r="W690" s="876"/>
    </row>
    <row r="691" spans="1:23" hidden="1" x14ac:dyDescent="0.25">
      <c r="A691" s="876"/>
      <c r="B691" s="876"/>
      <c r="C691" s="762"/>
      <c r="D691" s="810" t="str">
        <f>D690&amp;"KW"</f>
        <v>KW</v>
      </c>
      <c r="E691" s="760" t="s">
        <v>159</v>
      </c>
      <c r="F691" s="1773"/>
      <c r="G691" s="1774"/>
      <c r="H691" s="1773"/>
      <c r="I691" s="1774"/>
      <c r="J691" s="1773"/>
      <c r="K691" s="1774"/>
      <c r="L691" s="1773"/>
      <c r="M691" s="1774"/>
      <c r="N691" s="1773"/>
      <c r="O691" s="1774"/>
      <c r="P691" s="876"/>
      <c r="Q691" s="876"/>
      <c r="R691" s="876"/>
      <c r="S691" s="876"/>
      <c r="T691" s="876"/>
      <c r="U691" s="876"/>
      <c r="V691" s="876"/>
      <c r="W691" s="876"/>
    </row>
    <row r="692" spans="1:23" hidden="1" x14ac:dyDescent="0.25">
      <c r="A692" s="876"/>
      <c r="B692" s="876"/>
      <c r="C692" s="762" t="s">
        <v>2823</v>
      </c>
      <c r="D692" s="979"/>
      <c r="E692" s="760" t="s">
        <v>158</v>
      </c>
      <c r="F692" s="1773"/>
      <c r="G692" s="1774"/>
      <c r="H692" s="1773"/>
      <c r="I692" s="1774"/>
      <c r="J692" s="1773"/>
      <c r="K692" s="1774"/>
      <c r="L692" s="1773"/>
      <c r="M692" s="1774"/>
      <c r="N692" s="1773"/>
      <c r="O692" s="1774"/>
      <c r="P692" s="876"/>
      <c r="Q692" s="876"/>
      <c r="R692" s="876"/>
      <c r="S692" s="876"/>
      <c r="T692" s="876"/>
      <c r="U692" s="876"/>
      <c r="V692" s="876"/>
      <c r="W692" s="876"/>
    </row>
    <row r="693" spans="1:23" hidden="1" x14ac:dyDescent="0.25">
      <c r="A693" s="876"/>
      <c r="B693" s="876"/>
      <c r="C693" s="762"/>
      <c r="D693" s="810" t="str">
        <f>D692&amp;"KW"</f>
        <v>KW</v>
      </c>
      <c r="E693" s="760" t="s">
        <v>159</v>
      </c>
      <c r="F693" s="1773"/>
      <c r="G693" s="1774"/>
      <c r="H693" s="1773"/>
      <c r="I693" s="1774"/>
      <c r="J693" s="1773"/>
      <c r="K693" s="1774"/>
      <c r="L693" s="1773"/>
      <c r="M693" s="1774"/>
      <c r="N693" s="1773"/>
      <c r="O693" s="1774"/>
      <c r="P693" s="876"/>
      <c r="Q693" s="876"/>
      <c r="R693" s="876"/>
      <c r="S693" s="876"/>
      <c r="T693" s="876"/>
      <c r="U693" s="876"/>
      <c r="V693" s="876"/>
      <c r="W693" s="876"/>
    </row>
    <row r="694" spans="1:23" hidden="1" x14ac:dyDescent="0.25">
      <c r="A694" s="876"/>
      <c r="B694" s="876"/>
      <c r="C694" s="762" t="s">
        <v>2824</v>
      </c>
      <c r="D694" s="979"/>
      <c r="E694" s="760" t="s">
        <v>158</v>
      </c>
      <c r="F694" s="1773"/>
      <c r="G694" s="1774"/>
      <c r="H694" s="1773"/>
      <c r="I694" s="1774"/>
      <c r="J694" s="1773"/>
      <c r="K694" s="1774"/>
      <c r="L694" s="1773"/>
      <c r="M694" s="1774"/>
      <c r="N694" s="1773"/>
      <c r="O694" s="1774"/>
      <c r="P694" s="876"/>
      <c r="Q694" s="876"/>
      <c r="R694" s="876"/>
      <c r="S694" s="876"/>
      <c r="T694" s="876"/>
      <c r="U694" s="876"/>
      <c r="V694" s="876"/>
      <c r="W694" s="876"/>
    </row>
    <row r="695" spans="1:23" hidden="1" x14ac:dyDescent="0.25">
      <c r="A695" s="876"/>
      <c r="B695" s="876"/>
      <c r="C695" s="762"/>
      <c r="D695" s="810" t="str">
        <f>D694&amp;"KW"</f>
        <v>KW</v>
      </c>
      <c r="E695" s="760" t="s">
        <v>159</v>
      </c>
      <c r="F695" s="1773"/>
      <c r="G695" s="1774"/>
      <c r="H695" s="1773"/>
      <c r="I695" s="1774"/>
      <c r="J695" s="1773"/>
      <c r="K695" s="1774"/>
      <c r="L695" s="1773"/>
      <c r="M695" s="1774"/>
      <c r="N695" s="1773"/>
      <c r="O695" s="1774"/>
      <c r="P695" s="876"/>
      <c r="Q695" s="876"/>
      <c r="R695" s="876"/>
      <c r="S695" s="876"/>
      <c r="T695" s="876"/>
      <c r="U695" s="876"/>
      <c r="V695" s="876"/>
      <c r="W695" s="876"/>
    </row>
    <row r="696" spans="1:23" hidden="1" x14ac:dyDescent="0.25">
      <c r="A696" s="876"/>
      <c r="B696" s="876"/>
      <c r="C696" s="762" t="s">
        <v>2825</v>
      </c>
      <c r="D696" s="979"/>
      <c r="E696" s="760" t="s">
        <v>158</v>
      </c>
      <c r="F696" s="1773"/>
      <c r="G696" s="1774"/>
      <c r="H696" s="1773"/>
      <c r="I696" s="1774"/>
      <c r="J696" s="1773"/>
      <c r="K696" s="1774"/>
      <c r="L696" s="1773"/>
      <c r="M696" s="1774"/>
      <c r="N696" s="1773"/>
      <c r="O696" s="1774"/>
      <c r="P696" s="876"/>
      <c r="Q696" s="876"/>
      <c r="R696" s="876"/>
      <c r="S696" s="876"/>
      <c r="T696" s="876"/>
      <c r="U696" s="876"/>
      <c r="V696" s="876"/>
      <c r="W696" s="876"/>
    </row>
    <row r="697" spans="1:23" hidden="1" x14ac:dyDescent="0.25">
      <c r="A697" s="876"/>
      <c r="B697" s="876"/>
      <c r="C697" s="762"/>
      <c r="D697" s="810" t="str">
        <f>D696&amp;"KW"</f>
        <v>KW</v>
      </c>
      <c r="E697" s="760" t="s">
        <v>159</v>
      </c>
      <c r="F697" s="1773"/>
      <c r="G697" s="1774"/>
      <c r="H697" s="1773"/>
      <c r="I697" s="1774"/>
      <c r="J697" s="1773"/>
      <c r="K697" s="1774"/>
      <c r="L697" s="1773"/>
      <c r="M697" s="1774"/>
      <c r="N697" s="1773"/>
      <c r="O697" s="1774"/>
      <c r="P697" s="876"/>
      <c r="Q697" s="876"/>
      <c r="R697" s="876"/>
      <c r="S697" s="876"/>
      <c r="T697" s="876"/>
      <c r="U697" s="876"/>
      <c r="V697" s="876"/>
      <c r="W697" s="876"/>
    </row>
    <row r="698" spans="1:23" hidden="1" x14ac:dyDescent="0.25">
      <c r="A698" s="876"/>
      <c r="B698" s="876"/>
      <c r="C698" s="762" t="s">
        <v>2826</v>
      </c>
      <c r="D698" s="979"/>
      <c r="E698" s="760" t="s">
        <v>158</v>
      </c>
      <c r="F698" s="1773"/>
      <c r="G698" s="1774"/>
      <c r="H698" s="1773"/>
      <c r="I698" s="1774"/>
      <c r="J698" s="1773"/>
      <c r="K698" s="1774"/>
      <c r="L698" s="1773"/>
      <c r="M698" s="1774"/>
      <c r="N698" s="1773"/>
      <c r="O698" s="1774"/>
      <c r="P698" s="876"/>
      <c r="Q698" s="876"/>
      <c r="R698" s="876"/>
      <c r="S698" s="876"/>
      <c r="T698" s="876"/>
      <c r="U698" s="876"/>
      <c r="V698" s="876"/>
      <c r="W698" s="876"/>
    </row>
    <row r="699" spans="1:23" hidden="1" x14ac:dyDescent="0.25">
      <c r="A699" s="876"/>
      <c r="B699" s="876"/>
      <c r="C699" s="762"/>
      <c r="D699" s="810" t="str">
        <f>D698&amp;"KW"</f>
        <v>KW</v>
      </c>
      <c r="E699" s="760" t="s">
        <v>159</v>
      </c>
      <c r="F699" s="1773"/>
      <c r="G699" s="1774"/>
      <c r="H699" s="1773"/>
      <c r="I699" s="1774"/>
      <c r="J699" s="1773"/>
      <c r="K699" s="1774"/>
      <c r="L699" s="1773"/>
      <c r="M699" s="1774"/>
      <c r="N699" s="1773"/>
      <c r="O699" s="1774"/>
      <c r="P699" s="876"/>
      <c r="Q699" s="876"/>
      <c r="R699" s="876"/>
      <c r="S699" s="876"/>
      <c r="T699" s="876"/>
      <c r="U699" s="876"/>
      <c r="V699" s="876"/>
      <c r="W699" s="876"/>
    </row>
    <row r="700" spans="1:23" hidden="1" x14ac:dyDescent="0.25">
      <c r="A700" s="876"/>
      <c r="B700" s="876"/>
      <c r="C700" s="762" t="s">
        <v>2827</v>
      </c>
      <c r="D700" s="979"/>
      <c r="E700" s="760" t="s">
        <v>158</v>
      </c>
      <c r="F700" s="1773"/>
      <c r="G700" s="1774"/>
      <c r="H700" s="1773"/>
      <c r="I700" s="1774"/>
      <c r="J700" s="1773"/>
      <c r="K700" s="1774"/>
      <c r="L700" s="1773"/>
      <c r="M700" s="1774"/>
      <c r="N700" s="1773"/>
      <c r="O700" s="1774"/>
      <c r="P700" s="876"/>
      <c r="Q700" s="876"/>
      <c r="R700" s="876"/>
      <c r="S700" s="876"/>
      <c r="T700" s="876"/>
      <c r="U700" s="876"/>
      <c r="V700" s="876"/>
      <c r="W700" s="876"/>
    </row>
    <row r="701" spans="1:23" hidden="1" x14ac:dyDescent="0.25">
      <c r="A701" s="876"/>
      <c r="B701" s="876"/>
      <c r="C701" s="762"/>
      <c r="D701" s="810" t="str">
        <f>D700&amp;"KW"</f>
        <v>KW</v>
      </c>
      <c r="E701" s="760" t="s">
        <v>159</v>
      </c>
      <c r="F701" s="1773"/>
      <c r="G701" s="1774"/>
      <c r="H701" s="1773"/>
      <c r="I701" s="1774"/>
      <c r="J701" s="1773"/>
      <c r="K701" s="1774"/>
      <c r="L701" s="1773"/>
      <c r="M701" s="1774"/>
      <c r="N701" s="1773"/>
      <c r="O701" s="1774"/>
      <c r="P701" s="876"/>
      <c r="Q701" s="876"/>
      <c r="R701" s="876"/>
      <c r="S701" s="876"/>
      <c r="T701" s="876"/>
      <c r="U701" s="876"/>
      <c r="V701" s="876"/>
      <c r="W701" s="876"/>
    </row>
    <row r="702" spans="1:23" hidden="1" x14ac:dyDescent="0.25">
      <c r="A702" s="876"/>
      <c r="B702" s="876"/>
      <c r="C702" s="762" t="s">
        <v>2828</v>
      </c>
      <c r="D702" s="979"/>
      <c r="E702" s="760" t="s">
        <v>158</v>
      </c>
      <c r="F702" s="1773"/>
      <c r="G702" s="1774"/>
      <c r="H702" s="1773"/>
      <c r="I702" s="1774"/>
      <c r="J702" s="1773"/>
      <c r="K702" s="1774"/>
      <c r="L702" s="1773"/>
      <c r="M702" s="1774"/>
      <c r="N702" s="1773"/>
      <c r="O702" s="1774"/>
      <c r="P702" s="876"/>
      <c r="Q702" s="876"/>
      <c r="R702" s="876"/>
      <c r="S702" s="876"/>
      <c r="T702" s="876"/>
      <c r="U702" s="876"/>
      <c r="V702" s="876"/>
      <c r="W702" s="876"/>
    </row>
    <row r="703" spans="1:23" hidden="1" x14ac:dyDescent="0.25">
      <c r="A703" s="876"/>
      <c r="B703" s="876"/>
      <c r="C703" s="762"/>
      <c r="D703" s="810" t="str">
        <f>D702&amp;"KW"</f>
        <v>KW</v>
      </c>
      <c r="E703" s="760" t="s">
        <v>159</v>
      </c>
      <c r="F703" s="1773"/>
      <c r="G703" s="1774"/>
      <c r="H703" s="1773"/>
      <c r="I703" s="1774"/>
      <c r="J703" s="1773"/>
      <c r="K703" s="1774"/>
      <c r="L703" s="1773"/>
      <c r="M703" s="1774"/>
      <c r="N703" s="1773"/>
      <c r="O703" s="1774"/>
      <c r="P703" s="876"/>
      <c r="Q703" s="876"/>
      <c r="R703" s="876"/>
      <c r="S703" s="876"/>
      <c r="T703" s="876"/>
      <c r="U703" s="876"/>
      <c r="V703" s="876"/>
      <c r="W703" s="876"/>
    </row>
    <row r="704" spans="1:23" hidden="1" x14ac:dyDescent="0.25">
      <c r="A704" s="876"/>
      <c r="B704" s="876"/>
      <c r="C704" s="762" t="s">
        <v>2829</v>
      </c>
      <c r="D704" s="979"/>
      <c r="E704" s="760" t="s">
        <v>158</v>
      </c>
      <c r="F704" s="1773"/>
      <c r="G704" s="1774"/>
      <c r="H704" s="1773"/>
      <c r="I704" s="1774"/>
      <c r="J704" s="1773"/>
      <c r="K704" s="1774"/>
      <c r="L704" s="1773"/>
      <c r="M704" s="1774"/>
      <c r="N704" s="1773"/>
      <c r="O704" s="1774"/>
      <c r="P704" s="876"/>
      <c r="Q704" s="876"/>
      <c r="R704" s="876"/>
      <c r="S704" s="876"/>
      <c r="T704" s="876"/>
      <c r="U704" s="876"/>
      <c r="V704" s="876"/>
      <c r="W704" s="876"/>
    </row>
    <row r="705" spans="1:23" hidden="1" x14ac:dyDescent="0.25">
      <c r="A705" s="876"/>
      <c r="B705" s="876"/>
      <c r="C705" s="762"/>
      <c r="D705" s="810" t="str">
        <f>D704&amp;"KW"</f>
        <v>KW</v>
      </c>
      <c r="E705" s="760" t="s">
        <v>159</v>
      </c>
      <c r="F705" s="1773"/>
      <c r="G705" s="1774"/>
      <c r="H705" s="1773"/>
      <c r="I705" s="1774"/>
      <c r="J705" s="1773"/>
      <c r="K705" s="1774"/>
      <c r="L705" s="1773"/>
      <c r="M705" s="1774"/>
      <c r="N705" s="1773"/>
      <c r="O705" s="1774"/>
      <c r="P705" s="876"/>
      <c r="Q705" s="876"/>
      <c r="R705" s="876"/>
      <c r="S705" s="876"/>
      <c r="T705" s="876"/>
      <c r="U705" s="876"/>
      <c r="V705" s="876"/>
      <c r="W705" s="876"/>
    </row>
    <row r="706" spans="1:23" hidden="1" x14ac:dyDescent="0.25">
      <c r="A706" s="876"/>
      <c r="B706" s="876"/>
      <c r="C706" s="762" t="s">
        <v>2830</v>
      </c>
      <c r="D706" s="979"/>
      <c r="E706" s="760" t="s">
        <v>158</v>
      </c>
      <c r="F706" s="1773"/>
      <c r="G706" s="1774"/>
      <c r="H706" s="1773"/>
      <c r="I706" s="1774"/>
      <c r="J706" s="1773"/>
      <c r="K706" s="1774"/>
      <c r="L706" s="1773"/>
      <c r="M706" s="1774"/>
      <c r="N706" s="1773"/>
      <c r="O706" s="1774"/>
      <c r="P706" s="876"/>
      <c r="Q706" s="876"/>
      <c r="R706" s="876"/>
      <c r="S706" s="876"/>
      <c r="T706" s="876"/>
      <c r="U706" s="876"/>
      <c r="V706" s="876"/>
      <c r="W706" s="876"/>
    </row>
    <row r="707" spans="1:23" hidden="1" x14ac:dyDescent="0.25">
      <c r="A707" s="876"/>
      <c r="B707" s="876"/>
      <c r="C707" s="762"/>
      <c r="D707" s="810" t="str">
        <f>D706&amp;"KW"</f>
        <v>KW</v>
      </c>
      <c r="E707" s="760" t="s">
        <v>159</v>
      </c>
      <c r="F707" s="1773"/>
      <c r="G707" s="1774"/>
      <c r="H707" s="1773"/>
      <c r="I707" s="1774"/>
      <c r="J707" s="1773"/>
      <c r="K707" s="1774"/>
      <c r="L707" s="1773"/>
      <c r="M707" s="1774"/>
      <c r="N707" s="1773"/>
      <c r="O707" s="1774"/>
      <c r="P707" s="876"/>
      <c r="Q707" s="876"/>
      <c r="R707" s="876"/>
      <c r="S707" s="876"/>
      <c r="T707" s="876"/>
      <c r="U707" s="876"/>
      <c r="V707" s="876"/>
      <c r="W707" s="876"/>
    </row>
    <row r="708" spans="1:23" hidden="1" x14ac:dyDescent="0.25">
      <c r="A708" s="876"/>
      <c r="B708" s="876"/>
      <c r="C708" s="762" t="s">
        <v>2831</v>
      </c>
      <c r="D708" s="979"/>
      <c r="E708" s="760" t="s">
        <v>158</v>
      </c>
      <c r="F708" s="1773"/>
      <c r="G708" s="1774"/>
      <c r="H708" s="1773"/>
      <c r="I708" s="1774"/>
      <c r="J708" s="1773"/>
      <c r="K708" s="1774"/>
      <c r="L708" s="1773"/>
      <c r="M708" s="1774"/>
      <c r="N708" s="1773"/>
      <c r="O708" s="1774"/>
      <c r="P708" s="876"/>
      <c r="Q708" s="876"/>
      <c r="R708" s="876"/>
      <c r="S708" s="876"/>
      <c r="T708" s="876"/>
      <c r="U708" s="876"/>
      <c r="V708" s="876"/>
      <c r="W708" s="876"/>
    </row>
    <row r="709" spans="1:23" hidden="1" x14ac:dyDescent="0.25">
      <c r="A709" s="876"/>
      <c r="B709" s="876"/>
      <c r="C709" s="762"/>
      <c r="D709" s="810" t="str">
        <f>D708&amp;"KW"</f>
        <v>KW</v>
      </c>
      <c r="E709" s="760" t="s">
        <v>159</v>
      </c>
      <c r="F709" s="1773"/>
      <c r="G709" s="1774"/>
      <c r="H709" s="1773"/>
      <c r="I709" s="1774"/>
      <c r="J709" s="1773"/>
      <c r="K709" s="1774"/>
      <c r="L709" s="1773"/>
      <c r="M709" s="1774"/>
      <c r="N709" s="1773"/>
      <c r="O709" s="1774"/>
      <c r="P709" s="876"/>
      <c r="Q709" s="876"/>
      <c r="R709" s="876"/>
      <c r="S709" s="876"/>
      <c r="T709" s="876"/>
      <c r="U709" s="876"/>
      <c r="V709" s="876"/>
      <c r="W709" s="876"/>
    </row>
    <row r="710" spans="1:23" hidden="1" x14ac:dyDescent="0.25">
      <c r="A710" s="876"/>
      <c r="B710" s="876"/>
      <c r="C710" s="762" t="s">
        <v>2832</v>
      </c>
      <c r="D710" s="979"/>
      <c r="E710" s="760" t="s">
        <v>158</v>
      </c>
      <c r="F710" s="1773"/>
      <c r="G710" s="1774"/>
      <c r="H710" s="1773"/>
      <c r="I710" s="1774"/>
      <c r="J710" s="1773"/>
      <c r="K710" s="1774"/>
      <c r="L710" s="1773"/>
      <c r="M710" s="1774"/>
      <c r="N710" s="1773"/>
      <c r="O710" s="1774"/>
      <c r="P710" s="876"/>
      <c r="Q710" s="876"/>
      <c r="R710" s="876"/>
      <c r="S710" s="876"/>
      <c r="T710" s="876"/>
      <c r="U710" s="876"/>
      <c r="V710" s="876"/>
      <c r="W710" s="876"/>
    </row>
    <row r="711" spans="1:23" hidden="1" x14ac:dyDescent="0.25">
      <c r="A711" s="876"/>
      <c r="B711" s="876"/>
      <c r="C711" s="762"/>
      <c r="D711" s="810" t="str">
        <f>D710&amp;"KW"</f>
        <v>KW</v>
      </c>
      <c r="E711" s="760" t="s">
        <v>159</v>
      </c>
      <c r="F711" s="1773"/>
      <c r="G711" s="1774"/>
      <c r="H711" s="1773"/>
      <c r="I711" s="1774"/>
      <c r="J711" s="1773"/>
      <c r="K711" s="1774"/>
      <c r="L711" s="1773"/>
      <c r="M711" s="1774"/>
      <c r="N711" s="1773"/>
      <c r="O711" s="1774"/>
      <c r="P711" s="876"/>
      <c r="Q711" s="876"/>
      <c r="R711" s="876"/>
      <c r="S711" s="876"/>
      <c r="T711" s="876"/>
      <c r="U711" s="876"/>
      <c r="V711" s="876"/>
      <c r="W711" s="876"/>
    </row>
    <row r="712" spans="1:23" hidden="1" x14ac:dyDescent="0.25">
      <c r="A712" s="876"/>
      <c r="B712" s="876"/>
      <c r="C712" s="762" t="s">
        <v>2833</v>
      </c>
      <c r="D712" s="979"/>
      <c r="E712" s="760" t="s">
        <v>158</v>
      </c>
      <c r="F712" s="1773"/>
      <c r="G712" s="1774"/>
      <c r="H712" s="1773"/>
      <c r="I712" s="1774"/>
      <c r="J712" s="1773"/>
      <c r="K712" s="1774"/>
      <c r="L712" s="1773"/>
      <c r="M712" s="1774"/>
      <c r="N712" s="1773"/>
      <c r="O712" s="1774"/>
      <c r="P712" s="876"/>
      <c r="Q712" s="876"/>
      <c r="R712" s="876"/>
      <c r="S712" s="876"/>
      <c r="T712" s="876"/>
      <c r="U712" s="876"/>
      <c r="V712" s="876"/>
      <c r="W712" s="876"/>
    </row>
    <row r="713" spans="1:23" hidden="1" x14ac:dyDescent="0.25">
      <c r="A713" s="876"/>
      <c r="B713" s="876"/>
      <c r="C713" s="762"/>
      <c r="D713" s="810" t="str">
        <f>D712&amp;"KW"</f>
        <v>KW</v>
      </c>
      <c r="E713" s="760" t="s">
        <v>159</v>
      </c>
      <c r="F713" s="1773"/>
      <c r="G713" s="1774"/>
      <c r="H713" s="1773"/>
      <c r="I713" s="1774"/>
      <c r="J713" s="1773"/>
      <c r="K713" s="1774"/>
      <c r="L713" s="1773"/>
      <c r="M713" s="1774"/>
      <c r="N713" s="1773"/>
      <c r="O713" s="1774"/>
      <c r="P713" s="876"/>
      <c r="Q713" s="876"/>
      <c r="R713" s="876"/>
      <c r="S713" s="876"/>
      <c r="T713" s="876"/>
      <c r="U713" s="876"/>
      <c r="V713" s="876"/>
      <c r="W713" s="876"/>
    </row>
    <row r="714" spans="1:23" hidden="1" x14ac:dyDescent="0.25">
      <c r="A714" s="876"/>
      <c r="B714" s="876"/>
      <c r="C714" s="762" t="s">
        <v>2834</v>
      </c>
      <c r="D714" s="979"/>
      <c r="E714" s="760" t="s">
        <v>158</v>
      </c>
      <c r="F714" s="1773"/>
      <c r="G714" s="1774"/>
      <c r="H714" s="1773"/>
      <c r="I714" s="1774"/>
      <c r="J714" s="1773"/>
      <c r="K714" s="1774"/>
      <c r="L714" s="1773"/>
      <c r="M714" s="1774"/>
      <c r="N714" s="1773"/>
      <c r="O714" s="1774"/>
      <c r="P714" s="876"/>
      <c r="Q714" s="876"/>
      <c r="R714" s="876"/>
      <c r="S714" s="876"/>
      <c r="T714" s="876"/>
      <c r="U714" s="876"/>
      <c r="V714" s="876"/>
      <c r="W714" s="876"/>
    </row>
    <row r="715" spans="1:23" hidden="1" x14ac:dyDescent="0.25">
      <c r="A715" s="876"/>
      <c r="B715" s="876"/>
      <c r="C715" s="762"/>
      <c r="D715" s="810" t="str">
        <f>D714&amp;"KW"</f>
        <v>KW</v>
      </c>
      <c r="E715" s="760" t="s">
        <v>159</v>
      </c>
      <c r="F715" s="1773"/>
      <c r="G715" s="1774"/>
      <c r="H715" s="1773"/>
      <c r="I715" s="1774"/>
      <c r="J715" s="1773"/>
      <c r="K715" s="1774"/>
      <c r="L715" s="1773"/>
      <c r="M715" s="1774"/>
      <c r="N715" s="1773"/>
      <c r="O715" s="1774"/>
      <c r="P715" s="876"/>
      <c r="Q715" s="876"/>
      <c r="R715" s="876"/>
      <c r="S715" s="876"/>
      <c r="T715" s="876"/>
      <c r="U715" s="876"/>
      <c r="V715" s="876"/>
      <c r="W715" s="876"/>
    </row>
    <row r="716" spans="1:23" hidden="1" x14ac:dyDescent="0.25">
      <c r="A716" s="876"/>
      <c r="B716" s="876"/>
      <c r="C716" s="762" t="s">
        <v>2835</v>
      </c>
      <c r="D716" s="979"/>
      <c r="E716" s="760" t="s">
        <v>158</v>
      </c>
      <c r="F716" s="1773"/>
      <c r="G716" s="1774"/>
      <c r="H716" s="1773"/>
      <c r="I716" s="1774"/>
      <c r="J716" s="1773"/>
      <c r="K716" s="1774"/>
      <c r="L716" s="1773"/>
      <c r="M716" s="1774"/>
      <c r="N716" s="1773"/>
      <c r="O716" s="1774"/>
      <c r="P716" s="876"/>
      <c r="Q716" s="876"/>
      <c r="R716" s="876"/>
      <c r="S716" s="876"/>
      <c r="T716" s="876"/>
      <c r="U716" s="876"/>
      <c r="V716" s="876"/>
      <c r="W716" s="876"/>
    </row>
    <row r="717" spans="1:23" hidden="1" x14ac:dyDescent="0.25">
      <c r="A717" s="876"/>
      <c r="B717" s="876"/>
      <c r="C717" s="762"/>
      <c r="D717" s="810" t="str">
        <f>D716&amp;"KW"</f>
        <v>KW</v>
      </c>
      <c r="E717" s="760" t="s">
        <v>159</v>
      </c>
      <c r="F717" s="1773"/>
      <c r="G717" s="1774"/>
      <c r="H717" s="1773"/>
      <c r="I717" s="1774"/>
      <c r="J717" s="1773"/>
      <c r="K717" s="1774"/>
      <c r="L717" s="1773"/>
      <c r="M717" s="1774"/>
      <c r="N717" s="1773"/>
      <c r="O717" s="1774"/>
      <c r="P717" s="876"/>
      <c r="Q717" s="876"/>
      <c r="R717" s="876"/>
      <c r="S717" s="876"/>
      <c r="T717" s="876"/>
      <c r="U717" s="876"/>
      <c r="V717" s="876"/>
      <c r="W717" s="876"/>
    </row>
    <row r="718" spans="1:23" hidden="1" x14ac:dyDescent="0.25">
      <c r="A718" s="876"/>
      <c r="B718" s="876"/>
      <c r="C718" s="762" t="s">
        <v>2836</v>
      </c>
      <c r="D718" s="979"/>
      <c r="E718" s="760" t="s">
        <v>158</v>
      </c>
      <c r="F718" s="1773"/>
      <c r="G718" s="1774"/>
      <c r="H718" s="1773"/>
      <c r="I718" s="1774"/>
      <c r="J718" s="1773"/>
      <c r="K718" s="1774"/>
      <c r="L718" s="1773"/>
      <c r="M718" s="1774"/>
      <c r="N718" s="1773"/>
      <c r="O718" s="1774"/>
      <c r="P718" s="876"/>
      <c r="Q718" s="876"/>
      <c r="R718" s="876"/>
      <c r="S718" s="876"/>
      <c r="T718" s="876"/>
      <c r="U718" s="876"/>
      <c r="V718" s="876"/>
      <c r="W718" s="876"/>
    </row>
    <row r="719" spans="1:23" hidden="1" x14ac:dyDescent="0.25">
      <c r="A719" s="876"/>
      <c r="B719" s="876"/>
      <c r="C719" s="762"/>
      <c r="D719" s="810" t="str">
        <f>D718&amp;"KW"</f>
        <v>KW</v>
      </c>
      <c r="E719" s="760" t="s">
        <v>159</v>
      </c>
      <c r="F719" s="1773"/>
      <c r="G719" s="1774"/>
      <c r="H719" s="1773"/>
      <c r="I719" s="1774"/>
      <c r="J719" s="1773"/>
      <c r="K719" s="1774"/>
      <c r="L719" s="1773"/>
      <c r="M719" s="1774"/>
      <c r="N719" s="1773"/>
      <c r="O719" s="1774"/>
      <c r="P719" s="876"/>
      <c r="Q719" s="876"/>
      <c r="R719" s="876"/>
      <c r="S719" s="876"/>
      <c r="T719" s="876"/>
      <c r="U719" s="876"/>
      <c r="V719" s="876"/>
      <c r="W719" s="876"/>
    </row>
    <row r="720" spans="1:23" hidden="1" x14ac:dyDescent="0.25">
      <c r="A720" s="876"/>
      <c r="B720" s="876"/>
      <c r="C720" s="762" t="s">
        <v>2837</v>
      </c>
      <c r="D720" s="979"/>
      <c r="E720" s="760" t="s">
        <v>158</v>
      </c>
      <c r="F720" s="1773"/>
      <c r="G720" s="1774"/>
      <c r="H720" s="1773"/>
      <c r="I720" s="1774"/>
      <c r="J720" s="1773"/>
      <c r="K720" s="1774"/>
      <c r="L720" s="1773"/>
      <c r="M720" s="1774"/>
      <c r="N720" s="1773"/>
      <c r="O720" s="1774"/>
      <c r="P720" s="876"/>
      <c r="Q720" s="876"/>
      <c r="R720" s="876"/>
      <c r="S720" s="876"/>
      <c r="T720" s="876"/>
      <c r="U720" s="876"/>
      <c r="V720" s="876"/>
      <c r="W720" s="876"/>
    </row>
    <row r="721" spans="1:23" hidden="1" x14ac:dyDescent="0.25">
      <c r="A721" s="876"/>
      <c r="B721" s="876"/>
      <c r="C721" s="762"/>
      <c r="D721" s="810" t="str">
        <f>D720&amp;"KW"</f>
        <v>KW</v>
      </c>
      <c r="E721" s="760" t="s">
        <v>159</v>
      </c>
      <c r="F721" s="1773"/>
      <c r="G721" s="1774"/>
      <c r="H721" s="1773"/>
      <c r="I721" s="1774"/>
      <c r="J721" s="1773"/>
      <c r="K721" s="1774"/>
      <c r="L721" s="1773"/>
      <c r="M721" s="1774"/>
      <c r="N721" s="1773"/>
      <c r="O721" s="1774"/>
      <c r="P721" s="876"/>
      <c r="Q721" s="876"/>
      <c r="R721" s="876"/>
      <c r="S721" s="876"/>
      <c r="T721" s="876"/>
      <c r="U721" s="876"/>
      <c r="V721" s="876"/>
      <c r="W721" s="876"/>
    </row>
    <row r="722" spans="1:23" hidden="1" x14ac:dyDescent="0.25">
      <c r="A722" s="876"/>
      <c r="B722" s="876"/>
      <c r="C722" s="762" t="s">
        <v>2838</v>
      </c>
      <c r="D722" s="979"/>
      <c r="E722" s="760" t="s">
        <v>158</v>
      </c>
      <c r="F722" s="1773"/>
      <c r="G722" s="1774"/>
      <c r="H722" s="1773"/>
      <c r="I722" s="1774"/>
      <c r="J722" s="1773"/>
      <c r="K722" s="1774"/>
      <c r="L722" s="1773"/>
      <c r="M722" s="1774"/>
      <c r="N722" s="1773"/>
      <c r="O722" s="1774"/>
      <c r="P722" s="876"/>
      <c r="Q722" s="876"/>
      <c r="R722" s="876"/>
      <c r="S722" s="876"/>
      <c r="T722" s="876"/>
      <c r="U722" s="876"/>
      <c r="V722" s="876"/>
      <c r="W722" s="876"/>
    </row>
    <row r="723" spans="1:23" hidden="1" x14ac:dyDescent="0.25">
      <c r="A723" s="876"/>
      <c r="B723" s="876"/>
      <c r="C723" s="762"/>
      <c r="D723" s="810" t="str">
        <f>D722&amp;"KW"</f>
        <v>KW</v>
      </c>
      <c r="E723" s="760" t="s">
        <v>159</v>
      </c>
      <c r="F723" s="1773"/>
      <c r="G723" s="1774"/>
      <c r="H723" s="1773"/>
      <c r="I723" s="1774"/>
      <c r="J723" s="1773"/>
      <c r="K723" s="1774"/>
      <c r="L723" s="1773"/>
      <c r="M723" s="1774"/>
      <c r="N723" s="1773"/>
      <c r="O723" s="1774"/>
      <c r="P723" s="876"/>
      <c r="Q723" s="876"/>
      <c r="R723" s="876"/>
      <c r="S723" s="876"/>
      <c r="T723" s="876"/>
      <c r="U723" s="876"/>
      <c r="V723" s="876"/>
      <c r="W723" s="876"/>
    </row>
    <row r="724" spans="1:23" hidden="1" x14ac:dyDescent="0.25">
      <c r="A724" s="876"/>
      <c r="B724" s="876"/>
      <c r="C724" s="762" t="s">
        <v>2839</v>
      </c>
      <c r="D724" s="979"/>
      <c r="E724" s="760" t="s">
        <v>158</v>
      </c>
      <c r="F724" s="1773"/>
      <c r="G724" s="1774"/>
      <c r="H724" s="1773"/>
      <c r="I724" s="1774"/>
      <c r="J724" s="1773"/>
      <c r="K724" s="1774"/>
      <c r="L724" s="1773"/>
      <c r="M724" s="1774"/>
      <c r="N724" s="1773"/>
      <c r="O724" s="1774"/>
      <c r="P724" s="876"/>
      <c r="Q724" s="876"/>
      <c r="R724" s="876"/>
      <c r="S724" s="876"/>
      <c r="T724" s="876"/>
      <c r="U724" s="876"/>
      <c r="V724" s="876"/>
      <c r="W724" s="876"/>
    </row>
    <row r="725" spans="1:23" hidden="1" x14ac:dyDescent="0.25">
      <c r="A725" s="876"/>
      <c r="B725" s="876"/>
      <c r="C725" s="762"/>
      <c r="D725" s="810" t="str">
        <f>D724&amp;"KW"</f>
        <v>KW</v>
      </c>
      <c r="E725" s="760" t="s">
        <v>159</v>
      </c>
      <c r="F725" s="1773"/>
      <c r="G725" s="1774"/>
      <c r="H725" s="1773"/>
      <c r="I725" s="1774"/>
      <c r="J725" s="1773"/>
      <c r="K725" s="1774"/>
      <c r="L725" s="1773"/>
      <c r="M725" s="1774"/>
      <c r="N725" s="1773"/>
      <c r="O725" s="1774"/>
      <c r="P725" s="876"/>
      <c r="Q725" s="876"/>
      <c r="R725" s="876"/>
      <c r="S725" s="876"/>
      <c r="T725" s="876"/>
      <c r="U725" s="876"/>
      <c r="V725" s="876"/>
      <c r="W725" s="876"/>
    </row>
    <row r="726" spans="1:23" hidden="1" x14ac:dyDescent="0.25">
      <c r="A726" s="876"/>
      <c r="B726" s="876"/>
      <c r="C726" s="762" t="s">
        <v>2840</v>
      </c>
      <c r="D726" s="979"/>
      <c r="E726" s="760" t="s">
        <v>158</v>
      </c>
      <c r="F726" s="1773"/>
      <c r="G726" s="1774"/>
      <c r="H726" s="1773"/>
      <c r="I726" s="1774"/>
      <c r="J726" s="1773"/>
      <c r="K726" s="1774"/>
      <c r="L726" s="1773"/>
      <c r="M726" s="1774"/>
      <c r="N726" s="1773"/>
      <c r="O726" s="1774"/>
      <c r="P726" s="876"/>
      <c r="Q726" s="876"/>
      <c r="R726" s="876"/>
      <c r="S726" s="876"/>
      <c r="T726" s="876"/>
      <c r="U726" s="876"/>
      <c r="V726" s="876"/>
      <c r="W726" s="876"/>
    </row>
    <row r="727" spans="1:23" hidden="1" x14ac:dyDescent="0.25">
      <c r="A727" s="876"/>
      <c r="B727" s="876"/>
      <c r="C727" s="762"/>
      <c r="D727" s="810" t="str">
        <f>D726&amp;"KW"</f>
        <v>KW</v>
      </c>
      <c r="E727" s="760" t="s">
        <v>159</v>
      </c>
      <c r="F727" s="1773"/>
      <c r="G727" s="1774"/>
      <c r="H727" s="1773"/>
      <c r="I727" s="1774"/>
      <c r="J727" s="1773"/>
      <c r="K727" s="1774"/>
      <c r="L727" s="1773"/>
      <c r="M727" s="1774"/>
      <c r="N727" s="1773"/>
      <c r="O727" s="1774"/>
      <c r="P727" s="876"/>
      <c r="Q727" s="876"/>
      <c r="R727" s="876"/>
      <c r="S727" s="876"/>
      <c r="T727" s="876"/>
      <c r="U727" s="876"/>
      <c r="V727" s="876"/>
      <c r="W727" s="876"/>
    </row>
    <row r="728" spans="1:23" hidden="1" x14ac:dyDescent="0.25">
      <c r="A728" s="876"/>
      <c r="B728" s="876"/>
      <c r="C728" s="762" t="s">
        <v>2841</v>
      </c>
      <c r="D728" s="979"/>
      <c r="E728" s="760" t="s">
        <v>158</v>
      </c>
      <c r="F728" s="1773"/>
      <c r="G728" s="1774"/>
      <c r="H728" s="1773"/>
      <c r="I728" s="1774"/>
      <c r="J728" s="1773"/>
      <c r="K728" s="1774"/>
      <c r="L728" s="1773"/>
      <c r="M728" s="1774"/>
      <c r="N728" s="1773"/>
      <c r="O728" s="1774"/>
      <c r="P728" s="876"/>
      <c r="Q728" s="876"/>
      <c r="R728" s="876"/>
      <c r="S728" s="876"/>
      <c r="T728" s="876"/>
      <c r="U728" s="876"/>
      <c r="V728" s="876"/>
      <c r="W728" s="876"/>
    </row>
    <row r="729" spans="1:23" hidden="1" x14ac:dyDescent="0.25">
      <c r="A729" s="876"/>
      <c r="B729" s="876"/>
      <c r="C729" s="762"/>
      <c r="D729" s="810" t="str">
        <f>D728&amp;"KW"</f>
        <v>KW</v>
      </c>
      <c r="E729" s="760" t="s">
        <v>159</v>
      </c>
      <c r="F729" s="1773"/>
      <c r="G729" s="1774"/>
      <c r="H729" s="1773"/>
      <c r="I729" s="1774"/>
      <c r="J729" s="1773"/>
      <c r="K729" s="1774"/>
      <c r="L729" s="1773"/>
      <c r="M729" s="1774"/>
      <c r="N729" s="1773"/>
      <c r="O729" s="1774"/>
      <c r="P729" s="876"/>
      <c r="Q729" s="876"/>
      <c r="R729" s="876"/>
      <c r="S729" s="876"/>
      <c r="T729" s="876"/>
      <c r="U729" s="876"/>
      <c r="V729" s="876"/>
      <c r="W729" s="876"/>
    </row>
    <row r="730" spans="1:23" hidden="1" x14ac:dyDescent="0.25">
      <c r="A730" s="876"/>
      <c r="B730" s="876"/>
      <c r="C730" s="762" t="s">
        <v>2842</v>
      </c>
      <c r="D730" s="979"/>
      <c r="E730" s="760" t="s">
        <v>158</v>
      </c>
      <c r="F730" s="1773"/>
      <c r="G730" s="1774"/>
      <c r="H730" s="1773"/>
      <c r="I730" s="1774"/>
      <c r="J730" s="1773"/>
      <c r="K730" s="1774"/>
      <c r="L730" s="1773"/>
      <c r="M730" s="1774"/>
      <c r="N730" s="1773"/>
      <c r="O730" s="1774"/>
      <c r="P730" s="876"/>
      <c r="Q730" s="876"/>
      <c r="R730" s="876"/>
      <c r="S730" s="876"/>
      <c r="T730" s="876"/>
      <c r="U730" s="876"/>
      <c r="V730" s="876"/>
      <c r="W730" s="876"/>
    </row>
    <row r="731" spans="1:23" hidden="1" x14ac:dyDescent="0.25">
      <c r="A731" s="876"/>
      <c r="B731" s="876"/>
      <c r="C731" s="762"/>
      <c r="D731" s="810" t="str">
        <f>D730&amp;"KW"</f>
        <v>KW</v>
      </c>
      <c r="E731" s="760" t="s">
        <v>159</v>
      </c>
      <c r="F731" s="1773"/>
      <c r="G731" s="1774"/>
      <c r="H731" s="1773"/>
      <c r="I731" s="1774"/>
      <c r="J731" s="1773"/>
      <c r="K731" s="1774"/>
      <c r="L731" s="1773"/>
      <c r="M731" s="1774"/>
      <c r="N731" s="1773"/>
      <c r="O731" s="1774"/>
      <c r="P731" s="876"/>
      <c r="Q731" s="876"/>
      <c r="R731" s="876"/>
      <c r="S731" s="876"/>
      <c r="T731" s="876"/>
      <c r="U731" s="876"/>
      <c r="V731" s="876"/>
      <c r="W731" s="876"/>
    </row>
    <row r="732" spans="1:23" hidden="1" x14ac:dyDescent="0.25">
      <c r="A732" s="876"/>
      <c r="B732" s="876"/>
      <c r="C732" s="762" t="s">
        <v>2843</v>
      </c>
      <c r="D732" s="979"/>
      <c r="E732" s="760" t="s">
        <v>158</v>
      </c>
      <c r="F732" s="1773"/>
      <c r="G732" s="1774"/>
      <c r="H732" s="1773"/>
      <c r="I732" s="1774"/>
      <c r="J732" s="1773"/>
      <c r="K732" s="1774"/>
      <c r="L732" s="1773"/>
      <c r="M732" s="1774"/>
      <c r="N732" s="1773"/>
      <c r="O732" s="1774"/>
      <c r="P732" s="876"/>
      <c r="Q732" s="876"/>
      <c r="R732" s="876"/>
      <c r="S732" s="876"/>
      <c r="T732" s="876"/>
      <c r="U732" s="876"/>
      <c r="V732" s="876"/>
      <c r="W732" s="876"/>
    </row>
    <row r="733" spans="1:23" hidden="1" x14ac:dyDescent="0.25">
      <c r="A733" s="876"/>
      <c r="B733" s="876"/>
      <c r="C733" s="762"/>
      <c r="D733" s="810" t="str">
        <f>D732&amp;"KW"</f>
        <v>KW</v>
      </c>
      <c r="E733" s="760" t="s">
        <v>159</v>
      </c>
      <c r="F733" s="1773"/>
      <c r="G733" s="1774"/>
      <c r="H733" s="1773"/>
      <c r="I733" s="1774"/>
      <c r="J733" s="1773"/>
      <c r="K733" s="1774"/>
      <c r="L733" s="1773"/>
      <c r="M733" s="1774"/>
      <c r="N733" s="1773"/>
      <c r="O733" s="1774"/>
      <c r="P733" s="876"/>
      <c r="Q733" s="876"/>
      <c r="R733" s="876"/>
      <c r="S733" s="876"/>
      <c r="T733" s="876"/>
      <c r="U733" s="876"/>
      <c r="V733" s="876"/>
      <c r="W733" s="876"/>
    </row>
    <row r="734" spans="1:23" hidden="1" x14ac:dyDescent="0.25">
      <c r="A734" s="876"/>
      <c r="B734" s="876"/>
      <c r="C734" s="762" t="s">
        <v>2844</v>
      </c>
      <c r="D734" s="979"/>
      <c r="E734" s="760" t="s">
        <v>158</v>
      </c>
      <c r="F734" s="1773"/>
      <c r="G734" s="1774"/>
      <c r="H734" s="1773"/>
      <c r="I734" s="1774"/>
      <c r="J734" s="1773"/>
      <c r="K734" s="1774"/>
      <c r="L734" s="1773"/>
      <c r="M734" s="1774"/>
      <c r="N734" s="1773"/>
      <c r="O734" s="1774"/>
      <c r="P734" s="876"/>
      <c r="Q734" s="876"/>
      <c r="R734" s="876"/>
      <c r="S734" s="876"/>
      <c r="T734" s="876"/>
      <c r="U734" s="876"/>
      <c r="V734" s="876"/>
      <c r="W734" s="876"/>
    </row>
    <row r="735" spans="1:23" hidden="1" x14ac:dyDescent="0.25">
      <c r="A735" s="876"/>
      <c r="B735" s="876"/>
      <c r="C735" s="762"/>
      <c r="D735" s="810" t="str">
        <f>D734&amp;"KW"</f>
        <v>KW</v>
      </c>
      <c r="E735" s="760" t="s">
        <v>159</v>
      </c>
      <c r="F735" s="1773"/>
      <c r="G735" s="1774"/>
      <c r="H735" s="1773"/>
      <c r="I735" s="1774"/>
      <c r="J735" s="1773"/>
      <c r="K735" s="1774"/>
      <c r="L735" s="1773"/>
      <c r="M735" s="1774"/>
      <c r="N735" s="1773"/>
      <c r="O735" s="1774"/>
      <c r="P735" s="876"/>
      <c r="Q735" s="876"/>
      <c r="R735" s="876"/>
      <c r="S735" s="876"/>
      <c r="T735" s="876"/>
      <c r="U735" s="876"/>
      <c r="V735" s="876"/>
      <c r="W735" s="876"/>
    </row>
    <row r="736" spans="1:23" hidden="1" x14ac:dyDescent="0.25">
      <c r="A736" s="876"/>
      <c r="B736" s="876"/>
      <c r="C736" s="762" t="s">
        <v>2845</v>
      </c>
      <c r="D736" s="979"/>
      <c r="E736" s="760" t="s">
        <v>158</v>
      </c>
      <c r="F736" s="1773"/>
      <c r="G736" s="1774"/>
      <c r="H736" s="1773"/>
      <c r="I736" s="1774"/>
      <c r="J736" s="1773"/>
      <c r="K736" s="1774"/>
      <c r="L736" s="1773"/>
      <c r="M736" s="1774"/>
      <c r="N736" s="1773"/>
      <c r="O736" s="1774"/>
      <c r="P736" s="876"/>
      <c r="Q736" s="876"/>
      <c r="R736" s="876"/>
      <c r="S736" s="876"/>
      <c r="T736" s="876"/>
      <c r="U736" s="876"/>
      <c r="V736" s="876"/>
      <c r="W736" s="876"/>
    </row>
    <row r="737" spans="1:23" hidden="1" x14ac:dyDescent="0.25">
      <c r="A737" s="876"/>
      <c r="B737" s="876"/>
      <c r="C737" s="762"/>
      <c r="D737" s="810" t="str">
        <f>D736&amp;"KW"</f>
        <v>KW</v>
      </c>
      <c r="E737" s="760" t="s">
        <v>159</v>
      </c>
      <c r="F737" s="1773"/>
      <c r="G737" s="1774"/>
      <c r="H737" s="1773"/>
      <c r="I737" s="1774"/>
      <c r="J737" s="1773"/>
      <c r="K737" s="1774"/>
      <c r="L737" s="1773"/>
      <c r="M737" s="1774"/>
      <c r="N737" s="1773"/>
      <c r="O737" s="1774"/>
      <c r="P737" s="876"/>
      <c r="Q737" s="876"/>
      <c r="R737" s="876"/>
      <c r="S737" s="876"/>
      <c r="T737" s="876"/>
      <c r="U737" s="876"/>
      <c r="V737" s="876"/>
      <c r="W737" s="876"/>
    </row>
    <row r="738" spans="1:23" hidden="1" x14ac:dyDescent="0.25">
      <c r="A738" s="876"/>
      <c r="B738" s="876"/>
      <c r="C738" s="762" t="s">
        <v>2846</v>
      </c>
      <c r="D738" s="979"/>
      <c r="E738" s="760" t="s">
        <v>158</v>
      </c>
      <c r="F738" s="1773"/>
      <c r="G738" s="1774"/>
      <c r="H738" s="1773"/>
      <c r="I738" s="1774"/>
      <c r="J738" s="1773"/>
      <c r="K738" s="1774"/>
      <c r="L738" s="1773"/>
      <c r="M738" s="1774"/>
      <c r="N738" s="1773"/>
      <c r="O738" s="1774"/>
      <c r="P738" s="876"/>
      <c r="Q738" s="876"/>
      <c r="R738" s="876"/>
      <c r="S738" s="876"/>
      <c r="T738" s="876"/>
      <c r="U738" s="876"/>
      <c r="V738" s="876"/>
      <c r="W738" s="876"/>
    </row>
    <row r="739" spans="1:23" hidden="1" x14ac:dyDescent="0.25">
      <c r="A739" s="876"/>
      <c r="B739" s="876"/>
      <c r="C739" s="762"/>
      <c r="D739" s="810" t="str">
        <f>D738&amp;"KW"</f>
        <v>KW</v>
      </c>
      <c r="E739" s="760" t="s">
        <v>159</v>
      </c>
      <c r="F739" s="1773"/>
      <c r="G739" s="1774"/>
      <c r="H739" s="1773"/>
      <c r="I739" s="1774"/>
      <c r="J739" s="1773"/>
      <c r="K739" s="1774"/>
      <c r="L739" s="1773"/>
      <c r="M739" s="1774"/>
      <c r="N739" s="1773"/>
      <c r="O739" s="1774"/>
      <c r="P739" s="876"/>
      <c r="Q739" s="876"/>
      <c r="R739" s="876"/>
      <c r="S739" s="876"/>
      <c r="T739" s="876"/>
      <c r="U739" s="876"/>
      <c r="V739" s="876"/>
      <c r="W739" s="876"/>
    </row>
    <row r="740" spans="1:23" hidden="1" x14ac:dyDescent="0.25">
      <c r="A740" s="876"/>
      <c r="B740" s="876"/>
      <c r="C740" s="762" t="s">
        <v>2847</v>
      </c>
      <c r="D740" s="979"/>
      <c r="E740" s="760" t="s">
        <v>158</v>
      </c>
      <c r="F740" s="1773"/>
      <c r="G740" s="1774"/>
      <c r="H740" s="1773"/>
      <c r="I740" s="1774"/>
      <c r="J740" s="1773"/>
      <c r="K740" s="1774"/>
      <c r="L740" s="1773"/>
      <c r="M740" s="1774"/>
      <c r="N740" s="1773"/>
      <c r="O740" s="1774"/>
      <c r="P740" s="876"/>
      <c r="Q740" s="876"/>
      <c r="R740" s="876"/>
      <c r="S740" s="876"/>
      <c r="T740" s="876"/>
      <c r="U740" s="876"/>
      <c r="V740" s="876"/>
      <c r="W740" s="876"/>
    </row>
    <row r="741" spans="1:23" hidden="1" x14ac:dyDescent="0.25">
      <c r="A741" s="876"/>
      <c r="B741" s="876"/>
      <c r="C741" s="762"/>
      <c r="D741" s="810" t="str">
        <f>D740&amp;"KW"</f>
        <v>KW</v>
      </c>
      <c r="E741" s="760" t="s">
        <v>159</v>
      </c>
      <c r="F741" s="1773"/>
      <c r="G741" s="1774"/>
      <c r="H741" s="1773"/>
      <c r="I741" s="1774"/>
      <c r="J741" s="1773"/>
      <c r="K741" s="1774"/>
      <c r="L741" s="1773"/>
      <c r="M741" s="1774"/>
      <c r="N741" s="1773"/>
      <c r="O741" s="1774"/>
      <c r="P741" s="876"/>
      <c r="Q741" s="876"/>
      <c r="R741" s="876"/>
      <c r="S741" s="876"/>
      <c r="T741" s="876"/>
      <c r="U741" s="876"/>
      <c r="V741" s="876"/>
      <c r="W741" s="876"/>
    </row>
    <row r="742" spans="1:23" hidden="1" x14ac:dyDescent="0.25">
      <c r="A742" s="876"/>
      <c r="B742" s="876"/>
      <c r="C742" s="762" t="s">
        <v>2848</v>
      </c>
      <c r="D742" s="979"/>
      <c r="E742" s="760" t="s">
        <v>158</v>
      </c>
      <c r="F742" s="1773"/>
      <c r="G742" s="1774"/>
      <c r="H742" s="1773"/>
      <c r="I742" s="1774"/>
      <c r="J742" s="1773"/>
      <c r="K742" s="1774"/>
      <c r="L742" s="1773"/>
      <c r="M742" s="1774"/>
      <c r="N742" s="1773"/>
      <c r="O742" s="1774"/>
      <c r="P742" s="876"/>
      <c r="Q742" s="876"/>
      <c r="R742" s="876"/>
      <c r="S742" s="876"/>
      <c r="T742" s="876"/>
      <c r="U742" s="876"/>
      <c r="V742" s="876"/>
      <c r="W742" s="876"/>
    </row>
    <row r="743" spans="1:23" hidden="1" x14ac:dyDescent="0.25">
      <c r="A743" s="876"/>
      <c r="B743" s="876"/>
      <c r="C743" s="762"/>
      <c r="D743" s="810" t="str">
        <f>D742&amp;"KW"</f>
        <v>KW</v>
      </c>
      <c r="E743" s="760" t="s">
        <v>159</v>
      </c>
      <c r="F743" s="1773"/>
      <c r="G743" s="1774"/>
      <c r="H743" s="1773"/>
      <c r="I743" s="1774"/>
      <c r="J743" s="1773"/>
      <c r="K743" s="1774"/>
      <c r="L743" s="1773"/>
      <c r="M743" s="1774"/>
      <c r="N743" s="1773"/>
      <c r="O743" s="1774"/>
      <c r="P743" s="876"/>
      <c r="Q743" s="876"/>
      <c r="R743" s="876"/>
      <c r="S743" s="876"/>
      <c r="T743" s="876"/>
      <c r="U743" s="876"/>
      <c r="V743" s="876"/>
      <c r="W743" s="876"/>
    </row>
    <row r="744" spans="1:23" hidden="1" x14ac:dyDescent="0.25">
      <c r="A744" s="876"/>
      <c r="B744" s="876"/>
      <c r="C744" s="762" t="s">
        <v>2849</v>
      </c>
      <c r="D744" s="979"/>
      <c r="E744" s="760" t="s">
        <v>158</v>
      </c>
      <c r="F744" s="1773"/>
      <c r="G744" s="1774"/>
      <c r="H744" s="1773"/>
      <c r="I744" s="1774"/>
      <c r="J744" s="1773"/>
      <c r="K744" s="1774"/>
      <c r="L744" s="1773"/>
      <c r="M744" s="1774"/>
      <c r="N744" s="1773"/>
      <c r="O744" s="1774"/>
      <c r="P744" s="876"/>
      <c r="Q744" s="876"/>
      <c r="R744" s="876"/>
      <c r="S744" s="876"/>
      <c r="T744" s="876"/>
      <c r="U744" s="876"/>
      <c r="V744" s="876"/>
      <c r="W744" s="876"/>
    </row>
    <row r="745" spans="1:23" hidden="1" x14ac:dyDescent="0.25">
      <c r="A745" s="876"/>
      <c r="B745" s="876"/>
      <c r="C745" s="762"/>
      <c r="D745" s="810" t="str">
        <f>D744&amp;"KW"</f>
        <v>KW</v>
      </c>
      <c r="E745" s="760" t="s">
        <v>159</v>
      </c>
      <c r="F745" s="1773"/>
      <c r="G745" s="1774"/>
      <c r="H745" s="1773"/>
      <c r="I745" s="1774"/>
      <c r="J745" s="1773"/>
      <c r="K745" s="1774"/>
      <c r="L745" s="1773"/>
      <c r="M745" s="1774"/>
      <c r="N745" s="1773"/>
      <c r="O745" s="1774"/>
      <c r="P745" s="876"/>
      <c r="Q745" s="876"/>
      <c r="R745" s="876"/>
      <c r="S745" s="876"/>
      <c r="T745" s="876"/>
      <c r="U745" s="876"/>
      <c r="V745" s="876"/>
      <c r="W745" s="876"/>
    </row>
    <row r="746" spans="1:23" hidden="1" x14ac:dyDescent="0.25">
      <c r="A746" s="876"/>
      <c r="B746" s="876"/>
      <c r="C746" s="762" t="s">
        <v>2850</v>
      </c>
      <c r="D746" s="979"/>
      <c r="E746" s="760" t="s">
        <v>158</v>
      </c>
      <c r="F746" s="1773"/>
      <c r="G746" s="1774"/>
      <c r="H746" s="1773"/>
      <c r="I746" s="1774"/>
      <c r="J746" s="1773"/>
      <c r="K746" s="1774"/>
      <c r="L746" s="1773"/>
      <c r="M746" s="1774"/>
      <c r="N746" s="1773"/>
      <c r="O746" s="1774"/>
      <c r="P746" s="876"/>
      <c r="Q746" s="876"/>
      <c r="R746" s="876"/>
      <c r="S746" s="876"/>
      <c r="T746" s="876"/>
      <c r="U746" s="876"/>
      <c r="V746" s="876"/>
      <c r="W746" s="876"/>
    </row>
    <row r="747" spans="1:23" hidden="1" x14ac:dyDescent="0.25">
      <c r="A747" s="876"/>
      <c r="B747" s="876"/>
      <c r="C747" s="762"/>
      <c r="D747" s="810" t="str">
        <f>D746&amp;"KW"</f>
        <v>KW</v>
      </c>
      <c r="E747" s="760" t="s">
        <v>159</v>
      </c>
      <c r="F747" s="1773"/>
      <c r="G747" s="1774"/>
      <c r="H747" s="1773"/>
      <c r="I747" s="1774"/>
      <c r="J747" s="1773"/>
      <c r="K747" s="1774"/>
      <c r="L747" s="1773"/>
      <c r="M747" s="1774"/>
      <c r="N747" s="1773"/>
      <c r="O747" s="1774"/>
      <c r="P747" s="876"/>
      <c r="Q747" s="876"/>
      <c r="R747" s="876"/>
      <c r="S747" s="876"/>
      <c r="T747" s="876"/>
      <c r="U747" s="876"/>
      <c r="V747" s="876"/>
      <c r="W747" s="876"/>
    </row>
    <row r="748" spans="1:23" hidden="1" x14ac:dyDescent="0.25">
      <c r="A748" s="876"/>
      <c r="B748" s="876"/>
      <c r="C748" s="762" t="s">
        <v>2851</v>
      </c>
      <c r="D748" s="979"/>
      <c r="E748" s="760" t="s">
        <v>158</v>
      </c>
      <c r="F748" s="1773"/>
      <c r="G748" s="1774"/>
      <c r="H748" s="1773"/>
      <c r="I748" s="1774"/>
      <c r="J748" s="1773"/>
      <c r="K748" s="1774"/>
      <c r="L748" s="1773"/>
      <c r="M748" s="1774"/>
      <c r="N748" s="1773"/>
      <c r="O748" s="1774"/>
      <c r="P748" s="876"/>
      <c r="Q748" s="876"/>
      <c r="R748" s="876"/>
      <c r="S748" s="876"/>
      <c r="T748" s="876"/>
      <c r="U748" s="876"/>
      <c r="V748" s="876"/>
      <c r="W748" s="876"/>
    </row>
    <row r="749" spans="1:23" hidden="1" x14ac:dyDescent="0.25">
      <c r="A749" s="876"/>
      <c r="B749" s="876"/>
      <c r="C749" s="762"/>
      <c r="D749" s="810" t="str">
        <f>D748&amp;"KW"</f>
        <v>KW</v>
      </c>
      <c r="E749" s="760" t="s">
        <v>159</v>
      </c>
      <c r="F749" s="1773"/>
      <c r="G749" s="1774"/>
      <c r="H749" s="1773"/>
      <c r="I749" s="1774"/>
      <c r="J749" s="1773"/>
      <c r="K749" s="1774"/>
      <c r="L749" s="1773"/>
      <c r="M749" s="1774"/>
      <c r="N749" s="1773"/>
      <c r="O749" s="1774"/>
      <c r="P749" s="876"/>
      <c r="Q749" s="876"/>
      <c r="R749" s="876"/>
      <c r="S749" s="876"/>
      <c r="T749" s="876"/>
      <c r="U749" s="876"/>
      <c r="V749" s="876"/>
      <c r="W749" s="876"/>
    </row>
    <row r="750" spans="1:23" hidden="1" x14ac:dyDescent="0.25">
      <c r="A750" s="876"/>
      <c r="B750" s="876"/>
      <c r="C750" s="762" t="s">
        <v>2852</v>
      </c>
      <c r="D750" s="979"/>
      <c r="E750" s="760" t="s">
        <v>158</v>
      </c>
      <c r="F750" s="1773"/>
      <c r="G750" s="1774"/>
      <c r="H750" s="1773"/>
      <c r="I750" s="1774"/>
      <c r="J750" s="1773"/>
      <c r="K750" s="1774"/>
      <c r="L750" s="1773"/>
      <c r="M750" s="1774"/>
      <c r="N750" s="1773"/>
      <c r="O750" s="1774"/>
      <c r="P750" s="876"/>
      <c r="Q750" s="876"/>
      <c r="R750" s="876"/>
      <c r="S750" s="876"/>
      <c r="T750" s="876"/>
      <c r="U750" s="876"/>
      <c r="V750" s="876"/>
      <c r="W750" s="876"/>
    </row>
    <row r="751" spans="1:23" hidden="1" x14ac:dyDescent="0.25">
      <c r="A751" s="876"/>
      <c r="B751" s="876"/>
      <c r="C751" s="762"/>
      <c r="D751" s="810" t="str">
        <f>D750&amp;"KW"</f>
        <v>KW</v>
      </c>
      <c r="E751" s="760" t="s">
        <v>159</v>
      </c>
      <c r="F751" s="1773"/>
      <c r="G751" s="1774"/>
      <c r="H751" s="1773"/>
      <c r="I751" s="1774"/>
      <c r="J751" s="1773"/>
      <c r="K751" s="1774"/>
      <c r="L751" s="1773"/>
      <c r="M751" s="1774"/>
      <c r="N751" s="1773"/>
      <c r="O751" s="1774"/>
      <c r="P751" s="876"/>
      <c r="Q751" s="876"/>
      <c r="R751" s="876"/>
      <c r="S751" s="876"/>
      <c r="T751" s="876"/>
      <c r="U751" s="876"/>
      <c r="V751" s="876"/>
      <c r="W751" s="876"/>
    </row>
    <row r="752" spans="1:23" hidden="1" x14ac:dyDescent="0.25">
      <c r="A752" s="876"/>
      <c r="B752" s="876"/>
      <c r="C752" s="762" t="s">
        <v>2853</v>
      </c>
      <c r="D752" s="979"/>
      <c r="E752" s="760" t="s">
        <v>158</v>
      </c>
      <c r="F752" s="1773"/>
      <c r="G752" s="1774"/>
      <c r="H752" s="1773"/>
      <c r="I752" s="1774"/>
      <c r="J752" s="1773"/>
      <c r="K752" s="1774"/>
      <c r="L752" s="1773"/>
      <c r="M752" s="1774"/>
      <c r="N752" s="1773"/>
      <c r="O752" s="1774"/>
      <c r="P752" s="876"/>
      <c r="Q752" s="876"/>
      <c r="R752" s="876"/>
      <c r="S752" s="876"/>
      <c r="T752" s="876"/>
      <c r="U752" s="876"/>
      <c r="V752" s="876"/>
      <c r="W752" s="876"/>
    </row>
    <row r="753" spans="1:23" hidden="1" x14ac:dyDescent="0.25">
      <c r="A753" s="876"/>
      <c r="B753" s="876"/>
      <c r="C753" s="762"/>
      <c r="D753" s="810" t="str">
        <f>D752&amp;"KW"</f>
        <v>KW</v>
      </c>
      <c r="E753" s="760" t="s">
        <v>159</v>
      </c>
      <c r="F753" s="1773"/>
      <c r="G753" s="1774"/>
      <c r="H753" s="1773"/>
      <c r="I753" s="1774"/>
      <c r="J753" s="1773"/>
      <c r="K753" s="1774"/>
      <c r="L753" s="1773"/>
      <c r="M753" s="1774"/>
      <c r="N753" s="1773"/>
      <c r="O753" s="1774"/>
      <c r="P753" s="876"/>
      <c r="Q753" s="876"/>
      <c r="R753" s="876"/>
      <c r="S753" s="876"/>
      <c r="T753" s="876"/>
      <c r="U753" s="876"/>
      <c r="V753" s="876"/>
      <c r="W753" s="876"/>
    </row>
    <row r="754" spans="1:23" hidden="1" x14ac:dyDescent="0.25">
      <c r="A754" s="876"/>
      <c r="B754" s="876"/>
      <c r="C754" s="762" t="s">
        <v>2854</v>
      </c>
      <c r="D754" s="979"/>
      <c r="E754" s="760" t="s">
        <v>158</v>
      </c>
      <c r="F754" s="1773"/>
      <c r="G754" s="1774"/>
      <c r="H754" s="1773"/>
      <c r="I754" s="1774"/>
      <c r="J754" s="1773"/>
      <c r="K754" s="1774"/>
      <c r="L754" s="1773"/>
      <c r="M754" s="1774"/>
      <c r="N754" s="1773"/>
      <c r="O754" s="1774"/>
      <c r="P754" s="876"/>
      <c r="Q754" s="876"/>
      <c r="R754" s="876"/>
      <c r="S754" s="876"/>
      <c r="T754" s="876"/>
      <c r="U754" s="876"/>
      <c r="V754" s="876"/>
      <c r="W754" s="876"/>
    </row>
    <row r="755" spans="1:23" hidden="1" x14ac:dyDescent="0.25">
      <c r="A755" s="876"/>
      <c r="B755" s="876"/>
      <c r="C755" s="762"/>
      <c r="D755" s="810" t="str">
        <f>D754&amp;"KW"</f>
        <v>KW</v>
      </c>
      <c r="E755" s="760" t="s">
        <v>159</v>
      </c>
      <c r="F755" s="1773"/>
      <c r="G755" s="1774"/>
      <c r="H755" s="1773"/>
      <c r="I755" s="1774"/>
      <c r="J755" s="1773"/>
      <c r="K755" s="1774"/>
      <c r="L755" s="1773"/>
      <c r="M755" s="1774"/>
      <c r="N755" s="1773"/>
      <c r="O755" s="1774"/>
      <c r="P755" s="876"/>
      <c r="Q755" s="876"/>
      <c r="R755" s="876"/>
      <c r="S755" s="876"/>
      <c r="T755" s="876"/>
      <c r="U755" s="876"/>
      <c r="V755" s="876"/>
      <c r="W755" s="876"/>
    </row>
    <row r="756" spans="1:23" hidden="1" x14ac:dyDescent="0.25">
      <c r="A756" s="876"/>
      <c r="B756" s="876"/>
      <c r="C756" s="762" t="s">
        <v>2855</v>
      </c>
      <c r="D756" s="979"/>
      <c r="E756" s="760" t="s">
        <v>158</v>
      </c>
      <c r="F756" s="1773"/>
      <c r="G756" s="1774"/>
      <c r="H756" s="1773"/>
      <c r="I756" s="1774"/>
      <c r="J756" s="1773"/>
      <c r="K756" s="1774"/>
      <c r="L756" s="1773"/>
      <c r="M756" s="1774"/>
      <c r="N756" s="1773"/>
      <c r="O756" s="1774"/>
      <c r="P756" s="876"/>
      <c r="Q756" s="876"/>
      <c r="R756" s="876"/>
      <c r="S756" s="876"/>
      <c r="T756" s="876"/>
      <c r="U756" s="876"/>
      <c r="V756" s="876"/>
      <c r="W756" s="876"/>
    </row>
    <row r="757" spans="1:23" hidden="1" x14ac:dyDescent="0.25">
      <c r="A757" s="876"/>
      <c r="B757" s="876"/>
      <c r="C757" s="762"/>
      <c r="D757" s="810" t="str">
        <f>D756&amp;"KW"</f>
        <v>KW</v>
      </c>
      <c r="E757" s="760" t="s">
        <v>159</v>
      </c>
      <c r="F757" s="1773"/>
      <c r="G757" s="1774"/>
      <c r="H757" s="1773"/>
      <c r="I757" s="1774"/>
      <c r="J757" s="1773"/>
      <c r="K757" s="1774"/>
      <c r="L757" s="1773"/>
      <c r="M757" s="1774"/>
      <c r="N757" s="1773"/>
      <c r="O757" s="1774"/>
      <c r="P757" s="876"/>
      <c r="Q757" s="876"/>
      <c r="R757" s="876"/>
      <c r="S757" s="876"/>
      <c r="T757" s="876"/>
      <c r="U757" s="876"/>
      <c r="V757" s="876"/>
      <c r="W757" s="876"/>
    </row>
    <row r="758" spans="1:23" hidden="1" x14ac:dyDescent="0.25">
      <c r="A758" s="876"/>
      <c r="B758" s="876"/>
      <c r="C758" s="762" t="s">
        <v>2856</v>
      </c>
      <c r="D758" s="979"/>
      <c r="E758" s="760" t="s">
        <v>158</v>
      </c>
      <c r="F758" s="1773"/>
      <c r="G758" s="1774"/>
      <c r="H758" s="1773"/>
      <c r="I758" s="1774"/>
      <c r="J758" s="1773"/>
      <c r="K758" s="1774"/>
      <c r="L758" s="1773"/>
      <c r="M758" s="1774"/>
      <c r="N758" s="1773"/>
      <c r="O758" s="1774"/>
      <c r="P758" s="876"/>
      <c r="Q758" s="876"/>
      <c r="R758" s="876"/>
      <c r="S758" s="876"/>
      <c r="T758" s="876"/>
      <c r="U758" s="876"/>
      <c r="V758" s="876"/>
      <c r="W758" s="876"/>
    </row>
    <row r="759" spans="1:23" hidden="1" x14ac:dyDescent="0.25">
      <c r="A759" s="876"/>
      <c r="B759" s="876"/>
      <c r="C759" s="762"/>
      <c r="D759" s="810" t="str">
        <f>D758&amp;"KW"</f>
        <v>KW</v>
      </c>
      <c r="E759" s="760" t="s">
        <v>159</v>
      </c>
      <c r="F759" s="1773"/>
      <c r="G759" s="1774"/>
      <c r="H759" s="1773"/>
      <c r="I759" s="1774"/>
      <c r="J759" s="1773"/>
      <c r="K759" s="1774"/>
      <c r="L759" s="1773"/>
      <c r="M759" s="1774"/>
      <c r="N759" s="1773"/>
      <c r="O759" s="1774"/>
      <c r="P759" s="876"/>
      <c r="Q759" s="876"/>
      <c r="R759" s="876"/>
      <c r="S759" s="876"/>
      <c r="T759" s="876"/>
      <c r="U759" s="876"/>
      <c r="V759" s="876"/>
      <c r="W759" s="876"/>
    </row>
    <row r="760" spans="1:23" hidden="1" x14ac:dyDescent="0.25">
      <c r="A760" s="876"/>
      <c r="B760" s="876"/>
      <c r="C760" s="762" t="s">
        <v>2857</v>
      </c>
      <c r="D760" s="979"/>
      <c r="E760" s="760" t="s">
        <v>158</v>
      </c>
      <c r="F760" s="1773"/>
      <c r="G760" s="1774"/>
      <c r="H760" s="1773"/>
      <c r="I760" s="1774"/>
      <c r="J760" s="1773"/>
      <c r="K760" s="1774"/>
      <c r="L760" s="1773"/>
      <c r="M760" s="1774"/>
      <c r="N760" s="1773"/>
      <c r="O760" s="1774"/>
      <c r="P760" s="876"/>
      <c r="Q760" s="876"/>
      <c r="R760" s="876"/>
      <c r="S760" s="876"/>
      <c r="T760" s="876"/>
      <c r="U760" s="876"/>
      <c r="V760" s="876"/>
      <c r="W760" s="876"/>
    </row>
    <row r="761" spans="1:23" hidden="1" x14ac:dyDescent="0.25">
      <c r="A761" s="876"/>
      <c r="B761" s="876"/>
      <c r="C761" s="762"/>
      <c r="D761" s="810" t="str">
        <f>D760&amp;"KW"</f>
        <v>KW</v>
      </c>
      <c r="E761" s="760" t="s">
        <v>159</v>
      </c>
      <c r="F761" s="1773"/>
      <c r="G761" s="1774"/>
      <c r="H761" s="1773"/>
      <c r="I761" s="1774"/>
      <c r="J761" s="1773"/>
      <c r="K761" s="1774"/>
      <c r="L761" s="1773"/>
      <c r="M761" s="1774"/>
      <c r="N761" s="1773"/>
      <c r="O761" s="1774"/>
      <c r="P761" s="876"/>
      <c r="Q761" s="876"/>
      <c r="R761" s="876"/>
      <c r="S761" s="876"/>
      <c r="T761" s="876"/>
      <c r="U761" s="876"/>
      <c r="V761" s="876"/>
      <c r="W761" s="876"/>
    </row>
    <row r="762" spans="1:23" hidden="1" x14ac:dyDescent="0.25">
      <c r="A762" s="876"/>
      <c r="B762" s="876"/>
      <c r="C762" s="762" t="s">
        <v>2858</v>
      </c>
      <c r="D762" s="979"/>
      <c r="E762" s="760" t="s">
        <v>158</v>
      </c>
      <c r="F762" s="1773"/>
      <c r="G762" s="1774"/>
      <c r="H762" s="1773"/>
      <c r="I762" s="1774"/>
      <c r="J762" s="1773"/>
      <c r="K762" s="1774"/>
      <c r="L762" s="1773"/>
      <c r="M762" s="1774"/>
      <c r="N762" s="1773"/>
      <c r="O762" s="1774"/>
      <c r="P762" s="876"/>
      <c r="Q762" s="876"/>
      <c r="R762" s="876"/>
      <c r="S762" s="876"/>
      <c r="T762" s="876"/>
      <c r="U762" s="876"/>
      <c r="V762" s="876"/>
      <c r="W762" s="876"/>
    </row>
    <row r="763" spans="1:23" hidden="1" x14ac:dyDescent="0.25">
      <c r="A763" s="876"/>
      <c r="B763" s="876"/>
      <c r="C763" s="762"/>
      <c r="D763" s="810" t="str">
        <f>D762&amp;"KW"</f>
        <v>KW</v>
      </c>
      <c r="E763" s="760" t="s">
        <v>159</v>
      </c>
      <c r="F763" s="1773"/>
      <c r="G763" s="1774"/>
      <c r="H763" s="1773"/>
      <c r="I763" s="1774"/>
      <c r="J763" s="1773"/>
      <c r="K763" s="1774"/>
      <c r="L763" s="1773"/>
      <c r="M763" s="1774"/>
      <c r="N763" s="1773"/>
      <c r="O763" s="1774"/>
      <c r="P763" s="876"/>
      <c r="Q763" s="876"/>
      <c r="R763" s="876"/>
      <c r="S763" s="876"/>
      <c r="T763" s="876"/>
      <c r="U763" s="876"/>
      <c r="V763" s="876"/>
      <c r="W763" s="876"/>
    </row>
    <row r="764" spans="1:23" hidden="1" x14ac:dyDescent="0.25">
      <c r="A764" s="876"/>
      <c r="B764" s="876"/>
      <c r="C764" s="762" t="s">
        <v>2859</v>
      </c>
      <c r="D764" s="979"/>
      <c r="E764" s="760" t="s">
        <v>158</v>
      </c>
      <c r="F764" s="1773"/>
      <c r="G764" s="1774"/>
      <c r="H764" s="1773"/>
      <c r="I764" s="1774"/>
      <c r="J764" s="1773"/>
      <c r="K764" s="1774"/>
      <c r="L764" s="1773"/>
      <c r="M764" s="1774"/>
      <c r="N764" s="1773"/>
      <c r="O764" s="1774"/>
      <c r="P764" s="876"/>
      <c r="Q764" s="876"/>
      <c r="R764" s="876"/>
      <c r="S764" s="876"/>
      <c r="T764" s="876"/>
      <c r="U764" s="876"/>
      <c r="V764" s="876"/>
      <c r="W764" s="876"/>
    </row>
    <row r="765" spans="1:23" hidden="1" x14ac:dyDescent="0.25">
      <c r="A765" s="876"/>
      <c r="B765" s="876"/>
      <c r="C765" s="762"/>
      <c r="D765" s="810" t="str">
        <f>D764&amp;"KW"</f>
        <v>KW</v>
      </c>
      <c r="E765" s="760" t="s">
        <v>159</v>
      </c>
      <c r="F765" s="1773"/>
      <c r="G765" s="1774"/>
      <c r="H765" s="1773"/>
      <c r="I765" s="1774"/>
      <c r="J765" s="1773"/>
      <c r="K765" s="1774"/>
      <c r="L765" s="1773"/>
      <c r="M765" s="1774"/>
      <c r="N765" s="1773"/>
      <c r="O765" s="1774"/>
      <c r="P765" s="876"/>
      <c r="Q765" s="876"/>
      <c r="R765" s="876"/>
      <c r="S765" s="876"/>
      <c r="T765" s="876"/>
      <c r="U765" s="876"/>
      <c r="V765" s="876"/>
      <c r="W765" s="876"/>
    </row>
    <row r="766" spans="1:23" hidden="1" x14ac:dyDescent="0.25">
      <c r="A766" s="876"/>
      <c r="B766" s="876"/>
      <c r="C766" s="762" t="s">
        <v>2860</v>
      </c>
      <c r="D766" s="979"/>
      <c r="E766" s="760" t="s">
        <v>158</v>
      </c>
      <c r="F766" s="1773"/>
      <c r="G766" s="1774"/>
      <c r="H766" s="1773"/>
      <c r="I766" s="1774"/>
      <c r="J766" s="1773"/>
      <c r="K766" s="1774"/>
      <c r="L766" s="1773"/>
      <c r="M766" s="1774"/>
      <c r="N766" s="1773"/>
      <c r="O766" s="1774"/>
      <c r="P766" s="876"/>
      <c r="Q766" s="876"/>
      <c r="R766" s="876"/>
      <c r="S766" s="876"/>
      <c r="T766" s="876"/>
      <c r="U766" s="876"/>
      <c r="V766" s="876"/>
      <c r="W766" s="876"/>
    </row>
    <row r="767" spans="1:23" hidden="1" x14ac:dyDescent="0.25">
      <c r="A767" s="876"/>
      <c r="B767" s="876"/>
      <c r="C767" s="762"/>
      <c r="D767" s="810" t="str">
        <f>D766&amp;"KW"</f>
        <v>KW</v>
      </c>
      <c r="E767" s="760" t="s">
        <v>159</v>
      </c>
      <c r="F767" s="1773"/>
      <c r="G767" s="1774"/>
      <c r="H767" s="1773"/>
      <c r="I767" s="1774"/>
      <c r="J767" s="1773"/>
      <c r="K767" s="1774"/>
      <c r="L767" s="1773"/>
      <c r="M767" s="1774"/>
      <c r="N767" s="1773"/>
      <c r="O767" s="1774"/>
      <c r="P767" s="876"/>
      <c r="Q767" s="876"/>
      <c r="R767" s="876"/>
      <c r="S767" s="876"/>
      <c r="T767" s="876"/>
      <c r="U767" s="876"/>
      <c r="V767" s="876"/>
      <c r="W767" s="876"/>
    </row>
    <row r="768" spans="1:23" hidden="1" x14ac:dyDescent="0.25">
      <c r="A768" s="876"/>
      <c r="B768" s="876"/>
      <c r="C768" s="762" t="s">
        <v>2861</v>
      </c>
      <c r="D768" s="979"/>
      <c r="E768" s="760" t="s">
        <v>158</v>
      </c>
      <c r="F768" s="1773"/>
      <c r="G768" s="1774"/>
      <c r="H768" s="1773"/>
      <c r="I768" s="1774"/>
      <c r="J768" s="1773"/>
      <c r="K768" s="1774"/>
      <c r="L768" s="1773"/>
      <c r="M768" s="1774"/>
      <c r="N768" s="1773"/>
      <c r="O768" s="1774"/>
      <c r="P768" s="876"/>
      <c r="Q768" s="876"/>
      <c r="R768" s="876"/>
      <c r="S768" s="876"/>
      <c r="T768" s="876"/>
      <c r="U768" s="876"/>
      <c r="V768" s="876"/>
      <c r="W768" s="876"/>
    </row>
    <row r="769" spans="1:23" hidden="1" x14ac:dyDescent="0.25">
      <c r="A769" s="876"/>
      <c r="B769" s="876"/>
      <c r="C769" s="762"/>
      <c r="D769" s="810" t="str">
        <f>D768&amp;"KW"</f>
        <v>KW</v>
      </c>
      <c r="E769" s="760" t="s">
        <v>159</v>
      </c>
      <c r="F769" s="1773"/>
      <c r="G769" s="1774"/>
      <c r="H769" s="1773"/>
      <c r="I769" s="1774"/>
      <c r="J769" s="1773"/>
      <c r="K769" s="1774"/>
      <c r="L769" s="1773"/>
      <c r="M769" s="1774"/>
      <c r="N769" s="1773"/>
      <c r="O769" s="1774"/>
      <c r="P769" s="876"/>
      <c r="Q769" s="876"/>
      <c r="R769" s="876"/>
      <c r="S769" s="876"/>
      <c r="T769" s="876"/>
      <c r="U769" s="876"/>
      <c r="V769" s="876"/>
      <c r="W769" s="876"/>
    </row>
    <row r="770" spans="1:23" hidden="1" x14ac:dyDescent="0.25">
      <c r="A770" s="876"/>
      <c r="B770" s="876"/>
      <c r="C770" s="762" t="s">
        <v>2862</v>
      </c>
      <c r="D770" s="979"/>
      <c r="E770" s="760" t="s">
        <v>158</v>
      </c>
      <c r="F770" s="1773"/>
      <c r="G770" s="1774"/>
      <c r="H770" s="1773"/>
      <c r="I770" s="1774"/>
      <c r="J770" s="1773"/>
      <c r="K770" s="1774"/>
      <c r="L770" s="1773"/>
      <c r="M770" s="1774"/>
      <c r="N770" s="1773"/>
      <c r="O770" s="1774"/>
      <c r="P770" s="876"/>
      <c r="Q770" s="876"/>
      <c r="R770" s="876"/>
      <c r="S770" s="876"/>
      <c r="T770" s="876"/>
      <c r="U770" s="876"/>
      <c r="V770" s="876"/>
      <c r="W770" s="876"/>
    </row>
    <row r="771" spans="1:23" hidden="1" x14ac:dyDescent="0.25">
      <c r="A771" s="876"/>
      <c r="B771" s="876"/>
      <c r="C771" s="762"/>
      <c r="D771" s="810" t="str">
        <f>D770&amp;"KW"</f>
        <v>KW</v>
      </c>
      <c r="E771" s="760" t="s">
        <v>159</v>
      </c>
      <c r="F771" s="1773"/>
      <c r="G771" s="1774"/>
      <c r="H771" s="1773"/>
      <c r="I771" s="1774"/>
      <c r="J771" s="1773"/>
      <c r="K771" s="1774"/>
      <c r="L771" s="1773"/>
      <c r="M771" s="1774"/>
      <c r="N771" s="1773"/>
      <c r="O771" s="1774"/>
      <c r="P771" s="876"/>
      <c r="Q771" s="876"/>
      <c r="R771" s="876"/>
      <c r="S771" s="876"/>
      <c r="T771" s="876"/>
      <c r="U771" s="876"/>
      <c r="V771" s="876"/>
      <c r="W771" s="876"/>
    </row>
    <row r="772" spans="1:23" hidden="1" x14ac:dyDescent="0.25">
      <c r="A772" s="876"/>
      <c r="B772" s="876"/>
      <c r="C772" s="762" t="s">
        <v>2863</v>
      </c>
      <c r="D772" s="979"/>
      <c r="E772" s="760" t="s">
        <v>158</v>
      </c>
      <c r="F772" s="1773"/>
      <c r="G772" s="1774"/>
      <c r="H772" s="1773"/>
      <c r="I772" s="1774"/>
      <c r="J772" s="1773"/>
      <c r="K772" s="1774"/>
      <c r="L772" s="1773"/>
      <c r="M772" s="1774"/>
      <c r="N772" s="1773"/>
      <c r="O772" s="1774"/>
      <c r="P772" s="876"/>
      <c r="Q772" s="876"/>
      <c r="R772" s="876"/>
      <c r="S772" s="876"/>
      <c r="T772" s="876"/>
      <c r="U772" s="876"/>
      <c r="V772" s="876"/>
      <c r="W772" s="876"/>
    </row>
    <row r="773" spans="1:23" hidden="1" x14ac:dyDescent="0.25">
      <c r="A773" s="876"/>
      <c r="B773" s="876"/>
      <c r="C773" s="762"/>
      <c r="D773" s="981" t="str">
        <f>D772&amp;"KW"</f>
        <v>KW</v>
      </c>
      <c r="E773" s="760" t="s">
        <v>159</v>
      </c>
      <c r="F773" s="1773"/>
      <c r="G773" s="1774"/>
      <c r="H773" s="1773"/>
      <c r="I773" s="1774"/>
      <c r="J773" s="1773"/>
      <c r="K773" s="1774"/>
      <c r="L773" s="1773"/>
      <c r="M773" s="1774"/>
      <c r="N773" s="1773"/>
      <c r="O773" s="1774"/>
      <c r="P773" s="876"/>
      <c r="Q773" s="876"/>
      <c r="R773" s="876"/>
      <c r="S773" s="876"/>
      <c r="T773" s="876"/>
      <c r="U773" s="876"/>
      <c r="V773" s="876"/>
      <c r="W773" s="876"/>
    </row>
    <row r="774" spans="1:23" hidden="1" x14ac:dyDescent="0.25">
      <c r="A774" s="876"/>
      <c r="B774" s="876"/>
      <c r="C774" s="762" t="s">
        <v>2864</v>
      </c>
      <c r="D774" s="979"/>
      <c r="E774" s="760" t="s">
        <v>158</v>
      </c>
      <c r="F774" s="1773"/>
      <c r="G774" s="1774"/>
      <c r="H774" s="1773"/>
      <c r="I774" s="1774"/>
      <c r="J774" s="1773"/>
      <c r="K774" s="1774"/>
      <c r="L774" s="1773"/>
      <c r="M774" s="1774"/>
      <c r="N774" s="1773"/>
      <c r="O774" s="1774"/>
      <c r="P774" s="876"/>
      <c r="Q774" s="876"/>
      <c r="R774" s="876"/>
      <c r="S774" s="876"/>
      <c r="T774" s="876"/>
      <c r="U774" s="876"/>
      <c r="V774" s="876"/>
      <c r="W774" s="876"/>
    </row>
    <row r="775" spans="1:23" hidden="1" x14ac:dyDescent="0.25">
      <c r="A775" s="876"/>
      <c r="B775" s="876"/>
      <c r="C775" s="762"/>
      <c r="D775" s="981" t="str">
        <f>D774&amp;"KW"</f>
        <v>KW</v>
      </c>
      <c r="E775" s="760" t="s">
        <v>159</v>
      </c>
      <c r="F775" s="1773"/>
      <c r="G775" s="1774"/>
      <c r="H775" s="1773"/>
      <c r="I775" s="1774"/>
      <c r="J775" s="1773"/>
      <c r="K775" s="1774"/>
      <c r="L775" s="1773"/>
      <c r="M775" s="1774"/>
      <c r="N775" s="1773"/>
      <c r="O775" s="1774"/>
      <c r="P775" s="876"/>
      <c r="Q775" s="876"/>
      <c r="R775" s="876"/>
      <c r="S775" s="876"/>
      <c r="T775" s="876"/>
      <c r="U775" s="876"/>
      <c r="V775" s="876"/>
      <c r="W775" s="876"/>
    </row>
    <row r="776" spans="1:23" hidden="1" x14ac:dyDescent="0.25">
      <c r="A776" s="876"/>
      <c r="B776" s="876"/>
      <c r="C776" s="762" t="s">
        <v>2865</v>
      </c>
      <c r="D776" s="979"/>
      <c r="E776" s="760" t="s">
        <v>158</v>
      </c>
      <c r="F776" s="1773"/>
      <c r="G776" s="1774"/>
      <c r="H776" s="1773"/>
      <c r="I776" s="1774"/>
      <c r="J776" s="1773"/>
      <c r="K776" s="1774"/>
      <c r="L776" s="1773"/>
      <c r="M776" s="1774"/>
      <c r="N776" s="1773"/>
      <c r="O776" s="1774"/>
      <c r="P776" s="876"/>
      <c r="Q776" s="876"/>
      <c r="R776" s="876"/>
      <c r="S776" s="876"/>
      <c r="T776" s="876"/>
      <c r="U776" s="876"/>
      <c r="V776" s="876"/>
      <c r="W776" s="876"/>
    </row>
    <row r="777" spans="1:23" hidden="1" x14ac:dyDescent="0.25">
      <c r="A777" s="876"/>
      <c r="B777" s="876"/>
      <c r="C777" s="762"/>
      <c r="D777" s="810" t="str">
        <f>D776&amp;"KW"</f>
        <v>KW</v>
      </c>
      <c r="E777" s="760" t="s">
        <v>159</v>
      </c>
      <c r="F777" s="1773"/>
      <c r="G777" s="1774"/>
      <c r="H777" s="1773"/>
      <c r="I777" s="1774"/>
      <c r="J777" s="1773"/>
      <c r="K777" s="1774"/>
      <c r="L777" s="1773"/>
      <c r="M777" s="1774"/>
      <c r="N777" s="1773"/>
      <c r="O777" s="1774"/>
      <c r="P777" s="876"/>
      <c r="Q777" s="876"/>
      <c r="R777" s="876"/>
      <c r="S777" s="876"/>
      <c r="T777" s="876"/>
      <c r="U777" s="876"/>
      <c r="V777" s="876"/>
      <c r="W777" s="876"/>
    </row>
    <row r="778" spans="1:23" hidden="1" x14ac:dyDescent="0.25">
      <c r="A778" s="876"/>
      <c r="B778" s="876"/>
      <c r="C778" s="762" t="s">
        <v>2866</v>
      </c>
      <c r="D778" s="979"/>
      <c r="E778" s="760" t="s">
        <v>158</v>
      </c>
      <c r="F778" s="1773"/>
      <c r="G778" s="1774"/>
      <c r="H778" s="1773"/>
      <c r="I778" s="1774"/>
      <c r="J778" s="1773"/>
      <c r="K778" s="1774"/>
      <c r="L778" s="1773"/>
      <c r="M778" s="1774"/>
      <c r="N778" s="1773"/>
      <c r="O778" s="1774"/>
      <c r="P778" s="876"/>
      <c r="Q778" s="876"/>
      <c r="R778" s="876"/>
      <c r="S778" s="876"/>
      <c r="T778" s="876"/>
      <c r="U778" s="876"/>
      <c r="V778" s="876"/>
      <c r="W778" s="876"/>
    </row>
    <row r="779" spans="1:23" hidden="1" x14ac:dyDescent="0.25">
      <c r="A779" s="876"/>
      <c r="B779" s="876"/>
      <c r="C779" s="762"/>
      <c r="D779" s="810" t="str">
        <f>D778&amp;"KW"</f>
        <v>KW</v>
      </c>
      <c r="E779" s="760" t="s">
        <v>159</v>
      </c>
      <c r="F779" s="1773"/>
      <c r="G779" s="1774"/>
      <c r="H779" s="1773"/>
      <c r="I779" s="1774"/>
      <c r="J779" s="1773"/>
      <c r="K779" s="1774"/>
      <c r="L779" s="1773"/>
      <c r="M779" s="1774"/>
      <c r="N779" s="1773"/>
      <c r="O779" s="1774"/>
      <c r="P779" s="876"/>
      <c r="Q779" s="876"/>
      <c r="R779" s="876"/>
      <c r="S779" s="876"/>
      <c r="T779" s="876"/>
      <c r="U779" s="876"/>
      <c r="V779" s="876"/>
      <c r="W779" s="876"/>
    </row>
    <row r="780" spans="1:23" hidden="1" x14ac:dyDescent="0.25">
      <c r="A780" s="876"/>
      <c r="B780" s="876"/>
      <c r="C780" s="762" t="s">
        <v>2867</v>
      </c>
      <c r="D780" s="979"/>
      <c r="E780" s="760" t="s">
        <v>158</v>
      </c>
      <c r="F780" s="1773"/>
      <c r="G780" s="1774"/>
      <c r="H780" s="1773"/>
      <c r="I780" s="1774"/>
      <c r="J780" s="1773"/>
      <c r="K780" s="1774"/>
      <c r="L780" s="1773"/>
      <c r="M780" s="1774"/>
      <c r="N780" s="1773"/>
      <c r="O780" s="1774"/>
      <c r="P780" s="876"/>
      <c r="Q780" s="876"/>
      <c r="R780" s="876"/>
      <c r="S780" s="876"/>
      <c r="T780" s="876"/>
      <c r="U780" s="876"/>
      <c r="V780" s="876"/>
      <c r="W780" s="876"/>
    </row>
    <row r="781" spans="1:23" hidden="1" x14ac:dyDescent="0.25">
      <c r="A781" s="876"/>
      <c r="B781" s="876"/>
      <c r="C781" s="762"/>
      <c r="D781" s="810" t="str">
        <f>D780&amp;"KW"</f>
        <v>KW</v>
      </c>
      <c r="E781" s="760" t="s">
        <v>159</v>
      </c>
      <c r="F781" s="1773"/>
      <c r="G781" s="1774"/>
      <c r="H781" s="1773"/>
      <c r="I781" s="1774"/>
      <c r="J781" s="1773"/>
      <c r="K781" s="1774"/>
      <c r="L781" s="1773"/>
      <c r="M781" s="1774"/>
      <c r="N781" s="1773"/>
      <c r="O781" s="1774"/>
      <c r="P781" s="876"/>
      <c r="Q781" s="876"/>
      <c r="R781" s="876"/>
      <c r="S781" s="876"/>
      <c r="T781" s="876"/>
      <c r="U781" s="876"/>
      <c r="V781" s="876"/>
      <c r="W781" s="876"/>
    </row>
    <row r="782" spans="1:23" hidden="1" x14ac:dyDescent="0.25">
      <c r="A782" s="876"/>
      <c r="B782" s="876"/>
      <c r="C782" s="762" t="s">
        <v>2868</v>
      </c>
      <c r="D782" s="979"/>
      <c r="E782" s="760" t="s">
        <v>158</v>
      </c>
      <c r="F782" s="1773"/>
      <c r="G782" s="1774"/>
      <c r="H782" s="1773"/>
      <c r="I782" s="1774"/>
      <c r="J782" s="1773"/>
      <c r="K782" s="1774"/>
      <c r="L782" s="1773"/>
      <c r="M782" s="1774"/>
      <c r="N782" s="1773"/>
      <c r="O782" s="1774"/>
      <c r="P782" s="876"/>
      <c r="Q782" s="876"/>
      <c r="R782" s="876"/>
      <c r="S782" s="876"/>
      <c r="T782" s="876"/>
      <c r="U782" s="876"/>
      <c r="V782" s="876"/>
      <c r="W782" s="876"/>
    </row>
    <row r="783" spans="1:23" hidden="1" x14ac:dyDescent="0.25">
      <c r="A783" s="876"/>
      <c r="B783" s="876"/>
      <c r="C783" s="762"/>
      <c r="D783" s="810" t="str">
        <f>D782&amp;"KW"</f>
        <v>KW</v>
      </c>
      <c r="E783" s="760" t="s">
        <v>159</v>
      </c>
      <c r="F783" s="1773"/>
      <c r="G783" s="1774"/>
      <c r="H783" s="1773"/>
      <c r="I783" s="1774"/>
      <c r="J783" s="1773"/>
      <c r="K783" s="1774"/>
      <c r="L783" s="1773"/>
      <c r="M783" s="1774"/>
      <c r="N783" s="1773"/>
      <c r="O783" s="1774"/>
      <c r="P783" s="876"/>
      <c r="Q783" s="876"/>
      <c r="R783" s="876"/>
      <c r="S783" s="876"/>
      <c r="T783" s="876"/>
      <c r="U783" s="876"/>
      <c r="V783" s="876"/>
      <c r="W783" s="876"/>
    </row>
    <row r="784" spans="1:23" hidden="1" x14ac:dyDescent="0.25">
      <c r="A784" s="876"/>
      <c r="B784" s="876"/>
      <c r="C784" s="762" t="s">
        <v>2869</v>
      </c>
      <c r="D784" s="979"/>
      <c r="E784" s="760" t="s">
        <v>158</v>
      </c>
      <c r="F784" s="1773"/>
      <c r="G784" s="1774"/>
      <c r="H784" s="1773"/>
      <c r="I784" s="1774"/>
      <c r="J784" s="1773"/>
      <c r="K784" s="1774"/>
      <c r="L784" s="1773"/>
      <c r="M784" s="1774"/>
      <c r="N784" s="1773"/>
      <c r="O784" s="1774"/>
      <c r="P784" s="876"/>
      <c r="Q784" s="876"/>
      <c r="R784" s="876"/>
      <c r="S784" s="876"/>
      <c r="T784" s="876"/>
      <c r="U784" s="876"/>
      <c r="V784" s="876"/>
      <c r="W784" s="876"/>
    </row>
    <row r="785" spans="1:23" hidden="1" x14ac:dyDescent="0.25">
      <c r="A785" s="876"/>
      <c r="B785" s="876"/>
      <c r="C785" s="762"/>
      <c r="D785" s="810" t="str">
        <f>D784&amp;"KW"</f>
        <v>KW</v>
      </c>
      <c r="E785" s="760" t="s">
        <v>159</v>
      </c>
      <c r="F785" s="1773"/>
      <c r="G785" s="1774"/>
      <c r="H785" s="1773"/>
      <c r="I785" s="1774"/>
      <c r="J785" s="1773"/>
      <c r="K785" s="1774"/>
      <c r="L785" s="1773"/>
      <c r="M785" s="1774"/>
      <c r="N785" s="1773"/>
      <c r="O785" s="1774"/>
      <c r="P785" s="876"/>
      <c r="Q785" s="876"/>
      <c r="R785" s="876"/>
      <c r="S785" s="876"/>
      <c r="T785" s="876"/>
      <c r="U785" s="876"/>
      <c r="V785" s="876"/>
      <c r="W785" s="876"/>
    </row>
    <row r="786" spans="1:23" hidden="1" x14ac:dyDescent="0.25">
      <c r="A786" s="876"/>
      <c r="B786" s="876"/>
      <c r="C786" s="762" t="s">
        <v>2870</v>
      </c>
      <c r="D786" s="979"/>
      <c r="E786" s="760" t="s">
        <v>158</v>
      </c>
      <c r="F786" s="1773"/>
      <c r="G786" s="1774"/>
      <c r="H786" s="1773"/>
      <c r="I786" s="1774"/>
      <c r="J786" s="1773"/>
      <c r="K786" s="1774"/>
      <c r="L786" s="1773"/>
      <c r="M786" s="1774"/>
      <c r="N786" s="1773"/>
      <c r="O786" s="1774"/>
      <c r="P786" s="876"/>
      <c r="Q786" s="876"/>
      <c r="R786" s="876"/>
      <c r="S786" s="876"/>
      <c r="T786" s="876"/>
      <c r="U786" s="876"/>
      <c r="V786" s="876"/>
      <c r="W786" s="876"/>
    </row>
    <row r="787" spans="1:23" hidden="1" x14ac:dyDescent="0.25">
      <c r="A787" s="876"/>
      <c r="B787" s="876"/>
      <c r="C787" s="762"/>
      <c r="D787" s="810" t="str">
        <f>D786&amp;"KW"</f>
        <v>KW</v>
      </c>
      <c r="E787" s="760" t="s">
        <v>159</v>
      </c>
      <c r="F787" s="1773"/>
      <c r="G787" s="1774"/>
      <c r="H787" s="1773"/>
      <c r="I787" s="1774"/>
      <c r="J787" s="1773"/>
      <c r="K787" s="1774"/>
      <c r="L787" s="1773"/>
      <c r="M787" s="1774"/>
      <c r="N787" s="1773"/>
      <c r="O787" s="1774"/>
      <c r="P787" s="876"/>
      <c r="Q787" s="876"/>
      <c r="R787" s="876"/>
      <c r="S787" s="876"/>
      <c r="T787" s="876"/>
      <c r="U787" s="876"/>
      <c r="V787" s="876"/>
      <c r="W787" s="876"/>
    </row>
    <row r="788" spans="1:23" hidden="1" x14ac:dyDescent="0.25">
      <c r="A788" s="876"/>
      <c r="B788" s="876"/>
      <c r="C788" s="762" t="s">
        <v>2871</v>
      </c>
      <c r="D788" s="979"/>
      <c r="E788" s="760" t="s">
        <v>158</v>
      </c>
      <c r="F788" s="1773"/>
      <c r="G788" s="1774"/>
      <c r="H788" s="1773"/>
      <c r="I788" s="1774"/>
      <c r="J788" s="1773"/>
      <c r="K788" s="1774"/>
      <c r="L788" s="1773"/>
      <c r="M788" s="1774"/>
      <c r="N788" s="1773"/>
      <c r="O788" s="1774"/>
      <c r="P788" s="876"/>
      <c r="Q788" s="876"/>
      <c r="R788" s="876"/>
      <c r="S788" s="876"/>
      <c r="T788" s="876"/>
      <c r="U788" s="876"/>
      <c r="V788" s="876"/>
      <c r="W788" s="876"/>
    </row>
    <row r="789" spans="1:23" hidden="1" x14ac:dyDescent="0.25">
      <c r="A789" s="876"/>
      <c r="B789" s="876"/>
      <c r="C789" s="762"/>
      <c r="D789" s="810" t="str">
        <f>D788&amp;"KW"</f>
        <v>KW</v>
      </c>
      <c r="E789" s="760" t="s">
        <v>159</v>
      </c>
      <c r="F789" s="1773"/>
      <c r="G789" s="1774"/>
      <c r="H789" s="1773"/>
      <c r="I789" s="1774"/>
      <c r="J789" s="1773"/>
      <c r="K789" s="1774"/>
      <c r="L789" s="1773"/>
      <c r="M789" s="1774"/>
      <c r="N789" s="1773"/>
      <c r="O789" s="1774"/>
      <c r="P789" s="876"/>
      <c r="Q789" s="876"/>
      <c r="R789" s="876"/>
      <c r="S789" s="876"/>
      <c r="T789" s="876"/>
      <c r="U789" s="876"/>
      <c r="V789" s="876"/>
      <c r="W789" s="876"/>
    </row>
    <row r="790" spans="1:23" hidden="1" x14ac:dyDescent="0.25">
      <c r="A790" s="876"/>
      <c r="B790" s="876"/>
      <c r="C790" s="762" t="s">
        <v>2872</v>
      </c>
      <c r="D790" s="979"/>
      <c r="E790" s="760" t="s">
        <v>158</v>
      </c>
      <c r="F790" s="1773"/>
      <c r="G790" s="1774"/>
      <c r="H790" s="1773"/>
      <c r="I790" s="1774"/>
      <c r="J790" s="1773"/>
      <c r="K790" s="1774"/>
      <c r="L790" s="1773"/>
      <c r="M790" s="1774"/>
      <c r="N790" s="1773"/>
      <c r="O790" s="1774"/>
      <c r="P790" s="876"/>
      <c r="Q790" s="876"/>
      <c r="R790" s="876"/>
      <c r="S790" s="876"/>
      <c r="T790" s="876"/>
      <c r="U790" s="876"/>
      <c r="V790" s="876"/>
      <c r="W790" s="876"/>
    </row>
    <row r="791" spans="1:23" hidden="1" x14ac:dyDescent="0.25">
      <c r="A791" s="876"/>
      <c r="B791" s="876"/>
      <c r="C791" s="762"/>
      <c r="D791" s="810" t="str">
        <f>D790&amp;"KW"</f>
        <v>KW</v>
      </c>
      <c r="E791" s="760" t="s">
        <v>159</v>
      </c>
      <c r="F791" s="1773"/>
      <c r="G791" s="1774"/>
      <c r="H791" s="1773"/>
      <c r="I791" s="1774"/>
      <c r="J791" s="1773"/>
      <c r="K791" s="1774"/>
      <c r="L791" s="1773"/>
      <c r="M791" s="1774"/>
      <c r="N791" s="1773"/>
      <c r="O791" s="1774"/>
      <c r="P791" s="876"/>
      <c r="Q791" s="876"/>
      <c r="R791" s="876"/>
      <c r="S791" s="876"/>
      <c r="T791" s="876"/>
      <c r="U791" s="876"/>
      <c r="V791" s="876"/>
      <c r="W791" s="876"/>
    </row>
  </sheetData>
  <sheetProtection algorithmName="SHA-512" hashValue="SBWQxIctoGyfk/yiDPjXBBG20gQ+he9E3PaoUrEMSO9sdNWmS6rqHeri8LIlEiXdT5xrglVbSo2SShXCR5Sj6A==" saltValue="m2iWd8yIuj3dO8niuh077g==" spinCount="100000" sheet="1" objects="1" scenarios="1"/>
  <mergeCells count="1519">
    <mergeCell ref="H491:I491"/>
    <mergeCell ref="H492:I492"/>
    <mergeCell ref="H493:I493"/>
    <mergeCell ref="H494:I494"/>
    <mergeCell ref="H495:I495"/>
    <mergeCell ref="L16:M16"/>
    <mergeCell ref="N16:O16"/>
    <mergeCell ref="D14:K14"/>
    <mergeCell ref="C28:C29"/>
    <mergeCell ref="D28:D29"/>
    <mergeCell ref="F16:G16"/>
    <mergeCell ref="H16:I16"/>
    <mergeCell ref="J16:K16"/>
    <mergeCell ref="F491:G491"/>
    <mergeCell ref="J491:K491"/>
    <mergeCell ref="N491:O491"/>
    <mergeCell ref="L491:M491"/>
    <mergeCell ref="N492:O492"/>
    <mergeCell ref="N493:O493"/>
    <mergeCell ref="N494:O494"/>
    <mergeCell ref="N495:O495"/>
    <mergeCell ref="C16:E16"/>
    <mergeCell ref="F28:G28"/>
    <mergeCell ref="H28:I28"/>
    <mergeCell ref="J28:K28"/>
    <mergeCell ref="L28:M28"/>
    <mergeCell ref="N28:O28"/>
    <mergeCell ref="F497:G497"/>
    <mergeCell ref="H497:I497"/>
    <mergeCell ref="J497:K497"/>
    <mergeCell ref="L497:M497"/>
    <mergeCell ref="N497:O497"/>
    <mergeCell ref="F496:G496"/>
    <mergeCell ref="H496:I496"/>
    <mergeCell ref="J496:K496"/>
    <mergeCell ref="L496:M496"/>
    <mergeCell ref="N496:O496"/>
    <mergeCell ref="J492:K492"/>
    <mergeCell ref="J493:K493"/>
    <mergeCell ref="J494:K494"/>
    <mergeCell ref="J495:K495"/>
    <mergeCell ref="L492:M492"/>
    <mergeCell ref="L493:M493"/>
    <mergeCell ref="L494:M494"/>
    <mergeCell ref="L495:M495"/>
    <mergeCell ref="F492:G492"/>
    <mergeCell ref="F493:G493"/>
    <mergeCell ref="F494:G494"/>
    <mergeCell ref="F495:G495"/>
    <mergeCell ref="F501:G501"/>
    <mergeCell ref="H501:I501"/>
    <mergeCell ref="J501:K501"/>
    <mergeCell ref="L501:M501"/>
    <mergeCell ref="N501:O501"/>
    <mergeCell ref="F500:G500"/>
    <mergeCell ref="H500:I500"/>
    <mergeCell ref="J500:K500"/>
    <mergeCell ref="L500:M500"/>
    <mergeCell ref="N500:O500"/>
    <mergeCell ref="F499:G499"/>
    <mergeCell ref="H499:I499"/>
    <mergeCell ref="J499:K499"/>
    <mergeCell ref="L499:M499"/>
    <mergeCell ref="N499:O499"/>
    <mergeCell ref="F498:G498"/>
    <mergeCell ref="H498:I498"/>
    <mergeCell ref="J498:K498"/>
    <mergeCell ref="L498:M498"/>
    <mergeCell ref="N498:O498"/>
    <mergeCell ref="F505:G505"/>
    <mergeCell ref="H505:I505"/>
    <mergeCell ref="J505:K505"/>
    <mergeCell ref="L505:M505"/>
    <mergeCell ref="N505:O505"/>
    <mergeCell ref="F504:G504"/>
    <mergeCell ref="H504:I504"/>
    <mergeCell ref="J504:K504"/>
    <mergeCell ref="L504:M504"/>
    <mergeCell ref="N504:O504"/>
    <mergeCell ref="F503:G503"/>
    <mergeCell ref="H503:I503"/>
    <mergeCell ref="J503:K503"/>
    <mergeCell ref="L503:M503"/>
    <mergeCell ref="N503:O503"/>
    <mergeCell ref="F502:G502"/>
    <mergeCell ref="H502:I502"/>
    <mergeCell ref="J502:K502"/>
    <mergeCell ref="L502:M502"/>
    <mergeCell ref="N502:O502"/>
    <mergeCell ref="F509:G509"/>
    <mergeCell ref="H509:I509"/>
    <mergeCell ref="J509:K509"/>
    <mergeCell ref="L509:M509"/>
    <mergeCell ref="N509:O509"/>
    <mergeCell ref="F508:G508"/>
    <mergeCell ref="H508:I508"/>
    <mergeCell ref="J508:K508"/>
    <mergeCell ref="L508:M508"/>
    <mergeCell ref="N508:O508"/>
    <mergeCell ref="F507:G507"/>
    <mergeCell ref="H507:I507"/>
    <mergeCell ref="J507:K507"/>
    <mergeCell ref="L507:M507"/>
    <mergeCell ref="N507:O507"/>
    <mergeCell ref="F506:G506"/>
    <mergeCell ref="H506:I506"/>
    <mergeCell ref="J506:K506"/>
    <mergeCell ref="L506:M506"/>
    <mergeCell ref="N506:O506"/>
    <mergeCell ref="F513:G513"/>
    <mergeCell ref="H513:I513"/>
    <mergeCell ref="J513:K513"/>
    <mergeCell ref="L513:M513"/>
    <mergeCell ref="N513:O513"/>
    <mergeCell ref="F512:G512"/>
    <mergeCell ref="H512:I512"/>
    <mergeCell ref="J512:K512"/>
    <mergeCell ref="L512:M512"/>
    <mergeCell ref="N512:O512"/>
    <mergeCell ref="F511:G511"/>
    <mergeCell ref="H511:I511"/>
    <mergeCell ref="J511:K511"/>
    <mergeCell ref="L511:M511"/>
    <mergeCell ref="N511:O511"/>
    <mergeCell ref="F510:G510"/>
    <mergeCell ref="H510:I510"/>
    <mergeCell ref="J510:K510"/>
    <mergeCell ref="L510:M510"/>
    <mergeCell ref="N510:O510"/>
    <mergeCell ref="F516:G516"/>
    <mergeCell ref="H516:I516"/>
    <mergeCell ref="F517:G517"/>
    <mergeCell ref="H517:I517"/>
    <mergeCell ref="F518:G518"/>
    <mergeCell ref="H518:I518"/>
    <mergeCell ref="F519:G519"/>
    <mergeCell ref="H519:I519"/>
    <mergeCell ref="F520:G520"/>
    <mergeCell ref="H520:I520"/>
    <mergeCell ref="F515:G515"/>
    <mergeCell ref="H515:I515"/>
    <mergeCell ref="J515:K515"/>
    <mergeCell ref="L515:M515"/>
    <mergeCell ref="N515:O515"/>
    <mergeCell ref="F514:G514"/>
    <mergeCell ref="H514:I514"/>
    <mergeCell ref="J514:K514"/>
    <mergeCell ref="L514:M514"/>
    <mergeCell ref="N514:O514"/>
    <mergeCell ref="J519:K519"/>
    <mergeCell ref="L519:M519"/>
    <mergeCell ref="N519:O519"/>
    <mergeCell ref="J520:K520"/>
    <mergeCell ref="L520:M520"/>
    <mergeCell ref="N520:O520"/>
    <mergeCell ref="F526:G526"/>
    <mergeCell ref="H526:I526"/>
    <mergeCell ref="F527:G527"/>
    <mergeCell ref="H527:I527"/>
    <mergeCell ref="F528:G528"/>
    <mergeCell ref="H528:I528"/>
    <mergeCell ref="F529:G529"/>
    <mergeCell ref="H529:I529"/>
    <mergeCell ref="F530:G530"/>
    <mergeCell ref="H530:I530"/>
    <mergeCell ref="F521:G521"/>
    <mergeCell ref="H521:I521"/>
    <mergeCell ref="F522:G522"/>
    <mergeCell ref="H522:I522"/>
    <mergeCell ref="F523:G523"/>
    <mergeCell ref="H523:I523"/>
    <mergeCell ref="F524:G524"/>
    <mergeCell ref="H524:I524"/>
    <mergeCell ref="F525:G525"/>
    <mergeCell ref="H525:I525"/>
    <mergeCell ref="F536:G536"/>
    <mergeCell ref="H536:I536"/>
    <mergeCell ref="F537:G537"/>
    <mergeCell ref="H537:I537"/>
    <mergeCell ref="F538:G538"/>
    <mergeCell ref="H538:I538"/>
    <mergeCell ref="F539:G539"/>
    <mergeCell ref="H539:I539"/>
    <mergeCell ref="F540:G540"/>
    <mergeCell ref="H540:I540"/>
    <mergeCell ref="F531:G531"/>
    <mergeCell ref="H531:I531"/>
    <mergeCell ref="F532:G532"/>
    <mergeCell ref="H532:I532"/>
    <mergeCell ref="F533:G533"/>
    <mergeCell ref="H533:I533"/>
    <mergeCell ref="F534:G534"/>
    <mergeCell ref="H534:I534"/>
    <mergeCell ref="F535:G535"/>
    <mergeCell ref="H535:I535"/>
    <mergeCell ref="F546:G546"/>
    <mergeCell ref="H546:I546"/>
    <mergeCell ref="F547:G547"/>
    <mergeCell ref="H547:I547"/>
    <mergeCell ref="F548:G548"/>
    <mergeCell ref="H548:I548"/>
    <mergeCell ref="F549:G549"/>
    <mergeCell ref="H549:I549"/>
    <mergeCell ref="F550:G550"/>
    <mergeCell ref="H550:I550"/>
    <mergeCell ref="F541:G541"/>
    <mergeCell ref="H541:I541"/>
    <mergeCell ref="F542:G542"/>
    <mergeCell ref="H542:I542"/>
    <mergeCell ref="F543:G543"/>
    <mergeCell ref="H543:I543"/>
    <mergeCell ref="F544:G544"/>
    <mergeCell ref="H544:I544"/>
    <mergeCell ref="F545:G545"/>
    <mergeCell ref="H545:I545"/>
    <mergeCell ref="F556:G556"/>
    <mergeCell ref="H556:I556"/>
    <mergeCell ref="F557:G557"/>
    <mergeCell ref="H557:I557"/>
    <mergeCell ref="F558:G558"/>
    <mergeCell ref="H558:I558"/>
    <mergeCell ref="F559:G559"/>
    <mergeCell ref="H559:I559"/>
    <mergeCell ref="F560:G560"/>
    <mergeCell ref="H560:I560"/>
    <mergeCell ref="F551:G551"/>
    <mergeCell ref="H551:I551"/>
    <mergeCell ref="F552:G552"/>
    <mergeCell ref="H552:I552"/>
    <mergeCell ref="F553:G553"/>
    <mergeCell ref="H553:I553"/>
    <mergeCell ref="F554:G554"/>
    <mergeCell ref="H554:I554"/>
    <mergeCell ref="F555:G555"/>
    <mergeCell ref="H555:I555"/>
    <mergeCell ref="F566:G566"/>
    <mergeCell ref="H566:I566"/>
    <mergeCell ref="F567:G567"/>
    <mergeCell ref="H567:I567"/>
    <mergeCell ref="F568:G568"/>
    <mergeCell ref="H568:I568"/>
    <mergeCell ref="F569:G569"/>
    <mergeCell ref="H569:I569"/>
    <mergeCell ref="F570:G570"/>
    <mergeCell ref="H570:I570"/>
    <mergeCell ref="F561:G561"/>
    <mergeCell ref="H561:I561"/>
    <mergeCell ref="F562:G562"/>
    <mergeCell ref="H562:I562"/>
    <mergeCell ref="F563:G563"/>
    <mergeCell ref="H563:I563"/>
    <mergeCell ref="F564:G564"/>
    <mergeCell ref="H564:I564"/>
    <mergeCell ref="F565:G565"/>
    <mergeCell ref="H565:I565"/>
    <mergeCell ref="F576:G576"/>
    <mergeCell ref="H576:I576"/>
    <mergeCell ref="F577:G577"/>
    <mergeCell ref="H577:I577"/>
    <mergeCell ref="F578:G578"/>
    <mergeCell ref="H578:I578"/>
    <mergeCell ref="F579:G579"/>
    <mergeCell ref="H579:I579"/>
    <mergeCell ref="F580:G580"/>
    <mergeCell ref="H580:I580"/>
    <mergeCell ref="F571:G571"/>
    <mergeCell ref="H571:I571"/>
    <mergeCell ref="F572:G572"/>
    <mergeCell ref="H572:I572"/>
    <mergeCell ref="F573:G573"/>
    <mergeCell ref="H573:I573"/>
    <mergeCell ref="F574:G574"/>
    <mergeCell ref="H574:I574"/>
    <mergeCell ref="F575:G575"/>
    <mergeCell ref="H575:I575"/>
    <mergeCell ref="F586:G586"/>
    <mergeCell ref="H586:I586"/>
    <mergeCell ref="F587:G587"/>
    <mergeCell ref="H587:I587"/>
    <mergeCell ref="F588:G588"/>
    <mergeCell ref="H588:I588"/>
    <mergeCell ref="F589:G589"/>
    <mergeCell ref="H589:I589"/>
    <mergeCell ref="F590:G590"/>
    <mergeCell ref="H590:I590"/>
    <mergeCell ref="F581:G581"/>
    <mergeCell ref="H581:I581"/>
    <mergeCell ref="F582:G582"/>
    <mergeCell ref="H582:I582"/>
    <mergeCell ref="F583:G583"/>
    <mergeCell ref="H583:I583"/>
    <mergeCell ref="F584:G584"/>
    <mergeCell ref="H584:I584"/>
    <mergeCell ref="F585:G585"/>
    <mergeCell ref="H585:I585"/>
    <mergeCell ref="F596:G596"/>
    <mergeCell ref="H596:I596"/>
    <mergeCell ref="F597:G597"/>
    <mergeCell ref="H597:I597"/>
    <mergeCell ref="F598:G598"/>
    <mergeCell ref="H598:I598"/>
    <mergeCell ref="F599:G599"/>
    <mergeCell ref="H599:I599"/>
    <mergeCell ref="F600:G600"/>
    <mergeCell ref="H600:I600"/>
    <mergeCell ref="F591:G591"/>
    <mergeCell ref="H591:I591"/>
    <mergeCell ref="F592:G592"/>
    <mergeCell ref="H592:I592"/>
    <mergeCell ref="F593:G593"/>
    <mergeCell ref="H593:I593"/>
    <mergeCell ref="F594:G594"/>
    <mergeCell ref="H594:I594"/>
    <mergeCell ref="F595:G595"/>
    <mergeCell ref="H595:I595"/>
    <mergeCell ref="F606:G606"/>
    <mergeCell ref="H606:I606"/>
    <mergeCell ref="F607:G607"/>
    <mergeCell ref="H607:I607"/>
    <mergeCell ref="F608:G608"/>
    <mergeCell ref="H608:I608"/>
    <mergeCell ref="F609:G609"/>
    <mergeCell ref="H609:I609"/>
    <mergeCell ref="F610:G610"/>
    <mergeCell ref="H610:I610"/>
    <mergeCell ref="F601:G601"/>
    <mergeCell ref="H601:I601"/>
    <mergeCell ref="F602:G602"/>
    <mergeCell ref="H602:I602"/>
    <mergeCell ref="F603:G603"/>
    <mergeCell ref="H603:I603"/>
    <mergeCell ref="F604:G604"/>
    <mergeCell ref="H604:I604"/>
    <mergeCell ref="F605:G605"/>
    <mergeCell ref="H605:I605"/>
    <mergeCell ref="F616:G616"/>
    <mergeCell ref="H616:I616"/>
    <mergeCell ref="F617:G617"/>
    <mergeCell ref="H617:I617"/>
    <mergeCell ref="F618:G618"/>
    <mergeCell ref="H618:I618"/>
    <mergeCell ref="F619:G619"/>
    <mergeCell ref="H619:I619"/>
    <mergeCell ref="F620:G620"/>
    <mergeCell ref="H620:I620"/>
    <mergeCell ref="F611:G611"/>
    <mergeCell ref="H611:I611"/>
    <mergeCell ref="F612:G612"/>
    <mergeCell ref="H612:I612"/>
    <mergeCell ref="F613:G613"/>
    <mergeCell ref="H613:I613"/>
    <mergeCell ref="F614:G614"/>
    <mergeCell ref="H614:I614"/>
    <mergeCell ref="F615:G615"/>
    <mergeCell ref="H615:I615"/>
    <mergeCell ref="F626:G626"/>
    <mergeCell ref="H626:I626"/>
    <mergeCell ref="F627:G627"/>
    <mergeCell ref="H627:I627"/>
    <mergeCell ref="F628:G628"/>
    <mergeCell ref="H628:I628"/>
    <mergeCell ref="F629:G629"/>
    <mergeCell ref="H629:I629"/>
    <mergeCell ref="F630:G630"/>
    <mergeCell ref="H630:I630"/>
    <mergeCell ref="F621:G621"/>
    <mergeCell ref="H621:I621"/>
    <mergeCell ref="F622:G622"/>
    <mergeCell ref="H622:I622"/>
    <mergeCell ref="F623:G623"/>
    <mergeCell ref="H623:I623"/>
    <mergeCell ref="F624:G624"/>
    <mergeCell ref="H624:I624"/>
    <mergeCell ref="F625:G625"/>
    <mergeCell ref="H625:I625"/>
    <mergeCell ref="F636:G636"/>
    <mergeCell ref="H636:I636"/>
    <mergeCell ref="F637:G637"/>
    <mergeCell ref="H637:I637"/>
    <mergeCell ref="F638:G638"/>
    <mergeCell ref="H638:I638"/>
    <mergeCell ref="F639:G639"/>
    <mergeCell ref="H639:I639"/>
    <mergeCell ref="F640:G640"/>
    <mergeCell ref="H640:I640"/>
    <mergeCell ref="F631:G631"/>
    <mergeCell ref="H631:I631"/>
    <mergeCell ref="F632:G632"/>
    <mergeCell ref="H632:I632"/>
    <mergeCell ref="F633:G633"/>
    <mergeCell ref="H633:I633"/>
    <mergeCell ref="F634:G634"/>
    <mergeCell ref="H634:I634"/>
    <mergeCell ref="F635:G635"/>
    <mergeCell ref="H635:I635"/>
    <mergeCell ref="F646:G646"/>
    <mergeCell ref="H646:I646"/>
    <mergeCell ref="F647:G647"/>
    <mergeCell ref="H647:I647"/>
    <mergeCell ref="F648:G648"/>
    <mergeCell ref="H648:I648"/>
    <mergeCell ref="F649:G649"/>
    <mergeCell ref="H649:I649"/>
    <mergeCell ref="F650:G650"/>
    <mergeCell ref="H650:I650"/>
    <mergeCell ref="F641:G641"/>
    <mergeCell ref="H641:I641"/>
    <mergeCell ref="F642:G642"/>
    <mergeCell ref="H642:I642"/>
    <mergeCell ref="F643:G643"/>
    <mergeCell ref="H643:I643"/>
    <mergeCell ref="F644:G644"/>
    <mergeCell ref="H644:I644"/>
    <mergeCell ref="F645:G645"/>
    <mergeCell ref="H645:I645"/>
    <mergeCell ref="F656:G656"/>
    <mergeCell ref="H656:I656"/>
    <mergeCell ref="F657:G657"/>
    <mergeCell ref="H657:I657"/>
    <mergeCell ref="F658:G658"/>
    <mergeCell ref="H658:I658"/>
    <mergeCell ref="F659:G659"/>
    <mergeCell ref="H659:I659"/>
    <mergeCell ref="F660:G660"/>
    <mergeCell ref="H660:I660"/>
    <mergeCell ref="F651:G651"/>
    <mergeCell ref="H651:I651"/>
    <mergeCell ref="F652:G652"/>
    <mergeCell ref="H652:I652"/>
    <mergeCell ref="F653:G653"/>
    <mergeCell ref="H653:I653"/>
    <mergeCell ref="F654:G654"/>
    <mergeCell ref="H654:I654"/>
    <mergeCell ref="F655:G655"/>
    <mergeCell ref="H655:I655"/>
    <mergeCell ref="F666:G666"/>
    <mergeCell ref="H666:I666"/>
    <mergeCell ref="F667:G667"/>
    <mergeCell ref="H667:I667"/>
    <mergeCell ref="F668:G668"/>
    <mergeCell ref="H668:I668"/>
    <mergeCell ref="F669:G669"/>
    <mergeCell ref="H669:I669"/>
    <mergeCell ref="F670:G670"/>
    <mergeCell ref="H670:I670"/>
    <mergeCell ref="F661:G661"/>
    <mergeCell ref="H661:I661"/>
    <mergeCell ref="F662:G662"/>
    <mergeCell ref="H662:I662"/>
    <mergeCell ref="F663:G663"/>
    <mergeCell ref="H663:I663"/>
    <mergeCell ref="F664:G664"/>
    <mergeCell ref="H664:I664"/>
    <mergeCell ref="F665:G665"/>
    <mergeCell ref="H665:I665"/>
    <mergeCell ref="F676:G676"/>
    <mergeCell ref="H676:I676"/>
    <mergeCell ref="F677:G677"/>
    <mergeCell ref="H677:I677"/>
    <mergeCell ref="F678:G678"/>
    <mergeCell ref="H678:I678"/>
    <mergeCell ref="F679:G679"/>
    <mergeCell ref="H679:I679"/>
    <mergeCell ref="F680:G680"/>
    <mergeCell ref="H680:I680"/>
    <mergeCell ref="F671:G671"/>
    <mergeCell ref="H671:I671"/>
    <mergeCell ref="F672:G672"/>
    <mergeCell ref="H672:I672"/>
    <mergeCell ref="F673:G673"/>
    <mergeCell ref="H673:I673"/>
    <mergeCell ref="F674:G674"/>
    <mergeCell ref="H674:I674"/>
    <mergeCell ref="F675:G675"/>
    <mergeCell ref="H675:I675"/>
    <mergeCell ref="F686:G686"/>
    <mergeCell ref="H686:I686"/>
    <mergeCell ref="F687:G687"/>
    <mergeCell ref="H687:I687"/>
    <mergeCell ref="F688:G688"/>
    <mergeCell ref="H688:I688"/>
    <mergeCell ref="F689:G689"/>
    <mergeCell ref="H689:I689"/>
    <mergeCell ref="F690:G690"/>
    <mergeCell ref="H690:I690"/>
    <mergeCell ref="F681:G681"/>
    <mergeCell ref="H681:I681"/>
    <mergeCell ref="F682:G682"/>
    <mergeCell ref="H682:I682"/>
    <mergeCell ref="F683:G683"/>
    <mergeCell ref="H683:I683"/>
    <mergeCell ref="F684:G684"/>
    <mergeCell ref="H684:I684"/>
    <mergeCell ref="F685:G685"/>
    <mergeCell ref="H685:I685"/>
    <mergeCell ref="F696:G696"/>
    <mergeCell ref="H696:I696"/>
    <mergeCell ref="F697:G697"/>
    <mergeCell ref="H697:I697"/>
    <mergeCell ref="F698:G698"/>
    <mergeCell ref="H698:I698"/>
    <mergeCell ref="F699:G699"/>
    <mergeCell ref="H699:I699"/>
    <mergeCell ref="F700:G700"/>
    <mergeCell ref="H700:I700"/>
    <mergeCell ref="F691:G691"/>
    <mergeCell ref="H691:I691"/>
    <mergeCell ref="F692:G692"/>
    <mergeCell ref="H692:I692"/>
    <mergeCell ref="F693:G693"/>
    <mergeCell ref="H693:I693"/>
    <mergeCell ref="F694:G694"/>
    <mergeCell ref="H694:I694"/>
    <mergeCell ref="F695:G695"/>
    <mergeCell ref="H695:I695"/>
    <mergeCell ref="F706:G706"/>
    <mergeCell ref="H706:I706"/>
    <mergeCell ref="F707:G707"/>
    <mergeCell ref="H707:I707"/>
    <mergeCell ref="F708:G708"/>
    <mergeCell ref="H708:I708"/>
    <mergeCell ref="F709:G709"/>
    <mergeCell ref="H709:I709"/>
    <mergeCell ref="F710:G710"/>
    <mergeCell ref="H710:I710"/>
    <mergeCell ref="F701:G701"/>
    <mergeCell ref="H701:I701"/>
    <mergeCell ref="F702:G702"/>
    <mergeCell ref="H702:I702"/>
    <mergeCell ref="F703:G703"/>
    <mergeCell ref="H703:I703"/>
    <mergeCell ref="F704:G704"/>
    <mergeCell ref="H704:I704"/>
    <mergeCell ref="F705:G705"/>
    <mergeCell ref="H705:I705"/>
    <mergeCell ref="F716:G716"/>
    <mergeCell ref="H716:I716"/>
    <mergeCell ref="F717:G717"/>
    <mergeCell ref="H717:I717"/>
    <mergeCell ref="F718:G718"/>
    <mergeCell ref="H718:I718"/>
    <mergeCell ref="F719:G719"/>
    <mergeCell ref="H719:I719"/>
    <mergeCell ref="F720:G720"/>
    <mergeCell ref="H720:I720"/>
    <mergeCell ref="F711:G711"/>
    <mergeCell ref="H711:I711"/>
    <mergeCell ref="F712:G712"/>
    <mergeCell ref="H712:I712"/>
    <mergeCell ref="F713:G713"/>
    <mergeCell ref="H713:I713"/>
    <mergeCell ref="F714:G714"/>
    <mergeCell ref="H714:I714"/>
    <mergeCell ref="F715:G715"/>
    <mergeCell ref="H715:I715"/>
    <mergeCell ref="F726:G726"/>
    <mergeCell ref="H726:I726"/>
    <mergeCell ref="F727:G727"/>
    <mergeCell ref="H727:I727"/>
    <mergeCell ref="F728:G728"/>
    <mergeCell ref="H728:I728"/>
    <mergeCell ref="F729:G729"/>
    <mergeCell ref="H729:I729"/>
    <mergeCell ref="F730:G730"/>
    <mergeCell ref="H730:I730"/>
    <mergeCell ref="F721:G721"/>
    <mergeCell ref="H721:I721"/>
    <mergeCell ref="F722:G722"/>
    <mergeCell ref="H722:I722"/>
    <mergeCell ref="F723:G723"/>
    <mergeCell ref="H723:I723"/>
    <mergeCell ref="F724:G724"/>
    <mergeCell ref="H724:I724"/>
    <mergeCell ref="F725:G725"/>
    <mergeCell ref="H725:I725"/>
    <mergeCell ref="F736:G736"/>
    <mergeCell ref="H736:I736"/>
    <mergeCell ref="F737:G737"/>
    <mergeCell ref="H737:I737"/>
    <mergeCell ref="F738:G738"/>
    <mergeCell ref="H738:I738"/>
    <mergeCell ref="F739:G739"/>
    <mergeCell ref="H739:I739"/>
    <mergeCell ref="F740:G740"/>
    <mergeCell ref="H740:I740"/>
    <mergeCell ref="F731:G731"/>
    <mergeCell ref="H731:I731"/>
    <mergeCell ref="F732:G732"/>
    <mergeCell ref="H732:I732"/>
    <mergeCell ref="F733:G733"/>
    <mergeCell ref="H733:I733"/>
    <mergeCell ref="F734:G734"/>
    <mergeCell ref="H734:I734"/>
    <mergeCell ref="F735:G735"/>
    <mergeCell ref="H735:I735"/>
    <mergeCell ref="F746:G746"/>
    <mergeCell ref="H746:I746"/>
    <mergeCell ref="F747:G747"/>
    <mergeCell ref="H747:I747"/>
    <mergeCell ref="F748:G748"/>
    <mergeCell ref="H748:I748"/>
    <mergeCell ref="F749:G749"/>
    <mergeCell ref="H749:I749"/>
    <mergeCell ref="F750:G750"/>
    <mergeCell ref="H750:I750"/>
    <mergeCell ref="F741:G741"/>
    <mergeCell ref="H741:I741"/>
    <mergeCell ref="F742:G742"/>
    <mergeCell ref="H742:I742"/>
    <mergeCell ref="F743:G743"/>
    <mergeCell ref="H743:I743"/>
    <mergeCell ref="F744:G744"/>
    <mergeCell ref="H744:I744"/>
    <mergeCell ref="F745:G745"/>
    <mergeCell ref="H745:I745"/>
    <mergeCell ref="F756:G756"/>
    <mergeCell ref="H756:I756"/>
    <mergeCell ref="F757:G757"/>
    <mergeCell ref="H757:I757"/>
    <mergeCell ref="F758:G758"/>
    <mergeCell ref="H758:I758"/>
    <mergeCell ref="F759:G759"/>
    <mergeCell ref="H759:I759"/>
    <mergeCell ref="F760:G760"/>
    <mergeCell ref="H760:I760"/>
    <mergeCell ref="F751:G751"/>
    <mergeCell ref="H751:I751"/>
    <mergeCell ref="F752:G752"/>
    <mergeCell ref="H752:I752"/>
    <mergeCell ref="F753:G753"/>
    <mergeCell ref="H753:I753"/>
    <mergeCell ref="F754:G754"/>
    <mergeCell ref="H754:I754"/>
    <mergeCell ref="F755:G755"/>
    <mergeCell ref="H755:I755"/>
    <mergeCell ref="F766:G766"/>
    <mergeCell ref="H766:I766"/>
    <mergeCell ref="F767:G767"/>
    <mergeCell ref="H767:I767"/>
    <mergeCell ref="F768:G768"/>
    <mergeCell ref="H768:I768"/>
    <mergeCell ref="F769:G769"/>
    <mergeCell ref="H769:I769"/>
    <mergeCell ref="F770:G770"/>
    <mergeCell ref="H770:I770"/>
    <mergeCell ref="F761:G761"/>
    <mergeCell ref="H761:I761"/>
    <mergeCell ref="F762:G762"/>
    <mergeCell ref="H762:I762"/>
    <mergeCell ref="F763:G763"/>
    <mergeCell ref="H763:I763"/>
    <mergeCell ref="F764:G764"/>
    <mergeCell ref="H764:I764"/>
    <mergeCell ref="F765:G765"/>
    <mergeCell ref="H765:I765"/>
    <mergeCell ref="F776:G776"/>
    <mergeCell ref="H776:I776"/>
    <mergeCell ref="F777:G777"/>
    <mergeCell ref="H777:I777"/>
    <mergeCell ref="F778:G778"/>
    <mergeCell ref="H778:I778"/>
    <mergeCell ref="F779:G779"/>
    <mergeCell ref="H779:I779"/>
    <mergeCell ref="F780:G780"/>
    <mergeCell ref="H780:I780"/>
    <mergeCell ref="F771:G771"/>
    <mergeCell ref="H771:I771"/>
    <mergeCell ref="F772:G772"/>
    <mergeCell ref="H772:I772"/>
    <mergeCell ref="F773:G773"/>
    <mergeCell ref="H773:I773"/>
    <mergeCell ref="F774:G774"/>
    <mergeCell ref="H774:I774"/>
    <mergeCell ref="F775:G775"/>
    <mergeCell ref="H775:I775"/>
    <mergeCell ref="F791:G791"/>
    <mergeCell ref="H791:I791"/>
    <mergeCell ref="F786:G786"/>
    <mergeCell ref="H786:I786"/>
    <mergeCell ref="F787:G787"/>
    <mergeCell ref="H787:I787"/>
    <mergeCell ref="F788:G788"/>
    <mergeCell ref="H788:I788"/>
    <mergeCell ref="F789:G789"/>
    <mergeCell ref="H789:I789"/>
    <mergeCell ref="F790:G790"/>
    <mergeCell ref="H790:I790"/>
    <mergeCell ref="F781:G781"/>
    <mergeCell ref="H781:I781"/>
    <mergeCell ref="F782:G782"/>
    <mergeCell ref="H782:I782"/>
    <mergeCell ref="F783:G783"/>
    <mergeCell ref="H783:I783"/>
    <mergeCell ref="F784:G784"/>
    <mergeCell ref="H784:I784"/>
    <mergeCell ref="F785:G785"/>
    <mergeCell ref="H785:I785"/>
    <mergeCell ref="J521:K521"/>
    <mergeCell ref="L521:M521"/>
    <mergeCell ref="N521:O521"/>
    <mergeCell ref="J516:K516"/>
    <mergeCell ref="L516:M516"/>
    <mergeCell ref="N516:O516"/>
    <mergeCell ref="J517:K517"/>
    <mergeCell ref="L517:M517"/>
    <mergeCell ref="N517:O517"/>
    <mergeCell ref="J518:K518"/>
    <mergeCell ref="L518:M518"/>
    <mergeCell ref="N518:O518"/>
    <mergeCell ref="J525:K525"/>
    <mergeCell ref="L525:M525"/>
    <mergeCell ref="N525:O525"/>
    <mergeCell ref="J526:K526"/>
    <mergeCell ref="L526:M526"/>
    <mergeCell ref="N526:O526"/>
    <mergeCell ref="J527:K527"/>
    <mergeCell ref="L527:M527"/>
    <mergeCell ref="N527:O527"/>
    <mergeCell ref="J522:K522"/>
    <mergeCell ref="L522:M522"/>
    <mergeCell ref="N522:O522"/>
    <mergeCell ref="J523:K523"/>
    <mergeCell ref="L523:M523"/>
    <mergeCell ref="N523:O523"/>
    <mergeCell ref="J524:K524"/>
    <mergeCell ref="L524:M524"/>
    <mergeCell ref="N524:O524"/>
    <mergeCell ref="J531:K531"/>
    <mergeCell ref="L531:M531"/>
    <mergeCell ref="N531:O531"/>
    <mergeCell ref="J532:K532"/>
    <mergeCell ref="L532:M532"/>
    <mergeCell ref="N532:O532"/>
    <mergeCell ref="J533:K533"/>
    <mergeCell ref="L533:M533"/>
    <mergeCell ref="N533:O533"/>
    <mergeCell ref="J528:K528"/>
    <mergeCell ref="L528:M528"/>
    <mergeCell ref="N528:O528"/>
    <mergeCell ref="J529:K529"/>
    <mergeCell ref="L529:M529"/>
    <mergeCell ref="N529:O529"/>
    <mergeCell ref="J530:K530"/>
    <mergeCell ref="L530:M530"/>
    <mergeCell ref="N530:O530"/>
    <mergeCell ref="J537:K537"/>
    <mergeCell ref="L537:M537"/>
    <mergeCell ref="N537:O537"/>
    <mergeCell ref="J538:K538"/>
    <mergeCell ref="L538:M538"/>
    <mergeCell ref="N538:O538"/>
    <mergeCell ref="J539:K539"/>
    <mergeCell ref="L539:M539"/>
    <mergeCell ref="N539:O539"/>
    <mergeCell ref="J534:K534"/>
    <mergeCell ref="L534:M534"/>
    <mergeCell ref="N534:O534"/>
    <mergeCell ref="J535:K535"/>
    <mergeCell ref="L535:M535"/>
    <mergeCell ref="N535:O535"/>
    <mergeCell ref="J536:K536"/>
    <mergeCell ref="L536:M536"/>
    <mergeCell ref="N536:O536"/>
    <mergeCell ref="J543:K543"/>
    <mergeCell ref="L543:M543"/>
    <mergeCell ref="N543:O543"/>
    <mergeCell ref="J544:K544"/>
    <mergeCell ref="L544:M544"/>
    <mergeCell ref="N544:O544"/>
    <mergeCell ref="J545:K545"/>
    <mergeCell ref="L545:M545"/>
    <mergeCell ref="N545:O545"/>
    <mergeCell ref="J540:K540"/>
    <mergeCell ref="L540:M540"/>
    <mergeCell ref="N540:O540"/>
    <mergeCell ref="J541:K541"/>
    <mergeCell ref="L541:M541"/>
    <mergeCell ref="N541:O541"/>
    <mergeCell ref="J542:K542"/>
    <mergeCell ref="L542:M542"/>
    <mergeCell ref="N542:O542"/>
    <mergeCell ref="J549:K549"/>
    <mergeCell ref="L549:M549"/>
    <mergeCell ref="N549:O549"/>
    <mergeCell ref="J550:K550"/>
    <mergeCell ref="L550:M550"/>
    <mergeCell ref="N550:O550"/>
    <mergeCell ref="J551:K551"/>
    <mergeCell ref="L551:M551"/>
    <mergeCell ref="N551:O551"/>
    <mergeCell ref="J546:K546"/>
    <mergeCell ref="L546:M546"/>
    <mergeCell ref="N546:O546"/>
    <mergeCell ref="J547:K547"/>
    <mergeCell ref="L547:M547"/>
    <mergeCell ref="N547:O547"/>
    <mergeCell ref="J548:K548"/>
    <mergeCell ref="L548:M548"/>
    <mergeCell ref="N548:O548"/>
    <mergeCell ref="J555:K555"/>
    <mergeCell ref="L555:M555"/>
    <mergeCell ref="N555:O555"/>
    <mergeCell ref="J556:K556"/>
    <mergeCell ref="L556:M556"/>
    <mergeCell ref="N556:O556"/>
    <mergeCell ref="J557:K557"/>
    <mergeCell ref="L557:M557"/>
    <mergeCell ref="N557:O557"/>
    <mergeCell ref="J552:K552"/>
    <mergeCell ref="L552:M552"/>
    <mergeCell ref="N552:O552"/>
    <mergeCell ref="J553:K553"/>
    <mergeCell ref="L553:M553"/>
    <mergeCell ref="N553:O553"/>
    <mergeCell ref="J554:K554"/>
    <mergeCell ref="L554:M554"/>
    <mergeCell ref="N554:O554"/>
    <mergeCell ref="J561:K561"/>
    <mergeCell ref="L561:M561"/>
    <mergeCell ref="N561:O561"/>
    <mergeCell ref="J562:K562"/>
    <mergeCell ref="L562:M562"/>
    <mergeCell ref="N562:O562"/>
    <mergeCell ref="J563:K563"/>
    <mergeCell ref="L563:M563"/>
    <mergeCell ref="N563:O563"/>
    <mergeCell ref="J558:K558"/>
    <mergeCell ref="L558:M558"/>
    <mergeCell ref="N558:O558"/>
    <mergeCell ref="J559:K559"/>
    <mergeCell ref="L559:M559"/>
    <mergeCell ref="N559:O559"/>
    <mergeCell ref="J560:K560"/>
    <mergeCell ref="L560:M560"/>
    <mergeCell ref="N560:O560"/>
    <mergeCell ref="J567:K567"/>
    <mergeCell ref="L567:M567"/>
    <mergeCell ref="N567:O567"/>
    <mergeCell ref="J568:K568"/>
    <mergeCell ref="L568:M568"/>
    <mergeCell ref="N568:O568"/>
    <mergeCell ref="J569:K569"/>
    <mergeCell ref="L569:M569"/>
    <mergeCell ref="N569:O569"/>
    <mergeCell ref="J564:K564"/>
    <mergeCell ref="L564:M564"/>
    <mergeCell ref="N564:O564"/>
    <mergeCell ref="J565:K565"/>
    <mergeCell ref="L565:M565"/>
    <mergeCell ref="N565:O565"/>
    <mergeCell ref="J566:K566"/>
    <mergeCell ref="L566:M566"/>
    <mergeCell ref="N566:O566"/>
    <mergeCell ref="J573:K573"/>
    <mergeCell ref="L573:M573"/>
    <mergeCell ref="N573:O573"/>
    <mergeCell ref="J574:K574"/>
    <mergeCell ref="L574:M574"/>
    <mergeCell ref="N574:O574"/>
    <mergeCell ref="J575:K575"/>
    <mergeCell ref="L575:M575"/>
    <mergeCell ref="N575:O575"/>
    <mergeCell ref="J570:K570"/>
    <mergeCell ref="L570:M570"/>
    <mergeCell ref="N570:O570"/>
    <mergeCell ref="J571:K571"/>
    <mergeCell ref="L571:M571"/>
    <mergeCell ref="N571:O571"/>
    <mergeCell ref="J572:K572"/>
    <mergeCell ref="L572:M572"/>
    <mergeCell ref="N572:O572"/>
    <mergeCell ref="J579:K579"/>
    <mergeCell ref="L579:M579"/>
    <mergeCell ref="N579:O579"/>
    <mergeCell ref="J580:K580"/>
    <mergeCell ref="L580:M580"/>
    <mergeCell ref="N580:O580"/>
    <mergeCell ref="J581:K581"/>
    <mergeCell ref="L581:M581"/>
    <mergeCell ref="N581:O581"/>
    <mergeCell ref="J576:K576"/>
    <mergeCell ref="L576:M576"/>
    <mergeCell ref="N576:O576"/>
    <mergeCell ref="J577:K577"/>
    <mergeCell ref="L577:M577"/>
    <mergeCell ref="N577:O577"/>
    <mergeCell ref="J578:K578"/>
    <mergeCell ref="L578:M578"/>
    <mergeCell ref="N578:O578"/>
    <mergeCell ref="J585:K585"/>
    <mergeCell ref="L585:M585"/>
    <mergeCell ref="N585:O585"/>
    <mergeCell ref="J586:K586"/>
    <mergeCell ref="L586:M586"/>
    <mergeCell ref="N586:O586"/>
    <mergeCell ref="J587:K587"/>
    <mergeCell ref="L587:M587"/>
    <mergeCell ref="N587:O587"/>
    <mergeCell ref="J582:K582"/>
    <mergeCell ref="L582:M582"/>
    <mergeCell ref="N582:O582"/>
    <mergeCell ref="J583:K583"/>
    <mergeCell ref="L583:M583"/>
    <mergeCell ref="N583:O583"/>
    <mergeCell ref="J584:K584"/>
    <mergeCell ref="L584:M584"/>
    <mergeCell ref="N584:O584"/>
    <mergeCell ref="J591:K591"/>
    <mergeCell ref="L591:M591"/>
    <mergeCell ref="N591:O591"/>
    <mergeCell ref="J592:K592"/>
    <mergeCell ref="L592:M592"/>
    <mergeCell ref="N592:O592"/>
    <mergeCell ref="J593:K593"/>
    <mergeCell ref="L593:M593"/>
    <mergeCell ref="N593:O593"/>
    <mergeCell ref="J588:K588"/>
    <mergeCell ref="L588:M588"/>
    <mergeCell ref="N588:O588"/>
    <mergeCell ref="J589:K589"/>
    <mergeCell ref="L589:M589"/>
    <mergeCell ref="N589:O589"/>
    <mergeCell ref="J590:K590"/>
    <mergeCell ref="L590:M590"/>
    <mergeCell ref="N590:O590"/>
    <mergeCell ref="J597:K597"/>
    <mergeCell ref="L597:M597"/>
    <mergeCell ref="N597:O597"/>
    <mergeCell ref="J598:K598"/>
    <mergeCell ref="L598:M598"/>
    <mergeCell ref="N598:O598"/>
    <mergeCell ref="J599:K599"/>
    <mergeCell ref="L599:M599"/>
    <mergeCell ref="N599:O599"/>
    <mergeCell ref="J594:K594"/>
    <mergeCell ref="L594:M594"/>
    <mergeCell ref="N594:O594"/>
    <mergeCell ref="J595:K595"/>
    <mergeCell ref="L595:M595"/>
    <mergeCell ref="N595:O595"/>
    <mergeCell ref="J596:K596"/>
    <mergeCell ref="L596:M596"/>
    <mergeCell ref="N596:O596"/>
    <mergeCell ref="J603:K603"/>
    <mergeCell ref="L603:M603"/>
    <mergeCell ref="N603:O603"/>
    <mergeCell ref="J604:K604"/>
    <mergeCell ref="L604:M604"/>
    <mergeCell ref="N604:O604"/>
    <mergeCell ref="J605:K605"/>
    <mergeCell ref="L605:M605"/>
    <mergeCell ref="N605:O605"/>
    <mergeCell ref="J600:K600"/>
    <mergeCell ref="L600:M600"/>
    <mergeCell ref="N600:O600"/>
    <mergeCell ref="J601:K601"/>
    <mergeCell ref="L601:M601"/>
    <mergeCell ref="N601:O601"/>
    <mergeCell ref="J602:K602"/>
    <mergeCell ref="L602:M602"/>
    <mergeCell ref="N602:O602"/>
    <mergeCell ref="J609:K609"/>
    <mergeCell ref="L609:M609"/>
    <mergeCell ref="N609:O609"/>
    <mergeCell ref="J610:K610"/>
    <mergeCell ref="L610:M610"/>
    <mergeCell ref="N610:O610"/>
    <mergeCell ref="J611:K611"/>
    <mergeCell ref="L611:M611"/>
    <mergeCell ref="N611:O611"/>
    <mergeCell ref="J606:K606"/>
    <mergeCell ref="L606:M606"/>
    <mergeCell ref="N606:O606"/>
    <mergeCell ref="J607:K607"/>
    <mergeCell ref="L607:M607"/>
    <mergeCell ref="N607:O607"/>
    <mergeCell ref="J608:K608"/>
    <mergeCell ref="L608:M608"/>
    <mergeCell ref="N608:O608"/>
    <mergeCell ref="J615:K615"/>
    <mergeCell ref="L615:M615"/>
    <mergeCell ref="N615:O615"/>
    <mergeCell ref="J616:K616"/>
    <mergeCell ref="L616:M616"/>
    <mergeCell ref="N616:O616"/>
    <mergeCell ref="J617:K617"/>
    <mergeCell ref="L617:M617"/>
    <mergeCell ref="N617:O617"/>
    <mergeCell ref="J612:K612"/>
    <mergeCell ref="L612:M612"/>
    <mergeCell ref="N612:O612"/>
    <mergeCell ref="J613:K613"/>
    <mergeCell ref="L613:M613"/>
    <mergeCell ref="N613:O613"/>
    <mergeCell ref="J614:K614"/>
    <mergeCell ref="L614:M614"/>
    <mergeCell ref="N614:O614"/>
    <mergeCell ref="J621:K621"/>
    <mergeCell ref="L621:M621"/>
    <mergeCell ref="N621:O621"/>
    <mergeCell ref="J622:K622"/>
    <mergeCell ref="L622:M622"/>
    <mergeCell ref="N622:O622"/>
    <mergeCell ref="J623:K623"/>
    <mergeCell ref="L623:M623"/>
    <mergeCell ref="N623:O623"/>
    <mergeCell ref="J618:K618"/>
    <mergeCell ref="L618:M618"/>
    <mergeCell ref="N618:O618"/>
    <mergeCell ref="J619:K619"/>
    <mergeCell ref="L619:M619"/>
    <mergeCell ref="N619:O619"/>
    <mergeCell ref="J620:K620"/>
    <mergeCell ref="L620:M620"/>
    <mergeCell ref="N620:O620"/>
    <mergeCell ref="J627:K627"/>
    <mergeCell ref="L627:M627"/>
    <mergeCell ref="N627:O627"/>
    <mergeCell ref="J628:K628"/>
    <mergeCell ref="L628:M628"/>
    <mergeCell ref="N628:O628"/>
    <mergeCell ref="J629:K629"/>
    <mergeCell ref="L629:M629"/>
    <mergeCell ref="N629:O629"/>
    <mergeCell ref="J624:K624"/>
    <mergeCell ref="L624:M624"/>
    <mergeCell ref="N624:O624"/>
    <mergeCell ref="J625:K625"/>
    <mergeCell ref="L625:M625"/>
    <mergeCell ref="N625:O625"/>
    <mergeCell ref="J626:K626"/>
    <mergeCell ref="L626:M626"/>
    <mergeCell ref="N626:O626"/>
    <mergeCell ref="J633:K633"/>
    <mergeCell ref="L633:M633"/>
    <mergeCell ref="N633:O633"/>
    <mergeCell ref="J634:K634"/>
    <mergeCell ref="L634:M634"/>
    <mergeCell ref="N634:O634"/>
    <mergeCell ref="J635:K635"/>
    <mergeCell ref="L635:M635"/>
    <mergeCell ref="N635:O635"/>
    <mergeCell ref="J630:K630"/>
    <mergeCell ref="L630:M630"/>
    <mergeCell ref="N630:O630"/>
    <mergeCell ref="J631:K631"/>
    <mergeCell ref="L631:M631"/>
    <mergeCell ref="N631:O631"/>
    <mergeCell ref="J632:K632"/>
    <mergeCell ref="L632:M632"/>
    <mergeCell ref="N632:O632"/>
    <mergeCell ref="J639:K639"/>
    <mergeCell ref="L639:M639"/>
    <mergeCell ref="N639:O639"/>
    <mergeCell ref="J640:K640"/>
    <mergeCell ref="L640:M640"/>
    <mergeCell ref="N640:O640"/>
    <mergeCell ref="J641:K641"/>
    <mergeCell ref="L641:M641"/>
    <mergeCell ref="N641:O641"/>
    <mergeCell ref="J636:K636"/>
    <mergeCell ref="L636:M636"/>
    <mergeCell ref="N636:O636"/>
    <mergeCell ref="J637:K637"/>
    <mergeCell ref="L637:M637"/>
    <mergeCell ref="N637:O637"/>
    <mergeCell ref="J638:K638"/>
    <mergeCell ref="L638:M638"/>
    <mergeCell ref="N638:O638"/>
    <mergeCell ref="J645:K645"/>
    <mergeCell ref="L645:M645"/>
    <mergeCell ref="N645:O645"/>
    <mergeCell ref="J646:K646"/>
    <mergeCell ref="L646:M646"/>
    <mergeCell ref="N646:O646"/>
    <mergeCell ref="J647:K647"/>
    <mergeCell ref="L647:M647"/>
    <mergeCell ref="N647:O647"/>
    <mergeCell ref="J642:K642"/>
    <mergeCell ref="L642:M642"/>
    <mergeCell ref="N642:O642"/>
    <mergeCell ref="J643:K643"/>
    <mergeCell ref="L643:M643"/>
    <mergeCell ref="N643:O643"/>
    <mergeCell ref="J644:K644"/>
    <mergeCell ref="L644:M644"/>
    <mergeCell ref="N644:O644"/>
    <mergeCell ref="J651:K651"/>
    <mergeCell ref="L651:M651"/>
    <mergeCell ref="N651:O651"/>
    <mergeCell ref="J652:K652"/>
    <mergeCell ref="L652:M652"/>
    <mergeCell ref="N652:O652"/>
    <mergeCell ref="J653:K653"/>
    <mergeCell ref="L653:M653"/>
    <mergeCell ref="N653:O653"/>
    <mergeCell ref="J648:K648"/>
    <mergeCell ref="L648:M648"/>
    <mergeCell ref="N648:O648"/>
    <mergeCell ref="J649:K649"/>
    <mergeCell ref="L649:M649"/>
    <mergeCell ref="N649:O649"/>
    <mergeCell ref="J650:K650"/>
    <mergeCell ref="L650:M650"/>
    <mergeCell ref="N650:O650"/>
    <mergeCell ref="J657:K657"/>
    <mergeCell ref="L657:M657"/>
    <mergeCell ref="N657:O657"/>
    <mergeCell ref="J658:K658"/>
    <mergeCell ref="L658:M658"/>
    <mergeCell ref="N658:O658"/>
    <mergeCell ref="J659:K659"/>
    <mergeCell ref="L659:M659"/>
    <mergeCell ref="N659:O659"/>
    <mergeCell ref="J654:K654"/>
    <mergeCell ref="L654:M654"/>
    <mergeCell ref="N654:O654"/>
    <mergeCell ref="J655:K655"/>
    <mergeCell ref="L655:M655"/>
    <mergeCell ref="N655:O655"/>
    <mergeCell ref="J656:K656"/>
    <mergeCell ref="L656:M656"/>
    <mergeCell ref="N656:O656"/>
    <mergeCell ref="J663:K663"/>
    <mergeCell ref="L663:M663"/>
    <mergeCell ref="N663:O663"/>
    <mergeCell ref="J664:K664"/>
    <mergeCell ref="L664:M664"/>
    <mergeCell ref="N664:O664"/>
    <mergeCell ref="J665:K665"/>
    <mergeCell ref="L665:M665"/>
    <mergeCell ref="N665:O665"/>
    <mergeCell ref="J660:K660"/>
    <mergeCell ref="L660:M660"/>
    <mergeCell ref="N660:O660"/>
    <mergeCell ref="J661:K661"/>
    <mergeCell ref="L661:M661"/>
    <mergeCell ref="N661:O661"/>
    <mergeCell ref="J662:K662"/>
    <mergeCell ref="L662:M662"/>
    <mergeCell ref="N662:O662"/>
    <mergeCell ref="J669:K669"/>
    <mergeCell ref="L669:M669"/>
    <mergeCell ref="N669:O669"/>
    <mergeCell ref="J670:K670"/>
    <mergeCell ref="L670:M670"/>
    <mergeCell ref="N670:O670"/>
    <mergeCell ref="J671:K671"/>
    <mergeCell ref="L671:M671"/>
    <mergeCell ref="N671:O671"/>
    <mergeCell ref="J666:K666"/>
    <mergeCell ref="L666:M666"/>
    <mergeCell ref="N666:O666"/>
    <mergeCell ref="J667:K667"/>
    <mergeCell ref="L667:M667"/>
    <mergeCell ref="N667:O667"/>
    <mergeCell ref="J668:K668"/>
    <mergeCell ref="L668:M668"/>
    <mergeCell ref="N668:O668"/>
    <mergeCell ref="J675:K675"/>
    <mergeCell ref="L675:M675"/>
    <mergeCell ref="N675:O675"/>
    <mergeCell ref="J676:K676"/>
    <mergeCell ref="L676:M676"/>
    <mergeCell ref="N676:O676"/>
    <mergeCell ref="J677:K677"/>
    <mergeCell ref="L677:M677"/>
    <mergeCell ref="N677:O677"/>
    <mergeCell ref="J672:K672"/>
    <mergeCell ref="L672:M672"/>
    <mergeCell ref="N672:O672"/>
    <mergeCell ref="J673:K673"/>
    <mergeCell ref="L673:M673"/>
    <mergeCell ref="N673:O673"/>
    <mergeCell ref="J674:K674"/>
    <mergeCell ref="L674:M674"/>
    <mergeCell ref="N674:O674"/>
    <mergeCell ref="J681:K681"/>
    <mergeCell ref="L681:M681"/>
    <mergeCell ref="N681:O681"/>
    <mergeCell ref="J682:K682"/>
    <mergeCell ref="L682:M682"/>
    <mergeCell ref="N682:O682"/>
    <mergeCell ref="J683:K683"/>
    <mergeCell ref="L683:M683"/>
    <mergeCell ref="N683:O683"/>
    <mergeCell ref="J678:K678"/>
    <mergeCell ref="L678:M678"/>
    <mergeCell ref="N678:O678"/>
    <mergeCell ref="J679:K679"/>
    <mergeCell ref="L679:M679"/>
    <mergeCell ref="N679:O679"/>
    <mergeCell ref="J680:K680"/>
    <mergeCell ref="L680:M680"/>
    <mergeCell ref="N680:O680"/>
    <mergeCell ref="J687:K687"/>
    <mergeCell ref="L687:M687"/>
    <mergeCell ref="N687:O687"/>
    <mergeCell ref="J688:K688"/>
    <mergeCell ref="L688:M688"/>
    <mergeCell ref="N688:O688"/>
    <mergeCell ref="J689:K689"/>
    <mergeCell ref="L689:M689"/>
    <mergeCell ref="N689:O689"/>
    <mergeCell ref="J684:K684"/>
    <mergeCell ref="L684:M684"/>
    <mergeCell ref="N684:O684"/>
    <mergeCell ref="J685:K685"/>
    <mergeCell ref="L685:M685"/>
    <mergeCell ref="N685:O685"/>
    <mergeCell ref="J686:K686"/>
    <mergeCell ref="L686:M686"/>
    <mergeCell ref="N686:O686"/>
    <mergeCell ref="J693:K693"/>
    <mergeCell ref="L693:M693"/>
    <mergeCell ref="N693:O693"/>
    <mergeCell ref="J694:K694"/>
    <mergeCell ref="L694:M694"/>
    <mergeCell ref="N694:O694"/>
    <mergeCell ref="J695:K695"/>
    <mergeCell ref="L695:M695"/>
    <mergeCell ref="N695:O695"/>
    <mergeCell ref="J690:K690"/>
    <mergeCell ref="L690:M690"/>
    <mergeCell ref="N690:O690"/>
    <mergeCell ref="J691:K691"/>
    <mergeCell ref="L691:M691"/>
    <mergeCell ref="N691:O691"/>
    <mergeCell ref="J692:K692"/>
    <mergeCell ref="L692:M692"/>
    <mergeCell ref="N692:O692"/>
    <mergeCell ref="J699:K699"/>
    <mergeCell ref="L699:M699"/>
    <mergeCell ref="N699:O699"/>
    <mergeCell ref="J700:K700"/>
    <mergeCell ref="L700:M700"/>
    <mergeCell ref="N700:O700"/>
    <mergeCell ref="J701:K701"/>
    <mergeCell ref="L701:M701"/>
    <mergeCell ref="N701:O701"/>
    <mergeCell ref="J696:K696"/>
    <mergeCell ref="L696:M696"/>
    <mergeCell ref="N696:O696"/>
    <mergeCell ref="J697:K697"/>
    <mergeCell ref="L697:M697"/>
    <mergeCell ref="N697:O697"/>
    <mergeCell ref="J698:K698"/>
    <mergeCell ref="L698:M698"/>
    <mergeCell ref="N698:O698"/>
    <mergeCell ref="J705:K705"/>
    <mergeCell ref="L705:M705"/>
    <mergeCell ref="N705:O705"/>
    <mergeCell ref="J706:K706"/>
    <mergeCell ref="L706:M706"/>
    <mergeCell ref="N706:O706"/>
    <mergeCell ref="J707:K707"/>
    <mergeCell ref="L707:M707"/>
    <mergeCell ref="N707:O707"/>
    <mergeCell ref="J702:K702"/>
    <mergeCell ref="L702:M702"/>
    <mergeCell ref="N702:O702"/>
    <mergeCell ref="J703:K703"/>
    <mergeCell ref="L703:M703"/>
    <mergeCell ref="N703:O703"/>
    <mergeCell ref="J704:K704"/>
    <mergeCell ref="L704:M704"/>
    <mergeCell ref="N704:O704"/>
    <mergeCell ref="J711:K711"/>
    <mergeCell ref="L711:M711"/>
    <mergeCell ref="N711:O711"/>
    <mergeCell ref="J712:K712"/>
    <mergeCell ref="L712:M712"/>
    <mergeCell ref="N712:O712"/>
    <mergeCell ref="J713:K713"/>
    <mergeCell ref="L713:M713"/>
    <mergeCell ref="N713:O713"/>
    <mergeCell ref="J708:K708"/>
    <mergeCell ref="L708:M708"/>
    <mergeCell ref="N708:O708"/>
    <mergeCell ref="J709:K709"/>
    <mergeCell ref="L709:M709"/>
    <mergeCell ref="N709:O709"/>
    <mergeCell ref="J710:K710"/>
    <mergeCell ref="L710:M710"/>
    <mergeCell ref="N710:O710"/>
    <mergeCell ref="J717:K717"/>
    <mergeCell ref="L717:M717"/>
    <mergeCell ref="N717:O717"/>
    <mergeCell ref="J718:K718"/>
    <mergeCell ref="L718:M718"/>
    <mergeCell ref="N718:O718"/>
    <mergeCell ref="J719:K719"/>
    <mergeCell ref="L719:M719"/>
    <mergeCell ref="N719:O719"/>
    <mergeCell ref="J714:K714"/>
    <mergeCell ref="L714:M714"/>
    <mergeCell ref="N714:O714"/>
    <mergeCell ref="J715:K715"/>
    <mergeCell ref="L715:M715"/>
    <mergeCell ref="N715:O715"/>
    <mergeCell ref="J716:K716"/>
    <mergeCell ref="L716:M716"/>
    <mergeCell ref="N716:O716"/>
    <mergeCell ref="J723:K723"/>
    <mergeCell ref="L723:M723"/>
    <mergeCell ref="N723:O723"/>
    <mergeCell ref="J724:K724"/>
    <mergeCell ref="L724:M724"/>
    <mergeCell ref="N724:O724"/>
    <mergeCell ref="J725:K725"/>
    <mergeCell ref="L725:M725"/>
    <mergeCell ref="N725:O725"/>
    <mergeCell ref="J720:K720"/>
    <mergeCell ref="L720:M720"/>
    <mergeCell ref="N720:O720"/>
    <mergeCell ref="J721:K721"/>
    <mergeCell ref="L721:M721"/>
    <mergeCell ref="N721:O721"/>
    <mergeCell ref="J722:K722"/>
    <mergeCell ref="L722:M722"/>
    <mergeCell ref="N722:O722"/>
    <mergeCell ref="J729:K729"/>
    <mergeCell ref="L729:M729"/>
    <mergeCell ref="N729:O729"/>
    <mergeCell ref="J730:K730"/>
    <mergeCell ref="L730:M730"/>
    <mergeCell ref="N730:O730"/>
    <mergeCell ref="J731:K731"/>
    <mergeCell ref="L731:M731"/>
    <mergeCell ref="N731:O731"/>
    <mergeCell ref="J726:K726"/>
    <mergeCell ref="L726:M726"/>
    <mergeCell ref="N726:O726"/>
    <mergeCell ref="J727:K727"/>
    <mergeCell ref="L727:M727"/>
    <mergeCell ref="N727:O727"/>
    <mergeCell ref="J728:K728"/>
    <mergeCell ref="L728:M728"/>
    <mergeCell ref="N728:O728"/>
    <mergeCell ref="J735:K735"/>
    <mergeCell ref="L735:M735"/>
    <mergeCell ref="N735:O735"/>
    <mergeCell ref="J736:K736"/>
    <mergeCell ref="L736:M736"/>
    <mergeCell ref="N736:O736"/>
    <mergeCell ref="J737:K737"/>
    <mergeCell ref="L737:M737"/>
    <mergeCell ref="N737:O737"/>
    <mergeCell ref="J732:K732"/>
    <mergeCell ref="L732:M732"/>
    <mergeCell ref="N732:O732"/>
    <mergeCell ref="J733:K733"/>
    <mergeCell ref="L733:M733"/>
    <mergeCell ref="N733:O733"/>
    <mergeCell ref="J734:K734"/>
    <mergeCell ref="L734:M734"/>
    <mergeCell ref="N734:O734"/>
    <mergeCell ref="J741:K741"/>
    <mergeCell ref="L741:M741"/>
    <mergeCell ref="N741:O741"/>
    <mergeCell ref="J742:K742"/>
    <mergeCell ref="L742:M742"/>
    <mergeCell ref="N742:O742"/>
    <mergeCell ref="J743:K743"/>
    <mergeCell ref="L743:M743"/>
    <mergeCell ref="N743:O743"/>
    <mergeCell ref="J738:K738"/>
    <mergeCell ref="L738:M738"/>
    <mergeCell ref="N738:O738"/>
    <mergeCell ref="J739:K739"/>
    <mergeCell ref="L739:M739"/>
    <mergeCell ref="N739:O739"/>
    <mergeCell ref="J740:K740"/>
    <mergeCell ref="L740:M740"/>
    <mergeCell ref="N740:O740"/>
    <mergeCell ref="J747:K747"/>
    <mergeCell ref="L747:M747"/>
    <mergeCell ref="N747:O747"/>
    <mergeCell ref="J748:K748"/>
    <mergeCell ref="L748:M748"/>
    <mergeCell ref="N748:O748"/>
    <mergeCell ref="J749:K749"/>
    <mergeCell ref="L749:M749"/>
    <mergeCell ref="N749:O749"/>
    <mergeCell ref="J744:K744"/>
    <mergeCell ref="L744:M744"/>
    <mergeCell ref="N744:O744"/>
    <mergeCell ref="J745:K745"/>
    <mergeCell ref="L745:M745"/>
    <mergeCell ref="N745:O745"/>
    <mergeCell ref="J746:K746"/>
    <mergeCell ref="L746:M746"/>
    <mergeCell ref="N746:O746"/>
    <mergeCell ref="J753:K753"/>
    <mergeCell ref="L753:M753"/>
    <mergeCell ref="N753:O753"/>
    <mergeCell ref="J754:K754"/>
    <mergeCell ref="L754:M754"/>
    <mergeCell ref="N754:O754"/>
    <mergeCell ref="J755:K755"/>
    <mergeCell ref="L755:M755"/>
    <mergeCell ref="N755:O755"/>
    <mergeCell ref="J750:K750"/>
    <mergeCell ref="L750:M750"/>
    <mergeCell ref="N750:O750"/>
    <mergeCell ref="J751:K751"/>
    <mergeCell ref="L751:M751"/>
    <mergeCell ref="N751:O751"/>
    <mergeCell ref="J752:K752"/>
    <mergeCell ref="L752:M752"/>
    <mergeCell ref="N752:O752"/>
    <mergeCell ref="J759:K759"/>
    <mergeCell ref="L759:M759"/>
    <mergeCell ref="N759:O759"/>
    <mergeCell ref="J760:K760"/>
    <mergeCell ref="L760:M760"/>
    <mergeCell ref="N760:O760"/>
    <mergeCell ref="J761:K761"/>
    <mergeCell ref="L761:M761"/>
    <mergeCell ref="N761:O761"/>
    <mergeCell ref="J756:K756"/>
    <mergeCell ref="L756:M756"/>
    <mergeCell ref="N756:O756"/>
    <mergeCell ref="J757:K757"/>
    <mergeCell ref="L757:M757"/>
    <mergeCell ref="N757:O757"/>
    <mergeCell ref="J758:K758"/>
    <mergeCell ref="L758:M758"/>
    <mergeCell ref="N758:O758"/>
    <mergeCell ref="J765:K765"/>
    <mergeCell ref="L765:M765"/>
    <mergeCell ref="N765:O765"/>
    <mergeCell ref="J766:K766"/>
    <mergeCell ref="L766:M766"/>
    <mergeCell ref="N766:O766"/>
    <mergeCell ref="J767:K767"/>
    <mergeCell ref="L767:M767"/>
    <mergeCell ref="N767:O767"/>
    <mergeCell ref="J762:K762"/>
    <mergeCell ref="L762:M762"/>
    <mergeCell ref="N762:O762"/>
    <mergeCell ref="J763:K763"/>
    <mergeCell ref="L763:M763"/>
    <mergeCell ref="N763:O763"/>
    <mergeCell ref="J764:K764"/>
    <mergeCell ref="L764:M764"/>
    <mergeCell ref="N764:O764"/>
    <mergeCell ref="J771:K771"/>
    <mergeCell ref="L771:M771"/>
    <mergeCell ref="N771:O771"/>
    <mergeCell ref="J772:K772"/>
    <mergeCell ref="L772:M772"/>
    <mergeCell ref="N772:O772"/>
    <mergeCell ref="J773:K773"/>
    <mergeCell ref="L773:M773"/>
    <mergeCell ref="N773:O773"/>
    <mergeCell ref="J768:K768"/>
    <mergeCell ref="L768:M768"/>
    <mergeCell ref="N768:O768"/>
    <mergeCell ref="J769:K769"/>
    <mergeCell ref="L769:M769"/>
    <mergeCell ref="N769:O769"/>
    <mergeCell ref="J770:K770"/>
    <mergeCell ref="L770:M770"/>
    <mergeCell ref="N770:O770"/>
    <mergeCell ref="J777:K777"/>
    <mergeCell ref="L777:M777"/>
    <mergeCell ref="N777:O777"/>
    <mergeCell ref="J778:K778"/>
    <mergeCell ref="L778:M778"/>
    <mergeCell ref="N778:O778"/>
    <mergeCell ref="J779:K779"/>
    <mergeCell ref="L779:M779"/>
    <mergeCell ref="N779:O779"/>
    <mergeCell ref="J774:K774"/>
    <mergeCell ref="L774:M774"/>
    <mergeCell ref="N774:O774"/>
    <mergeCell ref="J775:K775"/>
    <mergeCell ref="L775:M775"/>
    <mergeCell ref="N775:O775"/>
    <mergeCell ref="J776:K776"/>
    <mergeCell ref="L776:M776"/>
    <mergeCell ref="N776:O776"/>
    <mergeCell ref="J783:K783"/>
    <mergeCell ref="L783:M783"/>
    <mergeCell ref="N783:O783"/>
    <mergeCell ref="J784:K784"/>
    <mergeCell ref="L784:M784"/>
    <mergeCell ref="N784:O784"/>
    <mergeCell ref="J791:K791"/>
    <mergeCell ref="L791:M791"/>
    <mergeCell ref="N791:O791"/>
    <mergeCell ref="J786:K786"/>
    <mergeCell ref="L786:M786"/>
    <mergeCell ref="N786:O786"/>
    <mergeCell ref="J787:K787"/>
    <mergeCell ref="L787:M787"/>
    <mergeCell ref="N787:O787"/>
    <mergeCell ref="J788:K788"/>
    <mergeCell ref="L788:M788"/>
    <mergeCell ref="N788:O788"/>
    <mergeCell ref="J785:K785"/>
    <mergeCell ref="L785:M785"/>
    <mergeCell ref="N785:O785"/>
    <mergeCell ref="J780:K780"/>
    <mergeCell ref="L780:M780"/>
    <mergeCell ref="N780:O780"/>
    <mergeCell ref="J781:K781"/>
    <mergeCell ref="L781:M781"/>
    <mergeCell ref="N781:O781"/>
    <mergeCell ref="J782:K782"/>
    <mergeCell ref="L782:M782"/>
    <mergeCell ref="N782:O782"/>
    <mergeCell ref="J789:K789"/>
    <mergeCell ref="L789:M789"/>
    <mergeCell ref="N789:O789"/>
    <mergeCell ref="J790:K790"/>
    <mergeCell ref="L790:M790"/>
    <mergeCell ref="N790:O790"/>
  </mergeCells>
  <dataValidations count="303">
    <dataValidation type="list" allowBlank="1" showInputMessage="1" showErrorMessage="1" sqref="C14">
      <formula1>"2012,2013,2014,2015,2016"</formula1>
    </dataValidation>
    <dataValidation type="list" allowBlank="1" showInputMessage="1" showErrorMessage="1" sqref="C19 C21">
      <formula1>"Yes,No"</formula1>
    </dataValidation>
    <dataValidation type="list" allowBlank="1" showInputMessage="1" showErrorMessage="1" sqref="F473:O473 F479:O479 F476:O476 F38:O38 F32:O32 F41:O41 F44:O44 F47:O47 F50:O50 F53:O53 F56:O56 F59:O59 F62:O62 F65:O65 F68:O68 F71:O71 F74:O74 F77:O77 F80:O80 F83:O83 F86:O86 F89:O89 F92:O92 F95:O95 F98:O98 F101:O101 F104:O104 F107:O107 F110:O110 F113:O113 F116:O116 F119:O119 F122:O122 F125:O125 F128:O128 F131:O131 F134:O134 F137:O137 F140:O140 F143:O143 F146:O146 F149:O149 F152:O152 F155:O155 F158:O158 F161:O161 F164:O164 F167:O167 F170:O170 F173:O173 F176:O176 F179:O179 F182:O182 F185:O185 F188:O188 F191:O191 F194:O194 F197:O197 F200:O200 F203:O203 F206:O206 F209:O209 F212:O212 F215:O215 F218:O218 F221:O221 F224:O224 F227:O227 F230:O230 F233:O233 F236:O236 F239:O239 F242:O242 F245:O245 F248:O248 F251:O251 F254:O254 F257:O257 F260:O260 F263:O263 F266:O266 F269:O269 F272:O272 F275:O275 F278:O278 F281:O281 F284:O284 F287:O287 F290:O290 F293:O293 F296:O296 F299:O299 F302:O302 F305:O305 F308:O308 F311:O311 F314:O314 F317:O317 F320:O320 F323:O323 F326:O326 F329:O329 F332:O332 F335:O335 F338:O338 F341:O341 F344:O344 F347:O347 F350:O350 F353:O353 F356:O356 F359:O359 F362:O362 F365:O365 F368:O368 F371:O371 F374:O374 F377:O377 F380:O380 F383:O383 F386:O386 F389:O389 F392:O392 F395:O395 F398:O398 F401:O401 F404:O404 F407:O407 F410:O410 F413:O413 F416:O416 F419:O419 F422:O422 F425:O425 F428:O428 F431:O431 F434:O434 F437:O437 F440:O440 F443:O443 F446:O446 F449:O449 F452:O452 F455:O455 F458:O458 F461:O461 F464:O464 F467:O467 F470:O470 F35:O35">
      <formula1>"A,B"</formula1>
    </dataValidation>
    <dataValidation type="list" allowBlank="1" showInputMessage="1" showErrorMessage="1" sqref="D30">
      <formula1>listdata</formula1>
    </dataValidation>
    <dataValidation type="list" allowBlank="1" showInputMessage="1" showErrorMessage="1" sqref="D33">
      <formula1>listdata</formula1>
    </dataValidation>
    <dataValidation type="list" allowBlank="1" showInputMessage="1" showErrorMessage="1" sqref="D36">
      <formula1>listdata</formula1>
    </dataValidation>
    <dataValidation type="list" allowBlank="1" showInputMessage="1" showErrorMessage="1" sqref="D39">
      <formula1>listdata</formula1>
    </dataValidation>
    <dataValidation type="list" allowBlank="1" showInputMessage="1" showErrorMessage="1" sqref="D42">
      <formula1>listdata</formula1>
    </dataValidation>
    <dataValidation type="list" allowBlank="1" showInputMessage="1" showErrorMessage="1" sqref="D45">
      <formula1>listdata</formula1>
    </dataValidation>
    <dataValidation type="list" allowBlank="1" showInputMessage="1" showErrorMessage="1" sqref="D48">
      <formula1>listdata</formula1>
    </dataValidation>
    <dataValidation type="list" allowBlank="1" showInputMessage="1" showErrorMessage="1" sqref="D51">
      <formula1>listdata</formula1>
    </dataValidation>
    <dataValidation type="list" allowBlank="1" showInputMessage="1" showErrorMessage="1" sqref="D54">
      <formula1>listdata</formula1>
    </dataValidation>
    <dataValidation type="list" allowBlank="1" showInputMessage="1" showErrorMessage="1" sqref="D57">
      <formula1>listdata</formula1>
    </dataValidation>
    <dataValidation type="list" allowBlank="1" showInputMessage="1" showErrorMessage="1" sqref="D60">
      <formula1>listdata</formula1>
    </dataValidation>
    <dataValidation type="list" allowBlank="1" showInputMessage="1" showErrorMessage="1" sqref="D63">
      <formula1>listdata</formula1>
    </dataValidation>
    <dataValidation type="list" allowBlank="1" showInputMessage="1" showErrorMessage="1" sqref="D66">
      <formula1>listdata</formula1>
    </dataValidation>
    <dataValidation type="list" allowBlank="1" showInputMessage="1" showErrorMessage="1" sqref="D69">
      <formula1>listdata</formula1>
    </dataValidation>
    <dataValidation type="list" allowBlank="1" showInputMessage="1" showErrorMessage="1" sqref="D72">
      <formula1>listdata</formula1>
    </dataValidation>
    <dataValidation type="list" allowBlank="1" showInputMessage="1" showErrorMessage="1" sqref="D75">
      <formula1>listdata</formula1>
    </dataValidation>
    <dataValidation type="list" allowBlank="1" showInputMessage="1" showErrorMessage="1" sqref="D78">
      <formula1>listdata</formula1>
    </dataValidation>
    <dataValidation type="list" allowBlank="1" showInputMessage="1" showErrorMessage="1" sqref="D81">
      <formula1>listdata</formula1>
    </dataValidation>
    <dataValidation type="list" allowBlank="1" showInputMessage="1" showErrorMessage="1" sqref="D84">
      <formula1>listdata</formula1>
    </dataValidation>
    <dataValidation type="list" allowBlank="1" showInputMessage="1" showErrorMessage="1" sqref="D87">
      <formula1>listdata</formula1>
    </dataValidation>
    <dataValidation type="list" allowBlank="1" showInputMessage="1" showErrorMessage="1" sqref="D90">
      <formula1>listdata</formula1>
    </dataValidation>
    <dataValidation type="list" allowBlank="1" showInputMessage="1" showErrorMessage="1" sqref="D93">
      <formula1>listdata</formula1>
    </dataValidation>
    <dataValidation type="list" allowBlank="1" showInputMessage="1" showErrorMessage="1" sqref="D96">
      <formula1>listdata</formula1>
    </dataValidation>
    <dataValidation type="list" allowBlank="1" showInputMessage="1" showErrorMessage="1" sqref="D99">
      <formula1>listdata</formula1>
    </dataValidation>
    <dataValidation type="list" allowBlank="1" showInputMessage="1" showErrorMessage="1" sqref="D102">
      <formula1>listdata</formula1>
    </dataValidation>
    <dataValidation type="list" allowBlank="1" showInputMessage="1" showErrorMessage="1" sqref="D105">
      <formula1>listdata</formula1>
    </dataValidation>
    <dataValidation type="list" allowBlank="1" showInputMessage="1" showErrorMessage="1" sqref="D108">
      <formula1>listdata</formula1>
    </dataValidation>
    <dataValidation type="list" allowBlank="1" showInputMessage="1" showErrorMessage="1" sqref="D111">
      <formula1>listdata</formula1>
    </dataValidation>
    <dataValidation type="list" allowBlank="1" showInputMessage="1" showErrorMessage="1" sqref="D114">
      <formula1>listdata</formula1>
    </dataValidation>
    <dataValidation type="list" allowBlank="1" showInputMessage="1" showErrorMessage="1" sqref="D117">
      <formula1>listdata</formula1>
    </dataValidation>
    <dataValidation type="list" allowBlank="1" showInputMessage="1" showErrorMessage="1" sqref="D120">
      <formula1>listdata</formula1>
    </dataValidation>
    <dataValidation type="list" allowBlank="1" showInputMessage="1" showErrorMessage="1" sqref="D123">
      <formula1>listdata</formula1>
    </dataValidation>
    <dataValidation type="list" allowBlank="1" showInputMessage="1" showErrorMessage="1" sqref="D126">
      <formula1>listdata</formula1>
    </dataValidation>
    <dataValidation type="list" allowBlank="1" showInputMessage="1" showErrorMessage="1" sqref="D129">
      <formula1>listdata</formula1>
    </dataValidation>
    <dataValidation type="list" allowBlank="1" showInputMessage="1" showErrorMessage="1" sqref="D132">
      <formula1>listdata</formula1>
    </dataValidation>
    <dataValidation type="list" allowBlank="1" showInputMessage="1" showErrorMessage="1" sqref="D135">
      <formula1>listdata</formula1>
    </dataValidation>
    <dataValidation type="list" allowBlank="1" showInputMessage="1" showErrorMessage="1" sqref="D138">
      <formula1>listdata</formula1>
    </dataValidation>
    <dataValidation type="list" allowBlank="1" showInputMessage="1" showErrorMessage="1" sqref="D141">
      <formula1>listdata</formula1>
    </dataValidation>
    <dataValidation type="list" allowBlank="1" showInputMessage="1" showErrorMessage="1" sqref="D144">
      <formula1>listdata</formula1>
    </dataValidation>
    <dataValidation type="list" allowBlank="1" showInputMessage="1" showErrorMessage="1" sqref="D147">
      <formula1>listdata</formula1>
    </dataValidation>
    <dataValidation type="list" allowBlank="1" showInputMessage="1" showErrorMessage="1" sqref="D150">
      <formula1>listdata</formula1>
    </dataValidation>
    <dataValidation type="list" allowBlank="1" showInputMessage="1" showErrorMessage="1" sqref="D153">
      <formula1>listdata</formula1>
    </dataValidation>
    <dataValidation type="list" allowBlank="1" showInputMessage="1" showErrorMessage="1" sqref="D156">
      <formula1>listdata</formula1>
    </dataValidation>
    <dataValidation type="list" allowBlank="1" showInputMessage="1" showErrorMessage="1" sqref="D159">
      <formula1>listdata</formula1>
    </dataValidation>
    <dataValidation type="list" allowBlank="1" showInputMessage="1" showErrorMessage="1" sqref="D162">
      <formula1>listdata</formula1>
    </dataValidation>
    <dataValidation type="list" allowBlank="1" showInputMessage="1" showErrorMessage="1" sqref="D165">
      <formula1>listdata</formula1>
    </dataValidation>
    <dataValidation type="list" allowBlank="1" showInputMessage="1" showErrorMessage="1" sqref="D168">
      <formula1>listdata</formula1>
    </dataValidation>
    <dataValidation type="list" allowBlank="1" showInputMessage="1" showErrorMessage="1" sqref="D171">
      <formula1>listdata</formula1>
    </dataValidation>
    <dataValidation type="list" allowBlank="1" showInputMessage="1" showErrorMessage="1" sqref="D174">
      <formula1>listdata</formula1>
    </dataValidation>
    <dataValidation type="list" allowBlank="1" showInputMessage="1" showErrorMessage="1" sqref="D177">
      <formula1>listdata</formula1>
    </dataValidation>
    <dataValidation type="list" allowBlank="1" showInputMessage="1" showErrorMessage="1" sqref="D180">
      <formula1>listdata</formula1>
    </dataValidation>
    <dataValidation type="list" allowBlank="1" showInputMessage="1" showErrorMessage="1" sqref="D183">
      <formula1>listdata</formula1>
    </dataValidation>
    <dataValidation type="list" allowBlank="1" showInputMessage="1" showErrorMessage="1" sqref="D186">
      <formula1>listdata</formula1>
    </dataValidation>
    <dataValidation type="list" allowBlank="1" showInputMessage="1" showErrorMessage="1" sqref="D189">
      <formula1>listdata</formula1>
    </dataValidation>
    <dataValidation type="list" allowBlank="1" showInputMessage="1" showErrorMessage="1" sqref="D192">
      <formula1>listdata</formula1>
    </dataValidation>
    <dataValidation type="list" allowBlank="1" showInputMessage="1" showErrorMessage="1" sqref="D195">
      <formula1>listdata</formula1>
    </dataValidation>
    <dataValidation type="list" allowBlank="1" showInputMessage="1" showErrorMessage="1" sqref="D198">
      <formula1>listdata</formula1>
    </dataValidation>
    <dataValidation type="list" allowBlank="1" showInputMessage="1" showErrorMessage="1" sqref="D201">
      <formula1>listdata</formula1>
    </dataValidation>
    <dataValidation type="list" allowBlank="1" showInputMessage="1" showErrorMessage="1" sqref="D204">
      <formula1>listdata</formula1>
    </dataValidation>
    <dataValidation type="list" allowBlank="1" showInputMessage="1" showErrorMessage="1" sqref="D207">
      <formula1>listdata</formula1>
    </dataValidation>
    <dataValidation type="list" allowBlank="1" showInputMessage="1" showErrorMessage="1" sqref="D210">
      <formula1>listdata</formula1>
    </dataValidation>
    <dataValidation type="list" allowBlank="1" showInputMessage="1" showErrorMessage="1" sqref="D213">
      <formula1>listdata</formula1>
    </dataValidation>
    <dataValidation type="list" allowBlank="1" showInputMessage="1" showErrorMessage="1" sqref="D216">
      <formula1>listdata</formula1>
    </dataValidation>
    <dataValidation type="list" allowBlank="1" showInputMessage="1" showErrorMessage="1" sqref="D219">
      <formula1>listdata</formula1>
    </dataValidation>
    <dataValidation type="list" allowBlank="1" showInputMessage="1" showErrorMessage="1" sqref="D222">
      <formula1>listdata</formula1>
    </dataValidation>
    <dataValidation type="list" allowBlank="1" showInputMessage="1" showErrorMessage="1" sqref="D225">
      <formula1>listdata</formula1>
    </dataValidation>
    <dataValidation type="list" allowBlank="1" showInputMessage="1" showErrorMessage="1" sqref="D228">
      <formula1>listdata</formula1>
    </dataValidation>
    <dataValidation type="list" allowBlank="1" showInputMessage="1" showErrorMessage="1" sqref="D231">
      <formula1>listdata</formula1>
    </dataValidation>
    <dataValidation type="list" allowBlank="1" showInputMessage="1" showErrorMessage="1" sqref="D234">
      <formula1>listdata</formula1>
    </dataValidation>
    <dataValidation type="list" allowBlank="1" showInputMessage="1" showErrorMessage="1" sqref="D237">
      <formula1>listdata</formula1>
    </dataValidation>
    <dataValidation type="list" allowBlank="1" showInputMessage="1" showErrorMessage="1" sqref="D240">
      <formula1>listdata</formula1>
    </dataValidation>
    <dataValidation type="list" allowBlank="1" showInputMessage="1" showErrorMessage="1" sqref="D243">
      <formula1>listdata</formula1>
    </dataValidation>
    <dataValidation type="list" allowBlank="1" showInputMessage="1" showErrorMessage="1" sqref="D246">
      <formula1>listdata</formula1>
    </dataValidation>
    <dataValidation type="list" allowBlank="1" showInputMessage="1" showErrorMessage="1" sqref="D249">
      <formula1>listdata</formula1>
    </dataValidation>
    <dataValidation type="list" allowBlank="1" showInputMessage="1" showErrorMessage="1" sqref="D252">
      <formula1>listdata</formula1>
    </dataValidation>
    <dataValidation type="list" allowBlank="1" showInputMessage="1" showErrorMessage="1" sqref="D255">
      <formula1>listdata</formula1>
    </dataValidation>
    <dataValidation type="list" allowBlank="1" showInputMessage="1" showErrorMessage="1" sqref="D258">
      <formula1>listdata</formula1>
    </dataValidation>
    <dataValidation type="list" allowBlank="1" showInputMessage="1" showErrorMessage="1" sqref="D261">
      <formula1>listdata</formula1>
    </dataValidation>
    <dataValidation type="list" allowBlank="1" showInputMessage="1" showErrorMessage="1" sqref="D264">
      <formula1>listdata</formula1>
    </dataValidation>
    <dataValidation type="list" allowBlank="1" showInputMessage="1" showErrorMessage="1" sqref="D267">
      <formula1>listdata</formula1>
    </dataValidation>
    <dataValidation type="list" allowBlank="1" showInputMessage="1" showErrorMessage="1" sqref="D270">
      <formula1>listdata</formula1>
    </dataValidation>
    <dataValidation type="list" allowBlank="1" showInputMessage="1" showErrorMessage="1" sqref="D273">
      <formula1>listdata</formula1>
    </dataValidation>
    <dataValidation type="list" allowBlank="1" showInputMessage="1" showErrorMessage="1" sqref="D276">
      <formula1>listdata</formula1>
    </dataValidation>
    <dataValidation type="list" allowBlank="1" showInputMessage="1" showErrorMessage="1" sqref="D279">
      <formula1>listdata</formula1>
    </dataValidation>
    <dataValidation type="list" allowBlank="1" showInputMessage="1" showErrorMessage="1" sqref="D282">
      <formula1>listdata</formula1>
    </dataValidation>
    <dataValidation type="list" allowBlank="1" showInputMessage="1" showErrorMessage="1" sqref="D285">
      <formula1>listdata</formula1>
    </dataValidation>
    <dataValidation type="list" allowBlank="1" showInputMessage="1" showErrorMessage="1" sqref="D288">
      <formula1>listdata</formula1>
    </dataValidation>
    <dataValidation type="list" allowBlank="1" showInputMessage="1" showErrorMessage="1" sqref="D291">
      <formula1>listdata</formula1>
    </dataValidation>
    <dataValidation type="list" allowBlank="1" showInputMessage="1" showErrorMessage="1" sqref="D294">
      <formula1>listdata</formula1>
    </dataValidation>
    <dataValidation type="list" allowBlank="1" showInputMessage="1" showErrorMessage="1" sqref="D297">
      <formula1>listdata</formula1>
    </dataValidation>
    <dataValidation type="list" allowBlank="1" showInputMessage="1" showErrorMessage="1" sqref="D300">
      <formula1>listdata</formula1>
    </dataValidation>
    <dataValidation type="list" allowBlank="1" showInputMessage="1" showErrorMessage="1" sqref="D303">
      <formula1>listdata</formula1>
    </dataValidation>
    <dataValidation type="list" allowBlank="1" showInputMessage="1" showErrorMessage="1" sqref="D306">
      <formula1>listdata</formula1>
    </dataValidation>
    <dataValidation type="list" allowBlank="1" showInputMessage="1" showErrorMessage="1" sqref="D309">
      <formula1>listdata</formula1>
    </dataValidation>
    <dataValidation type="list" allowBlank="1" showInputMessage="1" showErrorMessage="1" sqref="D312">
      <formula1>listdata</formula1>
    </dataValidation>
    <dataValidation type="list" allowBlank="1" showInputMessage="1" showErrorMessage="1" sqref="D315">
      <formula1>listdata</formula1>
    </dataValidation>
    <dataValidation type="list" allowBlank="1" showInputMessage="1" showErrorMessage="1" sqref="D318">
      <formula1>listdata</formula1>
    </dataValidation>
    <dataValidation type="list" allowBlank="1" showInputMessage="1" showErrorMessage="1" sqref="D321">
      <formula1>listdata</formula1>
    </dataValidation>
    <dataValidation type="list" allowBlank="1" showInputMessage="1" showErrorMessage="1" sqref="D324">
      <formula1>listdata</formula1>
    </dataValidation>
    <dataValidation type="list" allowBlank="1" showInputMessage="1" showErrorMessage="1" sqref="D327">
      <formula1>listdata</formula1>
    </dataValidation>
    <dataValidation type="list" allowBlank="1" showInputMessage="1" showErrorMessage="1" sqref="D330">
      <formula1>listdata</formula1>
    </dataValidation>
    <dataValidation type="list" allowBlank="1" showInputMessage="1" showErrorMessage="1" sqref="D333">
      <formula1>listdata</formula1>
    </dataValidation>
    <dataValidation type="list" allowBlank="1" showInputMessage="1" showErrorMessage="1" sqref="D336">
      <formula1>listdata</formula1>
    </dataValidation>
    <dataValidation type="list" allowBlank="1" showInputMessage="1" showErrorMessage="1" sqref="D339">
      <formula1>listdata</formula1>
    </dataValidation>
    <dataValidation type="list" allowBlank="1" showInputMessage="1" showErrorMessage="1" sqref="D342">
      <formula1>listdata</formula1>
    </dataValidation>
    <dataValidation type="list" allowBlank="1" showInputMessage="1" showErrorMessage="1" sqref="D345">
      <formula1>listdata</formula1>
    </dataValidation>
    <dataValidation type="list" allowBlank="1" showInputMessage="1" showErrorMessage="1" sqref="D348">
      <formula1>listdata</formula1>
    </dataValidation>
    <dataValidation type="list" allowBlank="1" showInputMessage="1" showErrorMessage="1" sqref="D351">
      <formula1>listdata</formula1>
    </dataValidation>
    <dataValidation type="list" allowBlank="1" showInputMessage="1" showErrorMessage="1" sqref="D354">
      <formula1>listdata</formula1>
    </dataValidation>
    <dataValidation type="list" allowBlank="1" showInputMessage="1" showErrorMessage="1" sqref="D357">
      <formula1>listdata</formula1>
    </dataValidation>
    <dataValidation type="list" allowBlank="1" showInputMessage="1" showErrorMessage="1" sqref="D360">
      <formula1>listdata</formula1>
    </dataValidation>
    <dataValidation type="list" allowBlank="1" showInputMessage="1" showErrorMessage="1" sqref="D363">
      <formula1>listdata</formula1>
    </dataValidation>
    <dataValidation type="list" allowBlank="1" showInputMessage="1" showErrorMessage="1" sqref="D366">
      <formula1>listdata</formula1>
    </dataValidation>
    <dataValidation type="list" allowBlank="1" showInputMessage="1" showErrorMessage="1" sqref="D369">
      <formula1>listdata</formula1>
    </dataValidation>
    <dataValidation type="list" allowBlank="1" showInputMessage="1" showErrorMessage="1" sqref="D372">
      <formula1>listdata</formula1>
    </dataValidation>
    <dataValidation type="list" allowBlank="1" showInputMessage="1" showErrorMessage="1" sqref="D375">
      <formula1>listdata</formula1>
    </dataValidation>
    <dataValidation type="list" allowBlank="1" showInputMessage="1" showErrorMessage="1" sqref="D378">
      <formula1>listdata</formula1>
    </dataValidation>
    <dataValidation type="list" allowBlank="1" showInputMessage="1" showErrorMessage="1" sqref="D381">
      <formula1>listdata</formula1>
    </dataValidation>
    <dataValidation type="list" allowBlank="1" showInputMessage="1" showErrorMessage="1" sqref="D384">
      <formula1>listdata</formula1>
    </dataValidation>
    <dataValidation type="list" allowBlank="1" showInputMessage="1" showErrorMessage="1" sqref="D387">
      <formula1>listdata</formula1>
    </dataValidation>
    <dataValidation type="list" allowBlank="1" showInputMessage="1" showErrorMessage="1" sqref="D390">
      <formula1>listdata</formula1>
    </dataValidation>
    <dataValidation type="list" allowBlank="1" showInputMessage="1" showErrorMessage="1" sqref="D393">
      <formula1>listdata</formula1>
    </dataValidation>
    <dataValidation type="list" allowBlank="1" showInputMessage="1" showErrorMessage="1" sqref="D396">
      <formula1>listdata</formula1>
    </dataValidation>
    <dataValidation type="list" allowBlank="1" showInputMessage="1" showErrorMessage="1" sqref="D399">
      <formula1>listdata</formula1>
    </dataValidation>
    <dataValidation type="list" allowBlank="1" showInputMessage="1" showErrorMessage="1" sqref="D402">
      <formula1>listdata</formula1>
    </dataValidation>
    <dataValidation type="list" allowBlank="1" showInputMessage="1" showErrorMessage="1" sqref="D405">
      <formula1>listdata</formula1>
    </dataValidation>
    <dataValidation type="list" allowBlank="1" showInputMessage="1" showErrorMessage="1" sqref="D408">
      <formula1>listdata</formula1>
    </dataValidation>
    <dataValidation type="list" allowBlank="1" showInputMessage="1" showErrorMessage="1" sqref="D411">
      <formula1>listdata</formula1>
    </dataValidation>
    <dataValidation type="list" allowBlank="1" showInputMessage="1" showErrorMessage="1" sqref="D414">
      <formula1>listdata</formula1>
    </dataValidation>
    <dataValidation type="list" allowBlank="1" showInputMessage="1" showErrorMessage="1" sqref="D417">
      <formula1>listdata</formula1>
    </dataValidation>
    <dataValidation type="list" allowBlank="1" showInputMessage="1" showErrorMessage="1" sqref="D420">
      <formula1>listdata</formula1>
    </dataValidation>
    <dataValidation type="list" allowBlank="1" showInputMessage="1" showErrorMessage="1" sqref="D423">
      <formula1>listdata</formula1>
    </dataValidation>
    <dataValidation type="list" allowBlank="1" showInputMessage="1" showErrorMessage="1" sqref="D426">
      <formula1>listdata</formula1>
    </dataValidation>
    <dataValidation type="list" allowBlank="1" showInputMessage="1" showErrorMessage="1" sqref="D429">
      <formula1>listdata</formula1>
    </dataValidation>
    <dataValidation type="list" allowBlank="1" showInputMessage="1" showErrorMessage="1" sqref="D432">
      <formula1>listdata</formula1>
    </dataValidation>
    <dataValidation type="list" allowBlank="1" showInputMessage="1" showErrorMessage="1" sqref="D435">
      <formula1>listdata</formula1>
    </dataValidation>
    <dataValidation type="list" allowBlank="1" showInputMessage="1" showErrorMessage="1" sqref="D438">
      <formula1>listdata</formula1>
    </dataValidation>
    <dataValidation type="list" allowBlank="1" showInputMessage="1" showErrorMessage="1" sqref="D441">
      <formula1>listdata</formula1>
    </dataValidation>
    <dataValidation type="list" allowBlank="1" showInputMessage="1" showErrorMessage="1" sqref="D444">
      <formula1>listdata</formula1>
    </dataValidation>
    <dataValidation type="list" allowBlank="1" showInputMessage="1" showErrorMessage="1" sqref="D447">
      <formula1>listdata</formula1>
    </dataValidation>
    <dataValidation type="list" allowBlank="1" showInputMessage="1" showErrorMessage="1" sqref="D450">
      <formula1>listdata</formula1>
    </dataValidation>
    <dataValidation type="list" allowBlank="1" showInputMessage="1" showErrorMessage="1" sqref="D453">
      <formula1>listdata</formula1>
    </dataValidation>
    <dataValidation type="list" allowBlank="1" showInputMessage="1" showErrorMessage="1" sqref="D456">
      <formula1>listdata</formula1>
    </dataValidation>
    <dataValidation type="list" allowBlank="1" showInputMessage="1" showErrorMessage="1" sqref="D459">
      <formula1>listdata</formula1>
    </dataValidation>
    <dataValidation type="list" allowBlank="1" showInputMessage="1" showErrorMessage="1" sqref="D462">
      <formula1>listdata</formula1>
    </dataValidation>
    <dataValidation type="list" allowBlank="1" showInputMessage="1" showErrorMessage="1" sqref="D465">
      <formula1>listdata</formula1>
    </dataValidation>
    <dataValidation type="list" allowBlank="1" showInputMessage="1" showErrorMessage="1" sqref="D468">
      <formula1>listdata</formula1>
    </dataValidation>
    <dataValidation type="list" allowBlank="1" showInputMessage="1" showErrorMessage="1" sqref="D471">
      <formula1>listdata</formula1>
    </dataValidation>
    <dataValidation type="list" allowBlank="1" showInputMessage="1" showErrorMessage="1" sqref="D474">
      <formula1>listdata</formula1>
    </dataValidation>
    <dataValidation type="list" allowBlank="1" showInputMessage="1" showErrorMessage="1" sqref="D477">
      <formula1>listdata</formula1>
    </dataValidation>
    <dataValidation type="list" allowBlank="1" showInputMessage="1" showErrorMessage="1" sqref="D492">
      <formula1>listdata</formula1>
    </dataValidation>
    <dataValidation type="list" allowBlank="1" showInputMessage="1" showErrorMessage="1" sqref="D494">
      <formula1>listdata</formula1>
    </dataValidation>
    <dataValidation type="list" allowBlank="1" showInputMessage="1" showErrorMessage="1" sqref="D496">
      <formula1>listdata</formula1>
    </dataValidation>
    <dataValidation type="list" allowBlank="1" showInputMessage="1" showErrorMessage="1" sqref="D498">
      <formula1>listdata</formula1>
    </dataValidation>
    <dataValidation type="list" allowBlank="1" showInputMessage="1" showErrorMessage="1" sqref="D500">
      <formula1>listdata</formula1>
    </dataValidation>
    <dataValidation type="list" allowBlank="1" showInputMessage="1" showErrorMessage="1" sqref="D502">
      <formula1>listdata</formula1>
    </dataValidation>
    <dataValidation type="list" allowBlank="1" showInputMessage="1" showErrorMessage="1" sqref="D504">
      <formula1>listdata</formula1>
    </dataValidation>
    <dataValidation type="list" allowBlank="1" showInputMessage="1" showErrorMessage="1" sqref="D506">
      <formula1>listdata</formula1>
    </dataValidation>
    <dataValidation type="list" allowBlank="1" showInputMessage="1" showErrorMessage="1" sqref="D508">
      <formula1>listdata</formula1>
    </dataValidation>
    <dataValidation type="list" allowBlank="1" showInputMessage="1" showErrorMessage="1" sqref="D510">
      <formula1>listdata</formula1>
    </dataValidation>
    <dataValidation type="list" allowBlank="1" showInputMessage="1" showErrorMessage="1" sqref="D512">
      <formula1>listdata</formula1>
    </dataValidation>
    <dataValidation type="list" allowBlank="1" showInputMessage="1" showErrorMessage="1" sqref="D514">
      <formula1>listdata</formula1>
    </dataValidation>
    <dataValidation type="list" allowBlank="1" showInputMessage="1" showErrorMessage="1" sqref="D516">
      <formula1>listdata</formula1>
    </dataValidation>
    <dataValidation type="list" allowBlank="1" showInputMessage="1" showErrorMessage="1" sqref="D518">
      <formula1>listdata</formula1>
    </dataValidation>
    <dataValidation type="list" allowBlank="1" showInputMessage="1" showErrorMessage="1" sqref="D520">
      <formula1>listdata</formula1>
    </dataValidation>
    <dataValidation type="list" allowBlank="1" showInputMessage="1" showErrorMessage="1" sqref="D522">
      <formula1>listdata</formula1>
    </dataValidation>
    <dataValidation type="list" allowBlank="1" showInputMessage="1" showErrorMessage="1" sqref="D524">
      <formula1>listdata</formula1>
    </dataValidation>
    <dataValidation type="list" allowBlank="1" showInputMessage="1" showErrorMessage="1" sqref="D526">
      <formula1>listdata</formula1>
    </dataValidation>
    <dataValidation type="list" allowBlank="1" showInputMessage="1" showErrorMessage="1" sqref="D528">
      <formula1>listdata</formula1>
    </dataValidation>
    <dataValidation type="list" allowBlank="1" showInputMessage="1" showErrorMessage="1" sqref="D530">
      <formula1>listdata</formula1>
    </dataValidation>
    <dataValidation type="list" allowBlank="1" showInputMessage="1" showErrorMessage="1" sqref="D532">
      <formula1>listdata</formula1>
    </dataValidation>
    <dataValidation type="list" allowBlank="1" showInputMessage="1" showErrorMessage="1" sqref="D534">
      <formula1>listdata</formula1>
    </dataValidation>
    <dataValidation type="list" allowBlank="1" showInputMessage="1" showErrorMessage="1" sqref="D536">
      <formula1>listdata</formula1>
    </dataValidation>
    <dataValidation type="list" allowBlank="1" showInputMessage="1" showErrorMessage="1" sqref="D538">
      <formula1>listdata</formula1>
    </dataValidation>
    <dataValidation type="list" allowBlank="1" showInputMessage="1" showErrorMessage="1" sqref="D540">
      <formula1>listdata</formula1>
    </dataValidation>
    <dataValidation type="list" allowBlank="1" showInputMessage="1" showErrorMessage="1" sqref="D542">
      <formula1>listdata</formula1>
    </dataValidation>
    <dataValidation type="list" allowBlank="1" showInputMessage="1" showErrorMessage="1" sqref="D544">
      <formula1>listdata</formula1>
    </dataValidation>
    <dataValidation type="list" allowBlank="1" showInputMessage="1" showErrorMessage="1" sqref="D546">
      <formula1>listdata</formula1>
    </dataValidation>
    <dataValidation type="list" allowBlank="1" showInputMessage="1" showErrorMessage="1" sqref="D548">
      <formula1>listdata</formula1>
    </dataValidation>
    <dataValidation type="list" allowBlank="1" showInputMessage="1" showErrorMessage="1" sqref="D550">
      <formula1>listdata</formula1>
    </dataValidation>
    <dataValidation type="list" allowBlank="1" showInputMessage="1" showErrorMessage="1" sqref="D552">
      <formula1>listdata</formula1>
    </dataValidation>
    <dataValidation type="list" allowBlank="1" showInputMessage="1" showErrorMessage="1" sqref="D554">
      <formula1>listdata</formula1>
    </dataValidation>
    <dataValidation type="list" allowBlank="1" showInputMessage="1" showErrorMessage="1" sqref="D556">
      <formula1>listdata</formula1>
    </dataValidation>
    <dataValidation type="list" allowBlank="1" showInputMessage="1" showErrorMessage="1" sqref="D558">
      <formula1>listdata</formula1>
    </dataValidation>
    <dataValidation type="list" allowBlank="1" showInputMessage="1" showErrorMessage="1" sqref="D560">
      <formula1>listdata</formula1>
    </dataValidation>
    <dataValidation type="list" allowBlank="1" showInputMessage="1" showErrorMessage="1" sqref="D562">
      <formula1>listdata</formula1>
    </dataValidation>
    <dataValidation type="list" allowBlank="1" showInputMessage="1" showErrorMessage="1" sqref="D564">
      <formula1>listdata</formula1>
    </dataValidation>
    <dataValidation type="list" allowBlank="1" showInputMessage="1" showErrorMessage="1" sqref="D566">
      <formula1>listdata</formula1>
    </dataValidation>
    <dataValidation type="list" allowBlank="1" showInputMessage="1" showErrorMessage="1" sqref="D568">
      <formula1>listdata</formula1>
    </dataValidation>
    <dataValidation type="list" allowBlank="1" showInputMessage="1" showErrorMessage="1" sqref="D570">
      <formula1>listdata</formula1>
    </dataValidation>
    <dataValidation type="list" allowBlank="1" showInputMessage="1" showErrorMessage="1" sqref="D572">
      <formula1>listdata</formula1>
    </dataValidation>
    <dataValidation type="list" allowBlank="1" showInputMessage="1" showErrorMessage="1" sqref="D574">
      <formula1>listdata</formula1>
    </dataValidation>
    <dataValidation type="list" allowBlank="1" showInputMessage="1" showErrorMessage="1" sqref="D576">
      <formula1>listdata</formula1>
    </dataValidation>
    <dataValidation type="list" allowBlank="1" showInputMessage="1" showErrorMessage="1" sqref="D578">
      <formula1>listdata</formula1>
    </dataValidation>
    <dataValidation type="list" allowBlank="1" showInputMessage="1" showErrorMessage="1" sqref="D580">
      <formula1>listdata</formula1>
    </dataValidation>
    <dataValidation type="list" allowBlank="1" showInputMessage="1" showErrorMessage="1" sqref="D582">
      <formula1>listdata</formula1>
    </dataValidation>
    <dataValidation type="list" allowBlank="1" showInputMessage="1" showErrorMessage="1" sqref="D584">
      <formula1>listdata</formula1>
    </dataValidation>
    <dataValidation type="list" allowBlank="1" showInputMessage="1" showErrorMessage="1" sqref="D586">
      <formula1>listdata</formula1>
    </dataValidation>
    <dataValidation type="list" allowBlank="1" showInputMessage="1" showErrorMessage="1" sqref="D588">
      <formula1>listdata</formula1>
    </dataValidation>
    <dataValidation type="list" allowBlank="1" showInputMessage="1" showErrorMessage="1" sqref="D590">
      <formula1>listdata</formula1>
    </dataValidation>
    <dataValidation type="list" allowBlank="1" showInputMessage="1" showErrorMessage="1" sqref="D592">
      <formula1>listdata</formula1>
    </dataValidation>
    <dataValidation type="list" allowBlank="1" showInputMessage="1" showErrorMessage="1" sqref="D594">
      <formula1>listdata</formula1>
    </dataValidation>
    <dataValidation type="list" allowBlank="1" showInputMessage="1" showErrorMessage="1" sqref="D596">
      <formula1>listdata</formula1>
    </dataValidation>
    <dataValidation type="list" allowBlank="1" showInputMessage="1" showErrorMessage="1" sqref="D598">
      <formula1>listdata</formula1>
    </dataValidation>
    <dataValidation type="list" allowBlank="1" showInputMessage="1" showErrorMessage="1" sqref="D600">
      <formula1>listdata</formula1>
    </dataValidation>
    <dataValidation type="list" allowBlank="1" showInputMessage="1" showErrorMessage="1" sqref="D602">
      <formula1>listdata</formula1>
    </dataValidation>
    <dataValidation type="list" allowBlank="1" showInputMessage="1" showErrorMessage="1" sqref="D604">
      <formula1>listdata</formula1>
    </dataValidation>
    <dataValidation type="list" allowBlank="1" showInputMessage="1" showErrorMessage="1" sqref="D606">
      <formula1>listdata</formula1>
    </dataValidation>
    <dataValidation type="list" allowBlank="1" showInputMessage="1" showErrorMessage="1" sqref="D608">
      <formula1>listdata</formula1>
    </dataValidation>
    <dataValidation type="list" allowBlank="1" showInputMessage="1" showErrorMessage="1" sqref="D610">
      <formula1>listdata</formula1>
    </dataValidation>
    <dataValidation type="list" allowBlank="1" showInputMessage="1" showErrorMessage="1" sqref="D612">
      <formula1>listdata</formula1>
    </dataValidation>
    <dataValidation type="list" allowBlank="1" showInputMessage="1" showErrorMessage="1" sqref="D614">
      <formula1>listdata</formula1>
    </dataValidation>
    <dataValidation type="list" allowBlank="1" showInputMessage="1" showErrorMessage="1" sqref="D616">
      <formula1>listdata</formula1>
    </dataValidation>
    <dataValidation type="list" allowBlank="1" showInputMessage="1" showErrorMessage="1" sqref="D618">
      <formula1>listdata</formula1>
    </dataValidation>
    <dataValidation type="list" allowBlank="1" showInputMessage="1" showErrorMessage="1" sqref="D620">
      <formula1>listdata</formula1>
    </dataValidation>
    <dataValidation type="list" allowBlank="1" showInputMessage="1" showErrorMessage="1" sqref="D622">
      <formula1>listdata</formula1>
    </dataValidation>
    <dataValidation type="list" allowBlank="1" showInputMessage="1" showErrorMessage="1" sqref="D624">
      <formula1>listdata</formula1>
    </dataValidation>
    <dataValidation type="list" allowBlank="1" showInputMessage="1" showErrorMessage="1" sqref="D626">
      <formula1>listdata</formula1>
    </dataValidation>
    <dataValidation type="list" allowBlank="1" showInputMessage="1" showErrorMessage="1" sqref="D628">
      <formula1>listdata</formula1>
    </dataValidation>
    <dataValidation type="list" allowBlank="1" showInputMessage="1" showErrorMessage="1" sqref="D630">
      <formula1>listdata</formula1>
    </dataValidation>
    <dataValidation type="list" allowBlank="1" showInputMessage="1" showErrorMessage="1" sqref="D632">
      <formula1>listdata</formula1>
    </dataValidation>
    <dataValidation type="list" allowBlank="1" showInputMessage="1" showErrorMessage="1" sqref="D634">
      <formula1>listdata</formula1>
    </dataValidation>
    <dataValidation type="list" allowBlank="1" showInputMessage="1" showErrorMessage="1" sqref="D636">
      <formula1>listdata</formula1>
    </dataValidation>
    <dataValidation type="list" allowBlank="1" showInputMessage="1" showErrorMessage="1" sqref="D638">
      <formula1>listdata</formula1>
    </dataValidation>
    <dataValidation type="list" allowBlank="1" showInputMessage="1" showErrorMessage="1" sqref="D640">
      <formula1>listdata</formula1>
    </dataValidation>
    <dataValidation type="list" allowBlank="1" showInputMessage="1" showErrorMessage="1" sqref="D642">
      <formula1>listdata</formula1>
    </dataValidation>
    <dataValidation type="list" allowBlank="1" showInputMessage="1" showErrorMessage="1" sqref="D644">
      <formula1>listdata</formula1>
    </dataValidation>
    <dataValidation type="list" allowBlank="1" showInputMessage="1" showErrorMessage="1" sqref="D646">
      <formula1>listdata</formula1>
    </dataValidation>
    <dataValidation type="list" allowBlank="1" showInputMessage="1" showErrorMessage="1" sqref="D648">
      <formula1>listdata</formula1>
    </dataValidation>
    <dataValidation type="list" allowBlank="1" showInputMessage="1" showErrorMessage="1" sqref="D650">
      <formula1>listdata</formula1>
    </dataValidation>
    <dataValidation type="list" allowBlank="1" showInputMessage="1" showErrorMessage="1" sqref="D652">
      <formula1>listdata</formula1>
    </dataValidation>
    <dataValidation type="list" allowBlank="1" showInputMessage="1" showErrorMessage="1" sqref="D654">
      <formula1>listdata</formula1>
    </dataValidation>
    <dataValidation type="list" allowBlank="1" showInputMessage="1" showErrorMessage="1" sqref="D656">
      <formula1>listdata</formula1>
    </dataValidation>
    <dataValidation type="list" allowBlank="1" showInputMessage="1" showErrorMessage="1" sqref="D658">
      <formula1>listdata</formula1>
    </dataValidation>
    <dataValidation type="list" allowBlank="1" showInputMessage="1" showErrorMessage="1" sqref="D660">
      <formula1>listdata</formula1>
    </dataValidation>
    <dataValidation type="list" allowBlank="1" showInputMessage="1" showErrorMessage="1" sqref="D662">
      <formula1>listdata</formula1>
    </dataValidation>
    <dataValidation type="list" allowBlank="1" showInputMessage="1" showErrorMessage="1" sqref="D664">
      <formula1>listdata</formula1>
    </dataValidation>
    <dataValidation type="list" allowBlank="1" showInputMessage="1" showErrorMessage="1" sqref="D666">
      <formula1>listdata</formula1>
    </dataValidation>
    <dataValidation type="list" allowBlank="1" showInputMessage="1" showErrorMessage="1" sqref="D668">
      <formula1>listdata</formula1>
    </dataValidation>
    <dataValidation type="list" allowBlank="1" showInputMessage="1" showErrorMessage="1" sqref="D670">
      <formula1>listdata</formula1>
    </dataValidation>
    <dataValidation type="list" allowBlank="1" showInputMessage="1" showErrorMessage="1" sqref="D672">
      <formula1>listdata</formula1>
    </dataValidation>
    <dataValidation type="list" allowBlank="1" showInputMessage="1" showErrorMessage="1" sqref="D674">
      <formula1>listdata</formula1>
    </dataValidation>
    <dataValidation type="list" allowBlank="1" showInputMessage="1" showErrorMessage="1" sqref="D676">
      <formula1>listdata</formula1>
    </dataValidation>
    <dataValidation type="list" allowBlank="1" showInputMessage="1" showErrorMessage="1" sqref="D678">
      <formula1>listdata</formula1>
    </dataValidation>
    <dataValidation type="list" allowBlank="1" showInputMessage="1" showErrorMessage="1" sqref="D680">
      <formula1>listdata</formula1>
    </dataValidation>
    <dataValidation type="list" allowBlank="1" showInputMessage="1" showErrorMessage="1" sqref="D682">
      <formula1>listdata</formula1>
    </dataValidation>
    <dataValidation type="list" allowBlank="1" showInputMessage="1" showErrorMessage="1" sqref="D684">
      <formula1>listdata</formula1>
    </dataValidation>
    <dataValidation type="list" allowBlank="1" showInputMessage="1" showErrorMessage="1" sqref="D686">
      <formula1>listdata</formula1>
    </dataValidation>
    <dataValidation type="list" allowBlank="1" showInputMessage="1" showErrorMessage="1" sqref="D688">
      <formula1>listdata</formula1>
    </dataValidation>
    <dataValidation type="list" allowBlank="1" showInputMessage="1" showErrorMessage="1" sqref="D690">
      <formula1>listdata</formula1>
    </dataValidation>
    <dataValidation type="list" allowBlank="1" showInputMessage="1" showErrorMessage="1" sqref="D692">
      <formula1>listdata</formula1>
    </dataValidation>
    <dataValidation type="list" allowBlank="1" showInputMessage="1" showErrorMessage="1" sqref="D694">
      <formula1>listdata</formula1>
    </dataValidation>
    <dataValidation type="list" allowBlank="1" showInputMessage="1" showErrorMessage="1" sqref="D696">
      <formula1>listdata</formula1>
    </dataValidation>
    <dataValidation type="list" allowBlank="1" showInputMessage="1" showErrorMessage="1" sqref="D698">
      <formula1>listdata</formula1>
    </dataValidation>
    <dataValidation type="list" allowBlank="1" showInputMessage="1" showErrorMessage="1" sqref="D700">
      <formula1>listdata</formula1>
    </dataValidation>
    <dataValidation type="list" allowBlank="1" showInputMessage="1" showErrorMessage="1" sqref="D702">
      <formula1>listdata</formula1>
    </dataValidation>
    <dataValidation type="list" allowBlank="1" showInputMessage="1" showErrorMessage="1" sqref="D704">
      <formula1>listdata</formula1>
    </dataValidation>
    <dataValidation type="list" allowBlank="1" showInputMessage="1" showErrorMessage="1" sqref="D706">
      <formula1>listdata</formula1>
    </dataValidation>
    <dataValidation type="list" allowBlank="1" showInputMessage="1" showErrorMessage="1" sqref="D708">
      <formula1>listdata</formula1>
    </dataValidation>
    <dataValidation type="list" allowBlank="1" showInputMessage="1" showErrorMessage="1" sqref="D710">
      <formula1>listdata</formula1>
    </dataValidation>
    <dataValidation type="list" allowBlank="1" showInputMessage="1" showErrorMessage="1" sqref="D712">
      <formula1>listdata</formula1>
    </dataValidation>
    <dataValidation type="list" allowBlank="1" showInputMessage="1" showErrorMessage="1" sqref="D714">
      <formula1>listdata</formula1>
    </dataValidation>
    <dataValidation type="list" allowBlank="1" showInputMessage="1" showErrorMessage="1" sqref="D716">
      <formula1>listdata</formula1>
    </dataValidation>
    <dataValidation type="list" allowBlank="1" showInputMessage="1" showErrorMessage="1" sqref="D718">
      <formula1>listdata</formula1>
    </dataValidation>
    <dataValidation type="list" allowBlank="1" showInputMessage="1" showErrorMessage="1" sqref="D720">
      <formula1>listdata</formula1>
    </dataValidation>
    <dataValidation type="list" allowBlank="1" showInputMessage="1" showErrorMessage="1" sqref="D722">
      <formula1>listdata</formula1>
    </dataValidation>
    <dataValidation type="list" allowBlank="1" showInputMessage="1" showErrorMessage="1" sqref="D724">
      <formula1>listdata</formula1>
    </dataValidation>
    <dataValidation type="list" allowBlank="1" showInputMessage="1" showErrorMessage="1" sqref="D726">
      <formula1>listdata</formula1>
    </dataValidation>
    <dataValidation type="list" allowBlank="1" showInputMessage="1" showErrorMessage="1" sqref="D728">
      <formula1>listdata</formula1>
    </dataValidation>
    <dataValidation type="list" allowBlank="1" showInputMessage="1" showErrorMessage="1" sqref="D730">
      <formula1>listdata</formula1>
    </dataValidation>
    <dataValidation type="list" allowBlank="1" showInputMessage="1" showErrorMessage="1" sqref="D732">
      <formula1>listdata</formula1>
    </dataValidation>
    <dataValidation type="list" allowBlank="1" showInputMessage="1" showErrorMessage="1" sqref="D734">
      <formula1>listdata</formula1>
    </dataValidation>
    <dataValidation type="list" allowBlank="1" showInputMessage="1" showErrorMessage="1" sqref="D736">
      <formula1>listdata</formula1>
    </dataValidation>
    <dataValidation type="list" allowBlank="1" showInputMessage="1" showErrorMessage="1" sqref="D738">
      <formula1>listdata</formula1>
    </dataValidation>
    <dataValidation type="list" allowBlank="1" showInputMessage="1" showErrorMessage="1" sqref="D740">
      <formula1>listdata</formula1>
    </dataValidation>
    <dataValidation type="list" allowBlank="1" showInputMessage="1" showErrorMessage="1" sqref="D742">
      <formula1>listdata</formula1>
    </dataValidation>
    <dataValidation type="list" allowBlank="1" showInputMessage="1" showErrorMessage="1" sqref="D744">
      <formula1>listdata</formula1>
    </dataValidation>
    <dataValidation type="list" allowBlank="1" showInputMessage="1" showErrorMessage="1" sqref="D746">
      <formula1>listdata</formula1>
    </dataValidation>
    <dataValidation type="list" allowBlank="1" showInputMessage="1" showErrorMessage="1" sqref="D748">
      <formula1>listdata</formula1>
    </dataValidation>
    <dataValidation type="list" allowBlank="1" showInputMessage="1" showErrorMessage="1" sqref="D750">
      <formula1>listdata</formula1>
    </dataValidation>
    <dataValidation type="list" allowBlank="1" showInputMessage="1" showErrorMessage="1" sqref="D752">
      <formula1>listdata</formula1>
    </dataValidation>
    <dataValidation type="list" allowBlank="1" showInputMessage="1" showErrorMessage="1" sqref="D754">
      <formula1>listdata</formula1>
    </dataValidation>
    <dataValidation type="list" allowBlank="1" showInputMessage="1" showErrorMessage="1" sqref="D756">
      <formula1>listdata</formula1>
    </dataValidation>
    <dataValidation type="list" allowBlank="1" showInputMessage="1" showErrorMessage="1" sqref="D758">
      <formula1>listdata</formula1>
    </dataValidation>
    <dataValidation type="list" allowBlank="1" showInputMessage="1" showErrorMessage="1" sqref="D760">
      <formula1>listdata</formula1>
    </dataValidation>
    <dataValidation type="list" allowBlank="1" showInputMessage="1" showErrorMessage="1" sqref="D762">
      <formula1>listdata</formula1>
    </dataValidation>
    <dataValidation type="list" allowBlank="1" showInputMessage="1" showErrorMessage="1" sqref="D764">
      <formula1>listdata</formula1>
    </dataValidation>
    <dataValidation type="list" allowBlank="1" showInputMessage="1" showErrorMessage="1" sqref="D766">
      <formula1>listdata</formula1>
    </dataValidation>
    <dataValidation type="list" allowBlank="1" showInputMessage="1" showErrorMessage="1" sqref="D768">
      <formula1>listdata</formula1>
    </dataValidation>
    <dataValidation type="list" allowBlank="1" showInputMessage="1" showErrorMessage="1" sqref="D770">
      <formula1>listdata</formula1>
    </dataValidation>
    <dataValidation type="list" allowBlank="1" showInputMessage="1" showErrorMessage="1" sqref="D772">
      <formula1>listdata</formula1>
    </dataValidation>
    <dataValidation type="list" allowBlank="1" showInputMessage="1" showErrorMessage="1" sqref="D774">
      <formula1>listdata</formula1>
    </dataValidation>
    <dataValidation type="list" allowBlank="1" showInputMessage="1" showErrorMessage="1" sqref="D776">
      <formula1>listdata</formula1>
    </dataValidation>
    <dataValidation type="list" allowBlank="1" showInputMessage="1" showErrorMessage="1" sqref="D778">
      <formula1>listdata</formula1>
    </dataValidation>
    <dataValidation type="list" allowBlank="1" showInputMessage="1" showErrorMessage="1" sqref="D780">
      <formula1>listdata</formula1>
    </dataValidation>
    <dataValidation type="list" allowBlank="1" showInputMessage="1" showErrorMessage="1" sqref="D782">
      <formula1>listdata</formula1>
    </dataValidation>
    <dataValidation type="list" allowBlank="1" showInputMessage="1" showErrorMessage="1" sqref="D784">
      <formula1>listdata</formula1>
    </dataValidation>
    <dataValidation type="list" allowBlank="1" showInputMessage="1" showErrorMessage="1" sqref="D786">
      <formula1>listdata</formula1>
    </dataValidation>
    <dataValidation type="list" allowBlank="1" showInputMessage="1" showErrorMessage="1" sqref="D788">
      <formula1>listdata</formula1>
    </dataValidation>
    <dataValidation type="list" allowBlank="1" showInputMessage="1" showErrorMessage="1" sqref="D790">
      <formula1>listdata</formula1>
    </dataValidation>
  </dataValidations>
  <pageMargins left="0.7" right="0.7" top="0.75" bottom="0.75" header="0.3" footer="0.3"/>
  <pageSetup paperSize="17" scale="6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9877" r:id="rId4" name="Button 5">
              <controlPr defaultSize="0" print="0" autoFill="0" autoPict="0" macro="[0]!ClrAll3a_Click">
                <anchor moveWithCells="1" sizeWithCells="1">
                  <from>
                    <xdr:col>3</xdr:col>
                    <xdr:colOff>504825</xdr:colOff>
                    <xdr:row>24</xdr:row>
                    <xdr:rowOff>28575</xdr:rowOff>
                  </from>
                  <to>
                    <xdr:col>3</xdr:col>
                    <xdr:colOff>2219325</xdr:colOff>
                    <xdr:row>25</xdr:row>
                    <xdr:rowOff>0</xdr:rowOff>
                  </to>
                </anchor>
              </controlPr>
            </control>
          </mc:Choice>
        </mc:AlternateContent>
        <mc:AlternateContent xmlns:mc="http://schemas.openxmlformats.org/markup-compatibility/2006">
          <mc:Choice Requires="x14">
            <control shapeId="79878" r:id="rId5" name="Button 6">
              <controlPr defaultSize="0" print="0" autoFill="0" autoPict="0" macro="[0]!ClrAll3b_Click">
                <anchor moveWithCells="1" sizeWithCells="1">
                  <from>
                    <xdr:col>3</xdr:col>
                    <xdr:colOff>476250</xdr:colOff>
                    <xdr:row>486</xdr:row>
                    <xdr:rowOff>180975</xdr:rowOff>
                  </from>
                  <to>
                    <xdr:col>3</xdr:col>
                    <xdr:colOff>2190750</xdr:colOff>
                    <xdr:row>486</xdr:row>
                    <xdr:rowOff>533400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65</vt:i4>
      </vt:variant>
    </vt:vector>
  </HeadingPairs>
  <TitlesOfParts>
    <vt:vector size="101" baseType="lpstr">
      <vt:lpstr>Instructions for Tabs 3 to 7</vt:lpstr>
      <vt:lpstr>1. Information Sheet</vt:lpstr>
      <vt:lpstr>Sheet1</vt:lpstr>
      <vt:lpstr>2. Current Tariff Schedule</vt:lpstr>
      <vt:lpstr>3. Continuity Schedule</vt:lpstr>
      <vt:lpstr>2016 List</vt:lpstr>
      <vt:lpstr>4. Billing Det. for Def-Var</vt:lpstr>
      <vt:lpstr>5. Allocating Def-Var Balances</vt:lpstr>
      <vt:lpstr>6. Class A Consumption Data</vt:lpstr>
      <vt:lpstr>6.1a GA Allocation</vt:lpstr>
      <vt:lpstr>6.1 GA</vt:lpstr>
      <vt:lpstr>6.2a CBR B_Allocation</vt:lpstr>
      <vt:lpstr>6.2 CBR B</vt:lpstr>
      <vt:lpstr>7. Calculation of Def-Var RR</vt:lpstr>
      <vt:lpstr>8. STS - Tax Change</vt:lpstr>
      <vt:lpstr>9. Shared Tax - Rate Rider</vt:lpstr>
      <vt:lpstr>10. RTSR Current Rates</vt:lpstr>
      <vt:lpstr>11. RTSR - UTRs &amp; Sub-Tx</vt:lpstr>
      <vt:lpstr>12. RTSR - Historical Wholesale</vt:lpstr>
      <vt:lpstr>13. RTSR - Current Wholesale</vt:lpstr>
      <vt:lpstr>14. RTSR - Forecast Wholesale</vt:lpstr>
      <vt:lpstr>15. RTSR Rates to Forecast</vt:lpstr>
      <vt:lpstr>16. Rev2Cost_GDPIPI</vt:lpstr>
      <vt:lpstr>17. Regulatory Charges</vt:lpstr>
      <vt:lpstr>18. Additional Rates</vt:lpstr>
      <vt:lpstr>19. Final Tariff Schedule</vt:lpstr>
      <vt:lpstr>20. Bill Impacts</vt:lpstr>
      <vt:lpstr>2 1 5 TotalConsumptionData_Dist</vt:lpstr>
      <vt:lpstr>212_Total_Connection_RollUp</vt:lpstr>
      <vt:lpstr>2.1.7 Filing</vt:lpstr>
      <vt:lpstr>20. HIDDEN</vt:lpstr>
      <vt:lpstr>20. Bill Impacts hidden</vt:lpstr>
      <vt:lpstr>Database</vt:lpstr>
      <vt:lpstr>lists</vt:lpstr>
      <vt:lpstr>Sheet2</vt:lpstr>
      <vt:lpstr>Sheet3</vt:lpstr>
      <vt:lpstr>Alectra_SA</vt:lpstr>
      <vt:lpstr>'20. Bill Impacts hidden'!BI_SS</vt:lpstr>
      <vt:lpstr>'20. HIDDEN'!BI_SS</vt:lpstr>
      <vt:lpstr>COS_RES_CUSTOMERS</vt:lpstr>
      <vt:lpstr>COS_RES_KWH</vt:lpstr>
      <vt:lpstr>Cust3a</vt:lpstr>
      <vt:lpstr>Cust3b</vt:lpstr>
      <vt:lpstr>DRC</vt:lpstr>
      <vt:lpstr>Energy_SA</vt:lpstr>
      <vt:lpstr>EnergyPlus_SA</vt:lpstr>
      <vt:lpstr>'2016 List'!Extract</vt:lpstr>
      <vt:lpstr>fed_sb</vt:lpstr>
      <vt:lpstr>fedtax</vt:lpstr>
      <vt:lpstr>Fixed_Charges</vt:lpstr>
      <vt:lpstr>forecast_wholesale_lineplus</vt:lpstr>
      <vt:lpstr>forecast_wholesale_network</vt:lpstr>
      <vt:lpstr>G1LD</vt:lpstr>
      <vt:lpstr>'6.2a CBR B_Allocation'!G1LDCBR</vt:lpstr>
      <vt:lpstr>HydroOne_SA</vt:lpstr>
      <vt:lpstr>Lakeland_SA</vt:lpstr>
      <vt:lpstr>LDC_LIST</vt:lpstr>
      <vt:lpstr>LDCNAME1</vt:lpstr>
      <vt:lpstr>LDCNAMES</vt:lpstr>
      <vt:lpstr>LossFactors</vt:lpstr>
      <vt:lpstr>maxtax</vt:lpstr>
      <vt:lpstr>MidPeak</vt:lpstr>
      <vt:lpstr>NonPayment</vt:lpstr>
      <vt:lpstr>OffPeak</vt:lpstr>
      <vt:lpstr>OnPeak</vt:lpstr>
      <vt:lpstr>ontario_sb</vt:lpstr>
      <vt:lpstr>ontariotax</vt:lpstr>
      <vt:lpstr>passwordlist</vt:lpstr>
      <vt:lpstr>'1. Information Sheet'!Print_Area</vt:lpstr>
      <vt:lpstr>'12. RTSR - Historical Wholesale'!Print_Area</vt:lpstr>
      <vt:lpstr>'13. RTSR - Current Wholesale'!Print_Area</vt:lpstr>
      <vt:lpstr>'14. RTSR - Forecast Wholesale'!Print_Area</vt:lpstr>
      <vt:lpstr>'16. Rev2Cost_GDPIPI'!Print_Area</vt:lpstr>
      <vt:lpstr>'18. Additional Rates'!Print_Area</vt:lpstr>
      <vt:lpstr>'19. Final Tariff Schedule'!Print_Area</vt:lpstr>
      <vt:lpstr>'2. Current Tariff Schedule'!Print_Area</vt:lpstr>
      <vt:lpstr>'20. Bill Impacts'!Print_Area</vt:lpstr>
      <vt:lpstr>'3. Continuity Schedule'!Print_Area</vt:lpstr>
      <vt:lpstr>'4. Billing Det. for Def-Var'!Print_Area</vt:lpstr>
      <vt:lpstr>'5. Allocating Def-Var Balances'!Print_Area</vt:lpstr>
      <vt:lpstr>'7. Calculation of Def-Var RR'!Print_Area</vt:lpstr>
      <vt:lpstr>'12. RTSR - Historical Wholesale'!Print_Titles</vt:lpstr>
      <vt:lpstr>'13. RTSR - Current Wholesale'!Print_Titles</vt:lpstr>
      <vt:lpstr>'14. RTSR - Forecast Wholesale'!Print_Titles</vt:lpstr>
      <vt:lpstr>'18. Additional Rates'!Print_Titles</vt:lpstr>
      <vt:lpstr>'19. Final Tariff Schedule'!Print_Titles</vt:lpstr>
      <vt:lpstr>'2. Current Tariff Schedule'!Print_Titles</vt:lpstr>
      <vt:lpstr>Rate_Class</vt:lpstr>
      <vt:lpstr>ratebase</vt:lpstr>
      <vt:lpstr>ServiceTerr</vt:lpstr>
      <vt:lpstr>SME</vt:lpstr>
      <vt:lpstr>ss</vt:lpstr>
      <vt:lpstr>taxableincome</vt:lpstr>
      <vt:lpstr>Total_Current_Wholesale_Line</vt:lpstr>
      <vt:lpstr>Total_Current_Wholesale_Lineplus</vt:lpstr>
      <vt:lpstr>total_current_wholesale_network</vt:lpstr>
      <vt:lpstr>TranCust</vt:lpstr>
      <vt:lpstr>TranCustb</vt:lpstr>
      <vt:lpstr>TransCust</vt:lpstr>
      <vt:lpstr>Units</vt:lpstr>
      <vt:lpstr>YRS_LEFT</vt:lpstr>
    </vt:vector>
  </TitlesOfParts>
  <Company>Ontario Energy Board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Jane RSLU</cp:lastModifiedBy>
  <cp:lastPrinted>2018-10-15T19:43:22Z</cp:lastPrinted>
  <dcterms:created xsi:type="dcterms:W3CDTF">2012-04-25T19:46:34Z</dcterms:created>
  <dcterms:modified xsi:type="dcterms:W3CDTF">2019-01-09T20:40:49Z</dcterms:modified>
</cp:coreProperties>
</file>